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dataset" sheetId="1" r:id="rId3"/>
    <sheet state="hidden" name="Main dataset - update in progre" sheetId="2" r:id="rId4"/>
    <sheet state="visible" name="Data to be Integrated when meta" sheetId="3" r:id="rId5"/>
    <sheet state="visible" name="Paper Numbers &amp; Acceptance Rate" sheetId="4" r:id="rId6"/>
    <sheet state="hidden" name="Deduped Authors" sheetId="5" r:id="rId7"/>
    <sheet state="hidden" name="HelperSheet-AuthorSplit" sheetId="6" r:id="rId8"/>
    <sheet state="hidden" name="Main dataset (DEPRECATED)" sheetId="7" r:id="rId9"/>
    <sheet state="visible" name="Main dataset (DEPRECATED2)" sheetId="8" r:id="rId10"/>
    <sheet state="hidden" name="Sheet12" sheetId="9" r:id="rId11"/>
    <sheet state="hidden" name="BACKUP Keyword Set 2013 - 2008" sheetId="10" r:id="rId12"/>
  </sheets>
  <definedNames/>
  <calcPr/>
</workbook>
</file>

<file path=xl/comments1.xml><?xml version="1.0" encoding="utf-8"?>
<comments xmlns:r="http://schemas.openxmlformats.org/officeDocument/2006/relationships" xmlns="http://schemas.openxmlformats.org/spreadsheetml/2006/main">
  <authors>
    <author/>
  </authors>
  <commentList>
    <comment authorId="0" ref="R488">
      <text>
        <t xml:space="preserve">found on the website of Klaus Müller. Cannot find any official documentation (PI)
</t>
      </text>
    </comment>
    <comment authorId="0" ref="C693">
      <text>
        <t xml:space="preserve">incomplete title
Visualizing Multivalued Data from 2D Incompressible Flows Using Concepts from Painting
</t>
      </text>
    </comment>
    <comment authorId="0" ref="R1652">
      <text>
        <t xml:space="preserve">submitted by Carlos Sheidegger</t>
      </text>
    </comment>
    <comment authorId="0" ref="J2428">
      <text>
        <t xml:space="preserve">Check for error on next update</t>
      </text>
    </comment>
  </commentList>
</comments>
</file>

<file path=xl/comments2.xml><?xml version="1.0" encoding="utf-8"?>
<comments xmlns:r="http://schemas.openxmlformats.org/officeDocument/2006/relationships" xmlns="http://schemas.openxmlformats.org/spreadsheetml/2006/main">
  <authors>
    <author/>
  </authors>
  <commentList>
    <comment authorId="0" ref="N1">
      <text>
        <t xml:space="preserve">These are papers that are presented at the IEEE VIS conference but were published at the TVCG journal in the year prior to the conference. They are not part of our dataset</t>
      </text>
    </comment>
    <comment authorId="0" ref="S1">
      <text>
        <t xml:space="preserve">EuroVis and PacificVis are not (yet) part of our dataset. The numbers here are just fyi, in case you are interested in other visualization venues.</t>
      </text>
    </comment>
    <comment authorId="0" ref="U1">
      <text>
        <t xml:space="preserve">EuroVis and PacificVis are not (yet) part of our dataset. The numbers here are just fyi, in case you are interested in other visualization venues.</t>
      </text>
    </comment>
    <comment authorId="0" ref="D5">
      <text>
        <t xml:space="preserve">Check this once the proceedings are out. 31 were conditionally accepted but afaik, one was rejected at the second round
	-Petra Isenberg</t>
      </text>
    </comment>
    <comment authorId="0" ref="M7">
      <text>
        <t xml:space="preserve">VAST had a journal and a conference paper track in 2014. There was no separate acceptance rate for the two tracks (the journal track is supposed to be higher quality, however). There were 33 VAST TVCG-only papers and 136 submissions in total. The acceptance rate for the conference track is calculated by taking the total number of 54 VAST papers accepted for presentation over the 136 reviewed submissions. The VAST TVCG (journal-track) acceptance rate is 24%</t>
      </text>
    </comment>
    <comment authorId="0" ref="B23">
      <text>
        <t xml:space="preserve">This number does not match the papers mentioned in the TOC of the printed proceedings. It seems that the TOC forgot to mention 1-2 case study sessions (page number 463-481). But these papers were part of the (printed? and) electronic proceedings.
	-Petra Isenberg</t>
      </text>
    </comment>
    <comment authorId="0" ref="B31">
      <text>
        <t xml:space="preserve">Does not count the abstract on page 457 that can be found in the proceedings - as it is less than a page long and seems more like a talk abstract.
	-Petra Isenberg</t>
      </text>
    </comment>
  </commentList>
</comments>
</file>

<file path=xl/comments3.xml><?xml version="1.0" encoding="utf-8"?>
<comments xmlns:r="http://schemas.openxmlformats.org/officeDocument/2006/relationships" xmlns="http://schemas.openxmlformats.org/spreadsheetml/2006/main">
  <authors>
    <author/>
  </authors>
  <commentList>
    <comment authorId="0" ref="D1">
      <text>
        <t xml:space="preserve">DOIs that start with 10.0000/  are not valid. They are only there to serve as unique identifiers
	-Petra Isenberg</t>
      </text>
    </comment>
    <comment authorId="0" ref="H1">
      <text>
        <t xml:space="preserve">This seems redundant - Same info at the column on the right (listed as misc.)
	-Adil Yalcin
Yes, this is only still here for historical purposes. Will delete this soon.
	-Petra Isenberg</t>
      </text>
    </comment>
    <comment authorId="0" ref="C2114">
      <text>
        <t xml:space="preserve">incomplete title
Visualizing Multivalued Data from 2D Incompressible Flows Using Concepts from Painting
</t>
      </text>
    </comment>
    <comment authorId="0" ref="H2724">
      <text>
        <t xml:space="preserve">We did not count this paper because it is less than half a page long. It seems more like a talk abstract than an actual paper.
	-Petra Isenberg</t>
      </text>
    </comment>
  </commentList>
</comments>
</file>

<file path=xl/comments4.xml><?xml version="1.0" encoding="utf-8"?>
<comments xmlns:r="http://schemas.openxmlformats.org/officeDocument/2006/relationships" xmlns="http://schemas.openxmlformats.org/spreadsheetml/2006/main">
  <authors>
    <author/>
  </authors>
  <commentList>
    <comment authorId="0" ref="C693">
      <text>
        <t xml:space="preserve">incomplete title
Visualizing Multivalued Data from 2D Incompressible Flows Using Concepts from Painting
</t>
      </text>
    </comment>
  </commentList>
</comments>
</file>

<file path=xl/comments5.xml><?xml version="1.0" encoding="utf-8"?>
<comments xmlns:r="http://schemas.openxmlformats.org/officeDocument/2006/relationships" xmlns="http://schemas.openxmlformats.org/spreadsheetml/2006/main">
  <authors>
    <author/>
  </authors>
  <commentList>
    <comment authorId="0" ref="I1">
      <text>
        <t xml:space="preserve">Options are:
Theory
Analysis
Data
NonSpatial
Spatial
Interaction
Display
Evaluation
PerCog
Hardware
Large
General
Applications
VAST</t>
      </text>
    </comment>
  </commentList>
</comments>
</file>

<file path=xl/sharedStrings.xml><?xml version="1.0" encoding="utf-8"?>
<sst xmlns="http://schemas.openxmlformats.org/spreadsheetml/2006/main" count="133130" uniqueCount="41899">
  <si>
    <t>Conference</t>
  </si>
  <si>
    <t>Year</t>
  </si>
  <si>
    <t>Title</t>
  </si>
  <si>
    <t>DOI</t>
  </si>
  <si>
    <t>Link</t>
  </si>
  <si>
    <t>FirstPage</t>
  </si>
  <si>
    <t>LastPage</t>
  </si>
  <si>
    <t>PaperType</t>
  </si>
  <si>
    <t>Abstract</t>
  </si>
  <si>
    <t>AuthorNames-Deduped</t>
  </si>
  <si>
    <t>AuthorNames</t>
  </si>
  <si>
    <t>AuthorAffiliation</t>
  </si>
  <si>
    <t>InternalReferences</t>
  </si>
  <si>
    <t>AuthorKeywords</t>
  </si>
  <si>
    <t>XploreCitationCount-2018-11</t>
  </si>
  <si>
    <t>XplorePatentCitationCount</t>
  </si>
  <si>
    <t>Award</t>
  </si>
  <si>
    <t>Vis</t>
  </si>
  <si>
    <t>Interdisciplinary visualization: lessons learned at NCSA</t>
  </si>
  <si>
    <t>10.0000/00000002</t>
  </si>
  <si>
    <t>http://dl.acm.org/citation.cfm?id=949606&amp;CFID=522724143&amp;CFTOKEN=98665846</t>
  </si>
  <si>
    <t>M</t>
  </si>
  <si>
    <t>Donna J. Cox</t>
  </si>
  <si>
    <t>National Center for Supercomputing Applications</t>
  </si>
  <si>
    <t>Surface representations of two- and three-dimensional fluid flow topology</t>
  </si>
  <si>
    <t>10.1109/VISUAL.1990.146359</t>
  </si>
  <si>
    <t>http://dx.doi.org/10.1109/VISUAL.1990.146359</t>
  </si>
  <si>
    <t>13, 460</t>
  </si>
  <si>
    <t>C</t>
  </si>
  <si>
    <t>James Helman;Lambertus Hesselink</t>
  </si>
  <si>
    <t>Stanford Univ., CA, USA|c|;</t>
  </si>
  <si>
    <t>FAST: a multi-processed environment for visualization of computational fluid dynamics</t>
  </si>
  <si>
    <t>10.1109/VISUAL.1990.146360</t>
  </si>
  <si>
    <t>http://dx.doi.org/10.1109/VISUAL.1990.146360</t>
  </si>
  <si>
    <t>27, 461-2</t>
  </si>
  <si>
    <t>Gordon V. Bancroft;Fergus Merritt;Todd Plessel;Paul G. Kelaita;R. Kevin McCabe;Al Globus</t>
  </si>
  <si>
    <t>Sterling Federal Syst. Inc., Palo Alto, CA, USA|c|;;;;;</t>
  </si>
  <si>
    <t>The VIS-5D system for easy interactive visualization</t>
  </si>
  <si>
    <t>10.1109/VISUAL.1990.146361</t>
  </si>
  <si>
    <t>http://dx.doi.org/10.1109/VISUAL.1990.146361</t>
  </si>
  <si>
    <t>35, 462</t>
  </si>
  <si>
    <t>William L. Hibbard;David A. Santek</t>
  </si>
  <si>
    <t>Space Sci. &amp; Eng. Center, Wisconsin Univ., Madison, WI, USA|c|;</t>
  </si>
  <si>
    <t>A procedural interface for volume rendering</t>
  </si>
  <si>
    <t>10.1109/VISUAL.1990.146362</t>
  </si>
  <si>
    <t>http://dx.doi.org/10.1109/VISUAL.1990.146362</t>
  </si>
  <si>
    <t>44, 462</t>
  </si>
  <si>
    <t>James L. Montine</t>
  </si>
  <si>
    <t>Alliant Comput. Syst., Littleton, MA, USA|c|</t>
  </si>
  <si>
    <t>Techniques for the interactive visualization of volumetric data</t>
  </si>
  <si>
    <t>10.1109/VISUAL.1990.146363</t>
  </si>
  <si>
    <t>http://dx.doi.org/10.1109/VISUAL.1990.146363</t>
  </si>
  <si>
    <t>50, 462-3</t>
  </si>
  <si>
    <t>Gregory M. Nielson;Bernd Hamann</t>
  </si>
  <si>
    <t>Dept. of Comput. Sci., Arizona State Univ., Tempe, AZ, USA|c|;</t>
  </si>
  <si>
    <t>10.1109/VISUAL.1990.146388</t>
  </si>
  <si>
    <t>Displaying voxel-based objects according to their qualitative shape synthesis</t>
  </si>
  <si>
    <t>10.1109/VISUAL.1990.146364</t>
  </si>
  <si>
    <t>http://dx.doi.org/10.1109/VISUAL.1990.146364</t>
  </si>
  <si>
    <t>58, 463-4</t>
  </si>
  <si>
    <t>Yaser Yacoob</t>
  </si>
  <si>
    <t>Dept. of Comput. Sci., Maryland Univ., College Park, MD, USA|c|</t>
  </si>
  <si>
    <t>Interpreting a 3D object from a rough 2D line drawing</t>
  </si>
  <si>
    <t>10.1109/VISUAL.1990.146365</t>
  </si>
  <si>
    <t>http://dx.doi.org/10.1109/VISUAL.1990.146365</t>
  </si>
  <si>
    <t>Del Lamb;Amit Bandopadhay</t>
  </si>
  <si>
    <t>Dept. of Comput. Sci., State Univ. of New York, Stony Brook, NY, USA|c|;</t>
  </si>
  <si>
    <t>Animation techniques for chain-coded objects</t>
  </si>
  <si>
    <t>10.1109/VISUAL.1990.146366</t>
  </si>
  <si>
    <t>http://dx.doi.org/10.1109/VISUAL.1990.146366</t>
  </si>
  <si>
    <t>Anthony J. Maeder</t>
  </si>
  <si>
    <t>Dept. of Comput. Sci., Monash Univ., Clayton, Vic., Australia|c|</t>
  </si>
  <si>
    <t>Extracting geometric models through constraint minimization</t>
  </si>
  <si>
    <t>10.1109/VISUAL.1990.146367</t>
  </si>
  <si>
    <t>http://dx.doi.org/10.1109/VISUAL.1990.146367</t>
  </si>
  <si>
    <t>82, 464-5</t>
  </si>
  <si>
    <t>James V. Miller;David E. Breen;Michael J. Wozny</t>
  </si>
  <si>
    <t>Rensselaer Design. Res. Center, Rensselaer Polytech Inst., Troy, NY, USA|c|;;</t>
  </si>
  <si>
    <t>Wide-band relativistic Doppler effect visualization</t>
  </si>
  <si>
    <t>10.1109/VISUAL.1990.146368</t>
  </si>
  <si>
    <t>http://dx.doi.org/10.1109/VISUAL.1990.146368</t>
  </si>
  <si>
    <t>92, 465-7</t>
  </si>
  <si>
    <t>Ping-Kang Hsiung;Robert H. Thibadeau;Christopher B. Cox;Robert H. P. Dunn;Michael Wu;Paul Andrew Olbrich</t>
  </si>
  <si>
    <t>Carnegie Mellon Univ., Pittsburgh, PA, USA|c|;;;;;</t>
  </si>
  <si>
    <t>Dynamic graphics for network visualization</t>
  </si>
  <si>
    <t>10.1109/VISUAL.1990.146369</t>
  </si>
  <si>
    <t>http://dx.doi.org/10.1109/VISUAL.1990.146369</t>
  </si>
  <si>
    <t>96, 467</t>
  </si>
  <si>
    <t>Richard A. Becker;Stephen G. Eick;Eileen O. Miller;Allan R. Wilks</t>
  </si>
  <si>
    <t>AT&amp;T Bell Lab., Murray Hill, NJ, USA|c|;;;</t>
  </si>
  <si>
    <t>Techniques for visualizing Fermat's last theorem: a case study</t>
  </si>
  <si>
    <t>10.1109/VISUAL.1990.146370</t>
  </si>
  <si>
    <t>http://dx.doi.org/10.1109/VISUAL.1990.146370</t>
  </si>
  <si>
    <t>106, 467-8</t>
  </si>
  <si>
    <t>Andrew J. Hanson;Pheng-Ann Heng;B. C. Kaplan</t>
  </si>
  <si>
    <t>Indiana Univ., Bloomington, IN, USA|c|;;</t>
  </si>
  <si>
    <t>Visualizing computer memory architectures</t>
  </si>
  <si>
    <t>10.1109/VISUAL.1990.146371</t>
  </si>
  <si>
    <t>http://dx.doi.org/10.1109/VISUAL.1990.146371</t>
  </si>
  <si>
    <t>AminerCitationCount_02-2019</t>
  </si>
  <si>
    <t>XPloreCitationCount_02-2019</t>
  </si>
  <si>
    <t>PubsCited</t>
  </si>
  <si>
    <t>1990</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</si>
  <si>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separation.&amp;lt;&amp;lt;ETX&amp;gt;&amp;gt;</t>
  </si>
  <si>
    <t>J.L. Helman;L. Hesselink</t>
  </si>
  <si>
    <t>Stanford Univ., CA, USA;Stanford Univ., CA, USA</t>
  </si>
  <si>
    <t>BP</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</si>
  <si>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discussed.&amp;lt;&amp;lt;ETX&amp;gt;&amp;gt;</t>
  </si>
  <si>
    <t>G.V. Bancroft;F.J. Merritt;T.C. Plessel;P.G. Kelaita;R.K. McCabe;A. Globus</t>
  </si>
  <si>
    <t>Sterling Federal Syst. Inc., Palo Alto, CA, USA;Sterling Federal Syst. Inc., Palo Alto, CA, USA;Sterling Federal Syst. Inc., Palo Alto, CA, USA;Sterling Federal Syst. Inc., Palo Alto, CA, USA;Sterling Federal Syst. Inc., Palo Alto, CA, USA;Sterling Federal Syst. Inc., Palo Alto, CA, USA</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</si>
  <si>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animations.&amp;lt;&amp;lt;ETX&amp;gt;&amp;gt;</t>
  </si>
  <si>
    <t>B. Hibbard;D. Santek</t>
  </si>
  <si>
    <t>Space Sci. &amp; Eng. Center, Wisconsin Univ., Madison, WI, USA;Space Sci. &amp; Eng. Center, Wisconsin Univ., Madison, WI, USA</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</si>
  <si>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representation.&amp;lt;&amp;lt;ETX&amp;gt;&amp;gt;</t>
  </si>
  <si>
    <t>J.L. Montine</t>
  </si>
  <si>
    <t>Alliant Comput. Syst., Littleton, MA, USA</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</si>
  <si>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data.&amp;lt;&amp;lt;ETX&amp;gt;&amp;gt;</t>
  </si>
  <si>
    <t>G.M. Nielson;B. Hamann</t>
  </si>
  <si>
    <t>Dept. of Comput. Sci., Arizona State Univ., Tempe, AZ, USA;Dept. of Comput. Sci., Arizona State Univ., Tempe, AZ, USA</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</si>
  <si>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provided.&amp;lt;&amp;lt;ETX&amp;gt;&amp;gt;</t>
  </si>
  <si>
    <t>VAST</t>
  </si>
  <si>
    <t>2018</t>
  </si>
  <si>
    <t>Analyzing the Noise Robustness of Deep Neural Networks</t>
  </si>
  <si>
    <t>Mengchen Liu;Shixia Liu;Hang Su;Kelei Cao;Jun Zhu</t>
  </si>
  <si>
    <t>10.1109/TVCG.2015.2467618;10.1109/TVCG.2011.186;10.1109/TVCG.2016.2598496;10.1109/TVCG.2017.2744683;10.1109/TVCG.2014.2346431;10.1109/TVCG.2014.2346433;10.1109/TVCG.2017.2744199;10.1109/TVCG.2017.2744718;10.1109/TVCG.2017.2744938;10.1109/TVCG.2016.2598831;10.1109/TVCG.2013.196;10.1109/TVCG.2011.209;10.1109/TVCG.2017.2744358;10.1109/TVCG.2016.2598838;10.1109/TVCG.2010.210;10.1109/TVCG.2017.2744018;10.1109/TVCG.2011.183;10.1109/TVCG.2017.2744158;10.1109/VISUAL.2005.1532820;10.1109/VAST.2014.7042494;10.1109/TVCG.2017.2744878;10.1109/TVCG.2018.2865041</t>
  </si>
  <si>
    <t>EmbeddingVis: A Visual Analytics Approach to Comparative Network Embedding Inspection</t>
  </si>
  <si>
    <t>Quan Li;Kristanto Sean Njotoprawiro;Hammad Haleem;Qiaoan Chen;Chris Yi;Xiaojuan Ma</t>
  </si>
  <si>
    <t>10.1109/TVCG.2007.70521;10.1109/TVCG.2013.173;10.1109/VISUAL.1990.146402;10.1109/TVCG.2016.2598415;10.1109/TVCG.2017.2745141;10.1109/TVCG.2016.2598838;10.1109/TVCG.2015.2468151</t>
  </si>
  <si>
    <t>Segue: Overviewing Evolution Patterns of Egocentric Networks by Interactive Construction of Spatial Layouts</t>
  </si>
  <si>
    <t>Po-Ming Law;Yanhong Wu;Rahul Basole</t>
  </si>
  <si>
    <t>10.1109/TVCG.2015.2467851;10.1109/VAST.2012.6400486;10.1109/TVCG.2011.226;10.1109/TVCG.2011.188;10.1109/VAST.2016.7883512;10.1109/VAST.2011.6102449;10.1109/TVCG.2013.198;10.1109/TVCG.2015.2467615;10.1109/TVCG.2016.2598446;10.1109/VAST.2015.7347632;10.1109/TVCG.2016.2598797;10.1109/TVCG.2013.200;10.1109/TVCG.2017.2744198;10.1109/TVCG.2015.2468078;10.1109/VAST.2009.5332595;10.1109/TVCG.2015.2468151</t>
  </si>
  <si>
    <t>SMARTexplore: Simplifying High-Dimensional Data Analysis through a Table-Based Visual Analytics Approach</t>
  </si>
  <si>
    <t>Michael Blumenschein;Michael Behrisch;Stefanie Schmid;Simon Butscher;Deborah R. Wahl;Karoline Villinger;Britta Renner;Harald Reiterer;Daniel Keim</t>
  </si>
  <si>
    <t>10.1109/INFVIS.2004.46;10.1109/VAST.2010.5652433;10.1109/INFVIS.1998.729559;10.1109/TVCG.2017.2743978;10.1109/TVCG.2011.188;10.1109/VAST.2009.5332611;10.1109/TVCG.2010.184;10.1109/TVCG.2014.2346260;10.1109/TVCG.2013.173;10.1109/TVCG.2015.2467553;10.1109/TVCG.2014.2346248;10.1109/TVCG.2010.138;10.1109/INFVIS.2004.15;10.1109/TVCG.2014.2346279;10.1109/INFVIS.2003.1249016;10.1109/VAST.2009.5332628;10.1109/TVCG.2015.2468078;10.1109/TVCG.2017.2745078;10.1109/TVCG.2017.2744098;10.1109/TVCG.2013.150</t>
  </si>
  <si>
    <t>The Effect of Proximity in Social Data Charts on Perceived Unity</t>
  </si>
  <si>
    <t>Marlen Promann;Sabine Brunswicker</t>
  </si>
  <si>
    <t>10.1109/TVCG.2017.2746018;10.1109/TVCG.2008.171;10.1109/TVCG.2014.2346419;10.1109/TVCG.2007.70541;10.1109/TVCG.2013.234;10.1109/TVCG.2010.174;10.1109/TVCG.2012.221;10.1109/TVCG.2017.2745240</t>
  </si>
  <si>
    <t>The Effect of Semantic Interaction on Foraging in Text Analysis</t>
  </si>
  <si>
    <t>John Wenskovitch;Lauren Bradel;Michelle Dowling;Leanna House;Chris North</t>
  </si>
  <si>
    <t>10.1109/TVCG.2006.120;10.1109/VAST.2012.6400559;10.1109/TVCG.2013.205;10.1109/VAST.2008.4677362;10.1109/VAST.2014.7042492;10.1109/VAST.2012.6400486;10.1109/TVCG.2012.260;10.1109/VAST.2011.6102449;10.1109/INFVIS.2005.1532126;10.1109/INFVIS.1995.528686;10.1109/INFVIS.2004.37</t>
  </si>
  <si>
    <t>VUSphere: Visual Analysis of Video Utilization in Online Distance Education</t>
  </si>
  <si>
    <t>Huan He;Qinghua Zheng;Bo Dong</t>
  </si>
  <si>
    <t>10.1109/TVCG.2016.2598444;10.1109/VAST.2016.7883517;10.1109/TVCG.2015.2467322</t>
  </si>
  <si>
    <t>Bowen Alpern;Larry Carter;Ted Selker</t>
  </si>
  <si>
    <t>IBM Thomas J. Watson Res. Center, Yorktown Heights, NY, USA|c|;;</t>
  </si>
  <si>
    <t>A methodology for scientific data visualisation: choosing representations based on a natural scene paradigm</t>
  </si>
  <si>
    <t>10.1109/VISUAL.1990.146372</t>
  </si>
  <si>
    <t>http://dx.doi.org/10.1109/VISUAL.1990.146372</t>
  </si>
  <si>
    <t>Philip K. Robertson</t>
  </si>
  <si>
    <t>CSIRO, Canberra, ACT, Australia|c|</t>
  </si>
  <si>
    <t>Moving iconic objects in scientific visualization</t>
  </si>
  <si>
    <t>10.1109/VISUAL.1990.146373</t>
  </si>
  <si>
    <t>http://dx.doi.org/10.1109/VISUAL.1990.146373</t>
  </si>
  <si>
    <t>130, 468</t>
  </si>
  <si>
    <t>G. David Kerlick</t>
  </si>
  <si>
    <t>Tektronix Labs., Beaverton, OR, USA|c|</t>
  </si>
  <si>
    <t>Classifying visual knowledge representations: a foundation for visualization research</t>
  </si>
  <si>
    <t>10.1109/VISUAL.1990.146374</t>
  </si>
  <si>
    <t>http://dx.doi.org/10.1109/VISUAL.1990.146374</t>
  </si>
  <si>
    <t>Gerald L. Lohse;Henry H. Rueter;Kevin Biolsi;Neff Walker</t>
  </si>
  <si>
    <t>Cognitive Sci. &amp; Machine Intelligence Lab., Michigan Univ., Ann Arbor, MI, USA|c|;;;</t>
  </si>
  <si>
    <t>A problem-oriented classification of visualization techniques</t>
  </si>
  <si>
    <t>10.1109/VISUAL.1990.146375</t>
  </si>
  <si>
    <t>http://dx.doi.org/10.1109/VISUAL.1990.146375</t>
  </si>
  <si>
    <t>143, 469</t>
  </si>
  <si>
    <t>Stephen Wehrend;Clayton Lewis</t>
  </si>
  <si>
    <t>Colorado Univ., Boulder, CO, USA|c|;</t>
  </si>
  <si>
    <t>Visualization and three-dimensional image processing of positron emission tomography (PET) brain images</t>
  </si>
  <si>
    <t>10.1109/VISUAL.1990.146376</t>
  </si>
  <si>
    <t>http://dx.doi.org/10.1109/VISUAL.1990.146376</t>
  </si>
  <si>
    <t>149, 469</t>
  </si>
  <si>
    <t>Nahum D. Gershon</t>
  </si>
  <si>
    <t>MITRE Corp., McLean, VA, USA|c|</t>
  </si>
  <si>
    <t>Applying space subdivision techniques to volume rendering</t>
  </si>
  <si>
    <t>10.1109/VISUAL.1990.146377</t>
  </si>
  <si>
    <t>http://dx.doi.org/10.1109/VISUAL.1990.146377</t>
  </si>
  <si>
    <t>159, 470</t>
  </si>
  <si>
    <t>Kalpathi R. Subramanian;Donald S. Fussell</t>
  </si>
  <si>
    <t>;</t>
  </si>
  <si>
    <t>Volume visualization in cell biology</t>
  </si>
  <si>
    <t>10.1109/VISUAL.1990.146378</t>
  </si>
  <si>
    <t>http://dx.doi.org/10.1109/VISUAL.1990.146378</t>
  </si>
  <si>
    <t>168, 471-2</t>
  </si>
  <si>
    <t>Arie E. Kaufman;Roni Yagel;Reuven Bakalash;I. Spector</t>
  </si>
  <si>
    <t>Dept. of Comput. Sci., State Univ. of New York, Stony Brook, NY, USA|c|;;;</t>
  </si>
  <si>
    <t>Hierarchical triangulation using terrain features</t>
  </si>
  <si>
    <t>10.1109/VISUAL.1990.146379</t>
  </si>
  <si>
    <t>http://dx.doi.org/10.1109/VISUAL.1990.146379</t>
  </si>
  <si>
    <t>Lori L. Scarlatos;Theodosios Pavlidis</t>
  </si>
  <si>
    <t>Grumman Data Syst., Woodbury, NY, USA|c|;</t>
  </si>
  <si>
    <t>Rendering and managing spherical data with sphere quadtrees</t>
  </si>
  <si>
    <t>10.1109/VISUAL.1990.146380</t>
  </si>
  <si>
    <t>http://dx.doi.org/10.1109/VISUAL.1990.146380</t>
  </si>
  <si>
    <t>Gyorgy Fekete</t>
  </si>
  <si>
    <t>NASA, Goddard Space Flight Center, Greenbelt, MD|c|</t>
  </si>
  <si>
    <t>Methods for surface interrogation</t>
  </si>
  <si>
    <t>10.1109/VISUAL.1990.146381</t>
  </si>
  <si>
    <t>http://dx.doi.org/10.1109/VISUAL.1990.146381</t>
  </si>
  <si>
    <t>193, 472</t>
  </si>
  <si>
    <t>Hans Hagen;Thomas Schreiber;Ernst Gschwind</t>
  </si>
  <si>
    <t>Kaiserslautern Univ., Germany|c|;;</t>
  </si>
  <si>
    <t>A three-dimensional/stereoscopic display and model control system for Great Lakes forecasts</t>
  </si>
  <si>
    <t>10.1109/VISUAL.1990.146382</t>
  </si>
  <si>
    <t>http://dx.doi.org/10.1109/VISUAL.1990.146382</t>
  </si>
  <si>
    <t>201, 473-4</t>
  </si>
  <si>
    <t>Chieh-Cheng Yen;Keith W. Bedford;Jill Kempf;Robert E. Marshall</t>
  </si>
  <si>
    <t>Dept. of Civil Eng., Ohio State Univ., OH, USA|c|;;;</t>
  </si>
  <si>
    <t>Spline-based color sequences for univariate, bivariate and trivariate mapping</t>
  </si>
  <si>
    <t>10.1109/VISUAL.1990.146383</t>
  </si>
  <si>
    <t>http://dx.doi.org/10.1109/VISUAL.1990.146383</t>
  </si>
  <si>
    <t>208, 474-5</t>
  </si>
  <si>
    <t>Binh Pham 0001</t>
  </si>
  <si>
    <t>Dept. of Comput. Sci., Monash Univ., Melbourne, Vic., Australia|c|</t>
  </si>
  <si>
    <t>Interactive visualization of quaternion Julia sets</t>
  </si>
  <si>
    <t>10.1109/VISUAL.1990.146384</t>
  </si>
  <si>
    <t>http://dx.doi.org/10.1109/VISUAL.1990.146384</t>
  </si>
  <si>
    <t>218, 475-6</t>
  </si>
  <si>
    <t>John C. Hart;Louis H. Kauffman;Dan Sandin</t>
  </si>
  <si>
    <t>Electron. Visualization Lab., Illinois Univ., Chicago, IL, USA|c|;;</t>
  </si>
  <si>
    <t>A journey into the fourth dimension</t>
  </si>
  <si>
    <t>10.1109/VISUAL.1990.146385</t>
  </si>
  <si>
    <t>http://dx.doi.org/10.1109/VISUAL.1990.146385</t>
  </si>
  <si>
    <t>229, 476-477</t>
  </si>
  <si>
    <t>Yan Ke;E. S. Panduranga</t>
  </si>
  <si>
    <t>Dept. of Comput. Sci., Saskatchewan Univ., Saskatoon, Sask., Canada|c|;</t>
  </si>
  <si>
    <t>Exploring N-dimensional databases</t>
  </si>
  <si>
    <t>10.1109/VISUAL.1990.146386</t>
  </si>
  <si>
    <t>http://dx.doi.org/10.1109/VISUAL.1990.146386</t>
  </si>
  <si>
    <t>Jeffrey LeBlanc;Matthew O. Ward;Norman Wittels</t>
  </si>
  <si>
    <t>Worcester Polytech. Inst., MA, USA|c|;;</t>
  </si>
  <si>
    <t>Shape coding of multidimensional data on a microcomputer display</t>
  </si>
  <si>
    <t>10.1109/VISUAL.1990.146387</t>
  </si>
  <si>
    <t>http://dx.doi.org/10.1109/VISUAL.1990.146387</t>
  </si>
  <si>
    <t>246, 478</t>
  </si>
  <si>
    <t>Jeff Beddow</t>
  </si>
  <si>
    <t>Microsimulations Res., Minneapolis, MN|c|</t>
  </si>
  <si>
    <t>Visualization of irregular multivariate data</t>
  </si>
  <si>
    <t>http://dx.doi.org/10.1109/VISUAL.1990.146388</t>
  </si>
  <si>
    <t>254, 478-9</t>
  </si>
  <si>
    <t>Thomas A. Foley;David A. Lane</t>
  </si>
  <si>
    <t>Visualizing a scalar field on an N-dimensional lattice</t>
  </si>
  <si>
    <t>10.1109/VISUAL.1990.146389</t>
  </si>
  <si>
    <t>http://dx.doi.org/10.1109/VISUAL.1990.146389</t>
  </si>
  <si>
    <t>262, 479-480</t>
  </si>
  <si>
    <t>Ted Mihalisin;E. Grawlinksi;John Timlin;John Schwegler</t>
  </si>
  <si>
    <t>Dept. of Phys., Temple Univ., Philadelphia, PA, USA|c|;;;</t>
  </si>
  <si>
    <t>Ray traced scalar fields with shaded polygonal output</t>
  </si>
  <si>
    <t>10.1109/VISUAL.1990.146390</t>
  </si>
  <si>
    <t>http://dx.doi.org/10.1109/VISUAL.1990.146390</t>
  </si>
  <si>
    <t>272, 480-481</t>
  </si>
  <si>
    <t>Ray J. Meyers;Michael B. Stephenson</t>
  </si>
  <si>
    <t>Sandia Nat. Lab., Albuquerque, NM, USA|c|;</t>
  </si>
  <si>
    <t>The application of transport theory to visualization of 3D scalar data fields</t>
  </si>
  <si>
    <t>10.1109/VISUAL.1990.146391</t>
  </si>
  <si>
    <t>http://dx.doi.org/10.1109/VISUAL.1990.146391</t>
  </si>
  <si>
    <t>280, 481-2</t>
  </si>
  <si>
    <t>Wolfgang Kr�_ger</t>
  </si>
  <si>
    <t>ART+COM e.V., Berlin, Germany|c|</t>
  </si>
  <si>
    <t>Visualization of scalar data defined on a structured grid-applications to petroleum research</t>
  </si>
  <si>
    <t>10.1109/VISUAL.1990.146392</t>
  </si>
  <si>
    <t>http://dx.doi.org/10.1109/VISUAL.1990.146392</t>
  </si>
  <si>
    <t>288, 482-3</t>
  </si>
  <si>
    <t>J. L. Pajon;V. Bui Tran</t>
  </si>
  <si>
    <t>Inst. Francais due Petrole, Rueil Malmaison, France|c|;</t>
  </si>
  <si>
    <t>A numerical method for rendering spherical reflections</t>
  </si>
  <si>
    <t>10.1109/VISUAL.1990.146393</t>
  </si>
  <si>
    <t>http://dx.doi.org/10.1109/VISUAL.1990.146393</t>
  </si>
  <si>
    <t>297, 483-4</t>
  </si>
  <si>
    <t>David P. Dobkin;E. S. Panduranga;M. Zhu</t>
  </si>
  <si>
    <t>Dept. of Comput. Sci., Princeton Univ., NJ, USA|c|;;</t>
  </si>
  <si>
    <t>Superposing images with shadow casting</t>
  </si>
  <si>
    <t>10.1109/VISUAL.1990.146394</t>
  </si>
  <si>
    <t>http://dx.doi.org/10.1109/VISUAL.1990.146394</t>
  </si>
  <si>
    <t>306, 484-5</t>
  </si>
  <si>
    <t>Philip C. Hsu;John Staudhammer</t>
  </si>
  <si>
    <t>Dept. of Electr. Eng., Florida Univ., Gainesville, FL, USA|c|;</t>
  </si>
  <si>
    <t>Automatic illustration of 3D geometric models: surfaces</t>
  </si>
  <si>
    <t>10.1109/VISUAL.1990.146395</t>
  </si>
  <si>
    <t>http://dx.doi.org/10.1109/VISUAL.1990.146395</t>
  </si>
  <si>
    <t>314, 485-6</t>
  </si>
  <si>
    <t>Debra Dooley;Michael F. Cohen</t>
  </si>
  <si>
    <t>Dept. of Comput. Sci., Utah Univ., Salt Lake City, UT, USA|c|;</t>
  </si>
  <si>
    <t>Scattered data interpolation tools in a microcomputer visualization environment</t>
  </si>
  <si>
    <t>10.1109/VISUAL.1990.146396</t>
  </si>
  <si>
    <t>http://dx.doi.org/10.1109/VISUAL.1990.146396</t>
  </si>
  <si>
    <t>Keith Voegele</t>
  </si>
  <si>
    <t>Dept. of Comput. Sci., Arizona State Univ., Tempe, AZ, USA|c|</t>
  </si>
  <si>
    <t>Design of an end-user data visualization system</t>
  </si>
  <si>
    <t>10.1109/VISUAL.1990.146397</t>
  </si>
  <si>
    <t>http://dx.doi.org/10.1109/VISUAL.1990.146397</t>
  </si>
  <si>
    <t>Y. Yacoob</t>
  </si>
  <si>
    <t>Dept. of Comput. Sci., Maryland Univ., College Park, MD, USA</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</si>
  <si>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domain.&amp;lt;&amp;lt;ETX&amp;gt;&amp;gt;</t>
  </si>
  <si>
    <t>D. Lamb;A. Bandopadhay</t>
  </si>
  <si>
    <t>Dept. of Comput. Sci., State Univ. of New York, Stony Brook, NY, USA;Dept. of Comput. Sci., State Univ. of New York, Stony Brook, NY, USA</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</si>
  <si>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discussed.&amp;lt;&amp;lt;ETX&amp;gt;&amp;gt;</t>
  </si>
  <si>
    <t>A.J. Maeder</t>
  </si>
  <si>
    <t>Dept. of Comput. Sci., Monash Univ., Clayton, Vic., Australia</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</si>
  <si>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image.&amp;lt;&amp;lt;ETX&amp;gt;&amp;gt;</t>
  </si>
  <si>
    <t>J.V. Miller;D.E. Breen;M.J. Wozny</t>
  </si>
  <si>
    <t>Rensselaer Design. Res. Center, Rensselaer Polytech Inst., Troy, NY, USA;Rensselaer Design. Res. Center, Rensselaer Polytech Inst., Troy, NY, USA;Rensselaer Design. Res. Center, Rensselaer Polytech Inst., Troy, NY, USA</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</si>
  <si>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values.&amp;lt;&amp;lt;ETX&amp;gt;&amp;gt;</t>
  </si>
  <si>
    <t>P.-K. Hsiung;R.H. Thibadeau;C.B. Cox;R.H.P. Dunn;M. Wu;P.A. Olbrich</t>
  </si>
  <si>
    <t>Carnegie Mellon Univ., Pittsburgh, PA, USA;Carnegie Mellon Univ., Pittsburgh, PA, USA;Carnegie Mellon Univ., Pittsburgh, PA, USA;Carnegie Mellon Univ., Pittsburgh, PA, USA;Carnegie Mellon Univ., Pittsburgh, PA, USA;Carnegie Mellon Univ., Pittsburgh, PA, USA</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</si>
  <si>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presented.&amp;lt;&amp;lt;ETX&amp;gt;&amp;gt;</t>
  </si>
  <si>
    <t>R.A. Becker;S.G. Eick;E.O. Miller;A.R. Wilks</t>
  </si>
  <si>
    <t>AT&amp;T Bell Lab., Murray Hill, NJ, USA;AT&amp;T Bell Lab., Murray Hill, NJ, USA;AT&amp;T Bell Lab., Murray Hill, NJ, USA;AT&amp;T Bell Lab., Murray Hill, NJ, USA</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</si>
  <si>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insights.&amp;lt;&amp;lt;ETX&amp;gt;&amp;gt;</t>
  </si>
  <si>
    <t>A.J. Hanson;P.A. Heng;B.C. Kaplan</t>
  </si>
  <si>
    <t>Indiana Univ., Bloomington, IN, USA;Indiana Univ., Bloomington, IN, USA;Indiana Univ., Bloomington, IN, USA</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</si>
  <si>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abilities.&amp;lt;&amp;lt;ETX&amp;gt;&amp;gt;</t>
  </si>
  <si>
    <t>B. Alpern;L. Carter;T. Selker</t>
  </si>
  <si>
    <t>IBM Thomas J. Watson Res. Center, Yorktown Heights, NY, USA;IBM Thomas J. Watson Res. Center, Yorktown Heights, NY, USA;IBM Thomas J. Watson Res. Center, Yorktown Heights, NY, USA</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</si>
  <si>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scenes.&amp;lt;&amp;lt;ETX&amp;gt;&amp;gt;</t>
  </si>
  <si>
    <t>P.K. Robertson</t>
  </si>
  <si>
    <t>CSIRO, Canberra, ACT, Australia</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</si>
  <si>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volumes.&amp;lt;&amp;lt;ETX&amp;gt;&amp;gt;</t>
  </si>
  <si>
    <t>D.G. Kerlick</t>
  </si>
  <si>
    <t>Tektronix Labs., Beaverton, OR, USA</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</si>
  <si>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research.&amp;lt;&amp;lt;ETX&amp;gt;&amp;gt;</t>
  </si>
  <si>
    <t>J. Lohse;H. Rueter;K. Biolsi;N. Walker</t>
  </si>
  <si>
    <t>Cognitive Sci. &amp; Machine Intelligence Lab., Michigan Univ., Ann Arbor, MI, USA;Cognitive Sci. &amp; Machine Intelligence Lab., Michigan Univ., Ann Arbor, MI, USA;Cognitive Sci. &amp; Machine Intelligence Lab., Michigan Univ., Ann Arbor, MI, USA;Cognitive Sci. &amp; Machine Intelligence Lab., Michigan Univ., Ann Arbor, MI, USA</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</si>
  <si>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methods.&amp;lt;&amp;lt;ETX&amp;gt;&amp;gt;</t>
  </si>
  <si>
    <t>S. Wehrend;C. Lewis</t>
  </si>
  <si>
    <t>Colorado Univ., Boulder, CO, USA;Colorado Univ., Boulder, CO, USA</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</si>
  <si>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apparent.&amp;lt;&amp;lt;ETX&amp;gt;&amp;gt;</t>
  </si>
  <si>
    <t>N.D. Gershon</t>
  </si>
  <si>
    <t>MITRE Corp., McLean, VA, USA</t>
  </si>
  <si>
    <t>The authors present a ray-tracing algorithm for volume rendering designed to work efficiently when the data of interest is distributed sparsely through the volume. A simple preprocessing step identifies the voxels representing features of interest. Frequently this set of voxels, arbitrarily distributed in three-dimensional space, is a small fraction of the original voxel grid. A median-cut space partitioning scheme, combined with bounding volumes to prune void spaces in the resulting search structure, is used to store the voxels of interest in a k-d tree. The k-d tree is used as a data structure. The tree is then efficiently ray-traced to render the voxel data. The k-d tree is view independent, and can be used for animation sequences involving changes in positions of the viewer or positions of lights. This search structure has been applied to render voxel data from MRI, CAT scan, and electron density distributions.&amp;lt;&amp;lt;ETX&amp;gt;&amp;gt;</t>
  </si>
  <si>
    <t>K.R. Subramanian;D.S. Fussell</t>
  </si>
  <si>
    <t>Center for High Performance Comput., Texas Univ., Austin, TX, USA;Center for High Performance Comput., Texas Univ., Austin, TX, USA</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</si>
  <si>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system.&amp;lt;&amp;lt;ETX&amp;gt;&amp;gt;</t>
  </si>
  <si>
    <t>A. Kaufman;R. Yagel;R. Bakalash;I. Spector</t>
  </si>
  <si>
    <t>Dept. of Comput. Sci., State Univ. of New York, Stony Brook, NY, USA;Dept. of Comput. Sci., State Univ. of New York, Stony Brook, NY, USA;Dept. of Comput. Sci., State Univ. of New York, Stony Brook, NY, USA</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</si>
  <si>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lower.&amp;lt;&amp;lt;ETX&amp;gt;&amp;gt;</t>
  </si>
  <si>
    <t>L. Scarlatos;T. Pavlidis</t>
  </si>
  <si>
    <t>Grumman Data Syst., Woodbury, NY, USA</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</si>
  <si>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maintained.&amp;lt;&amp;lt;ETX&amp;gt;&amp;gt;</t>
  </si>
  <si>
    <t>F. Gyorgy</t>
  </si>
  <si>
    <t>NASA, Goddard Space Flight Center, Greenbelt, MD, USA</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</si>
  <si>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discussed.&amp;lt;&amp;lt;ETX&amp;gt;&amp;gt;</t>
  </si>
  <si>
    <t>H. Hagen;T. Schreiber;E. Gschwind</t>
  </si>
  <si>
    <t>Kaiserslautern Univ., Germany;Kaiserslautern Univ., Germany</t>
  </si>
  <si>
    <t>328, 487</t>
  </si>
  <si>
    <t>Donald L. Brittain;Josh Aller;Michael Wilson;Sue-Ling C. Wang</t>
  </si>
  <si>
    <t>Wavefront Technol. Inc., Santa Barbara, CA, USA|c|;;;</t>
  </si>
  <si>
    <t>A system for three-dimensional acoustic 'visualization' in a virtual environment workstation</t>
  </si>
  <si>
    <t>10.1109/VISUAL.1990.146398</t>
  </si>
  <si>
    <t>http://dx.doi.org/10.1109/VISUAL.1990.146398</t>
  </si>
  <si>
    <t>Elizabeth M. Wenzel;Scott S. Fisher;Philip K. Stone;Scott H. Foster</t>
  </si>
  <si>
    <t>NASA Ames Res. Center, Moffett Field, CA, USA|c|;;;</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</si>
  <si>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representation.&amp;lt;&amp;lt;ETX&amp;gt;&amp;gt;</t>
  </si>
  <si>
    <t>C.-C.J. Yen;K.W. Bedford;J.L. Kempf;R.E. Marshall</t>
  </si>
  <si>
    <t>Dept. of Civil Eng., Ohio State Univ., OH, USA;Dept. of Civil Eng., Ohio State Univ., OH, USA</t>
  </si>
  <si>
    <t>An interpersonal multimedia visualization system</t>
  </si>
  <si>
    <t>10.1109/VISUAL.1990.146399</t>
  </si>
  <si>
    <t>http://dx.doi.org/10.1109/VISUAL.1990.146399</t>
  </si>
  <si>
    <t>Richard L. Phillips</t>
  </si>
  <si>
    <t>Los Alamos Nat. Lab., NM, USA|c|</t>
  </si>
  <si>
    <t>Techniques for visualizing 3-dimensional manifolds</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</si>
  <si>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surfaces.&amp;lt;&amp;lt;ETX&amp;gt;&amp;gt;</t>
  </si>
  <si>
    <t>10.1109/VISUAL.1990.146400</t>
  </si>
  <si>
    <t>http://dx.doi.org/10.1109/VISUAL.1990.146400</t>
  </si>
  <si>
    <t>B. Pham</t>
  </si>
  <si>
    <t>Dept. of Comput. Sci., Monash Univ., Melbourne, Vic., Australia</t>
  </si>
  <si>
    <t>352, 487-8</t>
  </si>
  <si>
    <t>Michael J. Laszlo</t>
  </si>
  <si>
    <t>Dept. of Electr. Eng. &amp; Comput. Sci., Illinois Univ., Chicago, IL, USA|c|</t>
  </si>
  <si>
    <t>Accurate display of tensor product isosurfaces</t>
  </si>
  <si>
    <t>10.1109/VISUAL.1990.146401</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</si>
  <si>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sets.&amp;lt;&amp;lt;ETX&amp;gt;&amp;gt;</t>
  </si>
  <si>
    <t>http://dx.doi.org/10.1109/VISUAL.1990.146401</t>
  </si>
  <si>
    <t>J.C. Hart;L.H. Kauffman;D.J. Sandim</t>
  </si>
  <si>
    <t>Electron. Visualization Lab., Illinois Univ., Chicago, IL, USA;Electron. Visualization Lab., Illinois Univ., Chicago, IL, USA;Electron. Visualization Lab., Illinois Univ., Chicago, IL, USA</t>
  </si>
  <si>
    <t>360, 489</t>
  </si>
  <si>
    <t>Alyn P. Rockwood</t>
  </si>
  <si>
    <t>Silicon Graphics Comput. Syst., Mountain View, CA, USA|c|</t>
  </si>
  <si>
    <t>Parallel coordinates: a tool for visualizing multi-dimensional geometry</t>
  </si>
  <si>
    <t>10.1109/VISUAL.1990.146402</t>
  </si>
  <si>
    <t>http://dx.doi.org/10.1109/VISUAL.1990.146402</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</si>
  <si>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3-D.&amp;lt;&amp;lt;ETX&amp;gt;&amp;gt;</t>
  </si>
  <si>
    <t>Y. Ke;E.S. Panduranga</t>
  </si>
  <si>
    <t>Dept. of Comput. Sci., Saskatchewan Univ., Saskatoon, Sask., Canada</t>
  </si>
  <si>
    <t>Alfred Inselberg;Bernard Dimsdale</t>
  </si>
  <si>
    <t>IBM Sci. Center, Los Angeles, CA, USA|c|;</t>
  </si>
  <si>
    <t>Visualization of free form volumes</t>
  </si>
  <si>
    <t>10.1109/VISUAL.1990.146403</t>
  </si>
  <si>
    <t>http://dx.doi.org/10.1109/VISUAL.1990.146403</t>
  </si>
  <si>
    <t>The authors present a tool for the display and analysis of N-dimensional data based on a technique called dimensional stacking. This technique is described. The primary goal is to create a tool that enables the user to project data of arbitrary dimensions onto a two-dimensional image. Of equal importance is the ability to control the viewing parameters, so that one can interactively adjust what ranges of values each dimension takes and the form in which the dimensions are displayed. This will allow an intuitive feel for the data to be developed as the database is explored. The system uses dimensional stacking, to collapse and N-dimension space down into a 2-D space and then render the values contained therein. Each value can then be represented as a pixel or rectangular region on a 2-D screen whose intensity corresponds to the data value at that point.&amp;lt;&amp;lt;ETX&amp;gt;&amp;gt;</t>
  </si>
  <si>
    <t>J. LeBlanc;M.O. Ward;N. Wittels</t>
  </si>
  <si>
    <t>Worcester Polytech. Inst., MA, USA;Worcester Polytech. Inst., MA, USA;Worcester Polytech. Inst., MA, USA</t>
  </si>
  <si>
    <t>Dieter Lasser</t>
  </si>
  <si>
    <t>Fachbereich Inf., Kaiserslautern Univ., Germany|c|</t>
  </si>
  <si>
    <t>Visualization for nonlinear engineering FEM analysis in manufacturing</t>
  </si>
  <si>
    <t>10.1109/VISUAL.1990.146412</t>
  </si>
  <si>
    <t>http://dx.doi.org/10.1109/VISUAL.1990.146412</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</si>
  <si>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allow.&amp;lt;&amp;lt;ETX&amp;gt;&amp;gt;</t>
  </si>
  <si>
    <t>J. Beddow</t>
  </si>
  <si>
    <t>Microsimulations Res., Minneapolis, MN, USA</t>
  </si>
  <si>
    <t>423, 490</t>
  </si>
  <si>
    <t>Gerald W. Edgar</t>
  </si>
  <si>
    <t>Boeing Comput. Services, Seattle, WA, USA|c|</t>
  </si>
  <si>
    <t>Volume microscopy of biological specimens based on non-confocal imaging techniques</t>
  </si>
  <si>
    <t>10.1109/VISUAL.1990.146413</t>
  </si>
  <si>
    <t>http://dx.doi.org/10.1109/VISUAL.1990.146413</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</si>
  <si>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presented.&amp;lt;&amp;lt;ETX&amp;gt;&amp;gt;</t>
  </si>
  <si>
    <t>Stephen L. Senft;Vincent J. Argio;William L. van Zandt</t>
  </si>
  <si>
    <t>T.A. Foley;D.A. Lane</t>
  </si>
  <si>
    <t>Washington Univ. Sch. of Med., St. Louis, MO, USA|c|;;</t>
  </si>
  <si>
    <t>Visualization for the information age</t>
  </si>
  <si>
    <t>10.1109/VISUAL.1990.146414</t>
  </si>
  <si>
    <t>http://dx.doi.org/10.1109/VISUAL.1990.146414</t>
  </si>
  <si>
    <t>Laurin Herr</t>
  </si>
  <si>
    <t>Pacific Interface, New York, NY, USA|c|</t>
  </si>
  <si>
    <t>Case study in scientific visualization: factors inducing periodic breathing in humans with blunted hypoxic sensitivity</t>
  </si>
  <si>
    <t>10.1109/VISUAL.1990.146415</t>
  </si>
  <si>
    <t>http://dx.doi.org/10.1109/VISUAL.1990.146415</t>
  </si>
  <si>
    <t>The authors address the problem of visualizing a scalar dependent variable which is a function of many independent variables. In particular, cases where the number of independent variables is three or greater are discussed. A new hierarchical method of plotting that allows one to interactively view millions of data points with up to 10 independent variables is presented. The technique is confined to the case where each independent variable is sampled in a regular grid or lattice-like fashion, i.e., in equal increments. The proposed technique can be described in either an active or a passive manner. In the active view the points of the N-dimensional independent variables lattice are mapped to a single horizontal axis in a hierarchical manner, while in the passive view an observer samples the points of the N-dimensional lattice in a prescribed fashion and notes the values of the dependent variable. In the passive view a plot of the dependent variable versus a single parametric variable, which is simply the sampling number, forms the multidimensional graph.&amp;lt;&amp;lt;ETX&amp;gt;&amp;gt;</t>
  </si>
  <si>
    <t>T. Mihalisin;E. Gawlinski;J. Timlin;J. Schwegler</t>
  </si>
  <si>
    <t>Dept. of Phys., Temple Univ., Philadelphia, PA, USA;Dept. of Phys., Temple Univ., Philadelphia, PA, USA;Dept. of Phys., Temple Univ., Philadelphia, PA, USA;Dept. of Phys., Temple Univ., Philadelphia, PA, USA</t>
  </si>
  <si>
    <t>Wayne E. Fordyce;Jeffrey Ventrella</t>
  </si>
  <si>
    <t>Res. Comput. Services, Syracuse Univ., NY, USA|c|;</t>
  </si>
  <si>
    <t>Interactive investigation of fluid mechanics data sets</t>
  </si>
  <si>
    <t>10.1109/VISUAL.1990.146416</t>
  </si>
  <si>
    <t>http://dx.doi.org/10.1109/VISUAL.1990.146416</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</si>
  <si>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presented.&amp;lt;&amp;lt;ETX&amp;gt;&amp;gt;</t>
  </si>
  <si>
    <t>R.J. Meyers;M.B. Stephenson</t>
  </si>
  <si>
    <t>Sandia Nat. Lab., Albuquerque, NM, USA</t>
  </si>
  <si>
    <t>439, 490</t>
  </si>
  <si>
    <t>Steve M. Legensky</t>
  </si>
  <si>
    <t>Real-world applications of visualization solutions</t>
  </si>
  <si>
    <t>10.1109/VISUAL.1990.146417</t>
  </si>
  <si>
    <t>http://dx.doi.org/10.1109/VISUAL.1990.146417</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</si>
  <si>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channeling.&amp;lt;&amp;lt;ETX&amp;gt;&amp;gt;</t>
  </si>
  <si>
    <t>David A. Prawel</t>
  </si>
  <si>
    <t>Wolfgang Krüger</t>
  </si>
  <si>
    <t>W. Krueger</t>
  </si>
  <si>
    <t>Precision Visuals Inc., Boulder, CO, USA|c|</t>
  </si>
  <si>
    <t>ART+COM e.V., Berlin, Germany</t>
  </si>
  <si>
    <t>Personal visualization system: applications in research and engineering</t>
  </si>
  <si>
    <t>10.1109/VISUAL.1990.146418</t>
  </si>
  <si>
    <t>http://dx.doi.org/10.1109/VISUAL.1990.146418</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</si>
  <si>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simulations.&amp;lt;&amp;lt;ETX&amp;gt;&amp;gt;</t>
  </si>
  <si>
    <t>J.L. Pajon;V.B. Tran</t>
  </si>
  <si>
    <t>Inst. Francais due Petrole, Rueil Malmaison, France;Inst. Francais due Petrole, Rueil Malmaison, France</t>
  </si>
  <si>
    <t>448, 490-1</t>
  </si>
  <si>
    <t>Quentin E. Dolecek;K. Moorjani;B. F. Kim;D. G. Tilley;Thomas S. Denney Jr.</t>
  </si>
  <si>
    <t>Appl. Phys. Lab., Johns Hopkins Univ., Laurel, MD, USA|c|;;;;</t>
  </si>
  <si>
    <t>A graphical interface for robotic remediation of underground storage tanks</t>
  </si>
  <si>
    <t>10.1109/VISUAL.1990.146419</t>
  </si>
  <si>
    <t>http://dx.doi.org/10.1109/VISUAL.1990.146419</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</si>
  <si>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domain.&amp;lt;&amp;lt;ETX&amp;gt;&amp;gt;</t>
  </si>
  <si>
    <t>D. Dobkin;E.S. Panduranga;M. Zhu</t>
  </si>
  <si>
    <t>Dept. of Comput. Sci., Princeton Univ., NJ, USA</t>
  </si>
  <si>
    <t>Brian K. Christensen;Lisa M. Desjarlais</t>
  </si>
  <si>
    <t>Scientific visualization from inside the metacomputer</t>
  </si>
  <si>
    <t>10.1109/VISUAL.1991.175767</t>
  </si>
  <si>
    <t>http://dx.doi.org/10.1109/VISUAL.1991.175767</t>
  </si>
  <si>
    <t>Larry L. Smarr</t>
  </si>
  <si>
    <t>Nato Centre for Supercomput. Appls., Champaign, IL, USA|c|</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</si>
  <si>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raytracing.&amp;lt;&amp;lt;ETX&amp;gt;&amp;gt;</t>
  </si>
  <si>
    <t>Visualizing causal effects in 4D space-time vector fields</t>
  </si>
  <si>
    <t>P. Hsu;J. Staudhammer</t>
  </si>
  <si>
    <t>10.1109/VISUAL.1991.175770</t>
  </si>
  <si>
    <t>Dept. of Electr. Eng., Florida Univ., Gainesville, FL, USA;Dept. of Electr. Eng., Florida Univ., Gainesville, FL, USA</t>
  </si>
  <si>
    <t>http://dx.doi.org/10.1109/VISUAL.1991.175770</t>
  </si>
  <si>
    <t>16, 406</t>
  </si>
  <si>
    <t>Deborah Silver;M. Gao;Norman J. Zabusky</t>
  </si>
  <si>
    <t>Rutgers Univ., Piscataway, NJ, USA|c|;;</t>
  </si>
  <si>
    <t>The virtual windtunnel: An environment for the exploration of three-dimensional unsteady flows</t>
  </si>
  <si>
    <t>10.1109/VISUAL.1991.175771</t>
  </si>
  <si>
    <t>http://dx.doi.org/10.1109/VISUAL.1991.175771</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</si>
  <si>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presented.&amp;lt;&amp;lt;ETX&amp;gt;&amp;gt;</t>
  </si>
  <si>
    <t>D. Dooley;M.F. Cohen</t>
  </si>
  <si>
    <t>Dept. of Comput. Sci., Utah Univ., Salt Lake City, UT, USA;Dept. of Comput. Sci., Utah Univ., Salt Lake City, UT, USA</t>
  </si>
  <si>
    <t>24, 407</t>
  </si>
  <si>
    <t>Steve Bryson;Creon Levit</t>
  </si>
  <si>
    <t>NASA Ames Res. Center, Moffett Field, CA, USA|c|;</t>
  </si>
  <si>
    <t>Volume rendering of flow-visualization point data</t>
  </si>
  <si>
    <t>10.1109/VISUAL.1991.175772</t>
  </si>
  <si>
    <t>http://dx.doi.org/10.1109/VISUAL.1991.175772</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</si>
  <si>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presented.&amp;lt;&amp;lt;ETX&amp;gt;&amp;gt;</t>
  </si>
  <si>
    <t>K. Voegele</t>
  </si>
  <si>
    <t>Dept. of Comput. Sci., Arizona State Univ., Tempe, AZ, USA</t>
  </si>
  <si>
    <t>Paul Gene Swann;Sudhanshu Kumar Semwal</t>
  </si>
  <si>
    <t>Dept. of Comput. Sci., Colorado Univ., Colorado Springs, CO, USA|c|;</t>
  </si>
  <si>
    <t>A tool for visualizing the topology of three-dimensional vector fields</t>
  </si>
  <si>
    <t>10.1109/VISUAL.1991.175773</t>
  </si>
  <si>
    <t>http://dx.doi.org/10.1109/VISUAL.1991.175773</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</si>
  <si>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process.&amp;lt;&amp;lt;ETX&amp;gt;&amp;gt;</t>
  </si>
  <si>
    <t>40, 408</t>
  </si>
  <si>
    <t>D.L. Brittain;J. Aller;M. Wilson;S.-L.C. Wang</t>
  </si>
  <si>
    <t>Al Globus;Creon Levit;T. Lasinski</t>
  </si>
  <si>
    <t>Wavefront Technol. Inc., Santa Barbara, CA, USA;Wavefront Technol. Inc., Santa Barbara, CA, USA;Wavefront Technol. Inc., Santa Barbara, CA, USA;Wavefront Technol. Inc., Santa Barbara, CA, USA</t>
  </si>
  <si>
    <t>;;</t>
  </si>
  <si>
    <t>10.1109/VISUAL.1990.146360;10.1109/VISUAL.1990.146359</t>
  </si>
  <si>
    <t>Two widely-different architectural approaches to computer image generation</t>
  </si>
  <si>
    <t>10.1109/VISUAL.1991.175776</t>
  </si>
  <si>
    <t>http://dx.doi.org/10.1109/VISUAL.1991.175776</t>
  </si>
  <si>
    <t>H. W. Park;K. S. Eo;D. L. Kim;B. K. Choi;Yongmin Kim 0001;T. Alexander</t>
  </si>
  <si>
    <t>Dept. of Electr. Eng., Washington Univ., Seattle, WA, USA|c|;;;;;</t>
  </si>
  <si>
    <t>Fast rotation of volume data on parallel architectures</t>
  </si>
  <si>
    <t>10.1109/VISUAL.1991.175777</t>
  </si>
  <si>
    <t>http://dx.doi.org/10.1109/VISUAL.1991.175777</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</si>
  <si>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events.&amp;lt;&amp;lt;ETX&amp;gt;&amp;gt;</t>
  </si>
  <si>
    <t>E.M. Wenzel;P.K. Stone;S.S. Fisher;S.H. Foster</t>
  </si>
  <si>
    <t>NASA Ames Res. Center, Moffett Field, CA, USA;NASA Ames Res. Center, Moffett Field, CA, USA</t>
  </si>
  <si>
    <t>57, 409</t>
  </si>
  <si>
    <t>Peter Schr̦der;James B. Salem</t>
  </si>
  <si>
    <t>Thinking Machines Corp., Cambridge, MA, USA|c|;</t>
  </si>
  <si>
    <t>Achieving direct volume visualization with interactive semantic region selection</t>
  </si>
  <si>
    <t>10.1109/VISUAL.1991.175778</t>
  </si>
  <si>
    <t>http://dx.doi.org/10.1109/VISUAL.1991.175778</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</si>
  <si>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recipient.&amp;lt;&amp;lt;ETX&amp;gt;&amp;gt;</t>
  </si>
  <si>
    <t>R.L. Phillips</t>
  </si>
  <si>
    <t>Los Alamos Nat. Lab., NM, USA</t>
  </si>
  <si>
    <t>65, 410</t>
  </si>
  <si>
    <t>Terry S. Yoo;Ulrich Neumann;Henry Fuchs;Stephen M. Pizer;Tim J. Cullip;John Rhoades;Ross T. Whitaker</t>
  </si>
  <si>
    <t>North Carolina Univ., Chapel Hill, NC, USA|c|;;;;;;</t>
  </si>
  <si>
    <t>Span filtering: an optimization scheme for volume visualization of large finite element models</t>
  </si>
  <si>
    <t>10.1109/VISUAL.1991.175780</t>
  </si>
  <si>
    <t>http://dx.doi.org/10.1109/VISUAL.1991.175780</t>
  </si>
  <si>
    <t>75, 411</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</si>
  <si>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IRIS.&amp;lt;&amp;lt;ETX&amp;gt;&amp;gt;</t>
  </si>
  <si>
    <t>Richard S. Gallagher</t>
  </si>
  <si>
    <t>M.J. Laszlo</t>
  </si>
  <si>
    <t>Swanson Analysis Systems Inc., Houston, PA, USA|c|</t>
  </si>
  <si>
    <t>Dept. of Electr. Eng. &amp; Comput. Sci., Illinois Univ., Chicago, IL, USA</t>
  </si>
  <si>
    <t>Visualization of equations in an interactive environment</t>
  </si>
  <si>
    <t>10.1109/VISUAL.1991.175781</t>
  </si>
  <si>
    <t>http://dx.doi.org/10.1109/VISUAL.1991.175781</t>
  </si>
  <si>
    <t>82, 412</t>
  </si>
  <si>
    <t>David Watson;Jakub Wejchert;David W. Williams;Bri M. Collins</t>
  </si>
  <si>
    <t>IBM European Visualization Centre, Winchester, UK|c|;;;</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</si>
  <si>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example.&amp;lt;&amp;lt;ETX&amp;gt;&amp;gt;</t>
  </si>
  <si>
    <t>The asymptotic decider: resolving the ambiguity in marching cubes</t>
  </si>
  <si>
    <t>10.1109/VISUAL.1991.175782</t>
  </si>
  <si>
    <t>A. Rockwood</t>
  </si>
  <si>
    <t>http://dx.doi.org/10.1109/VISUAL.1991.175782</t>
  </si>
  <si>
    <t>Silicon Graphics Comput. Syst., Mountain View, CA, USA</t>
  </si>
  <si>
    <t>91, 413</t>
  </si>
  <si>
    <t>A methodology for visualizing analytic and synthetic geometry in R/sup 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from to line duality when N=2 generalizes to lines and hyperplanes enabling the representation of polyhedra in R/sup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are discussed.&amp;lt;&amp;lt;ETX&amp;gt;&amp;gt;</t>
  </si>
  <si>
    <t>Acoustic imaging: the reconstruction of underwater objects</t>
  </si>
  <si>
    <t>A. Inselberg;B. Dimsdale</t>
  </si>
  <si>
    <t>10.1109/VISUAL.1991.175784</t>
  </si>
  <si>
    <t>IBM Sci. Center, Los Angeles, CA, USA;IBM Sci. Center, Los Angeles, CA, USA</t>
  </si>
  <si>
    <t>http://dx.doi.org/10.1109/VISUAL.1991.175784</t>
  </si>
  <si>
    <t>101, 414</t>
  </si>
  <si>
    <t>Lawrence J. Rosenblum;Behzad Kamgar-Parsi;Edward O. Belcher;Ola Engelsen</t>
  </si>
  <si>
    <t>US Naval Res. Lab., Washington, DC, USA|c|;;;</t>
  </si>
  <si>
    <t>Computer assisted sphere packing in higher dimensions</t>
  </si>
  <si>
    <t>10.1109/VISUAL.1991.175785</t>
  </si>
  <si>
    <t>http://dx.doi.org/10.1109/VISUAL.1991.175785</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</si>
  <si>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volumes.&amp;lt;&amp;lt;ETX&amp;gt;&amp;gt;</t>
  </si>
  <si>
    <t>D. Lasser</t>
  </si>
  <si>
    <t>Fachbereich Inf., Kaiserslautern Univ., Germany</t>
  </si>
  <si>
    <t>Nelson L. Max</t>
  </si>
  <si>
    <t>California Univ., Davis, CA, USA|c|</t>
  </si>
  <si>
    <t>The electronic structure of oxygen in silicon as revealed by volume visualization of Ab initio calculations</t>
  </si>
  <si>
    <t>10.1109/VISUAL.1991.175786</t>
  </si>
  <si>
    <t>http://dx.doi.org/10.1109/VISUAL.1991.175786</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</si>
  <si>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package.&amp;lt;&amp;lt;ETX&amp;gt;&amp;gt;</t>
  </si>
  <si>
    <t>G.W. Edgar</t>
  </si>
  <si>
    <t>Boeing Comput. Services, Seattle, WA, USA</t>
  </si>
  <si>
    <t>115, 415</t>
  </si>
  <si>
    <t>Robert H. Wolfe;Mark Needels;John D. Joannopoulos</t>
  </si>
  <si>
    <t>Golf green visualization</t>
  </si>
  <si>
    <t>10.1109/VISUAL.1991.175787</t>
  </si>
  <si>
    <t>http://dx.doi.org/10.1109/VISUAL.1991.175787</t>
  </si>
  <si>
    <t>123, 416</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</si>
  <si>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presented.&amp;lt;&amp;lt;ETX&amp;gt;&amp;gt;</t>
  </si>
  <si>
    <t>William E. Lorensen;Boris Yamrom</t>
  </si>
  <si>
    <t>S.L. Senft;V.J. Argiro;W.L. VanZandt</t>
  </si>
  <si>
    <t>General Electric Co., Schenectady, NY, USA|c|;</t>
  </si>
  <si>
    <t>Washington Univ. Sch. of Med., St. Louis, MO, USA</t>
  </si>
  <si>
    <t>The stream polygon: A technique for 3D vector field visualization</t>
  </si>
  <si>
    <t>10.1109/VISUAL.1991.175789</t>
  </si>
  <si>
    <t>http://dx.doi.org/10.1109/VISUAL.1991.175789</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</si>
  <si>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discussed.&amp;lt;&amp;lt;ETX&amp;gt;&amp;gt;</t>
  </si>
  <si>
    <t>L. Herr</t>
  </si>
  <si>
    <t>Pacific Interface, New York, NY, USA</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</si>
  <si>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breathing.&amp;lt;&amp;lt;ETX&amp;gt;&amp;gt;</t>
  </si>
  <si>
    <t>W.E. Fordyce;J.J. Ventrella</t>
  </si>
  <si>
    <t>Res. Comput. Services, Syracuse Univ., NY, USA;Res. Comput. Services, Syracuse Univ., NY, USA</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</si>
  <si>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data.&amp;lt;&amp;lt;ETX&amp;gt;&amp;gt;</t>
  </si>
  <si>
    <t>S.M. Legensky</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</si>
  <si>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modeling.&amp;lt;&amp;lt;ETX&amp;gt;&amp;gt;</t>
  </si>
  <si>
    <t>D.A. Prawel</t>
  </si>
  <si>
    <t>Precision Visuals Inc., Boulder, CO, USA</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</si>
  <si>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visualization.&amp;lt;&amp;lt;ETX&amp;gt;&amp;gt;</t>
  </si>
  <si>
    <t>Q.E. Dolecek;K. Moorjani;B.F. Kim;D.G. Tilley;T.S. Denney</t>
  </si>
  <si>
    <t>Appl. Phys. Lab., Johns Hopkins Univ., Laurel, MD, USA;Appl. Phys. Lab., Johns Hopkins Univ., Laurel, MD, USA;Appl. Phys. Lab., Johns Hopkins Univ., Laurel, MD, USA;Appl. Phys. Lab., Johns Hopkins Univ., Laurel, MD, USA;Appl. Phys. Lab., Johns Hopkins Univ., Laurel, MD, USA</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</si>
  <si>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discussed.&amp;lt;&amp;lt;ETX&amp;gt;&amp;gt;</t>
  </si>
  <si>
    <t>B.K. Christensen;L.M. Desjarlais</t>
  </si>
  <si>
    <t>Sandia Nat. Lab., Albuquerque, NM, USA;Sandia Nat. Lab., Albuquerque, NM, USA</t>
  </si>
  <si>
    <t>1991</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</si>
  <si>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science.&amp;lt;&amp;lt;ETX&amp;gt;&amp;gt;</t>
  </si>
  <si>
    <t>L.L. Smarr</t>
  </si>
  <si>
    <t>Nato Centre for Supercomput. Appls., Champaign, IL, USA</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</si>
  <si>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problems.&amp;lt;&amp;lt;ETX&amp;gt;&amp;gt;</t>
  </si>
  <si>
    <t>D. Silver;M. Gao;N. Zabusky</t>
  </si>
  <si>
    <t>Rutgers Univ., Piscataway, NJ, USA;Rutgers Univ., Piscataway, NJ, USA;Rutgers Univ., Piscataway, NJ, USA</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</si>
  <si>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fields.&amp;lt;&amp;lt;ETX&amp;gt;&amp;gt;</t>
  </si>
  <si>
    <t>S. Bryson;C. Levit</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</si>
  <si>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provided.&amp;lt;&amp;lt;ETX&amp;gt;&amp;gt;</t>
  </si>
  <si>
    <t>P.G. Swann;S.K. Semwal</t>
  </si>
  <si>
    <t>Dept. of Comput. Sci., Colorado Univ., Colorado Springs, CO, USA;Dept. of Comput. Sci., Colorado Univ., Colorado Springs, CO, USA</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</si>
  <si>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Delta v. Critical points are classified by examining Delta v's eigenvalues. The eigenvectors of Delta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analyzed.&amp;lt;&amp;lt;ETX&amp;gt;&amp;gt;</t>
  </si>
  <si>
    <t>A. Globus;C. Levit;T. Lasinski</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</si>
  <si>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synthesis.&amp;lt;&amp;lt;ETX&amp;gt;&amp;gt;</t>
  </si>
  <si>
    <t>H.W. Park;K.S. Eo;D.L. Kim;B.K. Choi;Y. Kim;T. Alexander</t>
  </si>
  <si>
    <t>Dept. of Electr. Eng., Washington Univ., Seattle, WA, USA</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</si>
  <si>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performance.&amp;lt;&amp;lt;ETX&amp;gt;&amp;gt;</t>
  </si>
  <si>
    <t>Peter Schröder;James B. Salem</t>
  </si>
  <si>
    <t>P. Schroder;J.B. Salem</t>
  </si>
  <si>
    <t>Thinking Machines Corp., Cambridge, MA, USA;Thinking Machines Corp., Cambridge, MA, USA</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</si>
  <si>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results.&amp;lt;&amp;lt;ETX&amp;gt;&amp;gt;</t>
  </si>
  <si>
    <t>T.S. Yoo;U. Neumann;H. Fuchs;S.M. Pizer;T. Cullip;J. Rhoades;R. Whitaker</t>
  </si>
  <si>
    <t>North Carolina Univ., Chapel Hill, NC, USA;North Carolina Univ., Chapel Hill, NC, USA;North Carolina Univ., Chapel Hill, NC, USA;North Carolina Univ., Chapel Hill, NC, USA;North Carolina Univ., Chapel Hill, NC, USA;North Carolina Univ., Chapel Hill, NC, USA;North Carolina Univ., Chapel Hill, NC, USA</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</si>
  <si>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data.&amp;lt;&amp;lt;ETX&amp;gt;&amp;gt;</t>
  </si>
  <si>
    <t>R.S. Gallagher</t>
  </si>
  <si>
    <t>Swanson Analysis Systems Inc., Houston, PA, USA</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</si>
  <si>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equations.&amp;lt;&amp;lt;ETX&amp;gt;&amp;gt;</t>
  </si>
  <si>
    <t>D. Watson;J. Wejchert;D.W. Williams;B.M. Collins</t>
  </si>
  <si>
    <t>IBM European Visualization Centre, Winchester, UK;IBM European Visualization Centre, Winchester, UK;IBM European Visualization Centre, Winchester, UK;IBM European Visualization Centre, Winchester, UK</t>
  </si>
  <si>
    <t>A method for computing isovalue or contour surfaces of a trivariate function is discussed. The input data are values of the trivariate function, F/sub ijk/, at the cuberille grid points (x/sub i/, y/sub j/, z/sub k/), and the output of a collection of triangles representing the surface consisting of all points where F(x,y,z) is a constant value. The method is a modification that is intended to correct a problem with a previous method.&amp;lt;&amp;lt;ETX&amp;gt;&amp;gt;</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</si>
  <si>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rendering.&amp;lt;&amp;lt;ETX&amp;gt;&amp;gt;</t>
  </si>
  <si>
    <t>L. Rosenblum;B. Kamgar-Parsi;E. Belcher;O. Engelsen</t>
  </si>
  <si>
    <t>US Naval Res. Lab., Washington, DC, USA;US Naval Res. Lab., Washington, DC, USA</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</si>
  <si>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given.&amp;lt;&amp;lt;ETX&amp;gt;&amp;gt;</t>
  </si>
  <si>
    <t>N. Max</t>
  </si>
  <si>
    <t>California Univ., Davis, CA, USA</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</si>
  <si>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dynamics.&amp;lt;&amp;lt;ETX&amp;gt;&amp;gt;</t>
  </si>
  <si>
    <t>R.H. Wolfe;M. Needels;J.D. Joannopoulos</t>
  </si>
  <si>
    <t>IBM Thomas J. Watson Res. Center, Yorktown Heights, NY, USA;IBM Thomas J. Watson Res. Center, Yorktown Heights, NY, USA</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</si>
  <si>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round.&amp;lt;&amp;lt;ETX&amp;gt;&amp;gt;</t>
  </si>
  <si>
    <t>W.E. Lorensen;B. Yamron</t>
  </si>
  <si>
    <t>General Electric Co., Schenectady, NY, USA;General Electric Co., Schenectady, NY, USA</t>
  </si>
  <si>
    <t>132, 417</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</si>
  <si>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provided.&amp;lt;&amp;lt;ETX&amp;gt;&amp;gt;</t>
  </si>
  <si>
    <t>William J. Schroeder;Christopher R. Volpe;William E. Lorensen</t>
  </si>
  <si>
    <t>W.J. Schroeder;C.R. Volpe;W.E. Lorensen</t>
  </si>
  <si>
    <t>General Electric Corp. Res. &amp; Dev., Schenectady, NY, USA;General Electric Corp. Res. &amp; Dev., Schenectady, NY, USA;General Electric Corp. Res. &amp; Dev., Schenectady, NY, USA</t>
  </si>
  <si>
    <t>The hyperbox</t>
  </si>
  <si>
    <t>10.1109/VISUAL.1991.175790</t>
  </si>
  <si>
    <t>http://dx.doi.org/10.1109/VISUAL.1991.175790</t>
  </si>
  <si>
    <t>139, 418</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</si>
  <si>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dataset.&amp;lt;&amp;lt;ETX&amp;gt;&amp;gt;</t>
  </si>
  <si>
    <t>Bowen Alpern;Larry Carter</t>
  </si>
  <si>
    <t>B. Alpern;L. Carter</t>
  </si>
  <si>
    <t>10.1109/VISUAL.1990.146386;10.1109/VISUAL.1990.146402;10.1109/VISUAL.1990.146387;10.1109/VISUAL.1990.146389</t>
  </si>
  <si>
    <t>Gray scale diagrams as business charts</t>
  </si>
  <si>
    <t>10.1109/VISUAL.1991.175791</t>
  </si>
  <si>
    <t>http://dx.doi.org/10.1109/VISUAL.1991.175791</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</si>
  <si>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charts.&amp;lt;&amp;lt;ETX&amp;gt;&amp;gt;</t>
  </si>
  <si>
    <t>W. R. Feeney</t>
  </si>
  <si>
    <t>W.R. Feeney</t>
  </si>
  <si>
    <t>Dept. of Inf. &amp; Decisions Syst., San Diego State Univ., San Diego, CA, USA</t>
  </si>
  <si>
    <t>General Electric Corp. Res. &amp; Dev., Schenectady, NY, USA|c|;;</t>
  </si>
  <si>
    <t>Shadowed hedgehogs: a technique for visualizing 2D slices of 3D vector fields</t>
  </si>
  <si>
    <t>10.1109/VISUAL.1991.175792</t>
  </si>
  <si>
    <t>http://dx.doi.org/10.1109/VISUAL.1991.175792</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</si>
  <si>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fast.&amp;lt;&amp;lt;ETX&amp;gt;&amp;gt;</t>
  </si>
  <si>
    <t>R. Victor Klassen;Steven J. Harrington</t>
  </si>
  <si>
    <t>R.V. Klassen;S.J. Harrington</t>
  </si>
  <si>
    <t>IBM Thomas J. Watson Res. Center, Yorktown Heights, NY, USA|c|;</t>
  </si>
  <si>
    <t>Xerox Webster Res. Center, Webster, NY, USA;Xerox Webster Res. Center, Webster, NY, USA</t>
  </si>
  <si>
    <t>Interactive data visualization using focusing and linking</t>
  </si>
  <si>
    <t>10.1109/VISUAL.1991.175794</t>
  </si>
  <si>
    <t>http://dx.doi.org/10.1109/VISUAL.1991.175794</t>
  </si>
  <si>
    <t>Dept. of Inf. &amp; Decisions Syst., San Diego State Univ., San Diego, CA, USA|c|</t>
  </si>
  <si>
    <t>163, 419</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</si>
  <si>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sensing.&amp;lt;&amp;lt;ETX&amp;gt;&amp;gt;</t>
  </si>
  <si>
    <t>Andreas Buja;John Alan McDonald;J. Michalak;Werner Stuetzle</t>
  </si>
  <si>
    <t>A. Buja;J.A. McDonald;J. Michalak;W. Stuetzle</t>
  </si>
  <si>
    <t>Bellcore, Morristown, NJ, USA</t>
  </si>
  <si>
    <t>Color icons: merging color and texture perception for integrated visualization of multiple parameters</t>
  </si>
  <si>
    <t>10.1109/VISUAL.1991.175795</t>
  </si>
  <si>
    <t>http://dx.doi.org/10.1109/VISUAL.1991.175795</t>
  </si>
  <si>
    <t>Xerox Webster Res. Center, Webster, NY, USA|c|;</t>
  </si>
  <si>
    <t>170, 420</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</si>
  <si>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discussed.&amp;lt;&amp;lt;ETX&amp;gt;&amp;gt;</t>
  </si>
  <si>
    <t>Haim Levkowitz</t>
  </si>
  <si>
    <t>H. Levkowitz</t>
  </si>
  <si>
    <t>Dept. of Comput. Sci., Lowell Univ., MA, USA</t>
  </si>
  <si>
    <t>Visualization and analysis of multi-variate data: a technique for all fields</t>
  </si>
  <si>
    <t>10.1109/VISUAL.1991.175796</t>
  </si>
  <si>
    <t>http://dx.doi.org/10.1109/VISUAL.1991.175796</t>
  </si>
  <si>
    <t>Bellcore, Morristown, NJ, USA|c|;;;</t>
  </si>
  <si>
    <t>178, 421</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</si>
  <si>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tasks.&amp;lt;&amp;lt;ETX&amp;gt;&amp;gt;</t>
  </si>
  <si>
    <t>Ted Mihalisin;John Timlin;John Schwegler</t>
  </si>
  <si>
    <t>T. Mihalisin;J. Timlin;J. Schwegler</t>
  </si>
  <si>
    <t>Mihalisin Associates, Ambler, PA, USA;Mihalisin Associates, Ambler, PA, USA;Mihalisin Associates, Ambler, PA, USA</t>
  </si>
  <si>
    <t>The visual comparison of three sequences</t>
  </si>
  <si>
    <t>10.1109/VISUAL.1991.175797</t>
  </si>
  <si>
    <t>http://dx.doi.org/10.1109/VISUAL.1991.175797</t>
  </si>
  <si>
    <t>Dept. of Comput. Sci., Lowell Univ., MA|c|</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</si>
  <si>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applications.&amp;lt;&amp;lt;ETX&amp;gt;&amp;gt;</t>
  </si>
  <si>
    <t>Kenneth P. Hinkley;Matthew O. Ward</t>
  </si>
  <si>
    <t>K.P. Hinckley;M.O. Ward</t>
  </si>
  <si>
    <t>Dept. of Comput. Sci., Worchester Polytech. Inst., MA, USA;Dept. of Comput. Sci., Worchester Polytech. Inst., MA, USA</t>
  </si>
  <si>
    <t>Enhanced visualization of multi-dimensional structures. Applications in positron emission tomography and climate data</t>
  </si>
  <si>
    <t>10.1109/VISUAL.1991.175799</t>
  </si>
  <si>
    <t>http://dx.doi.org/10.1109/VISUAL.1991.175799</t>
  </si>
  <si>
    <t>Mihalisin Associates, Ambler, PA, USA|c|;;</t>
  </si>
  <si>
    <t>193, 422</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</si>
  <si>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stereo.&amp;lt;&amp;lt;ETX&amp;gt;&amp;gt;</t>
  </si>
  <si>
    <t>Mitre Corp., McLean, VA, USA</t>
  </si>
  <si>
    <t>Dept. of Comput. Sci., Worchester Polytech. Inst., MA, USA|c|;</t>
  </si>
  <si>
    <t>Topographical mapping of brain electrical activity</t>
  </si>
  <si>
    <t>10.1109/VISUAL.1991.175800</t>
  </si>
  <si>
    <t>http://dx.doi.org/10.1109/VISUAL.1991.175800</t>
  </si>
  <si>
    <t>Mitre Corp., McLean, VA, USA|c|</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</si>
  <si>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desired.&amp;lt;&amp;lt;ETX&amp;gt;&amp;gt;</t>
  </si>
  <si>
    <t>S. K. Law;P. L. Nunez;A. F. Westdorp;A. V. Nelson;K. L. Pilgreen</t>
  </si>
  <si>
    <t>S.K. Law;P.L. Nunez;A.F. Westdorp;A.V. Nelson;K.L. Pilgreen</t>
  </si>
  <si>
    <t>Dept. of Biomed. Eng., Tulane Univ., New Orleans, LA, USA;Dept. of Biomed. Eng., Tulane Univ., New Orleans, LA, USA;Dept. of Biomed. Eng., Tulane Univ., New Orleans, LA, USA;Dept. of Biomed. Eng., Tulane Univ., New Orleans, LA, USA;Dept. of Biomed. Eng., Tulane Univ., New Orleans, LA, USA</t>
  </si>
  <si>
    <t>In vivo blood flow visualization with magnetic resonance imaging</t>
  </si>
  <si>
    <t>10.1109/VISUAL.1991.175801</t>
  </si>
  <si>
    <t>http://dx.doi.org/10.1109/VISUAL.1991.175801</t>
  </si>
  <si>
    <t>Dept. of Biomed. Eng., Tulane Univ., New Orleans, LA, USA|c|;;;;</t>
  </si>
  <si>
    <t>209, 423</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</si>
  <si>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structures.&amp;lt;&amp;lt;ETX&amp;gt;&amp;gt;</t>
  </si>
  <si>
    <t>Guang-Zhong Yang;Peter Burger;Philip J. Kilner;Raad Mohiaddin</t>
  </si>
  <si>
    <t>G.Z. Yang;P. Burger;P.J. Kilner;R.H. Mohiaddin</t>
  </si>
  <si>
    <t>Dept. of Comput., Imperial Coll., London Univ., UK;Dept. of Comput., Imperial Coll., London Univ., UK</t>
  </si>
  <si>
    <t>Visualizing 4-D medical ultrasound data</t>
  </si>
  <si>
    <t>10.1109/VISUAL.1991.175802</t>
  </si>
  <si>
    <t>http://dx.doi.org/10.1109/VISUAL.1991.175802</t>
  </si>
  <si>
    <t>Dept. of Comput., Imperial Coll., London Univ., UK|c|;;;</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</si>
  <si>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set.&amp;lt;&amp;lt;ETX&amp;gt;&amp;gt;</t>
  </si>
  <si>
    <t>Nils Thune;Bjørn Olstad</t>
  </si>
  <si>
    <t>N. Thune;B. Olstad</t>
  </si>
  <si>
    <t>Dept. of Sci. &amp; Technol., Christian Michelsen Inst., Fantoft, Norway</t>
  </si>
  <si>
    <t>Multi-valued volumetric visualization</t>
  </si>
  <si>
    <t>10.1109/VISUAL.1991.175804</t>
  </si>
  <si>
    <t>http://dx.doi.org/10.1109/VISUAL.1991.175804</t>
  </si>
  <si>
    <t>Nils Thune;Bj��rn Olstad</t>
  </si>
  <si>
    <t>Dept. of Sci. &amp; Technol., Christian Michelsen Inst., Fantoft, Norway|c|;</t>
  </si>
  <si>
    <t>225, 424</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</si>
  <si>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graphs.&amp;lt;&amp;lt;ETX&amp;gt;&amp;gt;</t>
  </si>
  <si>
    <t>10.1109/VISUAL.1990.146388;10.1109/VISUAL.1990.146373;10.1109/VISUAL.1990.146362;10.1109/VISUAL.1991.175782;10.1109/VISUAL.1990.146363</t>
  </si>
  <si>
    <t>Realistic volume imaging</t>
  </si>
  <si>
    <t>10.1109/VISUAL.1991.175805</t>
  </si>
  <si>
    <t>http://dx.doi.org/10.1109/VISUAL.1991.175805</t>
  </si>
  <si>
    <t>231, 425</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</si>
  <si>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datasets.&amp;lt;&amp;lt;ETX&amp;gt;&amp;gt;</t>
  </si>
  <si>
    <t>Roni Yagel;Arie E. Kaufman;Qiang Zhang</t>
  </si>
  <si>
    <t>R. Yagel;A. Kaufman;Q. Zhang</t>
  </si>
  <si>
    <t>A fast ray tracing casting algorithm using adaptive isotriangular subdivision</t>
  </si>
  <si>
    <t>10.1109/VISUAL.1991.175806</t>
  </si>
  <si>
    <t>http://dx.doi.org/10.1109/VISUAL.1991.175806</t>
  </si>
  <si>
    <t>Dept. of Comput. Sci., State Univ. of New York, Stony Brook, NY, USA|c|;;</t>
  </si>
  <si>
    <t>238, 426</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</si>
  <si>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given.&amp;lt;&amp;lt;ETX&amp;gt;&amp;gt;</t>
  </si>
  <si>
    <t>Renben Shu;Alan Liu</t>
  </si>
  <si>
    <t>R. Shu;A. Liu</t>
  </si>
  <si>
    <t>Inst. of Syst. Sci., Nat. Univ. of Singapore, Kent Ridge, Singapore;Inst. of Syst. Sci., Nat. Univ. of Singapore, Kent Ridge, Singapore</t>
  </si>
  <si>
    <t>NetV: an experimental network-based volume visualization system</t>
  </si>
  <si>
    <t>10.1109/VISUAL.1991.175807</t>
  </si>
  <si>
    <t>http://dx.doi.org/10.1109/VISUAL.1991.175807</t>
  </si>
  <si>
    <t>Inst. of Syst. Sci., Nat. Univ. of Singapore, Kent Ridge, Singapore|c|;</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</si>
  <si>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machine.&amp;lt;&amp;lt;ETX&amp;gt;&amp;gt;</t>
  </si>
  <si>
    <t>T. Todd Elvins;David R. Nadeau</t>
  </si>
  <si>
    <t>T.T. Elvins;D.R. Nadeau</t>
  </si>
  <si>
    <t>San Diego Supercomput. Center, Adv. Sci. Visualization Lab., CA, USA;San Diego Supercomput. Center, Adv. Sci. Visualization Lab., CA, USA</t>
  </si>
  <si>
    <t>10.1109/VISUAL.1990.146362;10.1109/VISUAL.1990.146397;10.1109/VISUAL.1990.146382;10.1109/VISUAL.1991.175814</t>
  </si>
  <si>
    <t>Interactive data exploration with a supercomputer</t>
  </si>
  <si>
    <t>10.1109/VISUAL.1991.175809</t>
  </si>
  <si>
    <t>http://dx.doi.org/10.1109/VISUAL.1991.175809</t>
  </si>
  <si>
    <t>San Diego Supercomput. Center, Adv. Sci. Visualization Lab., CA, USA|c|;</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</si>
  <si>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environment.&amp;lt;&amp;lt;ETX&amp;gt;&amp;gt;</t>
  </si>
  <si>
    <t>Stuart Smith;Georges G. Grinstein;R. Daniel Bergeron</t>
  </si>
  <si>
    <t>S. Smith;G. Grinstein;R.D. Bergeron</t>
  </si>
  <si>
    <t>Dept. of Comput. Sci., Lowell Univ., MA, USA;Dept. of Comput. Sci., Lowell Univ., MA, USA</t>
  </si>
  <si>
    <t>Dept. of Comput. Sci., Lowell Univ., MA, USA|c|;;</t>
  </si>
  <si>
    <t>Run-time visualization of program data</t>
  </si>
  <si>
    <t>10.1109/VISUAL.1991.175810</t>
  </si>
  <si>
    <t>http://dx.doi.org/10.1109/VISUAL.1991.175810</t>
  </si>
  <si>
    <t>Allan Tuchman;David Jablonowski;George Cybenko</t>
  </si>
  <si>
    <t>Center for Supercomput. Res. &amp; Dev., Illinois Univ., Urbana, IL, USA|c|;;</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</si>
  <si>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development.&amp;lt;&amp;lt;ETX&amp;gt;&amp;gt;</t>
  </si>
  <si>
    <t>A. Tuchman;D. Jablonowski;G. Cybenko</t>
  </si>
  <si>
    <t>Center for Supercomput. Res. &amp; Dev., Illinois Univ., Urbana, IL, USA;Center for Supercomput. Res. &amp; Dev., Illinois Univ., Urbana, IL, USA;Center for Supercomput. Res. &amp; Dev., Illinois Univ., Urbana, IL, USA</t>
  </si>
  <si>
    <t>A scientific visualization synthesizer</t>
  </si>
  <si>
    <t>10.1109/VISUAL.1991.175811</t>
  </si>
  <si>
    <t>http://dx.doi.org/10.1109/VISUAL.1991.175811</t>
  </si>
  <si>
    <t>Roger Crawfis;M. J. Allison</t>
  </si>
  <si>
    <t>Lawrence Livermore Nat. Lab., CA, USA|c|;</t>
  </si>
  <si>
    <t>Integration of visualization and scientific calculation in a software system</t>
  </si>
  <si>
    <t>10.1109/VISUAL.1991.175812</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</si>
  <si>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demonstrated.&amp;lt;&amp;lt;ETX&amp;gt;&amp;gt;</t>
  </si>
  <si>
    <t>http://dx.doi.org/10.1109/VISUAL.1991.175812</t>
  </si>
  <si>
    <t>R.A. Crawfis;M.J. Allison</t>
  </si>
  <si>
    <t>Lawrence Livermore Nat. Lab., CA, USA;Lawrence Livermore Nat. Lab., CA, USA</t>
  </si>
  <si>
    <t>274, 428</t>
  </si>
  <si>
    <t>Ulrich Lang;Ruth E. Lang;Roland R�_hle</t>
  </si>
  <si>
    <t>Stuttgart Univ. Comput. Center, Germany|c|;;</t>
  </si>
  <si>
    <t>Image handling in a multi-vendor environment</t>
  </si>
  <si>
    <t>10.1109/VISUAL.1991.175814</t>
  </si>
  <si>
    <t>http://dx.doi.org/10.1109/VISUAL.1991.175814</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</si>
  <si>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described.&amp;lt;&amp;lt;ETX&amp;gt;&amp;gt;</t>
  </si>
  <si>
    <t>Ulrich Lang;Ruth E. Lang;Roland Rühle</t>
  </si>
  <si>
    <t>U. Lang;R. Lang;R. Ruhle</t>
  </si>
  <si>
    <t>Stuttgart Univ. Comput. Center, Germany;Stuttgart Univ. Comput. Center, Germany;Stuttgart Univ. Comput. Center, Germany</t>
  </si>
  <si>
    <t>David R. Nadeau;T. Todd Elvins;Michael J. Bailey</t>
  </si>
  <si>
    <t>San Diego Supercomput. Center, CA, USA|c|;;</t>
  </si>
  <si>
    <t>Tree-maps: a space-filling approach to the visualization of hierarchical information structures</t>
  </si>
  <si>
    <t>10.1109/VISUAL.1991.175815</t>
  </si>
  <si>
    <t>http://dx.doi.org/10.1109/VISUAL.1991.175815</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</si>
  <si>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devices.&amp;lt;&amp;lt;ETX&amp;gt;&amp;gt;</t>
  </si>
  <si>
    <t>D.R. Nadeau;T.T. Elvins;M.J. Bailey</t>
  </si>
  <si>
    <t>San Diego Supercomput. Center, CA, USA;San Diego Supercomput. Center, CA, USA;San Diego Supercomput. Center, CA, USA</t>
  </si>
  <si>
    <t>Brian Johnson;Ben Shneiderman</t>
  </si>
  <si>
    <t>Dept. of Comput. Sci., Maryland Univ., College Park, MD, USA|c|;</t>
  </si>
  <si>
    <t>How shall we connect our software tools?</t>
  </si>
  <si>
    <t>10.1109/VISUAL.1991.175816</t>
  </si>
  <si>
    <t>http://dx.doi.org/10.1109/VISUAL.1991.175816</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</si>
  <si>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children.&amp;lt;&amp;lt;ETX&amp;gt;&amp;gt;</t>
  </si>
  <si>
    <t>Eric Grosse</t>
  </si>
  <si>
    <t>AT&amp;T Bell Lab., Murray Hill, NJ, USA|c|</t>
  </si>
  <si>
    <t>B. Johnson;B. Shneiderman</t>
  </si>
  <si>
    <t>Dept. of Comput. Sci., Maryland Univ., College Park, MD, USA;Dept. of Comput. Sci., Maryland Univ., College Park, MD, USA</t>
  </si>
  <si>
    <t>A data model for scientific visualization with provisions for regular and irregular grids</t>
  </si>
  <si>
    <t>10.1109/VISUAL.1991.175818</t>
  </si>
  <si>
    <t>http://dx.doi.org/10.1109/VISUAL.1991.175818</t>
  </si>
  <si>
    <t>Robert B. Haber;Bruce Lucas;Nancy S. Collins</t>
  </si>
  <si>
    <t>Dept. of Theor. &amp; Appl. Mech., Illinois Univ., Urbana, IL, USA|c|;;</t>
  </si>
  <si>
    <t>Cooperative, computer-aided design of scientific visualizations</t>
  </si>
  <si>
    <t>10.1109/VISUAL.1991.175819</t>
  </si>
  <si>
    <t>http://dx.doi.org/10.1109/VISUAL.1991.175819</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</si>
  <si>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alternative.&amp;lt;&amp;lt;ETX&amp;gt;&amp;gt;</t>
  </si>
  <si>
    <t>E. Grosse</t>
  </si>
  <si>
    <t>AT&amp;T Bell Lab., Murray Hill, NJ, USA</t>
  </si>
  <si>
    <t>313, 430</t>
  </si>
  <si>
    <t>Sandeep Kochhar;Mark Friedell;Mark Vincent LaPolla</t>
  </si>
  <si>
    <t>Harvard Univ., Cambridge, MA, USA|c|;;</t>
  </si>
  <si>
    <t>Grammar-directed design, cooperative design and modeling, design automation, human-computer interaction, automated design of graphical displays</t>
  </si>
  <si>
    <t>Deixis and the future of visualization excellence</t>
  </si>
  <si>
    <t>10.1109/VISUAL.1991.175820</t>
  </si>
  <si>
    <t>http://dx.doi.org/10.1109/VISUAL.1991.175820</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</si>
  <si>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structures.&amp;lt;&amp;lt;ETX&amp;gt;&amp;gt;</t>
  </si>
  <si>
    <t>R.B. Haber;B. Lucas;N. Collins</t>
  </si>
  <si>
    <t>Dept. of Theor. &amp; Appl. Mech., Illinois Univ., Urbana, IL, USA</t>
  </si>
  <si>
    <t>320, 431</t>
  </si>
  <si>
    <t>William C. Hill;James D. Hollan</t>
  </si>
  <si>
    <t>Visualizing the fourth dimension using geometry and light</t>
  </si>
  <si>
    <t>10.1109/VISUAL.1991.175821</t>
  </si>
  <si>
    <t>http://dx.doi.org/10.1109/VISUAL.1991.175821</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</si>
  <si>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manually.&amp;lt;&amp;lt;ETX&amp;gt;&amp;gt;</t>
  </si>
  <si>
    <t>S. Kochhar;M. Friedell;M. LaPolla</t>
  </si>
  <si>
    <t>Harvard Univ., Cambridge, MA, USA;Harvard Univ., Cambridge, MA, USA</t>
  </si>
  <si>
    <t>328, 432</t>
  </si>
  <si>
    <t>Andrew J. Hanson;Pheng-Ann Heng</t>
  </si>
  <si>
    <t>Dept. of Comput. Sci., Indiana Univ., Bloomington, IN, USA|c|;</t>
  </si>
  <si>
    <t>Applying 3D visualization techniques to finite element analysis</t>
  </si>
  <si>
    <t>10.1109/VISUAL.1991.175823</t>
  </si>
  <si>
    <t>http://dx.doi.org/10.1109/VISUAL.1991.175823</t>
  </si>
  <si>
    <t>Richard S. Gallagher;Robert B. Haber;Gordon Ferguson;David Parker;Douglas W. Stillman;James Winget</t>
  </si>
  <si>
    <t>;;;;;</t>
  </si>
  <si>
    <t>Color vs. black-and-white in visualization</t>
  </si>
  <si>
    <t>10.1109/VISUAL.1991.175824</t>
  </si>
  <si>
    <t>http://dx.doi.org/10.1109/VISUAL.1991.175824</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</si>
  <si>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technology.&amp;lt;&amp;lt;ETX&amp;gt;&amp;gt;</t>
  </si>
  <si>
    <t>W.C. Hill;J.D. Hollan</t>
  </si>
  <si>
    <t>Haim Levkowitz;Richard A. Holub;Gary W. Meyer;Philip K. Robertson</t>
  </si>
  <si>
    <t>Inst. for Visualization &amp; Perception Res., Lowell Univ., MA, USA|c|;;;</t>
  </si>
  <si>
    <t>Remote visualization: challenges and opportunities</t>
  </si>
  <si>
    <t>10.1109/VISUAL.1991.175825</t>
  </si>
  <si>
    <t>http://dx.doi.org/10.1109/VISUAL.1991.175825</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</si>
  <si>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paradigm.&amp;lt;&amp;lt;ETX&amp;gt;&amp;gt;</t>
  </si>
  <si>
    <t>A.J. Hanson;P.A. Heng</t>
  </si>
  <si>
    <t>Dept. of Comput. Sci., Indiana Univ., Bloomington, IN, USA;Dept. of Comput. Sci., Indiana Univ., Bloomington, IN, USA</t>
  </si>
  <si>
    <t>Guru M. Parulkar;Jack Bowie;Hans-Werner Braun;Roch Guerin;Daniel Stevenson</t>
  </si>
  <si>
    <t>Washington Univ., St. Louis, WA|c|;;;;</t>
  </si>
  <si>
    <t>How visualization applications drive tool selection: one product can't do it all</t>
  </si>
  <si>
    <t>10.1109/VISUAL.1991.175826</t>
  </si>
  <si>
    <t>http://dx.doi.org/10.1109/VISUAL.1991.175826</t>
  </si>
  <si>
    <t>D. Prawel;M. Brown;C. Harris;R. Kriz;M. Vigil</t>
  </si>
  <si>
    <t>;;;;</t>
  </si>
  <si>
    <t>Multimedia environments for scientists</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</si>
  <si>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analysis.&amp;lt;&amp;lt;ETX&amp;gt;&amp;gt;</t>
  </si>
  <si>
    <t>10.1109/VISUAL.1991.175827</t>
  </si>
  <si>
    <t>http://dx.doi.org/10.1109/VISUAL.1991.175827</t>
  </si>
  <si>
    <t>R.S. Gallagher;R.B. Haber;G. Ferguson;D. Parker;D. Stillman;J. Winget</t>
  </si>
  <si>
    <t>Meera M. Blattner;Georges Grinstein;Ephraim P. Glinert;William Hill;Creon Levit;Stuart Smith</t>
  </si>
  <si>
    <t>Volume visualization comes of age: the state of the art in technology and application</t>
  </si>
  <si>
    <t>10.1109/VISUAL.1991.175828</t>
  </si>
  <si>
    <t>http://dx.doi.org/10.1109/VISUAL.1991.175828</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</si>
  <si>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color.&amp;lt;&amp;lt;ETX&amp;gt;&amp;gt;</t>
  </si>
  <si>
    <t>H. Levkowitz;R.A. Holub;G.W. Meyer;P.K. Robertson</t>
  </si>
  <si>
    <t>Inst. for Visualization &amp; Perception Res., Lowell Univ., MA, USA</t>
  </si>
  <si>
    <t>Vincent Argiro;Mary Whitton;Alan Evans;Wulf Massell;Stephen Paddock;Elliot Fishman</t>
  </si>
  <si>
    <t>Visualisation tools for semiconductor modelling software</t>
  </si>
  <si>
    <t>10.1109/VISUAL.1991.175830</t>
  </si>
  <si>
    <t>http://dx.doi.org/10.1109/VISUAL.1991.175830</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</si>
  <si>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outlined.&amp;lt;&amp;lt;ETX&amp;gt;&amp;gt;</t>
  </si>
  <si>
    <t>363, 433</t>
  </si>
  <si>
    <t>Duncan Stevenson</t>
  </si>
  <si>
    <t>G.M. Parulkar;J. Bowie;H.-W. Braun;R. Guerin;D. Stevenson</t>
  </si>
  <si>
    <t>Washington Univ., St. Louis, WA, USA</t>
  </si>
  <si>
    <t>Visualizing chemical kinetics in fractal domains</t>
  </si>
  <si>
    <t>10.1109/VISUAL.1991.175831</t>
  </si>
  <si>
    <t>http://dx.doi.org/10.1109/VISUAL.1991.175831</t>
  </si>
  <si>
    <t>367, 434</t>
  </si>
  <si>
    <t>Neal E. Hurlburt;Lola W. Anacker;Raoul Kopelman</t>
  </si>
  <si>
    <t>Lockheed Palo Alto Res. Lab., CA, USA|c|;;</t>
  </si>
  <si>
    <t>Multidimensional real time visualization on personal computers</t>
  </si>
  <si>
    <t>10.1109/VISUAL.1991.175832</t>
  </si>
  <si>
    <t>http://dx.doi.org/10.1109/VISUAL.1991.175832</t>
  </si>
  <si>
    <t>This paper looks at the role visualization and visual data analysis play in the technical community. It focuses on the premise that the wide variety of applications of visualization mandate a need for a variety of visualization software packages.&amp;lt;&amp;lt;ETX&amp;gt;&amp;gt;</t>
  </si>
  <si>
    <t>Quentin E. Dolecek</t>
  </si>
  <si>
    <t>Johns Hopkins Univ., Laurel, MD, USA|c|</t>
  </si>
  <si>
    <t>Advanced visualization on desktop workstations</t>
  </si>
  <si>
    <t>10.1109/VISUAL.1991.175833</t>
  </si>
  <si>
    <t>http://dx.doi.org/10.1109/VISUAL.1991.175833</t>
  </si>
  <si>
    <t>378, 435</t>
  </si>
  <si>
    <t>Intelligent Light, Fair Lawn, NJ, USA|c|</t>
  </si>
  <si>
    <t>Distributed visualization using workstations, supercomputers, and high speed networks</t>
  </si>
  <si>
    <t>10.1109/VISUAL.1991.175834</t>
  </si>
  <si>
    <t>http://dx.doi.org/10.1109/VISUAL.1991.175834</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</si>
  <si>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examined.&amp;lt;&amp;lt;ETX&amp;gt;&amp;gt;</t>
  </si>
  <si>
    <t>M.M. Blattner;G. Grinstein;E.P. Glinert;W. Hill;C. Levit;S. Smith</t>
  </si>
  <si>
    <t>David W. Robertson;V. L. Jacobson;William E. Johnston;S. C. Loken;E. H. Theil;B. L. Tieney</t>
  </si>
  <si>
    <t>Lawrence Berkeley Lab., California Univ., Berkeley, CA, USA|c|;;;;;</t>
  </si>
  <si>
    <t>Designing a distributed scientific visualization tool</t>
  </si>
  <si>
    <t>10.1109/VISUAL.1991.175835</t>
  </si>
  <si>
    <t>http://dx.doi.org/10.1109/VISUAL.1991.175835</t>
  </si>
  <si>
    <t>L. van der Sluis</t>
  </si>
  <si>
    <t>Experiments with interdisciplinary projects and scientific visualization applications at the undergraduate level</t>
  </si>
  <si>
    <t>10.1109/VISUAL.1991.175836</t>
  </si>
  <si>
    <t>http://dx.doi.org/10.1109/VISUAL.1991.175836</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</si>
  <si>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extraction.&amp;lt;&amp;lt;ETX&amp;gt;&amp;gt;</t>
  </si>
  <si>
    <t>V. Argiro;M. Whitton;A. Evans;W. Massell;S. Paddock;E. Fishman</t>
  </si>
  <si>
    <t>Nan C. Schaller</t>
  </si>
  <si>
    <t>Dept. of Comput. Sci., Rochester Inst. of Technol., NY, USA|c|</t>
  </si>
  <si>
    <t>Visualization in computational fluid dynamics: a case study</t>
  </si>
  <si>
    <t>10.1109/VISUAL.1991.175837</t>
  </si>
  <si>
    <t>http://dx.doi.org/10.1109/VISUAL.1991.175837</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</si>
  <si>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identified.&amp;lt;&amp;lt;ETX&amp;gt;&amp;gt;</t>
  </si>
  <si>
    <t>D. Stevenson</t>
  </si>
  <si>
    <t>397, 436</t>
  </si>
  <si>
    <t>Robert Haimes;David L. Darmofal</t>
  </si>
  <si>
    <t>Dept. of Aeronaut. &amp; Astronaut, MIT, Cambridge, MA, USA|c|;</t>
  </si>
  <si>
    <t>Visualizing environmental data for program decision support</t>
  </si>
  <si>
    <t>10.1109/VISUAL.1991.175838</t>
  </si>
  <si>
    <t>http://dx.doi.org/10.1109/VISUAL.1991.175838</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</si>
  <si>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collaborated.&amp;lt;&amp;lt;ETX&amp;gt;&amp;gt;</t>
  </si>
  <si>
    <t>N.E. Hurlburt;L.W. Anacker;R. Kopelman</t>
  </si>
  <si>
    <t>Lockheed Palo Alto Res. Lab., CA, USA</t>
  </si>
  <si>
    <t>J. Burnetti;R. Manley;W. Mitchell;D. Varnadore</t>
  </si>
  <si>
    <t>Mitre Corp., McLean, VA, USA|c|;;;</t>
  </si>
  <si>
    <t>Visualizing a three dimensional hydrodynamic model</t>
  </si>
  <si>
    <t>10.1109/VISUAL.1992.235173</t>
  </si>
  <si>
    <t>http://dx.doi.org/10.1109/VISUAL.1992.235173</t>
  </si>
  <si>
    <t>C. S. Jones;J. A. Baca</t>
  </si>
  <si>
    <t>USACE Waterways Exp. Station, Vicksburg, MS, USA|c|;</t>
  </si>
  <si>
    <t>Case study: visualizing classical problems in CFD</t>
  </si>
  <si>
    <t>10.1109/VISUAL.1992.235174</t>
  </si>
  <si>
    <t>http://dx.doi.org/10.1109/VISUAL.1992.235174</t>
  </si>
  <si>
    <t>A low-cost, high-performance visualization tool based on the IBM PC is described. Characteristics of scientific and engineering visualization and requirements for real time analysis are discussed. Application programming without coding by use of flowgraphs is also presented.&amp;lt;&amp;lt;ETX&amp;gt;&amp;gt;</t>
  </si>
  <si>
    <t>Q.E. Dolecek</t>
  </si>
  <si>
    <t>Johns Hopkins Univ., Laurel, MD, USA</t>
  </si>
  <si>
    <t>Norman J. Zabusky;Deborah Silver</t>
  </si>
  <si>
    <t>Rutgers Univ., Piscataway, NJ, USA|c|;</t>
  </si>
  <si>
    <t>10.1109/VISUAL.1991.175770;10.1109/VISUAL.1991.175773</t>
  </si>
  <si>
    <t>Visualization requirements in the atmospheric and environmental sciences (five case study reports)</t>
  </si>
  <si>
    <t>10.1109/VISUAL.1992.235175</t>
  </si>
  <si>
    <t>http://dx.doi.org/10.1109/VISUAL.1992.235175</t>
  </si>
  <si>
    <t>Theresa-Marie Rhyne;Mark Bolstad;Penny Rheingans;Lynne Petterson;Walter Shackelford;Mike E. Botts;E. Pepke;K. W. Johnson;William L. Hibbard;Charles R. Dyer;Brian E. Paul;Lloyd Treinish</t>
  </si>
  <si>
    <t>;;;;;;;;;;;</t>
  </si>
  <si>
    <t>10.1109/VISUAL.1992.235215</t>
  </si>
  <si>
    <t>Visualizing seafloor structures with satellite gravity measurements</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</si>
  <si>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(CFD).&amp;lt;&amp;lt;ETX&amp;gt;&amp;gt;</t>
  </si>
  <si>
    <t>10.1109/VISUAL.1992.235176</t>
  </si>
  <si>
    <t>http://dx.doi.org/10.1109/VISUAL.1992.235176</t>
  </si>
  <si>
    <t>Intelligent Light, Fair Lawn, NJ, USA</t>
  </si>
  <si>
    <t>J. McLeod;C. Small</t>
  </si>
  <si>
    <t>San Diego Supercomput. Center, CA, USA|c|;</t>
  </si>
  <si>
    <t>The microscopist's workstation</t>
  </si>
  <si>
    <t>10.1109/VISUAL.1992.235177</t>
  </si>
  <si>
    <t>http://dx.doi.org/10.1109/VISUAL.1992.235177</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</si>
  <si>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network.&amp;lt;&amp;lt;ETX&amp;gt;&amp;gt;</t>
  </si>
  <si>
    <t>D.W. Robertson;V.L. Jacobson;W.E. Johnston;S.C. Loken;E.H. Theil;B.L. Tierney</t>
  </si>
  <si>
    <t>Lawrence Berkeley Lab., California Univ., Berkeley, CA, USA;Lawrence Berkeley Lab., California Univ., Berkeley, CA, USA;Lawrence Berkeley Lab., California Univ., Berkeley, CA, USA;Lawrence Berkeley Lab., California Univ., Berkeley, CA, USA;Lawrence Berkeley Lab., California Univ., Berkeley, CA, USA;Lawrence Berkeley Lab., California Univ., Berkeley, CA, USA</t>
  </si>
  <si>
    <t>Philip J. Mercurio;T. Todd Elvins;Stephen J. Young</t>
  </si>
  <si>
    <t>Visualization of cardiac bioelectricity-a case study</t>
  </si>
  <si>
    <t>10.1109/VISUAL.1992.235178</t>
  </si>
  <si>
    <t>http://dx.doi.org/10.1109/VISUAL.1992.235178</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</si>
  <si>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results.&amp;lt;&amp;lt;ETX&amp;gt;&amp;gt;</t>
  </si>
  <si>
    <t>L.V. Sluis</t>
  </si>
  <si>
    <t>Robert S. MacLeod;N. E. Harrison;Christopher R. Johnson 0001;Michael A. Matheson</t>
  </si>
  <si>
    <t>Utah Univ., Salt Lake City, UT, USA|c|;;</t>
  </si>
  <si>
    <t>Visualization in anthropology: reconstruction of human fossils from multiple pieces</t>
  </si>
  <si>
    <t>10.1109/VISUAL.1992.235179</t>
  </si>
  <si>
    <t>http://dx.doi.org/10.1109/VISUAL.1992.235179</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</si>
  <si>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described.&amp;lt;&amp;lt;ETX&amp;gt;&amp;gt;</t>
  </si>
  <si>
    <t>N.C. Schaller</t>
  </si>
  <si>
    <t>Dept. of Comput. Sci., Rochester Inst. of Technol., NY, USA</t>
  </si>
  <si>
    <t>Alan D. Kalvin;David Dean;Jean-Jaques Hublin;M. Braun</t>
  </si>
  <si>
    <t>IBM Thomas J. Watson Res. Center, Yorktown Heights, NY, USA|c|;;;</t>
  </si>
  <si>
    <t>Visualization of neutron scattering data using AVS</t>
  </si>
  <si>
    <t>10.1109/VISUAL.1992.235180</t>
  </si>
  <si>
    <t>http://dx.doi.org/10.1109/VISUAL.1992.235180</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</si>
  <si>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techniques.&amp;lt;&amp;lt;ETX&amp;gt;&amp;gt;</t>
  </si>
  <si>
    <t>R. Haimes;D. Darmofal</t>
  </si>
  <si>
    <t>Dept. of Aeronaut. &amp; Astronaut, MIT, Cambridge, MA, USA;Dept. of Aeronaut. &amp; Astronaut, MIT, Cambridge, MA, USA</t>
  </si>
  <si>
    <t>R. Popovic</t>
  </si>
  <si>
    <t>Rutherford Appleton Lab., Didcot, UK|c|</t>
  </si>
  <si>
    <t>Visualizing the Universe</t>
  </si>
  <si>
    <t>10.1109/VISUAL.1992.235181</t>
  </si>
  <si>
    <t>http://dx.doi.org/10.1109/VISUAL.1992.235181</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</si>
  <si>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outlined.&amp;lt;&amp;lt;ETX&amp;gt;&amp;gt;</t>
  </si>
  <si>
    <t>M. J. Geller;E. E. Flaco;D. G. Fabricant;B. Estus</t>
  </si>
  <si>
    <t>Harvard-Smithsonian Center for Astrophys., Cambridge, MA, USA|c|;;;</t>
  </si>
  <si>
    <t>Mitre Corp., McLean, VA, USA;Mitre Corp., McLean, VA, USA;Mitre Corp., McLean, VA, USA</t>
  </si>
  <si>
    <t>Object-oriented, dataflow visualization system-a paradigm shift?</t>
  </si>
  <si>
    <t>10.1109/VISUAL.1992.235182</t>
  </si>
  <si>
    <t>http://dx.doi.org/10.1109/VISUAL.1992.235182</t>
  </si>
  <si>
    <t>1992</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</si>
  <si>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reported.&amp;lt;&amp;lt;ETX&amp;gt;&amp;gt;</t>
  </si>
  <si>
    <t>C.S. Jones;J.A. Baca</t>
  </si>
  <si>
    <t>USACE Waterways Exp. Station, Vicksburg, MS, USA;USACE Waterways Exp. Station, Vicksburg, MS, USA</t>
  </si>
  <si>
    <t>William Ribarsky;Bob Brown;Terry Myerson;Richard Feldmann;Stuart Smith;Lloyd Treinish</t>
  </si>
  <si>
    <t>Visualization in the neurosciences: utility in research, teaching, and clinical practice</t>
  </si>
  <si>
    <t>10.1109/VISUAL.1992.235183</t>
  </si>
  <si>
    <t>http://dx.doi.org/10.1109/VISUAL.1992.235183</t>
  </si>
  <si>
    <t>Stuart A. Tobet;Joan C. King;Steven L. Wertheim;Frank H. Duffy</t>
  </si>
  <si>
    <t>E.K. Shriver Center, Harvard Program in Neurosci., Boston, MA, USA|c|;;;</t>
  </si>
  <si>
    <t>Real virtual environment applications-now</t>
  </si>
  <si>
    <t>10.1109/VISUAL.1992.235184</t>
  </si>
  <si>
    <t>http://dx.doi.org/10.1109/VISUAL.1992.235184</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</si>
  <si>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used.&amp;lt;&amp;lt;ETX&amp;gt;&amp;gt;</t>
  </si>
  <si>
    <t>N. Zabusky;D. Silver</t>
  </si>
  <si>
    <t>Rutgers Univ., Piscataway, NJ, USA;Rutgers Univ., Piscataway, NJ, USA</t>
  </si>
  <si>
    <t>Paul T. Breen;Georges G. Grinstein;David W. Mizell;Richard M. Satava;Bradford Smith;Michael M. Stephens;David Zeltzer</t>
  </si>
  <si>
    <t>Improving visualization: theoretical and empirical foundations</t>
  </si>
  <si>
    <t>10.1109/VISUAL.1992.235185</t>
  </si>
  <si>
    <t>http://dx.doi.org/10.1109/VISUAL.1992.235185</t>
  </si>
  <si>
    <t>Stephen M. Kosslyn;Nahum D. Gershon;Haim Levkowitz;Justin D. Pearlman</t>
  </si>
  <si>
    <t>Dept. of Psychol., Harvard Univ., Cambridge, MA, USA|c|;;;</t>
  </si>
  <si>
    <t>Grand challenge problems in visualization software</t>
  </si>
  <si>
    <t>10.1109/VISUAL.1992.235186</t>
  </si>
  <si>
    <t>http://dx.doi.org/10.1109/VISUAL.1992.235186</t>
  </si>
  <si>
    <t>Lloyd A. Treinish;David M. Butler;Hikmet Senay;Georges G. Grinstein;Steve T. Bryson</t>
  </si>
  <si>
    <t>IBM Thomas. J. Watson Res. Center, Yorktown Heights, NY, USA|c|;;;;</t>
  </si>
  <si>
    <t>Techniques for managing very large scientific databases</t>
  </si>
  <si>
    <t>10.1109/VISUAL.1992.235187</t>
  </si>
  <si>
    <t>http://dx.doi.org/10.1109/VISUAL.1992.235187</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</si>
  <si>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highlighted.&amp;lt;&amp;lt;ETX&amp;gt;&amp;gt;</t>
  </si>
  <si>
    <t>T. Rhyne;B. Paul;L.A. Treinish;M. Bolstad;P. Rheingans;L. Petterson;W. Shackelford;M.E. Botts;E. Pepke;K.W. Johnson;W. Hibbard;C.R. Dyer</t>
  </si>
  <si>
    <t>William J. Campbell;George Fekete;Robert F. Cromp;Ray Wall;Michael Goldberg</t>
  </si>
  <si>
    <t>Visualizing n-dimensional implications of two-dimensional design decisions</t>
  </si>
  <si>
    <t>10.1109/VISUAL.1992.235188</t>
  </si>
  <si>
    <t>http://dx.doi.org/10.1109/VISUAL.1992.235188</t>
  </si>
  <si>
    <t>Stephen M. Ervin</t>
  </si>
  <si>
    <t>Dept. of Landscape Archit., Harvard Univ., Graduate Sch. of Design, Cambridge, MA, USA|c|</t>
  </si>
  <si>
    <t>Interactive terrain rendering and volume visualization on the Princeton Engine</t>
  </si>
  <si>
    <t>10.1109/VISUAL.1992.235189</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</si>
  <si>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presented.&amp;lt;&amp;lt;ETX&amp;gt;&amp;gt;</t>
  </si>
  <si>
    <t>http://dx.doi.org/10.1109/VISUAL.1992.235189</t>
  </si>
  <si>
    <t>San Diego Supercomput. Center, CA, USA</t>
  </si>
  <si>
    <t>James T. Kaba;James R. Matey;Gordon Stoll;Herb Taylor;Pat Hanrahan</t>
  </si>
  <si>
    <t>David Sarnoff Res. Center, Princeton, NJ, USA|c|;;;;</t>
  </si>
  <si>
    <t>10.1109/VISUAL.1991.175778;10.1109/VISUAL.1991.175777;10.1109/VISUAL.1991.175805</t>
  </si>
  <si>
    <t>A voxel-based, forward projection algorithm for rendering surface and volumetric data</t>
  </si>
  <si>
    <t>10.1109/VISUAL.1992.235190</t>
  </si>
  <si>
    <t>http://dx.doi.org/10.1109/VISUAL.1992.235190</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</si>
  <si>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methodology.&amp;lt;&amp;lt;ETX&amp;gt;&amp;gt;</t>
  </si>
  <si>
    <t>P.J. Mercurio;T.T. Elvins;S.J. Young</t>
  </si>
  <si>
    <t>San Diego Supercomput. Center, CA, USA;San Diego Supercomput. Center, CA, USA</t>
  </si>
  <si>
    <t>John R. Wright;Julia C. Hsieh</t>
  </si>
  <si>
    <t>Hughes Training Inc., West Covina, CA, USA|c|;</t>
  </si>
  <si>
    <t>Optimizing triangulations by curvature equalization</t>
  </si>
  <si>
    <t>10.1109/VISUAL.1992.235191</t>
  </si>
  <si>
    <t>http://dx.doi.org/10.1109/VISUAL.1992.235191</t>
  </si>
  <si>
    <t>Grumman Data Systems, Woodbury, NY, USA|c|;</t>
  </si>
  <si>
    <t>Visualization of high resolution, three-dimensional, nonlinear finite element analyses</t>
  </si>
  <si>
    <t>10.1109/VISUAL.1992.235192</t>
  </si>
  <si>
    <t>http://dx.doi.org/10.1109/VISUAL.1992.235192</t>
  </si>
  <si>
    <t>Mark A. Christon;T. Spelce</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</si>
  <si>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presented.&amp;lt;&amp;lt;ETX&amp;gt;&amp;gt;</t>
  </si>
  <si>
    <t>Visualization of second order tensor fields and matrix data</t>
  </si>
  <si>
    <t>10.1109/VISUAL.1992.235193</t>
  </si>
  <si>
    <t>http://dx.doi.org/10.1109/VISUAL.1992.235193</t>
  </si>
  <si>
    <t>R.S. MacLeod;C.R. Johnson;M.A. Matheson</t>
  </si>
  <si>
    <t>Utah Univ., Salt Lake City, UT, USA;Utah Univ., Salt Lake City, UT, USA;Utah Univ., Salt Lake City, UT, USA</t>
  </si>
  <si>
    <t>Thierry Delmarcelle;Lambertus Hesselink</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</si>
  <si>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fossils.&amp;lt;&amp;lt;ETX&amp;gt;&amp;gt;</t>
  </si>
  <si>
    <t>10.1109/VISUAL.1990.146373;10.1109/VISUAL.1990.146359;10.1109/VISUAL.1991.175789;10.1109/VISUAL.1991.175773</t>
  </si>
  <si>
    <t>A.D. Kalvin;D. Dean;J.-J. Hublin;M. Braun</t>
  </si>
  <si>
    <t>IBM Thomas J. Watson Res. Center, Yorktown Heights, NY, USA</t>
  </si>
  <si>
    <t>TT</t>
  </si>
  <si>
    <t>Volume warping</t>
  </si>
  <si>
    <t>10.1109/VISUAL.1992.235194</t>
  </si>
  <si>
    <t>http://dx.doi.org/10.1109/VISUAL.1992.235194</t>
  </si>
  <si>
    <t>T. J. True;J. F. Hughes</t>
  </si>
  <si>
    <t>Digital Equipment Corp., Maynard, MA, USA|c|;</t>
  </si>
  <si>
    <t>Network video device control</t>
  </si>
  <si>
    <t>10.1109/VISUAL.1992.235195</t>
  </si>
  <si>
    <t>http://dx.doi.org/10.1109/VISUAL.1992.235195</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</si>
  <si>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discussed.&amp;lt;&amp;lt;ETX&amp;gt;&amp;gt;</t>
  </si>
  <si>
    <t>Rutherford Appleton Lab., Didcot, UK</t>
  </si>
  <si>
    <t>David R. Nadeau;Michael J. Bailey</t>
  </si>
  <si>
    <t>Adv. Sci. Visualization Lab., San Diego, CA, USA|c|;</t>
  </si>
  <si>
    <t>Virtual spacetime: an environment for the visualization of curved spacetimes via geodesic flows</t>
  </si>
  <si>
    <t>10.1109/VISUAL.1992.235196</t>
  </si>
  <si>
    <t>http://dx.doi.org/10.1109/VISUAL.1992.235196</t>
  </si>
  <si>
    <t>Steve Bryson</t>
  </si>
  <si>
    <t>NASA Ames Res. Center, Moffett Field, CA, USA|c|</t>
  </si>
  <si>
    <t>Automated design of virtual worlds for visualizing multivariate relations</t>
  </si>
  <si>
    <t>10.1109/VISUAL.1992.235197</t>
  </si>
  <si>
    <t>http://dx.doi.org/10.1109/VISUAL.1992.235197</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</si>
  <si>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public.&amp;lt;&amp;lt;ETX&amp;gt;&amp;gt;</t>
  </si>
  <si>
    <t>M.J. Geller;E.E. Falco;D.G. Fabricant;B. Estus</t>
  </si>
  <si>
    <t>Harvard-Smithsonian Center for Astrophys., Cambridge, MA, USA;Harvard-Smithsonian Center for Astrophys., Cambridge, MA, USA;Harvard-Smithsonian Center for Astrophys., Cambridge, MA, USA</t>
  </si>
  <si>
    <t>Clifford Beshers;Steven K. Feiner</t>
  </si>
  <si>
    <t>Dept. of Comput. Sci., Columbia Univ., New York, NY, USA|c|;</t>
  </si>
  <si>
    <t>Visualization for the document space</t>
  </si>
  <si>
    <t>10.1109/VISUAL.1992.235198</t>
  </si>
  <si>
    <t>http://dx.doi.org/10.1109/VISUAL.1992.235198</t>
  </si>
  <si>
    <t>X. Lin</t>
  </si>
  <si>
    <t>Center for Comput. Legal Res., Pace Univ., White Plains, NY, USA|c|</t>
  </si>
  <si>
    <t>Visualization of fuzzy data using generalized animation</t>
  </si>
  <si>
    <t>10.1109/VISUAL.1992.235199</t>
  </si>
  <si>
    <t>http://dx.doi.org/10.1109/VISUAL.1992.235199</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</si>
  <si>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discussed.&amp;lt;&amp;lt;ETX&amp;gt;&amp;gt;</t>
  </si>
  <si>
    <t>W. Ribarsky;B. Brown;T. Myerson;R. Feldmann;S. Smith;L. Treinish</t>
  </si>
  <si>
    <t>Surface curvature analysis using color</t>
  </si>
  <si>
    <t>10.1109/VISUAL.1992.235200</t>
  </si>
  <si>
    <t>http://dx.doi.org/10.1109/VISUAL.1992.235200</t>
  </si>
  <si>
    <t>L. R. Seidenberg;Robert B. Jerard;J. Megewick</t>
  </si>
  <si>
    <t>Dept. of Mech. Eng., New Hampshire Univ., Durham, NH, USA|c|;;</t>
  </si>
  <si>
    <t>Color, change, and control of quantitative data display</t>
  </si>
  <si>
    <t>10.1109/VISUAL.1992.235201</t>
  </si>
  <si>
    <t>http://dx.doi.org/10.1109/VISUAL.1992.235201</t>
  </si>
  <si>
    <t>Penny Rheingans</t>
  </si>
  <si>
    <t>Dept. of Comput. Sci., North Carolina Univ., Chapel Hill, NC, USA|c|</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</si>
  <si>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sets.&amp;lt;&amp;lt;ETX&amp;gt;&amp;gt;</t>
  </si>
  <si>
    <t>SuperGlue: a programming environment for scientific visualization</t>
  </si>
  <si>
    <t>S.A. Tobet;J.C. King;S.L. Wertheim;F.H. Duffy</t>
  </si>
  <si>
    <t>10.1109/VISUAL.1992.235202</t>
  </si>
  <si>
    <t>E.K. Shriver Center, Harvard Program in Neurosci., Boston, MA, USA</t>
  </si>
  <si>
    <t>http://dx.doi.org/10.1109/VISUAL.1992.235202</t>
  </si>
  <si>
    <t>Jeff P. Hultquist;E. L. Raible</t>
  </si>
  <si>
    <t>10.1109/VISUAL.1991.175771;10.1109/VISUAL.1990.146360;10.1109/VISUAL.1992.235211</t>
  </si>
  <si>
    <t>A characterization of the scientific data analysis process</t>
  </si>
  <si>
    <t>10.1109/VISUAL.1992.235203</t>
  </si>
  <si>
    <t>http://dx.doi.org/10.1109/VISUAL.1992.235203</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</si>
  <si>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solutions.&amp;lt;&amp;lt;ETX&amp;gt;&amp;gt;</t>
  </si>
  <si>
    <t>P.T. Breen</t>
  </si>
  <si>
    <t>R. R. Springmeyer;Meera Blattner;Nelson L. Max</t>
  </si>
  <si>
    <t>Lawrence Livermore Nat. Lab., CA, USA|c|;;</t>
  </si>
  <si>
    <t>A scientific visualization renderer</t>
  </si>
  <si>
    <t>10.1109/VISUAL.1992.235204</t>
  </si>
  <si>
    <t>http://dx.doi.org/10.1109/VISUAL.1992.235204</t>
  </si>
  <si>
    <t>Bruce Lucas</t>
  </si>
  <si>
    <t>IBM Thomas J. Watson Res. Center, Yorktown Heights, NY, USA|c|</t>
  </si>
  <si>
    <t>10.1109/VISUAL.1992.235219;10.1109/VISUAL.1991.175818</t>
  </si>
  <si>
    <t>VISAGE: an object-oriented scientific visualization system</t>
  </si>
  <si>
    <t>10.1109/VISUAL.1992.235205</t>
  </si>
  <si>
    <t>http://dx.doi.org/10.1109/VISUAL.1992.235205</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</si>
  <si>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representations.&amp;lt;&amp;lt;ETX&amp;gt;&amp;gt;</t>
  </si>
  <si>
    <t>S.M. Kosslyn;N.D. Gershon;H. Levkowitz;J.D. Pearlman</t>
  </si>
  <si>
    <t>Dept. of Psychol., Harvard Univ., Cambridge, MA, USA</t>
  </si>
  <si>
    <t>William J. Schroeder;William E. Lorensen;G. D. Montanaro;Christopher R. Volpe</t>
  </si>
  <si>
    <t>GE Corp. Res. &amp; Dev., Schenectady, NY, USA|c|;;;</t>
  </si>
  <si>
    <t>10.1109/VISUAL.1991.175787;10.1109/VISUAL.1991.175789;10.1109/VISUAL.1990.146360</t>
  </si>
  <si>
    <t>Visualizing code profiling line oriented statistics</t>
  </si>
  <si>
    <t>10.1109/VISUAL.1992.235206</t>
  </si>
  <si>
    <t>http://dx.doi.org/10.1109/VISUAL.1992.235206</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</si>
  <si>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discussed.&amp;lt;&amp;lt;ETX&amp;gt;&amp;gt;</t>
  </si>
  <si>
    <t>Stephen G. Eick;Joseph L. Steffen</t>
  </si>
  <si>
    <t>AT&amp;T Bell Lab., Murray Hill, NJ, USA|c|;</t>
  </si>
  <si>
    <t>L.A. Treinish;D.M. Butler;H. Senay;G.G. Grinstein;S.T. Bryson</t>
  </si>
  <si>
    <t>IBM Thomas. J. Watson Res. Center, Yorktown Heights, NY, USA</t>
  </si>
  <si>
    <t>The state of the art of visual languages for visualization</t>
  </si>
  <si>
    <t>10.1109/VISUAL.1992.235207</t>
  </si>
  <si>
    <t>http://dx.doi.org/10.1109/VISUAL.1992.235207</t>
  </si>
  <si>
    <t>Carla S. Williams;John Rasure;C. Hansen</t>
  </si>
  <si>
    <t>Dept. of Electr. &amp; Comput. Eng., New Mexico Univ., Albuquerque, NM, USA|c|;;</t>
  </si>
  <si>
    <t>10.1109/VISUAL.1992.235219</t>
  </si>
  <si>
    <t>Visual query specification in a multimedia database system</t>
  </si>
  <si>
    <t>10.1109/VISUAL.1992.235208</t>
  </si>
  <si>
    <t>http://dx.doi.org/10.1109/VISUAL.1992.235208</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</si>
  <si>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techniques.&amp;lt;&amp;lt;ETX&amp;gt;&amp;gt;</t>
  </si>
  <si>
    <t>W.J. Campbell;R.F. Cromp;G. Fekete;R. Wall;M. Goldberg</t>
  </si>
  <si>
    <t>Daniel A. Keim;Vincent Y. Lum</t>
  </si>
  <si>
    <t>Inst. fuer Inf., Munchen Univ., Germany|c|;</t>
  </si>
  <si>
    <t>Visual Query Specijication, Graphical User Interface, Multimedia Database System, Natural-Language Interface, Information Retrieval, Image Data Management</t>
  </si>
  <si>
    <t>Logical time in visualizations produced by parallel programs</t>
  </si>
  <si>
    <t>10.1109/VISUAL.1992.235209</t>
  </si>
  <si>
    <t>http://dx.doi.org/10.1109/VISUAL.1992.235209</t>
  </si>
  <si>
    <t>Janice E. Cuny;Alfred Hough;Joydip Kunda</t>
  </si>
  <si>
    <t>Dept. of Comput. Sci., Massachusetts Univ., Amherst, MA, USA|c|;;</t>
  </si>
  <si>
    <t>Visualizing wind velocities by advecting cloud textures</t>
  </si>
  <si>
    <t>10.1109/VISUAL.1992.235210</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</si>
  <si>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environment.&amp;lt;&amp;lt;ETX&amp;gt;&amp;gt;</t>
  </si>
  <si>
    <t>http://dx.doi.org/10.1109/VISUAL.1992.235210</t>
  </si>
  <si>
    <t>S.M. Ervin</t>
  </si>
  <si>
    <t>Dept. of Landscape Archit., Harvard Univ., Graduate Sch. of Design, Cambridge, MA, USA</t>
  </si>
  <si>
    <t>Nelson L. Max;Roger Crawfis;Dean Williams</t>
  </si>
  <si>
    <t>advection, 3-D texture, volume visualization, vectorfield, wind, clouds, climate modeling</t>
  </si>
  <si>
    <t>Constructing stream surfaces in steady 3D vector fields</t>
  </si>
  <si>
    <t>10.1109/VISUAL.1992.235211</t>
  </si>
  <si>
    <t>http://dx.doi.org/10.1109/VISUAL.1992.235211</t>
  </si>
  <si>
    <t>Jeff P. Hultquist</t>
  </si>
  <si>
    <t>10.1109/VISUAL.1990.146359;10.1109/VISUAL.1991.175837;10.1109/VISUAL.1990.146373;10.1109/VISUAL.1992.235202;10.1109/VISUAL.1991.175789</t>
  </si>
  <si>
    <t>Flow visualization as a basic tool to investigate the dynamics and topology of jets</t>
  </si>
  <si>
    <t>10.1109/VISUAL.1992.235212</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</si>
  <si>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frames/second.&amp;lt;&amp;lt;ETX&amp;gt;&amp;gt;</t>
  </si>
  <si>
    <t>http://dx.doi.org/10.1109/VISUAL.1992.235212</t>
  </si>
  <si>
    <t>J. Kaba;J. Matey;G. Stoll;H. Taylor;P. Hanrahan</t>
  </si>
  <si>
    <t>David Sarnoff Res. Center, Princeton, NJ, USA;David Sarnoff Res. Center, Princeton, NJ, USA;David Sarnoff Res. Center, Princeton, NJ, USA;David Sarnoff Res. Center, Princeton, NJ, USA</t>
  </si>
  <si>
    <t>Fernando Grinstein;Upul Obeysekare;Gopal Patnaik</t>
  </si>
  <si>
    <t>US Naval Res. Lab., Washington, DC, USA|c|;;</t>
  </si>
  <si>
    <t>Visualization of simulated airflow in a clean room</t>
  </si>
  <si>
    <t>10.1109/VISUAL.1992.235213</t>
  </si>
  <si>
    <t>http://dx.doi.org/10.1109/VISUAL.1992.235213</t>
  </si>
  <si>
    <t>K. Koyamada</t>
  </si>
  <si>
    <t>Tokyo Res. Lab., Japan|c|</t>
  </si>
  <si>
    <t>Representing medical images with partitioning trees</t>
  </si>
  <si>
    <t>10.1109/VISUAL.1992.235214</t>
  </si>
  <si>
    <t>http://dx.doi.org/10.1109/VISUAL.1992.235214</t>
  </si>
  <si>
    <t>Kalpathi R. Subramanian;Bruce F. Naylor</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</si>
  <si>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reflections.&amp;lt;&amp;lt;ETX&amp;gt;&amp;gt;</t>
  </si>
  <si>
    <t>J.R. Wright;J.C.L. Hsieh</t>
  </si>
  <si>
    <t>Hughes Training Inc., West Covina, CA, USA;Hughes Training Inc., West Covina, CA, USA</t>
  </si>
  <si>
    <t>Display of scientific data structures for algorithm visualization</t>
  </si>
  <si>
    <t>http://dx.doi.org/10.1109/VISUAL.1992.235215</t>
  </si>
  <si>
    <t>William L. Hibbard;Charles R. Dyer;Brian E. Paul</t>
  </si>
  <si>
    <t>Wisconsin Univ., Madison, WI, USA|c|;;</t>
  </si>
  <si>
    <t>An efficient range search algorithm for visualizing extrema of volume data</t>
  </si>
  <si>
    <t>10.1109/VISUAL.1992.235216</t>
  </si>
  <si>
    <t>http://dx.doi.org/10.1109/VISUAL.1992.235216</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</si>
  <si>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features.&amp;lt;&amp;lt;ETX&amp;gt;&amp;gt;</t>
  </si>
  <si>
    <t>L.L. Scarlatos;T. Pavlidis</t>
  </si>
  <si>
    <t>Grumman Data Systems, Woodbury, NY, USA</t>
  </si>
  <si>
    <t>X. Wu;Y. Fang</t>
  </si>
  <si>
    <t>Dept. of Comput. Sci., Western Ontario Univ., London, Ont., Canada|c|;</t>
  </si>
  <si>
    <t>Visualization of volume data, multidimensional range search, computational geometry, algorithms, data structures, expected time complexity, nearest common ancestor</t>
  </si>
  <si>
    <t>Improving the visualization of hierarchies with treemaps: design issues and experimentation</t>
  </si>
  <si>
    <t>10.1109/VISUAL.1992.235217</t>
  </si>
  <si>
    <t>http://dx.doi.org/10.1109/VISUAL.1992.235217</t>
  </si>
  <si>
    <t>David Turo;B. Johnson</t>
  </si>
  <si>
    <t>10.1109/VISUAL.1991.175796;10.1109/VISUAL.1991.175791;10.1109/VISUAL.1991.175815;10.1109/VISUAL.1991.175794</t>
  </si>
  <si>
    <t>Anatomical atlases based on volume visualization</t>
  </si>
  <si>
    <t>10.1109/VISUAL.1992.235218</t>
  </si>
  <si>
    <t>http://dx.doi.org/10.1109/VISUAL.1992.235218</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</si>
  <si>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strategy.&amp;lt;&amp;lt;ETX&amp;gt;&amp;gt;</t>
  </si>
  <si>
    <t>M.A. Christon;T. Spelce</t>
  </si>
  <si>
    <t>Karl Heinz H̦hne;Andreas Pommert;Martin Riemer;Thomas Schiemann;Rainer Schubert;Ulf Tiede;Werner Lierse</t>
  </si>
  <si>
    <t>;;;;;;</t>
  </si>
  <si>
    <t>An architecture for a scientific visualization system</t>
  </si>
  <si>
    <t>http://dx.doi.org/10.1109/VISUAL.1992.235219</t>
  </si>
  <si>
    <t>Bruce Lucas;G. D. Abrams;Nancy S. Collins;D. A. Epstien;Donna L. Gresh;Kevin P. McAuliffe</t>
  </si>
  <si>
    <t>IBM Thomas J. Watson Res. Center, Yorktown Heights, NY, USA|c|;;;;;</t>
  </si>
  <si>
    <t>10.1109/VISUAL.1990.146397;10.1109/VISUAL.1992.235204;10.1109/VISUAL.1991.175818;10.1109/VISUAL.1991.175833</t>
  </si>
  <si>
    <t>Direct volumetric visualization</t>
  </si>
  <si>
    <t>10.1109/VISUAL.1992.235220</t>
  </si>
  <si>
    <t>http://dx.doi.org/10.1109/VISUAL.1992.235220</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</si>
  <si>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stressed.&amp;lt;&amp;lt;ETX&amp;gt;&amp;gt;</t>
  </si>
  <si>
    <t>T. Delmarcelle;L. Hesselink</t>
  </si>
  <si>
    <t>TT;BP</t>
  </si>
  <si>
    <t>R. D. Williams;Fred L. Wefer;T. E. Clifton</t>
  </si>
  <si>
    <t>Volume rendering on a distributed memory parallel computer</t>
  </si>
  <si>
    <t>10.1109/VISUAL.1992.235221</t>
  </si>
  <si>
    <t>http://dx.doi.org/10.1109/VISUAL.1992.235221</t>
  </si>
  <si>
    <t>T. Todd Elvins</t>
  </si>
  <si>
    <t>Adv. Sci. Visualization Lab., San Diego, CA, USA|c|</t>
  </si>
  <si>
    <t>10.1109/VISUAL.1991.175807;10.1109/VISUAL.1991.175814</t>
  </si>
  <si>
    <t>Four-dimensional views of 3D scalar fields</t>
  </si>
  <si>
    <t>10.1109/VISUAL.1992.235222</t>
  </si>
  <si>
    <t>http://dx.doi.org/10.1109/VISUAL.1992.235222</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</si>
  <si>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data.&amp;lt;&amp;lt;ETX&amp;gt;&amp;gt;</t>
  </si>
  <si>
    <t>T.J. True;J.F. Hughes</t>
  </si>
  <si>
    <t>Digital Equipment Corp., Maynard, MA, USA</t>
  </si>
  <si>
    <t>CERN, Geneva, Switzerland|c|;</t>
  </si>
  <si>
    <t>10.1109/VISUAL.1990.146363;10.1109/VISUAL.1991.175821;10.1109/VISUAL.1990.146391</t>
  </si>
  <si>
    <t>Massively parallel isosurface extraction</t>
  </si>
  <si>
    <t>10.1109/VISUAL.1992.235223</t>
  </si>
  <si>
    <t>http://dx.doi.org/10.1109/VISUAL.1992.235223</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</si>
  <si>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resource.&amp;lt;&amp;lt;ETX&amp;gt;&amp;gt;</t>
  </si>
  <si>
    <t>D.R. Nadeau;M.J. Bailey</t>
  </si>
  <si>
    <t>Adv. Sci. Visualization Lab., San Diego, CA, USA;Adv. Sci. Visualization Lab., San Diego, CA, USA</t>
  </si>
  <si>
    <t>Charles D. Hansen;Paul A. Hinker</t>
  </si>
  <si>
    <t>Los Alamos Nat. Lab., NM, USA|c|;</t>
  </si>
  <si>
    <t>Generalized focal surfaces: a new method for surface interrogation</t>
  </si>
  <si>
    <t>10.1109/VISUAL.1992.235224</t>
  </si>
  <si>
    <t>http://dx.doi.org/10.1109/VISUAL.1992.235224</t>
  </si>
  <si>
    <t>Hans Hagen;Stefanie Hahmann</t>
  </si>
  <si>
    <t>Kaiserslautern Univ., Germany|c|;</t>
  </si>
  <si>
    <t>A 3-D streamline tracking algorithm using dual stream functions</t>
  </si>
  <si>
    <t>10.1109/VISUAL.1992.235225</t>
  </si>
  <si>
    <t>http://dx.doi.org/10.1109/VISUAL.1992.235225</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</si>
  <si>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relativity.&amp;lt;&amp;lt;ETX&amp;gt;&amp;gt;</t>
  </si>
  <si>
    <t>S. Bryson</t>
  </si>
  <si>
    <t>NASA Ames Res. Center, Moffett Field, CA, USA</t>
  </si>
  <si>
    <t>David N. Kenwright;Gordon D. Mallison</t>
  </si>
  <si>
    <t>Dept. of Mech. Eng., Auckland Univ., New Zealand|c|;</t>
  </si>
  <si>
    <t>Rendering surface-particles</t>
  </si>
  <si>
    <t>10.1109/VISUAL.1992.235226</t>
  </si>
  <si>
    <t>http://dx.doi.org/10.1109/VISUAL.1992.235226</t>
  </si>
  <si>
    <t>Jarke J. van Wijk</t>
  </si>
  <si>
    <t>Netherlands Energy Res. Found. ECN, Petten, Netherlands|c|</t>
  </si>
  <si>
    <t>Virtual Smoke: an interactive 3D flow visualization technique</t>
  </si>
  <si>
    <t>10.1109/VISUAL.1992.235227</t>
  </si>
  <si>
    <t>http://dx.doi.org/10.1109/VISUAL.1992.235227</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</si>
  <si>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language.&amp;lt;&amp;lt;ETX&amp;gt;&amp;gt;</t>
  </si>
  <si>
    <t>C. Beshers;S. Feiner</t>
  </si>
  <si>
    <t>Dept. of Comput. Sci., Columbia Univ., New York, NY, USA;Dept. of Comput. Sci., Columbia Univ., New York, NY, USA</t>
  </si>
  <si>
    <t>Kwan-Liu Ma;Philip J. Smith</t>
  </si>
  <si>
    <t>Utah Univ., Salt Lake City, UT, USA|c|;</t>
  </si>
  <si>
    <t>10.1109/VISUAL.1991.175772;10.1109/VISUAL.1991.175778;10.1109/VISUAL.1991.175770;10.1109/VISUAL.1990.146360;10.1109/VISUAL.1991.175789;10.1109/VISUAL.1991.175777</t>
  </si>
  <si>
    <t>Interactive splatting of nonrectilinear volumes</t>
  </si>
  <si>
    <t>10.1109/VISUAL.1992.235228</t>
  </si>
  <si>
    <t>http://dx.doi.org/10.1109/VISUAL.1992.235228</t>
  </si>
  <si>
    <t>Peter L. Williams</t>
  </si>
  <si>
    <t>Nat. Center for Supercomput. Applications, Illinois Univ., Urbana, IL, USA|c|</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</si>
  <si>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searching.&amp;lt;&amp;lt;ETX&amp;gt;&amp;gt;</t>
  </si>
  <si>
    <t>Interactive visualization of large scalar voxel fields</t>
  </si>
  <si>
    <t>Center for Comput. Legal Res., Pace Univ., White Plains, NY, USA</t>
  </si>
  <si>
    <t>10.1109/VISUAL.1992.235229</t>
  </si>
  <si>
    <t>http://dx.doi.org/10.1109/VISUAL.1992.235229</t>
  </si>
  <si>
    <t>Georgios Sakas;J. Hartig</t>
  </si>
  <si>
    <t>Tech. Hochschule, Darmstadt, Germany|c|;</t>
  </si>
  <si>
    <t>Approximation and rendering of volume data using wavelet transforms</t>
  </si>
  <si>
    <t>10.1109/VISUAL.1992.235230</t>
  </si>
  <si>
    <t>http://dx.doi.org/10.1109/VISUAL.1992.235230</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</si>
  <si>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systems.&amp;lt;&amp;lt;ETX&amp;gt;&amp;gt;</t>
  </si>
  <si>
    <t>Shigeru Muraki</t>
  </si>
  <si>
    <t>Image Understanding Section, Electrotech. Lab., Tsukuba, Japan|c|</t>
  </si>
  <si>
    <t>Towards a comprehensive volume visualization system</t>
  </si>
  <si>
    <t>10.1109/VISUAL.1992.235231</t>
  </si>
  <si>
    <t>http://dx.doi.org/10.1109/VISUAL.1992.235231</t>
  </si>
  <si>
    <t>Ricardo S. Avila;Lisa M. Sobierajski;Arie E. Kaufman</t>
  </si>
  <si>
    <t>State Univ. of New York, Stony Brook, NY, USA|c|;;</t>
  </si>
  <si>
    <t>10.1109/VISUAL.1990.146362;10.1109/VISUAL.1990.146413;10.1109/VISUAL.1991.175805</t>
  </si>
  <si>
    <t>Fast volume rendering of compressed data</t>
  </si>
  <si>
    <t>10.1109/VISUAL.1993.398845</t>
  </si>
  <si>
    <t>http://dx.doi.org/10.1109/VISUAL.1993.398845</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</si>
  <si>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shown.&amp;lt;&amp;lt;ETX&amp;gt;&amp;gt;</t>
  </si>
  <si>
    <t>L.R. Seidenberg;R.B. Jerard;J. Magewick</t>
  </si>
  <si>
    <t>Dept. of Mech. Eng., New Hampshire Univ., Durham, NH, USA;Dept. of Mech. Eng., New Hampshire Univ., Durham, NH, USA</t>
  </si>
  <si>
    <t>Paul Ning;Lambertus Hesselink</t>
  </si>
  <si>
    <t>Dept. of Electr. Eng., Stanford Univ., CA, USA|c|;</t>
  </si>
  <si>
    <t>Flow volumes for interactive vector field visualization</t>
  </si>
  <si>
    <t>10.1109/VISUAL.1993.398846</t>
  </si>
  <si>
    <t>http://dx.doi.org/10.1109/VISUAL.1993.398846</t>
  </si>
  <si>
    <t>Nelson L. Max;Barry G. Becker;Roger Crawfis</t>
  </si>
  <si>
    <t>Lawrence Livermore Nat. Lab., Livermore, CA, USA|c|;;</t>
  </si>
  <si>
    <t>10.1109/VISUAL.1992.235210;10.1109/VISUAL.1992.235211</t>
  </si>
  <si>
    <t>The vision camera: An interactive tool for volume data exploration and navigation</t>
  </si>
  <si>
    <t>10.1109/VISUAL.1993.398847</t>
  </si>
  <si>
    <t>http://dx.doi.org/10.1109/VISUAL.1993.398847</t>
  </si>
  <si>
    <t>Hans-Heino Ehricke;Gerhard Daiber;Wolfgang Stra��er</t>
  </si>
  <si>
    <t>Wilhelm-Schickard-Inst. fuer Inf., Tubingen Univ., Germany|c|;;</t>
  </si>
  <si>
    <t>Visualization of time-dependent flow fields</t>
  </si>
  <si>
    <t>10.1109/VISUAL.1993.398848</t>
  </si>
  <si>
    <t>http://dx.doi.org/10.1109/VISUAL.1993.398848</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</si>
  <si>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images.&amp;lt;&amp;lt;ETX&amp;gt;&amp;gt;</t>
  </si>
  <si>
    <t>P. Rheingans</t>
  </si>
  <si>
    <t>Dept. of Comput. Sci., North Carolina Univ., Chapel Hill, NC, USA</t>
  </si>
  <si>
    <t>David A. Lane</t>
  </si>
  <si>
    <t>10.1109/VISUAL.1992.235211;10.1109/VISUAL.1990.146360;10.1109/VISUAL.1992.235212;10.1109/VISUAL.1991.175773;10.1109/VISUAL.1991.175789</t>
  </si>
  <si>
    <t>A probe for local flow field visualization</t>
  </si>
  <si>
    <t>10.1109/VISUAL.1993.398849</t>
  </si>
  <si>
    <t>http://dx.doi.org/10.1109/VISUAL.1993.398849</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</si>
  <si>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reported.&amp;lt;&amp;lt;ETX&amp;gt;&amp;gt;</t>
  </si>
  <si>
    <t>J.P.M. Hultquist;E.L. Raible</t>
  </si>
  <si>
    <t>Wim C. de Leeuw;Jarke J. van Wijk</t>
  </si>
  <si>
    <t>Fac. of Tech. Math. &amp; Inf., Delft Univ. of Technol., Netherlands|c|;</t>
  </si>
  <si>
    <t>10.1109/VISUAL.1992.235193;10.1109/VISUAL.1991.175789;10.1109/VISUAL.1992.235210</t>
  </si>
  <si>
    <t>Visualization of turbulent flow with particles</t>
  </si>
  <si>
    <t>10.1109/VISUAL.1993.398850</t>
  </si>
  <si>
    <t>http://dx.doi.org/10.1109/VISUAL.1993.398850</t>
  </si>
  <si>
    <t>Andrea J. S. Hin;Frits H. Post</t>
  </si>
  <si>
    <t>Optimal filter design for volume reconstruction and visualization</t>
  </si>
  <si>
    <t>10.1109/VISUAL.1993.398851</t>
  </si>
  <si>
    <t>http://dx.doi.org/10.1109/VISUAL.1993.398851</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</si>
  <si>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computing.&amp;lt;&amp;lt;ETX&amp;gt;&amp;gt;</t>
  </si>
  <si>
    <t>R.R. Springmeyer;M.M. Blattner;N.L. Max</t>
  </si>
  <si>
    <t>Lawrence Livermore Nat. Lab., CA, USA;Lawrence Livermore Nat. Lab., CA, USA;Lawrence Livermore Nat. Lab., CA, USA</t>
  </si>
  <si>
    <t>Ingrid Carlbom</t>
  </si>
  <si>
    <t>Digital Equipment Corp., Cambridge, MA, USA|c|</t>
  </si>
  <si>
    <t>Accelerating volume animation by space-leaping</t>
  </si>
  <si>
    <t>10.1109/VISUAL.1993.398852</t>
  </si>
  <si>
    <t>http://dx.doi.org/10.1109/VISUAL.1993.398852</t>
  </si>
  <si>
    <t>Roni Yagel;Z. Shi</t>
  </si>
  <si>
    <t>Dept. of Comput. &amp; Inf. Sci., Ohio State Univ., Columbbus, OH, USA|c|;</t>
  </si>
  <si>
    <t>Rapid exploration of curvilinear grids using direct volume rendering (Extended Abstract)</t>
  </si>
  <si>
    <t>10.1109/VISUAL.1993.398853</t>
  </si>
  <si>
    <t>http://dx.doi.org/10.1109/VISUAL.1993.398853</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</si>
  <si>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hardware.&amp;lt;&amp;lt;ETX&amp;gt;&amp;gt;</t>
  </si>
  <si>
    <t>B. Lucas</t>
  </si>
  <si>
    <t>Allen Van Gelder;Jane Wilhelms</t>
  </si>
  <si>
    <t>Comput. &amp; Inf. Sci., California Univ., Santa Cruz, CA, USA|c|;</t>
  </si>
  <si>
    <t>10.1109/VISUAL.1992.235204;10.1109/VISUAL.1992.235228</t>
  </si>
  <si>
    <t>Volume sampled voxelization of geometric primitives</t>
  </si>
  <si>
    <t>10.1109/VISUAL.1993.398854</t>
  </si>
  <si>
    <t>http://dx.doi.org/10.1109/VISUAL.1993.398854</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</si>
  <si>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described.&amp;lt;&amp;lt;ETX&amp;gt;&amp;gt;</t>
  </si>
  <si>
    <t>Sidney W. Wang;Arie E. Kaufman</t>
  </si>
  <si>
    <t>W.J. Schroeder;W.E. Lorensen;G.D. Montanaro;C.R. Volpe</t>
  </si>
  <si>
    <t>GE Corp. Res. &amp; Dev., Schenectady, NY, USA;GE Corp. Res. &amp; Dev., Schenectady, NY, USA;GE Corp. Res. &amp; Dev., Schenectady, NY, USA;GE Corp. Res. &amp; Dev., Schenectady, NY, USA</t>
  </si>
  <si>
    <t>voxelization, volume sampling, discrete ray tracing, filtering</t>
  </si>
  <si>
    <t>Tioga: A database-oriented visualization tool</t>
  </si>
  <si>
    <t>10.1109/VISUAL.1993.398855</t>
  </si>
  <si>
    <t>http://dx.doi.org/10.1109/VISUAL.1993.398855</t>
  </si>
  <si>
    <t>Michael Stonebraker;Jolly Chen;Nobuko Nathan;Caroline Paxson;Alan Su;Jiang Wu</t>
  </si>
  <si>
    <t>EECS Dept., California Univ., Berkeley, CA, USA|c|;;;;;</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</si>
  <si>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tables.&amp;lt;&amp;lt;ETX&amp;gt;&amp;gt;</t>
  </si>
  <si>
    <t>Bridging the gap between visualization and data management: A simple visualization management system</t>
  </si>
  <si>
    <t>10.1109/VISUAL.1993.398856</t>
  </si>
  <si>
    <t>S.G. Eick;J.L. Steffen</t>
  </si>
  <si>
    <t>http://dx.doi.org/10.1109/VISUAL.1993.398856</t>
  </si>
  <si>
    <t>AT&amp;T Bell Lab., Murray Hill, NJ, USA;AT&amp;T Bell Lab., Murray Hill, NJ, USA</t>
  </si>
  <si>
    <t>Peter Kochevar;Zahid Ahmed;J. Shade;Colin Sharp</t>
  </si>
  <si>
    <t>Digital Equipment Corp., San Diego, CA, USA|c|;;;</t>
  </si>
  <si>
    <t>10.1109/VISUAL.1992.235219;10.1109/VISUAL.1992.235197</t>
  </si>
  <si>
    <t>GRASPARC-A problem solving environment integrating computation and visualization</t>
  </si>
  <si>
    <t>10.1109/VISUAL.1993.398857</t>
  </si>
  <si>
    <t>http://dx.doi.org/10.1109/VISUAL.1993.398857</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</si>
  <si>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systems.&amp;lt;&amp;lt;ETX&amp;gt;&amp;gt;</t>
  </si>
  <si>
    <t>C. Williams;J. Rasure;C. Hansen</t>
  </si>
  <si>
    <t>Dept. of Electr. &amp; Comput. Eng., New Mexico Univ., Albuquerque, NM, USA;Dept. of Electr. &amp; Comput. Eng., New Mexico Univ., Albuquerque, NM, USA</t>
  </si>
  <si>
    <t>Ken Brodlie;A. Poon;Helen Wright;L. Brankin;G. Banecki;A. Gay</t>
  </si>
  <si>
    <t>Sch. of Comput. Studies, Leeds Univ., UK|c|;;;;;</t>
  </si>
  <si>
    <t>An environment for telecollaborative data exploration</t>
  </si>
  <si>
    <t>10.1109/VISUAL.1993.398858</t>
  </si>
  <si>
    <t>http://dx.doi.org/10.1109/VISUAL.1993.398858</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</si>
  <si>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databases.&amp;lt;&amp;lt;ETX&amp;gt;&amp;gt;</t>
  </si>
  <si>
    <t>D.A. Keim;V. Lum</t>
  </si>
  <si>
    <t>Inst. fuer Inf., Munchen Univ., Germany</t>
  </si>
  <si>
    <t>Gudrun Klinker</t>
  </si>
  <si>
    <t>HyperSlice - Visualization of Scalar Functions of Many Variables</t>
  </si>
  <si>
    <t>10.1109/VISUAL.1993.398859</t>
  </si>
  <si>
    <t>http://dx.doi.org/10.1109/VISUAL.1993.398859</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</si>
  <si>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computations.&amp;lt;&amp;lt;ETX&amp;gt;&amp;gt;</t>
  </si>
  <si>
    <t>J.E. Cuny;A.A. Hough;J. Kundu</t>
  </si>
  <si>
    <t>Dept. of Comput. Sci., Massachusetts Univ., Amherst, MA, USA;Dept. of Comput. Sci., Massachusetts Univ., Amherst, MA, USA;Dept. of Comput. Sci., Massachusetts Univ., Amherst, MA, USA</t>
  </si>
  <si>
    <t>Jarke J. van Wijk;Robert van Liere</t>
  </si>
  <si>
    <t>Netherlands Energy Res. Foundation, Petten, Netherlands|c|;</t>
  </si>
  <si>
    <t>10.1109/VISUAL.1990.146387;10.1109/VISUAL.1991.175809</t>
  </si>
  <si>
    <t>Fine-grain visualization algorithms in dataflow environments</t>
  </si>
  <si>
    <t>10.1109/VISUAL.1993.398860</t>
  </si>
  <si>
    <t>http://dx.doi.org/10.1109/VISUAL.1993.398860</t>
  </si>
  <si>
    <t>D. Song;Eric J. Golin</t>
  </si>
  <si>
    <t>Dept. of Comput. Sci., Illinois Univ., Urbana, IL, USA|c|;</t>
  </si>
  <si>
    <t>Developing modular application builders to exploit MIMD parallel</t>
  </si>
  <si>
    <t>In order to visualize both clouds and wind in climate simulations, clouds were rendered using a 3D texture which was advected by the wind flow. The simulation is described. Rendering, the advection of texture coordinates, and haze effects are discussed. Results are presented.&amp;lt;&amp;lt;ETX&amp;gt;&amp;gt;</t>
  </si>
  <si>
    <t>10.1109/VISUAL.1993.398861</t>
  </si>
  <si>
    <t>http://dx.doi.org/10.1109/VISUAL.1993.398861</t>
  </si>
  <si>
    <t>N. Max;R. Crawfis;D. Williams</t>
  </si>
  <si>
    <t>C. Thornborrow;A. J. S. Wilson;Chris Faigle</t>
  </si>
  <si>
    <t>Edinburgh Parallel Comput. Centre, Edinburgh Univ., UK|c|;;</t>
  </si>
  <si>
    <t>Virtual input devices for 3D systems</t>
  </si>
  <si>
    <t>10.1109/VISUAL.1993.398862</t>
  </si>
  <si>
    <t>http://dx.doi.org/10.1109/VISUAL.1993.398862</t>
  </si>
  <si>
    <t>Taosong He;Arie E. Kaufman</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</si>
  <si>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reviewed.&amp;lt;&amp;lt;ETX&amp;gt;&amp;gt;</t>
  </si>
  <si>
    <t>device unified interface, 3d input device, virtual input device, device information-base</t>
  </si>
  <si>
    <t>J.P.M. Hultquist</t>
  </si>
  <si>
    <t>InfoCrystal: A visual tool for information retrieval</t>
  </si>
  <si>
    <t>10.1109/VISUAL.1993.398863</t>
  </si>
  <si>
    <t>http://dx.doi.org/10.1109/VISUAL.1993.398863</t>
  </si>
  <si>
    <t>Anselm Spoerri</t>
  </si>
  <si>
    <t>Center for Educational Comput. Initiatives, MIT, Cambridge, MA, USA|c|</t>
  </si>
  <si>
    <t>information visualization, visual query language, information retrieval, graphical user interface, human factors</t>
  </si>
  <si>
    <t>Visual feedback in querying large databases</t>
  </si>
  <si>
    <t>10.1109/VISUAL.1993.398864</t>
  </si>
  <si>
    <t>http://dx.doi.org/10.1109/VISUAL.1993.398864</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</si>
  <si>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processes.&amp;lt;&amp;lt;ETX&amp;gt;&amp;gt;</t>
  </si>
  <si>
    <t>F.F. Grinstein;U.R. Obeysekare;G. Patnaik</t>
  </si>
  <si>
    <t>Daniel A. Keim;Hans-Peter Kriegel;Thomas Seidl 0001</t>
  </si>
  <si>
    <t>Inst. for Comput. Sci., Munich Univ., Germany|c|;;</t>
  </si>
  <si>
    <t>10.1109/VISUAL.1990.146387;10.1109/VISUAL.1990.146386;10.1109/VISUAL.1990.146389;10.1109/VISUAL.1990.146402</t>
  </si>
  <si>
    <t>DIVIDE: Distributed visual display of the execution of asynchronous, distributed algorithms on loosely-coupled parallel processors</t>
  </si>
  <si>
    <t>10.1109/VISUAL.1993.398865</t>
  </si>
  <si>
    <t>http://dx.doi.org/10.1109/VISUAL.1993.398865</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</si>
  <si>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described.&amp;lt;&amp;lt;ETX&amp;gt;&amp;gt;</t>
  </si>
  <si>
    <t>Tom M. Morrow;Sumit Ghosh</t>
  </si>
  <si>
    <t>Oracle Corp., Redwood Shores, CA, USA|c|;</t>
  </si>
  <si>
    <t>Tokyo Res. Lab., Japan</t>
  </si>
  <si>
    <t>Performance visualization of parallel programs</t>
  </si>
  <si>
    <t>10.1109/VISUAL.1993.398866</t>
  </si>
  <si>
    <t>http://dx.doi.org/10.1109/VISUAL.1993.398866</t>
  </si>
  <si>
    <t>Abdul Waheed;Diane T. Rover</t>
  </si>
  <si>
    <t>Dept. of Electr. Eng., Michigan State Univ., E. Lansing, MI, USA|c|;</t>
  </si>
  <si>
    <t>Orientation maps: Techniques for visualizing rotations (A  Consumer's Guide)</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</si>
  <si>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256*256 medical images for which the compression is estimated to range between 1 and 0.5 b/pixel are given.&amp;lt;&amp;lt;ETX&amp;gt;&amp;gt;</t>
  </si>
  <si>
    <t>10.1109/VISUAL.1993.398867</t>
  </si>
  <si>
    <t>http://dx.doi.org/10.1109/VISUAL.1993.398867</t>
  </si>
  <si>
    <t>K.R. Subramanian;B. Naylor</t>
  </si>
  <si>
    <t>Bowen Alpern;Larry Carter;M. Grayson;C. Pelkie</t>
  </si>
  <si>
    <t>IBM T. J. Watson Res. Center, Yorktown Heights, NY, USA|c|;;;</t>
  </si>
  <si>
    <t>Geometric optimization</t>
  </si>
  <si>
    <t>10.1109/VISUAL.1993.398868</t>
  </si>
  <si>
    <t>http://dx.doi.org/10.1109/VISUAL.1993.398868</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</si>
  <si>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logic.&amp;lt;&amp;lt;ETX&amp;gt;&amp;gt;</t>
  </si>
  <si>
    <t>W. Hibbard;C.R. Dyer;B. Paul</t>
  </si>
  <si>
    <t>Wisconsin Univ., Madison, WI, USA;Wisconsin Univ., Madison, WI, USA;Wisconsin Univ., Madison, WI, USA</t>
  </si>
  <si>
    <t>Paul A. Hinker;Charles D. Hansen</t>
  </si>
  <si>
    <t>Interactive visualization methods for four dimensions</t>
  </si>
  <si>
    <t>10.1109/VISUAL.1993.398869</t>
  </si>
  <si>
    <t>http://dx.doi.org/10.1109/VISUAL.1993.398869</t>
  </si>
  <si>
    <t>A fast range search algorithm for visualizing extrema of d-dimensional volume data in real time as the user interactively moves the query range is presented. The algorithm is based on an efficient data structure, called index heap, which needs only O(N/log N) space and O(d2/sup d/N) preprocessing time to be set up, where N is the size of the d-dimensional data volume. The algorithm can answer an extremum query in O(4/sup d/) expected time, and its worst-case time complexity is O(2/sup 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implemented.&amp;lt;&amp;lt;ETX&amp;gt;&amp;gt;</t>
  </si>
  <si>
    <t>Dept. of Comput. Sci., Western Ontario Univ., London, Ont., Canada</t>
  </si>
  <si>
    <t>Andrew J. Hanson;Robert A. Cross</t>
  </si>
  <si>
    <t>10.1109/VISUAL.1991.175821;10.1109/VISUAL.1992.235222</t>
  </si>
  <si>
    <t>Navigating large networks with hierarchies</t>
  </si>
  <si>
    <t>10.1109/VISUAL.1993.398870</t>
  </si>
  <si>
    <t>http://dx.doi.org/10.1109/VISUAL.1993.398870</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</si>
  <si>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situations.&amp;lt;&amp;lt;ETX&amp;gt;&amp;gt;</t>
  </si>
  <si>
    <t>D. Turo;B. Johnson</t>
  </si>
  <si>
    <t>Stephen G. Eick;Graham J. Wills</t>
  </si>
  <si>
    <t>AT&amp;T Bell Lab., USA|c|;</t>
  </si>
  <si>
    <t>10.1109/VISUAL.1990.146369;10.1109/VISUAL.1991.175815</t>
  </si>
  <si>
    <t>Dichromatic color representations for complex display systems</t>
  </si>
  <si>
    <t>10.1109/VISUAL.1993.398871</t>
  </si>
  <si>
    <t>http://dx.doi.org/10.1109/VISUAL.1993.398871</t>
  </si>
  <si>
    <t>Mark S. Peercy;Lambertus Hesselink</t>
  </si>
  <si>
    <t>Towards a texture naming system: Identifying relevant dimensions of texture</t>
  </si>
  <si>
    <t>10.1109/VISUAL.1993.398872</t>
  </si>
  <si>
    <t>http://dx.doi.org/10.1109/VISUAL.1993.398872</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</si>
  <si>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dissection.&amp;lt;&amp;lt;ETX&amp;gt;&amp;gt;</t>
  </si>
  <si>
    <t>Karl Heinz Höhne;Andreas Pommert;Martin Riemer;Thomas Schiemann;Rainer Schubert;Ulf Tiede;Werner Lierse</t>
  </si>
  <si>
    <t>K.H. Hohne;A. Pommert;M. Riemer;T. Schiemann;R. Schubert;U. Tiede;W. Lierse</t>
  </si>
  <si>
    <t>A. Ravishankar Rao;Gerald L. Lohse</t>
  </si>
  <si>
    <t>IBM T.J. Watson Res. Center, Yorktown Heights, NY, USA|c|;</t>
  </si>
  <si>
    <t>Applying observations of work activity in designing prototype data analysis tools</t>
  </si>
  <si>
    <t>10.1109/VISUAL.1993.398873</t>
  </si>
  <si>
    <t>http://dx.doi.org/10.1109/VISUAL.1993.398873</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</si>
  <si>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language.&amp;lt;&amp;lt;ETX&amp;gt;&amp;gt;</t>
  </si>
  <si>
    <t>B. Lucas;G.D. Abram;N.S. Collins;D.A. Epstein;D.L. Gresh;K.P. McAuliffe</t>
  </si>
  <si>
    <t>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t>
  </si>
  <si>
    <t>R. R. Springmeyer</t>
  </si>
  <si>
    <t>Lawrence Livermore Nat. Lab., Livermore, CA, USA|c|</t>
  </si>
  <si>
    <t>10.1109/VISUAL.1992.235203;10.1109/VISUAL.1990.146360</t>
  </si>
  <si>
    <t>An architecture for rule-based visualization</t>
  </si>
  <si>
    <t>10.1109/VISUAL.1993.398874</t>
  </si>
  <si>
    <t>http://dx.doi.org/10.1109/VISUAL.1993.398874</t>
  </si>
  <si>
    <t>Bernice E. Rogowitz;Lloyd Treinish</t>
  </si>
  <si>
    <t>10.1109/VISUAL.1992.235199;10.1109/VISUAL.1992.235219;10.1109/VISUAL.1991.175818</t>
  </si>
  <si>
    <t>Implicit stream surfaces</t>
  </si>
  <si>
    <t>10.1109/VISUAL.1993.398875</t>
  </si>
  <si>
    <t>http://dx.doi.org/10.1109/VISUAL.1993.398875</t>
  </si>
  <si>
    <t>Netherlands Energy Res. Foundation, Petten, Netherlands|c|</t>
  </si>
  <si>
    <t>10.1109/VISUAL.1992.235211;10.1109/VISUAL.1992.235225;10.1109/VISUAL.1990.146359</t>
  </si>
  <si>
    <t>Cloud tracing in convection-diffusion systems</t>
  </si>
  <si>
    <t>10.1109/VISUAL.1993.398876</t>
  </si>
  <si>
    <t>http://dx.doi.org/10.1109/VISUAL.1993.398876</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</si>
  <si>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addressed.&amp;lt;&amp;lt;ETX&amp;gt;&amp;gt;</t>
  </si>
  <si>
    <t>R.D. Williams;F.L. Wefer;T.E. Clifton</t>
  </si>
  <si>
    <t>NASA Langley Res. Center, Hampton, VA, USA|c|;</t>
  </si>
  <si>
    <t>10.1109/VISUAL.1992.235210;10.1109/VISUAL.1991.175770;10.1109/VISUAL.1991.175773;10.1109/VISUAL.1992.235211;10.1109/VISUAL.1992.235227;10.1109/VISUAL.1992.235174;10.1109/VISUAL.1991.175789</t>
  </si>
  <si>
    <t>Texture splats for 3D scalar and vector field visualization</t>
  </si>
  <si>
    <t>10.1109/VISUAL.1993.398877</t>
  </si>
  <si>
    <t>http://dx.doi.org/10.1109/VISUAL.1993.398877</t>
  </si>
  <si>
    <t>Roger Crawfis;Nelson L. Max</t>
  </si>
  <si>
    <t>Lawrence Livermore Nat. Lab., Livermore, CA, USA|c|;</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</si>
  <si>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algorithms.&amp;lt;&amp;lt;ETX&amp;gt;&amp;gt;</t>
  </si>
  <si>
    <t>Geometric clipping using Boolean textures</t>
  </si>
  <si>
    <t>T.T. Elvins</t>
  </si>
  <si>
    <t>10.1109/VISUAL.1993.398878</t>
  </si>
  <si>
    <t>Adv. Sci. Visualization Lab., San Diego, CA, USA</t>
  </si>
  <si>
    <t>http://dx.doi.org/10.1109/VISUAL.1993.398878</t>
  </si>
  <si>
    <t>W. E. Lorenson</t>
  </si>
  <si>
    <t>General Electric Corp., Schenectady, NY, USA|c|</t>
  </si>
  <si>
    <t>10.1109/VISUAL.1992.235205;10.1109/VISUAL.1992.235204</t>
  </si>
  <si>
    <t>Data shaders</t>
  </si>
  <si>
    <t>10.1109/VISUAL.1993.398879</t>
  </si>
  <si>
    <t>http://dx.doi.org/10.1109/VISUAL.1993.398879</t>
  </si>
  <si>
    <t>Scalar functions of three variables, w=f(x,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ways.&amp;lt;&amp;lt;ETX&amp;gt;&amp;gt;</t>
  </si>
  <si>
    <t>CERN, Geneva, Switzerland</t>
  </si>
  <si>
    <t>Brian Corrie;Paul Mackerras</t>
  </si>
  <si>
    <t>Dept. of Comput. Sci., Australian Nat. Univ., Canberra, ACT, Australia|c|;</t>
  </si>
  <si>
    <t>Spray rendering: Visualization using smart particles</t>
  </si>
  <si>
    <t>10.1109/VISUAL.1993.398880</t>
  </si>
  <si>
    <t>http://dx.doi.org/10.1109/VISUAL.1993.398880</t>
  </si>
  <si>
    <t>Alex T. Pang;Kyle Smith</t>
  </si>
  <si>
    <t>Board of Studies in Comput. &amp; Inf. Sci., California Univ., Santa Cruz, CA, USA|c|;</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</si>
  <si>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interactively.&amp;lt;&amp;lt;ETX&amp;gt;&amp;gt;</t>
  </si>
  <si>
    <t>Interactive shading for surface and volume visualization on graphics workstations</t>
  </si>
  <si>
    <t>10.1109/VISUAL.1993.398881</t>
  </si>
  <si>
    <t>http://dx.doi.org/10.1109/VISUAL.1993.398881</t>
  </si>
  <si>
    <t>C.D. Hansen;P. Hinker</t>
  </si>
  <si>
    <t>Los Alamos Nat. Lab., NM, USA;Los Alamos Nat. Lab., NM, USA</t>
  </si>
  <si>
    <t>Peter A. Fletcher;Philip K. Robertson</t>
  </si>
  <si>
    <t>CSIRO, Canberra, ACT, Australia|c|;</t>
  </si>
  <si>
    <t>Fast analytical computation of Richard's smooth molecular surface</t>
  </si>
  <si>
    <t>10.1109/VISUAL.1993.398882</t>
  </si>
  <si>
    <t>http://dx.doi.org/10.1109/VISUAL.1993.398882</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</si>
  <si>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tool.&amp;lt;&amp;lt;ETX&amp;gt;&amp;gt;</t>
  </si>
  <si>
    <t>Amitabh Varshney;Frederick P. Brooks Jr.</t>
  </si>
  <si>
    <t>Dept. of Comput. Sci., North Carolina Univ., Chapel Hill, NC, USA|c|;</t>
  </si>
  <si>
    <t>H. Hagen;S. Hahmann</t>
  </si>
  <si>
    <t>Computer visualization of long genomic sequences</t>
  </si>
  <si>
    <t>10.1109/VISUAL.1993.398883</t>
  </si>
  <si>
    <t>http://dx.doi.org/10.1109/VISUAL.1993.398883</t>
  </si>
  <si>
    <t>Dachywan Wu;James Roberge;Douglas J. Cork;Bao Gia Nguyen;Thom Grace</t>
  </si>
  <si>
    <t>Illinois Inst. of Technol., Chicago, IL, USA|c|;;;;</t>
  </si>
  <si>
    <t>Visualization of acoustic lens data</t>
  </si>
  <si>
    <t>10.1109/VISUAL.1993.398884</t>
  </si>
  <si>
    <t>http://dx.doi.org/10.1109/VISUAL.1993.398884</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</si>
  <si>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magnitude.&amp;lt;&amp;lt;ETX&amp;gt;&amp;gt;</t>
  </si>
  <si>
    <t>D.N. Kenwright;G.D. Mallinson</t>
  </si>
  <si>
    <t>Dept. of Mech. Eng., Auckland Univ., New Zealand;Dept. of Mech. Eng., Auckland Univ., New Zealand</t>
  </si>
  <si>
    <t>A. J. Bladek</t>
  </si>
  <si>
    <t>Appl. Phys. Lab., Washington Univ., Seattle, WA, USA|c|</t>
  </si>
  <si>
    <t>MRIVIEW: An interactive computational tool for investigation of brain structure and function</t>
  </si>
  <si>
    <t>10.1109/VISUAL.1993.398885</t>
  </si>
  <si>
    <t>http://dx.doi.org/10.1109/VISUAL.1993.398885</t>
  </si>
  <si>
    <t>Douglas M. Ranken;John S. George</t>
  </si>
  <si>
    <t>Visualization and modeling of geophysical data</t>
  </si>
  <si>
    <t>10.1109/VISUAL.1993.398892</t>
  </si>
  <si>
    <t>http://dx.doi.org/10.1109/VISUAL.1993.398892</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</si>
  <si>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interest.&amp;lt;&amp;lt;ETX&amp;gt;&amp;gt;</t>
  </si>
  <si>
    <t>J.J. van Wijk</t>
  </si>
  <si>
    <t>Netherlands Energy Res. Found. ECN, Petten, Netherlands</t>
  </si>
  <si>
    <t>G. Celniker;I. Chakravarty;J. Moorman</t>
  </si>
  <si>
    <t>Schlumberger Lab. for Comput. Sci., Austin, TX, USA|c|;;</t>
  </si>
  <si>
    <t>Visualization of oil reservoirs over a large range of scales as a catalyst for multi-disciplinary integration</t>
  </si>
  <si>
    <t>10.1109/VISUAL.1993.398893</t>
  </si>
  <si>
    <t>http://dx.doi.org/10.1109/VISUAL.1993.398893</t>
  </si>
  <si>
    <t>S. Tyson;B. Williams</t>
  </si>
  <si>
    <t>Santos Ltd., Australia|c|;</t>
  </si>
  <si>
    <t>Unsteady phenomena, hypersonic flows and co-operative flow visualization in aerospace research</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</si>
  <si>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Smoke.&amp;lt;&amp;lt;ETX&amp;gt;&amp;gt;</t>
  </si>
  <si>
    <t>10.1109/VISUAL.1993.398894</t>
  </si>
  <si>
    <t>http://dx.doi.org/10.1109/VISUAL.1993.398894</t>
  </si>
  <si>
    <t>Kwan-Liu Ma;P.J. Smith</t>
  </si>
  <si>
    <t>Utah Univ., Salt Lake City, UT, USA</t>
  </si>
  <si>
    <t>Hans-Georg Pagendarm</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</si>
  <si>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timings.&amp;lt;&amp;lt;ETX&amp;gt;&amp;gt;</t>
  </si>
  <si>
    <t>German Aerosp. Res. Establishment, Gottingen, Germany|c|</t>
  </si>
  <si>
    <t>P.L. Williams</t>
  </si>
  <si>
    <t>Nat. Center for Supercomput. Applications, Illinois Univ., Urbana, IL, USA</t>
  </si>
  <si>
    <t>Towards interactive steering, visualization and animation of unsteady finite element simulations</t>
  </si>
  <si>
    <t>10.1109/VISUAL.1993.398895</t>
  </si>
  <si>
    <t>http://dx.doi.org/10.1109/VISUAL.1993.398895</t>
  </si>
  <si>
    <t>G. David Kerlick;E. Kirby</t>
  </si>
  <si>
    <t>Boeing Computer Services Res. &amp; Technology, Bellevue, WA, USA|c|;</t>
  </si>
  <si>
    <t>Visualizing results of transient flow simulations</t>
  </si>
  <si>
    <t>10.1109/VISUAL.1993.398896</t>
  </si>
  <si>
    <t>http://dx.doi.org/10.1109/VISUAL.1993.398896</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</si>
  <si>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implemented.&amp;lt;&amp;lt;ETX&amp;gt;&amp;gt;</t>
  </si>
  <si>
    <t>G. Sakas;J. Hartig</t>
  </si>
  <si>
    <t>Tech. Hochschule, Darmstadt, Germany;Tech. Hochschule, Darmstadt, Germany</t>
  </si>
  <si>
    <t>H. F. Mayer;B. Tabatabai</t>
  </si>
  <si>
    <t>Joanneum Res., Graz, Austria|c|;</t>
  </si>
  <si>
    <t>Fanal: A relational analysis and visualization package for high energy physics</t>
  </si>
  <si>
    <t>10.1109/VISUAL.1993.398897</t>
  </si>
  <si>
    <t>http://dx.doi.org/10.1109/VISUAL.1993.398897</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</si>
  <si>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shown.&amp;lt;&amp;lt;ETX&amp;gt;&amp;gt;</t>
  </si>
  <si>
    <t>S. Muraki</t>
  </si>
  <si>
    <t>Image Understanding Section, Electrotech. Lab., Tsukuba, Japan</t>
  </si>
  <si>
    <t>H. Videau;P. Mora de Freitas</t>
  </si>
  <si>
    <t>Ecole Polytech., CNRS, France|c|;</t>
  </si>
  <si>
    <t>Non conventional methods for the visualization of events from high energy physics</t>
  </si>
  <si>
    <t>10.1109/VISUAL.1993.398898</t>
  </si>
  <si>
    <t>http://dx.doi.org/10.1109/VISUAL.1993.398898</t>
  </si>
  <si>
    <t>Hans Drevermann;D. Kuhm;B. Nilsson</t>
  </si>
  <si>
    <t>CERN, Geneva, Switzerland|c|;;</t>
  </si>
  <si>
    <t>Visualization of stratospheric ozone depletion and the polar vortex</t>
  </si>
  <si>
    <t>10.1109/VISUAL.1993.398899</t>
  </si>
  <si>
    <t>http://dx.doi.org/10.1109/VISUAL.1993.398899</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</si>
  <si>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devices.&amp;lt;&amp;lt;ETX&amp;gt;&amp;gt;</t>
  </si>
  <si>
    <t>R.S. Avila;L.M. Sobierajski;A.E. Kaufman</t>
  </si>
  <si>
    <t>State Univ. of New York, Stony Brook, NY, USA;State Univ. of New York, Stony Brook, NY, USA;State Univ. of New York, Stony Brook, NY, USA</t>
  </si>
  <si>
    <t>1993</t>
  </si>
  <si>
    <t>Lloyd Treinish</t>
  </si>
  <si>
    <t>IBM T.J. Watson Res. Center, Yorktown Heights, NY, USA|c|</t>
  </si>
  <si>
    <t>A climate simulation case study</t>
  </si>
  <si>
    <t>10.1109/VISUAL.1993.398900</t>
  </si>
  <si>
    <t>http://dx.doi.org/10.1109/VISUAL.1993.398900</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</si>
  <si>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projections.&amp;lt;&amp;lt;ETX&amp;gt;&amp;gt;</t>
  </si>
  <si>
    <t>P. Ning;L. Hesselink</t>
  </si>
  <si>
    <t>Dept. of Electr. Eng., Stanford Univ., CA, USA;Dept. of Electr. Eng., Stanford Univ., CA, USA</t>
  </si>
  <si>
    <t>P. C. Chen</t>
  </si>
  <si>
    <t>Fujitsu America, Inc., San Jose, CA, USA|c|</t>
  </si>
  <si>
    <t>Feature extraction for oceanographic data using a 3D edge operator</t>
  </si>
  <si>
    <t>10.1109/VISUAL.1993.398901</t>
  </si>
  <si>
    <t>http://dx.doi.org/10.1109/VISUAL.1993.398901</t>
  </si>
  <si>
    <t>R. J. Moorehead;Z. Zhu</t>
  </si>
  <si>
    <t>NSF Eng. Res. Center for Computational Field Simulation, Mississippi State Univ., MS, USA|c|;</t>
  </si>
  <si>
    <t>Enhancing reality in the operating room</t>
  </si>
  <si>
    <t>10.1109/VISUAL.1993.398902</t>
  </si>
  <si>
    <t>http://dx.doi.org/10.1109/VISUAL.1993.398902</t>
  </si>
  <si>
    <t>William E. Lorensen;Harvey E. Cline;C. Nafis;David Altobelli;L. Gleason</t>
  </si>
  <si>
    <t>General Electric Co., Schenectady, NY, USA|c|;;;;;</t>
  </si>
  <si>
    <t>3D simulation of delivery</t>
  </si>
  <si>
    <t>10.1109/VISUAL.1993.398903</t>
  </si>
  <si>
    <t>http://dx.doi.org/10.1109/VISUAL.1993.398903</t>
  </si>
  <si>
    <t>Jean-Daniel Boissonnat;Bernhard Geiger</t>
  </si>
  <si>
    <t>I.N.R.I.A., Sophia-Antipolis, France|c|;</t>
  </si>
  <si>
    <t>The virtual restoration of the Visir tomb</t>
  </si>
  <si>
    <t>10.1109/VISUAL.1993.398904</t>
  </si>
  <si>
    <t>http://dx.doi.org/10.1109/VISUAL.1993.398904</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</si>
  <si>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compositing.&amp;lt;&amp;lt;ETX&amp;gt;&amp;gt;</t>
  </si>
  <si>
    <t>N. Max;B. Becker;R. Crawfis</t>
  </si>
  <si>
    <t>Lawrence Livermore Nat. Lab., Livermore, CA, USA;Lawrence Livermore Nat. Lab., Livermore, CA, USA;Lawrence Livermore Nat. Lab., Livermore, CA, USA</t>
  </si>
  <si>
    <t>Patrizia Palamidese;M. Betro;G. Muccioli</t>
  </si>
  <si>
    <t>CNUCE CNR, Pisa, Italy|c|;;</t>
  </si>
  <si>
    <t>The quantum Coulomb three-body problem - Visualization of simulation results and numerical methods</t>
  </si>
  <si>
    <t>10.1109/VISUAL.1993.398911</t>
  </si>
  <si>
    <t>http://dx.doi.org/10.1109/VISUAL.1993.398911</t>
  </si>
  <si>
    <t>D. I. Abramov;V. V. Gusev;Stanislav V. Klimenko;L. I. Ponomarev;W. Krueger;W. Renz</t>
  </si>
  <si>
    <t>Dept. of Theoretical Phys., St. Petersburg State Univ., Russia|c|;;;;;</t>
  </si>
  <si>
    <t>10.1109/VISUAL.1990.146391;10.1109/VISUAL.1991.175812</t>
  </si>
  <si>
    <t>Visualization and geographic information system integration: what are the needs and the requirements, if any?</t>
  </si>
  <si>
    <t>10.1109/VISUAL.1994.346284</t>
  </si>
  <si>
    <t>http://dx.doi.org/10.1109/VISUAL.1994.346284</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</si>
  <si>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up.&amp;lt;&amp;lt;ETX&amp;gt;&amp;gt;</t>
  </si>
  <si>
    <t>Hans-Heino Ehricke;Gerhard Daiber;Wolfgang Straßer</t>
  </si>
  <si>
    <t>H.-H. Ehricke;G. Daiber;W. Strasser</t>
  </si>
  <si>
    <t>Wilhelm-Schickard-Inst. fuer Inf., Tubingen Univ., Germany;Wilhelm-Schickard-Inst. fuer Inf., Tubingen Univ., Germany;Wilhelm-Schickard-Inst. fuer Inf., Tubingen Univ., Germany</t>
  </si>
  <si>
    <t>Theresa-Marie Rhyne;William Ivey;Loey Knapp;Peter Kochevar;Tom Mace</t>
  </si>
  <si>
    <t>Martin Marietta/US EPA Visualization Center, USA|c|;;;;</t>
  </si>
  <si>
    <t>Validation, verification and evaluation</t>
  </si>
  <si>
    <t>10.1109/VISUAL.1994.346285</t>
  </si>
  <si>
    <t>http://dx.doi.org/10.1109/VISUAL.1994.346285</t>
  </si>
  <si>
    <t>Samuel P. Uselton;Geoff Dorn;Charbel Farhat;Michael W. Vannier;Kim Esbensen;Al Globus</t>
  </si>
  <si>
    <t>NASA Ames Res. Center, Moffett Field, CA, USA|c|;;;;;</t>
  </si>
  <si>
    <t>Visualizing data: is virtual reality the key?</t>
  </si>
  <si>
    <t>10.1109/VISUAL.1994.346286</t>
  </si>
  <si>
    <t>http://dx.doi.org/10.1109/VISUAL.1994.346286</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</si>
  <si>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fields.&amp;lt;&amp;lt;ETX&amp;gt;&amp;gt;</t>
  </si>
  <si>
    <t>D.A. Lane</t>
  </si>
  <si>
    <t>Linda M. Stone;Thomas Erickson;Benjamin B. Bederson;Peter Rothman;Raymond Muzzy</t>
  </si>
  <si>
    <t>LORAL Space &amp; Range Syst., Sunnyvale, CA, USA|c|;;;;</t>
  </si>
  <si>
    <t>Visualizing multidimensional (multivariate) data and relations</t>
  </si>
  <si>
    <t>10.1109/VISUAL.1994.346287</t>
  </si>
  <si>
    <t>http://dx.doi.org/10.1109/VISUAL.1994.346287</t>
  </si>
  <si>
    <t>Alfred Inselberg;Georges G. Grinstein;Ted Mihalisin;Hans Hinterberger</t>
  </si>
  <si>
    <t>Dept. of Comput. Sci., California Univ., Los Angeles, CA, USA|c|;;;</t>
  </si>
  <si>
    <t>Visualization in medicine: VIRTUAL reality or ACTUAL reality ?</t>
  </si>
  <si>
    <t>10.1109/VISUAL.1994.346288</t>
  </si>
  <si>
    <t>http://dx.doi.org/10.1109/VISUAL.1994.346288</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</si>
  <si>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visualization.&amp;lt;&amp;lt;ETX&amp;gt;&amp;gt;</t>
  </si>
  <si>
    <t>W.C. de Leeuw;J.J. van Wijk</t>
  </si>
  <si>
    <t>Fac. of Tech. Math. &amp; Inf., Delft Univ. of Technol., Netherlands;Fac. of Tech. Math. &amp; Inf., Delft Univ. of Technol., Netherlands</t>
  </si>
  <si>
    <t>Christian Roux;Jean-Louis Coatrieux;Jean-Louis Dillenseger;Elliot K. Fishman;Murray H. Loew;Hans-Peter Meinzer;Justin D. Pearlman</t>
  </si>
  <si>
    <t>Dept. Image et Traitement de l''Inf., Ecole Nat. Superieure des Telecommun. de Bretagne, Brest, France|c|;;;;;;</t>
  </si>
  <si>
    <t>Challenges and opportunities in visualization for NASA's EOS Mission to Planet Earth</t>
  </si>
  <si>
    <t>10.1109/VISUAL.1994.346289</t>
  </si>
  <si>
    <t>http://dx.doi.org/10.1109/VISUAL.1994.346289</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</si>
  <si>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patterns.&amp;lt;&amp;lt;ETX&amp;gt;&amp;gt;</t>
  </si>
  <si>
    <t>A.J.S. Hin;F.H. Post</t>
  </si>
  <si>
    <t>Mike E. Botts;Jon D. Dykstra;Lee S. Elson;Steven J. Goodman;Meemong Lee</t>
  </si>
  <si>
    <t>Alabama Univ., Huntsville, AL, USA|c|;;;;</t>
  </si>
  <si>
    <t>Visualization of volcanic ash clouds</t>
  </si>
  <si>
    <t>10.1109/VISUAL.1994.346290</t>
  </si>
  <si>
    <t>http://dx.doi.org/10.1109/VISUAL.1994.346290</t>
  </si>
  <si>
    <t>390, C46</t>
  </si>
  <si>
    <t>Mitchell Roth;Rick Guritz</t>
  </si>
  <si>
    <t>Arctic Region Supercomput. Center, Alaska Univ., Fairbanks, AK, USA|c|;</t>
  </si>
  <si>
    <t>Volume rendering of pool fire data</t>
  </si>
  <si>
    <t>10.1109/VISUAL.1994.346291</t>
  </si>
  <si>
    <t>http://dx.doi.org/10.1109/VISUAL.1994.346291</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</si>
  <si>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computation.&amp;lt;&amp;lt;ETX&amp;gt;&amp;gt;</t>
  </si>
  <si>
    <t>I. Carlbom</t>
  </si>
  <si>
    <t>Digital Equipment Corp., Cambridge, MA, USA</t>
  </si>
  <si>
    <t>385, C45</t>
  </si>
  <si>
    <t>Holly E. Rushmeier;Anthony Hamins;Mun-Young Choi</t>
  </si>
  <si>
    <t>Nat. Inst. of Stand. &amp; Technol., Gaithersburg, MD, USA|c|;;</t>
  </si>
  <si>
    <t>Visualization of an electric power transmission system</t>
  </si>
  <si>
    <t>10.1109/VISUAL.1994.346292</t>
  </si>
  <si>
    <t>http://dx.doi.org/10.1109/VISUAL.1994.346292</t>
  </si>
  <si>
    <t>381, C44</t>
  </si>
  <si>
    <t>Pramod M. Mahadev;Richard D. Christie</t>
  </si>
  <si>
    <t>Dept. of Electr. Eng., Washington Univ., Seattle, WA, USA|c|;</t>
  </si>
  <si>
    <t>New techniques in the design of healthcare facilities</t>
  </si>
  <si>
    <t>10.1109/VISUAL.1994.346293</t>
  </si>
  <si>
    <t>http://dx.doi.org/10.1109/VISUAL.1994.346293</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</si>
  <si>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scheme.&amp;lt;&amp;lt;ETX&amp;gt;&amp;gt;</t>
  </si>
  <si>
    <t>R. Yagel;Z. Shi</t>
  </si>
  <si>
    <t>Dept. of Comput. &amp; Inf. Sci., Ohio State Univ., Columbbus, OH, USA;Dept. of Comput. &amp; Inf. Sci., Ohio State Univ., Columbbus, OH, USA</t>
  </si>
  <si>
    <t>377, C43</t>
  </si>
  <si>
    <t>Tarek K. Alameldin;Mardelle Shepley</t>
  </si>
  <si>
    <t>Visualization Lab., Texas A&amp;M Univ., College Station, TX, USA|c|;</t>
  </si>
  <si>
    <t>Visualization of 3D ultrasonic data</t>
  </si>
  <si>
    <t>10.1109/VISUAL.1994.346294</t>
  </si>
  <si>
    <t>http://dx.doi.org/10.1109/VISUAL.1994.346294</t>
  </si>
  <si>
    <t>373, C42</t>
  </si>
  <si>
    <t>Georgios Sakas;Lars-Arne Schreyer;Marcus Grimm</t>
  </si>
  <si>
    <t>Fraunhofer-Inst. for Comput. Graphics, Darmstadt, Germany|c|;;</t>
  </si>
  <si>
    <t>Observing a volume rendered fetus within a pregnant patient</t>
  </si>
  <si>
    <t>10.1109/VISUAL.1994.346295</t>
  </si>
  <si>
    <t>http://dx.doi.org/10.1109/VISUAL.1994.346295</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</si>
  <si>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described.&amp;lt;&amp;lt;ETX&amp;gt;&amp;gt;</t>
  </si>
  <si>
    <t>A. Van Gelder;J. Wilhelms</t>
  </si>
  <si>
    <t>Comput. &amp; Inf. Sci., California Univ., Santa Cruz, CA, USA;Comput. &amp; Inf. Sci., California Univ., Santa Cruz, CA, USA</t>
  </si>
  <si>
    <t>368, C41</t>
  </si>
  <si>
    <t>Andrei State;David T. Chen;Chris Tector;Andrew Brandt;Hong Chen;Ryutarou Ohbuchi;Michael Bajura;Henry Fuchs</t>
  </si>
  <si>
    <t>North Carolina Univ., Chapel Hill, NC, USA|c|;;;;;;;</t>
  </si>
  <si>
    <t>Integrating spatial data display with virtual reconstruction</t>
  </si>
  <si>
    <t>10.1109/VISUAL.1994.346296</t>
  </si>
  <si>
    <t>http://dx.doi.org/10.1109/VISUAL.1994.346296</t>
  </si>
  <si>
    <t>362, C40</t>
  </si>
  <si>
    <t>Philip Peterson;Brian Hayden;F. David Fracchia</t>
  </si>
  <si>
    <t>Sch. of Comput. Sci., Simon Fraser Univ., Burnaby, BC, Canada|c|;;</t>
  </si>
  <si>
    <t>10.1109/VISUAL.1993.398904;10.1109/VISUAL.1992.235188;10.1109/VISUAL.1991.175771</t>
  </si>
  <si>
    <t>Visualization of mesoscale flow features in ocean basins</t>
  </si>
  <si>
    <t>10.1109/VISUAL.1994.346297</t>
  </si>
  <si>
    <t>http://dx.doi.org/10.1109/VISUAL.1994.346297</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</si>
  <si>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representation.&amp;lt;&amp;lt;ETX&amp;gt;&amp;gt;</t>
  </si>
  <si>
    <t>S.W. Wang;A.E. Kaufman</t>
  </si>
  <si>
    <t>358, C39</t>
  </si>
  <si>
    <t>Andreas Johannsen;Robert J. Moorhead II</t>
  </si>
  <si>
    <t>NSF Eng. Res. Center for Comput. Field Simulation, Mississippi State Univ., MS, USA|c|;</t>
  </si>
  <si>
    <t>10.1109/VISUAL.1994.346332;10.1109/VISUAL.1993.398901;10.1109/VISUAL.1994.346332</t>
  </si>
  <si>
    <t>Severe rainfall events in Northwestern Peru (visualization of scattered meteorological data)</t>
  </si>
  <si>
    <t>10.1109/VISUAL.1994.346298</t>
  </si>
  <si>
    <t>http://dx.doi.org/10.1109/VISUAL.1994.346298</t>
  </si>
  <si>
    <t>354, C38</t>
  </si>
  <si>
    <t>A case study on visualization for boundary value problems</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</si>
  <si>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implementation.&amp;lt;&amp;lt;ETX&amp;gt;&amp;gt;</t>
  </si>
  <si>
    <t>10.1109/VISUAL.1994.346299</t>
  </si>
  <si>
    <t>http://dx.doi.org/10.1109/VISUAL.1994.346299</t>
  </si>
  <si>
    <t>M. Stonebraker;J. Chen;N. Nathan;C. Paxson;A. Su;J. Wu</t>
  </si>
  <si>
    <t>EECS Dept., California Univ., Berkeley, CA, USA;EECS Dept., California Univ., Berkeley, CA, USA;EECS Dept., California Univ., Berkeley, CA, USA;EECS Dept., California Univ., Berkeley, CA, USA;EECS Dept., California Univ., Berkeley, CA, USA;EECS Dept., California Univ., Berkeley, CA, USA</t>
  </si>
  <si>
    <t>G��bor Domokos;Randy C. Paffenroth</t>
  </si>
  <si>
    <t>Dept. of Strength of Mater., Tech. Univ. Budapest, Hungary|c|;</t>
  </si>
  <si>
    <t>Visualization and data analysis in space and atmospheric science</t>
  </si>
  <si>
    <t>10.1109/VISUAL.1994.346300</t>
  </si>
  <si>
    <t>http://dx.doi.org/10.1109/VISUAL.1994.346300</t>
  </si>
  <si>
    <t>344, C37</t>
  </si>
  <si>
    <t>A. Mankofsky;E. P. Szuszczewicz;P. Blanchard;C. Goodrich;D. McNabb;R. Kulkarni;D. Kamins</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</si>
  <si>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itself.&amp;lt;&amp;lt;ETX&amp;gt;&amp;gt;</t>
  </si>
  <si>
    <t>Sci. Applications Int. Corp., McLean, VA, USA|c|;;;;;;</t>
  </si>
  <si>
    <t>P. Kochevar;Z. Ahmed;J. Shade;C. Sharp</t>
  </si>
  <si>
    <t>Tokamak plasma turbulence visualization</t>
  </si>
  <si>
    <t>10.1109/VISUAL.1994.346301</t>
  </si>
  <si>
    <t>Digital Equipment Corp., San Diego, CA, USA;Digital Equipment Corp., San Diego, CA, USA</t>
  </si>
  <si>
    <t>http://dx.doi.org/10.1109/VISUAL.1994.346301</t>
  </si>
  <si>
    <t>340, C36</t>
  </si>
  <si>
    <t>Scott E. Parker;Ravi Samtaney</t>
  </si>
  <si>
    <t>Plasma Phys. Lab., Princeton Univ., NJ, USA|c|;</t>
  </si>
  <si>
    <t>Computational geometry, object modeling, geometric modeling, volume modeling, implicit modeling, sweeping</t>
  </si>
  <si>
    <t>XmdvTool: integrating multiple methods for visualizing multivariate data</t>
  </si>
  <si>
    <t>10.1109/VISUAL.1994.346302</t>
  </si>
  <si>
    <t>http://dx.doi.org/10.1109/VISUAL.1994.346302</t>
  </si>
  <si>
    <t>Matthew O. Ward</t>
  </si>
  <si>
    <t>Dept. of Comput. Sci., Worcester Polytech. Inst., MA, USA|c|</t>
  </si>
  <si>
    <t>10.1109/VISUAL.1990.146386;10.1109/VISUAL.1990.146387;10.1109/VISUAL.1990.146402</t>
  </si>
  <si>
    <t>An object oriented design for the visualization of multi-variable data objects</t>
  </si>
  <si>
    <t>10.1109/VISUAL.1994.346303</t>
  </si>
  <si>
    <t>http://dx.doi.org/10.1109/VISUAL.1994.346303</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</si>
  <si>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implemented.&amp;lt;&amp;lt;ETX&amp;gt;&amp;gt;</t>
  </si>
  <si>
    <t>K. Brodlie;A. Poon;H. Wright;L. Brankin;G. Banecki;A. Gay</t>
  </si>
  <si>
    <t>Sch. of Comput. Studies, Leeds Univ., UK;Sch. of Comput. Studies, Leeds Univ., UK;Sch. of Comput. Studies, Leeds Univ., UK;Sch. of Comput. Studies, Leeds Univ., UK;Sch. of Comput. Studies, Leeds Univ., UK;Sch. of Comput. Studies, Leeds Univ., UK</t>
  </si>
  <si>
    <t>325, C35</t>
  </si>
  <si>
    <t>Jean-Marie Favre;James K. Hahn</t>
  </si>
  <si>
    <t>Dept. of Electr. Eng. &amp; Comput. Sci., George Washington Univ., Washington, DC, USA|c|;</t>
  </si>
  <si>
    <t>10.1109/VISUAL.1991.175804;10.1109/VISUAL.1992.235219;10.1109/VISUAL.1990.146373;10.1109/VISUAL.1992.235205</t>
  </si>
  <si>
    <t>A lattice model for data display</t>
  </si>
  <si>
    <t>10.1109/VISUAL.1994.346304</t>
  </si>
  <si>
    <t>http://dx.doi.org/10.1109/VISUAL.1994.346304</t>
  </si>
  <si>
    <t>Space Sci. &amp; Eng. Center, Wisconsin Univ., Madison, WI, USA|c|;;</t>
  </si>
  <si>
    <t>10.1109/VISUAL.1992.235205;10.1109/VISUAL.1992.235202;10.1109/VISUAL.1991.175818;10.1109/VISUAL.1992.235215</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</si>
  <si>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classification.&amp;lt;&amp;lt;ETX&amp;gt;&amp;gt;</t>
  </si>
  <si>
    <t>Mix&amp;amp;Match: a construction kit for visualization</t>
  </si>
  <si>
    <t>G.J. Klinker</t>
  </si>
  <si>
    <t>10.1109/VISUAL.1994.346305</t>
  </si>
  <si>
    <t>http://dx.doi.org/10.1109/VISUAL.1994.346305</t>
  </si>
  <si>
    <t>309, C34</t>
  </si>
  <si>
    <t>Alex T. Pang;Naim Alper</t>
  </si>
  <si>
    <t>Baskin Center for Comput. Eng. &amp; Inf. Sci., California Univ., Santa Cruz, CA, USA|c|;</t>
  </si>
  <si>
    <t>10.1109/VISUAL.1993.398860;10.1109/VISUAL.1990.146373;10.1109/VISUAL.1991.175804;10.1109/VISUAL.1992.235207;10.1109/VISUAL.1992.235219;10.1109/VISUAL.1993.398880;10.1109/VISUAL.1993.398879</t>
  </si>
  <si>
    <t>Nonpolygonal isosurface rendering for large volume datasets</t>
  </si>
  <si>
    <t>10.1109/VISUAL.1994.346306</t>
  </si>
  <si>
    <t>http://dx.doi.org/10.1109/VISUAL.1994.346306</t>
  </si>
  <si>
    <t>300, C33</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</si>
  <si>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presented.&amp;lt;&amp;lt;ETX&amp;gt;&amp;gt;</t>
  </si>
  <si>
    <t>James W. Durkin;John F. Hughes</t>
  </si>
  <si>
    <t>Program of Comput. Graphics, Cornell Univ., Ithaca, NY, USA|c|;</t>
  </si>
  <si>
    <t>J.J. van Wijk;R. van Liere</t>
  </si>
  <si>
    <t>Netherlands Energy Res. Foundation, Petten, Netherlands;Netherlands Energy Res. Foundation, Petten, Netherlands</t>
  </si>
  <si>
    <t>Approximation of isosurface in the Marching Cube: ambiguity problem</t>
  </si>
  <si>
    <t>10.1109/VISUAL.1994.346307</t>
  </si>
  <si>
    <t>http://dx.doi.org/10.1109/VISUAL.1994.346307</t>
  </si>
  <si>
    <t>Sergey V. Matveyev</t>
  </si>
  <si>
    <t>Dept. of Comput. Sci., Inst. for High Energy Phys., Moscow, Russia|c|</t>
  </si>
  <si>
    <t>Discretized Marching Cubes</t>
  </si>
  <si>
    <t>10.1109/VISUAL.1994.346308</t>
  </si>
  <si>
    <t>http://dx.doi.org/10.1109/VISUAL.1994.346308</t>
  </si>
  <si>
    <t>287, C32</t>
  </si>
  <si>
    <t>Claudio Montani;Riccardo Scateni;Roberto Scopigno</t>
  </si>
  <si>
    <t>CNR, Pisa, Italy|c|;;</t>
  </si>
  <si>
    <t>An annotation system for 3D fluid flow visualization</t>
  </si>
  <si>
    <t>10.1109/VISUAL.1994.346309</t>
  </si>
  <si>
    <t>http://dx.doi.org/10.1109/VISUAL.1994.346309</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</si>
  <si>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system.&amp;lt;&amp;lt;ETX&amp;gt;&amp;gt;</t>
  </si>
  <si>
    <t>D. Song;E. Golin</t>
  </si>
  <si>
    <t>Dept. of Comput. Sci., Illinois Univ., Urbana, IL, USA;Dept. of Comput. Sci., Illinois Univ., Urbana, IL, USA</t>
  </si>
  <si>
    <t>279, C31</t>
  </si>
  <si>
    <t>Maria M. Loughlin;John F. Hughes</t>
  </si>
  <si>
    <t>Res. Lab., Digital Equipment Corp., Cambridge, MA, USA|c|;</t>
  </si>
  <si>
    <t>10.1109/VISUAL.1990.146360;10.1109/VISUAL.1991.175837;10.1109/VISUAL.1992.235203</t>
  </si>
  <si>
    <t>The design and implementation of the Cortex visualization system</t>
  </si>
  <si>
    <t>10.1109/VISUAL.1994.346310</t>
  </si>
  <si>
    <t>http://dx.doi.org/10.1109/VISUAL.1994.346310</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</si>
  <si>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studies.&amp;lt;&amp;lt;ETX&amp;gt;&amp;gt;</t>
  </si>
  <si>
    <t>C. Thornborrow;A.J.S. Wilson;C. Faigle</t>
  </si>
  <si>
    <t>Edinburgh Parallel Comput. Centre, Edinburgh Univ., UK;Edinburgh Parallel Comput. Centre, Edinburgh Univ., UK;Edinburgh Parallel Comput. Centre, Edinburgh Univ., UK</t>
  </si>
  <si>
    <t>272, C30</t>
  </si>
  <si>
    <t>Deb Banerjee;Chris Morley;Wayne Smith</t>
  </si>
  <si>
    <t>Fluent Inc., Lebanon, NH, USA|c|;;</t>
  </si>
  <si>
    <t>10.1109/VISUAL.1992.235223;10.1109/VISUAL.1991.175833;10.1109/VISUAL.1990.146360</t>
  </si>
  <si>
    <t>interactive, extensible, spray rendering, smart particles, visualization environment</t>
  </si>
  <si>
    <t>UFAT-a particle tracer for time-dependent flow fields</t>
  </si>
  <si>
    <t>10.1109/VISUAL.1994.346311</t>
  </si>
  <si>
    <t>http://dx.doi.org/10.1109/VISUAL.1994.346311</t>
  </si>
  <si>
    <t>264, C29</t>
  </si>
  <si>
    <t>10.1109/VISUAL.1990.146360;10.1109/VISUAL.1993.398848;10.1109/VISUAL.1993.398850;10.1109/VISUAL.1993.398849;10.1109/VISUAL.1993.398846</t>
  </si>
  <si>
    <t>Visualizing 3D velocity fields near contour surfaces</t>
  </si>
  <si>
    <t>10.1109/VISUAL.1994.346312</t>
  </si>
  <si>
    <t>http://dx.doi.org/10.1109/VISUAL.1994.346312</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</si>
  <si>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application.&amp;lt;&amp;lt;ETX&amp;gt;&amp;gt;</t>
  </si>
  <si>
    <t>T. He;A.E. Kaufman</t>
  </si>
  <si>
    <t>255, C28</t>
  </si>
  <si>
    <t>Nelson L. Max;Roger Crawfis;Charles Grant</t>
  </si>
  <si>
    <t>10.1109/VISUAL.1993.398877;10.1109/VISUAL.1994.346313</t>
  </si>
  <si>
    <t>Visualizing flow over curvilinear grid surfaces using line integral convolution</t>
  </si>
  <si>
    <t>10.1109/VISUAL.1994.346313</t>
  </si>
  <si>
    <t>http://dx.doi.org/10.1109/VISUAL.1994.346313</t>
  </si>
  <si>
    <t>247, C27</t>
  </si>
  <si>
    <t>Lisa K. Forssell</t>
  </si>
  <si>
    <t>Comput. Sci. Corp., NASA Ames Res. Center, Moffett Field, CA, USA|c|</t>
  </si>
  <si>
    <t>10.1109/VISUAL.1992.235227;10.1109/VISUAL.1990.146360;10.1109/VISUAL.1991.175771;10.1109/VISUAL.1992.235210;10.1109/VISUAL.1990.146359;10.1109/VISUAL.1993.398846;10.1109/VISUAL.1993.398850;10.1109/VISUAL.1991.175773;10.1109/VISUAL.1992.235226</t>
  </si>
  <si>
    <t>Volume rendering methods for computational fluid dynamics visualization</t>
  </si>
  <si>
    <t>10.1109/VISUAL.1994.346314</t>
  </si>
  <si>
    <t>http://dx.doi.org/10.1109/VISUAL.1994.346314</t>
  </si>
  <si>
    <t>239, C26</t>
  </si>
  <si>
    <t>David S. Ebert;Roni Yagel;James N. Scott;Yair Kurzion</t>
  </si>
  <si>
    <t>Dept. of Comput. Sci., Maryland Univ., Baltimore, MD, USA|c|;;;</t>
  </si>
  <si>
    <t>Streamball techniques for flow visualization</t>
  </si>
  <si>
    <t>10.1109/VISUAL.1994.346315</t>
  </si>
  <si>
    <t>http://dx.doi.org/10.1109/VISUAL.1994.346315</t>
  </si>
  <si>
    <t>231, C25</t>
  </si>
  <si>
    <t>Manfred Brill;Hans Hagen;Hans-Christian Rodrian;Wladimir Djatschin;Stanislav V. Klimenko</t>
  </si>
  <si>
    <t>Dept. of Comput. Sci., Kaiserslautern Univ., Germany|c|;;;;</t>
  </si>
  <si>
    <t>10.1109/VISUAL.1992.235193;10.1109/VISUAL.1991.175789;10.1109/VISUAL.1992.235226;10.1109/VISUAL.1992.235211;10.1109/VISUAL.1993.398875</t>
  </si>
  <si>
    <t>User modeling for adaptive visualization systems</t>
  </si>
  <si>
    <t>10.1109/VISUAL.1994.346316</t>
  </si>
  <si>
    <t>http://dx.doi.org/10.1109/VISUAL.1994.346316</t>
  </si>
  <si>
    <t>223, C24</t>
  </si>
  <si>
    <t>Gitta Domik;Bernd Gutkauf</t>
  </si>
  <si>
    <t>Paderborn Univ., Germany|c|;</t>
  </si>
  <si>
    <t>10.1109/VISUAL.1990.146387;10.1109/VISUAL.1991.175795;10.1109/VISUAL.1990.146375</t>
  </si>
  <si>
    <t>Restorer: a visualization technique for handling missing data</t>
  </si>
  <si>
    <t>10.1109/VISUAL.1994.346317</t>
  </si>
  <si>
    <t>http://dx.doi.org/10.1109/VISUAL.1994.346317</t>
  </si>
  <si>
    <t>216, C23</t>
  </si>
  <si>
    <t>Ray Twiddy;John Cavallo;Shahram M. Shiri</t>
  </si>
  <si>
    <t>Hughes STX Corp., NASA Goddard Space Flight Center, Greenbelt, MD, USA|c|;;</t>
  </si>
  <si>
    <t>Spiders: a new user interface for rotation and visualization of n-dimensional point sets</t>
  </si>
  <si>
    <t>10.1109/VISUAL.1994.346318</t>
  </si>
  <si>
    <t>http://dx.doi.org/10.1109/VISUAL.1994.346318</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</si>
  <si>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way.&amp;lt;&amp;lt;ETX&amp;gt;&amp;gt;</t>
  </si>
  <si>
    <t>A. Spoerri</t>
  </si>
  <si>
    <t>Center for Educational Comput. Initiatives, MIT, Cambridge, MA, USA</t>
  </si>
  <si>
    <t>211, C22</t>
  </si>
  <si>
    <t>Kirk L. Duffin;Bill Barrett</t>
  </si>
  <si>
    <t>Brigham Young Univ., Provo, UT, USA|c|;</t>
  </si>
  <si>
    <t>Parallel performance measures for volume ray casting</t>
  </si>
  <si>
    <t>10.1109/VISUAL.1994.346319</t>
  </si>
  <si>
    <t>http://dx.doi.org/10.1109/VISUAL.1994.346319</t>
  </si>
  <si>
    <t>Cl��udio T. Silva;Arie E. Kaufman</t>
  </si>
  <si>
    <t>10.1109/VISUAL.1992.235231;10.1109/VISUAL.1991.175777;10.1109/VISUAL.1994.346340</t>
  </si>
  <si>
    <t>Fast surface rendering from raster data by voxel traversal using chessboard distance</t>
  </si>
  <si>
    <t>10.1109/VISUAL.1994.346320</t>
  </si>
  <si>
    <t>http://dx.doi.org/10.1109/VISUAL.1994.346320</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</si>
  <si>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specification.&amp;lt;&amp;lt;ETX&amp;gt;&amp;gt;</t>
  </si>
  <si>
    <t>195, C21</t>
  </si>
  <si>
    <t>D.A. Keim;H.-P. Kriegel;T. Seidl</t>
  </si>
  <si>
    <t>Milos Sr��mek</t>
  </si>
  <si>
    <t>Slovak Tech. Univ., Bratislava, Slovakia|c|</t>
  </si>
  <si>
    <t>Inst. for Comput. Sci., Munich Univ., Germany;Inst. for Comput. Sci., Munich Univ., Germany;Inst. for Comput. Sci., Munich Univ., Germany</t>
  </si>
  <si>
    <t>Differential volume rendering: a fast volume visualization technique for flow animation</t>
  </si>
  <si>
    <t>10.1109/VISUAL.1994.346321</t>
  </si>
  <si>
    <t>http://dx.doi.org/10.1109/VISUAL.1994.346321</t>
  </si>
  <si>
    <t>187, C20</t>
  </si>
  <si>
    <t>Han-Wei Shen;Christopher R. Johnson 0001</t>
  </si>
  <si>
    <t>10.1109/VISUAL.1993.398877;10.1109/VISUAL.1992.235227;10.1109/VISUAL.1992.235210;10.1109/VISUAL.1991.175772;10.1109/VISUAL.1993.398852;10.1109/VISUAL.1991.175773;10.1109/VISUAL.1993.398846</t>
  </si>
  <si>
    <t>Strata-various: multi-layer visualization of dynamics in software system behavior</t>
  </si>
  <si>
    <t>10.1109/VISUAL.1994.346322</t>
  </si>
  <si>
    <t>http://dx.doi.org/10.1109/VISUAL.1994.346322</t>
  </si>
  <si>
    <t>178, C19</t>
  </si>
  <si>
    <t>Doug Kimelman;Bryan S. Rosenburg;Tova Roth</t>
  </si>
  <si>
    <t>A library for visualizing combinatorial structures</t>
  </si>
  <si>
    <t>10.1109/VISUAL.1994.346323</t>
  </si>
  <si>
    <t>http://dx.doi.org/10.1109/VISUAL.1994.346323</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</si>
  <si>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display.&amp;lt;&amp;lt;ETX&amp;gt;&amp;gt;</t>
  </si>
  <si>
    <t>T.M. Morrow;S. Ghosh</t>
  </si>
  <si>
    <t>171, C18</t>
  </si>
  <si>
    <t>Marc Najork;Marc H. Brown</t>
  </si>
  <si>
    <t>DEC Syst. Res. Center, Palo Alto, CA, USA|c|;</t>
  </si>
  <si>
    <t>Virtual reality performance for virtual geometry</t>
  </si>
  <si>
    <t>10.1109/VISUAL.1994.346324</t>
  </si>
  <si>
    <t>http://dx.doi.org/10.1109/VISUAL.1994.346324</t>
  </si>
  <si>
    <t>Oracle Corp., Redwood Shores, CA, USA;Oracle Corp., Redwood Shores, CA, USA</t>
  </si>
  <si>
    <t>163, C17</t>
  </si>
  <si>
    <t>Robert A. Cross;Andrew J. Hanson</t>
  </si>
  <si>
    <t>10.1109/VISUAL.1994.346330;10.1109/VISUAL.1993.398869;10.1109/VISUAL.1991.175821;10.1109/VISUAL.1992.235222</t>
  </si>
  <si>
    <t>GASP-a system for visualizing geometric algorithms</t>
  </si>
  <si>
    <t>10.1109/VISUAL.1994.346325</t>
  </si>
  <si>
    <t>http://dx.doi.org/10.1109/VISUAL.1994.346325</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</si>
  <si>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area.&amp;lt;&amp;lt;ETX&amp;gt;&amp;gt;</t>
  </si>
  <si>
    <t>A. Waheed;D.T. Rover</t>
  </si>
  <si>
    <t>155, C16</t>
  </si>
  <si>
    <t>Dept. of Electr. Eng., Michigan State Univ., E. Lansing, MI, USA;Dept. of Electr. Eng., Michigan State Univ., E. Lansing, MI, USA</t>
  </si>
  <si>
    <t>Ayellet Tal;David P. Dobkin</t>
  </si>
  <si>
    <t>Dept. of Comput. Sci., Princeton Univ., NJ, USA|c|;</t>
  </si>
  <si>
    <t>The topology of symmetric, second-order tensor fields</t>
  </si>
  <si>
    <t>10.1109/VISUAL.1994.346326</t>
  </si>
  <si>
    <t>http://dx.doi.org/10.1109/VISUAL.1994.346326</t>
  </si>
  <si>
    <t>147, C15</t>
  </si>
  <si>
    <t>Dept. of Appl. Phys., Stanford Univ., CA, USA|c|;</t>
  </si>
  <si>
    <t>Vortex tubes in turbulent flows: identification, representation, reconstruction</t>
  </si>
  <si>
    <t>10.1109/VISUAL.1994.346327</t>
  </si>
  <si>
    <t>http://dx.doi.org/10.1109/VISUAL.1994.346327</t>
  </si>
  <si>
    <t>139, C14</t>
  </si>
  <si>
    <t>David C. Banks;Bart A. Singer</t>
  </si>
  <si>
    <t>Inst. for Comput. Applications in Sci. &amp; Eng., NASA Langley Res. Center, Hampton, VA, USA|c|;</t>
  </si>
  <si>
    <t>3D visualization of unsteady 2D airplane wake vortices</t>
  </si>
  <si>
    <t>10.1109/VISUAL.1994.346328</t>
  </si>
  <si>
    <t>http://dx.doi.org/10.1109/VISUAL.1994.346328</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</si>
  <si>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satisfactory.&amp;lt;&amp;lt;ETX&amp;gt;&amp;gt;</t>
  </si>
  <si>
    <t>B. Alpern;L. Carter;M. Grayson;C. Pelkie</t>
  </si>
  <si>
    <t>IBM T. J. Watson Res. Center, Yorktown Heights, NY, USA;IBM T. J. Watson Res. Center, Yorktown Heights, NY, USA;IBM T. J. Watson Res. Center, Yorktown Heights, NY, USA;IBM T. J. Watson Res. Center, Yorktown Heights, NY, USA</t>
  </si>
  <si>
    <t>131, C13</t>
  </si>
  <si>
    <t>Kwan-Liu Ma;Z. C. Zheng</t>
  </si>
  <si>
    <t>Feature detection from vector quantities in a numerically simulated hypersonic flow field in combination with experimental flow visualization</t>
  </si>
  <si>
    <t>10.1109/VISUAL.1994.346329</t>
  </si>
  <si>
    <t>http://dx.doi.org/10.1109/VISUAL.1994.346329</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</si>
  <si>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sets.&amp;lt;&amp;lt;ETX&amp;gt;&amp;gt;</t>
  </si>
  <si>
    <t>P. Hinker;C. Hansen</t>
  </si>
  <si>
    <t>123, C12</t>
  </si>
  <si>
    <t>Hans-Georg Pagendarm;Birgit Walter</t>
  </si>
  <si>
    <t>DLR, German Aerosp. Res. Establ., Gottingen, Germany|c|;</t>
  </si>
  <si>
    <t>Visualizing flow with quaternion frames</t>
  </si>
  <si>
    <t>10.1109/VISUAL.1994.346330</t>
  </si>
  <si>
    <t>http://dx.doi.org/10.1109/VISUAL.1994.346330</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</si>
  <si>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hardware.&amp;lt;&amp;lt;ETX&amp;gt;&amp;gt;</t>
  </si>
  <si>
    <t>A.J. Hanson;R.A. Cross</t>
  </si>
  <si>
    <t>115, C11</t>
  </si>
  <si>
    <t>Andrew J. Hanson;Hui Ma</t>
  </si>
  <si>
    <t>10.1109/VISUAL.1993.398869;10.1109/VISUAL.1994.346324;10.1109/VISUAL.1992.235211</t>
  </si>
  <si>
    <t>An evaluation of reconstruction filters for volume rendering</t>
  </si>
  <si>
    <t>10.1109/VISUAL.1994.346331</t>
  </si>
  <si>
    <t>http://dx.doi.org/10.1109/VISUAL.1994.346331</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</si>
  <si>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program.&amp;lt;&amp;lt;ETX&amp;gt;&amp;gt;</t>
  </si>
  <si>
    <t>S.G. Eick;G.J. Wills</t>
  </si>
  <si>
    <t>AT&amp;T Bell Lab., USA;AT&amp;T Bell Lab., USA</t>
  </si>
  <si>
    <t>107, C10</t>
  </si>
  <si>
    <t>Steve Marschner;Richard Lobb</t>
  </si>
  <si>
    <t>Progressive transmission of scientific data using biorthogonal wavelet transform</t>
  </si>
  <si>
    <t>10.1109/VISUAL.1994.346332</t>
  </si>
  <si>
    <t>http://dx.doi.org/10.1109/VISUAL.1994.346332</t>
  </si>
  <si>
    <t>99, C9</t>
  </si>
  <si>
    <t>Hai Tao;Robert J. Moorhead II</t>
  </si>
  <si>
    <t>NSF Eng. Res. Center for Comput. Field Simulation, Mississippi Univ., MS, USA|c|;</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</si>
  <si>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primaries.&amp;lt;&amp;lt;ETX&amp;gt;&amp;gt;</t>
  </si>
  <si>
    <t>Wavelet-based volume morphing</t>
  </si>
  <si>
    <t>10.1109/VISUAL.1994.346333</t>
  </si>
  <si>
    <t>http://dx.doi.org/10.1109/VISUAL.1994.346333</t>
  </si>
  <si>
    <t>M.S. Peercy;L. Hesselink</t>
  </si>
  <si>
    <t>92, C8</t>
  </si>
  <si>
    <t>Taosong He;Sidney W. Wang;Arie E. Kaufman</t>
  </si>
  <si>
    <t>Isosurface generation by using extrema graphs</t>
  </si>
  <si>
    <t>10.1109/VISUAL.1994.346334</t>
  </si>
  <si>
    <t>http://dx.doi.org/10.1109/VISUAL.1994.346334</t>
  </si>
  <si>
    <t>83, C7</t>
  </si>
  <si>
    <t>Takayuki Itoh;Koji Koyamada</t>
  </si>
  <si>
    <t>Res. Lab., IBM Japan Ltd., Tokyo, Japan|c|;</t>
  </si>
  <si>
    <t>10.1109/VISUAL.1992.235213;10.1109/VISUAL.1991.175780</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</si>
  <si>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high-complexity.&amp;lt;&amp;lt;ETX&amp;gt;&amp;gt;</t>
  </si>
  <si>
    <t>Triangulation and display of rational parametric surfaces</t>
  </si>
  <si>
    <t>10.1109/VISUAL.1994.346335</t>
  </si>
  <si>
    <t>http://dx.doi.org/10.1109/VISUAL.1994.346335</t>
  </si>
  <si>
    <t>A.R. Rao;G.L. Lohse</t>
  </si>
  <si>
    <t>IBM T.J. Watson Res. Center, Yorktown Heights, NY, USA;IBM T.J. Watson Res. Center, Yorktown Heights, NY, USA</t>
  </si>
  <si>
    <t>76, C6</t>
  </si>
  <si>
    <t>Chandrajit L. Bajaj;Andrew V. Royappa</t>
  </si>
  <si>
    <t>Dept. of Comput. Sci., Purdue Univ., West Lafayette, IN, USA|c|;</t>
  </si>
  <si>
    <t>Piecewise-linear surface approximation from noisy scattered samples</t>
  </si>
  <si>
    <t>10.1109/VISUAL.1994.346336</t>
  </si>
  <si>
    <t>http://dx.doi.org/10.1109/VISUAL.1994.346336</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</si>
  <si>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requirements.&amp;lt;&amp;lt;ETX&amp;gt;&amp;gt;</t>
  </si>
  <si>
    <t>Michael Margaliot;Craig Gotsman</t>
  </si>
  <si>
    <t>R.R. Springmeyer</t>
  </si>
  <si>
    <t>Dept. of Electr. Eng., Technion-Israel Inst. of Technol., Haifa, Israel|c|;</t>
  </si>
  <si>
    <t>Lawrence Livermore Nat. Lab., Livermore, CA, USA</t>
  </si>
  <si>
    <t>Introducing alpha shapes for the analysis of path integral Monte Carlo results</t>
  </si>
  <si>
    <t>10.1109/VISUAL.1994.346337</t>
  </si>
  <si>
    <t>http://dx.doi.org/10.1109/VISUAL.1994.346337</t>
  </si>
  <si>
    <t>Patrick J. Moran;Marcus Wagner</t>
  </si>
  <si>
    <t>Visualizing polycrystalline orientation microstructures with spherical color maps</t>
  </si>
  <si>
    <t>10.1109/VISUAL.1994.346338</t>
  </si>
  <si>
    <t>http://dx.doi.org/10.1109/VISUAL.1994.346338</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</si>
  <si>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operation.&amp;lt;&amp;lt;ETX&amp;gt;&amp;gt;</t>
  </si>
  <si>
    <t>B.E. Rogowitz;L.A. Treinish</t>
  </si>
  <si>
    <t>51, C5</t>
  </si>
  <si>
    <t>Boris Yamrom;John A. Sutliff;Andrew P. Woodfield</t>
  </si>
  <si>
    <t>Gen. Electr. Corp. Res. &amp; Dev. Center, Schenectady, NY, USA|c|;;</t>
  </si>
  <si>
    <t>10.1109/VISUAL.1993.398867;10.1109/VISUAL.1990.146380</t>
  </si>
  <si>
    <t>Implicit modeling of swept surfaces and volumes</t>
  </si>
  <si>
    <t>10.1109/VISUAL.1994.346339</t>
  </si>
  <si>
    <t>http://dx.doi.org/10.1109/VISUAL.1994.346339</t>
  </si>
  <si>
    <t>45, C4</t>
  </si>
  <si>
    <t>William J. Schroeder;William E. Lorensen;Steve Linthicum</t>
  </si>
  <si>
    <t>VolVis: a diversified volume visualization system</t>
  </si>
  <si>
    <t>10.1109/VISUAL.1994.346340</t>
  </si>
  <si>
    <t>http://dx.doi.org/10.1109/VISUAL.1994.346340</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</si>
  <si>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presented.&amp;lt;&amp;lt;ETX&amp;gt;&amp;gt;</t>
  </si>
  <si>
    <t>Netherlands Energy Res. Foundation, Petten, Netherlands</t>
  </si>
  <si>
    <t>38, C3</t>
  </si>
  <si>
    <t>Ricardo S. Avila;Taosong He;Lichan Hong;Arie E. Kaufman;Hanspeter Pfister;Cl��udio T. Silva;Lisa M. Sobierajski;Sidney W. Wang</t>
  </si>
  <si>
    <t>Howard Hughes Med. Inst., State Univ. of New York, Stony Brook, NY, USA|c|;;;;;;;</t>
  </si>
  <si>
    <t>10.1109/VISUAL.1992.235231;10.1109/VISUAL.1993.398862;10.1109/VISUAL.1993.398854;10.1109/VISUAL.1990.146391</t>
  </si>
  <si>
    <t>A distributed, parallel, interactive volume rendering package</t>
  </si>
  <si>
    <t>10.1109/VISUAL.1994.346341</t>
  </si>
  <si>
    <t>http://dx.doi.org/10.1109/VISUAL.1994.346341</t>
  </si>
  <si>
    <t>30, C2</t>
  </si>
  <si>
    <t>John S. Rowlan;G. Edward Lent;Nihar Gokhale;Shannon Bradshaw</t>
  </si>
  <si>
    <t>Div. of Math. &amp; Comput. Sci., Argonne Nat. Lab., IL, USA|c|;;;</t>
  </si>
  <si>
    <t>Integrated control of distributed volume visualization through the World-Wide-Web</t>
  </si>
  <si>
    <t>10.1109/VISUAL.1994.346342</t>
  </si>
  <si>
    <t>http://dx.doi.org/10.1109/VISUAL.1994.346342</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</si>
  <si>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mixing.&amp;lt;&amp;lt;ETX&amp;gt;&amp;gt;</t>
  </si>
  <si>
    <t>K.-L. Ma;P.J. Smith</t>
  </si>
  <si>
    <t>NASA Langley Res. Center, Hampton, VA, USA;NASA Langley Res. Center, Hampton, VA, USA</t>
  </si>
  <si>
    <t>Cheong S. Ang;David C. Martin;Michael D. Doyle</t>
  </si>
  <si>
    <t>Libr. &amp; Center for Knowledge Manage., California Univ., San Francisco, CA, USA|c|;;</t>
  </si>
  <si>
    <t>InfoVis</t>
  </si>
  <si>
    <t>Visualisation for functional design</t>
  </si>
  <si>
    <t>10.1109/INFVIS.1995.528680</t>
  </si>
  <si>
    <t>http://dx.doi.org/10.1109/INFVIS.1995.528680</t>
  </si>
  <si>
    <t>Robert Spence;Lisa Tweedie;Huw Dawkes;Hua Su</t>
  </si>
  <si>
    <t>Dept. of Electr. Eng., Imperial Coll. of Sci., Technol. &amp; Med., London, UK|c|;;;</t>
  </si>
  <si>
    <t>Towards a generative theory of diagram design</t>
  </si>
  <si>
    <t>10.1109/INFVIS.1995.528681</t>
  </si>
  <si>
    <t>http://dx.doi.org/10.1109/INFVIS.1995.528681</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</si>
  <si>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fields.&amp;lt;&amp;lt;ETX&amp;gt;&amp;gt;</t>
  </si>
  <si>
    <t>R.A. Crawfis;N. Max</t>
  </si>
  <si>
    <t>Klaus Reichenberger;Thomas Kamps;Gene Golovchinsky</t>
  </si>
  <si>
    <t>Lawrence Livermore Nat. Lab., Livermore, CA, USA;Lawrence Livermore Nat. Lab., Livermore, CA, USA</t>
  </si>
  <si>
    <t>GMD-Inst. for Integrated Publication &amp; Inf. Sci., Darmstadt, Germany|c|;;</t>
  </si>
  <si>
    <t>10.1109/VISUAL.1995.480815</t>
  </si>
  <si>
    <t>Research report: information animation applications in the capital markets</t>
  </si>
  <si>
    <t>10.1109/INFVIS.1995.528682</t>
  </si>
  <si>
    <t>http://dx.doi.org/10.1109/INFVIS.1995.528682</t>
  </si>
  <si>
    <t>W. Wright</t>
  </si>
  <si>
    <t>Visible Decisions Inc., Toronto, Ont., Canada|c|</t>
  </si>
  <si>
    <t>Research report: improving browsing in information by the automatic display layout</t>
  </si>
  <si>
    <t>10.1109/INFVIS.1995.528683</t>
  </si>
  <si>
    <t>http://dx.doi.org/10.1109/INFVIS.1995.528683</t>
  </si>
  <si>
    <t>Peter L�_ders;Rolf Ernst</t>
  </si>
  <si>
    <t>Tech. Univ. Braunschweig, Germany|c|;</t>
  </si>
  <si>
    <t>SDM: malleable information graphics</t>
  </si>
  <si>
    <t>10.1109/INFVIS.1995.528684</t>
  </si>
  <si>
    <t>http://dx.doi.org/10.1109/INFVIS.1995.528684</t>
  </si>
  <si>
    <t>Mei C. Chuah;Steven F. Roth;Joe Mattis;John Kolojejchick</t>
  </si>
  <si>
    <t>Sch. of Comput. Sci., Carnegie Mellon Univ., Pittsburgh, PA, USA|c|;;;</t>
  </si>
  <si>
    <t>Interactive techniques, visualization, direct manipulation</t>
  </si>
  <si>
    <t>The information mural: a technique for displaying and navigating large information spaces</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</si>
  <si>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tool.&amp;lt;&amp;lt;ETX&amp;gt;&amp;gt;</t>
  </si>
  <si>
    <t>10.1109/INFVIS.1995.528685</t>
  </si>
  <si>
    <t>William E. Lorensen</t>
  </si>
  <si>
    <t>http://dx.doi.org/10.1109/INFVIS.1995.528685</t>
  </si>
  <si>
    <t>W.E. Lorensen</t>
  </si>
  <si>
    <t>General Electric Corp., Schenectady, NY, USA</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</si>
  <si>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community.&amp;lt;&amp;lt;ETX&amp;gt;&amp;gt;</t>
  </si>
  <si>
    <t>B. Corrie;P. Mackerras</t>
  </si>
  <si>
    <t>Dept. of Comput. Sci., Australian Nat. Univ., Canberra, ACT, Australia;Dept. of Comput. Sci., Australian Nat. Univ., Canberra, ACT, Australia</t>
  </si>
  <si>
    <t>Dean F. Jerding;John T. Stasko</t>
  </si>
  <si>
    <t>Coll. of Comput., Georgia Inst. of Technol., Atlanta, GA, USA|c|;</t>
  </si>
  <si>
    <t>Visualizing the non-visual: spatial analysis and interaction with information from text documents</t>
  </si>
  <si>
    <t>10.1109/INFVIS.1995.528686</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</si>
  <si>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ways.&amp;lt;&amp;lt;ETX&amp;gt;&amp;gt;</t>
  </si>
  <si>
    <t>http://dx.doi.org/10.1109/INFVIS.1995.528686</t>
  </si>
  <si>
    <t>A. Pang;K. Smith</t>
  </si>
  <si>
    <t>Board of Studies in Comput. &amp; Inf. Sci., California Univ., Santa Cruz, CA, USA;Board of Studies in Comput. &amp; Inf. Sci., California Univ., Santa Cruz, CA, USA</t>
  </si>
  <si>
    <t>James A. Wise;James J. Thomas;Kelly Pennock;D. Lantrip;M. Pottier;Anne Schur;V. Crow</t>
  </si>
  <si>
    <t>Pacific Northwest Lab., Richland, WA, USA|c|;;;;;;</t>
  </si>
  <si>
    <t>VRMosaic: WEB access from within a virtual environment</t>
  </si>
  <si>
    <t>10.1109/INFVIS.1995.528687</t>
  </si>
  <si>
    <t>http://dx.doi.org/10.1109/INFVIS.1995.528687</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</si>
  <si>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given.&amp;lt;&amp;lt;ETX&amp;gt;&amp;gt;</t>
  </si>
  <si>
    <t>P.A. Fletcher;P.K. Robertson</t>
  </si>
  <si>
    <t>CSIRO, Canberra, ACT, Australia;CSIRO, Canberra, ACT, Australia</t>
  </si>
  <si>
    <t>Ian G. Angus;Henry Sowizral</t>
  </si>
  <si>
    <t>Inf. &amp; Support Services, Boeing Co., Seattle, WA, USA|c|;</t>
  </si>
  <si>
    <t>Virtual Reality, Mosaic, User Interface Components</t>
  </si>
  <si>
    <t>IVEE: an Information Visualization and Exploration Environment</t>
  </si>
  <si>
    <t>10.1109/INFVIS.1995.528688</t>
  </si>
  <si>
    <t>http://dx.doi.org/10.1109/INFVIS.1995.528688</t>
  </si>
  <si>
    <t>Christopher Ahlberg;Erik Wistrand</t>
  </si>
  <si>
    <t>Dept. of Comput. Sci., Chalmers Univ. of Technol., Goteborg, Sweden|c|;</t>
  </si>
  <si>
    <t>10.1109/VISUAL.1991.175815;10.1109/VISUAL.1993.398863</t>
  </si>
  <si>
    <t>Research report. Interacting with huge hierarchies: beyond cone trees</t>
  </si>
  <si>
    <t>10.1109/INFVIS.1995.528689</t>
  </si>
  <si>
    <t>http://dx.doi.org/10.1109/INFVIS.1995.528689</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</si>
  <si>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atom.&amp;lt;&amp;lt;ETX&amp;gt;&amp;gt;</t>
  </si>
  <si>
    <t>A. Varshney;F.P. Brooks</t>
  </si>
  <si>
    <t>Dept. of Comput. Sci., North Carolina Univ., Chapel Hill, NC, USA;Dept. of Comput. Sci., North Carolina Univ., Chapel Hill, NC, USA</t>
  </si>
  <si>
    <t>S. Jeromy Carri̬re;Rick Kazman</t>
  </si>
  <si>
    <t>Dept. of Comput. Sci., Waterloo Univ., Ont., Canada|c|;</t>
  </si>
  <si>
    <t>Research report. DataSpace: 3-D visualizations of large databases</t>
  </si>
  <si>
    <t>10.1109/INFVIS.1995.528690</t>
  </si>
  <si>
    <t>http://dx.doi.org/10.1109/INFVIS.1995.528690</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</si>
  <si>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content.&amp;lt;&amp;lt;ETX&amp;gt;&amp;gt;</t>
  </si>
  <si>
    <t>Vinod Anupam;Shaul Dar;Ted Leibfried;Eric Petajan</t>
  </si>
  <si>
    <t>AT&amp;T Bell Labs., Murray Hill, NJ, USA|c|;;;</t>
  </si>
  <si>
    <t>D. Wu;J. Roberge;D.J. Cork;B.G. Nguyen;T. Grace</t>
  </si>
  <si>
    <t>Illinois Inst. of Technol., Chicago, IL, USA;Illinois Inst. of Technol., Chicago, IL, USA;Illinois Inst. of Technol., Chicago, IL, USA;Illinois Inst. of Technol., Chicago, IL, USA;Illinois Inst. of Technol., Chicago, IL, USA</t>
  </si>
  <si>
    <t>Case study. Narcissus: visualising information</t>
  </si>
  <si>
    <t>10.1109/INFVIS.1995.528691</t>
  </si>
  <si>
    <t>http://dx.doi.org/10.1109/INFVIS.1995.528691</t>
  </si>
  <si>
    <t>Robert J. Hendley;Nick S. Drew;Andrew Wood;Russell Beale</t>
  </si>
  <si>
    <t>Sch. of Comput. Sci., Birmingham Univ., UK|c|;;;</t>
  </si>
  <si>
    <t>Case study. Visualising cyberspace: information visualisation in the Harmony Internet browser</t>
  </si>
  <si>
    <t>10.1109/INFVIS.1995.528692</t>
  </si>
  <si>
    <t>http://dx.doi.org/10.1109/INFVIS.1995.528692</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</si>
  <si>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objects.&amp;lt;&amp;lt;ETX&amp;gt;&amp;gt;</t>
  </si>
  <si>
    <t>A.J. Bladek</t>
  </si>
  <si>
    <t>Appl. Phys. Lab., Washington Univ., Seattle, WA, USA</t>
  </si>
  <si>
    <t>K. Andrews</t>
  </si>
  <si>
    <t>Inst. for Inf. Process. &amp; Comput. Supported New Media, Graz Univ. of Technol., Austria|c|</t>
  </si>
  <si>
    <t>10.1109/VISUAL.1991.175815;10.1109/VISUAL.1992.235198</t>
  </si>
  <si>
    <t>Case study: fishing for information on the Internet</t>
  </si>
  <si>
    <t>10.1109/INFVIS.1995.528693</t>
  </si>
  <si>
    <t>http://dx.doi.org/10.1109/INFVIS.1995.528693</t>
  </si>
  <si>
    <t>R. Mitchell;David S. Day;Lynette Hirschman</t>
  </si>
  <si>
    <t>Mitre Corp., Bedford, MA, USA|c|;;</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</si>
  <si>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modalities.&amp;lt;&amp;lt;ETX&amp;gt;&amp;gt;</t>
  </si>
  <si>
    <t>Case study. A WWW viewpoint on scientific visualization: an EPA case study for technology transfer</t>
  </si>
  <si>
    <t>10.1109/INFVIS.1995.528694</t>
  </si>
  <si>
    <t>D. Ranken;J. George</t>
  </si>
  <si>
    <t>http://dx.doi.org/10.1109/INFVIS.1995.528694</t>
  </si>
  <si>
    <t>Theresa-Marie Rhyne</t>
  </si>
  <si>
    <t>Lockheed Martin, Research Triangle Park, NC, USA|c|</t>
  </si>
  <si>
    <t>Case study: an empirical investigation of thumbnail image recognition</t>
  </si>
  <si>
    <t>10.1109/INFVIS.1995.528695</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</si>
  <si>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package.&amp;lt;&amp;lt;ETX&amp;gt;&amp;gt;</t>
  </si>
  <si>
    <t>http://dx.doi.org/10.1109/INFVIS.1995.528695</t>
  </si>
  <si>
    <t>Schlumberger Lab. for Comput. Sci., Austin, TX, USA;Schlumberger Lab. for Comput. Sci., Austin, TX, USA</t>
  </si>
  <si>
    <t>C. A. Burton;L. J. Johnston;E. A. Sonenberg</t>
  </si>
  <si>
    <t>Melbourne Univ., Parkville, Vic., Australia|c|;;</t>
  </si>
  <si>
    <t>Case study: visualizing Internet resources</t>
  </si>
  <si>
    <t>10.1109/INFVIS.1995.528696</t>
  </si>
  <si>
    <t>http://dx.doi.org/10.1109/INFVIS.1995.528696</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</si>
  <si>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perspectives.&amp;lt;&amp;lt;ETX&amp;gt;&amp;gt;</t>
  </si>
  <si>
    <t>Santos Ltd., Australia;Santos Ltd., Australia</t>
  </si>
  <si>
    <t>Nahum D. Gershon;Joshua LeVasseur;Joel Winstead;J. Croall;A. Pernicks;William Ruh</t>
  </si>
  <si>
    <t>Mitre Corp., McLean, VA, USA|c|;;;;;</t>
  </si>
  <si>
    <t>Case study: 3D displays of Internet traffic</t>
  </si>
  <si>
    <t>10.1109/INFVIS.1995.528697</t>
  </si>
  <si>
    <t>http://dx.doi.org/10.1109/INFVIS.1995.528697</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</si>
  <si>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networks.&amp;lt;&amp;lt;ETX&amp;gt;&amp;gt;</t>
  </si>
  <si>
    <t>H.-G. Pagendarm</t>
  </si>
  <si>
    <t>German Aerosp. Res. Establishment, Gottingen, Germany</t>
  </si>
  <si>
    <t>Kenneth C. Cox;Stephen G. Eick</t>
  </si>
  <si>
    <t>AT&amp;T Bell Labs., Naperville, IL, USA|c|;</t>
  </si>
  <si>
    <t>Interval set: a volume rendering technique generalizing isosurface extraction</t>
  </si>
  <si>
    <t>10.1109/VISUAL.1995.480789</t>
  </si>
  <si>
    <t>http://dx.doi.org/10.1109/VISUAL.1995.480789</t>
  </si>
  <si>
    <t>10, 342</t>
  </si>
  <si>
    <t>Baining Guo</t>
  </si>
  <si>
    <t>Dept. of Comput. Sci., Toronto Univ., Ont., Canada|c|</t>
  </si>
  <si>
    <t>Interactive maximum projection volume rendering</t>
  </si>
  <si>
    <t>10.1109/VISUAL.1995.480790</t>
  </si>
  <si>
    <t>http://dx.doi.org/10.1109/VISUAL.1995.480790</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</si>
  <si>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use.&amp;lt;&amp;lt;ETX&amp;gt;&amp;gt;</t>
  </si>
  <si>
    <t>G.D. Kerlick;E. Kirby</t>
  </si>
  <si>
    <t>Boeing Computer Services Res. &amp; Technology, Bellevue, WA, USA;Boeing Computer Services Res. &amp; Technology, Bellevue, WA, USA</t>
  </si>
  <si>
    <t>18, 433</t>
  </si>
  <si>
    <t>Michael D. McCool;Wolfgang Heidrich;John Stevens</t>
  </si>
  <si>
    <t>Comput. Graphics Lab., Waterloo Univ., Ont., Canada|c|;;</t>
  </si>
  <si>
    <t>Interactive realism for visualization using ray tracing</t>
  </si>
  <si>
    <t>10.1109/VISUAL.1995.480791</t>
  </si>
  <si>
    <t>http://dx.doi.org/10.1109/VISUAL.1995.480791</t>
  </si>
  <si>
    <t>26, 434</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</si>
  <si>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paper.&amp;lt;&amp;lt;ETX&amp;gt;&amp;gt;</t>
  </si>
  <si>
    <t>Robert A. Cross</t>
  </si>
  <si>
    <t>Naval Res. Lab., Washington, DC, USA|c|</t>
  </si>
  <si>
    <t>A hardware acceleration method for volumetric ray tracing</t>
  </si>
  <si>
    <t>10.1109/VISUAL.1995.480792</t>
  </si>
  <si>
    <t>H.F. Mayer;B. Tabatabai</t>
  </si>
  <si>
    <t>http://dx.doi.org/10.1109/VISUAL.1995.480792</t>
  </si>
  <si>
    <t>Joanneum Res., Graz, Austria;Joanneum Res., Graz, Austria</t>
  </si>
  <si>
    <t>34, 435</t>
  </si>
  <si>
    <t>Lisa M. Sobierajski;Ricardo S. Avila</t>
  </si>
  <si>
    <t>Corp. Res. &amp; Dev., Gen. Electr. Co., Schenectady, NY, USA|c|;</t>
  </si>
  <si>
    <t>10.1109/VISUAL.1994.346320;10.1109/VISUAL.1995.485154;10.1109/VISUAL.1990.146391;10.1109/VISUAL.1993.398854;10.1109/VISUAL.1994.346340;10.1109/VISUAL.1992.235231</t>
  </si>
  <si>
    <t>Defining, computing, and visualizing molecular interfaces</t>
  </si>
  <si>
    <t>10.1109/VISUAL.1995.480793</t>
  </si>
  <si>
    <t>http://dx.doi.org/10.1109/VISUAL.1995.480793</t>
  </si>
  <si>
    <t>43, 436</t>
  </si>
  <si>
    <t>Amitabh Varshney;Frederick P. Brooks Jr.;David C. Richardson;William V. Wright;Dinesh Manocha</t>
  </si>
  <si>
    <t>Dept. of Comput. Sci., State Univ. of New York, Stony Brook, NY, USA|c|;;;;</t>
  </si>
  <si>
    <t>Visualization of biological sequence similarity search results</t>
  </si>
  <si>
    <t>10.1109/VISUAL.1995.480794</t>
  </si>
  <si>
    <t>http://dx.doi.org/10.1109/VISUAL.1995.480794</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</si>
  <si>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Fortran.&amp;lt;&amp;lt;ETX&amp;gt;&amp;gt;</t>
  </si>
  <si>
    <t>Ecole Polytech., CNRS, France;Ecole Polytech., CNRS, France</t>
  </si>
  <si>
    <t>51, 437</t>
  </si>
  <si>
    <t>Ed Huai-hsin Chi;Phillip Barry;Elizabeth Shoop;John V. Carlis;Ernest F. Retzel;John Riedl</t>
  </si>
  <si>
    <t>Dept. of Comput. Sci., Minnesota Univ., Minneapolis, MN, USA|c|;;;;;</t>
  </si>
  <si>
    <t>Enhancing transparent skin surfaces with ridge and valley lines</t>
  </si>
  <si>
    <t>10.1109/VISUAL.1995.480795</t>
  </si>
  <si>
    <t>http://dx.doi.org/10.1109/VISUAL.1995.480795</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</si>
  <si>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way.&amp;lt;&amp;lt;ETX&amp;gt;&amp;gt;</t>
  </si>
  <si>
    <t>H. Drevermann;D. Kuhn;B.S. Nilsson</t>
  </si>
  <si>
    <t>CERN, Geneva, Switzerland;CERN, Geneva, Switzerland</t>
  </si>
  <si>
    <t>59, 438</t>
  </si>
  <si>
    <t>Victoria Interrante;Henry Fuchs;Stephen M. Pizer</t>
  </si>
  <si>
    <t>Dept. of Comput. Sci., North Carolina Univ., Chapel Hill, NC, USA|c|;;</t>
  </si>
  <si>
    <t>Splatting of curvilinear volumes</t>
  </si>
  <si>
    <t>10.1109/VISUAL.1995.480796</t>
  </si>
  <si>
    <t>http://dx.doi.org/10.1109/VISUAL.1995.480796</t>
  </si>
  <si>
    <t>68, 439</t>
  </si>
  <si>
    <t>Xiaoyang Mao;Lichan Hong;Arie E. Kaufman</t>
  </si>
  <si>
    <t>10.1109/VISUAL.1992.235228;10.1109/VISUAL.1993.398853;10.1109/VISUAL.1994.346340</t>
  </si>
  <si>
    <t>On enhancing the speed of splatting with indexing</t>
  </si>
  <si>
    <t>10.1109/VISUAL.1995.480797</t>
  </si>
  <si>
    <t>http://dx.doi.org/10.1109/VISUAL.1995.480797</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</si>
  <si>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phenomena.&amp;lt;&amp;lt;ETX&amp;gt;&amp;gt;</t>
  </si>
  <si>
    <t>L.A. Treinish</t>
  </si>
  <si>
    <t>IBM T.J. Watson Res. Center, Yorktown Heights, NY, USA</t>
  </si>
  <si>
    <t>76, 441</t>
  </si>
  <si>
    <t>Insung Ihm;Rae Kyoung Lee</t>
  </si>
  <si>
    <t>Dept. of Comput. Sci., Sogang Univ., Seoul, South Korea|c|;</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</si>
  <si>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used.&amp;lt;&amp;lt;ETX&amp;gt;&amp;gt;</t>
  </si>
  <si>
    <t>P.C. Chen</t>
  </si>
  <si>
    <t>IFS fractal interpolation for 2D and 3D visualization</t>
  </si>
  <si>
    <t>Fujitsu America, Inc., San Jose, CA, USA</t>
  </si>
  <si>
    <t>10.1109/VISUAL.1995.480798</t>
  </si>
  <si>
    <t>http://dx.doi.org/10.1109/VISUAL.1995.480798</t>
  </si>
  <si>
    <t>84, 441</t>
  </si>
  <si>
    <t>Craig M. Wittenbrink</t>
  </si>
  <si>
    <t>Baskin Center for Comput. Eng. &amp; Inf. Sci., California Univ., Santa Cruz, CA, USA|c|</t>
  </si>
  <si>
    <t>Automated generation of visual simulation databases using remote sensing and GIS</t>
  </si>
  <si>
    <t>10.1109/VISUAL.1995.480799</t>
  </si>
  <si>
    <t>http://dx.doi.org/10.1109/VISUAL.1995.480799</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</si>
  <si>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data.&amp;lt;&amp;lt;ETX&amp;gt;&amp;gt;</t>
  </si>
  <si>
    <t>R.J. Moorehead;Z. Zhu</t>
  </si>
  <si>
    <t>NSF Eng. Res. Center for Computational Field Simulation, Mississippi State Univ., MS, USA;NSF Eng. Res. Center for Computational Field Simulation, Mississippi State Univ., MS, USA</t>
  </si>
  <si>
    <t>93, 442</t>
  </si>
  <si>
    <t>Martin Suter;Daniel N�_esch</t>
  </si>
  <si>
    <t>Dept. of Geogr., Zurich Univ., Switzerland|c|;</t>
  </si>
  <si>
    <t>remote sensing, geographic information systems,geographic databases,satellite images,classification, visual simulation, level of detail</t>
  </si>
  <si>
    <t>Virtual GIS: a real-time 3D geographic information system</t>
  </si>
  <si>
    <t>10.1109/VISUAL.1995.480800</t>
  </si>
  <si>
    <t>http://dx.doi.org/10.1109/VISUAL.1995.480800</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</si>
  <si>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described.&amp;lt;&amp;lt;ETX&amp;gt;&amp;gt;</t>
  </si>
  <si>
    <t>100, 443</t>
  </si>
  <si>
    <t>David Koller;Peter Lindstrom;William Ribarsky;Larry F. Hodges;Nickolas Faust;Gregory A. Turner</t>
  </si>
  <si>
    <t>Coll. of Comput., Georgia Inst. of Technol., Atlanta, GA, USA|c|;;;;;</t>
  </si>
  <si>
    <t>An architecture for retaining and analyzing visual explorations of databases</t>
  </si>
  <si>
    <t>10.1109/VISUAL.1995.480801</t>
  </si>
  <si>
    <t>http://dx.doi.org/10.1109/VISUAL.1995.480801</t>
  </si>
  <si>
    <t>John Peter Lee;Georges G. Grinstein</t>
  </si>
  <si>
    <t>Inst. for Visualization &amp; Perception Res., Massachusetts Univ., Lowell, MA, USA|c|;</t>
  </si>
  <si>
    <t>10.1109/VISUAL.1994.346304;10.1109/VISUAL.1994.346303;10.1109/VISUAL.1990.146375;10.1109/VISUAL.1992.235203;10.1109/VISUAL.1993.398874;10.1109/VISUAL.1993.398857</t>
  </si>
  <si>
    <t>visual database exploration, database visualization, metadata, user modeling, interaction</t>
  </si>
  <si>
    <t>W. Lorensen;H. Cline;C. Nafis;R. Kikinis;D. Altobelli;L. Gleason</t>
  </si>
  <si>
    <t>An illustrated analysis of sonification for scientific visualisation</t>
  </si>
  <si>
    <t>10.1109/VISUAL.1995.480802</t>
  </si>
  <si>
    <t>http://dx.doi.org/10.1109/VISUAL.1995.480802</t>
  </si>
  <si>
    <t>General Electric Co., Schenectady, NY, USA;General Electric Co., Schenectady, NY, USA;General Electric Co., Schenectady, NY, USA;General Electric Co., Schenectady, NY, USA;General Electric Co., Schenectady, NY, USA;General Electric Co., Schenectady, NY, USA</t>
  </si>
  <si>
    <t>BCS</t>
  </si>
  <si>
    <t>Rosane Minghim;A. Robin Forrest</t>
  </si>
  <si>
    <t>Sch. of Inf. Syst., East Anglia Univ., Norwich, UK|c|;</t>
  </si>
  <si>
    <t>A rule-based tool for assisting colormap selection</t>
  </si>
  <si>
    <t>10.1109/VISUAL.1995.480803</t>
  </si>
  <si>
    <t>http://dx.doi.org/10.1109/VISUAL.1995.480803</t>
  </si>
  <si>
    <t>We show how to create 3D models of maternal pelvis and fetal head from magnetic resonance images (MRI). The models are used to simulate the progress of delivery in order to give a prognosis of successful labor.&amp;lt;&amp;lt;ETX&amp;gt;&amp;gt;</t>
  </si>
  <si>
    <t>J.-D. Boissonnat;B. Geiger</t>
  </si>
  <si>
    <t>125, 444</t>
  </si>
  <si>
    <t>I.N.R.I.A., Sophia-Antipolis, France;I.N.R.I.A., Sophia-Antipolis, France</t>
  </si>
  <si>
    <t>Lawrence D. Bergman;Bernice E. Rogowitz;Lloyd Treinish</t>
  </si>
  <si>
    <t>10.1109/VISUAL.1995.480821;10.1109/VISUAL.1993.398874</t>
  </si>
  <si>
    <t>Space walking</t>
  </si>
  <si>
    <t>10.1109/VISUAL.1995.480804</t>
  </si>
  <si>
    <t>http://dx.doi.org/10.1109/VISUAL.1995.480804</t>
  </si>
  <si>
    <t>133, 445</t>
  </si>
  <si>
    <t>10.1109/VISUAL.1994.346324;10.1109/VISUAL.1992.235222</t>
  </si>
  <si>
    <t>Fast multiresolution surface meshing</t>
  </si>
  <si>
    <t>10.1109/VISUAL.1995.480805</t>
  </si>
  <si>
    <t>http://dx.doi.org/10.1109/VISUAL.1995.480805</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</si>
  <si>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tours.&amp;lt;&amp;lt;ETX&amp;gt;&amp;gt;</t>
  </si>
  <si>
    <t>P. Palamidese;M. Betro;G. Muccioli</t>
  </si>
  <si>
    <t>CNUCE CNR, Pisa, Italy;CNUCE CNR, Pisa, Italy</t>
  </si>
  <si>
    <t>142, 446</t>
  </si>
  <si>
    <t>Markus H. Gross;Roger Gatti;Oliver G. Staadt</t>
  </si>
  <si>
    <t>Dept. of Comput. Sci., Eidgenossische Tech. Hochschule, Zurich, Switzerland|c|;;</t>
  </si>
  <si>
    <t>Sweeping simplices: a fast iso-surface extraction algorithm for unstructured grids</t>
  </si>
  <si>
    <t>10.1109/VISUAL.1995.480806</t>
  </si>
  <si>
    <t>http://dx.doi.org/10.1109/VISUAL.1995.480806</t>
  </si>
  <si>
    <t>150, 447</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</si>
  <si>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functions.&amp;lt;&amp;lt;ETX&amp;gt;&amp;gt;</t>
  </si>
  <si>
    <t>Interval volume: a solid fitting technique for volumetric data display and analysis</t>
  </si>
  <si>
    <t>10.1109/VISUAL.1995.480807</t>
  </si>
  <si>
    <t>http://dx.doi.org/10.1109/VISUAL.1995.480807</t>
  </si>
  <si>
    <t>D.I. Abramov;V.V. Gusev;S.V. Klimenko;L.I. Ponomarev;W. Krueger;W. Renz</t>
  </si>
  <si>
    <t>Dept. of Theoretical Phys., St. Petersburg State Univ., Russia;Dept. of Theoretical Phys., St. Petersburg State Univ., Russia</t>
  </si>
  <si>
    <t>1994</t>
  </si>
  <si>
    <t>158, 448</t>
  </si>
  <si>
    <t>Issei Fujishiro;Yuji Maeda;Hiroshi Sato</t>
  </si>
  <si>
    <t>Dept. of Inf. Sci., Ochanomizu Univ., Tokyo, Japan|c|;;</t>
  </si>
  <si>
    <t>10.1109/VISUAL.1991.175782;10.1109/VISUAL.1992.235223</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</si>
  <si>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disciplines.&amp;lt;&amp;lt;ETX&amp;gt;&amp;gt;</t>
  </si>
  <si>
    <t>Volume visualization, surface fitting, isosurface, Marching cubes, atomic collision</t>
  </si>
  <si>
    <t>T.M. Rhyne;W. Ivey;L. Knapp;P. Kochevar;T. Mace</t>
  </si>
  <si>
    <t>Martin Marietta/US EPA Visualization Center, USA</t>
  </si>
  <si>
    <t>Fast normal estimation using surface characteristics</t>
  </si>
  <si>
    <t>10.1109/VISUAL.1995.480808</t>
  </si>
  <si>
    <t>http://dx.doi.org/10.1109/VISUAL.1995.480808</t>
  </si>
  <si>
    <t>166, 449</t>
  </si>
  <si>
    <t>Byeong-Seok Shin;Yeong-Gil Shin</t>
  </si>
  <si>
    <t>Dept. of Comput. Eng., Seoul Nat. Univ., South Korea|c|;</t>
  </si>
  <si>
    <t>10.1109/VISUAL.1990.146378;10.1109/VISUAL.1993.398848</t>
  </si>
  <si>
    <t>Compression domain rendering of time-resolved volume data</t>
  </si>
  <si>
    <t>10.1109/VISUAL.1995.480809</t>
  </si>
  <si>
    <t>http://dx.doi.org/10.1109/VISUAL.1995.480809</t>
  </si>
  <si>
    <t>175, 450</t>
  </si>
  <si>
    <t>R�_diger Westermann</t>
  </si>
  <si>
    <t>German Nat. Res. Center for Comput. Sci., St. Augustin, Germany|c|</t>
  </si>
  <si>
    <t>10.1109/VISUAL.1990.146391;10.1109/VISUAL.1992.235230</t>
  </si>
  <si>
    <t>volume rendering, wavelet transforms, singularities, Lipschitz exponents</t>
  </si>
  <si>
    <t>High-speed volume rendering using redundant block compression</t>
  </si>
  <si>
    <t>10.1109/VISUAL.1995.480810</t>
  </si>
  <si>
    <t>http://dx.doi.org/10.1109/VISUAL.1995.480810</t>
  </si>
  <si>
    <t>A discussion is given on the validation, verification and evaluation of scientific visualization software. A "bug"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software?.&amp;lt;&amp;lt;ETX&amp;gt;&amp;gt;</t>
  </si>
  <si>
    <t>S. Uselton;G. Dorn;C. Farhat;M. Vannier;K. Esbensen;A. Globus</t>
  </si>
  <si>
    <t>183, 451</t>
  </si>
  <si>
    <t>G�_nter Knittel</t>
  </si>
  <si>
    <t>Wilhelm-Schickard-Inst. fur Inf., Tubingen Univ., Germany|c|</t>
  </si>
  <si>
    <t>10.1109/VISUAL.1993.398845;10.1109/VISUAL.1993.398852;10.1109/VISUAL.1992.235231</t>
  </si>
  <si>
    <t>Authenticity analysis of wavelet approximations in visualization</t>
  </si>
  <si>
    <t>10.1109/VISUAL.1995.480811</t>
  </si>
  <si>
    <t>http://dx.doi.org/10.1109/VISUAL.1995.480811</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</si>
  <si>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opportunities.&amp;lt;&amp;lt;ETX&amp;gt;&amp;gt;</t>
  </si>
  <si>
    <t>L.M. Stone;T. Erickson;B.B. Bederson;P. Rothman;R. Muzzy</t>
  </si>
  <si>
    <t>LORAL Space &amp; Range Syst., Sunnyvale, CA, USA</t>
  </si>
  <si>
    <t>191, 452</t>
  </si>
  <si>
    <t>Pak Chung Wong;R. Daniel Bergeron</t>
  </si>
  <si>
    <t>Dept. of Comput. Sci., New Hampshire Univ., Durham, NH, USA|c|;</t>
  </si>
  <si>
    <t>10.1109/VISUAL.1994.346333;10.1109/VISUAL.1994.346332</t>
  </si>
  <si>
    <t>Direct rendering of Laplacian pyramid compressed volume data</t>
  </si>
  <si>
    <t>10.1109/VISUAL.1995.480812</t>
  </si>
  <si>
    <t>http://dx.doi.org/10.1109/VISUAL.1995.480812</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</si>
  <si>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icons.&amp;lt;&amp;lt;ETX&amp;gt;&amp;gt;</t>
  </si>
  <si>
    <t>A. Inselberg;C. Grinstein;T. Mihalisin;H. Hinterberger</t>
  </si>
  <si>
    <t>Dept. of Comput. Sci., California Univ., Los Angeles, CA, USA</t>
  </si>
  <si>
    <t>Mohammad H. Ghavamnia;Xue D. Yang</t>
  </si>
  <si>
    <t>Dept. of Comput. Sci., Regina Univ., Sask., Canada|c|;</t>
  </si>
  <si>
    <t>Automatic generation of triangular irregular networks using greedy cuts</t>
  </si>
  <si>
    <t>10.1109/VISUAL.1995.480813</t>
  </si>
  <si>
    <t>http://dx.doi.org/10.1109/VISUAL.1995.480813</t>
  </si>
  <si>
    <t>208, 453</t>
  </si>
  <si>
    <t>Cl��udio T. Silva;Joseph S. B. Mitchell;Arie E. Kaufman</t>
  </si>
  <si>
    <t>10.1109/VISUAL.1992.235191;10.1109/VISUAL.1990.146379</t>
  </si>
  <si>
    <t>Legibility enhancement for information visualisation</t>
  </si>
  <si>
    <t>10.1109/VISUAL.1995.480814</t>
  </si>
  <si>
    <t>http://dx.doi.org/10.1109/VISUAL.1995.480814</t>
  </si>
  <si>
    <t>Discusses and debates the role played by 3D visualization in medicine as a set of methods and techniques for displaying 3D spatial information related to the anatomy and the physiology of the human body.&amp;lt;&amp;lt;ETX&amp;gt;&amp;gt;</t>
  </si>
  <si>
    <t>C. Roux;J.L. Coatrieux;J.-L. Dillenseger;E.K. Fishman;M. Loew;H.-P. Meinzer;J.D. Pearlman</t>
  </si>
  <si>
    <t>Dept. Image et Traitement de l'Inf., Ecole Nat. Superieure des Telecommun. de Bretagne, Brest, France</t>
  </si>
  <si>
    <t>216, 454</t>
  </si>
  <si>
    <t>Rob Ingram;Steve Benford</t>
  </si>
  <si>
    <t>Dept. of Comput. Sci., Nottingham Univ., UK|c|;</t>
  </si>
  <si>
    <t>Subverting structure: data-driven diagram generation</t>
  </si>
  <si>
    <t>http://dx.doi.org/10.1109/VISUAL.1995.480815</t>
  </si>
  <si>
    <t>223, 455</t>
  </si>
  <si>
    <t>Gene Golovchinsky;Klaus Reichenberger;Thomas Kamps</t>
  </si>
  <si>
    <t>Dept. of Ind. Eng., Toronto Univ., Ont., Canada|c|;;</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</si>
  <si>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discussed.&amp;lt;&amp;lt;ETX&amp;gt;&amp;gt;</t>
  </si>
  <si>
    <t>M. Botts;J.D. Dykstra;L.S. Elson;S.J. Goodman;Meemong Lee</t>
  </si>
  <si>
    <t>A model and a system for data-parallel program visualization</t>
  </si>
  <si>
    <t>10.1109/VISUAL.1995.480816</t>
  </si>
  <si>
    <t>Alabama Univ., Huntsville, AL, USA</t>
  </si>
  <si>
    <t>http://dx.doi.org/10.1109/VISUAL.1995.480816</t>
  </si>
  <si>
    <t>231, 456</t>
  </si>
  <si>
    <t>Thomas A. Wagner;R. Daniel Bergeron</t>
  </si>
  <si>
    <t>Massachusetts Univ., Amherst, MA, USA|c|;</t>
  </si>
  <si>
    <t>Enhanced spot noise for vector field visualization</t>
  </si>
  <si>
    <t>10.1109/VISUAL.1995.480817</t>
  </si>
  <si>
    <t>http://dx.doi.org/10.1109/VISUAL.1995.480817</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</si>
  <si>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jet.&amp;lt;&amp;lt;ETX&amp;gt;&amp;gt;</t>
  </si>
  <si>
    <t>M. Roth;R. Guritz</t>
  </si>
  <si>
    <t>Arctic Region Supercomput. Center, Alaska Univ., Fairbanks, AK, USA</t>
  </si>
  <si>
    <t>239, 457</t>
  </si>
  <si>
    <t>10.1109/VISUAL.1994.346312;10.1109/VISUAL.1994.346313;10.1109/VISUAL.1993.398877</t>
  </si>
  <si>
    <t>Interactive visualization of mixed scalar and vector fields</t>
  </si>
  <si>
    <t>10.1109/VISUAL.1995.480818</t>
  </si>
  <si>
    <t>http://dx.doi.org/10.1109/VISUAL.1995.480818</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</si>
  <si>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calculations.&amp;lt;&amp;lt;ETX&amp;gt;&amp;gt;</t>
  </si>
  <si>
    <t>H.E. Rushmeier;A. Hamins;M.-Y. Choi</t>
  </si>
  <si>
    <t>Nat. Inst. of Stand. &amp; Technol., Gaithersburg, MD, USA;Nat. Inst. of Stand. &amp; Technol., Gaithersburg, MD, USA</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</si>
  <si>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industry.&amp;lt;&amp;lt;ETX&amp;gt;&amp;gt;</t>
  </si>
  <si>
    <t>P.M. Mahadev;R.D. Christie</t>
  </si>
  <si>
    <t>Dept. of Electr. Eng., Washington Univ., Seattle, WA, USA;Dept. of Electr. Eng., Washington Univ., Seattle, WA, USA</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</si>
  <si>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tool.&amp;lt;&amp;lt;ETX&amp;gt;&amp;gt;</t>
  </si>
  <si>
    <t>T. Alameldin;M. Shepley</t>
  </si>
  <si>
    <t>Visualization Lab., Texas A&amp;M Univ., College Station, TX, USA</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</si>
  <si>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applications.&amp;lt;&amp;lt;ETX&amp;gt;&amp;gt;</t>
  </si>
  <si>
    <t>G. Sakas;L.-A. Schreyer;M. Grimm</t>
  </si>
  <si>
    <t>Fraunhofer-Inst. for Comput. Graphics, Darmstadt, Germany;Fraunhofer-Inst. for Comput. Graphics, Darmstadt, Germany;Fraunhofer-Inst. for Comput. Graphics, Darmstadt, Germany</t>
  </si>
  <si>
    <t xml:space="preserve">BCS
</t>
  </si>
  <si>
    <t>247, 458</t>
  </si>
  <si>
    <t>Lichan Hong;Xiaoyang Mao;Arie E. Kaufman</t>
  </si>
  <si>
    <t>10.1109/VISUAL.1993.398849;10.1109/VISUAL.1994.346340;10.1109/VISUAL.1993.398877;10.1109/VISUAL.1992.235227;10.1109/VISUAL.1992.235210;10.1109/VISUAL.1994.346321;10.1109/VISUAL.1991.175789</t>
  </si>
  <si>
    <t>Vector plots for irregular grids</t>
  </si>
  <si>
    <t>10.1109/VISUAL.1995.480819</t>
  </si>
  <si>
    <t>http://dx.doi.org/10.1109/VISUAL.1995.480819</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</si>
  <si>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"How well could we currently visualize the fetus in real time," but "How well could we see the fetus if we had sufficient compute power?"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visualization.&amp;lt;&amp;lt;ETX&amp;gt;&amp;gt;</t>
  </si>
  <si>
    <t>A. State;D.T. Chen;C. Tector;A. Brandt;Hong Chen;R. Ohbuchi;M. Bajura;H. Fuchs</t>
  </si>
  <si>
    <t>North Carolina Univ., Chapel Hill, NC, USA;North Carolina Univ., Chapel Hill, NC, USA;North Carolina Univ., Chapel Hill, NC, USA;North Carolina Univ., Chapel Hill, NC, USA;North Carolina Univ., Chapel Hill, NC, USA;North Carolina Univ., Chapel Hill, NC, USA;North Carolina Univ., Chapel Hill, NC, USA;North Carolina Univ., Chapel Hill, NC, USA</t>
  </si>
  <si>
    <t>253, 459</t>
  </si>
  <si>
    <t>Don Dovey</t>
  </si>
  <si>
    <t>Lawrence Livermore Nat. Lab., CA, USA|c|</t>
  </si>
  <si>
    <t>10.1109/VISUAL.1993.398877;10.1109/VISUAL.1994.346313;10.1109/VISUAL.1994.346312</t>
  </si>
  <si>
    <t>Tensor product surfaces guided by minimal surface area triangulations</t>
  </si>
  <si>
    <t>10.1109/VISUAL.1995.480820</t>
  </si>
  <si>
    <t>http://dx.doi.org/10.1109/VISUAL.1995.480820</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</si>
  <si>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features.&amp;lt;&amp;lt;ETX&amp;gt;&amp;gt;</t>
  </si>
  <si>
    <t>P. Peterson;B. Hayden;F.D. Fracchia</t>
  </si>
  <si>
    <t>Sch. of Comput. Sci., Simon Fraser Univ., Burnaby, BC, Canada</t>
  </si>
  <si>
    <t>261, 460</t>
  </si>
  <si>
    <t>John K. Johnstone;Kenneth R. Sloan</t>
  </si>
  <si>
    <t>Dept. of Comput. &amp; Inf. Sci., Alabama Univ., Birmingham, AL, USA|c|;</t>
  </si>
  <si>
    <t>surface reconstruction, contour data, minimum area triangulation, Bezier surface, biomedical visualization</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</si>
  <si>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environment.&amp;lt;&amp;lt;ETX&amp;gt;&amp;gt;</t>
  </si>
  <si>
    <t>An extended data-flow architecture for data analysis and visualization</t>
  </si>
  <si>
    <t>10.1109/VISUAL.1995.480821</t>
  </si>
  <si>
    <t>A. Johannsen;R. Moorhead</t>
  </si>
  <si>
    <t>NSF Eng. Res. Center for Comput. Field Simulation, Mississippi State Univ., MS, USA;NSF Eng. Res. Center for Comput. Field Simulation, Mississippi State Univ., MS, USA</t>
  </si>
  <si>
    <t>http://dx.doi.org/10.1109/VISUAL.1995.480821</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</si>
  <si>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analyzed.&amp;lt;&amp;lt;ETX&amp;gt;&amp;gt;</t>
  </si>
  <si>
    <t>270, 461</t>
  </si>
  <si>
    <t>Greg Abram;Lloyd Treinish</t>
  </si>
  <si>
    <t>10.1109/VISUAL.1994.346305;10.1109/VISUAL.1993.398860;10.1109/VISUAL.1991.175818;10.1109/VISUAL.1992.235219</t>
  </si>
  <si>
    <t>High Dimensional Brushing for Interactive Exploration of Multivariate Data</t>
  </si>
  <si>
    <t>10.1109/VISUAL.1995.485139</t>
  </si>
  <si>
    <t>http://dx.doi.org/10.1109/VISUAL.1995.485139</t>
  </si>
  <si>
    <t>Allen R. Martin;Matthew O. Ward</t>
  </si>
  <si>
    <t>10.1109/VISUAL.1990.146386;10.1109/VISUAL.1990.146402;10.1109/VISUAL.1994.346302</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</si>
  <si>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method.&amp;lt;&amp;lt;ETX&amp;gt;&amp;gt;</t>
  </si>
  <si>
    <t>Recursive pattern: a technique for visualizing very large amounts of data</t>
  </si>
  <si>
    <t>Gábor Domokos;Randy C. Paffenroth</t>
  </si>
  <si>
    <t>10.1109/VISUAL.1995.485140</t>
  </si>
  <si>
    <t>G. Domokos;R. Paffenroth</t>
  </si>
  <si>
    <t>http://dx.doi.org/10.1109/VISUAL.1995.485140</t>
  </si>
  <si>
    <t>Dept. of Strength of Mater., Tech. Univ. Budapest, Hungary</t>
  </si>
  <si>
    <t>286, 463</t>
  </si>
  <si>
    <t>Daniel A. Keim;Mihael Ankerst;Hans-Peter Kriegel</t>
  </si>
  <si>
    <t>Inst. for Comput. Sci., Munchen Univ., Germany|c|;;</t>
  </si>
  <si>
    <t>10.1109/VISUAL.1990.146402;10.1109/INFVIS.1995.528688;10.1109/VISUAL.1991.175809;10.1109/VISUAL.1990.146386;10.1109/VISUAL.1990.146387;10.1109/VISUAL.1990.146389</t>
  </si>
  <si>
    <t>Visualizing Large Data Sets, Visualizing Multidimensional and Multivariate Data, Visualizing Large Sequential Data Sets, Recursive Visualization Techniques, Interfaces to Databases</t>
  </si>
  <si>
    <t>Iconic techniques for feature visualization</t>
  </si>
  <si>
    <t>10.1109/VISUAL.1995.485141</t>
  </si>
  <si>
    <t>http://dx.doi.org/10.1109/VISUAL.1995.485141</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</si>
  <si>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"startup" time, and the scientist can immediately concentrate on his science problem. The SAVS concept readily generalizes to many other fields of science and engineering.&amp;lt;&amp;lt;ETX&amp;gt;&amp;gt;</t>
  </si>
  <si>
    <t>A. Mankofsky;E.P. Szuszczewicz;P. Blanchard;C. Goodrich;D. McNabb;R. Kulkarni;D. Kamins</t>
  </si>
  <si>
    <t>Sci. Applications Int. Corp., McLean, VA, USA;Sci. Applications Int. Corp., McLean, VA, USA;Sci. Applications Int. Corp., McLean, VA, USA</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</si>
  <si>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visualization.&amp;lt;&amp;lt;ETX&amp;gt;&amp;gt;</t>
  </si>
  <si>
    <t>S.E. Parker;R. Samtaney</t>
  </si>
  <si>
    <t>Plasma Phys. Lab., Princeton Univ., NJ, USA</t>
  </si>
  <si>
    <t>295, 464</t>
  </si>
  <si>
    <t>Frank J. Post;Theo van Walsum;Frits H. Post;Deborah Silver</t>
  </si>
  <si>
    <t>Fac. of Tech. Math. &amp; Inf., Delft Univ. of Technol., Netherlands|c|;;;</t>
  </si>
  <si>
    <t>10.1109/VISUAL.1993.398849;10.1109/VISUAL.1991.175809;10.1109/VISUAL.1992.235174</t>
  </si>
  <si>
    <t>scientific visualization, feature extraction, iconic visualization, attribute calculation</t>
  </si>
  <si>
    <t>Voxel based object simplification</t>
  </si>
  <si>
    <t>10.1109/VISUAL.1995.485142</t>
  </si>
  <si>
    <t>http://dx.doi.org/10.1109/VISUAL.1995.485142</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</si>
  <si>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subspace.&amp;lt;&amp;lt;ETX&amp;gt;&amp;gt;</t>
  </si>
  <si>
    <t>M.O. Ward</t>
  </si>
  <si>
    <t>Dept. of Comput. Sci., Worcester Polytech. Inst., MA, USA</t>
  </si>
  <si>
    <t>303, 465</t>
  </si>
  <si>
    <t>Taosong He;Lichan Hong;Arie E. Kaufman;Amitabh Varshney;Sidney W. Wang</t>
  </si>
  <si>
    <t>3D computational steering with parametrized geometric objects</t>
  </si>
  <si>
    <t>10.1109/VISUAL.1995.485143</t>
  </si>
  <si>
    <t>http://dx.doi.org/10.1109/VISUAL.1995.485143</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</si>
  <si>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sessions.&amp;lt;&amp;lt;ETX&amp;gt;&amp;gt;</t>
  </si>
  <si>
    <t>J.M. Favre;J. Hahn</t>
  </si>
  <si>
    <t>Dept. of Electr. Eng. &amp; Comput. Sci., George Washington Univ., Washington, DC, USA;Dept. of Electr. Eng. &amp; Comput. Sci., George Washington Univ., Washington, DC, USA</t>
  </si>
  <si>
    <t>311, 466</t>
  </si>
  <si>
    <t>Jurriaan D. Mulder;Jarke J. van Wijk</t>
  </si>
  <si>
    <t>Centre for Math. &amp; Comput. Sci., CWI, Amsterdam, Netherlands|c|;</t>
  </si>
  <si>
    <t>10.1109/VISUAL.1991.175812;10.1109/VISUAL.1993.398895;10.1109/VISUAL.1990.146382</t>
  </si>
  <si>
    <t>Fast Algorithms for Visualizing Fluid Motion in Steady Flow on Unstructured Grids</t>
  </si>
  <si>
    <t>10.1109/VISUAL.1995.485144</t>
  </si>
  <si>
    <t>http://dx.doi.org/10.1109/VISUAL.1995.485144</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</si>
  <si>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processing.&amp;lt;&amp;lt;ETX&amp;gt;&amp;gt;</t>
  </si>
  <si>
    <t>W.L. Hibbard;C.R. Dyer;B.E. Paul</t>
  </si>
  <si>
    <t>Space Sci. &amp; Eng. Center, Wisconsin Univ., Madison, WI, USA</t>
  </si>
  <si>
    <t>Shyh-Kuang Ueng;Kris Sikorski;Kwan-Liu Ma</t>
  </si>
  <si>
    <t>Mix&amp;Match: a construction kit for visualization</t>
  </si>
  <si>
    <t>10.1109/VISUAL.1992.235211;10.1109/VISUAL.1994.346329;10.1109/VISUAL.1991.175789;10.1109/VISUAL.1993.398876</t>
  </si>
  <si>
    <t>Optimization of time-dependent particle tracing using tetrahedral decomposition</t>
  </si>
  <si>
    <t>10.1109/VISUAL.1995.485145</t>
  </si>
  <si>
    <t>http://dx.doi.org/10.1109/VISUAL.1995.485145</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</si>
  <si>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methods.&amp;lt;&amp;lt;ETX&amp;gt;&amp;gt;</t>
  </si>
  <si>
    <t>A. Pang;N. Alper</t>
  </si>
  <si>
    <t>Baskin Center for Comput. Eng. &amp; Inf. Sci., California Univ., Santa Cruz, CA, USA;Baskin Center for Comput. Eng. &amp; Inf. Sci., California Univ., Santa Cruz, CA, USA</t>
  </si>
  <si>
    <t>328, 468</t>
  </si>
  <si>
    <t>David N. Kenwright;David A. Lane</t>
  </si>
  <si>
    <t>Comput. Sci. Corp., NASA Ames Res. Center, Moffett Field, CA, USA|c|;</t>
  </si>
  <si>
    <t>10.1109/VISUAL.1993.398848;10.1109/VISUAL.1991.175771</t>
  </si>
  <si>
    <t>Unsteady flow volumes</t>
  </si>
  <si>
    <t>10.1109/VISUAL.1995.485146</t>
  </si>
  <si>
    <t>http://dx.doi.org/10.1109/VISUAL.1995.485146</t>
  </si>
  <si>
    <t>335, 469</t>
  </si>
  <si>
    <t>Barry G. Becker;Nelson L. Max;David A. Lane</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</si>
  <si>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quality.&amp;lt;&amp;lt;ETX&amp;gt;&amp;gt;</t>
  </si>
  <si>
    <t>10.1109/VISUAL.1992.235226;10.1109/VISUAL.1992.235227;10.1109/VISUAL.1994.346311;10.1109/VISUAL.1993.398876;10.1109/VISUAL.1993.398875;10.1109/VISUAL.1993.398846;10.1109/VISUAL.1992.235211;10.1109/VISUAL.1993.398877</t>
  </si>
  <si>
    <t>J.W. Durkin;J.F. Hughes</t>
  </si>
  <si>
    <t>Program of Comput. Graphics, Cornell Univ., Ithaca, NY, USA</t>
  </si>
  <si>
    <t>Propositional n-traces: visualizing a problem in philosophical logic</t>
  </si>
  <si>
    <t>10.1109/VISUAL.1995.485147</t>
  </si>
  <si>
    <t>http://dx.doi.org/10.1109/VISUAL.1995.485147</t>
  </si>
  <si>
    <t>341, 470</t>
  </si>
  <si>
    <t>Nathalie Prevost;Ray E. Jennings;Loki J̦rgenson;F. David Fracchia</t>
  </si>
  <si>
    <t>Dept. of Philos., Simon Fraser Univ., Burnaby, BC, Canada|c|;;;</t>
  </si>
  <si>
    <t>Qualitative analysis of invariant tori in a dynamical system</t>
  </si>
  <si>
    <t>10.1109/VISUAL.1995.485148</t>
  </si>
  <si>
    <t>http://dx.doi.org/10.1109/VISUAL.1995.485148</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</si>
  <si>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cell.&amp;lt;&amp;lt;ETX&amp;gt;&amp;gt;</t>
  </si>
  <si>
    <t>S.V. Matveyev</t>
  </si>
  <si>
    <t>Dept. of Comput. Sci., Inst. for High Energy Phys., Moscow, Russia</t>
  </si>
  <si>
    <t>345, 471</t>
  </si>
  <si>
    <t>Daryl H. Hepting;Gianne Derks;Kossi D. Edoh;Robert D. Russell</t>
  </si>
  <si>
    <t>Sch. of Comput. Sci., Simon Fraser Univ., Burnaby, BC, Canada|c|;;;</t>
  </si>
  <si>
    <t>Pictorial statistics-visualization of high-dimensional statistical distributions</t>
  </si>
  <si>
    <t>10.1109/VISUAL.1995.485149</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</si>
  <si>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reported.&amp;lt;&amp;lt;ETX&amp;gt;&amp;gt;</t>
  </si>
  <si>
    <t>http://dx.doi.org/10.1109/VISUAL.1995.485149</t>
  </si>
  <si>
    <t>C. Montani;R. Scateni;R. Scopigno</t>
  </si>
  <si>
    <t>CNR, Pisa, Italy</t>
  </si>
  <si>
    <t>Andreas A. M�_ller</t>
  </si>
  <si>
    <t>IWSP, Gottingen Univ., Germany|c|</t>
  </si>
  <si>
    <t>Visualization for aerodynamic design of helicopter rotor blades</t>
  </si>
  <si>
    <t>10.1109/VISUAL.1995.485150</t>
  </si>
  <si>
    <t>http://dx.doi.org/10.1109/VISUAL.1995.485150</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</si>
  <si>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volumes.&amp;lt;&amp;lt;ETX&amp;gt;&amp;gt;</t>
  </si>
  <si>
    <t>M.M. Loughlin;J.F. Hughes</t>
  </si>
  <si>
    <t>Res. Lab., Digital Equipment Corp., Cambridge, MA, USA</t>
  </si>
  <si>
    <t>354, 472</t>
  </si>
  <si>
    <t>Boeing Inf. &amp; Support Services Res. &amp; Technol., Bellevue, WA, USA|c|</t>
  </si>
  <si>
    <t>Visualization of high speed aerodynamic configuration design</t>
  </si>
  <si>
    <t>10.1109/VISUAL.1995.485151</t>
  </si>
  <si>
    <t>http://dx.doi.org/10.1109/VISUAL.1995.485151</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</si>
  <si>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system.&amp;lt;&amp;lt;ETX&amp;gt;&amp;gt;</t>
  </si>
  <si>
    <t>D. Banerjee;C. Morley;W. Smith</t>
  </si>
  <si>
    <t>Fluent Inc., Lebanon, NH, USA;Fluent Inc., Lebanon, NH, USA;Fluent Inc., Lebanon, NH, USA</t>
  </si>
  <si>
    <t>358, 473</t>
  </si>
  <si>
    <t>Monika Hannemann;Helmut Sobieczky</t>
  </si>
  <si>
    <t>German Aerosp. Res. Establ., Gottingen, Germany|c|;</t>
  </si>
  <si>
    <t>Volume-based reasoning and visualization of diecastability</t>
  </si>
  <si>
    <t>10.1109/VISUAL.1995.485152</t>
  </si>
  <si>
    <t>http://dx.doi.org/10.1109/VISUAL.1995.485152</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</si>
  <si>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shown.&amp;lt;&amp;lt;ETX&amp;gt;&amp;gt;</t>
  </si>
  <si>
    <t>362, 474</t>
  </si>
  <si>
    <t>Roni Yagel;Shao-Chiung Lu;Alec B. Rebello;R. A. Miller</t>
  </si>
  <si>
    <t>Dept. of Comput. &amp; Inf. Sci., Ohio State Univ., Columbus, OH, USA|c|;;;</t>
  </si>
  <si>
    <t>A visualization tool for studying the development of the moss Physcomitrella patens</t>
  </si>
  <si>
    <t>10.1109/VISUAL.1995.485153</t>
  </si>
  <si>
    <t>http://dx.doi.org/10.1109/VISUAL.1995.485153</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</si>
  <si>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field.&amp;lt;&amp;lt;ETX&amp;gt;&amp;gt;</t>
  </si>
  <si>
    <t>N. Max;R. Crawfis;C. Grant</t>
  </si>
  <si>
    <t>367, 475</t>
  </si>
  <si>
    <t>F. David Fracchia;Neil W. Ashton</t>
  </si>
  <si>
    <t>Sch. of Comput. Sci., Simon Fraser Univ., Burnaby, BC, Canada|c|;</t>
  </si>
  <si>
    <t>Marching through the Visible Man</t>
  </si>
  <si>
    <t>10.1109/VISUAL.1995.485154</t>
  </si>
  <si>
    <t>http://dx.doi.org/10.1109/VISUAL.1995.485154</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</si>
  <si>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applications.&amp;lt;&amp;lt;ETX&amp;gt;&amp;gt;</t>
  </si>
  <si>
    <t>L.K. Forssell</t>
  </si>
  <si>
    <t>Comput. Sci. Corp., NASA Ames Res. Center, Moffett Field, CA, USA</t>
  </si>
  <si>
    <t>373, 476</t>
  </si>
  <si>
    <t>Corp. Res. &amp; Dev., Gen. Electr. Co., Schenectady, NY, USA|c|</t>
  </si>
  <si>
    <t>Astronomers and their shady algorithms</t>
  </si>
  <si>
    <t>10.1109/VISUAL.1995.485155</t>
  </si>
  <si>
    <t>http://dx.doi.org/10.1109/VISUAL.1995.485155</t>
  </si>
  <si>
    <t>377, 477</t>
  </si>
  <si>
    <t>Richard Gooch</t>
  </si>
  <si>
    <t>CSIRO Australia Telescope Nat. Facility, Sydney, NSW, Australia|c|</t>
  </si>
  <si>
    <t>Flow visualization in a hypersonic fin/ramp flow</t>
  </si>
  <si>
    <t>10.1109/VISUAL.1995.485156</t>
  </si>
  <si>
    <t>http://dx.doi.org/10.1109/VISUAL.1995.485156</t>
  </si>
  <si>
    <t>382, 478</t>
  </si>
  <si>
    <t>Hans-Georg Pagendarm;Thomas Gerhold</t>
  </si>
  <si>
    <t>10.1109/VISUAL.1994.346329;10.1109/VISUAL.1993.398875</t>
  </si>
  <si>
    <t>Case study: an integrated approach for steering, visualization, and analysis of atmospheric simulations</t>
  </si>
  <si>
    <t>10.1109/VISUAL.1995.485157</t>
  </si>
  <si>
    <t>http://dx.doi.org/10.1109/VISUAL.1995.485157</t>
  </si>
  <si>
    <t>387, 479</t>
  </si>
  <si>
    <t>Yves Jean;Thomas Kindler;William Ribarsky;Weiming Gu;Greg Eisenhauer;Karsten Schwan;Fred Alyea</t>
  </si>
  <si>
    <t>Coll. of Comput., Georgia Inst. of Technol., Atlanta, GA, USA|c|;;;;;;</t>
  </si>
  <si>
    <t>Turbulent flow visualization in computational and experimental hydraulics</t>
  </si>
  <si>
    <t>10.1109/VISUAL.1995.485158</t>
  </si>
  <si>
    <t>http://dx.doi.org/10.1109/VISUAL.1995.485158</t>
  </si>
  <si>
    <t>391, 480</t>
  </si>
  <si>
    <t>Arthur E. Mynett;I. Ari Sadarjoen;A. J. S. Hin</t>
  </si>
  <si>
    <t>Interactive 3D visualization of actual anatomy and simulated chemical time-course data for fish</t>
  </si>
  <si>
    <t>10.1109/VISUAL.1995.485169</t>
  </si>
  <si>
    <t>http://dx.doi.org/10.1109/VISUAL.1995.485169</t>
  </si>
  <si>
    <t>396, 481</t>
  </si>
  <si>
    <t>Penny Rheingans;John Nichols</t>
  </si>
  <si>
    <t>Sci. Visualization Lab., US Environ. Protection Agency, Research Triangle Park, NC, USA|c|;;</t>
  </si>
  <si>
    <t>Visualizing the tracking and diving behavior of marine mammals: a case study</t>
  </si>
  <si>
    <t>10.1109/VISUAL.1995.485170</t>
  </si>
  <si>
    <t>http://dx.doi.org/10.1109/VISUAL.1995.485170</t>
  </si>
  <si>
    <t>399, 482</t>
  </si>
  <si>
    <t>Guy W. Oliver</t>
  </si>
  <si>
    <t>Long Marine Lab., California Univ., Santa Cruz, CA, USA|c|</t>
  </si>
  <si>
    <t>Case study: using spatial access methods to support the visualization of environmental data</t>
  </si>
  <si>
    <t>10.1109/VISUAL.1995.485171</t>
  </si>
  <si>
    <t>http://dx.doi.org/10.1109/VISUAL.1995.485171</t>
  </si>
  <si>
    <t>403, 483</t>
  </si>
  <si>
    <t>Charles Falkenberg;Ravi Kulkarni</t>
  </si>
  <si>
    <t>Visage: a user interface environment for exploring information</t>
  </si>
  <si>
    <t>10.1109/INFVIS.1996.559210</t>
  </si>
  <si>
    <t>http://dx.doi.org/10.1109/INFVIS.1996.559210</t>
  </si>
  <si>
    <t>12, 116</t>
  </si>
  <si>
    <t>Steven F. Roth;Peter Lucas 0002;Jeffrey Senn;Cristina C. Gomberg;Michael B. Burks;Philip J. Stroffolino;John A. Kolojechick;Carolyn Dunmire</t>
  </si>
  <si>
    <t>Sch. of Comput. Sci., Carnegie Mellon Univ., Pittsburgh, PA, USA|c|;;;;;;;</t>
  </si>
  <si>
    <t>10.1109/VISUAL.1993.398870;10.1109/VISUAL.1991.175815</t>
  </si>
  <si>
    <t>Visualization, exploratory data analysis, graphics, user interface environment, human-computer interaction</t>
  </si>
  <si>
    <t>Data characterization for automatically visualizing heterogeneous information</t>
  </si>
  <si>
    <t>10.1109/INFVIS.1996.559211</t>
  </si>
  <si>
    <t>http://dx.doi.org/10.1109/INFVIS.1996.559211</t>
  </si>
  <si>
    <t>20, 117</t>
  </si>
  <si>
    <t>Michelle X. Zhou;Steven K. Feiner</t>
  </si>
  <si>
    <t>Rapid prototyping of information visualizations using VANISH</t>
  </si>
  <si>
    <t>10.1109/INFVIS.1996.559212</t>
  </si>
  <si>
    <t>http://dx.doi.org/10.1109/INFVIS.1996.559212</t>
  </si>
  <si>
    <t>28, 118</t>
  </si>
  <si>
    <t>Rick Kazman;S. Jeromy Carri̬re</t>
  </si>
  <si>
    <t>10.1109/INFVIS.1995.528688;10.1109/INFVIS.1995.528689;10.1109/VISUAL.1991.175815</t>
  </si>
  <si>
    <t>information visualization, software tools, visual programming languages</t>
  </si>
  <si>
    <t>On the semantics of interactive visualizations</t>
  </si>
  <si>
    <t>10.1109/INFVIS.1996.559213</t>
  </si>
  <si>
    <t>http://dx.doi.org/10.1109/INFVIS.1996.559213</t>
  </si>
  <si>
    <t>Mei C. Chuah;Steven F. Roth</t>
  </si>
  <si>
    <t>Sch. of Comput. Sci., Carnegie Mellon Univ., Pittsburgh, PA, USA|c|;</t>
  </si>
  <si>
    <t>10.1109/INFVIS.1995.528684;10.1109/INFVIS.1996.559210</t>
  </si>
  <si>
    <t>information visualization, interactive techniques, user interfaces, automatic presentation systems, graphics</t>
  </si>
  <si>
    <t>Techniques for non-linear magnification transformations</t>
  </si>
  <si>
    <t>10.1109/INFVIS.1996.559214</t>
  </si>
  <si>
    <t>http://dx.doi.org/10.1109/INFVIS.1996.559214</t>
  </si>
  <si>
    <t>Alan Keahey;Edward L. Robertson</t>
  </si>
  <si>
    <t>Distortion viewing techniques for 3-dimensional data</t>
  </si>
  <si>
    <t>10.1109/INFVIS.1996.559215</t>
  </si>
  <si>
    <t>http://dx.doi.org/10.1109/INFVIS.1996.559215</t>
  </si>
  <si>
    <t>53, 119</t>
  </si>
  <si>
    <t>Sheelagh Carpendale;David J. Cowperthwaite;F. David Fracchia</t>
  </si>
  <si>
    <t>distortion viewing, screen layout, 3D interaction, information visualization, interface metaphors, interface design issues</t>
  </si>
  <si>
    <t>Selection: 524,288 ways to say "this is interesting"</t>
  </si>
  <si>
    <t>10.1109/INFVIS.1996.559216</t>
  </si>
  <si>
    <t>http://dx.doi.org/10.1109/INFVIS.1996.559216</t>
  </si>
  <si>
    <t>60, 120</t>
  </si>
  <si>
    <t>Graham J. Wills</t>
  </si>
  <si>
    <t>AT&amp;T Bell Labs., Naperville, IL, USA|c|</t>
  </si>
  <si>
    <t>Towards rich information landscapes for visualising structured Web spaces</t>
  </si>
  <si>
    <t>10.1109/INFVIS.1996.559218</t>
  </si>
  <si>
    <t>http://dx.doi.org/10.1109/INFVIS.1996.559218</t>
  </si>
  <si>
    <t>63, 121</t>
  </si>
  <si>
    <t>Keith Andrews;Michael Pichler;Peter Wolf</t>
  </si>
  <si>
    <t>Inst. for Inf. &amp; Comput. Supported New Media, Graz Univ. of Technol., Austria|c|;;</t>
  </si>
  <si>
    <t>Visualizing the results of multimedia Web search engines</t>
  </si>
  <si>
    <t>10.1109/INFVIS.1996.559219</t>
  </si>
  <si>
    <t>http://dx.doi.org/10.1109/INFVIS.1996.559219</t>
  </si>
  <si>
    <t>65, 122</t>
  </si>
  <si>
    <t>Sougata Mukherjea;Kyoji Hirata;Yoshinori Hara</t>
  </si>
  <si>
    <t>C&amp;C Res. Lab., NEC USA Inc., USA|c|;;</t>
  </si>
  <si>
    <t>Minimally-immersive interactive volumetric information visualization</t>
  </si>
  <si>
    <t>10.1109/INFVIS.1996.559220</t>
  </si>
  <si>
    <t>http://dx.doi.org/10.1109/INFVIS.1996.559220</t>
  </si>
  <si>
    <t>67, 123</t>
  </si>
  <si>
    <t>David S. Ebert;Chris Shaw 0002;Amen Zwa;Ethan L. Miller;D. Aaron Roberts</t>
  </si>
  <si>
    <t>Maryland Univ., Baltimore, MD, USA|c|;;;;</t>
  </si>
  <si>
    <t>Interactive visualization of multiway tables</t>
  </si>
  <si>
    <t>10.1109/INFVIS.1996.559221</t>
  </si>
  <si>
    <t>http://dx.doi.org/10.1109/INFVIS.1996.559221</t>
  </si>
  <si>
    <t>69, 124</t>
  </si>
  <si>
    <t>Kenneth C. Cox;Dianne Hackborn</t>
  </si>
  <si>
    <t>Lucent Technol., Bell Labs., Naperville, IL, USA|c|;</t>
  </si>
  <si>
    <t>FINESSE: a financial information spreadsheet</t>
  </si>
  <si>
    <t>10.1109/INFVIS.1996.559222</t>
  </si>
  <si>
    <t>http://dx.doi.org/10.1109/INFVIS.1996.559222</t>
  </si>
  <si>
    <t>71, 125</t>
  </si>
  <si>
    <t>Amitabh Varshney;Arie E. Kaufman</t>
  </si>
  <si>
    <t>Animating multidimensional scaling to visualize N-dimensional data sets</t>
  </si>
  <si>
    <t>10.1109/INFVIS.1996.559223</t>
  </si>
  <si>
    <t>http://dx.doi.org/10.1109/INFVIS.1996.559223</t>
  </si>
  <si>
    <t>73, 126</t>
  </si>
  <si>
    <t>Chris Bentley;Matthew O. Ward</t>
  </si>
  <si>
    <t>Dept. of Comput. Sci., Worcester Polytech. Inst., MA, USA|c|;</t>
  </si>
  <si>
    <t>Dual multiresolution HyperSlice for multivariate data visualization</t>
  </si>
  <si>
    <t>10.1109/INFVIS.1996.559224</t>
  </si>
  <si>
    <t>http://dx.doi.org/10.1109/INFVIS.1996.559224</t>
  </si>
  <si>
    <t>75, 127</t>
  </si>
  <si>
    <t>Pak Chung Wong;Andrew H. Crabb;R. Daniel Bergeron</t>
  </si>
  <si>
    <t>Dept. of Comput. Sci., New Hampshire Univ., Durham, NH, USA|c|;;</t>
  </si>
  <si>
    <t>Geospatial metadata querying and visualization on the WWW using Java&lt;sup&gt;TM&lt;/sup&gt; applets</t>
  </si>
  <si>
    <t>10.1109/INFVIS.1996.559225</t>
  </si>
  <si>
    <t>http://dx.doi.org/10.1109/INFVIS.1996.559225</t>
  </si>
  <si>
    <t>84, 128</t>
  </si>
  <si>
    <t>Naim Alper;Chuck Stein</t>
  </si>
  <si>
    <t>Mar Inc., USA|c|;</t>
  </si>
  <si>
    <t>10.1109/INFVIS.1995.528686;10.1109/INFVIS.1995.528682</t>
  </si>
  <si>
    <t>Visualizing the global topology of the MBone</t>
  </si>
  <si>
    <t>10.1109/INFVIS.1996.559226</t>
  </si>
  <si>
    <t>http://dx.doi.org/10.1109/INFVIS.1996.559226</t>
  </si>
  <si>
    <t>92, 129</t>
  </si>
  <si>
    <t>Tamara Munzner;Eric Hoffman;Kimberly C. Claffy;Bill Fenner</t>
  </si>
  <si>
    <t>Stanford Univ., CA, USA|c|;;;</t>
  </si>
  <si>
    <t>Visualizing usability log data</t>
  </si>
  <si>
    <t>10.1109/INFVIS.1996.559227</t>
  </si>
  <si>
    <t>http://dx.doi.org/10.1109/INFVIS.1996.559227</t>
  </si>
  <si>
    <t>98, 130</t>
  </si>
  <si>
    <t>Mark Gray;Albert N. Badre;Mark Guzdial</t>
  </si>
  <si>
    <t>Coll. of Comput., Georgia Univ., Athens, GA, USA|c|;;</t>
  </si>
  <si>
    <t>DEPICT: Documents Evaluated as Pictures. Visualizing information using context vectors and self-organizing maps</t>
  </si>
  <si>
    <t>10.1109/INFVIS.1996.559228</t>
  </si>
  <si>
    <t>http://dx.doi.org/10.1109/INFVIS.1996.559228</t>
  </si>
  <si>
    <t>107, 131</t>
  </si>
  <si>
    <t>David A. Rushall;Marc R. Ilgen</t>
  </si>
  <si>
    <t>HNC Software Inc., San Diego, CA, USA|c|;</t>
  </si>
  <si>
    <t>Visualizing a tennis match</t>
  </si>
  <si>
    <t>10.1109/INFVIS.1996.559229</t>
  </si>
  <si>
    <t>http://dx.doi.org/10.1109/INFVIS.1996.559229</t>
  </si>
  <si>
    <t>114, 132</t>
  </si>
  <si>
    <t>Liqun Jin;David C. Banks</t>
  </si>
  <si>
    <t>Dept. of Comput. Sci., Mississippi State Univ., MS, USA|c|;</t>
  </si>
  <si>
    <t>Anatomy-based facial tissue modeling using the finite element method</t>
  </si>
  <si>
    <t>10.1109/VISUAL.1996.567595</t>
  </si>
  <si>
    <t>http://dx.doi.org/10.1109/VISUAL.1996.567595</t>
  </si>
  <si>
    <t>Erwin Keeve;Sabine Girod;Paula Pfeifle;Bernd Girod</t>
  </si>
  <si>
    <t>Telecommun. Inst., Erlangen-Nurnberg Univ., Germany|c|;;;</t>
  </si>
  <si>
    <t>human facial modeling, finite element method, computer-aided surgery, surgery planning and simulation</t>
  </si>
  <si>
    <t>A fast Gibbs sampler for synthesizing constrained fractals</t>
  </si>
  <si>
    <t>10.1109/VISUAL.1996.567598</t>
  </si>
  <si>
    <t>http://dx.doi.org/10.1109/VISUAL.1996.567598</t>
  </si>
  <si>
    <t>Baba C. Vemuri;Chhandomay Mandal</t>
  </si>
  <si>
    <t>Dept. of Comput. &amp; Inf. Sci., Florida Univ., Gainesville, FL, USA|c|;</t>
  </si>
  <si>
    <t>Temporal continuity of levels of detail in Delaunay triangulated terrain</t>
  </si>
  <si>
    <t>10.1109/VISUAL.1996.567600</t>
  </si>
  <si>
    <t>http://dx.doi.org/10.1109/VISUAL.1996.567600</t>
  </si>
  <si>
    <t>Daniel Cohen-Or;Yishay Levanoni</t>
  </si>
  <si>
    <t>Sch. of Math. Sci., Tel Aviv Univ., Israel|c|;</t>
  </si>
  <si>
    <t>BLaC-wavelets: a multiresolution analysis with non-nested spaces</t>
  </si>
  <si>
    <t>10.1109/VISUAL.1996.567602</t>
  </si>
  <si>
    <t>http://dx.doi.org/10.1109/VISUAL.1996.567602</t>
  </si>
  <si>
    <t>Georges-Pierre Bonneau;Stefanie Hahmann;Gregory M. Nielson</t>
  </si>
  <si>
    <t>Lab. LMC, CNRS, Grenoble, France|c|;;</t>
  </si>
  <si>
    <t>Fast stereo volume rendering</t>
  </si>
  <si>
    <t>10.1109/VISUAL.1996.567603</t>
  </si>
  <si>
    <t>http://dx.doi.org/10.1109/VISUAL.1996.567603</t>
  </si>
  <si>
    <t>Hierarchical and parallelizable direct volume rendering for irregular and multiple grids</t>
  </si>
  <si>
    <t>10.1109/VISUAL.1996.567606</t>
  </si>
  <si>
    <t>http://dx.doi.org/10.1109/VISUAL.1996.567606</t>
  </si>
  <si>
    <t>Jane Wilhelms;Allen Van Gelder;Paul Tarantino;Jonathan Gibbs</t>
  </si>
  <si>
    <t>California Univ., Santa Cruz, CA, USA|c|;;;</t>
  </si>
  <si>
    <t>10.1109/VISUAL.1992.235204;10.1109/VISUAL.1993.398853;10.1109/VISUAL.1995.480796;10.1109/VISUAL.1992.235228</t>
  </si>
  <si>
    <t>Computer Graphics, Scientific Visualization, Scanline, Direct Volume Rendering, Curvilinear Grid, Irregular Grid, k-D Tree</t>
  </si>
  <si>
    <t>Fast Perspective Volume Rendering with Splatting by Utilizing a Ray-Driven Approach</t>
  </si>
  <si>
    <t>10.1109/VISUAL.1996.567608</t>
  </si>
  <si>
    <t>http://doi.ieeecomputersociety.org/10.1109/VISUAL.1996.567608</t>
  </si>
  <si>
    <t>Klaus Mueller;Roni Yagel</t>
  </si>
  <si>
    <t>The Ohio State University, Columbus, OH, USA</t>
  </si>
  <si>
    <t>10.1109/VISUAL.1995.480792;10.1109/VISUAL.1993.398877;10.1109/VISUAL.1993.398852</t>
  </si>
  <si>
    <t>Deformable volume rendering by 3D texture mapping and octree encoding</t>
  </si>
  <si>
    <t>10.1109/VISUAL.1996.567609</t>
  </si>
  <si>
    <t>http://dx.doi.org/10.1109/VISUAL.1996.567609</t>
  </si>
  <si>
    <t>Shiaofen Fang;Rajagopalan Srinivasan;Su Huang;Raghu Raghavan</t>
  </si>
  <si>
    <t>Nat. Univ. of Singapore, Singapore|c|;;;</t>
  </si>
  <si>
    <t>Volume Rendering, 3D Texture Mapping, Morphing, Volume Deformation, Octree, Scientific Visualization</t>
  </si>
  <si>
    <t>Visualization over the World Wide Web and its application to environmental data</t>
  </si>
  <si>
    <t>10.1109/VISUAL.1996.567610</t>
  </si>
  <si>
    <t>http://dx.doi.org/10.1109/VISUAL.1996.567610</t>
  </si>
  <si>
    <t>Jason D. Wood;Ken Brodlie;Helen Wright</t>
  </si>
  <si>
    <t>Leeds Univ., UK|c|;;</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</si>
  <si>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model.&amp;lt;&amp;lt;ETX&amp;gt;&amp;gt;</t>
  </si>
  <si>
    <t>Cheops: a compact explorer for complex hierarchies</t>
  </si>
  <si>
    <t>10.1109/VISUAL.1996.567745</t>
  </si>
  <si>
    <t>D.S. Ebert;R. Yagel;J. Scott;Y. Kurzion</t>
  </si>
  <si>
    <t>Dept. of Comput. Sci., Maryland Univ., Baltimore, MD, USA</t>
  </si>
  <si>
    <t>http://dx.doi.org/10.1109/VISUAL.1996.567745</t>
  </si>
  <si>
    <t>Luc Beaudoin;Marc-Antoine Parent;Louis C. Vroomen</t>
  </si>
  <si>
    <t>Centre de Recherche Inf. de Montreal, Que.,, Canada|c|;;</t>
  </si>
  <si>
    <t>Hierarchical representation, information visualization and exploration, focus+context techniques, graphical browser</t>
  </si>
  <si>
    <t>The Design and Implementation of an Object-Oriented Toolkit for 3D Graphics and Visualization</t>
  </si>
  <si>
    <t>10.1109/VISUAL.1996.567752</t>
  </si>
  <si>
    <t>http://doi.ieeecomputersociety.org/10.1109/VISUAL.1996.567752</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</si>
  <si>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fields.&amp;lt;&amp;lt;ETX&amp;gt;&amp;gt;</t>
  </si>
  <si>
    <t>William J. Schroeder;Ken Martin;William E. Lorensen</t>
  </si>
  <si>
    <t>M. Brill;H. Hagen;H.-C. Rodrian;W. Djatschin;S.V. Klimenko</t>
  </si>
  <si>
    <t>10.1109/VISUAL.1993.398878;10.1109/VISUAL.1994.346303;10.1109/VISUAL.1992.235205;10.1109/VISUAL.1995.480821</t>
  </si>
  <si>
    <t>Dept. of Comput. Sci., Kaiserslautern Univ., Germany;Dept. of Comput. Sci., Kaiserslautern Univ., Germany;Dept. of Comput. Sci., Kaiserslautern Univ., Germany</t>
  </si>
  <si>
    <t>Visualization of Complex Models Using Dynamic Texture-based Simplification</t>
  </si>
  <si>
    <t>10.1109/VISUAL.1996.567774</t>
  </si>
  <si>
    <t>http://doi.ieeecomputersociety.org/10.1109/VISUAL.1996.567774</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</si>
  <si>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coordination.&amp;lt;&amp;lt;ETX&amp;gt;&amp;gt;</t>
  </si>
  <si>
    <t>Daniel G. Aliaga</t>
  </si>
  <si>
    <t>G.O. Domik;B. Gutkauf</t>
  </si>
  <si>
    <t>University of North Carolina at Chapel Hill</t>
  </si>
  <si>
    <t>Paderborn Univ., Germany</t>
  </si>
  <si>
    <t>Interactive visualization of 3D-vector fields using illuminated stream lines</t>
  </si>
  <si>
    <t>10.1109/VISUAL.1996.567777</t>
  </si>
  <si>
    <t>http://dx.doi.org/10.1109/VISUAL.1996.567777</t>
  </si>
  <si>
    <t>Malte Z̦ckler;Detlev Stalling;Hans-Christian Hege</t>
  </si>
  <si>
    <t>Konrad-Zuse-Zentrum fur Informationstech., Berlin, Germany|c|;;</t>
  </si>
  <si>
    <t>10.1109/VISUAL.1993.398850;10.1109/VISUAL.1993.398849;10.1109/VISUAL.1994.346312;10.1109/VISUAL.1992.235226;10.1109/VISUAL.1995.485141;10.1109/VISUAL.1992.235227;10.1109/VISUAL.1994.346313;10.1109/VISUAL.1995.480817;10.1109/VISUAL.1993.398877</t>
  </si>
  <si>
    <t>Raycasting vector fields</t>
  </si>
  <si>
    <t>10.1109/VISUAL.1996.567780</t>
  </si>
  <si>
    <t>http://dx.doi.org/10.1109/VISUAL.1996.567780</t>
  </si>
  <si>
    <t>Thomas Fr�_hauf</t>
  </si>
  <si>
    <t>Fraunhofer Inst. for Comput. Graphics, Darmstadt, Germany|c|</t>
  </si>
  <si>
    <t>10.1109/VISUAL.1993.398875;10.1109/VISUAL.1993.398853;10.1109/VISUAL.1993.398877;10.1109/VISUAL.1992.235228;10.1109/VISUAL.1995.480818</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</si>
  <si>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paintings.&amp;lt;&amp;lt;ETX&amp;gt;&amp;gt;</t>
  </si>
  <si>
    <t>Multi-frequency noise for LIC</t>
  </si>
  <si>
    <t>R. Twiddy;J. Cavallo;S.M. Shiri</t>
  </si>
  <si>
    <t>10.1109/VISUAL.1996.567784</t>
  </si>
  <si>
    <t>http://dx.doi.org/10.1109/VISUAL.1996.567784</t>
  </si>
  <si>
    <t>Hughes STX Corp., NASA Goddard Space Flight Center, Greenbelt, MD, USA;Hughes STX Corp., NASA Goddard Space Flight Center, Greenbelt, MD, USA;Hughes STX Corp., NASA Goddard Space Flight Center, Greenbelt, MD, USA</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</si>
  <si>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hysteresis.&amp;lt;&amp;lt;ETX&amp;gt;&amp;gt;</t>
  </si>
  <si>
    <t>K.L. Duffin;W.A. Barrett</t>
  </si>
  <si>
    <t>Brigham Young Univ., Provo, UT, USA;Brigham Young Univ., Provo, UT, USA</t>
  </si>
  <si>
    <t>Ming-Hoe Kiu;David C. Banks</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</si>
  <si>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analysis.&amp;lt;&amp;lt;ETX&amp;gt;&amp;gt;</t>
  </si>
  <si>
    <t>Dept. of Electr. Eng., Mississippi State Univ., MS, USA|c|;</t>
  </si>
  <si>
    <t>Cláudio T. Silva;Arie E. Kaufman</t>
  </si>
  <si>
    <t>C.T. Silva;A.E. Kaufman</t>
  </si>
  <si>
    <t>A linear iteration time layout algorithm for visualising high-dimensional data</t>
  </si>
  <si>
    <t>10.1109/VISUAL.1996.567787</t>
  </si>
  <si>
    <t>http://dx.doi.org/10.1109/VISUAL.1996.567787</t>
  </si>
  <si>
    <t>Matthew Chalmers</t>
  </si>
  <si>
    <t>Union Bank of Switzerland, Switzerland|c|</t>
  </si>
  <si>
    <t>10.1109/INFVIS.1995.528686;10.1109/VISUAL.1995.480814</t>
  </si>
  <si>
    <t>layout algorithms, visualization, high-dimensional data, spring models, stochastic algorithms, force-directed placement</t>
  </si>
  <si>
    <t>Flexible information visualization of multivariate data from biological sequence similarity searches</t>
  </si>
  <si>
    <t>10.1109/VISUAL.1996.567796</t>
  </si>
  <si>
    <t>http://dx.doi.org/10.1109/VISUAL.1996.567796</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</si>
  <si>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support.&amp;lt;&amp;lt;ETX&amp;gt;&amp;gt;</t>
  </si>
  <si>
    <t>Milos Srámek</t>
  </si>
  <si>
    <t>M. Sramek</t>
  </si>
  <si>
    <t>Slovak Tech. Univ., Bratislava, Slovakia</t>
  </si>
  <si>
    <t>Ed Huai-hsin Chi;John Riedl;Elizabeth Shoop;John V. Carlis;Ernest F. Retzel;Phillip Barry</t>
  </si>
  <si>
    <t>Dept. of Comput. Sci., Minnesota Univ. Med. Sch., Minneapolis, MN, USA|c|;;;;;</t>
  </si>
  <si>
    <t>10.1109/VISUAL.1993.398883;10.1109/VISUAL.1990.146402;10.1109/VISUAL.1995.480794</t>
  </si>
  <si>
    <t>Information Visualization, Biomedical Visualization, Multimodal and Multidimensional Visualization, Applications of Visualization</t>
  </si>
  <si>
    <t>Multiresolution multidimensional wavelet brushing</t>
  </si>
  <si>
    <t>10.1109/VISUAL.1996.567800</t>
  </si>
  <si>
    <t>http://dx.doi.org/10.1109/VISUAL.1996.567800</t>
  </si>
  <si>
    <t>10.1109/VISUAL.1990.146386;10.1109/VISUAL.1993.398864;10.1109/VISUAL.1995.480811;10.1109/VISUAL.1994.346302;10.1109/VISUAL.1995.485139;10.1109/VISUAL.1990.146402</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</si>
  <si>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points.&amp;lt;&amp;lt;ETX&amp;gt;&amp;gt;</t>
  </si>
  <si>
    <t>History consideration in reconstructing polyhedral surfaces from parallel slices</t>
  </si>
  <si>
    <t>10.1109/VISUAL.1996.567804</t>
  </si>
  <si>
    <t>http://dx.doi.org/10.1109/VISUAL.1996.567804</t>
  </si>
  <si>
    <t>Han-Wei Shen;C.R. Johnson</t>
  </si>
  <si>
    <t>Gill Barequet;Daniel Shapiro;Ayellet Tal</t>
  </si>
  <si>
    <t>Tel Aviv Univ., Israel|c|;;</t>
  </si>
  <si>
    <t>reconstruction, interpolation, triangulation</t>
  </si>
  <si>
    <t>Volume tracking</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</si>
  <si>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"PV",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problems.&amp;lt;&amp;lt;ETX&amp;gt;&amp;gt;</t>
  </si>
  <si>
    <t>10.1109/VISUAL.1996.567807</t>
  </si>
  <si>
    <t>http://dx.doi.org/10.1109/VISUAL.1996.567807</t>
  </si>
  <si>
    <t>D. Kimelman;B. Rosenburg;T. Roth</t>
  </si>
  <si>
    <t>Deborah Silver;Xin Wang</t>
  </si>
  <si>
    <t>Dept. of Electr. &amp; Comput. Eng., Rutgers Univ., Piscataway, NJ, USA|c|;</t>
  </si>
  <si>
    <t>10.1109/VISUAL.1995.485141;10.1109/VISUAL.1995.480789</t>
  </si>
  <si>
    <t>Scientific Visualization, Multi-dimensional Visualization, Feature Tracking, Computer Vision, CFD</t>
  </si>
  <si>
    <t>Contour blending using warp-guided distance field interpolation</t>
  </si>
  <si>
    <t>10.1109/VISUAL.1996.567812</t>
  </si>
  <si>
    <t>http://dx.doi.org/10.1109/VISUAL.1996.567812</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</si>
  <si>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code.&amp;lt;&amp;lt;ETX&amp;gt;&amp;gt;</t>
  </si>
  <si>
    <t>M.A. Najork;M.H. Brown</t>
  </si>
  <si>
    <t>DEC Syst. Res. Center, Palo Alto, CA, USA;DEC Syst. Res. Center, Palo Alto, CA, USA</t>
  </si>
  <si>
    <t>Daniel Cohen-Or;David Levin;Amira Solomovici</t>
  </si>
  <si>
    <t>Sch. of Math. Sci., Tel Aviv Univ., Israel|c|;;</t>
  </si>
  <si>
    <t>Shape-plending, Interpolation, Shape Reconstruction, Radial Basis functions</t>
  </si>
  <si>
    <t>Complex-valued contour meshing</t>
  </si>
  <si>
    <t>10.1109/VISUAL.1996.568103</t>
  </si>
  <si>
    <t>http://dx.doi.org/10.1109/VISUAL.1996.568103</t>
  </si>
  <si>
    <t>We describe the theoretical and practical visualization issues solved in the implementation of an interactive real-time four-dimensional geometry interface for the CAVE, an immersive virtual reality environment. While our specific task is to produce a "virtual geometry"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application.&amp;lt;&amp;lt;ETX&amp;gt;&amp;gt;</t>
  </si>
  <si>
    <t>R.A. Cross;A.J. Hanson</t>
  </si>
  <si>
    <t>Chris Weigle;David C. Banks</t>
  </si>
  <si>
    <t>10.1109/VISUAL.1993.398869;10.1109/VISUAL.1991.175782</t>
  </si>
  <si>
    <t>Perceptualisation using a tactile mouse</t>
  </si>
  <si>
    <t>10.1109/VISUAL.1996.568104</t>
  </si>
  <si>
    <t>http://dx.doi.org/10.1109/VISUAL.1996.568104</t>
  </si>
  <si>
    <t>Robert G. Hughes;A. Robin Forrest</t>
  </si>
  <si>
    <t>Sch. of Inf. Syst., Univ. of East Anglia, Norwich, UK|c|;</t>
  </si>
  <si>
    <t>LISTEN: sounding uncertainty visualization</t>
  </si>
  <si>
    <t>10.1109/VISUAL.1996.568105</t>
  </si>
  <si>
    <t>http://dx.doi.org/10.1109/VISUAL.1996.568105</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</si>
  <si>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use.&amp;lt;&amp;lt;ETX&amp;gt;&amp;gt;</t>
  </si>
  <si>
    <t>A. Tal;D. Dobkin</t>
  </si>
  <si>
    <t>Dept. of Comput. Sci., Princeton Univ., NJ, USA;Dept. of Comput. Sci., Princeton Univ., NJ, USA</t>
  </si>
  <si>
    <t>Suresh K. Lodha;Catherine M. Wilson;Robert E. Sheehan</t>
  </si>
  <si>
    <t>Dept. of Comput. &amp; Inf. Sci., California Univ., Santa Cruz, CA, USA|c|;;</t>
  </si>
  <si>
    <t>10.1109/VISUAL.1992.235199;10.1109/VISUAL.1995.480802;10.1109/VISUAL.1996.568116;10.1109/VISUAL.1994.346315;10.1109/VISUAL.1993.398849;10.1109/VISUAL.1995.485141</t>
  </si>
  <si>
    <t>flow, geometry, interactive, interpolation, MIDI, modular, portable, sonification, uncertainty, visualization</t>
  </si>
  <si>
    <t>A haptic interaction method for volume visualization</t>
  </si>
  <si>
    <t>10.1109/VISUAL.1996.568108</t>
  </si>
  <si>
    <t>http://dx.doi.org/10.1109/VISUAL.1996.568108</t>
  </si>
  <si>
    <t>Ricardo S. Avila;Lisa M. Sobierajski</t>
  </si>
  <si>
    <t>Gen. Electr. Corp. Res. &amp; Dev. Center, Schenectady, NY, USA|c|;</t>
  </si>
  <si>
    <t>Two-handed interactive stereoscopic visualization</t>
  </si>
  <si>
    <t>10.1109/VISUAL.1996.568109</t>
  </si>
  <si>
    <t>http://dx.doi.org/10.1109/VISUAL.1996.568109</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</si>
  <si>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fields.&amp;lt;&amp;lt;ETX&amp;gt;&amp;gt;</t>
  </si>
  <si>
    <t>Dept. of Appl. Phys., Stanford Univ., CA, USA</t>
  </si>
  <si>
    <t>David S. Ebert;Chris Shaw 0002;Amen Zwa;Cindy Starr</t>
  </si>
  <si>
    <t>Maryland Univ., Baltimore, MD, USA|c|;;;</t>
  </si>
  <si>
    <t>Illustrating transparent surfaces with curvature-directed strokes</t>
  </si>
  <si>
    <t>10.1109/VISUAL.1996.568110</t>
  </si>
  <si>
    <t>http://dx.doi.org/10.1109/VISUAL.1996.568110</t>
  </si>
  <si>
    <t>ICASE, NASA Langley Res. Center, USA|c|;;</t>
  </si>
  <si>
    <t>10.1109/VISUAL.1995.480795;10.1109/VISUAL.1990.146395;10.1109/VISUAL.1996.568111</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</si>
  <si>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motion.&amp;lt;&amp;lt;ETX&amp;gt;&amp;gt;</t>
  </si>
  <si>
    <t>Opacity-modulating triangular textures for irregular surfaces</t>
  </si>
  <si>
    <t>10.1109/VISUAL.1996.568111</t>
  </si>
  <si>
    <t>D.C. Banks;B.A. Singer</t>
  </si>
  <si>
    <t>http://dx.doi.org/10.1109/VISUAL.1996.568111</t>
  </si>
  <si>
    <t>Inst. for Comput. Applications in Sci. &amp; Eng., NASA Langley Res. Center, Hampton, VA, USA</t>
  </si>
  <si>
    <t>Dept. of Comput. Sci., Mississippi Univ., MS, USA|c|</t>
  </si>
  <si>
    <t>10.1109/VISUAL.1990.146395;10.1109/VISUAL.1995.480795</t>
  </si>
  <si>
    <t>Generation of Transfer Functions with Stochastic Search Technique</t>
  </si>
  <si>
    <t>10.1109/VISUAL.1996.568113</t>
  </si>
  <si>
    <t>http://dx.doi.org/10.1109/VISUAL.1996.568113</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</si>
  <si>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vortices.&amp;lt;&amp;lt;ETX&amp;gt;&amp;gt;</t>
  </si>
  <si>
    <t>Kwan-Liu Ma;Z.C. Zheng</t>
  </si>
  <si>
    <t>Taosong He;Lichan Hong;Arie E. Kaufman;Hanspeter Pfister</t>
  </si>
  <si>
    <t>Department of Computer Science, State University of New York at Stony Brook, Stony Brook, NY</t>
  </si>
  <si>
    <t>Real-time incremental visualization of dynamic ultrasound volumes using parallel BSP trees</t>
  </si>
  <si>
    <t>10.1109/VISUAL.1996.568114</t>
  </si>
  <si>
    <t>http://dx.doi.org/10.1109/VISUAL.1996.568114</t>
  </si>
  <si>
    <t>William F. Garrett;Henry Fuchs;Mary C. Whitton;Andrei State</t>
  </si>
  <si>
    <t>Dept. of Comput. Sci., North Carolina Univ., Chapel Hill, NC, USA|c|;;;</t>
  </si>
  <si>
    <t>10.1109/VISUAL.1991.175802;10.1109/VISUAL.1994.346295</t>
  </si>
  <si>
    <t>Augmented reality, ultrasound echography, 3D medical imaging, BSP tree</t>
  </si>
  <si>
    <t>FEL: The Field Encapsulation Library</t>
  </si>
  <si>
    <t>10.1109/VISUAL.1996.568115</t>
  </si>
  <si>
    <t>http://doi.ieeecomputersociety.org/10.1109/VISUAL.1996.568115</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</si>
  <si>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illustrated.&amp;lt;&amp;lt;ETX&amp;gt;&amp;gt;</t>
  </si>
  <si>
    <t>H.-G. Pagendarm;B. Walter</t>
  </si>
  <si>
    <t>DLR, German Aerosp. Res. Establ., Gottingen, Germany;DLR, German Aerosp. Res. Establ., Gottingen, Germany</t>
  </si>
  <si>
    <t>Steve Bryson;David N. Kenwright;Michael J. Gerald-Yamasaki</t>
  </si>
  <si>
    <t>MRJ, Inc./ NASA Ames Research Center</t>
  </si>
  <si>
    <t>10.1109/VISUAL.1995.485145;10.1109/VISUAL.1991.175771;10.1109/VISUAL.1992.235202</t>
  </si>
  <si>
    <t>UFLOW: visualizing uncertainty in fluid flow</t>
  </si>
  <si>
    <t>10.1109/VISUAL.1996.568116</t>
  </si>
  <si>
    <t>http://dx.doi.org/10.1109/VISUAL.1996.568116</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</si>
  <si>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fields.&amp;lt;&amp;lt;ETX&amp;gt;&amp;gt;</t>
  </si>
  <si>
    <t>A.J. Hanson;Hui Ma</t>
  </si>
  <si>
    <t>Suresh K. Lodha;Alex T. Pang;Robert E. Sheehan;Craig M. Wittenbrink</t>
  </si>
  <si>
    <t>Dept. of Comput. Sci., California Univ., Santa Cruz, CA, USA|c|;;;</t>
  </si>
  <si>
    <t>10.1109/VISUAL.1992.235199;10.1109/VISUAL.1996.568105;10.1109/VISUAL.1995.485141;10.1109/VISUAL.1994.346315</t>
  </si>
  <si>
    <t>flow visualization, uncertainty glyphs, streamlines, rakes, flow envelopes, animation</t>
  </si>
  <si>
    <t>Time management, simultaneity and time-critical computation in interactive unsteady visualization environments</t>
  </si>
  <si>
    <t>10.1109/VISUAL.1996.568117</t>
  </si>
  <si>
    <t>http://dx.doi.org/10.1109/VISUAL.1996.568117</t>
  </si>
  <si>
    <t>Steve Bryson;Sandy Johan</t>
  </si>
  <si>
    <t>Choosing effective colours for data visualization</t>
  </si>
  <si>
    <t>10.1109/VISUAL.1996.568118</t>
  </si>
  <si>
    <t>http://dx.doi.org/10.1109/VISUAL.1996.568118</t>
  </si>
  <si>
    <t>Christopher G. Healey</t>
  </si>
  <si>
    <t>Dept. of Comput. Sci., British Columbia Univ., Vancouver, BC, Canada|c|</t>
  </si>
  <si>
    <t>10.1109/VISUAL.1995.480803;10.1109/VISUAL.1993.398874</t>
  </si>
  <si>
    <t>Real-time slicing of data space</t>
  </si>
  <si>
    <t>10.1109/VISUAL.1996.568119</t>
  </si>
  <si>
    <t>http://dx.doi.org/10.1109/VISUAL.1996.568119</t>
  </si>
  <si>
    <t>Roger Crawfis</t>
  </si>
  <si>
    <t>10.1109/VISUAL.1993.398852;10.1109/VISUAL.1995.480796;10.1109/VISUAL.1995.480806;10.1109/VISUAL.1993.398846;10.1109/VISUAL.1993.398877;10.1109/VISUAL.1991.175782;10.1109/VISUAL.1995.480807;10.1109/VISUAL.1995.480797;10.1109/VISUAL.1995.480789</t>
  </si>
  <si>
    <t>Isocontour, iso-surface, contour surface, volume rendering, splatting, animation, data partitioning, interactive, real-time, scientific visualization, compression</t>
  </si>
  <si>
    <t>Untangling Knots by Stochastic Energy Optimization</t>
  </si>
  <si>
    <t>10.1109/VISUAL.1996.568120</t>
  </si>
  <si>
    <t>http://doi.ieeecomputersociety.org/10.1109/VISUAL.1996.568120</t>
  </si>
  <si>
    <t>Milana Huang;Robert P. Grzeszczuk;Louis H. Kauffman</t>
  </si>
  <si>
    <t>Electronic Visualization Laboratory, Departments of EECS, University of Illinois at Chicago</t>
  </si>
  <si>
    <t>Isosurfacing in span space with utmost efficiency (ISSUE)</t>
  </si>
  <si>
    <t>10.1109/VISUAL.1996.568121</t>
  </si>
  <si>
    <t>http://dx.doi.org/10.1109/VISUAL.1996.568121</t>
  </si>
  <si>
    <t>Han-Wei Shen;Charles D. Hansen;Yarden Livnat;Christopher R. Johnson 0001</t>
  </si>
  <si>
    <t>Dept. of Comput. Sci., Utah Univ., Salt Lake City, UT, USA|c|;;;</t>
  </si>
  <si>
    <t>10.1109/VISUAL.1991.175780;10.1109/VISUAL.1995.480806;10.1109/VISUAL.1994.346334</t>
  </si>
  <si>
    <t>Triangular NURBS surface modeling of scattered data</t>
  </si>
  <si>
    <t>10.1109/VISUAL.1996.568122</t>
  </si>
  <si>
    <t>http://doi.ieeecomputersociety.org/10.1109/VISUAL.1996.568122</t>
  </si>
  <si>
    <t>Song Han;G̩rard G. Medioni</t>
  </si>
  <si>
    <t>Institute for Robotics and Intelligent Systems, University of Southern California, Los Angeles, CA</t>
  </si>
  <si>
    <t>Volume Thinning for Automatic Isosurface Propagation</t>
  </si>
  <si>
    <t>10.1109/VISUAL.1996.568123</t>
  </si>
  <si>
    <t>http://doi.ieeecomputersociety.org/10.1109/VISUAL.1996.568123</t>
  </si>
  <si>
    <t>Takayuki Itoh;Yasushi Yamaguchi;Koji Koyamada</t>
  </si>
  <si>
    <t>Tokyo Research Laboratory, IBM Japan, IBM Japan</t>
  </si>
  <si>
    <t>Mesh reduction with error control</t>
  </si>
  <si>
    <t>10.1109/VISUAL.1996.568124</t>
  </si>
  <si>
    <t>http://dx.doi.org/10.1109/VISUAL.1996.568124</t>
  </si>
  <si>
    <t>Reinhard Klein;Gunther Liebich;Wolfgang Stra��er</t>
  </si>
  <si>
    <t>Wilhelm-Schickard-Inst. fur Inf., Tubingen Univ., Germany|c|;;</t>
  </si>
  <si>
    <t>hierarchical approximation, model simplification, levels-of-detail generation, shape approximation</t>
  </si>
  <si>
    <t>Optimizing triangle strips for fast rendering</t>
  </si>
  <si>
    <t>10.1109/VISUAL.1996.568125</t>
  </si>
  <si>
    <t>http://dx.doi.org/10.1109/VISUAL.1996.568125</t>
  </si>
  <si>
    <t>Francine Evans;Steven Skiena;Amitabh Varshney</t>
  </si>
  <si>
    <t>Dynamic view-dependent simplification for polygonal models</t>
  </si>
  <si>
    <t>10.1109/VISUAL.1996.568126</t>
  </si>
  <si>
    <t>http://dx.doi.org/10.1109/VISUAL.1996.568126</t>
  </si>
  <si>
    <t>Julie C. Xia;Amitabh Varshney</t>
  </si>
  <si>
    <t>State Univ. of New York, Stony Brook, NY, USA|c|;</t>
  </si>
  <si>
    <t>10.1109/VISUAL.1993.398868;10.1109/VISUAL.1995.480805</t>
  </si>
  <si>
    <t>Octree-based decimation of marching cubes surfaces</t>
  </si>
  <si>
    <t>10.1109/VISUAL.1996.568127</t>
  </si>
  <si>
    <t>http://dx.doi.org/10.1109/VISUAL.1996.568127</t>
  </si>
  <si>
    <t>Raj Shekhar;Elias Fayyad;Roni Yagel;J. Fredrick Cornhill</t>
  </si>
  <si>
    <t>Biomed. Eng. Center, Ohio State Univ., Columbus, OH, USA|c|;;;</t>
  </si>
  <si>
    <t>Virtual Workbench-a non-immersive virtual environment for visualizing and interacting with 3D objects for scientific visualization</t>
  </si>
  <si>
    <t>10.1109/VISUAL.1996.568128</t>
  </si>
  <si>
    <t>http://dx.doi.org/10.1109/VISUAL.1996.568128</t>
  </si>
  <si>
    <t>Upul Obeysekare;Chas Williams;Jim Durbin;Lawrence J. Rosenblum;Robert Rosenberg;Fernando Grinstein;Ravi Ramamurthi;Alexandra Landsberg;William Sandberg</t>
  </si>
  <si>
    <t>Naval Res. Lab., Washington, DC, USA|c|;;;;;;;;</t>
  </si>
  <si>
    <t>A system for the complementary visualization of 3D volume images using 2D and 3D binaurally processed sonification representations</t>
  </si>
  <si>
    <t>10.1109/VISUAL.1996.568129</t>
  </si>
  <si>
    <t>http://dx.doi.org/10.1109/VISUAL.1996.568129</t>
  </si>
  <si>
    <t>David Rossiter;Wai-Yin Ng</t>
  </si>
  <si>
    <t>Dept. of Inf. Eng., Chinese Univ. of Hong Kong, Shatin, Hong Kong|c|;</t>
  </si>
  <si>
    <t>10.1109/VISUAL.1990.146398;10.1109/VISUAL.1995.480802</t>
  </si>
  <si>
    <t>Results in mathematics and music: Visualization of roughness in musical consonance</t>
  </si>
  <si>
    <t>10.1109/VISUAL.1996.568130</t>
  </si>
  <si>
    <t>http://dx.doi.org/10.1109/VISUAL.1996.568130</t>
  </si>
  <si>
    <t>Florian Sobieczky</t>
  </si>
  <si>
    <t>Using visualization in the archaeological excavations of a pre-Inca temple in Peru</t>
  </si>
  <si>
    <t>10.1109/VISUAL.1996.568132</t>
  </si>
  <si>
    <t>http://dx.doi.org/10.1109/VISUAL.1996.568132</t>
  </si>
  <si>
    <t>Alan D. Kalvin;Alfredo Remy;Orlando Ardito;Kim Morla;Eduardo Nolasco;Jorge Prado;Regulo Franco;Antonio Murga;Guillermo Wiese</t>
  </si>
  <si>
    <t>IBM Thomas J. Watson Res. Center, Yorktown Heights, NY, USA|c|;;;;;;;;</t>
  </si>
  <si>
    <t>Three Dimensional Visualization of Proteins in Cellular Interactions</t>
  </si>
  <si>
    <t>10.1109/VISUAL.1996.568133</t>
  </si>
  <si>
    <t>http://doi.ieeecomputersociety.org/10.1109/VISUAL.1996.568133</t>
  </si>
  <si>
    <t>Colin R. F. Monks;Patricia Crossno;George S. Davidson;Constantine J. Pavlakos;Abraham Kupfer;Cl��udio T. Silva;Brian N. Wylie</t>
  </si>
  <si>
    <t>Clinical evaluation of interactive volume visualization</t>
  </si>
  <si>
    <t>10.1109/VISUAL.1996.568134</t>
  </si>
  <si>
    <t>http://dx.doi.org/10.1109/VISUAL.1996.568134</t>
  </si>
  <si>
    <t>Karel J. Zuiderveld;Peter M. A. van Ooijen;John W. C. Chin-A-Woeng;Pieter C. Buijs;Marco Olree;Frits H. Post</t>
  </si>
  <si>
    <t>Inst. of Med. Image Sci., Univ. Hospital Utrecht, Netherlands|c|;;;;;</t>
  </si>
  <si>
    <t>Volume Rendering, Texture Mapping, MR Angiography, Visualization, Clinical Evaluation</t>
  </si>
  <si>
    <t>Electrical energy absorption in the human head from a cellular telephone</t>
  </si>
  <si>
    <t>10.1109/VISUAL.1996.568135</t>
  </si>
  <si>
    <t>http://dx.doi.org/10.1109/VISUAL.1996.568135</t>
  </si>
  <si>
    <t>Vishram Pandit;Robert McDermott;Gianluca Lazzi;Cynthia Furse;Om Gandhi</t>
  </si>
  <si>
    <t>Dept. of Electr. Eng., Utah Univ., Salt Lake City, UT, USA|c|;;;;</t>
  </si>
  <si>
    <t>Case study: Visualization of laser confocal microscopy datasets</t>
  </si>
  <si>
    <t>10.1109/VISUAL.1996.568136</t>
  </si>
  <si>
    <t>http://dx.doi.org/10.1109/VISUAL.1996.568136</t>
  </si>
  <si>
    <t>Georgios Sakas;Michael G. Vicker;Peter J̦rg Plath</t>
  </si>
  <si>
    <t>Flow visualization for turbomachinery design</t>
  </si>
  <si>
    <t>10.1109/VISUAL.1996.568137</t>
  </si>
  <si>
    <t>http://dx.doi.org/10.1109/VISUAL.1996.568137</t>
  </si>
  <si>
    <t>Martin Roth;Ronald Peikert</t>
  </si>
  <si>
    <t>Swiss Center for Sci. Comput., Eidgenossische Tech. Hochschule, Zurich, Switzerland|c|;</t>
  </si>
  <si>
    <t>Wavelets applied to lossless compression and progressive transmission of floating point data in 3-D curvilinear grids</t>
  </si>
  <si>
    <t>10.1109/VISUAL.1996.568138</t>
  </si>
  <si>
    <t>http://dx.doi.org/10.1109/VISUAL.1996.568138</t>
  </si>
  <si>
    <t>Aaron Trott;Robert J. Moorhead II;John McGinley</t>
  </si>
  <si>
    <t>NSF Eng. Res. Center for CFS, Mississippi State Univ., MS, USA|c|;;</t>
  </si>
  <si>
    <t>Directional flow visualization of vector fields</t>
  </si>
  <si>
    <t>10.1109/VISUAL.1996.568139</t>
  </si>
  <si>
    <t>http://dx.doi.org/10.1109/VISUAL.1996.568139</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</si>
  <si>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filter.&amp;lt;&amp;lt;ETX&amp;gt;&amp;gt;</t>
  </si>
  <si>
    <t>S.R. Marschner;R.J. Lobb</t>
  </si>
  <si>
    <t>Program of Comput. Graphics, Cornell Univ., Ithaca, NY, USA;Program of Comput. Graphics, Cornell Univ., Ithaca, NY, USA</t>
  </si>
  <si>
    <t>Ed Boring;Alex T. Pang</t>
  </si>
  <si>
    <t>Dept. of Comput. Sci., California Univ., Santa Cruz, CA, USA|c|;</t>
  </si>
  <si>
    <t>glyphs, streamlines, lighting, hue, value, region selection, clutter reduction, flow reversal</t>
  </si>
  <si>
    <t>Data level comparative visualization in aircraft design</t>
  </si>
  <si>
    <t>10.1109/VISUAL.1996.568140</t>
  </si>
  <si>
    <t>http://dx.doi.org/10.1109/VISUAL.1996.568140</t>
  </si>
  <si>
    <t>Jens C. Trapp;Hans-Georg Pagendarm</t>
  </si>
  <si>
    <t>10.1109/VISUAL.1995.485151;10.1109/VISUAL.1995.485156</t>
  </si>
  <si>
    <t>A system for measuring surface facet orientation from atomic force microscope data</t>
  </si>
  <si>
    <t>10.1109/VISUAL.1996.568141</t>
  </si>
  <si>
    <t>http://dx.doi.org/10.1109/VISUAL.1996.568141</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</si>
  <si>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demonstrated.&amp;lt;&amp;lt;ETX&amp;gt;&amp;gt;</t>
  </si>
  <si>
    <t>Hai Tao;R.J. Moorhead</t>
  </si>
  <si>
    <t>NSF Eng. Res. Center for Comput. Field Simulation, Mississippi Univ., MS, USA;NSF Eng. Res. Center for Comput. Field Simulation, Mississippi Univ., MS, USA</t>
  </si>
  <si>
    <t>John G. Hagedorn;Holly E. Rushmeier;John Blendell;Mark Vaudin</t>
  </si>
  <si>
    <t>Comput. &amp; Appl. Math. Lab., Nat. Inst. of Stand. &amp; Technol., Gaithersburg, MD, USA|c|;;;</t>
  </si>
  <si>
    <t>A visualization tool for mechanical design</t>
  </si>
  <si>
    <t>10.1109/VISUAL.1996.568142</t>
  </si>
  <si>
    <t>http://dx.doi.org/10.1109/VISUAL.1996.568142</t>
  </si>
  <si>
    <t>Shao-Chiung Lu;Alec B. Rebello;D. H. Cui;Roni Yagel;R. A. Miller;G. L. Kinzel</t>
  </si>
  <si>
    <t>Center for Die Casting, Ohio State Univ., Columbus, OH, USA|c|;;;;;</t>
  </si>
  <si>
    <t>A 3D Contextual Shading Method for Visualization of Diecasting Defects</t>
  </si>
  <si>
    <t>10.1109/VISUAL.1996.568143</t>
  </si>
  <si>
    <t>http://doi.ieeecomputersociety.org/10.1109/VISUAL.1996.568143</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</si>
  <si>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morphing.&amp;lt;&amp;lt;ETX&amp;gt;&amp;gt;</t>
  </si>
  <si>
    <t>Taosong He;S. Wang;A. Kaufman</t>
  </si>
  <si>
    <t>Case Study: Mantle convection visualization on the Cray T3D</t>
  </si>
  <si>
    <t>10.1109/VISUAL.1996.568144</t>
  </si>
  <si>
    <t>http://dx.doi.org/10.1109/VISUAL.1996.568144</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</si>
  <si>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algorithm.&amp;lt;&amp;lt;ETX&amp;gt;&amp;gt;</t>
  </si>
  <si>
    <t>T. Itoh;K. Koyamada</t>
  </si>
  <si>
    <t>Res. Lab., IBM Japan Ltd., Tokyo, Japan;Res. Lab., IBM Japan Ltd., Tokyo, Japan</t>
  </si>
  <si>
    <t>James S. Painter;Hans-Peter Bunge;Yarden Livnat</t>
  </si>
  <si>
    <t>Adv. Comput. Lab., Los Alamos Nat. Lab., NM, USA|c|;;</t>
  </si>
  <si>
    <t>The challenges of visualizing and modeling environmental data</t>
  </si>
  <si>
    <t>10.1109/VISUAL.1996.568145</t>
  </si>
  <si>
    <t>http://dx.doi.org/10.1109/VISUAL.1996.568145</t>
  </si>
  <si>
    <t>Yingcai Xiao;John P. Ziebarth;Chuck Woodbury;Eric Bayer;Bruce Rundell;Jeroen van der Zijp</t>
  </si>
  <si>
    <t>Dept. of Math., Akron Univ., OH, USA|c|;;;;;</t>
  </si>
  <si>
    <t>Visualization of water quality data for the Chesapeake Bay</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</si>
  <si>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generation.&amp;lt;&amp;lt;ETX&amp;gt;&amp;gt;</t>
  </si>
  <si>
    <t>10.1109/VISUAL.1996.568146</t>
  </si>
  <si>
    <t>http://dx.doi.org/10.1109/VISUAL.1996.568146</t>
  </si>
  <si>
    <t>C.L. Bajaj;A. Royappa</t>
  </si>
  <si>
    <t>Dept. of Comput. Sci., Purdue Univ., West Lafayette, IN, USA;Dept. of Comput. Sci., Purdue Univ., West Lafayette, IN, USA</t>
  </si>
  <si>
    <t>Adam B. Forgang;Bernd Hamann;Carl F. Cerco</t>
  </si>
  <si>
    <t>Dept. of Comput. Eng., California Univ., Davis, CA, USA|c|;;</t>
  </si>
  <si>
    <t>Data reduction and interpolation for visualizing 3D soil-quality data</t>
  </si>
  <si>
    <t>10.1109/VISUAL.1996.568147</t>
  </si>
  <si>
    <t>http://dx.doi.org/10.1109/VISUAL.1996.568147</t>
  </si>
  <si>
    <t>We consider the problem of approximating a smooth surface f(x, y), based on n scattered samples {(x/sub i/, y/sub i/, z/sub i/)/sub i=1//sup n/} where the sample values {z/sub i/} are contaminated with noise: z/sub i/=f(x/sub i/, y/sub i/)=/spl epsiv//sub i/. We present an algorithm that generates a PLS (piecewise linear surface) f', defined on a triangulation of the sample locations V={(x/sub i/, y/sub i/)/sub i=1//sup 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applications.&amp;lt;&amp;lt;ETX&amp;gt;&amp;gt;</t>
  </si>
  <si>
    <t>M. Margaliot;C. Gotsman</t>
  </si>
  <si>
    <t>Dept. of Electr. Eng., Technion-Israel Inst. of Technol., Haifa, Israel</t>
  </si>
  <si>
    <t>David C. Banks;Bernd Hamann;Po-Yu Tsai;Robert J. Moorhead II;Jonathan Barlow</t>
  </si>
  <si>
    <t>NSF Eng. Res. Center, Mississippi State Univ., MS, USA|c|;;;;</t>
  </si>
  <si>
    <t>Case Study: Visual access for landscape event based temporal data</t>
  </si>
  <si>
    <t>10.1109/VISUAL.1996.568148</t>
  </si>
  <si>
    <t>http://dx.doi.org/10.1109/VISUAL.1996.568148</t>
  </si>
  <si>
    <t>Sheelagh Carpendale;Andrew Fall;David J. Cowperthwaite;Joseph Fall;F. David Fracchia</t>
  </si>
  <si>
    <t>Sch. of Comput. Sci., Simon Fraser Univ., Burnaby, BC, Canada|c|;;;;</t>
  </si>
  <si>
    <t>distortion viewing, 3D interaction, information visualization, temporal data</t>
  </si>
  <si>
    <t>We present a new technique for the visualization and analysis of the results from Monte Carlo simulations based on /spl alpha/-complexes and /spl alpha/-shapes.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/spl alpha/-shapes one can obtain quantitative measures of spatial properties of the system, such as the boundary length and interior area of clusters, that would be difficult to obtain otherwise.&amp;lt;&amp;lt;ETX&amp;gt;&amp;gt;</t>
  </si>
  <si>
    <t>P.J. Moran;M. Wagner</t>
  </si>
  <si>
    <t>Dept. of Comput. Sci., Illinois Univ., Urbana, IL, USA</t>
  </si>
  <si>
    <t>Interactive visualization of ocean circulation models</t>
  </si>
  <si>
    <t>10.1109/VISUAL.1996.568149</t>
  </si>
  <si>
    <t>http://dx.doi.org/10.1109/VISUAL.1996.568149</t>
  </si>
  <si>
    <t>Scott Nations;Robert J. Moorhead II;Kelly P. Gaither;Steve Aukstakalnis;Rhonda Vickery;Warren Carl Couvillion Jr.;Daniel N. Fox;Peter Flynn;Alan J. Wallcraft;Patrick Hogan;Ole Martin Smedstad</t>
  </si>
  <si>
    <t>Mississippi State Univ., MS, USA|c|;;;;;;;;;;</t>
  </si>
  <si>
    <t>Interactive Exploration and Modeling of Large Data Sets: A Case Study with Venus Light Scattering Data</t>
  </si>
  <si>
    <t>10.1109/VISUAL.1996.568150</t>
  </si>
  <si>
    <t>http://doi.ieeecomputersociety.org/10.1109/VISUAL.1996.568150</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</si>
  <si>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structure.&amp;lt;&amp;lt;ETX&amp;gt;&amp;gt;</t>
  </si>
  <si>
    <t>B. Yamrom;J.A. Sutliff;A.P. Woodfield</t>
  </si>
  <si>
    <t>Gen. Electr. Corp. Res. &amp; Dev. Center, Schenectady, NY, USA;Gen. Electr. Corp. Res. &amp; Dev. Center, Schenectady, NY, USA</t>
  </si>
  <si>
    <t>Jarke J. van Wijk;Hans J. W. Spoelder;Willem-Jan Knibbe;Kamran Eftekhari Shahroudi</t>
  </si>
  <si>
    <t>The Netherlands and Centre for Mathematics and Computer Science CWI, Amsterdam, The Netherlands</t>
  </si>
  <si>
    <t>Surface Rendering Versus Volume Rendering In Medical Imaging: Techniques And Applications</t>
  </si>
  <si>
    <t>10.1109/VISUAL.1996.568151</t>
  </si>
  <si>
    <t>http://dx.doi.org/10.1109/VISUAL.1996.568151</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</si>
  <si>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planning.&amp;lt;&amp;lt;ETX&amp;gt;&amp;gt;</t>
  </si>
  <si>
    <t>W.J. Schroeder;W.E. Lorensen;S. Linthicum</t>
  </si>
  <si>
    <t>William E. Lorensen;Ron Kikinis;Sandy Napel;Arie E. Kaufman;John Flynn</t>
  </si>
  <si>
    <t>Stanford University Medical Center|c|;;;;;</t>
  </si>
  <si>
    <t>Real-time Accelerators for Volume Rendering</t>
  </si>
  <si>
    <t>10.1109/VISUAL.1996.568160</t>
  </si>
  <si>
    <t>http://dx.doi.org/10.1109/VISUAL.1996.568160</t>
  </si>
  <si>
    <t>Hanspeter Pfister;G�_nter Knittel;J�_rgen Hesser;John C. Goble</t>
  </si>
  <si>
    <t>SUNY at Stony Brook|c|;;;;</t>
  </si>
  <si>
    <t>Information Exploration Shootout or "Benchmarks for Information Exploration"</t>
  </si>
  <si>
    <t>10.1109/VISUAL.1996.568163</t>
  </si>
  <si>
    <t>http://dx.doi.org/10.1109/VISUAL.1996.568163</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</si>
  <si>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rendering.&amp;lt;&amp;lt;ETX&amp;gt;&amp;gt;</t>
  </si>
  <si>
    <t>Ricardo S. Avila;Taosong He;Lichan Hong;Arie E. Kaufman;Hanspeter Pfister;Cláudio T. Silva;Lisa M. Sobierajski;Sidney W. Wang</t>
  </si>
  <si>
    <t>R. Avila;Taosong He;Lichan Hong;A. Kaufman;H. Pfister;C. Silva;L. Sobierajski;S. Wang</t>
  </si>
  <si>
    <t>Howard Hughes Med. Inst., State Univ. of New York, Stony Brook, NY, USA</t>
  </si>
  <si>
    <t>Gregory Piatetsky-Shapiro;Graham J. Wills</t>
  </si>
  <si>
    <t>University of Massachusetts at Lowell and The MITRE Corporation|c|;;</t>
  </si>
  <si>
    <t>Mathematical Vkualization: Standing at the Crossroads</t>
  </si>
  <si>
    <t>10.1109/VISUAL.1996.568165</t>
  </si>
  <si>
    <t>http://dx.doi.org/10.1109/VISUAL.1996.568165</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</si>
  <si>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framebuffer.&amp;lt;&amp;lt;ETX&amp;gt;&amp;gt;</t>
  </si>
  <si>
    <t>David Banks;George Francis;Andrew J. Hanson;Loki J̦rgenson</t>
  </si>
  <si>
    <t>Stanford University (co-organizer)|c|;;;;</t>
  </si>
  <si>
    <t>J.S. Rowlan;G.E. Lent;N. Gokhale;S. Bradshaw</t>
  </si>
  <si>
    <t>Div. of Math. &amp; Comput. Sci., Argonne Nat. Lab., IL, USA;Div. of Math. &amp; Comput. Sci., Argonne Nat. Lab., IL, USA;Div. of Math. &amp; Comput. Sci., Argonne Nat. Lab., IL, USA;Div. of Math. &amp; Comput. Sci., Argonne Nat. Lab., IL, USA</t>
  </si>
  <si>
    <t>Breaking the Myth: One Picture is Not (always) Worth a Thousand Words</t>
  </si>
  <si>
    <t>10.1109/VISUAL.1996.569203</t>
  </si>
  <si>
    <t>http://dx.doi.org/10.1109/VISUAL.1996.569203</t>
  </si>
  <si>
    <t>Robert Braham;F. David Fracchia;Andrew S. Glassner;Barbara Mones-Hattal;Russ Rose;Nahum D. Gershon</t>
  </si>
  <si>
    <t>The MITRE Corporation|c|;;;;;;</t>
  </si>
  <si>
    <t>H3: laying out large directed graphs in 3D hyperbolic space</t>
  </si>
  <si>
    <t>10.1109/INFVIS.1997.636718</t>
  </si>
  <si>
    <t>http://dx.doi.org/10.1109/INFVIS.1997.636718</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</si>
  <si>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system.&amp;lt;&amp;lt;ETX&amp;gt;&amp;gt;</t>
  </si>
  <si>
    <t>C.S. Ang;D.C. Martin;M.D. Doyle</t>
  </si>
  <si>
    <t>Libr. &amp; Center for Knowledge Manage., California Univ., San Francisco, CA, USA;Libr. &amp; Center for Knowledge Manage., California Univ., San Francisco, CA, USA;Libr. &amp; Center for Knowledge Manage., California Univ., San Francisco, CA, USA</t>
  </si>
  <si>
    <t>1995</t>
  </si>
  <si>
    <t>Tamara Munzner</t>
  </si>
  <si>
    <t>Stanford Univ., CA, USA|c|</t>
  </si>
  <si>
    <t>10.1109/INFVIS.1995.528691;10.1109/INFVIS.1995.528689</t>
  </si>
  <si>
    <t>Visualizing information on a sphere</t>
  </si>
  <si>
    <t>10.1109/INFVIS.1997.636759</t>
  </si>
  <si>
    <t>http://dx.doi.org/10.1109/INFVIS.1997.636759</t>
  </si>
  <si>
    <t>Markus H. Gross;Thomas C. Sprenger;J. Finger</t>
  </si>
  <si>
    <t>Dept. of Comput. Sci., Zurich Univ., Switzerland|c|;;</t>
  </si>
  <si>
    <t>10.1109/INFVIS.1995.528689;10.1109/INFVIS.1995.528691;10.1109/INFVIS.1995.528686;10.1109/VISUAL.1996.567787</t>
  </si>
  <si>
    <t>information visualization, physically-based systems, multidimensional information space, hierarchies, blobby clustering</t>
  </si>
  <si>
    <t>A spreadsheet approach to information visualization</t>
  </si>
  <si>
    <t>10.1109/INFVIS.1997.636761</t>
  </si>
  <si>
    <t>http://dx.doi.org/10.1109/INFVIS.1997.636761</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</si>
  <si>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</si>
  <si>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B. Spence;L. Tweedie;H. Dawkes;Hua Su</t>
  </si>
  <si>
    <t>Dept. of Electr. Eng., Imperial Coll. of Sci., Technol. &amp; Med., London, UK;Dept. of Electr. Eng., Imperial Coll. of Sci., Technol. &amp; Med., London, UK;Dept. of Electr. Eng., Imperial Coll. of Sci., Technol. &amp; Med., London, UK;Dept. of Electr. Eng., Imperial Coll. of Sci., Technol. &amp; Med., London, UK</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</si>
  <si>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</si>
  <si>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K. Reichenberger;T. Kamps;G. Golovchinsky</t>
  </si>
  <si>
    <t>GMD-Inst. for Integrated Publication &amp; Inf. Sci., Darmstadt, Germany;GMD-Inst. for Integrated Publication &amp; Inf. Sci., Darmstadt, Germany;GMD-Inst. for Integrated Publication &amp; Inf. Sci., Darmstadt, Germany</t>
  </si>
  <si>
    <t>3D computer graphics can be extremely expressive. It is possible to display an entire securities market, like the S&amp;amp;P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</si>
  <si>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Visible Decisions Inc., Toronto, Ont., Canada</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</si>
  <si>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</si>
  <si>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Peter Lüders;Rolf Ernst</t>
  </si>
  <si>
    <t>P. Luders;R. Ernst</t>
  </si>
  <si>
    <t>Tech. Univ. Braunschweig, Germany;Tech. Univ. Braunschweig, Germany</t>
  </si>
  <si>
    <t>Ed Huai-hsin Chi;Phillip Barry;John Riedl;Joseph A. Konstan</t>
  </si>
  <si>
    <t>Dept. of Comput. Sci., Minnesota Univ., Minneapolis, MN, USA|c|;;;</t>
  </si>
  <si>
    <t>10.1109/VISUAL.1996.567796;10.1109/VISUAL.1996.567752;10.1109/INFVIS.1995.528690;10.1109/VISUAL.1995.480794;10.1109/VISUAL.1993.398859</t>
  </si>
  <si>
    <t>Adaptive information visualization based on the user's multiple viewpoints - interactive 3D visualization of the WWW</t>
  </si>
  <si>
    <t>10.1109/INFVIS.1997.636778</t>
  </si>
  <si>
    <t>http://dx.doi.org/10.1109/INFVIS.1997.636778</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</si>
  <si>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</si>
  <si>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M.C. Chuah;S.F. Roth;J. Mattis;J. Kolojejchick</t>
  </si>
  <si>
    <t>Sch. of Comput. Sci., Carnegie Mellon Univ., Pittsburgh, PA, USA;Sch. of Comput. Sci., Carnegie Mellon Univ., Pittsburgh, PA, USA;Sch. of Comput. Sci., Carnegie Mellon Univ., Pittsburgh, PA, USA;Sch. of Comput. Sci., Carnegie Mellon Univ., Pittsburgh, PA, USA</t>
  </si>
  <si>
    <t>Teruhiko Teraoka;Minoru Maruyama</t>
  </si>
  <si>
    <t>Adv. Technol. R&amp;D Center, Mitsubishi Electr. Corp., Amagasaki, Japan|c|;</t>
  </si>
  <si>
    <t>Managing software with new visual representations</t>
  </si>
  <si>
    <t>10.1109/INFVIS.1997.636782</t>
  </si>
  <si>
    <t>http://dx.doi.org/10.1109/INFVIS.1997.636782</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</si>
  <si>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</si>
  <si>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D.F. Jerding;J.T. Stasko</t>
  </si>
  <si>
    <t>Coll. of Comput., Georgia Inst. of Technol., Atlanta, GA, USA;Coll. of Comput., Georgia Inst. of Technol., Atlanta, GA, USA</t>
  </si>
  <si>
    <t>Mei C. Chuah;Stephen G. Eick</t>
  </si>
  <si>
    <t>On integrating visualization techniques for effective software exploration</t>
  </si>
  <si>
    <t>10.1109/INFVIS.1997.636784</t>
  </si>
  <si>
    <t>http://dx.doi.org/10.1109/INFVIS.1997.636784</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</si>
  <si>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</si>
  <si>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J.A. Wise;J.J. Thomas;K. Pennock;D. Lantrip;M. Pottier;A. Schur;V. Crow</t>
  </si>
  <si>
    <t>Pacific Northwest Lab., Richland, WA, USA;Pacific Northwest Lab., Richland, WA, USA;Pacific Northwest Lab., Richland, WA, USA;Pacific Northwest Lab., Richland, WA, USA;Pacific Northwest Lab., Richland, WA, USA;Pacific Northwest Lab., Richland, WA, USA;Pacific Northwest Lab., Richland, WA, USA</t>
  </si>
  <si>
    <t>Margaret-Anne D. Storey;Kenny Wong;F. David Fracchia;Hausi A. M�_ller</t>
  </si>
  <si>
    <t>Nested graphs, pan and zoom, fisheye views, hypertext, mental map, software visualization, program understanding</t>
  </si>
  <si>
    <t>Cacti: a front end for program visualization</t>
  </si>
  <si>
    <t>10.1109/INFVIS.1997.636785</t>
  </si>
  <si>
    <t>http://dx.doi.org/10.1109/INFVIS.1997.636785</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</si>
  <si>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(&amp;gt;20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</si>
  <si>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I.G. Angus;H.A. Sowizral</t>
  </si>
  <si>
    <t>Inf. &amp; Support Services, Boeing Co., Seattle, WA, USA;Inf. &amp; Support Services, Boeing Co., Seattle, WA, USA</t>
  </si>
  <si>
    <t>Steven P. Reiss</t>
  </si>
  <si>
    <t>Dept. of Comput. Sci., Brown Univ., Providence, RI, USA|c|</t>
  </si>
  <si>
    <t>Nonlinear magnification fields</t>
  </si>
  <si>
    <t>10.1109/INFVIS.1997.636786</t>
  </si>
  <si>
    <t>http://dx.doi.org/10.1109/INFVIS.1997.636786</t>
  </si>
  <si>
    <t>information visualization, nonlinear magnification, data-driven magnification, fisheye views, magnification brushing, data-mining</t>
  </si>
  <si>
    <t>Managing multiple focal levels in Table Lens</t>
  </si>
  <si>
    <t>10.1109/INFVIS.1997.636787</t>
  </si>
  <si>
    <t>http://dx.doi.org/10.1109/INFVIS.1997.636787</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</si>
  <si>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</si>
  <si>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C. Ahlberg;E. Wistrand</t>
  </si>
  <si>
    <t>Dept. of Comput. Sci., Chalmers Univ. of Technol., Goteborg, Sweden;Dept. of Comput. Sci., Chalmers Univ. of Technol., Goteborg, Sweden</t>
  </si>
  <si>
    <t>Tichomir Tenev;Ramana Rao</t>
  </si>
  <si>
    <t>Xerox Palo Alto Res. Center, CA, USA|c|;</t>
  </si>
  <si>
    <t>Focus+Context, Fisheye, Information visualization, Table Lens</t>
  </si>
  <si>
    <t>Coordinating declarative queries with a direct manipulation data exploration environment</t>
  </si>
  <si>
    <t>10.1109/INFVIS.1997.636788</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</si>
  <si>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</si>
  <si>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http://dx.doi.org/10.1109/INFVIS.1997.636788</t>
  </si>
  <si>
    <t>S. Jeromy Carrière;Rick Kazman</t>
  </si>
  <si>
    <t>J. Carriere;R. Kazman</t>
  </si>
  <si>
    <t>Dept. of Comput. Sci., Waterloo Univ., Ont., Canada;Dept. of Comput. Sci., Waterloo Univ., Ont., Canada</t>
  </si>
  <si>
    <t>Mark Derthick;Steven F. Roth;John Kolojejchick</t>
  </si>
  <si>
    <t>Robotics Inst., Carnegie Mellon Univ., Pittsburgh, PA, USA|c|;;</t>
  </si>
  <si>
    <t>10.1109/INFVIS.1995.528688;10.1109/INFVIS.1996.559210</t>
  </si>
  <si>
    <t>Domesticating Bead: adapting an information visualization system to a financial institution</t>
  </si>
  <si>
    <t>10.1109/INFVIS.1997.636789</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</si>
  <si>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</si>
  <si>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http://dx.doi.org/10.1109/INFVIS.1997.636789</t>
  </si>
  <si>
    <t>V. Anupam;S. Dar;T. Leibfried;E. Petajan</t>
  </si>
  <si>
    <t>AT&amp;T Bell Labs., Murray Hill, NJ, USA;AT&amp;T Bell Labs., Murray Hill, NJ, USA;AT&amp;T Bell Labs., Murray Hill, NJ, USA;AT&amp;T Bell Labs., Murray Hill, NJ, USA</t>
  </si>
  <si>
    <t>Dominique Brodbeck;Matthew Chalmers;Aran Lunzer;Pamela Cotture</t>
  </si>
  <si>
    <t>Ubilab, UBS, Zurich, Switzerland|c|;;;</t>
  </si>
  <si>
    <t>10.1109/VISUAL.1990.146402;10.1109/INFVIS.1995.528686;10.1109/VISUAL.1996.568118;10.1109/INFVIS.1995.528688;10.1109/VISUAL.1994.346302;10.1109/VISUAL.1991.175794;10.1109/VISUAL.1996.567787</t>
  </si>
  <si>
    <t>Design and evaluation of incremental data structures and algorithms for dynamic query interfaces</t>
  </si>
  <si>
    <t>10.1109/INFVIS.1997.636790</t>
  </si>
  <si>
    <t>http://dx.doi.org/10.1109/INFVIS.1997.636790</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</si>
  <si>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</si>
  <si>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R.J. Hendley;N.S. Drew;A.M. Wood;R. Beale</t>
  </si>
  <si>
    <t>Sch. of Comput. Sci., Birmingham Univ., UK;Sch. of Comput. Sci., Birmingham Univ., UK;Sch. of Comput. Sci., Birmingham Univ., UK;Sch. of Comput. Sci., Birmingham Univ., UK</t>
  </si>
  <si>
    <t>Egemen Tanin;Richard Beigel;Ben Shneiderman</t>
  </si>
  <si>
    <t>Dept. of Comput. Sci., Maryland Univ., College Park, MD, USA|c|;;</t>
  </si>
  <si>
    <t>10.1109/INFVIS.1995.528688;10.1109/INFVIS.1995.528688</t>
  </si>
  <si>
    <t>Data Structure, Algorithm, Database, User Interface, Information Visualization, Direct Manipulation, Dynamic Query</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</si>
  <si>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</si>
  <si>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Volume rendering for relational data</t>
  </si>
  <si>
    <t>10.1109/INFVIS.1997.636791</t>
  </si>
  <si>
    <t>http://dx.doi.org/10.1109/INFVIS.1997.636791</t>
  </si>
  <si>
    <t>Inst. for Inf. Process. &amp; Comput. Supported New Media, Graz Univ. of Technol., Austria</t>
  </si>
  <si>
    <t>Barry G. Becker</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</si>
  <si>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</si>
  <si>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10.1109/INFVIS.1995.528686;10.1109/INFVIS.1995.528688;10.1109/VISUAL.1995.485139;10.1109/VISUAL.1993.398877</t>
  </si>
  <si>
    <t>R. Mitchell;D. Day;L. Hirschman</t>
  </si>
  <si>
    <t>volume rendering, relational data, scatterplot, multivariate data, information visualization</t>
  </si>
  <si>
    <t>Mitre Corp., Bedford, MA, USA;Mitre Corp., Bedford, MA, USA;Mitre Corp., Bedford, MA, USA</t>
  </si>
  <si>
    <t>The structure of the information visualization design space</t>
  </si>
  <si>
    <t>10.1109/INFVIS.1997.636792</t>
  </si>
  <si>
    <t>http://dx.doi.org/10.1109/INFVIS.1997.636792</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</si>
  <si>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</si>
  <si>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T.M. Rhyne</t>
  </si>
  <si>
    <t>Lockheed Martin, Research Triangle Park, NC, USA</t>
  </si>
  <si>
    <t>Stuart K. Card;Jock D. Mackinlay</t>
  </si>
  <si>
    <t>10.1109/INFVIS.1996.559213;10.1109/VISUAL.1991.175815;10.1109/INFVIS.1995.528686;10.1109/INFVIS.1995.528684;10.1109/INFVIS.1995.528697</t>
  </si>
  <si>
    <t>information visualization, taxonomy, design space, morphological analysis</t>
  </si>
  <si>
    <t>Multidimensional detective</t>
  </si>
  <si>
    <t>10.1109/INFVIS.1997.636793</t>
  </si>
  <si>
    <t>http://dx.doi.org/10.1109/INFVIS.1997.636793</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</si>
  <si>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</si>
  <si>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C.A. Burton;L.J. Johnston;E.A. Sonenberg</t>
  </si>
  <si>
    <t>Melbourne Univ., Parkville, Vic., Australia;Melbourne Univ., Parkville, Vic., Australia;Melbourne Univ., Parkville, Vic., Australia</t>
  </si>
  <si>
    <t>Alfred Inselberg</t>
  </si>
  <si>
    <t>Dept. of Comput. Sci., Tel Aviv Univ., Israel|c|</t>
  </si>
  <si>
    <t>10.1109/VISUAL.1990.146402;10.1109/VISUAL.1994.346302</t>
  </si>
  <si>
    <t>Metrics for effective information visualization</t>
  </si>
  <si>
    <t>10.1109/INFVIS.1997.636794</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</si>
  <si>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</si>
  <si>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http://dx.doi.org/10.1109/INFVIS.1997.636794</t>
  </si>
  <si>
    <t>N. Gershon;J. LeVasseur;J. Winstead;J. Croall;A. Pernicks;W. Ruh</t>
  </si>
  <si>
    <t>Mitre Corp., McLean, VA, USA;Mitre Corp., McLean, VA, USA;Mitre Corp., McLean, VA, USA;Mitre Corp., McLean, VA, USA;Mitre Corp., McLean, VA, USA;Mitre Corp., McLean, VA, USA</t>
  </si>
  <si>
    <t>Richard Brath</t>
  </si>
  <si>
    <t>Visible Decision Inc., Toronto, Ont., Canada|c|</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</si>
  <si>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</si>
  <si>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10.1109/INFVIS.1996.559213;10.1109/INFVIS.1995.528682;10.1109/INFVIS.1996.559211</t>
  </si>
  <si>
    <t>K.C. Cox;S.G. Eick</t>
  </si>
  <si>
    <t>AT&amp;T Bell Labs., Naperville, IL, USA;AT&amp;T Bell Labs., Naperville, IL, USA</t>
  </si>
  <si>
    <t>A comparison of normal estimation schemes</t>
  </si>
  <si>
    <t>10.1109/VISUAL.1997.663848</t>
  </si>
  <si>
    <t>http://dx.doi.org/10.1109/VISUAL.1997.663848</t>
  </si>
  <si>
    <t>A scalar volume V={(x,f(x))|x/spl isin/R} is described by a function f(x) defined over some region R of the three dimensional space. The paper presents a simple technique for rendering interval sets of the form I/sub g/(a,b)={(x,f(x))|a/spl les/g(x)/spl les/b}, where a and b are either real numbers of infinities. We describe an algorithm for triangulating interval sets as /spl alpha/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</si>
  <si>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Torsten M̦ller;Raghu Machiraju;Klaus Mueller;Roni Yagel</t>
  </si>
  <si>
    <t>Dept. of Comput. Sci., Toronto Univ., Ont., Canada</t>
  </si>
  <si>
    <t>interpolation filters, derivative filters, filter design, normal estimation, Taylor series expansion, efficient volume rendering</t>
  </si>
  <si>
    <t>Collision detection for volumetric objects</t>
  </si>
  <si>
    <t>10.1109/VISUAL.1997.663851</t>
  </si>
  <si>
    <t>http://dx.doi.org/10.1109/VISUAL.1997.663851</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</si>
  <si>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</si>
  <si>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W. Heidrich;M. McCool;J. Stevens</t>
  </si>
  <si>
    <t>Comput. Graphics Lab., Waterloo Univ., Ont., Canada</t>
  </si>
  <si>
    <t>10.1109/VISUAL.1996.568108;10.1109/VISUAL.1994.346340</t>
  </si>
  <si>
    <t>volume visualization, volume rendering, virtual reality, volume graphics, volumetric collision, collision probability, surface crossing probability, distance map, octree, sphere tree</t>
  </si>
  <si>
    <t>The VSBUFFER: visibility ordering of unstructured volume primitives by polygon drawing</t>
  </si>
  <si>
    <t>10.1109/VISUAL.1997.663853</t>
  </si>
  <si>
    <t>http://dx.doi.org/10.1109/VISUAL.1997.663853</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</si>
  <si>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"virtually real".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</si>
  <si>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R.A. Cross</t>
  </si>
  <si>
    <t>Naval Res. Lab., Washington, DC, USA</t>
  </si>
  <si>
    <t>R�_diger Westermann;Thomas Ertl</t>
  </si>
  <si>
    <t>Comput. Graphics Group, Erlangen-Nurnberg Univ., Germany|c|;</t>
  </si>
  <si>
    <t>10.1109/VISUAL.1996.567606;10.1109/VISUAL.1993.398853;10.1109/VISUAL.1990.146391</t>
  </si>
  <si>
    <t>Volume rendering of abdominal aortic aneurysms</t>
  </si>
  <si>
    <t>10.1109/VISUAL.1997.663855</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</si>
  <si>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</si>
  <si>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http://dx.doi.org/10.1109/VISUAL.1997.663855</t>
  </si>
  <si>
    <t>L.M. Sobierajski;R.S. Avila</t>
  </si>
  <si>
    <t>Corp. Res. &amp; Dev., Gen. Electr. Co., Schenectady, NY, USA;Corp. Res. &amp; Dev., Gen. Electr. Co., Schenectady, NY, USA</t>
  </si>
  <si>
    <t>Roger C. Tam;Christopher G. Healey;Borys Flak;Peter Cahoon</t>
  </si>
  <si>
    <t>Dept. of Comput. Sci., British Columbia Univ., Vancouver, BC, Canada|c|;;;</t>
  </si>
  <si>
    <t>10.1109/VISUAL.1996.568118;10.1109/VISUAL.1993.398874</t>
  </si>
  <si>
    <t>aneurysm, colourization, computed tomography, CT, image processing, medical imaging, scientific visualization, segmentation, volume rendering</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</si>
  <si>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/spl alpha/ and /spl beta/, where /spl alpha/ is the radius of the solvent molecule (also known as the probe radius) and /spl beta/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log/sup 2/ k), where n is the number of atoms in the participating molecular units and k is the average number of neighboring atoms-a constant, given /spl alpha/ and /spl beta/.</t>
  </si>
  <si>
    <t>Auralization of streamline vorticity in computational fluid dynamics data</t>
  </si>
  <si>
    <t>10.1109/VISUAL.1997.663856</t>
  </si>
  <si>
    <t>A. Varshney;F.P. Brooks;D.C. Richardson;W.V. Wright;D. Manocha</t>
  </si>
  <si>
    <t>http://dx.doi.org/10.1109/VISUAL.1997.663856</t>
  </si>
  <si>
    <t>Dept. of Comput. Sci., State Univ. of New York, Stony Brook, NY, USA</t>
  </si>
  <si>
    <t>Christopher R. Volpe;Ephraim P. Glinert</t>
  </si>
  <si>
    <t>GE Corp. Res. &amp; Dev., Schenectady, NY, USA|c|;</t>
  </si>
  <si>
    <t>10.1109/VISUAL.1991.175789;10.1109/VISUAL.1990.146398;10.1109/VISUAL.1992.235205;10.1109/VISUAL.1995.480802</t>
  </si>
  <si>
    <t>Singularities in nonuniform tensor fields</t>
  </si>
  <si>
    <t>10.1109/VISUAL.1997.663857</t>
  </si>
  <si>
    <t>http://dx.doi.org/10.1109/VISUAL.1997.663857</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</si>
  <si>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</si>
  <si>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E.H.-H. Chi;P. Barry;E. Shoop;J.V. Carlis;E. Retzel;J. Riedl</t>
  </si>
  <si>
    <t>Dept. of Comput. Sci., Minnesota Univ., Minneapolis, MN, USA;Dept. of Comput. Sci., Minnesota Univ., Minneapolis, MN, USA;Dept. of Comput. Sci., Minnesota Univ., Minneapolis, MN, USA;Dept. of Comput. Sci., Minnesota Univ., Minneapolis, MN, USA</t>
  </si>
  <si>
    <t>Yingmei Lavin;Yuval Levy;Lambertus Hesselink</t>
  </si>
  <si>
    <t>Dept. of Phys., Stanford Univ., CA, USA|c|;;</t>
  </si>
  <si>
    <t>Visualization of higher order singularities in vector fields</t>
  </si>
  <si>
    <t>10.1109/VISUAL.1997.663858</t>
  </si>
  <si>
    <t>http://dx.doi.org/10.1109/VISUAL.1997.663858</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</si>
  <si>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</si>
  <si>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V. Interrante;H. Fuchs;S. Pizer</t>
  </si>
  <si>
    <t>Dept. of Comput. Sci., North Carolina Univ., Chapel Hill, NC, USA;Dept. of Comput. Sci., North Carolina Univ., Chapel Hill, NC, USA;Dept. of Comput. Sci., North Carolina Univ., Chapel Hill, NC, USA</t>
  </si>
  <si>
    <t>Gerik Scheuermann;Hans Hagen;Heinz Kr�_ger;Martin Menzel;Alyn P. Rockwood</t>
  </si>
  <si>
    <t>Principal stream surfaces</t>
  </si>
  <si>
    <t>10.1109/VISUAL.1997.663859</t>
  </si>
  <si>
    <t>http://dx.doi.org/10.1109/VISUAL.1997.663859</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</si>
  <si>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</si>
  <si>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Wenli Cai;Pheng-Ann Heng</t>
  </si>
  <si>
    <t>Xiaoyang Mao;Lichan Hong;A. Kaufman</t>
  </si>
  <si>
    <t>Fraunhofer Inst. for Comput. Graphics, Germany|c|;</t>
  </si>
  <si>
    <t>10.1109/VISUAL.1993.398875;10.1109/VISUAL.1996.567780;10.1109/VISUAL.1992.235211;10.1109/VISUAL.1992.235225</t>
  </si>
  <si>
    <t>flow field, visualization, volume rendering, filtering</t>
  </si>
  <si>
    <t>ROAMing terrain: Real-time Optimally Adapting Meshes</t>
  </si>
  <si>
    <t>10.1109/VISUAL.1997.663860</t>
  </si>
  <si>
    <t>http://dx.doi.org/10.1109/VISUAL.1997.663860</t>
  </si>
  <si>
    <t>Mark A. Duchaineau;Murray Wolinsky;David E. Sigeti;Mark C. Miller;Charles Aldrich;Mark B. Mineev-Weinstein</t>
  </si>
  <si>
    <t>Los Alamos Nat. Lab., NM, USA|c|;;;;;</t>
  </si>
  <si>
    <t>10.1109/VISUAL.1996.567600;10.1109/VISUAL.1996.568126;10.1109/VISUAL.1996.568125;10.1109/VISUAL.1995.480813;10.1109/VISUAL.1995.480805</t>
  </si>
  <si>
    <t>triangle bintree, view-dependent mesh, frame-to-frame coherence, greedy algorithms</t>
  </si>
  <si>
    <t>Visualization of height field data with physical models and texture photomapping</t>
  </si>
  <si>
    <t>10.1109/VISUAL.1997.663862</t>
  </si>
  <si>
    <t>http://dx.doi.org/10.1109/VISUAL.1997.663862</t>
  </si>
  <si>
    <t>Dru Clark;Michael J. Bailey</t>
  </si>
  <si>
    <t>California Univ., San Diego, La Jolla, CA, USA|c|;</t>
  </si>
  <si>
    <t>Computer graphics, object modeling, scientific visualization</t>
  </si>
  <si>
    <t>Visualization of large terrains in resource-limited computing environments</t>
  </si>
  <si>
    <t>10.1109/VISUAL.1997.663863</t>
  </si>
  <si>
    <t>http://dx.doi.org/10.1109/VISUAL.1997.663863</t>
  </si>
  <si>
    <t>Boris Rabinovich;Craig Gotsman</t>
  </si>
  <si>
    <t>Dept. of Comput. Sci., Technion-Israel Inst. of Technol., Haifa, Israel|c|;</t>
  </si>
  <si>
    <t>Terrain rendering, level-of-detail, interactive graphics</t>
  </si>
  <si>
    <t>Building and traversing a surface at variable resolution</t>
  </si>
  <si>
    <t>10.1109/VISUAL.1997.663865</t>
  </si>
  <si>
    <t>http://dx.doi.org/10.1109/VISUAL.1997.663865</t>
  </si>
  <si>
    <t>Leila De Floriani;Paola Magillo;Enrico Puppo</t>
  </si>
  <si>
    <t>Dipt. di Inf. e Sci. dell''Inf., Genoa Univ., Italy|c|;;</t>
  </si>
  <si>
    <t>Multivariate visualization using metric scaling</t>
  </si>
  <si>
    <t>10.1109/VISUAL.1997.663866</t>
  </si>
  <si>
    <t>http://dx.doi.org/10.1109/VISUAL.1997.663866</t>
  </si>
  <si>
    <t>10.1109/VISUAL.1995.480811;10.1109/VISUAL.1995.485139;10.1109/VISUAL.1994.346302;10.1109/VISUAL.1996.567800;10.1109/VISUAL.1993.398864;10.1109/VISUAL.1990.146387</t>
  </si>
  <si>
    <t>Visualizing the behaviour of higher dimensional dynamical systems</t>
  </si>
  <si>
    <t>10.1109/VISUAL.1997.663867</t>
  </si>
  <si>
    <t>http://dx.doi.org/10.1109/VISUAL.1997.663867</t>
  </si>
  <si>
    <t>Rainer Wegenkittl;Helwig L̦ffelmann;M. Eduard Gr̦ller</t>
  </si>
  <si>
    <t>Inst. of Comput. Graphics, Wien Univ. of Technol., Austria|c|;;</t>
  </si>
  <si>
    <t>10.1109/VISUAL.1990.146373;10.1109/VISUAL.1991.175796;10.1109/VISUAL.1993.398869;10.1109/VISUAL.1991.175795;10.1109/VISUAL.1990.146386;10.1109/VISUAL.1990.146402;10.1109/VISUAL.1993.398849</t>
  </si>
  <si>
    <t>Displaying data in multidimensional relevance space with 2D visualization maps</t>
  </si>
  <si>
    <t>10.1109/VISUAL.1997.663868</t>
  </si>
  <si>
    <t>http://dx.doi.org/10.1109/VISUAL.1997.663868</t>
  </si>
  <si>
    <t>Jackie Assa;Daniel Cohen-Or;Tova Milo</t>
  </si>
  <si>
    <t>Dept. of Comput. Sci., Tel Aviv Univ., Israel|c|;;</t>
  </si>
  <si>
    <t>10.1109/INFVIS.1995.528691;10.1109/VISUAL.1990.146402;10.1109/INFVIS.1995.528686;10.1109/VISUAL.1993.398863;10.1109/INFVIS.1995.528692</t>
  </si>
  <si>
    <t>Multiresolution tetrahedral framework for visualizing regular volume data</t>
  </si>
  <si>
    <t>10.1109/VISUAL.1997.663869</t>
  </si>
  <si>
    <t>http://dx.doi.org/10.1109/VISUAL.1997.663869</t>
  </si>
  <si>
    <t>Yong Zhou 0001;Baoquan Chen;Arie E. Kaufman</t>
  </si>
  <si>
    <t>Center for Visual Comput., State Univ. of New York, Stony Brook, NY, USA|c|;;</t>
  </si>
  <si>
    <t>volume visualization, multiresolution volume, level of detail, isosurface extraction, volume subdivision, polygon simplification</t>
  </si>
  <si>
    <t>Haar wavelets over triangular domains with applications to multiresolution models for flow over a sphere</t>
  </si>
  <si>
    <t>10.1109/VISUAL.1997.663871</t>
  </si>
  <si>
    <t>http://dx.doi.org/10.1109/VISUAL.1997.663871</t>
  </si>
  <si>
    <t>Gregory M. Nielson;Il-Hong Jung;Junwon Sung</t>
  </si>
  <si>
    <t>Dept. of Comput. Sci. &amp; Eng., Arizona State Univ., Tempe, AZ, USA|c|;;</t>
  </si>
  <si>
    <t>Wavelet-based multiresolutional representation of computational field simulation datasets</t>
  </si>
  <si>
    <t>10.1109/VISUAL.1997.663872</t>
  </si>
  <si>
    <t>http://dx.doi.org/10.1109/VISUAL.1997.663872</t>
  </si>
  <si>
    <t>Zhifan Zhu;Raghu Machiraju;Bryan Fry;Robert J. Moorhead II</t>
  </si>
  <si>
    <t>NSF Eng. Res. Center for Comput. Field Simulation, Mississippi State Univ., MS, USA|c|;;;</t>
  </si>
  <si>
    <t>10.1109/VISUAL.1994.346332;10.1109/VISUAL.1995.480810;10.1109/VISUAL.1996.568138;10.1109/VISUAL.1995.480812</t>
  </si>
  <si>
    <t>wavelet transform, structure detection, human visual system, progressive transmission</t>
  </si>
  <si>
    <t>Dynamic color mapping of bivariate qualitative data</t>
  </si>
  <si>
    <t>10.1109/VISUAL.1997.663874</t>
  </si>
  <si>
    <t>http://dx.doi.org/10.1109/VISUAL.1997.663874</t>
  </si>
  <si>
    <t>Comp. and Inf. Science Department, Univ. of Mississippi, MS, USA</t>
  </si>
  <si>
    <t>10.1109/VISUAL.1992.235201;10.1109/VISUAL.1995.480803;10.1109/VISUAL.1991.175795;10.1109/VISUAL.1992.235219</t>
  </si>
  <si>
    <t>The contour spectrum</t>
  </si>
  <si>
    <t>10.1109/VISUAL.1997.663875</t>
  </si>
  <si>
    <t>http://dx.doi.org/10.1109/VISUAL.1997.663875</t>
  </si>
  <si>
    <t>Chandrajit L. Bajaj;Valerio Pascucci;Daniel Schikore</t>
  </si>
  <si>
    <t>Shastra Lab., Purdue Univ., West Lafayette, IN, USA|c|;;</t>
  </si>
  <si>
    <t>10.1109/VISUAL.1996.568123;10.1109/VISUAL.1995.480803;10.1109/VISUAL.1996.568113</t>
  </si>
  <si>
    <t>Visualization, Scalar Data, User Interfaces, Real-time Quantitative Query</t>
  </si>
  <si>
    <t>Constrained 3D navigation with 2D controllers</t>
  </si>
  <si>
    <t>10.1109/VISUAL.1997.663876</t>
  </si>
  <si>
    <t>http://dx.doi.org/10.1109/VISUAL.1997.663876</t>
  </si>
  <si>
    <t>Andrew J. Hanson;Eric A. Wernert</t>
  </si>
  <si>
    <t>Navigation, Constrained Navigation, Viewing Control, Camera Control</t>
  </si>
  <si>
    <t>Two-phase perspective ray casting for interactive volume navigation</t>
  </si>
  <si>
    <t>10.1109/VISUAL.1997.663878</t>
  </si>
  <si>
    <t>http://dx.doi.org/10.1109/VISUAL.1997.663878</t>
  </si>
  <si>
    <t>Martin L. Brady;Kenneth K. Jung;H. T. Nguyen;Thinh P. Q. Nguyen</t>
  </si>
  <si>
    <t>Microcomput. Res. Labs., Intel Corp., USA|c|;;;</t>
  </si>
  <si>
    <t>10.1109/VISUAL.1994.346340;10.1109/VISUAL.1995.485154;10.1109/VISUAL.1996.567603</t>
  </si>
  <si>
    <t>Volume navigation, volume rendering, 3D medical imaging, scientific visualization, texture mapping</t>
  </si>
  <si>
    <t>Accelerated volume rendering using homogeneous region encoding</t>
  </si>
  <si>
    <t>10.1109/VISUAL.1997.663880</t>
  </si>
  <si>
    <t>http://dx.doi.org/10.1109/VISUAL.1997.663880</t>
  </si>
  <si>
    <t>Jason Freund;Kenneth R. Sloan</t>
  </si>
  <si>
    <t>Silicon Graphics Inc., USA|c|;</t>
  </si>
  <si>
    <t>Volume Rendering, Ray-casting</t>
  </si>
  <si>
    <t>An anti-aliasing technique for splatting</t>
  </si>
  <si>
    <t>10.1109/VISUAL.1997.663882</t>
  </si>
  <si>
    <t>http://dx.doi.org/10.1109/VISUAL.1997.663882</t>
  </si>
  <si>
    <t>J. Edward Swan;Klaus Mueller;Torsten M̦ller;Naeem Shareef;Roger Crawfis;Roni Yagel</t>
  </si>
  <si>
    <t>Adv. Comput. Center for the Arts &amp; Design, Ohio State Univ., Columbus, OH, USA|c|;;;;;</t>
  </si>
  <si>
    <t>10.1109/VISUAL.1996.567608;10.1109/VISUAL.1993.398877;10.1109/VISUAL.1994.346331;10.1109/VISUAL.1995.480792;10.1109/VISUAL.1993.398852</t>
  </si>
  <si>
    <t>volume rendering, splatting, direct volume rendering, resampling, reconstruction, anti-aliasing, perspective projection</t>
  </si>
  <si>
    <t>A topology modifying progressive decimation algorithm</t>
  </si>
  <si>
    <t>10.1109/VISUAL.1997.663883</t>
  </si>
  <si>
    <t>http://dx.doi.org/10.1109/VISUAL.1997.663883</t>
  </si>
  <si>
    <t>William J. Schroeder</t>
  </si>
  <si>
    <t>10.1109/VISUAL.1995.485142;10.1109/VISUAL.1993.398868;10.1109/VISUAL.1996.568124</t>
  </si>
  <si>
    <t>Efficient subdivision of finite-element datasets into consistent tetrahedra</t>
  </si>
  <si>
    <t>10.1109/VISUAL.1997.663885</t>
  </si>
  <si>
    <t>http://dx.doi.org/10.1109/VISUAL.1997.663885</t>
  </si>
  <si>
    <t>Guy Albertelli;Roger Crawfis</t>
  </si>
  <si>
    <t>Dept. of Comput. &amp; Inf. Sci., Ohio State Univ., Columbus, OH, USA|c|;</t>
  </si>
  <si>
    <t>10.1109/VISUAL.1992.235210;10.1109/VISUAL.1993.398846</t>
  </si>
  <si>
    <t>tetrahedralization, mesh subdivision, volume rendering, flow visualization, isosurfaces, metrics, irregular grids</t>
  </si>
  <si>
    <t>Interval volume tetrahedrization</t>
  </si>
  <si>
    <t>10.1109/VISUAL.1997.663886</t>
  </si>
  <si>
    <t>http://dx.doi.org/10.1109/VISUAL.1997.663886</t>
  </si>
  <si>
    <t>Gregory M. Nielson;Junwon Sung</t>
  </si>
  <si>
    <t>10.1109/VISUAL.1991.175782;10.1109/VISUAL.1995.480789</t>
  </si>
  <si>
    <t>Computing the separating surface for segmented data</t>
  </si>
  <si>
    <t>10.1109/VISUAL.1997.663887</t>
  </si>
  <si>
    <t>http://dx.doi.org/10.1109/VISUAL.1997.663887</t>
  </si>
  <si>
    <t>Gregory M. Nielson;Richard Franke</t>
  </si>
  <si>
    <t>Dept. of Comput. Sci. &amp; Eng., Arizona State Univ., Tempe, AZ, USA|c|;</t>
  </si>
  <si>
    <t>Application-controlled demand paging for out-of-core visualization</t>
  </si>
  <si>
    <t>10.1109/VISUAL.1997.663888</t>
  </si>
  <si>
    <t>http://dx.doi.org/10.1109/VISUAL.1997.663888</t>
  </si>
  <si>
    <t>Michael Cox;David Ellsworth</t>
  </si>
  <si>
    <t>10.1109/VISUAL.1994.346311;10.1109/VISUAL.1990.146360;10.1109/VISUAL.1993.398860</t>
  </si>
  <si>
    <t>computational fluid dynamics, visualization, out-of-core visualization</t>
  </si>
  <si>
    <t>GADGET: goal-oriented application design guidance for modular visualization environments</t>
  </si>
  <si>
    <t>10.1109/VISUAL.1997.663889</t>
  </si>
  <si>
    <t>http://dx.doi.org/10.1109/VISUAL.1997.663889</t>
  </si>
  <si>
    <t>Issei Fujishiro;Yuriko Takeshima;Yoshihiko Ichikawa;Kyoko Nakamura</t>
  </si>
  <si>
    <t>Dept. of Inf. Sci., Ochanomizu Univ., Tokyo, Japan|c|;;;</t>
  </si>
  <si>
    <t>10.1109/VISUAL.1990.146375;10.1109/VISUAL.1993.398857;10.1109/INFVIS.1996.559210</t>
  </si>
  <si>
    <t>visualization systems, Modular Visualization Environments (MVEs), dataflow paradigm, visineers' heuristics and expertise, taxonomy of visualization techniques, knowledge base, object-oriented design</t>
  </si>
  <si>
    <t>Collaborative visualization</t>
  </si>
  <si>
    <t>10.1109/VISUAL.1997.663890</t>
  </si>
  <si>
    <t>http://dx.doi.org/10.1109/VISUAL.1997.663890</t>
  </si>
  <si>
    <t>Jason D. Wood;Helen Wright;Ken Brodlie</t>
  </si>
  <si>
    <t>Sch. of Comput. Studies, Leeds Univ., UK|c|;;</t>
  </si>
  <si>
    <t>VizWiz: a Java applet for interactive 3D scientific visualization on the Web</t>
  </si>
  <si>
    <t>10.1109/VISUAL.1997.663891</t>
  </si>
  <si>
    <t>http://dx.doi.org/10.1109/VISUAL.1997.663891</t>
  </si>
  <si>
    <t>Cherilyn Michaels;Michael J. Bailey</t>
  </si>
  <si>
    <t>Dept. of Comput. Sci. &amp; Eng., California Univ., San Diego, La Jolla, CA, USA|c|;</t>
  </si>
  <si>
    <t>Image synthesis from a sparse set of views</t>
  </si>
  <si>
    <t>10.1109/VISUAL.1997.663892</t>
  </si>
  <si>
    <t>http://dx.doi.org/10.1109/VISUAL.1997.663892</t>
  </si>
  <si>
    <t>Qian Chen;G̩rard G. Medioni</t>
  </si>
  <si>
    <t>Univ. of Southern California, Los Angeles, CA, USA|c|;</t>
  </si>
  <si>
    <t>image-based rendering, epipolar geometry, projective invariant, homography, Constrained Delaunay Triangulation</t>
  </si>
  <si>
    <t>Virtualized reality: constructing time-varying virtual worlds from real world events</t>
  </si>
  <si>
    <t>10.1109/VISUAL.1997.663893</t>
  </si>
  <si>
    <t>http://dx.doi.org/10.1109/VISUAL.1997.663893</t>
  </si>
  <si>
    <t>Peter Rander;P. J. Narayanan;Takeo Kanade</t>
  </si>
  <si>
    <t>view synthesis, dynamic scene analysis, modeling from image sequences, computer vision and scene understanding, virtual worlds</t>
  </si>
  <si>
    <t>Extracting feature lines from 3D unstructured grids</t>
  </si>
  <si>
    <t>10.1109/VISUAL.1997.663894</t>
  </si>
  <si>
    <t>http://dx.doi.org/10.1109/VISUAL.1997.663894</t>
  </si>
  <si>
    <t>Kwan-Liu Ma;Victoria Interrante</t>
  </si>
  <si>
    <t>I/O optimal isosurface extraction</t>
  </si>
  <si>
    <t>10.1109/VISUAL.1997.663895</t>
  </si>
  <si>
    <t>http://dx.doi.org/10.1109/VISUAL.1997.663895</t>
  </si>
  <si>
    <t>Yi-Jen Chiang;Cl��udio T. Silva</t>
  </si>
  <si>
    <t>10.1109/VISUAL.1995.480806;10.1109/VISUAL.1996.568121</t>
  </si>
  <si>
    <t>CAVEvis: distributed real-time visualization of time-varying scalar and vector fields using the CAVE virtual reality theater</t>
  </si>
  <si>
    <t>10.1109/VISUAL.1997.663896</t>
  </si>
  <si>
    <t>http://dx.doi.org/10.1109/VISUAL.1997.663896</t>
  </si>
  <si>
    <t>Vijendra Jaswal</t>
  </si>
  <si>
    <t>Nat. Center for Supercomput. Applications, Champaign, IL, USA|c|</t>
  </si>
  <si>
    <t>10.1109/VISUAL.1996.568117;10.1109/VISUAL.1991.175771</t>
  </si>
  <si>
    <t>Fast oriented line integral convolution for vector field visualization via the Internet</t>
  </si>
  <si>
    <t>10.1109/VISUAL.1997.663897</t>
  </si>
  <si>
    <t>http://dx.doi.org/10.1109/VISUAL.1997.663897</t>
  </si>
  <si>
    <t>Rainer Wegenkittl;M. Eduard Gr̦ller</t>
  </si>
  <si>
    <t>Inst. of Comput. Graphics, Wien Univ. of Technol., Austria|c|;</t>
  </si>
  <si>
    <t>10.1109/VISUAL.1995.480817;10.1109/VISUAL.1994.346313;10.1109/VISUAL.1993.398850;10.1109/VISUAL.1996.567784;10.1109/VISUAL.1993.398877;10.1109/VISUAL.1994.346312</t>
  </si>
  <si>
    <t>UFLIC: a line integral convolution algorithm for visualizing unsteady flows</t>
  </si>
  <si>
    <t>10.1109/VISUAL.1997.663898</t>
  </si>
  <si>
    <t>http://dx.doi.org/10.1109/VISUAL.1997.663898</t>
  </si>
  <si>
    <t>Han-Wei Shen;David L. Kao</t>
  </si>
  <si>
    <t>10.1109/VISUAL.1995.480817;10.1109/VISUAL.1993.398848;10.1109/VISUAL.1996.567784</t>
  </si>
  <si>
    <t>The motion map: efficient computation of steady flow animations</t>
  </si>
  <si>
    <t>10.1109/VISUAL.1997.663899</t>
  </si>
  <si>
    <t>http://dx.doi.org/10.1109/VISUAL.1997.663899</t>
  </si>
  <si>
    <t>Bruno Jobard;Wilfrid Lefer</t>
  </si>
  <si>
    <t>Lab., Calais, France|c|;</t>
  </si>
  <si>
    <t>Integrated volume compression and visualization</t>
  </si>
  <si>
    <t>10.1109/VISUAL.1997.663900</t>
  </si>
  <si>
    <t>http://dx.doi.org/10.1109/VISUAL.1997.663900</t>
  </si>
  <si>
    <t>Tzi-cker Chiueh;Chuan-Kai Yang;Taosong He;Hanspeter Pfister;Arie E. Kaufman</t>
  </si>
  <si>
    <t>Center for Visual Comput., State Univ. of New York, Stony Brook, NY, USA|c|;;;;</t>
  </si>
  <si>
    <t>Volume Compression, Fourier Projection Theorem, Discrete Hartley Transform, Image Compositing</t>
  </si>
  <si>
    <t>Multiresolution compression and reconstruction</t>
  </si>
  <si>
    <t>10.1109/VISUAL.1997.663901</t>
  </si>
  <si>
    <t>http://dx.doi.org/10.1109/VISUAL.1997.663901</t>
  </si>
  <si>
    <t>Oliver G. Staadt;Markus H. Gross;Roger Weber</t>
  </si>
  <si>
    <t>wavelets, isosurfaces, volumes, triangulation, tetrahedralization, meshing, oracles</t>
  </si>
  <si>
    <t>Optimized geometry compression for real-time rendering</t>
  </si>
  <si>
    <t>10.1109/VISUAL.1997.663902</t>
  </si>
  <si>
    <t>http://dx.doi.org/10.1109/VISUAL.1997.663902</t>
  </si>
  <si>
    <t>Mike M. Chow</t>
  </si>
  <si>
    <t>MIT, Cambridge, MA, USA|c|</t>
  </si>
  <si>
    <t>Architectural walkthroughs using portal textures</t>
  </si>
  <si>
    <t>10.1109/VISUAL.1997.663903</t>
  </si>
  <si>
    <t>http://dx.doi.org/10.1109/VISUAL.1997.663903</t>
  </si>
  <si>
    <t>Daniel G. Aliaga;Anselmo Lastra</t>
  </si>
  <si>
    <t>visibility culling, cells, portals, textures, sample points, morphing</t>
  </si>
  <si>
    <t>Repairing CAD models</t>
  </si>
  <si>
    <t>10.1109/VISUAL.1997.663904</t>
  </si>
  <si>
    <t>http://dx.doi.org/10.1109/VISUAL.1997.663904</t>
  </si>
  <si>
    <t>Gill Barequet;Subodh Kumar</t>
  </si>
  <si>
    <t>Dept. of Comput. Sci., Johns Hopkins Univ., Baltimore, MD, USA|c|;</t>
  </si>
  <si>
    <t>Dynamic smooth subdivision surfaces for data visualization</t>
  </si>
  <si>
    <t>10.1109/VISUAL.1997.663905</t>
  </si>
  <si>
    <t>http://dx.doi.org/10.1109/VISUAL.1997.663905</t>
  </si>
  <si>
    <t>Chhandomay Mandal;Hong Qin;Baba C. Vemuri</t>
  </si>
  <si>
    <t>Dept. of Comput. &amp; Inf. Sci. &amp; Eng., Florida Univ., Gainesville, FL, USA|c|;;</t>
  </si>
  <si>
    <t>Visualization, Subdivision Surfaces, Dynamics, Finite Elements, Interactive Techniques</t>
  </si>
  <si>
    <t>Smooth hierarchical surface triangulations</t>
  </si>
  <si>
    <t>10.1109/VISUAL.1997.663906</t>
  </si>
  <si>
    <t>http://dx.doi.org/10.1109/VISUAL.1997.663906</t>
  </si>
  <si>
    <t>Tran S. Gieng;Bernd Hamann;Kenneth I. Joy;Gregory L. Schussman;Issac J. Trotts</t>
  </si>
  <si>
    <t>Center for Image Process. &amp; Integrated Comput., California Univ., Davis, CA, USA|c|;;;;</t>
  </si>
  <si>
    <t>10.1109/VISUAL.1996.568126;10.1109/VISUAL.1996.568124</t>
  </si>
  <si>
    <t>mesh simplification, triangle meshes,level-of-detail representation, shape approximation</t>
  </si>
  <si>
    <t>The multilevel finite element method for adaptive mesh optimization and visualization of volume data</t>
  </si>
  <si>
    <t>10.1109/VISUAL.1997.663907</t>
  </si>
  <si>
    <t>http://dx.doi.org/10.1109/VISUAL.1997.663907</t>
  </si>
  <si>
    <t>Roberto Grosso;Christoph L�_rig;Thomas Ertl</t>
  </si>
  <si>
    <t>Comput. Graphics Group, Erlangen-Nurnberg Univ., Germany|c|;;</t>
  </si>
  <si>
    <t>10.1109/VISUAL.1996.568127;10.1109/VISUAL.1996.568124;10.1109/VISUAL.1995.480805;10.1109/VISUAL.1996.568121;10.1109/VISUAL.1993.398852;10.1109/VISUAL.1995.480806;10.1109/VISUAL.1996.567606</t>
  </si>
  <si>
    <t>Simplifying polygonal models using successive mappings</t>
  </si>
  <si>
    <t>10.1109/VISUAL.1997.663908</t>
  </si>
  <si>
    <t>http://dx.doi.org/10.1109/VISUAL.1997.663908</t>
  </si>
  <si>
    <t>Jonathan D. Cohen;Dinesh Manocha;Marc Olano</t>
  </si>
  <si>
    <t>North Carolina Univ., Chapel Hill, NC, USA|c|;;</t>
  </si>
  <si>
    <t>model simplification,levels-of-detail, surface approximation, projection, linear programming</t>
  </si>
  <si>
    <t>Controlled simplification of genus for polygonal models</t>
  </si>
  <si>
    <t>10.1109/VISUAL.1997.663909</t>
  </si>
  <si>
    <t>http://dx.doi.org/10.1109/VISUAL.1997.663909</t>
  </si>
  <si>
    <t>Jihad El-Sana;Amitabh Varshney</t>
  </si>
  <si>
    <t>Vortex identification-applications in aerodynamics: a case study</t>
  </si>
  <si>
    <t>10.1109/VISUAL.1997.663910</t>
  </si>
  <si>
    <t>http://dx.doi.org/10.1109/VISUAL.1997.663910</t>
  </si>
  <si>
    <t>David N. Kenwright;Robert Haimes</t>
  </si>
  <si>
    <t>10.1109/VISUAL.1996.568137;10.1109/VISUAL.1994.346327;10.1109/VISUAL.1991.175773</t>
  </si>
  <si>
    <t>exVis: developing a wind tunnel data visualization tool</t>
  </si>
  <si>
    <t>10.1109/VISUAL.1997.663911</t>
  </si>
  <si>
    <t>http://dx.doi.org/10.1109/VISUAL.1997.663911</t>
  </si>
  <si>
    <t>Samuel P. Uselton</t>
  </si>
  <si>
    <t>MRJ Technol. Solutions, NASA Ames Res. Center, Moffett Field, CA, USA|c|</t>
  </si>
  <si>
    <t>Strategies for effectively visualizing 3D flow with volume LIC</t>
  </si>
  <si>
    <t>10.1109/VISUAL.1997.663912</t>
  </si>
  <si>
    <t>http://dx.doi.org/10.1109/VISUAL.1997.663912</t>
  </si>
  <si>
    <t>Victoria Interrante;Chester Grosch</t>
  </si>
  <si>
    <t>10.1109/VISUAL.1993.398877;10.1109/VISUAL.1996.567784;10.1109/VISUAL.1994.346313;10.1109/VISUAL.1996.567777;10.1109/VISUAL.1994.346312</t>
  </si>
  <si>
    <t>Towards efficient visualization support for single-block and multi-block datasets</t>
  </si>
  <si>
    <t>10.1109/VISUAL.1997.663913</t>
  </si>
  <si>
    <t>http://dx.doi.org/10.1109/VISUAL.1997.663913</t>
  </si>
  <si>
    <t>Jean-Marie Favre</t>
  </si>
  <si>
    <t>Swiss Center for Sci. Comput., Switzerland|c|</t>
  </si>
  <si>
    <t>Brushing techniques for exploring volume datasets</t>
  </si>
  <si>
    <t>10.1109/VISUAL.1997.663914</t>
  </si>
  <si>
    <t>http://dx.doi.org/10.1109/VISUAL.1997.663914</t>
  </si>
  <si>
    <t>10.1109/VISUAL.1995.480811;10.1109/VISUAL.1996.567800</t>
  </si>
  <si>
    <t>Interactive volume rendering for virtual colonoscopy</t>
  </si>
  <si>
    <t>10.1109/VISUAL.1997.663915</t>
  </si>
  <si>
    <t>http://dx.doi.org/10.1109/VISUAL.1997.663915</t>
  </si>
  <si>
    <t>Suya You;Lichan Hong;Ming Wan;Kittiboon Junyaprasert;Arie E. Kaufman;Shigeru Muraki;Yong Zhou 0001;Mark Wax;Zhengrong Liang</t>
  </si>
  <si>
    <t>Center for Visual Comput., State Univ. of New York, Stony Brook, NY, USA|c|;;;;;;;;</t>
  </si>
  <si>
    <t>Virtual Colonoscopy,Endoscopy,Visibility,Interactive Navigation,Volume Rendering,Surface Rendering, Parallel Processing, Virtual Environment</t>
  </si>
  <si>
    <t>DNA visual and analytic data mining</t>
  </si>
  <si>
    <t>10.1109/VISUAL.1997.663916</t>
  </si>
  <si>
    <t>http://dx.doi.org/10.1109/VISUAL.1997.663916</t>
  </si>
  <si>
    <t>Patrick Hoffman;Georges G. Grinstein;Kenneth A. Marx;Ivo Grosse;Eugene Stanley</t>
  </si>
  <si>
    <t>Inst. for Visualization &amp; Perception Res., Massachusetts Univ., Lowell, MA, USA|c|;;;;</t>
  </si>
  <si>
    <t>An interactive cerebral blood vessel exploration system</t>
  </si>
  <si>
    <t>10.1109/VISUAL.1997.663917</t>
  </si>
  <si>
    <t>http://dx.doi.org/10.1109/VISUAL.1997.663917</t>
  </si>
  <si>
    <t>Anna Puig;Dani Tost;Isabel Navazo</t>
  </si>
  <si>
    <t>Polytech. Univ. of Catalonia, Spain|c|;;</t>
  </si>
  <si>
    <t>Volume Modelling and Rendering, Medical Applications, Cerebral Blood Vessel</t>
  </si>
  <si>
    <t>Instructional software for visualizing optical phenomena</t>
  </si>
  <si>
    <t>10.1109/VISUAL.1997.663918</t>
  </si>
  <si>
    <t>http://dx.doi.org/10.1109/VISUAL.1997.663918</t>
  </si>
  <si>
    <t>David C. Banks;John T. Foley;Kiril Vidimce;Ming-Hoe Kiu</t>
  </si>
  <si>
    <t>NSF Eng. Res. Center, Mississippi State Univ., MS, USA|c|;;;</t>
  </si>
  <si>
    <t>Case study: wildfire visualization</t>
  </si>
  <si>
    <t>10.1109/VISUAL.1997.663919</t>
  </si>
  <si>
    <t>http://dx.doi.org/10.1109/VISUAL.1997.663919</t>
  </si>
  <si>
    <t>James P. Ahrens;Patrick S. McCormick;James Bossert;Jon Reisner;Judith Winterkamp</t>
  </si>
  <si>
    <t>Adv. Comput. Lab., Los Alamos Nat. Lab., NM, USA|c|;;;;</t>
  </si>
  <si>
    <t>Visualization of geometric algorithms in an electronic classroom</t>
  </si>
  <si>
    <t>10.1109/VISUAL.1997.663920</t>
  </si>
  <si>
    <t>http://dx.doi.org/10.1109/VISUAL.1997.663920</t>
  </si>
  <si>
    <t>Maria Shneerson;Ayellet Tal</t>
  </si>
  <si>
    <t>Dept. of Appl. Math., Weizmann Inst. of Sci., Rehovot, Israel|c|;</t>
  </si>
  <si>
    <t xml:space="preserve">Algorithm animation, Visualization in Education, Geometric algorithms </t>
  </si>
  <si>
    <t>Collaborative augmented reality: exploring dynamical systems</t>
  </si>
  <si>
    <t>10.1109/VISUAL.1997.663921</t>
  </si>
  <si>
    <t>http://dx.doi.org/10.1109/VISUAL.1997.663921</t>
  </si>
  <si>
    <t>Anton L. Fuhrmann;Helwig L̦ffelmann;Dieter Schmalstieg</t>
  </si>
  <si>
    <t>Wien Univ. of Technol., Austria|c|;;</t>
  </si>
  <si>
    <t>virtual environments, scientific visualization, dynamical systems, augmented reality</t>
  </si>
  <si>
    <t>Case study: visualizing customer segmentations produced by self organizing maps</t>
  </si>
  <si>
    <t>10.1109/VISUAL.1997.663922</t>
  </si>
  <si>
    <t>http://dx.doi.org/10.1109/VISUAL.1997.663922</t>
  </si>
  <si>
    <t>Holly E. Rushmeier;Richard D. Lawrence;George Alm��si 0002</t>
  </si>
  <si>
    <t>Pearls found on the way to the ideal interface for scanned probe microscopes</t>
  </si>
  <si>
    <t>10.1109/VISUAL.1997.663923</t>
  </si>
  <si>
    <t>http://dx.doi.org/10.1109/VISUAL.1997.663923</t>
  </si>
  <si>
    <t>Russell M. Taylor II;Jun Chen;Shoji Okimoto;Noel Llopis-Artime;Vernon L. Chi;Frederick P. Brooks Jr.;Michael R. Falvo;Scott Paulson;Pichet Thiansathaporn;David Glick;Sean Washburn;Richard Superfine</t>
  </si>
  <si>
    <t>Dept. of Comput. Sci., North Carolina Univ., Chapel Hill, NC, USA|c|;;;;;;;;;;;</t>
  </si>
  <si>
    <t>scientific visualization, interactive graphics, virtual environment, scanning tunneling microscopy, atomic force microscopy, user interface, telepresence, teleoperation, haptic, force</t>
  </si>
  <si>
    <t>Viewing IGES files through VRML</t>
  </si>
  <si>
    <t>10.1109/VISUAL.1997.663924</t>
  </si>
  <si>
    <t>http://dx.doi.org/10.1109/VISUAL.1997.663924</t>
  </si>
  <si>
    <t>Jed Marti</t>
  </si>
  <si>
    <t>Defense Group Inc., Salt Lake City, UT, USA|c|</t>
  </si>
  <si>
    <t>Computer-aided Design, Applications of Visualization</t>
  </si>
  <si>
    <t>Visualization of plant growth</t>
  </si>
  <si>
    <t>10.1109/VISUAL.1997.663925</t>
  </si>
  <si>
    <t>http://dx.doi.org/10.1109/VISUAL.1997.663925</t>
  </si>
  <si>
    <t>Jeremy J. Loomis;Xiuwen Liu;Zhaohua Ding;Kikuo Fujimura;Michael L. Evans;Hideo Ishikawa</t>
  </si>
  <si>
    <t>Dept. of Comput. &amp; Inf. Sci., Ohio State Univ., Columbus, OH, USA|c|;;;;;</t>
  </si>
  <si>
    <t>Shape representation, image sequence analysis, non-rigid motion, plant biology</t>
  </si>
  <si>
    <t>Determination of unknown particle charges in a thunder cloud based upon detected electric field vectors</t>
  </si>
  <si>
    <t>10.1109/VISUAL.1997.663926</t>
  </si>
  <si>
    <t>http://dx.doi.org/10.1109/VISUAL.1997.663926</t>
  </si>
  <si>
    <t>Dan Drake;Thomas Simpson;Larry Smithmier;Penny Rheingans</t>
  </si>
  <si>
    <t>Dept. of Comput. Sci., Mississippi Univ., MS, USA|c|;;;</t>
  </si>
  <si>
    <t>10.1109/VISUAL.1996.567777;10.1109/VISUAL.1994.346313;10.1109/VISUAL.1993.398850;10.1109/VISUAL.1996.568139;10.1109/VISUAL.1996.567752</t>
  </si>
  <si>
    <t>Interactive visualization of aircraft and power generation engines</t>
  </si>
  <si>
    <t>10.1109/VISUAL.1997.663927</t>
  </si>
  <si>
    <t>http://dx.doi.org/10.1109/VISUAL.1997.663927</t>
  </si>
  <si>
    <t>Lisa Sobierajski Avila;William J. Schroeder</t>
  </si>
  <si>
    <t>GE Corp. Res. &amp; Dev., Miskayuna, NY, USA|c|;</t>
  </si>
  <si>
    <t>10.1109/VISUAL.1996.567752;10.1109/VISUAL.1997.663883</t>
  </si>
  <si>
    <t>Case study: efficient visualization of physical and structural properties in crash-worthiness simulations</t>
  </si>
  <si>
    <t>10.1109/VISUAL.1997.663928</t>
  </si>
  <si>
    <t>http://dx.doi.org/10.1109/VISUAL.1997.663928</t>
  </si>
  <si>
    <t>Sven Kuschfeldt;Thomas Ertl;Michael Holzner</t>
  </si>
  <si>
    <t>10.1109/VISUAL.1996.568111;10.1109/VISUAL.1992.235200;10.1109/VISUAL.1993.398895;10.1109/VISUAL.1993.398878</t>
  </si>
  <si>
    <t>Visualization of rotation fields</t>
  </si>
  <si>
    <t>10.1109/VISUAL.1997.663929</t>
  </si>
  <si>
    <t>http://dx.doi.org/10.1109/VISUAL.1997.663929</t>
  </si>
  <si>
    <t>Mark A. Livingston</t>
  </si>
  <si>
    <t>10.1109/VISUAL.1992.235211;10.1109/VISUAL.1994.346330;10.1109/VISUAL.1992.235193;10.1109/VISUAL.1992.235227;10.1109/VISUAL.1994.346315;10.1109/VISUAL.1991.175789;10.1109/VISUAL.1993.398867;10.1109/VISUAL.1994.346338;10.1109/VISUAL.1993.398846</t>
  </si>
  <si>
    <t>Scientific visualization, tufts, streamlines, stream surfaces</t>
  </si>
  <si>
    <t>Isosurface extraction using particle systems</t>
  </si>
  <si>
    <t>10.1109/VISUAL.1997.663930</t>
  </si>
  <si>
    <t>http://dx.doi.org/10.1109/VISUAL.1997.663930</t>
  </si>
  <si>
    <t>Patricia Crossno;Edward Angel</t>
  </si>
  <si>
    <t>Dept. of Comput. Sci., New Mexico Univ., Albuquerque, NM, USA|c|;</t>
  </si>
  <si>
    <t>A visualization of music</t>
  </si>
  <si>
    <t>10.1109/VISUAL.1997.663931</t>
  </si>
  <si>
    <t>http://dx.doi.org/10.1109/VISUAL.1997.663931</t>
  </si>
  <si>
    <t>Sean M. Smith;Glen N. Williams</t>
  </si>
  <si>
    <t>Dept. of Comput. Sci., Texas A&amp;M Univ., College Station, TX, USA|c|;</t>
  </si>
  <si>
    <t>Terascale Visualization: Approaches, Pitfalls And Issues</t>
  </si>
  <si>
    <t>10.1109/VISUAL.1997.663932</t>
  </si>
  <si>
    <t>http://dx.doi.org/10.1109/VISUAL.1997.663932</t>
  </si>
  <si>
    <t>Carol L. Hunter;Roger Crawfis;Michael Cox;Bernd Hamann;Charles D. Hansen;Mark C. Miller</t>
  </si>
  <si>
    <t>NASA Ames Research Center|c|;;;;</t>
  </si>
  <si>
    <t>Information Exploration Shootout Project And Benchmark Data Sets: Evaluating How Visualization Does In Analyzing Real-World Data Analysis Problems</t>
  </si>
  <si>
    <t>10.1109/VISUAL.1997.663933</t>
  </si>
  <si>
    <t>http://dx.doi.org/10.1109/VISUAL.1997.663933</t>
  </si>
  <si>
    <t>Georges G. Grinstein;Sharon J. Laskowski;Graham J. Wills;Bernice E. Rogowitz</t>
  </si>
  <si>
    <t>National Institute for Standards and Technology|c|;;</t>
  </si>
  <si>
    <t>Perceptual Measures For Effective Visualizations</t>
  </si>
  <si>
    <t>10.1109/VISUAL.1997.663934</t>
  </si>
  <si>
    <t>http://dx.doi.org/10.1109/VISUAL.1997.663934</t>
  </si>
  <si>
    <t>Holly E. Rushmeier;Harrison H. Barrett;Penny Rheingans;Samuel P. Uselton;Andrew Watson</t>
  </si>
  <si>
    <t>University of Arizona|c|;;;</t>
  </si>
  <si>
    <t>WEBPATH-a three dimensional Web history</t>
  </si>
  <si>
    <t>10.1109/INFVIS.1998.729553</t>
  </si>
  <si>
    <t>http://dx.doi.org/10.1109/INFVIS.1998.729553</t>
  </si>
  <si>
    <t>10, 148</t>
  </si>
  <si>
    <t>Emmanuel Fr̩con;Gareth Smith</t>
  </si>
  <si>
    <t>Swedish Inst. of Comput. Sci., Sweden|c|;</t>
  </si>
  <si>
    <t>Virtual Environments, World-Wide-Web,Visualisation, Web Browsing</t>
  </si>
  <si>
    <t>Traversal-based visualization of data structures</t>
  </si>
  <si>
    <t>10.1109/INFVIS.1998.729554</t>
  </si>
  <si>
    <t>http://dx.doi.org/10.1109/INFVIS.1998.729554</t>
  </si>
  <si>
    <t>Jeffrey L. Korn;Andrew W. Appel</t>
  </si>
  <si>
    <t>Reconfigurable disc trees for visualizing large hierarchical information space</t>
  </si>
  <si>
    <t>10.1109/INFVIS.1998.729555</t>
  </si>
  <si>
    <t>http://dx.doi.org/10.1109/INFVIS.1998.729555</t>
  </si>
  <si>
    <t>25, 149</t>
  </si>
  <si>
    <t>Chang-Sung Jeong;Alex T. Pang</t>
  </si>
  <si>
    <t>Dept. of Electron. Eng., Korea Univ., Seoul, South Korea|c|;</t>
  </si>
  <si>
    <t>10.1109/INFVIS.1995.528689;10.1109/INFVIS.1997.636792;10.1109/VISUAL.1991.175815;10.1109/VISUAL.1996.567745</t>
  </si>
  <si>
    <t>Information visualization, disc tree,compact disc tree, plane disc tree, hierarchy</t>
  </si>
  <si>
    <t>An interactive view for hierarchical clustering</t>
  </si>
  <si>
    <t>10.1109/INFVIS.1998.729556</t>
  </si>
  <si>
    <t>http://dx.doi.org/10.1109/INFVIS.1998.729556</t>
  </si>
  <si>
    <t>31, 150</t>
  </si>
  <si>
    <t>Lucent Technol., AT&amp;T Bell Labs., Naperville, IL, USA|c|</t>
  </si>
  <si>
    <t>Dynamic aggregation with circular visual designs</t>
  </si>
  <si>
    <t>10.1109/INFVIS.1998.729557</t>
  </si>
  <si>
    <t>http://dx.doi.org/10.1109/INFVIS.1998.729557</t>
  </si>
  <si>
    <t>43, 151</t>
  </si>
  <si>
    <t>Mei C. Chuah</t>
  </si>
  <si>
    <t>Sch. of Comput. Sci., Carnegie Mellon Univ., Pittsburgh, PA, USA|c|</t>
  </si>
  <si>
    <t>10.1109/INFVIS.1997.636787;10.1109/VISUAL.1992.235206</t>
  </si>
  <si>
    <t>The generalized detail in-context problem</t>
  </si>
  <si>
    <t>10.1109/INFVIS.1998.729558</t>
  </si>
  <si>
    <t>http://dx.doi.org/10.1109/INFVIS.1998.729558</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</si>
  <si>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</si>
  <si>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Dept. of Comput. Sci., Sogang Univ., Seoul, South Korea;Dept. of Comput. Sci., Sogang Univ., Seoul, South Korea</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</si>
  <si>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</si>
  <si>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C.M. Wittenbrink</t>
  </si>
  <si>
    <t>Baskin Center for Comput. Eng. &amp; Inf. Sci., California Univ., Santa Cruz, CA, USA</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</si>
  <si>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</si>
  <si>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Martin Suter;Daniel Nüesch</t>
  </si>
  <si>
    <t>M. Suter;D. Nuesch</t>
  </si>
  <si>
    <t>Dept. of Geogr., Zurich Univ., Switzerland;Dept. of Geogr., Zurich Univ., Switzerland</t>
  </si>
  <si>
    <t>Advances in computer graphics hardware and algorithms, visualization, and interactive techniques for analysis offer the components for a highly integrated, efficient real-time 3D Geographic Information System. We have developed "Virtual GIS",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</si>
  <si>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D. Koller;P. Lindstrom;W. Ribarsky;L.F. Hodges;N. Faust;G. Turner</t>
  </si>
  <si>
    <t>Coll. of Comput., Georgia Inst. of Technol., Atlanta, GA, USA;Coll. of Comput., Georgia Inst. of Technol., Atlanta, GA, USA;Coll. of Comput., Georgia Inst. of Technol., Atlanta, GA, USA;Coll. of Comput., Georgia Inst. of Technol., Atlanta, GA, USA</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</si>
  <si>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"data explorers", metadata models for scientific databases, intelligent assistants and data exploration services. We describe the underlying elements of this approach, specifically the visual database exploration model and the metadata objects that support the model.</t>
  </si>
  <si>
    <t>J.P. Lee;G.G. Grinstein</t>
  </si>
  <si>
    <t>Inst. for Visualization &amp; Perception Res., Massachusetts Univ., Lowell, MA, USA;Inst. for Visualization &amp; Perception Res., Massachusetts Univ., Lowell, MA, USA</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</si>
  <si>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</si>
  <si>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R. Minghim;A.R. Forrest</t>
  </si>
  <si>
    <t>Sch. of Inf. Syst., East Anglia Univ., Norwich, UK;Sch. of Inf. Syst., East Anglia Univ., Norwich, UK</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</si>
  <si>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</si>
  <si>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L.D. Bergman;B.E. Rogowitz;L.A. Treinish</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</si>
  <si>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"walk"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</si>
  <si>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"magnifying glasses" on the data.</t>
  </si>
  <si>
    <t>M.H. Gross;R. Gatti;O. Staadt</t>
  </si>
  <si>
    <t>Dept. of Comput. Sci., Eidgenossische Tech. Hochschule, Zurich, Switzerland;Dept. of Comput. Sci., Eidgenossische Tech. Hochschule, Zurich, Switzerland;Dept. of Comput. Sci., Eidgenossische Tech. Hochschule, Zurich, Switzerland</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</si>
  <si>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</si>
  <si>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</si>
  <si>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I. Fujishiro;Y. Maeda;H. Sato</t>
  </si>
  <si>
    <t>Dept. of Inf. Sci., Ochanomizu Univ., Tokyo, Japan</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</si>
  <si>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</si>
  <si>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Byeong Seok Shin;Yeong Gil Shin</t>
  </si>
  <si>
    <t>Dept. of Comput. Eng., Seoul Nat. Univ., South Korea</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</si>
  <si>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</si>
  <si>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Rüdiger Westermann</t>
  </si>
  <si>
    <t>R. Westermann</t>
  </si>
  <si>
    <t>German Nat. Res. Center for Comput. Sci., St. Augustin, Germany</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</si>
  <si>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(/spl sim/200/sup 3/) at an acceptable image quality on an SGI Indy workstation. A number of examples are shown.</t>
  </si>
  <si>
    <t>Günter Knittel</t>
  </si>
  <si>
    <t>G. Knittel</t>
  </si>
  <si>
    <t>Wilhelm-Schickard-Inst. fur Inf., Tubingen Univ., Germany</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</si>
  <si>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</si>
  <si>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Pak Chung Wong;R.D. Bergeron</t>
  </si>
  <si>
    <t>Dept. of Comput. Sci., New Hampshire Univ., Durham, NH, USA;Dept. of Comput. Sci., New Hampshire Univ., Durham, NH, USA</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</si>
  <si>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</si>
  <si>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M.H. Ghavamnia;X.D. Yang</t>
  </si>
  <si>
    <t>Dept. of Comput. Sci., Regina Univ., Sask., Canada;Dept. of Comput. Sci., Regina Univ., Sask., Canada</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</si>
  <si>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("bites")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</si>
  <si>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Cláudio T. Silva;Joseph S. B. Mitchell;Arie E. Kaufman</t>
  </si>
  <si>
    <t>C.T. Silva;J.S.B. Mitchell;A.E. Kaufman</t>
  </si>
  <si>
    <t>Navigation in computer generated information spaces may be difficult, resulting in users getting "lost in hyperspace".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</si>
  <si>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R. Ingram;S. Benford</t>
  </si>
  <si>
    <t>Dept. of Comput. Sci., Nottingham Univ., UK;Dept. of Comput. Sci., Nottingham Univ., UK</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</si>
  <si>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</si>
  <si>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G. Golovchinsky;T. Kamps;K. Reichenberger</t>
  </si>
  <si>
    <t>Dept. of Ind. Eng., Toronto Univ., Ont., Canada</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</si>
  <si>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</si>
  <si>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T.A. Wagner;R.D. Bergeron</t>
  </si>
  <si>
    <t>Massachusetts Univ., Amherst, MA, USA</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</si>
  <si>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</si>
  <si>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Fac. of Tech. Math. &amp; Inf., Delft Univ. of Technol., Netherlands</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</si>
  <si>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</si>
  <si>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Lichan Hong;Xiaoyang Mao;A. Kaufman</t>
  </si>
  <si>
    <t>A standard method for visualizing vector fields consists of drawing many small "glyphs"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</si>
  <si>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D. Dovey</t>
  </si>
  <si>
    <t>Lawrence Livermore Nat. Lab., CA, USA</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</si>
  <si>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</si>
  <si>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J.K. Johnstone;K.R. Sloan</t>
  </si>
  <si>
    <t>Dept. of Comput. &amp; Inf. Sci., Alabama Univ., Birmingham, AL, USA;Dept. of Comput. &amp; Inf. Sci., Alabama Univ., Birmingham, AL, USA</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</si>
  <si>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"data-flow". This approach has been used for the implementation of a general-purpose software package, IBM Visualization Data Explorer.</t>
  </si>
  <si>
    <t>G. Abram;L. Treinish</t>
  </si>
  <si>
    <t>A.R. Martin;M.O. Ward</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</si>
  <si>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</si>
  <si>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D.A. Keim;H.-P. Kriegel;M. Ankerst</t>
  </si>
  <si>
    <t>Inst. for Comput. Sci., Munchen Univ., Germany;Inst. for Comput. Sci., Munchen Univ., Germany;Inst. for Comput. Sci., Munchen Univ., Germany</t>
  </si>
  <si>
    <t>51, 152</t>
  </si>
  <si>
    <t>Alan Keahey</t>
  </si>
  <si>
    <t>10.1109/INFVIS.1997.636786;10.1109/INFVIS.1997.636718;10.1109/INFVIS.1996.559214</t>
  </si>
  <si>
    <t>Similarity clustering of dimensions for an enhanced visualization of multidimensional data</t>
  </si>
  <si>
    <t>10.1109/INFVIS.1998.729559</t>
  </si>
  <si>
    <t>http://dx.doi.org/10.1109/INFVIS.1998.729559</t>
  </si>
  <si>
    <t>60, 153</t>
  </si>
  <si>
    <t>Mihael Ankerst;Stefan Berchtold;Daniel A. Keim</t>
  </si>
  <si>
    <t>Munich Univ., Germany|c|;;</t>
  </si>
  <si>
    <t>10.1109/VISUAL.1990.146402;10.1109/VISUAL.1994.346302;10.1109/VISUAL.1995.485140</t>
  </si>
  <si>
    <t>An operator interaction framework for visualization systems</t>
  </si>
  <si>
    <t>10.1109/INFVIS.1998.729560</t>
  </si>
  <si>
    <t>http://dx.doi.org/10.1109/INFVIS.1998.729560</t>
  </si>
  <si>
    <t>Ed Huai-hsin Chi;John Riedl</t>
  </si>
  <si>
    <t>Dept. of Comput. Sci. &amp; Eng., Minnesota Univ., MN, USA|c|;</t>
  </si>
  <si>
    <t>10.1109/VISUAL.1996.567796;10.1109/INFVIS.1996.559213;10.1109/INFVIS.1995.528686;10.1109/INFVIS.1997.636793;10.1109/INFVIS.1997.636792;10.1109/VISUAL.1991.175815;10.1109/VISUAL.1995.480801;10.1109/INFVIS.1997.636761</t>
  </si>
  <si>
    <t>information visualization, operators, user interactions, view/value, framework, spreadsheet, design, extensibility, visualization systems</t>
  </si>
  <si>
    <t>Algorithm visualization for distributed environments</t>
  </si>
  <si>
    <t>10.1109/INFVIS.1998.729561</t>
  </si>
  <si>
    <t>http://dx.doi.org/10.1109/INFVIS.1998.729561</t>
  </si>
  <si>
    <t>78, 154</t>
  </si>
  <si>
    <t>Yoram Moses;Zvi Polunsky;Ayellet Tal;Leonid Ulitsky</t>
  </si>
  <si>
    <t>Dept. of Electr. Eng., Technion-Israel Inst. of Technol., Haifa, Israel|c|;;;</t>
  </si>
  <si>
    <t>IVORY-an object-oriented framework for physics-based information visualization in Java</t>
  </si>
  <si>
    <t>10.1109/INFVIS.1998.729562</t>
  </si>
  <si>
    <t>http://dx.doi.org/10.1109/INFVIS.1998.729562</t>
  </si>
  <si>
    <t>86, 155</t>
  </si>
  <si>
    <t>Thomas C. Sprenger;Markus H. Gross;Daniel Bielser;T. Strasser</t>
  </si>
  <si>
    <t>Dept. of Comput. Sci., Fed. Inst. of Technol., Zurich, Switzerland|c|;;;</t>
  </si>
  <si>
    <t>10.1109/INFVIS.1995.528691;10.1109/VISUAL.1996.567752;10.1109/INFVIS.1997.636759;10.1109/INFVIS.1995.528688;10.1109/INFVIS.1996.559226</t>
  </si>
  <si>
    <t>three-dimensional information visualization,physics-based graph layout, object-oriented visualization toolkit,multidimensional information modeling, time varying data</t>
  </si>
  <si>
    <t>Geographic visualization: designing manipulable maps for exploring temporally varying georeferenced statistics</t>
  </si>
  <si>
    <t>10.1109/INFVIS.1998.729563</t>
  </si>
  <si>
    <t>http://dx.doi.org/10.1109/INFVIS.1998.729563</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</si>
  <si>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</si>
  <si>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F.J. Post;T. van Walsum;F.H. Post;D. Silver</t>
  </si>
  <si>
    <t>Fac. of Tech. Math. &amp; Inf., Delft Univ. of Technol., Netherlands;Fac. of Tech. Math. &amp; Inf., Delft Univ. of Technol., Netherlands;Fac. of Tech. Math. &amp; Inf., Delft Univ. of Technol., Netherlands</t>
  </si>
  <si>
    <t>94, 156</t>
  </si>
  <si>
    <t>Alan M. MacEachren;Francis P. Boscoe;Daniel Haug;Linda Pickle</t>
  </si>
  <si>
    <t>Dept. of Geogr., Pennsylvania State Univ., University Park, PA, USA|c|;;;</t>
  </si>
  <si>
    <t>10.1109/VISUAL.1991.175794;10.1109/VISUAL.1997.663874;10.1109/VISUAL.1992.235201</t>
  </si>
  <si>
    <t>Saying it in graphics: from intentions to visualizations</t>
  </si>
  <si>
    <t>10.1109/INFVIS.1998.729564</t>
  </si>
  <si>
    <t>http://dx.doi.org/10.1109/INFVIS.1998.729564</t>
  </si>
  <si>
    <t>Stephan M. Kerpedjiev;Giuseppe Carenini;Nancy L. Green;Johanna D. Moore;Steven F. Roth</t>
  </si>
  <si>
    <t>Carnegie Mellon Univ., Pittsburgh, PA, USA|c|;;;;</t>
  </si>
  <si>
    <t>Visualizing decision table classifiers</t>
  </si>
  <si>
    <t>10.1109/INFVIS.1998.729565</t>
  </si>
  <si>
    <t>http://dx.doi.org/10.1109/INFVIS.1998.729565</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</si>
  <si>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</si>
  <si>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Taosong He;Lichan Hong;A. Kaufman;A. Varshney;S. Wang</t>
  </si>
  <si>
    <t>Dept. of Comput. Sci., State Univ. of New York, Stony Brook, NY, USA;Dept. of Comput. Sci., State Univ. of New York, Stony Brook, NY, USA;Dept. of Comput. Sci., State Univ. of New York, Stony Brook, NY, USA;Dept. of Comput. Sci., State Univ. of New York, Stony Brook, NY, USA;Dept. of Comput. Sci., State Univ. of New York, Stony Brook, NY, USA</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</si>
  <si>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</si>
  <si>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J.D. Mulder;J.J. van Wijk</t>
  </si>
  <si>
    <t>Centre for Math. &amp; Comput. Sci., CWI, Amsterdam, Netherlands</t>
  </si>
  <si>
    <t>105, 157</t>
  </si>
  <si>
    <t>Silicon Graphics Inc., Mountain View, CA, USA|c|</t>
  </si>
  <si>
    <t>Comparative visualization of protein structure-sequence alignments</t>
  </si>
  <si>
    <t>10.1109/INFVIS.1998.729566</t>
  </si>
  <si>
    <t>http://dx.doi.org/10.1109/INFVIS.1998.729566</t>
  </si>
  <si>
    <t>S.K. Ueng;K. Sikorski;Kwan-Liu Ma</t>
  </si>
  <si>
    <t>110, 158</t>
  </si>
  <si>
    <t>Marc D. Hansen;Doanna Meads;Alex T. Pang</t>
  </si>
  <si>
    <t>Dept. of Comput. Sci., California Univ., CA, USA|c|;;</t>
  </si>
  <si>
    <t>10.1109/VISUAL.1996.567796;10.1109/VISUAL.1996.568116;10.1109/VISUAL.1995.480794</t>
  </si>
  <si>
    <t>proteins, structure, alignment, fold recognition, threading, similarity, glyphs, streamlines, ribbons,amino acids</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</si>
  <si>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</si>
  <si>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LensBar-visualization for browsing and filtering large lists of data</t>
  </si>
  <si>
    <t>10.1109/INFVIS.1998.729567</t>
  </si>
  <si>
    <t>D.N. Kenwright;D.A. Lane</t>
  </si>
  <si>
    <t>http://dx.doi.org/10.1109/INFVIS.1998.729567</t>
  </si>
  <si>
    <t>Comput. Sci. Corp., NASA Ames Res. Center, Moffett Field, CA, USA;Comput. Sci. Corp., NASA Ames Res. Center, Moffett Field, CA, USA</t>
  </si>
  <si>
    <t>120, 159</t>
  </si>
  <si>
    <t>Toshiyuki Masui</t>
  </si>
  <si>
    <t>Sony Comput. Sci. Labs. Inc., Tokyo, Japan|c|</t>
  </si>
  <si>
    <t>The shape of Shakespeare: visualizing text using implicit surfaces</t>
  </si>
  <si>
    <t>10.1109/INFVIS.1998.729568</t>
  </si>
  <si>
    <t>http://dx.doi.org/10.1109/INFVIS.1998.729568</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</si>
  <si>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</si>
  <si>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B.G. Becker;D.A. Lane;N.L. Max</t>
  </si>
  <si>
    <t>129, 160</t>
  </si>
  <si>
    <t>Randall M. Rohrer;John L. Sibert;David S. Ebert</t>
  </si>
  <si>
    <t>Dept. of Electr. Eng. &amp; Comput. Sci., George Washington Univ., Washington, DC, USA|c|;;</t>
  </si>
  <si>
    <t>10.1109/INFVIS.1997.636761;10.1109/INFVIS.1997.636759;10.1109/INFVIS.1995.528686;10.1109/VISUAL.1996.568110;10.1109/INFVIS.1996.559228</t>
  </si>
  <si>
    <t>information visualization, text visualization, procedural visualization, implicit surface modeling, blobby models, document clustering, information retrieval, graphics, user interfaces</t>
  </si>
  <si>
    <t>BiblioMapper: a cluster-based information visualization technique</t>
  </si>
  <si>
    <t>10.1109/INFVIS.1998.729569</t>
  </si>
  <si>
    <t>http://dx.doi.org/10.1109/INFVIS.1998.729569</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</si>
  <si>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</si>
  <si>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Nathalie Prevost;Ray E. Jennings;Loki Jörgenson;F. David Fracchia</t>
  </si>
  <si>
    <t>N. Prevost;R.E. Jennings;L. Jorgenson;F.D. Fracchia</t>
  </si>
  <si>
    <t>Dept. of Philos., Simon Fraser Univ., Burnaby, BC, Canada;Dept. of Philos., Simon Fraser Univ., Burnaby, BC, Canada</t>
  </si>
  <si>
    <t>Min Song</t>
  </si>
  <si>
    <t>Sch. of Libr. &amp; Inf. Sci., Indiana Univ., Bloomington, IN, USA|c|</t>
  </si>
  <si>
    <t>10.1109/INFVIS.1996.559228;10.1109/INFVIS.1995.528686</t>
  </si>
  <si>
    <t>Visualization, Information Retrieval,Clustering Algorithms, Textual Information</t>
  </si>
  <si>
    <t>Multi-faceted insight through interoperable visual information analysis paradigms</t>
  </si>
  <si>
    <t>10.1109/INFVIS.1998.729570</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</si>
  <si>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</si>
  <si>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http://dx.doi.org/10.1109/INFVIS.1998.729570</t>
  </si>
  <si>
    <t>D.H. Hepting;G. Derks;K.D. Edoh;R.D. Russell</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</si>
  <si>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</si>
  <si>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Andreas A. Müller</t>
  </si>
  <si>
    <t>A.A. Muller</t>
  </si>
  <si>
    <t>IWSP, Gottingen Univ., Germany</t>
  </si>
  <si>
    <t>144, 161</t>
  </si>
  <si>
    <t>Elizabeth G. Hetzler;Paul Whitney;Lou Martucci;James J. Thomas</t>
  </si>
  <si>
    <t>Pacific Northwest Lab., Richland, WA, USA|c|;;;</t>
  </si>
  <si>
    <t>10.1109/INFVIS.1997.636789;10.1109/INFVIS.1997.636793;10.1109/INFVIS.1995.528686;10.1109/INFVIS.1996.559228;10.1109/INFVIS.1997.636761</t>
  </si>
  <si>
    <t>information visualization, user scenario,information analysis, document analysis</t>
  </si>
  <si>
    <t>Large scale terrain visualization using the restricted quadtree triangulation</t>
  </si>
  <si>
    <t>10.1109/VISUAL.1998.745280</t>
  </si>
  <si>
    <t>http://dx.doi.org/10.1109/VISUAL.1998.745280</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</si>
  <si>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</si>
  <si>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G.D. Kerlick</t>
  </si>
  <si>
    <t>Boeing Inf. &amp; Support Services Res. &amp; Technol., Bellevue, WA, USA</t>
  </si>
  <si>
    <t>Renato Pajarola</t>
  </si>
  <si>
    <t>Inst. of Theor. Comput. Sci., Eidgenossische Tech. Hochschule, Zurich, Switzerland|c|</t>
  </si>
  <si>
    <t>10.1109/VISUAL.1997.663860;10.1109/VISUAL.1995.480800;10.1109/VISUAL.1995.480799</t>
  </si>
  <si>
    <t>algorithms, computer graphics, virtual reality, triangulated surfaces, terrain visualization, terascale visualization</t>
  </si>
  <si>
    <t>Contour interpolation and surface reconstruction of smooth terrain models</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</si>
  <si>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</si>
  <si>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10.1109/VISUAL.1998.745281</t>
  </si>
  <si>
    <t>http://dx.doi.org/10.1109/VISUAL.1998.745281</t>
  </si>
  <si>
    <t>M. Hannemann;H. Sobieczky</t>
  </si>
  <si>
    <t>German Aerosp. Res. Establ., Gottingen, Germany;German Aerosp. Res. Establ., Gottingen, Germany</t>
  </si>
  <si>
    <t>Jianyun Chai;Takaharu Miyoshi;Eihachiro Nakamae</t>
  </si>
  <si>
    <t>Sanei Co., Japan|c|;;</t>
  </si>
  <si>
    <t>PDE surfaces, terrain modeling, shape reconstruction, contour interpolation</t>
  </si>
  <si>
    <t>Smooth view-dependent level-of-detail control and its application to terrain rendering</t>
  </si>
  <si>
    <t>10.1109/VISUAL.1998.745282</t>
  </si>
  <si>
    <t>http://dx.doi.org/10.1109/VISUAL.1998.745282</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</si>
  <si>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</si>
  <si>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R. Yagel;S.C. Lu;A.B. Rebello;R.A. Miller</t>
  </si>
  <si>
    <t>Dept. of Comput. &amp; Inf. Sci., Ohio State Univ., Columbus, OH, USA</t>
  </si>
  <si>
    <t>Hugues Hoppe</t>
  </si>
  <si>
    <t>Microsoft Res., USA|c|</t>
  </si>
  <si>
    <t>10.1109/VISUAL.1997.663865;10.1109/VISUAL.1996.567600;10.1109/VISUAL.1996.568126;10.1109/VISUAL.1997.663860;10.1109/VISUAL.1997.663908</t>
  </si>
  <si>
    <t>Efficient implementation of multi-triangulations</t>
  </si>
  <si>
    <t>10.1109/VISUAL.1998.745283</t>
  </si>
  <si>
    <t>http://dx.doi.org/10.1109/VISUAL.1998.745283</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</si>
  <si>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</si>
  <si>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F.D. Fracchia;N.W. Ashton</t>
  </si>
  <si>
    <t>Genoa Univ., Italy|c|;;</t>
  </si>
  <si>
    <t>10.1109/VISUAL.1997.663865;10.1109/VISUAL.1997.663860</t>
  </si>
  <si>
    <t>Visualization of scalar topology for structural enhancement</t>
  </si>
  <si>
    <t>10.1109/VISUAL.1998.745284</t>
  </si>
  <si>
    <t>http://dx.doi.org/10.1109/VISUAL.1998.745284</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</si>
  <si>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</si>
  <si>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Corp. Res. &amp; Dev., Gen. Electr. Co., Schenectady, NY, USA</t>
  </si>
  <si>
    <t>Dept. of Comput. Sci., Texas Univ., Austin, TX, USA|c|;;</t>
  </si>
  <si>
    <t>10.1109/VISUAL.1992.235199;10.1109/VISUAL.1995.480803;10.1109/VISUAL.1991.175782;10.1109/VISUAL.1995.485154;10.1109/VISUAL.1991.175773;10.1109/VISUAL.1997.663875;10.1109/VISUAL.1994.346334;10.1109/VISUAL.1995.480795</t>
  </si>
  <si>
    <t>Scientific Visualization, Scalar Fields, Curves and Surfaces, Vector Topology</t>
  </si>
  <si>
    <t>A general method for preserving attribute values on simplified meshes</t>
  </si>
  <si>
    <t>10.1109/VISUAL.1998.745285</t>
  </si>
  <si>
    <t>http://dx.doi.org/10.1109/VISUAL.1998.745285</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</si>
  <si>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</si>
  <si>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R.E. Gooch</t>
  </si>
  <si>
    <t>CSIRO Australia Telescope Nat. Facility, Sydney, NSW, Australia</t>
  </si>
  <si>
    <t>Paolo Cignoni;Claudio Montani;Roberto Scopigno;Claudio Rocchini</t>
  </si>
  <si>
    <t>Ist. di Elaborazione dell''Inf., Italy|c|;;;</t>
  </si>
  <si>
    <t>surface simplification, detail preservation,texture mapping</t>
  </si>
  <si>
    <t>Surface reconstruction with anisotropic density-scaled alpha shapes</t>
  </si>
  <si>
    <t>10.1109/VISUAL.1998.745286</t>
  </si>
  <si>
    <t>http://dx.doi.org/10.1109/VISUAL.1998.745286</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</si>
  <si>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</si>
  <si>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H.-G. Pagendarm;T. Gerhold</t>
  </si>
  <si>
    <t>Vis acceptance rate</t>
  </si>
  <si>
    <t>SciVis</t>
  </si>
  <si>
    <t>SciVis acceptance rate</t>
  </si>
  <si>
    <t>SciVis conf</t>
  </si>
  <si>
    <t>Marek Teichmann;Michael V. Capps</t>
  </si>
  <si>
    <t>SciVis conf acceptance rate</t>
  </si>
  <si>
    <t>Lab. for Comput. Sci., MIT, Cambridge, MA, USA|c|;</t>
  </si>
  <si>
    <t>InfoVis acceptance rate</t>
  </si>
  <si>
    <t>Level of detail visualization of scalar data sets on irregular surface meshes</t>
  </si>
  <si>
    <t>10.1109/VISUAL.1998.745287</t>
  </si>
  <si>
    <t>VAST acceptance rate</t>
  </si>
  <si>
    <t>http://dx.doi.org/10.1109/VISUAL.1998.745287</t>
  </si>
  <si>
    <t>VAST conf</t>
  </si>
  <si>
    <t>VAST conf. acceptance rate</t>
  </si>
  <si>
    <t>Georges-Pierre Bonneau;Alexandre Gerussi</t>
  </si>
  <si>
    <t>CNRS, Grenoble, France|c|;</t>
  </si>
  <si>
    <t>TVCG @ VIS</t>
  </si>
  <si>
    <t>CG&amp;A @ VIS</t>
  </si>
  <si>
    <t>sum VIS/ VisWeek incl. journals</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</si>
  <si>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</si>
  <si>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sum VIS/VisWeek</t>
  </si>
  <si>
    <t>Y. Jean;T. Kindler;W. Ribarsky;Weiming Gu;G. Eisenhauer;K. Schwan;F. Alyea</t>
  </si>
  <si>
    <t>Coll. of Comput., Georgia Inst. of Technol., Atlanta, GA, USA</t>
  </si>
  <si>
    <t>sum Vis, VAST, InfoVis, SciVis</t>
  </si>
  <si>
    <t>EuroVis</t>
  </si>
  <si>
    <t>EuroVis Acceptance Rate</t>
  </si>
  <si>
    <t>PacificVis</t>
  </si>
  <si>
    <t>PacificVis Acceptance Rate</t>
  </si>
  <si>
    <t>Many practical problems in open channel hydraulics that were traditionally investigated in hydraulic model experiments, are nowadays being solved by using computational fluid dynamics. However, in order to interpret computational results, there is a clear preference among scientists and engineers for visualization in analogy with experimental techniques. One such technique, particle tracing, enables a dynamic (Lagrangian) interpretation of a statically (Eulerian) computed vector field. However, quite often the emphasis in particle tracing is only on the mean flow properties, while effects due to dispersion and mixing are often not accounted for. Hence turbulent flow characteristics have to be incorporated in a visualization system for practical hydraulic engineering problems. The particle tracing technique presented in this case study has been specifically developed to combine both mean and fluctuating velocity vectors, thus simulating stochastic perturbations around mean flow conditions. A number of cases are presented that demonstrate the practical applicability of advanced visualization techniques in realistic engineering studies.</t>
  </si>
  <si>
    <t>A.E. Mynett;I.A. Sadarjoen;A.J.S. Hin</t>
  </si>
  <si>
    <t>Strategic Res. &amp; Dev., Delft Hydraulics, Netherlands</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</si>
  <si>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</si>
  <si>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P. Rheingans;M. Marietta;J. Nichols</t>
  </si>
  <si>
    <t>Sci. Visualization Lab., US Environ. Protection Agency, Research Triangle Park, NC, USA;Sci. Visualization Lab., US Environ. Protection Agency, Research Triangle Park, NC, USA</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</si>
  <si>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</si>
  <si>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G.W. Oliver</t>
  </si>
  <si>
    <t>Long Marine Lab., California Univ., Santa Cruz, CA, USA</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</si>
  <si>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</si>
  <si>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C. Falkenberg;R. Kulkarni</t>
  </si>
  <si>
    <t>1996</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</si>
  <si>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</si>
  <si>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S.F. Roth;P. Lucas;J.A. Senn;C.C. Gomberg;M.B. Burks;P.J. Stroffolino;A.J. Kolojechick;C. Dunmire</t>
  </si>
  <si>
    <t>Sch. of Comput. Sci., Carnegie Mellon Univ., Pittsburgh, PA, USA</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</si>
  <si>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</si>
  <si>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M.X. Zhou;S.K. Feiner</t>
  </si>
  <si>
    <t>Dept. of Comput. Sci., Columbia Univ., New York, NY, USA</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</si>
  <si>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"standard" visualization techniques. VANISH's support for prototyping is shown through an extended example, where we build a C++ class browser, exploring many visualization alternatives in the process.</t>
  </si>
  <si>
    <t>Rick Kazman;S. Jeromy Carrière</t>
  </si>
  <si>
    <t>R. Kazman;J. Carriere</t>
  </si>
  <si>
    <t>Dept. of Comput. Sci., Waterloo Univ., Ont., Canada</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</si>
  <si>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</si>
  <si>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M.C. Chuah;S.F. Roth</t>
  </si>
  <si>
    <t>wavelets, non-regular triangulations,compression, visualization</t>
  </si>
  <si>
    <t>Tracking scalar features in unstructured datasets</t>
  </si>
  <si>
    <t>10.1109/VISUAL.1998.745288</t>
  </si>
  <si>
    <t>http://dx.doi.org/10.1109/VISUAL.1998.745288</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</si>
  <si>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</si>
  <si>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T.A. Keahey;E.L. Robertson</t>
  </si>
  <si>
    <t>Dept. of Comput. Sci., Indiana Univ., Bloomington, IN, USA</t>
  </si>
  <si>
    <t>10.1109/VISUAL.1996.567807;10.1109/VISUAL.1995.480809;10.1109/VISUAL.1995.480789;10.1109/VISUAL.1997.663886</t>
  </si>
  <si>
    <t>Scientific Visualization, Time-varying Visualization,Feature Tracking, Computer Vision, CFD</t>
  </si>
  <si>
    <t>Feature detection in linked derived spaces</t>
  </si>
  <si>
    <t>10.1109/VISUAL.1998.745289</t>
  </si>
  <si>
    <t>http://dx.doi.org/10.1109/VISUAL.1998.745289</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</si>
  <si>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</si>
  <si>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M. Sheelagh T. Carpendale;D.J. Cowperthwaite;F.D. Fracchia</t>
  </si>
  <si>
    <t>Chris Henze</t>
  </si>
  <si>
    <t>10.1109/VISUAL.1996.568115;10.1109/VISUAL.1996.568121;10.1109/VISUAL.1994.346327;10.1109/VISUAL.1995.485139;10.1109/VISUAL.1991.175794;10.1109/VISUAL.1994.346302</t>
  </si>
  <si>
    <t>computational fluid dynamics, feature detection, flow visualization, multivariate visualization, brushing</t>
  </si>
  <si>
    <t>Extremal feature extraction from 3-D vector and noisy scalar fields</t>
  </si>
  <si>
    <t>10.1109/VISUAL.1998.745290</t>
  </si>
  <si>
    <t>http://dx.doi.org/10.1109/VISUAL.1998.745290</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</si>
  <si>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[2/sup 16/ operation systems/spl times/2 (memory/memoryless)/spl times/2 (data-dependent/independent)/spl times/2 (brush/lasso)] is more in fun than serious, as within the taxonomy there are many different choices that can be made. This framework is the result of considering both the current state of the art and historical antecedents.</t>
  </si>
  <si>
    <t>Chi-Keung Tang;G̩rard G. Medioni</t>
  </si>
  <si>
    <t>G.J. Wills</t>
  </si>
  <si>
    <t>AT&amp;T Bell Labs., Naperville, IL, USA</t>
  </si>
  <si>
    <t>10.1109/VISUAL.1991.175782;10.1109/VISUAL.1994.346327;10.1109/VISUAL.1994.346329;10.1109/VISUAL.1994.346328</t>
  </si>
  <si>
    <t>Surface and curve extremality, surface fitting, scalar and vector field visualization, Marching Cubes</t>
  </si>
  <si>
    <t>Feature comparisons of vector fields using Earth mover's distance</t>
  </si>
  <si>
    <t>10.1109/VISUAL.1998.745291</t>
  </si>
  <si>
    <t>http://dx.doi.org/10.1109/VISUAL.1998.745291</t>
  </si>
  <si>
    <t>Yingmei Lavin;Rajesh Batra;Lambertus Hesselink</t>
  </si>
  <si>
    <t>10.1109/VISUAL.1997.663858;10.1109/VISUAL.1997.663857</t>
  </si>
  <si>
    <t>Building perceptual textures to visualize multidimensional datasets</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</si>
  <si>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"plotted" in the landscape, indicating their whereabouts in a broader context, and several sets of 3D icons are available for representing the various document types.</t>
  </si>
  <si>
    <t>10.1109/VISUAL.1998.745292</t>
  </si>
  <si>
    <t>http://dx.doi.org/10.1109/VISUAL.1998.745292</t>
  </si>
  <si>
    <t>K. Andrews;M. Pichler;P. Wolf</t>
  </si>
  <si>
    <t>Inst. for Inf. &amp; Comput. Supported New Media, Graz Univ. of Technol., Austria</t>
  </si>
  <si>
    <t>Christopher G. Healey;James T. Enns</t>
  </si>
  <si>
    <t>North Carolina State Univ., Raleigh, NC, USA|c|;</t>
  </si>
  <si>
    <t>10.1109/VISUAL.1996.568118;10.1109/VISUAL.1993.398872</t>
  </si>
  <si>
    <t>computer graphics, experimental design, human vision, multidimensional dataset, oceanography, perception, preattentive processing, scientific visualization, texture, typhoon</t>
  </si>
  <si>
    <t>Efficient co-triangulation of large data sets</t>
  </si>
  <si>
    <t>10.1109/VISUAL.1998.745293</t>
  </si>
  <si>
    <t>http://dx.doi.org/10.1109/VISUAL.1998.745293</t>
  </si>
  <si>
    <t>Henrik Weimer;Joe D. Warren;Jane Troutner;Wendell Wiggins;John Shrout</t>
  </si>
  <si>
    <t>Rice Univ., Houston, TX, USA|c|;;;;</t>
  </si>
  <si>
    <t>10.1109/VISUAL.1994.346336;10.1109/VISUAL.1996.568124;10.1109/VISUAL.1996.568122</t>
  </si>
  <si>
    <t>Delaunay triangulation, scattered data, multidimensional approximation, higher-dimensional approximation, computational geometry, data-structures</t>
  </si>
  <si>
    <t>Visualizing diffusion tensor images of the mouse spinal cord</t>
  </si>
  <si>
    <t>10.1109/VISUAL.1998.745294</t>
  </si>
  <si>
    <t>http://dx.doi.org/10.1109/VISUAL.1998.745294</t>
  </si>
  <si>
    <t>David H. Laidlaw;Eric T. Ahrens;David Kremers;Matthew J. Avalos;Russell E. Jacobs;Carol Readhead</t>
  </si>
  <si>
    <t>California Inst. of Technol., Pasadena, CA, USA|c|;;;;;</t>
  </si>
  <si>
    <t>multi-valued visualization, tensor field visualization,oil painting</t>
  </si>
  <si>
    <t>Image-guided streamline placement on curvilinear grid surfaces</t>
  </si>
  <si>
    <t>10.1109/VISUAL.1998.745295</t>
  </si>
  <si>
    <t>http://dx.doi.org/10.1109/VISUAL.1998.745295</t>
  </si>
  <si>
    <t>Xiaoyang Mao;Yuji Hatanaka;Hidenori Higashida;Atsumi Imamiya</t>
  </si>
  <si>
    <t>Dept. of Comput. &amp; Media Eng., Yamanashi Univ., Kofu, Japan|c|;;;</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</si>
  <si>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</si>
  <si>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10.1109/VISUAL.1994.346312;10.1109/VISUAL.1995.480819</t>
  </si>
  <si>
    <t>vector field visualization, flow visualization, streamline, curvilinear grid</t>
  </si>
  <si>
    <t>A higher-order method for finding vortex core lines</t>
  </si>
  <si>
    <t>10.1109/VISUAL.1998.745296</t>
  </si>
  <si>
    <t>http://dx.doi.org/10.1109/VISUAL.1998.745296</t>
  </si>
  <si>
    <t>S. Mukherjea;K. Hirata;Y. Hara</t>
  </si>
  <si>
    <t>C&amp;C Res. Lab., NEC USA Inc., USA</t>
  </si>
  <si>
    <t>Center for Sci. Comput., Eidgenossische Tech. Hochschule, Zurich, Switzerland|c|;</t>
  </si>
  <si>
    <t>10.1109/VISUAL.1996.568137;10.1109/VISUAL.1997.663912;10.1109/VISUAL.1995.480817;10.1109/VISUAL.1991.175773;10.1109/VISUAL.1997.663910;10.1109/VISUAL.1994.346327;10.1109/VISUAL.1996.567807;10.1109/VISUAL.1997.663857;10.1109/VISUAL.1993.398877;10.1109/VISUAL.1997.663858</t>
  </si>
  <si>
    <t>Automatic detection of open and closed separation and attachment lines</t>
  </si>
  <si>
    <t>10.1109/VISUAL.1998.745297</t>
  </si>
  <si>
    <t>http://dx.doi.org/10.1109/VISUAL.1998.745297</t>
  </si>
  <si>
    <t>David N. Kenwright</t>
  </si>
  <si>
    <t>MRJ Technol Solutions, NASA Ames Res. Center, Moffett Field, CA, USA|c|</t>
  </si>
  <si>
    <t>10.1109/VISUAL.1994.346329;10.1109/VISUAL.1991.175773;10.1109/VISUAL.1990.146359;10.1109/VISUAL.1995.480817</t>
  </si>
  <si>
    <t>Isosurface extraction in time-varying fields using a temporal hierarchical index tree</t>
  </si>
  <si>
    <t>10.1109/VISUAL.1998.745298</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</si>
  <si>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</si>
  <si>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http://dx.doi.org/10.1109/VISUAL.1998.745298</t>
  </si>
  <si>
    <t>D.S. Ebert;C. Shaw;A. Zwa;E.L. Miller;D.A. Roberts</t>
  </si>
  <si>
    <t>Maryland Univ., Baltimore, MD, USA</t>
  </si>
  <si>
    <t>Han-Wei Shen</t>
  </si>
  <si>
    <t>10.1109/VISUAL.1996.568123;10.1109/VISUAL.1997.663895;10.1109/VISUAL.1996.568121;10.1109/VISUAL.1998.745299;10.1109/VISUAL.1991.175780;10.1109/VISUAL.1995.480806</t>
  </si>
  <si>
    <t>scalar field visualization, volume visualization, isosurface extraction, time-varying fields, marching cubes, span space</t>
  </si>
  <si>
    <t>Interactive out-of-core isosurface extraction</t>
  </si>
  <si>
    <t>10.1109/VISUAL.1998.745299</t>
  </si>
  <si>
    <t>http://dx.doi.org/10.1109/VISUAL.1998.745299</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</si>
  <si>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</si>
  <si>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K.C. Cox;D. Hackborn</t>
  </si>
  <si>
    <t>Lucent Technol., Bell Labs., Naperville, IL, USA</t>
  </si>
  <si>
    <t>Yi-Jen Chiang;Cl��udio T. Silva;William J. Schroeder</t>
  </si>
  <si>
    <t>10.1109/VISUAL.1997.663888;10.1109/VISUAL.1997.663895;10.1109/VISUAL.1996.568121</t>
  </si>
  <si>
    <t>Isosurface Extraction, Marching Cubes, Out-Of-Core Computation, Interval Tree, Scientific Visualization</t>
  </si>
  <si>
    <t>View dependent isosurface extraction</t>
  </si>
  <si>
    <t>10.1109/VISUAL.1998.745300</t>
  </si>
  <si>
    <t>http://dx.doi.org/10.1109/VISUAL.1998.745300</t>
  </si>
  <si>
    <t>Yarden Livnat;Charles D. Hansen</t>
  </si>
  <si>
    <t>10.1109/VISUAL.1995.480806;10.1109/VISUAL.1996.568121;10.1109/VISUAL.1996.568144;10.1109/VISUAL.1998.745713;10.1109/VISUAL.1994.346308;10.1109/VISUAL.1996.568123;10.1109/VISUAL.1996.568127;10.1109/VISUAL.1994.346307;10.1109/VISUAL.1991.175780;10.1109/VISUAL.1994.346334</t>
  </si>
  <si>
    <t>The Gridfit algorithm: an efficient and effective approach to visualizing large amounts of spatial data</t>
  </si>
  <si>
    <t>10.1109/VISUAL.1998.745301</t>
  </si>
  <si>
    <t>http://dx.doi.org/10.1109/VISUAL.1998.745301</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</si>
  <si>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</si>
  <si>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A. Varshney;A. Kaufman</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</si>
  <si>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</si>
  <si>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C.L. Bentley;M.O. Ward</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</si>
  <si>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</si>
  <si>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Pak Chung Wong;A.H. Crabb;R.D. Bergeron</t>
  </si>
  <si>
    <t>Dept. of Comput. Sci., New Hampshire Univ., Durham, NH, USA</t>
  </si>
  <si>
    <t>Geospatial metadata querying and visualization on the WWW using Java™ applets</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</si>
  <si>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Java/sup 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</si>
  <si>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N. Alper;C. Stein</t>
  </si>
  <si>
    <t>Mar Inc., USA</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</si>
  <si>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</si>
  <si>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T. Munzner;E. Hoffman;K. Claffy;B. Fenner</t>
  </si>
  <si>
    <t>Stanford Univ., CA, USA</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</si>
  <si>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"contextual"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</si>
  <si>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M. Gray;A. Badre;M. Guzdial</t>
  </si>
  <si>
    <t>Coll. of Comput., Georgia Univ., Athens, GA, USA</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</si>
  <si>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</si>
  <si>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D.A. Rushall;M.R. Ilgen</t>
  </si>
  <si>
    <t>HNC Software Inc., San Diego, CA, USA</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</si>
  <si>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</si>
  <si>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Liqun Jin;D.C. Banks</t>
  </si>
  <si>
    <t>Dept. of Comput. Sci., Mississippi State Univ., MS, USA</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</si>
  <si>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</si>
  <si>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E. Keeve;S. Girod;P. Pfeifle;B. Girod</t>
  </si>
  <si>
    <t>Telecommun. Inst., Erlangen-Nurnberg Univ., Germany</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</si>
  <si>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</si>
  <si>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B.C. Vemuri;C. Mandal</t>
  </si>
  <si>
    <t>Dept. of Comput. &amp; Inf. Sci., Florida Univ., Gainesville, FL, USA</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</si>
  <si>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</si>
  <si>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D. Cohen-Or;Y. Levanoni</t>
  </si>
  <si>
    <t>Sch. of Math. Sci., Tel Aviv Univ., Israel</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</si>
  <si>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</si>
  <si>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G.-P. Bonneau;S. Hahmann;G.M. Nielson</t>
  </si>
  <si>
    <t>Lab. LMC, CNRS, Grenoble, France</t>
  </si>
  <si>
    <t>Daniel A. Keim;Annemarie Herrmann</t>
  </si>
  <si>
    <t>Inst. of Comput. Sci., Halle-Wittenberg Univ., Halle, Germany|c|;</t>
  </si>
  <si>
    <t>10.1109/VISUAL.1995.485139;10.1109/INFVIS.1995.528688;10.1109/VISUAL.1991.175794;10.1109/VISUAL.1990.146387;10.1109/VISUAL.1990.146402;10.1109/VISUAL.1993.398870;10.1109/VISUAL.1995.485140;10.1109/VISUAL.1994.346302;10.1109/INFVIS.1995.528690;10.1109/VISUAL.1990.146386</t>
  </si>
  <si>
    <t>visualizing large data sets, visualizing spatially referenced data, visualizing geographical data, interfaces to databases</t>
  </si>
  <si>
    <t>TOPIC ISLANDS TM - a wavelet-based text visualization system</t>
  </si>
  <si>
    <t>10.1109/VISUAL.1998.745302</t>
  </si>
  <si>
    <t>http://dx.doi.org/10.1109/VISUAL.1998.745302</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</si>
  <si>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</si>
  <si>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T. He;A. Kaufman</t>
  </si>
  <si>
    <t>Nancy E. Miller;Pak Chung Wong;Mary Brewster;Harlan Foote</t>
  </si>
  <si>
    <t>10.1109/VISUAL.1997.663872;10.1109/INFVIS.1995.528686;10.1109/VISUAL.1996.567800;10.1109/VISUAL.1997.663871;10.1109/VISUAL.1995.480811;10.1109/VISUAL.1994.346333;10.1109/VISUAL.1994.346332;10.1109/VISUAL.1992.235206</t>
  </si>
  <si>
    <t>text visualization, information visualization,wavelet transform, information retrieval</t>
  </si>
  <si>
    <t>Continuous cartogram construction</t>
  </si>
  <si>
    <t>10.1109/VISUAL.1998.745303</t>
  </si>
  <si>
    <t>http://dx.doi.org/10.1109/VISUAL.1998.745303</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</si>
  <si>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</si>
  <si>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Donald H. House;Christopher J. Kocmoud</t>
  </si>
  <si>
    <t>J. Wilhelms;A. Van Gelder;P. Tarantino;J. Gibbs</t>
  </si>
  <si>
    <t>California Univ., Santa Cruz, CA, USA</t>
  </si>
  <si>
    <t>cartogram, value-by-area map, map transformation,anamorphosis, thematic cartography, constrained optimization</t>
  </si>
  <si>
    <t>A concept for virtual reality tools for design reviews</t>
  </si>
  <si>
    <t>10.1109/VISUAL.1998.745304</t>
  </si>
  <si>
    <t>http://dx.doi.org/10.1109/VISUAL.1998.745304</t>
  </si>
  <si>
    <t>Klaus Kremer</t>
  </si>
  <si>
    <t>Heinz Nixdorf Inst., Paderborn Univ., Germany|c|</t>
  </si>
  <si>
    <t>virtual reality, virtual environments, visualization, design reviews, product configuration, product structures, product attributes, CAD, PDM, EDM</t>
  </si>
  <si>
    <t>Efficient warping for architectural walkthroughs using layered depth images</t>
  </si>
  <si>
    <t>10.1109/VISUAL.1998.745305</t>
  </si>
  <si>
    <t>http://dx.doi.org/10.1109/VISUAL.1998.745305</t>
  </si>
  <si>
    <t>Voicu Popescu;Anselmo Lastra;Daniel G. Aliaga;Manuel Menezes de Oliveira Neto</t>
  </si>
  <si>
    <t>North Carolina Univ., Chapel Hill, NC, USA|c|;;;</t>
  </si>
  <si>
    <t>image-based rendering, parallel warping, occlusion compatible ordering for discrete images, portal, cell, exposure error, layered depth image, clipping, architectural walkthrough</t>
  </si>
  <si>
    <t>Visualizing differences in movies of cortical activity</t>
  </si>
  <si>
    <t>10.1109/VISUAL.1998.745306</t>
  </si>
  <si>
    <t>http://dx.doi.org/10.1109/VISUAL.1998.745306</t>
  </si>
  <si>
    <t>Kay A. Robbins;David M. Senseman</t>
  </si>
  <si>
    <t>Div. of Comput. Sci., Texas Univ., San Antonio, TX, USA|c|;</t>
  </si>
  <si>
    <t>scientific visualization, animation, video analysis</t>
  </si>
  <si>
    <t>Volume ray casting is based on sampling the data along sight rays. In this technique, reconstruction is achieved by a convolution, which collects the contribution of multiple voxels to one sample point. Splatting, on the other hand, is based on projecting data points on to the screen, and reconstruction is implemented by an "inverted convolution", where the contribution of one data element is distributed to many sample points (i.e. pixels). Splatting produces images of a quality comparable to ray casting but at greater speeds. This is achieved by pre-computing the projection footprint that the interpolation kernel leaves on the image plane. However, while fast incremental schemes can be utilized for orthographic projection, the perspective projection complicates the mapping of the footprints and is therefore rather slow. In this paper, we merge the technique of splatting with the principles of ray 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voxel-driven splatting cannot benefit from. This results in competitive or superior performance for parallel projection, and superior performance for perspective projection.</t>
  </si>
  <si>
    <t>K. Mueller;R. Yagel</t>
  </si>
  <si>
    <t>A distributed blackboard architecture for interactive data visualization</t>
  </si>
  <si>
    <t>Biomed. Eng. Center, Ohio State Univ., Columbus, OH, USA</t>
  </si>
  <si>
    <t>10.1109/VISUAL.1998.745307</t>
  </si>
  <si>
    <t>http://dx.doi.org/10.1109/VISUAL.1998.745307</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</si>
  <si>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</si>
  <si>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Robert van Liere;Jan Harkes;Wim C. de Leeuw</t>
  </si>
  <si>
    <t>Center for Math. &amp; Comput. Sci., CWI, Amsterdam, Netherlands|c|;;</t>
  </si>
  <si>
    <t>10.1109/VISUAL.1992.235202;10.1109/VISUAL.1991.175818;10.1109/VISUAL.1997.663896;10.1109/VISUAL.1996.567752;10.1109/VISUAL.1995.485143;10.1109/VISUAL.1992.235207;10.1109/VISUAL.1994.346304</t>
  </si>
  <si>
    <t>Eliminating popping artifacts in sheet buffer-based splatting</t>
  </si>
  <si>
    <t>Shiaofen Fang;Su Huang;Rajagopalan Srinivasan;Raghu Raghavan</t>
  </si>
  <si>
    <t>10.1109/VISUAL.1998.745309</t>
  </si>
  <si>
    <t>Nat. Univ. of Singapore, Singapore</t>
  </si>
  <si>
    <t>http://dx.doi.org/10.1109/VISUAL.1998.745309</t>
  </si>
  <si>
    <t>Klaus Mueller;Roger Crawfis</t>
  </si>
  <si>
    <t>10.1109/VISUAL.1996.567608;10.1109/VISUAL.1996.568119;10.1109/VISUAL.1995.480792;10.1109/VISUAL.1997.663882;10.1109/VISUAL.1993.398877;10.1109/VISUAL.1993.398852</t>
  </si>
  <si>
    <t>Accelerated ray-casting for curvilinear volumes</t>
  </si>
  <si>
    <t>10.1109/VISUAL.1998.745310</t>
  </si>
  <si>
    <t>http://dx.doi.org/10.1109/VISUAL.1998.745310</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</si>
  <si>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</si>
  <si>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J. Wood;K. Brodlie;H. Wright</t>
  </si>
  <si>
    <t>Leeds Univ., UK</t>
  </si>
  <si>
    <t>Lichan Hong;Arie E. Kaufman</t>
  </si>
  <si>
    <t>Lucent Technol., AT&amp;T Bell Labs., Naperville, IL, USA|c|;</t>
  </si>
  <si>
    <t>10.1109/VISUAL.1993.398853;10.1109/VISUAL.1992.235228;10.1109/VISUAL.1996.567606</t>
  </si>
  <si>
    <t>volume visualization, volume rendering, irregular grid, curvilinear grid, ray-casting, parallel rendering, dynamic simulation</t>
  </si>
  <si>
    <t>High quality rendering of attributed volume data</t>
  </si>
  <si>
    <t>10.1109/VISUAL.1998.745311</t>
  </si>
  <si>
    <t>http://dx.doi.org/10.1109/VISUAL.1998.745311</t>
  </si>
  <si>
    <t>Ulf Tiede;Thomas Schiemann;Karl Heinz H̦hne</t>
  </si>
  <si>
    <t>Inst. of Math. &amp; Comput. Sci. in Med., Eppendorf Univ. Hosp., Hamburg, Germany|c|;;</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</si>
  <si>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</si>
  <si>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partial-volume-effect, ray-casting, tomographic data,Visible-Human-Project</t>
  </si>
  <si>
    <t>L. Beaudoin;M.-A. Parent;L.C. Vroomen</t>
  </si>
  <si>
    <t>Centre de Recherche Inf. de Montreal, Que.,, Canada</t>
  </si>
  <si>
    <t>Simplifying surfaces with color and texture using quadric error metrics</t>
  </si>
  <si>
    <t>10.1109/VISUAL.1998.745312</t>
  </si>
  <si>
    <t>http://dx.doi.org/10.1109/VISUAL.1998.745312</t>
  </si>
  <si>
    <t>Michael Garland;Paul S. Heckbert</t>
  </si>
  <si>
    <t>Carnegie Mellon Univ., Pittsburgh, PA, USA|c|;</t>
  </si>
  <si>
    <t>surface simplification, multiresolution modeling, level of detail, quadric error metric, edge contraction, surface properties, discontinuity preservation</t>
  </si>
  <si>
    <t>A unified approach for simplifying polygonal and spline models</t>
  </si>
  <si>
    <t>10.1109/VISUAL.1998.745313</t>
  </si>
  <si>
    <t>The Visualization Toolkit (vtk) is a freely available C++ class library for 3D graphics and visualization. We describe core characteristics of the toolkit. This includes a description of object oriented models for graphics and visualization; methods for synchronizing system execution; a summary of data representation schemes; the role of C++; issues in portability across PC and Unix systems; and how we automatically wrap the C++ class library with interpreted languages such as Java and Tcl. We also demonstrate the capabilities of the system for scalar, vector, tensor, and other visualization techniques.</t>
  </si>
  <si>
    <t>http://dx.doi.org/10.1109/VISUAL.1998.745313</t>
  </si>
  <si>
    <t>W.J. Schroeder;K.M. Martin;W.E. Lorensen</t>
  </si>
  <si>
    <t>GE Corp. Res. &amp; Dev., USA</t>
  </si>
  <si>
    <t>Meenakshisundaram Gopi;Dinesh Manocha</t>
  </si>
  <si>
    <t>10.1109/VISUAL.1997.663909;10.1109/VISUAL.1997.663908;10.1109/VISUAL.1997.663883</t>
  </si>
  <si>
    <t>model simplification, levels-of-detail, surface approximation, spline patches, surface fitting, dynamic tessellation</t>
  </si>
  <si>
    <t>Fast and memory efficient polygonal simplification</t>
  </si>
  <si>
    <t>10.1109/VISUAL.1998.745314</t>
  </si>
  <si>
    <t>http://dx.doi.org/10.1109/VISUAL.1998.745314</t>
  </si>
  <si>
    <t>We are investigating methods for simplifying complex models for interactive visualizations using texture based representations. The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All the computations for the transitions can be done a priori without the need to change the textures each frame thereafter.</t>
  </si>
  <si>
    <t>D.G. Aliaga</t>
  </si>
  <si>
    <t>Peter Lindstrom;Greg Turk</t>
  </si>
  <si>
    <t>Georgia Inst. of Technol., Atlanta, GA, USA|c|;</t>
  </si>
  <si>
    <t>10.1109/VISUAL.1995.485142;10.1109/VISUAL.1997.663883;10.1109/VISUAL.1997.663908;10.1109/VISUAL.1997.663906</t>
  </si>
  <si>
    <t>Simplification of tetrahedral meshes</t>
  </si>
  <si>
    <t>10.1109/VISUAL.1998.745315</t>
  </si>
  <si>
    <t>http://dx.doi.org/10.1109/VISUAL.1998.745315</t>
  </si>
  <si>
    <t>Issac J. Trotts;Bernd Hamann;Kenneth I. Joy;David F. Wiley</t>
  </si>
  <si>
    <t>Center for Image Process. &amp; Integrated Comput., California Univ., Davis, CA, USA|c|;;;</t>
  </si>
  <si>
    <t>10.1109/VISUAL.1996.568126;10.1109/VISUAL.1996.568124;10.1109/VISUAL.1997.663906</t>
  </si>
  <si>
    <t>approximation, hierarchical representation, mesh generation, multiresolution method, scattered data, spline, triangulation, visualization</t>
  </si>
  <si>
    <t>Interactive deformations from tensor fields</t>
  </si>
  <si>
    <t>10.1109/VISUAL.1998.745316</t>
  </si>
  <si>
    <t>http://dx.doi.org/10.1109/VISUAL.1998.745316</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</si>
  <si>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</si>
  <si>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Malte Zöckler;Detlev Stalling;Hans-Christian Hege</t>
  </si>
  <si>
    <t>M. Zockler;D. Stalling;H.-C. Hege</t>
  </si>
  <si>
    <t>Konrad-Zuse-Zentrum fur Informationstech., Berlin, Germany</t>
  </si>
  <si>
    <t>10.1109/VISUAL.1997.663929;10.1109/VISUAL.1996.567752;10.1109/VISUAL.1993.398849;10.1109/VISUAL.1991.175773;10.1109/VISUAL.1992.235193;10.1109/VISUAL.1995.485141;10.1109/VISUAL.1994.346330;10.1109/VISUAL.1991.175789;10.1109/VISUAL.1994.346326;10.1109/VISUAL.1997.663857;10.1109/VISUAL.1992.235224;10.1109/VISUAL.1996.568139;10.1109/VISUAL.1994.346315</t>
  </si>
  <si>
    <t>tensor,stress, strain, shear, normal,directional flow, symmetric, antisymmetric, deviator, isotropic</t>
  </si>
  <si>
    <t>Real-time techniques for 3D flow visualization</t>
  </si>
  <si>
    <t>10.1109/VISUAL.1998.745317</t>
  </si>
  <si>
    <t>http://dx.doi.org/10.1109/VISUAL.1998.745317</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</si>
  <si>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</si>
  <si>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Thomas Frühauf</t>
  </si>
  <si>
    <t>T. Fruhauf</t>
  </si>
  <si>
    <t>Fraunhofer Inst. for Comput. Graphics, Darmstadt, Germany</t>
  </si>
  <si>
    <t>Anton L. Fuhrmann;M. Eduard Gr̦ller</t>
  </si>
  <si>
    <t>Inst. of Comput. Graphics, Wien Univ., Austria|c|;</t>
  </si>
  <si>
    <t>10.1109/VISUAL.1994.346312;10.1109/VISUAL.1997.663897;10.1109/VISUAL.1997.663921;10.1109/VISUAL.1991.175771;10.1109/VISUAL.1997.663912;10.1109/VISUAL.1993.398877</t>
  </si>
  <si>
    <t>virtual environments, flow visualization, texturing, interaction, magic lens, focussing</t>
  </si>
  <si>
    <t>Wavelets over curvilinear grids</t>
  </si>
  <si>
    <t>10.1109/VISUAL.1998.745318</t>
  </si>
  <si>
    <t>http://dx.doi.org/10.1109/VISUAL.1998.745318</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</si>
  <si>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</si>
  <si>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Ming-Hoe Kiu;D.C. Banks</t>
  </si>
  <si>
    <t>Dept. of Electr. Eng., Mississippi State Univ., MS, USA</t>
  </si>
  <si>
    <t>10.1109/VISUAL.1997.663883;10.1109/VISUAL.1997.663872;10.1109/VISUAL.1997.663871</t>
  </si>
  <si>
    <t>Image-based transfer function design for data exploration in volume visualization</t>
  </si>
  <si>
    <t>10.1109/VISUAL.1998.745319</t>
  </si>
  <si>
    <t>http://dx.doi.org/10.1109/VISUAL.1998.745319</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</si>
  <si>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O(N/sup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</si>
  <si>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M. Chalmers</t>
  </si>
  <si>
    <t>Union Bank of Switzerland, Switzerland</t>
  </si>
  <si>
    <t>Shiaofen Fang;Tom Biddlecome;Mihran Tuceryan</t>
  </si>
  <si>
    <t>Dept. of Comput. &amp; Inf. Sci., Indiana Univ., Indianapolis, IN, USA|c|;;</t>
  </si>
  <si>
    <t>10.1109/VISUAL.1996.567609;10.1109/VISUAL.1996.568113</t>
  </si>
  <si>
    <t>volume visualization, 3D image processing, transfer function, volume rendering, data exploration</t>
  </si>
  <si>
    <t>Image-based rendering with occlusions via cubist images</t>
  </si>
  <si>
    <t>10.1109/VISUAL.1998.745320</t>
  </si>
  <si>
    <t>http://dx.doi.org/10.1109/VISUAL.1998.745320</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</si>
  <si>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</si>
  <si>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E.H.-H. Chi;J. Riedl;E. Shoop;J.V. Carlis;E. Retzel;P. Barry</t>
  </si>
  <si>
    <t>Dept. of Comput. Sci., Minnesota Univ. Med. Sch., Minneapolis, MN, USA</t>
  </si>
  <si>
    <t>Indiana Univ., Bloomington, IN, USA|c|;</t>
  </si>
  <si>
    <t>Image Based Rendering, Occlusions</t>
  </si>
  <si>
    <t>Hierarchical volume analysis and visualization based on morphological operators</t>
  </si>
  <si>
    <t>10.1109/VISUAL.1998.745321</t>
  </si>
  <si>
    <t>http://dx.doi.org/10.1109/VISUAL.1998.745321</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</si>
  <si>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</si>
  <si>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Christoph L�_rig;Thomas Ertl</t>
  </si>
  <si>
    <t>Interactive display of very large textures</t>
  </si>
  <si>
    <t>10.1109/VISUAL.1998.745322</t>
  </si>
  <si>
    <t>http://dx.doi.org/10.1109/VISUAL.1998.745322</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</si>
  <si>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</si>
  <si>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G. Barequet;D. Shapiro;A. Tal</t>
  </si>
  <si>
    <t>Tel Aviv Univ., Israel</t>
  </si>
  <si>
    <t>David Cline;Parris K. Egbert</t>
  </si>
  <si>
    <t>Dept. of Comput. Sci., Brigham Young Univ., Provo, UT, USA|c|;</t>
  </si>
  <si>
    <t>texture caching, bandwidth-limited resource, texture mapping, real-time display, interactivity</t>
  </si>
  <si>
    <t>Pixel masks for screen-door transparency</t>
  </si>
  <si>
    <t>10.1109/VISUAL.1998.745323</t>
  </si>
  <si>
    <t>http://dx.doi.org/10.1109/VISUAL.1998.745323</t>
  </si>
  <si>
    <t>Jurriaan D. Mulder;Frans C. A. Groen;Jarke J. van Wijk</t>
  </si>
  <si>
    <t>Screen-Door Transparency</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</si>
  <si>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</si>
  <si>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Comparing LIC and spot noise</t>
  </si>
  <si>
    <t>10.1109/VISUAL.1998.745324</t>
  </si>
  <si>
    <t>D. Silver;X. Wang</t>
  </si>
  <si>
    <t>http://dx.doi.org/10.1109/VISUAL.1998.745324</t>
  </si>
  <si>
    <t>Dept. of Electr. &amp; Comput. Eng., Rutgers Univ., Piscataway, NJ, USA</t>
  </si>
  <si>
    <t>Wim C. de Leeuw;Robert van Liere</t>
  </si>
  <si>
    <t>Center for Math. &amp; Comput. Sci., CWI, Amsterdam, Netherlands|c|;</t>
  </si>
  <si>
    <t>10.1109/VISUAL.1997.663898;10.1109/VISUAL.1997.663912;10.1109/VISUAL.1995.480817</t>
  </si>
  <si>
    <t>flow visualization, texture synthesis</t>
  </si>
  <si>
    <t>Size preserving pattern mapping</t>
  </si>
  <si>
    <t>10.1109/VISUAL.1998.745325</t>
  </si>
  <si>
    <t>http://dx.doi.org/10.1109/VISUAL.1998.745325</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</si>
  <si>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</si>
  <si>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D. Cohen-Or;D. Levin;A. Solomovici</t>
  </si>
  <si>
    <t>Yair Kurzion;Torsten M̦ller;Roni Yagel</t>
  </si>
  <si>
    <t>Dept. of Comput. &amp; Inf. Sci., Ohio State Univ., Columbus, OH, USA|c|;;</t>
  </si>
  <si>
    <t>Constrained optimal framings of curves and surfaces using quaternion Gauss maps</t>
  </si>
  <si>
    <t>10.1109/VISUAL.1998.745326</t>
  </si>
  <si>
    <t>http://dx.doi.org/10.1109/VISUAL.1998.745326</t>
  </si>
  <si>
    <t>Andrew J. Hanson</t>
  </si>
  <si>
    <t>Dept. of Comput. Sci., Indiana Univ., Bloomington, IN, USA|c|</t>
  </si>
  <si>
    <t>10.1109/VISUAL.1994.346330;10.1109/VISUAL.1997.663876</t>
  </si>
  <si>
    <t>Quaternions, Frames, Tubing, Curves, Surfaces</t>
  </si>
  <si>
    <t>Converting sets of polygons to manifold surfaces by cutting and stitching</t>
  </si>
  <si>
    <t>An isovalue contour of a function of two complex variables defines a surface in four-space. We present a robust technique for creating polygonal contours of complex-valued functions. The technique, contour meshing, generalizes well to larger dimensions.</t>
  </si>
  <si>
    <t>10.1109/VISUAL.1998.745327</t>
  </si>
  <si>
    <t>http://dx.doi.org/10.1109/VISUAL.1998.745327</t>
  </si>
  <si>
    <t>C. Weigle;D.C. Banks</t>
  </si>
  <si>
    <t>Andr̩ Gu̩ziec;Gabriel Taubin;Francis Lazarus;William Horn</t>
  </si>
  <si>
    <t>10.1109/VISUAL.1997.663904;10.1109/VISUAL.1995.480821</t>
  </si>
  <si>
    <t>Polygonal Surface, Manifold, Cutting, Stitching</t>
  </si>
  <si>
    <t>Interpolation of triangle hierarchies</t>
  </si>
  <si>
    <t>10.1109/VISUAL.1998.745328</t>
  </si>
  <si>
    <t>http://dx.doi.org/10.1109/VISUAL.1998.745328</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</si>
  <si>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</si>
  <si>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R.G. Hughes;A.R. Forrest</t>
  </si>
  <si>
    <t>Sch. of Inf. Syst., Univ. of East Anglia, Norwich, UK</t>
  </si>
  <si>
    <t>Axel Friedrich;Konrad Polthier;Markus Schmies</t>
  </si>
  <si>
    <t>Tech. Univ. Berlin, Germany|c|;;</t>
  </si>
  <si>
    <t>animation, shape interpolation, adaptive refinement,level-of-detail, multiresolutional representation</t>
  </si>
  <si>
    <t>Progressive tetrahedralizations</t>
  </si>
  <si>
    <t>10.1109/VISUAL.1998.745329</t>
  </si>
  <si>
    <t>http://dx.doi.org/10.1109/VISUAL.1998.745329</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</si>
  <si>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</si>
  <si>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Oliver G. Staadt;Markus H. Gross</t>
  </si>
  <si>
    <t>S.K. Lodha;C.M. Wilson;R.E. Sheehan</t>
  </si>
  <si>
    <t>Comput. Graphics Res. Group, Fed.. Inst. of Technol., Zurich, Switzerland|c|;</t>
  </si>
  <si>
    <t>Dept. of Comput. &amp; Inf. Sci., California Univ., Santa Cruz, CA, USA</t>
  </si>
  <si>
    <t>10.1109/VISUAL.1997.663907;10.1109/VISUAL.1997.663901;10.1109/VISUAL.1997.663883</t>
  </si>
  <si>
    <t>mesh simplification, multiresolution, level-of-detail, unstructured meshes, mesh generation</t>
  </si>
  <si>
    <t>Task-specific visualization design: a case study in operational weather forecasting</t>
  </si>
  <si>
    <t>10.1109/VISUAL.1998.745330</t>
  </si>
  <si>
    <t>http://dx.doi.org/10.1109/VISUAL.1998.745330</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</si>
  <si>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</si>
  <si>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R.S. Avila;L.M. Sobierajski</t>
  </si>
  <si>
    <t>Gen. Electr. Corp. Res. &amp; Dev. Center, Schenectady, NY, USA</t>
  </si>
  <si>
    <t>10.1109/VISUAL.1995.480821;10.1109/VISUAL.1997.663922;10.1109/VISUAL.1994.346316;10.1109/INFVIS.1996.559211</t>
  </si>
  <si>
    <t>Development of a multi-source visualization prototype</t>
  </si>
  <si>
    <t>10.1109/VISUAL.1998.745331</t>
  </si>
  <si>
    <t>http://dx.doi.org/10.1109/VISUAL.1998.745331</t>
  </si>
  <si>
    <t>Leslie Keely;Samuel P. Uselton</t>
  </si>
  <si>
    <t>10.1109/VISUAL.1997.663911;10.1109/VISUAL.1996.568115;10.1109/VISUAL.1998.745332</t>
  </si>
  <si>
    <t>Data level comparison of wind tunnel and computational fluid dynamics data</t>
  </si>
  <si>
    <t>10.1109/VISUAL.1998.745332</t>
  </si>
  <si>
    <t>http://dx.doi.org/10.1109/VISUAL.1998.745332</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</si>
  <si>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</si>
  <si>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D.S. Ebert;C.D. Shaw;A. Zwa;C. Starr</t>
  </si>
  <si>
    <t>Qin Shen;Alex T. Pang;Samuel P. Uselton</t>
  </si>
  <si>
    <t>10.1109/VISUAL.1997.663910;10.1109/VISUAL.1996.568115;10.1109/VISUAL.1996.568116;10.1109/VISUAL.1997.663911</t>
  </si>
  <si>
    <t>Selective visualization of vortices in hydrodynamic flows</t>
  </si>
  <si>
    <t>10.1109/VISUAL.1998.745333</t>
  </si>
  <si>
    <t>http://dx.doi.org/10.1109/VISUAL.1998.745333</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</si>
  <si>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</si>
  <si>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I. Ari Sadarjoen;Frits H. Post;Bing Ma;David C. Banks;Hans-Georg Pagendarm</t>
  </si>
  <si>
    <t>ICASE, NASA Langley Res. Center, USA</t>
  </si>
  <si>
    <t>Dept. of Comput. Sci., Delft Univ. of Technol., Netherlands|c|;;;;</t>
  </si>
  <si>
    <t>10.1109/VISUAL.1995.485158;10.1109/VISUAL.1997.663910;10.1109/VISUAL.1994.346327;10.1109/VISUAL.1996.568137</t>
  </si>
  <si>
    <t>Visual presentation of magnetic resonance images</t>
  </si>
  <si>
    <t>10.1109/VISUAL.1998.745334</t>
  </si>
  <si>
    <t>http://dx.doi.org/10.1109/VISUAL.1998.745334</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</si>
  <si>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</si>
  <si>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Dept. of Comput. Sci., Mississippi Univ., MS, USA</t>
  </si>
  <si>
    <t>Johanna E. van der Heyden;Sheelagh Carpendale;Kevin B. Inkpen;M. Stella Atkins</t>
  </si>
  <si>
    <t>Visualization in corneal topography</t>
  </si>
  <si>
    <t>10.1109/VISUAL.1998.745335</t>
  </si>
  <si>
    <t>http://dx.doi.org/10.1109/VISUAL.1998.745335</t>
  </si>
  <si>
    <t>Frans Vos;Hans J. W. Spoelder</t>
  </si>
  <si>
    <t>Delft Univ. of Technol., Netherlands|c|;</t>
  </si>
  <si>
    <t>A case study using the virtual environment for reconstructive surgery</t>
  </si>
  <si>
    <t>10.1109/VISUAL.1998.745336</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</si>
  <si>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</si>
  <si>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http://dx.doi.org/10.1109/VISUAL.1998.745336</t>
  </si>
  <si>
    <t>Taosong He;Lichan Hong;A. Kaufman;H. Pfister</t>
  </si>
  <si>
    <t>Kevin Montgomery;Michael Stephanides;Stephen Schendel;Muriel Ross</t>
  </si>
  <si>
    <t>Nat. Biocomput. Center, Stanford Univ., CA, USA|c|;;;</t>
  </si>
  <si>
    <t>Interactive virtual angioscopy</t>
  </si>
  <si>
    <t>10.1109/VISUAL.1998.745337</t>
  </si>
  <si>
    <t>http://dx.doi.org/10.1109/VISUAL.1998.745337</t>
  </si>
  <si>
    <t>Enrico Gobbetti;Piero Pili;Antonio Zorcolo;Massimiliano Tuveri</t>
  </si>
  <si>
    <t>Center for Adv. Studies, Cagliari, Italy|c|;;;</t>
  </si>
  <si>
    <t>Volumetric modeling of acoustic fields in CNMAT's sound spatialization theatre</t>
  </si>
  <si>
    <t>10.1109/VISUAL.1998.745338</t>
  </si>
  <si>
    <t>http://dx.doi.org/10.1109/VISUAL.1998.745338</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</si>
  <si>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</si>
  <si>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W.F. Garrett;H. Fuchs;M.C. Whitton;A. State</t>
  </si>
  <si>
    <t>Sami Khoury;Adrian Freed;David Wessel</t>
  </si>
  <si>
    <t>CNMAT, Berkeley, CA, USA|c|;;</t>
  </si>
  <si>
    <t>Supporting detail-in-context for the DNA representation, H-curves</t>
  </si>
  <si>
    <t>10.1109/VISUAL.1998.745339</t>
  </si>
  <si>
    <t>http://dx.doi.org/10.1109/VISUAL.1998.745339</t>
  </si>
  <si>
    <t>M. L. Lantin;Sheelagh Carpendale</t>
  </si>
  <si>
    <t>Visualizing Hilbert curves</t>
  </si>
  <si>
    <t>10.1109/VISUAL.1998.745340</t>
  </si>
  <si>
    <t>http://dx.doi.org/10.1109/VISUAL.1998.745340</t>
  </si>
  <si>
    <t>The paper describes the Field Encapsulation Library (FEL), which provides a grid independent application programmer's interface to gridded three dimensional field data. The C++ implementation of FEL is described, stressing the way in which the class hierarchy hides the underlying grid structure in a way that allows visualization algorithms to be written in a completely grid independent manner. Appropriately defined coordinate classes play an important role in providing this grid independence. High performance point location routines for data access are described and performance times are provided.</t>
  </si>
  <si>
    <t>S. Bryson;D. Kenwright;M. Gerald-Yamasaki</t>
  </si>
  <si>
    <t>Rear-projecting virtual data onto physical terrain: an exercise in two senses being better than one</t>
  </si>
  <si>
    <t>10.1109/VISUAL.1998.745341</t>
  </si>
  <si>
    <t>http://dx.doi.org/10.1109/VISUAL.1998.745341</t>
  </si>
  <si>
    <t>Dru Clark;Richard Marciano;Rosemarie McKeon;Michael J. Bailey</t>
  </si>
  <si>
    <t>Supercomput. Center, California Univ., San Diego, La Jolla, CA, USA|c|;;;</t>
  </si>
  <si>
    <t>Intent, perception, and out-of-core visualization applied to terrain</t>
  </si>
  <si>
    <t>10.1109/VISUAL.1998.745342</t>
  </si>
  <si>
    <t>http://dx.doi.org/10.1109/VISUAL.1998.745342</t>
  </si>
  <si>
    <t>Douglass Davis;William Ribarsky;Nickolas Faust;Tian-Yue Jiang</t>
  </si>
  <si>
    <t>Graphics, Visualization &amp; Usability Center, Georgia Inst. of Technol., Atlanta, GA, USA|c|;;;</t>
  </si>
  <si>
    <t>10.1109/VISUAL.1994.346311;10.1109/VISUAL.1997.663888</t>
  </si>
  <si>
    <t>Production visualization for the ASCI One TeraFLOPS machine</t>
  </si>
  <si>
    <t>10.1109/VISUAL.1998.745343</t>
  </si>
  <si>
    <t>http://dx.doi.org/10.1109/VISUAL.1998.745343</t>
  </si>
  <si>
    <t>Philip D. Heermann</t>
  </si>
  <si>
    <t>Sandia Nat. Labs., Albuquerque, NM, USA|c|</t>
  </si>
  <si>
    <t>Battlefield visualization on the responsive workbench</t>
  </si>
  <si>
    <t>10.1109/VISUAL.1998.745344</t>
  </si>
  <si>
    <t>http://dx.doi.org/10.1109/VISUAL.1998.745344</t>
  </si>
  <si>
    <t>Jim Durbin;J. Edward Swan;Brad Colbert;John Crowe;Rob King;Tony King;Christopher Scannell;Zachary Wartell;Terry Welsh</t>
  </si>
  <si>
    <t>Scientific visualization and data modeling of scattered sediment contaminant data in New York/New Jersey estuaries</t>
  </si>
  <si>
    <t>10.1109/VISUAL.1998.745345</t>
  </si>
  <si>
    <t>http://dx.doi.org/10.1109/VISUAL.1998.745345</t>
  </si>
  <si>
    <t>Hong Ma;Keith W. Jones;Eric A. Stern</t>
  </si>
  <si>
    <t>Brookhaven Nat. Lab., Upton, NY, USA|c|;;</t>
  </si>
  <si>
    <t>POPTEX: Interactive ocean model visualization using texture mapping hardware</t>
  </si>
  <si>
    <t>10.1109/VISUAL.1998.745346</t>
  </si>
  <si>
    <t>http://dx.doi.org/10.1109/VISUAL.1998.745346</t>
  </si>
  <si>
    <t>Allen McPherson;Mathew Maltrud</t>
  </si>
  <si>
    <t>Adv. Comput. Lab., Los Alamos Nat. Lab., NM, USA|c|;</t>
  </si>
  <si>
    <t>10.1109/VISUAL.1990.146361;10.1109/VISUAL.1996.568149</t>
  </si>
  <si>
    <t>Acoustic imaging and visualization of plumes discharging from black smoker vents on the deep seafloor</t>
  </si>
  <si>
    <t>10.1109/VISUAL.1998.745347</t>
  </si>
  <si>
    <t>http://dx.doi.org/10.1109/VISUAL.1998.745347</t>
  </si>
  <si>
    <t>Peter A. Rona;Karen G. Bemis;Deepak R. Kenchammana-Hosekote;Deborah Silver</t>
  </si>
  <si>
    <t>Inst. of Marine &amp; Coastal Sci., Rutgers Univ., New Brunswick, NJ, USA|c|;;;</t>
  </si>
  <si>
    <t>Seabed visualization</t>
  </si>
  <si>
    <t>10.1109/VISUAL.1998.745348</t>
  </si>
  <si>
    <t>http://dx.doi.org/10.1109/VISUAL.1998.745348</t>
  </si>
  <si>
    <t>Paul Chapman;Peter Stevens;Derek Wills;Graham R. Brookes</t>
  </si>
  <si>
    <t>Dept. of Comput. Sci., Hull Univ., UK|c|;;;</t>
  </si>
  <si>
    <t>Configuration space visualization for mechanical design</t>
  </si>
  <si>
    <t>10.1109/VISUAL.1998.745349</t>
  </si>
  <si>
    <t>http://dx.doi.org/10.1109/VISUAL.1998.745349</t>
  </si>
  <si>
    <t>Elisha Sacks;Leo Joskowicz</t>
  </si>
  <si>
    <t>Purdue Univ., West Lafayette, IN, USA|c|;</t>
  </si>
  <si>
    <t>Three-dimensional visualization of microstructures</t>
  </si>
  <si>
    <t>10.1109/VISUAL.1998.745350</t>
  </si>
  <si>
    <t>http://dx.doi.org/10.1109/VISUAL.1998.745350</t>
  </si>
  <si>
    <t>Marco Lanzagorta;Milo V. Kral;J. Edward Swan;George Spanos;Robert Rosenberg;Eddy Kuo</t>
  </si>
  <si>
    <t>Naval Res. Lab., Washington, DC, USA|c|;;;;;</t>
  </si>
  <si>
    <t>Visualization for multiparameter aircraft designs</t>
  </si>
  <si>
    <t>10.1109/VISUAL.1998.745351</t>
  </si>
  <si>
    <t>http://dx.doi.org/10.1109/VISUAL.1998.745351</t>
  </si>
  <si>
    <t>Clifford A. Shaffer;Duane L. Knill;Layne T. Watson</t>
  </si>
  <si>
    <t>Dept. of Comput. Sci., Virginia Polytech. Inst. &amp; State Univ., Blacksburg, VA, USA|c|;;</t>
  </si>
  <si>
    <t>10.1109/VISUAL.1997.663866;10.1109/VISUAL.1997.663868;10.1109/VISUAL.1990.146402</t>
  </si>
  <si>
    <t>Why is Real-Time Volume Rendering No Longer a Year Away?</t>
  </si>
  <si>
    <t>10.1109/VISUAL.1998.745352</t>
  </si>
  <si>
    <t>http://dx.doi.org/10.1109/VISUAL.1998.745352</t>
  </si>
  <si>
    <t>Arie E. Kaufman;Marty Brady;William E. Lorensen;Frederick L. Kitson;Hanspeter Pfister</t>
  </si>
  <si>
    <t>General Electric Corporation|c|;;;;</t>
  </si>
  <si>
    <t>Multi-Source Data Analysis Challenges</t>
  </si>
  <si>
    <t>10.1109/VISUAL.1998.745353</t>
  </si>
  <si>
    <t>http://dx.doi.org/10.1109/VISUAL.1998.745353</t>
  </si>
  <si>
    <t>Samuel P. Uselton;Lloyd Treinish;James P. Ahrens;E. Wes Bethel;Andrei State</t>
  </si>
  <si>
    <t>University of North Carolina at Chapel Hill|c|;;;;</t>
  </si>
  <si>
    <t>Key Problems and Thorny Issues in Multidimensional Visualization</t>
  </si>
  <si>
    <t>10.1109/VISUAL.1998.745354</t>
  </si>
  <si>
    <t>http://dx.doi.org/10.1109/VISUAL.1998.745354</t>
  </si>
  <si>
    <t>Georges G. Grinstein;Sharon J. Laskowski;Alfred Inselberg</t>
  </si>
  <si>
    <t>University of Massachusetts Lowell|c|;;</t>
  </si>
  <si>
    <t>Art and Visualization: Oil and Water?</t>
  </si>
  <si>
    <t>10.1109/VISUAL.1998.745355</t>
  </si>
  <si>
    <t>http://dx.doi.org/10.1109/VISUAL.1998.745355</t>
  </si>
  <si>
    <t>David H. Laidlaw;David Kremers;Felica Frankel;Victoria Interrante;Thomas F. Banchoff</t>
  </si>
  <si>
    <t>University of Minnesota Computer Scientist|c|;;;;</t>
  </si>
  <si>
    <t>Interactive ray tracing for isosurface rendering</t>
  </si>
  <si>
    <t>10.1109/VISUAL.1998.745713</t>
  </si>
  <si>
    <t>http://dx.doi.org/10.1109/VISUAL.1998.745713</t>
  </si>
  <si>
    <t>Steven G. Parker;Peter Shirley;Yarden Livnat;Charles D. Hansen;Peter-Pike J. Sloan</t>
  </si>
  <si>
    <t>Dept. of Comput. Sci., Utah Univ., Salt Lake City, UT, USA|c|;;;;</t>
  </si>
  <si>
    <t>10.1109/VISUAL.1997.663888;10.1109/VISUAL.1994.346331;10.1109/VISUAL.1994.346320;10.1109/VISUAL.1995.485154;10.1109/VISUAL.1998.745300</t>
  </si>
  <si>
    <t>Cluster and calendar based visualization of time series data</t>
  </si>
  <si>
    <t>10.1109/INFVIS.1999.801851</t>
  </si>
  <si>
    <t>http://dx.doi.org/10.1109/INFVIS.1999.801851</t>
  </si>
  <si>
    <t>9, 140</t>
  </si>
  <si>
    <t>Jarke J. van Wijk;Edward R. van Selow</t>
  </si>
  <si>
    <t>Dept. of Math. &amp; Comput. Sci., Eindhoven Univ. of Technol., Netherlands|c|;</t>
  </si>
  <si>
    <t>Visualizing application behavior on superscalar processors</t>
  </si>
  <si>
    <t>10.1109/INFVIS.1999.801852</t>
  </si>
  <si>
    <t>http://dx.doi.org/10.1109/INFVIS.1999.801852</t>
  </si>
  <si>
    <t>?</t>
  </si>
  <si>
    <t>sum</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</si>
  <si>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</si>
  <si>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S.K. Lodha;A. Pang;R.E. Sheehan;C.M. Wittenbrink</t>
  </si>
  <si>
    <t>Dept. of Comput. Sci., California Univ., Santa Cruz, CA, USA</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</si>
  <si>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</si>
  <si>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S. Bryson;S. Johan</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</si>
  <si>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</si>
  <si>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C.G. Healey</t>
  </si>
  <si>
    <t>Dept. of Comput. Sci., British Columbia Univ., Vancouver, BC, Canada</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</si>
  <si>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</si>
  <si>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R.A. Crawfis</t>
  </si>
  <si>
    <t>Other sources for this data:</t>
  </si>
  <si>
    <t>https://eagereyes.org/acceptance-rates</t>
  </si>
  <si>
    <t>A method for visualizing unknottedness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we suggest it to be advantageous to use a robust stochastic optimization technique (simulated annealing), rather than a deterministic hill climber common in physically 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</si>
  <si>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Milana Huang;R.P. Grzeszczuk;L.H. Kauffman</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</si>
  <si>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</si>
  <si>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https://github.com/steveharoz/Vis-Acceptance-Rates</t>
  </si>
  <si>
    <t>Han-Wei Shen;C.D. Hansen;Y. Livnat;C.R. Johnson</t>
  </si>
  <si>
    <t>Dept. of Comput. Sci., Utah Univ., Salt Lake City, UT, USA</t>
  </si>
  <si>
    <t>https://docs.google.com/spreadsheets/d/1ueJ2_j9wzsIffp6hOV7L4vqmkBPRMxX7tKYUMFDeXnk/edit#gid=749313039</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</si>
  <si>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curvature. The inferred potential fields are stored in three volumetric grids, giving each voxel the probability of being a surface point, an edge point, and a junction point. Then we use a new model called "winged B snakes", which are deformable triangular NURBS surfaces embedded with active curves, to fit the surfaces and align the edges and junctions. Finally, a smooth C/sup 1/ surface which preserves discontinuity edges and junctions is constructed. Fine tuning and surface fairing is done by adjusting the weights.</t>
  </si>
  <si>
    <t>Song Han;Gérard G. Medioni</t>
  </si>
  <si>
    <t>Song Han;G. Medioni</t>
  </si>
  <si>
    <t>Inst. for Robotics &amp; Intelligent Syst., Univ. of Southern California, Los Angeles, CA, USA</t>
  </si>
  <si>
    <t>unexplained mismatch to eagereyes</t>
  </si>
  <si>
    <t>An isosurface can be efficiently generated by visiting adjacent intersected cells in order, as if the isosurface were propagating itself. We previously proposed an extrema graph method (T. Itoh and K. Koyamada, 1995), which generates a graph connecting extremum points. The isosurface propagation starts from some of the intersected cells that are found both by visiting the cells through which arcs of the graph pass and by visiting the cells on the boundary of a volume.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</si>
  <si>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T. Itoh;Y. Yamaguchi;K. Koyamada</t>
  </si>
  <si>
    <t>Res. Lab., IBM Japan Ltd., Tokyo, Japan</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</si>
  <si>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L/sup /spl infin//-Norm between parameterized surfaces. Furthermore the Hausdorff distance is always less than the distance induced by the L/sup /spl infin//-Norm.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</si>
  <si>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Reinhard Klein;Gunther Liebich;Wolfgang Straßer</t>
  </si>
  <si>
    <t>mismatch to eagereyes due to different counting of short/application/case study papers (we counted full papers and case studies, but not short papers)</t>
  </si>
  <si>
    <t>R. Klein;G. Liebich;W. Strasser</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</si>
  <si>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</si>
  <si>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F. Evans;S. Skiena;A. Varshney</t>
  </si>
  <si>
    <t>State Univ. of New York, Stony Brook, NY, USA</t>
  </si>
  <si>
    <t>Number of publications in the dataset</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</si>
  <si>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</si>
  <si>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J.C. Xia;A. Varshney</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</si>
  <si>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</si>
  <si>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17, 141</t>
  </si>
  <si>
    <t>R. Shekhar;E. Fayyad;R. Yagel;J.F. Cornhill</t>
  </si>
  <si>
    <t>Chris Stolte;Robert Bosch;Pat Hanrahan;Mendel Rosenblum</t>
  </si>
  <si>
    <t>Dept. of Comput. Sci., Stanford Univ., CA, USA|c|;;;</t>
  </si>
  <si>
    <t>Computer systems visualization, visualization systems, superscalar processors</t>
  </si>
  <si>
    <t>Sensemaking of evolving Web sites using visualization spreadsheets</t>
  </si>
  <si>
    <t>10.1109/INFVIS.1999.801853</t>
  </si>
  <si>
    <t>http://dx.doi.org/10.1109/INFVIS.1999.801853</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</si>
  <si>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</si>
  <si>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U. Obeysekare;C. Williams;J. Durbin;L. Rosenblum;R. Rosenberg;F. Grinstein;R. Ramamurti;A. Landsberg;W. Sandberg</t>
  </si>
  <si>
    <t>25, 142</t>
  </si>
  <si>
    <t>Ed Huai-hsin Chi;Stuart K. Card</t>
  </si>
  <si>
    <t>10.1109/INFVIS.1995.528691;10.1109/INFVIS.1995.528689;10.1109/INFVIS.1995.528686;10.1109/INFVIS.1998.729560;10.1109/VISUAL.1993.398870;10.1109/INFVIS.1995.528692</t>
  </si>
  <si>
    <t>Information visualization, Spreadsheet, Sensemaking, World Wide Web, Information ecologies, Log file analysis</t>
  </si>
  <si>
    <t>Does animation help users build mental maps of spatial information?</t>
  </si>
  <si>
    <t>10.1109/INFVIS.1999.801854</t>
  </si>
  <si>
    <t>http://dx.doi.org/10.1109/INFVIS.1999.801854</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</si>
  <si>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</si>
  <si>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D. Rossiter;Wai-Yin Ng</t>
  </si>
  <si>
    <t>Dept. of Inf. Eng., Chinese Univ. of Hong Kong, Shatin, Hong Kong</t>
  </si>
  <si>
    <t>Benjamin B. Bederson;Angela Boltman</t>
  </si>
  <si>
    <t>Evaluation, animation, real-time computer graphics, Zoomable User Interfaces (ZUIs), multiscale interfaces, Pad++</t>
  </si>
  <si>
    <t>Evaluating a visualisation of image similarity as a tool for image browsing</t>
  </si>
  <si>
    <t>10.1109/INFVIS.1999.801855</t>
  </si>
  <si>
    <t>http://dx.doi.org/10.1109/INFVIS.1999.801855</t>
  </si>
  <si>
    <t>The definition of consonance as the ability to resolve a sound into the pitch categories is introduced. For a vector space of chords a norm is used to evaluate the consonance linearly in dependence of the instrument used. It is shown that in the corresponding Hilbert space the chords which usually appear together in a conventional musical piece are recognized in terms of "closeness".</t>
  </si>
  <si>
    <t>F. Sobieczky</t>
  </si>
  <si>
    <t>43, 143</t>
  </si>
  <si>
    <t>Kerry Rodden;Wojciech Basalaj;David Sinclair;Kenneth R. Wood</t>
  </si>
  <si>
    <t>Comput. Lab., Cambridge Univ., UK|c|;;;</t>
  </si>
  <si>
    <t>Domain analysis: a technique to design a user-centered visualization framework</t>
  </si>
  <si>
    <t>10.1109/INFVIS.1999.801856</t>
  </si>
  <si>
    <t>http://dx.doi.org/10.1109/INFVIS.1999.801856</t>
  </si>
  <si>
    <t>52, 144</t>
  </si>
  <si>
    <t>Octavio Juarez Espinosa;Chris Hendrickson;James H. Garrett Jr.</t>
  </si>
  <si>
    <t>Dept. of Civil &amp; Environ. Eng., Carnegie Mellon Univ., Pittsburgh, PA, USA|c|;;</t>
  </si>
  <si>
    <t>10.1109/INFVIS.1996.559210;10.1109/VISUAL.1991.175815</t>
  </si>
  <si>
    <t>Visualization framework, Life-Cycle Assessment, user tasks, computer-human interaction, domain analysis, economic input-output</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</si>
  <si>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</si>
  <si>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A.D. Kalvin;A. Remy;O. Ardito;K. Morla;E. Nolasco;J. Prado;R. Franco;A. Murga;G. Wiese</t>
  </si>
  <si>
    <t>A framework for focus+context visualization</t>
  </si>
  <si>
    <t>10.1109/INFVIS.1999.801857</t>
  </si>
  <si>
    <t>http://dx.doi.org/10.1109/INFVIS.1999.801857</t>
  </si>
  <si>
    <t>56, 145</t>
  </si>
  <si>
    <t>Staffan Bj̦rk;Lars Erik Holmquist;Johan Redstr̦m</t>
  </si>
  <si>
    <t>Viktoria Inst., Sweden|c|;;</t>
  </si>
  <si>
    <t>10.1109/INFVIS.1997.636786;10.1109/INFVIS.1998.729558</t>
  </si>
  <si>
    <t>In researching the communication mechanisms between cells of the immune system, visualization of proteins in three dimensions can be used to determine which proteins are capable of interacting with one another at a given time by showing their spatial colocality. Volume data sets are created using digital confocal immunofluorescence microscopy. A variety of visualization approaches are then used to examine the interactions. These include volume rendering, isosurface extraction, and virtual reality. Based on our experiences, we have concluded that no single one of these approaches provides a complete solution for visualizing biological data. However, in combination, their respective strengths complement one another to provide an understanding of the data.</t>
  </si>
  <si>
    <t>Focus+context visualization, information visualization, fisheye views, formal methods, theory</t>
  </si>
  <si>
    <t>Colin R. F. Monks;Patricia Crossno;George S. Davidson;Constantine J. Pavlakos;Abraham Kupfer;Cláudio T. Silva;Brian N. Wylie</t>
  </si>
  <si>
    <t>C.R.F. Monks;P.J. Crossno;G. Davidson;C. Pavlakos;A. Kupfer;C. Silva;B. Wylie</t>
  </si>
  <si>
    <t>Dept. of Pediatrics, Nat. Jewish Center for Immunology &amp; Respiratory Med., USA</t>
  </si>
  <si>
    <t>Navigating hierarchies with structure-based brushes</t>
  </si>
  <si>
    <t>10.1109/INFVIS.1999.801858</t>
  </si>
  <si>
    <t>http://dx.doi.org/10.1109/INFVIS.1999.801858</t>
  </si>
  <si>
    <t>64, 146</t>
  </si>
  <si>
    <t>Ying-Huey Fua;Matthew O. Ward;Elke A. Rundensteiner</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</si>
  <si>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</si>
  <si>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K.J. Zuiderveld;P.M.A. van Ooijen;J.W.C. Chin-A-Woeng;P.C. Buijs;M. Olree;F.H. Posti</t>
  </si>
  <si>
    <t>Inst. of Med. Image Sci., Univ. Hospital Utrecht, Netherlands</t>
  </si>
  <si>
    <t>Dept. of Comput. Sci., Worcester Polytech. Inst., MA, USA|c|;;</t>
  </si>
  <si>
    <t>10.1109/VISUAL.1990.146402;10.1109/INFVIS.1996.559216;10.1109/VISUAL.1995.485139;10.1109/VISUAL.1994.346302;10.1109/VISUAL.1999.809866;10.1109/VISUAL.1996.567800;10.1109/VISUAL.1991.175815;10.1109/INFVIS.1998.729555</t>
  </si>
  <si>
    <t>Brushing, hierarchical representation, interactive selection, exploratory data analysis</t>
  </si>
  <si>
    <t>Dynamic hierarchy specification and visualization</t>
  </si>
  <si>
    <t>10.1109/INFVIS.1999.801859</t>
  </si>
  <si>
    <t>http://dx.doi.org/10.1109/INFVIS.1999.801859</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</si>
  <si>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</si>
  <si>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V. Pandit;R. McDermott;G. Lazzi;C. Furse;O. Gandhi</t>
  </si>
  <si>
    <t>Dept. of Electr. Eng., Utah Univ., Salt Lake City, UT, USA</t>
  </si>
  <si>
    <t>Richard M. Wilson 0002;R. Daniel Bergeron</t>
  </si>
  <si>
    <t>10.1109/INFVIS.1995.528689;10.1109/INFVIS.1998.729555;10.1109/VISUAL.1991.175815</t>
  </si>
  <si>
    <t>Cushion treemaps: visualization of hierarchical information</t>
  </si>
  <si>
    <t>10.1109/INFVIS.1999.801860</t>
  </si>
  <si>
    <t>http://dx.doi.org/10.1109/INFVIS.1999.801860</t>
  </si>
  <si>
    <t>78, 147</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</si>
  <si>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</si>
  <si>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Georgios Sakas;Michael G. Vicker;Peter Jörg Plath</t>
  </si>
  <si>
    <t>Jarke J. van Wijk;Huub van de Wetering</t>
  </si>
  <si>
    <t>G. Sakas;M.G. Vicker;P.J. Plath</t>
  </si>
  <si>
    <t>Fraunhofer-Inst. for Comput. Graphics, Darmstadt, Germany</t>
  </si>
  <si>
    <t>Information Visualization, Tree Visualization, Treemaps</t>
  </si>
  <si>
    <t>3D interactive visualization for inter-cell dependencies of spreadsheets</t>
  </si>
  <si>
    <t>10.1109/INFVIS.1999.801861</t>
  </si>
  <si>
    <t>http://dx.doi.org/10.1109/INFVIS.1999.801861</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</si>
  <si>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</si>
  <si>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82, 148</t>
  </si>
  <si>
    <t>M. Roth;R. Peikert</t>
  </si>
  <si>
    <t>Hidekazu Shiozawa;Ken-ichi Okada;Yutaka Matsushita</t>
  </si>
  <si>
    <t>Swiss Center for Sci. Comput., Eidgenossische Tech. Hochschule, Zurich, Switzerland</t>
  </si>
  <si>
    <t>Dept. of Inf. &amp; Comput. Sci., Keio Univ., Yokohama, Japan|c|;;</t>
  </si>
  <si>
    <t>information visualization, 3D user interfaces, spreadsheets, inter-cell dependencies, lifting-up operation, Natto View</t>
  </si>
  <si>
    <t>Efficient multi-object dynamic query histograms</t>
  </si>
  <si>
    <t>10.1109/INFVIS.1999.801862</t>
  </si>
  <si>
    <t>http://dx.doi.org/10.1109/INFVIS.1999.801862</t>
  </si>
  <si>
    <t>Mark Derthick;James Harrison;Andrew Moore;Steven F. Roth</t>
  </si>
  <si>
    <t>Carnegie Mellon Univ., Pittsburgh, PA, USA|c|;;;</t>
  </si>
  <si>
    <t>Dynamic Query, Database, Probabilistic Algorithms</t>
  </si>
  <si>
    <t>Aggregate Towers: scale sensitive visualization and decluttering of geospatial data</t>
  </si>
  <si>
    <t>10.1109/INFVIS.1999.801863</t>
  </si>
  <si>
    <t>http://dx.doi.org/10.1109/INFVIS.1999.801863</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</si>
  <si>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</si>
  <si>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A. Trott;R. Moorhead;J. McGinley</t>
  </si>
  <si>
    <t>NSF Eng. Res. Center for CFS, Mississippi State Univ., MS, USA</t>
  </si>
  <si>
    <t>99, 149</t>
  </si>
  <si>
    <t>James K. Rayson</t>
  </si>
  <si>
    <t>Mitre Corp., Bedford, MA, USA|c|</t>
  </si>
  <si>
    <t>10.1109/VISUAL.1998.745301;10.1109/INFVIS.1995.528684</t>
  </si>
  <si>
    <t>data visualization, information visualization, aggregation, zoom, cartography</t>
  </si>
  <si>
    <t>VisageWeb: visualizing WWW data in Visage</t>
  </si>
  <si>
    <t>10.1109/INFVIS.1999.801864</t>
  </si>
  <si>
    <t>http://dx.doi.org/10.1109/INFVIS.1999.801864</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</si>
  <si>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</si>
  <si>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E. Boring;A. Pang</t>
  </si>
  <si>
    <t>107, 150</t>
  </si>
  <si>
    <t>Michael Higgins;Peter Lucas 0002;Jeffrey Senn</t>
  </si>
  <si>
    <t>MAYA Design Group Inc., Pittsburgh, PA, USA|c|;;</t>
  </si>
  <si>
    <t>World Wide Web, Information Visualization, User Interface</t>
  </si>
  <si>
    <t>The automated multidimensional detective</t>
  </si>
  <si>
    <t>10.1109/INFVIS.1999.801865</t>
  </si>
  <si>
    <t>http://dx.doi.org/10.1109/INFVIS.1999.801865</t>
  </si>
  <si>
    <t>119, 151</t>
  </si>
  <si>
    <t>Alfred Inselberg;Tova Avidan</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</si>
  <si>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</si>
  <si>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Dept. of Comput. Sci., Tel Aviv Univ., Israel|c|;</t>
  </si>
  <si>
    <t>J. Trapp;H.-G. Pagendarm</t>
  </si>
  <si>
    <t>DLR, German Aerosp. Res. Establ., Gottingen, Germany</t>
  </si>
  <si>
    <t>Visualizing association rules for text mining</t>
  </si>
  <si>
    <t>10.1109/INFVIS.1999.801866</t>
  </si>
  <si>
    <t>http://dx.doi.org/10.1109/INFVIS.1999.801866</t>
  </si>
  <si>
    <t>123, 152</t>
  </si>
  <si>
    <t>Pak Chung Wong;Paul Whitney;James J. Thomas</t>
  </si>
  <si>
    <t>Pacific Northwest Lab., Richland, WA, USA|c|;;</t>
  </si>
  <si>
    <t>10.1109/INFVIS.1998.729565;10.1109/VISUAL.1998.745302;10.1109/INFVIS.1998.729570;10.1109/INFVIS.1995.528686;10.1109/INFVIS.1997.636791</t>
  </si>
  <si>
    <t>A Java-based visual mining infrastructure and applications</t>
  </si>
  <si>
    <t>10.1109/INFVIS.1999.801867</t>
  </si>
  <si>
    <t>http://dx.doi.org/10.1109/INFVIS.1999.801867</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</si>
  <si>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</si>
  <si>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J. Hagedorn;H. Rushmeier;J. Blendell;M. Vaudin</t>
  </si>
  <si>
    <t>Comput. &amp; Appl. Math. Lab., Nat. Inst. of Stand. &amp; Technol., Gaithersburg, MD, USA</t>
  </si>
  <si>
    <t>127, 153</t>
  </si>
  <si>
    <t>Ming C. Hao;Umeshwar Dayal;Meichun Hsu;Jim Baker;Bob Deletto</t>
  </si>
  <si>
    <t>Hewlett Packard Res. Labs., USA|c|;;;;</t>
  </si>
  <si>
    <t>10.1109/VISUAL.1998.745301;10.1109/VISUAL.1993.398870</t>
  </si>
  <si>
    <t>The sunflower visual metaphor, a new paradigm for dimensional compression</t>
  </si>
  <si>
    <t>10.1109/INFVIS.1999.801868</t>
  </si>
  <si>
    <t>http://dx.doi.org/10.1109/INFVIS.1999.801868</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</si>
  <si>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</si>
  <si>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Stuart J. Rose</t>
  </si>
  <si>
    <t>Dept. of Manage. Inf. Syst., Arizona Univ., Tucson, AZ, USA|c|</t>
  </si>
  <si>
    <t>S.C. Lu;A.B. Rebello;D.H. Cui;R. Yagel;R.A. Miller;G.L. Kinzel</t>
  </si>
  <si>
    <t>10.1109/INFVIS.1998.729569;10.1109/INFVIS.1996.559228;10.1109/INFVIS.1998.729570;10.1109/INFVIS.1998.729559</t>
  </si>
  <si>
    <t>Center for Die Casting, Ohio State Univ., Columbus, OH, USA</t>
  </si>
  <si>
    <t>information visualization, text visualization, visualization, knowledge management, information retrieval</t>
  </si>
  <si>
    <t>Constellation: a visualization tool for linguistic queries from MindNet</t>
  </si>
  <si>
    <t>10.1109/INFVIS.1999.801869</t>
  </si>
  <si>
    <t>http://dx.doi.org/10.1109/INFVIS.1999.801869</t>
  </si>
  <si>
    <t>135, 154</t>
  </si>
  <si>
    <t>Tamara Munzner;Fran̤ois Guimbreti̬re;George G. Robertson</t>
  </si>
  <si>
    <t>Stanford Univ., CA, USA|c|;;</t>
  </si>
  <si>
    <t>Progressive Compression of Arbitrary Triangular Meshes</t>
  </si>
  <si>
    <t>10.1109/VIS.1999.10000</t>
  </si>
  <si>
    <t>http://doi.ieeecomputersociety.org/10.1109/VIS.1999.10000</t>
  </si>
  <si>
    <t>In many mechanical design-related activities, the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</si>
  <si>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Daniel Cohen-Or;David Levin;Offir Remez</t>
  </si>
  <si>
    <t>compression, streaming, progressive meshes, simplification</t>
  </si>
  <si>
    <t>Construction of vector field hierarchies</t>
  </si>
  <si>
    <t>10.1109/VISUAL.1999.809863</t>
  </si>
  <si>
    <t>http://dx.doi.org/10.1109/VISUAL.1999.809863</t>
  </si>
  <si>
    <t>25, 505</t>
  </si>
  <si>
    <t>Bj��rn Heckel;Gunther H. Weber;Bernd Hamann;Kenneth I. Joy</t>
  </si>
  <si>
    <t>Dept. of Comput. Sci., California Univ., Davis, CA, USA|c|;;;</t>
  </si>
  <si>
    <t>10.1109/VISUAL.1997.663871;10.1109/VISUAL.1998.745318</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</si>
  <si>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</si>
  <si>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vector field visualization, Hardy's multiquadric method, binary-space partitioning, data simplification</t>
  </si>
  <si>
    <t>J.S. Painter;H.-P. Bunge;Y. Livnat</t>
  </si>
  <si>
    <t>Adv. Comput. Lab., Los Alamos Nat. Lab., NM, USA</t>
  </si>
  <si>
    <t>Large field visualization with demand-driven calculation</t>
  </si>
  <si>
    <t>10.1109/VISUAL.1999.809864</t>
  </si>
  <si>
    <t>http://dx.doi.org/10.1109/VISUAL.1999.809864</t>
  </si>
  <si>
    <t>Patrick J. Moran;Chris Henze</t>
  </si>
  <si>
    <t>MRI Technol. Solutions, NASA Ames Res. Center, Moffett Field, CA, USA|c|;</t>
  </si>
  <si>
    <t>10.1109/VISUAL.1992.235219;10.1109/VISUAL.1997.663888;10.1109/VISUAL.1996.568115;10.1109/VISUAL.1994.346311;10.1109/VISUAL.1993.398860;10.1109/VISUAL.1990.146360;10.1109/VISUAL.1997.663898;10.1109/VISUAL.1995.480821</t>
  </si>
  <si>
    <t>large scale visualization, scientific visualization, interactive visualization, demand-driven evaluation, lazy evaluation, interpreted systems, Python</t>
  </si>
  <si>
    <t>Simplified representation of vector fields</t>
  </si>
  <si>
    <t>10.1109/VISUAL.1999.809865</t>
  </si>
  <si>
    <t>http://dx.doi.org/10.1109/VISUAL.1999.809865</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</si>
  <si>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</si>
  <si>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Yingcai Xiao;J.P. Ziebarth;C. Woodbury;E. Bayer;B. Rundell;J. van der Zijp</t>
  </si>
  <si>
    <t>Dept. of Math., Akron Univ., OH, USA</t>
  </si>
  <si>
    <t>Alexandru Telea;Jarke J. van Wijk</t>
  </si>
  <si>
    <t>Eindhoven Univ. of Technol., Netherlands|c|;</t>
  </si>
  <si>
    <t>10.1109/VISUAL.1995.480817;10.1109/VISUAL.1994.346327;10.1109/VISUAL.1991.175789</t>
  </si>
  <si>
    <t>Flow Visualization, Simplification, Clustering</t>
  </si>
  <si>
    <t>Hierarchical parallel coordinates for exploration of large datasets</t>
  </si>
  <si>
    <t>10.1109/VISUAL.1999.809866</t>
  </si>
  <si>
    <t>http://dx.doi.org/10.1109/VISUAL.1999.809866</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</si>
  <si>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</si>
  <si>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A.B. Forgang;B. Hamann;C.F. Cerco</t>
  </si>
  <si>
    <t>Dept. of Comput. Eng., California Univ., Davis, CA, USA</t>
  </si>
  <si>
    <t>10.1109/VISUAL.1994.346302;10.1109/INFVIS.1999.801858;10.1109/VISUAL.1996.567800;10.1109/VISUAL.1995.485140;10.1109/VISUAL.1990.146386;10.1109/VISUAL.1990.146402;10.1109/INFVIS.1998.729556;10.1109/VISUAL.1995.485139</t>
  </si>
  <si>
    <t>Large-scale multivariate data visualization, hierarchical data exploration, parallel coordinates</t>
  </si>
  <si>
    <t>Tetrahedral Mesh Compression with the Cut-Border Machine</t>
  </si>
  <si>
    <t>10.1109/VISUAL.1999.809868</t>
  </si>
  <si>
    <t>http://doi.ieeecomputersociety.org/10.1109/VISUAL.1999.809868</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</si>
  <si>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</si>
  <si>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D.C. Banks;B. Hamann;Po-Yu Tsai;R. Moorhead;J. Barlow</t>
  </si>
  <si>
    <t>NSF Eng. Res. Center, Mississippi State Univ., MS, USA</t>
  </si>
  <si>
    <t>Stefan Gumhold;Stefan Guthe;Wolfgang Stra��er</t>
  </si>
  <si>
    <t>WSI/GRIS University of T�_bingen</t>
  </si>
  <si>
    <t>10.1109/VISUAL.1998.745329;10.1109/VISUAL.1997.663869</t>
  </si>
  <si>
    <t>New quadric metric for simplifying meshes with appearance attributes</t>
  </si>
  <si>
    <t>10.1109/VISUAL.1999.809869</t>
  </si>
  <si>
    <t>http://dx.doi.org/10.1109/VISUAL.1999.809869</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</si>
  <si>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</si>
  <si>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M. Sheelagh T. Carpendale;A. Fall;D.J. Cowperthwaite;J. Fall;F.D. Fracchia</t>
  </si>
  <si>
    <t>10.1109/VISUAL.1998.745312;10.1109/VISUAL.1998.745285;10.1109/VISUAL.1998.745314;10.1109/VISUAL.1997.663908</t>
  </si>
  <si>
    <t>level of detail, mesh decimation, multiresolution</t>
  </si>
  <si>
    <t>Efficient compression of non-manifold polygonal meshes</t>
  </si>
  <si>
    <t>10.1109/VISUAL.1999.809870</t>
  </si>
  <si>
    <t>http://dx.doi.org/10.1109/VISUAL.1999.809870</t>
  </si>
  <si>
    <t>Andr̩ Gu̩ziec;Frank Bossen;Gabriel Taubin;Cl��udio T. Silva</t>
  </si>
  <si>
    <t>Multigen Paradigm, San Jose, CA, USA|c|;;;</t>
  </si>
  <si>
    <t>10.1109/VISUAL.1997.663902;10.1109/VISUAL.1998.745327</t>
  </si>
  <si>
    <t>Polygonal Mesh, Geometry Compression, Non-Manifold, Stitching</t>
  </si>
  <si>
    <t>Image graphs-a novel approach to visual data exploration</t>
  </si>
  <si>
    <t>10.1109/VISUAL.1999.809871</t>
  </si>
  <si>
    <t>http://dx.doi.org/10.1109/VISUAL.1999.809871</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</si>
  <si>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</si>
  <si>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S. Nations;O.M. Smedstad;R. Moorhead;K. Gaither;S. Aukstakalnis;R. Vickery;W.C. Couvillion;D.N. Fox;P. Flynn;A. Wallcraft;P. Hogan</t>
  </si>
  <si>
    <t>Mississippi State Univ., MS, USA</t>
  </si>
  <si>
    <t>Kwan-Liu Ma</t>
  </si>
  <si>
    <t>10.1109/VISUAL.1995.480821;10.1109/VISUAL.1996.568113</t>
  </si>
  <si>
    <t>knowledge representations, scientific visualization, visualization systems, volume rendering</t>
  </si>
  <si>
    <t>Forward image mapping</t>
  </si>
  <si>
    <t>10.1109/VISUAL.1999.809872</t>
  </si>
  <si>
    <t>http://dx.doi.org/10.1109/VISUAL.1999.809872</t>
  </si>
  <si>
    <t>Baoquan Chen;Frank Dachille;Arie E. Kaufman</t>
  </si>
  <si>
    <t>image warping, forward mapping, texture mapping, antialiasing, anisotropic filtering, Gouraud shading, hardware</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</si>
  <si>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</si>
  <si>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Structured spatial domain image and data comparison metrics</t>
  </si>
  <si>
    <t>10.1109/VISUAL.1999.809873</t>
  </si>
  <si>
    <t>J.J. van Wijk;H.J.W. Spoelder;W.-J. Knibbe;K.E. Shahroudi</t>
  </si>
  <si>
    <t>http://dx.doi.org/10.1109/VISUAL.1999.809873</t>
  </si>
  <si>
    <t>Netherlands Energy Res. Found., Petten, Netherlands</t>
  </si>
  <si>
    <t>Nivedita Sahasrabudhe;John E. West;Raghu Machiraju;Mark Janus</t>
  </si>
  <si>
    <t>10.1109/VISUAL.1997.663848;10.1109/VISUAL.1990.146360</t>
  </si>
  <si>
    <t>metrics, steering, rendering, correlation measure</t>
  </si>
  <si>
    <t>Feature Comparisons Of 3-D Vector Fields Using Earth Mover's Distance</t>
  </si>
  <si>
    <t>10.1109/VISUAL.1999.809874</t>
  </si>
  <si>
    <t>Rajesh Batra;Lambertus Hesselink</t>
  </si>
  <si>
    <t>10.1109/VISUAL.1998.745291;10.1109/VISUAL.1998.745332</t>
  </si>
  <si>
    <t>Rendering on a budget: a framework for time-critical rendering</t>
  </si>
  <si>
    <t>10.1109/VISUAL.1999.809875</t>
  </si>
  <si>
    <t>http://dx.doi.org/10.1109/VISUAL.1999.809875</t>
  </si>
  <si>
    <t>James T. Klosowski;Cl��udio T. Silva</t>
  </si>
  <si>
    <t>Polygon rendering, visibility ordering, occlusion culling</t>
  </si>
  <si>
    <t>R. Shahidi;B. Lorensen;R. Kikinis;J. Flynn;A. Kaufman;S. Napel</t>
  </si>
  <si>
    <t>Time-critical Multiresolution Scene Rendering</t>
  </si>
  <si>
    <t>10.1109/VISUAL.1999.809876</t>
  </si>
  <si>
    <t>http://doi.ieeecomputersociety.org/10.1109/VISUAL.1999.809876</t>
  </si>
  <si>
    <t>Stanford University Medical Center</t>
  </si>
  <si>
    <t>Enrico Gobbetti;Eric Bouvier</t>
  </si>
  <si>
    <t>CRS4, Center for Advanced Studies, Research and Development in Sardinia</t>
  </si>
  <si>
    <t>10.1109/VISUAL.1996.568126;10.1109/VISUAL.1998.745282</t>
  </si>
  <si>
    <t>multiresolution modeling,level of detail,adaptive rendering, time-critical graphics</t>
  </si>
  <si>
    <t>Skip Strips: maintaining triangle strips for view-dependent rendering</t>
  </si>
  <si>
    <t>10.1109/VISUAL.1999.809877</t>
  </si>
  <si>
    <t>http://dx.doi.org/10.1109/VISUAL.1999.809877</t>
  </si>
  <si>
    <t>Hanspeter Pfister;Günter Knittel;Jürgen Hesser;John C. Goble</t>
  </si>
  <si>
    <t>A. Kaufman;H. Pfister;G. Knittel;J. Hesser;J.C. Goble</t>
  </si>
  <si>
    <t>SUNY at Stony Brook</t>
  </si>
  <si>
    <t>Jihad El-Sana;Elvir Azanli;Amitabh Varshney</t>
  </si>
  <si>
    <t>Dept. of Math. &amp; Comput. Sci., Ben-Gurion Univ. of the Negev, Beer-Sheva, Israel|c|;;</t>
  </si>
  <si>
    <t>10.1109/VISUAL.1996.568125;10.1109/VISUAL.1998.745314;10.1109/VISUAL.1997.663902;10.1109/VISUAL.1998.745283;10.1109/VISUAL.1995.480805</t>
  </si>
  <si>
    <t>Isosurface extraction techniques for Web-based volume visualization</t>
  </si>
  <si>
    <t>10.1109/VISUAL.1999.809878</t>
  </si>
  <si>
    <t>http://dx.doi.org/10.1109/VISUAL.1999.809878</t>
  </si>
  <si>
    <t>Klaus Engel;R�_diger Westermann;Thomas Ertl</t>
  </si>
  <si>
    <t>Stuttgart Univ., Germany|c|;;</t>
  </si>
  <si>
    <t>10.1109/VISUAL.1997.663891;10.1109/VISUAL.1996.568121;10.1109/VISUAL.1995.480806;10.1109/VISUAL.1991.175782;10.1109/VISUAL.1998.745300;10.1109/VISUAL.1996.568127</t>
  </si>
  <si>
    <t>Volume visualization, Isosurface reconstruction, Distributed Systems, Web-based Applications</t>
  </si>
  <si>
    <t>Isosurface extraction in time-varying fields using a Temporal Branch-on-Need Tree (T-BON)</t>
  </si>
  <si>
    <t>10.1109/VISUAL.1999.809879</t>
  </si>
  <si>
    <t>http://dx.doi.org/10.1109/VISUAL.1999.809879</t>
  </si>
  <si>
    <t>G. Grinstein;G. Piatetsky-Shapiro;G. Wills</t>
  </si>
  <si>
    <t>University of Massachusetts at Lowell and The MITRE Corporation</t>
  </si>
  <si>
    <t>Philip M. Sutton;Charles D. Hansen</t>
  </si>
  <si>
    <t>10.1109/VISUAL.1998.745343;10.1109/VISUAL.1996.568121;10.1109/VISUAL.1998.745299;10.1109/VISUAL.1998.745298;10.1109/VISUAL.1997.663895;10.1109/VISUAL.1997.663888;10.1109/VISUAL.1996.568133;10.1109/VISUAL.1996.568123;10.1109/VISUAL.1998.745350;10.1109/VISUAL.1998.745311;10.1109/VISUAL.1995.485154;10.1109/VISUAL.1997.663913</t>
  </si>
  <si>
    <t>isosurface, time-dependent scalar field visualization, multiresolution methods, octree</t>
  </si>
  <si>
    <t>Interactive lens visualization techniques</t>
  </si>
  <si>
    <t>10.1109/VISUAL.1999.809882</t>
  </si>
  <si>
    <t>http://dx.doi.org/10.1109/VISUAL.1999.809882</t>
  </si>
  <si>
    <t>David Banks;George Francis;Andrew J. Hanson;Loki Jörgenson</t>
  </si>
  <si>
    <t>T. Munzner;D. Banks;G. Francis;A.J. Hanson;L. Jorgenson</t>
  </si>
  <si>
    <t>Stanford University (co-organizer)</t>
  </si>
  <si>
    <t>Chris Shaw 0002;James A. Hall;David S. Ebert;D. Aaron Roberts</t>
  </si>
  <si>
    <t>Regina Univ., Sask., Canada|c|;;;</t>
  </si>
  <si>
    <t>10.1109/VISUAL.1995.485141;10.1109/VISUAL.1996.568109</t>
  </si>
  <si>
    <t>Volumetric Data, Glyphs, Two-Handed Interfaces, Interactive Volume Rendering, Contour Diagrams, Stereoscopic Field Analyzer SFA, Seed Fill, Over Blending</t>
  </si>
  <si>
    <t>Multi-projector displays using camera-based registration</t>
  </si>
  <si>
    <t>10.1109/VISUAL.1999.809883</t>
  </si>
  <si>
    <t>http://dx.doi.org/10.1109/VISUAL.1999.809883</t>
  </si>
  <si>
    <t>N.D. Gershon;N. Gershon;R. Braham;D. Fracchia;A. Glassner;B. Mones-Hattal;R. Rose</t>
  </si>
  <si>
    <t>The MITRE Corporation</t>
  </si>
  <si>
    <t>1997</t>
  </si>
  <si>
    <t>Ramesh Raskar;Michael S. Brown;Ruigang Yang;Wei-Chao Chen;Greg Welch;Herman Towles;W. Brent Seales;Henry Fuchs</t>
  </si>
  <si>
    <t>Dept. of Comput. Sci., North Carolina Univ., Chapel Hill, NC, USA|c|;;;;;;;</t>
  </si>
  <si>
    <t>display, projection, spatially immersive display, panoramic image display, virtual environments, intensity blending, image-based modeling, depth, calibration, auto-calibration, structured light, camera-based registration</t>
  </si>
  <si>
    <t>Exploring geo-scientific data in virtual environments</t>
  </si>
  <si>
    <t>10.1109/VISUAL.1999.809884</t>
  </si>
  <si>
    <t>http://dx.doi.org/10.1109/VISUAL.1999.809884</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</si>
  <si>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</si>
  <si>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T. Munzner</t>
  </si>
  <si>
    <t>Bernd Fr̦hlich 0001;Stephen Barrass;Bj̦rn Zehner;John Plate;Martin G̦bel</t>
  </si>
  <si>
    <t>GMD German Nat. Res. Center for Inf. Technol., Germany|c|;;;;</t>
  </si>
  <si>
    <t>10.1109/VISUAL.1998.745317;10.1109/VISUAL.1991.175771</t>
  </si>
  <si>
    <t>Animating wrinkles on clothes</t>
  </si>
  <si>
    <t>10.1109/VISUAL.1999.809885</t>
  </si>
  <si>
    <t>http://dx.doi.org/10.1109/VISUAL.1999.809885</t>
  </si>
  <si>
    <t>Sunil Hadap;Endre Bangerter;Pascal Volino;Nadia Magnenat-Thalmann</t>
  </si>
  <si>
    <t>Geneva Univ., Switzerland|c|;;;</t>
  </si>
  <si>
    <t>clothmodeling,wrinklemodeling,deformablemodels</t>
  </si>
  <si>
    <t>Hue-balls and lit-tensors for direct volume rendering of diffusion tensor fields</t>
  </si>
  <si>
    <t>10.1109/VISUAL.1999.809886</t>
  </si>
  <si>
    <t>http://dx.doi.org/10.1109/VISUAL.1999.809886</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</si>
  <si>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</si>
  <si>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M.H. Gross;T.C. Sprenger;J. Finger</t>
  </si>
  <si>
    <t>Dept. of Comput. Sci., Zurich Univ., Switzerland</t>
  </si>
  <si>
    <t>Gordon L. Kindlmann;David M. Weinstein</t>
  </si>
  <si>
    <t>10.1109/VISUAL.1990.146373;10.1109/VISUAL.1992.235193;10.1109/VISUAL.1996.567777;10.1109/VISUAL.1998.745294</t>
  </si>
  <si>
    <t>Mixing translucent polygons with volumes</t>
  </si>
  <si>
    <t>10.1109/VISUAL.1999.809887</t>
  </si>
  <si>
    <t>http://dx.doi.org/10.1109/VISUAL.1999.809887</t>
  </si>
  <si>
    <t>Kevin Kreeger;Arie E. Kaufman</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</si>
  <si>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</si>
  <si>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Mixing polygons and volumes, Translucent Polygon Rendering, Volume rendering, Ray casting, Voxelization</t>
  </si>
  <si>
    <t>E.H.-H. Chi;P. Barry;J. Riedl;J. Konstan</t>
  </si>
  <si>
    <t>Multi-resolution multi-field ray tracing: a mathematical overview</t>
  </si>
  <si>
    <t>Dept. of Comput. Sci., Minnesota Univ., Minneapolis, MN, USA</t>
  </si>
  <si>
    <t>10.1109/VISUAL.1999.809888</t>
  </si>
  <si>
    <t>http://dx.doi.org/10.1109/VISUAL.1999.809888</t>
  </si>
  <si>
    <t>Charidimos E. Gasparakis</t>
  </si>
  <si>
    <t>Mitsubishi Electr. Inf. Technol. Center, USA|c|</t>
  </si>
  <si>
    <t>Enabling Classification and Shading for 3D Texture Mapping based Volume Rendering using OpenGL and Extensions</t>
  </si>
  <si>
    <t>10.1109/VISUAL.1999.809889</t>
  </si>
  <si>
    <t>http://dx.doi.org/10.1109/VISUAL.1999.809889</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</si>
  <si>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</si>
  <si>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T. Teraoka;M. Maruyama</t>
  </si>
  <si>
    <t>Adv. Technol. R&amp;D Center, Mitsubishi Electr. Corp., Amagasaki, Japan</t>
  </si>
  <si>
    <t>Michael Mei��ner;Ulrich Hoffmann;Wolfgang Stra��er</t>
  </si>
  <si>
    <t>Comput. Graphics Lab., Tubingen Univ., Germany|c|;;</t>
  </si>
  <si>
    <t>Volume Rendering, 3D Texture Mapping, Rectilinear Grid, Shading, Classification, OpenGL</t>
  </si>
  <si>
    <t>A distributed graphics system for large tiled displays</t>
  </si>
  <si>
    <t>10.1109/VISUAL.1999.809890</t>
  </si>
  <si>
    <t>http://dx.doi.org/10.1109/VISUAL.1999.809890</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</si>
  <si>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</si>
  <si>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M.C. Chuah;S.G. Eick</t>
  </si>
  <si>
    <t>Greg Humphreys;Pat Hanrahan</t>
  </si>
  <si>
    <t>Dept. of Comput. Sci., Stanford Univ., CA, USA|c|;</t>
  </si>
  <si>
    <t>A multi-threaded streaming pipeline architecture for large structured data sets</t>
  </si>
  <si>
    <t>10.1109/VISUAL.1999.809891</t>
  </si>
  <si>
    <t>http://dx.doi.org/10.1109/VISUAL.1999.809891</t>
  </si>
  <si>
    <t>C. Charles Law;Ken Martin;William J. Schroeder;Joshua Temkin</t>
  </si>
  <si>
    <t>Kitware Inc., USA|c|;;;</t>
  </si>
  <si>
    <t>10.1109/VISUAL.1997.663895;10.1109/VISUAL.1997.663888;10.1109/VISUAL.1998.745299;10.1109/VISUAL.1998.745297;10.1109/VISUAL.1997.663910</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</si>
  <si>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</si>
  <si>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Margaret-Anne D. Storey;Kenny Wong;F. David Fracchia;Hausi A. Müller</t>
  </si>
  <si>
    <t>Interactive exploration of volume line integral convolution based on 3D-texture mapping</t>
  </si>
  <si>
    <t>M.-A.D. Storey;K. Wong;F.D. Fracchia;H.A. Muller</t>
  </si>
  <si>
    <t>10.1109/VISUAL.1999.809892</t>
  </si>
  <si>
    <t>http://dx.doi.org/10.1109/VISUAL.1999.809892</t>
  </si>
  <si>
    <t>Christof Rezk-Salama;Peter Hastreiter;Christian Teitzel;Thomas Ertl</t>
  </si>
  <si>
    <t>Comput. Graphics Group, Erlangen-Nurnberg Univ., Germany|c|;;;</t>
  </si>
  <si>
    <t>10.1109/VISUAL.1993.398877;10.1109/VISUAL.1993.398846;10.1109/VISUAL.1995.485141;10.1109/VISUAL.1994.346313;10.1109/VISUAL.1994.346314;10.1109/VISUAL.1990.146391;10.1109/VISUAL.1997.663898;10.1109/VISUAL.1997.663897;10.1109/VISUAL.1997.663899</t>
  </si>
  <si>
    <t>Flow Visualization, Animated LIC, Direct Volume Rendering, 3D-Textures Mapping, Interactive Volume Exploration</t>
  </si>
  <si>
    <t>A framework for assisted exploration with collaboration</t>
  </si>
  <si>
    <t>10.1109/VISUAL.1999.809893</t>
  </si>
  <si>
    <t>http://dx.doi.org/10.1109/VISUAL.1999.809893</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</si>
  <si>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</si>
  <si>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S.P. Reiss</t>
  </si>
  <si>
    <t>Dept. of Comput. Sci., Brown Univ., Providence, RI, USA</t>
  </si>
  <si>
    <t>Eric A. Wernert;Andrew J. Hanson</t>
  </si>
  <si>
    <t>10.1109/VISUAL.1998.745326;10.1109/VISUAL.1997.663876</t>
  </si>
  <si>
    <t>wayfinding, locomotion, navigation, exploration, collaboration, virtual reality, VRML</t>
  </si>
  <si>
    <t>Tensorlines: Advection-Diffusion based Propagation through Diffusion Tensor Fields</t>
  </si>
  <si>
    <t>10.1109/VISUAL.1999.809894</t>
  </si>
  <si>
    <t>http://dx.doi.org/10.1109/VISUAL.1999.809894</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</si>
  <si>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</si>
  <si>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</si>
  <si>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T. Tenev;R. Rao</t>
  </si>
  <si>
    <t>Xerox Palo Alto Res. Center, CA, USA</t>
  </si>
  <si>
    <t>David M. Weinstein;Gordon L. Kindlmann;Eric C. Lundberg</t>
  </si>
  <si>
    <t>Center for Scientific Computing and Imaging, Department of Computer Science, University of Utah</t>
  </si>
  <si>
    <t>10.1109/VISUAL.1993.398849;10.1109/VISUAL.1991.175789;10.1109/VISUAL.1992.235193;10.1109/VISUAL.1995.485141;10.1109/VISUAL.1998.745294;10.1109/VISUAL.1999.809886</t>
  </si>
  <si>
    <t>Visualizing Planar Vector Fields with Normal Component Using Line Integral Convolution</t>
  </si>
  <si>
    <t>10.1109/VISUAL.1999.809895</t>
  </si>
  <si>
    <t>http://doi.ieeecomputersociety.org/10.1109/VISUAL.1999.809895</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</si>
  <si>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</si>
  <si>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M. Derthick;S.F. Roth;J. Kolojejchick</t>
  </si>
  <si>
    <t>Robotics Inst., Carnegie Mellon Univ., Pittsburgh, PA, USA</t>
  </si>
  <si>
    <t>Gerik Scheuermann;Holger Burbach;Hans Hagen</t>
  </si>
  <si>
    <t>Department of Computer Science, University of Kaiserslautern, Germany</t>
  </si>
  <si>
    <t>10.1109/VISUAL.1994.346312;10.1109/VISUAL.1994.346313;10.1109/VISUAL.1990.146360;10.1109/VISUAL.1998.745324</t>
  </si>
  <si>
    <t>LIC, vector field visualization, deformation</t>
  </si>
  <si>
    <t>The "Parallel Vectors" operator-a vector field visualization primitive</t>
  </si>
  <si>
    <t>10.1109/VISUAL.1999.809896</t>
  </si>
  <si>
    <t>http://dx.doi.org/10.1109/VISUAL.1999.809896</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</si>
  <si>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</si>
  <si>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D. Brodbeck;M. Chalmers;A. Lunzer;P. Cotture</t>
  </si>
  <si>
    <t>Ubilab, UBS, Zurich, Switzerland</t>
  </si>
  <si>
    <t>Ronald Peikert;Martin Roth</t>
  </si>
  <si>
    <t>Dept. of Comput. Sci., ETH Zurich, Switzerland|c|;</t>
  </si>
  <si>
    <t>10.1109/VISUAL.1998.745290;10.1109/VISUAL.1996.568137;10.1109/VISUAL.1998.745296;10.1109/VISUAL.1995.480795;10.1109/VISUAL.1994.346327;10.1109/VISUAL.1997.663894;10.1109/VISUAL.1998.745297;10.1109/VISUAL.1996.567807</t>
  </si>
  <si>
    <t>C1-interpolation for vector field topology visualization</t>
  </si>
  <si>
    <t>10.1109/VISUAL.1999.809897</t>
  </si>
  <si>
    <t>http://dx.doi.org/10.1109/VISUAL.1999.809897</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</si>
  <si>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</si>
  <si>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E. Tanin;R. Beigel;B. Shneiderman</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</si>
  <si>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</si>
  <si>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B.G. Becker</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</si>
  <si>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</si>
  <si>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S.K. Card;J. Mackinlay</t>
  </si>
  <si>
    <t>Gerik Scheuermann;Xavier Tricoche;Hans Hagen</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</si>
  <si>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</si>
  <si>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Dept. of Comput. Sci., Kaiserslautern Univ., Germany|c|;;</t>
  </si>
  <si>
    <t>10.1109/VISUAL.1991.175773;10.1109/VISUAL.1998.745284;10.1109/VISUAL.1998.745296</t>
  </si>
  <si>
    <t>A. Inselberg</t>
  </si>
  <si>
    <t>vector field visualization, topology, critical point theory, C1-interpolation</t>
  </si>
  <si>
    <t>Dept. of Comput. Sci., Tel Aviv Univ., Israel</t>
  </si>
  <si>
    <t>Optimal triangular Haar bases for spherical data</t>
  </si>
  <si>
    <t>10.1109/VISUAL.1999.809898</t>
  </si>
  <si>
    <t>http://dx.doi.org/10.1109/VISUAL.1999.809898</t>
  </si>
  <si>
    <t>Georges-Pierre Bonneau</t>
  </si>
  <si>
    <t>CNRS, France|c|</t>
  </si>
  <si>
    <t>visualization, multiresolution, wavelets, orthogonality</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</si>
  <si>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</si>
  <si>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R. Brath</t>
  </si>
  <si>
    <t>Visible Decision Inc., Toronto, Ont., Canada</t>
  </si>
  <si>
    <t>Cracking the cracking problem with Coons patches</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</si>
  <si>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</si>
  <si>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10.1109/VISUAL.1999.809899</t>
  </si>
  <si>
    <t>Torsten Möller;Raghu Machiraju;Klaus Mueller;Roni Yagel</t>
  </si>
  <si>
    <t>T. Moller;R. Machiraju;K. Mueller;R. Yagel</t>
  </si>
  <si>
    <t>http://dx.doi.org/10.1109/VISUAL.1999.809899</t>
  </si>
  <si>
    <t>Gregory M. Nielson;Dave J. Holliday;Tom Roxborough</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</si>
  <si>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</si>
  <si>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10.1109/VISUAL.1998.745328;10.1109/VISUAL.1997.663860</t>
  </si>
  <si>
    <t>Taosong He;A. Kaufman</t>
  </si>
  <si>
    <t>LOD-sprite technique for accelerated terrain rendering</t>
  </si>
  <si>
    <t>10.1109/VISUAL.1999.809900</t>
  </si>
  <si>
    <t>http://dx.doi.org/10.1109/VISUAL.1999.809900</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</si>
  <si>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</si>
  <si>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Rüdiger Westermann;Thomas Ertl</t>
  </si>
  <si>
    <t>R. Westermann;T. Ertl</t>
  </si>
  <si>
    <t>Comput. Graphics Group, Erlangen-Nurnberg Univ., Germany</t>
  </si>
  <si>
    <t>Baoquan Chen;J. Edward Swan;Eddy Kuo;Arie E. Kaufman</t>
  </si>
  <si>
    <t>State Univ. of New York, Stony Brook, NY, USA|c|;;;</t>
  </si>
  <si>
    <t>10.1109/VISUAL.1998.745344;10.1109/VISUAL.1996.567774;10.1109/VISUAL.1998.745282</t>
  </si>
  <si>
    <t>Image-Based Modeling and Rendering,Texture Mapping, Acceleration Techniques, Multi-Resolution, Level of Detail, Terrain Rendering, Virtual Reality, Virtual Environments</t>
  </si>
  <si>
    <t>Implant sprays: compression of progressive tetrahedral mesh connectivity</t>
  </si>
  <si>
    <t>10.1109/VISUAL.1999.809901</t>
  </si>
  <si>
    <t>http://dx.doi.org/10.1109/VISUAL.1999.809901</t>
  </si>
  <si>
    <t>Renato Pajarola;Jarek Rossignac;Andrzej Szymczak</t>
  </si>
  <si>
    <t>Graphics, Visualization &amp; Usability Center, Georgia Inst. of Technol., Atlanta, GA, USA|c|;;</t>
  </si>
  <si>
    <t>10.1109/VISUAL.1998.745315;10.1109/VISUAL.1998.745329</t>
  </si>
  <si>
    <t>tetrahedral meshes, compression, multiresolution models, progressive incremental reconstruction</t>
  </si>
  <si>
    <t>Progressive compression and transmission of arbitrary triangular meshes</t>
  </si>
  <si>
    <t>10.1109/VISUAL.1999.809902</t>
  </si>
  <si>
    <t>http://dx.doi.org/10.1109/VISUAL.1999.809902</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</si>
  <si>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</si>
  <si>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Chandrajit L. Bajaj;Valerio Pascucci;Guozhong Zhuang</t>
  </si>
  <si>
    <t>R.C. Tam;C.G. Healey;B. Flak;P. Cahoon</t>
  </si>
  <si>
    <t>10.1109/VISUAL.1998.745283;10.1109/VISUAL.1997.663883</t>
  </si>
  <si>
    <t>Spiraling Edge: fast surface reconstruction from partially organized sample points</t>
  </si>
  <si>
    <t>10.1109/VISUAL.1999.809903</t>
  </si>
  <si>
    <t>http://dx.doi.org/10.1109/VISUAL.1999.809903</t>
  </si>
  <si>
    <t>Sandia Nat. Labs., CA, USA|c|;</t>
  </si>
  <si>
    <t>10.1109/VISUAL.1997.663930;10.1109/VISUAL.1998.745286</t>
  </si>
  <si>
    <t>Surface reconstruction, advancing front, triangulation</t>
  </si>
  <si>
    <t>Anisotropic nonlinear diffusion in flow visualization</t>
  </si>
  <si>
    <t>10.1109/VISUAL.1999.809904</t>
  </si>
  <si>
    <t>http://dx.doi.org/10.1109/VISUAL.1999.809904</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</si>
  <si>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</si>
  <si>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Tobias Preu��er;Martin Rumpf</t>
  </si>
  <si>
    <t>Inst. fur Angewandte Math., Bonn Univ., Germany|c|;</t>
  </si>
  <si>
    <t>C.R. Volpe;E.P. Glinert</t>
  </si>
  <si>
    <t>GE Corp. Res. &amp; Dev., Schenectady, NY, USA</t>
  </si>
  <si>
    <t>10.1109/VISUAL.1993.398875;10.1109/VISUAL.1995.480817;10.1109/VISUAL.1994.346312;10.1109/VISUAL.1997.663912;10.1109/VISUAL.1996.567784;10.1109/VISUAL.1997.663898</t>
  </si>
  <si>
    <t>flow visualization, multiscale, nonlinear diffusion, segmentation</t>
  </si>
  <si>
    <t>Visualizing Multivalued Data from 2D Incompressible Flows Using Concepts from Painting</t>
  </si>
  <si>
    <t>10.1109/VISUAL.1999.809905</t>
  </si>
  <si>
    <t>http://dx.doi.org/10.1109/VISUAL.1999.809905</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</si>
  <si>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</si>
  <si>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Yingmei Lavin;Y. Levy;L. Hesselink</t>
  </si>
  <si>
    <t>Dept. of Phys., Stanford Univ., CA, USA</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</si>
  <si>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</si>
  <si>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Gerik Scheuermann;Hans Hagen;Heinz Krüger;Martin Menzel;Alyn P. Rockwood</t>
  </si>
  <si>
    <t>G. Scheuermann;H. Hagen;H. Kruger;M. Menzel;A. Rockwood</t>
  </si>
  <si>
    <t>Dept. of Comput. Sci., Kaiserslautern Univ., Germany</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</si>
  <si>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</si>
  <si>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Fraunhofer Inst. for Comput. Graphics, Germany</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</si>
  <si>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</si>
  <si>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M. Duchaineau;M. Wolinsky;D.E. Sigeti;M.C. Miller;C. Aldrich;M.B. Mineev-Weinstein</t>
  </si>
  <si>
    <t>Robert Michael Kirby;H. Marmanis;David H. Laidlaw</t>
  </si>
  <si>
    <t>Div. of Appl. Math., Brown Univ., Providence, RI, USA|c|;;</t>
  </si>
  <si>
    <t>PLIC: bridging the gap between streamlines and LIC</t>
  </si>
  <si>
    <t>10.1109/VISUAL.1999.809906</t>
  </si>
  <si>
    <t>http://dx.doi.org/10.1109/VISUAL.1999.809906</t>
  </si>
  <si>
    <t>Vivek Verma;David L. Kao;Alex T. Pang</t>
  </si>
  <si>
    <t>Dept. of Comput. Sci., California Univ., Santa Cruz, CA, USA|c|;;</t>
  </si>
  <si>
    <t>10.1109/VISUAL.1996.567784;10.1109/VISUAL.1997.663899;10.1109/VISUAL.1997.663898;10.1109/VISUAL.1994.346313;10.1109/VISUAL.1998.745332;10.1109/VISUAL.1998.745324;10.1109/VISUAL.1996.568116</t>
  </si>
  <si>
    <t>unsteady flow, variable speed animation, jitter, texture mapping, comparative visualization</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</si>
  <si>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</si>
  <si>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Collapsing Flow Topology Using Area Metrics</t>
  </si>
  <si>
    <t>10.1109/VISUAL.1999.809907</t>
  </si>
  <si>
    <t>D. Clark;M. Bailey</t>
  </si>
  <si>
    <t>http://doi.ieeecomputersociety.org/10.1109/VISUAL.1999.809907</t>
  </si>
  <si>
    <t>California Univ., San Diego, La Jolla, CA, USA</t>
  </si>
  <si>
    <t>Center for Mathematics and Computer Science, Amsterdam, Netherlands</t>
  </si>
  <si>
    <t>multi-level visualization techniques, flow visualization, flow topology</t>
  </si>
  <si>
    <t>Multiresolution Techniques for Interactive Texture-based Volume Visualization</t>
  </si>
  <si>
    <t>10.1109/VISUAL.1999.809908</t>
  </si>
  <si>
    <t>http://doi.ieeecomputersociety.org/10.1109/VISUAL.1999.809908</t>
  </si>
  <si>
    <t>Eric LaMar;Bernd Hamann;Kenneth I. Joy</t>
  </si>
  <si>
    <t>multiresolution rendering, volume visualization, hardware texture</t>
  </si>
  <si>
    <t>Splatting without the blur</t>
  </si>
  <si>
    <t>10.1109/VISUAL.1999.809909</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</si>
  <si>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</si>
  <si>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http://dx.doi.org/10.1109/VISUAL.1999.809909</t>
  </si>
  <si>
    <t>B. Rabinovich;C. Gotsman</t>
  </si>
  <si>
    <t>Dept. of Comput. Sci., Technion-Israel Inst. of Technol., Haifa, Israel</t>
  </si>
  <si>
    <t>Klaus Mueller;Torsten M̦ller;Roger Crawfis</t>
  </si>
  <si>
    <t>10.1109/VISUAL.1998.745713;10.1109/VISUAL.1998.745311;10.1109/VISUAL.1996.567608;10.1109/VISUAL.1997.663848;10.1109/VISUAL.1998.745309;10.1109/VISUAL.1993.398877;10.1109/VISUAL.1994.346340</t>
  </si>
  <si>
    <t>A fast volume rendering algorithm for time-varying fields using a time-space partitioning (TSP) tree</t>
  </si>
  <si>
    <t>10.1109/VISUAL.1999.809910</t>
  </si>
  <si>
    <t>http://dx.doi.org/10.1109/VISUAL.1999.809910</t>
  </si>
  <si>
    <t>Han-Wei Shen;Ling-Jan Chiang;Kwan-Liu Ma</t>
  </si>
  <si>
    <t>MRJ Technol. Solutions, NASA Ames Res. Center, Moffett Field, CA, USA|c|;;</t>
  </si>
  <si>
    <t>10.1109/VISUAL.1998.745713;10.1109/VISUAL.1997.663888;10.1109/VISUAL.1996.567609;10.1109/VISUAL.1998.745298;10.1109/VISUAL.1995.480809</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</si>
  <si>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</si>
  <si>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scalar field visualization, volume visualization, volume rendering, time-varying fields</t>
  </si>
  <si>
    <t>L. De Fioriani;P. Magillo;E. Puppo</t>
  </si>
  <si>
    <t>High performance presence-accelerated ray casting</t>
  </si>
  <si>
    <t>Dipt. di Inf. e Sci. dell'Inf., Genoa Univ., Italy</t>
  </si>
  <si>
    <t>10.1109/VISUAL.1999.809911</t>
  </si>
  <si>
    <t>http://dx.doi.org/10.1109/VISUAL.1999.809911</t>
  </si>
  <si>
    <t>Ming Wan;Arie E. Kaufman;Steve Bryson</t>
  </si>
  <si>
    <t>10.1109/VISUAL.1994.346319;10.1109/VISUAL.1990.146377;10.1109/VISUAL.1999.809914;10.1109/VISUAL.1992.235231;10.1109/VISUAL.1998.745713</t>
  </si>
  <si>
    <t>Volume rendering, presence acceleration, run-length encoding, projection template, multiresolution volumes, interactive classification, parallel processing</t>
  </si>
  <si>
    <t>Interactive exploration of extra- and interacranial blood vessels</t>
  </si>
  <si>
    <t>10.1109/VISUAL.1999.809912</t>
  </si>
  <si>
    <t>http://dx.doi.org/10.1109/VISUAL.1999.809912</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</si>
  <si>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</si>
  <si>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Dirk Bartz;Wolfgang Stra��er;Martin Skalej;Dorothea Welte</t>
  </si>
  <si>
    <t>Wilhelm-Schickard-Inst. fur Inf., Tubingen Univ., Germany|c|;;;</t>
  </si>
  <si>
    <t>10.1109/VISUAL.1998.745337;10.1109/VISUAL.1997.663915</t>
  </si>
  <si>
    <t>Digital design of a surgical simulator for interventional MR imaging</t>
  </si>
  <si>
    <t>10.1109/VISUAL.1999.809913</t>
  </si>
  <si>
    <t>http://dx.doi.org/10.1109/VISUAL.1999.809913</t>
  </si>
  <si>
    <t>Terry S. Yoo;Penny Rheingans</t>
  </si>
  <si>
    <t>Nat. Libr. of Med., Bethesda, MD, USA|c|;</t>
  </si>
  <si>
    <t>10.1109/VISUAL.1998.745337;10.1109/VISUAL.1998.745336</t>
  </si>
  <si>
    <t>Volume rendering based interactive navigation within the human colon</t>
  </si>
  <si>
    <t>10.1109/VISUAL.1999.809914</t>
  </si>
  <si>
    <t>http://dx.doi.org/10.1109/VISUAL.1999.809914</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</si>
  <si>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L/sub n//sup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</si>
  <si>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Ming Wan;Qingyu Tang;Arie E. Kaufman;Zhengrong Liang;Mark Wax</t>
  </si>
  <si>
    <t>Rainer Wegenkittl;Helwig Löffelmann;M. Eduard Gröller</t>
  </si>
  <si>
    <t>10.1109/VISUAL.1999.809911;10.1109/VISUAL.1997.663915;10.1109/VISUAL.1998.745713;10.1109/VISUAL.1993.398852</t>
  </si>
  <si>
    <t>R. Wegenkittl;H. Loffelmann;E. Groller</t>
  </si>
  <si>
    <t>Inst. of Comput. Graphics, Wien Univ. of Technol., Austria</t>
  </si>
  <si>
    <t>A computer animation representing the molecular events of G protein-coupled receptor activation</t>
  </si>
  <si>
    <t>10.1109/VISUAL.1999.809915</t>
  </si>
  <si>
    <t>http://dx.doi.org/10.1109/VISUAL.1999.809915</t>
  </si>
  <si>
    <t>Zoya Maslak;Douglas J. Steel;Robert J. McDermott</t>
  </si>
  <si>
    <t>Dept. of Art, Utah Univ., Salt Lake City, UT, USA|c|;;</t>
  </si>
  <si>
    <t>Visualizing gridded datasets with large number of missing values</t>
  </si>
  <si>
    <t>10.1109/VISUAL.1999.809916</t>
  </si>
  <si>
    <t>http://dx.doi.org/10.1109/VISUAL.1999.809916</t>
  </si>
  <si>
    <t>Suzana Djurcilov;Alex T. Pang</t>
  </si>
  <si>
    <t>Detecting vortical phenomena in vector data by medium-scale correlation</t>
  </si>
  <si>
    <t>10.1109/VISUAL.1999.809917</t>
  </si>
  <si>
    <t>http://dx.doi.org/10.1109/VISUAL.1999.809917</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</si>
  <si>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</si>
  <si>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J. Assa;D. Cohen-Or;T. Milo</t>
  </si>
  <si>
    <t>Hans-Georg Pagendarm;B. Henne;M. Rutten</t>
  </si>
  <si>
    <t>DLR, Gottingen, Germany|c|;;</t>
  </si>
  <si>
    <t>10.1109/VISUAL.1993.398849;10.1109/VISUAL.1997.663910;10.1109/VISUAL.1994.346327;10.1109/VISUAL.1996.568137</t>
  </si>
  <si>
    <t>Interactive visualization of fluid dynamics simulations in locally refined cartesian grids</t>
  </si>
  <si>
    <t>10.1109/VISUAL.1999.809918</t>
  </si>
  <si>
    <t>http://dx.doi.org/10.1109/VISUAL.1999.809918</t>
  </si>
  <si>
    <t>Martin Schulz 0005;Frank Reck;Wolf Bartelheimer;Thomas Ertl</t>
  </si>
  <si>
    <t>;;;</t>
  </si>
  <si>
    <t>Visual debugging of visualization software: a case study for particle systems</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</si>
  <si>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</si>
  <si>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10.1109/VISUAL.1999.809919</t>
  </si>
  <si>
    <t>http://dx.doi.org/10.1109/VISUAL.1999.809919</t>
  </si>
  <si>
    <t>Yong Zhou;Baoquan Chen;A. Kaufman</t>
  </si>
  <si>
    <t>Center for Visual Comput., State Univ. of New York, Stony Brook, NY, USA</t>
  </si>
  <si>
    <t>10.1109/VISUAL.1996.568120;10.1109/VISUAL.1997.663930</t>
  </si>
  <si>
    <t>DELTA's Virtual Physics Laboratory: a comprehensive learning platform on physics and astronomy</t>
  </si>
  <si>
    <t>10.1109/VISUAL.1999.809920</t>
  </si>
  <si>
    <t>http://dx.doi.org/10.1109/VISUAL.1999.809920</t>
  </si>
  <si>
    <t>Sepideh Chakaveh;Udo Zlender;Detlef Skaley;Konstantinos Fostiropoulos;Dieter Breitschwerdt</t>
  </si>
  <si>
    <t>IMK-DELTA, Nat. Res. Center for Inf. Technol., St. Augustin, Germany|c|;;;;</t>
  </si>
  <si>
    <t>VizCraft: a multidimensional visualization tool for aircraft configuration design</t>
  </si>
  <si>
    <t>10.1109/VISUAL.1999.809921</t>
  </si>
  <si>
    <t>http://dx.doi.org/10.1109/VISUAL.1999.809921</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</si>
  <si>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</si>
  <si>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G.M. Nielson;Il-Hong Jung;Junwon Sung</t>
  </si>
  <si>
    <t>Dept. of Comput. Sci. &amp; Eng., Arizona State Univ., Tempe, AZ, USA</t>
  </si>
  <si>
    <t>Amit Goel;Chuck Baker;Clifford A. Shaffer;Bernard Grossman;Raphael T. Haftka;William H. Mason;Layne T. Watson</t>
  </si>
  <si>
    <t>Dept. of Comput. Sci., Virginia Polytech. Inst. &amp; State Univ., Blacksburg, VA, USA|c|;;;;;;</t>
  </si>
  <si>
    <t>10.1109/VISUAL.1995.485139;10.1109/VISUAL.1998.745351;10.1109/INFVIS.1997.636793;10.1109/INFVIS.1998.729559;10.1109/VISUAL.1996.567800</t>
  </si>
  <si>
    <t>Design and implementation of an immersive geoscience toolkit</t>
  </si>
  <si>
    <t>10.1109/VISUAL.1999.809922</t>
  </si>
  <si>
    <t>http://dx.doi.org/10.1109/VISUAL.1999.809922</t>
  </si>
  <si>
    <t>Christophe Winkler;Fabien Bosquet;Xavier Cavin;Jean-Claude Paul</t>
  </si>
  <si>
    <t>Inst. Nat. de Recherche en Inf. et Autom., Nancy, France|c|;;;</t>
  </si>
  <si>
    <t>Visualization of conflicts and resolutions in a "Free Flight" scenario</t>
  </si>
  <si>
    <t>10.1109/VISUAL.1999.809923</t>
  </si>
  <si>
    <t>http://dx.doi.org/10.1109/VISUAL.1999.809923</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</si>
  <si>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</si>
  <si>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Zhifan Zhu;R. Machiraju;B. Fry;R. Moorhead</t>
  </si>
  <si>
    <t>NSF Eng. Res. Center for Comput. Field Simulation, Mississippi State Univ., MS, USA</t>
  </si>
  <si>
    <t>Ronald Azuma;Howard Neely;Michael J. Daily;Mario Correa</t>
  </si>
  <si>
    <t>HRL Labs., USA|c|;;;</t>
  </si>
  <si>
    <t>Real-time visualization of scalably large collections of heterogeneous objects</t>
  </si>
  <si>
    <t>10.1109/VISUAL.1999.809924</t>
  </si>
  <si>
    <t>http://dx.doi.org/10.1109/VISUAL.1999.809924</t>
  </si>
  <si>
    <t>Douglass Davis;William Ribarsky;Tian-Yue Jiang;Nickolas Faust;Sean Ho</t>
  </si>
  <si>
    <t>GVU Center, Georgia Inst. of Technol., Atlanta, GA, USA|c|;;;;</t>
  </si>
  <si>
    <t>10.1109/VISUAL.1998.745342;10.1109/VISUAL.1997.663888;10.1109/VISUAL.1998.745299</t>
  </si>
  <si>
    <t>Geo-spatial visualization for situational awareness</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</si>
  <si>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(p&amp;lt;0.001) about feature shape and relative positions using the dynamic representation, on average forty-five percent more. The differences between static and dynamic representations were greater in the presence of noise.</t>
  </si>
  <si>
    <t>10.1109/VISUAL.1999.809925</t>
  </si>
  <si>
    <t>http://dx.doi.org/10.1109/VISUAL.1999.809925</t>
  </si>
  <si>
    <t>Dept. of Comput. &amp; Inf. Sci., Mississippi Univ., MS, USA</t>
  </si>
  <si>
    <t>Eliot Feibush;Nikhil Gagvani;Daniel Williams</t>
  </si>
  <si>
    <t>Sarnoff Corp., Princeton, NJ, USA|c|;;</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</si>
  <si>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</si>
  <si>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C.L. Bajaj;V. Pascucci;D.R. Schikore</t>
  </si>
  <si>
    <t>Shastra Lab., Purdue Univ., West Lafayette, IN, USA</t>
  </si>
  <si>
    <t>Whole field modelling. Effective real-time and post-survey visualization of underwater pipelines</t>
  </si>
  <si>
    <t>10.1109/VISUAL.1999.809926</t>
  </si>
  <si>
    <t>http://dx.doi.org/10.1109/VISUAL.1999.809926</t>
  </si>
  <si>
    <t>Paul Chapman;Derek Wills;Peter Stevens;Graham R. Brookes</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</si>
  <si>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</si>
  <si>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A.J. Hanson;E.A. Wernert</t>
  </si>
  <si>
    <t>Visualizing the evolution of a subject domain: a case study</t>
  </si>
  <si>
    <t>10.1109/VISUAL.1999.809927</t>
  </si>
  <si>
    <t>http://dx.doi.org/10.1109/VISUAL.1999.809927</t>
  </si>
  <si>
    <t>Chaomei Chen;Les Carr</t>
  </si>
  <si>
    <t>Dept. of Inf. Syst. &amp; Comput., Brunel Univ., Uxbridge, UK|c|;</t>
  </si>
  <si>
    <t>An interactive framework for visualizing foreign currency exchange options</t>
  </si>
  <si>
    <t>10.1109/VISUAL.1999.809929</t>
  </si>
  <si>
    <t>http://dx.doi.org/10.1109/VISUAL.1999.809929</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</si>
  <si>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</si>
  <si>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M. Brady;K. Jung;H.T. Nguyen;T. Nguyen</t>
  </si>
  <si>
    <t>Microcomput. Res. Labs., Intel Corp., USA</t>
  </si>
  <si>
    <t>Donna L. Gresh;Bernice E. Rogowitz;M. S. Tignor;E. J. Mayland</t>
  </si>
  <si>
    <t>Visualizing large-scale telecommunication networks and services</t>
  </si>
  <si>
    <t>10.1109/VISUAL.1999.809930</t>
  </si>
  <si>
    <t>http://dx.doi.org/10.1109/VISUAL.1999.809930</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</si>
  <si>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</si>
  <si>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J. Freund;K. Sloan</t>
  </si>
  <si>
    <t>Silicon Graphics Inc., USA</t>
  </si>
  <si>
    <t>Eleftherios Koutsofios;Stephen C. North;Russell Truscott;Daniel A. Keim</t>
  </si>
  <si>
    <t>Inf. Visualization Res., AT&amp;T Labs., Florham Park, NJ, USA|c|;;;</t>
  </si>
  <si>
    <t>10.1109/VISUAL.1998.745301;10.1109/INFVIS.1995.528688;10.1109/VISUAL.1991.175794</t>
  </si>
  <si>
    <t>Detecting null alleles with vasarely charts</t>
  </si>
  <si>
    <t>10.1109/VISUAL.1999.809931</t>
  </si>
  <si>
    <t>http://dx.doi.org/10.1109/VISUAL.1999.809931</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</si>
  <si>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</si>
  <si>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J. Edward Swan;Klaus Mueller;Torsten Möller;Naeem Shareef;Roger Crawfis;Roni Yagel</t>
  </si>
  <si>
    <t>J.E. Swan;K. Mueller;T. Moller;N. Shareel;R. Crawfis;R. Yagel</t>
  </si>
  <si>
    <t>Carl Manaster;Elizabeth Nanthakumar;Phillip A. Morin</t>
  </si>
  <si>
    <t>Adv. Comput. Center for the Arts &amp; Design, Ohio State Univ., Columbus, OH, USA</t>
  </si>
  <si>
    <t>Automating transfer function design for comprehensible volume rendering based on 3D field topology analysis</t>
  </si>
  <si>
    <t>10.1109/VISUAL.1999.809932</t>
  </si>
  <si>
    <t>http://dx.doi.org/10.1109/VISUAL.1999.809932</t>
  </si>
  <si>
    <t>Issei Fujishiro;Taeko Azuma;Yuriko Takeshima</t>
  </si>
  <si>
    <t>Accelerating 3D convolution using graphics hardware</t>
  </si>
  <si>
    <t>10.1109/VISUAL.1999.809934</t>
  </si>
  <si>
    <t>http://dx.doi.org/10.1109/VISUAL.1999.809934</t>
  </si>
  <si>
    <t>Triangle decimation techniques reduce the number of triangles in a mesh, typically to improve interactive rendering performance or reduce data storage and transmission requirements. Most of these algorithms are designed to preserve the original topology of the mesh. Unfortunately, this characteristic is a strong limiting factor in overall reduction capability, since objects with a large number of holes or other topological constraints cannot be effectively reduced. The author presents an algorithm that yields a guaranteed reduction level, modifying topology as necessary to achieve the desired result. In addition, the algorithm is based on a fast local decimation technique, and its operations can be encoded for progressive storage, transmission, and reconstruction. He describes the new progressive decimation algorithm, introduces mesh splitting operations and shows how they can be encoded as a progressive mesh. He also demonstrates the utility of the algorithm on models ranging in size from 1,132 to 1.68 million triangles and reduction ratios of up to 200:1.</t>
  </si>
  <si>
    <t>W.J. Schroeder</t>
  </si>
  <si>
    <t>Matthias Hopf;Thomas Ertl</t>
  </si>
  <si>
    <t>Visualization &amp; Interactive Syst. Group, Stuttgart Univ., Germany|c|;</t>
  </si>
  <si>
    <t>10.1109/VISUAL.1998.745321;10.1109/VISUAL.1993.398877</t>
  </si>
  <si>
    <t>Visualizing Simulated Room Fires</t>
  </si>
  <si>
    <t>10.1109/VISUAL.1999.809936</t>
  </si>
  <si>
    <t>http://doi.ieeecomputersociety.org/10.1109/VISUAL.1999.809936</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</si>
  <si>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</si>
  <si>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G. Albertelli;R.A. Crawfis</t>
  </si>
  <si>
    <t>Jayesh Govindarajan;Matthew O. Ward;Jonathan Barnett</t>
  </si>
  <si>
    <t>Computer Science Dept., Worcester Polytechnic Institute, Worcester, MA</t>
  </si>
  <si>
    <t>10.1109/VISUAL.1994.346291;10.1109/VISUAL.1990.146392;10.1109/VISUAL.1993.398899;10.1109/VISUAL.1996.568110;10.1109/VISUAL.1995.480818</t>
  </si>
  <si>
    <t>Why the PC will be the most pervasive visualization platform in 2001</t>
  </si>
  <si>
    <t>10.1109/VISUAL.1999.809938</t>
  </si>
  <si>
    <t>http://dx.doi.org/10.1109/VISUAL.1999.809938</t>
  </si>
  <si>
    <t>Hanspeter Pfister;Michel Cox;Peter N. Glaskowsky;William E. Lorensen;Richard Greco</t>
  </si>
  <si>
    <t>MERL|c|</t>
  </si>
  <si>
    <t>Visualization needs more visual design!</t>
  </si>
  <si>
    <t>10.1109/VISUAL.1999.809939</t>
  </si>
  <si>
    <t>http://dx.doi.org/10.1109/VISUAL.1999.809939</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</si>
  <si>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/spl alpha//spl les/F(x,y,z)/spl les//spl beta/. The authors describe an algorithm for computing a tetrahedrization of a polyhedral approximation to the interval volume.</t>
  </si>
  <si>
    <t>G.M. Nielson;Junwon Sung</t>
  </si>
  <si>
    <t>J. Edward Swan;Theresa-Marie Rhyne;David H. Laidlaw;Tamara Munzner;Victoria Interrante</t>
  </si>
  <si>
    <t>Naval Research Laboratory|c|</t>
  </si>
  <si>
    <t>Automation or interaction: what's best for big data?</t>
  </si>
  <si>
    <t>10.1109/VISUAL.1999.809940</t>
  </si>
  <si>
    <t>http://dx.doi.org/10.1109/VISUAL.1999.809940</t>
  </si>
  <si>
    <t>David N. Kenwright;David C. Banks;Steve Bryson;Robert Haimes;Robert van Liere;Samuel P. Uselton</t>
  </si>
  <si>
    <t>NASA Ames Research Center|c|</t>
  </si>
  <si>
    <t>Using Visualization to Detect Plagiarism in Computer Science Classes</t>
  </si>
  <si>
    <t>10.0000/00000001</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</si>
  <si>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</si>
  <si>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http://dl.acm.org/citation.cfm?id=857699</t>
  </si>
  <si>
    <t>G.M. Nielson;R. Franke</t>
  </si>
  <si>
    <t>Randy L. Ribler;Marc Abrams</t>
  </si>
  <si>
    <t>Lynchburg College, Lynchbury, VA, USA;</t>
  </si>
  <si>
    <t>10.1109/VISUAL.1993.398883;10.1109/VISUAL.1995.480794</t>
  </si>
  <si>
    <t>Polaris: a system for query, analysis and visualization of multi-dimensional relational databases</t>
  </si>
  <si>
    <t>10.1109/INFVIS.2000.885086</t>
  </si>
  <si>
    <t>http://dx.doi.org/10.1109/INFVIS.2000.885086</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</si>
  <si>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</si>
  <si>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M. Cox;D. Ellsworth</t>
  </si>
  <si>
    <t>Chris Stolte;Pat Hanrahan</t>
  </si>
  <si>
    <t>Getting portals to behave</t>
  </si>
  <si>
    <t>10.1109/INFVIS.2000.885087</t>
  </si>
  <si>
    <t>http://dx.doi.org/10.1109/INFVIS.2000.885087</t>
  </si>
  <si>
    <t>Christopher Olston;Allison Woodruff</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</si>
  <si>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</si>
  <si>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Portals, Multiple Views, Data Visualization</t>
  </si>
  <si>
    <t>I. Fujishiro;Y. Takeshima;Y. Ichikawa;K. Nakamura</t>
  </si>
  <si>
    <t>A scalable framework for information visualization</t>
  </si>
  <si>
    <t>10.1109/INFVIS.2000.885088</t>
  </si>
  <si>
    <t>http://dx.doi.org/10.1109/INFVIS.2000.885088</t>
  </si>
  <si>
    <t>Matthias Kreuseler;Norma L�_pez;Heidrun Schumann</t>
  </si>
  <si>
    <t>Dept. of Comput. Sci., Rostock Univ., Germany|c|;;</t>
  </si>
  <si>
    <t>10.1109/VISUAL.1990.146402;10.1109/INFVIS.1997.636759;10.1109/VISUAL.1996.567745;10.1109/VISUAL.1997.663916;10.1109/INFVIS.1995.528686;10.1109/INFVIS.1995.528691;10.1109/INFVIS.1998.729555;10.1109/VISUAL.1991.175815</t>
  </si>
  <si>
    <t>Visualizing massive multi-digraphs</t>
  </si>
  <si>
    <t>10.1109/INFVIS.2000.885089</t>
  </si>
  <si>
    <t>http://dx.doi.org/10.1109/INFVIS.2000.885089</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</si>
  <si>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</si>
  <si>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J. Wood;H. Wright;K. Brodie</t>
  </si>
  <si>
    <t>Sch. of Comput. Studies, Leeds Univ., UK</t>
  </si>
  <si>
    <t>James Abello;Jeffrey L. Korn</t>
  </si>
  <si>
    <t>10.1109/INFVIS.1998.729557;10.1109/VISUAL.1995.480803;10.1109/VISUAL.1993.398870</t>
  </si>
  <si>
    <t>visualization,massive data sets,graphs,hierarchies,out-of-core algorithms</t>
  </si>
  <si>
    <t>Density functions for visual attributes and effective partitioning in graph visualization</t>
  </si>
  <si>
    <t>10.1109/INFVIS.2000.885090</t>
  </si>
  <si>
    <t>http://dx.doi.org/10.1109/INFVIS.2000.885090</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</si>
  <si>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</si>
  <si>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C. Michaels;M. Bailey</t>
  </si>
  <si>
    <t>Ivan Herman;M. Scott Marshall;Guy Melan̤on</t>
  </si>
  <si>
    <t>Dept. of Comput. Sci. &amp; Eng., California Univ., San Diego, La Jolla, CA, USA</t>
  </si>
  <si>
    <t>Centre for Math. &amp; Comput. Sci., Amsterdam, Netherlands|c|;;</t>
  </si>
  <si>
    <t>10.1109/INFVIS.1999.801859;10.1109/VISUAL.1991.175773;10.1109/INFVIS.1999.801858;10.1109/VISUAL.1990.146360</t>
  </si>
  <si>
    <t>graph visualization, graph navigation, metrics, clustering</t>
  </si>
  <si>
    <t>Focus+context display and navigation techniques for enhancing radial, space-filling hierarchy visualizations</t>
  </si>
  <si>
    <t>10.1109/INFVIS.2000.885091</t>
  </si>
  <si>
    <t>http://dx.doi.org/10.1109/INFVIS.2000.885091</t>
  </si>
  <si>
    <t>John T. Stasko;Eugene Zhang</t>
  </si>
  <si>
    <t>GVU Center, Georgia Inst. of Technol., Atlanta, GA, USA|c|;</t>
  </si>
  <si>
    <t>10.1109/INFVIS.1999.801860;10.1109/VISUAL.1992.235217;10.1109/INFVIS.1998.729557;10.1109/VISUAL.1991.175815</t>
  </si>
  <si>
    <t>A taxonomy of visualization techniques using the data state reference model</t>
  </si>
  <si>
    <t>10.1109/INFVIS.2000.885092</t>
  </si>
  <si>
    <t>http://dx.doi.org/10.1109/INFVIS.2000.885092</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</si>
  <si>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</si>
  <si>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Qian Chen;Gérard G. Medioni</t>
  </si>
  <si>
    <t>Qian Chen;G. Medioni</t>
  </si>
  <si>
    <t>Univ. of Southern California, Los Angeles, CA, USA</t>
  </si>
  <si>
    <t>Ed Huai-hsin Chi</t>
  </si>
  <si>
    <t>Xerox Palo Alto Res. Center, CA, USA|c|</t>
  </si>
  <si>
    <t>10.1109/INFVIS.1997.636761;10.1109/INFVIS.1997.636792;10.1109/INFVIS.1998.729560</t>
  </si>
  <si>
    <t>Information Visualization, Data State Model,Reference Model, Taxonomy, Techniques, Operators</t>
  </si>
  <si>
    <t>GADGET/IV: a taxonomic approach to semi-automatic design of information visualization applications using modular visualization environment</t>
  </si>
  <si>
    <t>10.1109/INFVIS.2000.885093</t>
  </si>
  <si>
    <t>http://dx.doi.org/10.1109/INFVIS.2000.885093</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</si>
  <si>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</si>
  <si>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P. Rander;P.J. Narayanan;T. Kanade</t>
  </si>
  <si>
    <t>Issei Fujishiro;Rika Furuhata;Yoshihiko Ichikawa;Yuriko Takeshima</t>
  </si>
  <si>
    <t>10.1109/INFVIS.1997.636788;10.1109/VISUAL.1997.663889;10.1109/INFVIS.1997.636792;10.1109/VISUAL.1990.146375</t>
  </si>
  <si>
    <t>Redefining the focus and context of focus+context visualization</t>
  </si>
  <si>
    <t>10.1109/INFVIS.2000.885094</t>
  </si>
  <si>
    <t>http://dx.doi.org/10.1109/INFVIS.2000.885094</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</si>
  <si>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</si>
  <si>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Kwan-Liu Ma;V. Interrante</t>
  </si>
  <si>
    <t>Staffan Bj̦rk;Johan Redstr̦m</t>
  </si>
  <si>
    <t>Interactive Inst., Gothenburg, Sweden|c|;</t>
  </si>
  <si>
    <t>10.1109/INFVIS.1997.636786;10.1109/INFVIS.1999.801857</t>
  </si>
  <si>
    <t>From metaphor to method: cartographic perspectives on information visualization</t>
  </si>
  <si>
    <t>10.1109/INFVIS.2000.885095</t>
  </si>
  <si>
    <t>http://dx.doi.org/10.1109/INFVIS.2000.885095</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</si>
  <si>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</si>
  <si>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Yi-Jen Chiang;Cláudio T. Silva</t>
  </si>
  <si>
    <t>Yi-Jen Chiang;C.T. Silva</t>
  </si>
  <si>
    <t>Andr̩ Skupin</t>
  </si>
  <si>
    <t>Dept. of Geogr., New Orleans Univ., LA, USA|c|</t>
  </si>
  <si>
    <t>10.1109/INFVIS.1995.528686;10.1109/VISUAL.1992.235198</t>
  </si>
  <si>
    <t>Information content measures of visual displays</t>
  </si>
  <si>
    <t>10.1109/INFVIS.2000.885096</t>
  </si>
  <si>
    <t>http://dx.doi.org/10.1109/INFVIS.2000.885096</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</si>
  <si>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</si>
  <si>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V. Jaswa</t>
  </si>
  <si>
    <t>Nat. Center for Supercomput. Applications, Champaign, IL, USA</t>
  </si>
  <si>
    <t>Julie Yang-Pel��ez;Woodie Flowers</t>
  </si>
  <si>
    <t>Dept. of Mech. Eng., MIT, Cambridge, MA, USA|c|;</t>
  </si>
  <si>
    <t>10.1109/INFVIS.1997.636792;10.1109/INFVIS.1995.528691</t>
  </si>
  <si>
    <t>Visualizing sequential patterns for text mining</t>
  </si>
  <si>
    <t>10.1109/INFVIS.2000.885097</t>
  </si>
  <si>
    <t>http://dx.doi.org/10.1109/INFVIS.2000.885097</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</si>
  <si>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</si>
  <si>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Rainer Wegenkittl;M. Eduard Gröller</t>
  </si>
  <si>
    <t>R. Wegenkittl;E. Groller</t>
  </si>
  <si>
    <t>Pak Chung Wong;Wendy Cowley;Harlan Foote;Elizabeth Jurrus;James J. Thomas</t>
  </si>
  <si>
    <t>Pacific Northwest Lab., Richland, WA, USA|c|;;;;</t>
  </si>
  <si>
    <t>10.1109/INFVIS.1998.729565;10.1109/INFVIS.1998.729570;10.1109/VISUAL.1998.745302;10.1109/INFVIS.1995.528686;10.1109/INFVIS.1999.801866;10.1109/INFVIS.1997.636791</t>
  </si>
  <si>
    <t>ThemeRiver: visualizing theme changes over time</t>
  </si>
  <si>
    <t>10.1109/INFVIS.2000.885098</t>
  </si>
  <si>
    <t>http://dx.doi.org/10.1109/INFVIS.2000.885098</t>
  </si>
  <si>
    <t>Susan L. Havre;Elizabeth G. Hetzler;Lucy T. Nowell</t>
  </si>
  <si>
    <t>Battelle Pacific Northwest Lab., Richland, WA, USA|c|;;</t>
  </si>
  <si>
    <t>10.1109/INFVIS.1995.528686;10.1109/INFVIS.1997.636789;10.1109/INFVIS.1998.729570</t>
  </si>
  <si>
    <t>Lighthouse: showing the way to relevant information</t>
  </si>
  <si>
    <t>10.1109/INFVIS.2000.885099</t>
  </si>
  <si>
    <t>http://dx.doi.org/10.1109/INFVIS.2000.885099</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</si>
  <si>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</si>
  <si>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Han-Wei Shen;D.L. Kao</t>
  </si>
  <si>
    <t>Anton Leuski;James Allan</t>
  </si>
  <si>
    <t>Center for Intelligent Inf. Retrieval, Massachusetts Univ., Amherst, MA, USA|c|;</t>
  </si>
  <si>
    <t>New methods for the visualization of electric power system information</t>
  </si>
  <si>
    <t>10.1109/INFVIS.2000.885101</t>
  </si>
  <si>
    <t>http://dx.doi.org/10.1109/INFVIS.2000.885101</t>
  </si>
  <si>
    <t>16c</t>
  </si>
  <si>
    <t>Thomas J. Overbye;Jamie D. Weber</t>
  </si>
  <si>
    <t>Illinois Univ., Urbana, IL, USA|c|;</t>
  </si>
  <si>
    <t>Collaborative geographic visualization: enabling shared understanding of environmental processes</t>
  </si>
  <si>
    <t>10.1109/INFVIS.2000.885102</t>
  </si>
  <si>
    <t>http://dx.doi.org/10.1109/INFVIS.2000.885102</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</si>
  <si>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</si>
  <si>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B. Jobard;W. Lefer</t>
  </si>
  <si>
    <t>Lab., Calais, France</t>
  </si>
  <si>
    <t>Isaac Brewer;Alan M. MacEachren;Hadi Abdo;Jack Gundrum;George Otto</t>
  </si>
  <si>
    <t>Dept. of Geogr., Penn State Univ., PA, USA|c|;;;;</t>
  </si>
  <si>
    <t>Interactive problem solving via algorithm visualization</t>
  </si>
  <si>
    <t>10.1109/INFVIS.2000.885103</t>
  </si>
  <si>
    <t>http://dx.doi.org/10.1109/INFVIS.2000.885103</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</si>
  <si>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</si>
  <si>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Pearl Pu;Denis Lalanne</t>
  </si>
  <si>
    <t>Dept. of Comput. Sci., Swiss Federal Inst. of Technol., Lausanne, Switzerland|c|;</t>
  </si>
  <si>
    <t>Tzi-Cker Chiueh;Chuan-Kai Yang;Taosong He;H. Pfister;A. Kaufman</t>
  </si>
  <si>
    <t>Metaphor-aware 3D navigation</t>
  </si>
  <si>
    <t>10.1109/INFVIS.2000.885104</t>
  </si>
  <si>
    <t>http://dx.doi.org/10.1109/INFVIS.2000.885104</t>
  </si>
  <si>
    <t>Cristina Russo Dos Santos;Pascal Gros;Pierre Abel;Didier Loisel;N. Trichaud;J. P. Paris</t>
  </si>
  <si>
    <t>Eurecom Inst., Sophia Antipolis, France|c|;;;;;</t>
  </si>
  <si>
    <t>Creativity, complexity, and precision: information visualization for (landscape) architecture</t>
  </si>
  <si>
    <t>10.1109/INFVIS.2000.885105</t>
  </si>
  <si>
    <t>http://dx.doi.org/10.1109/INFVIS.2000.885105</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</si>
  <si>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</si>
  <si>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O.G. Staadt;M.H. Gross;R. Weber</t>
  </si>
  <si>
    <t>Dept. of Comput. Sci., Eidgenossische Tech. Hochschule, Zurich, Switzerland</t>
  </si>
  <si>
    <t>Monika B�_scher;Dan Shapiro;Michael Christensen;Preben Holst Mogensen;Peter ��rb�_k</t>
  </si>
  <si>
    <t>Dept. of Sociology, Lancaster Univ., UK|c|;;;;</t>
  </si>
  <si>
    <t xml:space="preserve">Information visualization, architecture,work materials, context,spatio-temporal order, electronic workspace </t>
  </si>
  <si>
    <t>Extracting regions of interest applying a local watershed transformation</t>
  </si>
  <si>
    <t>10.1109/VISUAL.2000.885672</t>
  </si>
  <si>
    <t>http://dx.doi.org/10.1109/VISUAL.2000.885672</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</si>
  <si>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</si>
  <si>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M.M. Chow</t>
  </si>
  <si>
    <t>MIT, Cambridge, MA, USA</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</si>
  <si>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</si>
  <si>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D.G. Aliaga;A.A. Lastra</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</si>
  <si>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</si>
  <si>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G. Barequet;S. Kumar</t>
  </si>
  <si>
    <t>Dept. of Comput. Sci., Johns Hopkins Univ., Baltimore, MD, USA</t>
  </si>
  <si>
    <t>Stanislav L. Stoev;Wolfgang Stra��er</t>
  </si>
  <si>
    <t>WSI/GRIS, Tubingen Univ., Germany|c|;</t>
  </si>
  <si>
    <t>computer vision, image processing, data visualization, volume visualization, feature extraction, morphological segmentation, Biomedical image segmentation, watershed transformation</t>
  </si>
  <si>
    <t>A visibility determination algorithm for interactive virtual endoscopy</t>
  </si>
  <si>
    <t>10.1109/VISUAL.2000.885673</t>
  </si>
  <si>
    <t>http://dx.doi.org/10.1109/VISUAL.2000.885673</t>
  </si>
  <si>
    <t>Rami Hietala;Jarkko Oikarinen</t>
  </si>
  <si>
    <t>Dept. of Diagnostic Radiol., Oulu Univ., Finland|c|;</t>
  </si>
  <si>
    <t>10.1109/VISUAL.1997.663915;10.1109/VISUAL.1998.745337;10.1109/VISUAL.1998.745713;10.1109/VISUAL.1999.809912;10.1109/VISUAL.1999.809914</t>
  </si>
  <si>
    <t>volume visualization, template, visiblity, isosurface extraction, surface rendering</t>
  </si>
  <si>
    <t>3D digital cleansing using segmentation rays</t>
  </si>
  <si>
    <t>10.1109/VISUAL.2000.885674</t>
  </si>
  <si>
    <t>http://dx.doi.org/10.1109/VISUAL.2000.885674</t>
  </si>
  <si>
    <t>Sarang Lakare;Ming Wan;Mie Sato;Arie E. Kaufman</t>
  </si>
  <si>
    <t>Volume Segmentation, Segmentation Rays, Partial Volume Voxels, Volume Rendering, Virtual Endoscopy, Virtual Colonoscopy</t>
  </si>
  <si>
    <t>CEASAR: a smooth, accurate and robust centerline extraction algorithm</t>
  </si>
  <si>
    <t>10.1109/VISUAL.2000.885675</t>
  </si>
  <si>
    <t>http://dx.doi.org/10.1109/VISUAL.2000.885675</t>
  </si>
  <si>
    <t>Ingmar Bitter;Mie Sato;Michael A. Bender;Kevin T. McDonnell;Arie E. Kaufman;Ming Wan</t>
  </si>
  <si>
    <t>Dept. of Comput. Sci., State Univ. of New York, Stony Brook, NY, USA|c|;;;;;</t>
  </si>
  <si>
    <t>Creating reusable visualizations with the relational visualization notation</t>
  </si>
  <si>
    <t>10.1109/VISUAL.2000.885676</t>
  </si>
  <si>
    <t>http://doi.ieeecomputersociety.org/10.1109/VISUAL.2000.885676</t>
  </si>
  <si>
    <t>Matthew C. Humphrey</t>
  </si>
  <si>
    <t>Iviz, Stafford VA, USA</t>
  </si>
  <si>
    <t>information visualization, graphic design, visual design</t>
  </si>
  <si>
    <t>H-BLOB: a hierarchical visual clustering method using implicit surfaces</t>
  </si>
  <si>
    <t>10.1109/VISUAL.2000.885677</t>
  </si>
  <si>
    <t>http://dx.doi.org/10.1109/VISUAL.2000.885677</t>
  </si>
  <si>
    <t>Thomas C. Sprenger;R. Brunella;Markus H. Gross</t>
  </si>
  <si>
    <t>Dept. of Comput. Sci., Swiss Fed. Inst. of Technol., Zurich, Switzerland|c|;;</t>
  </si>
  <si>
    <t>10.1109/INFVIS.1997.636759;10.1109/INFVIS.1995.528691;10.1109/INFVIS.1998.729562</t>
  </si>
  <si>
    <t>clustering, categorization, partitioning, information visualization, non-linear dimensionality reduction, physics-based graph layout, cluster visualization, multidimensional information visualization</t>
  </si>
  <si>
    <t>A spreadsheet interface for visualization exploration</t>
  </si>
  <si>
    <t>10.1109/VISUAL.2000.885678</t>
  </si>
  <si>
    <t>http://dx.doi.org/10.1109/VISUAL.2000.885678</t>
  </si>
  <si>
    <t>T. J. Jankun-Kelly;Kwan-Liu Ma</t>
  </si>
  <si>
    <t>Dept. of Comput. Sci., California Univ., Davis, CA, USA|c|;</t>
  </si>
  <si>
    <t>10.1109/VISUAL.1999.809871;10.1109/VISUAL.1995.480821</t>
  </si>
  <si>
    <t>speadsheets, user interfaces, knowledge representation, scientific visualization, visualization systems, volume rendering</t>
  </si>
  <si>
    <t>Procedural annotation of uncertain information</t>
  </si>
  <si>
    <t>10.1109/VISUAL.2000.885679</t>
  </si>
  <si>
    <t>http://dx.doi.org/10.1109/VISUAL.2000.885679</t>
  </si>
  <si>
    <t>Andrej Cedilnik;Penny Rheingans</t>
  </si>
  <si>
    <t>Maryland Univ., Baltimore, MD, USA|c|;</t>
  </si>
  <si>
    <t>10.1109/VISUAL.1994.346317;10.1109/VISUAL.1996.568111;10.1109/VISUAL.1996.568109</t>
  </si>
  <si>
    <t>procedure generation, uncertainty, visualization, annotation, glyphs</t>
  </si>
  <si>
    <t>Simplification of tetrahedral meshes with accurate error evaluation</t>
  </si>
  <si>
    <t>10.1109/VISUAL.2000.885680</t>
  </si>
  <si>
    <t>http://dx.doi.org/10.1109/VISUAL.2000.885680</t>
  </si>
  <si>
    <t>Paolo Cignoni;D. Constanza;Claudio Montani;Claudio Rocchini;Roberto Scopigno</t>
  </si>
  <si>
    <t>Ist. Sci. e Tecnol. dell''Inf., CNR, Pisa, Italy|c|;;;;</t>
  </si>
  <si>
    <t>10.1109/VISUAL.1998.745315;10.1109/VISUAL.1997.663907;10.1109/VISUAL.1998.745329;10.1109/VISUAL.1998.745312</t>
  </si>
  <si>
    <t>Simplicial Complexes, Mesh Simplification,Volume Visualization, Unstructured Grids</t>
  </si>
  <si>
    <t>Tetrahedron based, least squares, progressive volume models with application to freehand ultrasound data</t>
  </si>
  <si>
    <t>10.1109/VISUAL.2000.885681</t>
  </si>
  <si>
    <t>http://dx.doi.org/10.1109/VISUAL.2000.885681</t>
  </si>
  <si>
    <t>Tom Roxborough;Gregory M. Nielson</t>
  </si>
  <si>
    <t>Arizona State Univ., Tempe, AZ, USA|c|;</t>
  </si>
  <si>
    <t>On-the-fly rendering of losslessly compressed irregular volume data</t>
  </si>
  <si>
    <t>10.1109/VISUAL.2000.885682</t>
  </si>
  <si>
    <t>http://dx.doi.org/10.1109/VISUAL.2000.885682</t>
  </si>
  <si>
    <t>Chuan-Kai Yang;Tulika Mitra;Tzi-cker Chiueh</t>
  </si>
  <si>
    <t>irregular grids, tetrahedral compression, volume rendering</t>
  </si>
  <si>
    <t>Hardware-accelerated volume and isosurface rendering based on cell-projection</t>
  </si>
  <si>
    <t>10.1109/VISUAL.2000.885683</t>
  </si>
  <si>
    <t>http://dx.doi.org/10.1109/VISUAL.2000.885683</t>
  </si>
  <si>
    <t>Stefan R̦ttger;Martin Kraus;Thomas Ertl</t>
  </si>
  <si>
    <t>Visualization &amp; Interactive Syst. Group, Stuttgart Univ., Germany|c|;;</t>
  </si>
  <si>
    <t>10.1109/VISUAL.1993.398846;10.1109/VISUAL.1994.346320;10.1109/VISUAL.1999.809887;10.1109/VISUAL.1994.346308;10.1109/VISUAL.2000.885688;10.1109/VISUAL.1994.346306;10.1109/VISUAL.1997.663853;10.1109/VISUAL.1999.809878;10.1109/VISUAL.1996.568127;10.1109/VISUAL.1995.480806;10.1109/VISUAL.1998.745300;10.1109/VISUAL.1996.568121;10.1109/VISUAL.1998.745713</t>
  </si>
  <si>
    <t>Volume Rendering, Isosurfaces, Unstructured Meshes, Cell Projection, Graphics Hardware, Texture Mapping, Compositing</t>
  </si>
  <si>
    <t>Achieving color uniformity across multi-projector displays</t>
  </si>
  <si>
    <t>10.1109/VISUAL.2000.885684</t>
  </si>
  <si>
    <t>http://dx.doi.org/10.1109/VISUAL.2000.885684</t>
  </si>
  <si>
    <t>Aditi Majumder;Zhu He;Herman Towles;Greg Welch</t>
  </si>
  <si>
    <t>large area display, tiled displays, projector graphics, color calibration</t>
  </si>
  <si>
    <t>Automatic alignment of high-resolution multi-projector displays using an uncalibrated camera</t>
  </si>
  <si>
    <t>10.1109/VISUAL.2000.885685</t>
  </si>
  <si>
    <t>http://dx.doi.org/10.1109/VISUAL.2000.885685</t>
  </si>
  <si>
    <t>Yuqun Chen;Douglas W. Clark;Adam Finkelstein;Timothy C. Housel;Kai Li 0001</t>
  </si>
  <si>
    <t>Dept. of Comput. Sci., Princeton Univ., NJ, USA|c|;;;;</t>
  </si>
  <si>
    <t xml:space="preserve">seamless tiling, automatic alignment, projective mapping, simulated annealing </t>
  </si>
  <si>
    <t>Shock and vortex visualization using a combined visual/haptic interface</t>
  </si>
  <si>
    <t>10.1109/VISUAL.2000.885686</t>
  </si>
  <si>
    <t>http://dx.doi.org/10.1109/VISUAL.2000.885686</t>
  </si>
  <si>
    <t>Dale A. Lawrence;Christopher D. Lee;Lucy Y. Pao;Roman Y. Novoselov</t>
  </si>
  <si>
    <t>Dept. of Aerosp. Eng. Sci., Colorado Univ., Boulder, CO, USA|c|;;;</t>
  </si>
  <si>
    <t>10.1109/VISUAL.1998.745296;10.1109/VISUAL.1998.745333;10.1109/VISUAL.1996.568108</t>
  </si>
  <si>
    <t>haptic, interface, vortex, shock, visualization, fluid dynamics, virtual environment</t>
  </si>
  <si>
    <t>Six degree-of-freedom haptic display of polygonal models</t>
  </si>
  <si>
    <t>10.1109/VISUAL.2000.885687</t>
  </si>
  <si>
    <t>http://dx.doi.org/10.1109/VISUAL.2000.885687</t>
  </si>
  <si>
    <t>Arthur D. Gregory;Ajith Mascarenhas;Stephen A. Ehmann;Ming C. Lin;Dinesh Manocha</t>
  </si>
  <si>
    <t>Dept. of Comput. Sci., North Carolina Univ., Chapel Hill, NC, USA|c|;;;;</t>
  </si>
  <si>
    <t>haptics, virtual reality, forcefeedback devices, interactive computer graphics</t>
  </si>
  <si>
    <t>A level-set method for flow visualization</t>
  </si>
  <si>
    <t>10.1109/VISUAL.2000.885688</t>
  </si>
  <si>
    <t>http://dx.doi.org/10.1109/VISUAL.2000.885688</t>
  </si>
  <si>
    <t>R�_diger Westermann;Christopher R. Johnson 0001;Thomas Ertl</t>
  </si>
  <si>
    <t>Sci. Comput. &amp; Visualization Group, Univ. of Technol., Aachen, Germany|c|;;</t>
  </si>
  <si>
    <t>10.1109/VISUAL.1999.809865;10.1109/VISUAL.1999.809892;10.1109/VISUAL.1993.398877;10.1109/VISUAL.1992.235211;10.1109/VISUAL.1997.663912;10.1109/VISUAL.1999.809863;10.1109/VISUAL.1993.398875;10.1109/VISUAL.1993.398875;10.1109/VISUAL.1997.663898;10.1109/VISUAL.1997.663859;10.1109/VISUAL.1994.346312</t>
  </si>
  <si>
    <t>Flow Visualization, Level-Sets, Feature Extraction,Multiscale Representation, Texture Mapping</t>
  </si>
  <si>
    <t>Hardware-accelerated texture advection for unsteady flow visualization</t>
  </si>
  <si>
    <t>10.1109/VISUAL.2000.885689</t>
  </si>
  <si>
    <t>http://dx.doi.org/10.1109/VISUAL.2000.885689</t>
  </si>
  <si>
    <t>Bruno Jobard;Gordon Erlebacher;M. Yousuff Hussaini</t>
  </si>
  <si>
    <t>Sch. of Comput. Sci. &amp; Inf. Technol., Tallahassee, FL, USA|c|;;</t>
  </si>
  <si>
    <t>10.1109/VISUAL.1995.480817;10.1109/VISUAL.1998.745324</t>
  </si>
  <si>
    <t>unsteady, vector field, pathlines, streakline, advection, texture, hardware, OpenGL</t>
  </si>
  <si>
    <t>A flow-guided streamline seeding strategy</t>
  </si>
  <si>
    <t>10.1109/VISUAL.2000.885690</t>
  </si>
  <si>
    <t>http://dx.doi.org/10.1109/VISUAL.2000.885690</t>
  </si>
  <si>
    <t>Dept. of Comput. Sci., Univ. of Southern California, Los Angeles, CA, USA|c|;;</t>
  </si>
  <si>
    <t>10.1109/VISUAL.1990.146359;10.1109/VISUAL.1998.745291;10.1109/VISUAL.1991.175773;10.1109/VISUAL.1994.346312;10.1109/VISUAL.1990.146360;10.1109/VISUAL.1995.480819;10.1109/VISUAL.1997.663899;10.1109/VISUAL.1998.745295;10.1109/VISUAL.1999.809906</t>
  </si>
  <si>
    <t>seed placement, streamline, critical point, Voronoi diagram, Poisson disk distribution</t>
  </si>
  <si>
    <t>Enabling level-of-detail matching for exterior scene synthesis</t>
  </si>
  <si>
    <t>10.1109/VISUAL.2000.885691</t>
  </si>
  <si>
    <t>http://dx.doi.org/10.1109/VISUAL.2000.885691</t>
  </si>
  <si>
    <t>Randy K. Scoggins;Robert J. Moorhead II;Raghu Machiraju</t>
  </si>
  <si>
    <t>Eng. Res. &amp; Dev. Center, US Army Corp. of Eng., Vicksburg, MS, USA|c|;;</t>
  </si>
  <si>
    <t>multiresolution model, level-of-detail, rendering, image metrics, perception, terrain visualization</t>
  </si>
  <si>
    <t>Visual cues for imminent object contact in realistic virtual environment</t>
  </si>
  <si>
    <t>10.1109/VISUAL.2000.885692</t>
  </si>
  <si>
    <t>http://doi.ieeecomputersociety.org/10.1109/VISUAL.2000.885692</t>
  </si>
  <si>
    <t>Helen H. Hu;Amy Ashurst Gooch;William B. Thompson;Brian E. Smits;John J. Rieser;Peter Shirley</t>
  </si>
  <si>
    <t>University of Utah</t>
  </si>
  <si>
    <t>virtual reality, head mounted displays, human visual perception</t>
  </si>
  <si>
    <t>Basic research for coloring multichannel MRI data</t>
  </si>
  <si>
    <t>10.1109/VISUAL.2000.885693</t>
  </si>
  <si>
    <t>http://dx.doi.org/10.1109/VISUAL.2000.885693</t>
  </si>
  <si>
    <t>Shigeru Muraki;Toshiharu Nakai;Yasuyo Kita</t>
  </si>
  <si>
    <t>MITI, Electrotech. Lab., Ibaraki, Japan|c|;;</t>
  </si>
  <si>
    <t>color MRI, independent component analysis, transfer function</t>
  </si>
  <si>
    <t>Volume illustration: non-photorealistic rendering of volume models</t>
  </si>
  <si>
    <t>10.1109/VISUAL.2000.885694</t>
  </si>
  <si>
    <t>http://dx.doi.org/10.1109/VISUAL.2000.885694</t>
  </si>
  <si>
    <t>David S. Ebert;Penny Rheingans</t>
  </si>
  <si>
    <t>Dept. of Comput. Sci. &amp; Electr. Eng., Maryland Univ., Baltimore, MD, USA|c|;</t>
  </si>
  <si>
    <t>10.1109/VISUAL.1996.568111;10.1109/VISUAL.1998.745294;10.1109/VISUAL.1995.480795;10.1109/VISUAL.2000.885696;10.1109/VISUAL.1998.745319;10.1109/VISUAL.1999.809905;10.1109/VISUAL.1999.809932;10.1109/VISUAL.1990.146391</t>
  </si>
  <si>
    <t>Volume rendering, non-photorealistic rendering,illustration, lighting models, shading, visualization</t>
  </si>
  <si>
    <t>Pen-and-ink rendering in volume visualisation</t>
  </si>
  <si>
    <t>10.1109/VISUAL.2000.885696</t>
  </si>
  <si>
    <t>http://dx.doi.org/10.1109/VISUAL.2000.885696</t>
  </si>
  <si>
    <t>Steve M. F. Treavett;Min Chen</t>
  </si>
  <si>
    <t>Dept. of Comput. Sci., Univ. of Wales, Swansea, UK|c|;</t>
  </si>
  <si>
    <t>Volume rendering, non-photorealistic rendering, pen-and-ink rendering, 3D texture mapping</t>
  </si>
  <si>
    <t>Two-level volume rendering - fusing MIP and DVR</t>
  </si>
  <si>
    <t>10.1109/VISUAL.2000.885697</t>
  </si>
  <si>
    <t>http://dx.doi.org/10.1109/VISUAL.2000.885697</t>
  </si>
  <si>
    <t>Helwig Hauser;Lukas Mroz;Gian Italo Bischi;M. Eduard Gr̦ller</t>
  </si>
  <si>
    <t>VRVis Res. Centre, Wien Univ. of Technol., Austria|c|;;;</t>
  </si>
  <si>
    <t>10.1109/VISUAL.1998.745311;10.1109/VISUAL.1999.809887;10.1109/VISUAL.1996.568113</t>
  </si>
  <si>
    <t>visualization, volume rendering, dynamical systems,medical applications</t>
  </si>
  <si>
    <t>FastSplats: optimized splatting on rectilinear grids</t>
  </si>
  <si>
    <t>10.1109/VISUAL.2000.885698</t>
  </si>
  <si>
    <t>http://dx.doi.org/10.1109/VISUAL.2000.885698</t>
  </si>
  <si>
    <t>Jian Huang;Roger Crawfis;Naeem Shareef;Klaus Mueller</t>
  </si>
  <si>
    <t>10.1109/VISUAL.1999.809909;10.1109/VISUAL.1993.398877;10.1109/VISUAL.1999.809872</t>
  </si>
  <si>
    <t>Texturing techniques for terrain visualization</t>
  </si>
  <si>
    <t>10.1109/VISUAL.2000.885699</t>
  </si>
  <si>
    <t>http://dx.doi.org/10.1109/VISUAL.2000.885699</t>
  </si>
  <si>
    <t>J�_rgen D̦llner;Konstantin Baumann;Klaus H. Hinrichs</t>
  </si>
  <si>
    <t>Dept. of Comput. Sci., Munster Univ., Germany|c|;;</t>
  </si>
  <si>
    <t>10.1109/VISUAL.1998.745322;10.1109/VISUAL.1998.745285;10.1109/VISUAL.1999.809869;10.1109/VISUAL.1998.745283;10.1109/VISUAL.1998.745342;10.1109/VISUAL.1995.480805;10.1109/VISUAL.1999.809900;10.1109/VISUAL.1998.745280</t>
  </si>
  <si>
    <t>Terrain Rendering, Texture Mapping, Multiresolution, Level of Detail, 3D Maps</t>
  </si>
  <si>
    <t>Simplification of surface annotations</t>
  </si>
  <si>
    <t>10.1109/VISUAL.2000.885700</t>
  </si>
  <si>
    <t>http://dx.doi.org/10.1109/VISUAL.2000.885700</t>
  </si>
  <si>
    <t>Frank Suits;James T. Klosowski;William Horn;G̩rard Lecina</t>
  </si>
  <si>
    <t>simplification, polygonal path, mesh, CAD/CAM,FEM, cartography</t>
  </si>
  <si>
    <t>Uniform frequency images: adding geometry to images to produce space-efficient textures</t>
  </si>
  <si>
    <t>10.1109/VISUAL.2000.885701</t>
  </si>
  <si>
    <t>http://dx.doi.org/10.1109/VISUAL.2000.885701</t>
  </si>
  <si>
    <t>Adam Hunter;Jonathan D. Cohen</t>
  </si>
  <si>
    <t>Johns Hopkins Univ., MD, USA|c|;</t>
  </si>
  <si>
    <t>texture mapping, Fourier analysis, sampling, parameterization, visualization</t>
  </si>
  <si>
    <t>Image based rendering with stable frame rates</t>
  </si>
  <si>
    <t>10.1109/VISUAL.2000.885702</t>
  </si>
  <si>
    <t>http://doi.ieeecomputersociety.org/10.1109/VISUAL.2000.885702</t>
  </si>
  <si>
    <t>Huamin Qu;Ming Wan;Jiafa Qin;Arie E. Kaufman</t>
  </si>
  <si>
    <t>10.1109/VISUAL.1992.235190;10.1109/VISUAL.1998.745305;10.1109/VISUAL.1999.809900</t>
  </si>
  <si>
    <t>Image-based rendering, ray casting, voxel-based modeling,terrain rendering</t>
  </si>
  <si>
    <t>Topology preserving and controlled topology simplifying multiresolution isosurface extraction</t>
  </si>
  <si>
    <t>10.1109/VISUAL.2000.885703</t>
  </si>
  <si>
    <t>http://dx.doi.org/10.1109/VISUAL.2000.885703</t>
  </si>
  <si>
    <t>Thomas Gerstner;Renato Pajarola</t>
  </si>
  <si>
    <t>Dept. of Appl. Math., Bonn Univ., Germany|c|;</t>
  </si>
  <si>
    <t>10.1109/VISUAL.1996.568127;10.1109/VISUAL.1997.663907;10.1109/VISUAL.1997.663909;10.1109/VISUAL.1998.745300;10.1109/VISUAL.1994.346334;10.1109/VISUAL.1997.663869</t>
  </si>
  <si>
    <t>tetrahedral grid refinement, implicit surface approximation, level-of-detail, topological genus, critical points</t>
  </si>
  <si>
    <t>Isosurfacing in higher dimensions</t>
  </si>
  <si>
    <t>10.1109/VISUAL.2000.885704</t>
  </si>
  <si>
    <t>http://dx.doi.org/10.1109/VISUAL.2000.885704</t>
  </si>
  <si>
    <t>Praveen Bhaniramka;Rephael Wenger;Roger Crawfis</t>
  </si>
  <si>
    <t>Silicon Graphics Comput. Syst., Mountain View, CA, USA|c|;;</t>
  </si>
  <si>
    <t>10.1109/VISUAL.1992.235222;10.1109/VISUAL.1998.745315;10.1109/VISUAL.1993.398869;10.1109/VISUAL.1997.663885;10.1109/VISUAL.1999.809879;10.1109/VISUAL.1996.568103;10.1109/VISUAL.1997.663886;10.1109/VISUAL.1991.175821;10.1109/VISUAL.1991.175782;10.1109/VISUAL.1998.745298</t>
  </si>
  <si>
    <t>Semi-regular mesh extraction from volumes</t>
  </si>
  <si>
    <t>10.1109/VISUAL.2000.885705</t>
  </si>
  <si>
    <t>http://dx.doi.org/10.1109/VISUAL.2000.885705</t>
  </si>
  <si>
    <t>Zo�� J. Wood;Peter Schr̦der;David E. Breen;Mathieu Desbrun</t>
  </si>
  <si>
    <t>California Inst. of Technol., Pasadena, CA, USA|c|;;;</t>
  </si>
  <si>
    <t>Semi-regular meshes, subdivision, volumes, surface extraction, implicit functions, level set methods</t>
  </si>
  <si>
    <t>Scanline surfacing: building separating surfaces from planar contours</t>
  </si>
  <si>
    <t>10.1109/VISUAL.2000.885706</t>
  </si>
  <si>
    <t>http://dx.doi.org/10.1109/VISUAL.2000.885706</t>
  </si>
  <si>
    <t>David M. Weinstein</t>
  </si>
  <si>
    <t>Sch. of Comput., Utah Univ., Salt Lake City, UT, USA|c|</t>
  </si>
  <si>
    <t>10.1109/VISUAL.1997.663887;10.1109/VISUAL.1994.346337</t>
  </si>
  <si>
    <t>separating surfaces, planar contours, surface construction, scanline</t>
  </si>
  <si>
    <t>Navigating high-dimensional spaces to support design steering</t>
  </si>
  <si>
    <t>10.1109/VISUAL.2000.885707</t>
  </si>
  <si>
    <t>http://dx.doi.org/10.1109/VISUAL.2000.885707</t>
  </si>
  <si>
    <t>Helen Wright;Ken Brodlie;Tim David</t>
  </si>
  <si>
    <t>Dept. of Comput. Sci., Hull Univ., UK|c|;;</t>
  </si>
  <si>
    <t>10.1109/VISUAL.1999.809921;10.1109/VISUAL.1995.485157;10.1109/VISUAL.1998.745351;10.1109/VISUAL.1993.398895;10.1109/VISUAL.1993.398857;10.1109/VISUAL.1995.485143</t>
  </si>
  <si>
    <t>Computational steering, design steering, concept design, multidimensional visualization, scientific data visualization</t>
  </si>
  <si>
    <t>Visualization of multi-dimensional data with vector-fusion</t>
  </si>
  <si>
    <t>10.1109/VISUAL.2000.885708</t>
  </si>
  <si>
    <t>http://dx.doi.org/10.1109/VISUAL.2000.885708</t>
  </si>
  <si>
    <t>R. R. Johnson</t>
  </si>
  <si>
    <t>Dept. of Comput. Sci., Utah Univ., Salt Lake City, UT, USA|c|</t>
  </si>
  <si>
    <t>Multidimensional Visualization, Vector Data Fusion, Multidimensional Geometry</t>
  </si>
  <si>
    <t>Real-world relativity: image-based special relativistic visualization</t>
  </si>
  <si>
    <t>10.1109/VISUAL.2000.885709</t>
  </si>
  <si>
    <t>http://dx.doi.org/10.1109/VISUAL.2000.885709</t>
  </si>
  <si>
    <t>Daniel Weiskopf;Daniel Kobras;Hanns Ruder</t>
  </si>
  <si>
    <t>Inst. of Astron. &amp; Astrophys., Tubingen Univ., Germany|c|;;</t>
  </si>
  <si>
    <t>image-based rendering, plenoptic function, scientific visualization, special relativity</t>
  </si>
  <si>
    <t>Visualizing geodesics</t>
  </si>
  <si>
    <t>10.1109/VISUAL.2000.885710</t>
  </si>
  <si>
    <t>http://dx.doi.org/10.1109/VISUAL.2000.885710</t>
  </si>
  <si>
    <t>Ingrid Hotz;Hans Hagen</t>
  </si>
  <si>
    <t>Dept. of Comput. Sci., Kaiserslautern Univ., Germany|c|;</t>
  </si>
  <si>
    <t>geodesics, visualization features</t>
  </si>
  <si>
    <t>Geometric compression for interactive transmission</t>
  </si>
  <si>
    <t>10.1109/VISUAL.2000.885711</t>
  </si>
  <si>
    <t>http://dx.doi.org/10.1109/VISUAL.2000.885711</t>
  </si>
  <si>
    <t>Olivier Devillers;Pierre-Marie Gandoin</t>
  </si>
  <si>
    <t>Inst. Nat. de Recherche en Inf. et Autom., Sophia Antipolis, France|c|;</t>
  </si>
  <si>
    <t>10.1109/VISUAL.1997.663902;10.1109/VISUAL.1999.809902;10.1109/VIS.1999.10000</t>
  </si>
  <si>
    <t>geometry, compression, coding, interactivity, mesh, reconstruction, terrain models</t>
  </si>
  <si>
    <t>Toward a compelling sensation of telepresence: demonstrating a portal to a distant (static) office</t>
  </si>
  <si>
    <t>10.1109/VISUAL.2000.885712</t>
  </si>
  <si>
    <t>http://dx.doi.org/10.1109/VISUAL.2000.885712</t>
  </si>
  <si>
    <t>Wei-Chao Chen;Herman Towles;Lars S. Nyland;Greg Welch;Henry Fuchs</t>
  </si>
  <si>
    <t>10.1109/VISUAL.1996.568125;10.1109/VISUAL.1997.663893</t>
  </si>
  <si>
    <t>telepresence, tele-immersion, virtual reality, collaborative visualization, immersive display, augmented reality, human-computer interface</t>
  </si>
  <si>
    <t>multi-user view-dependent rendering</t>
  </si>
  <si>
    <t>10.1109/VISUAL.2000.885713</t>
  </si>
  <si>
    <t>http://doi.ieeecomputersociety.org/10.1109/VISUAL.2000.885713</t>
  </si>
  <si>
    <t>Jihad El-Sana</t>
  </si>
  <si>
    <t>Ben-Gurion University in Israel</t>
  </si>
  <si>
    <t>10.1109/VISUAL.1999.809877;10.1109/VISUAL.1995.480805</t>
  </si>
  <si>
    <t>Topology preserving compression of 2D vector fields</t>
  </si>
  <si>
    <t>10.1109/VISUAL.2000.885714</t>
  </si>
  <si>
    <t>http://dx.doi.org/10.1109/VISUAL.2000.885714</t>
  </si>
  <si>
    <t>Suresh K. Lodha;Jose C. Renteria;Krishna M. Roskin</t>
  </si>
  <si>
    <t>10.1109/VISUAL.1999.809865;10.1109/VISUAL.1998.745291;10.1109/VISUAL.1999.809907;10.1109/VISUAL.1998.745297;10.1109/VISUAL.1999.809863;10.1109/VISUAL.1999.809897;10.1109/VISUAL.1991.175773;10.1109/VISUAL.1997.663858;10.1109/VISUAL.1998.745284</t>
  </si>
  <si>
    <t>compression, topology, vector fields, error metrics,clustering</t>
  </si>
  <si>
    <t>A continuous clustering method for vector fields</t>
  </si>
  <si>
    <t>10.1109/VISUAL.2000.885715</t>
  </si>
  <si>
    <t>http://doi.ieeecomputersociety.org/10.1109/VISUAL.2000.885715</t>
  </si>
  <si>
    <t>Harald Garcke;Tobias Preu��er;Martin Rumpf;Alexandru Telea;Ulrich Weikard;Jarke J. van Wijk</t>
  </si>
  <si>
    <t>Technical University Eindhoven, Eindhoven, NL</t>
  </si>
  <si>
    <t>10.1109/VISUAL.1999.809865;10.1109/VISUAL.1995.480817;10.1109/VISUAL.1994.346313;10.1109/VISUAL.1999.809863;10.1109/VISUAL.1995.485141;10.1109/VISUAL.1999.809892;10.1109/VISUAL.1996.567777;10.1109/VISUAL.1999.809904</t>
  </si>
  <si>
    <t>A topology simplification method for 2D vector fields</t>
  </si>
  <si>
    <t>10.1109/VISUAL.2000.885716</t>
  </si>
  <si>
    <t>http://dx.doi.org/10.1109/VISUAL.2000.885716</t>
  </si>
  <si>
    <t>Xavier Tricoche;Gerik Scheuermann;Hans Hagen</t>
  </si>
  <si>
    <t>10.1109/VISUAL.1999.809863;10.1109/VISUAL.1998.745318;10.1109/VISUAL.1991.175773;10.1109/VISUAL.1999.809907;10.1109/VISUAL.1997.663858</t>
  </si>
  <si>
    <t>vector field topology, flow visualization, clustering,simplification</t>
  </si>
  <si>
    <t>Constructing material interfaces from data sets with volume-fraction information</t>
  </si>
  <si>
    <t>10.1109/VISUAL.2000.885717</t>
  </si>
  <si>
    <t>http://dx.doi.org/10.1109/VISUAL.2000.885717</t>
  </si>
  <si>
    <t>Kathleen S. Bonnell;Kenneth I. Joy;Bernd Hamann;Daniel Schikore;Mark A. Duchaineau</t>
  </si>
  <si>
    <t>CIPIC, California Univ., Davis, CA, USA|c|;;;;</t>
  </si>
  <si>
    <t>10.1109/VISUAL.1991.175782;10.1109/VISUAL.1997.663887;10.1109/VISUAL.1997.663869</t>
  </si>
  <si>
    <t>Eulerian flow, material boundary surface, barycentric coordinates, volume fraction, Voronoi diagram</t>
  </si>
  <si>
    <t>New techniques for topologically correct surface reconstruction</t>
  </si>
  <si>
    <t>10.1109/VISUAL.2000.885718</t>
  </si>
  <si>
    <t>http://dx.doi.org/10.1109/VISUAL.2000.885718</t>
  </si>
  <si>
    <t>Udo Adamy;Joachim Giesen;Matthias John 0003</t>
  </si>
  <si>
    <t>Inst. for Theor. Comput. Sci., Eidgenossische Tech. Hochschule, Zurich, Switzerland|c|;;</t>
  </si>
  <si>
    <t>surface reconstruction, gabriel graph, linear programming, topology</t>
  </si>
  <si>
    <t>Polyhedral modeling</t>
  </si>
  <si>
    <t>10.1109/VISUAL.2000.885719</t>
  </si>
  <si>
    <t>http://dx.doi.org/10.1109/VISUAL.2000.885719</t>
  </si>
  <si>
    <t>Georges-Pierre Bonneau;Stefanie Hahmann</t>
  </si>
  <si>
    <t>CNRS, Univ. of Grenoble, France|c|;</t>
  </si>
  <si>
    <t>triangular meshes, visual continuity, arbitrary topology, visualization</t>
  </si>
  <si>
    <t>Bicubic subdivision-surface wavelets for large-scale isosurface representation and visualization</t>
  </si>
  <si>
    <t>10.1109/VISUAL.2000.885720</t>
  </si>
  <si>
    <t>http://doi.ieeecomputersociety.org/10.1109/VISUAL.2000.885720</t>
  </si>
  <si>
    <t>Martin Hering-Bertram;Mark A. Duchaineau;Bernd Hamann;Kenneth I. Joy</t>
  </si>
  <si>
    <t>UC, Davis</t>
  </si>
  <si>
    <t>10.1109/VISUAL.1994.346332;10.1109/VISUAL.1997.663871;10.1109/VISUAL.2000.885717</t>
  </si>
  <si>
    <t>Anisotropic geometric diffusion in surface processing</t>
  </si>
  <si>
    <t>10.1109/VISUAL.2000.885721</t>
  </si>
  <si>
    <t>http://dx.doi.org/10.1109/VISUAL.2000.885721</t>
  </si>
  <si>
    <t>Ulrich Clarenz;Udo Diewald;Martin Rumpf</t>
  </si>
  <si>
    <t>Inst. for Appl. Math., Bonn Univ., Germany|c|;;</t>
  </si>
  <si>
    <t>Image Processing, Geometric Modeling, Numerical Analysis</t>
  </si>
  <si>
    <t>Fairing of non-manifolds for visualization</t>
  </si>
  <si>
    <t>10.1109/VISUAL.2000.885722</t>
  </si>
  <si>
    <t>http://doi.ieeecomputersociety.org/10.1109/VISUAL.2000.885722</t>
  </si>
  <si>
    <t>Andreas Hubeli;Markus H. Gross</t>
  </si>
  <si>
    <t>ETH Zurich</t>
  </si>
  <si>
    <t>Interior/exterior classification of polygonal models</t>
  </si>
  <si>
    <t>10.1109/VISUAL.2000.885723</t>
  </si>
  <si>
    <t>http://doi.ieeecomputersociety.org/10.1109/VISUAL.2000.885723</t>
  </si>
  <si>
    <t>Fakir S. Nooruddin;Greg Turk</t>
  </si>
  <si>
    <t>Georgina Tech</t>
  </si>
  <si>
    <t>10.1109/VISUAL.1997.663909;10.1109/VISUAL.1995.480795;10.1109/VISUAL.1996.568111</t>
  </si>
  <si>
    <t>Visibility, Surface Classification, Rendering,Interior Surfaces</t>
  </si>
  <si>
    <t>Multi-resolution dynamic meshes with arbitrary deformations</t>
  </si>
  <si>
    <t>10.1109/VISUAL.2000.885724</t>
  </si>
  <si>
    <t>http://dx.doi.org/10.1109/VISUAL.2000.885724</t>
  </si>
  <si>
    <t>Ariel Shamir;Chandrajit L. Bajaj;Valerio Pascucci</t>
  </si>
  <si>
    <t>Center for Comput. Visualization, Texas Univ., Austin, TX, USA|c|;;</t>
  </si>
  <si>
    <t>10.1109/VISUAL.1997.663865;10.1109/VISUAL.1999.809869;10.1109/VISUAL.1999.809910;10.1109/VISUAL.1999.809879;10.1109/VISUAL.1998.745329;10.1109/VISUAL.1996.568126;10.1109/VISUAL.1998.745282;10.1109/VISUAL.1997.663883</t>
  </si>
  <si>
    <t>Fast visualization methods for comparing dynamics: a case study in combustion</t>
  </si>
  <si>
    <t>10.1109/VISUAL.2000.885725</t>
  </si>
  <si>
    <t>http://dx.doi.org/10.1109/VISUAL.2000.885725</t>
  </si>
  <si>
    <t>Kay A. Robbins;Michael Gorman</t>
  </si>
  <si>
    <t>10.1109/VISUAL.1999.809882;10.1109/VISUAL.1996.568117;10.1109/VISUAL.1995.485141</t>
  </si>
  <si>
    <t>realtime visualization, steering, symmetry, tiling, pattern formation, movies</t>
  </si>
  <si>
    <t>Mastering interactive surface rendering for Java-based diagnostic applications</t>
  </si>
  <si>
    <t>10.1109/VISUAL.2000.885726</t>
  </si>
  <si>
    <t>http://dx.doi.org/10.1109/VISUAL.2000.885726</t>
  </si>
  <si>
    <t>Lukas Mroz;Rainer Wegenkittl;M. Eduard Gr̦ller</t>
  </si>
  <si>
    <t>volume visualization, surface rendering, medical applications, tomographic data</t>
  </si>
  <si>
    <t>A computational steering system for studying microwave interactions with missile bodies</t>
  </si>
  <si>
    <t>10.1109/VISUAL.2000.885727</t>
  </si>
  <si>
    <t>http://dx.doi.org/10.1109/VISUAL.2000.885727</t>
  </si>
  <si>
    <t>J. Edward Swan;Marco Lanzagorta;Doug Maxwell;Eddy Kuo;Jeffrey K. Uhlmann;Wendell Anderson;Haw-Jye Shyu;William Smith</t>
  </si>
  <si>
    <t>Virtual Reality Lab., Naval Res. Lab., Washington, DC, USA|c|;;;;;;;</t>
  </si>
  <si>
    <t>Modeling and Simulation, Scientific Visualization, Computational Steering, Inverse Steering, Virtual Reality</t>
  </si>
  <si>
    <t>Four-dimensional non-linear ray tracing as a visualization tool for gravitational physics</t>
  </si>
  <si>
    <t>10.1109/VISUAL.2000.885728</t>
  </si>
  <si>
    <t>http://dx.doi.org/10.1109/VISUAL.2000.885728</t>
  </si>
  <si>
    <t>Daniel Weiskopf</t>
  </si>
  <si>
    <t>Inst. for Astron. &amp; Astrophys., Tubingen Univ., Germany|c|</t>
  </si>
  <si>
    <t>differential geometry, four-dimensional spacetimes, general relativity, ray tracing, scientific visualization</t>
  </si>
  <si>
    <t>Combining local and remote visualization techniques for interactive volume rendering in medical applications</t>
  </si>
  <si>
    <t>10.1109/VISUAL.2000.885729</t>
  </si>
  <si>
    <t>http://dx.doi.org/10.1109/VISUAL.2000.885729</t>
  </si>
  <si>
    <t>Klaus Engel;Thomas Ertl;Peter Hastreiter;Bernd Tomandl;K. Eberhardt</t>
  </si>
  <si>
    <t>Visualization &amp; Interactive Syst. Group, Stuttgart Univ., Germany|c|;;;;</t>
  </si>
  <si>
    <t>medical data visualization, volume visualization, distributed systems, PC graphics hardware, remote rendering</t>
  </si>
  <si>
    <t>An integrated visualization and design toolkit for flexible prosthetic heart valves</t>
  </si>
  <si>
    <t>10.1109/VISUAL.2000.885730</t>
  </si>
  <si>
    <t>http://dx.doi.org/10.1109/VISUAL.2000.885730</t>
  </si>
  <si>
    <t>A. J. Fenlon;T. David;J. P. R. B. Walton</t>
  </si>
  <si>
    <t>Sch. of Mech. Eng., Leeds Univ., UK|c|;;</t>
  </si>
  <si>
    <t>Computational fluid dynamics, interactive design, prosthetic heart valves, visualization systems</t>
  </si>
  <si>
    <t>Immersive virtual reality for visualizing flow through an artery</t>
  </si>
  <si>
    <t>10.1109/VISUAL.2000.885731</t>
  </si>
  <si>
    <t>http://dx.doi.org/10.1109/VISUAL.2000.885731</t>
  </si>
  <si>
    <t>Andrew S. Forsberg;David H. Laidlaw;Andries van Dam;Robert Michael Kirby;George E. Karniadakis;Jonathan L. Elion</t>
  </si>
  <si>
    <t>Dept. of Comput. Sci., Brown Univ., Providence, RI, USA|c|;;;;;</t>
  </si>
  <si>
    <t>Mastering interactive virtual bronchioscopy on a low-end PC</t>
  </si>
  <si>
    <t>10.1109/VISUAL.2000.885732</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</si>
  <si>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</si>
  <si>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http://dx.doi.org/10.1109/VISUAL.2000.885732</t>
  </si>
  <si>
    <t>C. Mandal;Hong Qin;B.C. Vemuri</t>
  </si>
  <si>
    <t>Dept. of Comput. &amp; Inf. Sci. &amp; Eng., Florida Univ., Gainesville, FL, USA</t>
  </si>
  <si>
    <t>Rainer Wegenkittl;Anna Vilanova;Balint Heged�_s;Daniel Wagner;Martin C. Freund;M. Eduard Gr̦ller</t>
  </si>
  <si>
    <t>Tiani Medgraph GesmbH, Vienna, Austria|c|;;;;;</t>
  </si>
  <si>
    <t>10.1109/VISUAL.1999.809912;10.1109/VISUAL.1998.745337;10.1109/VISUAL.1999.809911</t>
  </si>
  <si>
    <t>medical visualization, virtual endoscopy, visualization system</t>
  </si>
  <si>
    <t>Interactive visualization of protein dynamics</t>
  </si>
  <si>
    <t>10.1109/VISUAL.2000.885733</t>
  </si>
  <si>
    <t>http://dx.doi.org/10.1109/VISUAL.2000.885733</t>
  </si>
  <si>
    <t>Presents a new method to produce a hierarchical set of triangle meshes that can be used to blend different levels of detail in a smooth fashion. The algorithm produces a sequence of meshes /spl Mscr//sub 0/, /spl Mscr//sub 1/, /spl Mscr//sub 2/..., /spl Mscr//sub n/, where each mesh /spl Mscr//sub i/ can be transformed to mesh /spl Mscr//sub 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</si>
  <si>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T.S. Gieng;B. Hamann;K.I. Joy;G.L. Schussman;I.J. Trotts</t>
  </si>
  <si>
    <t>Center for Image Process. &amp; Integrated Comput., California Univ., Davis, CA, USA</t>
  </si>
  <si>
    <t>Henk Huitema;Robert van Liere</t>
  </si>
  <si>
    <t>Center for Math. &amp; Comput. Sci., Amsterdam, Netherlands|c|;</t>
  </si>
  <si>
    <t>molecular graphics, essential dynamics,animation, interactive exploration</t>
  </si>
  <si>
    <t>Interactive visualization of particle-in-cell simulations</t>
  </si>
  <si>
    <t>10.1109/VISUAL.2000.885734</t>
  </si>
  <si>
    <t>http://dx.doi.org/10.1109/VISUAL.2000.885734</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</si>
  <si>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</si>
  <si>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Roberto Grosso;Christoph Lürig;Thomas Ertl</t>
  </si>
  <si>
    <t>R. Grosso;C. Lurig;T. Ertl</t>
  </si>
  <si>
    <t>Patric Ljung;Mark Dieckmann;Niclas Andersson;Anders Ynnerman</t>
  </si>
  <si>
    <t>Dept. of Sci. &amp; Technol., Linkopings Univ., Sweden|c|;;;</t>
  </si>
  <si>
    <t>scientific visualization, interaction animation, volume rendering, texture maps, data streaming, plasma physics</t>
  </si>
  <si>
    <t>Visualization of time dependent confocal microscopy data</t>
  </si>
  <si>
    <t>10.1109/VISUAL.2000.885735</t>
  </si>
  <si>
    <t>http://dx.doi.org/10.1109/VISUAL.2000.885735</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</si>
  <si>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</si>
  <si>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J. Cohen;D. Manocha;M. Olano</t>
  </si>
  <si>
    <t>North Carolina Univ., Chapel Hill, NC, USA</t>
  </si>
  <si>
    <t xml:space="preserve">Controlled simplification of genus for polygonal models </t>
  </si>
  <si>
    <t>Wim C. de Leeuw;Robert van Liere;Pernette J. Verschure;Roel van Driel;Astrid E. Visser;Erik M. M. Manders</t>
  </si>
  <si>
    <t>Centre for Math. &amp; Comput. Sci., Amsterdam, Netherlands|c|;;;;;</t>
  </si>
  <si>
    <t>10.1109/VISUAL.1990.146378;10.1109/VISUAL.1996.568136</t>
  </si>
  <si>
    <t>biomedical imaging, volume visualization,virtual reality</t>
  </si>
  <si>
    <t>Visual data fusion for applications of high-resolution numerical weather prediction</t>
  </si>
  <si>
    <t>10.1109/VISUAL.2000.885736</t>
  </si>
  <si>
    <t>http://dx.doi.org/10.1109/VISUAL.2000.885736</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</si>
  <si>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/spl alpha/-hulls to polygonal meshes under the L/sub /spl infin// distance metric and then generate valid triangulations to fill them.</t>
  </si>
  <si>
    <t>10.1109/VISUAL.1995.480821;10.1109/VISUAL.1998.745331</t>
  </si>
  <si>
    <t>visualization, data fusion, user tasks, graphics design, meteorology, weather forecasting, demographics, energy demand prediction</t>
  </si>
  <si>
    <t>J. El-Sana;A. Varshney</t>
  </si>
  <si>
    <t>Case study: a methodology for plume visualization with application to real-time acquisition and navigation</t>
  </si>
  <si>
    <t>10.1109/VISUAL.2000.885737</t>
  </si>
  <si>
    <t>http://dx.doi.org/10.1109/VISUAL.2000.885737</t>
  </si>
  <si>
    <t>Karen G. Bemis;Deborah Silver;Peter A. Rona;Chengwei Feng</t>
  </si>
  <si>
    <t>10.1109/VISUAL.1998.745347;10.1109/VISUAL.1995.480789;10.1109/VISUAL.1994.346297;10.1109/VISUAL.1993.398901;10.1109/VISUAL.1996.567807</t>
  </si>
  <si>
    <t>oceanographic visualization, plume, acoustic imaging, centerlines</t>
  </si>
  <si>
    <t>Vector fields simplification-a case study of visualizing climate modeling and simulation data sets</t>
  </si>
  <si>
    <t>10.1109/VISUAL.2000.885738</t>
  </si>
  <si>
    <t>http://dx.doi.org/10.1109/VISUAL.2000.885738</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</si>
  <si>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</si>
  <si>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D. Kenwright;R. Haimes</t>
  </si>
  <si>
    <t>Pak Chung Wong;Harlan Foote;L. Ruby Leung;Elizabeth Jurrus;Dan Adams;James J. Thomas</t>
  </si>
  <si>
    <t>Pacific Northwest Lab., Richland, WA, USA|c|;;;;;</t>
  </si>
  <si>
    <t>10.1109/VISUAL.1999.809907;10.1109/VISUAL.1999.809865</t>
  </si>
  <si>
    <t>vector field visualization, time-varying fields, meteorology</t>
  </si>
  <si>
    <t>WEAVE: a system for visually linking 3-D and statistical visualizations applied to cardiac simulation and measurement data</t>
  </si>
  <si>
    <t>10.1109/VISUAL.2000.885739</t>
  </si>
  <si>
    <t>http://dx.doi.org/10.1109/VISUAL.2000.885739</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</si>
  <si>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</si>
  <si>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S.P. Uselton</t>
  </si>
  <si>
    <t>MRJ Technol. Solutions, NASA Ames Res. Center, Moffett Field, CA, USA</t>
  </si>
  <si>
    <t>Donna L. Gresh;Bernice E. Rogowitz;Raimond L. Winslow;David F. Scollan;Christina K. Yung</t>
  </si>
  <si>
    <t>IBM Thomas J. Watson Res. Center, Yorktown Heights, NY, USA|c|;;;;</t>
  </si>
  <si>
    <t>10.1109/VISUAL.1992.235219;10.1109/VISUAL.1999.809894;10.1109/INFVIS.1995.528688;10.1109/VISUAL.1991.175794;10.1109/INFVIS.1996.559210</t>
  </si>
  <si>
    <t>visualization, medical, heart, data synthesis</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</si>
  <si>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</si>
  <si>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V. Interrante;C. Grosch</t>
  </si>
  <si>
    <t>Visualizing high-dimensional predictive model quality</t>
  </si>
  <si>
    <t>10.1109/VISUAL.2000.885740</t>
  </si>
  <si>
    <t>http://dx.doi.org/10.1109/VISUAL.2000.885740</t>
  </si>
  <si>
    <t>Penny Rheingans;Marie desJardins</t>
  </si>
  <si>
    <t>10.1109/VISUAL.1997.663922;10.1109/INFVIS.1998.729565;10.1109/VISUAL.1990.146402;10.1109/VISUAL.1997.663868</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</si>
  <si>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</si>
  <si>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J.M. Favre</t>
  </si>
  <si>
    <t>Visualizing volume data using physical models</t>
  </si>
  <si>
    <t>Swiss Center for Sci. Comput., Switzerland</t>
  </si>
  <si>
    <t>10.1109/VISUAL.2000.885741</t>
  </si>
  <si>
    <t>http://dx.doi.org/10.1109/VISUAL.2000.885741</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</si>
  <si>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</si>
  <si>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Supercomput. Center, California Univ., San Diego, La Jolla, CA, USA|c|;</t>
  </si>
  <si>
    <t>scene graphs, volume graphics, volume visualization, physical models</t>
  </si>
  <si>
    <t>Visualizing DIII-D Tokamak magnetic field lines</t>
  </si>
  <si>
    <t>10.1109/VISUAL.2000.885742</t>
  </si>
  <si>
    <t>http://dx.doi.org/10.1109/VISUAL.2000.885742</t>
  </si>
  <si>
    <t>Gregory L. Schussman;Kwan-Liu Ma;David P. Schissel;Todd Evans</t>
  </si>
  <si>
    <t>graphics hardware, haloed lines, illuminated lines, interactive visualization, magnetic field, plasma physics, tokamak</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</si>
  <si>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</si>
  <si>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Real-time visualization of the clear-up of a former US naval base</t>
  </si>
  <si>
    <t>Suya You;Lichan Hong;Ming Wan;K. Junyaprasert;A. Kaufman;S. Muraki;Yong Zhou;M. Wax;Zhengrong Liang</t>
  </si>
  <si>
    <t>10.1109/VISUAL.2000.885743</t>
  </si>
  <si>
    <t>http://dx.doi.org/10.1109/VISUAL.2000.885743</t>
  </si>
  <si>
    <t>Sonar Res. &amp; Dev. Ltd., Beverley, UK|c|;;;</t>
  </si>
  <si>
    <t>10.1109/VISUAL.1999.809926;10.1109/VISUAL.1998.745348</t>
  </si>
  <si>
    <t>whole field modelling, seabed visualization, sonar technology</t>
  </si>
  <si>
    <t>Scientific visualization of water quality in the Chesapeake bay</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</si>
  <si>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</si>
  <si>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10.1109/VISUAL.2000.885744</t>
  </si>
  <si>
    <t>http://doi.ieeecomputersociety.org/10.1109/VISUAL.2000.885744</t>
  </si>
  <si>
    <t>P. Hoffman;G. Grinstein;K. Marx;I. Grosse;E. Stanley</t>
  </si>
  <si>
    <t>Inst. for Visualization &amp; Perception Res., Massachusetts Univ., Lowell, MA, USA</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</si>
  <si>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</si>
  <si>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A. Puig;D. Tost;I. Navazo</t>
  </si>
  <si>
    <t>Polytech. Univ. of Catalonia, Spain</t>
  </si>
  <si>
    <t>Robert Stein;Alan M. Shih;M. Pauline Baker;Carl F. Cerco;Mark R. Noel</t>
  </si>
  <si>
    <t>National Center for Supercomputing Applications, University of Illinois at Urbana-Champaign</t>
  </si>
  <si>
    <t>Multi-resolution visualization techniques for nested weather models</t>
  </si>
  <si>
    <t>10.1109/VISUAL.2000.885745</t>
  </si>
  <si>
    <t>http://dx.doi.org/10.1109/VISUAL.2000.885745</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</si>
  <si>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</si>
  <si>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D.C. Banks;J.T. Foley;K.N. Vidimce;Ming-Hoe Kiu</t>
  </si>
  <si>
    <t>10.1109/VISUAL.1999.809918;10.1109/VISUAL.1990.146359;10.1109/VISUAL.1995.480821;10.1109/VISUAL.1999.809897</t>
  </si>
  <si>
    <t>flow visualization, multi-resolution,visualization design, meteorology, weather forecasting</t>
  </si>
  <si>
    <t>To draw a tree</t>
  </si>
  <si>
    <t>10.1109/INFVIS.2001.963272</t>
  </si>
  <si>
    <t>http://dx.doi.org/10.1109/INFVIS.2001.963272</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</si>
  <si>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</si>
  <si>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J. Ahrens;P. McCormick;J. Bossert;J. Reisner;J. Winterkamp</t>
  </si>
  <si>
    <t>Pat Hanrahan</t>
  </si>
  <si>
    <t>Stanford University|c|</t>
  </si>
  <si>
    <t>Visualizing time-series on spirals</t>
  </si>
  <si>
    <t>10.1109/INFVIS.2001.963273</t>
  </si>
  <si>
    <t>http://dx.doi.org/10.1109/INFVIS.2001.963273</t>
  </si>
  <si>
    <t>Marc Weber;Marc Alexa;Wolfgang M�_ller 0004</t>
  </si>
  <si>
    <t>Technische Universitat Darmstadt|c|;;</t>
  </si>
  <si>
    <t>10.1109/VISUAL.1991.175794;10.1109/INFVIS.2000.885098;10.1109/INFVIS.1995.528685</t>
  </si>
  <si>
    <t xml:space="preserve">Information Visualization, Graph Drawing, Visualization of Time-Series Data, Data Mining </t>
  </si>
  <si>
    <t>Change blindness in information visualization: a case study</t>
  </si>
  <si>
    <t>10.1109/INFVIS.2001.963274</t>
  </si>
  <si>
    <t>http://dx.doi.org/10.1109/INFVIS.2001.963274</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</si>
  <si>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</si>
  <si>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M. Shneerson;A. Tal</t>
  </si>
  <si>
    <t>Dept. of Appl. Math., Weizmann Inst. of Sci., Rehovot, Israel</t>
  </si>
  <si>
    <t>Lucy T. Nowell;Elizabeth G. Hetzler;Ted Tanasse</t>
  </si>
  <si>
    <t>Pacific Northwest National Laboratory|c|;;</t>
  </si>
  <si>
    <t>10.1109/INFVIS.1997.636789;10.1109/INFVIS.2000.885099;10.1109/INFVIS.1995.528692;10.1109/INFVIS.1995.528686;10.1109/INFVIS.1995.528691</t>
  </si>
  <si>
    <t>Cluster stability and the use of noise in interpretation of clustering</t>
  </si>
  <si>
    <t>10.1109/INFVIS.2001.963275</t>
  </si>
  <si>
    <t>http://dx.doi.org/10.1109/INFVIS.2001.963275</t>
  </si>
  <si>
    <t>George S. Davidson;Brian N. Wylie;Kevin W. Boyack</t>
  </si>
  <si>
    <t>Sandia National Laboratories|c|;;</t>
  </si>
  <si>
    <t>Technical note: visually encoding program test information to find faults in software</t>
  </si>
  <si>
    <t>10.1109/INFVIS.2001.963277</t>
  </si>
  <si>
    <t>http://dx.doi.org/10.1109/INFVIS.2001.963277</t>
  </si>
  <si>
    <t>Abbott, L..</t>
  </si>
  <si>
    <t>Abdo, H.</t>
  </si>
  <si>
    <t>Abdrazakov, Y.</t>
  </si>
  <si>
    <t>Abdul-Rahman, A.</t>
  </si>
  <si>
    <t>Abedzadeh, N.</t>
  </si>
  <si>
    <t>Abel, P.</t>
  </si>
  <si>
    <t>Abel, T.</t>
  </si>
  <si>
    <t>Abello, J.</t>
  </si>
  <si>
    <t>Abowd, G.</t>
  </si>
  <si>
    <t>Abram, G.</t>
  </si>
  <si>
    <t>Abramov, D.I.</t>
  </si>
  <si>
    <t>Abrams, M.</t>
  </si>
  <si>
    <t>Abusalah, A.</t>
  </si>
  <si>
    <t>Accorsi, P.</t>
  </si>
  <si>
    <t>Acevedo, D.</t>
  </si>
  <si>
    <t>Adams, D.</t>
  </si>
  <si>
    <t>Adams, P.</t>
  </si>
  <si>
    <t>Adams, R.M.</t>
  </si>
  <si>
    <t>Adamy, U.</t>
  </si>
  <si>
    <t>Adar, E.</t>
  </si>
  <si>
    <t>Afergan, D.</t>
  </si>
  <si>
    <t>Afzal, S.</t>
  </si>
  <si>
    <t>Agarawala, A.</t>
  </si>
  <si>
    <t>Aggarwal, V.</t>
  </si>
  <si>
    <t>Agrawal, S.</t>
  </si>
  <si>
    <t>Agrawala, M.</t>
  </si>
  <si>
    <t>Agus, M.</t>
  </si>
  <si>
    <t>Agutter, J.</t>
  </si>
  <si>
    <t>Ahern, S.</t>
  </si>
  <si>
    <t>Ahlberg, C.</t>
  </si>
  <si>
    <t>Ahmed, A.</t>
  </si>
  <si>
    <t>Ahmed, N.</t>
  </si>
  <si>
    <t>Ahmed, Z.</t>
  </si>
  <si>
    <t>Ahrens, E.T.</t>
  </si>
  <si>
    <t>Ahrens, J.</t>
  </si>
  <si>
    <t>Ai, Z.</t>
  </si>
  <si>
    <t>Aidong Lu</t>
  </si>
  <si>
    <t>Aigner, W.</t>
  </si>
  <si>
    <t>Airong Luo</t>
  </si>
  <si>
    <t>Akers, D.</t>
  </si>
  <si>
    <t>Al-Awami, A.</t>
  </si>
  <si>
    <t>Alameldin, T.</t>
  </si>
  <si>
    <t>Albers, D.</t>
  </si>
  <si>
    <t>Albert, R.</t>
  </si>
  <si>
    <t>Albertelli, G.</t>
  </si>
  <si>
    <t>Albo, Y.</t>
  </si>
  <si>
    <t>Albrecht-Buehler, C.</t>
  </si>
  <si>
    <t>Albuquerque, G.</t>
  </si>
  <si>
    <t>Alcantara, D.A.</t>
  </si>
  <si>
    <t>Aldering, G.S.</t>
  </si>
  <si>
    <t>Aldrich, C.</t>
  </si>
  <si>
    <t>Alexa, M.</t>
  </si>
  <si>
    <t>Alexander, E.</t>
  </si>
  <si>
    <t>Alexander, T.</t>
  </si>
  <si>
    <t>Aliaga, D.</t>
  </si>
  <si>
    <t>Alim, U.</t>
  </si>
  <si>
    <t>Allan, J.</t>
  </si>
  <si>
    <t>Allard, J.</t>
  </si>
  <si>
    <t>Allen, D.</t>
  </si>
  <si>
    <t>Allendoerfer, K.</t>
  </si>
  <si>
    <t>Aller, J.</t>
  </si>
  <si>
    <t>Alliez, P.</t>
  </si>
  <si>
    <t>Allison, M.J.</t>
  </si>
  <si>
    <t>Almasi, G.</t>
  </si>
  <si>
    <t>Alper, B.</t>
  </si>
  <si>
    <t>Alper, N.</t>
  </si>
  <si>
    <t>Alpern, B.</t>
  </si>
  <si>
    <t>Alsakran, J.</t>
  </si>
  <si>
    <t>Alsallakh, B.</t>
  </si>
  <si>
    <t>Altobelli, D.</t>
  </si>
  <si>
    <t>Aluker, S.</t>
  </si>
  <si>
    <t>Alyea, F.</t>
  </si>
  <si>
    <t>Amar, R.</t>
  </si>
  <si>
    <t>Amburn, P.</t>
  </si>
  <si>
    <t>Ament, M.</t>
  </si>
  <si>
    <t>Amenta, N.</t>
  </si>
  <si>
    <t>Amershi, S.</t>
  </si>
  <si>
    <t>Amirkhanov, A.</t>
  </si>
  <si>
    <t>Ammer, A.</t>
  </si>
  <si>
    <t>Anacker, L.W.</t>
  </si>
  <si>
    <t>Anand, A.</t>
  </si>
  <si>
    <t>Anand, S.</t>
  </si>
  <si>
    <t>Anbang Xu</t>
  </si>
  <si>
    <t>Ancel, A.</t>
  </si>
  <si>
    <t>Ancuta, O.</t>
  </si>
  <si>
    <t>Anderson, A.W.</t>
  </si>
  <si>
    <t>Anderson, E.W.</t>
  </si>
  <si>
    <t>Anderson, J.C.</t>
  </si>
  <si>
    <t>Anderson, P.F.</t>
  </si>
  <si>
    <t>Anderson, W.</t>
  </si>
  <si>
    <t>Andersson, N.</t>
  </si>
  <si>
    <t>Andrews, C.</t>
  </si>
  <si>
    <t>Andrews, K.</t>
  </si>
  <si>
    <t>Andrews, S.</t>
  </si>
  <si>
    <t>Andrienko, G.</t>
  </si>
  <si>
    <t>Andrienko, N.</t>
  </si>
  <si>
    <t>Andriot, C.</t>
  </si>
  <si>
    <t>Andrysco, N.</t>
  </si>
  <si>
    <t>Ang, C.S.</t>
  </si>
  <si>
    <t>Angel, E.</t>
  </si>
  <si>
    <t>Angelelli, P.</t>
  </si>
  <si>
    <t>Angelini, M.</t>
  </si>
  <si>
    <t>Angus, D.</t>
  </si>
  <si>
    <t>Angus, I.G.</t>
  </si>
  <si>
    <t>Anilkumar Patro</t>
  </si>
  <si>
    <t>Ankerst, M.</t>
  </si>
  <si>
    <t>Anreddy, S.</t>
  </si>
  <si>
    <t>Antonijuan, M.</t>
  </si>
  <si>
    <t>Anupam, V.</t>
  </si>
  <si>
    <t>ap Cenydd, L.</t>
  </si>
  <si>
    <t>Appel, A.W.</t>
  </si>
  <si>
    <t>Aragon, C.R.</t>
  </si>
  <si>
    <t>Archambault, D.</t>
  </si>
  <si>
    <t>Ardito, O.</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</si>
  <si>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</si>
  <si>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Argiro, V.</t>
  </si>
  <si>
    <t>Anton L. Fuhrmann;Helwig Löffelmann;Dieter Schmalstieg</t>
  </si>
  <si>
    <t>James R. Eagan;Mary Jean Harrold;James A. Jones;John T. Stasko</t>
  </si>
  <si>
    <t>A. Fuhrmann;H. Loffelmann;D. Schmalstieg</t>
  </si>
  <si>
    <t>Arietta, S.M.</t>
  </si>
  <si>
    <t>Wien Univ. of Technol., Austria</t>
  </si>
  <si>
    <t>Aris, A.</t>
  </si>
  <si>
    <t>Georgia Institute of Technology Atlanta|c|;;;</t>
  </si>
  <si>
    <t>Arisona, S.M.</t>
  </si>
  <si>
    <t>Armstrong, R.</t>
  </si>
  <si>
    <t>Armstrong, Z.</t>
  </si>
  <si>
    <t>Getting along: composition of visualization paradigms</t>
  </si>
  <si>
    <t>Arrieta-Ortiz, M.L.</t>
  </si>
  <si>
    <t>10.1109/INFVIS.2001.963278</t>
  </si>
  <si>
    <t>Artero, A.O.</t>
  </si>
  <si>
    <t>Arunan, A.</t>
  </si>
  <si>
    <t>http://dx.doi.org/10.1109/INFVIS.2001.963278</t>
  </si>
  <si>
    <t>Ashton, N.W.</t>
  </si>
  <si>
    <t>Assa, J.</t>
  </si>
  <si>
    <t>Astrom, T.</t>
  </si>
  <si>
    <t>Atchley, S.</t>
  </si>
  <si>
    <t>Athawale, T.</t>
  </si>
  <si>
    <t>Atkins, M.S.</t>
  </si>
  <si>
    <t>Attfield, S.</t>
  </si>
  <si>
    <t>Au, N.</t>
  </si>
  <si>
    <t>Auber, D.</t>
  </si>
  <si>
    <t>Aubert, D.</t>
  </si>
  <si>
    <t>Auchus, A.P.</t>
  </si>
  <si>
    <t>Auer, S.</t>
  </si>
  <si>
    <t>Augustine, K.</t>
  </si>
  <si>
    <t>Aukstakalnis, S.</t>
  </si>
  <si>
    <t>Aulf, A.</t>
  </si>
  <si>
    <t>Auvil, L.</t>
  </si>
  <si>
    <t>Auzinger, T.</t>
  </si>
  <si>
    <t>Avalos, M.J.</t>
  </si>
  <si>
    <t>Avidan, T.</t>
  </si>
  <si>
    <t>Avila, R.</t>
  </si>
  <si>
    <t>Azanli, E.</t>
  </si>
  <si>
    <t>Azuma, R.</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</si>
  <si>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</si>
  <si>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Azuma, T.</t>
  </si>
  <si>
    <t>Holly E. Rushmeier;Richard D. Lawrence;George Almási 0002</t>
  </si>
  <si>
    <t>Baca, J.A.</t>
  </si>
  <si>
    <t>H. Rushmeier;R. Lawrence;G. Almasi</t>
  </si>
  <si>
    <t>Bach, B.</t>
  </si>
  <si>
    <t>Bacher, M.</t>
  </si>
  <si>
    <t>Bachmat, E.</t>
  </si>
  <si>
    <t>Bachthaler, S.</t>
  </si>
  <si>
    <t>Bachynskyi, M.</t>
  </si>
  <si>
    <t>Baclija, I.</t>
  </si>
  <si>
    <t>Badawood, D.</t>
  </si>
  <si>
    <t>Baddeley, B.</t>
  </si>
  <si>
    <t>Badre, A.</t>
  </si>
  <si>
    <t>Bae, J.</t>
  </si>
  <si>
    <t>Bahmutov, G.</t>
  </si>
  <si>
    <t>Bai Wang</t>
  </si>
  <si>
    <t>Baiker, M.</t>
  </si>
  <si>
    <t>Bailey, D.</t>
  </si>
  <si>
    <t>Bailey, M.</t>
  </si>
  <si>
    <t>Bailey, S.J.</t>
  </si>
  <si>
    <t>Bailly, G.</t>
  </si>
  <si>
    <t>Bainbridge, C.M.</t>
  </si>
  <si>
    <t>Bair, A.</t>
  </si>
  <si>
    <t>Bajaj, C.L.</t>
  </si>
  <si>
    <t>Bajura, M.</t>
  </si>
  <si>
    <t>Bak, P.</t>
  </si>
  <si>
    <t>Bakalash, R.</t>
  </si>
  <si>
    <t>Baker, C.</t>
  </si>
  <si>
    <t>Baker, J.</t>
  </si>
  <si>
    <t>Baker, M. P.</t>
  </si>
  <si>
    <t>Bakke, E.</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</si>
  <si>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</si>
  <si>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Balakrishnan, R.</t>
  </si>
  <si>
    <t>R.M. Taylor;S. Washburn;R. Superfine;Jun Chen;S. Okimoto;N. Llopis-Artime;V.L. Chi;F.P. Brooks;M. Falvo;S. Paulson;P. Thiansathaporn;D. Glick</t>
  </si>
  <si>
    <t>Baldwin, M.</t>
  </si>
  <si>
    <t>Balmelli, L.</t>
  </si>
  <si>
    <t>Balzer, M.</t>
  </si>
  <si>
    <t>Banbury, S.</t>
  </si>
  <si>
    <t>Banchoff, T.</t>
  </si>
  <si>
    <t>Bancroft, G.V.</t>
  </si>
  <si>
    <t>Bandopadhay, A.</t>
  </si>
  <si>
    <t>Banecki, G.</t>
  </si>
  <si>
    <t>Visual Insights, Inc.|c|</t>
  </si>
  <si>
    <t>Banerjee, D.</t>
  </si>
  <si>
    <t>10.1109/INFVIS.1997.636786;10.1109/VISUAL.1992.235217;10.1109/VISUAL.1991.175815;10.1109/INFVIS.1997.636718;10.1109/INFVIS.1997.636784;10.1109/INFVIS.1996.559214;10.1109/INFVIS.1998.729558</t>
  </si>
  <si>
    <t>Banfi, N.</t>
  </si>
  <si>
    <t>Banks, D.C.</t>
  </si>
  <si>
    <t>Bannach, A.</t>
  </si>
  <si>
    <t>Bao, Y.</t>
  </si>
  <si>
    <t>Baoquan Chen</t>
  </si>
  <si>
    <t>Animated exploration of dynamic graphs with radial layout</t>
  </si>
  <si>
    <t>Baptista, A.M.</t>
  </si>
  <si>
    <t>10.1109/INFVIS.2001.963279</t>
  </si>
  <si>
    <t>Barakat, S.S.</t>
  </si>
  <si>
    <t>http://dx.doi.org/10.1109/INFVIS.2001.963279</t>
  </si>
  <si>
    <t>Bardera, A.</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</si>
  <si>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</si>
  <si>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Barequet, G.</t>
  </si>
  <si>
    <t>J. Marti</t>
  </si>
  <si>
    <t>Barford, A.</t>
  </si>
  <si>
    <t>Defense Group Inc., Salt Lake City, UT, USA</t>
  </si>
  <si>
    <t>Barlow, J.</t>
  </si>
  <si>
    <t>Barlow, T.</t>
  </si>
  <si>
    <t>Barlowe, S.</t>
  </si>
  <si>
    <t>Barnett, J.</t>
  </si>
  <si>
    <t>Barp, S.</t>
  </si>
  <si>
    <t>Barr, A.</t>
  </si>
  <si>
    <t>Barrass, S.</t>
  </si>
  <si>
    <t>Barrett, H.</t>
  </si>
  <si>
    <t>Barrett, L.</t>
  </si>
  <si>
    <t>Barrett, W.A.</t>
  </si>
  <si>
    <t>Barro, H.</t>
  </si>
  <si>
    <t>Barry, P.</t>
  </si>
  <si>
    <t>Barsky, A.</t>
  </si>
  <si>
    <t>Bart, E.</t>
  </si>
  <si>
    <t>Barth, W.L.</t>
  </si>
  <si>
    <t>Bartling, U.</t>
  </si>
  <si>
    <t>Bartram, L.</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</si>
  <si>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</si>
  <si>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Bartroli, A.V.</t>
  </si>
  <si>
    <t>J.J. Loomis;Xiuwen Liu;Zhaohua Ding;K. Fujimura;M.L. Evans;H. Ishikawa</t>
  </si>
  <si>
    <t>Bartz, D.</t>
  </si>
  <si>
    <t>Ka-Ping Yee;Danyel Fisher;Rachna Dhamija;Marti A. Hearst</t>
  </si>
  <si>
    <t>Basalaj, W.</t>
  </si>
  <si>
    <t>University of California|c|;;;</t>
  </si>
  <si>
    <t>Bash, C.</t>
  </si>
  <si>
    <t>graph drawing, animation, interaction</t>
  </si>
  <si>
    <t>Basole, R.C.</t>
  </si>
  <si>
    <t>Bass, S.A.</t>
  </si>
  <si>
    <t>Basser, P.J.</t>
  </si>
  <si>
    <t>Batra, R.</t>
  </si>
  <si>
    <t>Baudel, T.</t>
  </si>
  <si>
    <t>Bauer, D.</t>
  </si>
  <si>
    <t>Bauer, J.</t>
  </si>
  <si>
    <t>Bauer, T.L.</t>
  </si>
  <si>
    <t>Baum, D.</t>
  </si>
  <si>
    <t>Effective graph visualization via node grouping</t>
  </si>
  <si>
    <t>Baumann, K.</t>
  </si>
  <si>
    <t>10.1109/INFVIS.2001.963280</t>
  </si>
  <si>
    <t>Baumes, J.</t>
  </si>
  <si>
    <t>http://dx.doi.org/10.1109/INFVIS.2001.963280</t>
  </si>
  <si>
    <t>Baur, D.</t>
  </si>
  <si>
    <t>Baust, M.</t>
  </si>
  <si>
    <t>Bavoil, L.</t>
  </si>
  <si>
    <t>Bayer, E.</t>
  </si>
  <si>
    <t>Beale, R.</t>
  </si>
  <si>
    <t>Beason, K.</t>
  </si>
  <si>
    <t>Beaudoin, L.</t>
  </si>
  <si>
    <t>Becher, D.</t>
  </si>
  <si>
    <t>Beck, F.</t>
  </si>
  <si>
    <t>Beck, P.</t>
  </si>
  <si>
    <t>Becker, B.</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</si>
  <si>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</si>
  <si>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Becker, R.A.</t>
  </si>
  <si>
    <t>D. Drake;T. Simpson;L. Smithmier;P. Rheingans</t>
  </si>
  <si>
    <t>Beddow, J.</t>
  </si>
  <si>
    <t>Bederson, B.B.</t>
  </si>
  <si>
    <t>Bedford, K.W.</t>
  </si>
  <si>
    <t>Beecham, R.</t>
  </si>
  <si>
    <t>Been, K.</t>
  </si>
  <si>
    <t>Beham, M.</t>
  </si>
  <si>
    <t>Behr, J.</t>
  </si>
  <si>
    <t>Behr, M.</t>
  </si>
  <si>
    <t>Behrisch, M.</t>
  </si>
  <si>
    <t>Bei Wang</t>
  </si>
  <si>
    <t>Beigel, R.</t>
  </si>
  <si>
    <t>Bein, K.</t>
  </si>
  <si>
    <t>Bekins, D.</t>
  </si>
  <si>
    <t>Bekker, H.</t>
  </si>
  <si>
    <t>Belcher, E.</t>
  </si>
  <si>
    <t>Bemis, K.</t>
  </si>
  <si>
    <t>Bender, M.</t>
  </si>
  <si>
    <t>Janet M. Six;Ioannis G. Tollis</t>
  </si>
  <si>
    <t>Bendich, P.</t>
  </si>
  <si>
    <t>Bendix, F.</t>
  </si>
  <si>
    <t>Benedik, R.</t>
  </si>
  <si>
    <t>The University of Texas|c|;</t>
  </si>
  <si>
    <t>Benes, B.</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</si>
  <si>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</si>
  <si>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Benford, S.</t>
  </si>
  <si>
    <t>L. Sobierajski;W. Schroeder</t>
  </si>
  <si>
    <t>GE Corp. Res. &amp; Dev., Miskayuna, NY, USA</t>
  </si>
  <si>
    <t>Bennett, J.C.</t>
  </si>
  <si>
    <t>Bensema, K.</t>
  </si>
  <si>
    <t>Bentley, C.L.</t>
  </si>
  <si>
    <t>Graph Drawing, Graph Visualization, Force-Directed Drawing, Orthogonal Drawing, Node Grouping, Experimental Studies</t>
  </si>
  <si>
    <t>Benton, S.A.</t>
  </si>
  <si>
    <t>Berchtold, S.</t>
  </si>
  <si>
    <t>Visualization of state transition graphs</t>
  </si>
  <si>
    <t>Berge, C.S.Z.</t>
  </si>
  <si>
    <t>10.1109/INFVIS.2001.963281</t>
  </si>
  <si>
    <t>Berger, C.</t>
  </si>
  <si>
    <t>http://dx.doi.org/10.1109/INFVIS.2001.963281</t>
  </si>
  <si>
    <t>Berger, W.</t>
  </si>
  <si>
    <t>Bergeron, R.D.</t>
  </si>
  <si>
    <t>Bergman, L.D.</t>
  </si>
  <si>
    <t>Bergner, S.</t>
  </si>
  <si>
    <t>Beric, M.</t>
  </si>
  <si>
    <t>Bermudez, J.</t>
  </si>
  <si>
    <t>Bernadin, T.</t>
  </si>
  <si>
    <t>Bernard, J.</t>
  </si>
  <si>
    <t>Bernardini, F.</t>
  </si>
  <si>
    <t>Bernhard, M.</t>
  </si>
  <si>
    <t>Bernhardt, J.</t>
  </si>
  <si>
    <t>Bernstein, M.S.</t>
  </si>
  <si>
    <t>Berry, L.</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</si>
  <si>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</si>
  <si>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Bertam, M.</t>
  </si>
  <si>
    <t>S. Kuschfeldt;T. Ertl;M. Holzner</t>
  </si>
  <si>
    <t>Bertel, F.</t>
  </si>
  <si>
    <t>Bertelheimer, W.</t>
  </si>
  <si>
    <t>Berth, M.</t>
  </si>
  <si>
    <t>Bertini, E.</t>
  </si>
  <si>
    <t>Bertram, M.</t>
  </si>
  <si>
    <t>Bescos, J.O.</t>
  </si>
  <si>
    <t>Beshers, C.</t>
  </si>
  <si>
    <t>Best, D.</t>
  </si>
  <si>
    <t>Bethel, E.W.</t>
  </si>
  <si>
    <t>Bethel, W.</t>
  </si>
  <si>
    <t>Betro, M.</t>
  </si>
  <si>
    <t>Betts, A.</t>
  </si>
  <si>
    <t>Beuing, O.</t>
  </si>
  <si>
    <t>Frank van Ham;Huub van de Wetering;Jarke J. van Wijk</t>
  </si>
  <si>
    <t>Eindhoven University of Technology|c|;;</t>
  </si>
  <si>
    <t>Beyer, J.</t>
  </si>
  <si>
    <t>Bezerianos, A.</t>
  </si>
  <si>
    <t>Bhaniramka, P.</t>
  </si>
  <si>
    <t>Bhasker, E.</t>
  </si>
  <si>
    <t>Graph sketches</t>
  </si>
  <si>
    <t>10.1109/INFVIS.2001.963282</t>
  </si>
  <si>
    <t>Bhatele, A.</t>
  </si>
  <si>
    <t>http://dx.doi.org/10.1109/INFVIS.2001.963282</t>
  </si>
  <si>
    <t>Bhattacharya, G.</t>
  </si>
  <si>
    <t>Bianchi, A.G.C.</t>
  </si>
  <si>
    <t>Biddiscombe, J.</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</si>
  <si>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</si>
  <si>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Biddlecome, T.</t>
  </si>
  <si>
    <t>Bidmon, K.</t>
  </si>
  <si>
    <t>M.A. Livingston</t>
  </si>
  <si>
    <t>Bielser, D.</t>
  </si>
  <si>
    <t>Bier, E.A.</t>
  </si>
  <si>
    <t>Bilgic, M.</t>
  </si>
  <si>
    <t>Bin Wu</t>
  </si>
  <si>
    <t>Bing Ma</t>
  </si>
  <si>
    <t>Bing Ni</t>
  </si>
  <si>
    <t>Bing Wang</t>
  </si>
  <si>
    <t>Bingchen Liu</t>
  </si>
  <si>
    <t>Bingert, J.F.</t>
  </si>
  <si>
    <t>Bingham, G.P.</t>
  </si>
  <si>
    <t>Binghan Xu</t>
  </si>
  <si>
    <t>Binh Pham</t>
  </si>
  <si>
    <t>Biolsi, K.</t>
  </si>
  <si>
    <t>Birn, L.</t>
  </si>
  <si>
    <t>James Abello;Irene Finocchi;Jeffrey L. Korn</t>
  </si>
  <si>
    <t>Birol, I.</t>
  </si>
  <si>
    <t>AT&amp;T Labs-Research|c|;;</t>
  </si>
  <si>
    <t>Bischi, G.-I.</t>
  </si>
  <si>
    <t>Bischof, C.</t>
  </si>
  <si>
    <t>Bista, S.</t>
  </si>
  <si>
    <t>Biswas, A.</t>
  </si>
  <si>
    <t>visualization, massive data sets, graphs, hierarchies</t>
  </si>
  <si>
    <t>Bitter, I.</t>
  </si>
  <si>
    <t>Bittner, J.</t>
  </si>
  <si>
    <t>Bjerg, E.</t>
  </si>
  <si>
    <t>Bjork, S.</t>
  </si>
  <si>
    <t>Blaas, J.</t>
  </si>
  <si>
    <t>Bladek, A.J.</t>
  </si>
  <si>
    <t>Ordered treemap layouts</t>
  </si>
  <si>
    <t>10.1109/INFVIS.2001.963283</t>
  </si>
  <si>
    <t>Blanch, R.</t>
  </si>
  <si>
    <t>http://dx.doi.org/10.1109/INFVIS.2001.963283</t>
  </si>
  <si>
    <t>Blanchard, P.</t>
  </si>
  <si>
    <t>Blanford, J.</t>
  </si>
  <si>
    <t>Blascheck, T.</t>
  </si>
  <si>
    <t>Blattner, M.M.</t>
  </si>
  <si>
    <t>Blendell, J.</t>
  </si>
  <si>
    <t>Block, F.</t>
  </si>
  <si>
    <t>Bloschl, G.</t>
  </si>
  <si>
    <t>Boada, I.</t>
  </si>
  <si>
    <t>Bobach, T.</t>
  </si>
  <si>
    <t>Bock, A.</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</si>
  <si>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</si>
  <si>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Bodnar, A.</t>
  </si>
  <si>
    <t>Bodnar, J.W.</t>
  </si>
  <si>
    <t>P. Crossno;E. Angel</t>
  </si>
  <si>
    <t>Dept. of Comput. Sci., New Mexico Univ., Albuquerque, NM, USA</t>
  </si>
  <si>
    <t>Bogl, M.</t>
  </si>
  <si>
    <t>Bögl, M.</t>
  </si>
  <si>
    <t>Bogomjakov, A.</t>
  </si>
  <si>
    <t>Bohn, S.</t>
  </si>
  <si>
    <t>Bohyoung Kim</t>
  </si>
  <si>
    <t>Boissonnat, J.-D.</t>
  </si>
  <si>
    <t>Boivin, E.</t>
  </si>
  <si>
    <t>Bolstad, M.</t>
  </si>
  <si>
    <t>Boltman, A.</t>
  </si>
  <si>
    <t>Bonde, S.</t>
  </si>
  <si>
    <t>Ben Shneiderman;Martin Wattenberg</t>
  </si>
  <si>
    <t>University of Maryland|c|;</t>
  </si>
  <si>
    <t>Bongarter, E.</t>
  </si>
  <si>
    <t>10.1109/VISUAL.1992.235217;10.1109/VISUAL.1991.175815</t>
  </si>
  <si>
    <t>Bongshin Lee</t>
  </si>
  <si>
    <t xml:space="preserve">treemaps, ordered treemaps, trees, hierarchies, information visualization </t>
  </si>
  <si>
    <t>Bonneau, G.-P.</t>
  </si>
  <si>
    <t>Bonneau, R.</t>
  </si>
  <si>
    <t>Collapsible cylindrical trees: a fast hierarchical navigation technique</t>
  </si>
  <si>
    <t>Bonnell, K.</t>
  </si>
  <si>
    <t>10.1109/INFVIS.2001.963284</t>
  </si>
  <si>
    <t>Boone, K.</t>
  </si>
  <si>
    <t>http://dx.doi.org/10.1109/INFVIS.2001.963284</t>
  </si>
  <si>
    <t>Borchers, M.</t>
  </si>
  <si>
    <t>Bordoloi, U.D.</t>
  </si>
  <si>
    <t>Borga, M.</t>
  </si>
  <si>
    <t>Borgo, R.</t>
  </si>
  <si>
    <t>Boring, E.</t>
  </si>
  <si>
    <t>Boring, S.</t>
  </si>
  <si>
    <t>Borkin, D.</t>
  </si>
  <si>
    <t>Borkin, M.</t>
  </si>
  <si>
    <t>Born, S.</t>
  </si>
  <si>
    <t>Borner, K.</t>
  </si>
  <si>
    <t>Borowsky, M.</t>
  </si>
  <si>
    <t>Bosch, H.</t>
  </si>
  <si>
    <t>Bosche, R.</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</si>
  <si>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</si>
  <si>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Boscoe, F.P.</t>
  </si>
  <si>
    <t>S.M. Smith;G.N. Williams</t>
  </si>
  <si>
    <t>Bosquet, F.</t>
  </si>
  <si>
    <t>Dept. of Comput. Sci., Texas A&amp;M Univ., College Station, TX, USA</t>
  </si>
  <si>
    <t>Bossen, F.</t>
  </si>
  <si>
    <t>Bossert, J.</t>
  </si>
  <si>
    <t>Bostock, M.</t>
  </si>
  <si>
    <t>Botchen, R.P.</t>
  </si>
  <si>
    <t>Botha, C.P.</t>
  </si>
  <si>
    <t>Boto, R.A.</t>
  </si>
  <si>
    <t>Botros, J.</t>
  </si>
  <si>
    <t>Bottger, J.</t>
  </si>
  <si>
    <t>Bottinger, M.</t>
  </si>
  <si>
    <t>Botts, M.</t>
  </si>
  <si>
    <t>Boubela, R.N.</t>
  </si>
  <si>
    <t>Boudreau, R.</t>
  </si>
  <si>
    <t>Boukhelifa, N.</t>
  </si>
  <si>
    <t>Bouvier, D.J.</t>
  </si>
  <si>
    <t>Bouvier, E.</t>
  </si>
  <si>
    <t>Bouzari, H.</t>
  </si>
  <si>
    <t>Bowen Yu</t>
  </si>
  <si>
    <t>Bowerman, A.</t>
  </si>
  <si>
    <t>Bowie, J.</t>
  </si>
  <si>
    <t>Bowman, D.A.</t>
  </si>
  <si>
    <t>Bowman, I.</t>
  </si>
  <si>
    <t>Bown, R.</t>
  </si>
  <si>
    <t>Boy, J.</t>
  </si>
  <si>
    <t>Boyack, K.W.</t>
  </si>
  <si>
    <t>M. Cox;R. Crawfis;B. Hamann;C. Hansen;M. Miller</t>
  </si>
  <si>
    <t>Boyd, D.</t>
  </si>
  <si>
    <t>NASA Ames Research Center</t>
  </si>
  <si>
    <t>Boyd, M.</t>
  </si>
  <si>
    <t>Boyle, J.M.</t>
  </si>
  <si>
    <t>Bradel, L.</t>
  </si>
  <si>
    <t>Bradley, D.</t>
  </si>
  <si>
    <t>Bradshaw, S.</t>
  </si>
  <si>
    <t>Brady, M.</t>
  </si>
  <si>
    <t>Brady, R.</t>
  </si>
  <si>
    <t>Braham, R.</t>
  </si>
  <si>
    <t>Brainerd, J.</t>
  </si>
  <si>
    <t>Brambilla, A.</t>
  </si>
  <si>
    <t>Brandes, U.</t>
  </si>
  <si>
    <t>Brandt, A.</t>
  </si>
  <si>
    <t>S. Laskowski;G. Wills;B. Rogowitz</t>
  </si>
  <si>
    <t>National Institute for Standards and Technology</t>
  </si>
  <si>
    <t>Brankin, L.</t>
  </si>
  <si>
    <t>Brannon, R.</t>
  </si>
  <si>
    <t>Brasher, M.</t>
  </si>
  <si>
    <t>Brath, R.</t>
  </si>
  <si>
    <t>Braud, A.</t>
  </si>
  <si>
    <t>Braun, H.-W.</t>
  </si>
  <si>
    <t>Braun, M.</t>
  </si>
  <si>
    <t>Braun, S.J.</t>
  </si>
  <si>
    <t>Braunstein, E.</t>
  </si>
  <si>
    <t>Bray, M.-A.P.</t>
  </si>
  <si>
    <t>Brazil, E.V.</t>
  </si>
  <si>
    <t>Brecheisen, R.</t>
  </si>
  <si>
    <t>Brederson, J.D.</t>
  </si>
  <si>
    <t>Breen, D.</t>
  </si>
  <si>
    <t>Breen, P.T., Jr.</t>
  </si>
  <si>
    <t>Breeuwer, M.</t>
  </si>
  <si>
    <t>Brehmer, M.</t>
  </si>
  <si>
    <t>Breitschwerdt, D.</t>
  </si>
  <si>
    <t>Bremer, P.-T.</t>
  </si>
  <si>
    <t>Bremm, S.</t>
  </si>
  <si>
    <t>Brennan, S.E.</t>
  </si>
  <si>
    <t>Bresciani, S.</t>
  </si>
  <si>
    <t>Breslau, J.</t>
  </si>
  <si>
    <t>H. Barrett;P. Rheingans;S. Uselton;A. Watson</t>
  </si>
  <si>
    <t>Breslav, S.</t>
  </si>
  <si>
    <t>University of Arizona</t>
  </si>
  <si>
    <t>Breuer, C.</t>
  </si>
  <si>
    <t>Breuer, K.</t>
  </si>
  <si>
    <t>Brewer, I.</t>
  </si>
  <si>
    <t>1998</t>
  </si>
  <si>
    <t>Brewstel, P.</t>
  </si>
  <si>
    <t>Brewster, M.</t>
  </si>
  <si>
    <t>Bridgeman, S.</t>
  </si>
  <si>
    <t>Brill, M.</t>
  </si>
  <si>
    <t>Bringa, E.M.</t>
  </si>
  <si>
    <t>Bringay, S.</t>
  </si>
  <si>
    <t>Brittain, D.L.</t>
  </si>
  <si>
    <t>Brivio, P.</t>
  </si>
  <si>
    <t>Brodbeck, D.</t>
  </si>
  <si>
    <t>Brodie, K.</t>
  </si>
  <si>
    <t>Brodkorb, F.</t>
  </si>
  <si>
    <t>Brodley, C.E.</t>
  </si>
  <si>
    <t>Brodlie, K.</t>
  </si>
  <si>
    <t>Broeksema, B.</t>
  </si>
  <si>
    <t>Bromm, V.</t>
  </si>
  <si>
    <t>Brookes, G.</t>
  </si>
  <si>
    <t>Brooks, F.P., Jr.</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</si>
  <si>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</si>
  <si>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Emmanuel Frécon;Gareth Smith</t>
  </si>
  <si>
    <t>E. Frecon;G. Smith</t>
  </si>
  <si>
    <t>Brooks, M.</t>
  </si>
  <si>
    <t>Swedish Inst. of Comput. Sci., Sweden</t>
  </si>
  <si>
    <t>Brown, B.</t>
  </si>
  <si>
    <t>Brown, D.C.</t>
  </si>
  <si>
    <t>Brown, E.T.</t>
  </si>
  <si>
    <t>Brown, M.H.</t>
  </si>
  <si>
    <t>Brown, M.S.</t>
  </si>
  <si>
    <t>Bruce, J.</t>
  </si>
  <si>
    <t>Bruckner, S.</t>
  </si>
  <si>
    <t>Brudno, M.</t>
  </si>
  <si>
    <t>Brugger, E.</t>
  </si>
  <si>
    <t>Brulin, M.</t>
  </si>
  <si>
    <t>Brumbaugh, L.</t>
  </si>
  <si>
    <t>Brunella, R.</t>
  </si>
  <si>
    <t>Brunet, T.</t>
  </si>
  <si>
    <t>Brunsdon, C.</t>
  </si>
  <si>
    <t>Brusilovsky, P.</t>
  </si>
  <si>
    <t>Bruyns, C.</t>
  </si>
  <si>
    <t>Bryan Chan</t>
  </si>
  <si>
    <t>Bryan, C.</t>
  </si>
  <si>
    <t>Bryan, J.</t>
  </si>
  <si>
    <t>Bryson, S.</t>
  </si>
  <si>
    <t>Buchetics, M.</t>
  </si>
  <si>
    <t>Buchholz, H.</t>
  </si>
  <si>
    <t>Buchin, K.</t>
  </si>
  <si>
    <t>Buchmuller, J.</t>
  </si>
  <si>
    <t>Buck-Coleman, A.</t>
  </si>
  <si>
    <t>Buddelmeijer, H.</t>
  </si>
  <si>
    <t>Bue, B.</t>
  </si>
  <si>
    <t>Buhler, K.</t>
  </si>
  <si>
    <t>Buhler, k.</t>
  </si>
  <si>
    <t>Buijs, P.C.</t>
  </si>
  <si>
    <t>Buja, A.</t>
  </si>
  <si>
    <t>Bulsara, K.</t>
  </si>
  <si>
    <t>Bum Chul Kwon</t>
  </si>
  <si>
    <t>Bunge, H.-P.</t>
  </si>
  <si>
    <t>Burakiewicz, W.</t>
  </si>
  <si>
    <t>Burbach, H.</t>
  </si>
  <si>
    <t>Burch, M.</t>
  </si>
  <si>
    <t>Burchard, P.</t>
  </si>
  <si>
    <t>Burette, A.</t>
  </si>
  <si>
    <t>Burger, K.</t>
  </si>
  <si>
    <t>Bürger, K.</t>
  </si>
  <si>
    <t>Burger, P.</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</si>
  <si>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</si>
  <si>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Burgkart, R.</t>
  </si>
  <si>
    <t>J.L. Korn;A.W. Appel</t>
  </si>
  <si>
    <t>Burgman, A.</t>
  </si>
  <si>
    <t>Buring, T.</t>
  </si>
  <si>
    <t>Burke, S.</t>
  </si>
  <si>
    <t>Burkle, D.</t>
  </si>
  <si>
    <t>Burks, M.B.</t>
  </si>
  <si>
    <t>Burleigh, S.</t>
  </si>
  <si>
    <t>Burnetti, J.</t>
  </si>
  <si>
    <t>Burns, C.A.</t>
  </si>
  <si>
    <t>Burtner, R.</t>
  </si>
  <si>
    <t>Burton, C.A.</t>
  </si>
  <si>
    <t>Buscher, M.</t>
  </si>
  <si>
    <t>Buser, M.</t>
  </si>
  <si>
    <t>Bustos, B.</t>
  </si>
  <si>
    <t>Butkiewicz, T.</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</si>
  <si>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</si>
  <si>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Butler, D.M.</t>
  </si>
  <si>
    <t>Chang-Sung Jeong;A. Pang</t>
  </si>
  <si>
    <t>Butler, P.</t>
  </si>
  <si>
    <t>Dept. of Electron. Eng., Korea Univ., Seoul, South Korea</t>
  </si>
  <si>
    <t>Butner, S.</t>
  </si>
  <si>
    <t>Butscher, S.</t>
  </si>
  <si>
    <t>Raimund Dachselt;J�_rgen Ebert</t>
  </si>
  <si>
    <t>Butz, A.</t>
  </si>
  <si>
    <t>Dresden University of Technology|c|;</t>
  </si>
  <si>
    <t>Buzydlowski, J.</t>
  </si>
  <si>
    <t>10.1109/INFVIS.1997.636718;10.1109/INFVIS.1995.528692;10.1109/VISUAL.1991.175815</t>
  </si>
  <si>
    <t>Byeong Seok Shin</t>
  </si>
  <si>
    <t>visualization, web navigation, hierarchy, interactive tree, sitemap, 3D graphics, VRML, XML</t>
  </si>
  <si>
    <t>Byeonghun Lee</t>
  </si>
  <si>
    <t>Bylinskii, Z.</t>
  </si>
  <si>
    <t>Byonghyo Shim</t>
  </si>
  <si>
    <t>Botanical visualization of huge hierarchies</t>
  </si>
  <si>
    <t>Byrne, L.</t>
  </si>
  <si>
    <t>10.1109/INFVIS.2001.963285</t>
  </si>
  <si>
    <t>Byron, L.</t>
  </si>
  <si>
    <t>Byska, J.</t>
  </si>
  <si>
    <t>http://dx.doi.org/10.1109/INFVIS.2001.963285</t>
  </si>
  <si>
    <t>Caban, J.J.</t>
  </si>
  <si>
    <t>Cahoon, P.</t>
  </si>
  <si>
    <t>Calderon, N.A.</t>
  </si>
  <si>
    <t>Callahan, S.P.</t>
  </si>
  <si>
    <t>Callan-Jones, A.</t>
  </si>
  <si>
    <t>Calo, V.</t>
  </si>
  <si>
    <t>Cammarano, M.</t>
  </si>
  <si>
    <t>Campbell, S.</t>
  </si>
  <si>
    <t>Campbell, W.J.</t>
  </si>
  <si>
    <t>Canfield, C.M.</t>
  </si>
  <si>
    <t>Canny, J.</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</si>
  <si>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</si>
  <si>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Cantareiro, G.</t>
  </si>
  <si>
    <t>Cantarella, J.</t>
  </si>
  <si>
    <t>Lucent Technol., AT&amp;T Bell Labs., Naperville, IL, USA</t>
  </si>
  <si>
    <t>Cap, C.H.</t>
  </si>
  <si>
    <t>Capps, M.</t>
  </si>
  <si>
    <t>Card, S.K.</t>
  </si>
  <si>
    <t>Carenini, G.</t>
  </si>
  <si>
    <t>Carlbom, I.</t>
  </si>
  <si>
    <t>Carlis, J.V.</t>
  </si>
  <si>
    <t>Carmean, D.M.</t>
  </si>
  <si>
    <t>Carmel, L.</t>
  </si>
  <si>
    <t>Carnecky, R.</t>
  </si>
  <si>
    <t>Ernst Kleiberg;Huub van de Wetering;Jarke J. van Wijk</t>
  </si>
  <si>
    <t>Carpendale, S.</t>
  </si>
  <si>
    <t>Carpenter, A.E.</t>
  </si>
  <si>
    <t>10.1109/INFVIS.1995.528689;10.1109/INFVIS.1999.801860</t>
  </si>
  <si>
    <t>botanical tree, logical tree, huge hierarchy, strands, tree visualization, directory tree, phyllotaxis</t>
  </si>
  <si>
    <t>Carr, H.</t>
  </si>
  <si>
    <t>Carr, L.</t>
  </si>
  <si>
    <t>Semantic depth of field</t>
  </si>
  <si>
    <t>Carranza, J.</t>
  </si>
  <si>
    <t>10.1109/INFVIS.2001.963286</t>
  </si>
  <si>
    <t>Carriere, J.</t>
  </si>
  <si>
    <t>http://dx.doi.org/10.1109/INFVIS.2001.963286</t>
  </si>
  <si>
    <t>Carter, L.</t>
  </si>
  <si>
    <t>Castagliola, P.</t>
  </si>
  <si>
    <t>Castanie, L.</t>
  </si>
  <si>
    <t>Castellanos, M.</t>
  </si>
  <si>
    <t>Castro, S.</t>
  </si>
  <si>
    <t>Catravas, P.</t>
  </si>
  <si>
    <t>Caubet, R.</t>
  </si>
  <si>
    <t>Caudell, T.P.</t>
  </si>
  <si>
    <t>Caumon, G.</t>
  </si>
  <si>
    <t>Cavallo, J.</t>
  </si>
  <si>
    <t>Cavin, X.</t>
  </si>
  <si>
    <t>Cebral, J.R.</t>
  </si>
  <si>
    <t>Cedilnik, A.</t>
  </si>
  <si>
    <t>Celler, A.</t>
  </si>
  <si>
    <t>Celniker, G.</t>
  </si>
  <si>
    <t>Cerco, C.F.</t>
  </si>
  <si>
    <t>Cernesson, F.</t>
  </si>
  <si>
    <t>Cervenansky, M.</t>
  </si>
  <si>
    <t>Cha, S.</t>
  </si>
  <si>
    <t>Chai, J.</t>
  </si>
  <si>
    <t>Chaitanya Gurijala, K.</t>
  </si>
  <si>
    <t>Chakaveh, S.</t>
  </si>
  <si>
    <t>Chakraborty, P.</t>
  </si>
  <si>
    <t>Chakravarty, I.</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</si>
  <si>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</si>
  <si>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Chalmers, M.</t>
  </si>
  <si>
    <t>M.C. Chuah</t>
  </si>
  <si>
    <t>Chamberland, C.</t>
  </si>
  <si>
    <t>Chan, B.</t>
  </si>
  <si>
    <t>Chandak, A.</t>
  </si>
  <si>
    <t>Chang-Sung Jeong</t>
  </si>
  <si>
    <t>Chang, E.-C.</t>
  </si>
  <si>
    <t>Robert Kosara;Silvia Miksch;Helwig Hauser</t>
  </si>
  <si>
    <t>Chang, N.L.</t>
  </si>
  <si>
    <t>Vienna University of Technology|c|;;</t>
  </si>
  <si>
    <t>Chang, R.</t>
  </si>
  <si>
    <t>10.1109/VISUAL.2000.885698;10.1109/INFVIS.2000.885088</t>
  </si>
  <si>
    <t>Depth of Field, Focus and Context, Information Visualization</t>
  </si>
  <si>
    <t>Changgong Zhang</t>
  </si>
  <si>
    <t>Changhyun Lee</t>
  </si>
  <si>
    <t>Interactive visualization of multiple query results</t>
  </si>
  <si>
    <t>Chao Han</t>
  </si>
  <si>
    <t>10.1109/INFVIS.2001.963287</t>
  </si>
  <si>
    <t>Chao Ma</t>
  </si>
  <si>
    <t>http://dx.doi.org/10.1109/INFVIS.2001.963287</t>
  </si>
  <si>
    <t>Chao Wang</t>
  </si>
  <si>
    <t>Chao, W.</t>
  </si>
  <si>
    <t>Chaoli Wang</t>
  </si>
  <si>
    <t>Chaomei Chen</t>
  </si>
  <si>
    <t>Chapman, P.</t>
  </si>
  <si>
    <t>Chau, D.</t>
  </si>
  <si>
    <t>Chen Yu</t>
  </si>
  <si>
    <t>Chen, B.</t>
  </si>
  <si>
    <t>Chen, C.</t>
  </si>
  <si>
    <t>Chen, D.T.</t>
  </si>
  <si>
    <t>Chen, H.</t>
  </si>
  <si>
    <t>Chen, J.</t>
  </si>
  <si>
    <t>Chen, J.H.</t>
  </si>
  <si>
    <t>Chen, L.</t>
  </si>
  <si>
    <t>The paper describes a general formulation of the "detail-in-context"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"seamless multi level views", which allow multiple global views of an information space (each having different information content) to be integrated into a single view without discontinuity.</t>
  </si>
  <si>
    <t>Chen, M.</t>
  </si>
  <si>
    <t>T.A. Keahey</t>
  </si>
  <si>
    <t>Chen, P.C.</t>
  </si>
  <si>
    <t>Chen, V.</t>
  </si>
  <si>
    <t>Chen, W.</t>
  </si>
  <si>
    <t>Chen, Y.</t>
  </si>
  <si>
    <t>Cheng Zheng</t>
  </si>
  <si>
    <t>Cheng-Kai Chen</t>
  </si>
  <si>
    <t>Susan L. Havre;Elizabeth G. Hetzler;Kenneth A. Perrine;Elizabeth Jurrus;Nancy Miller</t>
  </si>
  <si>
    <t>Cheng, H.-L.</t>
  </si>
  <si>
    <t>Battelle Pacific Northwest Division|c|;;;;</t>
  </si>
  <si>
    <t>10.1109/INFVIS.1998.729570;10.1109/VISUAL.1998.745302;10.1109/VISUAL.1993.398863</t>
  </si>
  <si>
    <t>Chengwei Feng</t>
  </si>
  <si>
    <t>Cheuk Yiu Ip</t>
  </si>
  <si>
    <t>Pixel bar charts: a new technique for visualizing large multi-attribute data sets without aggregation</t>
  </si>
  <si>
    <t>Cheung, B.</t>
  </si>
  <si>
    <t>10.1109/INFVIS.2001.963288</t>
  </si>
  <si>
    <t>Cheung, S.C.</t>
  </si>
  <si>
    <t>http://dx.doi.org/10.1109/INFVIS.2001.963288</t>
  </si>
  <si>
    <t>Chevalier, F.</t>
  </si>
  <si>
    <t>Chhugani, J.</t>
  </si>
  <si>
    <t>Chi-Bin Chien</t>
  </si>
  <si>
    <t>Chi-Chun Pan</t>
  </si>
  <si>
    <t>Chi-Keung Tang</t>
  </si>
  <si>
    <t>Chi-Lun Lin</t>
  </si>
  <si>
    <t>Chi-Tang Chang</t>
  </si>
  <si>
    <t>Chi-Wing Fu</t>
  </si>
  <si>
    <t>Chi, E.H.</t>
  </si>
  <si>
    <t>Chi, V.L.</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</si>
  <si>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</si>
  <si>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Chia Shen</t>
  </si>
  <si>
    <t>M. Ankerst;S. Berchtold;D.A. Keim</t>
  </si>
  <si>
    <t>Chiang, L.-J.</t>
  </si>
  <si>
    <t>Munich Univ., Germany</t>
  </si>
  <si>
    <t>Chien, L.</t>
  </si>
  <si>
    <t>Chiew-Lan Tai</t>
  </si>
  <si>
    <t>Chignell, M.H.</t>
  </si>
  <si>
    <t>Childs, H.</t>
  </si>
  <si>
    <t>Chin-A-Woeng, J.W.C.</t>
  </si>
  <si>
    <t>Chin, G.</t>
  </si>
  <si>
    <t>Ching-Yung Lin</t>
  </si>
  <si>
    <t>Chiocca, E.A.</t>
  </si>
  <si>
    <t>Chiricota, Y.</t>
  </si>
  <si>
    <t>Chitiboi, T.</t>
  </si>
  <si>
    <t>Chiw, C.</t>
  </si>
  <si>
    <t>Chlan, E.B.</t>
  </si>
  <si>
    <t>Cho, I.</t>
  </si>
  <si>
    <t>Daniel A. Keim;Ming C. Hao;Julian Ladisch;Meichun Hsu;Umeshwar Dayal</t>
  </si>
  <si>
    <t>Choi, B.K.</t>
  </si>
  <si>
    <t>Choi, M.-Y.</t>
  </si>
  <si>
    <t>Hewlett Packard Research Laboratories|c|;;;;</t>
  </si>
  <si>
    <t>10.1109/VISUAL.1995.485140;10.1109/VISUAL.1993.398870;10.1109/INFVIS.1999.801867;10.1109/VISUAL.1991.175794;10.1109/VISUAL.1990.146387;10.1109/VISUAL.1990.146402;10.1109/INFVIS.1995.528690;10.1109/VISUAL.1990.146386</t>
  </si>
  <si>
    <t>Choi, S.</t>
  </si>
  <si>
    <t>Chong Zhang</t>
  </si>
  <si>
    <t>Chong, M.S.</t>
  </si>
  <si>
    <t>An empirical comparison of three commercial information visualization systems</t>
  </si>
  <si>
    <t>10.1109/INFVIS.2001.963289</t>
  </si>
  <si>
    <t>Chopra, P.</t>
  </si>
  <si>
    <t>http://dx.doi.org/10.1109/INFVIS.2001.963289</t>
  </si>
  <si>
    <t>Choudhury, S.</t>
  </si>
  <si>
    <t>Chow, M.M.</t>
  </si>
  <si>
    <t>Christel, M.G.</t>
  </si>
  <si>
    <t>Christensen, B.K.</t>
  </si>
  <si>
    <t>Christensen, M.</t>
  </si>
  <si>
    <t>Christie, R.D.</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</si>
  <si>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</si>
  <si>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Christon, M.A.</t>
  </si>
  <si>
    <t>Ed Huai-Hsin Chi;J.T. Riedl</t>
  </si>
  <si>
    <t>Dept. of Comput. Sci. &amp; Eng., Minnesota Univ., MN, USA</t>
  </si>
  <si>
    <t>Alfred Kobsa</t>
  </si>
  <si>
    <t>University of California|c|</t>
  </si>
  <si>
    <t>A comparison of 2-D visualizations of hierarchies</t>
  </si>
  <si>
    <t>10.1109/INFVIS.2001.963290</t>
  </si>
  <si>
    <t>Christoph, B.</t>
  </si>
  <si>
    <t>http://dx.doi.org/10.1109/INFVIS.2001.963290</t>
  </si>
  <si>
    <t>Chu, A.</t>
  </si>
  <si>
    <t>Chuah, M.C.</t>
  </si>
  <si>
    <t>Chuan-Kai Yang</t>
  </si>
  <si>
    <t>Chuang, J.</t>
  </si>
  <si>
    <t>Chufan Lai</t>
  </si>
  <si>
    <t>Chun Lau</t>
  </si>
  <si>
    <t>Chun-Ming Chen</t>
  </si>
  <si>
    <t>Chung, D.H.S.</t>
  </si>
  <si>
    <t>Cignoni, P.</t>
  </si>
  <si>
    <t>Cipriano, G.</t>
  </si>
  <si>
    <t>Claessen, J.H.T.</t>
  </si>
  <si>
    <t>S. Todd Barlow;Padraic Neville</t>
  </si>
  <si>
    <t>Claffy, K.</t>
  </si>
  <si>
    <t>SAS Institute Inc.|c|;</t>
  </si>
  <si>
    <t>10.1109/INFVIS.1998.729557;10.1109/VISUAL.1992.235217</t>
  </si>
  <si>
    <t>Clapworthy, G.</t>
  </si>
  <si>
    <t>2D vs 3D, implications on spatial memory</t>
  </si>
  <si>
    <t>10.1109/INFVIS.2001.963291</t>
  </si>
  <si>
    <t>Clarenz, U.</t>
  </si>
  <si>
    <t>http://dx.doi.org/10.1109/INFVIS.2001.963291</t>
  </si>
  <si>
    <t>Clark, D.</t>
  </si>
  <si>
    <t>Clarke, K.</t>
  </si>
  <si>
    <t>Clarkson, E.</t>
  </si>
  <si>
    <t>Clear, T.</t>
  </si>
  <si>
    <t>Clement, T.</t>
  </si>
  <si>
    <t>Cleveland, W.S.</t>
  </si>
  <si>
    <t>Clifton, T.E., III</t>
  </si>
  <si>
    <t>Cline, D.</t>
  </si>
  <si>
    <t>Cline, H.</t>
  </si>
  <si>
    <t>Clough, R.E.</t>
  </si>
  <si>
    <t>Monica Tavanti;Mats Lind</t>
  </si>
  <si>
    <t>Cluxton, D.</t>
  </si>
  <si>
    <t>University Sweden|c|;</t>
  </si>
  <si>
    <t>Clyne, J.</t>
  </si>
  <si>
    <t>Co, C.S.</t>
  </si>
  <si>
    <t>Case study: visualization for decision tree analysis in data mining</t>
  </si>
  <si>
    <t>10.1109/INFVIS.2001.963292</t>
  </si>
  <si>
    <t>Coalho, E.</t>
  </si>
  <si>
    <t>http://dx.doi.org/10.1109/INFVIS.2001.963292</t>
  </si>
  <si>
    <t>Coatrieux, J.L.</t>
  </si>
  <si>
    <t>The paper investigates the visualization of distributed algorithms. We present a conceptual model and a system, VADE, that realizes this model. Since in asynchronous distributed systems there is no way of knowing (let alone, visualizing) the "real"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</si>
  <si>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Coblentz, D.</t>
  </si>
  <si>
    <t>Y. Moses;Z. Polunsky;A. Tal;L. Ulitsky</t>
  </si>
  <si>
    <t>Coelho, E.M.</t>
  </si>
  <si>
    <t>Coffey, D.</t>
  </si>
  <si>
    <t>Cohé, A.</t>
  </si>
  <si>
    <t>Cohen-Or, D.</t>
  </si>
  <si>
    <t>Cohen, A.M.</t>
  </si>
  <si>
    <t>Cohen, J.D.</t>
  </si>
  <si>
    <t>Cohen, M.F.</t>
  </si>
  <si>
    <t>Coimbra, D.</t>
  </si>
  <si>
    <t>Colbert, B.</t>
  </si>
  <si>
    <t>Colditz, C.</t>
  </si>
  <si>
    <t>Cole-McLaughlin, K.</t>
  </si>
  <si>
    <t>Coles, K.</t>
  </si>
  <si>
    <t>Collins, B.M.</t>
  </si>
  <si>
    <t>Collins, C.</t>
  </si>
  <si>
    <t>Collins, N.</t>
  </si>
  <si>
    <t>Collins, T.</t>
  </si>
  <si>
    <t>Case study: e-commerce clickstream visualization</t>
  </si>
  <si>
    <t>10.1109/INFVIS.2001.963293</t>
  </si>
  <si>
    <t>Colucci, D.</t>
  </si>
  <si>
    <t>http://dx.doi.org/10.1109/INFVIS.2001.963293</t>
  </si>
  <si>
    <t>Comba, J.L.D.</t>
  </si>
  <si>
    <t>Compton, T.</t>
  </si>
  <si>
    <t>Condat, L.</t>
  </si>
  <si>
    <t>Cong Guo</t>
  </si>
  <si>
    <t>Cong Wang</t>
  </si>
  <si>
    <t>Cong Xie</t>
  </si>
  <si>
    <t>Conglei Shi</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</si>
  <si>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</si>
  <si>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Conklin, N.</t>
  </si>
  <si>
    <t>T.C. Sprenger;M.H. Gross;D. Bielser;T. Strasser</t>
  </si>
  <si>
    <t>Dept. of Comput. Sci., Fed. Inst. of Technol., Zurich, Switzerland</t>
  </si>
  <si>
    <t>Conreaux, S.</t>
  </si>
  <si>
    <t>Contreras-Garcia, J.</t>
  </si>
  <si>
    <t>Conversy, S.</t>
  </si>
  <si>
    <t>Cook, D.</t>
  </si>
  <si>
    <t>Jeffrey Brainerd;Barry G. Becker</t>
  </si>
  <si>
    <t>Cook, K.A.</t>
  </si>
  <si>
    <t>Blue Martini Software|c|;</t>
  </si>
  <si>
    <t>10.1109/INFVIS.1998.729554;10.1109/INFVIS.1997.636718;10.1109/INFVIS.1998.729553;10.1109/INFVIS.2000.885089;10.1109/INFVIS.2000.885090;10.1109/INFVIS.1995.528697;10.1109/INFVIS.1996.559226;10.1109/INFVIS.2000.885101</t>
  </si>
  <si>
    <t>Cook, R.</t>
  </si>
  <si>
    <t>Cooper, M.</t>
  </si>
  <si>
    <t>Case study: design and assessment of an enhanced geographic information system for exploration of multivariate health statistics</t>
  </si>
  <si>
    <t>Cooper, R.</t>
  </si>
  <si>
    <t>10.1109/INFVIS.2001.963294</t>
  </si>
  <si>
    <t>http://dx.doi.org/10.1109/INFVIS.2001.963294</t>
  </si>
  <si>
    <t>Coppin, P.</t>
  </si>
  <si>
    <t>Corani, G.</t>
  </si>
  <si>
    <t>Cords, H.</t>
  </si>
  <si>
    <t>Cork, D.J.</t>
  </si>
  <si>
    <t>Corman, S.R.</t>
  </si>
  <si>
    <t>Cornea, N.D.</t>
  </si>
  <si>
    <t>Cornel, D.</t>
  </si>
  <si>
    <t>Cornhill, J.F.</t>
  </si>
  <si>
    <t>Correa, C.</t>
  </si>
  <si>
    <t>Correa, M.</t>
  </si>
  <si>
    <t>Correa, W.T.</t>
  </si>
  <si>
    <t>Correia, S.</t>
  </si>
  <si>
    <t>Correll, M.</t>
  </si>
  <si>
    <t>Corrie, B.</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</si>
  <si>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"focusing" combined with time series animation) and corresponding differences in success at noticing spatiotemporal patterns.</t>
  </si>
  <si>
    <t>Cortese, P.F.</t>
  </si>
  <si>
    <t>A.M. MacEachren;F.P. Boscoe;D. Haug;L.W. Pickle</t>
  </si>
  <si>
    <t>Dept. of Geogr., Pennsylvania State Univ., University Park, PA, USA</t>
  </si>
  <si>
    <t>Costanza, D.</t>
  </si>
  <si>
    <t>Cottam, J.A.</t>
  </si>
  <si>
    <t>Cotture, P.</t>
  </si>
  <si>
    <t>Couvillion, W.C., Jr.</t>
  </si>
  <si>
    <t>Robert M. Edsall;Alan M. MacEachren;Linda Pickle</t>
  </si>
  <si>
    <t>Cowgill, E.</t>
  </si>
  <si>
    <t>Arizona State University|c|;;</t>
  </si>
  <si>
    <t>Cowley, W.</t>
  </si>
  <si>
    <t>Graphic data display for cardiovascular system</t>
  </si>
  <si>
    <t>Cowperthwaite, D.J.</t>
  </si>
  <si>
    <t>Cox, C.B.</t>
  </si>
  <si>
    <t>Cox, D.</t>
  </si>
  <si>
    <t>Cox, K.C.</t>
  </si>
  <si>
    <t>Cox, M.</t>
  </si>
  <si>
    <t>Cox, S.J.</t>
  </si>
  <si>
    <t>10.1109/INFVIS.2001.963295</t>
  </si>
  <si>
    <t>http://dx.doi.org/10.1109/INFVIS.2001.963295</t>
  </si>
  <si>
    <t>Coyle, E.</t>
  </si>
  <si>
    <t>Crabb, A.H.</t>
  </si>
  <si>
    <t>Craig, P.</t>
  </si>
  <si>
    <t>Cramer, N.</t>
  </si>
  <si>
    <t>Crampes, M.</t>
  </si>
  <si>
    <t>Crawfis, R.</t>
  </si>
  <si>
    <t>Crawford, D.</t>
  </si>
  <si>
    <t>Crawlis, R.</t>
  </si>
  <si>
    <t>Creem, S.</t>
  </si>
  <si>
    <t>Crewel, S.</t>
  </si>
  <si>
    <t>Cribb, J.</t>
  </si>
  <si>
    <t>Crisafulli, P.</t>
  </si>
  <si>
    <t>Crivelli, S.N.</t>
  </si>
  <si>
    <t>Crnovrsanin, T.</t>
  </si>
  <si>
    <t>Croall, J.</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</si>
  <si>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</si>
  <si>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Croft, P.J.</t>
  </si>
  <si>
    <t>S. Kerpedjiev;G. Carenini;N. Green;J. Moore;S. Roth</t>
  </si>
  <si>
    <t>Carnegie Mellon Univ., Pittsburgh, PA, USA</t>
  </si>
  <si>
    <t>Cromp, R.F.</t>
  </si>
  <si>
    <t>James Agutter;Noah Syroid;Frank Drews;Dwayne R. Westenskow;Julio C. Bermudez;David L. Strayer</t>
  </si>
  <si>
    <t>University of Utah|c|;;;;;</t>
  </si>
  <si>
    <t>Cross, R.A.</t>
  </si>
  <si>
    <t>Battlespace visualization: a grand challenge</t>
  </si>
  <si>
    <t>Crossno, P.</t>
  </si>
  <si>
    <t>10.1109/INFVIS.2001.963296</t>
  </si>
  <si>
    <t>http://dx.doi.org/10.1109/INFVIS.2001.963296</t>
  </si>
  <si>
    <t>Crouser, R.J.</t>
  </si>
  <si>
    <t>Crow, J.A.</t>
  </si>
  <si>
    <t>Crow, V.</t>
  </si>
  <si>
    <t>Crowe, J.</t>
  </si>
  <si>
    <t>Csallner, C.</t>
  </si>
  <si>
    <t>Csebfalvi, B.</t>
  </si>
  <si>
    <t>Cuadros, A.M.</t>
  </si>
  <si>
    <t>Cui, D.H.</t>
  </si>
  <si>
    <t>Cui, Q.</t>
  </si>
  <si>
    <t>Cuixia Ma</t>
  </si>
  <si>
    <t>Cullip, T.</t>
  </si>
  <si>
    <t>Cuminato, J.A.</t>
  </si>
  <si>
    <t>Cummings, B.</t>
  </si>
  <si>
    <t>Cuny, J.E.</t>
  </si>
  <si>
    <t>Jeffrey L. Posdamer</t>
  </si>
  <si>
    <t>Sarnoff Corporation|c|;;;;;</t>
  </si>
  <si>
    <t>Cvek, U.</t>
  </si>
  <si>
    <t>Point set surfaces</t>
  </si>
  <si>
    <t>Cybenko, G.</t>
  </si>
  <si>
    <t>10.1109/VISUAL.2001.964489</t>
  </si>
  <si>
    <t>http://dx.doi.org/10.1109/VISUAL.2001.964489</t>
  </si>
  <si>
    <t>Czerwinski, M.</t>
  </si>
  <si>
    <t>D'Eletto, R.</t>
  </si>
  <si>
    <t>da Silva, M.</t>
  </si>
  <si>
    <t>Dachille, F.</t>
  </si>
  <si>
    <t>Dachsbacher, C.</t>
  </si>
  <si>
    <t>Dachselt, R.</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</si>
  <si>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</si>
  <si>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Dadzie, A.-S.</t>
  </si>
  <si>
    <t>Silicon Graphics Inc., Mountain View, CA, USA</t>
  </si>
  <si>
    <t>Daehyun Kim</t>
  </si>
  <si>
    <t>Dai, K.</t>
  </si>
  <si>
    <t>Daiber, G.</t>
  </si>
  <si>
    <t>Daiches, E.</t>
  </si>
  <si>
    <t>Daily, M.</t>
  </si>
  <si>
    <t>Dajian Liu</t>
  </si>
  <si>
    <t>Dale, J.</t>
  </si>
  <si>
    <t>Dalton, J.</t>
  </si>
  <si>
    <t>Marc Alexa;Johannes Behr;Daniel Cohen-Or;Shachar Fleishman;David Levin;Cl��udio T. Silva</t>
  </si>
  <si>
    <t>Damera-Venkata, N.</t>
  </si>
  <si>
    <t>Technische Hochschule Darmstadt, Germany|c|;;;;;</t>
  </si>
  <si>
    <t>10.1109/VISUAL.1997.663930;10.1109/VISUAL.1998.745327</t>
  </si>
  <si>
    <t>Damico, K.</t>
  </si>
  <si>
    <t>Damoulas, T.</t>
  </si>
  <si>
    <t>Dan Zhang</t>
  </si>
  <si>
    <t>Dang, T.</t>
  </si>
  <si>
    <t>Daniel, G.</t>
  </si>
  <si>
    <t>surface representation and reconstruction, moving least squares, point sample rendering, 3D acquisition</t>
  </si>
  <si>
    <t>Daniel, J.</t>
  </si>
  <si>
    <t>Daniels II, J.</t>
  </si>
  <si>
    <t>EWA volume splatting</t>
  </si>
  <si>
    <t>10.1109/VISUAL.2001.964490</t>
  </si>
  <si>
    <t>Daniels, J.</t>
  </si>
  <si>
    <t>http://dx.doi.org/10.1109/VISUAL.2001.964490</t>
  </si>
  <si>
    <t>Danon, G.</t>
  </si>
  <si>
    <t>Dantone, J.</t>
  </si>
  <si>
    <t>Dar, S.</t>
  </si>
  <si>
    <t>Darling, E.</t>
  </si>
  <si>
    <t>Darmofal, D.</t>
  </si>
  <si>
    <t>Dart, E.</t>
  </si>
  <si>
    <t>Dasch, G.A.</t>
  </si>
  <si>
    <t>Dasgupta, A.</t>
  </si>
  <si>
    <t>DaSilva, M.</t>
  </si>
  <si>
    <t>Dastur, J.</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</si>
  <si>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Lego/sup 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</si>
  <si>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M. Hansen;D. Meads;A. Pang</t>
  </si>
  <si>
    <t>Dept. of Comput. Sci., California Univ., CA, USA</t>
  </si>
  <si>
    <t>Davey, J.</t>
  </si>
  <si>
    <t>David, T.</t>
  </si>
  <si>
    <t>Davidson, G.</t>
  </si>
  <si>
    <t>Davidson, J.S.</t>
  </si>
  <si>
    <t>Davies, I.T.</t>
  </si>
  <si>
    <t>Davies, J.</t>
  </si>
  <si>
    <t>Davis, D.</t>
  </si>
  <si>
    <t>Matthias Zwicker;Hanspeter Pfister;Jeroen van Baar;Markus H. Gross</t>
  </si>
  <si>
    <t>Davison, G.</t>
  </si>
  <si>
    <t>Eidgenossische Tech. Hochschule, Zurich, Switzerland|c|;;;</t>
  </si>
  <si>
    <t>10.1109/VISUAL.1995.480796;10.1109/VISUAL.1997.663882;10.1109/VISUAL.1998.745309;10.1109/VISUAL.1996.567608;10.1109/VISUAL.1999.809909</t>
  </si>
  <si>
    <t>Davulcu, H.</t>
  </si>
  <si>
    <t>Volume Rendering, Splatting, Antialiasing</t>
  </si>
  <si>
    <t>Davydov, O.</t>
  </si>
  <si>
    <t>Dawkes, H.</t>
  </si>
  <si>
    <t>Day, D.</t>
  </si>
  <si>
    <t>Hybrid simplification: combining multi-resolution polygon and point rendering</t>
  </si>
  <si>
    <t>10.1109/VISUAL.2001.964491</t>
  </si>
  <si>
    <t>Dayal, U.</t>
  </si>
  <si>
    <t>http://dx.doi.org/10.1109/VISUAL.2001.964491</t>
  </si>
  <si>
    <t>de Corral, J.</t>
  </si>
  <si>
    <t>De Floriani, L.</t>
  </si>
  <si>
    <t>de Jonge, E.</t>
  </si>
  <si>
    <t>de Leeuw, W.</t>
  </si>
  <si>
    <t>de Oliveira Neto, M.</t>
  </si>
  <si>
    <t>de Oliveira-Kumar, J.</t>
  </si>
  <si>
    <t>de Oliveira, M.C.F.</t>
  </si>
  <si>
    <t>de Verdiere, G.C.</t>
  </si>
  <si>
    <t>Dean, D.</t>
  </si>
  <si>
    <t>Dearden, J.</t>
  </si>
  <si>
    <t>Decker, J.W.</t>
  </si>
  <si>
    <t>Declara, D.</t>
  </si>
  <si>
    <t>DeCoro, C.</t>
  </si>
  <si>
    <t>Degener, P.</t>
  </si>
  <si>
    <t>Deines, E.</t>
  </si>
  <si>
    <t>Deisboeck, T.S.</t>
  </si>
  <si>
    <t>Dejgaard, K.</t>
  </si>
  <si>
    <t>del Rio, A.</t>
  </si>
  <si>
    <t>Delest, M.</t>
  </si>
  <si>
    <t>Delmarcelle, T.</t>
  </si>
  <si>
    <t>Delson, E.</t>
  </si>
  <si>
    <t>Demir, D.</t>
  </si>
  <si>
    <t>Demir, I.</t>
  </si>
  <si>
    <t>Jonathan D. Cohen;Daniel G. Aliaga;Weiqiand Zhang</t>
  </si>
  <si>
    <t>Demiralp, C.</t>
  </si>
  <si>
    <t>Johns Hopkins Univ., Baltimore, MD, USA|c|;;</t>
  </si>
  <si>
    <t>Denby, B.</t>
  </si>
  <si>
    <t>10.1109/VISUAL.1997.663909;10.1109/VISUAL.1996.568124;10.1109/VISUAL.1998.745314;10.1109/VISUAL.1998.745283;10.1109/VISUAL.1997.663883;10.1109/VISUAL.1998.745312;10.1109/VISUAL.2001.964492;10.1109/VISUAL.1997.663908;10.1109/VISUAL.1997.663865</t>
  </si>
  <si>
    <t>rendering, simplification, multi-resolution, trianlge, points, hybrid</t>
  </si>
  <si>
    <t>Denney, T.S.Jr.</t>
  </si>
  <si>
    <t>Dennis, B.M.</t>
  </si>
  <si>
    <t>POP: A Hybrid Point and Polygon Rendering System for Large Data</t>
  </si>
  <si>
    <t>DePace, A.</t>
  </si>
  <si>
    <t>10.1109/VISUAL.2001.964492</t>
  </si>
  <si>
    <t>Derks, G.</t>
  </si>
  <si>
    <t>http://doi.ieeecomputersociety.org/10.1109/VISUAL.2001.964492</t>
  </si>
  <si>
    <t>Derthick, M.</t>
  </si>
  <si>
    <t>Desai, K.</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</si>
  <si>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</si>
  <si>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Desbrun, M.</t>
  </si>
  <si>
    <t>T. Masui</t>
  </si>
  <si>
    <t>desJardins, M.</t>
  </si>
  <si>
    <t>Sony Comput. Sci. Labs. Inc., Tokyo, Japan</t>
  </si>
  <si>
    <t>Desjarlais, L.M.</t>
  </si>
  <si>
    <t>Detienne, F.</t>
  </si>
  <si>
    <t>Deussen, O.</t>
  </si>
  <si>
    <t>Devillers, O.</t>
  </si>
  <si>
    <t>Devillers, R.</t>
  </si>
  <si>
    <t>Dewey, C.</t>
  </si>
  <si>
    <t>Dey, T.K.</t>
  </si>
  <si>
    <t>Deyong Hu</t>
  </si>
  <si>
    <t>Dhamija, R.</t>
  </si>
  <si>
    <t>Dharmapuri, S.</t>
  </si>
  <si>
    <t>Di Battista, G.</t>
  </si>
  <si>
    <t>di Sciascio, C.</t>
  </si>
  <si>
    <t>Di Yang</t>
  </si>
  <si>
    <t>Diakopoulos, N.</t>
  </si>
  <si>
    <t>Diamond, J.</t>
  </si>
  <si>
    <t>Diamond, S.</t>
  </si>
  <si>
    <t>Diansheng Guo</t>
  </si>
  <si>
    <t>Dias, F.</t>
  </si>
  <si>
    <t>Diaz, F.</t>
  </si>
  <si>
    <t>DiCarlo, J.M.</t>
  </si>
  <si>
    <t>Baoquan Chen;Minh Xuan Nguye</t>
  </si>
  <si>
    <t>Dick, C.</t>
  </si>
  <si>
    <t>Dicken, V.</t>
  </si>
  <si>
    <t>Rendering system, Spatial data structures, Level of detail algorithms, hybrid rendering systems</t>
  </si>
  <si>
    <t>Dickson, B.J.</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</si>
  <si>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</si>
  <si>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Dieckmann, M.</t>
  </si>
  <si>
    <t>R.M. Rohrer;D.S. Ebert;J.L. Sibert</t>
  </si>
  <si>
    <t>Diehl, C.</t>
  </si>
  <si>
    <t>Diehl, S.</t>
  </si>
  <si>
    <t>Diep, E.</t>
  </si>
  <si>
    <t>Dietrich, C.</t>
  </si>
  <si>
    <t>Dietrich, F.</t>
  </si>
  <si>
    <t>Dietrich, L.</t>
  </si>
  <si>
    <t>Lagrangian-Eulerian Advection for Unsteady Flow Visualization</t>
  </si>
  <si>
    <t>Dietzsch, J.</t>
  </si>
  <si>
    <t>Dept. of Electr. Eng. &amp; Comput. Sci., George Washington Univ., Washington, DC, USA</t>
  </si>
  <si>
    <t>10.1109/VISUAL.2001.964493</t>
  </si>
  <si>
    <t>Diewald, U.</t>
  </si>
  <si>
    <t>Dijkstra, J.</t>
  </si>
  <si>
    <t>Dill, J.</t>
  </si>
  <si>
    <t>Dillard, S.E.</t>
  </si>
  <si>
    <t>Dillenseger, J.-L.</t>
  </si>
  <si>
    <t>Dillingham, I.</t>
  </si>
  <si>
    <t>Dillon, J.V.</t>
  </si>
  <si>
    <t>Dimsdale, B.</t>
  </si>
  <si>
    <t>Dinkla, K.</t>
  </si>
  <si>
    <t>Dione, D.P.</t>
  </si>
  <si>
    <t>DiPaola, S.</t>
  </si>
  <si>
    <t>Disch, A.</t>
  </si>
  <si>
    <t>Dischler, J.-M.</t>
  </si>
  <si>
    <t>Dix, A.</t>
  </si>
  <si>
    <t>Djatschin, W.</t>
  </si>
  <si>
    <t>Djeu, P.</t>
  </si>
  <si>
    <t>Djurcilov, S.</t>
  </si>
  <si>
    <t>Do, E.Y.</t>
  </si>
  <si>
    <t>Doantam Phan</t>
  </si>
  <si>
    <t>Dobkin, D.</t>
  </si>
  <si>
    <t>Dobslaw, H.</t>
  </si>
  <si>
    <t>Doddapaneni, P.</t>
  </si>
  <si>
    <t>Dolecek, Q.E.</t>
  </si>
  <si>
    <t>Doleisch, H.</t>
  </si>
  <si>
    <t>Dollner, J.</t>
  </si>
  <si>
    <t>Domenger, J.</t>
  </si>
  <si>
    <t>Domik, G.O.</t>
  </si>
  <si>
    <t>Dommermuth, D.</t>
  </si>
  <si>
    <t>Domokos, G.</t>
  </si>
  <si>
    <t>Donath, J.</t>
  </si>
  <si>
    <t>Dong Hyun Jeong</t>
  </si>
  <si>
    <t>Dong-Han Ham</t>
  </si>
  <si>
    <t>Dong, F.</t>
  </si>
  <si>
    <t>Donghao Ren</t>
  </si>
  <si>
    <t>Dongning Luo</t>
  </si>
  <si>
    <t>Dongxing Teng</t>
  </si>
  <si>
    <t>10.1109/VISUAL.2000.885689;10.1109/VISUAL.1994.346311;10.1109/VISUAL.1995.485146;10.1109/VISUAL.2000.885689</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</si>
  <si>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</si>
  <si>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Dooley, D.</t>
  </si>
  <si>
    <t>Doraiswamy, H.</t>
  </si>
  <si>
    <t>Transport and anisotropic diffusion in time-dependent flow visualization</t>
  </si>
  <si>
    <t>Sch. of Libr. &amp; Inf. Sci., Indiana Univ., Bloomington, IN, USA</t>
  </si>
  <si>
    <t>10.1109/VISUAL.2001.964494</t>
  </si>
  <si>
    <t>Doring, C.</t>
  </si>
  <si>
    <t>Dork, M.</t>
  </si>
  <si>
    <t>Dörk, M.</t>
  </si>
  <si>
    <t>Dorling, D.</t>
  </si>
  <si>
    <t>Dorn, G.</t>
  </si>
  <si>
    <t>Dornburg, C.C.</t>
  </si>
  <si>
    <t>Dostie, M.</t>
  </si>
  <si>
    <t>Dougherty, R.</t>
  </si>
  <si>
    <t>Douma, M.</t>
  </si>
  <si>
    <t>Dove, A.</t>
  </si>
  <si>
    <t>Dove, G.</t>
  </si>
  <si>
    <t>Dovey, D.</t>
  </si>
  <si>
    <t>Doyle, M.D.</t>
  </si>
  <si>
    <t>Dragicevic, P.</t>
  </si>
  <si>
    <t>Drake, D.</t>
  </si>
  <si>
    <t>Dransch, D.</t>
  </si>
  <si>
    <t>Draper, G.</t>
  </si>
  <si>
    <t>Dreezer, R.</t>
  </si>
  <si>
    <t>Drettakis, G.</t>
  </si>
  <si>
    <t>Drevermann, H.</t>
  </si>
  <si>
    <t>Drew, M.S.</t>
  </si>
  <si>
    <t>Drew, N.S.</t>
  </si>
  <si>
    <t>Drews, F.</t>
  </si>
  <si>
    <t>Drucker, S.</t>
  </si>
  <si>
    <t>Duanjun Lu</t>
  </si>
  <si>
    <t>Duarte, F.S.L.G.</t>
  </si>
  <si>
    <t>Dubey, P.</t>
  </si>
  <si>
    <t>Dubois, J.</t>
  </si>
  <si>
    <t>DuBois, J.</t>
  </si>
  <si>
    <t>Dubuffet, F.</t>
  </si>
  <si>
    <t>Duca, K.</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</si>
  <si>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</si>
  <si>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Duce, D.</t>
  </si>
  <si>
    <t>Duchaineau, M.</t>
  </si>
  <si>
    <t>B. Hetzler;P. Whitney;L. Martucci;J. Thomas</t>
  </si>
  <si>
    <t>Pacific Northwest Lab., Richland, WA, USA</t>
  </si>
  <si>
    <t>Dudas, L.</t>
  </si>
  <si>
    <t>Dudzic, S.</t>
  </si>
  <si>
    <t>http://dx.doi.org/10.1109/VISUAL.2001.964494</t>
  </si>
  <si>
    <t>Duen Horng Chau</t>
  </si>
  <si>
    <t>Duffin, K.L.</t>
  </si>
  <si>
    <t>Duffy, A.</t>
  </si>
  <si>
    <t>Duffy, B.</t>
  </si>
  <si>
    <t>Duffy, F.H.</t>
  </si>
  <si>
    <t>Duke, D.</t>
  </si>
  <si>
    <t>Dumais, S.</t>
  </si>
  <si>
    <t>Dungan, J.L.</t>
  </si>
  <si>
    <t>Dunlavy, D.M.</t>
  </si>
  <si>
    <t>Dunmire, C.</t>
  </si>
  <si>
    <t>Dunn, R.H.P.</t>
  </si>
  <si>
    <t>Dunsmuir, D.</t>
  </si>
  <si>
    <t>Durbin, J.</t>
  </si>
  <si>
    <t>Duric, N.</t>
  </si>
  <si>
    <t>Durkin, J.W.</t>
  </si>
  <si>
    <t>Dutta, S.</t>
  </si>
  <si>
    <t>Dwyer, T.</t>
  </si>
  <si>
    <t>Dyer, C.R.</t>
  </si>
  <si>
    <t>Dyer, J.</t>
  </si>
  <si>
    <t>Dyer, R.</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</si>
  <si>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</si>
  <si>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Dykes, J.</t>
  </si>
  <si>
    <t>Dykstra, J.D.</t>
  </si>
  <si>
    <t>R. Pajarola</t>
  </si>
  <si>
    <t>Inst. of Theor. Comput. Sci., Eidgenossische Tech. Hochschule, Zurich, Switzerland</t>
  </si>
  <si>
    <t>Eagan, J.</t>
  </si>
  <si>
    <t>Ebbers, T.</t>
  </si>
  <si>
    <t>Eberhardt, K.</t>
  </si>
  <si>
    <t>Ebert, A.</t>
  </si>
  <si>
    <t>Ebert, D.S.</t>
  </si>
  <si>
    <t>Ebert, J.</t>
  </si>
  <si>
    <t>Ebling, J.</t>
  </si>
  <si>
    <t>Eccles, R.</t>
  </si>
  <si>
    <t>Eckler, K.</t>
  </si>
  <si>
    <t>Ed Huai-Hsin Chi</t>
  </si>
  <si>
    <t>Edelsbrunner, H.</t>
  </si>
  <si>
    <t>Edgar, G.W.</t>
  </si>
  <si>
    <t>Edoh, K.D.</t>
  </si>
  <si>
    <t>Edsall, R.M.</t>
  </si>
  <si>
    <t>Efros, A.A.</t>
  </si>
  <si>
    <t>Efstathiou, K.</t>
  </si>
  <si>
    <t>Egbert, P.</t>
  </si>
  <si>
    <t>Ehlke, M.</t>
  </si>
  <si>
    <t>Ehmann, S.</t>
  </si>
  <si>
    <t>Ehret, J.</t>
  </si>
  <si>
    <t>Ehricke, H.-H.</t>
  </si>
  <si>
    <t>Eick, M.A.</t>
  </si>
  <si>
    <t>Eick, S.G.</t>
  </si>
  <si>
    <t>Eilemann, S.</t>
  </si>
  <si>
    <t>Eisemann, E.</t>
  </si>
  <si>
    <t>Eisemann, M.</t>
  </si>
  <si>
    <t>Eisenhauer, G.</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</si>
  <si>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C/sup 1/ continuity everywhere. The method can reveal smooth saddle shapes caused by surface branching of one to more and can make rational interpolated sub-contours between two or more neighboring contours.</t>
  </si>
  <si>
    <t>El-Sana, J.</t>
  </si>
  <si>
    <t>J. Chai;T. Miyoshi;E. Nakamae</t>
  </si>
  <si>
    <t>Eliasson, S.H.</t>
  </si>
  <si>
    <t>Sanei Co., Japan</t>
  </si>
  <si>
    <t>Elion, J.L.</t>
  </si>
  <si>
    <t>Ellingson, A.M.</t>
  </si>
  <si>
    <t>Ellis, G.</t>
  </si>
  <si>
    <t>Ellis, R.</t>
  </si>
  <si>
    <t>Ellsworth, D.</t>
  </si>
  <si>
    <t>Elmongui, H.G.</t>
  </si>
  <si>
    <t>Elmqvist, N.</t>
  </si>
  <si>
    <t>Elsener, A.</t>
  </si>
  <si>
    <t>Elshehaly, M.</t>
  </si>
  <si>
    <t>Elson, L.S.</t>
  </si>
  <si>
    <t>ElTayeby, O.</t>
  </si>
  <si>
    <t>Elvins, T.T.</t>
  </si>
  <si>
    <t>Emmart, C.</t>
  </si>
  <si>
    <t>Enders, F.</t>
  </si>
  <si>
    <t>Endert, A.</t>
  </si>
  <si>
    <t>Endicott-Popovsky, B.</t>
  </si>
  <si>
    <t>Engel, D.</t>
  </si>
  <si>
    <t>Engel, K.</t>
  </si>
  <si>
    <t>Engelsen, O.</t>
  </si>
  <si>
    <t>Englund, R.</t>
  </si>
  <si>
    <t>Enguehard, R.</t>
  </si>
  <si>
    <t>Enns, J.T.</t>
  </si>
  <si>
    <t>Enns, P.</t>
  </si>
  <si>
    <t>Entezari, A.</t>
  </si>
  <si>
    <t>Enxun Wei</t>
  </si>
  <si>
    <t>Enya Shen</t>
  </si>
  <si>
    <t>Eo, K.S.</t>
  </si>
  <si>
    <t>Eosco, G.</t>
  </si>
  <si>
    <t>Eppler, M.J.</t>
  </si>
  <si>
    <t>Epstein, D.A.</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</si>
  <si>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</si>
  <si>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Erath, A.</t>
  </si>
  <si>
    <t>Erdman, A.G.</t>
  </si>
  <si>
    <t>H. Hoppe</t>
  </si>
  <si>
    <t>Erdos, D.</t>
  </si>
  <si>
    <t>Microsoft Res., USA</t>
  </si>
  <si>
    <t>Eremeeva, M.E.</t>
  </si>
  <si>
    <t>Erickson, T.</t>
  </si>
  <si>
    <t>Erlebacher, G.</t>
  </si>
  <si>
    <t>Ermest, P.</t>
  </si>
  <si>
    <t>Ernst, R.</t>
  </si>
  <si>
    <t>Ernst, T.</t>
  </si>
  <si>
    <t>Ersoy, O.</t>
  </si>
  <si>
    <t>Ertl, T.</t>
  </si>
  <si>
    <t>Ervin, S.M.</t>
  </si>
  <si>
    <t>Esbensen, K.</t>
  </si>
  <si>
    <t>Espinosa, O.J.</t>
  </si>
  <si>
    <t>Estepar, R.S.J.</t>
  </si>
  <si>
    <t>Esteva, M.</t>
  </si>
  <si>
    <t>Estus, B.</t>
  </si>
  <si>
    <t>Ethier, S.</t>
  </si>
  <si>
    <t>Etiene, T.</t>
  </si>
  <si>
    <t>Eun Ju Nam</t>
  </si>
  <si>
    <t>Evans, A.</t>
  </si>
  <si>
    <t>Evans, E.M.</t>
  </si>
  <si>
    <t>Evans, F.</t>
  </si>
  <si>
    <t>Evans, G.-W.</t>
  </si>
  <si>
    <t>Evans, M.L.</t>
  </si>
  <si>
    <t>Evans, T.</t>
  </si>
  <si>
    <t>Eveillard, L.</t>
  </si>
  <si>
    <t>Everts, M.H.</t>
  </si>
  <si>
    <t>Ewert, M.</t>
  </si>
  <si>
    <t>Fabregue, M.</t>
  </si>
  <si>
    <t>Fabricant, D.G.</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</si>
  <si>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</si>
  <si>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Fadel, S.G.</t>
  </si>
  <si>
    <t>L. De Floriani;P. Magillo;E. Puppo</t>
  </si>
  <si>
    <t>Fahlbusch, R.</t>
  </si>
  <si>
    <t>Genoa Univ., Italy</t>
  </si>
  <si>
    <t>Faigle, C.</t>
  </si>
  <si>
    <t>Fails, J.A.</t>
  </si>
  <si>
    <t>Falco, E.E.</t>
  </si>
  <si>
    <t>Falk, M.</t>
  </si>
  <si>
    <t>Falk, V.</t>
  </si>
  <si>
    <t>Falkenberg, C.</t>
  </si>
  <si>
    <t>Fall, A.</t>
  </si>
  <si>
    <t>Fall, J.</t>
  </si>
  <si>
    <t>Fallon, J.</t>
  </si>
  <si>
    <t>Falvo, M.</t>
  </si>
  <si>
    <t>Fan Hong</t>
  </si>
  <si>
    <t>Fanbo Deng</t>
  </si>
  <si>
    <t>Fanea, E.</t>
  </si>
  <si>
    <t>Fang Xu</t>
  </si>
  <si>
    <t>Fangzhao Wu</t>
  </si>
  <si>
    <t>Fanst, N.</t>
  </si>
  <si>
    <t>Farber, I.</t>
  </si>
  <si>
    <t>Farhat, C.</t>
  </si>
  <si>
    <t>Farrugia, M.</t>
  </si>
  <si>
    <t>Fatore, F.M.</t>
  </si>
  <si>
    <t>Fattal, R.</t>
  </si>
  <si>
    <t>Faulkner-Jones, B.E.</t>
  </si>
  <si>
    <t>Faust, N.</t>
  </si>
  <si>
    <t>Favre, J.M.</t>
  </si>
  <si>
    <t>Fawcett, P.</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</si>
  <si>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</si>
  <si>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Dept. of Comput. Sci., Texas Univ., Austin, TX, USA</t>
  </si>
  <si>
    <t>Fayyad, E.</t>
  </si>
  <si>
    <t>Fechtig, O.</t>
  </si>
  <si>
    <t>Federico, P.</t>
  </si>
  <si>
    <t>Feeney, W.R.</t>
  </si>
  <si>
    <t>Fei Wang</t>
  </si>
  <si>
    <t>Fei Wu</t>
  </si>
  <si>
    <t>Feibush, E.</t>
  </si>
  <si>
    <t>Feinberg, J.</t>
  </si>
  <si>
    <t>Feiner, S.</t>
  </si>
  <si>
    <t>Feiran Wu</t>
  </si>
  <si>
    <t>Feixas, M.</t>
  </si>
  <si>
    <t>Fekete, G.</t>
  </si>
  <si>
    <t>Fekete, J.</t>
  </si>
  <si>
    <t>Fekete, Z.</t>
  </si>
  <si>
    <t>Feldman, C.</t>
  </si>
  <si>
    <t>Feldmann, R.</t>
  </si>
  <si>
    <t>Felix, C.</t>
  </si>
  <si>
    <t>Felkel, P.</t>
  </si>
  <si>
    <t>Feng Dong</t>
  </si>
  <si>
    <t>Feng Luo</t>
  </si>
  <si>
    <t>Feng Qiu</t>
  </si>
  <si>
    <t>Feng Tian</t>
  </si>
  <si>
    <t>Feng Wang</t>
  </si>
  <si>
    <t>Feng, D.</t>
  </si>
  <si>
    <t>Feng, L.</t>
  </si>
  <si>
    <t>Fenlon, A.J.</t>
  </si>
  <si>
    <t>Fenner, B.</t>
  </si>
  <si>
    <t>Ferdosi, B.J.</t>
  </si>
  <si>
    <t>Ferguson, G.</t>
  </si>
  <si>
    <t>Fernandes, L.A.F.</t>
  </si>
  <si>
    <t>Fernandez, A.</t>
  </si>
  <si>
    <t>Fernandez, R.</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</si>
  <si>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</si>
  <si>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Ferracutti, G.</t>
  </si>
  <si>
    <t>P. Cignoni;C. Montani;C. Rocchini;R. Scopigno</t>
  </si>
  <si>
    <t>Ist. di Elaborazione dell'Inf., Italy</t>
  </si>
  <si>
    <t>Ferreira, N.</t>
  </si>
  <si>
    <t>Ferro, N.</t>
  </si>
  <si>
    <t>Ferstay, J.A.</t>
  </si>
  <si>
    <t>Ferstl, F.</t>
  </si>
  <si>
    <t>Few, S.</t>
  </si>
  <si>
    <t>Fiaux, P.</t>
  </si>
  <si>
    <t>Fields, B.</t>
  </si>
  <si>
    <t>Filbois, A.</t>
  </si>
  <si>
    <t>Filzmoser, P.</t>
  </si>
  <si>
    <t>Finger, J.</t>
  </si>
  <si>
    <t>Fink, D.</t>
  </si>
  <si>
    <t>Fink, G.A.</t>
  </si>
  <si>
    <t>Fink, M.</t>
  </si>
  <si>
    <t>Finkelstein, A.</t>
  </si>
  <si>
    <t>Finlayson, G.D.</t>
  </si>
  <si>
    <t>Finocchi, I.</t>
  </si>
  <si>
    <t>Fischer, F.</t>
  </si>
  <si>
    <t>Fischer, J.</t>
  </si>
  <si>
    <t>Fischer, K.</t>
  </si>
  <si>
    <t>Fisher, B.</t>
  </si>
  <si>
    <t>Fisher, D.</t>
  </si>
  <si>
    <t>Fisher, J.K.</t>
  </si>
  <si>
    <t>Fisher, S.S.</t>
  </si>
  <si>
    <t>Fishman, E.</t>
  </si>
  <si>
    <t>Generation of a three-dimensional model from an unorganized set of points is an active area of research in computer graphics. Alpha shapes can be employed to construct a surface which most closely reflects the object described by the points. However, no /spl alpha/-shape, for any value of /spl alpha/, can properly detail discontinuous regions of a model. We introduce herein two methods of improving the results of reconstruction using /spl alpha/-shapes: density-scaling, which modulates the value of a depending on the density of points in a region; and anisotropic shaping, which modulates the form of the /spl alpha/-ball based on point normals. We give experimental results that show the successes and limitations of our method.</t>
  </si>
  <si>
    <t>Fitzpatrick, P.J.</t>
  </si>
  <si>
    <t>Flak, B.</t>
  </si>
  <si>
    <t>M. Teichmann;M. Capps</t>
  </si>
  <si>
    <t>Lab. for Comput. Sci., MIT, Cambridge, MA, USA</t>
  </si>
  <si>
    <t>Flamm, C.</t>
  </si>
  <si>
    <t>Fleenor, M.C.</t>
  </si>
  <si>
    <t>Fleischer, D.</t>
  </si>
  <si>
    <t>Fleischmann, D.</t>
  </si>
  <si>
    <t>Fleishman, S.</t>
  </si>
  <si>
    <t>Fletcher, P.A.</t>
  </si>
  <si>
    <t>Fletcher, P.T.</t>
  </si>
  <si>
    <t>Florian, L.</t>
  </si>
  <si>
    <t>Floridi, L.</t>
  </si>
  <si>
    <t>Flowers, W.C.</t>
  </si>
  <si>
    <t>Flynn, J.</t>
  </si>
  <si>
    <t>Flynn, P.</t>
  </si>
  <si>
    <t>Focht, J.</t>
  </si>
  <si>
    <t>Foerster, D.</t>
  </si>
  <si>
    <t>Foerster, F.</t>
  </si>
  <si>
    <t>Fogleman, B.</t>
  </si>
  <si>
    <t>Foley, J.D.</t>
  </si>
  <si>
    <t>Foley, J.T.</t>
  </si>
  <si>
    <t>Foley, T.A.</t>
  </si>
  <si>
    <t>Follett, L.</t>
  </si>
  <si>
    <t>Foote, H.</t>
  </si>
  <si>
    <t>Forbes, A.</t>
  </si>
  <si>
    <t>Fordyce, W.E.</t>
  </si>
  <si>
    <t>Foresti, S.</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</si>
  <si>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</si>
  <si>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Forgang, A.B.</t>
  </si>
  <si>
    <t>G.-P. Bonneau;A. Gerussi</t>
  </si>
  <si>
    <t>Forlini, S.</t>
  </si>
  <si>
    <t>CNRS, Grenoble, France</t>
  </si>
  <si>
    <t>Forrest, A.R.</t>
  </si>
  <si>
    <t>Forsberg, A.</t>
  </si>
  <si>
    <t>Forsell, C.</t>
  </si>
  <si>
    <t>Forser, C.</t>
  </si>
  <si>
    <t>Forssell, L.K.</t>
  </si>
  <si>
    <t>Förster, E.-C.</t>
  </si>
  <si>
    <t>Forster, M.-T.</t>
  </si>
  <si>
    <t>Foscato, M.</t>
  </si>
  <si>
    <t>Foster, J.</t>
  </si>
  <si>
    <t>Foster, S.H.</t>
  </si>
  <si>
    <t>Fostiropoulos, K.</t>
  </si>
  <si>
    <t>Fout, N.</t>
  </si>
  <si>
    <t>Fox, D.N.</t>
  </si>
  <si>
    <t>Fracchia, D.</t>
  </si>
  <si>
    <t>Fracchia, F.D.</t>
  </si>
  <si>
    <t>Fraedrich, R.</t>
  </si>
  <si>
    <t>Franaszek, M.</t>
  </si>
  <si>
    <t>Francis, G.</t>
  </si>
  <si>
    <t>Franco, R.</t>
  </si>
  <si>
    <t>Franconeri, S.</t>
  </si>
  <si>
    <t>Frank, A.</t>
  </si>
  <si>
    <t>Frank, R.</t>
  </si>
  <si>
    <t>Franke, R.</t>
  </si>
  <si>
    <t>Frankel, F.</t>
  </si>
  <si>
    <t>Franklin, L.</t>
  </si>
  <si>
    <t>Frazier, J.</t>
  </si>
  <si>
    <t>Frecon, E.</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</si>
  <si>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</si>
  <si>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Freed, A.</t>
  </si>
  <si>
    <t>Freeman, J.G.</t>
  </si>
  <si>
    <t>Freiler, W.</t>
  </si>
  <si>
    <t>Freire, J.</t>
  </si>
  <si>
    <t>Freund, J.</t>
  </si>
  <si>
    <t>Freund, M.C.</t>
  </si>
  <si>
    <t>Frey, S.</t>
  </si>
  <si>
    <t>Friedell, M.</t>
  </si>
  <si>
    <t>Friedrich, A.</t>
  </si>
  <si>
    <t>Friedrich, H.</t>
  </si>
  <si>
    <t>Friedrich, J.</t>
  </si>
  <si>
    <t>Frishman, Y.</t>
  </si>
  <si>
    <t>Fritz, L.</t>
  </si>
  <si>
    <t>Froehlich, B.</t>
  </si>
  <si>
    <t>Froese, M.-E.</t>
  </si>
  <si>
    <t>Fröhlich, B.</t>
  </si>
  <si>
    <t>Fruhauf, T.</t>
  </si>
  <si>
    <t>Fry, B.</t>
  </si>
  <si>
    <t>Fuchs, H.</t>
  </si>
  <si>
    <t>Fuchs, J.</t>
  </si>
  <si>
    <t>Fuchs, R.</t>
  </si>
  <si>
    <t>Fugitt, J.</t>
  </si>
  <si>
    <t>David B�_rkle;Tobias Preu��er;Martin Rumpf</t>
  </si>
  <si>
    <t>Inst. fur Angewandte Math., Freiburg Univ., Germany|c|;;</t>
  </si>
  <si>
    <t>10.1109/VISUAL.1995.480817;10.1109/VISUAL.1994.346312;10.1109/VISUAL.1999.809894;10.1109/VISUAL.1997.663898;10.1109/VISUAL.1999.809904;10.1109/VISUAL.1997.663912</t>
  </si>
  <si>
    <t>flow visualization, multiscale image processing, non-linear diffusion, transport diffusion, upwind method</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</si>
  <si>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</si>
  <si>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Enridged Contour Maps</t>
  </si>
  <si>
    <t>10.1109/VISUAL.2001.964495</t>
  </si>
  <si>
    <t>C. Henze</t>
  </si>
  <si>
    <t>http://doi.ieeecomputersociety.org/10.1109/VISUAL.2001.964495</t>
  </si>
  <si>
    <t>Fuhrmann, A.</t>
  </si>
  <si>
    <t>Fujimoto, E.</t>
  </si>
  <si>
    <t>Fujimura, K.</t>
  </si>
  <si>
    <t>Fujishiro, I.</t>
  </si>
  <si>
    <t>Fulda, J.</t>
  </si>
  <si>
    <t>Fuller, A.R.</t>
  </si>
  <si>
    <t>Fumeng Yang</t>
  </si>
  <si>
    <t>Funkhouser, T.</t>
  </si>
  <si>
    <t>Fuqu Wu</t>
  </si>
  <si>
    <t>Furse, C.</t>
  </si>
  <si>
    <t>Furu Wei</t>
  </si>
  <si>
    <t>Furuhata, R.</t>
  </si>
  <si>
    <t>Fussell, D.S.</t>
  </si>
  <si>
    <t>Fyfe, D.</t>
  </si>
  <si>
    <t>Gad, M.</t>
  </si>
  <si>
    <t>Gad, S.</t>
  </si>
  <si>
    <t>Gagnon, J.</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</si>
  <si>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</si>
  <si>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Gagvani, N.</t>
  </si>
  <si>
    <t>Chi-Keung Tang;Gérard G. Medioni</t>
  </si>
  <si>
    <t>Gahegan, M.</t>
  </si>
  <si>
    <t>C.-K. Tang;G. Medioni</t>
  </si>
  <si>
    <t>Gail Ahn</t>
  </si>
  <si>
    <t>Gainant, G.</t>
  </si>
  <si>
    <t>Gaither, K.</t>
  </si>
  <si>
    <t>Gajos, K.</t>
  </si>
  <si>
    <t>Gali, G.</t>
  </si>
  <si>
    <t>Jarke J. van Wijk;Alexandru Telea</t>
  </si>
  <si>
    <t>Gallagher, R.S.</t>
  </si>
  <si>
    <t>10.1109/INFVIS.1995.528686;10.1109/INFVIS.1999.801860;10.1109/VISUAL.1993.398875</t>
  </si>
  <si>
    <t>Gallop, J.</t>
  </si>
  <si>
    <t>Contours, mapping, height fields, multivariate visualization, flow visualization</t>
  </si>
  <si>
    <t>Gambardella, L.</t>
  </si>
  <si>
    <t>Gamblin, T.</t>
  </si>
  <si>
    <t>Ganapathisubramani, B.</t>
  </si>
  <si>
    <t>Visualization of Sports using Motion Trajectories: Providing Insights into Performance, Style, and Strategy</t>
  </si>
  <si>
    <t>Gandhi, O.</t>
  </si>
  <si>
    <t>10.1109/VISUAL.2001.964496</t>
  </si>
  <si>
    <t>Gandoin, P.-M.</t>
  </si>
  <si>
    <t>http://doi.ieeecomputersociety.org/10.1109/VISUAL.2001.964496</t>
  </si>
  <si>
    <t>Gange, G.</t>
  </si>
  <si>
    <t>Ganger, G.R.</t>
  </si>
  <si>
    <t>Ganovelli, F.</t>
  </si>
  <si>
    <t>Gansner, E.</t>
  </si>
  <si>
    <t>Gao, G.R.</t>
  </si>
  <si>
    <t>Gao, J.</t>
  </si>
  <si>
    <t>Gao, M.</t>
  </si>
  <si>
    <t>Garasi, C.J.</t>
  </si>
  <si>
    <t>Garbe, C.</t>
  </si>
  <si>
    <t>Garcke, H.</t>
  </si>
  <si>
    <t>Gardy, J.</t>
  </si>
  <si>
    <t>Garg, G.</t>
  </si>
  <si>
    <t>Garg, S.</t>
  </si>
  <si>
    <t>Gargiulo, F.</t>
  </si>
  <si>
    <t>Gargiulo, M.F.</t>
  </si>
  <si>
    <t>Garland, M.</t>
  </si>
  <si>
    <t>Garner, C.</t>
  </si>
  <si>
    <t>Garrett, J.H.</t>
  </si>
  <si>
    <t>Garrett, W.F.</t>
  </si>
  <si>
    <t>Garrick, S.C.</t>
  </si>
  <si>
    <t>Garth, C.</t>
  </si>
  <si>
    <t>Gasparakis, C.</t>
  </si>
  <si>
    <t>Gasteiger, R.</t>
  </si>
  <si>
    <t>Gaston, Z.</t>
  </si>
  <si>
    <t>Gatti, R.</t>
  </si>
  <si>
    <t>Gavriliu, M.</t>
  </si>
  <si>
    <t>Gawlinski, E.</t>
  </si>
  <si>
    <t>Gay, A.</t>
  </si>
  <si>
    <t>Gayle, R.</t>
  </si>
  <si>
    <t>Gehlenborg, N.</t>
  </si>
  <si>
    <t>Geier, G.</t>
  </si>
  <si>
    <t>Geiger, B.</t>
  </si>
  <si>
    <t>Geisler, B.</t>
  </si>
  <si>
    <t>Geisler, W.S.</t>
  </si>
  <si>
    <t>Geller, M.J.</t>
  </si>
  <si>
    <t>Genetti, J.D.</t>
  </si>
  <si>
    <t>George, J.</t>
  </si>
  <si>
    <t>Georgii, J.</t>
  </si>
  <si>
    <t>Gepner, A.</t>
  </si>
  <si>
    <t>Gerald-Yamasaki, M.</t>
  </si>
  <si>
    <t>Gerber, S.</t>
  </si>
  <si>
    <t>Gerhardt, F.</t>
  </si>
  <si>
    <t>Gopal Sarma Pingali;Agata Opalach;Yves Jean;Ingrid Carlbom</t>
  </si>
  <si>
    <t>Gerhold, T.</t>
  </si>
  <si>
    <t>Gerken, J.</t>
  </si>
  <si>
    <t>sports visualization, virtual environment, telepresence, real-time video analysis, multi-camera tracking, multimedia indexing</t>
  </si>
  <si>
    <t>Gerlach, S.</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</si>
  <si>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/spl alpha/ and /spl beta/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/spl alpha/-/spl beta/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/spl alpha/ and /spl beta/ parameters are necessary to reconstruct the whole field. It can also be used to better quantify the changes in time-varying data sets.</t>
  </si>
  <si>
    <t>Gerndt, A.</t>
  </si>
  <si>
    <t>Undersampling and oversampling in sample based shape modeling</t>
  </si>
  <si>
    <t>10.1109/VISUAL.2001.964497</t>
  </si>
  <si>
    <t>Gerritsen, F.</t>
  </si>
  <si>
    <t>Y. Lavin;R. Batra;L. Hesselink</t>
  </si>
  <si>
    <t>http://dx.doi.org/10.1109/VISUAL.2001.964497</t>
  </si>
  <si>
    <t>Gershon, N.</t>
  </si>
  <si>
    <t>Gerstner, T.</t>
  </si>
  <si>
    <t>Gerth, J.</t>
  </si>
  <si>
    <t>Gertz, M.</t>
  </si>
  <si>
    <t>Gerussi, A.</t>
  </si>
  <si>
    <t>Gessat, M.</t>
  </si>
  <si>
    <t>Getoor, L.</t>
  </si>
  <si>
    <t>Geveci, B.</t>
  </si>
  <si>
    <t>Ghani, S.</t>
  </si>
  <si>
    <t>Ghavamnia, M.H.</t>
  </si>
  <si>
    <t>Ghoniem, M.</t>
  </si>
  <si>
    <t>Ghosh, D.</t>
  </si>
  <si>
    <t>Ghosh, S.</t>
  </si>
  <si>
    <t>Giacobe, N.A.</t>
  </si>
  <si>
    <t>Gianaroli, L.</t>
  </si>
  <si>
    <t>Giannotti, F.</t>
  </si>
  <si>
    <t>Gibbs, J.</t>
  </si>
  <si>
    <t>Gieng, T.S.</t>
  </si>
  <si>
    <t>Giereth, M.</t>
  </si>
  <si>
    <t>Giertsen, C.</t>
  </si>
  <si>
    <t>Giesen, J.</t>
  </si>
  <si>
    <t>Gigitashvilli, S.</t>
  </si>
  <si>
    <t>Gilbert, F.</t>
  </si>
  <si>
    <t>Gillet, A.</t>
  </si>
  <si>
    <t>Ginosar, S.</t>
  </si>
  <si>
    <t>Tamal K. Dey;Joachim Giesen;Samrat Goswami;James Hudson;Rephael Wenger;Wulue Zhao</t>
  </si>
  <si>
    <t>Girardin, L.</t>
  </si>
  <si>
    <t>Ohio State Univ., Columbus, OH, USA|c|;;;;;</t>
  </si>
  <si>
    <t>Girardin, M.</t>
  </si>
  <si>
    <t>10.1109/VISUAL.1997.663909;10.1109/VISUAL.2000.885718</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</si>
  <si>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</si>
  <si>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Computational Geometry, Surface Reconstruction, Geometric Modeling, Mesh Generation, Polygonal Mesh Reduction, Polygonal Modeling, Shape Recognition</t>
  </si>
  <si>
    <t>C.G. Healey;J.T. Enns</t>
  </si>
  <si>
    <t>Girod, B.</t>
  </si>
  <si>
    <t>North Carolina State Univ., Raleigh, NC, USA</t>
  </si>
  <si>
    <t>Optimal regular volume sampling</t>
  </si>
  <si>
    <t>Girod, S.</t>
  </si>
  <si>
    <t>Giusti, A.</t>
  </si>
  <si>
    <t>10.1109/VISUAL.2001.964498</t>
  </si>
  <si>
    <t>Gjelberg, J.</t>
  </si>
  <si>
    <t>Glaber, S.</t>
  </si>
  <si>
    <t>http://dx.doi.org/10.1109/VISUAL.2001.964498</t>
  </si>
  <si>
    <t>Glaser, D. C.</t>
  </si>
  <si>
    <t>Glaßer, S.</t>
  </si>
  <si>
    <t>Glassner, A.</t>
  </si>
  <si>
    <t>Glatter, M.</t>
  </si>
  <si>
    <t>Glatz, A.</t>
  </si>
  <si>
    <t>Gleason, L.</t>
  </si>
  <si>
    <t>Gleicher, M.</t>
  </si>
  <si>
    <t>Glick, D.</t>
  </si>
  <si>
    <t>Glickman, L.T.</t>
  </si>
  <si>
    <t>Glinert, E.P.</t>
  </si>
  <si>
    <t>Globus, A.</t>
  </si>
  <si>
    <t>Glueck, M.</t>
  </si>
  <si>
    <t>Gobbetti, E.</t>
  </si>
  <si>
    <t>Gobel, M.</t>
  </si>
  <si>
    <t>Goble, J.C.</t>
  </si>
  <si>
    <t>Gobolos-Szabo, J.</t>
  </si>
  <si>
    <t>Godenschwager, C.</t>
  </si>
  <si>
    <t>Godwin, A.</t>
  </si>
  <si>
    <t>Godwin, J.A.</t>
  </si>
  <si>
    <t>Goel, A.</t>
  </si>
  <si>
    <t>Goffin, P.</t>
  </si>
  <si>
    <t>Gokhale, N.</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</si>
  <si>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</si>
  <si>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Goldau, M.</t>
  </si>
  <si>
    <t>Goldberg, M.</t>
  </si>
  <si>
    <t>H. Weimer;J. Warren;J. Troutner;W. Wiggins;J. Shrout</t>
  </si>
  <si>
    <t>Rice Univ., Houston, TX, USA</t>
  </si>
  <si>
    <t>Goldenthal, R.</t>
  </si>
  <si>
    <t>Goldsmith, T.E.</t>
  </si>
  <si>
    <t>Golin, E.</t>
  </si>
  <si>
    <t>Golovchinsky, G.</t>
  </si>
  <si>
    <t>Gomberg, C.C.</t>
  </si>
  <si>
    <t>Gomez, J.A.G.</t>
  </si>
  <si>
    <t>Thomas Theu��l;Torsten M̦ller;M. Eduard Gr̦ller</t>
  </si>
  <si>
    <t>Gomez, S.R.</t>
  </si>
  <si>
    <t>Inst. of Comput. Graphics &amp; Algorithms, Technische Univ. Wien, Vienna, Austria|c|;;</t>
  </si>
  <si>
    <t>Goncu, C.</t>
  </si>
  <si>
    <t>volume data,Cartesiangrid,close packing,hexagonal sampling, body centered cubic</t>
  </si>
  <si>
    <t>Gonser, J.</t>
  </si>
  <si>
    <t>Gonzalez, A.</t>
  </si>
  <si>
    <t>Simplicial subdivisions and sampling artifacts</t>
  </si>
  <si>
    <t>Gooch, A.A.</t>
  </si>
  <si>
    <t>10.1109/VISUAL.2001.964499</t>
  </si>
  <si>
    <t>Gooch, R.E.</t>
  </si>
  <si>
    <t>http://dx.doi.org/10.1109/VISUAL.2001.964499</t>
  </si>
  <si>
    <t>Goodall, J.R.</t>
  </si>
  <si>
    <t>Goodman, S.J.</t>
  </si>
  <si>
    <t>Goodrich, C.</t>
  </si>
  <si>
    <t>Goodsell, D.</t>
  </si>
  <si>
    <t>Goodwin, S.</t>
  </si>
  <si>
    <t>Gopi, M.</t>
  </si>
  <si>
    <t>Gore, J.C.</t>
  </si>
  <si>
    <t>Gorg, C.</t>
  </si>
  <si>
    <t>Gorman, M.</t>
  </si>
  <si>
    <t>Gorner, M.</t>
  </si>
  <si>
    <t>Gorton, I.</t>
  </si>
  <si>
    <t>Gosink, L.</t>
  </si>
  <si>
    <t>Gosselin, B.</t>
  </si>
  <si>
    <t>Gossett, N.</t>
  </si>
  <si>
    <t>Goswami, S.</t>
  </si>
  <si>
    <t>Gotsman, C.</t>
  </si>
  <si>
    <t>Hamish A. Carr;Torsten M̦ller;Jack Snoeyink</t>
  </si>
  <si>
    <t>Gotz, D.</t>
  </si>
  <si>
    <t>Dept. of Comput. Sci., British Columbia Univ., Vancouver, BC, Canada|c|;;</t>
  </si>
  <si>
    <t>10.1109/VISUAL.1997.663887;10.1109/VISUAL.1996.568103;10.1109/VISUAL.1991.175782;10.1109/VISUAL.1997.663869;10.1109/VISUAL.1997.663885;10.1109/VISUAL.1997.663886</t>
  </si>
  <si>
    <t>Govindarajan, J.</t>
  </si>
  <si>
    <t>Grabowski, T.</t>
  </si>
  <si>
    <t>A simple algorithm for surface denoising</t>
  </si>
  <si>
    <t>10.1109/VISUAL.2001.964500</t>
  </si>
  <si>
    <t>Gracanin, D.</t>
  </si>
  <si>
    <t>http://dx.doi.org/10.1109/VISUAL.2001.964500</t>
  </si>
  <si>
    <t>Grace, T.</t>
  </si>
  <si>
    <t>Graham, M.</t>
  </si>
  <si>
    <t>Gramazio, C.</t>
  </si>
  <si>
    <t>Grammel, L.</t>
  </si>
  <si>
    <t>Granacher, C.</t>
  </si>
  <si>
    <t>Granato, G.</t>
  </si>
  <si>
    <t>Granitzer, M.</t>
  </si>
  <si>
    <t>Grannis, S.J.</t>
  </si>
  <si>
    <t>Grant, C.</t>
  </si>
  <si>
    <t>Grant, J.</t>
  </si>
  <si>
    <t>Grant, P.W.</t>
  </si>
  <si>
    <t>Gratzl, S.</t>
  </si>
  <si>
    <t>Grave, F.</t>
  </si>
  <si>
    <t>Gray, M.</t>
  </si>
  <si>
    <t>Grayson, M.</t>
  </si>
  <si>
    <t>Grechenig, T.</t>
  </si>
  <si>
    <t>Green, B.</t>
  </si>
  <si>
    <t>Green, N.</t>
  </si>
  <si>
    <t>Green, T.M.</t>
  </si>
  <si>
    <t>Greenberg, B.D.</t>
  </si>
  <si>
    <t>Greenberg, S.</t>
  </si>
  <si>
    <t>Greenfield, J.</t>
  </si>
  <si>
    <t>Greer, V.</t>
  </si>
  <si>
    <t>Greevy, R.A.</t>
  </si>
  <si>
    <t>Greff, K.</t>
  </si>
  <si>
    <t>Gregorski, B.</t>
  </si>
  <si>
    <t>Gregory, A.</t>
  </si>
  <si>
    <t>Gregory, M.</t>
  </si>
  <si>
    <t>Greiner, G.</t>
  </si>
  <si>
    <t>Gresh, D.L.</t>
  </si>
  <si>
    <t>Gribov, A.</t>
  </si>
  <si>
    <t>Griebel, M.</t>
  </si>
  <si>
    <t>Griffiths, I.W.</t>
  </si>
  <si>
    <t>Grigoryan, G.</t>
  </si>
  <si>
    <t>Grimm, C.</t>
  </si>
  <si>
    <t>Grimm, M.</t>
  </si>
  <si>
    <t>Grinspun, E.</t>
  </si>
  <si>
    <t>Grinstein, C.</t>
  </si>
  <si>
    <t>Grinstein, F.</t>
  </si>
  <si>
    <t>Grinstein, G.</t>
  </si>
  <si>
    <t>Gritsai, P.</t>
  </si>
  <si>
    <t>Groen, F.C.A.</t>
  </si>
  <si>
    <t>Groller, E.</t>
  </si>
  <si>
    <t>Jianbo Peng;Vasily Strela;Denis Zorin</t>
  </si>
  <si>
    <t>Groner, J.</t>
  </si>
  <si>
    <t>New York Univ., NY, USA|c|;;</t>
  </si>
  <si>
    <t>Gros, P.</t>
  </si>
  <si>
    <t>Meshes, multiresolution surfaces, Gaussian scale mixture model, denoising</t>
  </si>
  <si>
    <t>Grosch, C.</t>
  </si>
  <si>
    <t>Grosjean, J.</t>
  </si>
  <si>
    <t>Attribute preserving dataset simplification</t>
  </si>
  <si>
    <t>Gross, M.</t>
  </si>
  <si>
    <t>10.1109/VISUAL.2001.964501</t>
  </si>
  <si>
    <t>Grosse, E.</t>
  </si>
  <si>
    <t>http://dx.doi.org/10.1109/VISUAL.2001.964501</t>
  </si>
  <si>
    <t>Grosse, I.</t>
  </si>
  <si>
    <t>Grossman, B.</t>
  </si>
  <si>
    <t>Grossman, R.</t>
  </si>
  <si>
    <t>Grosso, R.</t>
  </si>
  <si>
    <t>Groth, D.P.</t>
  </si>
  <si>
    <t>Grottel, S.</t>
  </si>
  <si>
    <t>Grout, R.W.</t>
  </si>
  <si>
    <t>Gruen, D.</t>
  </si>
  <si>
    <t>Gruetzmacher, G.P.</t>
  </si>
  <si>
    <t>Grundy, E.</t>
  </si>
  <si>
    <t>Gruse, T.</t>
  </si>
  <si>
    <t>Grzeszczuk, R. P.</t>
  </si>
  <si>
    <t>Gschwandtner, T.</t>
  </si>
  <si>
    <t>Gschwantner, F.</t>
  </si>
  <si>
    <t>Gschwind, E.</t>
  </si>
  <si>
    <t>Gstrein, E.</t>
  </si>
  <si>
    <t>Gu, X.</t>
  </si>
  <si>
    <t>Guallar, V.</t>
  </si>
  <si>
    <t>Guang-Zhong Yang</t>
  </si>
  <si>
    <t>Guangchen Ruan</t>
  </si>
  <si>
    <t>Guangfeng Ji</t>
  </si>
  <si>
    <t>Guangliang Chen</t>
  </si>
  <si>
    <t>Guangxia Li</t>
  </si>
  <si>
    <t>Guangyu Zou</t>
  </si>
  <si>
    <t>Gubin, A.</t>
  </si>
  <si>
    <t>Gubler, D.</t>
  </si>
  <si>
    <t>Guennebaud, G.</t>
  </si>
  <si>
    <t>Guerin, R.</t>
  </si>
  <si>
    <t>Guerra-Gomez, J.</t>
  </si>
  <si>
    <t>Guetat, A.</t>
  </si>
  <si>
    <t>Gueziec, A.</t>
  </si>
  <si>
    <t>Guimbretiere, F.</t>
  </si>
  <si>
    <t>Gullapalli, R.P.</t>
  </si>
  <si>
    <t>Jason D. Walter;Christopher G. Healey</t>
  </si>
  <si>
    <t>Gumhold, S.</t>
  </si>
  <si>
    <t>Gundrum, J.</t>
  </si>
  <si>
    <t>Dept. of Comput. Sci., North Carolina State Univ., Raleigh, NC, USA|c|;</t>
  </si>
  <si>
    <t>10.1109/VISUAL.1998.745296;10.1109/VISUAL.1998.745312;10.1109/VISUAL.1999.809869</t>
  </si>
  <si>
    <t>Gunther, D.</t>
  </si>
  <si>
    <t>dataset management, mesh simplification, principal component analysis, scientific visualization</t>
  </si>
  <si>
    <t>Gunther, S.</t>
  </si>
  <si>
    <t>Gunther, T.</t>
  </si>
  <si>
    <t>A memory insensitive technique for large model simplification</t>
  </si>
  <si>
    <t>Guo-Shi Li</t>
  </si>
  <si>
    <t>10.1109/VISUAL.2001.964502</t>
  </si>
  <si>
    <t>Guo-Xun Yuan</t>
  </si>
  <si>
    <t>http://dx.doi.org/10.1109/VISUAL.2001.964502</t>
  </si>
  <si>
    <t>Guo, B.</t>
  </si>
  <si>
    <t>Guo, H.</t>
  </si>
  <si>
    <t>Guodao Sun</t>
  </si>
  <si>
    <t>Guoning Chen</t>
  </si>
  <si>
    <t>Guoray Cai</t>
  </si>
  <si>
    <t>Guowei Huang</t>
  </si>
  <si>
    <t>Guozhong Dai</t>
  </si>
  <si>
    <t>Gurbat, R.</t>
  </si>
  <si>
    <t>Gurijala, K.C.</t>
  </si>
  <si>
    <t>Guritz, R.</t>
  </si>
  <si>
    <t>Gurney, K.</t>
  </si>
  <si>
    <t>Gusenbauer, C.</t>
  </si>
  <si>
    <t>Gusev, V.V.</t>
  </si>
  <si>
    <t>Guskov, I.</t>
  </si>
  <si>
    <t>Gutberlet, M.</t>
  </si>
  <si>
    <t>Gutenko, I.</t>
  </si>
  <si>
    <t>Guthe, S.</t>
  </si>
  <si>
    <t>Gutkauf, B.</t>
  </si>
  <si>
    <t>Gutman, M.</t>
  </si>
  <si>
    <t>Guttmann, R.G.</t>
  </si>
  <si>
    <t>Guy, I.</t>
  </si>
  <si>
    <t>Guzdial, M.</t>
  </si>
  <si>
    <t>Guzman, D.</t>
  </si>
  <si>
    <t>Gwinner, K.</t>
  </si>
  <si>
    <t>Gygi, F.</t>
  </si>
  <si>
    <t>Gyorgy, F.</t>
  </si>
  <si>
    <t>Gyulassy, A.</t>
  </si>
  <si>
    <t>Ha, D.</t>
  </si>
  <si>
    <t>Haack, J.</t>
  </si>
  <si>
    <t>Haber, J.</t>
  </si>
  <si>
    <t>Peter Lindstrom;Cl��udio T. Silva</t>
  </si>
  <si>
    <t>Haber, R.</t>
  </si>
  <si>
    <t>Center for Appl. Sci. Comput., Lawrence Livermore Nat. Lab., Berkeley, CA, USA|c|;</t>
  </si>
  <si>
    <t>Hackborn, D.</t>
  </si>
  <si>
    <t>10.1109/VISUAL.2001.964503;10.1109/VISUAL.1999.809910;10.1109/VISUAL.1995.480813;10.1109/VISUAL.1997.663895;10.1109/VISUAL.1998.745299;10.1109/VISUAL.1997.663888;10.1109/VISUAL.1998.745314;10.1109/VISUAL.1998.745282</t>
  </si>
  <si>
    <t>Hadap, S.</t>
  </si>
  <si>
    <t>polygonal surface simplification, large data, out-of-core algorithms, external sorting, quadric error metrics</t>
  </si>
  <si>
    <t>Hadlak, S.</t>
  </si>
  <si>
    <t>Hadwiger, M.</t>
  </si>
  <si>
    <t>Haehn, D.</t>
  </si>
  <si>
    <t>Efficient Adaptive Simplification of Massive Meshes</t>
  </si>
  <si>
    <t>Haesun Park</t>
  </si>
  <si>
    <t>10.1109/VISUAL.2001.964503</t>
  </si>
  <si>
    <t>Haeyong Chung</t>
  </si>
  <si>
    <t>http://doi.ieeecomputersociety.org/10.1109/VISUAL.2001.964503</t>
  </si>
  <si>
    <t>Hafemeister, C.</t>
  </si>
  <si>
    <t>Hafen, R.</t>
  </si>
  <si>
    <t>Haftka, R.T.</t>
  </si>
  <si>
    <t>Hagedorn, J.</t>
  </si>
  <si>
    <t>Hagen, H.</t>
  </si>
  <si>
    <t>Hagh-Shenas, H.</t>
  </si>
  <si>
    <t>Hahmann, S.</t>
  </si>
  <si>
    <t>Hahn, H.K.</t>
  </si>
  <si>
    <t>Hahn, J.</t>
  </si>
  <si>
    <t>Hahn, O.</t>
  </si>
  <si>
    <t>Hai Ah Nam</t>
  </si>
  <si>
    <t>Hai Lin</t>
  </si>
  <si>
    <t>Hai Tao</t>
  </si>
  <si>
    <t>Haibo Dong</t>
  </si>
  <si>
    <t>Haidacher, M.</t>
  </si>
  <si>
    <t>Haider, C.</t>
  </si>
  <si>
    <t>Haidong Chen</t>
  </si>
  <si>
    <t>Haimes, R.</t>
  </si>
  <si>
    <t>Haipeng Cai</t>
  </si>
  <si>
    <t>Haipeng Zeng</t>
  </si>
  <si>
    <t>Haiyan Yang</t>
  </si>
  <si>
    <t>Haiyang Wang</t>
  </si>
  <si>
    <t>Hajizadeh, A.H.</t>
  </si>
  <si>
    <t>Hakanen, J.</t>
  </si>
  <si>
    <t>Halevy, A.</t>
  </si>
  <si>
    <t>Hall, J.A.</t>
  </si>
  <si>
    <t>Hall, M.</t>
  </si>
  <si>
    <t>Halle, M.</t>
  </si>
  <si>
    <t>Hallman, T.J.</t>
  </si>
  <si>
    <t>Hamacher, K.</t>
  </si>
  <si>
    <t>Hamacherk, K.</t>
  </si>
  <si>
    <t>Hamann, B.</t>
  </si>
  <si>
    <t>Hamarneh, G.</t>
  </si>
  <si>
    <t>Hamburger, T.</t>
  </si>
  <si>
    <t>Hamill, T.M.</t>
  </si>
  <si>
    <t>Hamilton, P.</t>
  </si>
  <si>
    <t>Hamins, A.</t>
  </si>
  <si>
    <t>Han Hong</t>
  </si>
  <si>
    <t>Han, P.K.J.</t>
  </si>
  <si>
    <t>Han, S.</t>
  </si>
  <si>
    <t>Han, Y.</t>
  </si>
  <si>
    <t>Hanbury, A.</t>
  </si>
  <si>
    <t>Handschuh, S.</t>
  </si>
  <si>
    <t>Handte, M.</t>
  </si>
  <si>
    <t>Hanfler, M.</t>
  </si>
  <si>
    <t>Hang Yu</t>
  </si>
  <si>
    <t>Hangzai Luo</t>
  </si>
  <si>
    <t>Eric Shaffer;Michael Garland</t>
  </si>
  <si>
    <t>Hanjun Xian</t>
  </si>
  <si>
    <t>Hannah Kim</t>
  </si>
  <si>
    <t>10.1109/VISUAL.2001.964502;10.1109/VISUAL.1998.745282;10.1109/VISUAL.1998.745314</t>
  </si>
  <si>
    <t>Hannemann, M.</t>
  </si>
  <si>
    <t>surface simplification, massive meshes, quadric error metric, recursive partitioning, out-of-core simplification</t>
  </si>
  <si>
    <t>Hanqi Guo</t>
  </si>
  <si>
    <t>Hanrahan, P.</t>
  </si>
  <si>
    <t>Hansen, C.</t>
  </si>
  <si>
    <t>Connectivity shapes</t>
  </si>
  <si>
    <t>10.1109/VISUAL.2001.964504</t>
  </si>
  <si>
    <t>Hansen, M.</t>
  </si>
  <si>
    <t>Hanseung Lee</t>
  </si>
  <si>
    <t>http://dx.doi.org/10.1109/VISUAL.2001.964504</t>
  </si>
  <si>
    <t>Hanson, A.J.</t>
  </si>
  <si>
    <t>Hanson, D.</t>
  </si>
  <si>
    <t>Hanssen, N.</t>
  </si>
  <si>
    <t>Hao Wei</t>
  </si>
  <si>
    <t>Hao Zhou</t>
  </si>
  <si>
    <t>Hao, M.C.</t>
  </si>
  <si>
    <t>Hao, X.</t>
  </si>
  <si>
    <t>Haoling Dong</t>
  </si>
  <si>
    <t>Haomian Wang</t>
  </si>
  <si>
    <t>Hara, Y.</t>
  </si>
  <si>
    <t>Harcourt-Smith, W.</t>
  </si>
  <si>
    <t>Harding, S.</t>
  </si>
  <si>
    <t>Hardisty, F.</t>
  </si>
  <si>
    <t>Harel, D.</t>
  </si>
  <si>
    <t>Harer, J.</t>
  </si>
  <si>
    <t>Hargrove, W.</t>
  </si>
  <si>
    <t>Harkes, J.</t>
  </si>
  <si>
    <t>Harmon, B.</t>
  </si>
  <si>
    <t>Harmon, R.</t>
  </si>
  <si>
    <t>Haroz, S.</t>
  </si>
  <si>
    <t>Harper, R.</t>
  </si>
  <si>
    <t>Harrington, S.J.</t>
  </si>
  <si>
    <t>Harris, C.</t>
  </si>
  <si>
    <t>Harrison, J.</t>
  </si>
  <si>
    <t>Harrison, L.</t>
  </si>
  <si>
    <t>Harrold, M.J.</t>
  </si>
  <si>
    <t>Hart, J.C.</t>
  </si>
  <si>
    <t>Hartig, J.</t>
  </si>
  <si>
    <t>Hartmann, B.</t>
  </si>
  <si>
    <t>Martin Isenburg;Stefan Gumhold;Craig Gotsman</t>
  </si>
  <si>
    <t>Hashim, R.R.</t>
  </si>
  <si>
    <t>Hasser, C.</t>
  </si>
  <si>
    <t>Hastreiter, P.</t>
  </si>
  <si>
    <t>Hatanaka, Y.</t>
  </si>
  <si>
    <t>Haug, D.</t>
  </si>
  <si>
    <t>Natural embedding, mesh connectivity, implicit geometry, polygon meshes, shape compression</t>
  </si>
  <si>
    <t>Haug, L.</t>
  </si>
  <si>
    <t>Haunert, J.-H.</t>
  </si>
  <si>
    <t>Hauptmann, A.G.</t>
  </si>
  <si>
    <t>Quantitative comparative evaluation of 2D vector field visualization methods</t>
  </si>
  <si>
    <t>Hauser, H.</t>
  </si>
  <si>
    <t>10.1109/VISUAL.2001.964505</t>
  </si>
  <si>
    <t>Havre, S.</t>
  </si>
  <si>
    <t>Haw-Jye Shyu</t>
  </si>
  <si>
    <t>http://dx.doi.org/10.1109/VISUAL.2001.964505</t>
  </si>
  <si>
    <t>Hawkes, E.R.</t>
  </si>
  <si>
    <t>Hawkins, M.E.</t>
  </si>
  <si>
    <t>Hayden, B.</t>
  </si>
  <si>
    <t>Haynes, R.</t>
  </si>
  <si>
    <t>Hazzard, K.</t>
  </si>
  <si>
    <t>He Liu</t>
  </si>
  <si>
    <t>He Xiao</t>
  </si>
  <si>
    <t>He, T.</t>
  </si>
  <si>
    <t>Headleand, C.</t>
  </si>
  <si>
    <t>Healey, C.</t>
  </si>
  <si>
    <t>Hearst, M.</t>
  </si>
  <si>
    <t>Hecht, M.</t>
  </si>
  <si>
    <t>Heckbert, P.S.</t>
  </si>
  <si>
    <t>Heckel, B.</t>
  </si>
  <si>
    <t>Heer, J.</t>
  </si>
  <si>
    <t>Heermann, P.D.</t>
  </si>
  <si>
    <t>Hege, H.-C.</t>
  </si>
  <si>
    <t>Hegedust, B.</t>
  </si>
  <si>
    <t>Hegenscheid, K.</t>
  </si>
  <si>
    <t>Heiberg, E.</t>
  </si>
  <si>
    <t>Heidemann, G.</t>
  </si>
  <si>
    <t>Heidrich, W.</t>
  </si>
  <si>
    <t>Heilmann, R.</t>
  </si>
  <si>
    <t>Heimerl, F.</t>
  </si>
  <si>
    <t>Heine, C.</t>
  </si>
  <si>
    <t>Heinemann, G.</t>
  </si>
  <si>
    <t>Heinlein, G.</t>
  </si>
  <si>
    <t>Heinrich, J.</t>
  </si>
  <si>
    <t>Heinrichs, L.R.</t>
  </si>
  <si>
    <t>Heinzl, C.</t>
  </si>
  <si>
    <t>Heiser, J.</t>
  </si>
  <si>
    <t>Heitmann, K.</t>
  </si>
  <si>
    <t>Heitzler, M.</t>
  </si>
  <si>
    <t>Heller, B.</t>
  </si>
  <si>
    <t>David H. Laidlaw;Robert Michael Kirby;J. Scott Davidson;Timothy S. Miller;Marco da Silva;William H. Warren;Michael J. Tarr</t>
  </si>
  <si>
    <t>Hellerstein, J.M.</t>
  </si>
  <si>
    <t>Dept. of Comput. Sci., Brown Univ., Providence, RI, USA|c|;;;;;;</t>
  </si>
  <si>
    <t>Hellmuth, M.</t>
  </si>
  <si>
    <t>Helman, J.L.</t>
  </si>
  <si>
    <t>Hemery, P.</t>
  </si>
  <si>
    <t>10.1109/VISUAL.1991.175773;10.1109/VISUAL.1999.809905</t>
  </si>
  <si>
    <t>Hempel, D.</t>
  </si>
  <si>
    <t>Hendley, R.J.</t>
  </si>
  <si>
    <t>Hendrickson, C.</t>
  </si>
  <si>
    <t>Hendriks, E.A.</t>
  </si>
  <si>
    <t>Heng, P.A.</t>
  </si>
  <si>
    <t>Henne, B.</t>
  </si>
  <si>
    <t>Hennersperger, C.</t>
  </si>
  <si>
    <t>Henry, M.</t>
  </si>
  <si>
    <t>Henry, N.</t>
  </si>
  <si>
    <t>Hensley, J.</t>
  </si>
  <si>
    <t>Hentschel, B.</t>
  </si>
  <si>
    <t>Henze, C.</t>
  </si>
  <si>
    <t>Henzi, P.</t>
  </si>
  <si>
    <t>Hepting, D.H.</t>
  </si>
  <si>
    <t>Herch, R.D.</t>
  </si>
  <si>
    <t>Hering-Bertram, M.</t>
  </si>
  <si>
    <t>Heringer, M.</t>
  </si>
  <si>
    <t>Herman, I.</t>
  </si>
  <si>
    <t>Hermann, M.</t>
  </si>
  <si>
    <t>Hermann, S.</t>
  </si>
  <si>
    <t>Herr, L.</t>
  </si>
  <si>
    <t>Herring, R.</t>
  </si>
  <si>
    <t>Herrmann, A.</t>
  </si>
  <si>
    <t>Herrmann, I.</t>
  </si>
  <si>
    <t>Hertzog, P.</t>
  </si>
  <si>
    <t>Herzner, W.</t>
  </si>
  <si>
    <t>Hess, M.</t>
  </si>
  <si>
    <t>Hess, R.</t>
  </si>
  <si>
    <t>Hesselink, L.</t>
  </si>
  <si>
    <t>Hesser, J.</t>
  </si>
  <si>
    <t>Hetzler, E.</t>
  </si>
  <si>
    <t>Heulot, N.</t>
  </si>
  <si>
    <t>Heussel, C.P.</t>
  </si>
  <si>
    <t>Heyer, G.</t>
  </si>
  <si>
    <t>Hibbard, B.</t>
  </si>
  <si>
    <t>Hibbard, W.</t>
  </si>
  <si>
    <t>Hietala, R.</t>
  </si>
  <si>
    <t>Higashida, H.</t>
  </si>
  <si>
    <t>Higginbotham, A.</t>
  </si>
  <si>
    <t>Higgins, M.</t>
  </si>
  <si>
    <t>Hijazi, Y.</t>
  </si>
  <si>
    <t>Hildebrand, D.G.C.</t>
  </si>
  <si>
    <t>Hildebrand, K.</t>
  </si>
  <si>
    <t>Hildebrandt, T.</t>
  </si>
  <si>
    <t>Hill, M.</t>
  </si>
  <si>
    <t>Hill, W.</t>
  </si>
  <si>
    <t>Hill, W.C.</t>
  </si>
  <si>
    <t>Hillert, R.</t>
  </si>
  <si>
    <t>Hin, A.J.S.</t>
  </si>
  <si>
    <t>Hinckley, K.P.</t>
  </si>
  <si>
    <t>Hinker, P.</t>
  </si>
  <si>
    <t>Hinrichs, K.</t>
  </si>
  <si>
    <t>Hinrichs, U.</t>
  </si>
  <si>
    <t>Hinterberger, H.</t>
  </si>
  <si>
    <t>Hiraga, R.</t>
  </si>
  <si>
    <t>Hirata, K.</t>
  </si>
  <si>
    <t>Hiromoto, R.E.</t>
  </si>
  <si>
    <t>Hirsch, C.</t>
  </si>
  <si>
    <t>Hirschman, L.</t>
  </si>
  <si>
    <t>Hix, D.</t>
  </si>
  <si>
    <t>Hladuvka, J.</t>
  </si>
  <si>
    <t>Hlawatsch, M.</t>
  </si>
  <si>
    <t>Hlawitschka, M.</t>
  </si>
  <si>
    <t>Ho Van Quan</t>
  </si>
  <si>
    <t>Ho, C.</t>
  </si>
  <si>
    <t>Ho, J.</t>
  </si>
  <si>
    <t>Ho, K.</t>
  </si>
  <si>
    <t>Ho, S.</t>
  </si>
  <si>
    <t>Hoberock, J.</t>
  </si>
  <si>
    <t>Hock-Soon Seah</t>
  </si>
  <si>
    <t>Hodges, L.F.</t>
  </si>
  <si>
    <t>Hodges, W.</t>
  </si>
  <si>
    <t>Hoeber, O.</t>
  </si>
  <si>
    <t>Hoeferlin, M.</t>
  </si>
  <si>
    <t>Hofacker, I.L.</t>
  </si>
  <si>
    <t>Hoferlin, B.</t>
  </si>
  <si>
    <t>Hoferlin, M.</t>
  </si>
  <si>
    <t>Hoff, A.</t>
  </si>
  <si>
    <t>Hoffman, E.</t>
  </si>
  <si>
    <t>Hoffman, P.</t>
  </si>
  <si>
    <t>Hoffmann, C.</t>
  </si>
  <si>
    <t>Hoffmann, T.</t>
  </si>
  <si>
    <t>Hoffmann, U.</t>
  </si>
  <si>
    <t>Hoffswell, J.</t>
  </si>
  <si>
    <t>Hofmann, H.</t>
  </si>
  <si>
    <t>Hogan, P.</t>
  </si>
  <si>
    <t>Hohne, K.H.</t>
  </si>
  <si>
    <t>Hoi Ying Tsang</t>
  </si>
  <si>
    <t>Holdsworth, D.</t>
  </si>
  <si>
    <t>Hollan, J.D.</t>
  </si>
  <si>
    <t>Holland, B.</t>
  </si>
  <si>
    <t>Hollerer, T.</t>
  </si>
  <si>
    <t>Holliday, D.</t>
  </si>
  <si>
    <t>Hollt, T.</t>
  </si>
  <si>
    <t>Holmes, D.</t>
  </si>
  <si>
    <t>Holmquist, L.E.</t>
  </si>
  <si>
    <t>Holten, D.</t>
  </si>
  <si>
    <t>Holtkaemper, T.</t>
  </si>
  <si>
    <t>Holub, R.A.</t>
  </si>
  <si>
    <t>Holzner, M.</t>
  </si>
  <si>
    <t>Hong Chen</t>
  </si>
  <si>
    <t>Hong Qin</t>
  </si>
  <si>
    <t>Hong Wang</t>
  </si>
  <si>
    <t>Hong Zhou</t>
  </si>
  <si>
    <t>Hong, L.</t>
  </si>
  <si>
    <t>Hong, W.</t>
  </si>
  <si>
    <t>Hongan Wang</t>
  </si>
  <si>
    <t>Hongfeng Yu</t>
  </si>
  <si>
    <t>Honghui Mei</t>
  </si>
  <si>
    <t>Hongwei Li</t>
  </si>
  <si>
    <t>Honigmann, D.</t>
  </si>
  <si>
    <t>Scientific Visualization, User Study, Line-integral Convolution, Two-dimensional Vector Fields, Streamlines, Iconic Textures, Image-guided Streamlines, Jittered Grid Icons, Critical Point, Advection, Fluid Dynamics, Fluid Flow</t>
  </si>
  <si>
    <t>Hoobler, N.</t>
  </si>
  <si>
    <t>Hopf, M.</t>
  </si>
  <si>
    <t>Hopf, R.</t>
  </si>
  <si>
    <t>Hoppe, H.</t>
  </si>
  <si>
    <t>Horn, M.S.</t>
  </si>
  <si>
    <t>Horn, W.</t>
  </si>
  <si>
    <t>Hornbaek, K.</t>
  </si>
  <si>
    <t>Horsman, J.L.</t>
  </si>
  <si>
    <t>Horst, B.</t>
  </si>
  <si>
    <t>Horvath, Z.</t>
  </si>
  <si>
    <t>A tetrahedra-based stream surface algorithm</t>
  </si>
  <si>
    <t>Hoshiya, Y.</t>
  </si>
  <si>
    <t>10.1109/VISUAL.2001.964506</t>
  </si>
  <si>
    <t>Hossain, M.S.</t>
  </si>
  <si>
    <t>Hosssain, Z.</t>
  </si>
  <si>
    <t>http://dx.doi.org/10.1109/VISUAL.2001.964506</t>
  </si>
  <si>
    <t>Hotz, I.</t>
  </si>
  <si>
    <t>Houde, S.</t>
  </si>
  <si>
    <t>Hough, A.A.</t>
  </si>
  <si>
    <t>House, D.</t>
  </si>
  <si>
    <t>House, l.</t>
  </si>
  <si>
    <t>House, L.</t>
  </si>
  <si>
    <t>Housel, T.C.</t>
  </si>
  <si>
    <t>Houston, M.</t>
  </si>
  <si>
    <t>Howe, B.</t>
  </si>
  <si>
    <t>Howe, E.</t>
  </si>
  <si>
    <t>Hsiang-Yun Wu</t>
  </si>
  <si>
    <t>Hsieh, J.C.L.</t>
  </si>
  <si>
    <t>Hsiung, P.-K.</t>
  </si>
  <si>
    <t>Hsu, M.</t>
  </si>
  <si>
    <t>Hsu, P.</t>
  </si>
  <si>
    <t>Hsu, W.</t>
  </si>
  <si>
    <t>Hu, H.H</t>
  </si>
  <si>
    <t>Hua Guo</t>
  </si>
  <si>
    <t>Hua Su</t>
  </si>
  <si>
    <t>Hualin Zhou</t>
  </si>
  <si>
    <t>Huamin Qu</t>
  </si>
  <si>
    <t>Huang Shiping</t>
  </si>
  <si>
    <t>Huang, A.</t>
  </si>
  <si>
    <t>Huang, J.</t>
  </si>
  <si>
    <t>Huang, M.</t>
  </si>
  <si>
    <t>Huang, R.</t>
  </si>
  <si>
    <t>Huang, W.</t>
  </si>
  <si>
    <t>Hubball, D.</t>
  </si>
  <si>
    <t>Hubbard, S.S.</t>
  </si>
  <si>
    <t>Hubeli, A.</t>
  </si>
  <si>
    <t>Huber, D.</t>
  </si>
  <si>
    <t>Huber, D.E.</t>
  </si>
  <si>
    <t>Huber, S.</t>
  </si>
  <si>
    <t>Hublin, J.-J.</t>
  </si>
  <si>
    <t>Hudson, J.</t>
  </si>
  <si>
    <t>Hueso, E.</t>
  </si>
  <si>
    <t>Huettenberger, L.</t>
  </si>
  <si>
    <t>Hufnagel, L.</t>
  </si>
  <si>
    <t>Hughes, C.</t>
  </si>
  <si>
    <t>Gerik Scheuermann;Tom Bobach;Hans Hagen;Karim Mahrous;Bernd Hamann;Kenneth I. Joy;Wolfgang Kollmann</t>
  </si>
  <si>
    <t>Hughes, D.M.</t>
  </si>
  <si>
    <t>Dept. of Comput. Sci., Kaiserslautern Univ., Germany|c|;;;;;;</t>
  </si>
  <si>
    <t>Hughes, J.F.</t>
  </si>
  <si>
    <t>10.1109/VISUAL.1993.398875;10.1109/VISUAL.1992.235211;10.1109/VISUAL.1995.485145;10.1109/VISUAL.1999.809896;10.1109/VISUAL.1997.663910</t>
  </si>
  <si>
    <t>Hughes, R.G.</t>
  </si>
  <si>
    <t>vector field visualization, flow visualization, tetrahedral grid, unstructured grid, flow surface</t>
  </si>
  <si>
    <t>Hui Ma</t>
  </si>
  <si>
    <t>Hui Min Watt</t>
  </si>
  <si>
    <t>Continuous topology simplification of planar vector fields</t>
  </si>
  <si>
    <t>Hui Xie</t>
  </si>
  <si>
    <t>10.1109/VISUAL.2001.964507</t>
  </si>
  <si>
    <t>Hui Zhang</t>
  </si>
  <si>
    <t>Huitema, H.</t>
  </si>
  <si>
    <t>http://dx.doi.org/10.1109/VISUAL.2001.964507</t>
  </si>
  <si>
    <t>Hujun Bao</t>
  </si>
  <si>
    <t>Hullman, J.</t>
  </si>
  <si>
    <t>Hultquist, J.P.M.</t>
  </si>
  <si>
    <t>Hummel, M.</t>
  </si>
  <si>
    <t xml:space="preserve">Humphrey, M.C.  </t>
  </si>
  <si>
    <t>Humphreys, G.</t>
  </si>
  <si>
    <t>Hunt, M.O.</t>
  </si>
  <si>
    <t>Hunt, W.</t>
  </si>
  <si>
    <t>Hunter, A.</t>
  </si>
  <si>
    <t>Huntzinger, D.N.</t>
  </si>
  <si>
    <t>Hurdal, M.K.</t>
  </si>
  <si>
    <t>Hurlburt, N.E.</t>
  </si>
  <si>
    <t>Huron, S.</t>
  </si>
  <si>
    <t>Hurst, M.</t>
  </si>
  <si>
    <t>Hurter, C.</t>
  </si>
  <si>
    <t>Hussaini, M.Y.</t>
  </si>
  <si>
    <t>Hutanu, A.</t>
  </si>
  <si>
    <t>Hutchinson, G.</t>
  </si>
  <si>
    <t>Hwa, L.M.</t>
  </si>
  <si>
    <t>Hyungsuk Choi</t>
  </si>
  <si>
    <t>Hyunmo Kang</t>
  </si>
  <si>
    <t>Ibekwe-SanJuan, F.</t>
  </si>
  <si>
    <t>Ice, L.</t>
  </si>
  <si>
    <t>Ichikawa, Y.</t>
  </si>
  <si>
    <t>Icke, I.</t>
  </si>
  <si>
    <t>Iglesias Guitian, J.A.</t>
  </si>
  <si>
    <t>Ik Soo Lim</t>
  </si>
  <si>
    <t>Ikits, M.</t>
  </si>
  <si>
    <t>Ilgen, M.R.</t>
  </si>
  <si>
    <t>Im, J.-F.</t>
  </si>
  <si>
    <t>10.1109/VISUAL.2000.885716;10.1109/VISUAL.1998.745318;10.1109/VISUAL.1991.175773;10.1109/VISUAL.1999.809907</t>
  </si>
  <si>
    <t>Imamiya, A.</t>
  </si>
  <si>
    <t>vector field topology, flow visualization, unstructured grid, simplification</t>
  </si>
  <si>
    <t>Imre, D.</t>
  </si>
  <si>
    <t>Ingram, R.</t>
  </si>
  <si>
    <t>PixelFlex: a reconfigurable multi-projector display system</t>
  </si>
  <si>
    <t>Ingram, S.</t>
  </si>
  <si>
    <t>10.1109/VISUAL.2001.964508</t>
  </si>
  <si>
    <t>Inkpen, K.</t>
  </si>
  <si>
    <t>http://dx.doi.org/10.1109/VISUAL.2001.964508</t>
  </si>
  <si>
    <t>Inman, J.</t>
  </si>
  <si>
    <t>Inman, L.</t>
  </si>
  <si>
    <t>Inselberg, A.</t>
  </si>
  <si>
    <t>Insoo Woo</t>
  </si>
  <si>
    <t>Insung Ihm</t>
  </si>
  <si>
    <t>Interrante, V.</t>
  </si>
  <si>
    <t>Irani, P.</t>
  </si>
  <si>
    <t>Irfanoglu, O.</t>
  </si>
  <si>
    <t>Irvine, V.</t>
  </si>
  <si>
    <t>Isaacs, E.</t>
  </si>
  <si>
    <t>Isaacs, K.E.</t>
  </si>
  <si>
    <t>Isenberg, P.</t>
  </si>
  <si>
    <t>Isenberg, T.</t>
  </si>
  <si>
    <t>Isenburg, M.</t>
  </si>
  <si>
    <t>Iserhardt-Bauer, S.</t>
  </si>
  <si>
    <t>Ishii, H.</t>
  </si>
  <si>
    <t>Ishikawa, H.</t>
  </si>
  <si>
    <t>Isola, P.</t>
  </si>
  <si>
    <t>Israel, D.</t>
  </si>
  <si>
    <t>Itoh, M.</t>
  </si>
  <si>
    <t>Itoh, N.</t>
  </si>
  <si>
    <t>Ruigang Yang;David Gotz;Justin Hensley;Herman Towles;Michael S. Brown</t>
  </si>
  <si>
    <t>Itoh, T.</t>
  </si>
  <si>
    <t>Ivanov, Y.A.</t>
  </si>
  <si>
    <t>10.1109/VISUAL.2000.885685;10.1109/VISUAL.1999.809890;10.1109/VISUAL.1999.809883;10.1109/VISUAL.2000.885712</t>
  </si>
  <si>
    <t>large-format projection display, camera-based registration and calibration</t>
  </si>
  <si>
    <t>Ivey, W.</t>
  </si>
  <si>
    <t>JÃ¤nicke, H.</t>
  </si>
  <si>
    <t>JÃ¤nicke, S.</t>
  </si>
  <si>
    <t>Dynamic Shadow Removal from Front Projection Displays</t>
  </si>
  <si>
    <t>Jablonowski, D.</t>
  </si>
  <si>
    <t>10.1109/VISUAL.2001.964509</t>
  </si>
  <si>
    <t>Jackle, D.</t>
  </si>
  <si>
    <t>http://doi.ieeecomputersociety.org/10.1109/VISUAL.2001.964509</t>
  </si>
  <si>
    <t>Jäckle, D.</t>
  </si>
  <si>
    <t>Jackman, S.D.</t>
  </si>
  <si>
    <t>Jacko, J.A.</t>
  </si>
  <si>
    <t>Jackson, B.</t>
  </si>
  <si>
    <t>Jacob, R.</t>
  </si>
  <si>
    <t>Jacobs, D.</t>
  </si>
  <si>
    <t>Jacobs, R.E.</t>
  </si>
  <si>
    <t>Jacobson, A.</t>
  </si>
  <si>
    <t>Jacobson, V.L.</t>
  </si>
  <si>
    <t>Jacovi, M.</t>
  </si>
  <si>
    <t>Jae Choi</t>
  </si>
  <si>
    <t>Jae-wook Ahn</t>
  </si>
  <si>
    <t>Jaech, J.</t>
  </si>
  <si>
    <t>Jaegul Choo</t>
  </si>
  <si>
    <t>Jaemin Jo</t>
  </si>
  <si>
    <t>Jaeseok Huh</t>
  </si>
  <si>
    <t>Jaeyeon Kihm</t>
  </si>
  <si>
    <t>Jagadish, H.V.</t>
  </si>
  <si>
    <t>Jain, N.</t>
  </si>
  <si>
    <t>Jaiswal, A.R.</t>
  </si>
  <si>
    <t>JaJa, J.</t>
  </si>
  <si>
    <t>Jakab, M.</t>
  </si>
  <si>
    <t>Jakobsen, M.R.</t>
  </si>
  <si>
    <t>Jalba, A.C.</t>
  </si>
  <si>
    <t>Janetzko, H.</t>
  </si>
  <si>
    <t>Jang, J.</t>
  </si>
  <si>
    <t>Jänicke, H.</t>
  </si>
  <si>
    <t>Jänicke, S.</t>
  </si>
  <si>
    <t>Janiga, G.</t>
  </si>
  <si>
    <t>Jankowska, M.</t>
  </si>
  <si>
    <t>Jankun-Kelly, M.</t>
  </si>
  <si>
    <t>Jankun-Kelly, T.J.</t>
  </si>
  <si>
    <t>Janoos, F.</t>
  </si>
  <si>
    <t>Jansen, A.</t>
  </si>
  <si>
    <t>Jansen, T.</t>
  </si>
  <si>
    <t>Jansen, Y.</t>
  </si>
  <si>
    <t>Janus, M.</t>
  </si>
  <si>
    <t>Jarema, M.</t>
  </si>
  <si>
    <t>Jaswa, V.</t>
  </si>
  <si>
    <t>Javed, W.</t>
  </si>
  <si>
    <t>Jayaraman, S.</t>
  </si>
  <si>
    <t>Jaynes, C.</t>
  </si>
  <si>
    <t>Jean, Y.</t>
  </si>
  <si>
    <t>Jegorovs, J.</t>
  </si>
  <si>
    <t>Jelovic, M.</t>
  </si>
  <si>
    <t>Jen-Ping Chen</t>
  </si>
  <si>
    <t>Jen, D.</t>
  </si>
  <si>
    <t>Christopher O. Jaynes;Stephen B. Webb;R. Matt Steele;Michael S. Brown;W. Brent Seales</t>
  </si>
  <si>
    <t>Jennings, R.E.</t>
  </si>
  <si>
    <t>10.1109/VISUAL.1999.809883;10.1109/VISUAL.1999.809890;10.1109/VISUAL.2000.885684;10.1109/VISUAL.2000.885685;10.1109/VISUAL.2000.885712</t>
  </si>
  <si>
    <t>Jenny, B.</t>
  </si>
  <si>
    <t>Large-scale display, shadow removal, immersive media, calibration</t>
  </si>
  <si>
    <t>Jenny, M.</t>
  </si>
  <si>
    <t>Jensen, V.R.</t>
  </si>
  <si>
    <t>The "Which Blair project": a quick visual method for evaluating perceptual color maps</t>
  </si>
  <si>
    <t>Jeong, W.-K.</t>
  </si>
  <si>
    <t>10.1109/VISUAL.2001.964510</t>
  </si>
  <si>
    <t>Jerard, R.B.</t>
  </si>
  <si>
    <t>http://dx.doi.org/10.1109/VISUAL.2001.964510</t>
  </si>
  <si>
    <t>Jerding, D.F.</t>
  </si>
  <si>
    <t>Jeremic, B.</t>
  </si>
  <si>
    <t>Jern, M.</t>
  </si>
  <si>
    <t>Jessel, J.-P.</t>
  </si>
  <si>
    <t>Jewitt, T.</t>
  </si>
  <si>
    <t>Ji Soo Yi</t>
  </si>
  <si>
    <t>Ji-Dong Yim</t>
  </si>
  <si>
    <t>Jiachen Zhuo</t>
  </si>
  <si>
    <t>Jian Chen</t>
  </si>
  <si>
    <t>Jian Cui</t>
  </si>
  <si>
    <t>Jian Huang</t>
  </si>
  <si>
    <t>Jian Sun</t>
  </si>
  <si>
    <t>Jian Zhang</t>
  </si>
  <si>
    <t>Jian Zhao</t>
  </si>
  <si>
    <t>Jianbo Peng</t>
  </si>
  <si>
    <t>Jianfei Chen</t>
  </si>
  <si>
    <t>Jiang Zhang</t>
  </si>
  <si>
    <t>Jiang, M.</t>
  </si>
  <si>
    <t>Jiang, T.Y.</t>
  </si>
  <si>
    <t>Jianguang Weng</t>
  </si>
  <si>
    <t>Jianlong Zhou</t>
  </si>
  <si>
    <t>Jianning Wang</t>
  </si>
  <si>
    <t>Jianping Fan</t>
  </si>
  <si>
    <t>Jianu, R.</t>
  </si>
  <si>
    <t>Jiawan Zhang</t>
  </si>
  <si>
    <t>Jiaxi Hu</t>
  </si>
  <si>
    <t>Jiayi Xu</t>
  </si>
  <si>
    <t>Jie Gao</t>
  </si>
  <si>
    <t>Bernice E. Rogowitz;Alan D. Kalvin</t>
  </si>
  <si>
    <t>Jie Li</t>
  </si>
  <si>
    <t>IBM Thomas J. Watson Res. Center, Hawthorne, NY, USA|c|;</t>
  </si>
  <si>
    <t>Jie Liang</t>
  </si>
  <si>
    <t>Jie Liangk</t>
  </si>
  <si>
    <t>Perceptual color scales, visual artifacts in visualization, Internet color, human color vision</t>
  </si>
  <si>
    <t>Jie Lu</t>
  </si>
  <si>
    <t>Jie Tang</t>
  </si>
  <si>
    <t>Circular incident edge lists: a data structure for rendering complex unstructured grids</t>
  </si>
  <si>
    <t>Jie Yun</t>
  </si>
  <si>
    <t>10.1109/VISUAL.2001.964511</t>
  </si>
  <si>
    <t>Jieqiong Zhao</t>
  </si>
  <si>
    <t>Jiexun Li</t>
  </si>
  <si>
    <t>http://dx.doi.org/10.1109/VISUAL.2001.964511</t>
  </si>
  <si>
    <t>Jihye Yun</t>
  </si>
  <si>
    <t>Jimenez, W.H.</t>
  </si>
  <si>
    <t>Jimeng Sun</t>
  </si>
  <si>
    <t>Jin Chen</t>
  </si>
  <si>
    <t>Jina Huh</t>
  </si>
  <si>
    <t>Jing Hua</t>
  </si>
  <si>
    <t>Jing Jin</t>
  </si>
  <si>
    <t>Jing Ma</t>
  </si>
  <si>
    <t>Jing Xia</t>
  </si>
  <si>
    <t>Jing Yang</t>
  </si>
  <si>
    <t>Jingjing Liu</t>
  </si>
  <si>
    <t>Jingshan Pan</t>
  </si>
  <si>
    <t>Jinho Lee</t>
  </si>
  <si>
    <t>Bruno L̩vy;Guillaume Caumon;Stephane Conreaux;Xavier Cavin</t>
  </si>
  <si>
    <t>ISA (INRIA Lorraine), Vandoeuvre-les-Nancy, France|c|;;;</t>
  </si>
  <si>
    <t>Volume Rendering, Iso-Surfaces, Unstructured Grids, Combinatorial Topology</t>
  </si>
  <si>
    <t>Jinwook Seo</t>
  </si>
  <si>
    <t>Hardware-software-balanced resampling for the interactive visualization of unstructured grids</t>
  </si>
  <si>
    <t>Jinyan Chen</t>
  </si>
  <si>
    <t>10.1109/VISUAL.2001.964512</t>
  </si>
  <si>
    <t>Jishang Wei</t>
  </si>
  <si>
    <t>http://dx.doi.org/10.1109/VISUAL.2001.964512</t>
  </si>
  <si>
    <t>Jiun-Yi Tsai</t>
  </si>
  <si>
    <t>Joannopoulos, J.D.</t>
  </si>
  <si>
    <t>Jobard, B.</t>
  </si>
  <si>
    <t>Jofre, A.</t>
  </si>
  <si>
    <t>Johan, S.</t>
  </si>
  <si>
    <t>Johannsen, A.</t>
  </si>
  <si>
    <t>Johansson, J.</t>
  </si>
  <si>
    <t>Johansson, S.</t>
  </si>
  <si>
    <t>John, M.</t>
  </si>
  <si>
    <t>Johns, P.</t>
  </si>
  <si>
    <t>Johnson, A.</t>
  </si>
  <si>
    <t>Johnson, B.</t>
  </si>
  <si>
    <t>Johnson, C.R.</t>
  </si>
  <si>
    <t>Johnson, G.P.</t>
  </si>
  <si>
    <t>Johnson, J.L.</t>
  </si>
  <si>
    <t>Johnson, K.W.</t>
  </si>
  <si>
    <t>Johnson, R.R.</t>
  </si>
  <si>
    <t>Johnson, T.C.</t>
  </si>
  <si>
    <t>Johnston, L.J.</t>
  </si>
  <si>
    <t>Johnston, W.E.</t>
  </si>
  <si>
    <t>Johnstone, J.K.</t>
  </si>
  <si>
    <t>Johri, A.</t>
  </si>
  <si>
    <t>Joia, P.</t>
  </si>
  <si>
    <t>Jones, C.</t>
  </si>
  <si>
    <t>Jones, J.A.</t>
  </si>
  <si>
    <t>Jones, K.W.</t>
  </si>
  <si>
    <t>Manfred Weiler;Thomas Ertl</t>
  </si>
  <si>
    <t>Jones, M.W.</t>
  </si>
  <si>
    <t>Jones, S.</t>
  </si>
  <si>
    <t>Jones, S.J.M.</t>
  </si>
  <si>
    <t>Jonghun Park</t>
  </si>
  <si>
    <t>The perspective shear-warp algorithm in a virtual environment</t>
  </si>
  <si>
    <t>10.1109/VISUAL.2001.964513</t>
  </si>
  <si>
    <t>Jonsson, D.</t>
  </si>
  <si>
    <t>Joorabchi, M.E.</t>
  </si>
  <si>
    <t>http://dx.doi.org/10.1109/VISUAL.2001.964513</t>
  </si>
  <si>
    <t>Jorgenson, L.</t>
  </si>
  <si>
    <t>Joshi, A.</t>
  </si>
  <si>
    <t>Joshi, S.H.</t>
  </si>
  <si>
    <t>Joskowicz, L.</t>
  </si>
  <si>
    <t>Joukowsky, M.S.</t>
  </si>
  <si>
    <t>Jourdan, F.</t>
  </si>
  <si>
    <t>Joy, K.I.</t>
  </si>
  <si>
    <t>Ju, C.</t>
  </si>
  <si>
    <t>Juang, R.</t>
  </si>
  <si>
    <t>Jubair, M.I.</t>
  </si>
  <si>
    <t>Juhee Bae</t>
  </si>
  <si>
    <t>Jun Chen</t>
  </si>
  <si>
    <t>Jun Liao</t>
  </si>
  <si>
    <t>Jun Wang</t>
  </si>
  <si>
    <t>Jun Zhu</t>
  </si>
  <si>
    <t>Jung, I.</t>
  </si>
  <si>
    <t>Jung, K.</t>
  </si>
  <si>
    <t>Junghoon Chae</t>
  </si>
  <si>
    <t>Jungk, P.</t>
  </si>
  <si>
    <t>Junping Zhang</t>
  </si>
  <si>
    <t>Junyan Luo</t>
  </si>
  <si>
    <t>Junyaprasert, K.</t>
  </si>
  <si>
    <t>Juric, J.</t>
  </si>
  <si>
    <t>Jurisica, I.</t>
  </si>
  <si>
    <t>Jurrus, E.</t>
  </si>
  <si>
    <t>Jusufi, I.</t>
  </si>
  <si>
    <t>Ka-Kei Chung</t>
  </si>
  <si>
    <t>Ka-Ping Yee</t>
  </si>
  <si>
    <t>J�_rgen P. Schulze;Roland Niemeier;Ulrich Lang</t>
  </si>
  <si>
    <t>Kaastra, L.</t>
  </si>
  <si>
    <t>High Performance Comput. Centre, Stuttgart, Germany|c|;;</t>
  </si>
  <si>
    <t>Kaba, J.</t>
  </si>
  <si>
    <t>10.1109/VISUAL.1996.567603;10.1109/VISUAL.1999.809872</t>
  </si>
  <si>
    <t>Volume Rendering, Perspective Shear-Warp, Virtual Environments</t>
  </si>
  <si>
    <t>Kachkaev, A.</t>
  </si>
  <si>
    <t>Kadaba, N.R.</t>
  </si>
  <si>
    <t>Cell-projection of cyclic meshes</t>
  </si>
  <si>
    <t>Kadivar, N.</t>
  </si>
  <si>
    <t>10.1109/VISUAL.2001.964514</t>
  </si>
  <si>
    <t>Kaehler, R.</t>
  </si>
  <si>
    <t>http://dx.doi.org/10.1109/VISUAL.2001.964514</t>
  </si>
  <si>
    <t>Kafniadakis, G.E.</t>
  </si>
  <si>
    <t>Kahler, R.</t>
  </si>
  <si>
    <t>Kahng, M.</t>
  </si>
  <si>
    <t>Kai Kang</t>
  </si>
  <si>
    <t>Kai Xu</t>
  </si>
  <si>
    <t>Kai Yan</t>
  </si>
  <si>
    <t>Kai-Hon Lau</t>
  </si>
  <si>
    <t>Kai-Lun Chung</t>
  </si>
  <si>
    <t>Kainz, B.</t>
  </si>
  <si>
    <t>Kalghatgi, N.</t>
  </si>
  <si>
    <t>Kalkofen, D.</t>
  </si>
  <si>
    <t>Kalvin, A.D.</t>
  </si>
  <si>
    <t>Kamal, N.</t>
  </si>
  <si>
    <t>Kamgar-Parsi, B.</t>
  </si>
  <si>
    <t>Kamijo, T.</t>
  </si>
  <si>
    <t>Kamins, D.</t>
  </si>
  <si>
    <t>Kamps, T.</t>
  </si>
  <si>
    <t>Kanade, T.</t>
  </si>
  <si>
    <t>Kandel, S.</t>
  </si>
  <si>
    <t>Kandogan, E.</t>
  </si>
  <si>
    <t>Kandula, S.</t>
  </si>
  <si>
    <t>Kang Shi</t>
  </si>
  <si>
    <t>Kang Zhang</t>
  </si>
  <si>
    <t>Kanitsar, A.</t>
  </si>
  <si>
    <t>Kanna, R.</t>
  </si>
  <si>
    <t>Kao, D.</t>
  </si>
  <si>
    <t>Kaplan, B.C.</t>
  </si>
  <si>
    <t>Martin Kraus;Thomas Ertl</t>
  </si>
  <si>
    <t>Kapler, T.</t>
  </si>
  <si>
    <t>Visualization &amp; Interactive Syst. Group, Stuttgart, Germany|c|;</t>
  </si>
  <si>
    <t>Kapoor, A.</t>
  </si>
  <si>
    <t>cell-projection, direct volume rendering, tetrahedral meshes, unstructured meshes, visibility cycles, visibility ordering, visibility sorting, volume visualization</t>
  </si>
  <si>
    <t>Kappe, C.P.</t>
  </si>
  <si>
    <t>Karger, D.R.</t>
  </si>
  <si>
    <t>Fast detection of meaningful isosurfaces for volume data visualization</t>
  </si>
  <si>
    <t>Karlapalem, K.</t>
  </si>
  <si>
    <t>10.1109/VISUAL.2001.964515</t>
  </si>
  <si>
    <t>Karlson, A.</t>
  </si>
  <si>
    <t>http://dx.doi.org/10.1109/VISUAL.2001.964515</t>
  </si>
  <si>
    <t>Karni, Z.</t>
  </si>
  <si>
    <t>Karniadakis, G.</t>
  </si>
  <si>
    <t>Karpenko, O.</t>
  </si>
  <si>
    <t>Karpeyev, D.</t>
  </si>
  <si>
    <t>Kaseda, T.</t>
  </si>
  <si>
    <t>Kashofer, K.</t>
  </si>
  <si>
    <t>Kasten, J.</t>
  </si>
  <si>
    <t>Kasthuri, N.</t>
  </si>
  <si>
    <t>Kastner, J.</t>
  </si>
  <si>
    <t>Kauczor, H.-U.</t>
  </si>
  <si>
    <t>Kauffman, L.H.</t>
  </si>
  <si>
    <t>Kaufman, A.</t>
  </si>
  <si>
    <t>Kaur, I.</t>
  </si>
  <si>
    <t>Kay, M.</t>
  </si>
  <si>
    <t>Kazi, R.H.</t>
  </si>
  <si>
    <t>Kazman, R.</t>
  </si>
  <si>
    <t>Ke, W.</t>
  </si>
  <si>
    <t>Ke, Y.</t>
  </si>
  <si>
    <t>Keahey, T.A.</t>
  </si>
  <si>
    <t>Keating, E.H.</t>
  </si>
  <si>
    <t>Keefe, D.F.</t>
  </si>
  <si>
    <t>Keel, P.E.</t>
  </si>
  <si>
    <t>Keely, L.</t>
  </si>
  <si>
    <t>Keeve, E.</t>
  </si>
  <si>
    <t>Vladimir Pekar;Rafael Wiemker;Daniel Bystrov</t>
  </si>
  <si>
    <t>Kegelmeyer, W.P.</t>
  </si>
  <si>
    <t>Philips Res. Lab., Hamburg, Germany|c|;;</t>
  </si>
  <si>
    <t>Kehrer, J.</t>
  </si>
  <si>
    <t>10.1109/VISUAL.1995.480803;10.1109/VISUAL.1997.663875;10.1109/VISUAL.1996.568113</t>
  </si>
  <si>
    <t>Volume data visualization, surface rendering, volume rendering, isosurfaces, divergence theorem</t>
  </si>
  <si>
    <t>Keim, D.A.</t>
  </si>
  <si>
    <t>Kelaita, P.G.</t>
  </si>
  <si>
    <t>Salient iso-surface detection with model-independent statistical signatures</t>
  </si>
  <si>
    <t>Keller, M.</t>
  </si>
  <si>
    <t>10.1109/VISUAL.2001.964516</t>
  </si>
  <si>
    <t>Kelling, S.</t>
  </si>
  <si>
    <t>http://dx.doi.org/10.1109/VISUAL.2001.964516</t>
  </si>
  <si>
    <t>Kellogg, L.H.</t>
  </si>
  <si>
    <t>Kelton, E.I.</t>
  </si>
  <si>
    <t>Kempf, J.L.</t>
  </si>
  <si>
    <t>Ken, S.</t>
  </si>
  <si>
    <t>Kenchammana-Hosekote, D.</t>
  </si>
  <si>
    <t>Kendall, W.</t>
  </si>
  <si>
    <t>Kennedy, J.</t>
  </si>
  <si>
    <t>Kennedy, S.</t>
  </si>
  <si>
    <t>Kennedy, T.</t>
  </si>
  <si>
    <t>Kennell, R.</t>
  </si>
  <si>
    <t>Kent, G.</t>
  </si>
  <si>
    <t>Kenwright, D.</t>
  </si>
  <si>
    <t>Kerber, M.</t>
  </si>
  <si>
    <t>Kerlick, G.D.</t>
  </si>
  <si>
    <t>Kern, D.</t>
  </si>
  <si>
    <t>Kerne, A.</t>
  </si>
  <si>
    <t>Kerpedjiev, S.</t>
  </si>
  <si>
    <t>Kerr, B.</t>
  </si>
  <si>
    <t>Kerren, A.</t>
  </si>
  <si>
    <t>Kersten, M.A.</t>
  </si>
  <si>
    <t>Keselj, V.</t>
  </si>
  <si>
    <t>Kesheng Wu</t>
  </si>
  <si>
    <t>Ketan Mehta</t>
  </si>
  <si>
    <t>Shivaraj Tenginakai;Jinho Lee;Raghu Machiraju</t>
  </si>
  <si>
    <t>10.1109/VISUAL.1998.745319;10.1109/VISUAL.1997.663875;10.1109/VISUAL.1996.568113</t>
  </si>
  <si>
    <t>Iso-values, Transfer Functions, Surface Extraction, Direct Volume Rendering</t>
  </si>
  <si>
    <t>Distance-field based skeletons for virtual navigation</t>
  </si>
  <si>
    <t>10.1109/VISUAL.2001.964517</t>
  </si>
  <si>
    <t>http://dx.doi.org/10.1109/VISUAL.2001.964517</t>
  </si>
  <si>
    <t>Keul, F.</t>
  </si>
  <si>
    <t>Keyser, J.</t>
  </si>
  <si>
    <t>Khailo, M.</t>
  </si>
  <si>
    <t>Khalili-Shavarini, N.</t>
  </si>
  <si>
    <t>Khamisa, A.</t>
  </si>
  <si>
    <t>Khan, A.</t>
  </si>
  <si>
    <t>Khlebnikov, R.</t>
  </si>
  <si>
    <t>Khot, R.A.</t>
  </si>
  <si>
    <t>Khoury, M.</t>
  </si>
  <si>
    <t>Khoury, S.</t>
  </si>
  <si>
    <t>Kidwell, P.</t>
  </si>
  <si>
    <t>Kieffer, S.</t>
  </si>
  <si>
    <t>Kielman, J.</t>
  </si>
  <si>
    <t>Kienreich, W.</t>
  </si>
  <si>
    <t>Kikinis, R.</t>
  </si>
  <si>
    <t>Kil, Y.J.</t>
  </si>
  <si>
    <t>Kilby, J.</t>
  </si>
  <si>
    <t>Kilgore, R.M.</t>
  </si>
  <si>
    <t>Kilic, S.</t>
  </si>
  <si>
    <t>Kilner, P.J.</t>
  </si>
  <si>
    <t>Kim, B.F.</t>
  </si>
  <si>
    <t>Kim, D.L.</t>
  </si>
  <si>
    <t>Kim, M.</t>
  </si>
  <si>
    <t>Kim, S.</t>
  </si>
  <si>
    <t>Kim, Y.</t>
  </si>
  <si>
    <t>Kim, Y.J.</t>
  </si>
  <si>
    <t>Kimelman, D.</t>
  </si>
  <si>
    <t>Kincaid, R.</t>
  </si>
  <si>
    <t>Kindler, T.</t>
  </si>
  <si>
    <t>Kindlmann, G.</t>
  </si>
  <si>
    <t>Kindratenko, V.</t>
  </si>
  <si>
    <t>King, A.</t>
  </si>
  <si>
    <t>King, J.C.</t>
  </si>
  <si>
    <t>King, R.</t>
  </si>
  <si>
    <t>King, T.</t>
  </si>
  <si>
    <t>Kinzel, G.L.</t>
  </si>
  <si>
    <t>Kirby, E.</t>
  </si>
  <si>
    <t>Kirby, R.M.</t>
  </si>
  <si>
    <t>Kirk, D.</t>
  </si>
  <si>
    <t>Kirkpatrick, A.E.</t>
  </si>
  <si>
    <t>Ming Wan;Frank Dachille;Arie E. Kaufman</t>
  </si>
  <si>
    <t>Kirste, T.</t>
  </si>
  <si>
    <t>Boeing Co., Seattle, WA, USA|c|;;</t>
  </si>
  <si>
    <t>Kisilevich, S.</t>
  </si>
  <si>
    <t>10.1109/VISUAL.1997.663915;10.1109/VISUAL.2000.885675</t>
  </si>
  <si>
    <t>Kita, Y.</t>
  </si>
  <si>
    <t>Distance fields, path planning, centerline, camera control, virtual navigation, volumetric environment, physically based modeling, virtual colonoscopy</t>
  </si>
  <si>
    <t>Kitson, F.</t>
  </si>
  <si>
    <t>Kitsuregawa, M.</t>
  </si>
  <si>
    <t>A complete distance field representation</t>
  </si>
  <si>
    <t>Kittur, A.</t>
  </si>
  <si>
    <t>10.1109/VISUAL.2001.964518</t>
  </si>
  <si>
    <t>Kivran-Swaine, F.</t>
  </si>
  <si>
    <t>Klarin, B.</t>
  </si>
  <si>
    <t>http://dx.doi.org/10.1109/VISUAL.2001.964518</t>
  </si>
  <si>
    <t>Klasky, S.</t>
  </si>
  <si>
    <t>Klassen, R.V.</t>
  </si>
  <si>
    <t>Kleiberg, E.</t>
  </si>
  <si>
    <t>Klein, K.</t>
  </si>
  <si>
    <t>Klein, R.</t>
  </si>
  <si>
    <t>Klein, T.</t>
  </si>
  <si>
    <t>Klemann, V.</t>
  </si>
  <si>
    <t>Klemm, P.</t>
  </si>
  <si>
    <t>Klieber, W.</t>
  </si>
  <si>
    <t>Klimeck, G.</t>
  </si>
  <si>
    <t>Klimenko, S.V.</t>
  </si>
  <si>
    <t>Klingner, J.</t>
  </si>
  <si>
    <t>Klinker, G.J.</t>
  </si>
  <si>
    <t>Klosowski, J.T.</t>
  </si>
  <si>
    <t>Knapp, L.</t>
  </si>
  <si>
    <t>Knapp, M.</t>
  </si>
  <si>
    <t>Kne, L.</t>
  </si>
  <si>
    <t>Knibbe, W.-J.</t>
  </si>
  <si>
    <t>Knill, D.L.</t>
  </si>
  <si>
    <t>Knipe, C.M.-P.</t>
  </si>
  <si>
    <t>Kniss, J.</t>
  </si>
  <si>
    <t>Knittel, G.</t>
  </si>
  <si>
    <t>Knoblach, S.</t>
  </si>
  <si>
    <t>Knoll, A.</t>
  </si>
  <si>
    <t>Knowles-Barley, S.</t>
  </si>
  <si>
    <t>Knudsen, S.</t>
  </si>
  <si>
    <t>Kobbelt, L.P.</t>
  </si>
  <si>
    <t>Kobourov, S.</t>
  </si>
  <si>
    <t>Kobras, D.</t>
  </si>
  <si>
    <t>Kobsa, A.</t>
  </si>
  <si>
    <t>Koch, S.</t>
  </si>
  <si>
    <t>Kochevar, P.</t>
  </si>
  <si>
    <t>Kochhar, S.</t>
  </si>
  <si>
    <t>Kochl, A.</t>
  </si>
  <si>
    <t>Jian Huang;Roger Crawfis;Shao-Chiung Lu;Shuh-Yuan Liou</t>
  </si>
  <si>
    <t>Kocmoud, C.J.</t>
  </si>
  <si>
    <t>Dept. of Comput. &amp; Inf. Sci., Ohio State Univ., Columbus, OH, USA|c|;;;;</t>
  </si>
  <si>
    <t>Kodagoda, N.</t>
  </si>
  <si>
    <t>10.1109/VISUAL.1993.398877;10.1109/VISUAL.1995.485152;10.1109/VISUAL.2000.885698</t>
  </si>
  <si>
    <t>Koegler, W.S.</t>
  </si>
  <si>
    <t>distance fields, volume modeling, polygonal surfaces, point-based models, graphics</t>
  </si>
  <si>
    <t>Koehler, C.</t>
  </si>
  <si>
    <t>Koenig, P.-Y.</t>
  </si>
  <si>
    <t>Interactive volume rendering using multi-dimensional transfer functions and direct manipulation widgets</t>
  </si>
  <si>
    <t>Koh, K.</t>
  </si>
  <si>
    <t>10.1109/VISUAL.2001.964519</t>
  </si>
  <si>
    <t>Kohl, J.A.</t>
  </si>
  <si>
    <t>http://dx.doi.org/10.1109/VISUAL.2001.964519</t>
  </si>
  <si>
    <t>Kohler, B.</t>
  </si>
  <si>
    <t>Kohlhammer, J.</t>
  </si>
  <si>
    <t>Kohlmann, J.</t>
  </si>
  <si>
    <t>Kohlmann, P.</t>
  </si>
  <si>
    <t>Kohn, S.</t>
  </si>
  <si>
    <t>Kok, P.</t>
  </si>
  <si>
    <t>Kokai, I.R.</t>
  </si>
  <si>
    <t>Koller, D.</t>
  </si>
  <si>
    <t>Kollmann, W.</t>
  </si>
  <si>
    <t>Kolojechick, A.J.</t>
  </si>
  <si>
    <t>Kolojejchick, J.</t>
  </si>
  <si>
    <t>Kondo, B.</t>
  </si>
  <si>
    <t>Kondratieva, P.</t>
  </si>
  <si>
    <t>Konev, A.</t>
  </si>
  <si>
    <t>Konevtsova, N.</t>
  </si>
  <si>
    <t>Kong, N.</t>
  </si>
  <si>
    <t>Konieczny, J.</t>
  </si>
  <si>
    <t>Konig, A.</t>
  </si>
  <si>
    <t>Konrad, O.</t>
  </si>
  <si>
    <t>Konstan, J.</t>
  </si>
  <si>
    <t>Konyha, Z.</t>
  </si>
  <si>
    <t>Koop, D.</t>
  </si>
  <si>
    <t>Kopelman, R.</t>
  </si>
  <si>
    <t>Koren, Y.</t>
  </si>
  <si>
    <t>Korkmaz, F.</t>
  </si>
  <si>
    <t>Korkusinski, M.</t>
  </si>
  <si>
    <t>Korn, J.</t>
  </si>
  <si>
    <t>Korn, N.</t>
  </si>
  <si>
    <t>Korsakov, F.</t>
  </si>
  <si>
    <t>Kosara, R.</t>
  </si>
  <si>
    <t>Kosslyn, S.M.</t>
  </si>
  <si>
    <t>Kotava, N.</t>
  </si>
  <si>
    <t>Kothur, P.</t>
  </si>
  <si>
    <t>Kottravel, S.</t>
  </si>
  <si>
    <t>Koutsofios, E.E.</t>
  </si>
  <si>
    <t>Koyamada, K.</t>
  </si>
  <si>
    <t>Kozlikova, B.</t>
  </si>
  <si>
    <t>Kral, M.V.</t>
  </si>
  <si>
    <t>Kraus, M.</t>
  </si>
  <si>
    <t>Kraus, U.</t>
  </si>
  <si>
    <t>Krause, J.</t>
  </si>
  <si>
    <t>Kreeger, K.</t>
  </si>
  <si>
    <t>Kreiss, J.-P.</t>
  </si>
  <si>
    <t>Kremer, K.</t>
  </si>
  <si>
    <t>Kremers, D.</t>
  </si>
  <si>
    <t>Kretschmer, J.</t>
  </si>
  <si>
    <t>Kreuseler, M.</t>
  </si>
  <si>
    <t>Kreylos, O.</t>
  </si>
  <si>
    <t>Kriegel, H.-P.</t>
  </si>
  <si>
    <t>Kriegman, D.</t>
  </si>
  <si>
    <t>Krishnamoorthy, V.</t>
  </si>
  <si>
    <t>Krishnan, H.</t>
  </si>
  <si>
    <t>Krishnaprasad, N.</t>
  </si>
  <si>
    <t>Krishnaswamy, P.</t>
  </si>
  <si>
    <t>Kriss, J.</t>
  </si>
  <si>
    <t>Kriz, R.</t>
  </si>
  <si>
    <t>Kroeger, T.</t>
  </si>
  <si>
    <t>Krokos, M.</t>
  </si>
  <si>
    <t>Krolik, J.H.</t>
  </si>
  <si>
    <t>Kronander, J.</t>
  </si>
  <si>
    <t>Krone, M.</t>
  </si>
  <si>
    <t>Krstajic, M.</t>
  </si>
  <si>
    <t>Krueger, W.</t>
  </si>
  <si>
    <t>Kruger, A.</t>
  </si>
  <si>
    <t>Kruger, B.</t>
  </si>
  <si>
    <t>Kruger, F.</t>
  </si>
  <si>
    <t>Kruger, H.</t>
  </si>
  <si>
    <t>Kruger, J.</t>
  </si>
  <si>
    <t>Kruger, R.</t>
  </si>
  <si>
    <t>Kruger, S.</t>
  </si>
  <si>
    <t>Krum, D.</t>
  </si>
  <si>
    <t>Kuan, W.</t>
  </si>
  <si>
    <t>Kuang-Chih Lee</t>
  </si>
  <si>
    <t>Kuangyu Shi</t>
  </si>
  <si>
    <t>Kubica, S.</t>
  </si>
  <si>
    <t>Kubisch, C.</t>
  </si>
  <si>
    <t>Kuchera-Morin, J.</t>
  </si>
  <si>
    <t>Kuchy, L.</t>
  </si>
  <si>
    <t>Kuester, F.</t>
  </si>
  <si>
    <t>Kuhlen, T.</t>
  </si>
  <si>
    <t>Kuhn, D.</t>
  </si>
  <si>
    <t>Kuhn, G.R.</t>
  </si>
  <si>
    <t>Kuhne, L.</t>
  </si>
  <si>
    <t>Kulkarni, I.</t>
  </si>
  <si>
    <t>Kulkarni, R.</t>
  </si>
  <si>
    <t>Kumar, A.</t>
  </si>
  <si>
    <t>Kun Zhou</t>
  </si>
  <si>
    <t>Kundu, J.</t>
  </si>
  <si>
    <t>Kuntner, J.</t>
  </si>
  <si>
    <t>Kuo, E.</t>
  </si>
  <si>
    <t>Kupfer, A.</t>
  </si>
  <si>
    <t>Kurtz, K.W.</t>
  </si>
  <si>
    <t>Kurzhals, K.</t>
  </si>
  <si>
    <t>Kurzion, Y.</t>
  </si>
  <si>
    <t>Kuschfeldt, S.</t>
  </si>
  <si>
    <t>Kwock, L.</t>
  </si>
  <si>
    <t>Kyker, A.</t>
  </si>
  <si>
    <t>La Cruz, A.</t>
  </si>
  <si>
    <t>La Mar, E.C.</t>
  </si>
  <si>
    <t>Labschütz, M.</t>
  </si>
  <si>
    <t>Ladisch, J.</t>
  </si>
  <si>
    <t>Ladstadter, F.</t>
  </si>
  <si>
    <t>Lage, M.</t>
  </si>
  <si>
    <t>Laha, B.</t>
  </si>
  <si>
    <t>Lahvis, G.</t>
  </si>
  <si>
    <t>Laidlaw, D.H.</t>
  </si>
  <si>
    <t>Lakare, S.</t>
  </si>
  <si>
    <t>Lalande, N.</t>
  </si>
  <si>
    <t>Lalanne, D.</t>
  </si>
  <si>
    <t>Lam, H.</t>
  </si>
  <si>
    <t>Lamagna, W.M.</t>
  </si>
  <si>
    <t>Lamb, D.</t>
  </si>
  <si>
    <t>Lambert, A.</t>
  </si>
  <si>
    <t>Lamecker, H.</t>
  </si>
  <si>
    <t>Lammarsch, T.</t>
  </si>
  <si>
    <t>Lampe, O.D.</t>
  </si>
  <si>
    <t>Landge, A.G.</t>
  </si>
  <si>
    <t>Landsberg, A.</t>
  </si>
  <si>
    <t>Landstorfer, J.</t>
  </si>
  <si>
    <t>Lane, D.A.</t>
  </si>
  <si>
    <t>Laney, D.</t>
  </si>
  <si>
    <t>Lang, R.</t>
  </si>
  <si>
    <t>Lang, U.</t>
  </si>
  <si>
    <t>Langer, S.</t>
  </si>
  <si>
    <t>Lanir, J.</t>
  </si>
  <si>
    <t>Lankenau, R.A.</t>
  </si>
  <si>
    <t>Lantin, M.L.</t>
  </si>
  <si>
    <t>Lantrip, D.</t>
  </si>
  <si>
    <t>Lanzagorta, M.</t>
  </si>
  <si>
    <t>LaPolla, M.</t>
  </si>
  <si>
    <t>Laprie, A.</t>
  </si>
  <si>
    <t>Laramee, R.S.</t>
  </si>
  <si>
    <t>Lario, R.</t>
  </si>
  <si>
    <t>Larson, A.</t>
  </si>
  <si>
    <t>Larson, J.</t>
  </si>
  <si>
    <t>Lasher-Trapp, S.</t>
  </si>
  <si>
    <t>Lasinski, T.</t>
  </si>
  <si>
    <t>Laskowski, S.</t>
  </si>
  <si>
    <t>Lasser, D.</t>
  </si>
  <si>
    <t>Last, H.</t>
  </si>
  <si>
    <t>Last, M.</t>
  </si>
  <si>
    <t>Lastra, A.</t>
  </si>
  <si>
    <t>Laszlo, M.J.</t>
  </si>
  <si>
    <t>Lathen, G.</t>
  </si>
  <si>
    <t>Lau, R.W.H.</t>
  </si>
  <si>
    <t>Laura, F.</t>
  </si>
  <si>
    <t>Laurendeau, D.</t>
  </si>
  <si>
    <t>Lauterbach, C.</t>
  </si>
  <si>
    <t>Lavin, Y.</t>
  </si>
  <si>
    <t>Law, A.J.</t>
  </si>
  <si>
    <t>Law, C.C.</t>
  </si>
  <si>
    <t>Law, S.K.</t>
  </si>
  <si>
    <t>Lawonn, K.</t>
  </si>
  <si>
    <t>Lawrence, D.A.</t>
  </si>
  <si>
    <t>Lawrence, R.</t>
  </si>
  <si>
    <t>Layton, W.</t>
  </si>
  <si>
    <t>Lazarov, M.</t>
  </si>
  <si>
    <t>Lazarus, F.</t>
  </si>
  <si>
    <t>Lazer, D.</t>
  </si>
  <si>
    <t>Lazos, B.</t>
  </si>
  <si>
    <t>Lazzi, G.</t>
  </si>
  <si>
    <t>Le Ber, F.</t>
  </si>
  <si>
    <t>Le Muzic, M.</t>
  </si>
  <si>
    <t>Le Song</t>
  </si>
  <si>
    <t>Lebanon, G.</t>
  </si>
  <si>
    <t>LeBlanc, J.</t>
  </si>
  <si>
    <t>Leboe, J.</t>
  </si>
  <si>
    <t>Lecina, G.</t>
  </si>
  <si>
    <t>Lecolinet, E.</t>
  </si>
  <si>
    <t>Lecuyer, A.</t>
  </si>
  <si>
    <t>Ledergerber, C.</t>
  </si>
  <si>
    <t>Ledermann, F.</t>
  </si>
  <si>
    <t>Lee, C.D.</t>
  </si>
  <si>
    <t>Lee, C.H.</t>
  </si>
  <si>
    <t>Lee, E.</t>
  </si>
  <si>
    <t>Lee, J.P.</t>
  </si>
  <si>
    <t>Lee, P.</t>
  </si>
  <si>
    <t>Lee, V.W.</t>
  </si>
  <si>
    <t>Lefer, W.</t>
  </si>
  <si>
    <t>Lefohn, A.</t>
  </si>
  <si>
    <t>Legensky, S.M.</t>
  </si>
  <si>
    <t>Legg, P.A.</t>
  </si>
  <si>
    <t>Legrady, G.</t>
  </si>
  <si>
    <t>Lehmann, D.J.</t>
  </si>
  <si>
    <t>Lehmann, O.</t>
  </si>
  <si>
    <t>Lei Shi</t>
  </si>
  <si>
    <t>Lei Wang</t>
  </si>
  <si>
    <t>Leibfried, T.</t>
  </si>
  <si>
    <t>Leidig, J.P.</t>
  </si>
  <si>
    <t>Leifert, S.</t>
  </si>
  <si>
    <t>Leigh, J.</t>
  </si>
  <si>
    <t>Lein, J.</t>
  </si>
  <si>
    <t>Leishi Zhang</t>
  </si>
  <si>
    <t>Leite, R.A.</t>
  </si>
  <si>
    <t>Leitte, H.</t>
  </si>
  <si>
    <t>Lelieveldt, B.P.F.</t>
  </si>
  <si>
    <t>Leman, S.</t>
  </si>
  <si>
    <t>Lemieux, V.</t>
  </si>
  <si>
    <t>Lemke, S.</t>
  </si>
  <si>
    <t>Lengerich, G.</t>
  </si>
  <si>
    <t>Lent, G.E.</t>
  </si>
  <si>
    <t>Lenz, O.</t>
  </si>
  <si>
    <t>Lenz, R.</t>
  </si>
  <si>
    <t>Leonard, L.</t>
  </si>
  <si>
    <t>Lerner, J.</t>
  </si>
  <si>
    <t>Leube, P.</t>
  </si>
  <si>
    <t>Leung, R.</t>
  </si>
  <si>
    <t>Leuski, A.</t>
  </si>
  <si>
    <t>Levanoni, Y.</t>
  </si>
  <si>
    <t>LeVasseur, J.</t>
  </si>
  <si>
    <t>Levenberg, J.</t>
  </si>
  <si>
    <t>Levin, A.</t>
  </si>
  <si>
    <t>Levin, D.</t>
  </si>
  <si>
    <t>Levine, J.A.</t>
  </si>
  <si>
    <t>Levit, C.</t>
  </si>
  <si>
    <t>Levit, J.</t>
  </si>
  <si>
    <t>Levkowitz, H.</t>
  </si>
  <si>
    <t>Levoy, M.</t>
  </si>
  <si>
    <t>Levy, B.</t>
  </si>
  <si>
    <t>Levy, S.</t>
  </si>
  <si>
    <t>Levy, Y.</t>
  </si>
  <si>
    <t>Lewis, C.</t>
  </si>
  <si>
    <t>Lex, A.</t>
  </si>
  <si>
    <t>Lexing Ying</t>
  </si>
  <si>
    <t>Ley, S.</t>
  </si>
  <si>
    <t>Lez, A.</t>
  </si>
  <si>
    <t>Li Tan</t>
  </si>
  <si>
    <t>Li Yu</t>
  </si>
  <si>
    <t>Li Zhang</t>
  </si>
  <si>
    <t>Li, A.</t>
  </si>
  <si>
    <t>Li, B.</t>
  </si>
  <si>
    <t>Li, F.W.B.</t>
  </si>
  <si>
    <t>Li, G.-S.</t>
  </si>
  <si>
    <t>Li, K.</t>
  </si>
  <si>
    <t>Li, L.W.F.</t>
  </si>
  <si>
    <t>Li, W.</t>
  </si>
  <si>
    <t>Li, W.-C.</t>
  </si>
  <si>
    <t>Li, X.</t>
  </si>
  <si>
    <t>Li, Y.</t>
  </si>
  <si>
    <t>Liang Gou</t>
  </si>
  <si>
    <t>Liang-Chi Hsieh</t>
  </si>
  <si>
    <t>Liao, H.</t>
  </si>
  <si>
    <t>Liao, I.</t>
  </si>
  <si>
    <t>Licamele, L.</t>
  </si>
  <si>
    <t>Lichan Hong</t>
  </si>
  <si>
    <t>Lichtman, J.</t>
  </si>
  <si>
    <t>Liebich, G.</t>
  </si>
  <si>
    <t>Liebig, T.</t>
  </si>
  <si>
    <t>Lierse, W.</t>
  </si>
  <si>
    <t>Ligierko, G.</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</si>
  <si>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</si>
  <si>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Lihua Hao</t>
  </si>
  <si>
    <t>Lijie Xu</t>
  </si>
  <si>
    <t>D.H. Laidlaw;E.T. Ahrens;D. Kremers;M.J. Avalos;R.E. Jacobs;C. Readhead</t>
  </si>
  <si>
    <t>California Inst. of Technol., Pasadena, CA, USA</t>
  </si>
  <si>
    <t>Lijun Wang</t>
  </si>
  <si>
    <t>Limei Che</t>
  </si>
  <si>
    <t>Lin Jing</t>
  </si>
  <si>
    <t>Lin Shao</t>
  </si>
  <si>
    <t>Lin, J.</t>
  </si>
  <si>
    <t>Lin, M.C.</t>
  </si>
  <si>
    <t>Lin, S.</t>
  </si>
  <si>
    <t>Lin, X.</t>
  </si>
  <si>
    <t>Lind, M.</t>
  </si>
  <si>
    <t>Lindemann, F.</t>
  </si>
  <si>
    <t>Lindemeier, T.</t>
  </si>
  <si>
    <t>Lindgren, D.</t>
  </si>
  <si>
    <t>Lindholm, S.</t>
  </si>
  <si>
    <t>Lindow, N.</t>
  </si>
  <si>
    <t>Lindstrom, P.</t>
  </si>
  <si>
    <t>Ling Li</t>
  </si>
  <si>
    <t>Ling Xiao</t>
  </si>
  <si>
    <t>Lingyun Yu</t>
  </si>
  <si>
    <t>Lins, L.</t>
  </si>
  <si>
    <t>Linsen, L.</t>
  </si>
  <si>
    <t>Linthicum, S.</t>
  </si>
  <si>
    <t>Linton, S.</t>
  </si>
  <si>
    <t>Lintu, A.</t>
  </si>
  <si>
    <t>Lionel Ni</t>
  </si>
  <si>
    <t>Lipford, H.R.</t>
  </si>
  <si>
    <t>Lipic, T.</t>
  </si>
  <si>
    <t>Lipsa, D.R.</t>
  </si>
  <si>
    <t>Liqun Jin</t>
  </si>
  <si>
    <t>Lischinski, D.</t>
  </si>
  <si>
    <t>Liting Sun</t>
  </si>
  <si>
    <t>Litke, N.</t>
  </si>
  <si>
    <t>Liu Ren</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</si>
  <si>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</si>
  <si>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Liu, A.</t>
  </si>
  <si>
    <t>Liu, E.</t>
  </si>
  <si>
    <t>Liu, R.</t>
  </si>
  <si>
    <t>X. Mao;Y. Hatanaka;H. Higashida;A. Imamiya</t>
  </si>
  <si>
    <t>Liu, S.</t>
  </si>
  <si>
    <t>Dept. of Comput. &amp; Media Eng., Yamanashi Univ., Kofu, Japan</t>
  </si>
  <si>
    <t>Liu, Z.</t>
  </si>
  <si>
    <t>Liutkus, B.</t>
  </si>
  <si>
    <t>Livingston, M.A.</t>
  </si>
  <si>
    <t>Livnat, Y.</t>
  </si>
  <si>
    <t>Ljung, P.</t>
  </si>
  <si>
    <t>Ljungblad, S.</t>
  </si>
  <si>
    <t>Llopis-Artime, N.</t>
  </si>
  <si>
    <t>Llora, X.</t>
  </si>
  <si>
    <t>Lloyd, B.</t>
  </si>
  <si>
    <t>Lloyd, D.</t>
  </si>
  <si>
    <t>Lo, M.W.</t>
  </si>
  <si>
    <t>Lobb, R.J.</t>
  </si>
  <si>
    <t>Locherbach, J.</t>
  </si>
  <si>
    <t>Lodha, S.K.</t>
  </si>
  <si>
    <t>Loew, M.</t>
  </si>
  <si>
    <t>Loffelmann, H.</t>
  </si>
  <si>
    <t>Lohse, G.L.</t>
  </si>
  <si>
    <t>Lohse, J.</t>
  </si>
  <si>
    <t>Loisel, D.</t>
  </si>
  <si>
    <t>Loken, S.C.</t>
  </si>
  <si>
    <t>Lombeyda, S.</t>
  </si>
  <si>
    <t>Lommerse, G.</t>
  </si>
  <si>
    <t>Long Wang</t>
  </si>
  <si>
    <t>Longmire, E.</t>
  </si>
  <si>
    <t>Loomis, J.J.</t>
  </si>
  <si>
    <t>Loorak, M.H.</t>
  </si>
  <si>
    <t>Lopez, N.</t>
  </si>
  <si>
    <t>Lorensen, W.F.</t>
  </si>
  <si>
    <t>Lorenz, D.</t>
  </si>
  <si>
    <t>Lorenz, H.</t>
  </si>
  <si>
    <t>Loriot, G.</t>
  </si>
  <si>
    <t>Losasso, F.</t>
  </si>
  <si>
    <t>Loughlin, M.M.</t>
  </si>
  <si>
    <t>Lowe, T.</t>
  </si>
  <si>
    <t>Löwe, T.</t>
  </si>
  <si>
    <t>Lowekamp, B.</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</si>
  <si>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</si>
  <si>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Lowik, C.W.G.M.</t>
  </si>
  <si>
    <t>Lu Liu</t>
  </si>
  <si>
    <t>Lu Lu</t>
  </si>
  <si>
    <t>Center for Sci. Comput., Eidgenossische Tech. Hochschule, Zurich, Switzerland</t>
  </si>
  <si>
    <t>Lu, A.</t>
  </si>
  <si>
    <t>Lu, D.</t>
  </si>
  <si>
    <t>Lu, S.C.</t>
  </si>
  <si>
    <t>Luboschik, M.</t>
  </si>
  <si>
    <t>Luc Renambot</t>
  </si>
  <si>
    <t>Lucas, B.</t>
  </si>
  <si>
    <t>Lucas, P.</t>
  </si>
  <si>
    <t>Luders, P.</t>
  </si>
  <si>
    <t>Luisa Lu</t>
  </si>
  <si>
    <t>Lujan Ganuza, M.</t>
  </si>
  <si>
    <t>Lujin Wang</t>
  </si>
  <si>
    <t>Lukacs, A.</t>
  </si>
  <si>
    <t>Luke, E.J.</t>
  </si>
  <si>
    <t>Luksch, C.</t>
  </si>
  <si>
    <t>Lum, E.B.</t>
  </si>
  <si>
    <t>Lum, V.</t>
  </si>
  <si>
    <t>Lumsdaine, A.</t>
  </si>
  <si>
    <t>Lundberg, E.</t>
  </si>
  <si>
    <t>Lundervold, A.</t>
  </si>
  <si>
    <t>Lundstrom, C.</t>
  </si>
  <si>
    <t>Lunzer, A.</t>
  </si>
  <si>
    <t>Lurig, C.</t>
  </si>
  <si>
    <t>Ma, H.</t>
  </si>
  <si>
    <t>Ma, J.</t>
  </si>
  <si>
    <t>MÃ¶ller, T.</t>
  </si>
  <si>
    <t>MÃ¤nner, R.</t>
  </si>
  <si>
    <t>MÃ¼ller, T.</t>
  </si>
  <si>
    <t>Maas, F.</t>
  </si>
  <si>
    <t>Maass, F.</t>
  </si>
  <si>
    <t>Mace, T.</t>
  </si>
  <si>
    <t>MacEachren, A.M.</t>
  </si>
  <si>
    <t>Machado, G.</t>
  </si>
  <si>
    <t>Machiraju, R.</t>
  </si>
  <si>
    <t>Maciejewski, R.</t>
  </si>
  <si>
    <t>MacKay-Brandt, A.</t>
  </si>
  <si>
    <t>Mackenzie, R.</t>
  </si>
  <si>
    <t>Mackerras, P.</t>
  </si>
  <si>
    <t>Mackey, P.</t>
  </si>
  <si>
    <t>Mackinlay, J.</t>
  </si>
  <si>
    <t>Macko, P.</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</si>
  <si>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</si>
  <si>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MacLeod, R.S.</t>
  </si>
  <si>
    <t>Macq, B.</t>
  </si>
  <si>
    <t>D.N. Kenwright</t>
  </si>
  <si>
    <t>Madar, A.</t>
  </si>
  <si>
    <t>MRJ Technol Solutions, NASA Ames Res. Center, Moffett Field, CA, USA</t>
  </si>
  <si>
    <t>Madhavan, K.</t>
  </si>
  <si>
    <t>Madhyastha, T.</t>
  </si>
  <si>
    <t>Maeda, Y.</t>
  </si>
  <si>
    <t>Maeder, A.J.</t>
  </si>
  <si>
    <t>Magewick, J.</t>
  </si>
  <si>
    <t>Maggioni, M.</t>
  </si>
  <si>
    <t>Magillo, P.</t>
  </si>
  <si>
    <t>Magli, C.</t>
  </si>
  <si>
    <t>Magnenat-Thalmann, N.</t>
  </si>
  <si>
    <t>Magnor, M.</t>
  </si>
  <si>
    <t>Maguire, E.</t>
  </si>
  <si>
    <t>Mahadev, P.M.</t>
  </si>
  <si>
    <t>Mahajan, R.</t>
  </si>
  <si>
    <t>Mahdavi-Amiri, A.</t>
  </si>
  <si>
    <t>Mahrou, K.</t>
  </si>
  <si>
    <t>Mahrous, K.</t>
  </si>
  <si>
    <t>Mahyar, N.</t>
  </si>
  <si>
    <t>Maiti, D.</t>
  </si>
  <si>
    <t>Major, T.</t>
  </si>
  <si>
    <t>Majumder, A.</t>
  </si>
  <si>
    <t>Majumder, M.</t>
  </si>
  <si>
    <t>Makhinya, M.</t>
  </si>
  <si>
    <t>Malaterre, M.</t>
  </si>
  <si>
    <t>Malik, A.</t>
  </si>
  <si>
    <t>Mallinson, G.D.</t>
  </si>
  <si>
    <t>Mallo, O.</t>
  </si>
  <si>
    <t>Maltrud, M.</t>
  </si>
  <si>
    <t>Manaster, C.J.</t>
  </si>
  <si>
    <t>Mancas, M.</t>
  </si>
  <si>
    <t>Mandal, C.</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</si>
  <si>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</si>
  <si>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Manders, E.M.M.</t>
  </si>
  <si>
    <t>H.-W. Shen</t>
  </si>
  <si>
    <t>Mandic, M.</t>
  </si>
  <si>
    <t>Manivannan, A.</t>
  </si>
  <si>
    <t>Mankofsky, A.</t>
  </si>
  <si>
    <t>Manley, R.</t>
  </si>
  <si>
    <t>Mann, S.</t>
  </si>
  <si>
    <t>Manocha, D.</t>
  </si>
  <si>
    <t>Mansmann, F.</t>
  </si>
  <si>
    <t>Mao Lin Huang</t>
  </si>
  <si>
    <t>Maoyuan Sun</t>
  </si>
  <si>
    <t>Mara, H.</t>
  </si>
  <si>
    <t>Marai, G.E.</t>
  </si>
  <si>
    <t>Marchand, G.</t>
  </si>
  <si>
    <t>Marchesin, S.</t>
  </si>
  <si>
    <t>Marciano, R.</t>
  </si>
  <si>
    <t>Marcinkowsk, M.i</t>
  </si>
  <si>
    <t>Margaliot, M.</t>
  </si>
  <si>
    <t>Maries, A.</t>
  </si>
  <si>
    <t>Marietta, M.</t>
  </si>
  <si>
    <t>Marino, J.</t>
  </si>
  <si>
    <t>Mark, B.</t>
  </si>
  <si>
    <t>Markl, M., Linsen, L.</t>
  </si>
  <si>
    <t>Marmanis, H.</t>
  </si>
  <si>
    <t>Marriott, K.</t>
  </si>
  <si>
    <t>Marschner, S.R.</t>
  </si>
  <si>
    <t>Marshall, M.S.</t>
  </si>
  <si>
    <t>Marshall, R.E.</t>
  </si>
  <si>
    <t>Marshburn, D.</t>
  </si>
  <si>
    <t>Marti, J.</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</si>
  <si>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</si>
  <si>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Martin, A.R.</t>
  </si>
  <si>
    <t>Yi-Jen Chiang;Cláudio T. Silva;William J. Schroeder</t>
  </si>
  <si>
    <t>Martin, D.C.</t>
  </si>
  <si>
    <t>Y.-J. Chiang;C.T. Silva;W.J. Schroeder</t>
  </si>
  <si>
    <t>Martin, K.</t>
  </si>
  <si>
    <t>Marton, F.</t>
  </si>
  <si>
    <t>Martucci, L.</t>
  </si>
  <si>
    <t>Marusic, I.</t>
  </si>
  <si>
    <t>Maruya, M.</t>
  </si>
  <si>
    <t>Maruyama, M.</t>
  </si>
  <si>
    <t>Marwah, M.</t>
  </si>
  <si>
    <t>Marx, K.</t>
  </si>
  <si>
    <t>Mascarenhas, A.</t>
  </si>
  <si>
    <t>Maslak, Z.</t>
  </si>
  <si>
    <t>Mason, W.H.</t>
  </si>
  <si>
    <t>Massell, W.</t>
  </si>
  <si>
    <t>Massimiliano, C.</t>
  </si>
  <si>
    <t>Massjouni, N.</t>
  </si>
  <si>
    <t>Masui, T.</t>
  </si>
  <si>
    <t>Mateas, M.</t>
  </si>
  <si>
    <t>Matey, J.</t>
  </si>
  <si>
    <t>Matheson, M.A.</t>
  </si>
  <si>
    <t>Mathiaut, M.</t>
  </si>
  <si>
    <t>Matkovic, K.</t>
  </si>
  <si>
    <t>Matsushita, Y.</t>
  </si>
  <si>
    <t>Mattis, J.</t>
  </si>
  <si>
    <t>Matveyev, S.V.</t>
  </si>
  <si>
    <t>Matvienko, V.</t>
  </si>
  <si>
    <t>Matzen, L.E.</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</si>
  <si>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</si>
  <si>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Mauger, J.</t>
  </si>
  <si>
    <t>Y. Livnat;C. Hansen</t>
  </si>
  <si>
    <t>Maule, B.</t>
  </si>
  <si>
    <t>Max, N.</t>
  </si>
  <si>
    <t>Maxwell, D.</t>
  </si>
  <si>
    <t>Maxwell, S.</t>
  </si>
  <si>
    <t>May, R.</t>
  </si>
  <si>
    <t>May, T.</t>
  </si>
  <si>
    <t>Mayer, D.</t>
  </si>
  <si>
    <t>Mayer, H.F.</t>
  </si>
  <si>
    <t>Mayerich, D.</t>
  </si>
  <si>
    <t>Mayland, E.J.</t>
  </si>
  <si>
    <t>Mayr, E.</t>
  </si>
  <si>
    <t>Mays, M.L.</t>
  </si>
  <si>
    <t>Mays, N.</t>
  </si>
  <si>
    <t>Mazur, D.</t>
  </si>
  <si>
    <t>Mazurek, M.L.</t>
  </si>
  <si>
    <t>McAuliffe, K.P.</t>
  </si>
  <si>
    <t>McCabe, R.K.</t>
  </si>
  <si>
    <t>McCloskey, W.R.</t>
  </si>
  <si>
    <t>McColgin, D.</t>
  </si>
  <si>
    <t>McCool, M.</t>
  </si>
  <si>
    <t>McCormick, B.H.</t>
  </si>
  <si>
    <t>McCormick, P.</t>
  </si>
  <si>
    <t>McCullough, S.</t>
  </si>
  <si>
    <t>McCurdy, N.</t>
  </si>
  <si>
    <t>McDermott, R.</t>
  </si>
  <si>
    <t>McDonald, J.A.</t>
  </si>
  <si>
    <t>McDonnel, B.</t>
  </si>
  <si>
    <t>McDonnell, K.T.</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</si>
  <si>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</si>
  <si>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McElwee, M.</t>
  </si>
  <si>
    <t>McGinley, J.</t>
  </si>
  <si>
    <t>McGraw, T.</t>
  </si>
  <si>
    <t>D.A. Keim;A. Herrmann</t>
  </si>
  <si>
    <t>McGrew, B.</t>
  </si>
  <si>
    <t>Inst. of Comput. Sci., Halle-Wittenberg Univ., Halle, Germany</t>
  </si>
  <si>
    <t>McGuffin, M.J.</t>
  </si>
  <si>
    <t>McKenna, M.</t>
  </si>
  <si>
    <t>McKenna, S.</t>
  </si>
  <si>
    <t>McKeon, M.</t>
  </si>
  <si>
    <t>McKeon, R.</t>
  </si>
  <si>
    <t>McLaughlin, R.M.</t>
  </si>
  <si>
    <t>McLean, J.</t>
  </si>
  <si>
    <t>McLennan, M.</t>
  </si>
  <si>
    <t>McLeod, J.</t>
  </si>
  <si>
    <t>McNabb, D.</t>
  </si>
  <si>
    <t>McNamara, L.A.</t>
  </si>
  <si>
    <t>Joe Michael Kniss;Gordon L. Kindlmann;Charles D. Hansen</t>
  </si>
  <si>
    <t>McNeely, W.A.</t>
  </si>
  <si>
    <t>Sch. of Comput., Utah Univ., Salt Lake City, UT, USA|c|;;</t>
  </si>
  <si>
    <t>McPherson, A.</t>
  </si>
  <si>
    <t>10.1109/VISUAL.1995.480803;10.1109/VISUAL.1999.809908;10.1109/VISUAL.1999.809889;10.1109/VISUAL.1996.568113;10.1109/VISUAL.1997.663875</t>
  </si>
  <si>
    <t>Meade, J.</t>
  </si>
  <si>
    <t>volume visualization, direct volume rendering, multi-dimensional transfer functions, direct manipulation widgets, graphics hardware</t>
  </si>
  <si>
    <t>Meador, S.</t>
  </si>
  <si>
    <t>Meads, D.</t>
  </si>
  <si>
    <t>Mears, C.</t>
  </si>
  <si>
    <t>Texture Hardware Assisted Rendering of Time-Varying Volume Data</t>
  </si>
  <si>
    <t>Mebarki, A.</t>
  </si>
  <si>
    <t>10.1109/VISUAL.2001.964520</t>
  </si>
  <si>
    <t>Medioni, G.</t>
  </si>
  <si>
    <t>Meemong Lee</t>
  </si>
  <si>
    <t>Meetschen, D.</t>
  </si>
  <si>
    <t>Megard, C.</t>
  </si>
  <si>
    <t>Meghdadi, A.H.</t>
  </si>
  <si>
    <t>http://doi.ieeecomputersociety.org/10.1109/VISUAL.2001.964520</t>
  </si>
  <si>
    <t>Mehler, A.</t>
  </si>
  <si>
    <t>Mehrotra, H.</t>
  </si>
  <si>
    <t>Mehta, K.</t>
  </si>
  <si>
    <t>Mehta, S.</t>
  </si>
  <si>
    <t>Mei Chuah</t>
  </si>
  <si>
    <t>Mei-Chun Hsu</t>
  </si>
  <si>
    <t>Meier, D.S.</t>
  </si>
  <si>
    <t>Meinzer, H.-P.</t>
  </si>
  <si>
    <t>Meissner, M.</t>
  </si>
  <si>
    <t>MelanÃ§on, G.</t>
  </si>
  <si>
    <t>Melancon, G.</t>
  </si>
  <si>
    <t>Melchionna, S.</t>
  </si>
  <si>
    <t>Melek, Z.</t>
  </si>
  <si>
    <t>Mellema, A.</t>
  </si>
  <si>
    <t>Mendez, I.R.</t>
  </si>
  <si>
    <t>Meneveau, C.</t>
  </si>
  <si>
    <t>Meng, J.</t>
  </si>
  <si>
    <t>Mengchen Liu</t>
  </si>
  <si>
    <t>Mengdie Hu</t>
  </si>
  <si>
    <t>Menzel, M.</t>
  </si>
  <si>
    <t>Mercer, A.</t>
  </si>
  <si>
    <t>Mercurio, P.J.</t>
  </si>
  <si>
    <t>Meredith, J.</t>
  </si>
  <si>
    <t>Merhof, D.</t>
  </si>
  <si>
    <t>We present a novel approach to visualize and explore unstructured text. The underlying technology, called TOPIC-O-GRAPHY/sup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</si>
  <si>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Merritt, F.J.</t>
  </si>
  <si>
    <t>Merz, M.</t>
  </si>
  <si>
    <t>N.E. Miller;P.C. Wong;M. Brewster;H. Foote</t>
  </si>
  <si>
    <t>Metoyer, R.</t>
  </si>
  <si>
    <t>Meyer-Spradow, J.</t>
  </si>
  <si>
    <t>Meyer, D.</t>
  </si>
  <si>
    <t>Meyer, G.</t>
  </si>
  <si>
    <t>Meyer, G.W.</t>
  </si>
  <si>
    <t>Meyer, J.</t>
  </si>
  <si>
    <t>Meyer, M.</t>
  </si>
  <si>
    <t>Meyers, B.Robbins.</t>
  </si>
  <si>
    <t>Meyers, R.J.</t>
  </si>
  <si>
    <t>Miao Jin</t>
  </si>
  <si>
    <t>Micallef, L.</t>
  </si>
  <si>
    <t>Michaels, C.</t>
  </si>
  <si>
    <t>Michailidis, G.</t>
  </si>
  <si>
    <t>Michalak, J.</t>
  </si>
  <si>
    <t>Michel, F.</t>
  </si>
  <si>
    <t>Miettinen, K.</t>
  </si>
  <si>
    <t>Migut, M.</t>
  </si>
  <si>
    <t>Mihalisin, T.</t>
  </si>
  <si>
    <t>Miklin, R.</t>
  </si>
  <si>
    <t>Mikolajewicz, U.</t>
  </si>
  <si>
    <t>Miksch, S.</t>
  </si>
  <si>
    <t>Miles, H.</t>
  </si>
  <si>
    <t>Eric B. Lum;Kwan-Liu Ma;John P. Clyne</t>
  </si>
  <si>
    <t>Milios, E.</t>
  </si>
  <si>
    <t>10.1109/VISUAL.1999.809910;10.1109/VISUAL.1994.346321;10.1109/VISUAL.1995.480809;10.1109/VISUAL.1994.346341;10.1109/VISUAL.1999.809879</t>
  </si>
  <si>
    <t>Miller, D.</t>
  </si>
  <si>
    <t>Compression, high performance computing, out-of-core processing, PC, scientific visualization, texture hardware, time-varying data, transform encoding, volume rendering</t>
  </si>
  <si>
    <t>Miller, E.L.</t>
  </si>
  <si>
    <t>Miller, E.O.</t>
  </si>
  <si>
    <t>Miller, J.</t>
  </si>
  <si>
    <t>Accelerated volume ray-casting using texture mapping</t>
  </si>
  <si>
    <t>Miller, M.</t>
  </si>
  <si>
    <t>Miller, N.</t>
  </si>
  <si>
    <t>Miller, P.</t>
  </si>
  <si>
    <t>10.1109/VISUAL.2001.964521</t>
  </si>
  <si>
    <t>Miller, R.A.</t>
  </si>
  <si>
    <t>Miller, R.C.</t>
  </si>
  <si>
    <t>http://dx.doi.org/10.1109/VISUAL.2001.964521</t>
  </si>
  <si>
    <t>Miller, T.S.</t>
  </si>
  <si>
    <t>Milo, T.</t>
  </si>
  <si>
    <t>Min Lu</t>
  </si>
  <si>
    <t>Min Zhu</t>
  </si>
  <si>
    <t>Min-Yu Huang</t>
  </si>
  <si>
    <t>Min, P.</t>
  </si>
  <si>
    <t>Mineev-Weinstein, M.B.</t>
  </si>
  <si>
    <t>Ming Dong</t>
  </si>
  <si>
    <t>Ming Hao</t>
  </si>
  <si>
    <t>Ming Lin</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</si>
  <si>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</si>
  <si>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Ming Wan</t>
  </si>
  <si>
    <t>Ming-Hoe Kiu</t>
  </si>
  <si>
    <t>D.H. House;C.J. Kocmoud</t>
  </si>
  <si>
    <t>Ming-Te Chi</t>
  </si>
  <si>
    <t>Ming-Yuen Chan</t>
  </si>
  <si>
    <t>Minghim, R.</t>
  </si>
  <si>
    <t>Mingxuan Yuan</t>
  </si>
  <si>
    <t>Minho Kim</t>
  </si>
  <si>
    <t>Minjung Kim</t>
  </si>
  <si>
    <t>Minsu Ahn</t>
  </si>
  <si>
    <t>R�_diger Westermann;Bernd Sevenich</t>
  </si>
  <si>
    <t>Minsuk Kahng</t>
  </si>
  <si>
    <t>Sci. Visualization &amp; Imaging Group, Univ. of Technol., Aachen, Germany|c|;</t>
  </si>
  <si>
    <t>Minxin Cheng</t>
  </si>
  <si>
    <t>10.1109/VISUAL.1997.663880;10.1109/VISUAL.1998.745713;10.1109/VISUAL.1997.663888;10.1109/VISUAL.1990.146391;10.1109/VISUAL.1993.398852;10.1109/VISUAL.1999.809911</t>
  </si>
  <si>
    <t>Mion, C.</t>
  </si>
  <si>
    <t>Volume Rendering, Ray-Casting, Texture Mapping, Visualization, Graphics Hardware</t>
  </si>
  <si>
    <t>Miraldi, E.</t>
  </si>
  <si>
    <t>Mirzargar, M.</t>
  </si>
  <si>
    <t>RTVR-a flexible Java library for interactive volume rendering</t>
  </si>
  <si>
    <t>Mistelbauer, G.</t>
  </si>
  <si>
    <t>10.1109/VISUAL.2001.964522</t>
  </si>
  <si>
    <t>Mistry, S.Y.</t>
  </si>
  <si>
    <t>http://dx.doi.org/10.1109/VISUAL.2001.964522</t>
  </si>
  <si>
    <t>Mitasova, H.</t>
  </si>
  <si>
    <t>Mitchell, H.G.</t>
  </si>
  <si>
    <t>Mitchell, J.S.B.</t>
  </si>
  <si>
    <t>Mitchell, R.</t>
  </si>
  <si>
    <t>Mitchell, W.</t>
  </si>
  <si>
    <t>Mitra, N.</t>
  </si>
  <si>
    <t>Mitra, P.</t>
  </si>
  <si>
    <t>Mitra, T.</t>
  </si>
  <si>
    <t>Mitsouras, D.</t>
  </si>
  <si>
    <t>Mittelstadt, S.</t>
  </si>
  <si>
    <t>Miyamura, H.N.</t>
  </si>
  <si>
    <t>Miyoshi, T.</t>
  </si>
  <si>
    <t>Mladenov, M.</t>
  </si>
  <si>
    <t>Mlejnek, M.</t>
  </si>
  <si>
    <t>Mniszewski, S.</t>
  </si>
  <si>
    <t>Moberts, B.</t>
  </si>
  <si>
    <t>Mock, M.</t>
  </si>
  <si>
    <t>Moere, A.V.</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</si>
  <si>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</si>
  <si>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Mogensen, P.</t>
  </si>
  <si>
    <t>Mohamed, F.</t>
  </si>
  <si>
    <t>K. Kremer</t>
  </si>
  <si>
    <t>Heinz Nixdorf Inst., Paderborn Univ., Germany</t>
  </si>
  <si>
    <t>Mohammadi-Aragh, M.J.</t>
  </si>
  <si>
    <t>Mohiaddin, R.H.</t>
  </si>
  <si>
    <t>Mohring, J.</t>
  </si>
  <si>
    <t>Mokhtari, M.</t>
  </si>
  <si>
    <t>Mollenhour, C.</t>
  </si>
  <si>
    <t>Moller, T.</t>
  </si>
  <si>
    <t>Mones-Hattal, B.</t>
  </si>
  <si>
    <t>Moneta, A.</t>
  </si>
  <si>
    <t>Monks, C. R. F.</t>
  </si>
  <si>
    <t>Monroe, L.</t>
  </si>
  <si>
    <t>Lukas Mroz;Helwig Hauser</t>
  </si>
  <si>
    <t>VRVis Research Center, Vienna, Austria|c|;</t>
  </si>
  <si>
    <t>10.1109/VISUAL.2000.885726;10.1109/VISUAL.1998.745311;10.1109/VISUAL.2000.885694;10.1109/VISUAL.2000.885729;10.1109/VISUAL.1994.346340;10.1109/VISUAL.1999.809878;10.1109/VISUAL.2000.885697</t>
  </si>
  <si>
    <t>Monroe, M.</t>
  </si>
  <si>
    <t>interactive volume visualization,Internet-based visualization, Java</t>
  </si>
  <si>
    <t>Monson, E.E.</t>
  </si>
  <si>
    <t>Montanaro, G.D.</t>
  </si>
  <si>
    <t>Multiresolution feature extraction for unstructured meshes</t>
  </si>
  <si>
    <t>Montani, C.</t>
  </si>
  <si>
    <t>10.1109/VISUAL.2001.964523</t>
  </si>
  <si>
    <t>Montemayor, J.</t>
  </si>
  <si>
    <t>http://dx.doi.org/10.1109/VISUAL.2001.964523</t>
  </si>
  <si>
    <t>Montgomery, D.</t>
  </si>
  <si>
    <t>Montgomery, K.</t>
  </si>
  <si>
    <t>Montine, J.L.</t>
  </si>
  <si>
    <t>Moore, A.</t>
  </si>
  <si>
    <t>Moore, J.</t>
  </si>
  <si>
    <t>Moore, P.</t>
  </si>
  <si>
    <t>Moorhead, R.J.</t>
  </si>
  <si>
    <t>Moorjani, K.</t>
  </si>
  <si>
    <t>Moorman, J.</t>
  </si>
  <si>
    <t>Mora de Freitas, P.</t>
  </si>
  <si>
    <t>Mora, B.</t>
  </si>
  <si>
    <t>Moran, P.J.</t>
  </si>
  <si>
    <t>Moreland, K.</t>
  </si>
  <si>
    <t>Morent, D.</t>
  </si>
  <si>
    <t>Morin, P.A.</t>
  </si>
  <si>
    <t>Morisette, J.</t>
  </si>
  <si>
    <t>Moritz, D.</t>
  </si>
  <si>
    <t>Moritz, E.</t>
  </si>
  <si>
    <t>Morla, K.</t>
  </si>
  <si>
    <t>Morley, C.</t>
  </si>
  <si>
    <t>Morozov, D.</t>
  </si>
  <si>
    <t>Morr, F.</t>
  </si>
  <si>
    <t>Morris, C.J.</t>
  </si>
  <si>
    <t>Morris, M.R.</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</si>
  <si>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</si>
  <si>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Morris, S.</t>
  </si>
  <si>
    <t>Morrison, A.</t>
  </si>
  <si>
    <t>V. Popescu;A. Lastra;D. Aliaga;M. de Oliveira Neto</t>
  </si>
  <si>
    <t>Morrow, T.M.</t>
  </si>
  <si>
    <t>Moses, Y.</t>
  </si>
  <si>
    <t>Mountain, D.</t>
  </si>
  <si>
    <t>Moynihan, B.</t>
  </si>
  <si>
    <t>Mroz, L.</t>
  </si>
  <si>
    <t>Dept. of Comput. Sci., Eidgenossische Tech. Hochschule, Zurich, Switzerland|c|;</t>
  </si>
  <si>
    <t>Muccioli, G.</t>
  </si>
  <si>
    <t>10.1109/VISUAL.2000.885721;10.1109/VISUAL.2000.885722</t>
  </si>
  <si>
    <t>Muehl, J.</t>
  </si>
  <si>
    <t>Surface Representations, Geometric Modeling, Triangle Decimation, Multiresolution Models, Feature Extraction</t>
  </si>
  <si>
    <t>Muelder, C.</t>
  </si>
  <si>
    <t>Muellel, K.</t>
  </si>
  <si>
    <t>Mueller, K.</t>
  </si>
  <si>
    <t>Muhlbacher, T.</t>
  </si>
  <si>
    <t>Fast extraction of adaptive multiresolution meshes with guaranteed properties from volumetric data</t>
  </si>
  <si>
    <t>Muigg, P.</t>
  </si>
  <si>
    <t>10.1109/VISUAL.2001.964524</t>
  </si>
  <si>
    <t>Mukherjea, S.</t>
  </si>
  <si>
    <t>Mukherjee, V.</t>
  </si>
  <si>
    <t>http://dx.doi.org/10.1109/VISUAL.2001.964524</t>
  </si>
  <si>
    <t>Mulder, J.D.</t>
  </si>
  <si>
    <t>Muller-Birn, C.</t>
  </si>
  <si>
    <t>Muller, A.</t>
  </si>
  <si>
    <t>Muller, A.A.</t>
  </si>
  <si>
    <t>Müller, B.</t>
  </si>
  <si>
    <t>Muller, C.</t>
  </si>
  <si>
    <t>Muller, H.A.</t>
  </si>
  <si>
    <t>Muller, R.</t>
  </si>
  <si>
    <t>Muller, T.</t>
  </si>
  <si>
    <t>Muller, W.</t>
  </si>
  <si>
    <t>Mullins, K.B.</t>
  </si>
  <si>
    <t>Munchhofen, M.</t>
  </si>
  <si>
    <t>Munzner, T.</t>
  </si>
  <si>
    <t>Muraki, D.J.</t>
  </si>
  <si>
    <t>Muraki, S.</t>
  </si>
  <si>
    <t>Murga, A.</t>
  </si>
  <si>
    <t>Murphy, B.W.</t>
  </si>
  <si>
    <t>Murray, C.</t>
  </si>
  <si>
    <t>Murray, T.</t>
  </si>
  <si>
    <t>Museth, K.</t>
  </si>
  <si>
    <t>Muzzy, R.</t>
  </si>
  <si>
    <t>Myers, E.</t>
  </si>
  <si>
    <t>Myerson, T.</t>
  </si>
  <si>
    <t>Naaman, M.</t>
  </si>
  <si>
    <t>Nadar, M.</t>
  </si>
  <si>
    <t>Nadeau, D.R.</t>
  </si>
  <si>
    <t>Nafari, M.</t>
  </si>
  <si>
    <t>Nafis, C.</t>
  </si>
  <si>
    <t>Nagel, E.</t>
  </si>
  <si>
    <t>Nagoor, O.H.</t>
  </si>
  <si>
    <t>Nagy, A.</t>
  </si>
  <si>
    <t>Najork, M.A.</t>
  </si>
  <si>
    <t>Marcel Gavriliu;Joel Carranza;David E. Breen;Alan H. Barr</t>
  </si>
  <si>
    <t>Nakai, T.</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</si>
  <si>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</si>
  <si>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Comput. Sci. Dept., California Inst. of Technol., USA|c|;;;</t>
  </si>
  <si>
    <t>Nakamae, E.</t>
  </si>
  <si>
    <t>Nakamura, H.</t>
  </si>
  <si>
    <t>K.A. Robbins;D.M. Senseman</t>
  </si>
  <si>
    <t>Div. of Comput. Sci., Texas Univ., San Antonio, TX, USA</t>
  </si>
  <si>
    <t>Nakamura, K.</t>
  </si>
  <si>
    <t>Nam Wook Kim</t>
  </si>
  <si>
    <t>Wavelet representation of contour sets</t>
  </si>
  <si>
    <t>Nam, J.E.</t>
  </si>
  <si>
    <t>10.1109/VISUAL.2001.964525</t>
  </si>
  <si>
    <t>Namata, G.</t>
  </si>
  <si>
    <t>http://dx.doi.org/10.1109/VISUAL.2001.964525</t>
  </si>
  <si>
    <t>Nan Cao</t>
  </si>
  <si>
    <t>Nan Du</t>
  </si>
  <si>
    <t>Nanjundiah, R.S.</t>
  </si>
  <si>
    <t>Nanni, M.</t>
  </si>
  <si>
    <t>Nanthakumar, E.</t>
  </si>
  <si>
    <t>Napel, S.</t>
  </si>
  <si>
    <t>Narayanan, P.J.</t>
  </si>
  <si>
    <t>Natarajan, V.</t>
  </si>
  <si>
    <t>Nathan, N.</t>
  </si>
  <si>
    <t>Nations, S.</t>
  </si>
  <si>
    <t>Navab, N.</t>
  </si>
  <si>
    <t>Navathe, S.B.</t>
  </si>
  <si>
    <t>Navazo, I.</t>
  </si>
  <si>
    <t>Navratil, P.A.</t>
  </si>
  <si>
    <t>Nayak, A.</t>
  </si>
  <si>
    <t>Naylor, B.</t>
  </si>
  <si>
    <t>Nedel, L.P.</t>
  </si>
  <si>
    <t>Needels, M.</t>
  </si>
  <si>
    <t>Neely, H., III</t>
  </si>
  <si>
    <t>Neeman, A.</t>
  </si>
  <si>
    <t>Neeraj Krishnan</t>
  </si>
  <si>
    <t>Nehme, R.R.V.</t>
  </si>
  <si>
    <t>Nelson, A.V.</t>
  </si>
  <si>
    <t>Nelson, B.</t>
  </si>
  <si>
    <t>Neophytos, N.</t>
  </si>
  <si>
    <t>Nersessian, N.J.</t>
  </si>
  <si>
    <t>Netzel, R.</t>
  </si>
  <si>
    <t>Neubauer, A.</t>
  </si>
  <si>
    <t>Martin Hering-Bertram;Daniel E. Laney;Mark A. Duchaineau;Charles D. Hansen;Bernd Hamann;Kenneth I. Joy</t>
  </si>
  <si>
    <t>Neugebauer, M.</t>
  </si>
  <si>
    <t>SCI Inst., Utah Univ., Salt Lake City, UT, USA|c|;;;;;</t>
  </si>
  <si>
    <t>Neumann, U.</t>
  </si>
  <si>
    <t>10.1109/VISUAL.1994.346332;10.1109/VISUAL.2000.885720;10.1109/VISUAL.2000.885716;10.1109/VISUAL.2000.885705</t>
  </si>
  <si>
    <t>Neville, P.</t>
  </si>
  <si>
    <t>Contours, Geometry Compression, Iso-surfaces, Level Sets, Multiresolution Methods, Wavelets</t>
  </si>
  <si>
    <t>Newbern, C.</t>
  </si>
  <si>
    <t>Newman, M.</t>
  </si>
  <si>
    <t>User-centric viewpoint computation for haptic exploration and manipulation</t>
  </si>
  <si>
    <t>Ng, J.</t>
  </si>
  <si>
    <t>10.1109/VISUAL.2001.964526</t>
  </si>
  <si>
    <t>Nguyen, A.D.</t>
  </si>
  <si>
    <t>http://dx.doi.org/10.1109/VISUAL.2001.964526</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</si>
  <si>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</si>
  <si>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Nguyen, B.G.</t>
  </si>
  <si>
    <t>Nguyen, H.T.</t>
  </si>
  <si>
    <t>R. van Liere;J. Harkes;W. de Leeuw</t>
  </si>
  <si>
    <t>Center for Math. &amp; Comput. Sci., CWI, Amsterdam, Netherlands</t>
  </si>
  <si>
    <t>Nguyen, M.X.</t>
  </si>
  <si>
    <t>Nguyen, M.Z.</t>
  </si>
  <si>
    <t>Nguyen, P.H.</t>
  </si>
  <si>
    <t>Nguyen, T.</t>
  </si>
  <si>
    <t>Ni, L.M.</t>
  </si>
  <si>
    <t>Nichols, J.</t>
  </si>
  <si>
    <t>Nick, B.</t>
  </si>
  <si>
    <t>Nicolaou, M.</t>
  </si>
  <si>
    <t>Nielsen, C.B.</t>
  </si>
  <si>
    <t>Nielson, G.M.</t>
  </si>
  <si>
    <t>Niemann, U.</t>
  </si>
  <si>
    <t>Niemeier, R.</t>
  </si>
  <si>
    <t>Nieselt, K.</t>
  </si>
  <si>
    <t>Nikkila, M.</t>
  </si>
  <si>
    <t>Nilsson, B.S.</t>
  </si>
  <si>
    <t>Nilsson, O.</t>
  </si>
  <si>
    <t>Nimsky, C.</t>
  </si>
  <si>
    <t>Ning, P.</t>
  </si>
  <si>
    <t>Ningyu Mao</t>
  </si>
  <si>
    <t>Nishant Mehta</t>
  </si>
  <si>
    <t>Nishita, T.</t>
  </si>
  <si>
    <t>Niski, K.</t>
  </si>
  <si>
    <t>Nocaj, A.</t>
  </si>
  <si>
    <t>Miguel A. Otaduy;Ming C. Lin</t>
  </si>
  <si>
    <t>Nocke, T.</t>
  </si>
  <si>
    <t>Noel, M.R.</t>
  </si>
  <si>
    <t>10.1109/VISUAL.2000.885686;10.1109/VISUAL.1996.568108</t>
  </si>
  <si>
    <t>Noh, J.</t>
  </si>
  <si>
    <t>Nolasco, E.</t>
  </si>
  <si>
    <t>Fitting Subdivision Surfaces</t>
  </si>
  <si>
    <t>Nollert, H.-P.</t>
  </si>
  <si>
    <t>10.1109/VISUAL.2001.964527</t>
  </si>
  <si>
    <t>Nonato, L.G.</t>
  </si>
  <si>
    <t>http://doi.ieeecomputersociety.org/10.1109/VISUAL.2001.964527</t>
  </si>
  <si>
    <t>Nooruddin, F.S.</t>
  </si>
  <si>
    <t>Noppens, O.</t>
  </si>
  <si>
    <t>North, C.</t>
  </si>
  <si>
    <t>North, S.C.</t>
  </si>
  <si>
    <t>Nossin, F.</t>
  </si>
  <si>
    <t>Nothelfer, C.</t>
  </si>
  <si>
    <t>Nouanesengsy, B.</t>
  </si>
  <si>
    <t>Nov, O.</t>
  </si>
  <si>
    <t>Novoselov, R.Y.</t>
  </si>
  <si>
    <t>Novotny, M.</t>
  </si>
  <si>
    <t>Nowak, E.</t>
  </si>
  <si>
    <t>Nowak, W.</t>
  </si>
  <si>
    <t>Nowell, L.</t>
  </si>
  <si>
    <t>Nuckley, D.</t>
  </si>
  <si>
    <t>Nuesch, D.</t>
  </si>
  <si>
    <t>Nuij, W.A.A.</t>
  </si>
  <si>
    <t>Nunes, M.</t>
  </si>
  <si>
    <t>Nunez, P.L.</t>
  </si>
  <si>
    <t>Nurnberger, G.</t>
  </si>
  <si>
    <t>Nyland, L.</t>
  </si>
  <si>
    <t>O'Bara, R.</t>
  </si>
  <si>
    <t>O'Brien, E.T.</t>
  </si>
  <si>
    <t>O'Brien, J.</t>
  </si>
  <si>
    <t>O'Brien, T.M.</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</si>
  <si>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</si>
  <si>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O'Connell, T.</t>
  </si>
  <si>
    <t>O'Leary, P.</t>
  </si>
  <si>
    <t>K. Mueller;R. Crawfis</t>
  </si>
  <si>
    <t>Oates, B.</t>
  </si>
  <si>
    <t>Obermaier, H.</t>
  </si>
  <si>
    <t>Obeysekare, U.</t>
  </si>
  <si>
    <t>Oelke, D.</t>
  </si>
  <si>
    <t>Oeltze-Jafra, S.</t>
  </si>
  <si>
    <t>Oeltze, S.</t>
  </si>
  <si>
    <t>Oesterling, P.</t>
  </si>
  <si>
    <t>Oganov, A.R.</t>
  </si>
  <si>
    <t>Ogawa, M.</t>
  </si>
  <si>
    <t>Ogievetsky, V.</t>
  </si>
  <si>
    <t>Ohbuchi, R.</t>
  </si>
  <si>
    <t>Oikarinen, J.</t>
  </si>
  <si>
    <t>Ojili, P.K.R.</t>
  </si>
  <si>
    <t>Okada, K.</t>
  </si>
  <si>
    <t>Okada, M.</t>
  </si>
  <si>
    <t>Okimoto, S.</t>
  </si>
  <si>
    <t>Olano, M.</t>
  </si>
  <si>
    <t>Olbrich, P.A.</t>
  </si>
  <si>
    <t>Olislagers, F.</t>
  </si>
  <si>
    <t>Oliva, A.</t>
  </si>
  <si>
    <t>Olivan Bescos, J.</t>
  </si>
  <si>
    <t>Nathan Litke;Adi Levin;Peter Schr̦der</t>
  </si>
  <si>
    <t>Oliveira, M.M.</t>
  </si>
  <si>
    <t>Animation, CAD, Curves &amp; Surfaces, Geometric Modeling, Digital Geometry Processing, Subdivision Schemes, Approximation, Quasi-Interpolation, Catmull-Clark</t>
  </si>
  <si>
    <t>Oliver, G.W.</t>
  </si>
  <si>
    <t>Olree, M.</t>
  </si>
  <si>
    <t>Olson, A.</t>
  </si>
  <si>
    <t>Nonmanifold subdivision</t>
  </si>
  <si>
    <t>10.1109/VISUAL.2001.964528</t>
  </si>
  <si>
    <t>Olstad, B.</t>
  </si>
  <si>
    <t>http://dx.doi.org/10.1109/VISUAL.2001.964528</t>
  </si>
  <si>
    <t>Olston, C.</t>
  </si>
  <si>
    <t>Omoteso, O.</t>
  </si>
  <si>
    <t>Onoda, T.</t>
  </si>
  <si>
    <t>Opalach, A.</t>
  </si>
  <si>
    <t>Orbaek, P.</t>
  </si>
  <si>
    <t>Orman, J.</t>
  </si>
  <si>
    <t>Ortner, T.</t>
  </si>
  <si>
    <t>Osher, S.</t>
  </si>
  <si>
    <t>Osten, L.</t>
  </si>
  <si>
    <t>Otaduy, M.A.</t>
  </si>
  <si>
    <t>Otsuna, H.</t>
  </si>
  <si>
    <t>Ottley, A.</t>
  </si>
  <si>
    <t>Otto, G.</t>
  </si>
  <si>
    <t>Oulasvirta, A.</t>
  </si>
  <si>
    <t>Ouzzani, M.</t>
  </si>
  <si>
    <t>Overby, D.</t>
  </si>
  <si>
    <t>Overbye, T.J.</t>
  </si>
  <si>
    <t>Ozenne, S.</t>
  </si>
  <si>
    <t>Pabel, T.</t>
  </si>
  <si>
    <t>Pack, M.L.</t>
  </si>
  <si>
    <t>Packer, E.</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</si>
  <si>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</si>
  <si>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Paddock, S.</t>
  </si>
  <si>
    <t>Paepcke, A.</t>
  </si>
  <si>
    <t>L. Hong;A. Kaufman</t>
  </si>
  <si>
    <t>Paffenroth, R.</t>
  </si>
  <si>
    <t>Page, W.</t>
  </si>
  <si>
    <t>Pagendarm, H.-G.</t>
  </si>
  <si>
    <t>Lexing Ying;Denis Zorin</t>
  </si>
  <si>
    <t>Pai, D.K.</t>
  </si>
  <si>
    <t>New York Univ., NY, USA|c|;</t>
  </si>
  <si>
    <t>Painter, J.S.</t>
  </si>
  <si>
    <t>Subdivision surfaces, Nonmanifold surfaces, Geometric modeling</t>
  </si>
  <si>
    <t>Paiva, J.G.</t>
  </si>
  <si>
    <t>Pajarola, R.</t>
  </si>
  <si>
    <t>Normal bounds for subdivision-surface interference detection</t>
  </si>
  <si>
    <t>Pajon, J.L.</t>
  </si>
  <si>
    <t>10.1109/VISUAL.2001.964529</t>
  </si>
  <si>
    <t>Pak Chung Wong</t>
  </si>
  <si>
    <t>http://dx.doi.org/10.1109/VISUAL.2001.964529</t>
  </si>
  <si>
    <t>Palamidese, P.</t>
  </si>
  <si>
    <t>Paley, W.B.</t>
  </si>
  <si>
    <t>Palke, D.</t>
  </si>
  <si>
    <t>Palmas, G.</t>
  </si>
  <si>
    <t>Palomo, C.</t>
  </si>
  <si>
    <t>Pandey, A.V.</t>
  </si>
  <si>
    <t>Pandit, V.</t>
  </si>
  <si>
    <t>Panduranga, E.S.</t>
  </si>
  <si>
    <t>Pang, A.</t>
  </si>
  <si>
    <t>Panjwani, G.</t>
  </si>
  <si>
    <t>Panpan Xu</t>
  </si>
  <si>
    <t>Panse, C.</t>
  </si>
  <si>
    <t>Pao, L.Y.</t>
  </si>
  <si>
    <t>Paolo, B.</t>
  </si>
  <si>
    <t>Papademetris, X.</t>
  </si>
  <si>
    <t>Papadopoulos, C.</t>
  </si>
  <si>
    <t>Papka, M.E.</t>
  </si>
  <si>
    <t>Parekh, N.</t>
  </si>
  <si>
    <t>Parent, M.-A.</t>
  </si>
  <si>
    <t>Parent, R.</t>
  </si>
  <si>
    <t>Parente, P.</t>
  </si>
  <si>
    <t>Paris, J.P.</t>
  </si>
  <si>
    <t>Park, H.</t>
  </si>
  <si>
    <t>Park, I.</t>
  </si>
  <si>
    <t>Park, M.</t>
  </si>
  <si>
    <t>Park, S.</t>
  </si>
  <si>
    <t>Parker, D.</t>
  </si>
  <si>
    <t>Parker, S.</t>
  </si>
  <si>
    <t>Parker, S.E.</t>
  </si>
  <si>
    <t>Parkinson, E.</t>
  </si>
  <si>
    <t>Eitan Grinspun;Peter Schr̦der</t>
  </si>
  <si>
    <t>Parlett, B.</t>
  </si>
  <si>
    <t>Parry, M.L.</t>
  </si>
  <si>
    <t>Subdivision Surfaces, Multiresolution Surfaces, Self-interference, Gauss map, Loop's Scheme</t>
  </si>
  <si>
    <t>Parthasarathy, S.</t>
  </si>
  <si>
    <t>Partl, C.</t>
  </si>
  <si>
    <t>Parulek, J.</t>
  </si>
  <si>
    <t>Smooth approximation and rendering of large scattered data sets</t>
  </si>
  <si>
    <t>Parulkar, G.M.</t>
  </si>
  <si>
    <t>10.1109/VISUAL.2001.964530</t>
  </si>
  <si>
    <t>Pascual-Cid, V.</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</si>
  <si>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</si>
  <si>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http://dx.doi.org/10.1109/VISUAL.2001.964530</t>
  </si>
  <si>
    <t>Pascucci, V.</t>
  </si>
  <si>
    <t>Ulf Tiede;Thomas Schiemann;Karl Heinz Höhne</t>
  </si>
  <si>
    <t>Passmore, P.</t>
  </si>
  <si>
    <t>U. Tiede;T. Schiemann;K.H. Hohne</t>
  </si>
  <si>
    <t>Patchett, J.</t>
  </si>
  <si>
    <t>Inst. of Math. &amp; Comput. Sci. in Med., Eppendorf Univ. Hosp., Hamburg, Germany</t>
  </si>
  <si>
    <t>Patel, C.</t>
  </si>
  <si>
    <t>Patel, D.</t>
  </si>
  <si>
    <t>Patnaik, D.</t>
  </si>
  <si>
    <t>Patnaik, G.</t>
  </si>
  <si>
    <t>Patrignani, M.</t>
  </si>
  <si>
    <t>Patrone, D.</t>
  </si>
  <si>
    <t>Pattath, A.</t>
  </si>
  <si>
    <t>Patterson, R.</t>
  </si>
  <si>
    <t>Paul, B.</t>
  </si>
  <si>
    <t>Paul, J.-C.</t>
  </si>
  <si>
    <t>Paulovich, F.V.</t>
  </si>
  <si>
    <t>Paulson, S.</t>
  </si>
  <si>
    <t>Pauly, M.</t>
  </si>
  <si>
    <t>Pavlakos, C.</t>
  </si>
  <si>
    <t>Pavlidis, T.</t>
  </si>
  <si>
    <t>Pawlicki, R.</t>
  </si>
  <si>
    <t>Paxson, C.</t>
  </si>
  <si>
    <t>Payne, D.A.</t>
  </si>
  <si>
    <t>Payne, J.</t>
  </si>
  <si>
    <t>Pearlman, J.D.</t>
  </si>
  <si>
    <t>Pebay, P.P.</t>
  </si>
  <si>
    <t>Peca, I.</t>
  </si>
  <si>
    <t>Peck, E.M.</t>
  </si>
  <si>
    <t>Peck, S.</t>
  </si>
  <si>
    <t>Pedreschi, D.</t>
  </si>
  <si>
    <t>Pedrini, H.</t>
  </si>
  <si>
    <t>Peercy, M.S.</t>
  </si>
  <si>
    <t>Peery, M.</t>
  </si>
  <si>
    <t>Peihong Guo</t>
  </si>
  <si>
    <t>Peikert, R.</t>
  </si>
  <si>
    <t>Peitgen, H.-O.</t>
  </si>
  <si>
    <t>Pekala, M.</t>
  </si>
  <si>
    <t>Pekar, V.</t>
  </si>
  <si>
    <t>Pelcovits, R.</t>
  </si>
  <si>
    <t>Pelkie, C.</t>
  </si>
  <si>
    <t>Pellegrino, D.</t>
  </si>
  <si>
    <t>Pembroke, A.</t>
  </si>
  <si>
    <t>Pendleton, B.A.</t>
  </si>
  <si>
    <t>J̦rg Haber;Frank Zeilfelder;Oleg Davydov;Hans-Peter Seidel</t>
  </si>
  <si>
    <t>Max-Planck-Inst. fur Inf., Saarbrucken, Germany|c|;;;</t>
  </si>
  <si>
    <t>Peng Mi</t>
  </si>
  <si>
    <t>Peng Xu</t>
  </si>
  <si>
    <t>scattered data approximation, least squares approximation, terrain visualization, data compression</t>
  </si>
  <si>
    <t>Peng, W.</t>
  </si>
  <si>
    <t>Penn, G.</t>
  </si>
  <si>
    <t>Real-time decompression and visualization of animated volume data</t>
  </si>
  <si>
    <t>Pennock, K.</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</si>
  <si>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</si>
  <si>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10.1109/VISUAL.2001.964531</t>
  </si>
  <si>
    <t>Pepke, E.</t>
  </si>
  <si>
    <t>M. Garland;P.S. Heckbert</t>
  </si>
  <si>
    <t>Perdigao, R.A.P.</t>
  </si>
  <si>
    <t>Perer, A.</t>
  </si>
  <si>
    <t>Perin, C.</t>
  </si>
  <si>
    <t>Perkins, M.</t>
  </si>
  <si>
    <t>Pernicks, A.</t>
  </si>
  <si>
    <t>http://dx.doi.org/10.1109/VISUAL.2001.964531</t>
  </si>
  <si>
    <t>Perrine, K.</t>
  </si>
  <si>
    <t>Perry, E.</t>
  </si>
  <si>
    <t>Persoon, M.P.</t>
  </si>
  <si>
    <t>Persson, A.</t>
  </si>
  <si>
    <t>Petajan, E.</t>
  </si>
  <si>
    <t>Peter, J.</t>
  </si>
  <si>
    <t>Peterka, T.</t>
  </si>
  <si>
    <t>Peters, A.</t>
  </si>
  <si>
    <t>Peters, B.</t>
  </si>
  <si>
    <t>Peters, J.</t>
  </si>
  <si>
    <t>Petersen, M.</t>
  </si>
  <si>
    <t>Peterson, B.</t>
  </si>
  <si>
    <t>Peterson, J.A.</t>
  </si>
  <si>
    <t>Peterson, P.</t>
  </si>
  <si>
    <t>Petrelli, D.</t>
  </si>
  <si>
    <t>Petronetto, F.</t>
  </si>
  <si>
    <t>Petrovic, V.</t>
  </si>
  <si>
    <t>Petterson, L.</t>
  </si>
  <si>
    <t>Peuquet, D.</t>
  </si>
  <si>
    <t>Pezanowski, S.</t>
  </si>
  <si>
    <t>Pfeifle, P.</t>
  </si>
  <si>
    <t>Pfister, H.</t>
  </si>
  <si>
    <t>Pham, T.</t>
  </si>
  <si>
    <t>Pheng-Ann Heng</t>
  </si>
  <si>
    <t>Phillips, B.C.</t>
  </si>
  <si>
    <t>Phillips, C.L.</t>
  </si>
  <si>
    <t>Phillips, G.N.</t>
  </si>
  <si>
    <t>Phillips, R.L.</t>
  </si>
  <si>
    <t>Piatek, M.</t>
  </si>
  <si>
    <t>Piatetsky-Shapiro, G.</t>
  </si>
  <si>
    <t>Pichler, M.</t>
  </si>
  <si>
    <t>Pickle, L.</t>
  </si>
  <si>
    <t>Pieper, S.D.</t>
  </si>
  <si>
    <t>Stefan Guthe;Wolfgang Stra��er</t>
  </si>
  <si>
    <t>Pierpaoli, C.</t>
  </si>
  <si>
    <t>Pietriga, E.</t>
  </si>
  <si>
    <t>Pietroni, N.</t>
  </si>
  <si>
    <t>Time critical Visualization, Compression for Visualization, Volume Rendering</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</si>
  <si>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</si>
  <si>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Pike, W.A.</t>
  </si>
  <si>
    <t>Pileggi, H.</t>
  </si>
  <si>
    <t>M. Gopi;D. Manocha</t>
  </si>
  <si>
    <t>Compressing large polygonal models</t>
  </si>
  <si>
    <t>Pilgreen, K.L.</t>
  </si>
  <si>
    <t>10.1109/VISUAL.2001.964532</t>
  </si>
  <si>
    <t>Pilhofer, A.</t>
  </si>
  <si>
    <t>http://dx.doi.org/10.1109/VISUAL.2001.964532</t>
  </si>
  <si>
    <t>Pili, P.</t>
  </si>
  <si>
    <t>Pin Ren</t>
  </si>
  <si>
    <t>Pinaud, B.</t>
  </si>
  <si>
    <t>Ping Guo</t>
  </si>
  <si>
    <t>Pingali, G.</t>
  </si>
  <si>
    <t>Piquemal, J.-P.</t>
  </si>
  <si>
    <t>Piringer, H.</t>
  </si>
  <si>
    <t>Pischel, R.</t>
  </si>
  <si>
    <t>Pitipornvivat, N.</t>
  </si>
  <si>
    <t>Pittino, G.</t>
  </si>
  <si>
    <t>Pivkin, I.</t>
  </si>
  <si>
    <t>Pizer, S.</t>
  </si>
  <si>
    <t>Pizzonia, M.</t>
  </si>
  <si>
    <t>Plaisant, C.</t>
  </si>
  <si>
    <t>Plate, J.</t>
  </si>
  <si>
    <t>Platel, B.</t>
  </si>
  <si>
    <t>Plath, P.J.</t>
  </si>
  <si>
    <t>Plesniak, W.</t>
  </si>
  <si>
    <t>Plessel, T.C.</t>
  </si>
  <si>
    <t>Po-Yu Tsai</t>
  </si>
  <si>
    <t>Pobitzer, A.</t>
  </si>
  <si>
    <t>Poco, J.</t>
  </si>
  <si>
    <t>Pohl, M.</t>
  </si>
  <si>
    <t>Pointer, D.</t>
  </si>
  <si>
    <t>Pokharkar, S.</t>
  </si>
  <si>
    <t>Polack, P.J.</t>
  </si>
  <si>
    <t>Polishchuk, V.</t>
  </si>
  <si>
    <t>Politz, C.</t>
  </si>
  <si>
    <t>Polk, T.</t>
  </si>
  <si>
    <t>Polthier, K.</t>
  </si>
  <si>
    <t>Polunsky, Z.</t>
  </si>
  <si>
    <t>Jeffrey Ho;Kuang-chih Lee;David J. Kriegman</t>
  </si>
  <si>
    <t>Pommert, A.</t>
  </si>
  <si>
    <t>Beckman Inst. for Adv. Sci. &amp; Technol., Illinois Univ., Urbana, IL, USA|c|;;</t>
  </si>
  <si>
    <t>Pompl, R.</t>
  </si>
  <si>
    <t>10.1109/VISUAL.1997.663902;10.1109/VISUAL.1998.745327;10.1109/VISUAL.1999.809870</t>
  </si>
  <si>
    <t>Poncelet, P.</t>
  </si>
  <si>
    <t>compression algorithms</t>
  </si>
  <si>
    <t>Visualization of large terrains made easy</t>
  </si>
  <si>
    <t>10.1109/VISUAL.2001.964533</t>
  </si>
  <si>
    <t>http://dx.doi.org/10.1109/VISUAL.2001.964533</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</si>
  <si>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</si>
  <si>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Ponchio, F.</t>
  </si>
  <si>
    <t>P. Lindstrom;G. Turk</t>
  </si>
  <si>
    <t>Ponomarev, L.I.</t>
  </si>
  <si>
    <t>Georgia Inst. of Technol., Atlanta, GA, USA</t>
  </si>
  <si>
    <t>Poon, A.</t>
  </si>
  <si>
    <t>Poon, S.</t>
  </si>
  <si>
    <t>Poonam Shanbhag</t>
  </si>
  <si>
    <t>Pop, S.</t>
  </si>
  <si>
    <t>Popescu, V.</t>
  </si>
  <si>
    <t>Popovic, R.</t>
  </si>
  <si>
    <t>Porter, D.H.</t>
  </si>
  <si>
    <t>Portes dos Santos Amorim, E.</t>
  </si>
  <si>
    <t>Posdamer, J.L.</t>
  </si>
  <si>
    <t>Posse, C.</t>
  </si>
  <si>
    <t>Post, F.H.</t>
  </si>
  <si>
    <t>Post, F.J.</t>
  </si>
  <si>
    <t>Potter, K.</t>
  </si>
  <si>
    <t>Pottier, M.</t>
  </si>
  <si>
    <t>Pousman, Z.</t>
  </si>
  <si>
    <t>Prabhakar, S.</t>
  </si>
  <si>
    <t>Prado, J.</t>
  </si>
  <si>
    <t>Prassni, J.-S.</t>
  </si>
  <si>
    <t>Praun, E.</t>
  </si>
  <si>
    <t>Peter Lindstrom;Valerio Pascucci</t>
  </si>
  <si>
    <t>Prawel, D.</t>
  </si>
  <si>
    <t>Preim, B.</t>
  </si>
  <si>
    <t>Center for Appl. Sci. Comput., Lawrence Livermore Nat. Lab., CA, USA|c|;</t>
  </si>
  <si>
    <t>Preim, U.</t>
  </si>
  <si>
    <t>10.1109/VISUAL.1997.663860;10.1109/VISUAL.1997.663895;10.1109/VISUAL.1998.745280;10.1109/VISUAL.1997.663863;10.1109/VISUAL.1995.480805;10.1109/VISUAL.1997.663862;10.1109/VISUAL.2000.885699;10.1109/VISUAL.1998.745342;10.1109/VISUAL.1996.568125;10.1109/VISUAL.1998.745282</t>
  </si>
  <si>
    <t>Preiner, R.</t>
  </si>
  <si>
    <t>Premoze, S.</t>
  </si>
  <si>
    <t>Integrating occlusion culling with view-dependent rendering</t>
  </si>
  <si>
    <t>Pretorius, A.J.</t>
  </si>
  <si>
    <t>Preuer, T.</t>
  </si>
  <si>
    <t>10.1109/VISUAL.2001.964534</t>
  </si>
  <si>
    <t>http://dx.doi.org/10.1109/VISUAL.2001.964534</t>
  </si>
  <si>
    <t>Preusser, T.</t>
  </si>
  <si>
    <t>Prevost, N.</t>
  </si>
  <si>
    <t>Price, M.C.</t>
  </si>
  <si>
    <t>Probst, M.</t>
  </si>
  <si>
    <t>Proctor, J.</t>
  </si>
  <si>
    <t>Proctor, K.</t>
  </si>
  <si>
    <t>Prohaska, S.</t>
  </si>
  <si>
    <t>Proulx, P.</t>
  </si>
  <si>
    <t>Prusinkiewicz, P.</t>
  </si>
  <si>
    <t>Pu, P.</t>
  </si>
  <si>
    <t>Pugmire, D.</t>
  </si>
  <si>
    <t>Puig, A.</t>
  </si>
  <si>
    <t>Pulsipher, T.</t>
  </si>
  <si>
    <t>Puppo, E.</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</si>
  <si>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</si>
  <si>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Purchase, H.</t>
  </si>
  <si>
    <t>I.J. Trotts;B. Hamann;K.I. Joy;D.F. Wiley</t>
  </si>
  <si>
    <t>Purgathofer, W.</t>
  </si>
  <si>
    <t>Puttmann, E.</t>
  </si>
  <si>
    <t>Qi Han</t>
  </si>
  <si>
    <t>Qi Liao</t>
  </si>
  <si>
    <t>Qi Ye</t>
  </si>
  <si>
    <t>Qian Chen</t>
  </si>
  <si>
    <t>Qian, C.</t>
  </si>
  <si>
    <t>Qian, Z.C.</t>
  </si>
  <si>
    <t>Qiang Du</t>
  </si>
  <si>
    <t>Qianliang Wu</t>
  </si>
  <si>
    <t>Qiaomu Shen</t>
  </si>
  <si>
    <t>Qin, J.</t>
  </si>
  <si>
    <t>Qing Li</t>
  </si>
  <si>
    <t>Qingsong Liu</t>
  </si>
  <si>
    <t>Jihad El-Sana;Neta Sokolovsky;Cl��udio T. Silva</t>
  </si>
  <si>
    <t>Qinying Liao</t>
  </si>
  <si>
    <t>Qiusheng Li</t>
  </si>
  <si>
    <t>Dept. of Comput. Sci., Ben-Gurion Univ. of the Negev, Beer-Sheva, Israel|c|;;</t>
  </si>
  <si>
    <t>10.1109/VISUAL.1999.809877;10.1109/VISUAL.1999.809875;10.1109/VISUAL.1997.663860;10.1109/VISUAL.1996.568117;10.1109/VISUAL.2000.885724;10.1109/VISUAL.1998.745283;10.1109/VISUAL.1995.480805</t>
  </si>
  <si>
    <t>Qu, H.</t>
  </si>
  <si>
    <t>Quammen, C.W.</t>
  </si>
  <si>
    <t>Approximate shading for the re-illumination of synthetic images</t>
  </si>
  <si>
    <t>Quan Hoang Nguyen</t>
  </si>
  <si>
    <t>10.1109/VISUAL.2001.964535</t>
  </si>
  <si>
    <t>Quan Li</t>
  </si>
  <si>
    <t>http://dx.doi.org/10.1109/VISUAL.2001.964535</t>
  </si>
  <si>
    <t>Quan Lin</t>
  </si>
  <si>
    <t>Quang Vinh Nguyen</t>
  </si>
  <si>
    <t>Quigley, A.</t>
  </si>
  <si>
    <t>Quimby, R.</t>
  </si>
  <si>
    <t>Quinan, P.S.</t>
  </si>
  <si>
    <t>Quinn, K.I.</t>
  </si>
  <si>
    <t>Qunsheng Peng</t>
  </si>
  <si>
    <t>Rabenhorst, D.A.</t>
  </si>
  <si>
    <t>Rabinovich, B.</t>
  </si>
  <si>
    <t>Rae Kyoung Lee</t>
  </si>
  <si>
    <t>Rafaeli, S.</t>
  </si>
  <si>
    <t>Raffin, B.</t>
  </si>
  <si>
    <t>Rafiei, D.</t>
  </si>
  <si>
    <t>Ragan, E.D.</t>
  </si>
  <si>
    <t>Raghu Raghavan</t>
  </si>
  <si>
    <t>Raible, E.L.</t>
  </si>
  <si>
    <t>Raidou, R.G.</t>
  </si>
  <si>
    <t>Ramakrishan, N.</t>
  </si>
  <si>
    <t>Ramakrishnan, I.</t>
  </si>
  <si>
    <t>Ramakrishnan, N.</t>
  </si>
  <si>
    <t>Ramamoorthi, R.</t>
  </si>
  <si>
    <t>Ramamurti, R.</t>
  </si>
  <si>
    <t>Ramani, K.</t>
  </si>
  <si>
    <t>Ramm, H.</t>
  </si>
  <si>
    <t>Ramm, T.</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</si>
  <si>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</si>
  <si>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Ramos, G.</t>
  </si>
  <si>
    <t>Ran Shao</t>
  </si>
  <si>
    <t>Ran Tao</t>
  </si>
  <si>
    <t>Randy K. Scoggins;Raghu Machiraju;Robert J. Moorhead II</t>
  </si>
  <si>
    <t>Rander, P.</t>
  </si>
  <si>
    <t>US Army Eng. R&amp;D Center, Vicksburg, MS, USA|c|;;</t>
  </si>
  <si>
    <t>Ranken, D.</t>
  </si>
  <si>
    <t>10.1109/VISUAL.1999.809869;10.1109/VISUAL.2000.885691</t>
  </si>
  <si>
    <t>Ranwez, S.</t>
  </si>
  <si>
    <t>rendering, level-of-detail, image metrics, perception</t>
  </si>
  <si>
    <t>Rao, A.R.</t>
  </si>
  <si>
    <t>Rao, R.</t>
  </si>
  <si>
    <t>Raphael, B.J.</t>
  </si>
  <si>
    <t>Volume Rendering of Fine Details Within Medical Data</t>
  </si>
  <si>
    <t>10.1109/VISUAL.2001.964537</t>
  </si>
  <si>
    <t>Raskar, R.</t>
  </si>
  <si>
    <t>http://doi.ieeecomputersociety.org/10.1109/VISUAL.2001.964537</t>
  </si>
  <si>
    <t>Rastaetter, L.</t>
  </si>
  <si>
    <t>Rasure, J.</t>
  </si>
  <si>
    <t>Ratner, A.</t>
  </si>
  <si>
    <t>Rauber, A.</t>
  </si>
  <si>
    <t>Rautek, P.</t>
  </si>
  <si>
    <t>Rawdon, E.</t>
  </si>
  <si>
    <t>Ray, N.</t>
  </si>
  <si>
    <t>Ray, W.C.</t>
  </si>
  <si>
    <t>Raya, L.</t>
  </si>
  <si>
    <t>Rayson, J.K.</t>
  </si>
  <si>
    <t>Readhead, C.</t>
  </si>
  <si>
    <t>Rebello, A.B.</t>
  </si>
  <si>
    <t>Reck, F.</t>
  </si>
  <si>
    <t>Recktenwald, K.</t>
  </si>
  <si>
    <t>Reda, K.</t>
  </si>
  <si>
    <t>Reddy, C.K.</t>
  </si>
  <si>
    <t>Redstrom, J.</t>
  </si>
  <si>
    <t>Regenscheit, M.</t>
  </si>
  <si>
    <t>Reh, A.</t>
  </si>
  <si>
    <t>Reich, R.</t>
  </si>
  <si>
    <t>Reich, W.</t>
  </si>
  <si>
    <t>Reichenbach, A.</t>
  </si>
  <si>
    <t>Reichenberger, K.</t>
  </si>
  <si>
    <t>Reichl, F.</t>
  </si>
  <si>
    <t>Reid, R.C.</t>
  </si>
  <si>
    <t>Reimer, A.</t>
  </si>
  <si>
    <t>Reina, G.</t>
  </si>
  <si>
    <t>Reinhard, E.</t>
  </si>
  <si>
    <t>Reinhardt, T.</t>
  </si>
  <si>
    <t>Reininghaus, J.</t>
  </si>
  <si>
    <t>Reisner, J.</t>
  </si>
  <si>
    <t>Reiss, S.P.</t>
  </si>
  <si>
    <t>Reiter, M.</t>
  </si>
  <si>
    <t>Reiterer, H.</t>
  </si>
  <si>
    <t>Remez, O.</t>
  </si>
  <si>
    <t>Remy, A.</t>
  </si>
  <si>
    <t>Renben Shu</t>
  </si>
  <si>
    <t>Rensink, R.A.</t>
  </si>
  <si>
    <t>Renteria, J.C.</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</si>
  <si>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</si>
  <si>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Renz, W.</t>
  </si>
  <si>
    <t>Anton L. Fuhrmann;M. Eduard Gröller</t>
  </si>
  <si>
    <t>Reppa, I.</t>
  </si>
  <si>
    <t>A. Fuhrmann;E. Groller</t>
  </si>
  <si>
    <t>Inst. of Comput. Graphics, Wien Univ., Austria</t>
  </si>
  <si>
    <t>Reppy, J.</t>
  </si>
  <si>
    <t>Retzel, E.</t>
  </si>
  <si>
    <t>Reuter, N.</t>
  </si>
  <si>
    <t>Rexroad, B.</t>
  </si>
  <si>
    <t>Feng Dong;Gordon Clapworthy;Meleagros A. Krokos</t>
  </si>
  <si>
    <t>Reyes, R.</t>
  </si>
  <si>
    <t>10.1109/VISUAL.1997.663882;10.1109/VISUAL.1994.346340;10.1109/VISUAL.1999.809911;10.1109/VISUAL.1998.745309;10.1109/VISUAL.1999.809909;10.1109/VISUAL.1998.745311;10.1109/VISUAL.1997.663848</t>
  </si>
  <si>
    <t>Rezk-Salama, C.</t>
  </si>
  <si>
    <t>Volume Rendering, Fine Details, Medical Visualization, Image Processing, Volume Textures</t>
  </si>
  <si>
    <t>Rheingans, P.</t>
  </si>
  <si>
    <t>Rhoades, J.</t>
  </si>
  <si>
    <t>Visualization and interaction techniques for the exploration of vascular structures</t>
  </si>
  <si>
    <t>Rhyne, T.M.</t>
  </si>
  <si>
    <t>10.1109/VISUAL.2001.964538</t>
  </si>
  <si>
    <t>Ribarsky, W.</t>
  </si>
  <si>
    <t>http://dx.doi.org/10.1109/VISUAL.2001.964538</t>
  </si>
  <si>
    <t>Ribicic, H.</t>
  </si>
  <si>
    <t>Ribler, R. L.</t>
  </si>
  <si>
    <t>Rice, A.</t>
  </si>
  <si>
    <t>Rice, D.M.</t>
  </si>
  <si>
    <t>Richardson, D.C.</t>
  </si>
  <si>
    <t>Riche, N.H.</t>
  </si>
  <si>
    <t>Richen Liu</t>
  </si>
  <si>
    <t>Richter, C.</t>
  </si>
  <si>
    <t>Rick, J.</t>
  </si>
  <si>
    <t>Rieck, B.</t>
  </si>
  <si>
    <t>Riecke, B.E.</t>
  </si>
  <si>
    <t>Rieder, C.</t>
  </si>
  <si>
    <t>Riedl, J.</t>
  </si>
  <si>
    <t>Riehmann, P.</t>
  </si>
  <si>
    <t>Riemer, M.</t>
  </si>
  <si>
    <t>Riensche, R.</t>
  </si>
  <si>
    <t>Riesenfeld, R.F.</t>
  </si>
  <si>
    <t>Rieser, J.J.</t>
  </si>
  <si>
    <t>Riley, K.</t>
  </si>
  <si>
    <t>Rind, A.</t>
  </si>
  <si>
    <t>Rinzivillo, S.</t>
  </si>
  <si>
    <t>Rist, U.</t>
  </si>
  <si>
    <t>Ritsos, P.D.</t>
  </si>
  <si>
    <t>Ritter, F.</t>
  </si>
  <si>
    <t>Ritter, L.</t>
  </si>
  <si>
    <t>Ritz, A.M.</t>
  </si>
  <si>
    <t>Robb, R.</t>
  </si>
  <si>
    <t>Robbins, J.</t>
  </si>
  <si>
    <t>Robbins, K.A.</t>
  </si>
  <si>
    <t>Rober, N.</t>
  </si>
  <si>
    <t>Roberge, J.</t>
  </si>
  <si>
    <t>Robert, P.C.D.</t>
  </si>
  <si>
    <t>Horst K. Hahn;Bernhard Preim;Dirk Selle;Heinz-Otto Peitgen</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</si>
  <si>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</si>
  <si>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MeVis-Center for Med. Diagnostic Syst., Bremen, Germany|c|;;;</t>
  </si>
  <si>
    <t>Roberts, D.A.</t>
  </si>
  <si>
    <t>Roberts, J.C.</t>
  </si>
  <si>
    <t>G.M. Nielson;Il.-H. Jung;J. Sung</t>
  </si>
  <si>
    <t>vessel visualization, medical visualization, computer-assisted surgery</t>
  </si>
  <si>
    <t>Roberts, M.</t>
  </si>
  <si>
    <t>Robertson, D.W.</t>
  </si>
  <si>
    <t>Variational classification for visualization of 3D ultrasound data</t>
  </si>
  <si>
    <t>Robertson, E.L.</t>
  </si>
  <si>
    <t>10.1109/VISUAL.2001.964539</t>
  </si>
  <si>
    <t>Robertson, G.</t>
  </si>
  <si>
    <t>http://dx.doi.org/10.1109/VISUAL.2001.964539</t>
  </si>
  <si>
    <t>Robertson, P.K.</t>
  </si>
  <si>
    <t>Robinson, A.</t>
  </si>
  <si>
    <t>Robinson, M.</t>
  </si>
  <si>
    <t>Rocca-Serra, P.</t>
  </si>
  <si>
    <t>Rocchini, C.</t>
  </si>
  <si>
    <t>Rockwood, A.</t>
  </si>
  <si>
    <t>Rodden, K.</t>
  </si>
  <si>
    <t>Rodgers, J.</t>
  </si>
  <si>
    <t>Rodrian, H.</t>
  </si>
  <si>
    <t>Roeber, N.</t>
  </si>
  <si>
    <t>Roerdink, J.B.T.</t>
  </si>
  <si>
    <t>Rogers, D.H.</t>
  </si>
  <si>
    <t>Rogowitz, B.</t>
  </si>
  <si>
    <t>Rogowtiz, B.</t>
  </si>
  <si>
    <t>Rohlf, F.J.</t>
  </si>
  <si>
    <t>Rohlig, M.</t>
  </si>
  <si>
    <t>Rohling, R.</t>
  </si>
  <si>
    <t>Rohrdantz, C.</t>
  </si>
  <si>
    <t>Rohrer, R.M.</t>
  </si>
  <si>
    <t>Roman, A.</t>
  </si>
  <si>
    <t>Roman, P.</t>
  </si>
  <si>
    <t>Romero, M.</t>
  </si>
  <si>
    <t>Romosan, A.</t>
  </si>
  <si>
    <t>Rona, P.</t>
  </si>
  <si>
    <t>Ronen, I.</t>
  </si>
  <si>
    <t>Rong Xu</t>
  </si>
  <si>
    <t>Ronghua Liang</t>
  </si>
  <si>
    <t>Rongjian Lan</t>
  </si>
  <si>
    <t>Raanan Fattal;Dani Lischinski</t>
  </si>
  <si>
    <t>Rooney, C.</t>
  </si>
  <si>
    <t>Sch. of Comput. Sci. &amp; Eng., Jerusalem, Israel|c|;</t>
  </si>
  <si>
    <t>Ropinski, T.</t>
  </si>
  <si>
    <t>10.1109/VISUAL.1993.398877;10.1109/VISUAL.1997.663875</t>
  </si>
  <si>
    <t>3D ultrasound, classification, isosurface extraction, opacity function, splatting, the variational principle, volume rendering</t>
  </si>
  <si>
    <t>Rosano, C.</t>
  </si>
  <si>
    <t>Rosario, G.E.</t>
  </si>
  <si>
    <t>Rose, D.</t>
  </si>
  <si>
    <t>Nonlinear virtual colon unfolding</t>
  </si>
  <si>
    <t>10.1109/VISUAL.2001.964540</t>
  </si>
  <si>
    <t>Rose, R.</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</si>
  <si>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</si>
  <si>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http://dx.doi.org/10.1109/VISUAL.2001.964540</t>
  </si>
  <si>
    <t>Rose, S.</t>
  </si>
  <si>
    <t>Shiaofen Fang;T. Biddlecome;M. Tuceryan</t>
  </si>
  <si>
    <t>Roseman, D.</t>
  </si>
  <si>
    <t>Dept. of Comput. &amp; Inf. Sci., Indiana Univ., Indianapolis, IN, USA</t>
  </si>
  <si>
    <t>Rosen, P.</t>
  </si>
  <si>
    <t>Rosenberg, A.</t>
  </si>
  <si>
    <t>Rosenberg, R.</t>
  </si>
  <si>
    <t>Rosenblum, L.</t>
  </si>
  <si>
    <t>Rosenblum, M.</t>
  </si>
  <si>
    <t>Rosenburg, B.</t>
  </si>
  <si>
    <t>Rosenthal, P.</t>
  </si>
  <si>
    <t>Roskin, K.M.</t>
  </si>
  <si>
    <t>Roskosch, P.</t>
  </si>
  <si>
    <t>Ross, G.</t>
  </si>
  <si>
    <t>Ross, M.</t>
  </si>
  <si>
    <t>Rossignac, J.</t>
  </si>
  <si>
    <t>Rossiter, D.</t>
  </si>
  <si>
    <t>Rossl, C.</t>
  </si>
  <si>
    <t>Rosswog, S.</t>
  </si>
  <si>
    <t>Roth, G.</t>
  </si>
  <si>
    <t>Roth, J.</t>
  </si>
  <si>
    <t>Roth, M.</t>
  </si>
  <si>
    <t>Roth, R.E.</t>
  </si>
  <si>
    <t>Roth, S.F.</t>
  </si>
  <si>
    <t>Roth, T.</t>
  </si>
  <si>
    <t>Rothenberger, S.D.</t>
  </si>
  <si>
    <t>Rothman, P.</t>
  </si>
  <si>
    <t>Rottger, S.</t>
  </si>
  <si>
    <t>Anna Vilanova;Rainer Wegenkittl;Andreas K̦nig 0002;M. Eduard Gr̦ller</t>
  </si>
  <si>
    <t>Inst. of Comput. Graphics &amp; Algorithms, Vienna Univ. of Technol., Austria|c|;;;</t>
  </si>
  <si>
    <t>Roux, C.</t>
  </si>
  <si>
    <t>10.1109/INFVIS.1997.636786;10.1109/VISUAL.1999.809914</t>
  </si>
  <si>
    <t>Volume Rendering, Virtual Endoscopy</t>
  </si>
  <si>
    <t>Rover, D.T.</t>
  </si>
  <si>
    <t>Rowlan, J.S.</t>
  </si>
  <si>
    <t>PingTV: A Case Study in Visual Network Monitoring</t>
  </si>
  <si>
    <t>10.1109/VISUAL.2001.964541</t>
  </si>
  <si>
    <t>Rowland, B.</t>
  </si>
  <si>
    <t>Roxborough, T.</t>
  </si>
  <si>
    <t>http://doi.ieeecomputersociety.org/10.1109/VISUAL.2001.964541</t>
  </si>
  <si>
    <t>Roy, D.</t>
  </si>
  <si>
    <t>Royappa, A.</t>
  </si>
  <si>
    <t>Royle, D.</t>
  </si>
  <si>
    <t>Rubio-Sanchez, M.</t>
  </si>
  <si>
    <t>Ruble, S.</t>
  </si>
  <si>
    <t>Ruby, M.</t>
  </si>
  <si>
    <t>Ruchikachorn, P.</t>
  </si>
  <si>
    <t>Ruddle, R.A.</t>
  </si>
  <si>
    <t>Ruder, H.</t>
  </si>
  <si>
    <t>Rudolph, S.</t>
  </si>
  <si>
    <t>Rueter, H.</t>
  </si>
  <si>
    <t>Ruetten, M.</t>
  </si>
  <si>
    <t>Rufiange, S.</t>
  </si>
  <si>
    <t>Ruh, W.</t>
  </si>
  <si>
    <t>Ruhle, R.</t>
  </si>
  <si>
    <t>Rui Li</t>
  </si>
  <si>
    <t>Rui Shi</t>
  </si>
  <si>
    <t>Ruigang Yang</t>
  </si>
  <si>
    <t>Ruisz, J.</t>
  </si>
  <si>
    <t>Ruiz, C.</t>
  </si>
  <si>
    <t>Ruiz, C.E.</t>
  </si>
  <si>
    <t>Ruiz, M.</t>
  </si>
  <si>
    <t>Rumpf, M.</t>
  </si>
  <si>
    <t>Runciman, C.</t>
  </si>
  <si>
    <t>Rundell, B.</t>
  </si>
  <si>
    <t>Rundensteiner, E.A.</t>
  </si>
  <si>
    <t>Runge, K.J.</t>
  </si>
  <si>
    <t>Rungta, A.</t>
  </si>
  <si>
    <t>Ruppert, T.</t>
  </si>
  <si>
    <t>Rushall, D.A.</t>
  </si>
  <si>
    <t>Rushmeier, H.</t>
  </si>
  <si>
    <t>Russ, C.</t>
  </si>
  <si>
    <t>Russell, D.</t>
  </si>
  <si>
    <t>Russell, R.</t>
  </si>
  <si>
    <t>Russell, R.D.</t>
  </si>
  <si>
    <t>Russo dos Santos, C.</t>
  </si>
  <si>
    <t>Rutten, M.</t>
  </si>
  <si>
    <t>Ryan, R.</t>
  </si>
  <si>
    <t>Rybicki, F.</t>
  </si>
  <si>
    <t>Rydell, T.</t>
  </si>
  <si>
    <t>Saad, A.</t>
  </si>
  <si>
    <t>Sabol, V.</t>
  </si>
  <si>
    <t>Sacha, D.</t>
  </si>
  <si>
    <t>Sacks, E.</t>
  </si>
  <si>
    <t>Sadana, R.</t>
  </si>
  <si>
    <t>Sadarjoen, I.A.</t>
  </si>
  <si>
    <t>Sadiq, A.</t>
  </si>
  <si>
    <t>Sadlo, F.</t>
  </si>
  <si>
    <t>Sadowsky, O.</t>
  </si>
  <si>
    <t>Sadransky, B.</t>
  </si>
  <si>
    <t>Saeki, O.</t>
  </si>
  <si>
    <t>Sagar, M.</t>
  </si>
  <si>
    <t>Sahasrabudhe, N.</t>
  </si>
  <si>
    <t>Sahlemariam Haile, Y.</t>
  </si>
  <si>
    <t>Sahner, J.</t>
  </si>
  <si>
    <t>Saini, V.</t>
  </si>
  <si>
    <t>Sainitzer, R.</t>
  </si>
  <si>
    <t>Saito, H.</t>
  </si>
  <si>
    <t>Saito, T.</t>
  </si>
  <si>
    <t>Sajadi, B.</t>
  </si>
  <si>
    <t>Sakas, G.</t>
  </si>
  <si>
    <t>Saket, B.</t>
  </si>
  <si>
    <t>Sakhaee, E.</t>
  </si>
  <si>
    <t>Sakurai, D.</t>
  </si>
  <si>
    <t>Salama, C.R.</t>
  </si>
  <si>
    <t>Salem, J.B.</t>
  </si>
  <si>
    <t>Sallaberry, A.</t>
  </si>
  <si>
    <t>Salomon, B.</t>
  </si>
  <si>
    <t>Samavati, F.</t>
  </si>
  <si>
    <t>Sambasivan, R.R.</t>
  </si>
  <si>
    <t>Samtaney, R.</t>
  </si>
  <si>
    <t>Samuels, L.</t>
  </si>
  <si>
    <t>Samuels, L.R.</t>
  </si>
  <si>
    <t>Sanchez, A.</t>
  </si>
  <si>
    <t>Sandberg, W.</t>
  </si>
  <si>
    <t>Sanderson, A.</t>
  </si>
  <si>
    <t>Sandim, D.J.</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</si>
  <si>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</si>
  <si>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Sandner, D.</t>
  </si>
  <si>
    <t>Sandstrom, T.</t>
  </si>
  <si>
    <t>Indiana Univ., Bloomington, IN, USA</t>
  </si>
  <si>
    <t>Sang-Cheol Seok</t>
  </si>
  <si>
    <t>Sang-joon Lee</t>
  </si>
  <si>
    <t>Sanghun Park</t>
  </si>
  <si>
    <t>SanJuan, E.</t>
  </si>
  <si>
    <t>Sankar, R.</t>
  </si>
  <si>
    <t>Sanner, M.</t>
  </si>
  <si>
    <t>Sansone, S.-A.</t>
  </si>
  <si>
    <t>Santek, D.</t>
  </si>
  <si>
    <t>Santilli, K.</t>
  </si>
  <si>
    <t>Santos, E.</t>
  </si>
  <si>
    <t>Santucci, G.</t>
  </si>
  <si>
    <t>Sanyal, J.</t>
  </si>
  <si>
    <t>Saraiya, P.</t>
  </si>
  <si>
    <t>Sarkar, A.</t>
  </si>
  <si>
    <t>Saroul, L.</t>
  </si>
  <si>
    <t>Sarvghad, A.</t>
  </si>
  <si>
    <t>Sato, H.</t>
  </si>
  <si>
    <t>Sato, M.</t>
  </si>
  <si>
    <t>Satoh, S.</t>
  </si>
  <si>
    <t>Satterthwaite, M.</t>
  </si>
  <si>
    <t>Satyanarayan, A.</t>
  </si>
  <si>
    <t>Sauber, N.</t>
  </si>
  <si>
    <t>Sauda, E.</t>
  </si>
  <si>
    <t>Sauer, F.</t>
  </si>
  <si>
    <t>Sauka, F.</t>
  </si>
  <si>
    <t>Saunders, P.C.</t>
  </si>
  <si>
    <t>Saurabh Tendulkar</t>
  </si>
  <si>
    <t>Savelyev, A.</t>
  </si>
  <si>
    <t>Savikhin, A.</t>
  </si>
  <si>
    <t>Sbert, M.</t>
  </si>
  <si>
    <t>Scales, B.</t>
  </si>
  <si>
    <t>Scannell, C.</t>
  </si>
  <si>
    <t>Scarlatos, L.</t>
  </si>
  <si>
    <t>Scateni, R.</t>
  </si>
  <si>
    <t>Schafers, M.</t>
  </si>
  <si>
    <t>Schafhitzel, T.</t>
  </si>
  <si>
    <t>Schaller, N.C.</t>
  </si>
  <si>
    <t>Schar, S.</t>
  </si>
  <si>
    <t>Scheepens, R.</t>
  </si>
  <si>
    <t>Scheible, C.</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</si>
  <si>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</si>
  <si>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Scheidegger, C.E.</t>
  </si>
  <si>
    <t>Christoph Lürig;Thomas Ertl</t>
  </si>
  <si>
    <t>Scheinost, D.</t>
  </si>
  <si>
    <t>C. Lurig;T. Ertl</t>
  </si>
  <si>
    <t>Scheler, I.</t>
  </si>
  <si>
    <t>Schendel, S.</t>
  </si>
  <si>
    <t>Schernthaner, R.</t>
  </si>
  <si>
    <t>Scheuermann, G.</t>
  </si>
  <si>
    <t>Schiemann, T.</t>
  </si>
  <si>
    <t>Schikore, D.R.</t>
  </si>
  <si>
    <t>Schindler, B.</t>
  </si>
  <si>
    <t>Schissel, D.</t>
  </si>
  <si>
    <t>Schkolne, S.</t>
  </si>
  <si>
    <t>Schlachter, M.</t>
  </si>
  <si>
    <t>Schlegel, P.</t>
  </si>
  <si>
    <t>Schlegel, S.</t>
  </si>
  <si>
    <t>Schlemmer, M.</t>
  </si>
  <si>
    <t>Schloss, K.B.</t>
  </si>
  <si>
    <t>Schlosser, G.</t>
  </si>
  <si>
    <t>Schmalstieg, D.</t>
  </si>
  <si>
    <t>Schmeisser, A.</t>
  </si>
  <si>
    <t>Schmidt-Ehrenberg, J.</t>
  </si>
  <si>
    <t>Schmidt, H.</t>
  </si>
  <si>
    <t>Schmidt, J.</t>
  </si>
  <si>
    <t>Schmies, M.</t>
  </si>
  <si>
    <t>Schnabel, R.</t>
  </si>
  <si>
    <t>Schneider, D.</t>
  </si>
  <si>
    <t>Schneider, J.</t>
  </si>
  <si>
    <t>Schneidewind, J.</t>
  </si>
  <si>
    <t>Schnell, S.</t>
  </si>
  <si>
    <t>Scholtz, J.</t>
  </si>
  <si>
    <t>Schott, M.</t>
  </si>
  <si>
    <t>SchrÃ¶der, P.</t>
  </si>
  <si>
    <t>Schramm, F.</t>
  </si>
  <si>
    <t>Schreck, T.</t>
  </si>
  <si>
    <t>Schreiber, F.</t>
  </si>
  <si>
    <t>Schreiber, T.</t>
  </si>
  <si>
    <t>Schreiner, J.</t>
  </si>
  <si>
    <t>Schreyer, L.-A.</t>
  </si>
  <si>
    <t>Schroder, P.</t>
  </si>
  <si>
    <t>Schroder, S.</t>
  </si>
  <si>
    <t>Schroedel, W. J.</t>
  </si>
  <si>
    <t>Schroeder, D.</t>
  </si>
  <si>
    <t>Schroeder, W.J.</t>
  </si>
  <si>
    <t>Schroh, D.</t>
  </si>
  <si>
    <t>Schubert, R.</t>
  </si>
  <si>
    <t>Schubert, W.</t>
  </si>
  <si>
    <t>Schuberth, E.</t>
  </si>
  <si>
    <t>Schuchardt, L.</t>
  </si>
  <si>
    <t>Schulman, R.</t>
  </si>
  <si>
    <t>Schulte zu Berge, C.</t>
  </si>
  <si>
    <t>Schulte, S.</t>
  </si>
  <si>
    <t>Schultz, T.</t>
  </si>
  <si>
    <t>Schulz, A.</t>
  </si>
  <si>
    <t>Schulz, H.</t>
  </si>
  <si>
    <t>Schulz, M.</t>
  </si>
  <si>
    <t>Schulze, J.P.</t>
  </si>
  <si>
    <t>Schulze, M.</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</si>
  <si>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</si>
  <si>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Schulze, R.P.</t>
  </si>
  <si>
    <t>Schumann, C.</t>
  </si>
  <si>
    <t>Schumann, H.</t>
  </si>
  <si>
    <t>Schunck, N.</t>
  </si>
  <si>
    <t>Schunke, A.C.</t>
  </si>
  <si>
    <t>Schur, A.</t>
  </si>
  <si>
    <t>Schussman, G.</t>
  </si>
  <si>
    <t>D. Cline;P.K. Egbert</t>
  </si>
  <si>
    <t>Schutz, L.</t>
  </si>
  <si>
    <t>Dept. of Comput. Sci., Brigham Young Univ., Provo, UT, USA</t>
  </si>
  <si>
    <t>Schwabish, J.A.</t>
  </si>
  <si>
    <t>Schwalm, C.R.</t>
  </si>
  <si>
    <t>Schwan, K.</t>
  </si>
  <si>
    <t>Schwartz, C.</t>
  </si>
  <si>
    <t>Schwarz, N.</t>
  </si>
  <si>
    <t>Schwärzler, M.</t>
  </si>
  <si>
    <t>Schwegler, J.</t>
  </si>
  <si>
    <t>Schweitzer, M.A.</t>
  </si>
  <si>
    <t>Schwendiman, L.</t>
  </si>
  <si>
    <t>Scoggins, R.</t>
  </si>
  <si>
    <t>Scollan, D.F.</t>
  </si>
  <si>
    <t>Scopigno, R.</t>
  </si>
  <si>
    <t>Scott, J.</t>
  </si>
  <si>
    <t>Seales, W.B.</t>
  </si>
  <si>
    <t>Sean, J.</t>
  </si>
  <si>
    <t>Searsmith, D.</t>
  </si>
  <si>
    <t>Searsmith, K.</t>
  </si>
  <si>
    <t>Sedlmair, M.</t>
  </si>
  <si>
    <t>See-Kiong Ng</t>
  </si>
  <si>
    <t>Segel, E.</t>
  </si>
  <si>
    <t>Seidel, H.-P.</t>
  </si>
  <si>
    <t>Seidenberg, L.R.</t>
  </si>
  <si>
    <t>Seidl, T.</t>
  </si>
  <si>
    <t>Seiffert, F.</t>
  </si>
  <si>
    <t>Seiler, L.</t>
  </si>
  <si>
    <t>Seipel, S.</t>
  </si>
  <si>
    <t>Selassie, D.</t>
  </si>
  <si>
    <t>Selker, T.</t>
  </si>
  <si>
    <t>Selle, D.</t>
  </si>
  <si>
    <t>Sellien, S.</t>
  </si>
  <si>
    <t>Seltzer, M.</t>
  </si>
  <si>
    <t>Seltzer, N.</t>
  </si>
  <si>
    <t>Semwal, S.K.</t>
  </si>
  <si>
    <t>Sen Xu</t>
  </si>
  <si>
    <t>Sen, P.</t>
  </si>
  <si>
    <t>Senaratne, H.</t>
  </si>
  <si>
    <t>Senay, H.</t>
  </si>
  <si>
    <t>Seneker, D.</t>
  </si>
  <si>
    <t>Senft, S.L.</t>
  </si>
  <si>
    <t>Senn, J.A.</t>
  </si>
  <si>
    <t>Senseman, D.M.</t>
  </si>
  <si>
    <t>Seo, H.</t>
  </si>
  <si>
    <t>Seok-Hee Hong</t>
  </si>
  <si>
    <t>Seon Joo Kim</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</si>
  <si>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4/spl times/4) masks. The other two algorithms can be used for the creation of larger masks (e.g. 32/spl times/32). For each of these algorithms, results are presented and discussed.</t>
  </si>
  <si>
    <t>Sering, L.</t>
  </si>
  <si>
    <t>Serlie, I.W.O.</t>
  </si>
  <si>
    <t>J.D. Mulder;F.C.A. Groen;J.J. van Wijk</t>
  </si>
  <si>
    <t>Sessanna, D.</t>
  </si>
  <si>
    <t>Sethian, J.A.</t>
  </si>
  <si>
    <t>Setlur, V.</t>
  </si>
  <si>
    <t>Seung Hyun Kim</t>
  </si>
  <si>
    <t>Seungwon Yang</t>
  </si>
  <si>
    <t>Seungyong Lee</t>
  </si>
  <si>
    <t>Seungyoon Lee</t>
  </si>
  <si>
    <t>Sevenich, B.</t>
  </si>
  <si>
    <t>Severance, K.</t>
  </si>
  <si>
    <t>Shabo, A.</t>
  </si>
  <si>
    <t>Shackelford, W.</t>
  </si>
  <si>
    <t>Shade, J.</t>
  </si>
  <si>
    <t>Shadoan, R.</t>
  </si>
  <si>
    <t>Shafae, M.</t>
  </si>
  <si>
    <t>Shafer, I.</t>
  </si>
  <si>
    <t>Shaffer, C.A.</t>
  </si>
  <si>
    <t>Shaffer, E.</t>
  </si>
  <si>
    <t>Shah, A.</t>
  </si>
  <si>
    <t>Shah, P.</t>
  </si>
  <si>
    <t>Alexander Gubin;William Yurcik;Larry Brumbaugh</t>
  </si>
  <si>
    <t>Shahamat, L.</t>
  </si>
  <si>
    <t>network visualization, active network measurement, real-time television monitoring system</t>
  </si>
  <si>
    <t>Shahidi, R.</t>
  </si>
  <si>
    <t>Shahroudi, K. E.</t>
  </si>
  <si>
    <t>Case study: medical Web service for the automatic 3D documentation for neuroradiological diagnosis</t>
  </si>
  <si>
    <t>10.1109/VISUAL.2001.964542</t>
  </si>
  <si>
    <t>Shalf, J.</t>
  </si>
  <si>
    <t>Shamir, A.</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</si>
  <si>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</si>
  <si>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Shamma, D.A.</t>
  </si>
  <si>
    <t>http://dx.doi.org/10.1109/VISUAL.2001.964542</t>
  </si>
  <si>
    <t>Shang-Tse Chen</t>
  </si>
  <si>
    <t>Shankar Krishnan</t>
  </si>
  <si>
    <t>W. de Leeuw;R. van Liere</t>
  </si>
  <si>
    <t>Shao-Chiung Lu</t>
  </si>
  <si>
    <t>Shaojie Zhuo</t>
  </si>
  <si>
    <t>Shapiro, D.</t>
  </si>
  <si>
    <t>Sharalieva, L.</t>
  </si>
  <si>
    <t>Sharara, H.</t>
  </si>
  <si>
    <t>Shareef, N.</t>
  </si>
  <si>
    <t>Shareel, N.</t>
  </si>
  <si>
    <t>Sharko, J.</t>
  </si>
  <si>
    <t>Sharma, R.</t>
  </si>
  <si>
    <t>Sharmin, M.</t>
  </si>
  <si>
    <t>Sharp, C.</t>
  </si>
  <si>
    <t>Shaun Moon</t>
  </si>
  <si>
    <t>Shaverdian, A.A.</t>
  </si>
  <si>
    <t>Shaw, C.</t>
  </si>
  <si>
    <t>Shead, T.</t>
  </si>
  <si>
    <t>Shearer, J.</t>
  </si>
  <si>
    <t>Shedd, B.</t>
  </si>
  <si>
    <t>Sheehan, R.E.</t>
  </si>
  <si>
    <t>Sheffer, A.</t>
  </si>
  <si>
    <t>Sheffield, D.</t>
  </si>
  <si>
    <t>Shekhar, R.</t>
  </si>
  <si>
    <t>Sheleheda, D.</t>
  </si>
  <si>
    <t>Shen, Q.</t>
  </si>
  <si>
    <t>Sheng-Chuan Wang</t>
  </si>
  <si>
    <t>Shengdong Zhao</t>
  </si>
  <si>
    <t>Shenghui Cheng</t>
  </si>
  <si>
    <t>Shepherd, J.</t>
  </si>
  <si>
    <t>Shepley, M.</t>
  </si>
  <si>
    <t>Sherbondy, A.</t>
  </si>
  <si>
    <t>Shi, L.</t>
  </si>
  <si>
    <t>Shi, Q.</t>
  </si>
  <si>
    <t>Shi, X.</t>
  </si>
  <si>
    <t>Shi, Z.</t>
  </si>
  <si>
    <t>Shiaofen Fang</t>
  </si>
  <si>
    <t>Shih, A.M.</t>
  </si>
  <si>
    <t>Sabine Iserhardt-Bauer;Peter Hastreiter;Thomas Ertl;K. Eberhardt;Bernd Tomandl</t>
  </si>
  <si>
    <t>Shimada, K.</t>
  </si>
  <si>
    <t>Shimei Pan</t>
  </si>
  <si>
    <t>Shimizu, C.</t>
  </si>
  <si>
    <t>Medical visualization, segmentation, automatic web service, video generation</t>
  </si>
  <si>
    <t>Shing-Tung Yau</t>
  </si>
  <si>
    <t>Shiozawa, H.</t>
  </si>
  <si>
    <t>Ship, H.J.</t>
  </si>
  <si>
    <t>Case study: visual debugging of cluster hardware</t>
  </si>
  <si>
    <t>10.1109/VISUAL.2001.964543</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</si>
  <si>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C/sup 1/ continuous normal. We demonstrate the new method for painting volume data and for mapping cavities on volume data.</t>
  </si>
  <si>
    <t>Shirah, G.W.</t>
  </si>
  <si>
    <t>Yair Kurzion;Torsten Möller;Roni Yagel</t>
  </si>
  <si>
    <t>http://dx.doi.org/10.1109/VISUAL.2001.964543</t>
  </si>
  <si>
    <t>Y. Kurzion;T. Moller;R. Yagel</t>
  </si>
  <si>
    <t>Shiri, S.M.</t>
  </si>
  <si>
    <t>Shirley, P.</t>
  </si>
  <si>
    <t>Shixia Liu</t>
  </si>
  <si>
    <t>Shneerson, M.</t>
  </si>
  <si>
    <t>Shneiderman, B.</t>
  </si>
  <si>
    <t>Shoop, E.</t>
  </si>
  <si>
    <t>Shrikhande, K.</t>
  </si>
  <si>
    <t>Shrinivasan, Y.B.</t>
  </si>
  <si>
    <t>Shrout, J.</t>
  </si>
  <si>
    <t>Shuh-Yuan Liou</t>
  </si>
  <si>
    <t>Shusen Liu</t>
  </si>
  <si>
    <t>Shyh-Kuang Ueng</t>
  </si>
  <si>
    <t>Si Li</t>
  </si>
  <si>
    <t>Siahbani, M.</t>
  </si>
  <si>
    <t>Sibert, J.L.</t>
  </si>
  <si>
    <t>Sibley, P.G.</t>
  </si>
  <si>
    <t>Sicat, R.</t>
  </si>
  <si>
    <t>Sick, M.</t>
  </si>
  <si>
    <t>Sicre, R.</t>
  </si>
  <si>
    <t>Siddavanahalli, V.</t>
  </si>
  <si>
    <t>Sifer, M.</t>
  </si>
  <si>
    <t>Sigeti, D.E.</t>
  </si>
  <si>
    <t>Sigfridsson, A.</t>
  </si>
  <si>
    <t>Sigg, C.</t>
  </si>
  <si>
    <t>Sikansi, F.</t>
  </si>
  <si>
    <t>Sikorski, K.</t>
  </si>
  <si>
    <t>Sikun Li</t>
  </si>
  <si>
    <t>Siliang Tang</t>
  </si>
  <si>
    <t>Silva, C.T.</t>
  </si>
  <si>
    <t>Silvello, G.</t>
  </si>
  <si>
    <t>Patricia Crossno;Rena A. Haynes</t>
  </si>
  <si>
    <t>Silver, D.</t>
  </si>
  <si>
    <t>Sandia Nat. Labs., Albuquerque, NM, USA|c|;</t>
  </si>
  <si>
    <t>Simard, P.</t>
  </si>
  <si>
    <t>Simeone, A.L.</t>
  </si>
  <si>
    <t>visual debugging, hardware modeling, design analysis, performance optimization</t>
  </si>
  <si>
    <t>Siming Chen</t>
  </si>
  <si>
    <t>Simmer, C.</t>
  </si>
  <si>
    <t>Case study on real-time visualization of virtual Tubingen on commodity PC hardware</t>
  </si>
  <si>
    <t>Simon, E.</t>
  </si>
  <si>
    <t>10.1109/VISUAL.2001.964544</t>
  </si>
  <si>
    <t>Simon, J.</t>
  </si>
  <si>
    <t>Simonetto, P.</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</si>
  <si>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</si>
  <si>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Simpson, T.</t>
  </si>
  <si>
    <t>http://dx.doi.org/10.1109/VISUAL.2001.964544</t>
  </si>
  <si>
    <t>Sinclair, D.</t>
  </si>
  <si>
    <t>A.J. Hanson</t>
  </si>
  <si>
    <t>Singer, B.A.</t>
  </si>
  <si>
    <t>Singh, L.</t>
  </si>
  <si>
    <t>Singh, S.</t>
  </si>
  <si>
    <t>Singhal, K.</t>
  </si>
  <si>
    <t>Singhal, M.</t>
  </si>
  <si>
    <t>Sinha, P.</t>
  </si>
  <si>
    <t>Sinusas, A.J.</t>
  </si>
  <si>
    <t>Sipeki, L.</t>
  </si>
  <si>
    <t>Sips, M.</t>
  </si>
  <si>
    <t>Six, J.M.</t>
  </si>
  <si>
    <t>Sixiao Yang</t>
  </si>
  <si>
    <t>Siyuan Liu</t>
  </si>
  <si>
    <t>Skalej, M.</t>
  </si>
  <si>
    <t>Skaley, D.</t>
  </si>
  <si>
    <t>Skanberg, R.</t>
  </si>
  <si>
    <t>Skau, D.</t>
  </si>
  <si>
    <t>Skiena, S.</t>
  </si>
  <si>
    <t>Skog, T.</t>
  </si>
  <si>
    <t>Skupin, A.</t>
  </si>
  <si>
    <t>Slack, J.</t>
  </si>
  <si>
    <t>Slavin, S.</t>
  </si>
  <si>
    <t>Slavin, V.A.</t>
  </si>
  <si>
    <t>Slingsby, A.</t>
  </si>
  <si>
    <t>Sloan, K.</t>
  </si>
  <si>
    <t>Sloan, P.-P.</t>
  </si>
  <si>
    <t>Sluis, L.V.</t>
  </si>
  <si>
    <t>Small, C.</t>
  </si>
  <si>
    <t>Small, D.</t>
  </si>
  <si>
    <t>Smarr, L.L.</t>
  </si>
  <si>
    <t>Smedstad, O.M.</t>
  </si>
  <si>
    <t>Smelyanskiy, M.</t>
  </si>
  <si>
    <t>Michael Mei��ner;Jasmina Orman;Stephan J. Braun</t>
  </si>
  <si>
    <t>WSI, Tubingen Univ., Germany|c|;;</t>
  </si>
  <si>
    <t>Virtual Environments, Virtual Reality, Spatial Cognition, PC Graphics Cards, Culling, levels-of-detail, Texture Compression</t>
  </si>
  <si>
    <t>An immersive virtual environment for DT-MRI volume visualization applications: a case study</t>
  </si>
  <si>
    <t>10.1109/VISUAL.2001.964545</t>
  </si>
  <si>
    <t>http://dx.doi.org/10.1109/VISUAL.2001.964545</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</si>
  <si>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</si>
  <si>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Smith-Jackson, T.</t>
  </si>
  <si>
    <t>André Guéziec;Gabriel Taubin;Francis Lazarus;William Horn</t>
  </si>
  <si>
    <t>Smith, G.</t>
  </si>
  <si>
    <t>A. Gueziec;G. Taubin;F. Lazarus;W. Horn</t>
  </si>
  <si>
    <t>Smith, K.</t>
  </si>
  <si>
    <t>Smith, M.</t>
  </si>
  <si>
    <t>Smith, P.J.</t>
  </si>
  <si>
    <t>Smith, R.C.</t>
  </si>
  <si>
    <t>Smith, S.</t>
  </si>
  <si>
    <t>Smith, T.</t>
  </si>
  <si>
    <t>Smith, W.</t>
  </si>
  <si>
    <t>Smithmier, L.</t>
  </si>
  <si>
    <t>Smits, B.E.</t>
  </si>
  <si>
    <t>Smuc, M.</t>
  </si>
  <si>
    <t>Snoeyink, J.</t>
  </si>
  <si>
    <t>Sobieczky, F.</t>
  </si>
  <si>
    <t>Sobieczky, H.</t>
  </si>
  <si>
    <t>Sobierajski, L.</t>
  </si>
  <si>
    <t>Socha, J.J.</t>
  </si>
  <si>
    <t>Sokolovsky, N.</t>
  </si>
  <si>
    <t>Solihin, W.</t>
  </si>
  <si>
    <t>Solomon, J.</t>
  </si>
  <si>
    <t>Solomovici, A.</t>
  </si>
  <si>
    <t>Solteszova, V.</t>
  </si>
  <si>
    <t>Sonenberg, E.A.</t>
  </si>
  <si>
    <t>Song Zhang</t>
  </si>
  <si>
    <t>Song, D.</t>
  </si>
  <si>
    <t>Song, Y.</t>
  </si>
  <si>
    <t>Song Zhang 0004;��agatay Demiralp;Daniel F. Keefe;M. DaSilva;David H. Laidlaw;Benjamin D. Greenberg;Peter J. Basser;Carlo Pierpaoli;E. A. Chiocca;Thomas S. Deisboeck</t>
  </si>
  <si>
    <t>Soni, B.</t>
  </si>
  <si>
    <t>;;;;;;;;;</t>
  </si>
  <si>
    <t>Sonntag, M.</t>
  </si>
  <si>
    <t>10.1109/VISUAL.1999.809894;10.1109/VISUAL.2000.885731;10.1109/VISUAL.1998.745336;10.1109/VISUAL.1999.809886</t>
  </si>
  <si>
    <t>Scientific Visualization, DT-MRI, Diffusion, Medical Imaging, Virtual Reality</t>
  </si>
  <si>
    <t>Soo-Yeon Ji</t>
  </si>
  <si>
    <t>Soon Tee Teoh</t>
  </si>
  <si>
    <t>Sopan, A.</t>
  </si>
  <si>
    <t>Chromatin decondensation: case study of tracking features in confocal data</t>
  </si>
  <si>
    <t>Sorger, J.</t>
  </si>
  <si>
    <t>10.1109/VISUAL.2001.964546</t>
  </si>
  <si>
    <t>Sorkine-Hornung, O.</t>
  </si>
  <si>
    <t>http://dx.doi.org/10.1109/VISUAL.2001.964546</t>
  </si>
  <si>
    <t>Sorkine, O.</t>
  </si>
  <si>
    <t>Sorokin, A.</t>
  </si>
  <si>
    <t>Sousa, M.C.</t>
  </si>
  <si>
    <t>Souvenir, R.</t>
  </si>
  <si>
    <t>Sowizral, H.A.</t>
  </si>
  <si>
    <t>Soza, G.</t>
  </si>
  <si>
    <t>Sozen, M.</t>
  </si>
  <si>
    <t>Spanos, G.</t>
  </si>
  <si>
    <t>Speckmann, B.</t>
  </si>
  <si>
    <t>Spector, I.</t>
  </si>
  <si>
    <t>Spelce, T.</t>
  </si>
  <si>
    <t>Spell, R.</t>
  </si>
  <si>
    <t>Spence, B.</t>
  </si>
  <si>
    <t>Spencer, D.D.</t>
  </si>
  <si>
    <t>Spindler, W.</t>
  </si>
  <si>
    <t>Splechtna, R.</t>
  </si>
  <si>
    <t>Spoelder, H.J.W.</t>
  </si>
  <si>
    <t>Spoerhase, J.</t>
  </si>
  <si>
    <t>Spoerri, A.</t>
  </si>
  <si>
    <t>Sprague, D.W.</t>
  </si>
  <si>
    <t>Sprenger, T.C.</t>
  </si>
  <si>
    <t>Spretke, D.</t>
  </si>
  <si>
    <t>Spring, N.</t>
  </si>
  <si>
    <t>Springmeyer, R.R.</t>
  </si>
  <si>
    <t>Sramek, M.</t>
  </si>
  <si>
    <t>Sravanthi, K.</t>
  </si>
  <si>
    <t>Sreng, J.</t>
  </si>
  <si>
    <t>Srinivasan, M.</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</si>
  <si>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</si>
  <si>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Srinivasan, R.</t>
  </si>
  <si>
    <t>St John, K.</t>
  </si>
  <si>
    <t>A. Friedrich;K. Polthier;M. Schmies</t>
  </si>
  <si>
    <t>Staadt, O.</t>
  </si>
  <si>
    <t>Tech. Univ. Berlin, Germany</t>
  </si>
  <si>
    <t>Stadler, P.F.</t>
  </si>
  <si>
    <t>Stahnke, J.</t>
  </si>
  <si>
    <t>Staib, L.H.</t>
  </si>
  <si>
    <t>Stalling, D.</t>
  </si>
  <si>
    <t>Stamminger, M.</t>
  </si>
  <si>
    <t>Stamper, K.</t>
  </si>
  <si>
    <t>Stancampiano, B.</t>
  </si>
  <si>
    <t>Stange, J.-E.</t>
  </si>
  <si>
    <t>Stanley, E.</t>
  </si>
  <si>
    <t>Stanton, E.</t>
  </si>
  <si>
    <t>Starner, T.</t>
  </si>
  <si>
    <t>Starr, C.</t>
  </si>
  <si>
    <t>Stasko, J.</t>
  </si>
  <si>
    <t>Staszczak, A.</t>
  </si>
  <si>
    <t>State, A.</t>
  </si>
  <si>
    <t>Staubli, O.</t>
  </si>
  <si>
    <t>Staudhammer, J.</t>
  </si>
  <si>
    <t>Stavropoulos, H.</t>
  </si>
  <si>
    <t>Steckman, M.</t>
  </si>
  <si>
    <t>Steed, C.A.</t>
  </si>
  <si>
    <t>Steel, D.J.</t>
  </si>
  <si>
    <t>Steele, R.M.</t>
  </si>
  <si>
    <t>Steffen, J.L.</t>
  </si>
  <si>
    <t>Stegger, L.</t>
  </si>
  <si>
    <t>feature tracking, multidimensional visualization, biomedical imaging</t>
  </si>
  <si>
    <t>Stegmaier, S.</t>
  </si>
  <si>
    <t>Stehno, B.</t>
  </si>
  <si>
    <t>Stein, A.</t>
  </si>
  <si>
    <t>Case study: an environment for understanding protein simulations using game graphics</t>
  </si>
  <si>
    <t>10.1109/VISUAL.2001.964547</t>
  </si>
  <si>
    <t>Stein, C.</t>
  </si>
  <si>
    <t>Stein, M.</t>
  </si>
  <si>
    <t>http://dx.doi.org/10.1109/VISUAL.2001.964547</t>
  </si>
  <si>
    <t>Steinberger, M.</t>
  </si>
  <si>
    <t>Steinebach, G.</t>
  </si>
  <si>
    <t>Steiner, A.</t>
  </si>
  <si>
    <t>Steinitz, A.</t>
  </si>
  <si>
    <t>Steinmetz, H.</t>
  </si>
  <si>
    <t>Steneteg, P.</t>
  </si>
  <si>
    <t>Stephanides, M.</t>
  </si>
  <si>
    <t>Stephens, A.</t>
  </si>
  <si>
    <t>Stephens, D.</t>
  </si>
  <si>
    <t>Stephenson, M.B.</t>
  </si>
  <si>
    <t>Steptoe, M.</t>
  </si>
  <si>
    <t>Stern, E.A.</t>
  </si>
  <si>
    <t>Stevens, A.H.</t>
  </si>
  <si>
    <t>Stevens, J.</t>
  </si>
  <si>
    <t>Stevens, P.</t>
  </si>
  <si>
    <t>Stevenson, D.</t>
  </si>
  <si>
    <t>Stevson, S.</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</si>
  <si>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</si>
  <si>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Stewart, A.J.</t>
  </si>
  <si>
    <t>Stillman, D.</t>
  </si>
  <si>
    <t>O.G. Staadt;M.H. Gross</t>
  </si>
  <si>
    <t>Stockinger, K.</t>
  </si>
  <si>
    <t>Comput. Graphics Res. Group, Fed.. Inst. of Technol., Zurich, Switzerland</t>
  </si>
  <si>
    <t>Stoev, S.L.</t>
  </si>
  <si>
    <t>Stoffel, A.</t>
  </si>
  <si>
    <t>Stoffel, F.</t>
  </si>
  <si>
    <t>Stoffler, D.</t>
  </si>
  <si>
    <t>Stoll, C.</t>
  </si>
  <si>
    <t>Stoll, G.</t>
  </si>
  <si>
    <t>Stolper, C.D.</t>
  </si>
  <si>
    <t>Stolte, C.</t>
  </si>
  <si>
    <t>Donna L. Gresh;Frank Suits;Yuk Yin Sham</t>
  </si>
  <si>
    <t>Stommel, M.</t>
  </si>
  <si>
    <t>Stompel, A.</t>
  </si>
  <si>
    <t>visualization, proteins, computational biology, molecular modeling, molecular dynamics, game graphics, DirectX</t>
  </si>
  <si>
    <t>Stone, L.M.</t>
  </si>
  <si>
    <t>Stone, M.C.</t>
  </si>
  <si>
    <t>Surgical simulator for hysteroscopy: a case study of visualization in surgical training</t>
  </si>
  <si>
    <t>Stone, P.K.</t>
  </si>
  <si>
    <t>10.1109/VISUAL.2001.964548</t>
  </si>
  <si>
    <t>Stonebraker, M.</t>
  </si>
  <si>
    <t>http://dx.doi.org/10.1109/VISUAL.2001.964548</t>
  </si>
  <si>
    <t>Storey, M.</t>
  </si>
  <si>
    <t>StraÃŸer, W.</t>
  </si>
  <si>
    <t>Straka, M.</t>
  </si>
  <si>
    <t>Strasser, T.</t>
  </si>
  <si>
    <t>Strasser, W.</t>
  </si>
  <si>
    <t>Stray, J.</t>
  </si>
  <si>
    <t>Strayer, D.</t>
  </si>
  <si>
    <t>Stredney, D.</t>
  </si>
  <si>
    <t>Streit, M.</t>
  </si>
  <si>
    <t>Strela, V.</t>
  </si>
  <si>
    <t>Strelitz, R.</t>
  </si>
  <si>
    <t>Strengert, M.</t>
  </si>
  <si>
    <t>Striegel, A.</t>
  </si>
  <si>
    <t>Strobelt, H.</t>
  </si>
  <si>
    <t>Stroffolino, P.J.</t>
  </si>
  <si>
    <t>Stryker, M.</t>
  </si>
  <si>
    <t>Strzodka, R.</t>
  </si>
  <si>
    <t>Stuckey, P.</t>
  </si>
  <si>
    <t>Stuetzle, W.</t>
  </si>
  <si>
    <t>Stukes, F.</t>
  </si>
  <si>
    <t>Stuntebeck, E.P.</t>
  </si>
  <si>
    <t>Sturtz, D.</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</si>
  <si>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</si>
  <si>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Stusak, S.</t>
  </si>
  <si>
    <t>Su Huang</t>
  </si>
  <si>
    <t>Su, A.</t>
  </si>
  <si>
    <t>Su, S.L.</t>
  </si>
  <si>
    <t>Kevin Montgomery;Wm. LeRoy Heinrichs;Cynthia Bruyns;Simon Wildermuth;Christopher J. Hasser;Stephanie Ozenne;David Bailey</t>
  </si>
  <si>
    <t>Subodh Kumar</t>
  </si>
  <si>
    <t>Nat. Biocomputation Center, Stanford, CA, USA|c|;;;;;;</t>
  </si>
  <si>
    <t>Subramanian, K.R.</t>
  </si>
  <si>
    <t>surgical simulation, hysteroscopy, haptics</t>
  </si>
  <si>
    <t>Sud, A.</t>
  </si>
  <si>
    <t>Sudjianto, A.</t>
  </si>
  <si>
    <t>Case study: reconstruction, visualization and quantification of neuronal fiber pathways</t>
  </si>
  <si>
    <t>Suehling, M.</t>
  </si>
  <si>
    <t>Suh, B.</t>
  </si>
  <si>
    <t>10.1109/VISUAL.2001.964549</t>
  </si>
  <si>
    <t>Suits, F.</t>
  </si>
  <si>
    <t>Sujin Jang</t>
  </si>
  <si>
    <t>http://dx.doi.org/10.1109/VISUAL.2001.964549</t>
  </si>
  <si>
    <t>Sukthankar, R.</t>
  </si>
  <si>
    <t>Sukwon Lee</t>
  </si>
  <si>
    <t>Sullivan, T.</t>
  </si>
  <si>
    <t>Suma, E.</t>
  </si>
  <si>
    <t>Summa, B.</t>
  </si>
  <si>
    <t>Summers, K.L.</t>
  </si>
  <si>
    <t>Summers, R.M.</t>
  </si>
  <si>
    <t>Summet, J.</t>
  </si>
  <si>
    <t>Sun, L.</t>
  </si>
  <si>
    <t>Sundaresan, N.</t>
  </si>
  <si>
    <t>Sunden, E.</t>
  </si>
  <si>
    <t>Sundermann, S.H.</t>
  </si>
  <si>
    <t>Sung-Eui Yoon</t>
  </si>
  <si>
    <t>Sung-Hee Kim</t>
  </si>
  <si>
    <t>Sung, J.</t>
  </si>
  <si>
    <t>Sungahn Ko</t>
  </si>
  <si>
    <t>Sunghee Kim</t>
  </si>
  <si>
    <t>Sungsoo Ha</t>
  </si>
  <si>
    <t>SungYe Kim</t>
  </si>
  <si>
    <t>Sunkavalli, S.</t>
  </si>
  <si>
    <t>Superfine, R.</t>
  </si>
  <si>
    <t>Surendran, D.</t>
  </si>
  <si>
    <t>Surette, M.G.</t>
  </si>
  <si>
    <t>Suter, M.</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</si>
  <si>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</si>
  <si>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Suter, S.K.</t>
  </si>
  <si>
    <t>L. Keely;S. Uselton</t>
  </si>
  <si>
    <t>Sutliff, J.A.</t>
  </si>
  <si>
    <t>Sutton, P.</t>
  </si>
  <si>
    <t>Suya You</t>
  </si>
  <si>
    <t>Suyog Dutt Jain</t>
  </si>
  <si>
    <t>Suzuki, Y.</t>
  </si>
  <si>
    <t>Svakhine, N.</t>
  </si>
  <si>
    <t>Svetachov, P.</t>
  </si>
  <si>
    <t>Swan, J.E.</t>
  </si>
  <si>
    <t>Zhaohua Ding;John C. Gore;Adam W. Anderson</t>
  </si>
  <si>
    <t>Dept. of Diagnostic Radiol., Yale Univ. Sch. of Med., New Haven, CT, USA|c|;;</t>
  </si>
  <si>
    <t>neuronal fiber pathway, diffusion tensor imaging</t>
  </si>
  <si>
    <t>Visualizing 2D probability distributions from EOS satellite image-derived data sets: a case study</t>
  </si>
  <si>
    <t>Swann, P.G.</t>
  </si>
  <si>
    <t>10.1109/VISUAL.2001.964550</t>
  </si>
  <si>
    <t>Swartz, S.</t>
  </si>
  <si>
    <t>http://dx.doi.org/10.1109/VISUAL.2001.964550</t>
  </si>
  <si>
    <t>Sweet, R.</t>
  </si>
  <si>
    <t>Swindells, C.</t>
  </si>
  <si>
    <t>Swing, E.</t>
  </si>
  <si>
    <t>Swingley, D.</t>
  </si>
  <si>
    <t>Sye-Min Chan</t>
  </si>
  <si>
    <t>Sylvester, S.</t>
  </si>
  <si>
    <t>Syroid, N.</t>
  </si>
  <si>
    <t>Szabo, A.</t>
  </si>
  <si>
    <t>Szabo, Z.</t>
  </si>
  <si>
    <t>Szalay, A.</t>
  </si>
  <si>
    <t>Szekely, P.</t>
  </si>
  <si>
    <t>Szigeti, S.</t>
  </si>
  <si>
    <t>Szirmay-Kalos, L.</t>
  </si>
  <si>
    <t>Szucs, G.</t>
  </si>
  <si>
    <t>Szuszczewicz, E.P.</t>
  </si>
  <si>
    <t>Szymczak, A.</t>
  </si>
  <si>
    <t>Tabard, A.</t>
  </si>
  <si>
    <t>Tabatabai, B.</t>
  </si>
  <si>
    <t>Taddei, P.</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</si>
  <si>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</si>
  <si>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Tai-Quan Peng</t>
  </si>
  <si>
    <t>Taimouri, V.</t>
  </si>
  <si>
    <t>Q. Shen;A. Pang;S. Uselton</t>
  </si>
  <si>
    <t>Takahashi, S.</t>
  </si>
  <si>
    <t>Takatsuka, M.</t>
  </si>
  <si>
    <t>Takeshima, Y.</t>
  </si>
  <si>
    <t>Takle, J.</t>
  </si>
  <si>
    <t>Tal, A.</t>
  </si>
  <si>
    <t>Talbert, M.</t>
  </si>
  <si>
    <t>Talbot, J.</t>
  </si>
  <si>
    <t>David L. Kao;Jennifer L. Dungan;Alex T. Pang</t>
  </si>
  <si>
    <t>NASA Ames Res. Center, Moffett Field, CA, USA|c|;;</t>
  </si>
  <si>
    <t>uncertainty, probability density function, geostatistics, conditional simulation, data assimilation</t>
  </si>
  <si>
    <t>Tam, R.</t>
  </si>
  <si>
    <t>Case study: application of feature tracking to analysis of autoignition simulation data</t>
  </si>
  <si>
    <t>Tan, D.S.</t>
  </si>
  <si>
    <t>10.1109/VISUAL.2001.964551</t>
  </si>
  <si>
    <t>Tan, R.</t>
  </si>
  <si>
    <t>http://dx.doi.org/10.1109/VISUAL.2001.964551</t>
  </si>
  <si>
    <t>Tanahashi, Y.</t>
  </si>
  <si>
    <t>Tanasse, T.</t>
  </si>
  <si>
    <t>Tancau, L.</t>
  </si>
  <si>
    <t>Tandon, S.</t>
  </si>
  <si>
    <t>Tang, D.</t>
  </si>
  <si>
    <t>Tang, Q.</t>
  </si>
  <si>
    <t>Tangzhi Ye</t>
  </si>
  <si>
    <t>Tanin, E.</t>
  </si>
  <si>
    <t>Tanty, K.</t>
  </si>
  <si>
    <t>Tao Ju</t>
  </si>
  <si>
    <t>Taosong He</t>
  </si>
  <si>
    <t>Tarantino, P.</t>
  </si>
  <si>
    <t>Tarini, M.</t>
  </si>
  <si>
    <t>Tarkkanen, S.</t>
  </si>
  <si>
    <t>Tarr, M.</t>
  </si>
  <si>
    <t>Tasdizen, T.</t>
  </si>
  <si>
    <t>Tat, A.</t>
  </si>
  <si>
    <t>Tate, D.F.</t>
  </si>
  <si>
    <t>Tate, K.</t>
  </si>
  <si>
    <t>Tateosian, L.</t>
  </si>
  <si>
    <t>Tatu, A.</t>
  </si>
  <si>
    <t>Taubin, G.</t>
  </si>
  <si>
    <t>Tautzenberger, M.</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</si>
  <si>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</si>
  <si>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Tavanti, M.</t>
  </si>
  <si>
    <t>Taylor, G.</t>
  </si>
  <si>
    <t>I.A. Sadarjoen;F.H. Post;Bing Ma;D.C. Banks;H.-G. Pagendarm</t>
  </si>
  <si>
    <t>Taylor, H.</t>
  </si>
  <si>
    <t>Dept. of Comput. Sci., Delft Univ. of Technol., Netherlands</t>
  </si>
  <si>
    <t>Taylor, H.A.</t>
  </si>
  <si>
    <t>Wendy S. Koegler</t>
  </si>
  <si>
    <t>Taylor, M.</t>
  </si>
  <si>
    <t>Sandia Nat. Labs., Livermore, CA, USA|c|</t>
  </si>
  <si>
    <t>Taylor, R.H.</t>
  </si>
  <si>
    <t>Taylor, R.M.</t>
  </si>
  <si>
    <t>feature detection, feature tracking, combustion, autoignition</t>
  </si>
  <si>
    <t>Teahan, W.</t>
  </si>
  <si>
    <t>Tector, C.</t>
  </si>
  <si>
    <t>Tedjo, I.</t>
  </si>
  <si>
    <t>Case study: visualization of particle track data</t>
  </si>
  <si>
    <t>10.1109/VISUAL.2001.964552</t>
  </si>
  <si>
    <t>Teichmann, M.</t>
  </si>
  <si>
    <t>Teisseire, M.</t>
  </si>
  <si>
    <t>http://dx.doi.org/10.1109/VISUAL.2001.964552</t>
  </si>
  <si>
    <t>Teitzel, C.</t>
  </si>
  <si>
    <t>Tekusova, M.</t>
  </si>
  <si>
    <t>Tekusova, T.</t>
  </si>
  <si>
    <t>Telea, A.</t>
  </si>
  <si>
    <t>Telles, G.P.</t>
  </si>
  <si>
    <t>Temkin, J.</t>
  </si>
  <si>
    <t>Tenev, T.</t>
  </si>
  <si>
    <t>Teng-Yok Lee</t>
  </si>
  <si>
    <t>Tenginakai, S.</t>
  </si>
  <si>
    <t>Tennekes, M.</t>
  </si>
  <si>
    <t>ter Haar Romenij, B.</t>
  </si>
  <si>
    <t>Teraoka, T.</t>
  </si>
  <si>
    <t>Teresniak, S.</t>
  </si>
  <si>
    <t>Termeer, M.</t>
  </si>
  <si>
    <t>Tesone, D.R.</t>
  </si>
  <si>
    <t>Thane, A.</t>
  </si>
  <si>
    <t>Theil, E.H.</t>
  </si>
  <si>
    <t>Theisel, H.</t>
  </si>
  <si>
    <t>Thelen, S.</t>
  </si>
  <si>
    <t>Theron, R.</t>
  </si>
  <si>
    <t>Theussl, T.</t>
  </si>
  <si>
    <t>Thiagarajan, P.R.</t>
  </si>
  <si>
    <t>Thiansathaporn, P.</t>
  </si>
  <si>
    <t>Thibadeau, R.H.</t>
  </si>
  <si>
    <t>Thom, A.</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</si>
  <si>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</si>
  <si>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Thom, D.</t>
  </si>
  <si>
    <t>Thoma, D.</t>
  </si>
  <si>
    <t>J.E. van der Heyden;M.S.T. Carpendale;K. Inkpen;M.S. Atkins</t>
  </si>
  <si>
    <t>Thomas, D.M.</t>
  </si>
  <si>
    <t>Thomas, J.</t>
  </si>
  <si>
    <t>Thomas, R.C.</t>
  </si>
  <si>
    <t>Thompson, D.</t>
  </si>
  <si>
    <t>Xiaoming Wei;Arie E. Kaufman;Timothy J. Hallman</t>
  </si>
  <si>
    <t>Thompson, W.B.</t>
  </si>
  <si>
    <t>Thornborrow, C.</t>
  </si>
  <si>
    <t>10.1109/INFVIS.1997.636786;10.1109/INFVIS.1996.559214;10.1109/VISUAL.1994.346340</t>
  </si>
  <si>
    <t>Thornton, I.M.</t>
  </si>
  <si>
    <t>Thorson, L.</t>
  </si>
  <si>
    <t>Thudt, A.</t>
  </si>
  <si>
    <t>Thune, N.</t>
  </si>
  <si>
    <t>Case study: interacting with cortical flat maps of the human brain</t>
  </si>
  <si>
    <t>Thurmond, J.</t>
  </si>
  <si>
    <t>10.1109/VISUAL.2001.964553</t>
  </si>
  <si>
    <t>Thust, S.</t>
  </si>
  <si>
    <t>http://dx.doi.org/10.1109/VISUAL.2001.964553</t>
  </si>
  <si>
    <t>Tian Zhu</t>
  </si>
  <si>
    <t>Tianyi Zhang</t>
  </si>
  <si>
    <t>Tianyu Gu</t>
  </si>
  <si>
    <t>Tiede, U.</t>
  </si>
  <si>
    <t>Tierney, B.L.</t>
  </si>
  <si>
    <t>Tierny, J.</t>
  </si>
  <si>
    <t>Tietjen, C.</t>
  </si>
  <si>
    <t>Tignor, M.S.</t>
  </si>
  <si>
    <t>Tikhonova, A.</t>
  </si>
  <si>
    <t>Tilley, D.G.</t>
  </si>
  <si>
    <t>Tillmann, A.</t>
  </si>
  <si>
    <t>Timlin, J.</t>
  </si>
  <si>
    <t>Tin Kam Ho</t>
  </si>
  <si>
    <t>Tissoires, B.</t>
  </si>
  <si>
    <t>Tobet, S.A.</t>
  </si>
  <si>
    <t>Tobiasz, M.</t>
  </si>
  <si>
    <t>Tollis, I.G.</t>
  </si>
  <si>
    <t>Tolone, W.</t>
  </si>
  <si>
    <t>Tomandl, B.</t>
  </si>
  <si>
    <t>Tomaszewski, B.</t>
  </si>
  <si>
    <t>Tominski, C.</t>
  </si>
  <si>
    <t>Tomitsch, M.</t>
  </si>
  <si>
    <t>Tong-Yee Lee</t>
  </si>
  <si>
    <t>Torkian, B.</t>
  </si>
  <si>
    <t>Torsney-Weir, T.</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</si>
  <si>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</si>
  <si>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Tory, M.</t>
  </si>
  <si>
    <t>Tost, D.</t>
  </si>
  <si>
    <t>F.M. Vos;H.J.W. Spoelder</t>
  </si>
  <si>
    <t>Delft Univ. of Technol., Netherlands</t>
  </si>
  <si>
    <t>Toussaint, K.C.</t>
  </si>
  <si>
    <t>Monica K. Hurdal;Kevin W. Kurtz;David C. Banks</t>
  </si>
  <si>
    <t>Towers, S.</t>
  </si>
  <si>
    <t>Int. Neuroimaging Consortium, Univ. of Minneapolis, MN, USA|c|;;</t>
  </si>
  <si>
    <t>Towles, H.</t>
  </si>
  <si>
    <t>Conformal, Cortical Features, Human Brain, Flat Map, Interaction, MRI, Neuroscience, Surface</t>
  </si>
  <si>
    <t>Toyoda, M.</t>
  </si>
  <si>
    <t>Trager, S.</t>
  </si>
  <si>
    <t>4D space-time techniques: a medical imaging case study</t>
  </si>
  <si>
    <t>Tran Minh Quan</t>
  </si>
  <si>
    <t>10.1109/VISUAL.2001.964554</t>
  </si>
  <si>
    <t>Tran, D.</t>
  </si>
  <si>
    <t>http://dx.doi.org/10.1109/VISUAL.2001.964554</t>
  </si>
  <si>
    <t>Tran, V.B.</t>
  </si>
  <si>
    <t>Trapp, J.</t>
  </si>
  <si>
    <t>Treavett, S.M.F.</t>
  </si>
  <si>
    <t>Trebin, H.-R.</t>
  </si>
  <si>
    <t>Treib, M.</t>
  </si>
  <si>
    <t>Treinish, L.A.</t>
  </si>
  <si>
    <t>Tremaine, M.</t>
  </si>
  <si>
    <t>Tremblay, S.</t>
  </si>
  <si>
    <t>Trichaud, N.</t>
  </si>
  <si>
    <t>Tricoche, X.</t>
  </si>
  <si>
    <t>Trimm, D.</t>
  </si>
  <si>
    <t>Troje, N.</t>
  </si>
  <si>
    <t>Trott, A.</t>
  </si>
  <si>
    <t>Trotts, I.J.</t>
  </si>
  <si>
    <t>Troutner, J.</t>
  </si>
  <si>
    <t>True, T.J.</t>
  </si>
  <si>
    <t>Trung-Tien Phan-Quang</t>
  </si>
  <si>
    <t>Truscott, R.</t>
  </si>
  <si>
    <t>Trutschl, M.</t>
  </si>
  <si>
    <t>Truyen, R.</t>
  </si>
  <si>
    <t>Tsai-Ching Lu</t>
  </si>
  <si>
    <t>Tsigas, P.</t>
  </si>
  <si>
    <t>Tsutsumi, F.</t>
  </si>
  <si>
    <t>Tuan Nhon Dang</t>
  </si>
  <si>
    <t>Tuceryan, M.</t>
  </si>
  <si>
    <t>Tuchman, A.</t>
  </si>
  <si>
    <t>Tung Yuen Lau</t>
  </si>
  <si>
    <t>Turk, G.</t>
  </si>
  <si>
    <t>Turkay, C.</t>
  </si>
  <si>
    <t>Turner, A.</t>
  </si>
  <si>
    <t>Melanie Tory;Niklas R̦ber;Torsten M̦ller;Anna Celler;M. Stella Atkins</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</si>
  <si>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</si>
  <si>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Turner, G.</t>
  </si>
  <si>
    <t>Turney, S.G.</t>
  </si>
  <si>
    <t>10.1109/VISUAL.1993.398877;10.1109/VISUAL.1998.745294;10.1109/VISUAL.1999.809886</t>
  </si>
  <si>
    <t>K. Montgomery;M. Stephanides;S. Schendel;M. Ross</t>
  </si>
  <si>
    <t>Turo, D.</t>
  </si>
  <si>
    <t>health, display algorithms, animations, 4D visualization, MRI, dynamic SPECT, direct volume rendering, isosurface, glyph</t>
  </si>
  <si>
    <t>Nat. Biocomput. Center, Stanford Univ., CA, USA</t>
  </si>
  <si>
    <t>Turton, I.</t>
  </si>
  <si>
    <t>Tuttle, C.</t>
  </si>
  <si>
    <t>Tuveri, M.</t>
  </si>
  <si>
    <t>Computed tomography angiography: a case study of peripheral vessel investigation</t>
  </si>
  <si>
    <t>10.1109/VISUAL.2001.964555</t>
  </si>
  <si>
    <t>http://dx.doi.org/10.1109/VISUAL.2001.964555</t>
  </si>
  <si>
    <t>Tweedie, L.</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</si>
  <si>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</si>
  <si>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E. Gobbetti;P. Pili;A. Zorcolo;M. Tuveri</t>
  </si>
  <si>
    <t>Center for Adv. Studies, Cagliari, Italy</t>
  </si>
  <si>
    <t>Armin Kanitsar;Rainer Wegenkittl;Petr Felkel;Dominik Fleischmann;Dominique Sandner;M. Eduard Gr̦ller</t>
  </si>
  <si>
    <t>Inst. of Comput. Graphics &amp; Algorithms, Vienna Univ. of Technol., Austria|c|;;;;;</t>
  </si>
  <si>
    <t>Computed Tomography Angiography (CTA), semi automatic segmentation, optimal path computation</t>
  </si>
  <si>
    <t>Graphical strategies to convey functional relationships in the human brain: a case study</t>
  </si>
  <si>
    <t>10.1109/VISUAL.2001.964556</t>
  </si>
  <si>
    <t>http://dx.doi.org/10.1109/VISUAL.2001.964556</t>
  </si>
  <si>
    <t>Twiddy, R.</t>
  </si>
  <si>
    <t>Tyman, J.</t>
  </si>
  <si>
    <t>Tyner, B.</t>
  </si>
  <si>
    <t>Tyson, S.</t>
  </si>
  <si>
    <t>Tzeng, F.-Y.</t>
  </si>
  <si>
    <t>Tzi-cker Chiueh</t>
  </si>
  <si>
    <t>Tzu-Wei Hsu</t>
  </si>
  <si>
    <t>Ueng, S.K.</t>
  </si>
  <si>
    <t>Uhlmann, J.</t>
  </si>
  <si>
    <t>Ulitsky, L.</t>
  </si>
  <si>
    <t>Unger, A.</t>
  </si>
  <si>
    <t>Unwin, A.</t>
  </si>
  <si>
    <t>Upatising, B.</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</si>
  <si>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</si>
  <si>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Urbanek, S.</t>
  </si>
  <si>
    <t>S. Khoury;A. Freed;D. Wessel</t>
  </si>
  <si>
    <t>Urness, T.</t>
  </si>
  <si>
    <t>CNMAT, Berkeley, CA, USA</t>
  </si>
  <si>
    <t>Tomihisa Welsh;Klaus Mueller;Wei Zhu;Nora D. Volkow;Jeffrey Meade</t>
  </si>
  <si>
    <t>Uselton, S.</t>
  </si>
  <si>
    <t>State Univ. of New York, Stony Brook, NY, USA|c|;;;;</t>
  </si>
  <si>
    <t>Usher, W.</t>
  </si>
  <si>
    <t>Ushizima, D.</t>
  </si>
  <si>
    <t>A case study on interactive exploration and guidance aids for visualizing historical data</t>
  </si>
  <si>
    <t>Uziel, E.</t>
  </si>
  <si>
    <t>10.1109/VISUAL.2001.964557</t>
  </si>
  <si>
    <t>Vachon, F.</t>
  </si>
  <si>
    <t>Vadapalli, S.</t>
  </si>
  <si>
    <t>Vadlapudi, R.</t>
  </si>
  <si>
    <t>Valdivia, P.</t>
  </si>
  <si>
    <t>Valenza, R.</t>
  </si>
  <si>
    <t>Valle, M.</t>
  </si>
  <si>
    <t>Vallet, B.</t>
  </si>
  <si>
    <t>van Baar, J.</t>
  </si>
  <si>
    <t>van Dam, A.</t>
  </si>
  <si>
    <t>van de Panne, M.</t>
  </si>
  <si>
    <t>http://dx.doi.org/10.1109/VISUAL.2001.964557</t>
  </si>
  <si>
    <t>van de Wetering, H.</t>
  </si>
  <si>
    <t>van den Bosch, H.</t>
  </si>
  <si>
    <t>van den Elzen, S.</t>
  </si>
  <si>
    <t>van der Corput, P.</t>
  </si>
  <si>
    <t>van der Heyden, J.E.</t>
  </si>
  <si>
    <t>van der Linden, E.-J.</t>
  </si>
  <si>
    <t>van der Rijt, R.</t>
  </si>
  <si>
    <t>van der Zijp, J.</t>
  </si>
  <si>
    <t>van Driel, R.</t>
  </si>
  <si>
    <t>Van Gelder, A.</t>
  </si>
  <si>
    <t>van Gemert, J.C.</t>
  </si>
  <si>
    <t>van Goethem, A.</t>
  </si>
  <si>
    <t>van Ham, F.</t>
  </si>
  <si>
    <t>Van Horn, J.D.</t>
  </si>
  <si>
    <t>van Liere, R.</t>
  </si>
  <si>
    <t>Van Long, T.</t>
  </si>
  <si>
    <t>van Ooijen, P.M.A.</t>
  </si>
  <si>
    <t>van Pelt, R.</t>
  </si>
  <si>
    <t>Van Riper, D.</t>
  </si>
  <si>
    <t>Van Selow, E.R.</t>
  </si>
  <si>
    <t>Van Uitert, R.</t>
  </si>
  <si>
    <t>Van Walsum, T.</t>
  </si>
  <si>
    <t>van Wijk, J.J.</t>
  </si>
  <si>
    <t>Vande Moere, A.</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</si>
  <si>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</si>
  <si>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Vanderhyde, J.</t>
  </si>
  <si>
    <t>M.L. Lantin;M.S.T. Carpendale</t>
  </si>
  <si>
    <t>VanderPlas, S.</t>
  </si>
  <si>
    <t>Vannier, M.</t>
  </si>
  <si>
    <t>VanZandt, W.L.</t>
  </si>
  <si>
    <t>Varadhan, G.</t>
  </si>
  <si>
    <t>Varetto, U.</t>
  </si>
  <si>
    <t>Varley, C.</t>
  </si>
  <si>
    <t>Varnadore, D.</t>
  </si>
  <si>
    <t>Tubingen Univ., Germany|c|;</t>
  </si>
  <si>
    <t>Varshney, A.</t>
  </si>
  <si>
    <t>Varun Jain</t>
  </si>
  <si>
    <t>Visualization, Historical Data, Interaction, Time-dependent Data, Visualization Techniques</t>
  </si>
  <si>
    <t>Vaudin, M.</t>
  </si>
  <si>
    <t>Vazquez, A.</t>
  </si>
  <si>
    <t>The MetVR case study: meteorological visualization in an immersive virtual environment</t>
  </si>
  <si>
    <t>Vazquez, P.-P.</t>
  </si>
  <si>
    <t>10.1109/VISUAL.2001.964559</t>
  </si>
  <si>
    <t>Veas, E.</t>
  </si>
  <si>
    <t>http://dx.doi.org/10.1109/VISUAL.2001.964559</t>
  </si>
  <si>
    <t>Vega-Higuera, F.</t>
  </si>
  <si>
    <t>Vega, K.</t>
  </si>
  <si>
    <t>Vehlow, C.</t>
  </si>
  <si>
    <t>Vejdemo-Johansson, M.</t>
  </si>
  <si>
    <t>Velez, M.C.</t>
  </si>
  <si>
    <t>Vemuri, B.C.</t>
  </si>
  <si>
    <t>Vendettuoli, M.</t>
  </si>
  <si>
    <t>Venkataraman, S.</t>
  </si>
  <si>
    <t>Venolia, G.</t>
  </si>
  <si>
    <t>Ventrella, J.J.</t>
  </si>
  <si>
    <t>Verbavatz, J.</t>
  </si>
  <si>
    <t>Verbeek, K.</t>
  </si>
  <si>
    <t>Verma, V.</t>
  </si>
  <si>
    <t>Verschure, P.J.</t>
  </si>
  <si>
    <t>Vetter, T.</t>
  </si>
  <si>
    <t>Viau, C.</t>
  </si>
  <si>
    <t>Vicker, M.G.</t>
  </si>
  <si>
    <t>Vickery, R.</t>
  </si>
  <si>
    <t>Videau, H.</t>
  </si>
  <si>
    <t>Vidimce, K.N.</t>
  </si>
  <si>
    <t>Viegas, F.B.</t>
  </si>
  <si>
    <t>Vieland, V.J.</t>
  </si>
  <si>
    <t>Vieux, R.</t>
  </si>
  <si>
    <t>Vigil, M.</t>
  </si>
  <si>
    <t>A computer animated movie was produced, illustrating both 2D and 3D Hilbert curves, and showing the transition from 2D to 3D with the help of volume rendering.</t>
  </si>
  <si>
    <t>Vijay Natarajan</t>
  </si>
  <si>
    <t>Vilanova Bartroli, A.V.</t>
  </si>
  <si>
    <t>Vilanova, A.</t>
  </si>
  <si>
    <t>Villerd, J.</t>
  </si>
  <si>
    <t>Vincent, P.</t>
  </si>
  <si>
    <t>VinhTuan Thai</t>
  </si>
  <si>
    <t>Viola, I.</t>
  </si>
  <si>
    <t>Vishwanath, V.</t>
  </si>
  <si>
    <t>Visser, A.E.</t>
  </si>
  <si>
    <t>Sean Ziegeler;Robert J. Moorhead II;Paul J. Croft;Duanjun Lu</t>
  </si>
  <si>
    <t>Viswanath, L.</t>
  </si>
  <si>
    <t>Vives, K.P.</t>
  </si>
  <si>
    <t>virtual environments, virtual reality, immersion, visualization, meteorology</t>
  </si>
  <si>
    <t>Vliegen, R.</t>
  </si>
  <si>
    <t>Vo, A.A.</t>
  </si>
  <si>
    <t>Archaeological Data Visualization in VR: Analysis of Lamp Finds at the Great Temple of Petra, a Case Study</t>
  </si>
  <si>
    <t>Vo, H.T.</t>
  </si>
  <si>
    <t>10.1109/VISUAL.2001.964560</t>
  </si>
  <si>
    <t>Voegele, K.</t>
  </si>
  <si>
    <t>http://doi.ieeecomputersociety.org/10.1109/VISUAL.2001.964560</t>
  </si>
  <si>
    <t>Voinea, L.</t>
  </si>
  <si>
    <t>Volino, P.</t>
  </si>
  <si>
    <t>Volkov, V.</t>
  </si>
  <si>
    <t>Volkow, N.</t>
  </si>
  <si>
    <t>Volpe, C.R.</t>
  </si>
  <si>
    <t>Volzke, H.</t>
  </si>
  <si>
    <t>Völzke, H.</t>
  </si>
  <si>
    <t>von Funck, W.</t>
  </si>
  <si>
    <t>von Henke, F.</t>
  </si>
  <si>
    <t>von Landesberger, T.</t>
  </si>
  <si>
    <t>von Rymon-Lipinski, B.</t>
  </si>
  <si>
    <t>Vorvoreanu, M.</t>
  </si>
  <si>
    <t>Vos, F.M.</t>
  </si>
  <si>
    <t>Vote, E.</t>
  </si>
  <si>
    <t>Vrabec, J.</t>
  </si>
  <si>
    <t>Vroomen, L.C.</t>
  </si>
  <si>
    <t>Vrotsou, K.</t>
  </si>
  <si>
    <t>Vuillemot, R.</t>
  </si>
  <si>
    <t>Vukovic, M.</t>
  </si>
  <si>
    <t>Wactlar, H.D.</t>
  </si>
  <si>
    <t>Wade, A.</t>
  </si>
  <si>
    <t>Wade, M.</t>
  </si>
  <si>
    <t>Wadle, M.</t>
  </si>
  <si>
    <t>Wagner, D.</t>
  </si>
  <si>
    <t>Wagner, M.</t>
  </si>
  <si>
    <t>Wagner, T.A.</t>
  </si>
  <si>
    <t>Waheed, A.</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</si>
  <si>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</si>
  <si>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Wai-Ho Mak</t>
  </si>
  <si>
    <t>Wai-Yin Ng</t>
  </si>
  <si>
    <t>D. Clark;R. Marciano;R. McKeon;M. Bailey</t>
  </si>
  <si>
    <t>Wald, I.</t>
  </si>
  <si>
    <t>Supercomput. Center, California Univ., San Diego, La Jolla, CA, USA</t>
  </si>
  <si>
    <t>Waldner, M.</t>
  </si>
  <si>
    <t>Walker, J.</t>
  </si>
  <si>
    <t>Walker, N.</t>
  </si>
  <si>
    <t>Walker, R.</t>
  </si>
  <si>
    <t>Wall, J.</t>
  </si>
  <si>
    <t>Wall, R.</t>
  </si>
  <si>
    <t>Wallace, G.</t>
  </si>
  <si>
    <t>Wallace, M.</t>
  </si>
  <si>
    <t>Wallcraft, A.</t>
  </si>
  <si>
    <t>Walny, J.</t>
  </si>
  <si>
    <t>Walter, B.</t>
  </si>
  <si>
    <t>Walter, J.D.</t>
  </si>
  <si>
    <t>Walteros, P.R.</t>
  </si>
  <si>
    <t>Walton, J.</t>
  </si>
  <si>
    <t>Walton, S.</t>
  </si>
  <si>
    <t>Wampler, K.</t>
  </si>
  <si>
    <t>Wan, M.</t>
  </si>
  <si>
    <t>Wand, M.</t>
  </si>
  <si>
    <t>Daniel Acevedo Feliz;Eileen Vote;David H. Laidlaw;Martha Sharp Joukowsky</t>
  </si>
  <si>
    <t>Wandell, B.</t>
  </si>
  <si>
    <t>Scientific Visualization, Archaeological Data Analysis, Immersive Virtual Reality Interfaces</t>
  </si>
  <si>
    <t>Wang, D.X.</t>
  </si>
  <si>
    <t>Wang, J.</t>
  </si>
  <si>
    <t>Virtual Temporal Bone Dissection: A Case Study</t>
  </si>
  <si>
    <t>Wang, S.</t>
  </si>
  <si>
    <t>10.1109/VISUAL.2001.964561</t>
  </si>
  <si>
    <t>Wang, S.-L.C.</t>
  </si>
  <si>
    <t>Wang, T.D.</t>
  </si>
  <si>
    <t>http://doi.ieeecomputersociety.org/10.1109/VISUAL.2001.964561</t>
  </si>
  <si>
    <t>Wang, X.</t>
  </si>
  <si>
    <t>Wang, Y.</t>
  </si>
  <si>
    <t>Wanner, F.</t>
  </si>
  <si>
    <t>Ward, M.O.</t>
  </si>
  <si>
    <t>Ward, W.</t>
  </si>
  <si>
    <t>Ware, C.</t>
  </si>
  <si>
    <t>Warren, D.S.</t>
  </si>
  <si>
    <t>Warren, J.</t>
  </si>
  <si>
    <t>Warren, W.H.</t>
  </si>
  <si>
    <t>Wartell, Z.</t>
  </si>
  <si>
    <t>Waser, J.</t>
  </si>
  <si>
    <t>Washburn, S.</t>
  </si>
  <si>
    <t>Wassermann, A.M.</t>
  </si>
  <si>
    <t>Waters, K.W.</t>
  </si>
  <si>
    <t>Watson, A.</t>
  </si>
  <si>
    <t>Watson, B.</t>
  </si>
  <si>
    <t>Watson, D.</t>
  </si>
  <si>
    <t>Watson, L.T.</t>
  </si>
  <si>
    <t>Wattenberg, M.</t>
  </si>
  <si>
    <t>Wax, M.</t>
  </si>
  <si>
    <t>Weaver, C.</t>
  </si>
  <si>
    <t>Weaver, K.</t>
  </si>
  <si>
    <t>Webb-Robertson, B.-J.M.</t>
  </si>
  <si>
    <t>Webb, S.</t>
  </si>
  <si>
    <t>Weber, B.</t>
  </si>
  <si>
    <t>Weber, G.H.</t>
  </si>
  <si>
    <t>Weber, J.D.</t>
  </si>
  <si>
    <t>Weber, M.</t>
  </si>
  <si>
    <t>Weber, R.</t>
  </si>
  <si>
    <t>Weber, S.</t>
  </si>
  <si>
    <t>Webster, M.F.</t>
  </si>
  <si>
    <t>Wee Siong Ng</t>
  </si>
  <si>
    <t>Wefer, F.L.</t>
  </si>
  <si>
    <t>Wegenkittl, R.</t>
  </si>
  <si>
    <t>Wehrend, S.</t>
  </si>
  <si>
    <t>Wei Chen</t>
  </si>
  <si>
    <t>Wei Li</t>
  </si>
  <si>
    <t>Wei Liu</t>
  </si>
  <si>
    <t>Wei Peng</t>
  </si>
  <si>
    <t>Wei Qiao</t>
  </si>
  <si>
    <t>Wei Wu</t>
  </si>
  <si>
    <t>Wei Xu</t>
  </si>
  <si>
    <t>Wei Zeng</t>
  </si>
  <si>
    <t>Wei Zhu</t>
  </si>
  <si>
    <t>Wei-Chao Chen</t>
  </si>
  <si>
    <t>Jason Bryan;Don Stredney;Gregory J. Wiet;Dennis Sessanna</t>
  </si>
  <si>
    <t>Wei-Chao Wen</t>
  </si>
  <si>
    <t>Temporal Bone Dissection</t>
  </si>
  <si>
    <t>Wei-Hsien Hsu</t>
  </si>
  <si>
    <t>Wei, X.</t>
  </si>
  <si>
    <t>Semi-immersive space mission design and visualization: case study of the "Terrestrial Planet Finder" mission</t>
  </si>
  <si>
    <t>Weichao Wang</t>
  </si>
  <si>
    <t>10.1109/VISUAL.2001.964562</t>
  </si>
  <si>
    <t>Weifeng Chen</t>
  </si>
  <si>
    <t>http://dx.doi.org/10.1109/VISUAL.2001.964562</t>
  </si>
  <si>
    <t>Weigle, C.</t>
  </si>
  <si>
    <t>Weijia Xu</t>
  </si>
  <si>
    <t>Weikard, U.</t>
  </si>
  <si>
    <t>Weil, P.</t>
  </si>
  <si>
    <t>Weiler, M.</t>
  </si>
  <si>
    <t>Weimer, H.</t>
  </si>
  <si>
    <t>Weiming Gu</t>
  </si>
  <si>
    <t>Weinberg, R.</t>
  </si>
  <si>
    <t>Weinkauf, T.</t>
  </si>
  <si>
    <t>Weinstein, D.</t>
  </si>
  <si>
    <t>Weiqiang Zhang</t>
  </si>
  <si>
    <t>Weiskopf, D.</t>
  </si>
  <si>
    <t>Weiss, K.</t>
  </si>
  <si>
    <t>Weiwei Cui</t>
  </si>
  <si>
    <t>Weixia Huang</t>
  </si>
  <si>
    <t>Wejchert, J.</t>
  </si>
  <si>
    <t>Welch, G.</t>
  </si>
  <si>
    <t>Wells, W.</t>
  </si>
  <si>
    <t>Welsh, T.</t>
  </si>
  <si>
    <t>Welte, D.</t>
  </si>
  <si>
    <t>Wen-Chin Chen</t>
  </si>
  <si>
    <t>Wen-Feng Cheng</t>
  </si>
  <si>
    <t>Wenchao Wu</t>
  </si>
  <si>
    <t>Wenger, R.</t>
  </si>
  <si>
    <t>Wenger, S.</t>
  </si>
  <si>
    <t>Wenli Cai</t>
  </si>
  <si>
    <t>Ken Museth;Alan H. Barr;Martin W. Lo</t>
  </si>
  <si>
    <t>Dept. of Comput. Sci., California Inst. of Technol., Pasadena, CA, USA|c|;;</t>
  </si>
  <si>
    <t>Wenskovitch, J.E.</t>
  </si>
  <si>
    <t>Wentao Gu</t>
  </si>
  <si>
    <t>Wenwen Dou</t>
  </si>
  <si>
    <t>Wind Tunnel Data Fusion and Immersive Visualization: A Case Study</t>
  </si>
  <si>
    <t>10.1109/VISUAL.2001.964563</t>
  </si>
  <si>
    <t>Wenzel, E.M.</t>
  </si>
  <si>
    <t>Werner, H.</t>
  </si>
  <si>
    <t>http://doi.ieeecomputersociety.org/10.1109/VISUAL.2001.964563</t>
  </si>
  <si>
    <t>Werner, J.S.</t>
  </si>
  <si>
    <t>Wernert, E.A.</t>
  </si>
  <si>
    <t>Wertheim, S.L.</t>
  </si>
  <si>
    <t>Wes Bethel, E.</t>
  </si>
  <si>
    <t>Wessel, D.</t>
  </si>
  <si>
    <t>Wessel, G.</t>
  </si>
  <si>
    <t>West, J.E.</t>
  </si>
  <si>
    <t>Westdorp, A.F.</t>
  </si>
  <si>
    <t>Westenberg, M.A.</t>
  </si>
  <si>
    <t>Westenskow, D.</t>
  </si>
  <si>
    <t>Westermann, R.</t>
  </si>
  <si>
    <t>Westerteiger, R.</t>
  </si>
  <si>
    <t>Westin, C.-F.</t>
  </si>
  <si>
    <t>Wettach, R.</t>
  </si>
  <si>
    <t>Wewnen Dou</t>
  </si>
  <si>
    <t>Wexler, A.</t>
  </si>
  <si>
    <t>Wheat, A.</t>
  </si>
  <si>
    <t>Whitaker, R.T.</t>
  </si>
  <si>
    <t>White, H.D.</t>
  </si>
  <si>
    <t>Whiting, M.</t>
  </si>
  <si>
    <t>Whitlock, B.</t>
  </si>
  <si>
    <t>Whitney, D.</t>
  </si>
  <si>
    <t>Whitney, P.</t>
  </si>
  <si>
    <t>Whitton, M.</t>
  </si>
  <si>
    <t>Whitton, M.C.</t>
  </si>
  <si>
    <t>Wickham, H.</t>
  </si>
  <si>
    <t>Wiebel, A.</t>
  </si>
  <si>
    <t>Wiemker, R.</t>
  </si>
  <si>
    <t>Wiens, V.</t>
  </si>
  <si>
    <t>Wiese, G.</t>
  </si>
  <si>
    <t>Wiet, G.</t>
  </si>
  <si>
    <t>Wigdor, D.</t>
  </si>
  <si>
    <t>Wiggins, W.</t>
  </si>
  <si>
    <t>Wigstrom, L.</t>
  </si>
  <si>
    <t>Wilde, B.G.</t>
  </si>
  <si>
    <t>Wildermuth, S.</t>
  </si>
  <si>
    <t>Wiles, J.</t>
  </si>
  <si>
    <t>Wiley, D.F.</t>
  </si>
  <si>
    <t>Wilhelm, N.</t>
  </si>
  <si>
    <t>Wilhelms, J.</t>
  </si>
  <si>
    <t>Wilkins, J.</t>
  </si>
  <si>
    <t>Wilkinson, L.</t>
  </si>
  <si>
    <t>Wilkinson, M.H.F.</t>
  </si>
  <si>
    <t>Kurt Severance;Paul Brewster;Barry Lazos;Daniel F. Keefe</t>
  </si>
  <si>
    <t>Wilks, A.R.</t>
  </si>
  <si>
    <t>Willems, N.</t>
  </si>
  <si>
    <t>Data fusion, Photogrammetry, Line Integral Convolution, Reconstruction, Oil flow, Particle Image Velocimetry, Wind tunnel, Landing gear, Texture mapping, Image-based rendering, VRML</t>
  </si>
  <si>
    <t>Willett, W.</t>
  </si>
  <si>
    <t>Williams, B.</t>
  </si>
  <si>
    <t>Williams, C.</t>
  </si>
  <si>
    <t>A virtual environment for simulated rat dissection: a case study of visualization for astronaut training</t>
  </si>
  <si>
    <t>Williams, D.</t>
  </si>
  <si>
    <t>10.1109/VISUAL.2001.964564</t>
  </si>
  <si>
    <t>Williams, G.</t>
  </si>
  <si>
    <t>http://dx.doi.org/10.1109/VISUAL.2001.964564</t>
  </si>
  <si>
    <t>Williams, J.L.</t>
  </si>
  <si>
    <t>Williams, M.</t>
  </si>
  <si>
    <t>Williams, P.L.</t>
  </si>
  <si>
    <t>Williams, R.D.</t>
  </si>
  <si>
    <t>Williams, S.</t>
  </si>
  <si>
    <t>Williamson, C.</t>
  </si>
  <si>
    <t>Wills, D.</t>
  </si>
  <si>
    <t>Wills, G.J.</t>
  </si>
  <si>
    <t>Wilson, A.</t>
  </si>
  <si>
    <t>Wilson, A.J.S.</t>
  </si>
  <si>
    <t>Wilson, C.M.</t>
  </si>
  <si>
    <t>Wilson, G.</t>
  </si>
  <si>
    <t>Wilson, J.</t>
  </si>
  <si>
    <t>Wilson, L.</t>
  </si>
  <si>
    <t>Wilson, M.</t>
  </si>
  <si>
    <t>Wilson, R.M.</t>
  </si>
  <si>
    <t>Wimmer, C.</t>
  </si>
  <si>
    <t>Wimmer, M.</t>
  </si>
  <si>
    <t>Wimmer, T.</t>
  </si>
  <si>
    <t>Wing Yan So</t>
  </si>
  <si>
    <t>Wing-Yi Chan</t>
  </si>
  <si>
    <t>Winget, J.</t>
  </si>
  <si>
    <t>Winkler, C.</t>
  </si>
  <si>
    <t>Winskog, C.</t>
  </si>
  <si>
    <t>Winslow, R.L.</t>
  </si>
  <si>
    <t>Winstead, J.</t>
  </si>
  <si>
    <t>Winterkamp, J.</t>
  </si>
  <si>
    <t>Wischgoll, T.</t>
  </si>
  <si>
    <t>Wise, J.A.</t>
  </si>
  <si>
    <t>Wistrand, E.</t>
  </si>
  <si>
    <t>Witmore, M.</t>
  </si>
  <si>
    <t>Kevin Montgomery;Wm. LeRoy Heinrichs;Cynthia Bruyns;Simon Wildermuth</t>
  </si>
  <si>
    <t>Wittels, N.</t>
  </si>
  <si>
    <t>Nat. Biocomputation Center, Stanford Univ., CA, USA|c|;;</t>
  </si>
  <si>
    <t>Wittenbrink, C.M.</t>
  </si>
  <si>
    <t>Wolf, P.</t>
  </si>
  <si>
    <t>Internet traffic: visualization, discovery, and very large displays</t>
  </si>
  <si>
    <t>Wolfe, R.H.</t>
  </si>
  <si>
    <t>10.1109/INFVIS.2002.1173140</t>
  </si>
  <si>
    <t>Wolff, A.</t>
  </si>
  <si>
    <t>http://dx.doi.org/10.1109/INFVIS.2002.1173140</t>
  </si>
  <si>
    <t>Wolfsberger, S.</t>
  </si>
  <si>
    <t>Wolinsky, M.</t>
  </si>
  <si>
    <t>Wollenberg, T.</t>
  </si>
  <si>
    <t>Wolter, M.</t>
  </si>
  <si>
    <t>Wolverton, M.</t>
  </si>
  <si>
    <t>Won-Ki Jeong</t>
  </si>
  <si>
    <t>Wong, B.L.W.</t>
  </si>
  <si>
    <t>Wong, K.</t>
  </si>
  <si>
    <t>Wong, K.F.</t>
  </si>
  <si>
    <t>Wong, N.</t>
  </si>
  <si>
    <t>Wongsuphasawat, K.</t>
  </si>
  <si>
    <t>Wonka, P.</t>
  </si>
  <si>
    <t>Wood, A.M.</t>
  </si>
  <si>
    <t>Wood, C.</t>
  </si>
  <si>
    <t>Wood, J.</t>
  </si>
  <si>
    <t>Wood, K.</t>
  </si>
  <si>
    <t>Wood, Z.J.</t>
  </si>
  <si>
    <t>Woodbury, C.</t>
  </si>
  <si>
    <t>William S. Cleveland</t>
  </si>
  <si>
    <t>Dept. Stat. Res., Bell Labs., Holmdel, NJ, USA|c|</t>
  </si>
  <si>
    <t>Woodbury, R.</t>
  </si>
  <si>
    <t>Woodfield, A.P.</t>
  </si>
  <si>
    <t>Multiscale visualization using data cubes</t>
  </si>
  <si>
    <t>Woodhull, G.</t>
  </si>
  <si>
    <t>10.1109/INFVIS.2002.1173141</t>
  </si>
  <si>
    <t>Woodring, J.</t>
  </si>
  <si>
    <t>http://dx.doi.org/10.1109/INFVIS.2002.1173141</t>
  </si>
  <si>
    <t>Woodruff, A.</t>
  </si>
  <si>
    <t>Woodward, M.</t>
  </si>
  <si>
    <t>Woohyuk Choi</t>
  </si>
  <si>
    <t>Worner, M.</t>
  </si>
  <si>
    <t>Worring, M.</t>
  </si>
  <si>
    <t>Wozny, M.J.</t>
  </si>
  <si>
    <t>Wren, C.R.</t>
  </si>
  <si>
    <t>Wright, B.</t>
  </si>
  <si>
    <t>Wright, H.</t>
  </si>
  <si>
    <t>Wright, J.</t>
  </si>
  <si>
    <t>Wright, J.R.</t>
  </si>
  <si>
    <t>Wright, W.</t>
  </si>
  <si>
    <t>Wright, W.V.</t>
  </si>
  <si>
    <t>Wrobel, S.</t>
  </si>
  <si>
    <t>Wu, D.</t>
  </si>
  <si>
    <t>Wu, J.</t>
  </si>
  <si>
    <t>Wu, L.</t>
  </si>
  <si>
    <t>Wu, M.</t>
  </si>
  <si>
    <t>Wu, S.F.</t>
  </si>
  <si>
    <t>Wu, Y.</t>
  </si>
  <si>
    <t>Wulue Zhao</t>
  </si>
  <si>
    <t>Wunsche, B.</t>
  </si>
  <si>
    <t>Wyatt, E.C.</t>
  </si>
  <si>
    <t>Wyatt, R.</t>
  </si>
  <si>
    <t>Wybrow, M.</t>
  </si>
  <si>
    <t>Wylie, B.</t>
  </si>
  <si>
    <t>Xi Chen</t>
  </si>
  <si>
    <t>Xi Zhu</t>
  </si>
  <si>
    <t>Xia, J.C.</t>
  </si>
  <si>
    <t>Xianfeng Gu</t>
  </si>
  <si>
    <t>Xiangfei Meng</t>
  </si>
  <si>
    <t>Xiangmin Zhou</t>
  </si>
  <si>
    <t>Xiangong Ye</t>
  </si>
  <si>
    <t>Xiaohong Bao</t>
  </si>
  <si>
    <t>Xiaohua Sun</t>
  </si>
  <si>
    <t>Xiaohui Li</t>
  </si>
  <si>
    <t>Xiaoke Huang</t>
  </si>
  <si>
    <t>Chris Stolte;Diane Tang;Pat Hanrahan</t>
  </si>
  <si>
    <t>Xiaolei Shi</t>
  </si>
  <si>
    <t>Xiaoliang Zhao</t>
  </si>
  <si>
    <t>Xiaolin Wu</t>
  </si>
  <si>
    <t>Xiaolong Zhang</t>
  </si>
  <si>
    <t>Xiaomin Zhu</t>
  </si>
  <si>
    <t>Xiaoming Li</t>
  </si>
  <si>
    <t>Visualization schemas for flexible information visualization</t>
  </si>
  <si>
    <t>10.1109/INFVIS.2002.1173142</t>
  </si>
  <si>
    <t>Xiaoming Wei</t>
  </si>
  <si>
    <t>http://dx.doi.org/10.1109/INFVIS.2002.1173142</t>
  </si>
  <si>
    <t>Xiaoning Qian</t>
  </si>
  <si>
    <t>Xiaoquiang Wang</t>
  </si>
  <si>
    <t>Xiaoru Yuan</t>
  </si>
  <si>
    <t>Xiaotong Liu</t>
  </si>
  <si>
    <t>Xiaoxiao Lian</t>
  </si>
  <si>
    <t>Xiaoyan Fu</t>
  </si>
  <si>
    <t>Xiaoyang Mao</t>
  </si>
  <si>
    <t>Xiaoyu Wang</t>
  </si>
  <si>
    <t>Xie Zaixian</t>
  </si>
  <si>
    <t>Xie, H.</t>
  </si>
  <si>
    <t>Xin Chen</t>
  </si>
  <si>
    <t>Xin Dong</t>
  </si>
  <si>
    <t>Xin Tong</t>
  </si>
  <si>
    <t>Xin Zhang</t>
  </si>
  <si>
    <t>Xin Zhao</t>
  </si>
  <si>
    <t>Xinlei Zhao</t>
  </si>
  <si>
    <t>Xinran Hu</t>
  </si>
  <si>
    <t>Xinxin Huang</t>
  </si>
  <si>
    <t>Xinyue Ye</t>
  </si>
  <si>
    <t>Xinzhu Mu</t>
  </si>
  <si>
    <t>Xiongfei Luo</t>
  </si>
  <si>
    <t>Xiping, D.</t>
  </si>
  <si>
    <t>Xiting Wang</t>
  </si>
  <si>
    <t>Xiuwen Liu</t>
  </si>
  <si>
    <t>Xizhou Zhu</t>
  </si>
  <si>
    <t>Xu Wang</t>
  </si>
  <si>
    <t>Xuan Zhong</t>
  </si>
  <si>
    <t>Xue Wu</t>
  </si>
  <si>
    <t>Xue, D.</t>
  </si>
  <si>
    <t>Xuexiang Xie</t>
  </si>
  <si>
    <t>Chris North;Nathan Conklin;Varun Saini</t>
  </si>
  <si>
    <t>Ya-Hsin Hung</t>
  </si>
  <si>
    <t>Yacoob, Y.</t>
  </si>
  <si>
    <t>10.1109/INFVIS.1995.528688;10.1109/INFVIS.1997.636788</t>
  </si>
  <si>
    <t>Yadong Wu</t>
  </si>
  <si>
    <t>Yafeng Lu</t>
  </si>
  <si>
    <t>Yagel, R.</t>
  </si>
  <si>
    <t>Yahui Zhao</t>
  </si>
  <si>
    <t>Building a visual database for example-based graphics generation</t>
  </si>
  <si>
    <t>Yakout, M.</t>
  </si>
  <si>
    <t>10.1109/INFVIS.2002.1173143</t>
  </si>
  <si>
    <t>Yalcin, M.A.</t>
  </si>
  <si>
    <t>Yale Song</t>
  </si>
  <si>
    <t>http://dx.doi.org/10.1109/INFVIS.2002.1173143</t>
  </si>
  <si>
    <t>Yalin Wang</t>
  </si>
  <si>
    <t>Yamaguchi, Y.</t>
  </si>
  <si>
    <t>Yamamoto, M.</t>
  </si>
  <si>
    <t>Yamamoto, T.</t>
  </si>
  <si>
    <t>Yamrom, B.</t>
  </si>
  <si>
    <t>Yamron, B.</t>
  </si>
  <si>
    <t>Yan Li</t>
  </si>
  <si>
    <t>Yan-Jen Su</t>
  </si>
  <si>
    <t>Yang Chen</t>
  </si>
  <si>
    <t>Yang Liu</t>
  </si>
  <si>
    <t>Yang Yang</t>
  </si>
  <si>
    <t>Yang-Pelaez, J.</t>
  </si>
  <si>
    <t>Yang, G.Z.</t>
  </si>
  <si>
    <t>Yang, X.D.</t>
  </si>
  <si>
    <t>Yangqiu Song</t>
  </si>
  <si>
    <t>Yanhong Wu</t>
  </si>
  <si>
    <t>Yanhua Chen</t>
  </si>
  <si>
    <t>Yanlai Chen</t>
  </si>
  <si>
    <t>Yanli, E.</t>
  </si>
  <si>
    <t>Yanovsky, D.</t>
  </si>
  <si>
    <t>Yap, C.</t>
  </si>
  <si>
    <t>Yauilla, A.R.</t>
  </si>
  <si>
    <t>Yaxing Wei</t>
  </si>
  <si>
    <t>Ye Duan</t>
  </si>
  <si>
    <t>Ye Tangzhi</t>
  </si>
  <si>
    <t>Ye Yuan</t>
  </si>
  <si>
    <t>Ye Zhao</t>
  </si>
  <si>
    <t>Ye, J.</t>
  </si>
  <si>
    <t>Yeh, C.S.</t>
  </si>
  <si>
    <t>Yeh, H.</t>
  </si>
  <si>
    <t>Yeh, R.</t>
  </si>
  <si>
    <t>Yen, C.-C.J.</t>
  </si>
  <si>
    <t>Michelle X. Zhou;Min Chen;Ying Feng</t>
  </si>
  <si>
    <t>Yeong Gil Shin</t>
  </si>
  <si>
    <t>IBM Thomas J. Watson Res. Center, Hawthorne, NY, USA|c|;;</t>
  </si>
  <si>
    <t>Yi Gu</t>
  </si>
  <si>
    <t>Yi Han</t>
  </si>
  <si>
    <t>Yi Mao</t>
  </si>
  <si>
    <t>Efficient cartogram generation: a comparison</t>
  </si>
  <si>
    <t>Yi Wang</t>
  </si>
  <si>
    <t>10.1109/INFVIS.2002.1173144</t>
  </si>
  <si>
    <t>Yi-Chih Tsai</t>
  </si>
  <si>
    <t>http://dx.doi.org/10.1109/INFVIS.2002.1173144</t>
  </si>
  <si>
    <t>Yi-Jen Chiang</t>
  </si>
  <si>
    <t>Yifan Hu</t>
  </si>
  <si>
    <t>Yin-Hsi Kuo</t>
  </si>
  <si>
    <t>Ying Feng</t>
  </si>
  <si>
    <t>Ying He</t>
  </si>
  <si>
    <t>Ying Tu</t>
  </si>
  <si>
    <t>Ying Xin Wu</t>
  </si>
  <si>
    <t>Ying-Huey Fua</t>
  </si>
  <si>
    <t>Yingcai Wu</t>
  </si>
  <si>
    <t>Yingcai Xiao</t>
  </si>
  <si>
    <t>Yinggang Li</t>
  </si>
  <si>
    <t>Yiwen Sun</t>
  </si>
  <si>
    <t>Yiwen Zhong</t>
  </si>
  <si>
    <t>Yixian Zheng</t>
  </si>
  <si>
    <t>Yizhou Yu</t>
  </si>
  <si>
    <t>Ynnerman, A.</t>
  </si>
  <si>
    <t>Yoakum-Stover, S.</t>
  </si>
  <si>
    <t>Yoghourdjian, V.</t>
  </si>
  <si>
    <t>Yokoyama, D.</t>
  </si>
  <si>
    <t>Yong Wan</t>
  </si>
  <si>
    <t>Yong Wang</t>
  </si>
  <si>
    <t>Yong Zhou</t>
  </si>
  <si>
    <t>Yonggang Fang</t>
  </si>
  <si>
    <t>Yongjun Zheng</t>
  </si>
  <si>
    <t>Yongxian Zhang</t>
  </si>
  <si>
    <t>Yoo, T.S.</t>
  </si>
  <si>
    <t>Yoon, S.-E.</t>
  </si>
  <si>
    <t>Yoshida, K.</t>
  </si>
  <si>
    <t>Yoshinaga, N.</t>
  </si>
  <si>
    <t>Yost, B.</t>
  </si>
  <si>
    <t>Daniel A. Keim;Stephen C. North;Christian Panse;J̦rn Schneidewind</t>
  </si>
  <si>
    <t>Youfeng hao</t>
  </si>
  <si>
    <t>AT&amp;T Shannon Lab., Florham Park, NJ, USA|c|;;;</t>
  </si>
  <si>
    <t>10.1109/VISUAL.1998.745301;10.1109/VISUAL.1998.745303</t>
  </si>
  <si>
    <t>Youn-ah Kang</t>
  </si>
  <si>
    <t>Young, S.J.</t>
  </si>
  <si>
    <t>Youngmin Kim</t>
  </si>
  <si>
    <t>Visualizing data with bounded uncertainty</t>
  </si>
  <si>
    <t>Younkin, K.</t>
  </si>
  <si>
    <t>10.1109/INFVIS.2002.1173145</t>
  </si>
  <si>
    <t>Youwei Zhang</t>
  </si>
  <si>
    <t>http://dx.doi.org/10.1109/INFVIS.2002.1173145</t>
  </si>
  <si>
    <t>Yu Liang</t>
  </si>
  <si>
    <t>Yu-Hsuan Chan</t>
  </si>
  <si>
    <t>Yu-Ru Lin</t>
  </si>
  <si>
    <t>Yu-Shuen Wang</t>
  </si>
  <si>
    <t>Yu, J.Y.</t>
  </si>
  <si>
    <t>Yuan Chen</t>
  </si>
  <si>
    <t>Yuan Gao</t>
  </si>
  <si>
    <t>Yuan He</t>
  </si>
  <si>
    <t>Yuan, J.</t>
  </si>
  <si>
    <t>Yubo Tao</t>
  </si>
  <si>
    <t>Yubo Zhang</t>
  </si>
  <si>
    <t>Yue Wang</t>
  </si>
  <si>
    <t>Yueh Lee</t>
  </si>
  <si>
    <t>Yuen, D.A.</t>
  </si>
  <si>
    <t>Yueqi Hu</t>
  </si>
  <si>
    <t>Yueting Zhuang</t>
  </si>
  <si>
    <t>Yuetling Wong</t>
  </si>
  <si>
    <t>Yujie Liu</t>
  </si>
  <si>
    <t>Yuk Yin Sham</t>
  </si>
  <si>
    <t>Yuksel, C.</t>
  </si>
  <si>
    <t>Yuli Gao</t>
  </si>
  <si>
    <t>Yun Jang</t>
  </si>
  <si>
    <t>Yung, C.K.</t>
  </si>
  <si>
    <t>Yunhe Shen</t>
  </si>
  <si>
    <t>Yuntao Jia</t>
  </si>
  <si>
    <t>Yurcik, W.</t>
  </si>
  <si>
    <t>Yutao Zhang</t>
  </si>
  <si>
    <t>Zabusky, N.</t>
  </si>
  <si>
    <t>Zachow, S.</t>
  </si>
  <si>
    <t>Zahlka, J.</t>
  </si>
  <si>
    <t>Zahn, C.</t>
  </si>
  <si>
    <t>Zaidi, F.</t>
  </si>
  <si>
    <t>Zappa, M.</t>
  </si>
  <si>
    <t>Zatloukal, M.</t>
  </si>
  <si>
    <t>Christopher Olston;Jock D. Mackinlay</t>
  </si>
  <si>
    <t>Zawadzki, R.J.</t>
  </si>
  <si>
    <t>Zeckzer, D.</t>
  </si>
  <si>
    <t>10.1109/VISUAL.1994.346317;10.1109/VISUAL.2000.885679;10.1109/INFVIS.1999.801858</t>
  </si>
  <si>
    <t>Zehner, B.</t>
  </si>
  <si>
    <t>uncertainty visualization, bounded uncertainty</t>
  </si>
  <si>
    <t>Zeilfelder, F.</t>
  </si>
  <si>
    <t>Zekai Gao</t>
  </si>
  <si>
    <t>Graphical encoding for information visualization: an empirical study</t>
  </si>
  <si>
    <t>Zelenyuk, A.</t>
  </si>
  <si>
    <t>10.1109/INFVIS.2002.1173146</t>
  </si>
  <si>
    <t>Zeleznik, R.</t>
  </si>
  <si>
    <t>http://dx.doi.org/10.1109/INFVIS.2002.1173146</t>
  </si>
  <si>
    <t>Zelinsky, G.</t>
  </si>
  <si>
    <t>Zeqian Shen</t>
  </si>
  <si>
    <t>Zgraggen, E.</t>
  </si>
  <si>
    <t>Zhan Guo</t>
  </si>
  <si>
    <t>Zhang, C.</t>
  </si>
  <si>
    <t>Zhang, E.</t>
  </si>
  <si>
    <t>Zhang, H.</t>
  </si>
  <si>
    <t>Zhang, J.</t>
  </si>
  <si>
    <t>Zhang, N.</t>
  </si>
  <si>
    <t>Zhang, Q.</t>
  </si>
  <si>
    <t>Zhang, S.</t>
  </si>
  <si>
    <t>Zhang, X.</t>
  </si>
  <si>
    <t>Zhang, Y.</t>
  </si>
  <si>
    <t>Zhao Geng</t>
  </si>
  <si>
    <t>Zhao-Peng Meng</t>
  </si>
  <si>
    <t>Zhao, H.</t>
  </si>
  <si>
    <t>Zhao, L.</t>
  </si>
  <si>
    <t>Zhaohua Ding</t>
  </si>
  <si>
    <t>Zhaoqiang Lai</t>
  </si>
  <si>
    <t>Zhe Fan</t>
  </si>
  <si>
    <t>Zhen Wen</t>
  </si>
  <si>
    <t>Zheng, X.</t>
  </si>
  <si>
    <t>Zheng, Z.C.</t>
  </si>
  <si>
    <t>Zhengrong Liang</t>
  </si>
  <si>
    <t>Zhengyu Su</t>
  </si>
  <si>
    <t>Zhenhuang Wang</t>
  </si>
  <si>
    <t>ZhenMin Peng</t>
  </si>
  <si>
    <t>Zhenyu Guo</t>
  </si>
  <si>
    <t>Zhi, H.</t>
  </si>
  <si>
    <t>Lucy T. Nowell;Robert S. Schulman;Deborah Hix</t>
  </si>
  <si>
    <t>Zhicheng Liu</t>
  </si>
  <si>
    <t>Zhicheng Yan</t>
  </si>
  <si>
    <t>Zhifan Zhu</t>
  </si>
  <si>
    <t>The illusion of perceived metric 3D structure</t>
  </si>
  <si>
    <t>Zhifang Jiang</t>
  </si>
  <si>
    <t>10.1109/INFVIS.2002.1173147</t>
  </si>
  <si>
    <t>Zhiguang Zhou</t>
  </si>
  <si>
    <t>http://dx.doi.org/10.1109/INFVIS.2002.1173147</t>
  </si>
  <si>
    <t>Zhihua Dong</t>
  </si>
  <si>
    <t>Zhijian Zheng</t>
  </si>
  <si>
    <t>Zhimin Ren</t>
  </si>
  <si>
    <t>Zhiqi Liu</t>
  </si>
  <si>
    <t>Zhiqiang Ma</t>
  </si>
  <si>
    <t>Zhiyong Huang</t>
  </si>
  <si>
    <t>Zhiyuan Lin</t>
  </si>
  <si>
    <t>Zhiyuan Zhang</t>
  </si>
  <si>
    <t>Zhong Su</t>
  </si>
  <si>
    <t>Zhongjie Wang</t>
  </si>
  <si>
    <t>Zhongwen Huang</t>
  </si>
  <si>
    <t>Zhongzang Lin</t>
  </si>
  <si>
    <t>Zhou, K.</t>
  </si>
  <si>
    <t>Zhou, M.X.</t>
  </si>
  <si>
    <t>Zhou, Y.</t>
  </si>
  <si>
    <t>Zhu He</t>
  </si>
  <si>
    <t>Zhu, J.J.H.</t>
  </si>
  <si>
    <t>Zhu, M.</t>
  </si>
  <si>
    <t>Zhuang, G.</t>
  </si>
  <si>
    <t>Zhukov, L.</t>
  </si>
  <si>
    <t>Zhuming Ai</t>
  </si>
  <si>
    <t>Zhuofeng Wu</t>
  </si>
  <si>
    <t>Zi'ang Ding</t>
  </si>
  <si>
    <t>Zicheng Liao</t>
  </si>
  <si>
    <t>Ziebarth, J.P.</t>
  </si>
  <si>
    <t>Ziegeler, S.</t>
  </si>
  <si>
    <t>Ziegler, H.</t>
  </si>
  <si>
    <t>Zieker, M.</t>
  </si>
  <si>
    <t>Ziemkiewicz, C.</t>
  </si>
  <si>
    <t>Zinsmaier, M.</t>
  </si>
  <si>
    <t>Mats Lind;Geoffrey P. Bingham;Camilla Forsell</t>
  </si>
  <si>
    <t>Ziyi Zheng</t>
  </si>
  <si>
    <t>Zlender, U.</t>
  </si>
  <si>
    <t>Dept. of Inf. Sci., Uppsala Univ., Sweden|c|;;</t>
  </si>
  <si>
    <t>Zobel, V.</t>
  </si>
  <si>
    <t>Zockler, M.</t>
  </si>
  <si>
    <t>SpaceTree: supporting exploration in large node link tree, design evolution and empirical evaluation</t>
  </si>
  <si>
    <t>Zolliker, P.</t>
  </si>
  <si>
    <t>10.1109/INFVIS.2002.1173148</t>
  </si>
  <si>
    <t>Zollikofer, C.P.E.</t>
  </si>
  <si>
    <t>http://dx.doi.org/10.1109/INFVIS.2002.1173148</t>
  </si>
  <si>
    <t>Zorcolo, A.</t>
  </si>
  <si>
    <t>Zorin, D.</t>
  </si>
  <si>
    <t>Zotti, G.</t>
  </si>
  <si>
    <t>Zou, G.J.</t>
  </si>
  <si>
    <t>Zuchao Wang</t>
  </si>
  <si>
    <t>Zuiderveld, K.J.</t>
  </si>
  <si>
    <t>Zwa, A.</t>
  </si>
  <si>
    <t>Zwicker, M.</t>
  </si>
  <si>
    <t>Catherine Plaisant;Jesse Grosjean;Benjamin B. Bederson</t>
  </si>
  <si>
    <t>Human-Comput. Interaction Lab., Maryland Univ., MD, USA|c|;;</t>
  </si>
  <si>
    <t>Process visualization with levels of detail</t>
  </si>
  <si>
    <t>10.1109/INFVIS.2002.1173149</t>
  </si>
  <si>
    <t>http://dx.doi.org/10.1109/INFVIS.2002.1173149</t>
  </si>
  <si>
    <t>Kresimir Matkovic;Helwig Hauser;Reinhard Sainitzer;M. Eduard Gr̦ller</t>
  </si>
  <si>
    <t>VRVis Res. Center, Vienna, Austria|c|;;;</t>
  </si>
  <si>
    <t>10.1109/INFVIS.1998.729558;10.1109/INFVIS.2001.963286</t>
  </si>
  <si>
    <t>process visualization, information visualization, levels of detail, focus+context visualization</t>
  </si>
  <si>
    <t>Case study: visualizing sets of evolutionary trees</t>
  </si>
  <si>
    <t>10.1109/INFVIS.2002.1173150</t>
  </si>
  <si>
    <t>http://dx.doi.org/10.1109/INFVIS.2002.1173150</t>
  </si>
  <si>
    <t>Nina Amenta;Jeff Klingner</t>
  </si>
  <si>
    <t>Texas Univ., Austin, TX, USA|c|;</t>
  </si>
  <si>
    <t>10.1109/VISUAL.1996.567787;10.1109/VISUAL.1993.398870</t>
  </si>
  <si>
    <t>InterRing: an interactive tool for visually navigating and manipulating hierarchical structures</t>
  </si>
  <si>
    <t>10.1109/INFVIS.2002.1173151</t>
  </si>
  <si>
    <t>http://dx.doi.org/10.1109/INFVIS.2002.1173151</t>
  </si>
  <si>
    <t>Jing Yang 0001;Matthew O. Ward;Elke A. Rundensteiner</t>
  </si>
  <si>
    <t>10.1109/INFVIS.2001.963290;10.1109/INFVIS.2001.963285;10.1109/INFVIS.1997.636718;10.1109/INFVIS.1999.801858;10.1109/INFVIS.1995.528689;10.1109/INFVIS.2001.963283;10.1109/VISUAL.1991.175815;10.1109/INFVIS.2000.885091;10.1109/INFVIS.1999.801860;10.1109/INFVIS.2001.963284;10.1109/VISUAL.1999.809866;10.1109/INFVIS.2001.963281;10.1109/INFVIS.1998.729557</t>
  </si>
  <si>
    <t>radial space-filling hierarchy visualizations, multi-focus distortion, structure-based brushing</t>
  </si>
  <si>
    <t>A space-optimized tree visualization</t>
  </si>
  <si>
    <t>10.1109/INFVIS.2002.1173152</t>
  </si>
  <si>
    <t>http://dx.doi.org/10.1109/INFVIS.2002.1173152</t>
  </si>
  <si>
    <t>Quang Vinh Nguyen;Mao Lin Huang</t>
  </si>
  <si>
    <t>Fac. of Inf. Technol., Univ. of Technol., Sydney, NSW, Australia|c|;</t>
  </si>
  <si>
    <t>10.1109/INFVIS.1998.729555;10.1109/VISUAL.1991.175815</t>
  </si>
  <si>
    <t>Beamtrees: compact visualization of large hierarchies</t>
  </si>
  <si>
    <t>10.1109/INFVIS.2002.1173153</t>
  </si>
  <si>
    <t>http://dx.doi.org/10.1109/INFVIS.2002.1173153</t>
  </si>
  <si>
    <t>Frank van Ham;Jarke J. van Wijk</t>
  </si>
  <si>
    <t>Dept. of Math. &amp; Comput. Sci., Technische Universiteit Eindhoven, Netherlands|c|;</t>
  </si>
  <si>
    <t>10.1109/INFVIS.2001.963283;10.1109/INFVIS.2001.963290;10.1109/INFVIS.1999.801860;10.1109/VISUAL.1991.175815</t>
  </si>
  <si>
    <t>Visualizing biosequence data using texture mapping</t>
  </si>
  <si>
    <t>10.1109/INFVIS.2002.1173154</t>
  </si>
  <si>
    <t>http://dx.doi.org/10.1109/INFVIS.2002.1173154</t>
  </si>
  <si>
    <t>Praveen R. Thiagarajan;Guang R. Gao</t>
  </si>
  <si>
    <t>Biotechnol. Inst., Delaware Univ., Newark, DE, USA|c|;</t>
  </si>
  <si>
    <t>10.1109/VISUAL.1998.745322;10.1109/INFVIS.2001.963278</t>
  </si>
  <si>
    <t>Arc diagrams: visualizing structure in strings</t>
  </si>
  <si>
    <t>10.1109/INFVIS.2002.1173155</t>
  </si>
  <si>
    <t>http://dx.doi.org/10.1109/INFVIS.2002.1173155</t>
  </si>
  <si>
    <t>Martin Wattenberg</t>
  </si>
  <si>
    <t>IBM Res., Cambridge, MA, USA|c|</t>
  </si>
  <si>
    <t>10.1109/INFVIS.1995.528685;10.1109/VISUAL.1993.398883</t>
  </si>
  <si>
    <t>string, sequence, visualization, arc diagram, music, text, code</t>
  </si>
  <si>
    <t>Interactive information visualization of a million items</t>
  </si>
  <si>
    <t>10.1109/INFVIS.2002.1173156</t>
  </si>
  <si>
    <t>http://dx.doi.org/10.1109/INFVIS.2002.1173156</t>
  </si>
  <si>
    <t>Jean-Daniel Fekete;Catherine Plaisant</t>
  </si>
  <si>
    <t>Human Comput. Interaction Lab., Maryland Univ., Baltimore, MD, USA|c|;</t>
  </si>
  <si>
    <t>10.1109/INFVIS.2001.963274;10.1109/VISUAL.1991.175815;10.1109/INFVIS.2001.963279;10.1109/INFVIS.1995.528685;10.1109/VISUAL.1996.567774</t>
  </si>
  <si>
    <t>Angular brushing of extended parallel coordinates</t>
  </si>
  <si>
    <t>10.1109/INFVIS.2002.1173157</t>
  </si>
  <si>
    <t>http://dx.doi.org/10.1109/INFVIS.2002.1173157</t>
  </si>
  <si>
    <t>Helwig Hauser;Florian Ledermann;Helmut Doleisch</t>
  </si>
  <si>
    <t>VRVis Res. Center, Vienna, Austria|c|;;</t>
  </si>
  <si>
    <t>10.1109/INFVIS.1996.559216;10.1109/VISUAL.2000.885739;10.1109/VISUAL.1994.346302;10.1109/VISUAL.1995.485139;10.1109/VISUAL.1990.146402</t>
  </si>
  <si>
    <t>information visualization, parallel coordinates, brushing, linear correlations, focus+context visualization</t>
  </si>
  <si>
    <t>Multiple foci drill-down through tuple and attribute aggregation polyarchies in tabular data</t>
  </si>
  <si>
    <t>10.1109/INFVIS.2002.1173158</t>
  </si>
  <si>
    <t>http://dx.doi.org/10.1109/INFVIS.2002.1173158</t>
  </si>
  <si>
    <t>Nathan Conklin;Sandeep Prabhakar;Chris North</t>
  </si>
  <si>
    <t>10.1109/INFVIS.2000.885086;10.1109/INFVIS.1997.636761;10.1109/INFVIS.1996.559210</t>
  </si>
  <si>
    <t>ACE: a fast multiscale eigenvectors computation for drawing huge graphs</t>
  </si>
  <si>
    <t>10.1109/INFVIS.2002.1173159</t>
  </si>
  <si>
    <t>http://dx.doi.org/10.1109/INFVIS.2002.1173159</t>
  </si>
  <si>
    <t>Yehuda Koren;Liran Carmel;David Harel</t>
  </si>
  <si>
    <t>Dept. of Comput. Sci. &amp; Appl. Math., Weizmann Inst. of Sci., Rehovot, Israel|c|;;</t>
  </si>
  <si>
    <t>algebraic multigrid, multiscale/multilevel optimization, graph drawing, generalized eigenvalue problem, Fiedler vector, force directed layout, the Hall energy</t>
  </si>
  <si>
    <t>Visual unrolling of network evolution and the analysis of dynamic discourse</t>
  </si>
  <si>
    <t>10.1109/INFVIS.2002.1173160</t>
  </si>
  <si>
    <t>http://dx.doi.org/10.1109/INFVIS.2002.1173160</t>
  </si>
  <si>
    <t>Ulrik Brandes;Steven R. Corman</t>
  </si>
  <si>
    <t>Dept. of Comput. &amp; Inf. Sci., Konstanz Univ., Germany|c|;</t>
  </si>
  <si>
    <t>A hybrid layout algorithm for sub-quadratic multidimensional scaling</t>
  </si>
  <si>
    <t>10.1109/INFVIS.2002.1173161</t>
  </si>
  <si>
    <t>http://dx.doi.org/10.1109/INFVIS.2002.1173161</t>
  </si>
  <si>
    <t>Alistair Morrison;Greg Ross;Matthew Chalmers</t>
  </si>
  <si>
    <t>Dept. of Comput. Sci., Glasgow Univ., UK|c|;;</t>
  </si>
  <si>
    <t>Demystifying venture capital investing</t>
  </si>
  <si>
    <t>10.1109/INFVIS.2002.1173162</t>
  </si>
  <si>
    <t>http://dx.doi.org/10.1109/INFVIS.2002.1173162</t>
  </si>
  <si>
    <t>Accenture Technol. Labs., Palo Alto, CA, USA|c|</t>
  </si>
  <si>
    <t>Visual path analysis</t>
  </si>
  <si>
    <t>10.1109/INFVIS.2002.1173163</t>
  </si>
  <si>
    <t>http://dx.doi.org/10.1109/INFVIS.2002.1173163</t>
  </si>
  <si>
    <t>Alan Keahey;Stephen G. Eick</t>
  </si>
  <si>
    <t>Display design for the eye and mind</t>
  </si>
  <si>
    <t>10.1109/INFVIS.2002.1173164</t>
  </si>
  <si>
    <t>http://dx.doi.org/10.1109/INFVIS.2002.1173164</t>
  </si>
  <si>
    <t>Stephen M. Kosslyn</t>
  </si>
  <si>
    <t>Harvard University|c|</t>
  </si>
  <si>
    <t>Integration of measurement tools in medical 3d visualizations</t>
  </si>
  <si>
    <t>10.1109/VISUAL.2002.1183752</t>
  </si>
  <si>
    <t>http://dx.doi.org/10.1109/VISUAL.2002.1183752</t>
  </si>
  <si>
    <t>Bernhard Preim;Christian Tietjen;Wolf Spindler;Heinz-Otto Peitgen</t>
  </si>
  <si>
    <t>Center for Med. Diagnostic Syst. &amp; Visualization, MeVis, Bremen, Germany|c|;;;</t>
  </si>
  <si>
    <t>medical visualization, computer-assisted surgery, quantitative analysis, interaction techniques</t>
  </si>
  <si>
    <t>Fast visualization of plane-like structures in voxel data</t>
  </si>
  <si>
    <t>10.1109/VISUAL.2002.1183753</t>
  </si>
  <si>
    <t>http://dx.doi.org/10.1109/VISUAL.2002.1183753</t>
  </si>
  <si>
    <t>Steffen Prohaska;Hans-Christian Hege</t>
  </si>
  <si>
    <t>Dept. for Sci. Visualization, Zuse Inst. Berlin, Germany|c|;</t>
  </si>
  <si>
    <t>skeletonization, thinning, distance transform, triangulation, visualization</t>
  </si>
  <si>
    <t>CPR - curved planar reformation</t>
  </si>
  <si>
    <t>10.1109/VISUAL.2002.1183754</t>
  </si>
  <si>
    <t>http://dx.doi.org/10.1109/VISUAL.2002.1183754</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</si>
  <si>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</si>
  <si>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D. Davis;T.Y. Jiang;W. Ribarsky;N. Faust</t>
  </si>
  <si>
    <t>Graphics, Visualization &amp; Usability Center, Georgia Inst. of Technol., Atlanta, GA, USA</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</si>
  <si>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</si>
  <si>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P.D. Heermann</t>
  </si>
  <si>
    <t>Sandia Nat. Labs., Albuquerque, NM, USA</t>
  </si>
  <si>
    <t>Armin Kanitsar;Dominik Fleischmann;Rainer Wegenkittl;Petr Felkel;M. Eduard Gr̦ller</t>
  </si>
  <si>
    <t>Inst. of Comput. Graphics &amp; Algorithms, Vienna Univ. of Technol., Austria|c|;;;;</t>
  </si>
  <si>
    <t>10.1109/VISUAL.2001.964555;10.1109/VISUAL.2001.964538</t>
  </si>
  <si>
    <t>computed tomography angiography, vessel analysis, curved planar reformation</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</si>
  <si>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</si>
  <si>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Direct surface extraction from 3D freehand ultrasound images</t>
  </si>
  <si>
    <t>J. Durbin;J.E. Swan;B. Colbert;J. Crowe;R. King;T. King;C. Scannell;Z. Wartell;T. Welsh</t>
  </si>
  <si>
    <t>10.1109/VISUAL.2002.1183755</t>
  </si>
  <si>
    <t>http://dx.doi.org/10.1109/VISUAL.2002.1183755</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</si>
  <si>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</si>
  <si>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H. Ma;K.W. Jones;E.A. Stern</t>
  </si>
  <si>
    <t>Brookhaven Nat. Lab., Upton, NY, USA</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</si>
  <si>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</si>
  <si>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A. McPherson;M. Maltrud</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</si>
  <si>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</si>
  <si>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P. Rona;K. Bemis;D. Kenchammana-Hosekote;D. Silver</t>
  </si>
  <si>
    <t>Inst. of Marine &amp; Coastal Sci., Rutgers Univ., New Brunswick, NJ, USA</t>
  </si>
  <si>
    <t>The development of a high speed multi-frequency continuous scan sonar at Sonar Research &amp;amp;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</si>
  <si>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P. Chapman;P. Stevens;D. Wills;G. Brookes</t>
  </si>
  <si>
    <t>Dept. of Comput. Sci., Hull Univ., UK</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</si>
  <si>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</si>
  <si>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E. Sacks;L. Joskowicz</t>
  </si>
  <si>
    <t>Purdue Univ., West Lafayette, IN, USA</t>
  </si>
  <si>
    <t>This case study describes a technique for the three-dimensional analysis of the internal microscopic structure (microstructure) of materials. This technique consists of incrementally polishing through a thin layer (approximately 0.2 /spl mu/m)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</si>
  <si>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M. Lanzagorta;M.V. Kral;J.E. Swan;G. Spanos;R. Rosenberg;E. Kuo</t>
  </si>
  <si>
    <t>Youwei Zhang;Robert Rohling;Dinesh K. Pai</t>
  </si>
  <si>
    <t>10.1109/VISUAL.1991.175782;10.1109/VISUAL.1994.346295</t>
  </si>
  <si>
    <t>Radial Basis Functions, Ultrasound, Isosurface, 3D Freehand Ultrasound, Direct Surface Extraction, Unstructured data</t>
  </si>
  <si>
    <t>Interactive rendering of large volume data sets</t>
  </si>
  <si>
    <t>10.1109/VISUAL.2002.1183757</t>
  </si>
  <si>
    <t>http://dx.doi.org/10.1109/VISUAL.2002.1183757</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</si>
  <si>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</si>
  <si>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C.A. Shaffer;D.L. Knill;L.T. Watson</t>
  </si>
  <si>
    <t>Dept. of Comput. Sci., Virginia Polytech. Inst. &amp; State Univ., Blacksburg, VA, USA</t>
  </si>
  <si>
    <t>Stefan Guthe;Michael Wand;Julius Gonser;Wolfgang Stra��er</t>
  </si>
  <si>
    <t>WSI/GRIS, Tubingen Univ., Germany|c|;;;</t>
  </si>
  <si>
    <t>10.1109/VISUAL.2001.964531;10.1109/VISUAL.1999.809908;10.1109/VISUAL.1999.809889;10.1109/VISUAL.1993.398845;10.1109/VISUAL.2001.964519</t>
  </si>
  <si>
    <t>Compression Algorithms, Level of Detail Algorithms, Scientific Visualization, Volume Rendering, Wavelets</t>
  </si>
  <si>
    <t>Semotus Visum: a flexible remote visualization framework</t>
  </si>
  <si>
    <t>10.1109/VISUAL.2002.1183758</t>
  </si>
  <si>
    <t>http://dx.doi.org/10.1109/VISUAL.2002.1183758</t>
  </si>
  <si>
    <t>A. Kaufman;M. Brady;B. Lorensen;F. Kitson;H. Pfister</t>
  </si>
  <si>
    <t>General Electric Corporation</t>
  </si>
  <si>
    <t>Eric Luke;Charles D. Hansen</t>
  </si>
  <si>
    <t>Sci. Comput. &amp; Imaging Inst., Utah Univ., Salt Lake City, UT, USA|c|;</t>
  </si>
  <si>
    <t>10.1109/VISUAL.1997.663891;10.1109/VISUAL.1999.809878;10.1109/VISUAL.1998.745300</t>
  </si>
  <si>
    <t>remote visualization, client/server</t>
  </si>
  <si>
    <t>Out-of-core rendering of massive geometric environments</t>
  </si>
  <si>
    <t>S. Uselton;J. Ahrens;W. Bethel;L. Treinish;A. State</t>
  </si>
  <si>
    <t>10.1109/VISUAL.2002.1183759</t>
  </si>
  <si>
    <t>http://dx.doi.org/10.1109/VISUAL.2002.1183759</t>
  </si>
  <si>
    <t>Gokul Varadhan;Dinesh Manocha</t>
  </si>
  <si>
    <t>G. Grinstein;A. Inselberg;S. Laskowski</t>
  </si>
  <si>
    <t>10.1109/VISUAL.2001.964502;10.1109/VISUAL.1997.663927;10.1109/VISUAL.1997.663888;10.1109/VISUAL.2001.964503</t>
  </si>
  <si>
    <t>University of Massachusetts Lowell</t>
  </si>
  <si>
    <t>external memory, large datasets, walkthroughs, visibility, LODs, prefetching</t>
  </si>
  <si>
    <t>Optimized view-dependent rendering for large polygonal datasets</t>
  </si>
  <si>
    <t>10.1109/VISUAL.2002.1183760</t>
  </si>
  <si>
    <t>http://dx.doi.org/10.1109/VISUAL.2002.1183760</t>
  </si>
  <si>
    <t>D. Laidlaw;D. Kremers;V. Interrante;F. Frankel;T. Banchoff</t>
  </si>
  <si>
    <t>University of Minnesota Computer Scientist</t>
  </si>
  <si>
    <t>Jihad El-Sana;Eitan Bachmant</t>
  </si>
  <si>
    <t>Dept. of Comput. Sci., Ben-Gurion Univ. of the Negev, Beer-Sheva, Israel|c|;</t>
  </si>
  <si>
    <t>10.1109/VISUAL.1999.809877;10.1109/VISUAL.1997.663860;10.1109/VISUAL.2000.885724;10.1109/VISUAL.1998.745283;10.1109/VISUAL.1995.480805</t>
  </si>
  <si>
    <t>Surface Simplification, Level of Detail, Multiresolution Hierarchies, View-Dependent Rendering</t>
  </si>
  <si>
    <t>Volumetric shadows using splatting</t>
  </si>
  <si>
    <t>10.1109/VISUAL.2002.1183761</t>
  </si>
  <si>
    <t>http://dx.doi.org/10.1109/VISUAL.2002.1183761</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</si>
  <si>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</si>
  <si>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S. Parker;P. Shirley;Y. Livnat;C. Hansen;P.-P. Sloan</t>
  </si>
  <si>
    <t>1999</t>
  </si>
  <si>
    <t>Caixia Zhang;Roger Crawfis</t>
  </si>
  <si>
    <t>10.1109/VISUAL.1998.745309;10.1109/VISUAL.1999.809909;10.1109/VISUAL.2000.885698;10.1109/VISUAL.2002.1183764</t>
  </si>
  <si>
    <t>visualization, volume rendering, shadows, illumination</t>
  </si>
  <si>
    <t>Volume clipping via per-fragment operations in texture-based volume visualization</t>
  </si>
  <si>
    <t>10.1109/VISUAL.2002.1183762</t>
  </si>
  <si>
    <t>http://dx.doi.org/10.1109/VISUAL.2002.1183762</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</si>
  <si>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</si>
  <si>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J.J. Van Wijk;E.R. Van Selow</t>
  </si>
  <si>
    <t>Dept. of Math. &amp; Comput. Sci., Eindhoven Univ. of Technol., Netherlands</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</si>
  <si>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</si>
  <si>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C. Stolte;R. Bosch;P. Hanrahan;M. Rosenblum</t>
  </si>
  <si>
    <t>Dept. of Comput. Sci., Stanford Univ., CA, USA</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</si>
  <si>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"visual sensemaking"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</si>
  <si>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E.H. Chi;S.K. Card</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</si>
  <si>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</si>
  <si>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B.B. Bederson;A. Boltman</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</si>
  <si>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</si>
  <si>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K. Rodden;W. Basalaj;D. Sinclair;K. Wood</t>
  </si>
  <si>
    <t>Comput. Lab., Cambridge Univ., UK</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</si>
  <si>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</si>
  <si>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O.J. Espinosa;C. Hendrickson;J.H. Garrett</t>
  </si>
  <si>
    <t>Dept. of Civil &amp; Environ. Eng., Carnegie Mellon Univ., Pittsburgh, PA, USA</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</si>
  <si>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</si>
  <si>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Staffan Björk;Lars Erik Holmquist;Johan Redström</t>
  </si>
  <si>
    <t>S. Bjork;L.E. Holmquist;J. Redstrom</t>
  </si>
  <si>
    <t>Viktoria Inst., Sweden</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</si>
  <si>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</si>
  <si>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Ying-Huey Fua;M.O. Ward;E.A. Rundensteiner</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</si>
  <si>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</si>
  <si>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R.M. Wilson;R.D. Bergeron</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</si>
  <si>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</si>
  <si>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J.J. Van Wijk;H. Van de Wetering</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</si>
  <si>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</si>
  <si>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H. Shiozawa;K. Okada;Y. Matsushita</t>
  </si>
  <si>
    <t>Dept. of Inf. &amp; Comput. Sci., Keio Univ., Yokohama, Japan</t>
  </si>
  <si>
    <t>Daniel Weiskopf;Klaus Engel;Thomas Ertl</t>
  </si>
  <si>
    <t>10.1109/VISUAL.1999.809892;10.1109/VISUAL.2001.964519;10.1109/VISUAL.1999.809884</t>
  </si>
  <si>
    <t>volume rendering, clipping, hardware acceleration</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</si>
  <si>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</si>
  <si>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Interactive spectral volume rendering</t>
  </si>
  <si>
    <t>10.1109/VISUAL.2002.1183763</t>
  </si>
  <si>
    <t>M. Derthick;J. Harrison;A. Moore;S.F. Roth</t>
  </si>
  <si>
    <t>http://dx.doi.org/10.1109/VISUAL.2002.1183763</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</si>
  <si>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</si>
  <si>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J.K. Rayson</t>
  </si>
  <si>
    <t>Mitre Corp., Bedford, MA, USA</t>
  </si>
  <si>
    <t>Steven Bergner;Torsten M̦ller;Mark S. Drew;Graham D. Finlayson</t>
  </si>
  <si>
    <t>Dept. of Simulation &amp; Graphics, Magdeburg Univ., Germany|c|;;;</t>
  </si>
  <si>
    <t>10.1109/VISUAL.2001.964519;10.1109/VISUAL.2001.964515;10.1109/VISUAL.1997.663875</t>
  </si>
  <si>
    <t>spectral volume rendering, post-illumination, interactive re-lighting</t>
  </si>
  <si>
    <t>Interactive translucent volume rendering and procedural modeling</t>
  </si>
  <si>
    <t>10.1109/VISUAL.2002.1183764</t>
  </si>
  <si>
    <t>http://dx.doi.org/10.1109/VISUAL.2002.1183764</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</si>
  <si>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</si>
  <si>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M. Higgins;P. Lucas;J. Sean</t>
  </si>
  <si>
    <t>MAYA Design Group Inc., Pittsburgh, PA, USA</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</si>
  <si>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"black boxes",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"ordering problem" in parallel coordinates. The algorithm is display independent, hence it can be applied to very large in size and number of variables datasets. Though it is instructive to present the results visually, the input size is no longer display-limited as for visual data mining.</t>
  </si>
  <si>
    <t>A. Inselberg;T. Avidan</t>
  </si>
  <si>
    <t>Joe Michael Kniss;Simon Premoze;Charles D. Hansen;David S. Ebert</t>
  </si>
  <si>
    <t>Sci. Comput. &amp; Imaging Inst., Utah Univ., Salt Lake City, UT, USA|c|;;;</t>
  </si>
  <si>
    <t>volume rendering, shading model, volume modeling, procedural modeling</t>
  </si>
  <si>
    <t>A multiphase approach to efficient surface simplification</t>
  </si>
  <si>
    <t>10.1109/VISUAL.2002.1183765</t>
  </si>
  <si>
    <t>http://dx.doi.org/10.1109/VISUAL.2002.1183765</t>
  </si>
  <si>
    <t>An association rule in data mining is an implication of the form X/spl rarr/Y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</si>
  <si>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Pak Chung Wong;P. Whitney;J. Thomas</t>
  </si>
  <si>
    <t>Michael Garland;Eric Shaffer</t>
  </si>
  <si>
    <t>10.1109/VISUAL.2001.964502;10.1109/VISUAL.2001.964503;10.1109/VISUAL.1998.745282;10.1109/VISUAL.1998.745314</t>
  </si>
  <si>
    <t>Many real-world KDD (Knowledge Discovery &amp;amp;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</si>
  <si>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multiphase simplification, quadric error metrics, massive meshes, out-of-core simplification</t>
  </si>
  <si>
    <t>M.C. Hao;U. Dayal;M. Hsu;J. Baker;R. D'Eletto</t>
  </si>
  <si>
    <t>Hewlett Packard Res. Labs., USA</t>
  </si>
  <si>
    <t>Geometric surface smoothing via anisotropic diffusion of normals</t>
  </si>
  <si>
    <t>10.1109/VISUAL.2002.1183766</t>
  </si>
  <si>
    <t>http://dx.doi.org/10.1109/VISUAL.2002.1183766</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</si>
  <si>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</si>
  <si>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S.J. Rose</t>
  </si>
  <si>
    <t>Dept. of Manage. Inf. Syst., Arizona Univ., Tucson, AZ, USA</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</si>
  <si>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</si>
  <si>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Tamara Munzner;François Guimbretière;George G. Robertson</t>
  </si>
  <si>
    <t>T. Munzner;F. Guimbretiere;G. Robertson</t>
  </si>
  <si>
    <t>Tolga Tasdizen;Ross T. Whitaker;Paul Burchard;Stanley Osher</t>
  </si>
  <si>
    <t>Sch. of Comput., Utah Univ., Salt Lake City, UT, USA|c|;;;</t>
  </si>
  <si>
    <t>anisotropic diffusion, surface fairing, geometric surface processing, intrinsic Laplacian of curvature, level sets</t>
  </si>
  <si>
    <t>TetFusion: an algorithm for rapid tetrahedral mesh simplification</t>
  </si>
  <si>
    <t>10.1109/VISUAL.2002.1183767</t>
  </si>
  <si>
    <t>http://dx.doi.org/10.1109/VISUAL.2002.1183767</t>
  </si>
  <si>
    <t>Prashant Chopra;Joerg Meyer</t>
  </si>
  <si>
    <t>Eng. Res. Center, Mississippi State Univ., MS, USA|c|;</t>
  </si>
  <si>
    <t>10.1109/VISUAL.1998.745329;10.1109/VISUAL.1997.663883;10.1109/VISUAL.1999.809868;10.1109/VISUAL.2000.885680;10.1109/VISUAL.1998.745315;10.1109/VISUAL.1999.809901</t>
  </si>
  <si>
    <t>mesh simplification, multi resolution, level-of-detail, unstructured meshes</t>
  </si>
  <si>
    <t>Compressing polygon mesh geometry with parallelogram prediction</t>
  </si>
  <si>
    <t>10.1109/VISUAL.2002.1183768</t>
  </si>
  <si>
    <t>http://dx.doi.org/10.1109/VISUAL.2002.1183768</t>
  </si>
  <si>
    <t>Martin Isenburg;Pierre Alliez</t>
  </si>
  <si>
    <t>North Carolina Univ., Chapel Hill, NC, USA|c|;</t>
  </si>
  <si>
    <t>10.1109/VIS.1999.10000;10.1109/VISUAL.2000.885711;10.1109/VISUAL.1999.809902</t>
  </si>
  <si>
    <t>mesh compression, polygon meshes, geometric coding, linear prediction, parallelogram rule</t>
  </si>
  <si>
    <t>Probabilistic surfaces: point based primitives to show surface uncertainty</t>
  </si>
  <si>
    <t>10.1109/VISUAL.2002.1183769</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</si>
  <si>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</si>
  <si>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Bjørn Heckel;Gunther H. Weber;Bernd Hamann;Kenneth I. Joy</t>
  </si>
  <si>
    <t>B. Heckel;G. Weber;B. Hamann;K.I. Joy</t>
  </si>
  <si>
    <t>http://dx.doi.org/10.1109/VISUAL.2002.1183769</t>
  </si>
  <si>
    <t>Dept. of Comput. Sci., California Univ., Davis, CA, USA</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</si>
  <si>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</si>
  <si>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P.J. Moran;C. Henze</t>
  </si>
  <si>
    <t>MRI Technol. Solutions, NASA Ames Res. Center, Moffett Field, CA, USA</t>
  </si>
  <si>
    <t>Gevorg Grigoryan;Penny Rheingans</t>
  </si>
  <si>
    <t>10.1109/VISUAL.1996.568105;10.1109/VISUAL.2000.885679;10.1109/VISUAL.2001.964492;10.1109/VISUAL.1995.480802</t>
  </si>
  <si>
    <t>uncertainty, visualizing surface uncertainty, points as display primitives</t>
  </si>
  <si>
    <t>PMR: point to mesh rendering, a feature-based approach</t>
  </si>
  <si>
    <t>10.1109/VISUAL.2002.1183770</t>
  </si>
  <si>
    <t>http://dx.doi.org/10.1109/VISUAL.2002.1183770</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</si>
  <si>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</si>
  <si>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A. Telea;J.J. Van Wijk</t>
  </si>
  <si>
    <t>Eindhoven Univ. of Technol., Netherlands</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</si>
  <si>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</si>
  <si>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Tamal K. Dey;James Hudson</t>
  </si>
  <si>
    <t>Ohio State Univ., Columbus, OH, USA|c|;</t>
  </si>
  <si>
    <t>10.1109/VISUAL.2001.964489;10.1109/VISUAL.2001.964492;10.1109/VISUAL.2001.964491;10.1109/VISUAL.1997.663909</t>
  </si>
  <si>
    <t>rendering, feature, multi-resolution, level of details, Voronoi diagram</t>
  </si>
  <si>
    <t>Efficient simplification of point-sampled surfaces</t>
  </si>
  <si>
    <t>10.1109/VISUAL.2002.1183771</t>
  </si>
  <si>
    <t>http://dx.doi.org/10.1109/VISUAL.2002.1183771</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</si>
  <si>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 We complete our work with solutions for the compression of vertex coordinates and additional attributes, which might be attached to the mesh.</t>
  </si>
  <si>
    <t>Stefan Gumhold;Stefan Guthe;Wolfgang Straßer</t>
  </si>
  <si>
    <t>S. Gumhold;S. Guthe;W. Strasser</t>
  </si>
  <si>
    <t>Tubingen Univ., Germany</t>
  </si>
  <si>
    <t>Mark Pauly;Markus H. Gross;Leif Kobbelt</t>
  </si>
  <si>
    <t>Eidgenossische Tech. Hochschule, Zurich, Switzerland|c|;;</t>
  </si>
  <si>
    <t>10.1109/VISUAL.2001.964503;10.1109/VISUAL.1999.809896;10.1109/VISUAL.2001.964502;10.1109/VISUAL.2001.964489;10.1109/VISUAL.2000.885722</t>
  </si>
  <si>
    <t>Exploring scalar fields using critical isovalues</t>
  </si>
  <si>
    <t>10.1109/VISUAL.2002.1183772</t>
  </si>
  <si>
    <t>Complex triangle meshes arise naturally in many areas of computer graphics and visualization. Previous work has shown that a quadric error metric allows fast and accurate geometric simplification of meshes. This quadric approach was recently generalized to handle meshes with appearance attributes. In this paper we present an improved quadric error metric for simplifying meshes with attributes. The new metric, based on geometric correspondence in 3D, requires less storage, evaluates more quickly, and results in more accurate simplified meshes. Meshes often have attribute discontinuities, such as surface creases and material boundaries, which require multiple attribute vectors per vertex. We show that a wedge-based mesh data structure captures such discontinuities efficiently and permits simultaneous optimization of these multiple attribute vectors. In addition to the new quadric metric, we experiment with two techniques proposed in geometric simplification, memoryless simplification and volume preservation, and show that both of these are beneficial within the quadric framework. The new scheme is demonstrated on a variety of meshes with colors and normals.</t>
  </si>
  <si>
    <t>http://dx.doi.org/10.1109/VISUAL.2002.1183772</t>
  </si>
  <si>
    <t>Gunther H. Weber;Gerik Scheuermann;Hans Hagen;Bernd Hamann</t>
  </si>
  <si>
    <t>AG Graphische Datenverarbeitung und Computergeometrie, Kaiserslautern Univ., Germany|c|;;;</t>
  </si>
  <si>
    <t>10.1109/VISUAL.1990.146401;10.1109/VISUAL.1997.663875;10.1109/VISUAL.1998.745284;10.1109/VISUAL.1999.809932;10.1109/VISUAL.1991.175782;10.1109/VISUAL.2000.885703;10.1109/VISUAL.2000.885705</t>
  </si>
  <si>
    <t>scalar field topology, critical point, volume visualization, data exploration, isosurfaces, marching cubes</t>
  </si>
  <si>
    <t>Level set segmentation from multiple non-uniform volume datasets</t>
  </si>
  <si>
    <t>10.1109/VISUAL.2002.1183773</t>
  </si>
  <si>
    <t>http://dx.doi.org/10.1109/VISUAL.2002.1183773</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</si>
  <si>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</si>
  <si>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André Guéziec;Frank Bossen;Gabriel Taubin;Cláudio T. Silva</t>
  </si>
  <si>
    <t>A. Gueziec;F. Bossen;G. Taubin;C. Silva</t>
  </si>
  <si>
    <t>Multigen Paradigm, San Jose, CA, USA</t>
  </si>
  <si>
    <t>Ken Museth;David E. Breen;Leonid Zhukov;Ross T. Whitaker</t>
  </si>
  <si>
    <t>Dept. of Comput. Sci., California Inst. of Technol., Pasadena, CA, USA|c|;;;</t>
  </si>
  <si>
    <t>segmentation, visualization, level set models, 3D reconstruction</t>
  </si>
  <si>
    <t>Efficient computation of the topology of level sets</t>
  </si>
  <si>
    <t>10.1109/VISUAL.2002.1183774</t>
  </si>
  <si>
    <t>http://dx.doi.org/10.1109/VISUAL.2002.1183774</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</si>
  <si>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</si>
  <si>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</si>
  <si>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Baoquan Chen;F. Dachille;A. Kaufman</t>
  </si>
  <si>
    <t>Valerio Pascucci;Kree Cole-McLaughlin</t>
  </si>
  <si>
    <t>Center of Appl. Sci. Comput., Lawrence Livermore Nat. Lab., CA, USA|c|;</t>
  </si>
  <si>
    <t>Isosurfaces, Level Set Topology, Betti Numbers</t>
  </si>
  <si>
    <t>Fast and reliable space leaping for interactive volume rendering</t>
  </si>
  <si>
    <t>10.1109/VISUAL.2002.1183775</t>
  </si>
  <si>
    <t>http://dx.doi.org/10.1109/VISUAL.2002.1183775</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</si>
  <si>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</si>
  <si>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N. Sahasrabudhe;J.E. West;R. Machiraju;M. Janus</t>
  </si>
  <si>
    <t>Ming Wan;Aamir Sadiq;Arie E. Kaufman</t>
  </si>
  <si>
    <t>virtual navigation, volume visualization, ray-casting optimization, space leaping</t>
  </si>
  <si>
    <t>A new object-order ray-casting algorithm</t>
  </si>
  <si>
    <t>10.1109/VISUAL.2002.1183776</t>
  </si>
  <si>
    <t>http://dx.doi.org/10.1109/VISUAL.2002.1183776</t>
  </si>
  <si>
    <t>A method for comparing three-dimensional vector fields constructed from simple critical points is described. This method is a natural extension of previous work (Y. Lavin et al., 1998),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is therefore stored for each field, a significant amount of compression occurs.</t>
  </si>
  <si>
    <t>R. Batra;L. Hesselink</t>
  </si>
  <si>
    <t>Benjamin Mora;Jean-Pierre Jessel;Ren̩ Caubet</t>
  </si>
  <si>
    <t>Dept. of Aeronaut. &amp; Astronaut., Stanford Univ., CA, USA</t>
  </si>
  <si>
    <t>Inst. de Recherche en Informatique de Toulouse (IRIT), Univ. Paul Sabatier, Toulouse, France|c|;;</t>
  </si>
  <si>
    <t>10.1109/VISUAL.2001.964498;10.1109/VISUAL.2001.964521;10.1109/VISUAL.1999.809889;10.1109/VISUAL.1998.745309;10.1109/VISUAL.2000.885698;10.1109/VISUAL.1999.809911;10.1109/VISUAL.1999.809909;10.1109/VISUAL.1994.346331;10.1109/VISUAL.1995.480792</t>
  </si>
  <si>
    <t>Volume Rendering, Scientific Visualization, Medical Imaging, Ray Tracing</t>
  </si>
  <si>
    <t>Non-photorealistic volume rendering using stippling techniques</t>
  </si>
  <si>
    <t>10.1109/VISUAL.2002.1183777</t>
  </si>
  <si>
    <t>http://dx.doi.org/10.1109/VISUAL.2002.1183777</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</si>
  <si>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</si>
  <si>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James T. Klosowski;Cláudio T. Silva</t>
  </si>
  <si>
    <t>J.T. Klosowski;C.T. Silva</t>
  </si>
  <si>
    <t>We describe a framework for time-critical rendering of graphics scenes composed of a large number of objects having complex geometric descriptions. Our technique relies upon a scene description in which objects are represented as multiresolution meshes. We perform a constrained optimization at each frame to choose the resolution of each potentially visible object that generates the best quality image while meeting timing constraints. The technique provides smooth level-of-detail control and aims at guaranteeing a uniform, bounded frame rate even for widely changing viewing conditions. The optimization algorithm is independent from the particular data structure used to represent multiresolution meshes. The only requirements are the ability to represent a mesh with an arbitrary number of triangles and to traverse a mesh structure at an arbitrary resolution in a short predictable time. A data structure satisfying these criteria is described and experimental results are discussed.</t>
  </si>
  <si>
    <t>Aidong Lu;Christopher J. Morris;David S. Ebert;Penny Rheingans;Charles D. Hansen</t>
  </si>
  <si>
    <t>E. Gobbetti;E. Bouvier</t>
  </si>
  <si>
    <t>Purdue Univ., West Lafayette, IN, USA|c|;;;;</t>
  </si>
  <si>
    <t>10.1109/VISUAL.1997.663894;10.1109/VISUAL.2001.964492;10.1109/VISUAL.2000.885694;10.1109/VISUAL.2001.964490;10.1109/VISUAL.2001.964522;10.1109/VISUAL.2000.885696</t>
  </si>
  <si>
    <t>non-photorealistic rendering, volume rendering, scientific visualization, medical imaging</t>
  </si>
  <si>
    <t>Interactive visualization of complex plant ecosystems</t>
  </si>
  <si>
    <t>10.1109/VISUAL.2002.1183778</t>
  </si>
  <si>
    <t>http://dx.doi.org/10.1109/VISUAL.2002.1183778</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</si>
  <si>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</si>
  <si>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J. El-Sana;E. Azanli;A. Varshney</t>
  </si>
  <si>
    <t>Dept. of Math. &amp; Comput. Sci., Ben-Gurion Univ. of the Negev, Beer-Sheva, Israel</t>
  </si>
  <si>
    <t>Oliver Deussen;Carsten Colditz;Marc Stamminger;George Drettakis</t>
  </si>
  <si>
    <t>Fac. of Comput. Sci., Dresden Univ. of Technol., Germany|c|;;;</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</si>
  <si>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</si>
  <si>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10.1109/VISUAL.1997.663860;10.1109/VISUAL.2001.964491;10.1109/VISUAL.2001.964492</t>
  </si>
  <si>
    <t>Klaus Engel;Rüdiger Westermann;Thomas Ertl</t>
  </si>
  <si>
    <t>Synthetic Plants, Ecosystems, Point-based rendering, Level-of-detail Algorithms</t>
  </si>
  <si>
    <t>K. Engel;R. Westermann;T. Ertl</t>
  </si>
  <si>
    <t>Stuttgart Univ., Germany</t>
  </si>
  <si>
    <t>Simulating fire with texture splats</t>
  </si>
  <si>
    <t>10.1109/VISUAL.2002.1183779</t>
  </si>
  <si>
    <t>http://dx.doi.org/10.1109/VISUAL.2002.1183779</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</si>
  <si>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</si>
  <si>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P. Sutton;C.D. Hansen</t>
  </si>
  <si>
    <t>Xiaoming Wei;Wei Li 0004;Klaus Mueller;Arie E. Kaufman</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</si>
  <si>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</si>
  <si>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C.D. Shaw;J.A. Hall;D.S. Ebert;D.A. Roberts</t>
  </si>
  <si>
    <t>Regina Univ., Sask., Canada</t>
  </si>
  <si>
    <t>Fire Modeling, Textured Splatting, Lattice Boltzmann Model, Graphics Hardware</t>
  </si>
  <si>
    <t>Visualizing dynamic molecular conformations</t>
  </si>
  <si>
    <t>10.1109/VISUAL.2002.1183780</t>
  </si>
  <si>
    <t>http://dx.doi.org/10.1109/VISUAL.2002.1183780</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</si>
  <si>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</si>
  <si>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R. Raskar;M.S. Brown;Ruigang Yang;Wei-Chao Chen;G. Welch;H. Towles;B. Scales;H. Fuchs</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</si>
  <si>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</si>
  <si>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Bernd Fröhlich 0001;Stephen Barrass;Björn Zehner;John Plate;Martin Göbel</t>
  </si>
  <si>
    <t>B. Frohlich;S. Barrass;B. Zehner;J. Plate;M. Gobel</t>
  </si>
  <si>
    <t>GMD German Nat. Res. Center for Inf. Technol., Germany</t>
  </si>
  <si>
    <t>Johannes Schmidt-Ehrenberg;Daniel Baum;Hans-Christian Hege</t>
  </si>
  <si>
    <t>Zuse Inst. Berlin (ZIB), Germany|c|;;</t>
  </si>
  <si>
    <t>uncertainty visualization, molecular conformation analysis, molecular modeling, drug design</t>
  </si>
  <si>
    <t>GeneVis: visualization tools for genetic regulatory network dynamics</t>
  </si>
  <si>
    <t>10.1109/VISUAL.2002.1183781</t>
  </si>
  <si>
    <t>http://dx.doi.org/10.1109/VISUAL.2002.1183781</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</si>
  <si>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</si>
  <si>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S. Hadap;E. Bongarter;P. Volino;N. Magnenat-Thalmann</t>
  </si>
  <si>
    <t>Geneva Univ., Switzerland</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</si>
  <si>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</si>
  <si>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G. Kindlmann;D. Weinstein</t>
  </si>
  <si>
    <t>Charles A. H. Baker;Sheelagh Carpendale;Przemyslaw Prusinkiewicz;Michael G. Surette</t>
  </si>
  <si>
    <t>Dept. of Comput. Sci., Calgary Univ., Alta., Canada|c|;;;</t>
  </si>
  <si>
    <t>biological visualization, visualization, multi-representation, genetic networks, lenses, focus and context</t>
  </si>
  <si>
    <t>Isometric embedding by surface reconstruction from distances</t>
  </si>
  <si>
    <t>10.1109/VISUAL.2002.1183782</t>
  </si>
  <si>
    <t>http://dx.doi.org/10.1109/VISUAL.2002.1183782</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</si>
  <si>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</si>
  <si>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K.A. Kreeger;A.E. Kaufman</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</si>
  <si>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</si>
  <si>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C. Gasparakis</t>
  </si>
  <si>
    <t>Mitsubishi Electr. Inf. Technol. Center, USA</t>
  </si>
  <si>
    <t>Ingrid Hotz</t>
  </si>
  <si>
    <t>Dept. of Comput. Sci., Kaiserslautern Univ., Germany|c|</t>
  </si>
  <si>
    <t>10.1109/VISUAL.1992.235193;10.1109/VISUAL.1998.745316</t>
  </si>
  <si>
    <t>isometric embedding, metric, tensor fields</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</si>
  <si>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</si>
  <si>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Michael Meißner;Ulrich Hoffmann;Wolfgang Straßer</t>
  </si>
  <si>
    <t>M. Meissner;U. Hoffmann;W. Strasser</t>
  </si>
  <si>
    <t>Comput. Graphics Lab., Tubingen Univ., Germany</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</si>
  <si>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</si>
  <si>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G. Humphreys;P. Hanrahan</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</si>
  <si>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</si>
  <si>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C.C. Law;W.J. Schroeder;K.M. Martin;J. Temkin</t>
  </si>
  <si>
    <t>Kitware Inc., USA</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</si>
  <si>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</si>
  <si>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C. Rezk-Salama;P. Hastreiter;C. Teitzel;T. Ertl</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</si>
  <si>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</si>
  <si>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E.A. Wernert;A.J. Hanson</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</si>
  <si>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 based propagation technique, and has the effect of stabilizing the tracking. To demonstrate the efficacy of tensorlines, we apply this method to the neuroscience problem of tracking white-matter bundles within the brain.</t>
  </si>
  <si>
    <t>D. Weinstein;G. Kindlmann;E. Lundberg</t>
  </si>
  <si>
    <t>We present a method for visualizing three dimensional vector fields which are defined on a two dimensional manifold only. These vector fields do exist in real application, as we show by an example of an optical measuring instrument which can gauge the displacement at the surface of a mechanical part. The general idea is to compute LIC textures in the manifold's tangent space and to deform the manifold according to the normal information. The resulting LIC texture is mapped onto the deformed manifold and is rendered as a three dimensional scene. Due to the light's reflection on the deformed manifold, one can interactively explore the result of the deformation.</t>
  </si>
  <si>
    <t>G. Scheuermann;H. Barbach;H. Hagen</t>
  </si>
  <si>
    <t>We propose an elementary operation on a pair of vector fields as a building block for defining and computing global line-type features of vector or scalar fields. While usual feature definitions often are procedural and therefore implicit, our operator allows precise mathematical definitions. It can serve as a basis for comparing feature definitions and for reuse of algorithms and implementations. Applications focus on vortex core methods.</t>
  </si>
  <si>
    <t>R. Peikert;M. Roth</t>
  </si>
  <si>
    <t>Dept. of Comput. Sci., ETH Zurich, Switzerland</t>
  </si>
  <si>
    <t>An application of C/sup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</si>
  <si>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G. Scheuermann;X. Tricoche;H. Hagen</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</si>
  <si>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</si>
  <si>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Fast view-dependent level-of-detail rendering using cached geometry</t>
  </si>
  <si>
    <t>G.-P. Bonneau</t>
  </si>
  <si>
    <t>CNRS, France</t>
  </si>
  <si>
    <t>10.1109/VISUAL.2002.1183783</t>
  </si>
  <si>
    <t>http://dx.doi.org/10.1109/VISUAL.2002.1183783</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</si>
  <si>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</si>
  <si>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G.M. Nielson;D. Holliday;T. Roxborough</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</si>
  <si>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</si>
  <si>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B. Chen;J.E. Swan;E. Kuo;A. Kaufman</t>
  </si>
  <si>
    <t>Joshua Levenberg</t>
  </si>
  <si>
    <t>California Univ., Berkeley, CA, USA|c|</t>
  </si>
  <si>
    <t>10.1109/VISUAL.1997.663860;10.1109/VISUAL.1996.567600;10.1109/VISUAL.1998.745280;10.1109/VISUAL.2001.964533;10.1109/VISUAL.1996.568126;10.1109/VISUAL.1998.745282</t>
  </si>
  <si>
    <t>view-dependent mesh, level of detail, height fields, terrain, binary triangle trees, triangle bintree, multiresolution meshes, displacement maps, frame-to-frame coherence</t>
  </si>
  <si>
    <t>Irregular tetrahedral meshes, which are popular in many engineering and scientific applications, often contain a large number of vertices. A mesh of V vertices and T tetrahedra requires 48 V bits or less to store the vertex coordinates, 4/spl middot/T/spl middot/log/sub 2/(V) bits to store the tetrahedra-vertex incidence relations, also called connectivity information, and kV bits to store the k-bit value samples associated with the vertices. Given that T is 5 to 7 times larger than V and that V often exceeds 32/sup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</si>
  <si>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R. Pajarola;J. Rossignac;A. Szymczak</t>
  </si>
  <si>
    <t>Visibility-guided simplification</t>
  </si>
  <si>
    <t>10.1109/VISUAL.2002.1183784</t>
  </si>
  <si>
    <t>http://dx.doi.org/10.1109/VISUAL.2002.1183784</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</si>
  <si>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</si>
  <si>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C.L. Bajaj;V. Pascucci;G. Zhuang</t>
  </si>
  <si>
    <t>Eugene Zhang;Greg Turk</t>
  </si>
  <si>
    <t>GVU Center &amp; Coll. of Comput., Georgia Inst. of Technol., Atlanta, GA, USA|c|;</t>
  </si>
  <si>
    <t>10.1109/VISUAL.1999.809869;10.1109/VISUAL.2000.885723</t>
  </si>
  <si>
    <t>Visualization, Visibility, Mesh Simplification, Rendering</t>
  </si>
  <si>
    <t>Maximum entropy light source placement</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</si>
  <si>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</si>
  <si>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10.1109/VISUAL.2002.1183785</t>
  </si>
  <si>
    <t>http://dx.doi.org/10.1109/VISUAL.2002.1183785</t>
  </si>
  <si>
    <t>Sandia Nat. Labs., CA, USA</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</si>
  <si>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</si>
  <si>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Tobias Preußer;Martin Rumpf</t>
  </si>
  <si>
    <t>T. Preusser;M. Rumpf</t>
  </si>
  <si>
    <t>Inst. fur Angewandte Math., Bonn Univ., Germany</t>
  </si>
  <si>
    <t>Stefan Gumhold</t>
  </si>
  <si>
    <t>WSI/GRIS, Tubingen Univ., Germany|c|</t>
  </si>
  <si>
    <t>Lighting Design, Visualization, Illumination, Maximum Entropy, Optimization, User Study</t>
  </si>
  <si>
    <t>Computing singularities of 3D vector fields with geometric algebra</t>
  </si>
  <si>
    <t>10.1109/VISUAL.2002.1183786</t>
  </si>
  <si>
    <t>http://dx.doi.org/10.1109/VISUAL.2002.1183786</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</si>
  <si>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</si>
  <si>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R.M. Kirby;H. Marmanis;D.H. Laidlaw</t>
  </si>
  <si>
    <t>Div. of Appl. Math., Brown Univ., Providence, RI, USA</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</si>
  <si>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</si>
  <si>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V. Verma;D. Kao;A. Pang</t>
  </si>
  <si>
    <t>Stephen Mann;Alyn P. Rockwood</t>
  </si>
  <si>
    <t>Waterloo Univ., Ont., Canada|c|;</t>
  </si>
  <si>
    <t>10.1109/VISUAL.1997.663858;10.1109/VISUAL.1997.663871</t>
  </si>
  <si>
    <t>Geometric Algebra, 3D Vector Fields, Singularities</t>
  </si>
  <si>
    <t>Seamster: inconspicuous low-distortion texture seam layout</t>
  </si>
  <si>
    <t>10.1109/VISUAL.2002.1183787</t>
  </si>
  <si>
    <t>http://dx.doi.org/10.1109/VISUAL.2002.1183787</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</si>
  <si>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topologies.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</si>
  <si>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W. De Leeuw;R. Van Liere</t>
  </si>
  <si>
    <t>Alla Sheffer;John C. Hart</t>
  </si>
  <si>
    <t>Texture Mapping, Visibility Classification</t>
  </si>
  <si>
    <t>Face-based luminance matching for perceptual colormap generation</t>
  </si>
  <si>
    <t>10.1109/VISUAL.2002.1183788</t>
  </si>
  <si>
    <t>http://dx.doi.org/10.1109/VISUAL.2002.1183788</t>
  </si>
  <si>
    <t>We present a multiresolution technique for interactive texture-based volume visualization of very large data sets. This method uses an adaptive scheme that renders the volume in a region-of-interest at a high resolution and the volume away from this region at progressively lower resolutions. The algorithm is based on the segmentation of texture space into an octree, where the leaves of the tree define the original data and the internal nodes define lower-resolution versions. Rendering is done adaptively by selecting high-resolution cells close to a center of attention and low-resolution cells away from this area. We limit the artifacts introduced by this method by modifying the transfer functions in the lower-resolution data sets and utilizing spherical shells as a proxy geometry. It is possible to use this technique to produce viewpoint-dependent renderings of very large data sets.</t>
  </si>
  <si>
    <t>E. LaMar;B. Hamann;K.I. Joy</t>
  </si>
  <si>
    <t>Gordon L. Kindlmann;Erik Reinhard;Sarah H. Creem-Regehr</t>
  </si>
  <si>
    <t>10.1109/VISUAL.1995.480803;10.1109/VISUAL.1992.235201;10.1109/VISUAL.2001.964510</t>
  </si>
  <si>
    <t>Colormaps, Color Scales, Isoluminance, Brightness Matching, Perceptually-based Visualization</t>
  </si>
  <si>
    <t>Geometric verification of swirling features in flow fields</t>
  </si>
  <si>
    <t>10.1109/VISUAL.2002.1183789</t>
  </si>
  <si>
    <t>http://dx.doi.org/10.1109/VISUAL.2002.1183789</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</si>
  <si>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</si>
  <si>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Klaus Mueller;Torsten Möller;Roger Crawfis</t>
  </si>
  <si>
    <t>K. Mueller;T. Moller;R. Crawlis</t>
  </si>
  <si>
    <t>Ming Jiang 0005;Raghu Machiraju;David S. Thompson</t>
  </si>
  <si>
    <t>Ohio State Univ., Columbus, OH, USA|c|;;</t>
  </si>
  <si>
    <t>10.1109/VISUAL.1999.809896;10.1109/VISUAL.1998.745333;10.1109/VISUAL.1998.745296;10.1109/VISUAL.1993.398877</t>
  </si>
  <si>
    <t>feature verification, vortex detection, flow field visualization</t>
  </si>
  <si>
    <t>Comparative evaluation of visualization and experimental results using image comparison metrics</t>
  </si>
  <si>
    <t>10.1109/VISUAL.2002.1183790</t>
  </si>
  <si>
    <t>http://dx.doi.org/10.1109/VISUAL.2002.1183790</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</si>
  <si>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</si>
  <si>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H.-W. Shen;L.-J. Chiang;K.-L. Ma</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</si>
  <si>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256/sup 3/ volumetric data sets at 10-30 Hz. We describe the theory and implementation of our algorithm, and shows its superiority over the shear-warp factorization approach.</t>
  </si>
  <si>
    <t>M. Wan;A. Kaufman;S. Bryson</t>
  </si>
  <si>
    <t>Hualin Zhou;Min Chen;Michael F. Webster</t>
  </si>
  <si>
    <t>Univ. of Wales, Swansea, UK|c|;;</t>
  </si>
  <si>
    <t>10.1109/VISUAL.1999.809873;10.1109/VISUAL.1996.568140;10.1109/VISUAL.1998.745332</t>
  </si>
  <si>
    <t>scientific visualization, comparative visualization, image comparison, error metrics, human vision system, rheology</t>
  </si>
  <si>
    <t>A model for the visualization exploration process</t>
  </si>
  <si>
    <t>10.1109/VISUAL.2002.1183791</t>
  </si>
  <si>
    <t>http://dx.doi.org/10.1109/VISUAL.2002.1183791</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</si>
  <si>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</si>
  <si>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Dirk Bartz;Wolfgang Straßer;Martin Skalej;Dorothea Welte</t>
  </si>
  <si>
    <t>D. Bartz;W. Strasser;M. Skalej;D. Welte</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</si>
  <si>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</si>
  <si>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T.S. Yoo;P. Rheingans</t>
  </si>
  <si>
    <t>Nat. Libr. of Med., Bethesda, MD, USA</t>
  </si>
  <si>
    <t>T. J. Jankun-Kelly;Kwan-Liu Ma;Michael Gertz</t>
  </si>
  <si>
    <t>Comput. Sci. Dept., California Univ., Davis, CA, USA|c|;;</t>
  </si>
  <si>
    <t>10.1109/VISUAL.2002.1183816;10.1109/INFVIS.1998.729560;10.1109/VISUAL.1999.809871;10.1109/VISUAL.1995.480821;10.1109/VISUAL.1993.398857;10.1109/VISUAL.1992.235203;10.1109/VISUAL.1995.480801;10.1109/VISUAL.1994.346304</t>
  </si>
  <si>
    <t>visualization process, visualization models, scientific and information visualization, collaboration, XML</t>
  </si>
  <si>
    <t>Sea of images</t>
  </si>
  <si>
    <t>10.1109/VISUAL.2002.1183792</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</si>
  <si>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</si>
  <si>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http://dx.doi.org/10.1109/VISUAL.2002.1183792</t>
  </si>
  <si>
    <t>M. Wan;Q. Tang;A. Kaufman;Z. Liang;M. Wax</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</si>
  <si>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</si>
  <si>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Z. Maslak;D.J. Steel;R. McDermott</t>
  </si>
  <si>
    <t>Dept. of Art, Utah Univ., Salt Lake City, UT, USA</t>
  </si>
  <si>
    <t>Daniel G. Aliaga;Thomas A. Funkhouser;Dimah Yanovsky;Ingrid Carlbom</t>
  </si>
  <si>
    <t>Lucent Technol. Bell Labs, NJ, USA|c|;;;</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</si>
  <si>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</si>
  <si>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image-based rendering, capture, reconstruction, interactive, walkthrough</t>
  </si>
  <si>
    <t>S. Djurcilov;A. Pang</t>
  </si>
  <si>
    <t>Scalable alignment of large-format multi-projector displays using camera homography trees</t>
  </si>
  <si>
    <t>10.1109/VISUAL.2002.1183793</t>
  </si>
  <si>
    <t>http://dx.doi.org/10.1109/VISUAL.2002.1183793</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</si>
  <si>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</si>
  <si>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H.-G. Pagendarm;B. Henne;M. Rutten</t>
  </si>
  <si>
    <t>DLR, Gottingen, Germany</t>
  </si>
  <si>
    <t>Han Chen;Rahul Sukthankar;Grant Wallace;Kai Li 0001</t>
  </si>
  <si>
    <t>Comput. Sci., Princeton Univ., NJ, USA|c|;;;</t>
  </si>
  <si>
    <t>10.1109/VISUAL.1999.809883;10.1109/VISUAL.2001.964508;10.1109/VISUAL.2000.885685</t>
  </si>
  <si>
    <t>large-format tiled projection display, display wall, camera-projector systems, camera-based registration and calibration, automatic alignment, scalability, simulation, evaluation</t>
  </si>
  <si>
    <t>Efficient compression and rendering of multi-resolution meshes</t>
  </si>
  <si>
    <t>10.1109/VISUAL.2002.1183794</t>
  </si>
  <si>
    <t>The work presents interactive flow visualization techniques specifically adapted for PowerFLOW/sup TM/, a lattice based CFD code from the EXA corporation. Their Digital Physics/sup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</si>
  <si>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http://dx.doi.org/10.1109/VISUAL.2002.1183794</t>
  </si>
  <si>
    <t>M. Schulz;F. Reck;W. Bertelheimer;T. Ertl</t>
  </si>
  <si>
    <t>Visualization &amp; Interactive Syst. Group, Stuttgart Univ., Germany</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</si>
  <si>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</si>
  <si>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Zachi Karni;Alexander Bogomjakov;Craig Gotsman</t>
  </si>
  <si>
    <t>Fac. of Comput. Sci., Technion - Israel Inst. of Technol., Haifa, Israel|c|;;</t>
  </si>
  <si>
    <t>progressive compression, wavelets, geometry coding, rendering</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</si>
  <si>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</si>
  <si>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Bounded-distortion piecewise mesh parameterization</t>
  </si>
  <si>
    <t>10.1109/VISUAL.2002.1183795</t>
  </si>
  <si>
    <t>http://dx.doi.org/10.1109/VISUAL.2002.1183795</t>
  </si>
  <si>
    <t>S. Chakaveh;U. Zlender;D. Skaley;K. Fostiropoulos;D. Breitschwerdt</t>
  </si>
  <si>
    <t>IMK-DELTA, Nat. Res. Center for Inf. Technol., St. Augustin, Germany</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</si>
  <si>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</si>
  <si>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A. Goel;C. Baker;C.A. Shaffer;B. Grossman;R.T. Haftka;W.H. Mason;L.T. Watson</t>
  </si>
  <si>
    <t>Olga Sorkine-Hornung;Daniel Cohen-Or;Rony Goldenthal;Dani Lischinski</t>
  </si>
  <si>
    <t>Sch. of Comput. Sci., Tel Aviv Univ., Israel|c|;;;</t>
  </si>
  <si>
    <t>atlas, mesh partitioning, parameterization, surface flattening, texture mapping, 3D painting</t>
  </si>
  <si>
    <t>XFastMesh: fast view-dependent meshing from external memory</t>
  </si>
  <si>
    <t>10.1109/VISUAL.2002.1183796</t>
  </si>
  <si>
    <t>http://dx.doi.org/10.1109/VISUAL.2002.1183796</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</si>
  <si>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</si>
  <si>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C. Winkler;F. Bosquet;X. Cavin;J.-C. Paul</t>
  </si>
  <si>
    <t>Inst. Nat. de Recherche en Inf. et Autom., Nancy, France</t>
  </si>
  <si>
    <t>Christopher DeCoro;Renato Pajarola</t>
  </si>
  <si>
    <t>Dept. of Inf. &amp; Comput. Sci., California Univ., Irvine, CA, USA|c|;</t>
  </si>
  <si>
    <t>10.1109/VISUAL.1997.663860;10.1109/VISUAL.2001.964502;10.1109/VISUAL.1998.745283;10.1109/VISUAL.2001.964503;10.1109/VISUAL.1996.568126;10.1109/VISUAL.1998.745282</t>
  </si>
  <si>
    <t>level-of-detail, multiresolution modeling, out-of-core rendering, interactive large-scale visualization</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</si>
  <si>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</si>
  <si>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Tensor field visualisation using adaptive filtering of noise fields combined with glyph rendering</t>
  </si>
  <si>
    <t>10.1109/VISUAL.2002.1183797</t>
  </si>
  <si>
    <t>R. Azuma;H. Neely;M. Daily;M. Correa</t>
  </si>
  <si>
    <t>http://dx.doi.org/10.1109/VISUAL.2002.1183797</t>
  </si>
  <si>
    <t>HRL Labs., USA</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</si>
  <si>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</si>
  <si>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D. Davis;W. Ribarsky;T.Y. Jiang;N. Fanst;S. Ho</t>
  </si>
  <si>
    <t>GVU Center, Georgia Inst. of Technol., Atlanta, GA, USA</t>
  </si>
  <si>
    <t>Andreas Sigfridsson;Tino Ebbers;Einar Heiberg;Lars Wigstr̦m</t>
  </si>
  <si>
    <t>Dept. of Medicine &amp; Care, Linkoping Univ., Sweden|c|;;;</t>
  </si>
  <si>
    <t>10.1109/VISUAL.1992.235193;10.1109/VISUAL.1999.809905;10.1109/VISUAL.1998.745294;10.1109/VISUAL.1995.480817</t>
  </si>
  <si>
    <t>Tensor, Visualization, Volume rendering, Glyph rendering, Hybrid rendering, Strain-rate</t>
  </si>
  <si>
    <t>Volume deformation for tensor visualization</t>
  </si>
  <si>
    <t>10.1109/VISUAL.2002.1183798</t>
  </si>
  <si>
    <t>http://dx.doi.org/10.1109/VISUAL.2002.1183798</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</si>
  <si>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</si>
  <si>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E. Feibush;N. Gagvani;D. Williams</t>
  </si>
  <si>
    <t>Sarnoff Corp., Princeton, NJ, USA</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</si>
  <si>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</si>
  <si>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P. Chapman;D. Wills;P. Stevens;G. Brookes</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</si>
  <si>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</si>
  <si>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C. Chen;L. Carr</t>
  </si>
  <si>
    <t>Dept. of Inf. Syst. &amp; Comput., Brunel Univ., Uxbridge, UK</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</si>
  <si>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</si>
  <si>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D.L. Gresh;B.E. Rogowitz;M.S. Tignor;E.J. Mayland</t>
  </si>
  <si>
    <t>Visual exploration of massive datasets arising from telecommunication networks and services is a challenge. This paper describes SWIFT-3D, an integrated data visualization and exploration system created at AT&amp;amp;T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</si>
  <si>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E.E. Koutsofios;S.C. North;R. Truscott;D.A. Keim</t>
  </si>
  <si>
    <t>Inf. Visualization Res., AT&amp;T Labs., Florham Park, NJ, USA</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</si>
  <si>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</si>
  <si>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C.J. Manaster;E. Nanthakumar;P.A. Morin</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</si>
  <si>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</si>
  <si>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I. Fujishiro;T. Azuma;Y. Takeshima</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</si>
  <si>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</si>
  <si>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M. Hopf;T. Ertl</t>
  </si>
  <si>
    <t>Recent advances in fire science and computer modeling of fires allow scientists to predict fire growth and spread through structures. In this paper we describe a variety of visualizations of simulated room fires for use by both fire protection engineers and fire suppression personnel. We also introduce the concept of fuzzy visualization, which results from the superposition of data from several separate simulations into a single visualization.</t>
  </si>
  <si>
    <t>J. Govindarajan;M. Ward;J. Barnett</t>
  </si>
  <si>
    <t>H. Pfister</t>
  </si>
  <si>
    <t>MERL</t>
  </si>
  <si>
    <t>J.E. Swan</t>
  </si>
  <si>
    <t>Naval Research Laboratory</t>
  </si>
  <si>
    <t>Xiaoqiang Zheng;Alex T. Pang</t>
  </si>
  <si>
    <t>10.1109/VISUAL.1998.745316;10.1109/VISUAL.1999.809905;10.1109/VISUAL.1993.398849;10.1109/VISUAL.1991.175789;10.1109/VISUAL.1992.235193;10.1109/VISUAL.1998.745294</t>
  </si>
  <si>
    <t>D. Kenwright</t>
  </si>
  <si>
    <t>stress, strain, shear, symmetric tensors, anti-symmetric tensors, anisotropic tensors</t>
  </si>
  <si>
    <t>Oriented tensor reconstruction: tracing neural pathways from diffusion tensor MRI</t>
  </si>
  <si>
    <t>2000</t>
  </si>
  <si>
    <t>10.1109/VISUAL.2002.1183799</t>
  </si>
  <si>
    <t>http://dx.doi.org/10.1109/VISUAL.2002.1183799</t>
  </si>
  <si>
    <t>Leonid Zhukov;Alan H. Barr</t>
  </si>
  <si>
    <t>Dept. of Comput. Sci., California Inst. of Technol., Pasadena, CA, USA|c|;</t>
  </si>
  <si>
    <t>10.1109/VISUAL.1999.809886;10.1109/VISUAL.1992.235193;10.1109/VISUAL.1999.809894;10.1109/VISUAL.1998.745294;10.1109/VISUAL.1991.175771</t>
  </si>
  <si>
    <t>Diffusion tensors, adaptive filtering, moving least squares, streamlines, fiber tracing, pathways, salient features</t>
  </si>
  <si>
    <t>QuadTIN: quadtree based triangulated irregular networks</t>
  </si>
  <si>
    <t>10.1109/VISUAL.2002.1183800</t>
  </si>
  <si>
    <t>http://dx.doi.org/10.1109/VISUAL.2002.1183800</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</si>
  <si>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</si>
  <si>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C. Stolte;P. Hanrahan</t>
  </si>
  <si>
    <t>Renato Pajarola;Marc Antonijuan;Roberto Lario</t>
  </si>
  <si>
    <t>Dept. of Inf. &amp; Comput. Sci., California Univ., Irvine, CA, USA|c|;;</t>
  </si>
  <si>
    <t>10.1109/VISUAL.1997.663860;10.1109/VISUAL.2001.964533;10.1109/VISUAL.1998.745282;10.1109/VISUAL.1998.745280</t>
  </si>
  <si>
    <t>multiresolution triangulation, real-time terrain visualization, triangulated irregular networks, level-of-detail</t>
  </si>
  <si>
    <t>Horizon occlusion culling for real-time rendering of hierarchical terrains</t>
  </si>
  <si>
    <t>10.1109/VISUAL.2002.1183801</t>
  </si>
  <si>
    <t>http://dx.doi.org/10.1109/VISUAL.2002.1183801</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</si>
  <si>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</si>
  <si>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C. Olston;A. Woodruff</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</si>
  <si>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</si>
  <si>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Matthias Kreuseler;Norma López;Heidrun Schumann</t>
  </si>
  <si>
    <t>M. Kreuseler;N. Lopez;H. Schumann</t>
  </si>
  <si>
    <t>Dept. of Comput. Sci., Rostock Univ., Germany</t>
  </si>
  <si>
    <t>Brandon Lloyd;Parris K. Egbert</t>
  </si>
  <si>
    <t>10.1109/VISUAL.1998.745322;10.1109/VISUAL.1998.745280;10.1109/VISUAL.1997.663863;10.1109/VISUAL.1997.663860;10.1109/VISUAL.1998.745282</t>
  </si>
  <si>
    <t>rendering algorithms, visibility, occlusion culling</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</si>
  <si>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</si>
  <si>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J. Abello;J. Korn</t>
  </si>
  <si>
    <t>Evaluation of a multimodal interface for 3D terrain visualization</t>
  </si>
  <si>
    <t>10.1109/VISUAL.2002.1183802</t>
  </si>
  <si>
    <t>http://dx.doi.org/10.1109/VISUAL.2002.1183802</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</si>
  <si>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</si>
  <si>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Ivan Herman;M. Scott Marshall;Guy Melançon</t>
  </si>
  <si>
    <t>I. Herman;M.S. Marshall;G. Melancon</t>
  </si>
  <si>
    <t>David M. Krum;Olugbenga Omoteso;William Ribarsky;Thad Starner;Larry F. Hodges</t>
  </si>
  <si>
    <t>Centre for Math. &amp; Comput. Sci., Amsterdam, Netherlands</t>
  </si>
  <si>
    <t>Coll. of Comput., Georgia Inst. of Technol., Atlanta, GA, USA|c|;;;;</t>
  </si>
  <si>
    <t>multimodal interaction, evaluation, navigation, speech recognition, gesture recognition, virtual reality, mobile visualization, GIS</t>
  </si>
  <si>
    <t>Assisted navigation for large information spaces</t>
  </si>
  <si>
    <t>10.1109/VISUAL.2002.1183803</t>
  </si>
  <si>
    <t>http://dx.doi.org/10.1109/VISUAL.2002.1183803</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</si>
  <si>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</si>
  <si>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J. Stasko;E. Zhang</t>
  </si>
  <si>
    <t>Brent M. Dennis;Christopher G. Healey</t>
  </si>
  <si>
    <t>camera planning, information visualization, multidimensional visualization, navigation, scientific visualization</t>
  </si>
  <si>
    <t>BM3D: motion estimation in time dependent volume data</t>
  </si>
  <si>
    <t>10.1109/VISUAL.2002.1183804</t>
  </si>
  <si>
    <t>http://dx.doi.org/10.1109/VISUAL.2002.1183804</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</si>
  <si>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</si>
  <si>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E.H. Chi</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</si>
  <si>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</si>
  <si>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I. Fujishiro;Y. Ichikawa;R. Furuhata;Y. Takeshima</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</si>
  <si>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"focus" and "context" in focus+context techniques change in order to fit new areas of use for information visualization.</t>
  </si>
  <si>
    <t>Staffan Björk;Johan Redström</t>
  </si>
  <si>
    <t>S. Bjork;J. Redstrom</t>
  </si>
  <si>
    <t>Interactive Inst., Gothenburg, Sweden</t>
  </si>
  <si>
    <t>feature tracking, vector fields, volume visualization, biomedical imaging</t>
  </si>
  <si>
    <t>Kinetic visualization: a technique for illustrating 3D shape and structure</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</si>
  <si>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</si>
  <si>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10.1109/VISUAL.2002.1183805</t>
  </si>
  <si>
    <t>André Skupin</t>
  </si>
  <si>
    <t>A. Skupin</t>
  </si>
  <si>
    <t>http://dx.doi.org/10.1109/VISUAL.2002.1183805</t>
  </si>
  <si>
    <t>Dept. of Geogr., New Orleans Univ., LA, USA</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</si>
  <si>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</si>
  <si>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Julie Yang-Peláez;Woodie Flowers</t>
  </si>
  <si>
    <t>J. Yang-Pelaez;W.C. Flowers</t>
  </si>
  <si>
    <t>Dept. of Mech. Eng., MIT, Cambridge, MA, USA</t>
  </si>
  <si>
    <t>A sequential pattern in data mining is a finite series of elements such as A/spl rarr/B/spl rarr/C/spl rarr/D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</si>
  <si>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Pak Chung Wong;W. Cowley;H. Foote;E. Jurrus;J. Thomas</t>
  </si>
  <si>
    <t>Eric B. Lum;Aleksander Stompel;Kwan-Liu Ma</t>
  </si>
  <si>
    <t>Dept. of Comput. Sci., California Univ., Davis, CA, USA|c|;;</t>
  </si>
  <si>
    <t>animation, visual perception, particle systems, scientific visualization, volume rendering</t>
  </si>
  <si>
    <t>ThemeRiver/sup 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</si>
  <si>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A radial focus+context visualization for multi-dimensional functions</t>
  </si>
  <si>
    <t>S. Havre;B. Hetzler;L. Nowell</t>
  </si>
  <si>
    <t>Battelle Pacific Northwest Lab., Richland, WA, USA</t>
  </si>
  <si>
    <t>10.1109/VISUAL.2002.1183806</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</si>
  <si>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</si>
  <si>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http://dx.doi.org/10.1109/VISUAL.2002.1183806</t>
  </si>
  <si>
    <t>A. Leuski;J. Allan</t>
  </si>
  <si>
    <t>Center for Intelligent Inf. Retrieval, Massachusetts Univ., Amherst, MA, USA</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</si>
  <si>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</si>
  <si>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T.J. Overbye;J.D. Weber</t>
  </si>
  <si>
    <t>Illinois Univ., Urbana, IL, USA</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</si>
  <si>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</si>
  <si>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I. Brewer;A.M. MacEachren;H. Abdo;J. Gundrum;G. Otto</t>
  </si>
  <si>
    <t>Sanjini Jayaraman;Chris North</t>
  </si>
  <si>
    <t>Dept. of Geogr., Penn State Univ., PA, USA</t>
  </si>
  <si>
    <t>Center for Human Comput. Interaction, Virginia Polytech. Inst. &amp; State Univ., Blacksburg, VA, USA|c|;</t>
  </si>
  <si>
    <t>10.1109/INFVIS.1997.636793;10.1109/INFVIS.1995.528688;10.1109/VISUAL.1993.398859;10.1109/INFVIS.1998.729558</t>
  </si>
  <si>
    <t>visualization, multidimensional functions</t>
  </si>
  <si>
    <t>BLIC: Bi-Level Isosurface Compression</t>
  </si>
  <si>
    <t>10.1109/VISUAL.2002.1183807</t>
  </si>
  <si>
    <t>http://dx.doi.org/10.1109/VISUAL.2002.1183807</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</si>
  <si>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</si>
  <si>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 Pu;D. Lalanne</t>
  </si>
  <si>
    <t>Dept. of Comput. Sci., Swiss Federal Inst. of Technol., Lausanne, Switzerland</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</si>
  <si>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</si>
  <si>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C. Russo dos Santos;P. Gros;P. Abel;D. Loisel;N. Trichaud;J.P. Paris</t>
  </si>
  <si>
    <t>Eurecom Inst., Sophia Antipolis, France</t>
  </si>
  <si>
    <t>Gabriel Taubin</t>
  </si>
  <si>
    <t>10.1109/VISUAL.1997.663848;10.1109/VISUAL.2000.885705</t>
  </si>
  <si>
    <t>3D Geometry Compression, Algorithms, Graphics</t>
  </si>
  <si>
    <t>Approximating normals for marching cubes applied to locally supported isosurfaces</t>
  </si>
  <si>
    <t>10.1109/VISUAL.2002.1183808</t>
  </si>
  <si>
    <t>http://dx.doi.org/10.1109/VISUAL.2002.1183808</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</si>
  <si>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</si>
  <si>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Monika Büscher;Dan Shapiro;Michael Christensen;Preben Holst Mogensen;Peter Ørbæk</t>
  </si>
  <si>
    <t>M. Buscher;D. Shapiro;M. Christensen;P. Mogensen;P. Orbaek</t>
  </si>
  <si>
    <t>Dept. of Sociology, Lancaster Univ., UK</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</si>
  <si>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</si>
  <si>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Stanislav L. Stoev;Wolfgang Straßer</t>
  </si>
  <si>
    <t>S.L. Stoev;W. Strasser</t>
  </si>
  <si>
    <t>WSI/GRIS, Tubingen Univ., Germany</t>
  </si>
  <si>
    <t>Gregory M. Nielson;Adam Huang;Steve Sylvester</t>
  </si>
  <si>
    <t>Comput. Sci. &amp; Eng., Arizona State Univ., Tempe, AZ, USA|c|;;</t>
  </si>
  <si>
    <t>isosurface, normal vectors, marching cubes, triangular mesh, topology, Gouraud shading, approximation</t>
  </si>
  <si>
    <t>Volume warping for adaptive isosurface extraction</t>
  </si>
  <si>
    <t>10.1109/VISUAL.2002.1183809</t>
  </si>
  <si>
    <t>http://dx.doi.org/10.1109/VISUAL.2002.1183809</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</si>
  <si>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</si>
  <si>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R. Hietala;J. Oikarinen</t>
  </si>
  <si>
    <t>Dept. of Diagnostic Radiol., Oulu Univ., Finland</t>
  </si>
  <si>
    <t>Laurent Balmelli;Christopher J. Morris;Gabriel Taubin;Fausto Bernardini</t>
  </si>
  <si>
    <t>IBM Thomas J. Watson Res. Center, Hawthorne, NY, USA|c|;;;</t>
  </si>
  <si>
    <t>10.1109/VISUAL.1996.568127;10.1109/VISUAL.2000.885705</t>
  </si>
  <si>
    <t>isosurfaces, adaptive isosurface extraction, volume warping, adaptive tessellation</t>
  </si>
  <si>
    <t>Interactive view-dependent rendering of large isosurfaces</t>
  </si>
  <si>
    <t>10.1109/VISUAL.2002.1183810</t>
  </si>
  <si>
    <t>http://dx.doi.org/10.1109/VISUAL.2002.1183810</t>
  </si>
  <si>
    <t>Benjamin F. Gregorski;Mark A. Duchaineau;Peter Lindstrom;Valerio Pascucci;Kenneth I. Joy</t>
  </si>
  <si>
    <t>Center for Appl. Sci. Comput., Lawrence Livermore Nat. Lab., CA, USA|c|;;;;</t>
  </si>
  <si>
    <t>10.1109/VISUAL.2000.885681;10.1109/VISUAL.2001.964533;10.1109/VISUAL.1999.809878;10.1109/VISUAL.2001.964502;10.1109/VISUAL.1997.663869;10.1109/VISUAL.2000.885705;10.1109/VISUAL.1998.745300;10.1109/VISUAL.1997.663860;10.1109/VISUAL.2001.964524;10.1109/VISUAL.2000.885703</t>
  </si>
  <si>
    <t>View-Dependent Rendering, Isosurfaces, Multiresolution Tetrahedal Meshes, Multiresolution Techniques</t>
  </si>
  <si>
    <t>Case study: hardware-accelerated selective LIC volume rendering</t>
  </si>
  <si>
    <t>10.1109/VISUAL.2002.1183811</t>
  </si>
  <si>
    <t>http://dx.doi.org/10.1109/VISUAL.2002.1183811</t>
  </si>
  <si>
    <t>37</t>
  </si>
  <si>
    <t>44</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</si>
  <si>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</si>
  <si>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S. Lakare;Ming Wan;M. Sato;A. Kaufman</t>
  </si>
  <si>
    <t>Yasuko Suzuki;Issei Fujishiro;Li Chen;Hiroko Nakamura</t>
  </si>
  <si>
    <t>Mitsubishi Electr. Corp., Japan|c|;;;</t>
  </si>
  <si>
    <t>10.1109/VISUAL.1996.567777;10.1109/VISUAL.1999.809906;10.1109/VISUAL.1997.663912;10.1109/VISUAL.1999.809892</t>
  </si>
  <si>
    <t>Flow visualization, flow topology, significance map, illumination model</t>
  </si>
  <si>
    <t>Christmas tree case study: computed tomography as a tool for mastering complex real world objects with applications in computer graphics</t>
  </si>
  <si>
    <t>10.1109/VISUAL.2002.1183812</t>
  </si>
  <si>
    <t>http://dx.doi.org/10.1109/VISUAL.2002.1183812</t>
  </si>
  <si>
    <t>11</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</si>
  <si>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</si>
  <si>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I. Bitter;M. Sato;M. Bender;K.T. McDonnell;A. Kaufman;Ming Wan</t>
  </si>
  <si>
    <t>Armin Kanitsar;Thomas Theu��l;Lukas Mroz;Milos Sr��mek;Anna Vilanova;Bal��zs Cs̩bfalvi;Jir�_ Hladuvka;Dominik Fleischmann;Michael Knapp;Rainer Wegenkittl;Petr Felkel;Stefan Guthe;Werner Purgathofer;M. Eduard Gr̦ller</t>
  </si>
  <si>
    <t>Inst. of Comput. Graphics &amp; Algorithms, Vienna Univ. of Technol., Austria|c|;;;;;;;;;;;;;;</t>
  </si>
  <si>
    <t>10.1109/VISUAL.2001.964522;10.1109/VISUAL.2001.964555;10.1109/VISUAL.2001.964531;10.1109/VISUAL.1994.346320</t>
  </si>
  <si>
    <t>modeling, computed tomography, volume visualization</t>
  </si>
  <si>
    <t>Case study: Visualization and analysis of high Rayleigh number - 3D convection in the Earth's mantle</t>
  </si>
  <si>
    <t>10.1109/VISUAL.2002.1183813</t>
  </si>
  <si>
    <t>http://dx.doi.org/10.1109/VISUAL.2002.1183813</t>
  </si>
  <si>
    <t>Richly expressive information visualizations are difficult to design and rarely found. Few software tools can generate multidimensional visualizations at all, let alone incorporate artistic detail. Although,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 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</si>
  <si>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M.C. Humphrey</t>
  </si>
  <si>
    <t>11 Wild Plum Court, Stafford, CA, USA</t>
  </si>
  <si>
    <t>Gordon Erlebacher;David A. Yuen;Fabien Dubuffet</t>
  </si>
  <si>
    <t>Sch. of Computational Sci. &amp; Inf. Technol., Florida State Univ., Tallahassee, FL, USA|c|;;</t>
  </si>
  <si>
    <t>mantle convection, plumes, volume rendering, unsteady flow, feature extraction, critical points</t>
  </si>
  <si>
    <t>Immersive volume visualization of seismic simulations: A case study of techniques invented and lessons learned</t>
  </si>
  <si>
    <t>10.1109/VISUAL.2002.1183814</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</si>
  <si>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</si>
  <si>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http://dx.doi.org/10.1109/VISUAL.2002.1183814</t>
  </si>
  <si>
    <t>T.C. Sprenger;R. Brunella;M.H. Gross</t>
  </si>
  <si>
    <t>Dept. of Comput. Sci., Swiss Fed. Inst. of Technol., Zurich, Switzerland</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</si>
  <si>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</si>
  <si>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T.J. Jankun-Kelly;Kwan-Liu Ma</t>
  </si>
  <si>
    <t>Prashant Chopra;Joerg Meyer;Antonio Fernandez</t>
  </si>
  <si>
    <t>Eng. Res. Center, Mississippi State Univ., MS, USA|c|;;</t>
  </si>
  <si>
    <t>10.1109/VISUAL.1998.745329;10.1109/VISUAL.1997.663883;10.1109/VISUAL.2000.885680;10.1109/VISUAL.1998.745315</t>
  </si>
  <si>
    <t>Case study: A look of performance expression</t>
  </si>
  <si>
    <t>10.1109/VISUAL.2002.1183815</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</si>
  <si>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</si>
  <si>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http://dx.doi.org/10.1109/VISUAL.2002.1183815</t>
  </si>
  <si>
    <t>A. Cedilnik;P. Rheingans</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</si>
  <si>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</si>
  <si>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P. Cignoni;D. Costanza;C. Montani;C. Rocchini;R. Scopigno</t>
  </si>
  <si>
    <t>Ist. Sci. e Tecnol. dell'Inf., CNR, Pisa, Italy</t>
  </si>
  <si>
    <t>Rumi Hiraga</t>
  </si>
  <si>
    <t>Bunkyo Univ., Japan|c|</t>
  </si>
  <si>
    <t>Music Performance, Expressive Cue, Performance Visualization, Understanding Performance</t>
  </si>
  <si>
    <t>Case study: Interactive visualization for Internet security</t>
  </si>
  <si>
    <t>10.1109/VISUAL.2002.1183816</t>
  </si>
  <si>
    <t>http://dx.doi.org/10.1109/VISUAL.2002.1183816</t>
  </si>
  <si>
    <t>Soon Tee Teoh;Kwan-Liu Ma;Shyhtsun Felix Wu;Xiaoliang Zhao</t>
  </si>
  <si>
    <t>anomaly detection, graph drawing, information visualization, network security</t>
  </si>
  <si>
    <t>PRIMA: A case study of using information visualization techniques for patient record analysis</t>
  </si>
  <si>
    <t>10.1109/VISUAL.2002.1183817</t>
  </si>
  <si>
    <t>http://dx.doi.org/10.1109/VISUAL.2002.1183817</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</si>
  <si>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</si>
  <si>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T. Roxborough;G.M. Nielson</t>
  </si>
  <si>
    <t>Arizona State Univ., Tempe, AZ, USA</t>
  </si>
  <si>
    <t>Donna L. Gresh;David A. Rabenhorst;Amnon Shabo;Shimon Slavin</t>
  </si>
  <si>
    <t>IBM Thomas J. Watson Res. Center, NY, USA|c|;;;</t>
  </si>
  <si>
    <t>visualization, information visualization, bioinformatics, medical records</t>
  </si>
  <si>
    <t>Case study: A virtual environment for genomic data visualization</t>
  </si>
  <si>
    <t>10.1109/VISUAL.2002.1183818</t>
  </si>
  <si>
    <t>http://dx.doi.org/10.1109/VISUAL.2002.1183818</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</si>
  <si>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</si>
  <si>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Chuan-Kai Yang;T. Mitra;Tzi-Cker Chiueh</t>
  </si>
  <si>
    <t>R. Mark Adams;Blaze Stancampiano;Michael McKenna;David Small</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</si>
  <si>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</si>
  <si>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Variagenics Inc., Cambridge, MA, USA|c|;;;</t>
  </si>
  <si>
    <t>Stefan Röttger;Martin Kraus;Thomas Ertl</t>
  </si>
  <si>
    <t>Bioinformatics, Human Factors, 3-Dimensional Interaction, Multi-scale Model, Data Navigation, Virtual Environment</t>
  </si>
  <si>
    <t>S. Rottger;M. Kraus;T. Ertl</t>
  </si>
  <si>
    <t>Case study: Visual debugging of finite element codes</t>
  </si>
  <si>
    <t>10.1109/VISUAL.2002.1183819</t>
  </si>
  <si>
    <t>http://dx.doi.org/10.1109/VISUAL.2002.1183819</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</si>
  <si>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</si>
  <si>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A. Majumder;Zhu He;H. Towles;G. Welch</t>
  </si>
  <si>
    <t>Patricia Crossno;David H. Rogers;Christopher J. Garasi</t>
  </si>
  <si>
    <t>Sandia Nat. Labs., USA|c|;;</t>
  </si>
  <si>
    <t>10.1109/VISUAL.1999.809919;10.1109/VISUAL.2001.964543</t>
  </si>
  <si>
    <t>visual debugging, parallel finite element codes and simulations</t>
  </si>
  <si>
    <t>Case study: Interactive rendering of adaptive mesh refinement data</t>
  </si>
  <si>
    <t>10.1109/VISUAL.2002.1183820</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</si>
  <si>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</si>
  <si>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http://dx.doi.org/10.1109/VISUAL.2002.1183820</t>
  </si>
  <si>
    <t>Yuqun Chen;D.W. Clark;A. Finkelstein;T.C. Housel;Kai Li</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</si>
  <si>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</si>
  <si>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D.A. Lawrence;C.D. Lee;L.Y. Pao;R.Y. Novoselov</t>
  </si>
  <si>
    <t>Dept. of Aerosp. Eng. Sci., Colorado Univ., Boulder, CO, USA</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</si>
  <si>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</si>
  <si>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A. Gregory;A. Mascarenhas;S. Ehmann;Ming Lin;D. Manocha</t>
  </si>
  <si>
    <t>Sanghun Park;Chandrajit L. Bajaj;Vinay Siddavanahalli</t>
  </si>
  <si>
    <t>Texas Univ., Austin, TX, USA|c|;;</t>
  </si>
  <si>
    <t>AMR, K-d trees, Octree, Hierarchical splatting, Texture mapping</t>
  </si>
  <si>
    <t>A case study in selective visualization of unsteady 3D flow</t>
  </si>
  <si>
    <t>10.1109/VISUAL.2002.1183821</t>
  </si>
  <si>
    <t>http://dx.doi.org/10.1109/VISUAL.2002.1183821</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</si>
  <si>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</si>
  <si>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Rüdiger Westermann;Christopher R. Johnson 0001;Thomas Ertl</t>
  </si>
  <si>
    <t>R. Westermann;C. Johnson;T. Ertl</t>
  </si>
  <si>
    <t>Sci. Comput. &amp; Visualization Group, Univ. of Technol., Aachen, Germany</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</si>
  <si>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</si>
  <si>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B. Jobard;G. Erlebacher;M.Y. Hussaini</t>
  </si>
  <si>
    <t>Sch. of Comput. Sci. &amp; Inf. Technol., Tallahassee, FL, USA</t>
  </si>
  <si>
    <t>Dirk Bauer;Ronald Peikert;Mie Sato;Mirjam Sick</t>
  </si>
  <si>
    <t>Dept. of Comput. Sci., Eidgenossische Tech. Hochschule, Zurich, Switzerland|c|;;;</t>
  </si>
  <si>
    <t>10.1109/VISUAL.1994.346327;10.1109/VISUAL.2001.964493</t>
  </si>
  <si>
    <t>Flow Visualization, Feature Extraction, Particle Tracing</t>
  </si>
  <si>
    <t>Case study: Visualizing ocean flow vertical motions using Lagrangian-Eulerian time surfaces</t>
  </si>
  <si>
    <t>10.1109/VISUAL.2002.1183822</t>
  </si>
  <si>
    <t>http://dx.doi.org/10.1109/VISUAL.2002.1183822</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</si>
  <si>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</si>
  <si>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Dept. of Comput. Sci., Univ. of Southern California, Los Angeles, CA, USA</t>
  </si>
  <si>
    <t>Josh Grant;Gordon Erlebacher;James F. O'Brien</t>
  </si>
  <si>
    <t>Center for Ocean-Atmos. Prediction Studies, Florida State Univ., Tallahassee, FL, USA|c|;;</t>
  </si>
  <si>
    <t>10.1109/VISUAL.1999.809895;10.1109/VISUAL.2001.964493;10.1109/VISUAL.2000.885688;10.1109/VISUAL.1996.568149</t>
  </si>
  <si>
    <t>unsteady vector fields, time surfaces, ocean currents, vertical velocity</t>
  </si>
  <si>
    <t>A case study on multiresolution visualization of local rainfall from weather radar measurements</t>
  </si>
  <si>
    <t>10.1109/VISUAL.2002.1183823</t>
  </si>
  <si>
    <t>http://dx.doi.org/10.1109/VISUAL.2002.1183823</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</si>
  <si>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</si>
  <si>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R.K. Scoggins;R. Machiraju;R.J. Moorhead</t>
  </si>
  <si>
    <t>Eng. Res. &amp; Dev. Center, US Army Corp. of Eng., Vicksburg, MS, USA</t>
  </si>
  <si>
    <t>Thomas Gerstner;Dirk Meetschen;Susanne Crewell;Michael Griebel;Clemens Simmer</t>
  </si>
  <si>
    <t>Dept. for Appl. Math., Bonn Univ., Germany|c|;;;;</t>
  </si>
  <si>
    <t>10.1109/VISUAL.1995.480800;10.1109/VISUAL.1997.663869;10.1109/VISUAL.2000.885745</t>
  </si>
  <si>
    <t>triangular and tetrahedral grid refinement, multiresolution isosurface extraction, level-of-detail</t>
  </si>
  <si>
    <t>Rendering the first star in the Universe - A case study</t>
  </si>
  <si>
    <t>10.1109/VISUAL.2002.1183824</t>
  </si>
  <si>
    <t>http://dx.doi.org/10.1109/VISUAL.2002.1183824</t>
  </si>
  <si>
    <t>Ralf K�_hler;Donna J. Cox;Robert Patterson;Stuart Levy;Hans-Christian Hege;Tom Abel</t>
  </si>
  <si>
    <t>Zuse Inst., Berlin, Germany|c|;;;;;</t>
  </si>
  <si>
    <t>3D texture based volume rendering, adaptive mesh refinement data, CAVE applications, data visualization</t>
  </si>
  <si>
    <t>NASA's great zooms: a case study</t>
  </si>
  <si>
    <t>10.1109/VISUAL.2002.1183825</t>
  </si>
  <si>
    <t>http://dx.doi.org/10.1109/VISUAL.2002.1183825</t>
  </si>
  <si>
    <t>Distance judgments are difficult in current virtual environments, limiting their effectiveness in conveying spatial information. This problem is apparent when contact occurs while a user is manipulating objects. In particular, the computer graphics used to support current-generation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</si>
  <si>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H.H. Hu;A.A. Gooch;W.B. Thompson;B.E. Smits;J.J. Rieser;P. Shirley</t>
  </si>
  <si>
    <t>Gregory W. Shirah;Horace Mitchell</t>
  </si>
  <si>
    <t>Sch. of Comput., Utah Univ., Salt Lake City, UT, USA</t>
  </si>
  <si>
    <t>visualization, remote sensing, renderman, shader, georegistration, color matching</t>
  </si>
  <si>
    <t>A case study on automatic camera placement and motion for visualizing historical data</t>
  </si>
  <si>
    <t>10.1109/VISUAL.2002.1183826</t>
  </si>
  <si>
    <t>http://dx.doi.org/10.1109/VISUAL.2002.1183826</t>
  </si>
  <si>
    <t>Automatic Camera Control, Visualization, Historical Data, Time-dependent Data, Visualization Techniques</t>
  </si>
  <si>
    <t>Case study on the adaptation of interactive visualization applications to Web-based production for operational mesoscale weather models</t>
  </si>
  <si>
    <t>10.1109/VISUAL.2002.1183827</t>
  </si>
  <si>
    <t>http://dx.doi.org/10.1109/VISUAL.2002.1183827</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</si>
  <si>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</si>
  <si>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S. Muraki;T. Nakai;Y. Kita</t>
  </si>
  <si>
    <t>MITI, Electrotech. Lab., Ibaraki, Japan</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</si>
  <si>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</si>
  <si>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D. Ebert;P. Rheingans</t>
  </si>
  <si>
    <t>Dept. of Comput. Sci. &amp; Electr. Eng., Maryland Univ., Baltimore, MD, USA</t>
  </si>
  <si>
    <t>10.1109/VISUAL.2000.885736;10.1109/VISUAL.1995.480821;10.1109/VISUAL.2000.885678;10.1109/VISUAL.2000.885745</t>
  </si>
  <si>
    <t>visualization, meteorology, world-wide-web</t>
  </si>
  <si>
    <t>Exploring surface characteristics with interactive Gaussian images (a case study)</t>
  </si>
  <si>
    <t>10.1109/VISUAL.2002.1183828</t>
  </si>
  <si>
    <t>http://dx.doi.org/10.1109/VISUAL.2002.1183828</t>
  </si>
  <si>
    <t>Concerns the development of non-photorealistic rendering techniques for volume visualisation. In particular, we present two pen-and-ink rendering methods, a 3D method based on non-photorealistic solid textures, and a 2/sup +/D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</si>
  <si>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S.M.F. Treavett;M. Chen</t>
  </si>
  <si>
    <t>Dept. of Comput. Sci., Univ. of Wales, Swansea, UK</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</si>
  <si>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</si>
  <si>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Helwig Hauser;Lukas Mroz;Gian Italo Bischi;M. Eduard Gröller</t>
  </si>
  <si>
    <t>Bradley C. Lowekamp;Penny Rheingans;Terry S. Yoo</t>
  </si>
  <si>
    <t>H. Hauser;L. Mroz;G.-I. Bischi;M.E. Groller</t>
  </si>
  <si>
    <t>Maryland Univ., Baltimore, MD, USA|c|;;</t>
  </si>
  <si>
    <t>VRVis Res. Centre, Wien Univ. of Technol., Austria</t>
  </si>
  <si>
    <t>Computational Geometry, Gauss map, Illumination and shading, Interactive visualization</t>
  </si>
  <si>
    <t>A case study on the applications of a generic library for low-cost polychromatic passive stereo</t>
  </si>
  <si>
    <t>10.1109/VISUAL.2002.1183829</t>
  </si>
  <si>
    <t>http://dx.doi.org/10.1109/VISUAL.2002.1183829</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</si>
  <si>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</si>
  <si>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Jian Huang;K. Mueller;N. Shareef;R. Crawfis</t>
  </si>
  <si>
    <t>Simon Stegmaier;Dirc Rose;Thomas Ertl</t>
  </si>
  <si>
    <t>Stereo Graphics, OpenGL, Preloading</t>
  </si>
  <si>
    <t>Case study: the "Office of Real Soon Now" for visualization</t>
  </si>
  <si>
    <t>10.1109/VISUAL.2002.1183830</t>
  </si>
  <si>
    <t>http://dx.doi.org/10.1109/VISUAL.2002.1183830</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</si>
  <si>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</si>
  <si>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Jürgen Döllner;Konstantin Baumann;Klaus H. Hinrichs</t>
  </si>
  <si>
    <t>J. Dollner;K. Baumann;K. Hinrichs</t>
  </si>
  <si>
    <t>Dept. of Comput. Sci., Munster Univ., Germany</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</si>
  <si>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</si>
  <si>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display, projection, panoramic image display</t>
  </si>
  <si>
    <t>Frank Suits;James T. Klosowski;William Horn;Gérard Lecina</t>
  </si>
  <si>
    <t>F. Suits;J.T. Klosowski;W.P. Horn;G. Lecina</t>
  </si>
  <si>
    <t>IEEE Symposium on Information Visualization 2003 (IEEE Cat. No.03TH8714)</t>
  </si>
  <si>
    <t>10.1109/INFVIS.2003.1249000</t>
  </si>
  <si>
    <t>http://dx.doi.org/10.1109/INFVIS.2003.1249000</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</si>
  <si>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</si>
  <si>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A. Hunter;J.D. Cohen</t>
  </si>
  <si>
    <t>Johns Hopkins Univ., MD, USA</t>
  </si>
  <si>
    <t>Tamara Munzner;Steven C. North</t>
  </si>
  <si>
    <t>Thinking with visualization</t>
  </si>
  <si>
    <t>10.1109/INFVIS.2003.1249001</t>
  </si>
  <si>
    <t>http://dx.doi.org/10.1109/INFVIS.2003.1249001</t>
  </si>
  <si>
    <t>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</si>
  <si>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Huamin Qu;Ming Wan;Jiafa Qin;A. Kaufman</t>
  </si>
  <si>
    <t>Colin Ware</t>
  </si>
  <si>
    <t>Data Visualization Research Lab|c|</t>
  </si>
  <si>
    <t>Exploding the frame: designing for wall-size computer displays</t>
  </si>
  <si>
    <t>10.1109/INFVIS.2003.1249002</t>
  </si>
  <si>
    <t>http://dx.doi.org/10.1109/INFVIS.2003.1249002</t>
  </si>
  <si>
    <t>Ben Shedd</t>
  </si>
  <si>
    <t>Princeton Univ., NJ, USA|c|</t>
  </si>
  <si>
    <t>Information esthetics: from MoMa to wall street</t>
  </si>
  <si>
    <t>10.1109/INFVIS.2003.1249003</t>
  </si>
  <si>
    <t>http://dx.doi.org/10.1109/INFVIS.2003.1249003</t>
  </si>
  <si>
    <t>W. Bradford Paley</t>
  </si>
  <si>
    <t>Digital Image Design &amp; Columbia University|c|</t>
  </si>
  <si>
    <t>Smooth and efficient zooming and panning</t>
  </si>
  <si>
    <t>10.1109/INFVIS.2003.1249004</t>
  </si>
  <si>
    <t>http://dx.doi.org/10.1109/INFVIS.2003.1249004</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</si>
  <si>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</si>
  <si>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T. Gerstner;R. Pajarola</t>
  </si>
  <si>
    <t>Dept. of Appl. Math., Bonn Univ., Germany</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</si>
  <si>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</si>
  <si>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P. Bhaniramka;R. Wenger;R. Crawfis</t>
  </si>
  <si>
    <t>Jarke J. van Wijk;Wim A. A. Nuij</t>
  </si>
  <si>
    <t>Dept. of Math. &amp; Comput. Sci., Technische Universiteit Eindvohen, Netherlands|c|;</t>
  </si>
  <si>
    <t>10.1109/INFVIS.2003.1249030</t>
  </si>
  <si>
    <t>Navigation, zooming, panning, scrolling, scale space</t>
  </si>
  <si>
    <t>A model of multi-scale perceptual organization in information graphics</t>
  </si>
  <si>
    <t>10.1109/INFVIS.2003.1249005</t>
  </si>
  <si>
    <t>http://dx.doi.org/10.1109/INFVIS.2003.1249005</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</si>
  <si>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</si>
  <si>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Zoë J. Wood;Peter Schröder;David E. Breen;Mathieu Desbrun</t>
  </si>
  <si>
    <t>Z.J. Wood;M. Desbrun;P. Schroder;D. Breen</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</si>
  <si>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</si>
  <si>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D. Weinstein</t>
  </si>
  <si>
    <t>Martin Wattenberg;Danyel Fisher</t>
  </si>
  <si>
    <t>Collaborative User Experience Group, IBM Res., White Plains, NY, USA|c|;</t>
  </si>
  <si>
    <t>Visualization, Perceptual Organization, Scale Space, Design Methodology</t>
  </si>
  <si>
    <t>Exploring high-D spaces with multiform matrices and small multiples</t>
  </si>
  <si>
    <t>10.1109/INFVIS.2003.1249006</t>
  </si>
  <si>
    <t>http://dx.doi.org/10.1109/INFVIS.2003.1249006</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</si>
  <si>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</si>
  <si>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H. Wright;K. Brodlie;T. David</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</si>
  <si>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</si>
  <si>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R.R. Johnson</t>
  </si>
  <si>
    <t>Alan M. MacEachren;Xiping Dai;Frank Hardisty;Diansheng Guo;Eugene Lengerich</t>
  </si>
  <si>
    <t>Dept. of Geogr., Pennsylvania State Univ., University Park, VA, USA|c|;;;;</t>
  </si>
  <si>
    <t>10.1109/VISUAL.1991.175815;10.1109/INFVIS.1998.729559</t>
  </si>
  <si>
    <t xml:space="preserve">geovisualization, EDA, scatterplot matrix,bivariate map, space-filling visualization, conditional entropy, small multiples, conditioning, GeoVISTA Studio </t>
  </si>
  <si>
    <t>Design choices when architecting visualizations</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</si>
  <si>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</si>
  <si>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10.1109/INFVIS.2003.1249007</t>
  </si>
  <si>
    <t>http://dx.doi.org/10.1109/INFVIS.2003.1249007</t>
  </si>
  <si>
    <t>D. Weiskopf;D. Kobras;H. Ruder</t>
  </si>
  <si>
    <t>Inst. of Astron. &amp; Astrophys., Tubingen Univ., Germany</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</si>
  <si>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</si>
  <si>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I. Hotz;H. Hagen</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</si>
  <si>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</si>
  <si>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O. Devillers;P.-M. Gandoin</t>
  </si>
  <si>
    <t>Inst. Nat. de Recherche en Inf. et Autom., Sophia Antipolis, France</t>
  </si>
  <si>
    <t>Diane Tang;Chris Stolte;Robert Bosch</t>
  </si>
  <si>
    <t>10.1109/INFVIS.1996.559213;10.1109/INFVIS.2002.1173156;10.1109/VISUAL.1995.480801;10.1109/INFVIS.1998.729560;10.1109/INFVIS.2002.1173141;10.1109/INFVIS.2000.885086;10.1109/VISUAL.1992.235219</t>
  </si>
  <si>
    <t>information visualization, system architecture, semantic meta-data, data transformations, design tradeoffs</t>
  </si>
  <si>
    <t>Edgelens: an interactive method for managing edge congestion in graphs</t>
  </si>
  <si>
    <t>10.1109/INFVIS.2003.1249008</t>
  </si>
  <si>
    <t>http://dx.doi.org/10.1109/INFVIS.2003.1249008</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</si>
  <si>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</si>
  <si>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Wei-Chao Wen;H. Towles;L. Nyland;G. Welch;H. Fuchs</t>
  </si>
  <si>
    <t>Nelson Wong;Sheelagh Carpendale;Saul Greenberg</t>
  </si>
  <si>
    <t>Dept. of Comput. Sci., Calgary Univ., Alta., Canada|c|;;</t>
  </si>
  <si>
    <t>10.1109/INFVIS.1997.636786;10.1109/INFVIS.1996.559214</t>
  </si>
  <si>
    <t xml:space="preserve"> Navigation, graph layout, distortion lens, information visualization, edge congestion, interactive visualization</t>
  </si>
  <si>
    <t>MoireGraphs: radial focus+context visualization and interaction for graphs with visual nodes</t>
  </si>
  <si>
    <t>10.1109/INFVIS.2003.1249009</t>
  </si>
  <si>
    <t>http://dx.doi.org/10.1109/INFVIS.2003.1249009</t>
  </si>
  <si>
    <t>We present a novel architecture which allows rendering of a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</si>
  <si>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J. El-Sana</t>
  </si>
  <si>
    <t>Dept. of Comput. Sci., Ben-Gurion Univ. of the Negev, Beer-Sheva, Israel</t>
  </si>
  <si>
    <t>Mississippi State Univ., Starkville, MS, USA|c|;</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</si>
  <si>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</si>
  <si>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10.1109/INFVIS.2000.885091;10.1109/INFVIS.1997.636718;10.1109/INFVIS.1996.559214;10.1109/INFVIS.2001.963279;10.1109/INFVIS.2002.1173151</t>
  </si>
  <si>
    <t>information visualization, focus+context, radial graph layout, graph drawing</t>
  </si>
  <si>
    <t>S.K. Lodha;J.C. Renteria;K.M. Roskin</t>
  </si>
  <si>
    <t>Visualizing evolving networks: minimum spanning trees versus pathfinder networks</t>
  </si>
  <si>
    <t>10.1109/INFVIS.2003.1249010</t>
  </si>
  <si>
    <t>http://dx.doi.org/10.1109/INFVIS.2003.1249010</t>
  </si>
  <si>
    <t>Chaomei Chen;Steven A. Morris</t>
  </si>
  <si>
    <t>Coll. of Inf. Sci. &amp; Technol., Drexel Univ., Philadelphia, PA, USA|c|;</t>
  </si>
  <si>
    <t>10.1109/INFVIS.2001.963285;10.1109/INFVIS.2002.1173160;10.1109/VISUAL.1999.809927</t>
  </si>
  <si>
    <t>Network evolution, network visualization, co-citation networks, Pathfinder networks, minimum spanning trees</t>
  </si>
  <si>
    <t>Multiscale Visualization of Small World Networks</t>
  </si>
  <si>
    <t>10.1109/INFVIS.2003.1249011</t>
  </si>
  <si>
    <t>http://doi.ieeecomputersociety.org/10.1109/INFVIS.2003.1249011</t>
  </si>
  <si>
    <t>A new method for the simplification of flow fields is presented. It is based on continuous clustering. A well-known physical clustering model, the Cahn Hilliard model (J. Cahn and J. Hilliard, 1958),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 the actual clustering, and meanwhile the underlying simulation data specifies preferable pattern boundaries. The authors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</si>
  <si>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Harald Garcke;Tobias Preußer;Martin Rumpf;Alexandru Telea;Ulrich Weikard;Jarke J. van Wijk</t>
  </si>
  <si>
    <t>H. Garcke;T. Preusser;M. Rumpf;A. Telea;U. Weikard;J. Van Wijk</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</si>
  <si>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</si>
  <si>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X. Tricoche;G. Scheuermann;H. Hagen</t>
  </si>
  <si>
    <t>David Auber;Yves Chiricota;Fabien Jourdan;Guy Melan̤on</t>
  </si>
  <si>
    <t>Small world networks, multiscale graphs,clustering metric, semantic zooming</t>
  </si>
  <si>
    <t>Improving Hybrid MDS with Pivot-Based Searching</t>
  </si>
  <si>
    <t>10.1109/INFVIS.2003.1249012</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</si>
  <si>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</si>
  <si>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http://doi.ieeecomputersociety.org/10.1109/INFVIS.2003.1249012</t>
  </si>
  <si>
    <t>K.S. Bonnell;D.R. Schikore;K.I. Joy;M. Duchaineau;B. Hamann</t>
  </si>
  <si>
    <t>CIPIC, California Univ., Davis, CA, USA</t>
  </si>
  <si>
    <t>We present a novel approach to surface reconstruction based on the Delaunay complex. First we give a simple and fast algorithm that picks locally a surface at each vertex. For that, we introduce the concept of /spl lambda/-intervals.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</si>
  <si>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U. Adamy;J. Giesen;M. John</t>
  </si>
  <si>
    <t>Inst. for Theor. Comput. Sci., Eidgenossische Tech. Hochschule, Zurich, Switzerland</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</si>
  <si>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</si>
  <si>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G.-P. Bonneau;S. Hahmann</t>
  </si>
  <si>
    <t>CNRS, Univ. of Grenoble, France</t>
  </si>
  <si>
    <t>Alistair Morrison;Matthew Chalmers</t>
  </si>
  <si>
    <t>10.1109/INFVIS.2002.1173150;10.1109/INFVIS.2002.1173159;10.1109/VISUAL.1996.567787;10.1109/INFVIS.2002.1173161</t>
  </si>
  <si>
    <t>Multidimensional scaling, MDS, spring models, hybrid algorithms, pivots, near-neighbour search, force directed placement</t>
  </si>
  <si>
    <t>A virtual workspace for hybrid multidimensional scaling algorithms</t>
  </si>
  <si>
    <t>10.1109/INFVIS.2003.1249013</t>
  </si>
  <si>
    <t>http://dx.doi.org/10.1109/INFVIS.2003.1249013</t>
  </si>
  <si>
    <t>We introduce a new subdivision-surface wavelet transform for arbitrary two-manifolds with boundary that is the first to use simple lifting-style filtering operations with bicubic precision. We also describe a conversion process for re-mapping large-scale isosurfaces to have subdivision connectivity and fair parameterizations so that the new wavelet transform can be used for compression and visualization. The main idea enabling our wavelet transform is the circular symmetrization of the filters in irregular neighborhoods, which replaces the traditional separation of filters into two 1D passes. Our wavelet transform uses polygonal base meshes to represent surface topology, from which a Catmull-Clark-style subdivision hierarchy is generated. The details between these levels of resolution are quickly computed and compactly stored as wavelet coefficients. The isosurface conversion process begins with a contour triangulation computed using conventional techniques, which we subsequently simplify with a variant edge-collapse procedure, followed by an edge-removal process. This provides a coarse initial base mesh, which is subsequently refined, relaxed and attracted in phases to converge to the contour. The conversion is designed to produce smooth, untangled and minimally-skewed parameterizations which improves the subsequent compression after applying the transform. We have demonstrated our conversion and transform for an isosurface obtained from a high-resolution turbulent-mixing hydrodynamics simulation, showing the potential for compression and level-of-detail visualization.</t>
  </si>
  <si>
    <t>M. Bertram;M.A. Duchaineau;B. Hamann;K.I. Joy</t>
  </si>
  <si>
    <t>CASC, Lawrence Livermore Nat. Lab., CA, USA</t>
  </si>
  <si>
    <t>Greg Ross;Matthew Chalmers</t>
  </si>
  <si>
    <t>Dept. of Comput. Sci., Glasgow Univ., UK|c|;</t>
  </si>
  <si>
    <t>10.1109/INFVIS.2003.1249012;10.1109/VISUAL.1996.567787</t>
  </si>
  <si>
    <t>Data-flow, visual programming, multidimensional scaling, multiple views, hybrid algorithms, complexity</t>
  </si>
  <si>
    <t>Dynamic visualization of transient data streams</t>
  </si>
  <si>
    <t>10.1109/INFVIS.2003.1249014</t>
  </si>
  <si>
    <t>http://dx.doi.org/10.1109/INFVIS.2003.1249014</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</si>
  <si>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</si>
  <si>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U. Clarenz;U. Diewald;M. Rumpf</t>
  </si>
  <si>
    <t>Inst. for Appl. Math., Bonn Univ., Germany</t>
  </si>
  <si>
    <t>Pak Chung Wong;Harlan Foote;Dan Adams;Wendy Cowley;James J. Thomas</t>
  </si>
  <si>
    <t>PNNL, Richland, WA, USA|c|;;;;</t>
  </si>
  <si>
    <t>10.1109/VISUAL.1996.567787;10.1109/VISUAL.1997.663866;10.1109/INFVIS.2002.1173161;10.1109/INFVIS.1995.528686;10.1109/INFVIS.1999.801855</t>
  </si>
  <si>
    <t>The concept of fairing applied to irregular triangular meshes has become more and more important. Previous contributions constructed better fairing operators, and applied them both to multiresolution editing tools and to multiresolution representations of meshes. The authors generalize these powerful techniques to handle non-manifold models. Our framework computes a multilevel fairing of models by fairing both the two-manifold surfaces that define the model, the so-called two-features,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</si>
  <si>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Dynamic Visualization, Text Visualization, Remote Sensing Imagery, Transient Data Stream</t>
  </si>
  <si>
    <t>A. Hubeli;M. Gross</t>
  </si>
  <si>
    <t>Eidgenossische Tech. Hochschule, Zurich, Switzerland</t>
  </si>
  <si>
    <t>Interactive hierarchical dimension ordering, spacing and filtering for exploration of high dimensional datasets</t>
  </si>
  <si>
    <t>10.1109/INFVIS.2003.1249015</t>
  </si>
  <si>
    <t>http://dx.doi.org/10.1109/INFVIS.2003.1249015</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</si>
  <si>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</si>
  <si>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F.S. Nooruddin;G. Turk</t>
  </si>
  <si>
    <t>Jing Yang 0001;Wei Peng;Matthew O. Ward;Elke A. Rundensteiner</t>
  </si>
  <si>
    <t>Dept. of comuter Sci., Worcester Polytech. Inst., MA, USA|c|;;;</t>
  </si>
  <si>
    <t>10.1109/VISUAL.1990.146386;10.1109/VISUAL.1990.146402;10.1109/INFVIS.1998.729559;10.1109/VISUAL.1994.346302;10.1109/INFVIS.2000.885086;10.1109/VISUAL.1995.485140;10.1109/INFVIS.2002.1173151</t>
  </si>
  <si>
    <t>Dimension ordering, dimension spacing, dimension filtering, multidimensional visualization, high dimensional datasets</t>
  </si>
  <si>
    <t>Mapping nominal values to numbers for effective visualization</t>
  </si>
  <si>
    <t>10.1109/INFVIS.2003.1249016</t>
  </si>
  <si>
    <t>http://dx.doi.org/10.1109/INFVIS.2003.1249016</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</si>
  <si>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</si>
  <si>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A. Shamir;V. Pascucci;C. Bajaj</t>
  </si>
  <si>
    <t>Center for Comput. Visualization, Texas Univ., Austin, TX, USA</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</si>
  <si>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</si>
  <si>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K.A. Robbins;M. Gorman</t>
  </si>
  <si>
    <t>Geraldine E. Rosario;Elke A. Rundensteiner;David C. Brown;Matthew O. Ward</t>
  </si>
  <si>
    <t>Dept. of Comput. Sci., Worcester Polytech. Inst., USA|c|;;;</t>
  </si>
  <si>
    <t>10.1109/VISUAL.1990.146386;10.1109/VISUAL.1990.146402;10.1109/INFVIS.1998.729559;10.1109/VISUAL.1994.346302</t>
  </si>
  <si>
    <t xml:space="preserve"> nominal data, visualization, dimension reduction, correspondence analysis, quantification, clustering, classing</t>
  </si>
  <si>
    <t>Visualization of Labeled Data Using Linear Transformation</t>
  </si>
  <si>
    <t>10.1109/INFVIS.2003.1249017</t>
  </si>
  <si>
    <t>http://doi.ieeecomputersociety.org/10.1109/INFVIS.2003.1249017</t>
  </si>
  <si>
    <t>Yehuda Koren;Liran Carmel</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</si>
  <si>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</si>
  <si>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The Weizmann Institute of Science, Rehovot, Israel</t>
  </si>
  <si>
    <t>Lukas Mroz;Rainer Wegenkittl;M. Eduard Gröller</t>
  </si>
  <si>
    <t>10.1109/INFVIS.2002.1173159;10.1109/INFVIS.2001.963275;10.1109/INFVIS.2002.1173161</t>
  </si>
  <si>
    <t>L. Mroz;R. Wegenkittl;E. Groller</t>
  </si>
  <si>
    <t>visualization, dimensionality-reduction, projection, principal component analysis, Fisher's linear discriminant analysis, eigenprojection, classification</t>
  </si>
  <si>
    <t>Intelligently resolving point occlusion</t>
  </si>
  <si>
    <t>10.1109/INFVIS.2003.1249018</t>
  </si>
  <si>
    <t>http://dx.doi.org/10.1109/INFVIS.2003.1249018</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</si>
  <si>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</si>
  <si>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J.E. Swan;M. Lanzagorta;D. Maxwell;E. Kuo;J. Uhlmann;W. Anderson;Haw-Jye Shyu;W. Smith</t>
  </si>
  <si>
    <t>Virtual Reality Lab., Naval Res. Lab., Washington, DC, USA</t>
  </si>
  <si>
    <t>Marjan Trutschl;Georges G. Grinstein;Urska Cvek</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</si>
  <si>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</si>
  <si>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LSU Comput. Sci., LSU Health Sci. Center, Shreveport, LA, USA|c|;;</t>
  </si>
  <si>
    <t>D. Weiskopf</t>
  </si>
  <si>
    <t>data visualization, information visualization, design, data points, data density, occlusion, identifiable points, jitter, neural networks</t>
  </si>
  <si>
    <t>Inst. for Astron. &amp; Astrophys., Tubingen Univ., Germany</t>
  </si>
  <si>
    <t>Constant density displays using diversity sampling</t>
  </si>
  <si>
    <t>10.1109/INFVIS.2003.1249019</t>
  </si>
  <si>
    <t>http://dx.doi.org/10.1109/INFVIS.2003.1249019</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</si>
  <si>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</si>
  <si>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K. Engel;P. Hastreiter;B. Tomandl;K. Eberhardt;T. Ertl</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</si>
  <si>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</si>
  <si>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A.J. Fenlon;T. David;J.P.R.B. Walton</t>
  </si>
  <si>
    <t>Sch. of Mech. Eng., Leeds Univ., UK</t>
  </si>
  <si>
    <t>Mark Derthick;Michael G. Christel;Alexander G. Hauptmann;Howard D. Wactlar</t>
  </si>
  <si>
    <t>Human-Comput. Interaction Inst., Carnegie Mellon Univ., Pittsburgh, PA, USA|c|;;;</t>
  </si>
  <si>
    <t>Information Visualization, Collage</t>
  </si>
  <si>
    <t>Empirical comparison of dynamic query sliders and brushing histograms</t>
  </si>
  <si>
    <t>10.1109/INFVIS.2003.1249020</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</si>
  <si>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</si>
  <si>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A.S. Forsberg;D.H. Laidlaw;A. Van Dam;R.M. Kirby;G.E. Kafniadakis;J.L. Elion</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</si>
  <si>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</si>
  <si>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Rainer Wegenkittl;Anna Vilanova;Balint Hegedüs;Daniel Wagner;Martin C. Freund;M. Eduard Gröller</t>
  </si>
  <si>
    <t>R. Wegenkittl;A. Vilanova;B. Hegedust;D. Wagner;M.C. Freund;E.M. Groller</t>
  </si>
  <si>
    <t>Tiani Medgraph GesmbH, Vienna, Austria</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</si>
  <si>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</si>
  <si>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H. Huitema;R. Van Liere</t>
  </si>
  <si>
    <t>Center for Math. &amp; Comput. Sci., Amsterdam, Netherlands</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</si>
  <si>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</si>
  <si>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P. Ljung;M. Dieckmann;N. Andersson;A. Ynnerman</t>
  </si>
  <si>
    <t>Dept. of Sci. &amp; Technol., Linkopings Univ., Sweden</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</si>
  <si>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</si>
  <si>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W.C. De Leeuw;R. Van Liere;P.J. Verschure;A.E. Visser;E.M.M. Manders;R. Van Drielf</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</si>
  <si>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</si>
  <si>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</si>
  <si>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K.G. Bemis;D. Silver;P.A. Rona;Chengwei Feng</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</si>
  <si>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</si>
  <si>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Pak Chung Wong;H. Foote;R. Leung;E. Jurrus;D. Adams;J. Thomas</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</si>
  <si>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</si>
  <si>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D.L. Gresh;B.E. Rogowitz;R.L. Winslow;D.F. Scollan;C.K. Yung</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</si>
  <si>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</si>
  <si>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P. Rheingans;M. DesJardins</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</si>
  <si>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</si>
  <si>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</si>
  <si>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G. Schussman;Kwan-Liu Ma;D. Schissel;T. Evans</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</si>
  <si>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</si>
  <si>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Sonar Res. &amp; Dev. Ltd., Beverley, UK</t>
  </si>
  <si>
    <t>http://dx.doi.org/10.1109/INFVIS.2003.1249020</t>
  </si>
  <si>
    <t>Qing Li;Chris North</t>
  </si>
  <si>
    <t>Dept. of Comput. Sci., Virginia Polytech. Inst &amp; State Univ., Blacksburg, VA, USA|c|;</t>
  </si>
  <si>
    <t>Dynamic query, slider, histogram, usability study, information visualization, multidimensional visualization</t>
  </si>
  <si>
    <t>An experimental evaluation of continuous semantic zooming in program visualization</t>
  </si>
  <si>
    <t>10.1109/INFVIS.2003.1249021</t>
  </si>
  <si>
    <t>http://dx.doi.org/10.1109/INFVIS.2003.1249021</t>
  </si>
  <si>
    <t>Kenneth L. Summers;Timothy E. Goldsmith;Steve Kubica;Thomas P. Caudell</t>
  </si>
  <si>
    <t>Center for High Performance Comput., New Mexico Univ., Albuquerque, NM, USA|c|;;;</t>
  </si>
  <si>
    <t>Program visualization, Human subjects testing, Visual program languages</t>
  </si>
  <si>
    <t>Conveying shape with texture: an experimental investigation of the impact of texture type on shape categorization judgments</t>
  </si>
  <si>
    <t>10.1109/INFVIS.2003.1249022</t>
  </si>
  <si>
    <t>http://dx.doi.org/10.1109/INFVIS.2003.1249022</t>
  </si>
  <si>
    <t>Sunghee Kim;Haleh Hagh-Shenas;Victoria Interrante</t>
  </si>
  <si>
    <t>Minnesota Univ., Minneapolis, MN, USA|c|;;</t>
  </si>
  <si>
    <t>shape perception, texture, principal directions</t>
  </si>
  <si>
    <t>Coordinated graph and scatter-plot views for the visual exploration of microarray time-series data</t>
  </si>
  <si>
    <t>10.1109/INFVIS.2003.1249023</t>
  </si>
  <si>
    <t>http://dx.doi.org/10.1109/INFVIS.2003.1249023</t>
  </si>
  <si>
    <t>Paul Craig;Jessie Kennedy</t>
  </si>
  <si>
    <t>Sch. of Comput., Napier Univ., Edinburgh, UK|c|;</t>
  </si>
  <si>
    <t>Bioinformatics, Microarrays, Information Visualization, Time-Series, Multiple-views</t>
  </si>
  <si>
    <t>Compound brushing</t>
  </si>
  <si>
    <t>10.1109/INFVIS.2003.1249024</t>
  </si>
  <si>
    <t>http://dx.doi.org/10.1109/INFVIS.2003.1249024</t>
  </si>
  <si>
    <t>SAS Inst. Inc., Cary, NC, USA|c|</t>
  </si>
  <si>
    <t>10.1109/VISUAL.1995.485139;10.1109/INFVIS.2002.1173157;10.1109/INFVIS.2000.885092;10.1109/VISUAL.1994.346302;10.1109/INFVIS.1996.559216</t>
  </si>
  <si>
    <t>brushing, selection, dynamic graphics, data visualization, higraph, visual programming, dynamic query</t>
  </si>
  <si>
    <t>Causality visualization using animated growing polygons</t>
  </si>
  <si>
    <t>10.1109/INFVIS.2003.1249025</t>
  </si>
  <si>
    <t>http://dx.doi.org/10.1109/INFVIS.2003.1249025</t>
  </si>
  <si>
    <t>Niklas Elmqvist;Philippas Tsigas</t>
  </si>
  <si>
    <t>causal relations, information visualization, interactive animation</t>
  </si>
  <si>
    <t>Visualization of large-scale customer satisfaction surveys using a parallel coordinate tree</t>
  </si>
  <si>
    <t>10.1109/INFVIS.2003.1249026</t>
  </si>
  <si>
    <t>http://dx.doi.org/10.1109/INFVIS.2003.1249026</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</si>
  <si>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 outstripping the capabilities of the visualization tools available to the research team. As part of the Army Engineer Research and Development Center (ERDC) Programming Environment and Training (PET) project, a special visualization tool was developed. Some problematic issues in efficiently handling and processing the data format from the computational model were resolved through this work. Also, a sophisticated system for dynamically generating visualizations of the data has been implemented. In addition, the development of the VisGen library allows for high-level, flexible control of the VTK graphics pipeline. Coupled with an easy-to-use interface to the application, this allows the user a lot of control over the graphical representation of the data. Once the user has a representation he/she is pleased with, a wide variety of options are provided for how this can be used in presentation, or for sharing with remote colleagues. This paper includes discussions on how the simulation data are handled efficiently, as well as how the issues of usability, flexibility and collaboration are addressed.</t>
  </si>
  <si>
    <t>R. Stein;A.M. Shih;M.P. Baker;C.F. Cerco;M.R. Noel</t>
  </si>
  <si>
    <t>Dominique Brodbeck;Luc Girardin</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</si>
  <si>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</si>
  <si>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Macrofocus GmbH, Zurich, Switzerland|c|;</t>
  </si>
  <si>
    <t>10.1109/VISUAL.1991.175815;10.1109/VISUAL.1990.146402;10.1109/INFVIS.2001.963274;10.1109/INFVIS.2001.963285</t>
  </si>
  <si>
    <t>parallel coordinates,focus+context, hierarchical data, satisfaction survey</t>
  </si>
  <si>
    <t>FundExplorer: supporting the diversification of mutual fund portfolios using context treemaps</t>
  </si>
  <si>
    <t>10.1109/INFVIS.2003.1249027</t>
  </si>
  <si>
    <t>http://dx.doi.org/10.1109/INFVIS.2003.1249027</t>
  </si>
  <si>
    <t>2001</t>
  </si>
  <si>
    <t>P. Hanrahan</t>
  </si>
  <si>
    <t>Stanford University</t>
  </si>
  <si>
    <t>Marc Weber;Marc Alexa;Wolfgang Müller 0004</t>
  </si>
  <si>
    <t>M. Weber;M. Alexa;W. Muller</t>
  </si>
  <si>
    <t>Technische Universitat Darmstadt</t>
  </si>
  <si>
    <t>L. Nowell;E. Hetzler;T. Tanasse</t>
  </si>
  <si>
    <t>Pacific Northwest National Laboratory</t>
  </si>
  <si>
    <t>Christoph Csallner;Marcus Handte;Othmar Lehmann;John T. Stasko</t>
  </si>
  <si>
    <t>G.S. Davidson;B.N. Wylie;K.W. Boyack</t>
  </si>
  <si>
    <t>Sandia National Laboratories</t>
  </si>
  <si>
    <t>Coll. of Comput., Georgia Inst. of Technol., Atlanta, GA, USA|c|;;;</t>
  </si>
  <si>
    <t>10.1109/INFVIS.2002.1173156;10.1109/VISUAL.1992.235217</t>
  </si>
  <si>
    <t>information visualization, context, treemap, distortion, query, financial data, stock market, FundExplore</t>
  </si>
  <si>
    <t>Thread Arcs: an email thread visualization</t>
  </si>
  <si>
    <t>10.1109/INFVIS.2003.1249028</t>
  </si>
  <si>
    <t>http://dx.doi.org/10.1109/INFVIS.2003.1249028</t>
  </si>
  <si>
    <t>J. Eagan;M.J. Harrold;J.A. Jones;J. Stasko</t>
  </si>
  <si>
    <t>Georgia Institute of Technology Atlanta</t>
  </si>
  <si>
    <t>Bernard Kerr</t>
  </si>
  <si>
    <t>10.1109/INFVIS.2002.1173155;10.1109/INFVIS.2001.963290</t>
  </si>
  <si>
    <t>conversations, discussions, electronic mail, email, information visualization, threads, tree structures, user interfaces</t>
  </si>
  <si>
    <t>BARD: A visualization tool for biological sequence analysis</t>
  </si>
  <si>
    <t>10.1109/INFVIS.2003.1249029</t>
  </si>
  <si>
    <t>Visual Insights, Inc.</t>
  </si>
  <si>
    <t>http://doi.ieeecomputersociety.org/10.1109/INFVIS.2003.1249029</t>
  </si>
  <si>
    <t>Ka-Ping Yee;D. Fisher;R. Dhamija;M. Hearst</t>
  </si>
  <si>
    <t>University of California</t>
  </si>
  <si>
    <t>J.M. Six;I.G. Tollis</t>
  </si>
  <si>
    <t>The University of Texas</t>
  </si>
  <si>
    <t>F. van Ham;H. van de Wetering;J.J. van Wijk</t>
  </si>
  <si>
    <t>Eindhoven University of Technology</t>
  </si>
  <si>
    <t>Rhazes Spell;Rachael Brady;Fred Dietrich</t>
  </si>
  <si>
    <t>Duke University</t>
  </si>
  <si>
    <t>sequence analysis, comparative genomics, visualization, arc diagram, BARD</t>
  </si>
  <si>
    <t>Using multilevel call matrices in large software projects</t>
  </si>
  <si>
    <t>http://dx.doi.org/10.1109/INFVIS.2003.1249030</t>
  </si>
  <si>
    <t>J. Abello;I. Finocchi;J. Korn</t>
  </si>
  <si>
    <t>AT&amp;T Labs-Research</t>
  </si>
  <si>
    <t>Frank van Ham</t>
  </si>
  <si>
    <t>Dept. of Math. &amp; Comput. Sci., Technische Universiteit Eindhoven, Netherlands|c|</t>
  </si>
  <si>
    <t>10.1109/INFVIS.2002.1173141;10.1109/INFVIS.2003.1249004;10.1109/VISUAL.1991.175815</t>
  </si>
  <si>
    <t>software visualization, multilevel visualization, call matrix</t>
  </si>
  <si>
    <t>Between aesthetics and utility: designing ambient information visualizations</t>
  </si>
  <si>
    <t>10.1109/INFVIS.2003.1249031</t>
  </si>
  <si>
    <t>B. Shneiderman;M. Wattenberg</t>
  </si>
  <si>
    <t>University of Maryland</t>
  </si>
  <si>
    <t>http://dx.doi.org/10.1109/INFVIS.2003.1249031</t>
  </si>
  <si>
    <t>Raimund Dachselt;Jürgen Ebert</t>
  </si>
  <si>
    <t>R. Dachselt;J. Ebert</t>
  </si>
  <si>
    <t>Dresden University of Technology</t>
  </si>
  <si>
    <t>E. Kleiberg;H. van de Wetering;J.J. van Wijk</t>
  </si>
  <si>
    <t>Tobias Skog;Sara Ljungblad;Lars Erik Holmquist</t>
  </si>
  <si>
    <t>Future Applications Lab, Viktoria Inst., Goteborg, Sweden|c|;;</t>
  </si>
  <si>
    <t>Ambient information visualization, informative art, ambient displays, calm technology</t>
  </si>
  <si>
    <t>Developing architectural lighting representations</t>
  </si>
  <si>
    <t>10.1109/INFVIS.2003.1249032</t>
  </si>
  <si>
    <t>http://doi.ieeecomputersociety.org/10.1109/INFVIS.2003.1249032</t>
  </si>
  <si>
    <t>R. Kosara;S. Miksch;H. Hauser</t>
  </si>
  <si>
    <t>Vienna University of Technology</t>
  </si>
  <si>
    <t>S. Havre;E. Hetzler;K. Perrine;E. Jurrus;N. Miller</t>
  </si>
  <si>
    <t>Battelle Pacific Northwest Division</t>
  </si>
  <si>
    <t>D. Keim;M.C. Hao;J. Ladisch;Meichun Hsu;U. Dayal</t>
  </si>
  <si>
    <t>Hewlett Packard Research Laboratories</t>
  </si>
  <si>
    <t>Daniel C. Glaser;Roger Tan;John F. Canny;Ellen Yi-Luen Do</t>
  </si>
  <si>
    <t>U.C. Berkeley</t>
  </si>
  <si>
    <t>information visualization, qualitative analysis, ethnographic fieldwork, architectural lighting design, energy efficiency</t>
  </si>
  <si>
    <t>IEEE Visualization 2003 (IEEE Cat. No.03CH37496)</t>
  </si>
  <si>
    <t>10.1109/VISUAL.2003.1250348</t>
  </si>
  <si>
    <t>http://dx.doi.org/10.1109/VISUAL.2003.1250348</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</si>
  <si>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</si>
  <si>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A. Kobsa</t>
  </si>
  <si>
    <t>T. Barlow;P. Neville</t>
  </si>
  <si>
    <t>SAS Institute Inc.</t>
  </si>
  <si>
    <t>Greg Turk;Jarke J. van Wijk;Robert J. Moorhead II</t>
  </si>
  <si>
    <t>The visualization market: open source vs. commercial approaches</t>
  </si>
  <si>
    <t>10.1109/VISUAL.2003.1250350</t>
  </si>
  <si>
    <t>http://dx.doi.org/10.1109/VISUAL.2003.1250350</t>
  </si>
  <si>
    <t>Jeremy Jaech;Stephen C. North;Mike Peery;Will Schroeder;James J. Thomas</t>
  </si>
  <si>
    <t>Exploring curved anatomic structures with surface sections</t>
  </si>
  <si>
    <t>10.1109/VISUAL.2003.1250351</t>
  </si>
  <si>
    <t>http://dx.doi.org/10.1109/VISUAL.2003.1250351</t>
  </si>
  <si>
    <t>Laurent Saroul;Sebastian Gerlach;Roger D. Hersch</t>
  </si>
  <si>
    <t>Ecole Polytechnique Federale de Lausanne, Switzerland|c|;;</t>
  </si>
  <si>
    <t>visualization, anatomic structures, curved sections, surface extraction, interactive flattening</t>
  </si>
  <si>
    <t>Psychophysical scaling of a cardiovascular information display</t>
  </si>
  <si>
    <t>10.1109/VISUAL.2003.1250352</t>
  </si>
  <si>
    <t>http://dx.doi.org/10.1109/VISUAL.2003.1250352</t>
  </si>
  <si>
    <t>Robert Albert;Noah Syroid;Yinqi Zhang;James Agutter;Frank Drews;David L. Strayer;George Hutchinson;Dwayne R. Westenskow</t>
  </si>
  <si>
    <t>Appl. Med. Visualizations, West Valley, UT, USA|c|;;;;;;;</t>
  </si>
  <si>
    <t>Psychophysical Scaling, Anesthesia, Patient Vital Sign Monitor</t>
  </si>
  <si>
    <t>Advanced curved planar reformation: flattening of vascular structures</t>
  </si>
  <si>
    <t>10.1109/VISUAL.2003.1250353</t>
  </si>
  <si>
    <t>http://dx.doi.org/10.1109/VISUAL.2003.1250353</t>
  </si>
  <si>
    <t>Armin Kanitsar;Rainer Wegenkittl;Dominik Fleischmann;M. Eduard Gr̦ller</t>
  </si>
  <si>
    <t>10.1109/VISUAL.2002.1183754;10.1109/VISUAL.2001.964555;10.1109/VISUAL.2001.964538</t>
  </si>
  <si>
    <t>Counting cases in marching cubes: toward a generic algorithm for producing substitopes</t>
  </si>
  <si>
    <t>10.1109/VISUAL.2003.1250354</t>
  </si>
  <si>
    <t>http://dx.doi.org/10.1109/VISUAL.2003.1250354</t>
  </si>
  <si>
    <t>David C. Banks;Stephen A. Linton</t>
  </si>
  <si>
    <t>Florida State Univ., Gainesville, FL, USA|c|;</t>
  </si>
  <si>
    <t>10.1109/VISUAL.2000.885704;10.1109/VISUAL.1997.663886;10.1109/VISUAL.1996.568103;10.1109/VISUAL.1996.568121;10.1109/VISUAL.1995.480806;10.1109/VISUAL.1991.175780;10.1109/VISUAL.1997.663887;10.1109/VISUAL.2001.964564</t>
  </si>
  <si>
    <t>level set, isosurface, orbit, group action, Marching Cubes, separating surfaces, geometric substitution, substitope</t>
  </si>
  <si>
    <t>MC&lt;sup&gt;*&lt;/sup&gt;: star functions for marching cubes</t>
  </si>
  <si>
    <t>10.1109/VISUAL.2003.1250355</t>
  </si>
  <si>
    <t>http://dx.doi.org/10.1109/VISUAL.2003.1250355</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</si>
  <si>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</si>
  <si>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M. Tavanti;M. Lind</t>
  </si>
  <si>
    <t>University Sweden</t>
  </si>
  <si>
    <t>J. Brainerd;B. Becker</t>
  </si>
  <si>
    <t>Blue Martini Software</t>
  </si>
  <si>
    <t>Gregory M. Nielson</t>
  </si>
  <si>
    <t>Arizona State Univ., Tempe, AZ, USA|c|</t>
  </si>
  <si>
    <t xml:space="preserve"> Marching Cubes, isosurfaces, triangular mesh</t>
  </si>
  <si>
    <t>Extraction of topologically simple isosurfaces from volume datasets</t>
  </si>
  <si>
    <t>10.1109/VISUAL.2003.1250356</t>
  </si>
  <si>
    <t>http://dx.doi.org/10.1109/VISUAL.2003.1250356</t>
  </si>
  <si>
    <t>R.M. Edsall;A.M. MacEachren;L. Pickle</t>
  </si>
  <si>
    <t>Arizona State University</t>
  </si>
  <si>
    <t>J. Agutter;N. Syroid;F. Drews;D. Westenskow;J. Bermudez;D. Strayer</t>
  </si>
  <si>
    <t>J.L. Posdamer;J. Dantone;N. Gershon;J. Dale;T. Hamburger;W. Page</t>
  </si>
  <si>
    <t>Sarnoff Corporation</t>
  </si>
  <si>
    <t>Andrzej Szymczak;James Vanderhyde</t>
  </si>
  <si>
    <t>Georgia Tech, USA|c|;</t>
  </si>
  <si>
    <t>10.1109/VISUAL.2002.1183774;10.1109/VISUAL.2000.885703;10.1109/VISUAL.2000.885704</t>
  </si>
  <si>
    <t xml:space="preserve"> Isosurface, Topology, Genus</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</si>
  <si>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</si>
  <si>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Marc Alexa;Johannes Behr;Daniel Cohen-Or;Shachar Fleishman;David Levin;Cláudio T. Silva</t>
  </si>
  <si>
    <t>M. Alexa;J. Behr;D. Cohen-Or;S. Fleishman;D. Levin;C.T. Silva</t>
  </si>
  <si>
    <t>Interactive deformation and visualization of level set surfaces using graphics hardware</t>
  </si>
  <si>
    <t>Technische Hochschule Darmstadt, Germany</t>
  </si>
  <si>
    <t>10.1109/VISUAL.2003.1250357</t>
  </si>
  <si>
    <t>http://dx.doi.org/10.1109/VISUAL.2003.1250357</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</si>
  <si>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</si>
  <si>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M. Zwicker;H. Pfister;J. van Baar;M. Gross</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</si>
  <si>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</si>
  <si>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J.D. Cohen;D.G. Aliaga;Weiqiang Zhang</t>
  </si>
  <si>
    <t>Aaron E. Lefohn;Joe Michael Kniss;Charles D. Hansen;Ross T. Whitaker</t>
  </si>
  <si>
    <t>Johns Hopkins Univ., Baltimore, MD, USA</t>
  </si>
  <si>
    <t>Sch. of Comput. &amp; Imaging Inst., Utah Univ., Salt Lake, UT, USA|c|;;;</t>
  </si>
  <si>
    <t>10.1109/VISUAL.2002.1183766;10.1109/VISUAL.2003.1250412;10.1109/VISUAL.2003.1250369</t>
  </si>
  <si>
    <t>Deformable Models, Image Segmentation, Volume Visualization, GPU, Level Sets, Streaming Computation</t>
  </si>
  <si>
    <t>Signed distance transform using graphics hardware</t>
  </si>
  <si>
    <t>10.1109/VISUAL.2003.1250358</t>
  </si>
  <si>
    <t>http://dx.doi.org/10.1109/VISUAL.2003.1250358</t>
  </si>
  <si>
    <t>We introduce a simple but effective extension to the existing pure point rendering systems. Rather than using only points, we use both points and polygons to represent and render large mesh models. We start from triangles as leaf nodes and build up a hierarchical tree structure with intermediate nodes as points. During the rendering, the system determines whether to use a point (of a certain intermediate level node) or a triangle (of a leaf node) for display depending on the screen contribution of each node. While points are used to speedup the rendering of distant objects, triangles are used to ensure the quality of close objects. Our method can accelerate the rendering of large models, compromising little in image quality.</t>
  </si>
  <si>
    <t>Baoquan Chen;Minh Xuan Nguyen</t>
  </si>
  <si>
    <t>Dept. of Comput. Sci. &amp; Eng., Minnesota Univ., Twin Cities, MN, USA;Dept. of Comput. Sci. &amp; Eng., Minnesota Univ., Twin Cities, MN, USA</t>
  </si>
  <si>
    <t>Christian Sigg;Ronald Peikert;Markus H. Gross</t>
  </si>
  <si>
    <t>Dept. of Comput. Sci., ETH Zurich, Switzerland|c|;;</t>
  </si>
  <si>
    <t>10.1109/VISUAL.2001.964518;10.1109/VISUAL.2001.964517</t>
  </si>
  <si>
    <t>Distance field, distance transform, Voronoi diagram, fragment program, scan conversion</t>
  </si>
  <si>
    <t>Piecewise C&lt;sup&gt;1&lt;/sup&gt; continuous surface reconstruction of noisy point clouds via local implicit quadric regression</t>
  </si>
  <si>
    <t>10.1109/VISUAL.2003.1250359</t>
  </si>
  <si>
    <t>http://dx.doi.org/10.1109/VISUAL.2003.1250359</t>
  </si>
  <si>
    <t>Hui Xie 0001;Jianning Wang;Jing Hua;Hong Qin;Arie E. Kaufman</t>
  </si>
  <si>
    <t>Dept. of Comput. Sci., Stony Brook univrsity, NY, USA|c|;;;;</t>
  </si>
  <si>
    <t>Computer Graphics, Surface Reconstruction, Point Cloud, Surface Representation, Solid Modeling, Moving Least Squares, Shepard's Method</t>
  </si>
  <si>
    <t>Feature-sensitive subdivision and isosurface reconstruction</t>
  </si>
  <si>
    <t>10.1109/VISUAL.2003.1250360</t>
  </si>
  <si>
    <t>http://dx.doi.org/10.1109/VISUAL.2003.1250360</t>
  </si>
  <si>
    <t>Gokul Varadhan;Shankar Krishnan;Young J. Kim;Dinesh Manocha</t>
  </si>
  <si>
    <t>10.1109/VISUAL.2001.964518;10.1109/VISUAL.1996.568127</t>
  </si>
  <si>
    <t>Implicit modeling, Boolean operations, Marching Cubes, Distance fields, Subdivision</t>
  </si>
  <si>
    <t>A texture-based framework for spacetime-coherent visualization of time-dependent vector fields</t>
  </si>
  <si>
    <t>10.1109/VISUAL.2003.1250361</t>
  </si>
  <si>
    <t>http://dx.doi.org/10.1109/VISUAL.2003.1250361</t>
  </si>
  <si>
    <t>Daniel Weiskopf;Gordon Erlebacher;Thomas Ertl</t>
  </si>
  <si>
    <t>Inst. of Visualization &amp; Interactive Syst., Stuttgart Univ., Germany|c|;;</t>
  </si>
  <si>
    <t>10.1109/VISUAL.2001.964493;10.1109/VISUAL.1999.809906</t>
  </si>
  <si>
    <t xml:space="preserve"> time-dependent vector fields, unsteady flow visualization, LIC, texture advection, hardware acceleration</t>
  </si>
  <si>
    <t>Effectively visualizing multi-valued flow data using color and texture</t>
  </si>
  <si>
    <t>10.1109/VISUAL.2003.1250362</t>
  </si>
  <si>
    <t>http://dx.doi.org/10.1109/VISUAL.2003.1250362</t>
  </si>
  <si>
    <t>In this paper, we propose a new technique to visualize dense representations of time-dependent vector fields based on a Lagrangian-Eulerian Advection (LEA) scheme. The algorithm produces animations with high spatio-temporal correlation at interactive rates. With this technique, every still frame depicts the instantaneous structure of the flow, whereas an animated sequence of frames reveals the motion a dense collection of particles would take when released into the flow. The simplicity of both the resulting data structures and the implementation suggest that LEA could become a useful component of any scientific visualization toolkit concerned with the display of unsteady flows.</t>
  </si>
  <si>
    <t>B. Jobard;G. Erlebacher;M. Yousuff Hussaini</t>
  </si>
  <si>
    <t>Sch. of Computational Sci. &amp; Inf. Technol., Florida State Univ., Tallahassee, FL, USA;Sch. of Computational Sci. &amp; Inf. Technol., Florida State Univ., Tallahassee, FL, USA;Sch. of Computational Sci. &amp; Inf. Technol., Florida State Univ., Tallahassee, FL, USA</t>
  </si>
  <si>
    <t>Timothy Urness;Victoria Interrante;Ivan Marusic;Ellen Longmire;Bharathram Ganapathisubramani</t>
  </si>
  <si>
    <t>Dept. of Comput. Sci. &amp; Eng., Minnesota Univ., USA|c|;;;;</t>
  </si>
  <si>
    <t>10.1109/VISUAL.1999.809905;10.1109/VISUAL.1997.663897;10.1109/VISUAL.1996.568118;10.1109/VISUAL.2002.1183788;10.1109/VISUAL.1996.567784;10.1109/VISUAL.1998.745294;10.1109/VISUAL.1998.745292</t>
  </si>
  <si>
    <t>flow visualization, line integral convolution, multi-variate data visualization, color, texture</t>
  </si>
  <si>
    <t>Image based flow visualization for curved surfaces</t>
  </si>
  <si>
    <t>10.1109/VISUAL.2003.1250363</t>
  </si>
  <si>
    <t>http://dx.doi.org/10.1109/VISUAL.2003.1250363</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</si>
  <si>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</si>
  <si>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David Bürkle;Tobias Preußer;Martin Rumpf</t>
  </si>
  <si>
    <t>D. Burkle;T. Preusser;M. Rumpf</t>
  </si>
  <si>
    <t>Inst. fur Angewandte Math., Freiburg Univ., Germany</t>
  </si>
  <si>
    <t>10.1109/VISUAL.2002.1183805;10.1109/VISUAL.1995.480817;10.1109/VISUAL.2003.1250377;10.1109/VISUAL.2000.885689;10.1109/VISUAL.1999.809896;10.1109/VISUAL.2001.964493;10.1109/VISUAL.1995.480795</t>
  </si>
  <si>
    <t>Flow visualization, texture mapping, line integral convolution, surface rendering</t>
  </si>
  <si>
    <t>Image space based visualization of unsteady flow on surfaces</t>
  </si>
  <si>
    <t>10.1109/VISUAL.2003.1250364</t>
  </si>
  <si>
    <t>http://dx.doi.org/10.1109/VISUAL.2003.1250364</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</si>
  <si>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</si>
  <si>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J.J. van Wijk;A. Telea</t>
  </si>
  <si>
    <t>Dept. of Math. &amp; Comput. Sci., Eindhoven Univ. of Technol., Netherlands;Dept. of Math. &amp; Comput. Sci., Eindhoven Univ. of Technol., Netherlands</t>
  </si>
  <si>
    <t>Robert S. Laramee;Bruno Jobard;Helwig Hauser</t>
  </si>
  <si>
    <t>VRVis Res. Center, Graz, Austria|c|;;</t>
  </si>
  <si>
    <t>10.1109/VISUAL.2001.964493;10.1109/VISUAL.1994.346313;10.1109/VISUAL.1995.480817</t>
  </si>
  <si>
    <t>Unsteady flow visualization, computational fluid dynamics (CFD), surface representation, texture mapping</t>
  </si>
  <si>
    <t>A multi-resolution data structure for two-dimensional Morse-Smale functions</t>
  </si>
  <si>
    <t>10.1109/VISUAL.2003.1250365</t>
  </si>
  <si>
    <t>http://dx.doi.org/10.1109/VISUAL.2003.1250365</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</si>
  <si>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 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</si>
  <si>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G. Pingali;A. Opalach;Y. Jean;I. Carlbom</t>
  </si>
  <si>
    <t>IBM Thomas J. Watson Res. Center, Hawthorne, NY, USA</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</si>
  <si>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</si>
  <si>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T.K. Dey;J. Giesen;S. Goswami;J. Hudson;R. Wenger;Wulue Zhao</t>
  </si>
  <si>
    <t>Ohio State Univ., Columbus, OH, USA;Ohio State Univ., Columbus, OH, USA;Ohio State Univ., Columbus, OH, USA;Ohio State Univ., Columbus, OH, USA;Ohio State Univ., Columbus, OH, USA;Ohio State Univ., Columbus, OH, USA</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</si>
  <si>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</si>
  <si>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Thomas Theußl;Torsten Möller;M. Eduard Gröller</t>
  </si>
  <si>
    <t>T. Theussl;T. Moller;M.E. Groller</t>
  </si>
  <si>
    <t>Inst. of Comput. Graphics &amp; Algorithms, Technische Univ. Wien, Vienna, Austria</t>
  </si>
  <si>
    <t>Peer-Timo Bremer;Herbert Edelsbrunner;Bernd Hamann;Valerio Pascucci</t>
  </si>
  <si>
    <t>10.1109/VISUAL.1998.745314;10.1109/VISUAL.2000.885703</t>
  </si>
  <si>
    <t>Critical point theory, Morse-Smale complexes, terrains, simplification, multi-resolution data structure</t>
  </si>
  <si>
    <t>Planet-sized batched dynamic adaptive meshes (P-BDAM)</t>
  </si>
  <si>
    <t>10.1109/VISUAL.2003.1250366</t>
  </si>
  <si>
    <t>http://dx.doi.org/10.1109/VISUAL.2003.1250366</t>
  </si>
  <si>
    <t>We review several schemes for dividing cubical cells into simplices (tetrahedra) in 3-D for interpolating from sampled data to R/sup 3/ or for computing isosurfaces by barycentric interpolation. We present test data that reveal the geometric artifacts that these subdivision schemes generate, and discuss how these artifacts relate to the filter kernels that correspond to the subdivision schemes.</t>
  </si>
  <si>
    <t>Hamish A. Carr;Torsten Möller;Jack Snoeyink</t>
  </si>
  <si>
    <t>H. Carr;T. Moller;J. Snoeyink</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</si>
  <si>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</si>
  <si>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Jianbo Peng;V. Strela;D. Zorin</t>
  </si>
  <si>
    <t>New York Univ., NY, USA;New York Univ., NY, USA;New York Univ., NY, USA</t>
  </si>
  <si>
    <t>Paolo Cignoni;Fabio Ganovelli;Enrico Gobbetti;Fabio Marton;Federico Ponchio;Roberto Scopigno</t>
  </si>
  <si>
    <t>ISTI - CNR, Pisa, Italy|c|;;;;;</t>
  </si>
  <si>
    <t>10.1109/VISUAL.1997.663860;10.1109/VISUAL.2002.1183783;10.1109/VISUAL.1997.663902;10.1109/VISUAL.1998.745282;10.1109/VISUAL.2000.885699;10.1109/VISUAL.2002.1183800;10.1109/VISUAL.1996.567600;10.1109/VISUAL.1998.745280;10.1109/VISUAL.1999.809902;10.1109/VISUAL.1996.568126</t>
  </si>
  <si>
    <t xml:space="preserve"> Multiresolution, terrains, huge dataset</t>
  </si>
  <si>
    <t>Real-time refinement and simplification of adaptive triangular meshes</t>
  </si>
  <si>
    <t>10.1109/VISUAL.2003.1250367</t>
  </si>
  <si>
    <t>http://dx.doi.org/10.1109/VISUAL.2003.1250367</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</si>
  <si>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</si>
  <si>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J.D. Walter;C.G. Healey</t>
  </si>
  <si>
    <t>Dept. of Comput. Sci., North Carolina State Univ., Raleigh, NC, USA;Dept. of Comput. Sci., North Carolina State Univ., Raleigh, NC, USA</t>
  </si>
  <si>
    <t>Vasily Volkov;Ling Li</t>
  </si>
  <si>
    <t>Moscow Inst. of Phys. &amp; Technol., Russia|c|;</t>
  </si>
  <si>
    <t>10.1109/VISUAL.2002.1183796;10.1109/VISUAL.2000.885705;10.1109/VISUAL.1997.663860;10.1109/VISUAL.2001.964533;10.1109/VISUAL.1996.568126;10.1109/VISUAL.1998.745282</t>
  </si>
  <si>
    <t>adaptive meshes, refinement and simplification, subdivision, multiresoluton, level of detail, frame-to-frame coherence, out-of-core visualization</t>
  </si>
  <si>
    <t>Interactive view-dependent rendering with conservative occlusion culling in complex environments</t>
  </si>
  <si>
    <t>10.1109/VISUAL.2003.1250368</t>
  </si>
  <si>
    <t>http://dx.doi.org/10.1109/VISUAL.2003.1250368</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</si>
  <si>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</si>
  <si>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Peter Lindstrom;Cláudio T. Silva</t>
  </si>
  <si>
    <t>P. Lindstrom;C.T. Silva</t>
  </si>
  <si>
    <t>Center for Appl. Sci. Comput., Lawrence Livermore Nat. Lab., Berkeley, CA, USA</t>
  </si>
  <si>
    <t>Sung-Eui Yoon;Brian Salomon;Dinesh Manocha</t>
  </si>
  <si>
    <t>10.1109/VISUAL.2002.1183760;10.1109/VISUAL.2001.964534;10.1109/VISUAL.2002.1183796</t>
  </si>
  <si>
    <t>Interactive Display, View-Dependent Rendering, Occlusion Culling, Level of Detail, Multiresolution Hierarchies</t>
  </si>
  <si>
    <t>Fast volume segmentation with simultaneous visualization using programmable graphics hardware</t>
  </si>
  <si>
    <t>10.1109/VISUAL.2003.1250369</t>
  </si>
  <si>
    <t>http://dx.doi.org/10.1109/VISUAL.2003.1250369</t>
  </si>
  <si>
    <t>The growing availability of massive polygonal models, and the inability of most existing visualization tools to work with such data, has created a pressing need for memory-efficient methods capable of simplifying very large meshes. In this paper, we present a method for performing adaptive simplification of polygonal meshes that are too large to fit in-core. 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</si>
  <si>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E. Shaffer;M. Garland</t>
  </si>
  <si>
    <t>Anthony J. Sherbondy;Michael Houston;Sandy Napel</t>
  </si>
  <si>
    <t xml:space="preserve"> region growing, diffusion, segmentation, graphics processor, streaming computation</t>
  </si>
  <si>
    <t>Hybrid segmentation and exploration of the human lungs</t>
  </si>
  <si>
    <t>10.1109/VISUAL.2003.1250370</t>
  </si>
  <si>
    <t>http://dx.doi.org/10.1109/VISUAL.2003.1250370</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</si>
  <si>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</si>
  <si>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M. Isenburg;S. Gumhold;C. Gotsman</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</si>
  <si>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</si>
  <si>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D.H. Laidlaw;R.M. Kirby;J.S. Davidson;T.S. Miller;M. da Silva;W.H. Warren;M. Tarr</t>
  </si>
  <si>
    <t>Dirk Bartz;Dirk Mayer;Jan Fischer;Sebastian Ley;́ngel del R�_o;Steffi Thust;Claus Peter Heussel;Hans-Ulrich Kauczor;Wolfgang Stra��er</t>
  </si>
  <si>
    <t>Visual Comput. for Medicine, Eberhard-Karls-Univ. Tubingen, Germany|c|;;;;;;;;</t>
  </si>
  <si>
    <t>Tracheo-bronchial tree, segmentation, multi-slice CT, virtual endoscopy</t>
  </si>
  <si>
    <t>Feature-space analysis of unstructured meshes</t>
  </si>
  <si>
    <t>10.1109/VISUAL.2003.1250371</t>
  </si>
  <si>
    <t>http://dx.doi.org/10.1109/VISUAL.2003.1250371</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</si>
  <si>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</si>
  <si>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G. Scheuermann;T. Bobach;H. Hagen;K. Mahrous;B. Hamann;K.I. Joy;W. Kollmann</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</si>
  <si>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</si>
  <si>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Ariel Shamir</t>
  </si>
  <si>
    <t>The Interdisciplinary Center, Herzliya, Israel|c|</t>
  </si>
  <si>
    <t>10.1109/VISUAL.1999.809869;10.1109/VISUAL.1998.745312;10.1109/VISUAL.2001.964519;10.1109/VISUAL.1997.663875</t>
  </si>
  <si>
    <t>unstructured meshes, segmentation, clustering, feature-extraction, mean-shift</t>
  </si>
  <si>
    <t>Clifford convolution and pattern matching on vector fields</t>
  </si>
  <si>
    <t>10.1109/VISUAL.2003.1250372</t>
  </si>
  <si>
    <t>http://dx.doi.org/10.1109/VISUAL.2003.1250372</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</si>
  <si>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</si>
  <si>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Ruigang Yang;D. Gotz;J. Hensley;H. Towles;M.S. Brown</t>
  </si>
  <si>
    <t>Dept. of Comput. Sci., North Carolina Univ., Chapel Hill, NC, USA;Dept. of Comput. Sci., North Carolina Univ., Chapel Hill, NC, USA;Dept. of Comput. Sci., North Carolina Univ., Chapel Hill, NC, USA;Dept. of Comput. Sci., North Carolina Univ., Chapel Hill, NC, USA</t>
  </si>
  <si>
    <t>Julia Ebling;Gerik Scheuermann</t>
  </si>
  <si>
    <t>Kaiserslautern, Germany|c|;</t>
  </si>
  <si>
    <t>10.1109/VISUAL.2000.885716;10.1109/VISUAL.1997.663858</t>
  </si>
  <si>
    <t xml:space="preserve"> Flow Visualization, Convolution, Pattern Matching</t>
  </si>
  <si>
    <t>Space efficient fast isosurface extraction for large datasets</t>
  </si>
  <si>
    <t>10.1109/VISUAL.2003.1250373</t>
  </si>
  <si>
    <t>http://dx.doi.org/10.1109/VISUAL.2003.1250373</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</si>
  <si>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speculate that the general predictive monitoring framework introduced here is capable of addressing more general radiometric consistency problems. 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in a multiprojector system.</t>
  </si>
  <si>
    <t>Udeepta Bordoloi;Han-Wei Shen</t>
  </si>
  <si>
    <t>C. Jaynes;S. Webb;R.M. Steele;M. Brown;W.B. Seales</t>
  </si>
  <si>
    <t>Dept. of Comput. &amp; Inf. Sci., Ohio State Univ., USA|c|;</t>
  </si>
  <si>
    <t>Dept. of Comput. Sci., Kentucky Univ., Lexington, KY, USA;Dept. of Comput. Sci., Kentucky Univ., Lexington, KY, USA;Dept. of Comput. Sci., Kentucky Univ., Lexington, KY, USA;Dept. of Comput. Sci., Kentucky Univ., Lexington, KY, USA;Dept. of Comput. Sci., Kentucky Univ., Lexington, KY, USA</t>
  </si>
  <si>
    <t>10.1109/VISUAL.1998.745299;10.1109/VISUAL.1997.663895;10.1109/VISUAL.1996.568121;10.1109/VISUAL.1991.175780;10.1109/VISUAL.1995.480806</t>
  </si>
  <si>
    <t xml:space="preserve"> Isosurface, Compression, Transform Coding, Quantization</t>
  </si>
  <si>
    <t>Volume tracking using higher dimensional isosurfacing</t>
  </si>
  <si>
    <t>10.1109/VISUAL.2003.1250374</t>
  </si>
  <si>
    <t>http://dx.doi.org/10.1109/VISUAL.2003.1250374</t>
  </si>
  <si>
    <t>We have developed a fast, perceptual method for selecting color scales for data visualization that takes advantage of our sensitivity to luminance variations in human faces. To do so, we conducted experiments in which we mapped various color scales onto the intensity values of a digitized photograph of a face and asked observers to rate each image. We found a very strong correlation between the perceived naturalness of the images and the degree to which the underlying color scales increased monotonically in luminance. Color scales that did not include a monotonically increasing luminance component produced no positive rating scores. Since color scales with monotonic luminance profiles are widely recommended for visualizing continuous scalar data, a purely visual technique for identifying such color scales could be very useful, especially in situations where color calibration is not integrated into the visualization environment, such as over the Internet.</t>
  </si>
  <si>
    <t>Guangfeng Ji;Han-Wei Shen;Rephael Wenger</t>
  </si>
  <si>
    <t>B.E. Rogowitz;A.D. Kalvin</t>
  </si>
  <si>
    <t>IBM Thomas J. Watson Res. Center, Hawthorne, NY, USA;IBM Thomas J. Watson Res. Center, Hawthorne, NY, USA</t>
  </si>
  <si>
    <t>Dept. of Comput. &amp; Inf. Sci., Ohio State Univ., USA|c|;;</t>
  </si>
  <si>
    <t>10.1109/VISUAL.2000.885704;10.1109/VISUAL.1998.745288;10.1109/VISUAL.1996.568103;10.1109/VISUAL.2002.1183774;10.1109/VISUAL.1996.567807;10.1109/VISUAL.2000.885703;10.1109/VISUAL.1995.480789;10.1109/VISUAL.1997.663886</t>
  </si>
  <si>
    <t>tracking, isosurface, interval volume, higher dimensional isosurfacing</t>
  </si>
  <si>
    <t>Out-of-core isosurface extraction of time-varying fields over irregular grids</t>
  </si>
  <si>
    <t>10.1109/VISUAL.2003.1250375</t>
  </si>
  <si>
    <t>http://dx.doi.org/10.1109/VISUAL.2003.1250375</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</si>
  <si>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</si>
  <si>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Bruno Lévy;Guillaume Caumon;Stephane Conreaux;Xavier Cavin</t>
  </si>
  <si>
    <t>B. Levy;G. Caumon;S. Conreaux;X. Cavin</t>
  </si>
  <si>
    <t>ISA (INRIA Lorraine), Vandoeuvre-les-Nancy, France;ISA (INRIA Lorraine), Vandoeuvre-les-Nancy, France;ISA (INRIA Lorraine), Vandoeuvre-les-Nancy, France;ISA (INRIA Lorraine), Vandoeuvre-les-Nancy, France</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</si>
  <si>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</si>
  <si>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M. Weiler;T. Ertl</t>
  </si>
  <si>
    <t>Visualization &amp; Interactive Syst. Group, Stuttgart Univ., Germany;Visualization &amp; Interactive Syst. Group, Stuttgart Univ., Germany</t>
  </si>
  <si>
    <t>Dept. of Comput. &amp; Inf. Sci., Polytech. Univ., Brooklyn, NY, USA|c|</t>
  </si>
  <si>
    <t>10.1109/VISUAL.1995.480806;10.1109/VISUAL.1998.745299;10.1109/VISUAL.1997.663895;10.1109/VISUAL.1996.568121;10.1109/VISUAL.2003.1250373;10.1109/VISUAL.1997.663888;10.1109/VISUAL.1998.745298</t>
  </si>
  <si>
    <t>isosurface extraction, out-of-core techniques, time-varying fields, irregular grids</t>
  </si>
  <si>
    <t>Saddle connectors - an approach to visualizing the topological skeleton of complex 3D vector fields</t>
  </si>
  <si>
    <t>10.1109/VISUAL.2003.1250376</t>
  </si>
  <si>
    <t>http://dx.doi.org/10.1109/VISUAL.2003.1250376</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</si>
  <si>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</si>
  <si>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Jürgen P. Schulze;Roland Niemeier;Ulrich Lang</t>
  </si>
  <si>
    <t>R.P. Schulze;R. Niemeier;U. Lang</t>
  </si>
  <si>
    <t>High Performance Comput. Centre, Stuttgart, Germany</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</si>
  <si>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</si>
  <si>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M. Kraus;T. Ertl</t>
  </si>
  <si>
    <t>Visualization &amp; Interactive Syst. Group, Stuttgart, Germany;Visualization &amp; Interactive Syst. Group, Stuttgart, Germany</t>
  </si>
  <si>
    <t>Holger Theisel;Tino Weinkauf;Hans-Christian Hege;Hans-Peter Seidel</t>
  </si>
  <si>
    <t>MPI Informatik Saarbrucken, Germany|c|;;;</t>
  </si>
  <si>
    <t>10.1109/VISUAL.2000.885714;10.1109/VISUAL.1999.809874;10.1109/VISUAL.1998.745284;10.1109/VISUAL.1998.745291;10.1109/VISUAL.1999.809907;10.1109/VISUAL.1992.235211;10.1109/VISUAL.1993.398875;10.1109/VISUAL.2001.964506;10.1109/VISUAL.2000.885716;10.1109/VISUAL.2001.964507</t>
  </si>
  <si>
    <t>3D flow visualization, vector field topology, critical points, separatrices</t>
  </si>
  <si>
    <t>3D IBFV: hardware-accelerated 3D flow visualization</t>
  </si>
  <si>
    <t>10.1109/VISUAL.2003.1250377</t>
  </si>
  <si>
    <t>http://dx.doi.org/10.1109/VISUAL.2003.1250377</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</si>
  <si>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</si>
  <si>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V. Pekar;R. Wiemker;D. Hempel</t>
  </si>
  <si>
    <t>Philips Res. Lab., Hamburg, Germany;Philips Res. Lab., Hamburg, Germany;Philips Res. Lab., Hamburg, Germany</t>
  </si>
  <si>
    <t>10.1109/VISUAL.1999.809892;10.1109/VISUAL.1997.663897</t>
  </si>
  <si>
    <t>Flow Visualization, Hardware Acceleration, Texture Advection, OpenGL</t>
  </si>
  <si>
    <t>Chameleon: an interactive texture-based rendering framework for visualizing three-dimensional vector fields</t>
  </si>
  <si>
    <t>10.1109/VISUAL.2003.1250378</t>
  </si>
  <si>
    <t>http://dx.doi.org/10.1109/VISUAL.2003.1250378</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</si>
  <si>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</si>
  <si>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S. Tenginakai;Jinho Lee;R. Machiraju</t>
  </si>
  <si>
    <t>Dept. of Comput. &amp; Inf. Sci., Ohio State Univ., Columbus, OH, USA;Dept. of Comput. &amp; Inf. Sci., Ohio State Univ., Columbus, OH, USA;Dept. of Comput. &amp; Inf. Sci., Ohio State Univ., Columbus, OH, USA</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</si>
  <si>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</si>
  <si>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Ming Wan;F. Dachille;A. Kaufman</t>
  </si>
  <si>
    <t>Boeing Co., Seattle, WA, USA</t>
  </si>
  <si>
    <t>Guo-Shi Li;Udeepta Bordoloi;Han-Wei Shen</t>
  </si>
  <si>
    <t>10.1109/VISUAL.1996.567784;10.1109/VISUAL.1993.398846;10.1109/VISUAL.1993.398877;10.1109/VISUAL.1992.235211;10.1109/VISUAL.1996.567777;10.1109/VISUAL.1997.663912</t>
  </si>
  <si>
    <t>3D flow visualization, vector field visualization, volume rendering, texture mapping</t>
  </si>
  <si>
    <t>HyperLIC</t>
  </si>
  <si>
    <t>10.1109/VISUAL.2003.1250379</t>
  </si>
  <si>
    <t>http://dx.doi.org/10.1109/VISUAL.2003.1250379</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</si>
  <si>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</si>
  <si>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Jian Huang;Yan Li;R. Crawfis;Shao-Chiung Lu;Shuh-Yuan Liou</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</si>
  <si>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</si>
  <si>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J. Kniss;G. Kindlmann;C. Hansen</t>
  </si>
  <si>
    <t>Sch. of Comput., Utah Univ., Salt Lake City, UT, USA;Sch. of Comput., Utah Univ., Salt Lake City, UT, USA;Sch. of Comput., Utah Univ., Salt Lake City, UT, USA</t>
  </si>
  <si>
    <t>Comput. Sci. Dept., California Univ., Santa Cruz, CA, USA|c|;</t>
  </si>
  <si>
    <t>10.1109/VISUAL.2002.1183797;10.1109/VISUAL.2002.1183799;10.1109/VISUAL.1997.663912;10.1109/VISUAL.1999.809886</t>
  </si>
  <si>
    <t xml:space="preserve"> hyperstreamlines, LIC, symmetric tensors, anisotropy, animation, direct volume rendering</t>
  </si>
  <si>
    <t>Quasi-static approach approximation for 6 degrees-of-freedom haptic rendering</t>
  </si>
  <si>
    <t>10.1109/VISUAL.2003.1250380</t>
  </si>
  <si>
    <t>http://dx.doi.org/10.1109/VISUAL.2003.1250380</t>
  </si>
  <si>
    <t>In this paper we present a hardware-assisted rendering technique coupled with a compression scheme for the interactive visual exploration of time-varying scalar volume data. A palette-based decoding technique and an adaptive bit allocation scheme are developed to fully utilize the texturing capability of a commodity 3-D graphics card. Using a single PC equipped with a modest amount of memory, a texture capable graphics card, and an inexpensive disk array, we are able to render hundreds of time steps of regularly gridded volume data (up to 45 millions voxels each time step) at interactive rates, permitting the visual exploration of large scientific data sets in both the temporal and spatial domain.</t>
  </si>
  <si>
    <t>E.B. Lum;Kwan-Liu Ma;J. Clyne</t>
  </si>
  <si>
    <t>Dept. of Comput. Sci., California Univ., Davis, CA, USA;Dept. of Comput. Sci., California Univ., Davis, CA, USA</t>
  </si>
  <si>
    <t>Ming Wan;William A. McNeely</t>
  </si>
  <si>
    <t>The Boeing Co., Seattle, WA, USA|c|;</t>
  </si>
  <si>
    <t>6-DOF haptics, physically based modeling, voxel sampling, quasi-static approximation, virtual coupling</t>
  </si>
  <si>
    <t>A constraint-based technique for haptic volume exploration</t>
  </si>
  <si>
    <t>10.1109/VISUAL.2003.1250381</t>
  </si>
  <si>
    <t>http://dx.doi.org/10.1109/VISUAL.2003.1250381</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</si>
  <si>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</si>
  <si>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Rüdiger Westermann;Bernd Sevenich</t>
  </si>
  <si>
    <t>R. Westermann;B. Sevenich</t>
  </si>
  <si>
    <t>Sci. Visualization &amp; Imaging Group, Univ. of Technol., Aachen, Germany;Sci. Visualization &amp; Imaging Group, Univ. of Technol., Aachen, Germany</t>
  </si>
  <si>
    <t>Milan Ikits;J. Dean Brederson;Charles D. Hansen;Christopher R. Johnson 0001</t>
  </si>
  <si>
    <t>Sci. Comput. &amp; Imaging Inst., Utah Univ., USA|c|;;;</t>
  </si>
  <si>
    <t>10.1109/VISUAL.2001.964545;10.1109/VISUAL.2000.885686;10.1109/VISUAL.1996.568108</t>
  </si>
  <si>
    <t>haptic rendering, immersive visualization, human-computer interaction</t>
  </si>
  <si>
    <t>Voxels on fire</t>
  </si>
  <si>
    <t>10.1109/VISUAL.2003.1250382</t>
  </si>
  <si>
    <t>http://dx.doi.org/10.1109/VISUAL.2003.1250382</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</si>
  <si>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</si>
  <si>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L. Mroz;H. Hauser</t>
  </si>
  <si>
    <t>VRVis Research Center, Vienna, Austria;VRVis Research Center, Vienna, Austria</t>
  </si>
  <si>
    <t>Ye Zhao;Xiaoming Wei;Zhe Fan;Arie E. Kaufman;Hong Qin</t>
  </si>
  <si>
    <t>Center for Visual Comput., Stony Brook Univ., NY, USA|c|;;;;</t>
  </si>
  <si>
    <t>10.1109/VISUAL.2002.1183779;10.1109/VISUAL.1993.398879</t>
  </si>
  <si>
    <t>Fire Propagation, Distance Field, Lattice Boltzmann Model, Splatting, GPU Acceleration</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</si>
  <si>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</si>
  <si>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Visually accurate multi-field weather visualization</t>
  </si>
  <si>
    <t>10.1109/VISUAL.2003.1250383</t>
  </si>
  <si>
    <t>Dept. of Comput. Sci., Eidgenossische Tech. Hochschule, Zurich, Switzerland;Dept. of Comput. Sci., Eidgenossische Tech. Hochschule, Zurich, Switzerland</t>
  </si>
  <si>
    <t>http://dx.doi.org/10.1109/VISUAL.2003.1250383</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</si>
  <si>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</si>
  <si>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M. Gavriliu;J. Carranza;D.E. Breen;A.H. Barr</t>
  </si>
  <si>
    <t>Comput. Sci. Dept., California Inst. of Technol., USA;Comput. Sci. Dept., California Inst. of Technol., USA;Comput. Sci. Dept., California Inst. of Technol., USA;Comput. Sci. Dept., California Inst. of Technol., USA</t>
  </si>
  <si>
    <t>Kirk Riley;David S. Ebert;Charles D. Hansen;Jason J. Levit</t>
  </si>
  <si>
    <t>Purdue Univ., West Lafayette, IN, USA|c|;;;</t>
  </si>
  <si>
    <t>Multi-Field Visualization, Visually Accurate Visualization, Weather Visualization</t>
  </si>
  <si>
    <t>Acceleration techniques for GPU-based volume rendering</t>
  </si>
  <si>
    <t>10.1109/VISUAL.2003.1250384</t>
  </si>
  <si>
    <t>http://dx.doi.org/10.1109/VISUAL.2003.1250384</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</si>
  <si>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</si>
  <si>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M. Bertram;D.E. Laney;M.A. Duchaineau;C.D. Hansen;B. Hamann;K.I. Joy</t>
  </si>
  <si>
    <t>SCI Inst., Utah Univ., Salt Lake City, UT, USA</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</si>
  <si>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</si>
  <si>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Jens H. Kr�_ger;R�_diger Westermann</t>
  </si>
  <si>
    <t>Comput. Graphics &amp; Visualization Group, Tech. Univ. Munich, Germany|c|;</t>
  </si>
  <si>
    <t>M.A. Otaduy;M.C. Lin</t>
  </si>
  <si>
    <t>10.1109/VISUAL.1999.809889;10.1109/VISUAL.1997.663880;10.1109/VISUAL.1993.398852;10.1109/VISUAL.2002.1183764</t>
  </si>
  <si>
    <t>Volume Rendering, Programmable Graphics Hardware, Ray-Casting</t>
  </si>
  <si>
    <t>Compression domain volume rendering</t>
  </si>
  <si>
    <t>10.1109/VISUAL.2003.1250385</t>
  </si>
  <si>
    <t>http://dx.doi.org/10.1109/VISUAL.2003.1250385</t>
  </si>
  <si>
    <t>Jens Schneider;R�_diger Westermann</t>
  </si>
  <si>
    <t>10.1109/VISUAL.1999.809910;10.1109/VISUAL.2002.1183757;10.1109/VISUAL.2001.964520;10.1109/VISUAL.2002.1183771;10.1109/VISUAL.2002.1183764;10.1109/VISUAL.2001.964519</t>
  </si>
  <si>
    <t>Volume Rendering, Vector Quantization, Texture Compression, Graphics Hardware</t>
  </si>
  <si>
    <t>High-quality two-level volume rendering of segmented data sets on consumer graphics hardware</t>
  </si>
  <si>
    <t>10.1109/VISUAL.2003.1250386</t>
  </si>
  <si>
    <t>http://dx.doi.org/10.1109/VISUAL.2003.1250386</t>
  </si>
  <si>
    <t>We introduce a new algorithm for fitting a Catmull-Clark subdivision surface to a given shape within a prescribed tolerance, based on the method of quasi-interpolation. The fitting algorithm is fast, local and scales well since it does not require the solution of linear systems. Its convergence rate is optimal for regular meshes and our experiments show that it behaves very well for irregular meshes. We demonstrate the power and versatility of our method with examples from interactive modeling, surface fitting, and scientific visualization.</t>
  </si>
  <si>
    <t>Nathan Litke;Adi Levin;Peter Schröder</t>
  </si>
  <si>
    <t>N. Litke;A. Levin;P. Schroder</t>
  </si>
  <si>
    <t>Markus Hadwiger;Christoph Berger;Helwig Hauser</t>
  </si>
  <si>
    <t>VRVis Res. Center, Austria|c|;;</t>
  </si>
  <si>
    <t>10.1109/VISUAL.1998.745311;10.1109/VISUAL.2003.1250384;10.1109/VISUAL.2002.1183777;10.1109/VISUAL.2000.885694</t>
  </si>
  <si>
    <t>volume rendering, segmentation, non-photorealistic rendering, consumer graphics hardware</t>
  </si>
  <si>
    <t>Hardware-based nonlinear filtering and segmentation using high-level shading languages</t>
  </si>
  <si>
    <t>10.1109/VISUAL.2003.1250387</t>
  </si>
  <si>
    <t>http://dx.doi.org/10.1109/VISUAL.2003.1250387</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</si>
  <si>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</si>
  <si>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Lexing Ying;D. Zorin</t>
  </si>
  <si>
    <t>New York Univ., NY, USA;New York Univ., NY, USA</t>
  </si>
  <si>
    <t>Ivan Viola;Armin Kanitsar;M. Eduard Gr̦ller</t>
  </si>
  <si>
    <t>Inst. of Comput. Graphics &amp; Algorithms, Vienna Univ. of Technol., Austria|c|;;</t>
  </si>
  <si>
    <t>10.1109/VISUAL.2002.1183766;10.1109/VISUAL.2002.1183762;10.1109/VISUAL.1999.809934</t>
  </si>
  <si>
    <t xml:space="preserve"> Non-linear Filtering, Segmentation, Hardware Acceleration</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</si>
  <si>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</si>
  <si>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Eitan Grinspun;Peter Schröder</t>
  </si>
  <si>
    <t>E. Grinspun;P. Schroder</t>
  </si>
  <si>
    <t>Empty space skipping and occlusion clipping for texture-based volume rendering</t>
  </si>
  <si>
    <t>10.1109/VISUAL.2003.1250388</t>
  </si>
  <si>
    <t>http://dx.doi.org/10.1109/VISUAL.2003.1250388</t>
  </si>
  <si>
    <t>Presents an efficient method to automatically compute a smooth approximation of large functional scattered data sets given over arbitrarily shaped planar domains. Our approach is based on the construction of a C/sup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</si>
  <si>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Jörg Haber;Frank Zeilfelder;Oleg Davydov;Hans-Peter Seidel</t>
  </si>
  <si>
    <t>J. Haber;F. Zeilfelder;O. Davydov;H.-P. Seidel</t>
  </si>
  <si>
    <t>Max-Planck-Inst. fur Inf., Saarbrucken, Germany;Max-Planck-Inst. fur Inf., Saarbrucken, Germany</t>
  </si>
  <si>
    <t>Wei Li 0004;Klaus Mueller;Arie E. Kaufman</t>
  </si>
  <si>
    <t>Dept. of Comput. Sci., Stony Brook Univ., NY, USA|c|;;</t>
  </si>
  <si>
    <t>10.1109/VISUAL.1992.235231;10.1109/VISUAL.2001.964519;10.1109/VISUAL.2003.1250384;10.1109/VISUAL.1999.809908;10.1109/VISUAL.2002.1183776</t>
  </si>
  <si>
    <t>Graphics hardware, texture-based volume rendering, empty space skipping, occlusion clipping, orthogonal opacity map</t>
  </si>
  <si>
    <t>Hierarchical clustering for unstructured volumetric scalar fields</t>
  </si>
  <si>
    <t>10.1109/VISUAL.2003.1250389</t>
  </si>
  <si>
    <t>http://dx.doi.org/10.1109/VISUAL.2003.1250389</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</si>
  <si>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</si>
  <si>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Stefan Guthe;Wolfgang Straßer</t>
  </si>
  <si>
    <t>S. Guthe;W. Strasser</t>
  </si>
  <si>
    <t>WSI/GRIS, Tubingen Univ., Germany;WSI/GRIS, Tubingen Univ., Germany</t>
  </si>
  <si>
    <t>Christopher S. Co;Bj��rn Heckel;Hans Hagen;Bernd Hamann;Kenneth I. Joy</t>
  </si>
  <si>
    <t>Dept. of Comput. Sci., Univ. of California, Davis, CA, USA|c|;;;;</t>
  </si>
  <si>
    <t>10.1109/VISUAL.2001.964503;10.1109/VISUAL.1998.745329;10.1109/VISUAL.1999.809863;10.1109/VISUAL.1996.568127;10.1109/VISUAL.2002.1183771</t>
  </si>
  <si>
    <t>scalar field simplification, multiresolution data representation, hierarchical clustering, principal component analysis, radial basis function</t>
  </si>
  <si>
    <t>Hardware-based ray casting for tetrahedral meshes</t>
  </si>
  <si>
    <t>10.1109/VISUAL.2003.1250390</t>
  </si>
  <si>
    <t>http://dx.doi.org/10.1109/VISUAL.2003.1250390</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</si>
  <si>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</si>
  <si>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J. Ho;Kuang-Chih Lee;D. Kriegman</t>
  </si>
  <si>
    <t>Beckman Inst. for Adv. Sci. &amp; Technol., Illinois Univ., Urbana, IL, USA</t>
  </si>
  <si>
    <t>Manfred Weiler;Martin Kraus;Markus Merz;Thomas Ertl</t>
  </si>
  <si>
    <t>Visualization &amp; Interactive Syst. Group, Univ. of Stutgart, Germany|c|;;;</t>
  </si>
  <si>
    <t>ray casting, pixel shading, programmable graphics hardware, cell projection, tetrahedral meshes, unstructured meshes, volume visualization, pre-integrated volume rendering</t>
  </si>
  <si>
    <t>Visibility culling using plenoptic opacity functions for large volume visualization</t>
  </si>
  <si>
    <t>10.1109/VISUAL.2003.1250391</t>
  </si>
  <si>
    <t>http://dx.doi.org/10.1109/VISUAL.2003.1250391</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</si>
  <si>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</si>
  <si>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P. Lindstrom;V. Pascucci</t>
  </si>
  <si>
    <t>Center for Appl. Sci. Comput., Lawrence Livermore Nat. Lab., CA, USA;Center for Appl. Sci. Comput., Lawrence Livermore Nat. Lab., CA, USA</t>
  </si>
  <si>
    <t>Jinzhu Gao;Jian Huang 0007;Han-Wei Shen;James Arthur Kohl</t>
  </si>
  <si>
    <t>Ohio State Univ., USA|c|;;;</t>
  </si>
  <si>
    <t>10.1109/VISUAL.2002.1183757;10.1109/VISUAL.2002.1183784;10.1109/VISUAL.1998.745713;10.1109/VISUAL.2001.964519;10.1109/VISUAL.1998.745300;10.1109/VISUAL.2001.964515;10.1109/VISUAL.2000.885698</t>
  </si>
  <si>
    <t>visibility culling, volume rendering, plenoptic opacity function, large data visualization</t>
  </si>
  <si>
    <t>Conveying shape and features with image-based relighting</t>
  </si>
  <si>
    <t>10.1109/VISUAL.2003.1250392</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</si>
  <si>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</si>
  <si>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http://dx.doi.org/10.1109/VISUAL.2003.1250392</t>
  </si>
  <si>
    <t>Jihad El-Sana;Neta Sokolovsky;Cláudio T. Silva</t>
  </si>
  <si>
    <t>J. El-Sana;N. Sokolovsky;C.T. Silva</t>
  </si>
  <si>
    <t>Dept. of Comput. Sci., Ben-Gurion Univ. of the Negev, Beer-Sheva, Israel;Dept. of Comput. Sci., Ben-Gurion Univ. of the Negev, Beer-Sheva, Israel</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</si>
  <si>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</si>
  <si>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R. Scoggins;R. Machiraju;R.J. Moorhead</t>
  </si>
  <si>
    <t>US Army Eng. R&amp;D Center, Vicksburg, MS, USA</t>
  </si>
  <si>
    <t>David Akers;Frank Losasso;Jeff Klingner;Maneesh Agrawala;John Rick;Pat Hanrahan</t>
  </si>
  <si>
    <t>Stanford Univ., USA|c|;;;;;</t>
  </si>
  <si>
    <t>Visualization, Relighting, Image Composition, Scientfic Illustration, Technical Illustration, Photography, Lighting Design</t>
  </si>
  <si>
    <t>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</si>
  <si>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Vicinity shading for enhanced perception of volumetric data</t>
  </si>
  <si>
    <t>10.1109/VISUAL.2003.1250394</t>
  </si>
  <si>
    <t>Feng Dong;G.J. Clapworthy;M. Krokos</t>
  </si>
  <si>
    <t>http://dx.doi.org/10.1109/VISUAL.2003.1250394</t>
  </si>
  <si>
    <t>Dept. of Comput. &amp; Inf. Sci., De Montfort Univ., Leicester, UK;Dept. of Comput. &amp; Inf. Sci., De Montfort Univ., Leicester, UK;Dept. of Comput. &amp; Inf. Sci., De Montfort Univ., Leicester, UK</t>
  </si>
  <si>
    <t>A. James Stewart</t>
  </si>
  <si>
    <t>Sch. of Comput., Queen''s Univ., Kingston, Ont., Canada|c|</t>
  </si>
  <si>
    <t>10.1109/VISUAL.2002.1183761;10.1109/VISUAL.2002.1183764</t>
  </si>
  <si>
    <t>volume rendering, shading model, diffuse illumination, perceptual cues</t>
  </si>
  <si>
    <t>LightKit: a lighting system for effective visualization</t>
  </si>
  <si>
    <t>10.1109/VISUAL.2003.1250395</t>
  </si>
  <si>
    <t>http://dx.doi.org/10.1109/VISUAL.2003.1250395</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</si>
  <si>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</si>
  <si>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H.K. Hahn;B. Preim;D. Selle;H.-O. Peitgen</t>
  </si>
  <si>
    <t>MeVis-Center for Med. Diagnostic Syst., Bremen, Germany;MeVis-Center for Med. Diagnostic Syst., Bremen, Germany;MeVis-Center for Med. Diagnostic Syst., Bremen, Germany;MeVis-Center for Med. Diagnostic Syst., Bremen, Germany</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</si>
  <si>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</si>
  <si>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Michael Halle;Jeanette C. Meng</t>
  </si>
  <si>
    <t>R. Fattal;D. Lischinski</t>
  </si>
  <si>
    <t>Harvard Med. Sch., Harvard Univ., USA|c|;</t>
  </si>
  <si>
    <t>Sch. of Comput. Sci. &amp; Eng., Jerusalem, Israel;Sch. of Comput. Sci. &amp; Eng., Jerusalem, Israel</t>
  </si>
  <si>
    <t>Visualization, lighting design, light color</t>
  </si>
  <si>
    <t>Mental registration of 2D and 3D visualizations (an empirical study)</t>
  </si>
  <si>
    <t>10.1109/VISUAL.2003.1250396</t>
  </si>
  <si>
    <t>http://dx.doi.org/10.1109/VISUAL.2003.1250396</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</si>
  <si>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</si>
  <si>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Anna Vilanova;Rainer Wegenkittl;Andreas König 0002;M. Eduard Gröller</t>
  </si>
  <si>
    <t>A.V. Vilanova Bartroli;R. Wegenkittl;A. Konig;E. Groller</t>
  </si>
  <si>
    <t>Inst. of Comput. Graphics &amp; Algorithms, Vienna Univ. of Technol., Austria</t>
  </si>
  <si>
    <t>Melanie Tory</t>
  </si>
  <si>
    <t>Sch. of Comput. Sci., Simon Fraser Univ., USA|c|</t>
  </si>
  <si>
    <t>10.1109/VISUAL.1992.235203;10.1109/VISUAL.1997.663914</t>
  </si>
  <si>
    <t>2D and 3D visualization, mental registration,slice, orthographic projection, empirical study, experiment</t>
  </si>
  <si>
    <t>Visualization of noisy and biased volume data using first and second order derivative techniques</t>
  </si>
  <si>
    <t>10.1109/VISUAL.2003.1250397</t>
  </si>
  <si>
    <t>http://dx.doi.org/10.1109/VISUAL.2003.1250397</t>
  </si>
  <si>
    <t>Marc P. Persoon;Iwo Serlie;Frits H. Post;Roel Truyen;Frans Vos</t>
  </si>
  <si>
    <t>Comput. Graphics &amp; CAD/CAM Group, Delft Univ. of Technol., Netherlands|c|;;;;</t>
  </si>
  <si>
    <t>virtual colonoscopy, bias field, medical imaging, surface extraction, direct volume rendering</t>
  </si>
  <si>
    <t>Fairing scalar fields by variational modeling of contours</t>
  </si>
  <si>
    <t>10.1109/VISUAL.2003.1250398</t>
  </si>
  <si>
    <t>http://dx.doi.org/10.1109/VISUAL.2003.1250398</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</si>
  <si>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</si>
  <si>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Martin Hering-Bertram</t>
  </si>
  <si>
    <t>A. Gubin;W. Yurcik;L. Brumbaugh</t>
  </si>
  <si>
    <t>Lucent Technol., Naperville, IL, USA</t>
  </si>
  <si>
    <t>Univ. of Kaiserslautern, Germany|c|</t>
  </si>
  <si>
    <t>Contours, Fairing, Variational Modeling</t>
  </si>
  <si>
    <t>Visualization of volume data with quadratic super splines</t>
  </si>
  <si>
    <t>10.1109/VISUAL.2003.1250399</t>
  </si>
  <si>
    <t>http://dx.doi.org/10.1109/VISUAL.2003.1250399</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</si>
  <si>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</si>
  <si>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Christian R̦ssl;Frank Zeilfelder;G�_nther N�_rnberger;Hans-Peter Seidel</t>
  </si>
  <si>
    <t>Max-Planck-Inst. fur Informatik, Saarbrucken, Germany|c|;;;</t>
  </si>
  <si>
    <t>S. Iserhardt-Bauer;P. Hastreiter;T. Ertl;K. Eberhardt;B. Tomandl</t>
  </si>
  <si>
    <t>10.1109/VISUAL.1998.745713;10.1109/VISUAL.1997.663907;10.1109/VISUAL.1996.567602;10.1109/VISUAL.1994.346331;10.1109/VISUAL.2001.964530;10.1109/VISUAL.2001.964499</t>
  </si>
  <si>
    <t>volume rendering, reconstruction, quadratic super splines, tetrahedral partition, Bernstein-Bezier techniques, isosurface rendering, ray-casting</t>
  </si>
  <si>
    <t>Using deformations for browsing volumetric data</t>
  </si>
  <si>
    <t>10.1109/VISUAL.2003.1250400</t>
  </si>
  <si>
    <t>http://dx.doi.org/10.1109/VISUAL.2003.1250400</t>
  </si>
  <si>
    <t>This paper presents a novel use of visualization applied to debugging the Cplant/sup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</si>
  <si>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P. Crossno;R. Haynes</t>
  </si>
  <si>
    <t>Sandia Nat. Labs., Albuquerque, NM, USA;Sandia Nat. Labs., Albuquerque, NM, USA</t>
  </si>
  <si>
    <t>Michael J. McGuffin;Liviu Tancau;Ravin Balakrishnan</t>
  </si>
  <si>
    <t>Dept. of Comput. Sci., Univ. of Toronto, Ont., Canada|c|;;</t>
  </si>
  <si>
    <t>volumetric data, volume data, deformations, browsing, layers, interaction techniques, 3D widgets</t>
  </si>
  <si>
    <t>Video visualization</t>
  </si>
  <si>
    <t>10.1109/VISUAL.2003.1250401</t>
  </si>
  <si>
    <t>http://dx.doi.org/10.1109/VISUAL.2003.1250401</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</si>
  <si>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</si>
  <si>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Michael Meißner;Jasmina Orman;Stephan J. Braun</t>
  </si>
  <si>
    <t>M. Meissner;J. Orman;S.J. Braun</t>
  </si>
  <si>
    <t>WSI, Tubingen Univ., Germany;WSI, Tubingen Univ., Germany</t>
  </si>
  <si>
    <t>Gareth Daniel;Min Chen</t>
  </si>
  <si>
    <t>Univ. of Wales Swansea, UK|c|;</t>
  </si>
  <si>
    <t xml:space="preserve"> Video visualization, volume rendering, video surveillance, change detection, image-swept volume</t>
  </si>
  <si>
    <t>High dimensional direct rendering of time-varying volumetric data</t>
  </si>
  <si>
    <t>10.1109/VISUAL.2003.1250402</t>
  </si>
  <si>
    <t>http://dx.doi.org/10.1109/VISUAL.2003.1250402</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</si>
  <si>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</si>
  <si>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Song Zhang 0004;Çagatay Demiralp;Daniel F. Keefe;M. DaSilva;David H. Laidlaw;Benjamin D. Greenberg;Peter J. Basser;Carlo Pierpaoli;E. A. Chiocca;Thomas S. Deisboeck</t>
  </si>
  <si>
    <t>S. Zhang;C. Demiralp;D.F. Keefe;M. DaSilva;D.H. Laidlaw;B.D. Greenberg;P.J. Basser;C. Pierpaoli;E.A. Chiocca;T.S. Deisboeck</t>
  </si>
  <si>
    <t>Jonathan Woodring;Chaoli Wang;Han-Wei Shen</t>
  </si>
  <si>
    <t>Ohio State Univ., USA|c|;;</t>
  </si>
  <si>
    <t>10.1109/VISUAL.2001.964519;10.1109/VISUAL.1993.398869;10.1109/VISUAL.1992.235222</t>
  </si>
  <si>
    <t>time-varying data, hyperslice, hyperprojection, integration operator, transfer function, raycasting, volume rendering</t>
  </si>
  <si>
    <t>A frequency-sensitive point hierarchy for images and volumes</t>
  </si>
  <si>
    <t>10.1109/VISUAL.2003.1250403</t>
  </si>
  <si>
    <t>http://dx.doi.org/10.1109/VISUAL.2003.1250403</t>
  </si>
  <si>
    <t>Tomihisa Welsh;Klaus Mueller</t>
  </si>
  <si>
    <t>Center for Visual Comput., Comput. Sci., Stony Brook Univ., USA|c|;</t>
  </si>
  <si>
    <t>10.1109/VISUAL.2002.1183770;10.1109/VISUAL.2001.964498;10.1109/VISUAL.2002.1183776;10.1109/VISUAL.2001.964492;10.1109/VISUAL.2001.964491;10.1109/VISUAL.2002.1183757</t>
  </si>
  <si>
    <t>volume rendering, point-based rendering, splatting</t>
  </si>
  <si>
    <t>Hierarchical splatting of scattered data</t>
  </si>
  <si>
    <t>10.1109/VISUAL.2003.1250404</t>
  </si>
  <si>
    <t>http://dx.doi.org/10.1109/VISUAL.2003.1250404</t>
  </si>
  <si>
    <t>Visualization &amp; Interactive Syst. Group, Univ. of Stuttgart, Germany|c|;</t>
  </si>
  <si>
    <t>10.1109/VISUAL.1997.663882;10.1109/VISUAL.2002.1183820;10.1109/VISUAL.1999.809909;10.1109/VISUAL.2001.964490;10.1109/VISUAL.2001.964489;10.1109/VISUAL.2002.1183771</t>
  </si>
  <si>
    <t>Volume Rendering, Scattered Data, Splatting, Hierarchical Visualization</t>
  </si>
  <si>
    <t>A framework for sample-based rendering with O-buffers</t>
  </si>
  <si>
    <t>10.1109/VISUAL.2003.1250405</t>
  </si>
  <si>
    <t>http://dx.doi.org/10.1109/VISUAL.2003.1250405</t>
  </si>
  <si>
    <t>Huamin Qu;Arie E. Kaufman;Ran Shao;Ankush Kumar</t>
  </si>
  <si>
    <t>Dept. of Comput. Sci., Stony Brook Univ., NY, USA|c|;;;</t>
  </si>
  <si>
    <t>10.1109/VISUAL.2001.964492;10.1109/VISUAL.1999.809869;10.1109/VISUAL.1998.745312;10.1109/VISUAL.2000.885680;10.1109/VISUAL.2001.964491;10.1109/VISUAL.2000.885702</t>
  </si>
  <si>
    <t>Sample-based rendering, image-based rendering, hybrid rendering, irregular sampling, hierarchy, offset, frame buffer, layered depth image</t>
  </si>
  <si>
    <t>Monte Carlo volume rendering</t>
  </si>
  <si>
    <t>10.1109/VISUAL.2003.1250406</t>
  </si>
  <si>
    <t>http://dx.doi.org/10.1109/VISUAL.2003.1250406</t>
  </si>
  <si>
    <t>Bal��zs Cs̩bfalvi;L��szl�_ Szirmay-Kalos</t>
  </si>
  <si>
    <t>Dept. of Control Eng. &amp; Inf. Technol., Budapest Tech. Univ., Hungary|c|;</t>
  </si>
  <si>
    <t>10.1109/VISUAL.2002.1183757;10.1109/VISUAL.2001.964490;10.1109/VISUAL.2002.1183777</t>
  </si>
  <si>
    <t xml:space="preserve"> X-ray volume rendering, Monte Carlo integration, importance sampling, progressive refinement</t>
  </si>
  <si>
    <t>Visibility based methods and assessment for detail-recovery</t>
  </si>
  <si>
    <t>10.1109/VISUAL.2003.1250407</t>
  </si>
  <si>
    <t>http://dx.doi.org/10.1109/VISUAL.2003.1250407</t>
  </si>
  <si>
    <t>Marco Tarini;Paolo Cignoni;Roberto Scopigno</t>
  </si>
  <si>
    <t>ISTI, CNR, Pisa, Italy|c|;;</t>
  </si>
  <si>
    <t>10.1109/VISUAL.2002.1183784;10.1109/VISUAL.1998.745285</t>
  </si>
  <si>
    <t>simplification, texture mapping, detail recovery, normal mapping, texture for geometry</t>
  </si>
  <si>
    <t>Large mesh simplification using processing sequences</t>
  </si>
  <si>
    <t>10.1109/VISUAL.2003.1250408</t>
  </si>
  <si>
    <t>http://dx.doi.org/10.1109/VISUAL.2003.1250408</t>
  </si>
  <si>
    <t>Martin Isenburg;Peter Lindstrom;Stefan Gumhold;Jack Snoeyink</t>
  </si>
  <si>
    <t>10.1109/VISUAL.2001.964502;10.1109/VISUAL.2001.964503;10.1109/VISUAL.1996.568125;10.1109/VISUAL.1998.745282;10.1109/VISUAL.2001.964532;10.1109/VISUAL.2002.1183765</t>
  </si>
  <si>
    <t>Out-of-core algorithms, processing sequences, mesh simplification, large meshes</t>
  </si>
  <si>
    <t>Appearance-preserving view-dependent visualization</t>
  </si>
  <si>
    <t>10.1109/VISUAL.2003.1250409</t>
  </si>
  <si>
    <t>http://dx.doi.org/10.1109/VISUAL.2003.1250409</t>
  </si>
  <si>
    <t>Justin Jang;William Ribarsky;Chris Shaw 0002;Peter Wonka</t>
  </si>
  <si>
    <t>GVU Center, Georgia Inst. of Technol., Atlanta, Georgia|c|;;;</t>
  </si>
  <si>
    <t>10.1109/VISUAL.1998.745342;10.1109/VISUAL.1999.809869;10.1109/VISUAL.1998.745312;10.1109/VISUAL.1999.809924;10.1109/VISUAL.2002.1183760</t>
  </si>
  <si>
    <t xml:space="preserve"> view-dependent, level of detail, mesh simplification, appearance-preserving, multiresolution models</t>
  </si>
  <si>
    <t>Shape simplification based on the medial axis transform</t>
  </si>
  <si>
    <t>10.1109/VISUAL.2003.1250410</t>
  </si>
  <si>
    <t>http://dx.doi.org/10.1109/VISUAL.2003.1250410</t>
  </si>
  <si>
    <t>Roger C. Tam;Wolfgang Heidrich</t>
  </si>
  <si>
    <t>Dept. of Comput. Sci., British Columbia Univ., Vancouver, BC, Canada|c|;</t>
  </si>
  <si>
    <t>medial axis transform, shape simplification, topology preservation</t>
  </si>
  <si>
    <t>Adaptive design of a global opacity transfer function for direct volume rendering of ultrasound data</t>
  </si>
  <si>
    <t>10.1109/VISUAL.2003.1250411</t>
  </si>
  <si>
    <t>http://dx.doi.org/10.1109/VISUAL.2003.1250411</t>
  </si>
  <si>
    <t>Dieter H̦nigmann;Johannes Ruisz;Christoph Haider</t>
  </si>
  <si>
    <t>Adv. Comput. Vision GmbH, ACV, Vienna, Austria|c|;;</t>
  </si>
  <si>
    <t>10.1109/VISUAL.1997.663875;10.1109/VISUAL.1996.568113</t>
  </si>
  <si>
    <t>3D ultrasound, direct volume rendering, transfer function</t>
  </si>
  <si>
    <t>Gaussian transfer functions for multi-field volume visualization</t>
  </si>
  <si>
    <t>10.1109/VISUAL.2003.1250412</t>
  </si>
  <si>
    <t>http://dx.doi.org/10.1109/VISUAL.2003.1250412</t>
  </si>
  <si>
    <t>Joe Michael Kniss;Simon Premoze;Milan Ikits;Aaron E. Lefohn;Charles D. Hansen;Emil Praun</t>
  </si>
  <si>
    <t>Inst. of Sci. Comput. &amp; Imaging, Utah Univ., Salt Lake, UT, USA|c|;;;;;</t>
  </si>
  <si>
    <t>10.1109/VISUAL.1999.809889;10.1109/VISUAL.2000.885683;10.1109/VISUAL.2001.964521</t>
  </si>
  <si>
    <t>Volume Rendering, Transfer Functions, Multi-field visualization</t>
  </si>
  <si>
    <t>A novel interface for higher-dimensional classification of volume data</t>
  </si>
  <si>
    <t>10.1109/VISUAL.2003.1250413</t>
  </si>
  <si>
    <t>http://dx.doi.org/10.1109/VISUAL.2003.1250413</t>
  </si>
  <si>
    <t>Fan-Yin Tzeng;Eric B. Lum;Kwan-Liu Ma</t>
  </si>
  <si>
    <t>10.1109/VISUAL.1998.745319;10.1109/VISUAL.2001.964519;10.1109/VISUAL.1999.809932;10.1109/VISUAL.1997.663875;10.1109/VISUAL.1996.568113</t>
  </si>
  <si>
    <t>classification, graphics hardware, interactive visualization, multidimensional transfer function, neural network, user interface design, volume visualization</t>
  </si>
  <si>
    <t>Curvature-based transfer functions for direct volume rendering: methods and applications</t>
  </si>
  <si>
    <t>10.1109/VISUAL.2003.1250414</t>
  </si>
  <si>
    <t>http://dx.doi.org/10.1109/VISUAL.2003.1250414</t>
  </si>
  <si>
    <t>Gordon L. Kindlmann;Ross T. Whitaker;Tolga Tasdizen;Torsten M̦ller</t>
  </si>
  <si>
    <t>Inst. of Sci. Comput. &amp; Imaging, Utah Univ., Salt Lake, UT, USA|c|;;;</t>
  </si>
  <si>
    <t>10.1109/VISUAL.2000.885696;10.1109/VISUAL.2002.1183766;10.1109/VISUAL.1995.480795;10.1109/VISUAL.2000.885694;10.1109/VISUAL.1994.346331;10.1109/VISUAL.2002.1183777</t>
  </si>
  <si>
    <t>volume rendering, implicit surface curvature, convolution-based differentiation, non-photorealistic rendering, surface processing, uncertainty visualization, flowline curvature</t>
  </si>
  <si>
    <t>A visual exploration process for the analysis of Internet routing data</t>
  </si>
  <si>
    <t>10.1109/VISUAL.2003.1250415</t>
  </si>
  <si>
    <t>http://dx.doi.org/10.1109/VISUAL.2003.1250415</t>
  </si>
  <si>
    <t>Soon Tee Teoh;Kwan-Liu Ma;Shyhtsun Felix Wu</t>
  </si>
  <si>
    <t xml:space="preserve"> information visualization, text visualization, network visualization , internet stability, homeland security</t>
  </si>
  <si>
    <t>Visualization, optimization, business strategy: a case study</t>
  </si>
  <si>
    <t>10.1109/VISUAL.2003.1250416</t>
  </si>
  <si>
    <t>http://dx.doi.org/10.1109/VISUAL.2003.1250416</t>
  </si>
  <si>
    <t>Donna L. Gresh;Eugene I. Kelton</t>
  </si>
  <si>
    <t>10.1109/INFVIS.2000.885086;10.1109/VISUAL.2002.1183817</t>
  </si>
  <si>
    <t>visualization, information visualization, optimization, VisAD</t>
  </si>
  <si>
    <t>Interactive 3D visualization of rigid body systems</t>
  </si>
  <si>
    <t>10.1109/VISUAL.2003.1250417</t>
  </si>
  <si>
    <t>http://dx.doi.org/10.1109/VISUAL.2003.1250417</t>
  </si>
  <si>
    <t>Zoltan Konyha;Kresimir Matkovic;Helwig Hauser</t>
  </si>
  <si>
    <t>10.1109/VISUAL.1993.398849;10.1109/VISUAL.1995.485141</t>
  </si>
  <si>
    <t>rigid body dynamics, rigid body simulation, glyph based visualization, iconic visualization, automotive industry</t>
  </si>
  <si>
    <t>Visualizing industrial CT volume data for nondestructive testing applications</t>
  </si>
  <si>
    <t>10.1109/VISUAL.2003.1250418</t>
  </si>
  <si>
    <t>http://dx.doi.org/10.1109/VISUAL.2003.1250418</t>
  </si>
  <si>
    <t>Runzhen Huang;Kwan-Liu Ma;Patrick S. McCormick;William Ward</t>
  </si>
  <si>
    <t>California Univ., Davis, CA, USA|c|;;;</t>
  </si>
  <si>
    <t>Computed tomography, feature extraction, hardware-acceleration rendering, image processing, interactive visualization, nondestructive testing and evaluation, scientific visualization, surface modeling, user interface, volume rendering</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</si>
  <si>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</si>
  <si>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Center for Math. &amp; Comput. Sci., CWI, Amsterdam, Netherlands;Center for Math. &amp; Comput. Sci., CWI, Amsterdam, Netherlands</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</si>
  <si>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</si>
  <si>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D. Gresh;F. Suits;Yuk Yin Sham</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</si>
  <si>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</si>
  <si>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K. Montgomery;L.R. Heinrichs;C. Bruyns;S. Wildermuth;C. Hasser;S. Ozenne;D. Bailey</t>
  </si>
  <si>
    <t>Nat. Biocomputation Center, Stanford, CA, USA</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</si>
  <si>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</si>
  <si>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Zhaohua Ding;J.C. Gore;A.W. Anderson</t>
  </si>
  <si>
    <t>Dept. of Diagnostic Radiol., Yale Univ. Sch. of Med., New Haven, CT, USA;Dept. of Diagnostic Radiol., Yale Univ. Sch. of Med., New Haven, CT, USA;Dept. of Diagnostic Radiol., Yale Univ. Sch. of Med., New Haven, CT, USA</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</si>
  <si>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</si>
  <si>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D. Kao;J.L. Dungan;A. Pang</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</si>
  <si>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</si>
  <si>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W.S. Koegler</t>
  </si>
  <si>
    <t>Sandia Nat. Labs., Livermore, CA, USA</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</si>
  <si>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</si>
  <si>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Xiaoming Wei;A.E. Kaufman;T.J. Hallman</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</si>
  <si>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</si>
  <si>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M.K. Hurdal;K.W. Kurtz;D.C. Banks</t>
  </si>
  <si>
    <t>Int. Neuroimaging Consortium, Univ. of Minneapolis, MN, USA</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</si>
  <si>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</si>
  <si>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Melanie Tory;Niklas Röber;Torsten Möller;Anna Celler;M. Stella Atkins</t>
  </si>
  <si>
    <t>M. Tory;N. Rober;T. Moller;A. Celler;M.S. Atkins</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</si>
  <si>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</si>
  <si>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Armin Kanitsar;Rainer Wegenkittl;Petr Felkel;Dominik Fleischmann;Dominique Sandner;M. Eduard Gröller</t>
  </si>
  <si>
    <t>A. Kanitsar;D. Fleischmann;R. Wegenkittl;D. Sandner;P. Felkel;E. Groller</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</si>
  <si>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</si>
  <si>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Visualization of steep breaking waves and thin spray sheets around a ship</t>
  </si>
  <si>
    <t>10.1109/VISUAL.2003.1250419</t>
  </si>
  <si>
    <t>T. Welsh;K. Mueller;Wei Zhu;N. Volkow;J. Meade</t>
  </si>
  <si>
    <t>State Univ. of New York, Stony Brook, NY, USA;State Univ. of New York, Stony Brook, NY, USA;State Univ. of New York, Stony Brook, NY, USA;State Univ. of New York, Stony Brook, NY, USA;State Univ. of New York, Stony Brook, NY, USA</t>
  </si>
  <si>
    <t>http://dx.doi.org/10.1109/VISUAL.2003.1250419</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</si>
  <si>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</si>
  <si>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Tubingen Univ., Germany;Tubingen Univ., Germany</t>
  </si>
  <si>
    <t>Paul Adams;Douglas Dommermuth</t>
  </si>
  <si>
    <t>ERDC, Major Shared Resource Center, Vicksburg, MS, USA|c|;</t>
  </si>
  <si>
    <t>10.1109/VISUAL.1999.809891;10.1109/VISUAL.2000.885704;10.1109/VISUAL.2002.1183821;10.1109/VISUAL.1997.663869</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</si>
  <si>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</si>
  <si>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isosurfaces, marching cubes, multilevel parallelism</t>
  </si>
  <si>
    <t>S. Ziegeler;R.J. Moorhead;P.J. Croft;Duanjun Lu</t>
  </si>
  <si>
    <t>NSF Eng. Res. Center, Mississippi State Univ., MS, USA;NSF Eng. Res. Center, Mississippi State Univ., MS, USA</t>
  </si>
  <si>
    <t>Accelerating large data analysis by exploiting regularities</t>
  </si>
  <si>
    <t>10.1109/VISUAL.2003.1250420</t>
  </si>
  <si>
    <t>http://dx.doi.org/10.1109/VISUAL.2003.1250420</t>
  </si>
  <si>
    <t>David Ellsworth;Patrick J. Moran</t>
  </si>
  <si>
    <t>Adv. Manage. Technol. Inc., NASA Ames Res. Center, Moffett Field, CA, USA|c|;</t>
  </si>
  <si>
    <t>10.1109/VISUAL.1999.809910;10.1109/VISUAL.1998.745299;10.1109/VISUAL.1997.663888;10.1109/VISUAL.1997.663895;10.1109/VISUAL.1994.346311;10.1109/VISUAL.1999.809879;10.1109/VISUAL.1999.809891;10.1109/VISUAL.1998.745298;10.1109/VISUAL.1992.235219;10.1109/VISUAL.1994.346304;10.1109/VISUAL.1991.175818;10.1109/VISUAL.1995.480821</t>
  </si>
  <si>
    <t xml:space="preserve"> regularity finding, data models, object-oriented, C++, templates, scientific visualization, paging, demand-driven evaluation</t>
  </si>
  <si>
    <t>Visualizing spatial and temporal variability in coastal observatories</t>
  </si>
  <si>
    <t>10.1109/VISUAL.2003.1250421</t>
  </si>
  <si>
    <t>http://dx.doi.org/10.1109/VISUAL.2003.1250421</t>
  </si>
  <si>
    <t>Presents the results of an evaluation of the ARCHAVE (ARCHAeological Virtual Environment) system, an immersive virtual reality (VR) environment for archaeological research. ARCHAVE is implemented in a Cave. The evaluation studied researchers analyzing lamp and coin finds throughout the excavation trenches at the Petra Great Temple site in Jordan. Experienced archaeologists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present-day architectural ruins of the temple. They also had access to a miniature model for site-wide analysis. Because users quickly became comfortable with the interface, they concentrated their efforts on examining the data being retrieved and displayed. The immersive VR visualization of the recovered information gave them the opportunity to explore it in a new and dynamic way and, in several cases, enabled them to make discoveries that opened new lines of investigation about the excavation.</t>
  </si>
  <si>
    <t>D. Acevedo;E. Vote;D.H. Laidlaw;M.S. Joukowsky</t>
  </si>
  <si>
    <t>Brown Univ., Providence, RI, USA;Brown Univ., Providence, RI, USA;Brown Univ., Providence, RI, USA</t>
  </si>
  <si>
    <t>Walter Jim̩nez;Wagner Toledo Corr̻a;Cl��udio T. Silva;Ant�_nio M. Baptista</t>
  </si>
  <si>
    <t>OGI Sch. of Sci. &amp; Eng., Oregon Health &amp; Sci. Univ., Portland, OR, USA|c|;;;</t>
  </si>
  <si>
    <t>10.1109/VISUAL.1999.809865;10.1109/VISUAL.1999.809908</t>
  </si>
  <si>
    <t>coastal observatories, environmental observation and forecasting systems, coasts, estuaries, Columbia River</t>
  </si>
  <si>
    <t>Producing high-quality visualizations of large-scale simulation</t>
  </si>
  <si>
    <t>10.1109/VISUAL.2003.1250422</t>
  </si>
  <si>
    <t>http://dx.doi.org/10.1109/VISUAL.2003.1250422</t>
  </si>
  <si>
    <t>The Temporal Bone Dissection Simulator is an ongoing research project for the construction of a synthetic environment suitable for virtual dissection of human temporal bone and related anatomy. Funded by the National Institute on Deafness and Other Communication Disorders (NIDCD), the primary goal of this project is to provide a safe, robust, and cost-effective virtual environment for learning the anatomy and surgical procedures associated with the temporal bone. Direct volume visualization has been indispensable for the necessary level of realism and interactivity that is vital to the success of this project. This work is being conducted by the Ohio Supercomputer Center in conjunction with the Department of Otolaryngology at the Ohio State University, and NIDCD.</t>
  </si>
  <si>
    <t>J. Bryan;D. Stredney;G. Wiet;D. Sessanna</t>
  </si>
  <si>
    <t>Ohio Supercomput. Center, OH, USA;Ohio Supercomput. Center, OH, USA</t>
  </si>
  <si>
    <t>Voicu Popescu;Christoph M. Hoffmann;Sami Kilic;Mete Sozen;Scott Meador</t>
  </si>
  <si>
    <t>Purdue Univ., USA|c|;;;;</t>
  </si>
  <si>
    <t>Interactive protein manipulation</t>
  </si>
  <si>
    <t>10.1109/VISUAL.2003.1250423</t>
  </si>
  <si>
    <t>http://dx.doi.org/10.1109/VISUAL.2003.1250423</t>
  </si>
  <si>
    <t>The paper addresses visualization issues of the Terrestrial Planet Finder Mission (C.A. Beichman et al., 1999). The goal of this mission is to search for chemical signatures of life in distant solar systems using five satellites flying in formation to simulate a large telescope. To design and visually verify such a delicate mission, one has to analyze and interact with many different 3D spacecraft trajectories, which is often difficult in 2D. We employ a novel trajectory design approach using invariant manifold theory, which is best understood and utilized in an immersive setting. The visualization also addresses multi-scale issues related to the vast differences in distance, velocity, and time at different phases of the mission. Additionally, the parameterization and coordinate frames used for numerical simulations may not be suitable for direct visualization. Relative motion presents a more serious problem where the patterns of the trajectories can only be viewed in particular rotating frames. Some of these problems are greatly relieved by using interactive, animated stereo 3D visualization in a semi-immersive environment such as a Responsive Workbench. Others were solved using standard techniques such as a stratify approach with multiple windows to address the multiscale issues, re-parameterizations of trajectories and associated 2D manifolds and relative motion of the camera to "evoke" the desired patterns.</t>
  </si>
  <si>
    <t>K. Museth;A. Barr;M.W. Lo</t>
  </si>
  <si>
    <t>Dept. of Comput. Sci., California Inst. of Technol., Pasadena, CA, USA</t>
  </si>
  <si>
    <t>Oliver Kreylos;Nelson L. Max;Bernd Hamann;Silvia N. Crivelli;E. Wes Bethel</t>
  </si>
  <si>
    <t>Protein Structure Prediction, Protein Manipulation, Inverse Kinematics, Molecular Modeling, Molecular Visualization, Interactive Visualization, Computational Science</t>
  </si>
  <si>
    <t>Holographic video display of time-series volumetric medical data</t>
  </si>
  <si>
    <t>10.1109/VISUAL.2003.1250424</t>
  </si>
  <si>
    <t>http://dx.doi.org/10.1109/VISUAL.2003.1250424</t>
  </si>
  <si>
    <t>This case study describes the process of fusing the data from several wind tunnel experiments into a single coherent visualization. Each experiment was conducted independently and was designed to explore different flow features around airplane landing gear. In the past, it would have been very difficult to correlate results from the different experiments. However, with a single 3-D visualization representing the fusion of the three experiments, significant insight into the composite flowfield was observed that would have been extremely difficult to obtain by studying its component parts. The results are even more compelling when viewed in an immersive environment.</t>
  </si>
  <si>
    <t>K. Severance;P. Brewster;B. Lazos;D. Keefe</t>
  </si>
  <si>
    <t>NASA Langley Res. Center, Hampton, VA, USA;NASA Langley Res. Center, Hampton, VA, USA;NASA Langley Res. Center, Hampton, VA, USA</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</si>
  <si>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</si>
  <si>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K. Montgomery;C. Bruyns;S. Wildermuth</t>
  </si>
  <si>
    <t>Nat. Biocomputation Center, Stanford Univ., CA, USA;Nat. Biocomputation Center, Stanford Univ., CA, USA;Nat. Biocomputation Center, Stanford Univ., CA, USA</t>
  </si>
  <si>
    <t>Wendy Plesniak;Michael Halle;Steven D. Pieper;William M. Wells III;Marianna Jakab;Dominik S. Meier;Stephen A. Benton;Charles R. G. Guttmann;Ron Kikinis</t>
  </si>
  <si>
    <t>;;;;;;;;</t>
  </si>
  <si>
    <t>electro-holography, holographic video, computer generated holograms, autostereoscopic display, medical imaging</t>
  </si>
  <si>
    <t>2002</t>
  </si>
  <si>
    <t>Heart-muscle fiber reconstruction from diffusion tensor MRI</t>
  </si>
  <si>
    <t>10.1109/VISUAL.2003.1250425</t>
  </si>
  <si>
    <t>http://dx.doi.org/10.1109/VISUAL.2003.1250425</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</si>
  <si>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</si>
  <si>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W.S. Cleveland</t>
  </si>
  <si>
    <t>Dept. Stat. Res., Bell Labs., Holmdel, NJ, USA</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</si>
  <si>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</si>
  <si>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C. Stolte;D. Tang;P. Hanrahan</t>
  </si>
  <si>
    <t>Stanford Univ., CA, USA;Stanford Univ., CA, USA;Stanford Univ., CA, USA</t>
  </si>
  <si>
    <t>Dept. of Comput. Sci., California Inst. of Technol., USA|c|;</t>
  </si>
  <si>
    <t>10.1109/VISUAL.2002.1183799;10.1109/VISUAL.1996.567777</t>
  </si>
  <si>
    <t xml:space="preserve"> Diffusion tensors, DT-MRI, fiber tracing, adaptive filtering, moving least squares, streamlines</t>
  </si>
  <si>
    <t>Which comes first, usability or utility?</t>
  </si>
  <si>
    <t>10.1109/VISUAL.2003.1250426</t>
  </si>
  <si>
    <t>http://dx.doi.org/10.1109/VISUAL.2003.1250426</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</si>
  <si>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</si>
  <si>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C. North;N. Conklin;V. Saini</t>
  </si>
  <si>
    <t>Dept. of Comput. Sci., Virginia Polytech. Inst. &amp; State Univ., Blacksburg, VA, USA;Dept. of Comput. Sci., Virginia Polytech. Inst. &amp; State Univ., Blacksburg, VA, USA;Dept. of Comput. Sci., Virginia Polytech. Inst. &amp; State Univ., Blacksburg, VA, USA</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</si>
  <si>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</si>
  <si>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M.X. Zhou;Min Chen;Ying Feng</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</si>
  <si>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</si>
  <si>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Daniel A. Keim;Stephen C. North;Christian Panse;Jörn Schneidewind</t>
  </si>
  <si>
    <t>D.A. Keim;S.C. North;C. Panse;J. Schneidewind</t>
  </si>
  <si>
    <t>AT&amp;T Shannon Lab., Florham Park, NJ, USA;AT&amp;T Shannon Lab., Florham Park, NJ, USA</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</si>
  <si>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</si>
  <si>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C. Olston;J.D. Mackinlay</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</si>
  <si>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</si>
  <si>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L. Nowell;R. Schulman;D. Hix</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</si>
  <si>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</si>
  <si>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M. Lind;G.P. Bingham;C. Forser</t>
  </si>
  <si>
    <t>Dept. of Inf. Sci., Uppsala Univ., Sweden</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</si>
  <si>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</si>
  <si>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C. Plaisant;J. Grosjean;B.B. Bederson</t>
  </si>
  <si>
    <t>Human-Comput. Interaction Lab., Maryland Univ., MD, USA;Human-Comput. Interaction Lab., Maryland Univ., MD, USA;Human-Comput. Interaction Lab., Maryland Univ., MD, USA</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</si>
  <si>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</si>
  <si>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Kresimir Matkovic;Helwig Hauser;Reinhard Sainitzer;M. Eduard Gröller</t>
  </si>
  <si>
    <t>K. Matkovic;H. Hauser;R. Sainitzer;M.E. Groller</t>
  </si>
  <si>
    <t>VRVis Res. Center, Vienna, Austria;VRVis Res. Center, Vienna, Austria</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</si>
  <si>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</si>
  <si>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N. Amenta;J. Klingner</t>
  </si>
  <si>
    <t>Texas Univ., Austin, TX, USA;Texas Univ., Austin, TX, USA</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</si>
  <si>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</si>
  <si>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Jing Yang;M.O. Ward;E.A. Rundensteiner</t>
  </si>
  <si>
    <t>Dept. of Comput. Sci., Worcester Polytech. Inst., MA, USA;Dept. of Comput. Sci., Worcester Polytech. Inst., MA, USA;Dept. of Comput. Sci., Worcester Polytech. Inst., MA, USA</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</si>
  <si>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</si>
  <si>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Georges G. Grinstein;Alfred Kobsa;Catherine Plaisant;Ben Shneiderman;John T. Stasko</t>
  </si>
  <si>
    <t>Fac. of Inf. Technol., Univ. of Technol., Sydney, NSW, Australia;Fac. of Inf. Technol., Univ. of Technol., Sydney, NSW, Australia</t>
  </si>
  <si>
    <t>University of Massachusetts Lowell|c|;;;</t>
  </si>
  <si>
    <t>Interoperability of visualization software and data models is not an achievable goal</t>
  </si>
  <si>
    <t>10.1109/VISUAL.2003.1250427</t>
  </si>
  <si>
    <t>http://dx.doi.org/10.1109/VISUAL.2003.1250427</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</si>
  <si>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</si>
  <si>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F. van Ham;J.J. van Wijk</t>
  </si>
  <si>
    <t>Dept. of Math. &amp; Comput. Sci., Technische Universiteit Eindhoven, Netherlands;Dept. of Math. &amp; Comput. Sci., Technische Universiteit Eindhoven, Netherlands</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</si>
  <si>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</si>
  <si>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P.R. Thiagarajan;G.R. Gao</t>
  </si>
  <si>
    <t>Biotechnol. Inst., Delaware Univ., Newark, DE, USA;Biotechnol. Inst., Delaware Univ., Newark, DE, USA</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</si>
  <si>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</si>
  <si>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M. Wattenberg</t>
  </si>
  <si>
    <t>IBM Res., Cambridge, MA, USA</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</si>
  <si>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</si>
  <si>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J.-D. Fekete;C. Plaisant</t>
  </si>
  <si>
    <t>E. Wes Bethel;Greg Abram;John Shalf;Randy Frank;James P. Ahrens;Steven G. Parker;Nagiza F. Samatova;Mark C. Miller</t>
  </si>
  <si>
    <t>Human Comput. Interaction Lab., Maryland Univ., Baltimore, MD, USA;Human Comput. Interaction Lab., Maryland Univ., Baltimore, MD, USA</t>
  </si>
  <si>
    <t>Lawrence Berkeley National Laboratory|c|</t>
  </si>
  <si>
    <t>Information and scientific visualization: separate but equal or happy together at last</t>
  </si>
  <si>
    <t>10.1109/VISUAL.2003.1250428</t>
  </si>
  <si>
    <t>http://dx.doi.org/10.1109/VISUAL.2003.1250428</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</si>
  <si>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</si>
  <si>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H. Hauser;F. Ledermann;H. Doleisch</t>
  </si>
  <si>
    <t>VRVis Res. Center, Vienna, Austria;VRVis Res. Center, Vienna, Austria;VRVis Res. Center, Vienna, Austria</t>
  </si>
  <si>
    <t>Theresa-Marie Rhyne;Melanie Tory;Tamara Munzner;Matthew O. Ward;Christopher R. Johnson 0001;David H. Laidlaw</t>
  </si>
  <si>
    <t>North Carolina State University|c|;;;;;</t>
  </si>
  <si>
    <t>Do I really see a bone?</t>
  </si>
  <si>
    <t>10.1109/VISUAL.2003.1250429</t>
  </si>
  <si>
    <t>http://dx.doi.org/10.1109/VISUAL.2003.1250429</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</si>
  <si>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</si>
  <si>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N. Conklin;S. Prabhakar;C. North</t>
  </si>
  <si>
    <t>Raghu Machiraju;Christopher R. Johnson 0001;Terry S. Yoo;Roger Crawfis;David S. Ebert;Don Stredney</t>
  </si>
  <si>
    <t>The Ohio State University|c|;;;;;</t>
  </si>
  <si>
    <t>Visualization experiences and issues in deep space exploration</t>
  </si>
  <si>
    <t>10.1109/VISUAL.2003.1250430</t>
  </si>
  <si>
    <t>http://dx.doi.org/10.1109/VISUAL.2003.1250430</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</si>
  <si>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</si>
  <si>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Yehuda Koren;L. Carmel;D. Harel</t>
  </si>
  <si>
    <t>Dept. of Comput. Sci. &amp; Appl. Math., Weizmann Inst. of Sci., Rehovot, Israel;Dept. of Comput. Sci. &amp; Appl. Math., Weizmann Inst. of Sci., Rehovot, Israel;Dept. of Comput. Sci. &amp; Appl. Math., Weizmann Inst. of Sci., Rehovot, Israel</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</si>
  <si>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</si>
  <si>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John R. Wright;Scott Burleigh;Makoto Maruya;Scott Maxwell;Ren̩ Pischel</t>
  </si>
  <si>
    <t>Jet Propulsion Laboratory|c|;;;;</t>
  </si>
  <si>
    <t>A Comparison of the Readability of Graphs Using Node-Link and Matrix-Based Representations</t>
  </si>
  <si>
    <t>10.1109/INFVIS.2004.1</t>
  </si>
  <si>
    <t>http://dx.doi.org/10.1109/INFVIS.2004.1</t>
  </si>
  <si>
    <t>U. Brandes;S.R. Corman</t>
  </si>
  <si>
    <t>Dept. of Comput. &amp; Inf. Sci., Konstanz Univ., Germany</t>
  </si>
  <si>
    <t>Robert A. Amar;John T. Stasko</t>
  </si>
  <si>
    <t>Ecole des Mines de Nantes|c|;;</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</si>
  <si>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O(N/sup 2/) spring model as a benchmark when evaluating our technique, comparing layout quality and run times using data sets of synthetic and real data. Our algorithm runs in O(N/spl radic/N)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</si>
  <si>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Visualization of graphs, adjacency matrices, node-link representation, readability, evaluation</t>
  </si>
  <si>
    <t>A. Morrison;G. Ross;M. Chalmers</t>
  </si>
  <si>
    <t>Dept. of Comput. Sci., Glasgow Univ., UK;Dept. of Comput. Sci., Glasgow Univ., UK;Dept. of Comput. Sci., Glasgow Univ., UK</t>
  </si>
  <si>
    <t>A Knowledge Task-Based Framework for Design and Evaluation of Information Visualizations</t>
  </si>
  <si>
    <t>10.1109/INFVIS.2004.10</t>
  </si>
  <si>
    <t>http://dx.doi.org/10.1109/INFVIS.2004.10</t>
  </si>
  <si>
    <t>Coll. of Comput., Georgia Inst. of Technol., Atlanta, GA|c|;</t>
  </si>
  <si>
    <t>10.1109/INFVIS.1995.528686;10.1109/INFVIS.2003.1249032;10.1109/INFVIS.2003.1249030;10.1109/INFVIS.2001.963289;10.1109/INFVIS.2003.1249029;10.1109/VISUAL.1990.146375</t>
  </si>
  <si>
    <t>Information visualization, analytic gap, theory, framework, evaluation, knowledge tasks</t>
  </si>
  <si>
    <t>BinX: Dynamic Exploration of Time Series Datasets Across Aggregation Levels</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</si>
  <si>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</si>
  <si>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10.1109/INFVIS.2004.11</t>
  </si>
  <si>
    <t>http://dx.doi.org/10.1109/INFVIS.2004.11</t>
  </si>
  <si>
    <t>Accenture Technol. Labs., Palo Alto, CA, USA</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</si>
  <si>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</si>
  <si>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T.A. Keahey;S.G. Eick</t>
  </si>
  <si>
    <t>S.M. Kosslyn</t>
  </si>
  <si>
    <t>Harvard University</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</si>
  <si>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</si>
  <si>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B. Preim;C. Tietjen;W. Spindler;H.-O. Peitgen</t>
  </si>
  <si>
    <t>Center for Med. Diagnostic Syst. &amp; Visualization, MeVis, Bremen, Germany;Center for Med. Diagnostic Syst. &amp; Visualization, MeVis, Bremen, Germany;Center for Med. Diagnostic Syst. &amp; Visualization, MeVis, Bremen, Germany;Center for Med. Diagnostic Syst. &amp; Visualization, MeVis, Bremen, Germany</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</si>
  <si>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</si>
  <si>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S. Prohaska;H.-C. Hege</t>
  </si>
  <si>
    <t>Dept. for Sci. Visualization, Zuse Inst. Berlin, Germany;Dept. for Sci. Visualization, Zuse Inst. Berlin, Germany</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</si>
  <si>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</si>
  <si>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Armin Kanitsar;Dominik Fleischmann;Rainer Wegenkittl;Petr Felkel;M. Eduard Gröller</t>
  </si>
  <si>
    <t>A. Kanitsar;D. Fleischmann;R. Wegenkittl;P. Felkel;E. Groller</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</si>
  <si>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</si>
  <si>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Youwei Zhang;R. Rohling;D.K. Pai</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</si>
  <si>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</si>
  <si>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Stefan Guthe;Michael Wand;Julius Gonser;Wolfgang Straßer</t>
  </si>
  <si>
    <t>S. Guthe;M. Wand;J. Gonser;W. Strasser</t>
  </si>
  <si>
    <t>WSI/GRIS, Tubingen Univ., Germany;WSI/GRIS, Tubingen Univ., Germany;WSI/GRIS, Tubingen Univ., Germany;WSI/GRIS, Tubingen Univ., Germany</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</si>
  <si>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</si>
  <si>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E.J. Luke;C.D. Hansen</t>
  </si>
  <si>
    <t>Sci. Comput. &amp; Imaging Inst., Utah Univ., Salt Lake City, UT, USA</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</si>
  <si>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</si>
  <si>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G. Varadhan;D. Manocha</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</si>
  <si>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</si>
  <si>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J. El-Sana;E. Bachmat</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</si>
  <si>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</si>
  <si>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Caixia Zhang;R. Crawfis</t>
  </si>
  <si>
    <t>Dept. of Comput. &amp; Inf. Sci., Ohio State Univ., Columbus, OH, USA;Dept. of Comput. &amp; Inf. Sci., Ohio State Univ., Columbus, OH, USA</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</si>
  <si>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</si>
  <si>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D. Weiskopf;K. Engel;T. Ertl</t>
  </si>
  <si>
    <t>Visualization &amp; Interactive Syst. Group, Stuttgart Univ., Germany;Visualization &amp; Interactive Syst. Group, Stuttgart Univ., Germany;Visualization &amp; Interactive Syst. Group, Stuttgart Univ., Germany</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</si>
  <si>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</si>
  <si>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Steven Bergner;Torsten Möller;Mark S. Drew;Graham D. Finlayson</t>
  </si>
  <si>
    <t>S. Bergner;T. Moller;M.S. Drew;G.D. Finlayson</t>
  </si>
  <si>
    <t>Dept. of Simulation &amp; Graphics, Magdeburg Univ., Germany</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</si>
  <si>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</si>
  <si>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J. Kniss;S. Premoze;C. Hansen;D. Ebert</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</si>
  <si>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</si>
  <si>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M. Garland;E. Shaffer</t>
  </si>
  <si>
    <t>Illinois Univ., Urbana, IL, USA;Illinois Univ., Urbana, IL, USA</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</si>
  <si>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</si>
  <si>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T. Tasdizen;R. Whitaker;P. Burchard;S. Osher</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</si>
  <si>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</si>
  <si>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P. Chopra;J. Meyer</t>
  </si>
  <si>
    <t>Eng. Res. Center, Mississippi State Univ., MS, USA;Eng. Res. Center, Mississippi State Univ., MS, USA</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</si>
  <si>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</si>
  <si>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M. Isenburg;P. Alliez</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</si>
  <si>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</si>
  <si>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G. Grigoryan;P. Rheingans</t>
  </si>
  <si>
    <t>Maryland Univ., Baltimore, MD, USA;Maryland Univ., Baltimore, MD, USA</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</si>
  <si>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</si>
  <si>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T.K. Dey;J. Hudson</t>
  </si>
  <si>
    <t>Ohio State Univ., Columbus, OH, USA;Ohio State Univ., Columbus, OH, USA</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</si>
  <si>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</si>
  <si>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M. Pauly;M. Gross;L.P. Kobbelt</t>
  </si>
  <si>
    <t>Eidgenossische Tech. Hochschule, Zurich, Switzerland;Eidgenossische Tech. Hochschule, Zurich, Switzerland</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</si>
  <si>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</si>
  <si>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G.H. Weber;G. Scheuermann;H. Hagen;B. Hamann</t>
  </si>
  <si>
    <t>AG Graphische Datenverarbeitung und Computergeometrie, Kaiserslautern Univ., Germany;AG Graphische Datenverarbeitung und Computergeometrie, Kaiserslautern Univ., Germany;AG Graphische Datenverarbeitung und Computergeometrie, Kaiserslautern Univ., Germany</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</si>
  <si>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</si>
  <si>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K. Museth;D.E. Breen;L. Zhukov;R.T. Whitaker</t>
  </si>
  <si>
    <t>Dept. of Comput. Sci., California Inst. of Technol., Pasadena, CA, USA;Dept. of Comput. Sci., California Inst. of Technol., Pasadena, CA, USA;Dept. of Comput. Sci., California Inst. of Technol., Pasadena, CA, USA</t>
  </si>
  <si>
    <t>This paper introduces two efficient algorithms that compute the Contour Tree of a 3D scalar field /spl Fscr/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/spl Fscr/.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/spl Fscr/. For the first time we can compute the Contour Tree in linear time in many practical cases when t=O(n/sup 1-/spl epsi//). Lastly, we report the running times for a parallel implementation of our algorithm, showing good scalability with the number of processors.</t>
  </si>
  <si>
    <t>V. Pascucci;K. Cole-McLaughlin</t>
  </si>
  <si>
    <t>Center of Appl. Sci. Comput., Lawrence Livermore Nat. Lab., CA, USA;Center of Appl. Sci. Comput., Lawrence Livermore Nat. Lab., CA, USA</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</si>
  <si>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512/sup 3/ volume data sets acquired from both a simulation phantom and actual patients.</t>
  </si>
  <si>
    <t>Ming Wan;A. Sadiq;A. Kaufman</t>
  </si>
  <si>
    <t>Many direct volume rendering algorithms have been proposed during the last decade to render 256/sup 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</si>
  <si>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Benjamin Mora;Jean-Pierre Jessel;René Caubet</t>
  </si>
  <si>
    <t>B. Mora;J.-P. Jessel;R. Caubet</t>
  </si>
  <si>
    <t>Inst. de Recherche en Informatique de Toulouse (IRIT), Univ. Paul Sabatier, Toulouse, France;Inst. de Recherche en Informatique de Toulouse (IRIT), Univ. Paul Sabatier, Toulouse, France;Inst. de Recherche en Informatique de Toulouse (IRIT), Univ. Paul Sabatier, Toulouse, France</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</si>
  <si>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</si>
  <si>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Aidong Lu;C.J. Morris;D.S. Ebert;P. Rheingans;C. Hansen</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</si>
  <si>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</si>
  <si>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O. Deussen;C. Colditz;M. Stamminger;G. Drettakis</t>
  </si>
  <si>
    <t>Fac. of Comput. Sci., Dresden Univ. of Technol., Germany;Fac. of Comput. Sci., Dresden Univ. of Technol., Germany</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</si>
  <si>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</si>
  <si>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Xiaoming Wei;Wei Li;K. Mueller;A. Kaufman</t>
  </si>
  <si>
    <t>Dept. of Comput. Sci., State Univ. of New York, Stony Brook, NY, USA;Dept. of Comput. Sci., State Univ. of New York, Stony Brook, NY, USA;Dept. of Comput. Sci., State Univ. of New York, Stony Brook, NY, USA;Dept. of Comput. Sci., State Univ. of New York, Stony Brook, NY, USA</t>
  </si>
  <si>
    <t>Lior Berry;Tamara Munzner</t>
  </si>
  <si>
    <t>University of British Columbia|c|;</t>
  </si>
  <si>
    <t>Building Highly-Coordinated Visualizations in Improvise</t>
  </si>
  <si>
    <t>10.1109/INFVIS.2004.12</t>
  </si>
  <si>
    <t>http://dx.doi.org/10.1109/INFVIS.2004.12</t>
  </si>
  <si>
    <t>Chris Weaver</t>
  </si>
  <si>
    <t>Dept. of Comput. Sci., Wisconsin Univ., Madison, WI|c|</t>
  </si>
  <si>
    <t>10.1109/INFVIS.2002.1173141;10.1109/INFVIS.2000.885086</t>
  </si>
  <si>
    <t>coordinated queries, coordination, exploratory visualization, multiple views, visual abstraction language</t>
  </si>
  <si>
    <t>Capstone Address: Visualization as a Medium for Capturing and Sharing Thoughts</t>
  </si>
  <si>
    <t>10.1109/INFVIS.2004.13</t>
  </si>
  <si>
    <t>http://dx.doi.org/10.1109/INFVIS.2004.13</t>
  </si>
  <si>
    <t>xiii</t>
  </si>
  <si>
    <t>Steven F. Roth</t>
  </si>
  <si>
    <t>Case Study: Visualizing Visualization</t>
  </si>
  <si>
    <t>10.1109/INFVIS.2004.14</t>
  </si>
  <si>
    <t>http://dx.doi.org/10.1109/INFVIS.2004.14</t>
  </si>
  <si>
    <t>r5</t>
  </si>
  <si>
    <t>Technische Universiteit Eindhoven|c|</t>
  </si>
  <si>
    <t>Clutter Reduction in Multi-Dimensional Data Visualization Using Dimension Reordering</t>
  </si>
  <si>
    <t>10.1109/INFVIS.2004.15</t>
  </si>
  <si>
    <t>http://dx.doi.org/10.1109/INFVIS.2004.15</t>
  </si>
  <si>
    <t>Wei Peng;Matthew O. Ward;Elke A. Rundensteiner</t>
  </si>
  <si>
    <t>Dept. of Comput. Sci., Worcester Polytech. Inst., MA|c|;;</t>
  </si>
  <si>
    <t>10.1109/INFVIS.2003.1249015;10.1109/VISUAL.1996.567800;10.1109/VISUAL.1990.146386;10.1109/INFVIS.1998.729559;10.1109/VISUAL.1999.809866;10.1109/INFVIS.1996.559215;10.1109/INFVIS.2000.885086</t>
  </si>
  <si>
    <t>Multidimensional visualization, dimension order, visual clutter, visual structure</t>
  </si>
  <si>
    <t>Creating and Managing "Lookmarks" in ParaView</t>
  </si>
  <si>
    <t>10.1109/INFVIS.2004.16</t>
  </si>
  <si>
    <t>http://dx.doi.org/10.1109/INFVIS.2004.16</t>
  </si>
  <si>
    <t>Eric T. Stanton;W. Philip Kegelmeyer</t>
  </si>
  <si>
    <t>Sandia National Laboratories|c|;</t>
  </si>
  <si>
    <t>Distortion-Based Visualization for Long-Term Continuous Acoustic Monitoring</t>
  </si>
  <si>
    <t>10.1109/INFVIS.2004.17</t>
  </si>
  <si>
    <t>http://dx.doi.org/10.1109/INFVIS.2004.17</t>
  </si>
  <si>
    <t>Fujio Tsutsumi;Norihiko Itoh;Takashi Onoda</t>
  </si>
  <si>
    <t>Central Research Institute of Electric Power Industry|c|;;</t>
  </si>
  <si>
    <t>Dynamic Drawing of Clustered Graphs</t>
  </si>
  <si>
    <t>10.1109/INFVIS.2004.18</t>
  </si>
  <si>
    <t>http://dx.doi.org/10.1109/INFVIS.2004.18</t>
  </si>
  <si>
    <t>Yaniv Frishman;Ayellet Tal</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</si>
  <si>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</si>
  <si>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Dept. of Comput. Sci., Technion-Israel Inst. of Technol., Haifa|c|;</t>
  </si>
  <si>
    <t>graph drawing, dynamic layout, mobile objects, software visualization</t>
  </si>
  <si>
    <t>J. Schmidt-Ehrenberg;D. Baum;H.-C. Hege</t>
  </si>
  <si>
    <t>Zuse Inst. Berlin (ZIB), Germany;Zuse Inst. Berlin (ZIB), Germany;Zuse Inst. Berlin (ZIB), Germany</t>
  </si>
  <si>
    <t>Evaluating a System for Interactive Exploration of Large, Hierarchically Structured Document Repositories</t>
  </si>
  <si>
    <t>10.1109/INFVIS.2004.19</t>
  </si>
  <si>
    <t>http://dx.doi.org/10.1109/INFVIS.2004.19</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</si>
  <si>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</si>
  <si>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C.A.H. Baker;M.S.T. Carpendale;P. Prusinkiewicz;M.G. Surette</t>
  </si>
  <si>
    <t>Dept. of Comput. Sci., Calgary Univ., Alta., Canada;Dept. of Comput. Sci., Calgary Univ., Alta., Canada;Dept. of Comput. Sci., Calgary Univ., Alta., Canada</t>
  </si>
  <si>
    <t>Michael Granitzer;Wolfgang Kienreich;Vedran Sabol;Keith Andrews;Werner Klieber</t>
  </si>
  <si>
    <t>Know-Center, Graz|c|;;;;</t>
  </si>
  <si>
    <t>10.1109/VISUAL.1996.567787;10.1109/INFVIS.1997.636718</t>
  </si>
  <si>
    <t>information visualisation, navigation, document retrieval, hierarchical repositories, knowledge management, information management, force-directed placement, Voronoi</t>
  </si>
  <si>
    <t>A History Mechanism for Visual Data Mining</t>
  </si>
  <si>
    <t>10.1109/INFVIS.2004.2</t>
  </si>
  <si>
    <t>http://dx.doi.org/10.1109/INFVIS.2004.2</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</si>
  <si>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</si>
  <si>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I. Hotz</t>
  </si>
  <si>
    <t>Diane Cluxton;Stephen G. Eick;Jie Yun</t>
  </si>
  <si>
    <t>SD Industries GmbH, Gundelfingen|c|;;</t>
  </si>
  <si>
    <t>10.1109/INFVIS.1998.729560;10.1109/VISUAL.2002.1183791;10.1109/VISUAL.2000.885676;10.1109/INFVIS.2003.1249009;10.1109/VISUAL.1999.809871</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</si>
  <si>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</si>
  <si>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Visual data mining, Visualization, History, Undo/Redo</t>
  </si>
  <si>
    <t>J. Levenberg</t>
  </si>
  <si>
    <t>California Univ., Berkeley, CA, USA</t>
  </si>
  <si>
    <t>EventScope: Bringing Remote Experience of Mars to the Public through Telepresence</t>
  </si>
  <si>
    <t>10.1109/INFVIS.2004.20</t>
  </si>
  <si>
    <t>http://dx.doi.org/10.1109/INFVIS.2004.20</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</si>
  <si>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</si>
  <si>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E. Zhang;G. Turk</t>
  </si>
  <si>
    <t>GVU Center &amp; Coll. of Comput., Georgia Inst. of Technol., Atlanta, GA, USA;GVU Center &amp; Coll. of Comput., Georgia Inst. of Technol., Atlanta, GA, USA</t>
  </si>
  <si>
    <t>Eben Myers;Peter Coppin;Michael D. Wagner;Karl Fischer;Luisa Lu;W. Ronald McCloskey;David Seneker</t>
  </si>
  <si>
    <t>Platform Digital, LLC|c|;;;;;;</t>
  </si>
  <si>
    <t>Expand-Ahead: A Space-Filling Strategy for Browsing Trees</t>
  </si>
  <si>
    <t>10.1109/INFVIS.2004.21</t>
  </si>
  <si>
    <t>http://dx.doi.org/10.1109/INFVIS.2004.21</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</si>
  <si>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</si>
  <si>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S. Gumhold</t>
  </si>
  <si>
    <t>Michael J. McGuffin;Gord Davison;Ravin Balakrishnan</t>
  </si>
  <si>
    <t>Dept. of Comput. Sci., Toronto Univ., Ont.|c|;;</t>
  </si>
  <si>
    <t>10.1109/INFVIS.2002.1173148;10.1109/INFVIS.2002.1173152</t>
  </si>
  <si>
    <t>tree browsing and navigation, focus+context, expand-ahead, automatic expansion, space filling, adaptive user interfaces</t>
  </si>
  <si>
    <t>Exploring and Visualizing the History of InfoVis</t>
  </si>
  <si>
    <t>10.1109/INFVIS.2004.22</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</si>
  <si>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</si>
  <si>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http://dx.doi.org/10.1109/INFVIS.2004.22</t>
  </si>
  <si>
    <t>S. Mann;A. Rockwood</t>
  </si>
  <si>
    <t>Waterloo Univ., Ont., Canada</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</si>
  <si>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</si>
  <si>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r6</t>
  </si>
  <si>
    <t>A. Sheffer;J.C. Hart</t>
  </si>
  <si>
    <t>Daniel A. Keim;Helmut Barro;Christian Panse;J̦rn Schneidewind;Mike Sips</t>
  </si>
  <si>
    <t>University of Konstanz|c|;;;;</t>
  </si>
  <si>
    <t>Exploring InfoVis Publication History with Tulip</t>
  </si>
  <si>
    <t>10.1109/INFVIS.2004.23</t>
  </si>
  <si>
    <t>http://dx.doi.org/10.1109/INFVIS.2004.23</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</si>
  <si>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</si>
  <si>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G. Kindlmann;E. Reinhard;S. Creem</t>
  </si>
  <si>
    <t>r10</t>
  </si>
  <si>
    <t>Maylis Delest;Tamara Munzner;David Auber;Jean-Philippe Domenger</t>
  </si>
  <si>
    <t>Universit̩ de Bordeaux I|c|;;;</t>
  </si>
  <si>
    <t>EZEL: a Visual Tool for Performance Assessment of Peer-to-Peer File-Sharing Network</t>
  </si>
  <si>
    <t>10.1109/INFVIS.2004.25</t>
  </si>
  <si>
    <t>http://dx.doi.org/10.1109/INFVIS.2004.25</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</si>
  <si>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</si>
  <si>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Ming Jiang;R. Machiraju;D. Thompson</t>
  </si>
  <si>
    <t>Lucian Voinea;Alexandru Telea;Jarke J. van Wijk</t>
  </si>
  <si>
    <t>Technische Univ. Eindhoven|c|;;</t>
  </si>
  <si>
    <t>10.1109/INFVIS.1999.801853;10.1109/INFVIS.1999.801860;10.1109/INFVIS.1999.801852;10.1109/INFVIS.2001.963279;10.1109/INFVIS.1999.801859;10.1109/INFVIS.2002.1173149</t>
  </si>
  <si>
    <t>process visualization, distributed file systems visualization, P2P file-sharing networks visualization, small displays</t>
  </si>
  <si>
    <t>faMailiar &amp; Intimacy-Based Email Visualization</t>
  </si>
  <si>
    <t>10.1109/INFVIS.2004.26</t>
  </si>
  <si>
    <t>http://dx.doi.org/10.1109/INFVIS.2004.26</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</si>
  <si>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</si>
  <si>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Hualin Zhou;Min Chen;M.F. Webster</t>
  </si>
  <si>
    <t>Univ. of Wales, Swansea, UK;Univ. of Wales, Swansea, UK;Univ. of Wales, Swansea, UK</t>
  </si>
  <si>
    <t>Mirko Mandic;Andruid Kerne</t>
  </si>
  <si>
    <t>Texas A&amp;M University|c|;</t>
  </si>
  <si>
    <t>GeoTime Information Visualization</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</si>
  <si>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</si>
  <si>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10.1109/INFVIS.2004.27</t>
  </si>
  <si>
    <t>http://dx.doi.org/10.1109/INFVIS.2004.27</t>
  </si>
  <si>
    <t>T.J. Jankun-Kelly;Kwan-Liu Ma;M. Gertz</t>
  </si>
  <si>
    <t>Comput. Sci. Dept., California Univ., Davis, CA, USA;Comput. Sci. Dept., California Univ., Davis, CA, USA;Comput. Sci. Dept., California Univ., Davis, CA, USA</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</si>
  <si>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</si>
  <si>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D.G. Aliaga;T. Funkhouser;D. Yanovsky;I. Carlbom</t>
  </si>
  <si>
    <t>Lucent Technol. Bell Labs, NJ, USA</t>
  </si>
  <si>
    <t>Thomas Kapler;William Wright</t>
  </si>
  <si>
    <t>3-D visualization, spatiotemporal, geospatial, interactive visualization, visual data analysis, link analysis</t>
  </si>
  <si>
    <t>Histographs: Interactive Clustering of Stacked Graphs</t>
  </si>
  <si>
    <t>10.1109/INFVIS.2004.28</t>
  </si>
  <si>
    <t>http://dx.doi.org/10.1109/INFVIS.2004.28</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</si>
  <si>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</si>
  <si>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Han Chen;R. Sukthankar;G. Wallace;Kai Li</t>
  </si>
  <si>
    <t>Comput. Sci., Princeton Univ., NJ, USA</t>
  </si>
  <si>
    <t>Pin Ren;Benjamin Watson</t>
  </si>
  <si>
    <t>Northwestern University|c|;</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</si>
  <si>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</si>
  <si>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Hypothesis Visualization</t>
  </si>
  <si>
    <t>Z. Karni;A. Bogomjakov;C. Gotsman</t>
  </si>
  <si>
    <t>10.1109/INFVIS.2004.29</t>
  </si>
  <si>
    <t>Fac. of Comput. Sci., Technion - Israel Inst. of Technol., Haifa, Israel</t>
  </si>
  <si>
    <t>http://dx.doi.org/10.1109/INFVIS.2004.29</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</si>
  <si>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</si>
  <si>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O. Sorkine;D. Cohen-Or;R. Goldenthal;D. Lischinski</t>
  </si>
  <si>
    <t>Sch. of Comput. Sci., Tel Aviv Univ., Israel;Sch. of Comput. Sci., Tel Aviv Univ., Israel</t>
  </si>
  <si>
    <t>SSS Research, Inc.|c|;;</t>
  </si>
  <si>
    <t>A Rank-by-Feature Framework for Unsupervised Multidimensional Data Exploration Using Low Dimensional Projections</t>
  </si>
  <si>
    <t>10.1109/INFVIS.2004.3</t>
  </si>
  <si>
    <t>http://dx.doi.org/10.1109/INFVIS.2004.3</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</si>
  <si>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</si>
  <si>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C. DeCoro;R. Pajarola</t>
  </si>
  <si>
    <t>Dept. of Inf. &amp; Comput. Sci., California Univ., Irvine, CA, USA;Dept. of Inf. &amp; Comput. Sci., California Univ., Irvine, CA, USA</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</si>
  <si>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</si>
  <si>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Dept. of Comput. Sci., Maryland Univ., College Park, MD|c|;</t>
  </si>
  <si>
    <t>Andreas Sigfridsson;Tino Ebbers;Einar Heiberg;Lars Wigström</t>
  </si>
  <si>
    <t>10.1109/VISUAL.1994.346302;10.1109/VISUAL.1990.146402;10.1109/INFVIS.2003.1249015;10.1109/INFVIS.1998.729559</t>
  </si>
  <si>
    <t>information visualization, exploratory data analysis, dynamic query, feature detection/selection, statistical graphics</t>
  </si>
  <si>
    <t>A. Sigfridsson;T. Ebbers;E. Heiberg;L. Wigstrom</t>
  </si>
  <si>
    <t>Dept. of Medicine &amp; Care, Linkoping Univ., Sweden;Dept. of Medicine &amp; Care, Linkoping Univ., Sweden;Dept. of Medicine &amp; Care, Linkoping Univ., Sweden;Dept. of Medicine &amp; Care, Linkoping Univ., Sweden</t>
  </si>
  <si>
    <t>IN-SPIRE InfoVis 2004 Contest Entry</t>
  </si>
  <si>
    <t>10.1109/INFVIS.2004.37</t>
  </si>
  <si>
    <t>http://dx.doi.org/10.1109/INFVIS.2004.37</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</si>
  <si>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</si>
  <si>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Xiaoqiang Zheng;A. Pang</t>
  </si>
  <si>
    <t>Dept. of Comput. Sci., California Univ., Santa Cruz, CA, USA;Dept. of Comput. Sci., California Univ., Santa Cruz, CA, USA</t>
  </si>
  <si>
    <t>r2</t>
  </si>
  <si>
    <t>Pak Chung Wong;Elizabeth G. Hetzler;Christian Posse;Mark A. Whiting;Susan L. Havre;Nick Cramer;Anuj R. Shah;Mudita Singhal;Alan Turner;James J. Thomas</t>
  </si>
  <si>
    <t>Pacific Northwest National Laboratory|c|;;;;;;;;;</t>
  </si>
  <si>
    <t>Information Visualization Research: Citation and Co-Citation Highlights</t>
  </si>
  <si>
    <t>10.1109/INFVIS.2004.38</t>
  </si>
  <si>
    <t>http://dx.doi.org/10.1109/INFVIS.2004.38</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</si>
  <si>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121/spl times/88/spl times/60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</si>
  <si>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L. Zhukov;A.H. Barr</t>
  </si>
  <si>
    <t>Dept. of Comput. Sci., California Inst. of Technol., Pasadena, CA, USA;Dept. of Comput. Sci., California Inst. of Technol., Pasadena, CA, USA</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</si>
  <si>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</si>
  <si>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R. Pajarola;M. Antonijuan;R. Lario</t>
  </si>
  <si>
    <t>r11</t>
  </si>
  <si>
    <t>Dept. of Inf. &amp; Comput. Sci., California Univ., Irvine, CA, USA</t>
  </si>
  <si>
    <t>Drexel University|c|</t>
  </si>
  <si>
    <t>InfoVisExplorer</t>
  </si>
  <si>
    <t>10.1109/INFVIS.2004.39</t>
  </si>
  <si>
    <t>http://dx.doi.org/10.1109/INFVIS.2004.39</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</si>
  <si>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</si>
  <si>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B. Lloyd;P. Egbert</t>
  </si>
  <si>
    <t>r7</t>
  </si>
  <si>
    <t>Jaroslav Tyman;Grant P. Gruetzmacher;John T. Stasko</t>
  </si>
  <si>
    <t>Georgia Institute of Technology|c|;;</t>
  </si>
  <si>
    <t>An Associative Information Visualizer</t>
  </si>
  <si>
    <t>10.1109/INFVIS.2004.4</t>
  </si>
  <si>
    <t>http://dx.doi.org/10.1109/INFVIS.2004.4</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</si>
  <si>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</si>
  <si>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D.M. Krum;O. Omoteso;W. Ribarsky;T. Starner;L.F. Hodges</t>
  </si>
  <si>
    <t>Coll. of Comput., Georgia Inst. of Technol., Atlanta, GA, USA;Coll. of Comput., Georgia Inst. of Technol., Atlanta, GA, USA;Coll. of Comput., Georgia Inst. of Technol., Atlanta, GA, USA;Coll. of Comput., Georgia Inst. of Technol., Atlanta, GA, USA;Coll. of Comput., Georgia Inst. of Technol., Atlanta, GA, USA</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</si>
  <si>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</si>
  <si>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B.M. Dennis;C.G. Healey</t>
  </si>
  <si>
    <t>r8</t>
  </si>
  <si>
    <t>James Abello;Frank van Ham</t>
  </si>
  <si>
    <t>Drexel University|c|;;</t>
  </si>
  <si>
    <t>Interactive Exploration of the AFS File System</t>
  </si>
  <si>
    <t>10.1109/INFVIS.2004.40</t>
  </si>
  <si>
    <t>http://dx.doi.org/10.1109/INFVIS.2004.40</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</si>
  <si>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</si>
  <si>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Joshua Foster;Kalpathi R. Subramanian;Robert Herring;Gail-Joon Ahn</t>
  </si>
  <si>
    <t>University of North Carolina at Charlotte|c|;;;</t>
  </si>
  <si>
    <t>Interactive Poster: Visual Mining of Business Process Data</t>
  </si>
  <si>
    <t>10.1109/INFVIS.2004.41</t>
  </si>
  <si>
    <t>http://dx.doi.org/10.1109/INFVIS.2004.41</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</si>
  <si>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</si>
  <si>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E.B. Lum;A. Stompel;Kwan-Liu Ma</t>
  </si>
  <si>
    <t>Dept. of Comput. Sci., California Univ., Davis, CA, USA;Dept. of Comput. Sci., California Univ., Davis, CA, USA;Dept. of Comput. Sci., California Univ., Davis, CA, USA</t>
  </si>
  <si>
    <t>Ming C. Hao;Daniel A. Keim;Umeshwar Dayal;J̦rn Schneidewind</t>
  </si>
  <si>
    <t>Hewlett Packard Research Laboratories|c|;;;</t>
  </si>
  <si>
    <t>Interactive Visualization Approaches to the Analysis of System Identification Data</t>
  </si>
  <si>
    <t>10.1109/INFVIS.2004.42</t>
  </si>
  <si>
    <t>http://dx.doi.org/10.1109/INFVIS.2004.42</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</si>
  <si>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</si>
  <si>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S. Jayaraman;C. North</t>
  </si>
  <si>
    <t>Center for Human Comput. Interaction, Virginia Polytech. Inst. &amp; State Univ., Blacksburg, VA, USA;Center for Human Comput. Interaction, Virginia Polytech. Inst. &amp; State Univ., Blacksburg, VA, USA</t>
  </si>
  <si>
    <t>Jimmy Johansson;Patric Ljung;David Lindgren;Matthew D. Cooper</t>
  </si>
  <si>
    <t>Link&amp;#246;ping University|c|;;;</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</si>
  <si>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</si>
  <si>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G. Taubin</t>
  </si>
  <si>
    <t>Interactive Visualization of Small World Graphs</t>
  </si>
  <si>
    <t>10.1109/INFVIS.2004.43</t>
  </si>
  <si>
    <t>http://dx.doi.org/10.1109/INFVIS.2004.43</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</si>
  <si>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</si>
  <si>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G.M. Nielson;A. Huang;S. Sylvester</t>
  </si>
  <si>
    <t>Comput. Sci. &amp; Eng., Arizona State Univ., Tempe, AZ, USA;Comput. Sci. &amp; Eng., Arizona State Univ., Tempe, AZ, USA;Comput. Sci. &amp; Eng., Arizona State Univ., Tempe, AZ, USA</t>
  </si>
  <si>
    <t>Dept. of Math. &amp; Comput. Sci., Technische Universiteit Eindhoven|c|;</t>
  </si>
  <si>
    <t>10.1109/INFVIS.1997.636718;10.1109/INFVIS.1995.528686;10.1109/VISUAL.2000.885677;10.1109/INFVIS.2003.1249011</t>
  </si>
  <si>
    <t>Graph Visualization, Graph Drawing, Clustering, Small World Graphs</t>
  </si>
  <si>
    <t>Keynote Address: From Information Visualization to Sensemaking: Connecting the Mind's Eye to the Mind's Muscle</t>
  </si>
  <si>
    <t>10.1109/INFVIS.2004.44</t>
  </si>
  <si>
    <t>http://dx.doi.org/10.1109/INFVIS.2004.44</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</si>
  <si>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</si>
  <si>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L. Balmelli;C.J. Morris;G. Taubin;F. Bernardini</t>
  </si>
  <si>
    <t>IBM Thomas J. Watson Res. Center, Hawthorne, NY, USA;IBM Thomas J. Watson Res. Center, Hawthorne, NY, USA;IBM Thomas J. Watson Res. Center, Hawthorne, NY, USA;IBM Thomas J. Watson Res. Center, Hawthorne, NY, USA</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</si>
  <si>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</si>
  <si>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xii</t>
  </si>
  <si>
    <t>B. Gregorski;M. Duchaineau;P. Lindstrom;V. Pascucci;K.I. Joy</t>
  </si>
  <si>
    <t>Stuart K. Card</t>
  </si>
  <si>
    <t>Center for Appl. Sci. Comput., Lawrence Livermore Nat. Lab., CA, USA;Center for Appl. Sci. Comput., Lawrence Livermore Nat. Lab., CA, USA;Center for Appl. Sci. Comput., Lawrence Livermore Nat. Lab., CA, USA;Center for Appl. Sci. Comput., Lawrence Livermore Nat. Lab., CA, USA</t>
  </si>
  <si>
    <t>Major Information Visualization Authors, Papers and Topics in the ACM Library</t>
  </si>
  <si>
    <t>10.1109/INFVIS.2004.45</t>
  </si>
  <si>
    <t>http://dx.doi.org/10.1109/INFVIS.2004.45</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</si>
  <si>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</si>
  <si>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Y. Suzuki;I. Fujishiro;L. Chen;H. Nakamura</t>
  </si>
  <si>
    <t>Mitsubishi Electr. Corp., Japan</t>
  </si>
  <si>
    <t>r1</t>
  </si>
  <si>
    <t>Weimao Ke;Katy B̦rner;Lalitha Viswanath</t>
  </si>
  <si>
    <t>Indiana University|c|;;</t>
  </si>
  <si>
    <t>Matrix Zoom: A Visual Interface to Semi-External Graphs</t>
  </si>
  <si>
    <t>10.1109/INFVIS.2004.46</t>
  </si>
  <si>
    <t>http://dx.doi.org/10.1109/INFVIS.2004.46</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</si>
  <si>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</si>
  <si>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Armin Kanitsar;Thomas Theußl;Lukas Mroz;Milos Srámek;Anna Vilanova;Balázs Csébfalvi;Jirí Hladuvka;Dominik Fleischmann;Michael Knapp;Rainer Wegenkittl;Petr Felkel;Stefan Guthe;Werner Purgathofer;M. Eduard Gröller</t>
  </si>
  <si>
    <t>A. Kanitsar;P. Felkel;S. Rottger;S. Guthe;W. Purgathofer;M.E. Groller;T. Theussl;L. Mroz;M. Sramek;A.V. Bartroli;B. Csebfalvi;J. Hladuvka;D. Fleischmann;M. Knapp;R. Wegenkittl</t>
  </si>
  <si>
    <t>Inst. of Comput. Graphics &amp; Algorithms, Vienna Univ. of Technol., Austria;Inst. of Comput. Graphics &amp; Algorithms, Vienna Univ. of Technol., Austria</t>
  </si>
  <si>
    <t>DIMACS, Rutgers Univ., Piscataway, NJ|c|;</t>
  </si>
  <si>
    <t>Graph Visualization, Hierarchy Trees, Clustering, External Memory Algorithms, Cancer Data, Phone Traffic</t>
  </si>
  <si>
    <t>Metric-Based Network Exploration and Multiscale Scatterplot</t>
  </si>
  <si>
    <t>10.1109/INFVIS.2004.47</t>
  </si>
  <si>
    <t>http://dx.doi.org/10.1109/INFVIS.2004.47</t>
  </si>
  <si>
    <t>Data sets from large-scale simulations (up to 501/sup 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</si>
  <si>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G. Erlebacher;D.A. Yuen;F. Dubuffet</t>
  </si>
  <si>
    <t>Sch. of Computational Sci. &amp; Inf. Technol., Florida State Univ., Tallahassee, FL, USA</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</si>
  <si>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</si>
  <si>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Yves Chiricota;Fabien Jourdan;Guy Melan̤on</t>
  </si>
  <si>
    <t>P. Chopra;J. Meyer;A. Fernandez</t>
  </si>
  <si>
    <t>Quebec Univ., Chicoutimi, Que.|c|;;</t>
  </si>
  <si>
    <t>10.1109/VISUAL.1995.485139;10.1109/INFVIS.1999.801858;10.1109/INFVIS.1997.636791;10.1109/INFVIS.2003.1249005;10.1109/INFVIS.2003.1249011;10.1109/INFVIS.2000.885090</t>
  </si>
  <si>
    <t>Graph navigation, exploration, scatterplot, multiscale perceptual organization, clustering, filtering, blurring</t>
  </si>
  <si>
    <t>MonkEllipse: Visualizing the History of Information Visualization</t>
  </si>
  <si>
    <t>10.1109/INFVIS.2004.48</t>
  </si>
  <si>
    <t>http://dx.doi.org/10.1109/INFVIS.2004.48</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</si>
  <si>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</si>
  <si>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R. Hiraga</t>
  </si>
  <si>
    <t>r9</t>
  </si>
  <si>
    <t>Bunkyo Univ., Japan</t>
  </si>
  <si>
    <t>Tzu-Wei Hsu;Lee Inman;Dave McColgin;Kevin Stamper</t>
  </si>
  <si>
    <t>Georgia Institute of Technology|c|;;;</t>
  </si>
  <si>
    <t>Non-Euclidean Spring Embedders</t>
  </si>
  <si>
    <t>10.1109/INFVIS.2004.49</t>
  </si>
  <si>
    <t>http://dx.doi.org/10.1109/INFVIS.2004.49</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</si>
  <si>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</si>
  <si>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Stephen G. Kobourov;Kevin Wampler</t>
  </si>
  <si>
    <t>Soon Tee Teoh;Kwan-Liu Ma;S.F. Wu;Xiaoliang Zhao</t>
  </si>
  <si>
    <t>Dept. of Comput. Sci., Arizona Univ., Tucson, AZ|c|;</t>
  </si>
  <si>
    <t>10.1109/INFVIS.1997.636718;10.1109/INFVIS.2002.1173159</t>
  </si>
  <si>
    <t>force-directed algorithms, spring embedders, non-Euclidean geometry, hyperbolic space, spherical space, graph drawing, information visualization</t>
  </si>
  <si>
    <t>An Evaluation of Microarray Visualization Tools for Biological Insight</t>
  </si>
  <si>
    <t>10.1109/INFVIS.2004.5</t>
  </si>
  <si>
    <t>http://dx.doi.org/10.1109/INFVIS.2004.5</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</si>
  <si>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</si>
  <si>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D.L. Gresh;D.A. Rabenhorst;A. Shabo;S. Slavin</t>
  </si>
  <si>
    <t>IBM Thomas J. Watson Res. Center, NY, USA;IBM Thomas J. Watson Res. Center, NY, USA</t>
  </si>
  <si>
    <t>Sheelagh Carpendale;Anand Agarawala</t>
  </si>
  <si>
    <t>Dept. of Comput. Sci., Virginia Polytech. Inst. &amp; State Univ., Blacksburg, VA|c|;;</t>
  </si>
  <si>
    <t>Data visualization, empirical evaluation, insight, high throughput experiments, microarray data, bioinformatics</t>
  </si>
  <si>
    <t>One-For-All: Visualization of the Information Visualization Symposia</t>
  </si>
  <si>
    <t>10.1109/INFVIS.2004.50</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</si>
  <si>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</si>
  <si>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http://dx.doi.org/10.1109/INFVIS.2004.50</t>
  </si>
  <si>
    <t>R.M. Adams;B. Stancampiano;M. McKenna;D. Small</t>
  </si>
  <si>
    <t>Variagenics Inc., Cambridge, MA, USA;Variagenics Inc., Cambridge, MA, USA</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</si>
  <si>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</si>
  <si>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P. Crossno;D.H. Rogers;C.J. Garasi</t>
  </si>
  <si>
    <t>Sandia Nat. Labs., USA</t>
  </si>
  <si>
    <t>r12</t>
  </si>
  <si>
    <t>Soon Tee Teoh;Kwan-Liu Ma</t>
  </si>
  <si>
    <t>University of California at Davis|c|;</t>
  </si>
  <si>
    <t>Paint Inspired Color Mixing and Compositing for Visualization</t>
  </si>
  <si>
    <t>10.1109/INFVIS.2004.52</t>
  </si>
  <si>
    <t>http://dx.doi.org/10.1109/INFVIS.2004.52</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</si>
  <si>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</si>
  <si>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Sanghun Park;C.L. Bajaj;V. Siddavanahalli</t>
  </si>
  <si>
    <t>Texas Univ., Austin, TX, USA</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</si>
  <si>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</si>
  <si>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Nathan Gossett;Baoquan Chen</t>
  </si>
  <si>
    <t>Minnesota Univ., Minneapolis, MN|c|;</t>
  </si>
  <si>
    <t>D. Bauer;R. Peikert;M. Sato;M. Sick</t>
  </si>
  <si>
    <t>RYB, Color Mixing, Perception</t>
  </si>
  <si>
    <t>PhylloTrees: Harnessing Nature's Phyllotactic Patterns for Tree Layout</t>
  </si>
  <si>
    <t>10.1109/INFVIS.2004.53</t>
  </si>
  <si>
    <t>http://dx.doi.org/10.1109/INFVIS.2004.53</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</si>
  <si>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</si>
  <si>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J. Grant;G. Erlebacher;J. O'Brien</t>
  </si>
  <si>
    <t>Center for Ocean-Atmos. Prediction Studies, Florida State Univ., Tallahassee, FL, USA</t>
  </si>
  <si>
    <t>University of Calgary|c|;</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</si>
  <si>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</si>
  <si>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RankSpiral: Toward Enhancing Search Results Visualizations</t>
  </si>
  <si>
    <t>10.1109/INFVIS.2004.56</t>
  </si>
  <si>
    <t>T. Gerstner;D. Meetschen;S. Crewel;M. Griebel;C. Simmer</t>
  </si>
  <si>
    <t>Dept. for Appl. Math., Bonn Univ., Germany</t>
  </si>
  <si>
    <t>http://dx.doi.org/10.1109/INFVIS.2004.56</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</si>
  <si>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</si>
  <si>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Ralf Kähler;Donna J. Cox;Robert Patterson;Stuart Levy;Hans-Christian Hege;Tom Abel</t>
  </si>
  <si>
    <t>R. Kahler;D. Cox;R. Patterson;S. Levy;H.-C. Hege;T. Abel</t>
  </si>
  <si>
    <t>Zuse Inst., Berlin, Germany</t>
  </si>
  <si>
    <t>Rutgers University|c|</t>
  </si>
  <si>
    <t>RecMap: Rectangular Map Approximations</t>
  </si>
  <si>
    <t>10.1109/INFVIS.2004.57</t>
  </si>
  <si>
    <t>http://dx.doi.org/10.1109/INFVIS.2004.57</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</si>
  <si>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</si>
  <si>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G.W. Shirah;H.G. Mitchell</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</si>
  <si>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</si>
  <si>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Roland Heilmann;Daniel A. Keim;Christian Panse;Mike Sips</t>
  </si>
  <si>
    <t>10.1109/VISUAL.1998.745303;10.1109/VISUAL.1991.175815;10.1109/INFVIS.2002.1173144</t>
  </si>
  <si>
    <t>Geographic Visualization, Information Visualization, Database and Data Mining Visualization</t>
  </si>
  <si>
    <t>Resource Systems Reference Database</t>
  </si>
  <si>
    <t>10.1109/INFVIS.2004.58</t>
  </si>
  <si>
    <t>http://dx.doi.org/10.1109/INFVIS.2004.58</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</si>
  <si>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</si>
  <si>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</si>
  <si>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David Lu;Lauren Dietrich</t>
  </si>
  <si>
    <t>B. Lowekamp;P. Rheingans;T.S. Yoo</t>
  </si>
  <si>
    <t>Futurefarmers|c|;</t>
  </si>
  <si>
    <t>Rethinking Visualization: A High-Level Taxonomy</t>
  </si>
  <si>
    <t>10.1109/INFVIS.2004.59</t>
  </si>
  <si>
    <t>http://dx.doi.org/10.1109/INFVIS.2004.59</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</si>
  <si>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</si>
  <si>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S. Stegmaier;D. Rose;T. Ertl</t>
  </si>
  <si>
    <t>Melanie Tory;Torsten M̦ller</t>
  </si>
  <si>
    <t>Sch. of Comput. Sci., Simon Fraser Univ., Burnaby, BC|c|;</t>
  </si>
  <si>
    <t>10.1109/VISUAL.1990.146375;10.1109/INFVIS.2000.885092;10.1109/INFVIS.1997.636792;10.1109/INFVIS.1999.801856</t>
  </si>
  <si>
    <t>visualization, taxonomy, classification, design model, user model, conceptual model</t>
  </si>
  <si>
    <t>An Experimental Investigation of Magnification Lens Offset and Its Impact on Imagery Analysis</t>
  </si>
  <si>
    <t>10.1109/INFVIS.2004.6</t>
  </si>
  <si>
    <t>http://dx.doi.org/10.1109/INFVIS.2004.6</t>
  </si>
  <si>
    <t>As part of a larger effort exploring alternative display systems, Lawrence Livermore National Laboratory has installed systems in two offices that extend and update the previously described "Office of Real Soon Now" project to improve the value for visualization tasks. These new systems use higher resolution projectors driven by workstations that run Unix-based applications via Linux and support hardware-accelerated 3D graphics, even across the boundary between displays.</t>
  </si>
  <si>
    <t>2003</t>
  </si>
  <si>
    <t>The following topics are dealt with: computer displays; multiscaling; graphs; high dimensionality; occlusion; visualization evaluation; linking and design studies.</t>
  </si>
  <si>
    <t>Conrad Albrecht-Buehler;Benjamin Watson;David A. Shamma</t>
  </si>
  <si>
    <t>The Mitre Corporation|c|;;;;</t>
  </si>
  <si>
    <t>Steerable, Progressive Multidimensional Scaling</t>
  </si>
  <si>
    <t>10.1109/INFVIS.2004.60</t>
  </si>
  <si>
    <t>http://dx.doi.org/10.1109/INFVIS.2004.60</t>
  </si>
  <si>
    <t>C. Ware</t>
  </si>
  <si>
    <t>Data Visualization Research Lab</t>
  </si>
  <si>
    <t>Matt Williams;Tamara Munzner</t>
  </si>
  <si>
    <t>British Columbia Univ., Vancouver, BC|c|;</t>
  </si>
  <si>
    <t>10.1109/INFVIS.2002.1173150;10.1109/INFVIS.2003.1249013;10.1109/INFVIS.2001.963275;10.1109/INFVIS.2002.1173159;10.1109/INFVIS.2002.1173161;10.1109/VISUAL.1996.567787;10.1109/INFVIS.1995.528686;10.1109/INFVIS.2003.1249012</t>
  </si>
  <si>
    <t>dimensionality reduction, multidimensional scaling</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</si>
  <si>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</si>
  <si>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TextPool: Visualizing Live Text Streams</t>
  </si>
  <si>
    <t>10.1109/INFVIS.2004.63</t>
  </si>
  <si>
    <t>B. Shedd</t>
  </si>
  <si>
    <t>Princeton Univ., NJ, USA</t>
  </si>
  <si>
    <t>http://dx.doi.org/10.1109/INFVIS.2004.63</t>
  </si>
  <si>
    <t>W.B. Paley</t>
  </si>
  <si>
    <t>Digital Image Design &amp; Columbia University</t>
  </si>
  <si>
    <t>Northwestern University|c|;;</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</si>
  <si>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</si>
  <si>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The InfoVis Toolkit</t>
  </si>
  <si>
    <t>J.J. van Wijk;W.A.A. Nuij</t>
  </si>
  <si>
    <t>10.1109/INFVIS.2004.64</t>
  </si>
  <si>
    <t>Dept. of Math. &amp; Comput. Sci., Technische Universiteit Eindvohen, Netherlands;Dept. of Math. &amp; Comput. Sci., Technische Universiteit Eindvohen, Netherlands</t>
  </si>
  <si>
    <t>http://dx.doi.org/10.1109/INFVIS.2004.64</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</si>
  <si>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</si>
  <si>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M. Wattenberg;D. Fisher</t>
  </si>
  <si>
    <t>Collaborative User Experience Group, IBM Res., White Plains, NY, USA</t>
  </si>
  <si>
    <t>Jean-Daniel Fekete</t>
  </si>
  <si>
    <t>Univ. de Paris-Sud, Orsay|c|</t>
  </si>
  <si>
    <t>10.1109/INFVIS.2003.1249008;10.1109/INFVIS.2000.885086;10.1109/INFVIS.2002.1173156;10.1109/INFVIS.1995.528688;10.1109/INFVIS.2002.1173148</t>
  </si>
  <si>
    <t>Information Visualization, Toolkit, Graphics, Integration</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</si>
  <si>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</si>
  <si>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A. MacEachren;D. Xiping;F. Hardisty;Diansheng Guo;G. Lengerich</t>
  </si>
  <si>
    <t>Dept. of Geogr., Pennsylvania State Univ., University Park, VA, USA;Dept. of Geogr., Pennsylvania State Univ., University Park, VA, USA;Dept. of Geogr., Pennsylvania State Univ., University Park, VA, USA;Dept. of Geogr., Pennsylvania State Univ., University Park, VA, USA</t>
  </si>
  <si>
    <t>Time-Varying Data Visualization Using Information Flocking Boids</t>
  </si>
  <si>
    <t>10.1109/INFVIS.2004.65</t>
  </si>
  <si>
    <t>http://dx.doi.org/10.1109/INFVIS.2004.65</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</si>
  <si>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</si>
  <si>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D. Tang;C. Stolte;R. Bosche</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</si>
  <si>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</si>
  <si>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Andrew Vande Moere</t>
  </si>
  <si>
    <t>Key Centre of Design Comput. &amp; Cognition, Sydney Univ., NSW|c|</t>
  </si>
  <si>
    <t>N. Wong;S. Carpendale;S. Greenberg</t>
  </si>
  <si>
    <t>time-varying information visualization, artificial life, 3D information visualization, motion, boids</t>
  </si>
  <si>
    <t>Topological Fisheye Views for Visualizing Large Graphs</t>
  </si>
  <si>
    <t>10.1109/INFVIS.2004.66</t>
  </si>
  <si>
    <t>http://dx.doi.org/10.1109/INFVIS.2004.66</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</si>
  <si>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</si>
  <si>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Mississippi State Univ., Starkville, MS, USA</t>
  </si>
  <si>
    <t>Emden R. Gansner;Yehuda Koren;Stephen C. North</t>
  </si>
  <si>
    <t>AT&amp;T Labs., NJ|c|;;</t>
  </si>
  <si>
    <t>10.1109/INFVIS.1997.636718;10.1109/INFVIS.2003.1249011</t>
  </si>
  <si>
    <t>topological fisheye,large graph visualization</t>
  </si>
  <si>
    <t>Tracking User Interactions Within Visualizations</t>
  </si>
  <si>
    <t>10.1109/INFVIS.2004.67</t>
  </si>
  <si>
    <t>http://dx.doi.org/10.1109/INFVIS.2004.67</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</si>
  <si>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</si>
  <si>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Chaomei Chen;S. Morris</t>
  </si>
  <si>
    <t>Coll. of Inf. Sci. &amp; Technol., Drexel Univ., Philadelphia, PA, USA</t>
  </si>
  <si>
    <t>Dennis P. Groth;Benjamin W. Murphy</t>
  </si>
  <si>
    <t>Indiana University|c|;</t>
  </si>
  <si>
    <t>Uncovering Clusters in Crowded Parallel Coordinates Visualizations</t>
  </si>
  <si>
    <t>10.1109/INFVIS.2004.68</t>
  </si>
  <si>
    <t>http://dx.doi.org/10.1109/INFVIS.2004.68</t>
  </si>
  <si>
    <t>Almir Olivette Artero;Maria Cristina Ferreira de Oliveira;Haim Levkowitz</t>
  </si>
  <si>
    <t>Dept. of Comput. Sci., Sao Paulo Univ.|c|;;</t>
  </si>
  <si>
    <t>information visualization, visual clustering, density-based visualization, visual data mining</t>
  </si>
  <si>
    <t>Many networks under study in information visualization are "small world" networks. These networks first appeared in the study of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</si>
  <si>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David Auber;Yves Chiricota;Fabien Jourdan;Guy Melançon</t>
  </si>
  <si>
    <t>D. Auber;Y. Chiricota;F. Jourdan;G. Melancon</t>
  </si>
  <si>
    <t>LaBRI, Bordeaux, France</t>
  </si>
  <si>
    <t>Understanding Eight Years of InfoVis Conferences Using PaperLens</t>
  </si>
  <si>
    <t>10.1109/INFVIS.2004.69</t>
  </si>
  <si>
    <t>http://dx.doi.org/10.1109/INFVIS.2004.69</t>
  </si>
  <si>
    <t>r3</t>
  </si>
  <si>
    <t>Bongshin Lee;Mary Czerwinski;George G. Robertson;Benjamin B. Bederson</t>
  </si>
  <si>
    <t>University of Maryland and Microsoft Research|c|;;;</t>
  </si>
  <si>
    <t>ARNA: Interactive Comparison and Alignment of RNA Secondary Structure</t>
  </si>
  <si>
    <t>10.1109/INFVIS.2004.7</t>
  </si>
  <si>
    <t>http://dx.doi.org/10.1109/INFVIS.2004.7</t>
  </si>
  <si>
    <t>Adel Ahmed;Tim Dwyer;Colin Murray;Le Song;Ying Xin Wu</t>
  </si>
  <si>
    <t>University of Bordeaux 1|c|;</t>
  </si>
  <si>
    <t>User Experiments with Tree Visualization Systems</t>
  </si>
  <si>
    <t>10.1109/INFVIS.2004.70</t>
  </si>
  <si>
    <t>http://dx.doi.org/10.1109/INFVIS.2004.70</t>
  </si>
  <si>
    <t>California Univ., Irvine, CA|c|</t>
  </si>
  <si>
    <t>10.1109/VISUAL.1991.175815;10.1109/INFVIS.2002.1173148;10.1109/INFVIS.2001.963285;10.1109/INFVIS.1999.801860;10.1109/INFVIS.2001.963289;10.1109/INFVIS.2001.963290;10.1109/INFVIS.2002.1173153</t>
  </si>
  <si>
    <t>information visualization, experimental comparison, task performance, accuracy, user satisfaction, user interaction, design recommendations</t>
  </si>
  <si>
    <t>Value and Relation Display for Interactive Exploration of High Dimensional Datasets</t>
  </si>
  <si>
    <t>10.1109/INFVIS.2004.71</t>
  </si>
  <si>
    <t>http://dx.doi.org/10.1109/INFVIS.2004.71</t>
  </si>
  <si>
    <t>An algorithm is presented for the visualization of multidimensional abstract data, building on a hybrid model introduced at Info 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to from O(N/sub 1/2 /N) to O(N/sub 5/4/).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</si>
  <si>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A. Morrison;M. Chalmers</t>
  </si>
  <si>
    <t>Dept. of Comput. Sci., Glasgow Univ., UK;Dept. of Comput. Sci., Glasgow Univ., UK</t>
  </si>
  <si>
    <t>Jing Yang 0001;Anilkumar Patro;Shiping Huang;Nishant K. Mehta;Matthew O. Ward;Elke A. Rundensteiner</t>
  </si>
  <si>
    <t>Dept. of Comput. Sci., Worcester Polytech. Inst., MA|c|;;;;;</t>
  </si>
  <si>
    <t>10.1109/INFVIS.1998.729559;10.1109/INFVIS.2003.1249015;10.1109/VISUAL.1994.346302;10.1109/INFVIS.2003.1249014;10.1109/INFVIS.1995.528686;10.1109/VISUAL.1995.485140</t>
  </si>
  <si>
    <t>Multi-dimensional visualization, pixel-oriented, multi-dimensional scaling, high dimensional datasets</t>
  </si>
  <si>
    <t>VIM: A Framework for Intelligence Analysis</t>
  </si>
  <si>
    <t>10.1109/INFVIS.2004.72</t>
  </si>
  <si>
    <t>http://dx.doi.org/10.1109/INFVIS.2004.72</t>
  </si>
  <si>
    <t>Alan Keahey;Kenneth C. Cox</t>
  </si>
  <si>
    <t>Visintuit LLC|c|;</t>
  </si>
  <si>
    <t>Visual Browsing of Remote and Distributed Data</t>
  </si>
  <si>
    <t>10.1109/INFVIS.2004.73</t>
  </si>
  <si>
    <t>http://dx.doi.org/10.1109/INFVIS.2004.73</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</si>
  <si>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</si>
  <si>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G. Ross;M. Chalmers</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</si>
  <si>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</si>
  <si>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Pak Chung Wong;H. Foote;D. Adams;W. Cowley;J. Thomas</t>
  </si>
  <si>
    <t>PNNL, Richland, WA, USA;PNNL, Richland, WA, USA;PNNL, Richland, WA, USA;PNNL, Richland, WA, USA;PNNL, Richland, WA, USA</t>
  </si>
  <si>
    <t>Parthasarathy Krishnaswamy;Stephen G. Eick;Robert L. Grossman</t>
  </si>
  <si>
    <t>University of Illinois at Chicago|c|;;</t>
  </si>
  <si>
    <t>Visualizing and Interacting with Multi-Tree Hierarchical Data</t>
  </si>
  <si>
    <t>10.1109/INFVIS.2004.74</t>
  </si>
  <si>
    <t>http://dx.doi.org/10.1109/INFVIS.2004.74</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</si>
  <si>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</si>
  <si>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Jing Yang;Wei Peng;M.O. Ward;E.A. Rundensteiner</t>
  </si>
  <si>
    <t>Dept. of comuter Sci., Worcester Polytech. Inst., MA, USA;Dept. of comuter Sci., Worcester Polytech. Inst., MA, USA;Dept. of comuter Sci., Worcester Polytech. Inst., MA, USA;Dept. of comuter Sci., Worcester Polytech. Inst., MA, USA</t>
  </si>
  <si>
    <t>Mahnas Jean Mohammadi-Aragh;T. J. Jankun-Kelly</t>
  </si>
  <si>
    <t>Mississippi State University|c|;</t>
  </si>
  <si>
    <t>Visualizing E-mail with a Semantically Zoomable Interface</t>
  </si>
  <si>
    <t>10.1109/INFVIS.2004.75</t>
  </si>
  <si>
    <t>http://dx.doi.org/10.1109/INFVIS.2004.75</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</si>
  <si>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</si>
  <si>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G.E. Rosario;E.A. Rundensteiner;D.C. Brown;M.O. Ward</t>
  </si>
  <si>
    <t>Dept. of Comput. Sci., Worcester Polytech. Inst., USA;Dept. of Comput. Sci., Worcester Polytech. Inst., USA;Dept. of Comput. Sci., Worcester Polytech. Inst., USA;Dept. of Comput. Sci., Worcester Polytech. Inst., USA</t>
  </si>
  <si>
    <t>Ellen Diep;Robert J. K. Jacob</t>
  </si>
  <si>
    <t>Tufts University|c|;</t>
  </si>
  <si>
    <t>Visualizing High Dimensional Datasets Using Partiview</t>
  </si>
  <si>
    <t>10.1109/INFVIS.2004.76</t>
  </si>
  <si>
    <t>http://dx.doi.org/10.1109/INFVIS.2004.76</t>
  </si>
  <si>
    <t>Dinoj Surendran;Stuart Levy</t>
  </si>
  <si>
    <t>University of Chicago|c|;</t>
  </si>
  <si>
    <t>WilmaScope Graph Visualisation</t>
  </si>
  <si>
    <t>10.1109/INFVIS.2004.77</t>
  </si>
  <si>
    <t>http://dx.doi.org/10.1109/INFVIS.2004.77</t>
  </si>
  <si>
    <t>We present a novel family of data-driven linear transformations, aimed at visualizing multivariate data in a low-dimensional space in a way that optimally preserves the structure of the data. The well-studied PCA and Fisher's LDA (linear discriminant analysis)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infrastructure. All this makes our technique very flexible and powerful, and lets us cope with kinds of data that other techniques fail to describe properly.</t>
  </si>
  <si>
    <t>Y. Koren;L. Carmel</t>
  </si>
  <si>
    <t>Dept. of Comput. Sci. &amp; Appl. Math., Weizmann Inst. of Sci., Rehovot, Israel;Dept. of Comput. Sci. &amp; Appl. Math., Weizmann Inst. of Sci., Rehovot, Israel</t>
  </si>
  <si>
    <t>r4</t>
  </si>
  <si>
    <t>University of Sydney,|c|;;;;</t>
  </si>
  <si>
    <t>Artifacts of the Presence Era: Using Information Visualization to Create an Evocative Souvenir</t>
  </si>
  <si>
    <t>10.1109/INFVIS.2004.8</t>
  </si>
  <si>
    <t>http://dx.doi.org/10.1109/INFVIS.2004.8</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</si>
  <si>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</si>
  <si>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M. Trutschl;G. Grinstein;U. Cvek</t>
  </si>
  <si>
    <t>Fernanda B. Vi̩gas;Ethan Perry;Ethan Howe;Judith S. Donath</t>
  </si>
  <si>
    <t>LSU Comput. Sci., LSU Health Sci. Center, Shreveport, LA, USA</t>
  </si>
  <si>
    <t>Media Lab., MIT, Cambridge, MA|c|;;;</t>
  </si>
  <si>
    <t>visualization, history, public space</t>
  </si>
  <si>
    <t>Building an Ontology of Visualization</t>
  </si>
  <si>
    <t>10.1109/VISUAL.2004.10</t>
  </si>
  <si>
    <t>http://dx.doi.org/10.1109/VISUAL.2004.10</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</si>
  <si>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</si>
  <si>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M. Derthick;M.G. Christel;A.G. Hauptmann;H.D. Wactlar</t>
  </si>
  <si>
    <t>Human-Comput. Interaction Inst., Carnegie Mellon Univ., Pittsburgh, PA, USA;Human-Comput. Interaction Inst., Carnegie Mellon Univ., Pittsburgh, PA, USA</t>
  </si>
  <si>
    <t>Chandrajit L. Bajaj;Peter Djeu;Vinay Siddavanahalli;Anthony Thane</t>
  </si>
  <si>
    <t>University of Leeds|c|;;</t>
  </si>
  <si>
    <t>Surface reconstruction of noisy and defective data sets</t>
  </si>
  <si>
    <t>10.1109/VISUAL.2004.101</t>
  </si>
  <si>
    <t>http://dx.doi.org/10.1109/VISUAL.2004.101</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</si>
  <si>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</si>
  <si>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Qing Li;C. North</t>
  </si>
  <si>
    <t>Dept. of Comput. Sci., Virginia Polytech. Inst &amp; State Univ., Blacksburg, VA, USA;Dept. of Comput. Sci., Virginia Polytech. Inst &amp; State Univ., Blacksburg, VA, USA</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</si>
  <si>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</si>
  <si>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K.L. Summers;T.E. Goldsmith;S. Kubica;T.P. Caudell</t>
  </si>
  <si>
    <t>Center for High Performance Comput., New Mexico Univ., Albuquerque, NM, USA</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</si>
  <si>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</si>
  <si>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Sunghee Kim;H. Hagh-Shenas;V. Interrante</t>
  </si>
  <si>
    <t>Minnesota Univ., Minneapolis, MN, USA;Minnesota Univ., Minneapolis, MN, USA;Minnesota Univ., Minneapolis, MN, USA</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</si>
  <si>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</si>
  <si>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P. Craig;J. Kennedy</t>
  </si>
  <si>
    <t>Sch. of Comput., Napier Univ., Edinburgh, UK;Sch. of Comput., Napier Univ., Edinburgh, UK</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</si>
  <si>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</si>
  <si>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SAS Inst. Inc., Cary, NC, USA</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</si>
  <si>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</si>
  <si>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N. Elmqvist;P. Tsigas</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</si>
  <si>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</si>
  <si>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D. Brodbeck;L. Girardin</t>
  </si>
  <si>
    <t>Macrofocus GmbH, Zurich, Switzerland;Macrofocus GmbH, Zurich, Switzerland</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</si>
  <si>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</si>
  <si>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C. Csallner;M. Handte;O. Lehmann;J. Stasko</t>
  </si>
  <si>
    <t>This paper describes Thread Arcs, a novel interactive visualization technique designed to help people use threads found in email. Thread Arcs combine the chronology of messages with the branching tree structure of a conversational thread in a mixed-model visualization by Venolia and Neustaedter (2003) that is stable and compact. By quickly scanning and interacting with Thread Arcs, people can see various attributes of conversations and find relevant messages in them easily. We tested this technique against other visualization techniques with users' own email in a functional prototype email client. Thread Arcs proved an excellent match for the types of threads found in users' email for the qualities users wanted in small-scale visualizations.</t>
  </si>
  <si>
    <t>B. Kerr</t>
  </si>
  <si>
    <t>We present BARD (biological arc diagrams), a visualization tool for biological sequence analysis. The development of BARD began with the application of Wattenberg's arc diagrams (Wattenberg, 2002) to results from sequence analysis programs, such as BLAST (Atschul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</si>
  <si>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R. Spell;R. Brady;F. Dierich</t>
  </si>
  <si>
    <t>Dept. of Biomed. Eng., Duke Univ., USA</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</si>
  <si>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</si>
  <si>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F. van Ham</t>
  </si>
  <si>
    <t>Dept. of Math. &amp; Comput. Sci., Technische Universiteit Eindhoven, Netherlands</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</si>
  <si>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</si>
  <si>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T. Skog;S. Ljungblad;L.E. Holmquist</t>
  </si>
  <si>
    <t>Future Applications Lab, Viktoria Inst., Goteborg, Sweden;Future Applications Lab, Viktoria Inst., Goteborg, Sweden;Future Applications Lab, Viktoria Inst., Goteborg, Sweden</t>
  </si>
  <si>
    <t>This paper reports on the development of a visualization system for architectural lighting designers. It starts by motivating the problem as both complex in its physics and social organization. Three iterations of prototypes for displaying time and space varying phenomena are discussed. Fieldwork is presented to identify where in practice they will be most effective. A set of user studies, one of which is analyzed in fine-grained detail, show how building designers incorporate visualization on hypothetical design problems. This has positive implications for both energy efficiency and lighting quality in buildings.</t>
  </si>
  <si>
    <t>D.C. Glaser;R. Tan;J. Canny;E. Yi-Luen Do</t>
  </si>
  <si>
    <t>Interdisciplinary Doctoral Program, California Univ., Berkeley, CA, USA</t>
  </si>
  <si>
    <t>The following topics are dealt with: medical visualization; isosurfaces; implicit surfaces; flow visualization; terrains and view-dependent methods; segmentation and feature analysis; haptics and physical simulation; hardware-assisted volume rendering; volume rendering acceleration; shading and shape perception; volume reconstruction; volumetric techniques; sample-based rendering; mesh simplification; transfer functions; information visualization; scientific and large data visualization; visualization in medicine and biology; and visualization software.</t>
  </si>
  <si>
    <t>J. Jaech;S. North;M. Peery;W. Schroeder;J. Thomas</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</si>
  <si>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</si>
  <si>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L. Saroul;S. Gerlach;R.D. Herch</t>
  </si>
  <si>
    <t>Ecole Polytechnique Federale de Lausanne, Switzerland;Ecole Polytechnique Federale de Lausanne, Switzerland;Ecole Polytechnique Federale de Lausanne, Switzerland</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</si>
  <si>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</si>
  <si>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R. Albert;N. Syroid;Y. Zhang;J. Agutter;F. Drews;D. Strayer;G. Hutchinson;D. Westenskow</t>
  </si>
  <si>
    <t>Appl. Med. Visualizations, West Valley, UT, USA;Appl. Med. Visualizations, West Valley, UT, USA</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</si>
  <si>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</si>
  <si>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Armin Kanitsar;Rainer Wegenkittl;Dominik Fleischmann;M. Eduard Gröller</t>
  </si>
  <si>
    <t>A. Kanitsar;R. Wegenkittl;D. Fleischmann;M.E. Groller</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</si>
  <si>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</si>
  <si>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D.C. Banks;S. Linton</t>
  </si>
  <si>
    <t>Florida State Univ., Gainesville, FL, USA</t>
  </si>
  <si>
    <t>MC*: star functions for marching cubes</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</si>
  <si>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</si>
  <si>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G.M. Nielson</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</si>
  <si>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</si>
  <si>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A. Szymczak;J. Vanderhyde</t>
  </si>
  <si>
    <t>Georgia Tech, USA;Georgia Tech, USA</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</si>
  <si>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</si>
  <si>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A.E. Lefohn;J.M. Kniss;C.D. Hansen;R.T. Whitaker</t>
  </si>
  <si>
    <t>Sch. of Comput. &amp; Imaging Inst., Utah Univ., Salt Lake, UT, USA;Sch. of Comput. &amp; Imaging Inst., Utah Univ., Salt Lake, UT, USA;Sch. of Comput. &amp; Imaging Inst., Utah Univ., Salt Lake, UT, USA;Sch. of Comput. &amp; Imaging Inst., Utah Univ., Salt Lake, UT, USA</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</si>
  <si>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</si>
  <si>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C. Sigg;R. Peikert;M. Gross</t>
  </si>
  <si>
    <t>Dept. of Comput. Sci., ETH Zurich, Switzerland;Dept. of Comput. Sci., ETH Zurich, Switzerland;Dept. of Comput. Sci., ETH Zurich, Switzerland</t>
  </si>
  <si>
    <t>Piecewise C¹ continuous surface reconstruction of noisy point clouds via local implicit quadric regression</t>
  </si>
  <si>
    <t>This paper addresses the problem of surface reconstruction of highly noisy point clouds. The surfaces to be reconstructed are assumed to be 2-manifolds of piecewise C/sup 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</si>
  <si>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Hui Xie;Jianning Wang;Jing Hua;Hong Qin;A. Kaufman</t>
  </si>
  <si>
    <t>Dept. of Comput. Sci., Stony Brook univrsity, NY, USA;Dept. of Comput. Sci., Stony Brook univrsity, NY, USA;Dept. of Comput. Sci., Stony Brook univrsity, NY, USA;Dept. of Comput. Sci., Stony Brook univrsity, NY, USA;Dept. of Comput. Sci., Stony Brook univrsity, NY, USA</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</si>
  <si>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</si>
  <si>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G. Varadhan;S. Krishnan;Y.J. Kim;D. Manocha</t>
  </si>
  <si>
    <t>Hui Xie 0001;Kevin T. McDonnell;Hong Qin</t>
  </si>
  <si>
    <t>Computer Graphics, Surface Reconstruction, Surface Representation, MPU implicits, Modified Shepard's Method</t>
  </si>
  <si>
    <t>TetSplat: real-time rendering and volume clipping of large unstructured tetrahedral meshes</t>
  </si>
  <si>
    <t>10.1109/VISUAL.2004.102</t>
  </si>
  <si>
    <t>http://dx.doi.org/10.1109/VISUAL.2004.102</t>
  </si>
  <si>
    <t>Ken Museth;Santiago V. Lombeyda</t>
  </si>
  <si>
    <t>Linkoping Inst. of Technol., Sweden|c|;</t>
  </si>
  <si>
    <t>10.1109/VISUAL.2000.885703;10.1109/VISUAL.1998.745329;10.1109/VISUAL.2000.885680;10.1109/VISUAL.1997.663869</t>
  </si>
  <si>
    <t>Large volumetric data, tetrahedral meshes, real-time visualization, point-based rendering, constructive solid geometry</t>
  </si>
  <si>
    <t>TexMol: interactive visual exploration of large flexible multi-component molecular complexes</t>
  </si>
  <si>
    <t>10.1109/VISUAL.2004.103</t>
  </si>
  <si>
    <t>http://dx.doi.org/10.1109/VISUAL.2004.103</t>
  </si>
  <si>
    <t>Center for Computational Visualization, Texas Univ., Austin, TX, USA|c|;;;</t>
  </si>
  <si>
    <t>10.1109/VISUAL.1993.398882;10.1109/VISUAL.1998.745320</t>
  </si>
  <si>
    <t>molecular visualization, image-based rendering, texture-based rendering, imposter rendering, volume rendering, programmable graphics hardware, level-of-detail, hierarchy, multiresolution, synchronous view, computer graphics</t>
  </si>
  <si>
    <t>The VesselGlyph: focus &amp; context visualization in CT-angiography</t>
  </si>
  <si>
    <t>10.1109/VISUAL.2004.104</t>
  </si>
  <si>
    <t>http://dx.doi.org/10.1109/VISUAL.2004.104</t>
  </si>
  <si>
    <t>Mat̼s Straka;Michal Cervenansk�_;Alexandra La Cruz;Arnold K̦chl;Milos Sr��mek;M. Eduard Gr̦ller;Dominik Fleischmann</t>
  </si>
  <si>
    <t>Comm. for Sci. Visualization, Austrian Acad. of Sci., Austria|c|;;;;;;</t>
  </si>
  <si>
    <t>10.1109/VISUAL.2001.964538;10.1109/VISUAL.2002.1183754;10.1109/VISUAL.2001.964555</t>
  </si>
  <si>
    <t>focus &amp; context technique, direct volume rendering, curved planar reformation, vessel visualization</t>
  </si>
  <si>
    <t>Topological lines in 3D tensor fields</t>
  </si>
  <si>
    <t>10.1109/VISUAL.2004.105</t>
  </si>
  <si>
    <t>http://dx.doi.org/10.1109/VISUAL.2004.105</t>
  </si>
  <si>
    <t>10.1109/VISUAL.1998.745316;10.1109/VISUAL.1999.809894;10.1109/VISUAL.1993.398849;10.1109/VISUAL.2003.1250379;10.1109/VISUAL.2002.1183798;10.1109/VISUAL.1994.346326;10.1109/VISUAL.1999.809905;10.1109/VISUAL.1998.745294;10.1109/VISUAL.1999.809886</t>
  </si>
  <si>
    <t>hyperstreamlines, real symmetric tensors, degenerate tensors, tensor topology, topological lines</t>
  </si>
  <si>
    <t>Topology visualization of the optical power flow through a novel C-shaped nano-aperture</t>
  </si>
  <si>
    <t>10.1109/VISUAL.2004.106</t>
  </si>
  <si>
    <t>http://dx.doi.org/10.1109/VISUAL.2004.106</t>
  </si>
  <si>
    <t>Liying Sun;Rajesh Batra;Xiaolei Shi;Lambertus Hesselink</t>
  </si>
  <si>
    <t>Dept. of Phys., Stanford Univ., CA, USA|c|;;;</t>
  </si>
  <si>
    <t>energy flow topology, Finite-Difference-Time-Domain (fdtd), C-aperture, vector field visualization</t>
  </si>
  <si>
    <t>Tracking of vector field singularities in unstructured 3D time-dependent datasets</t>
  </si>
  <si>
    <t>10.1109/VISUAL.2004.107</t>
  </si>
  <si>
    <t>http://dx.doi.org/10.1109/VISUAL.2004.107</t>
  </si>
  <si>
    <t>Christoph Garth;Xavier Tricoche;Gerik Scheuermann</t>
  </si>
  <si>
    <t>10.1109/VISUAL.2003.1250376;10.1109/VISUAL.2002.1183786;10.1109/VISUAL.1991.175773;10.1109/VISUAL.1997.663910</t>
  </si>
  <si>
    <t>flow visualization, topology tracking, time-dependent datasets, vortex breakdown</t>
  </si>
  <si>
    <t>Vector Wavelet Thresholding for Vector Field Denoising</t>
  </si>
  <si>
    <t>10.1109/VISUAL.2004.108</t>
  </si>
  <si>
    <t>http://dx.doi.org/10.1109/VISUAL.2004.108</t>
  </si>
  <si>
    <t>Michel A. Westenberg;Thomas Ertl</t>
  </si>
  <si>
    <t>University of Stuttgart|c|;</t>
  </si>
  <si>
    <t>VisBiz: A Simplified Visualization of Business Operation</t>
  </si>
  <si>
    <t>10.1109/VISUAL.2004.109</t>
  </si>
  <si>
    <t>http://dx.doi.org/10.1109/VISUAL.2004.109</t>
  </si>
  <si>
    <t>Ming C. Hao;Daniel A. Keim;Umeshwar Dayal</t>
  </si>
  <si>
    <t>Hewlett Packard Research Laboratories|c|;;</t>
  </si>
  <si>
    <t>Capillary Histology Imagery Visualization and Exploration</t>
  </si>
  <si>
    <t>10.1109/VISUAL.2004.11</t>
  </si>
  <si>
    <t>http://dx.doi.org/10.1109/VISUAL.2004.11</t>
  </si>
  <si>
    <t>Derek Bradley</t>
  </si>
  <si>
    <t>University of Wisconsin-Madison|c|;;;;;;;</t>
  </si>
  <si>
    <t>Visibility culling for time-varying volume rendering using temporal occlusion coherence</t>
  </si>
  <si>
    <t>10.1109/VISUAL.2004.110</t>
  </si>
  <si>
    <t>http://dx.doi.org/10.1109/VISUAL.2004.110</t>
  </si>
  <si>
    <t>Jinzhu Gao;Han-Wei Shen;Jian Huang 0007;James Arthur Kohl</t>
  </si>
  <si>
    <t>Oak Ridge State Lab., Ohio State Univ., Columbus, OH, USA|c|;;;</t>
  </si>
  <si>
    <t>10.1109/VISUAL.1994.346321;10.1109/VISUAL.1998.745713;10.1109/VISUAL.2001.964520;10.1109/VISUAL.1999.809910;10.1109/VISUAL.1999.809879;10.1109/VISUAL.1993.398869;10.1109/VISUAL.2001.964531;10.1109/VISUAL.2002.1183757;10.1109/VISUAL.2003.1250374;10.1109/VISUAL.1998.745300;10.1109/VISUAL.2000.885698;10.1109/VISUAL.2003.1250402</t>
  </si>
  <si>
    <t>visibility culling, time-varying data visualization, volume rendering, plenoptic opacity function, large data visualization</t>
  </si>
  <si>
    <t>Visual Inspection Methods for Quality Control in Automotive Engineering</t>
  </si>
  <si>
    <t>10.1109/VISUAL.2004.111</t>
  </si>
  <si>
    <t>http://dx.doi.org/10.1109/VISUAL.2004.111</t>
  </si>
  <si>
    <t>Hans Hagen;Andreas Disch;Jochen Ehret;Ralf Klein;Sascha K̦hn;Dirk Zeckzer;Michael M�_nchhofen</t>
  </si>
  <si>
    <t>DFKI GmbH|c|;;;;;;</t>
  </si>
  <si>
    <t>Visualization in grid computing environments</t>
  </si>
  <si>
    <t>10.1109/VISUAL.2004.112</t>
  </si>
  <si>
    <t>http://dx.doi.org/10.1109/VISUAL.2004.112</t>
  </si>
  <si>
    <t>Ken Brodlie;David A. Duce;Julian R. Gallop;Musbah Shahop Sagar;J. P. R. B. Walton;Jason D. Wood</t>
  </si>
  <si>
    <t>Sch. of Comput., Leeds Univ., UK|c|;;;;;</t>
  </si>
  <si>
    <t>grid computing, visualization systems, XML, computational steering, visualization reference models</t>
  </si>
  <si>
    <t>Visualization of intricate flow structures for vortex breakdown analysis</t>
  </si>
  <si>
    <t>10.1109/VISUAL.2004.113</t>
  </si>
  <si>
    <t>http://dx.doi.org/10.1109/VISUAL.2004.113</t>
  </si>
  <si>
    <t>Xavier Tricoche;Christoph Garth;Gordon L. Kindlmann;Eduard Deines;Gerik Scheuermann;Markus R�_tten;Charles D. Hansen</t>
  </si>
  <si>
    <t>Utah Univ., Salt Lake City, UT, USA|c|;;;;;;</t>
  </si>
  <si>
    <t>10.1109/VISUAL.2001.964519;10.1109/VISUAL.1998.745296;10.1109/VISUAL.1991.175773;10.1109/VISUAL.1997.663910;10.1109/VISUAL.1999.809896;10.1109/VISUAL.2003.1250414;10.1109/VISUAL.2003.1250376;10.1109/VISUAL.2001.964489;10.1109/VISUAL.1993.398875;10.1109/VISUAL.1991.175789;10.1109/VISUAL.1994.346314</t>
  </si>
  <si>
    <t>flow visualization, vortex analysis, parametric topology, cutting planes, volume rendering</t>
  </si>
  <si>
    <t>Visualization of Nanoparticle Formation in Turbulent Flows</t>
  </si>
  <si>
    <t>10.1109/VISUAL.2004.114</t>
  </si>
  <si>
    <t>http://dx.doi.org/10.1109/VISUAL.2004.114</t>
  </si>
  <si>
    <t>P. Coleman Saunders;Sean C. Garrick;Victoria Interrante</t>
  </si>
  <si>
    <t>University of Minnesota|c|;;</t>
  </si>
  <si>
    <t>Visualization of salt-induced stress perturbations</t>
  </si>
  <si>
    <t>10.1109/VISUAL.2004.115</t>
  </si>
  <si>
    <t>http://dx.doi.org/10.1109/VISUAL.2004.115</t>
  </si>
  <si>
    <t>Patricia Crossno;David H. Rogers;Rebecca M. Brannon;David Coblentz</t>
  </si>
  <si>
    <t>Sandia Nat. Labs., Albuquerque, NM, USA|c|;;;</t>
  </si>
  <si>
    <t>10.1109/VISUAL.1997.663929;10.1109/VISUAL.1992.235193;10.1109/VISUAL.1998.745294;10.1109/VISUAL.1993.398849;10.1109/VISUAL.1995.485141;10.1109/VISUAL.1999.809894;10.1109/VISUAL.1999.809905;10.1109/VISUAL.2002.1183819;10.1109/VISUAL.2002.1183797;10.1109/VISUAL.1997.663857;10.1109/VISUAL.1994.346326</t>
  </si>
  <si>
    <t>tensor field visualization, Mohr's circles, visual debugging, finite element codes and simulations</t>
  </si>
  <si>
    <t>Visualization of the Interaction of Multiple Sclerosis Lesions with Adjacent White Matter Fibers Using Streamtubes and Streamsurfaces</t>
  </si>
  <si>
    <t>10.1109/VISUAL.2004.116</t>
  </si>
  <si>
    <t>http://dx.doi.org/10.1109/VISUAL.2004.116</t>
  </si>
  <si>
    <t>Song Zhang 0004;David H. Laidlaw;Jack Simon;Mark Brown;David Miller</t>
  </si>
  <si>
    <t>Brown University|c|;;;;</t>
  </si>
  <si>
    <t>Visualization of Topological Defects in Nematic Liquid Crystals Using Streamtubes, Streamsurfaces and Ellipsoids</t>
  </si>
  <si>
    <t>10.1109/VISUAL.2004.117</t>
  </si>
  <si>
    <t>http://dx.doi.org/10.1109/VISUAL.2004.117</t>
  </si>
  <si>
    <t>Vadim A. Slavin;David H. Laidlaw;Robert Pelcovits;Song Zhang 0004;George Loriot;Andrew Callan-Jones</t>
  </si>
  <si>
    <t>Brown University|c|;;;;;</t>
  </si>
  <si>
    <t>Visualization of Vortices in Simulated Airflow around Bat Wings During Flight</t>
  </si>
  <si>
    <t>10.1109/VISUAL.2004.118</t>
  </si>
  <si>
    <t>http://dx.doi.org/10.1109/VISUAL.2004.118</t>
  </si>
  <si>
    <t>Eduardo Hueso;Igor Pivkin;Sharon Swartz;David H. Laidlaw;George E. Karniadakis;Kenneth Breuer</t>
  </si>
  <si>
    <t>Visualizing Botanical Trees over Four Seasons</t>
  </si>
  <si>
    <t>10.1109/VISUAL.2004.119</t>
  </si>
  <si>
    <t>http://dx.doi.org/10.1109/VISUAL.2004.119</t>
  </si>
  <si>
    <t>Carleton University|c|</t>
  </si>
  <si>
    <t>Self-illustrating phenomena</t>
  </si>
  <si>
    <t>10.1109/VISUAL.2004.12</t>
  </si>
  <si>
    <t>http://dx.doi.org/10.1109/VISUAL.2004.12</t>
  </si>
  <si>
    <t>xix</t>
  </si>
  <si>
    <t>Comput. Sci. &amp; Electr. Eng., Stanford Univ., CA, USA|c|</t>
  </si>
  <si>
    <t>Visualizing competitive behaviors in multi-user virtual environments</t>
  </si>
  <si>
    <t>10.1109/VISUAL.2004.120</t>
  </si>
  <si>
    <t>http://dx.doi.org/10.1109/VISUAL.2004.120</t>
  </si>
  <si>
    <t>Nate Hoobler;Greg Humphreys;Maneesh Agrawala</t>
  </si>
  <si>
    <t>Virginia Univ., Charlottesville, VA, USA|c|;;</t>
  </si>
  <si>
    <t>Visualization, Games, Spectating</t>
  </si>
  <si>
    <t>Visualizing cortical waves and timing from data</t>
  </si>
  <si>
    <t>10.1109/VISUAL.2004.121</t>
  </si>
  <si>
    <t>http://dx.doi.org/10.1109/VISUAL.2004.121</t>
  </si>
  <si>
    <t>Kay A. Robbins;Mark A. Robinson;David M. Senseman</t>
  </si>
  <si>
    <t>Texas Univ., San Antonio, TX, USA|c|;;</t>
  </si>
  <si>
    <t>10.1109/VISUAL.2001.964493;10.1109/VISUAL.1990.146402;10.1109/VISUAL.2000.885686</t>
  </si>
  <si>
    <t>waves, neural networks, PCA, KL decomposition, wave subspaces, flow visualization</t>
  </si>
  <si>
    <t>Visualizing gyrokinetic simulations</t>
  </si>
  <si>
    <t>10.1109/VISUAL.2004.122</t>
  </si>
  <si>
    <t>http://dx.doi.org/10.1109/VISUAL.2004.122</t>
  </si>
  <si>
    <t>David Crawford;Kwan-Liu Ma;Min-Yu Huang;Scott Klasky;St̩phane Ethier</t>
  </si>
  <si>
    <t>Dept. of Comput. Sci., California Univ., Davis, CA, USA|c|;;;;</t>
  </si>
  <si>
    <t>10.1109/VISUAL.2001.964520;10.1109/VISUAL.2003.1250402;10.1109/VISUAL.2003.1250385</t>
  </si>
  <si>
    <t>graphics hardware, non-rectilinear mesh, plasma physics, scientific visualization, texture methods, volume visualization</t>
  </si>
  <si>
    <t>Visualizing the Energetics of the Dissociation of a Metastable Molecule</t>
  </si>
  <si>
    <t>10.1109/VISUAL.2004.123</t>
  </si>
  <si>
    <t>http://dx.doi.org/10.1109/VISUAL.2004.123</t>
  </si>
  <si>
    <t>David Guzman;Reuben Reyes;Karla Vega;Kelly P. Gaither;Robert Wyatt</t>
  </si>
  <si>
    <t>University of Texas at Austin|c|;;;;</t>
  </si>
  <si>
    <t>Visualizing the Evolution of Horned Lizards Using 3D Morphing Techniques</t>
  </si>
  <si>
    <t>10.1109/VISUAL.2004.124</t>
  </si>
  <si>
    <t>http://dx.doi.org/10.1109/VISUAL.2004.124</t>
  </si>
  <si>
    <t>Reuben Reyes;Wendy L. Hodges;Kelly P. Gaither</t>
  </si>
  <si>
    <t>University of Texas at Austin|c|;;</t>
  </si>
  <si>
    <t>Visualizing Turbulent Flow</t>
  </si>
  <si>
    <t>10.1109/VISUAL.2004.125</t>
  </si>
  <si>
    <t>http://dx.doi.org/10.1109/VISUAL.2004.125</t>
  </si>
  <si>
    <t>Gregory P. Johnson;Kelly P. Gaither;Victor Calo</t>
  </si>
  <si>
    <t>Vol-a-Tile - A Tool for Interactive Exploration of Large Volumetric Data on Scalable Tiled Displays</t>
  </si>
  <si>
    <t>10.1109/VISUAL.2004.126</t>
  </si>
  <si>
    <t>http://dx.doi.org/10.1109/VISUAL.2004.126</t>
  </si>
  <si>
    <t>Nicholas Schwarz;Shalini Venkataraman;Luc Renambot;Naveen K. Krishnaprasad;Venkatram Vishwanath;Jason Leigh;Andrew E. Johnson;Graham Kent;Atul Nayak</t>
  </si>
  <si>
    <t>University of Illinois at Chicago|c|;;;;;;;;</t>
  </si>
  <si>
    <t>Volume refinement fairing isosurfaces</t>
  </si>
  <si>
    <t>10.1109/VISUAL.2004.127</t>
  </si>
  <si>
    <t>http://dx.doi.org/10.1109/VISUAL.2004.127</t>
  </si>
  <si>
    <t>TU Kaiserslautern, Germany|c|</t>
  </si>
  <si>
    <t>10.1109/VISUAL.2003.1250398;10.1109/VISUAL.2003.1250414;10.1109/VISUAL.2003.1250399;10.1109/VISUAL.2000.885721</t>
  </si>
  <si>
    <t>adaptive mesh refinement, isosurfaces, sub-division, variational modeling, volume fairing</t>
  </si>
  <si>
    <t>Vorticity based flow analysis and visualization for Pelton turbine design optimization</t>
  </si>
  <si>
    <t>10.1109/VISUAL.2004.128</t>
  </si>
  <si>
    <t>http://dx.doi.org/10.1109/VISUAL.2004.128</t>
  </si>
  <si>
    <t>Filip Sadlo;Ronald Peikert;Etienne Parkinson</t>
  </si>
  <si>
    <t>Comput. Sci. Dept., Eidgenossische Tech. Hochschule, Zurich, Switzerland|c|;;</t>
  </si>
  <si>
    <t>10.1109/VISUAL.2003.1250372;10.1109/VISUAL.1996.567807;10.1109/VISUAL.1998.745317;10.1109/VISUAL.1992.235211;10.1109/VISUAL.2000.885690;10.1109/VISUAL.1998.745295;10.1109/VISUAL.1994.346327;10.1109/VISUAL.2001.964506;10.1109/VISUAL.1999.809896;10.1109/VISUAL.1999.809907;10.1109/VISUAL.2002.1183789</t>
  </si>
  <si>
    <t>flow visualization, feature extraction, line placement</t>
  </si>
  <si>
    <t>Centroidal Voronoi tessellation based algorithms for vector fields visualization and segmentation</t>
  </si>
  <si>
    <t>10.1109/VISUAL.2004.13</t>
  </si>
  <si>
    <t>http://dx.doi.org/10.1109/VISUAL.2004.13</t>
  </si>
  <si>
    <t>Qiang Du;Xiaoqiang Wang</t>
  </si>
  <si>
    <t>Dept. of Math., Pennsylvania State Univ., University Park, PA, USA|c|;</t>
  </si>
  <si>
    <t>10.1109/VISUAL.1999.809865;10.1109/VISUAL.1995.480817</t>
  </si>
  <si>
    <t>Flow Visualization, Vector Field, Simplification, Segmentation, Clustering, Centroidal Voronoi tessellation</t>
  </si>
  <si>
    <t>Code Checking and Visualization of an Architecture Design</t>
  </si>
  <si>
    <t>10.1109/VISUAL.2004.14</t>
  </si>
  <si>
    <t>http://dx.doi.org/10.1109/VISUAL.2004.14</t>
  </si>
  <si>
    <t>Rong Xu;Wawan Solihin;Zhiyong Huang</t>
  </si>
  <si>
    <t>National University of Singapore and novaCITYNETS Pte. Ltd.|c|;;</t>
  </si>
  <si>
    <t>Compatible triangulations of spatial decompositions</t>
  </si>
  <si>
    <t>10.1109/VISUAL.2004.15</t>
  </si>
  <si>
    <t>http://dx.doi.org/10.1109/VISUAL.2004.15</t>
  </si>
  <si>
    <t>William J. Schroeder;Berk Geveci;Mathieu Malaterre</t>
  </si>
  <si>
    <t>10.1109/VISUAL.1996.568127;10.1109/VISUAL.1997.663869;10.1109/VISUAL.1997.663886</t>
  </si>
  <si>
    <t>triangulation, tetrahedrization, adaptive grid, clipping, contouring, template, Delaunay, parallel</t>
  </si>
  <si>
    <t>Compression, Segmentation, and Modeling of Large-Scale Filamentary Volumetric Data</t>
  </si>
  <si>
    <t>10.1109/VISUAL.2004.16</t>
  </si>
  <si>
    <t>http://dx.doi.org/10.1109/VISUAL.2004.16</t>
  </si>
  <si>
    <t>Bruce H. McCormick;Purna Doddapaneni;David Mayerich;Zeki Melek;John Keyser</t>
  </si>
  <si>
    <t>Texas A&amp;M University|c|;;;;</t>
  </si>
  <si>
    <t>Constrained inverse volume rendering for planetary nebulae</t>
  </si>
  <si>
    <t>10.1109/VISUAL.2004.18</t>
  </si>
  <si>
    <t>http://dx.doi.org/10.1109/VISUAL.2004.18</t>
  </si>
  <si>
    <t>Marcus A. Magnor;Gordon L. Kindlmann;Charles D. Hansen</t>
  </si>
  <si>
    <t>volumetric modeling, inverse rendering, volume rendering, volume reconstruction, planetary nebulae</t>
  </si>
  <si>
    <t>Context-Adaptive Mobile Visualization and Information Management</t>
  </si>
  <si>
    <t>10.1109/VISUAL.2004.19</t>
  </si>
  <si>
    <t>http://dx.doi.org/10.1109/VISUAL.2004.19</t>
  </si>
  <si>
    <t>Jochen Ehret;Achim Ebert;Lars Schuchardt;Heidrun Steinmetz;Hans Hagen</t>
  </si>
  <si>
    <t>German Research Center for Artificial Intelligence|c|;;;;</t>
  </si>
  <si>
    <t>2D Maps for Visual Analysis and Retrieval in Large Multi-Feature 3D Model Databases</t>
  </si>
  <si>
    <t>10.1109/VISUAL.2004.2</t>
  </si>
  <si>
    <t>http://dx.doi.org/10.1109/VISUAL.2004.2</t>
  </si>
  <si>
    <t>Gleb Bahmutov;Voicu Popescu;Elisha Sacks</t>
  </si>
  <si>
    <t>University of Konstanz|c|;;;</t>
  </si>
  <si>
    <t>DaMI - Data Management for Multimedial Information Systems</t>
  </si>
  <si>
    <t>10.1109/VISUAL.2004.21</t>
  </si>
  <si>
    <t>http://dx.doi.org/10.1109/VISUAL.2004.21</t>
  </si>
  <si>
    <t>Hans Hagen;Gerhard Steinebach;Michael M�_nchhofen;Inga Scheler;Maja Ruby;Michael Wadl̩</t>
  </si>
  <si>
    <t>University of Kaiserslautern|c|;;;;;</t>
  </si>
  <si>
    <t>Depth Enhanced Panoramas</t>
  </si>
  <si>
    <t>10.1109/VISUAL.2004.22</t>
  </si>
  <si>
    <t>http://dx.doi.org/10.1109/VISUAL.2004.22</t>
  </si>
  <si>
    <t>Purdue University|c|;;</t>
  </si>
  <si>
    <t>Detection and visualization of anomalous structures in molecular dynamics simulation data</t>
  </si>
  <si>
    <t>10.1109/VISUAL.2004.23</t>
  </si>
  <si>
    <t>http://dx.doi.org/10.1109/VISUAL.2004.23</t>
  </si>
  <si>
    <t>Sameep Mehta;Kaden Hazzard;Raghu Machiraju;Srinivasan Parthasarathy 0001;John Wilkins</t>
  </si>
  <si>
    <t>Dept. of Comput. Sci. &amp; Eng., Ohio State Univ., Columbus, OH, USA|c|;;;;</t>
  </si>
  <si>
    <t>10.1109/VISUAL.1995.480793;10.1109/VISUAL.2002.1183753</t>
  </si>
  <si>
    <t>Feature Extraction, Scientific Data Visualization, Data Mining, Iso-surface, Transfer Functions, Molecular Dynamics</t>
  </si>
  <si>
    <t>Dispersion simulation and visualization for urban security</t>
  </si>
  <si>
    <t>10.1109/VISUAL.2004.24</t>
  </si>
  <si>
    <t>http://dx.doi.org/10.1109/VISUAL.2004.24</t>
  </si>
  <si>
    <t>Feng Qiu;Ye Zhao;Zhe Fan;Xiaoming Wei;Haik Lorenz;Jianning Wang;Suzanne Yoakum-Stover;Arie E. Kaufman;Klaus Mueller</t>
  </si>
  <si>
    <t>Dept. of Comput. Sci., Stony Brook Univ., NY, USA|c|;;;;;;;;</t>
  </si>
  <si>
    <t>10.1109/VISUAL.2003.1250382;10.1109/VISUAL.2002.1183764;10.1109/VISUAL.2002.1183779;10.1109/VISUAL.1993.398877</t>
  </si>
  <si>
    <t>Lattice Boltzmann Model, GPU, Visualization</t>
  </si>
  <si>
    <t>Display of vector fields using a reaction-diffusion model</t>
  </si>
  <si>
    <t>10.1109/VISUAL.2004.25</t>
  </si>
  <si>
    <t>http://dx.doi.org/10.1109/VISUAL.2004.25</t>
  </si>
  <si>
    <t>Allen R. Sanderson;Christopher R. Johnson 0001;Robert Michael Kirby</t>
  </si>
  <si>
    <t>Sci. Comput. &amp; Imaging Inst., Utah Univ., Salt Lake City, UT, USA|c|;;</t>
  </si>
  <si>
    <t>10.1109/VISUAL.1999.809865;10.1109/VISUAL.1995.480817;10.1109/VISUAL.1995.485141;10.1109/VISUAL.2000.885688;10.1109/VISUAL.1996.567784;10.1109/VISUAL.1992.235211;10.1109/VISUAL.1992.235225;10.1109/TVCG.2009.126;10.1109/VISUAL.1996.567777;10.1109/VISUAL.2003.1250357;10.1109/VISUAL.1999.809904;10.1109/VISUAL.1999.809905;10.1109/VISUAL.1991.175789;10.1109/VISUAL.1997.663897</t>
  </si>
  <si>
    <t>Vector Field Visualization, Flow Visualization, Reaction-Diffusion, Vector Fields</t>
  </si>
  <si>
    <t>DTI Fiber Clustering in the Whole Brain</t>
  </si>
  <si>
    <t>10.1109/VISUAL.2004.26</t>
  </si>
  <si>
    <t>http://dx.doi.org/10.1109/VISUAL.2004.26</t>
  </si>
  <si>
    <t>Song Zhang 0004;David H. Laidlaw</t>
  </si>
  <si>
    <t>Brown University|c|;</t>
  </si>
  <si>
    <t>Dual contouring with topology-preserving simplification using enhanced cell representation</t>
  </si>
  <si>
    <t>10.1109/VISUAL.2004.27</t>
  </si>
  <si>
    <t>http://dx.doi.org/10.1109/VISUAL.2004.27</t>
  </si>
  <si>
    <t>Nan Zhang 0011;Wei Hong;Arie E. Kaufman</t>
  </si>
  <si>
    <t>10.1109/VISUAL.1994.346308;10.1109/VISUAL.2001.964503;10.1109/VISUAL.2003.1250356;10.1109/VISUAL.2003.1250360;10.1109/VISUAL.2002.1183810;10.1109/VISUAL.1996.568127;10.1109/VISUAL.2000.885703</t>
  </si>
  <si>
    <t>isosurface simplification, isosurface extraction, topology preservation, vertex clustering</t>
  </si>
  <si>
    <t>Dual marching cubes</t>
  </si>
  <si>
    <t>10.1109/VISUAL.2004.28</t>
  </si>
  <si>
    <t>http://dx.doi.org/10.1109/VISUAL.2004.28</t>
  </si>
  <si>
    <t>Arizona Univ., Tucson, AZ, USA|c|</t>
  </si>
  <si>
    <t>10.1109/VISUAL.2002.1183807;10.1109/VISUAL.1991.175782</t>
  </si>
  <si>
    <t>Marching Cubes, isosurfaces, triangular mesh, dual graph, segmented data, smoothing</t>
  </si>
  <si>
    <t>Efficient point-based isosurface exploration using the span-triangle</t>
  </si>
  <si>
    <t>10.1109/VISUAL.2004.29</t>
  </si>
  <si>
    <t>http://dx.doi.org/10.1109/VISUAL.2004.29</t>
  </si>
  <si>
    <t>Bartosz von Rymon-Lipinski;Nils Hanssen;Thomas Jansen 0005;Lutz Ritter;Erwin Keeve</t>
  </si>
  <si>
    <t>10.1109/VISUAL.1991.175780;10.1109/VISUAL.2001.964489;10.1109/VISUAL.1996.568121;10.1109/VISUAL.1995.480806</t>
  </si>
  <si>
    <t>Point-Based Visualization, Isosurfaces, Hardware Acceleration, Large Data Set Visualization, Visualization in Medicine</t>
  </si>
  <si>
    <t>A graphics hardware-based vortex detection and visualization system</t>
  </si>
  <si>
    <t>10.1109/VISUAL.2004.3</t>
  </si>
  <si>
    <t>http://dx.doi.org/10.1109/VISUAL.2004.3</t>
  </si>
  <si>
    <t>David Akers;Anthony J. Sherbondy;Rachel Mackenzie;Robert F. Dougherty;Brian A. Wandell</t>
  </si>
  <si>
    <t>Inst. of Visualization &amp; Interactive Syst., Stuttgart Univ., Germany|c|;</t>
  </si>
  <si>
    <t>10.1109/VISUAL.2003.1250361;10.1109/VISUAL.1998.745288;10.1109/VISUAL.2003.1250384;10.1109/VISUAL.1999.809934;10.1109/VISUAL.1998.745296</t>
  </si>
  <si>
    <t>Features in Volume Data Sets, Flow Visualization, Hardware Acceleration, 3D Vector Field Visualization</t>
  </si>
  <si>
    <t>Exploration of the brain's white matter pathways with dynamic queries</t>
  </si>
  <si>
    <t>10.1109/VISUAL.2004.30</t>
  </si>
  <si>
    <t>http://dx.doi.org/10.1109/VISUAL.2004.30</t>
  </si>
  <si>
    <t>Stanford Univ., CA, USA|c|;;;;</t>
  </si>
  <si>
    <t>10.1109/VISUAL.1999.809894;10.1109/VISUAL.1999.809886;10.1109/VISUAL.2002.1183799</t>
  </si>
  <si>
    <t>Visualization, DTI, MR Tractography</t>
  </si>
  <si>
    <t>Fast Rendering of Foveated Volume in the Wavelet Domain</t>
  </si>
  <si>
    <t>10.1109/VISUAL.2004.31</t>
  </si>
  <si>
    <t>http://dx.doi.org/10.1109/VISUAL.2004.31</t>
  </si>
  <si>
    <t>Hang Yu;Ee-Chien Chang;Zhiyong Huang;Zhijian Zheng</t>
  </si>
  <si>
    <t>National University of Singapore|c|;;;</t>
  </si>
  <si>
    <t>Flow field clustering via algebraic multigrid</t>
  </si>
  <si>
    <t>10.1109/VISUAL.2004.32</t>
  </si>
  <si>
    <t>http://dx.doi.org/10.1109/VISUAL.2004.32</t>
  </si>
  <si>
    <t>Michael Griebel;Tobias Preu��er;Martin Rumpf;Marc Alexander Schweitzer;Alexandru Telea</t>
  </si>
  <si>
    <t>Inst. for Numerical Simulation, Bonn Univ., Germany|c|;;;;</t>
  </si>
  <si>
    <t>10.1109/VISUAL.1999.809865;10.1109/VISUAL.2003.1250372;10.1109/VISUAL.2003.1250377;10.1109/VISUAL.2003.1250363;10.1109/VISUAL.1999.809863</t>
  </si>
  <si>
    <t>algebraic multigrid, multiscale visualization, flow visualization</t>
  </si>
  <si>
    <t>Force-Feedback-Enhanced Navigation for Interactive Visualization of Coronary Vessels</t>
  </si>
  <si>
    <t>10.1109/VISUAL.2004.33</t>
  </si>
  <si>
    <t>http://dx.doi.org/10.1109/VISUAL.2004.33</t>
  </si>
  <si>
    <t>Thomas Wischgoll;Elke Moritz;J̦rg Meyer</t>
  </si>
  <si>
    <t>University of California at Irvine|c|;;</t>
  </si>
  <si>
    <t>Generating realistic images from hydrothermal plume data</t>
  </si>
  <si>
    <t>10.1109/VISUAL.2004.34</t>
  </si>
  <si>
    <t>http://dx.doi.org/10.1109/VISUAL.2004.34</t>
  </si>
  <si>
    <t>Kristina Santilli;Karen G. Bemis;Deborah Silver;Jamshed Dastur;Peter A. Rona</t>
  </si>
  <si>
    <t>Rutgers Univ., NJ, USA|c|;;;;</t>
  </si>
  <si>
    <t>10.1109/VISUAL.2000.885737;10.1109/VISUAL.2003.1250383;10.1109/VISUAL.1998.745347</t>
  </si>
  <si>
    <t>Applications of volume graphics and volume visualization, Earth / Space / and Environmental Sciences Visualization, PC-based volume graphics, Volume Rendering</t>
  </si>
  <si>
    <t>Generating sub-resolution detail in images and volumes using constrained texture synthesis</t>
  </si>
  <si>
    <t>10.1109/VISUAL.2004.35</t>
  </si>
  <si>
    <t>http://dx.doi.org/10.1109/VISUAL.2004.35</t>
  </si>
  <si>
    <t>Lujin Wang;Klaus Mueller</t>
  </si>
  <si>
    <t>texture synthesis, semantic zoom</t>
  </si>
  <si>
    <t>Guaranteed quality triangulation of molecular skin surfaces</t>
  </si>
  <si>
    <t>10.1109/VISUAL.2004.36</t>
  </si>
  <si>
    <t>http://dx.doi.org/10.1109/VISUAL.2004.36</t>
  </si>
  <si>
    <t>Ho-Lun Cheng;Xinwei Shi</t>
  </si>
  <si>
    <t>Sch. of Comput., Nat. Univ. of Singapore, Singapore|c|;</t>
  </si>
  <si>
    <t>Smooth surfaces, meshing, guaranteed quality triangulation, homeomorphism, Morse-Smale complex</t>
  </si>
  <si>
    <t>Haptic display of interaction between textured models</t>
  </si>
  <si>
    <t>10.1109/VISUAL.2004.37</t>
  </si>
  <si>
    <t>http://dx.doi.org/10.1109/VISUAL.2004.37</t>
  </si>
  <si>
    <t>Miguel A. Otaduy;Nitin Jain;Avneesh Sud;Ming C. Lin</t>
  </si>
  <si>
    <t>haptics, textures, graphics hardware</t>
  </si>
  <si>
    <t>Hardware-accelerated adaptive EWA volume splatting</t>
  </si>
  <si>
    <t>10.1109/VISUAL.2004.38</t>
  </si>
  <si>
    <t>http://dx.doi.org/10.1109/VISUAL.2004.38</t>
  </si>
  <si>
    <t>Wei Chen 0001;Liu Ren;Matthias Zwicker;Hanspeter Pfister</t>
  </si>
  <si>
    <t>Zhejiang Univ., Hangzhou, China|c|;;;</t>
  </si>
  <si>
    <t>10.1109/VISUAL.1993.398877;10.1109/VISUAL.1997.663882;10.1109/VISUAL.2003.1250403;10.1109/VISUAL.1998.745309;10.1109/VISUAL.1996.567608;10.1109/VISUAL.1999.809909;10.1109/VISUAL.1995.480797;10.1109/VISUAL.2001.964490;10.1109/VISUAL.2000.885698</t>
  </si>
  <si>
    <t>Direct volume rendering, volume splatting, EWA filter, hardware acceleration</t>
  </si>
  <si>
    <t>Hierarchy Based 3D Visualization of Large Software Structures</t>
  </si>
  <si>
    <t>10.1109/VISUAL.2004.39</t>
  </si>
  <si>
    <t>http://dx.doi.org/10.1109/VISUAL.2004.39</t>
  </si>
  <si>
    <t>Michael Balzer;Oliver Deussen</t>
  </si>
  <si>
    <t>University of Konstanz|c|;</t>
  </si>
  <si>
    <t>Adaptive 4-8 texture hierarchies</t>
  </si>
  <si>
    <t>10.1109/VISUAL.2004.4</t>
  </si>
  <si>
    <t>http://dx.doi.org/10.1109/VISUAL.2004.4</t>
  </si>
  <si>
    <t>Lok M. Hwa;Mark A. Duchaineau;Kenneth I. Joy</t>
  </si>
  <si>
    <t>California Univ., Davis, CA, USA|c|;;</t>
  </si>
  <si>
    <t>10.1109/VISUAL.2001.964533;10.1109/VISUAL.1997.663860;10.1109/VISUAL.2002.1183783;10.1109/VISUAL.1998.745282;10.1109/VISUAL.1998.745280;10.1109/VISUAL.2000.885699;10.1109/VISUAL.1995.480813;10.1109/VISUAL.2003.1250366</t>
  </si>
  <si>
    <t>Large Data Set Visualization, Level-of-Detail Techniques, View-Dependent Visualization, Adaptive Textures, Out-of-Core Algorithms</t>
  </si>
  <si>
    <t>ImageSurfer: a tool for visualizing correlations between two volume scalar fields</t>
  </si>
  <si>
    <t>10.1109/VISUAL.2004.46</t>
  </si>
  <si>
    <t>http://dx.doi.org/10.1109/VISUAL.2004.46</t>
  </si>
  <si>
    <t>Dennis Jen;Peter Parente;Jonathan Robbins;Chris Weigle;Russell M. Taylor II;Alain Burette;Richard Weinberg</t>
  </si>
  <si>
    <t>Dept. of Comput. Sci., North Carolina Univ., Chapel Hill, NC, USA|c|;;;;;;</t>
  </si>
  <si>
    <t>10.1109/VISUAL.2001.964519;10.1109/VISUAL.1996.568133;10.1109/VISUAL.2000.885735</t>
  </si>
  <si>
    <t>scientific visualization, volume visualization, data exploration, biology, confocal microscopy, immunofluorescence</t>
  </si>
  <si>
    <t>Immersive design of DMA molecules with a tangible interface</t>
  </si>
  <si>
    <t>10.1109/VISUAL.2004.47</t>
  </si>
  <si>
    <t>http://dx.doi.org/10.1109/VISUAL.2004.47</t>
  </si>
  <si>
    <t>Steven Schkolne;Hiroshi Ishii 0001;Peter Schr̦der</t>
  </si>
  <si>
    <t>tangible user interface, molecular visualization, props, molecular modeling, spatial construction, virtual reality, augmented reality, responsive workbench, DNA design</t>
  </si>
  <si>
    <t>Importance-driven volume rendering</t>
  </si>
  <si>
    <t>10.1109/VISUAL.2004.48</t>
  </si>
  <si>
    <t>http://dx.doi.org/10.1109/VISUAL.2004.48</t>
  </si>
  <si>
    <t>10.1109/VISUAL.2003.1250406;10.1109/INFVIS.1996.559215;10.1109/VISUAL.1996.568110;10.1109/VISUAL.2000.885694;10.1109/VISUAL.2001.964519;10.1109/VISUAL.2000.885697;10.1109/VISUAL.2000.885696</t>
  </si>
  <si>
    <t>view-dependent visualization, volume rendering, focus+context techniques, level-of-detail techniques, non-photorealistic techniques</t>
  </si>
  <si>
    <t>Anisotropic volume rendering for extremely dense, thin line data</t>
  </si>
  <si>
    <t>10.1109/VISUAL.2004.5</t>
  </si>
  <si>
    <t>http://dx.doi.org/10.1109/VISUAL.2004.5</t>
  </si>
  <si>
    <t>David Ellsworth;Bryan Green;Patrick J. Moran</t>
  </si>
  <si>
    <t>Stanford Linear Accelerator Center, Menlo Park, CA, USA|c|;</t>
  </si>
  <si>
    <t>anisotropic lighting, line data, scientific visualization, vector field, volume rendering</t>
  </si>
  <si>
    <t>Interactive design of multi-perspective images for visualizing urban landscapes</t>
  </si>
  <si>
    <t>10.1109/VISUAL.2004.50</t>
  </si>
  <si>
    <t>http://dx.doi.org/10.1109/VISUAL.2004.50</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</si>
  <si>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</si>
  <si>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D. Weiskopf;G. Erlebacher;T. Ertl</t>
  </si>
  <si>
    <t>Inst. of Visualization &amp; Interactive Syst., Stuttgart Univ., Germany</t>
  </si>
  <si>
    <t>Augusto Rom��n;Gaurav Garg;Marc Levoy</t>
  </si>
  <si>
    <t>Comput. Graphics Lab., Stanford Univ., CA, USA|c|;;</t>
  </si>
  <si>
    <t>cross-slits image, multi-perspective image, city block</t>
  </si>
  <si>
    <t>Interactive exploration of large remote micro-CT scans</t>
  </si>
  <si>
    <t>10.1109/VISUAL.2004.51</t>
  </si>
  <si>
    <t>http://dx.doi.org/10.1109/VISUAL.2004.51</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</si>
  <si>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</si>
  <si>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Steffen Prohaska;Andrei Hutanu;Ralf K�_hler;Hans-Christian Hege</t>
  </si>
  <si>
    <t>T. Urness;V. Interrante;I. Marusic;E. Longmire;B. Ganapathisubramani</t>
  </si>
  <si>
    <t>Sci. Visualization Dept., Zuse Inst. Berlin, Germany|c|;;;</t>
  </si>
  <si>
    <t>Dept. of Comput. Sci. &amp; Eng., Minnesota Univ., USA;Dept. of Comput. Sci. &amp; Eng., Minnesota Univ., USA</t>
  </si>
  <si>
    <t>10.1109/VISUAL.2000.885729;10.1109/VISUAL.2002.1183758;10.1109/VISUAL.2002.1183757;10.1109/VISUAL.1999.809891;10.1109/VISUAL.2002.1183764;10.1109/VISUAL.1999.809908;10.1109/VISUAL.1997.663888</t>
  </si>
  <si>
    <t>large data, out-of-core-methods, remote visualization, multiresolution visualization</t>
  </si>
  <si>
    <t>Interactive point-based isosurface extraction</t>
  </si>
  <si>
    <t>10.1109/VISUAL.2004.52</t>
  </si>
  <si>
    <t>http://dx.doi.org/10.1109/VISUAL.2004.52</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</si>
  <si>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</si>
  <si>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Yarden Livnat;Xavier Tricoche</t>
  </si>
  <si>
    <t>10.1109/VISUAL.1998.745713;10.1109/VISUAL.1998.745299;10.1109/VISUAL.1997.663895;10.1109/VISUAL.1995.480806;10.1109/VISUAL.1996.568123;10.1109/VISUAL.2002.1183810;10.1109/VISUAL.1991.175780;10.1109/VISUAL.1998.745300;10.1109/VISUAL.1994.346334</t>
  </si>
  <si>
    <t>Isosurface, point-based, view-dependent, large datasets, interactive</t>
  </si>
  <si>
    <t>Interactive Poster: Grid-Enabled Collaborative Scientific Visualization Environment</t>
  </si>
  <si>
    <t>10.1109/VISUAL.2004.53</t>
  </si>
  <si>
    <t>http://dx.doi.org/10.1109/VISUAL.2004.53</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</si>
  <si>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</si>
  <si>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R.S. Laramee;B. Jobard;H. Hauser</t>
  </si>
  <si>
    <t>VRVis Res. Center, Graz, Austria</t>
  </si>
  <si>
    <t>Eric Christopher Wyatt;Patrick O'Leary</t>
  </si>
  <si>
    <t>Northern Arizona University|c|;</t>
  </si>
  <si>
    <t>Interactive Poster: Illustrating Different Convection Velocities of Turbulent Flow</t>
  </si>
  <si>
    <t>10.1109/VISUAL.2004.54</t>
  </si>
  <si>
    <t>http://dx.doi.org/10.1109/VISUAL.2004.54</t>
  </si>
  <si>
    <t>Timothy Urness;Victoria Interrante;Ellen Longmire;Ivan Marusic;Bharathram Ganapathisubramani</t>
  </si>
  <si>
    <t>University of Minnesota|c|;;;;</t>
  </si>
  <si>
    <t>Interactive terascale particle visualization</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</si>
  <si>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</si>
  <si>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10.1109/VISUAL.2004.55</t>
  </si>
  <si>
    <t>http://dx.doi.org/10.1109/VISUAL.2004.55</t>
  </si>
  <si>
    <t>P.-T. Bremer;H. Edelsbrunner;B. Hamann;V. Pascucci</t>
  </si>
  <si>
    <t>10.1109/VISUAL.2003.1250375;10.1109/VISUAL.1998.745299;10.1109/VISUAL.1997.663888;10.1109/VISUAL.2003.1250420;10.1109/VISUAL.1994.346311;10.1109/VISUAL.1998.745343;10.1109/VISUAL.1995.480821</t>
  </si>
  <si>
    <t>visualization, particle tracing, large data, out-of-core, PC hardware, clusters, computational fluid dynamics</t>
  </si>
  <si>
    <t>Interactive thickness visualization of articular cartilage</t>
  </si>
  <si>
    <t>10.1109/VISUAL.2004.56</t>
  </si>
  <si>
    <t>http://dx.doi.org/10.1109/VISUAL.2004.56</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</si>
  <si>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</si>
  <si>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P. Cignoni;F. Ganovelli;E. Gobbetti;F. Marton;F. Ponchio;R. Scopigno</t>
  </si>
  <si>
    <t>ISTI - CNR, Pisa, Italy;ISTI - CNR, Pisa, Italy</t>
  </si>
  <si>
    <t>Matej Mlejnek;Anna Vilanova;M. Eduard Gr̦ller</t>
  </si>
  <si>
    <t>ICGA, Vienna Univ. of Technol., Austria|c|;;</t>
  </si>
  <si>
    <t>10.1109/VISUAL.2002.1183795;10.1109/VISUAL.2002.1183754;10.1109/VISUAL.2001.964540</t>
  </si>
  <si>
    <t>visualization in medicine, applications of visualization</t>
  </si>
  <si>
    <t>Introducing Topological Attributes for Objective-Based Visualization</t>
  </si>
  <si>
    <t>10.1109/VISUAL.2004.57</t>
  </si>
  <si>
    <t>http://dx.doi.org/10.1109/VISUAL.2004.57</t>
  </si>
  <si>
    <t>In this paper we present a generic method for incremental mesh adaptation based on hierarchy of semi-regular meshes. Our method supports any refinement rule mapping vertices onto vertices such as 1-to-4 split or /spl radic/3-subdivision.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</si>
  <si>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V. Volkov;Ling Li</t>
  </si>
  <si>
    <t>Moscow Inst. of Phys. &amp; Technol., Russia</t>
  </si>
  <si>
    <t>Yuriko Takeshima;Shigeo Takahashi;Issei Fujishiro;Gregory M. Nielson</t>
  </si>
  <si>
    <t>JAERI|c|;;;</t>
  </si>
  <si>
    <t>Intuitive and interactive modification of large finite element models</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</si>
  <si>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</si>
  <si>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10.1109/VISUAL.2004.58</t>
  </si>
  <si>
    <t>http://dx.doi.org/10.1109/VISUAL.2004.58</t>
  </si>
  <si>
    <t>Sung-Eui Yoon;B. Salomon;D. Manocha</t>
  </si>
  <si>
    <t>North Carolina Univ., Chapel Hill, NC, USA;North Carolina Univ., Chapel Hill, NC, USA;North Carolina Univ., Chapel Hill, NC, USA</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</si>
  <si>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</si>
  <si>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A. Sherbondy;M. Houston;S. Napel</t>
  </si>
  <si>
    <t>Dirc Rose;Katrin Bidmon;Thomas Ertl</t>
  </si>
  <si>
    <t>finite element modeling, interaction, manipulators, autostereoscopy</t>
  </si>
  <si>
    <t>Investigating swirl and tumble flow with a comparison of visualization techniques</t>
  </si>
  <si>
    <t>10.1109/VISUAL.2004.59</t>
  </si>
  <si>
    <t>http://dx.doi.org/10.1109/VISUAL.2004.59</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</si>
  <si>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</si>
  <si>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Dirk Bartz;Dirk Mayer;Jan Fischer;Sebastian Ley;Ángel del Río;Steffi Thust;Claus Peter Heussel;Hans-Ulrich Kauczor;Wolfgang Straßer</t>
  </si>
  <si>
    <t>D. Bartz;D. Mayer;J. Fischer;S. Ley;A. del Rio;S. Thust;C.P. Heussel;H.-U. Kauczor;W. Strasser</t>
  </si>
  <si>
    <t>Visual Comput. for Medicine, Eberhard-Karls-Univ. Tubingen, Germany</t>
  </si>
  <si>
    <t>Robert S. Laramee;Daniel Weiskopf;J�_rgen Schneider;Helwig Hauser</t>
  </si>
  <si>
    <t>VRV, Vienna, Austria|c|;;;</t>
  </si>
  <si>
    <t>10.1109/VISUAL.1999.809918;10.1109/VISUAL.1999.809895;10.1109/VISUAL.2000.885690;10.1109/VISUAL.2003.1250363;10.1109/VISUAL.2003.1250377;10.1109/VISUAL.2003.1250361;10.1109/VISUAL.2003.1250364</t>
  </si>
  <si>
    <t>Flow visualization, computational fluid dynamics (CFD), swirl flow, tumble flow, visualization systems, engine simulation, in-cylinder flow</t>
  </si>
  <si>
    <t>Atlas-Aware Laplacian Smoothing</t>
  </si>
  <si>
    <t>10.1109/VISUAL.2004.6</t>
  </si>
  <si>
    <t>http://dx.doi.org/10.1109/VISUAL.2004.6</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</si>
  <si>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</si>
  <si>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A. Shamir</t>
  </si>
  <si>
    <t>The Interdisciplinary Center, Herzliya, Israel</t>
  </si>
  <si>
    <t>Xiaohong Bao;Renato Pajarola;Michael Shafae</t>
  </si>
  <si>
    <t>JointViewer - An Interactive System for Exploring Orthopedic Data</t>
  </si>
  <si>
    <t>10.1109/VISUAL.2004.60</t>
  </si>
  <si>
    <t>http://dx.doi.org/10.1109/VISUAL.2004.60</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</si>
  <si>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</si>
  <si>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J. Ebling;G. Scheuermann</t>
  </si>
  <si>
    <t>Kaiserslautern, Germany;Kaiserslautern, Germany</t>
  </si>
  <si>
    <t>G. Elisabeta Marai;��agatay Demiralp;Stuart Andrews;David H. Laidlaw</t>
  </si>
  <si>
    <t>Brown University|c|;;;</t>
  </si>
  <si>
    <t>The human visual system: how is its design related to the physics of the natural environment?</t>
  </si>
  <si>
    <t>10.1109/VISUAL.2004.61</t>
  </si>
  <si>
    <t>http://dx.doi.org/10.1109/VISUAL.2004.61</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</si>
  <si>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</si>
  <si>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U.D. Bordoloi;Han-Wei Shen</t>
  </si>
  <si>
    <t>Dept. of Comput. &amp; Inf. Sci., Ohio State Univ., USA;Dept. of Comput. &amp; Inf. Sci., Ohio State Univ., USA</t>
  </si>
  <si>
    <t>xviii</t>
  </si>
  <si>
    <t>Wilson S. Geisler</t>
  </si>
  <si>
    <t>Dept. of Psychol., Texas Univ., Austin, TX, USA|c|</t>
  </si>
  <si>
    <t>Light Collages: lighting design for effective visualization</t>
  </si>
  <si>
    <t>10.1109/VISUAL.2004.62</t>
  </si>
  <si>
    <t>http://dx.doi.org/10.1109/VISUAL.2004.62</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</si>
  <si>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</si>
  <si>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Chang Ha Lee;Xuejun Hao;Amitabh Varshney</t>
  </si>
  <si>
    <t>Guangfeng Ji;Han-Wei Shen;R. Wenger</t>
  </si>
  <si>
    <t>Dept. of Comput. &amp; Inf. Sci., Ohio State Univ., USA;Dept. of Comput. &amp; Inf. Sci., Ohio State Univ., USA;Dept. of Comput. &amp; Inf. Sci., Ohio State Univ., USA</t>
  </si>
  <si>
    <t>10.1109/VISUAL.2003.1250394;10.1109/VISUAL.2003.1250392;10.1109/VISUAL.2003.1250395;10.1109/VISUAL.2002.1183785</t>
  </si>
  <si>
    <t>Lighting design, scientific illustration, inconsistent lighting, light placement, silhouette enhancement, proximity shadows</t>
  </si>
  <si>
    <t>Light weight space leaping using ray coherence</t>
  </si>
  <si>
    <t>10.1109/VISUAL.2004.63</t>
  </si>
  <si>
    <t>http://dx.doi.org/10.1109/VISUAL.2004.63</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</si>
  <si>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</si>
  <si>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Dept. of Comput. &amp; Inf. Sci., Polytech. Univ., Brooklyn, NY, USA</t>
  </si>
  <si>
    <t>Sarang Lakare;Arie E. Kaufman</t>
  </si>
  <si>
    <t>Dept. of Comput. Sci., Stony Brook Univ., NY, USA|c|;</t>
  </si>
  <si>
    <t>10.1109/VISUAL.1993.398852;10.1109/VISUAL.1999.809914;10.1109/VISUAL.1990.146377;10.1109/VISUAL.1998.745713;10.1109/VISUAL.2002.1183775</t>
  </si>
  <si>
    <t>Direct Volume Rendering, Space Leaping, Empty Space Skipping, Ray Coherence, Volume Rendering Acceleration</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</si>
  <si>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</si>
  <si>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Lighting transfer functions using gradient aligned sampling</t>
  </si>
  <si>
    <t>H. Theisel;T. Weinkauf;H.-C. Hege;H.-P. Seidel</t>
  </si>
  <si>
    <t>10.1109/VISUAL.2004.64</t>
  </si>
  <si>
    <t>MPI Informatik Saarbrucken, Germany</t>
  </si>
  <si>
    <t>http://dx.doi.org/10.1109/VISUAL.2004.64</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</si>
  <si>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</si>
  <si>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A. Telea;J.J. van Wijk</t>
  </si>
  <si>
    <t>Eric B. Lum;Kwan-Liu Ma</t>
  </si>
  <si>
    <t>California Univ., Davis, CA, USA|c|;</t>
  </si>
  <si>
    <t>10.1109/VISUAL.2001.964519;10.1109/VISUAL.2000.885697;10.1109/VISUAL.1990.146391;10.1109/VISUAL.1999.809886</t>
  </si>
  <si>
    <t>direct volume rendering, volume visualization, multi-dimensional transfer functions, shading, transfer functions</t>
  </si>
  <si>
    <t>Linear and cubic box splines for the body centered cubic lattice</t>
  </si>
  <si>
    <t>10.1109/VISUAL.2004.65</t>
  </si>
  <si>
    <t>http://dx.doi.org/10.1109/VISUAL.2004.65</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</si>
  <si>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</si>
  <si>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Guo-Shi Li;U.D. Bordoloi;Han-Wei Shen</t>
  </si>
  <si>
    <t>Alireza Entezari;Ramsay Dyer;Torsten M̦ller</t>
  </si>
  <si>
    <t>Graphics, Usability, &amp; Visualization Lab., Simon Fraser Univ., Burnaby, BC, Canada|c|;;</t>
  </si>
  <si>
    <t>10.1109/VISUAL.1993.398851;10.1109/VISUAL.2001.964498;10.1109/VISUAL.1997.663848;10.1109/VISUAL.1994.346331;10.1109/VISUAL.2001.964499</t>
  </si>
  <si>
    <t>Body Centered Cubic Lattice, Reconstruction, Optimal Regular Sampling</t>
  </si>
  <si>
    <t>Linking Representation with Meaning</t>
  </si>
  <si>
    <t>10.1109/VISUAL.2004.66</t>
  </si>
  <si>
    <t>http://dx.doi.org/10.1109/VISUAL.2004.66</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</si>
  <si>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</si>
  <si>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Comput. Sci. Dept., California Univ., Santa Cruz, CA, USA;Comput. Sci. Dept., California Univ., Santa Cruz, CA, USA</t>
  </si>
  <si>
    <t>David J. Duke</t>
  </si>
  <si>
    <t>University of Leeds|c|</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</si>
  <si>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</si>
  <si>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Live Range Visibility Constraints for Adaptive Terrain Visualization</t>
  </si>
  <si>
    <t>10.1109/VISUAL.2004.67</t>
  </si>
  <si>
    <t>Ming Wan;W.A. McNeely</t>
  </si>
  <si>
    <t>http://dx.doi.org/10.1109/VISUAL.2004.67</t>
  </si>
  <si>
    <t>The Boeing Co., Seattle, WA, USA;The Boeing Co., Seattle, WA, USA</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</si>
  <si>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</si>
  <si>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M. Ikits;J.D. Brederson;C.D. Hansen;C.R. Johnson</t>
  </si>
  <si>
    <t>Sci. Comput. &amp; Imaging Inst., Utah Univ., USA;Sci. Comput. &amp; Imaging Inst., Utah Univ., USA;Sci. Comput. &amp; Imaging Inst., Utah Univ., USA;Sci. Comput. &amp; Imaging Inst., Utah Univ., USA</t>
  </si>
  <si>
    <t>Local and global comparison of continuous functions</t>
  </si>
  <si>
    <t>10.1109/VISUAL.2004.68</t>
  </si>
  <si>
    <t>http://dx.doi.org/10.1109/VISUAL.2004.68</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</si>
  <si>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</si>
  <si>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Ye Zhao;Xiaoming Wei;Zhe Fan;A. Kaufman;Hong Qin</t>
  </si>
  <si>
    <t>Center for Visual Comput., Stony Brook Univ., NY, USA;Center for Visual Comput., Stony Brook Univ., NY, USA;Center for Visual Comput., Stony Brook Univ., NY, USA;Center for Visual Comput., Stony Brook Univ., NY, USA;Center for Visual Comput., Stony Brook Univ., NY, USA</t>
  </si>
  <si>
    <t>Herbert Edelsbrunner;John Harer;Vijay Natarajan;Valerio Pascucci</t>
  </si>
  <si>
    <t>Dept. of Comput. Sci. &amp; Math., Duke Univ., Durham, NC, USA|c|;;;</t>
  </si>
  <si>
    <t>Visualization, Riemannian manifolds, smooth functions, time-varying data, comparison measure, differential forms</t>
  </si>
  <si>
    <t>LoD volume rendering of FEA data</t>
  </si>
  <si>
    <t>10.1109/VISUAL.2004.69</t>
  </si>
  <si>
    <t>http://dx.doi.org/10.1109/VISUAL.2004.69</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</si>
  <si>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</si>
  <si>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K. Riley;D. Ebert;C. Hansen;J. Levit</t>
  </si>
  <si>
    <t>Purdue Univ., West Lafayette, IN, USA;Purdue Univ., West Lafayette, IN, USA</t>
  </si>
  <si>
    <t>Shyh-Kuang Ueng;Yan-Jen Su;Chi-Tang Chang</t>
  </si>
  <si>
    <t>Dept. of Comput. Sci., Nat. Taiwan Ocean Univ., Keelung, Taiwan|c|;;</t>
  </si>
  <si>
    <t>10.1109/VISUAL.1999.809908;10.1109/VISUAL.1995.485144;10.1109/VISUAL.2002.1183767;10.1109/VISUAL.2000.885680;10.1109/VISUAL.2000.885682;10.1109/VISUAL.2000.885680;10.1109/VISUAL.2001.964490;10.1109/VISUAL.1993.398877;10.1109/VISUAL.1992.235228;10.1109/VISUAL.1998.745309;10.1109/VISUAL.1999.809909</t>
  </si>
  <si>
    <t>Volume rendering, splatting method, level-of-detail, unstructured data, scientific visualization</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</si>
  <si>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</si>
  <si>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Augmented reality with tangible auto-fabricated models for molecular biology applications</t>
  </si>
  <si>
    <t>10.1109/VISUAL.2004.7</t>
  </si>
  <si>
    <t>Jens H. Krüger;Rüdiger Westermann</t>
  </si>
  <si>
    <t>J. Kruger;R. Westermann</t>
  </si>
  <si>
    <t>http://dx.doi.org/10.1109/VISUAL.2004.7</t>
  </si>
  <si>
    <t>Comput. Graphics &amp; Visualization Group, Tech. Univ. Munich, Germany;Comput. Graphics &amp; Visualization Group, Tech. Univ. Munich, Germany</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</si>
  <si>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</si>
  <si>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Jens Schneider;Rüdiger Westermann</t>
  </si>
  <si>
    <t>J. Schneider;R. Westermann</t>
  </si>
  <si>
    <t>Yuan Chen;Jonathan D. Cohen;Subodh Kumar</t>
  </si>
  <si>
    <t>Molecular Modeling, Molecular Visualization, Augmented Reality</t>
  </si>
  <si>
    <t>Methods for efficient, high quality volume resampling in the frequency domain</t>
  </si>
  <si>
    <t>10.1109/VISUAL.2004.70</t>
  </si>
  <si>
    <t>http://dx.doi.org/10.1109/VISUAL.2004.70</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</si>
  <si>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</si>
  <si>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M. Hadwiger;C. Berger;H. Hauser</t>
  </si>
  <si>
    <t>VRVis Res. Center, Austria;VRVis Res. Center, Austria;VRVis Res. Center, Austria</t>
  </si>
  <si>
    <t>Aili Li;Klaus Mueller;Thomas Ernst</t>
  </si>
  <si>
    <t>Comput. Sci. Dept., State Univ. of New York, Stony Brook, NY, USA|c|;;</t>
  </si>
  <si>
    <t>resampling, filters, Fourier Transform</t>
  </si>
  <si>
    <t>Modeling Decomposing Objects under Combustion</t>
  </si>
  <si>
    <t>10.1109/VISUAL.2004.71</t>
  </si>
  <si>
    <t>http://dx.doi.org/10.1109/VISUAL.2004.71</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</si>
  <si>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</si>
  <si>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Ivan Viola;Armin Kanitsar;M. Eduard Gröller</t>
  </si>
  <si>
    <t>I. Viola;A. Kanitsar;M.E. Groller</t>
  </si>
  <si>
    <t>Inst. of Comput. Graphics &amp; Algorithms, Vienna Univ. of Technol., Austria;Inst. of Comput. Graphics &amp; Algorithms, Vienna Univ. of Technol., Austria;Inst. of Comput. Graphics &amp; Algorithms, Vienna Univ. of Technol., Austria</t>
  </si>
  <si>
    <t>Zeki Melek;John Keyser</t>
  </si>
  <si>
    <t>Non-linear model fitting to parameterize diseased blood vessels</t>
  </si>
  <si>
    <t>10.1109/VISUAL.2004.72</t>
  </si>
  <si>
    <t>http://dx.doi.org/10.1109/VISUAL.2004.72</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</si>
  <si>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</si>
  <si>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Wei Li;K. Mueller;A. Kaufman</t>
  </si>
  <si>
    <t>Dept. of Comput. Sci., Stony Brook Univ., NY, USA;Dept. of Comput. Sci., Stony Brook Univ., NY, USA;Dept. of Comput. Sci., Stony Brook Univ., NY, USA</t>
  </si>
  <si>
    <t>Alexandra La Cruz;Mat̼s Straka;Arnold K̦chl;Milos Sr��mek;M. Eduard Gr̦ller;Dominik Fleischmann</t>
  </si>
  <si>
    <t>Vienna Univ. of Technol., Austria|c|;;;;;</t>
  </si>
  <si>
    <t>Visualization, Segmentation, Blood Vessel Detection</t>
  </si>
  <si>
    <t>On the role of color in the perception of motion in animated visualizations</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</si>
  <si>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</si>
  <si>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Christopher S. Co;Bjørn Heckel;Hans Hagen;Bernd Hamann;Kenneth I. Joy</t>
  </si>
  <si>
    <t>10.1109/VISUAL.2004.73</t>
  </si>
  <si>
    <t>C.S. Co;B. Heckel;Hagen H;B. Hamann;K.I. Joy</t>
  </si>
  <si>
    <t>Dept. of Comput. Sci., Univ. of California, Davis, CA, USA;Dept. of Comput. Sci., Univ. of California, Davis, CA, USA;Dept. of Comput. Sci., Univ. of California, Davis, CA, USA;Dept. of Comput. Sci., Univ. of California, Davis, CA, USA;Dept. of Comput. Sci., Univ. of California, Davis, CA, USA</t>
  </si>
  <si>
    <t>http://dx.doi.org/10.1109/VISUAL.2004.73</t>
  </si>
  <si>
    <t>Inst. of Visualization &amp; Interactive Syst., Stuttgart Univ., Germany|c|</t>
  </si>
  <si>
    <t>10.1109/VISUAL.2002.1183788;10.1109/VISUAL.2003.1250362;10.1109/VISUAL.2003.1250361;10.1109/VISUAL.1997.663874</t>
  </si>
  <si>
    <t>Color, luminance, motion detection, perception, human visual system, flow visualization, information visualization</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</si>
  <si>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</si>
  <si>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On the Visualization of Time-Varying Structured Grids Using a 3D Warp Texture</t>
  </si>
  <si>
    <t>M. Weiler;M. Kraus;M. Merz;T. Ertl</t>
  </si>
  <si>
    <t>10.1109/VISUAL.2004.74</t>
  </si>
  <si>
    <t>Visualization &amp; Interactive Syst. Group, Univ. of Stutgart, Germany;Visualization &amp; Interactive Syst. Group, Univ. of Stutgart, Germany;Visualization &amp; Interactive Syst. Group, Univ. of Stutgart, Germany;Visualization &amp; Interactive Syst. Group, Univ. of Stutgart, Germany</t>
  </si>
  <si>
    <t>http://dx.doi.org/10.1109/VISUAL.2004.74</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</si>
  <si>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</si>
  <si>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Jinzhu Gao;Jian Huang;Han-Wei Shen;J.A. Kohl</t>
  </si>
  <si>
    <t>Ohio State Univ., USA</t>
  </si>
  <si>
    <t>Johns Hopkins University|c|;;</t>
  </si>
  <si>
    <t>Optimal global conformal surface parameterization</t>
  </si>
  <si>
    <t>10.1109/VISUAL.2004.75</t>
  </si>
  <si>
    <t>http://dx.doi.org/10.1109/VISUAL.2004.75</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</si>
  <si>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</si>
  <si>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D. Akers;F. Losasso;J. Klingner;M. Agrawala;J. Rick;P. Hanrahan</t>
  </si>
  <si>
    <t>Stanford Univ., USA;Stanford Univ., USA;Stanford Univ., USA</t>
  </si>
  <si>
    <t>Miao Jin;Yalin Wang 0001;Shing-Tung Yau;Xianfeng Gu</t>
  </si>
  <si>
    <t>Computational geometry and object modeling, Curve / surface / solid and object representations, Surface parameterization</t>
  </si>
  <si>
    <t>Panel 1: Can We Determine the Top Unresolved Problems of Visualization?</t>
  </si>
  <si>
    <t>10.1109/VISUAL.2004.76</t>
  </si>
  <si>
    <t>http://dx.doi.org/10.1109/VISUAL.2004.76</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</si>
  <si>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</si>
  <si>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A.J. Stewart</t>
  </si>
  <si>
    <t>Sch. of Comput., Queen's Univ., Kingston, Ont., Canada</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</si>
  <si>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</si>
  <si>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Theresa-Marie Rhyne;William L. Hibbard;Christopher R. Johnson 0001;Chaomei Chen;Steve Eick</t>
  </si>
  <si>
    <t>M. Halle;J. Meng</t>
  </si>
  <si>
    <t>North Carolina State University|c|;;;;</t>
  </si>
  <si>
    <t>Harvard Med. Sch., Harvard Univ., USA;Harvard Med. Sch., Harvard Univ., USA</t>
  </si>
  <si>
    <t>Panel 2: In the Eye of the Beholder: The Role of Perception in Scientific Visualization</t>
  </si>
  <si>
    <t>10.1109/VISUAL.2004.77</t>
  </si>
  <si>
    <t>http://dx.doi.org/10.1109/VISUAL.2004.77</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</si>
  <si>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</si>
  <si>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M. Tory</t>
  </si>
  <si>
    <t>Sch. of Comput. Sci., Simon Fraser Univ., USA</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</si>
  <si>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</si>
  <si>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M.P. Persoon;I.W.O. Serlie;F.H. Post;R. Truyen;F.M. Vos</t>
  </si>
  <si>
    <t>Comput. Graphics &amp; CAD/CAM Group, Delft Univ. of Technol., Netherlands</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</si>
  <si>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</si>
  <si>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M. Bertram</t>
  </si>
  <si>
    <t>Univ. of Kaiserslautern, Germany</t>
  </si>
  <si>
    <t>We develop a new approach to reconstruct non-discrete models from gridded volume samples. As a model, we use quadratic trivariate super splines on a uniform tetrahedral partition /spl Delta/. The approximating splines are determined in a natural and completely symmetric way by averaging local data samples, such that appropriate smoothness conditions are automatically satisfied. On each tetra-hedron of /spl Delta/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</si>
  <si>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Christian Rössl;Frank Zeilfelder;Günther Nürnberger;Hans-Peter Seidel</t>
  </si>
  <si>
    <t>C. Rossl;F. Zeilfelder;G. Nurnberger;H.-P. Seidel</t>
  </si>
  <si>
    <t>Max-Planck-Inst. fur Informatik, Saarbrucken, Germany</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</si>
  <si>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</si>
  <si>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M.J. McGuffin;L. Tancau;R. Balakrishnan</t>
  </si>
  <si>
    <t>Dept. of Comput. Sci., Univ. of Toronto, Ont., Canada;Dept. of Comput. Sci., Univ. of Toronto, Ont., Canada;Dept. of Comput. Sci., Univ. of Toronto, Ont., Canada</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</si>
  <si>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</si>
  <si>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G. Daniel;Min Chen</t>
  </si>
  <si>
    <t>Univ. of Wales Swansea, UK;Univ. of Wales Swansea, UK</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</si>
  <si>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</si>
  <si>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J. Woodring;Chaoli Wang;Han-Wei Shen</t>
  </si>
  <si>
    <t>Ohio State Univ., USA;Ohio State Univ., USA;Ohio State Univ., USA</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</si>
  <si>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</si>
  <si>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T. Welsh;K. Mueller</t>
  </si>
  <si>
    <t>Center for Visual Comput., Comput. Sci., Stony Brook Univ., USA;Center for Visual Comput., Comput. Sci., Stony Brook Univ., USA</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</si>
  <si>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</si>
  <si>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Visualization &amp; Interactive Syst. Group, Univ. of Stuttgart, Germany;Visualization &amp; Interactive Syst. Group, Univ. of Stuttgart, Germany</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</si>
  <si>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</si>
  <si>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Huamin Qu;A. Kaufman;Ran Shao;A. Kumar</t>
  </si>
  <si>
    <t>Dept. of Comput. Sci., Stony Brook Univ., NY, USA;Dept. of Comput. Sci., Stony Brook Univ., NY, USA;Dept. of Comput. Sci., Stony Brook Univ., NY, USA;Dept. of Comput. Sci., Stony Brook Univ., NY, USA</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</si>
  <si>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</si>
  <si>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Balázs Csébfalvi;László Szirmay-Kalos</t>
  </si>
  <si>
    <t>B. Csebfalvi;L. Szirmay-Kalos</t>
  </si>
  <si>
    <t>Dept. of Control Eng. &amp; Inf. Technol., Budapest Tech. Univ., Hungary;Dept. of Control Eng. &amp; Inf. Technol., Budapest Tech. Univ., Hungary</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</si>
  <si>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</si>
  <si>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M. Tarini;P. Cignoni;R. Scopigno</t>
  </si>
  <si>
    <t>ISTI, CNR, Pisa, Italy;ISTI, CNR, Pisa, Italy;ISTI, CNR, Pisa, Italy</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</si>
  <si>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</si>
  <si>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M. Isenburg;P. Lindstrom;S. Gumhold;J. Snoeyink</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</si>
  <si>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</si>
  <si>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J. Jang;W. Ribarsky;C. Shaw;P. Wonka</t>
  </si>
  <si>
    <t>GVU Center, Georgia Inst. of Technol., Atlanta, Georgia;GVU Center, Georgia Inst. of Technol., Atlanta, Georgia;GVU Center, Georgia Inst. of Technol., Atlanta, Georgia;GVU Center, Georgia Inst. of Technol., Atlanta, Georgia</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</si>
  <si>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</si>
  <si>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R. Tam;W. Heidrich</t>
  </si>
  <si>
    <t>Dept. of Comput. Sci., British Columbia Univ., Vancouver, BC, Canada;Dept. of Comput. Sci., British Columbia Univ., Vancouver, BC, Canada</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</si>
  <si>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</si>
  <si>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Dieter Hönigmann;Johannes Ruisz;Christoph Haider</t>
  </si>
  <si>
    <t>D. Honigmann;J. Ruisz;C. Haider</t>
  </si>
  <si>
    <t>Adv. Comput. Vision GmbH, ACV, Vienna, Austria;Adv. Comput. Vision GmbH, ACV, Vienna, Austria;Adv. Comput. Vision GmbH, ACV, Vienna, Austria</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</si>
  <si>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</si>
  <si>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J. Kniss;S. premoze;M. Ikits;A. Lefohn;C. Hansen;E. Praun</t>
  </si>
  <si>
    <t>Inst. of Sci. Comput. &amp; Imaging, Utah Univ., Salt Lake, UT, USA</t>
  </si>
  <si>
    <t>In the traditional volume visualization paradigm, the user specifies a transfer function that assigns each scalar value to a color and opacity by defining an opacity and a color map function. The transfer function has two limitations. First, the user must define curves based on histogram and value rather than seeing and working with the volume itself. Second, the transfer function is inflexible in classifying regions of interest, where values at a voxel such as intensity and gradient are used to differentiate material, not talking into account additional properties such as texture and position. We describe an intuitive user interface for specifying the classification functions that consists of the users painting directly on sample slices of the volume. These painted regions are used to automatically define high-dimensional classification functions that can be implemented in hardware for interactive rendering. The classification of the volume is iteratively improved as the user paints samples, allowing intuitive and efficient viewing of materials of interest.</t>
  </si>
  <si>
    <t>Fan-Yin Tzeng;E.B. Lum;Kwan-Liu Ma</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</si>
  <si>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</si>
  <si>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Gordon L. Kindlmann;Ross T. Whitaker;Tolga Tasdizen;Torsten Möller</t>
  </si>
  <si>
    <t>G. Kindlmann;R. Whitaker;T. Tasdizen;T. Moller</t>
  </si>
  <si>
    <t>Inst. of Sci. Comput. &amp; Imaging, Utah Univ., Salt Lake, UT, USA;Inst. of Sci. Comput. &amp; Imaging, Utah Univ., Salt Lake, UT, USA;Inst. of Sci. Comput. &amp; Imaging, Utah Univ., Salt Lake, UT, USA</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</si>
  <si>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</si>
  <si>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Soon Tee Teoh;Kwan-Liu Ma;S.F. Wu</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</si>
  <si>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</si>
  <si>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D.L. Gresh;E.I. Kelton</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</si>
  <si>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</si>
  <si>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Z. Konyha;K. Matkovic;H. Hauser</t>
  </si>
  <si>
    <t>This paper describes a set of techniques developed for the visualization of high-resolution volume data generated from industrial computed tomography for nondestructive testing (NDT) applications. Because the data are typically noisy and contain fine features, direct volume rendering methods do not always give us satisfactory results. We have coupled region growing techniques and a 2D histogram interface to facilitate volumetric feature extraction. The new interface allows the user to conveniently identify, separate or composite, and compare features in the data. To lower the cost of segmentation, we show how partial region growing results can suggest a reasonably good classification function for the rendering of the whole volume. The NDT applications that we work on demand visualization tasks including not only feature extraction and visual inspection, but also modeling and measurement of concealed structures in volumetric objects. An efficient filtering and modeling process for generating surface representation of extracted features is also introduced. Four CT data sets for preliminary NDT are used to demonstrate the effectiveness of the new visualization strategy that we have developed.</t>
  </si>
  <si>
    <t>R. Huang;Kwan-Liu Ma;P. McCormick;W. Ward</t>
  </si>
  <si>
    <t>California Univ., Davis, CA, USA;California Univ., Davis, CA, USA</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</si>
  <si>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</si>
  <si>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P. Adams;D. Dommermuth</t>
  </si>
  <si>
    <t>ERDC, Major Shared Resource Center, Vicksburg, MS, USA</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</si>
  <si>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</si>
  <si>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D. Ellsworth;P.J. Moran</t>
  </si>
  <si>
    <t>Adv. Manage. Technol. Inc., NASA Ames Res. Center, Moffett Field, CA, USA</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</si>
  <si>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</si>
  <si>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Walter Jiménez;Wagner Toledo Corrêa;Cláudio T. Silva;António M. Baptista</t>
  </si>
  <si>
    <t>W.H. Jimenez;W.T. Correa;C.T. Silva;A.M. Baptista</t>
  </si>
  <si>
    <t>OGI Sch. of Sci. &amp; Eng., Oregon Health &amp; Sci. Univ., Portland, OR, USA;OGI Sch. of Sci. &amp; Eng., Oregon Health &amp; Sci. Univ., Portland, OR, USA;OGI Sch. of Sci. &amp; Eng., Oregon Health &amp; Sci. Univ., Portland, OR, USA;OGI Sch. of Sci. &amp; Eng., Oregon Health &amp; Sci. Univ., Portland, OR, USA</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</si>
  <si>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</si>
  <si>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V. Popescu;C. Hoffmann;S. Kilic;M. Sozen;S. Meador</t>
  </si>
  <si>
    <t>Purdue Univ., USA;Purdue Univ., USA;Purdue Univ., USA;Purdue Univ., USA;Purdue Univ., USA</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</si>
  <si>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</si>
  <si>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O. Kreylos;N.L. Max;B. Hamann;S.N. Crivelli;E. Wes Bethel</t>
  </si>
  <si>
    <t>Dept. of Comput. Sci., Univ. of California, Davis, CA, USA;Dept. of Comput. Sci., Univ. of California, Davis, CA, USA;Dept. of Comput. Sci., Univ. of California, Davis, CA, USA</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</si>
  <si>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</si>
  <si>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W. Plesniak;M. Halle;S.D. Pieper;W. Wells;M. Jakab;D.S. Meier;S.A. Benton;R.G. Guttmann;R. Kikinis</t>
  </si>
  <si>
    <t>Surg. Planning Lab., MIT, USA;Surg. Planning Lab., MIT, USA</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</si>
  <si>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</si>
  <si>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Dept. of Comput. Sci., California Inst. of Technol., USA;Dept. of Comput. Sci., California Inst. of Technol., USA</t>
  </si>
  <si>
    <t>G. Grinstein;A. Kobsa;C. Plaisant;J.T. Stasko</t>
  </si>
  <si>
    <t>E.W. Bethel</t>
  </si>
  <si>
    <t>Lawrence Berkeley National Laboratory</t>
  </si>
  <si>
    <t>T. Rhyne;M. Tory;T. Munzner;M. Ward;C. Johnson;D.H. Laidlaw</t>
  </si>
  <si>
    <t>North Carolina State University</t>
  </si>
  <si>
    <t>R. Machiraju;C. Johnson;T. Yoo;R. Crawfis;D. Ebert;D. Stredney</t>
  </si>
  <si>
    <t>The Ohio State University</t>
  </si>
  <si>
    <t>John R. Wright;Scott Burleigh;Makoto Maruya;Scott Maxwell;René Pischel</t>
  </si>
  <si>
    <t>J. Wright;S. Burleigh;M. Maruya;S. Maxwell;R. Pischel</t>
  </si>
  <si>
    <t>Jet Propulsion Laboratory</t>
  </si>
  <si>
    <t>2004</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</si>
  <si>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</si>
  <si>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M. Ghoniem;J.-D. Fekete;P. Castagliola</t>
  </si>
  <si>
    <t>Ecole des Mines de Nantes</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</si>
  <si>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</si>
  <si>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R. Amar;J. Stasko</t>
  </si>
  <si>
    <t>Georgia Institute of Technology</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</si>
  <si>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</si>
  <si>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L. Berry;T. Munzner</t>
  </si>
  <si>
    <t>University of British Columbia</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</si>
  <si>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</si>
  <si>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C. Weaver</t>
  </si>
  <si>
    <t>University of Wisconsin-Madison</t>
  </si>
  <si>
    <t>S. Roth</t>
  </si>
  <si>
    <t>MAYA Viz, Ltd and Carnegi Mellon University</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</si>
  <si>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</si>
  <si>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Technische Universiteit Eindhoven</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</si>
  <si>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</si>
  <si>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Wei Peng;M.O. Ward;E.A. Rundensteiner</t>
  </si>
  <si>
    <t>Worcester Polytechnic Institute</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</si>
  <si>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user’s data. Ultimately, a lookmark is a time-saving tool that automates the recreation of a complex view of the data.</t>
  </si>
  <si>
    <t>E.T. Stanton;W.P. Kegelmeyer</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</si>
  <si>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</si>
  <si>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F. Tsutsumi;N. Itoh;T. Onoda</t>
  </si>
  <si>
    <t>Central Research Institute of Electric Power Industry</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</si>
  <si>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</si>
  <si>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Y. Frishman;Ayellet Tal</t>
  </si>
  <si>
    <t>Technion - Israel Institute of Technology</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</si>
  <si>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</si>
  <si>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M. Granitzer;W. Kienreich;V. Sabol;K. Andrews;W. Klieber</t>
  </si>
  <si>
    <t>Know-Center</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</si>
  <si>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</si>
  <si>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M. Kreuseler;T. Nocke;H. Schumann</t>
  </si>
  <si>
    <t>SD Industries GmbH</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</si>
  <si>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NASA’s Mars Exploration Rover missions are being made available through the EventScope framework to museums, classrooms, and the public at large.</t>
  </si>
  <si>
    <t>E. Myers;P. Coppin;M. Wagner;K. Fischer;Luisa Lu;W.R. McCloskey;D. Seneker</t>
  </si>
  <si>
    <t>Platform Digital, LLC</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</si>
  <si>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</si>
  <si>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M.J. McGuffin;G. Davison;R. Balakrishnan</t>
  </si>
  <si>
    <t>University of Toronto</t>
  </si>
  <si>
    <t>Daniel A. Keim;Helmut Barro;Christian Panse;Jörn Schneidewind;Mike Sips</t>
  </si>
  <si>
    <t>D.A. Keim;H. Barro;C. Panse;J. Schneidewind;M. Sips</t>
  </si>
  <si>
    <t>University of Konstanz</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</si>
  <si>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</si>
  <si>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M. Delest;T. Munzner;D. Auber;J.-P. Domenger</t>
  </si>
  <si>
    <t>Universit&amp;#233; de Bordeaux I</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</si>
  <si>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</si>
  <si>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L. Voinea;A. Telea;J.J. van Wijk</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</si>
  <si>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</si>
  <si>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M. Mandic;A. Kerne</t>
  </si>
  <si>
    <t>Texas A&amp;amp;M University</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</si>
  <si>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</si>
  <si>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T. Kapler;W. Wright</t>
  </si>
  <si>
    <t>Oculus Info Inc.</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</si>
  <si>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</si>
  <si>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Pin Ren;B. Watson</t>
  </si>
  <si>
    <t>Northwestern University</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</si>
  <si>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</si>
  <si>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D. Cluxton;S.G. Eick;Jie Yun</t>
  </si>
  <si>
    <t>SSS Research, Inc.</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</si>
  <si>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</si>
  <si>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Jinwook Seo;B. Shneiderman</t>
  </si>
  <si>
    <t>University of Maryland at College Park</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</si>
  <si>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</si>
  <si>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Pak Chung Wong;B. Hetzler;C. Posse;M. Whiting;S. Havre;N. Cramer;Anuj Shah;M. Singhal;A. Turner;J. Thomas</t>
  </si>
  <si>
    <t>An overview of the entry is given. The techniques used to prepare the InfoVis contest entry are outlined. The strengths and weaknesses are briefly discussed.</t>
  </si>
  <si>
    <t>Drexel University</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</si>
  <si>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it’s weaknesses.</t>
  </si>
  <si>
    <t>J. Tyman;G.P. Gruetzmacher;J. Stasko</t>
  </si>
  <si>
    <t>H.D. White;Xia Lin;J. Buzydlowski</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</si>
  <si>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</si>
  <si>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J. Foster;K. Subramanian;R. Herring;Gail Ahn</t>
  </si>
  <si>
    <t>University of North Carolina at Charlotte</t>
  </si>
  <si>
    <t>Ming C. Hao;Daniel A. Keim;Umeshwar Dayal;Jörn Schneidewind</t>
  </si>
  <si>
    <t>M.C. Hao;D.A. Keim;U. Dayal;J. Schneidewind</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</si>
  <si>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</si>
  <si>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J. Johansson;Patric Ljung;D. Lindgren;M. Cooper</t>
  </si>
  <si>
    <t>Link&amp;#246;ping University</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</si>
  <si>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</si>
  <si>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Provides an abstract of the keynote presentation and a brief professional biography of the presenter. The complete presentation was not made available for publication as part of the conference proceedings.</t>
  </si>
  <si>
    <t>S. Card</t>
  </si>
  <si>
    <t>Palo Alto Research Center</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</si>
  <si>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Pajek&amp;amp;#146;s SVG output feature. A complementary web page with all the raw data, details of the analyses, and high resolution images of all figures is available online at http://iv.slis.indiana.edu/ref/iv04contest/.</t>
  </si>
  <si>
    <t>Weimao Ke;Katy Börner;Lalitha Viswanath</t>
  </si>
  <si>
    <t>Weimao Ke;K. Borner;L. Viswanath</t>
  </si>
  <si>
    <t>Indiana University</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</si>
  <si>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</si>
  <si>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J. Abello;F. van Ham</t>
  </si>
  <si>
    <t>Rutgers University</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</si>
  <si>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</si>
  <si>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Yves Chiricota;Fabien Jourdan;Guy Melançon</t>
  </si>
  <si>
    <t>Y. Chiricota;F. Jourdan;G. Melancon</t>
  </si>
  <si>
    <t>Universit&amp;#233; du Qu&amp;#233;bec &amp;#224; Chicoutimi</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</si>
  <si>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</si>
  <si>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Tzu-Wei Hsu;L. Inman;D. McColgin;K. Stamper</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</si>
  <si>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</si>
  <si>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S.G. Kobourov;K. Wampler</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</si>
  <si>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</si>
  <si>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D;Chris North;Karen Duca</t>
  </si>
  <si>
    <t>P. Saraiya;C. North;K. Duca</t>
  </si>
  <si>
    <t>Virginia Polytechnic Institute and State University</t>
  </si>
  <si>
    <t>University of California at Davis</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</si>
  <si>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</si>
  <si>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N. Gossett;Baoquan Chen</t>
  </si>
  <si>
    <t>University of Minnesota at Twin Cities</t>
  </si>
  <si>
    <t>We explore the use of nature’s phyllotactic patterns to inform the layout of hierarchical data. These naturally occurring patterns provide a non-overlapping, optimal packing when the total number of nodes is not known a priori. We present a family of expandable tree layouts based on these patterns.</t>
  </si>
  <si>
    <t>S. Carpendale;A. Agarawala</t>
  </si>
  <si>
    <t>University of Calgary</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</si>
  <si>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</si>
  <si>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</si>
  <si>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R. Heilmann;D.A. Keim;C. Panse;M. Sips</t>
  </si>
  <si>
    <t>Bayer Technology</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</si>
  <si>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</si>
  <si>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D. Lu;L. Dietrich</t>
  </si>
  <si>
    <t>Futurefarmers</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</si>
  <si>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</si>
  <si>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Melanie Tory;Torsten Möller</t>
  </si>
  <si>
    <t>M. Tory;T. Moller</t>
  </si>
  <si>
    <t>Simon Fraser University</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</si>
  <si>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</si>
  <si>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E. Darling;C. Newbern;N. Kalghatgi;A. Burgman;K. Recktenwald</t>
  </si>
  <si>
    <t>The Mitre Corporation</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</si>
  <si>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</si>
  <si>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M. Williams;T. Munzner</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</si>
  <si>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</si>
  <si>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C. Albrecht-Buehler;B. Watson;D.A. Shamma</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</si>
  <si>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</si>
  <si>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J.-D. Fekete</t>
  </si>
  <si>
    <t>INRIA Futurs/LRI</t>
  </si>
  <si>
    <t>This research demonstrates how principles of self-organization and behavior simulation can be used to represent dynamic data evolutions by extending the concept of information flocking, originally introduced by Proctor &amp;amp;amp;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</si>
  <si>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A.V. Moere</t>
  </si>
  <si>
    <t>University of Sydney</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</si>
  <si>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</si>
  <si>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E. Gansner;Y. Koren;S. North</t>
  </si>
  <si>
    <t>AT&amp;amp;T Labs</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</si>
  <si>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</si>
  <si>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D.P. Groth;B.W. Murphy</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</si>
  <si>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</si>
  <si>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A.O. Artero;M.C.F. de Oliveira;H. Levkowitz</t>
  </si>
  <si>
    <t>University of S&amp;#227;o Paulo</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</si>
  <si>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</si>
  <si>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Bongshin Lee;M. Czerwinski;G. Robertson;B.B. Bederson</t>
  </si>
  <si>
    <t>University of Maryland and Microsoft Research</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</si>
  <si>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</si>
  <si>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G. Gainant;D. Auber</t>
  </si>
  <si>
    <t>University of Bordeaux 1</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</si>
  <si>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</si>
  <si>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University of California at Irvine</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</si>
  <si>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</si>
  <si>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Jing Yang;A. Patro;Shiping Huang;N. Mehta;M.O. Ward;E.A. Rundensteiner</t>
  </si>
  <si>
    <t>Intelligence analysts receive thousands of facts from a variety of sources. In addition to the bare details of the fact — a particular person, for example — each fact may have provenance, reliability, weight, and other attributes. Each fact may also be associated with other facts, e.g. that one person met another at a particular location. The analyst’s task is to examine a huge collection of such loosely-structured facts, and try to "connect the dots" to perceive the underlying and unknown causes — and their possible future courses. We have designed and implemented a Java platform called VIM to support intelligence analysts in their work.</t>
  </si>
  <si>
    <t>T.A. Keahey;K.C. Cox</t>
  </si>
  <si>
    <t>Visintuit LLC</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</si>
  <si>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</si>
  <si>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P. Krishnaswamy;S.G. Eick;R.L. Grossman</t>
  </si>
  <si>
    <t>University of Illinois at Chicago</t>
  </si>
  <si>
    <t>This work focuses on visualizing highly cyclic hierarchical data. A user interface is discussed and its interaction is illustrated using a recipe database example. This example showcases a database with multiple categories for each recipe (database entry).</t>
  </si>
  <si>
    <t>M.J. Mohammadi-Aragh;T.J. Jankun-Kelly</t>
  </si>
  <si>
    <t>Mississippi State University</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</si>
  <si>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</si>
  <si>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E. Diep;R.J.K. Jacob</t>
  </si>
  <si>
    <t>Tufts University</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</si>
  <si>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</si>
  <si>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D. Surendran;S. Levy</t>
  </si>
  <si>
    <t>University of Chicago</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</si>
  <si>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</si>
  <si>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A. Ahmed;T. Dwyer;C. Murray;Le Song;Ying Xin Wu</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</si>
  <si>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</si>
  <si>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Fernanda B. Viégas;Ethan Perry;Ethan Howe;Judith S. Donath</t>
  </si>
  <si>
    <t>F.B. Viegas;E. Perry;E. Howe;J. Donath</t>
  </si>
  <si>
    <t>Massachusetts Institute of Technology</t>
  </si>
  <si>
    <t>Recent activity within the UK National e-Science Programme has identified a need to establish an ontology for visualization. Motivation for this includes defining web and grid services for visualization (the ‘semantic grid’),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</si>
  <si>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D.J. Duke;K.W. Brodlie;D.A. Duce</t>
  </si>
  <si>
    <t>University of Leeds</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</si>
  <si>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</si>
  <si>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H. Xie;K.T. McDonnell;H. Qin</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</si>
  <si>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</si>
  <si>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K. Museth;S. Lombeyda</t>
  </si>
  <si>
    <t>Linkoping Inst. of Technol., Sweden</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</si>
  <si>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</si>
  <si>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Chandrajit Bajaj;P. Djeu;Vinay Siddavanahalli;A. Thane</t>
  </si>
  <si>
    <t>Center for Computational Visualization, Texas Univ., Austin, TX, USA;Center for Computational Visualization, Texas Univ., Austin, TX, USA;Center for Computational Visualization, Texas Univ., Austin, TX, USA;Center for Computational Visualization, Texas Univ., Austin, TX, USA</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</si>
  <si>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</si>
  <si>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Matús Straka;Michal Cervenanský;Alexandra La Cruz;Arnold Köchl;Milos Srámek;M. Eduard Gröller;Dominik Fleischmann</t>
  </si>
  <si>
    <t>M. Straka;M. Cervenansky;A. La Cruz;A. Kochl;M. Sramek;E. Groller;D. Fleischmann</t>
  </si>
  <si>
    <t>Comm. for Sci. Visualization, Austrian Acad. of Sci., Austria</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</si>
  <si>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</si>
  <si>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X. Zheng;A. Pang</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</si>
  <si>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</si>
  <si>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L. Sun;R.K. Batra;Xiaolei Shi;L. Hesselink</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</si>
  <si>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</si>
  <si>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C. Garth;X. Tricoche;G. Scheuermann</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</si>
  <si>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</si>
  <si>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M.A. Westenberg;T. Ertl</t>
  </si>
  <si>
    <t>University of Stuttgart</t>
  </si>
  <si>
    <t>Ming C. Hao;D.A. Keim;U. Dayal</t>
  </si>
  <si>
    <t>M. Gleicher;T. Brunet;E. Nowak;L. Osten;M. McElwee;K. Tanty;A. Gepner;G. Lahvis</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</si>
  <si>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</si>
  <si>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Jinzhu Gao;Han-Wei Shen;Jian Huang;J.A. Kohl</t>
  </si>
  <si>
    <t>Oak Ridge State Lab., Ohio State Univ., Columbus, OH, USA;Oak Ridge State Lab., Ohio State Univ., Columbus, OH, USA</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</si>
  <si>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</si>
  <si>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Hans Hagen;Andreas Disch;Jochen Ehret;Ralf Klein;Sascha Köhn;Dirk Zeckzer;Michael Münchhofen</t>
  </si>
  <si>
    <t>H. Hagen;A. Disch;J. Ehret;R. Klein;S. Kohn;D. Zeckzer;M. Munchhofen</t>
  </si>
  <si>
    <t>DFKI GmbH</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</si>
  <si>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</si>
  <si>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K. Brodlie;J. Duce;J. Gallop;M. Sagar;J. Walton;J. Wood</t>
  </si>
  <si>
    <t>Sch. of Comput., Leeds Univ., UK</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</si>
  <si>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</si>
  <si>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Xavier Tricoche;Christoph Garth;Gordon L. Kindlmann;Eduard Deines;Gerik Scheuermann;Markus Rütten;Charles D. Hansen</t>
  </si>
  <si>
    <t>X. Tricoche;C. Garth;G. Kindlmann;E. Deines;G. Scheuermann;M. Ruetten;C. Hansen</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</si>
  <si>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</si>
  <si>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P.C. Saunders;S.C. Garrick;V. Interrante</t>
  </si>
  <si>
    <t>University of Minnesota</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</si>
  <si>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</si>
  <si>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P. Crossno;D.H. Rogers;R.M. Brannon;D. Coblentz</t>
  </si>
  <si>
    <t>Sandia Nat. Labs., Albuquerque, NM, USA;Sandia Nat. Labs., Albuquerque, NM, USA;Sandia Nat. Labs., Albuquerque, NM, USA</t>
  </si>
  <si>
    <t>Song Zhang;D. Laidlaw;J. Simon;M. Brown;D. Miller</t>
  </si>
  <si>
    <t>Brown University</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</si>
  <si>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</si>
  <si>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V.A. Slavin;D.H. Laidlaw;R. Pelcovits;Song Zhang;G. Loriot;A. Callan-Jones</t>
  </si>
  <si>
    <t>E. Hueso;I. Pivkin;S. Swartz;D.H. Laidlaw;G. Karniadakis;K. Breuer</t>
  </si>
  <si>
    <t>D. Bradley</t>
  </si>
  <si>
    <t>Carleton University</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</si>
  <si>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</si>
  <si>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Comput. Sci. &amp; Electr. Eng., Stanford Univ., CA, USA</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</si>
  <si>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</si>
  <si>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N. Hoobler;G. Humphreys;M. Agrawala</t>
  </si>
  <si>
    <t>Virginia Univ., Charlottesville, VA, USA;Virginia Univ., Charlottesville, VA, USA</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</si>
  <si>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</si>
  <si>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K.A. Robbins;M. Robinson;D.M. Senseman</t>
  </si>
  <si>
    <t>Texas Univ., San Antonio, TX, USA;Texas Univ., San Antonio, TX, USA;Texas Univ., San Antonio, TX, USA</t>
  </si>
  <si>
    <t>The continuing advancement of plasma science is central to realizing fusion as an inexpensive and safe energy source. Gryokinetic simulations of plasmas are fundamental to the understanding of turbulent transport in fusion plasma. This work discusses the visualization challenges presented by gyrokinetic simulations using magnetic field line following coordinates, and presents an effective solution exploiting programmable graphics hardware to enable interactive volume visualization of 3D plasma flow on a toroidal coordinate system. The new visualization capability can help scientists better understand three-dimensional structures of the modeled phenomena. Both the limitations and future promise of the hardware-accelerated approach are also discussed.</t>
  </si>
  <si>
    <t>David Crawford;Kwan-Liu Ma;Min-Yu Huang;Scott Klasky;Stéphane Ethier</t>
  </si>
  <si>
    <t>D. Crawford;K.-L. Ma;Min-Yu Huang;S. Klasky;S. Ethier</t>
  </si>
  <si>
    <t>D. Guzman;R. Reyes;K. Vega;K. Gaither;R. Wyatt</t>
  </si>
  <si>
    <t>University of Texas at Austin</t>
  </si>
  <si>
    <t>R. Reyes;W. Hodges;K. Gaither</t>
  </si>
  <si>
    <t>G.P. Johnson;K. Gaither;V. Calo</t>
  </si>
  <si>
    <t>We present the current state of Vol-a-Tile, an interactive tool for exploring large volumetric data on scalable tiled displays. Vol-a-Tile presents a variety of features employed by scientists at the Scripps Institution of Oceanography on data collected from the Anatomy of a Ridge-Axis Discontinuity seismic experiment. Hardware texture mapping and level-of-detail techniques provide interactivity. A high-performance network protocol is used to connect remote data sources over high-bandwidth photonic networks.</t>
  </si>
  <si>
    <t>N. Schwarz;S. Venkataraman;Luc Renambot;N. Krishnaprasad;V. Vishwanath;J. Leigh;A. Johnson;G. Kent;A. Nayak</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</si>
  <si>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</si>
  <si>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TU Kaiserslautern, Germany</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</si>
  <si>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</si>
  <si>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F. Sadlo;R. Peikert;E. Parkinson</t>
  </si>
  <si>
    <t>Comput. Sci. Dept., Eidgenossische Tech. Hochschule, Zurich, Switzerland;Comput. Sci. Dept., Eidgenossische Tech. Hochschule, Zurich, Switzerland</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</si>
  <si>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</si>
  <si>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Qiang Du;Xiaoquiang Wang</t>
  </si>
  <si>
    <t>Dept. of Math., Pennsylvania State Univ., University Park, PA, USA;Dept. of Math., Pennsylvania State Univ., University Park, PA, USA</t>
  </si>
  <si>
    <t>Computer graphics has be successfully applied to architecture design. There is more demand to new applications. One of them, to be addressed in this work, is the code checking and visualization of the checking results.</t>
  </si>
  <si>
    <t>Rong Xu;W. Solihin;Zhiyong Huang</t>
  </si>
  <si>
    <t>National University of Singapore and novaCITYNETS Pte. Ltd.</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</si>
  <si>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</si>
  <si>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W.J. Schroeder;B. Geveci;M. Malaterre</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</si>
  <si>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</si>
  <si>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B.H. McCormick;P. Doddapaneni;D. Mayerich;Z. Melek;J. Keyser</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</si>
  <si>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</si>
  <si>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M. Magnor;G. Kindlmann;N. Duric;C. Hansen</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</si>
  <si>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</si>
  <si>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J. Ehret;A. Ebert;L. Schuchardt;H. Steinmetz;H. Hagen</t>
  </si>
  <si>
    <t>German Research Center for Artificial Intelligence</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</si>
  <si>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</si>
  <si>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B. Bustos;D.A. Keim;C. Panse;T. Schreck</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</si>
  <si>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</si>
  <si>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Hans Hagen;Gerhard Steinebach;Michael Münchhofen;Inga Scheler;Maja Ruby;Michael Wadlé</t>
  </si>
  <si>
    <t>H. Hagen;G. Steinebach;M. Munchhofen;I. Scheler;M. Ruby;M. Wadle</t>
  </si>
  <si>
    <t>University of Kaiserslautern</t>
  </si>
  <si>
    <t>G. Bahmutov;V. Popescu;E. Sacks</t>
  </si>
  <si>
    <t>Purdue University</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</si>
  <si>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</si>
  <si>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S. Mehta;K. Hazzard;R. Machiraju;S. Parthasarathy;J. Wilkins</t>
  </si>
  <si>
    <t>Dept. of Comput. Sci. &amp; Eng., Ohio State Univ., Columbus, OH, USA</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</si>
  <si>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</si>
  <si>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Feng Qiu;Ye Zhao;Zhe Fan;Xiaoming Wei;H. Lorenz;Jianning Wang;S. Yoakum-Stover;A. Kaufman;K. Mueller</t>
  </si>
  <si>
    <t>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USA;Dept. of Comput. Sci., Stony Brook Univ., NY, USA</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</si>
  <si>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</si>
  <si>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A.R. Sanderson;C.R. Johnson;R.M. Kirby</t>
  </si>
  <si>
    <t>Sci. Comput. &amp; Imaging Inst., Utah Univ., Salt Lake City, UT, USA;Sci. Comput. &amp; Imaging Inst., Utah Univ., Salt Lake City, UT, USA;Sci. Comput. &amp; Imaging Inst., Utah Univ., Salt Lake City, UT, USA</t>
  </si>
  <si>
    <t>Song Zhang;D.H. Laidlaw</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</si>
  <si>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</si>
  <si>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Nan Zhang;Wei Hong;A. Kaufman</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</si>
  <si>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</si>
  <si>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Arizona Univ., Tucson, AZ, USA</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</si>
  <si>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</si>
  <si>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B. von Rymon-Lipinski;N. Hanssen;T. Jansen;L. Ritter;E. Keeve</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</si>
  <si>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</si>
  <si>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S. Stegmaier;T. Ertl</t>
  </si>
  <si>
    <t>Inst. of Visualization &amp; Interactive Syst., Stuttgart Univ., Germany;Inst. of Visualization &amp; Interactive Syst., Stuttgart Univ., Germany</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</si>
  <si>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</si>
  <si>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D. Akers;A. Sherbondy;R. Mackenzie;R. Dougherty;B. Wandell</t>
  </si>
  <si>
    <t>Stanford Univ., CA, USA;Stanford Univ., CA, USA;Stanford Univ., CA, USA;Stanford Univ., CA, USA;Stanford Univ., CA, USA</t>
  </si>
  <si>
    <t>National University of Singapore</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</si>
  <si>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</si>
  <si>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Michael Griebel;Tobias Preußer;Martin Rumpf;Marc Alexander Schweitzer;Alexandru Telea</t>
  </si>
  <si>
    <t>M. Griebel;T. Preusser;M. Rumpf;M.A. Schweitzer;A. Telea</t>
  </si>
  <si>
    <t>Inst. for Numerical Simulation, Bonn Univ., Germany</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</si>
  <si>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</si>
  <si>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Thomas Wischgoll;Elke Moritz;Jörg Meyer</t>
  </si>
  <si>
    <t>T. Wischgoll;E. Moritz;J. Meyer</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</si>
  <si>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</si>
  <si>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K. Santilli;K. Bemis;D. Silver;J. Dastur;P. Rona</t>
  </si>
  <si>
    <t>Rutgers Univ., NJ, USA;Rutgers Univ., NJ, USA;Rutgers Univ., NJ, USA;Rutgers Univ., NJ, USA;Rutgers Univ., NJ, USA</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</si>
  <si>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</si>
  <si>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Lujin Wang;K. Mueller</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</si>
  <si>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21/spl deg/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</si>
  <si>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Sch. of Comput., Nat. Univ. of Singapore, Singapore;Sch. of Comput., Nat. Univ. of Singapore, Singapore</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</si>
  <si>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</si>
  <si>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M.A. Otaduy;N. Jain;A. Sud;M.C. Lin</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</si>
  <si>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</si>
  <si>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Wei Chen;Liu Ren;M. Zwicker;H. Pfister</t>
  </si>
  <si>
    <t>Zhejiang Univ., Hangzhou, China</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</si>
  <si>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</si>
  <si>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M. Balzer;O. Deussen</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</si>
  <si>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</si>
  <si>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L.M. Hwa;M.A. Duchaineau;K.I. Joy</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</si>
  <si>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</si>
  <si>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D. Jen;P. Parente;J. Robbins;C. Weigle;R.M. Taylor;A. Burette;R. Weinberg</t>
  </si>
  <si>
    <t>Dept. of Comput. Sci., North Carolina Univ., Chapel Hill, NC, USA;Dept. of Comput. Sci., North Carolina Univ., Chapel Hill, NC, USA;Dept. of Comput. Sci., North Carolina Univ., Chapel Hill, NC, USA;Dept. of Comput. Sci., North Carolina Univ., Chapel Hill, NC, USA;Dept. of Comput. Sci., North Carolina Univ., Chapel Hill, NC, USA</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</si>
  <si>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</si>
  <si>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Steven Schkolne;Hiroshi Ishii 0001;Peter Schröder</t>
  </si>
  <si>
    <t>S. Schkolne;H. Ishii;P. Schroder</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</si>
  <si>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</si>
  <si>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Kelly P. Gaither;David S. Ebert;Bill Geisler;David H. Laidlaw</t>
  </si>
  <si>
    <t>Panel 3: The Future Visualization Platform</t>
  </si>
  <si>
    <t>10.1109/VISUAL.2004.78</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</si>
  <si>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</si>
  <si>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G. Schussman;K.-L. Ma</t>
  </si>
  <si>
    <t>http://dx.doi.org/10.1109/VISUAL.2004.78</t>
  </si>
  <si>
    <t>Stanford Linear Accelerator Center, Menlo Park, CA, USA</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</si>
  <si>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</si>
  <si>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Augusto Román;Gaurav Garg;Marc Levoy</t>
  </si>
  <si>
    <t>A. Roman;G. Garg;M. Levoy</t>
  </si>
  <si>
    <t>Comput. Graphics Lab., Stanford Univ., CA, USA;Comput. Graphics Lab., Stanford Univ., CA, USA;Comput. Graphics Lab., Stanford Univ., CA, USA</t>
  </si>
  <si>
    <t>Greg Johnson;David S. Ebert;Charles D. Hansen;David Kirk;Bill Mark;Hanspeter Pfister</t>
  </si>
  <si>
    <t>University of Texas at Austin|c|;;;;;</t>
  </si>
  <si>
    <t>Panel 4: What Should We Teach in a Scientific Visualization Class?</t>
  </si>
  <si>
    <t>10.1109/VISUAL.2004.79</t>
  </si>
  <si>
    <t>http://dx.doi.org/10.1109/VISUAL.2004.79</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</si>
  <si>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</si>
  <si>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Steffen Prohaska;Andrei Hutanu;Ralf Kähler;Hans-Christian Hege</t>
  </si>
  <si>
    <t>S. Prohaska;A. Hutanu;R. Kahler;H.-C. Hege</t>
  </si>
  <si>
    <t>Sci. Visualization Dept., Zuse Inst. Berlin, Germany;Sci. Visualization Dept., Zuse Inst. Berlin, Germany;Sci. Visualization Dept., Zuse Inst. Berlin, Germany;Sci. Visualization Dept., Zuse Inst. Berlin, Germany</t>
  </si>
  <si>
    <t>Jon D. Genetti;Michael J. Bailey;David H. Laidlaw;Robert J. Moorhead II;Ross T. Whitaker</t>
  </si>
  <si>
    <t>University of Alaska Fairbanks|c|;;;;;</t>
  </si>
  <si>
    <t>Physically based methods for tensor field visualization</t>
  </si>
  <si>
    <t>10.1109/VISUAL.2004.80</t>
  </si>
  <si>
    <t>http://dx.doi.org/10.1109/VISUAL.2004.80</t>
  </si>
  <si>
    <t>Ingrid Hotz;Louis Feng;Hans Hagen;Bernd Hamann;Kenneth I. Joy;Boris Jeremic</t>
  </si>
  <si>
    <t>IDAV, California Univ., Davis, CA, USA|c|;;;;;</t>
  </si>
  <si>
    <t>10.1109/VISUAL.1998.745316;10.1109/VISUAL.1999.809894;10.1109/VISUAL.1993.398849;10.1109/VISUAL.2002.1183798;10.1109/VISUAL.1994.346326;10.1109/VISUAL.2002.1183782;10.1109/VISUAL.2002.1183799;10.1109/VISUAL.2003.1250379</t>
  </si>
  <si>
    <t>tensors field, stress tensor, strain tensor, LIC</t>
  </si>
  <si>
    <t>Pixel-exact rendering of spacetime finite element solutions</t>
  </si>
  <si>
    <t>10.1109/VISUAL.2004.81</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</si>
  <si>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</si>
  <si>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http://dx.doi.org/10.1109/VISUAL.2004.81</t>
  </si>
  <si>
    <t>Y. Livnat;X. Tricoche</t>
  </si>
  <si>
    <t>Sci. Comput. &amp; Imaging Inst., Utah Univ., Salt Lake City, UT, USA;Sci. Comput. &amp; Imaging Inst., Utah Univ., Salt Lake City, UT, USA</t>
  </si>
  <si>
    <t>E.C. Wyatt;P. O'Leary</t>
  </si>
  <si>
    <t>Northern Arizona University</t>
  </si>
  <si>
    <t>Yuan Zhou;Michael Garland;Robert Haber</t>
  </si>
  <si>
    <t>Dept. of Comput. Sci., Illinois Univ., Urbana, IL, USA|c|;;</t>
  </si>
  <si>
    <t>10.1109/VISUAL.2000.885704;10.1109/VISUAL.1990.146361;10.1109/VISUAL.2003.1250354;10.1109/VISUAL.2003.1250384;10.1109/VISUAL.2003.1250386</t>
  </si>
  <si>
    <t>pixel-exact visualization, pixel shaders, spacetime finite elements, discontinuous Galerkin methods</t>
  </si>
  <si>
    <t>PQuad: visualization of predicted peptides and proteins</t>
  </si>
  <si>
    <t>10.1109/VISUAL.2004.82</t>
  </si>
  <si>
    <t>http://dx.doi.org/10.1109/VISUAL.2004.82</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</si>
  <si>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</si>
  <si>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T. Urness;V. Interrante;E. Longmire;I. Marusic;B. Ganapathisubramani</t>
  </si>
  <si>
    <t>Susan L. Havre;Mudita Singhal;Deborah A. Payne;Bobbie-Jo M. Webb-Robertson</t>
  </si>
  <si>
    <t>Pacific Northwest Nat. Lab., Richland, WA, USA|c|;;;</t>
  </si>
  <si>
    <t>visualization, metaphor, context, proteomics, differential proteomics, difference visualization</t>
  </si>
  <si>
    <t>Projecting tetrahedra without rendering artifacts</t>
  </si>
  <si>
    <t>10.1109/VISUAL.2004.85</t>
  </si>
  <si>
    <t>http://dx.doi.org/10.1109/VISUAL.2004.85</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</si>
  <si>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</si>
  <si>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D. Ellsworth;B. Green;P. Moran</t>
  </si>
  <si>
    <t>NASA Ames Res. Center, Moffett Field, CA, USA;NASA Ames Res. Center, Moffett Field, CA, USA;NASA Ames Res. Center, Moffett Field, CA, USA</t>
  </si>
  <si>
    <t>Martin Kraus;Wei Qiao;David S. Ebert</t>
  </si>
  <si>
    <t>Purdue Univ., West Lafayette, IN, USA|c|;;</t>
  </si>
  <si>
    <t>10.1109/VISUAL.2000.885683;10.1109/VISUAL.2003.1250390;10.1109/VISUAL.2001.964514;10.1109/VISUAL.2003.1250384</t>
  </si>
  <si>
    <t>volume visualization, volume rendering, cell projection, projected tetrahedra, perspective interpolation, dithering, programmable graphics hardware</t>
  </si>
  <si>
    <t>Quick-VDR: interactive view-dependent rendering of massive models</t>
  </si>
  <si>
    <t>10.1109/VISUAL.2004.86</t>
  </si>
  <si>
    <t>http://dx.doi.org/10.1109/VISUAL.2004.86</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</si>
  <si>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</si>
  <si>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Matej Mlejnek;Anna Vilanova;M. Eduard Gröller</t>
  </si>
  <si>
    <t>M. Mlejnek;A. Vilanova;M.E. Groller</t>
  </si>
  <si>
    <t>ICGA, Vienna Univ. of Technol., Austria</t>
  </si>
  <si>
    <t>Sung-Eui Yoon;Brian Salomon;Russell Gayle;Dinesh Manocha</t>
  </si>
  <si>
    <t>10.1109/VISUAL.2002.1183760;10.1109/VISUAL.2003.1250366;10.1109/VISUAL.2001.964503;10.1109/VISUAL.2002.1183796;10.1109/VISUAL.1998.745282;10.1109/VISUAL.2001.964534;10.1109/VISUAL.2003.1250368;10.1109/VISUAL.2001.964502</t>
  </si>
  <si>
    <t>Interactive display, view-dependent rendering, occlusion culling, external-memory algorithm, levels-of-detail</t>
  </si>
  <si>
    <t>Radial hermite operators for scattered point cloud data with normal vectors and applications to implicitizing polygon mesh surfaces for generalized CSG operations and smoothing</t>
  </si>
  <si>
    <t>10.1109/VISUAL.2004.87</t>
  </si>
  <si>
    <t>http://dx.doi.org/10.1109/VISUAL.2004.87</t>
  </si>
  <si>
    <t>Y. Takeshima;S. Takahashi;I. Fujishiro;G.M. Nielson</t>
  </si>
  <si>
    <t>JAERI</t>
  </si>
  <si>
    <t>Arizona State Univ., AZ, USA|c|</t>
  </si>
  <si>
    <t>10.1109/VISUAL.2002.1183766;10.1109/VISUAL.2003.1250358;10.1109/VISUAL.2004.28;10.1109/VISUAL.2002.1183782;10.1109/VISUAL.1996.567602;10.1109/VISUAL.2002.1183808;10.1109/VISUAL.2003.1250398;10.1109/VISUAL.2003.1250359</t>
  </si>
  <si>
    <t>Surface reconstruction, point clouds, isosurfaces, polygon mesh</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</si>
  <si>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</si>
  <si>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Real-time motion estimation and visualization on graphics cards</t>
  </si>
  <si>
    <t>D. Rose;K. Bidmon;T. Ertl</t>
  </si>
  <si>
    <t>10.1109/VISUAL.2004.88</t>
  </si>
  <si>
    <t>http://dx.doi.org/10.1109/VISUAL.2004.88</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</si>
  <si>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</si>
  <si>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Robert S. Laramee;Daniel Weiskopf;Jürgen Schneider;Helwig Hauser</t>
  </si>
  <si>
    <t>R.S. Laramee;D. Weiskopf;J. Schneider;H. Hauser</t>
  </si>
  <si>
    <t>Robert Strzodka;Christoph S. Garbe</t>
  </si>
  <si>
    <t>VRV, Vienna, Austria</t>
  </si>
  <si>
    <t>Caesar Res. Center, Bonn, Germany|c|;</t>
  </si>
  <si>
    <t>10.1109/VISUAL.1999.809934;10.1109/VISUAL.2003.1250361;10.1109/VISUAL.2003.1250401;10.1109/VISUAL.2003.1250357</t>
  </si>
  <si>
    <t>motion estimation, motion visualization, structure tensor, eigenvector analysis, real-time processing, graphics hardware</t>
  </si>
  <si>
    <t>Real-Time Volume Rendering of Four Channel Data Sets</t>
  </si>
  <si>
    <t>10.1109/VISUAL.2004.89</t>
  </si>
  <si>
    <t>http://dx.doi.org/10.1109/VISUAL.2004.89</t>
  </si>
  <si>
    <t>J�_rgen P. Schulze;Alexander Rice</t>
  </si>
  <si>
    <t>Automatic Fast Detection of Tumor Suspect Areas on CT Scan</t>
  </si>
  <si>
    <t>10.1109/VISUAL.2004.9</t>
  </si>
  <si>
    <t>http://dx.doi.org/10.1109/VISUAL.2004.9</t>
  </si>
  <si>
    <t>Michael Brasher;Robert Haimes</t>
  </si>
  <si>
    <t>Polytechnique de Mons|c|;;</t>
  </si>
  <si>
    <t>Rendering implicit flow volumes</t>
  </si>
  <si>
    <t>10.1109/VISUAL.2004.90</t>
  </si>
  <si>
    <t>http://dx.doi.org/10.1109/VISUAL.2004.90</t>
  </si>
  <si>
    <t>Daqing Xue;Caixia Zhang;Roger Crawfis</t>
  </si>
  <si>
    <t>Dept. of Comput. Sci. &amp; Eng., Ohio State Univ., Columbus, OH, USA|c|;;</t>
  </si>
  <si>
    <t>10.1109/VISUAL.2001.964519;10.1109/VISUAL.1993.398846;10.1109/VISUAL.2000.885688;10.1109/VISUAL.1991.175789;10.1109/VISUAL.2003.1250364;10.1109/VISUAL.1992.235211;10.1109/VISUAL.1996.567777;10.1109/VISUAL.2000.885704;10.1109/VISUAL.1999.809909;10.1109/VISUAL.2003.1250376;10.1109/VISUAL.2003.1250377;10.1109/VISUAL.1993.398875;10.1109/VISUAL.2003.1250378;10.1109/VISUAL.1999.809892</t>
  </si>
  <si>
    <t>interval volume rendering, implicit stream flow, flow visualization, graphics hardware</t>
  </si>
  <si>
    <t>Rendering planar cuts through quadratic and cubic finite elements</t>
  </si>
  <si>
    <t>10.1109/VISUAL.2004.91</t>
  </si>
  <si>
    <t>http://dx.doi.org/10.1109/VISUAL.2004.91</t>
  </si>
  <si>
    <t>Aerosp. Computational Design Lab., MIT, MA, USA|c|;</t>
  </si>
  <si>
    <t>Higher Order Elements, Programmable Shaders, Cut-planes</t>
  </si>
  <si>
    <t>Rough interface reconstruction using the level set method</t>
  </si>
  <si>
    <t>10.1109/VISUAL.2004.94</t>
  </si>
  <si>
    <t>http://dx.doi.org/10.1109/VISUAL.2004.94</t>
  </si>
  <si>
    <t>P.G. Sibley;G. Taubin</t>
  </si>
  <si>
    <t>Yootai Kim;Raghu Machiraju;David S. Thompson</t>
  </si>
  <si>
    <t>point sampled data, surface reconstruction, level set method, shock filter, total variation preserving, rough surface</t>
  </si>
  <si>
    <t>Scout: a hardware-accelerated system for quantitatively driven visualization and analysis</t>
  </si>
  <si>
    <t>10.1109/VISUAL.2004.95</t>
  </si>
  <si>
    <t>http://dx.doi.org/10.1109/VISUAL.2004.95</t>
  </si>
  <si>
    <t>G. Elisabeta Marai;Çagatay Demiralp;Stuart Andrews;David H. Laidlaw</t>
  </si>
  <si>
    <t>G.E. Marai;C. Demiralp;S. Andrews;D.H. Laidlaw</t>
  </si>
  <si>
    <t>Patrick S. McCormick;Jeff T. Inman;James P. Ahrens;Charles D. Hansen;Greg Roth</t>
  </si>
  <si>
    <t>Advanced Comput. Lab., Los Alamos Nat. Lab., NM, USA|c|;;;;</t>
  </si>
  <si>
    <t>10.1109/VISUAL.1995.480821;10.1109/VISUAL.1999.809864;10.1109/VISUAL.2001.964519;10.1109/VISUAL.2003.1250357</t>
  </si>
  <si>
    <t>Visualization systems, hardware acceleration, multi-variate visualization, volume rendering</t>
  </si>
  <si>
    <t>Simplifying flexible isosurfaces using local geometric measures</t>
  </si>
  <si>
    <t>10.1109/VISUAL.2004.96</t>
  </si>
  <si>
    <t>http://dx.doi.org/10.1109/VISUAL.2004.96</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</si>
  <si>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</si>
  <si>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W.S. Geisler</t>
  </si>
  <si>
    <t>Dept. of Psychol., Texas Univ., Austin, TX, USA</t>
  </si>
  <si>
    <t>Hamish A. Carr;Jack Snoeyink;Michiel van de Panne</t>
  </si>
  <si>
    <t>10.1109/VISUAL.2001.964499;10.1109/VISUAL.2002.1183774</t>
  </si>
  <si>
    <t>Isosurfaces, contourtrees, topological simplification</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</si>
  <si>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</si>
  <si>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STEPS - an application for simulation of transsphenoidal endonasal pituitary surgery</t>
  </si>
  <si>
    <t>10.1109/VISUAL.2004.98</t>
  </si>
  <si>
    <t>C.H. Lee;Xuejun Hao;A. Varshney</t>
  </si>
  <si>
    <t>Dept. of Comput. Sci., Maryland Univ., College Park, MD, USA;Dept. of Comput. Sci., Maryland Univ., College Park, MD, USA;Dept. of Comput. Sci., Maryland Univ., College Park, MD, USA</t>
  </si>
  <si>
    <t>http://dx.doi.org/10.1109/VISUAL.2004.98</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</si>
  <si>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</si>
  <si>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S. Lakare;A. Kaufman</t>
  </si>
  <si>
    <t>Dept. of Comput. Sci., Stony Brook Univ., NY, USA;Dept. of Comput. Sci., Stony Brook Univ., NY, USA</t>
  </si>
  <si>
    <t>Andr̩ Neubauer 0002;Stefan Wolfsberger;Marie-Th̩r̬se Forster;Lukas Mroz;Rainer Wegenkittl;Katja B�_hler</t>
  </si>
  <si>
    <t>VRVis Res. Center, Vienna, Austria|c|;;;;;</t>
  </si>
  <si>
    <t>10.1109/VISUAL.2000.885732;10.1109/VISUAL.2000.885702;10.1109/VISUAL.2000.885673</t>
  </si>
  <si>
    <t>virtual endoscopy, ray casting, iso-surfacing, pituitary surgery</t>
  </si>
  <si>
    <t>Stream line and path line oriented topology for 2D time-dependent vector fields</t>
  </si>
  <si>
    <t>10.1109/VISUAL.2004.99</t>
  </si>
  <si>
    <t>http://dx.doi.org/10.1109/VISUAL.2004.99</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</si>
  <si>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</si>
  <si>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E.B. Lum;K.-L. Ma</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</si>
  <si>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</si>
  <si>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Alireza Entezari;Ramsay Dyer;Torsten Möller</t>
  </si>
  <si>
    <t>A. Entezari;R. Dyer;T. Moller</t>
  </si>
  <si>
    <t>Graphics, Usability, &amp; Visualization Lab., Simon Fraser Univ., Burnaby, BC, Canada;Graphics, Usability, &amp; Visualization Lab., Simon Fraser Univ., Burnaby, BC, Canada;Graphics, Usability, &amp; Visualization Lab., Simon Fraser Univ., Burnaby, BC, Canada</t>
  </si>
  <si>
    <t>10.1109/VISUAL.1999.809907;10.1109/VISUAL.2000.885714;10.1109/VISUAL.1993.398849;10.1109/VISUAL.1991.175773;10.1109/VISUAL.1996.567777;10.1109/VISUAL.2000.885716;10.1109/VISUAL.2001.964507;10.1109/VISUAL.2003.1250376</t>
  </si>
  <si>
    <t>flow visualization, vector field topology, bifurcations, stream lines, path lines</t>
  </si>
  <si>
    <t>Baby names, visualization, and social data analysis</t>
  </si>
  <si>
    <t>10.1109/INFVIS.2005.1532122</t>
  </si>
  <si>
    <t>http://dx.doi.org/10.1109/INFVIS.2005.1532122</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</si>
  <si>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</si>
  <si>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D.J. Duke</t>
  </si>
  <si>
    <t>IBM Res., White Plains, NY|c|</t>
  </si>
  <si>
    <t>10.1109/INFVIS.2004.8;10.1109/INFVIS.2000.885098</t>
  </si>
  <si>
    <t>Design Study, Time-Varying Data Visualization, Human-Computer Interaction</t>
  </si>
  <si>
    <t>A sky dome visualisation for identification of astronomical orientations</t>
  </si>
  <si>
    <t>10.1109/INFVIS.2005.1532123</t>
  </si>
  <si>
    <t>http://dx.doi.org/10.1109/INFVIS.2005.1532123</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</si>
  <si>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</si>
  <si>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Xiaohong Bao;R. Pajarola;M. Shafae</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</si>
  <si>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</si>
  <si>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Georg Zotti;Eduard Gr̦ller</t>
  </si>
  <si>
    <t>Inst. of Comput. Graphics &amp; Algorithms, Vienna Univ. of Technol.|c|;</t>
  </si>
  <si>
    <t>H. Edelsbrunner;J. Harer;V. Natarajan;V. Pascucci</t>
  </si>
  <si>
    <t xml:space="preserve"> Archaeology, Astronomy, data mining</t>
  </si>
  <si>
    <t>Dept. of Comput. Sci. &amp; Math., Duke Univ., Durham, NC, USA</t>
  </si>
  <si>
    <t>Interactive visualization of genealogical graphs</t>
  </si>
  <si>
    <t>10.1109/INFVIS.2005.1532124</t>
  </si>
  <si>
    <t>http://dx.doi.org/10.1109/INFVIS.2005.1532124</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</si>
  <si>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</si>
  <si>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Dept. of Comput. Sci., Nat. Taiwan Ocean Univ., Keelung, Taiwan;Dept. of Comput. Sci., Nat. Taiwan Ocean Univ., Keelung, Taiwan;Dept. of Comput. Sci., Nat. Taiwan Ocean Univ., Keelung, Taiwan</t>
  </si>
  <si>
    <t>Michael J. McGuffin;Ravin Balakrishnan</t>
  </si>
  <si>
    <t>Dept. of Comput. Sci., Toronto Univ., Ont.|c|;</t>
  </si>
  <si>
    <t>10.1109/INFVIS.2004.21;10.1109/INFVIS.1997.636718;10.1109/VISUAL.1991.175815;10.1109/INFVIS.2002.1173148</t>
  </si>
  <si>
    <t>genealogy, genealogies, family trees, kinship, multi-trees, graph drawing, graph theory, graph browsing and navigation</t>
  </si>
  <si>
    <t>The visual code navigator: an interactive toolset for source code investigation</t>
  </si>
  <si>
    <t>10.1109/INFVIS.2005.1532125</t>
  </si>
  <si>
    <t>http://dx.doi.org/10.1109/INFVIS.2005.1532125</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</si>
  <si>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</si>
  <si>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A. Gillet;M. Sanner;D. Stoffler;D. Goodsell;A. Olson</t>
  </si>
  <si>
    <t>Gerard Lommerse;Freek Nossin;Lucian Voinea;Alexandru Telea</t>
  </si>
  <si>
    <t>Technische Universiteit Eindhoven|c|;;;</t>
  </si>
  <si>
    <t>10.1109/INFVIS.1999.801860;10.1109/VISUAL.2001.964495</t>
  </si>
  <si>
    <t>source code visualization, multiple views, treemaps, pixel-filling displays, source code analysis</t>
  </si>
  <si>
    <t>Vizster: visualizing online social networks</t>
  </si>
  <si>
    <t>10.1109/INFVIS.2005.1532126</t>
  </si>
  <si>
    <t>http://dx.doi.org/10.1109/INFVIS.2005.1532126</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</si>
  <si>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</si>
  <si>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A. Li;K. Mueller;T. Ernst</t>
  </si>
  <si>
    <t>Comput. Sci. Dept., State Univ. of New York, Stony Brook, NY, USA;Comput. Sci. Dept., State Univ. of New York, Stony Brook, NY, USA</t>
  </si>
  <si>
    <t>Jeffrey Heer;Danah Boyd</t>
  </si>
  <si>
    <t>Comput. Sci. Div., California Univ., Berkeley, CA|c|;</t>
  </si>
  <si>
    <t>social networks, visualization, graphs, community,data mining, exploration, play</t>
  </si>
  <si>
    <t>PRISAD: a partitioned rendering infrastructure for scalable accordion drawing</t>
  </si>
  <si>
    <t>10.1109/INFVIS.2005.1532127</t>
  </si>
  <si>
    <t>http://dx.doi.org/10.1109/INFVIS.2005.1532127</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</si>
  <si>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</si>
  <si>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James Slack;Kristian Hildebrand;Tamara Munzner</t>
  </si>
  <si>
    <t>British Columbia Univ., Vancouver, BC, Canada|c|;;</t>
  </si>
  <si>
    <t>10.1109/INFVIS.2002.1173156;10.1109/INFVIS.2004.64</t>
  </si>
  <si>
    <t>Z. Melek;J. Keyser</t>
  </si>
  <si>
    <t>Focus+Context, Information Visualization, Real Time Rendering, Progressive Rendering</t>
  </si>
  <si>
    <t>Voronoi treemaps</t>
  </si>
  <si>
    <t>10.1109/INFVIS.2005.1532128</t>
  </si>
  <si>
    <t>http://dx.doi.org/10.1109/INFVIS.2005.1532128</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</si>
  <si>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</si>
  <si>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Alexandra La Cruz;Matús Straka;Arnold Köchl;Milos Srámek;M. Eduard Gröller;Dominik Fleischmann</t>
  </si>
  <si>
    <t>A. La Cruz;M. Straka;A. Kochl;M. Sramek;E. Groller;D. Fleischmann</t>
  </si>
  <si>
    <t>Vienna Univ. of Technol., Austria</t>
  </si>
  <si>
    <t>10.1109/INFVIS.2004.19;10.1109/INFVIS.2001.963283;10.1109/VISUAL.1991.175815;10.1109/VISUAL.2004.13;10.1109/VISUAL.1992.235217;10.1109/INFVIS.1999.801860</t>
  </si>
  <si>
    <t>Voronoi Treemaps, Information Visualization, Hierarchies, Trees, Treemaps, Voronoi Tessellations</t>
  </si>
  <si>
    <t>Elastic hierarchies: combining treemaps and node-link diagrams</t>
  </si>
  <si>
    <t>10.1109/INFVIS.2005.1532129</t>
  </si>
  <si>
    <t>http://dx.doi.org/10.1109/INFVIS.2005.1532129</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</si>
  <si>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</si>
  <si>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Shengdong Zhao;Michael J. McGuffin;Mark H. Chignell</t>
  </si>
  <si>
    <t>Toronto Univ., Ont., Canada|c|;;</t>
  </si>
  <si>
    <t>10.1109/INFVIS.2000.885091;10.1109/INFVIS.2002.1173148</t>
  </si>
  <si>
    <t>Elastic Hierarchies, Treemaps, node-link diagrams, hybrids, combinations, overview+detail, multiple views, trees, interaction techniques, interactive visualization</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</si>
  <si>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</si>
  <si>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Yuan Chen;J. Cohen;S. Kumar</t>
  </si>
  <si>
    <t>Johns Hopkins University</t>
  </si>
  <si>
    <t>Dig-CoLa: directed graph layout through constrained energy minimization</t>
  </si>
  <si>
    <t>10.1109/INFVIS.2005.1532130</t>
  </si>
  <si>
    <t>http://dx.doi.org/10.1109/INFVIS.2005.1532130</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</si>
  <si>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</si>
  <si>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M. Jin;Y. Wang;S.-T. Yau;X. Gu</t>
  </si>
  <si>
    <t>Tim Dwyer;Yehuda Koren</t>
  </si>
  <si>
    <t>Sch. of Comput. Sci. &amp; Software Eng., Monash Univ., Australia|c|;</t>
  </si>
  <si>
    <t>Dynamic visualization of graphs with extended labels</t>
  </si>
  <si>
    <t>10.1109/INFVIS.2005.1532131</t>
  </si>
  <si>
    <t>http://dx.doi.org/10.1109/INFVIS.2005.1532131</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</si>
  <si>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</si>
  <si>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T. Rhyne;B. Hibbard;C. Johnson;Chaomei Chen;S. Eick</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</si>
  <si>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</si>
  <si>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K. Gaither;D. Ebert;B. Geisler;D. Laidlaw</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</si>
  <si>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</si>
  <si>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G. Johnson;D. Ebert;C. Hansen;D. Kirk;B. Mark;H. Pfister</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</si>
  <si>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</si>
  <si>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J.D. Genetti;M.J. Bailey;D.H. Laidlaw;R.J. Moorhead;R.T. Whitaker</t>
  </si>
  <si>
    <t>University of Alaska Fairbanks</t>
  </si>
  <si>
    <t>Pak Chung Wong;Patrick Mackey;Ken Perrine;James R. Eagan;Harlan Foote;James J. Thomas</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</si>
  <si>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</si>
  <si>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I. Hotz;L. Feng;H. Hagen;B. Hamann;K. Joy;B. Jeremic</t>
  </si>
  <si>
    <t>Pacific Northwest Nat. Lab., Richland, WA, USA|c|;;;;;</t>
  </si>
  <si>
    <t>IDAV, California Univ., Davis, CA, USA;IDAV, California Univ., Davis, CA, USA</t>
  </si>
  <si>
    <t>Graph Label Placement, Dynamic Animation, Graph Visualization, Information Visualization</t>
  </si>
  <si>
    <t>An evaluation of content browsing techniques for hierarchical space-filling visualizations</t>
  </si>
  <si>
    <t>10.1109/INFVIS.2005.1532132</t>
  </si>
  <si>
    <t>http://dx.doi.org/10.1109/INFVIS.2005.1532132</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</si>
  <si>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</si>
  <si>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Yuan Zhou;M. Garland;R. Haber</t>
  </si>
  <si>
    <t>Kang Shi;Pourang Irani;Pak Ching Li</t>
  </si>
  <si>
    <t>Dept. of Comput. Sci., Manitoba Univ., Winnipeg, Man., Canada|c|;;</t>
  </si>
  <si>
    <t>10.1109/INFVIS.2000.885091;10.1109/INFVIS.2004.21</t>
  </si>
  <si>
    <t>browsing, distortion, hierarchy navigation, focus+context, drill-down, space-filling visualization, TreeMap, semantic zooming</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</si>
  <si>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</si>
  <si>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Turning the bucket of text into a pipe</t>
  </si>
  <si>
    <t>10.1109/INFVIS.2005.1532133</t>
  </si>
  <si>
    <t>S.L. Havre;M. Singhal;D.A. Payne;B.-J.M. Webb-Robertson</t>
  </si>
  <si>
    <t>http://dx.doi.org/10.1109/INFVIS.2005.1532133</t>
  </si>
  <si>
    <t>Pacific Northwest Nat. Lab., Richland, WA, USA;Pacific Northwest Nat. Lab., Richland, WA, USA;Pacific Northwest Nat. Lab., Richland, WA, USA;Pacific Northwest Nat. Lab., Richland, WA, USA</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</si>
  <si>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</si>
  <si>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M. Kraus;Wei Qiao;D.S. Ebert</t>
  </si>
  <si>
    <t>Purdue Univ., West Lafayette, IN, USA;Purdue Univ., West Lafayette, IN, USA;Purdue Univ., West Lafayette, IN, USA</t>
  </si>
  <si>
    <t>Elizabeth G. Hetzler;Vernon L. Crow;Deborah A. Payne;Alan Turner</t>
  </si>
  <si>
    <t>10.1109/INFVIS.2001.963274;10.1109/INFVIS.2002.1173160;10.1109/INFVIS.2003.1249014;10.1109/INFVIS.1999.801853</t>
  </si>
  <si>
    <t>Information Visualization, Dynamic visualization, User interaction design, real-time updating</t>
  </si>
  <si>
    <t>Visual correlation for situational awareness</t>
  </si>
  <si>
    <t>10.1109/INFVIS.2005.1532134</t>
  </si>
  <si>
    <t>http://dx.doi.org/10.1109/INFVIS.2005.1532134</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</si>
  <si>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</si>
  <si>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Sung-Eui Yoon;B. Salomon;R. Gayle;D. Manocha</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</si>
  <si>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</si>
  <si>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Arizona State Univ., AZ, USA</t>
  </si>
  <si>
    <t>Yarden Livnat;James Agutter;Shaun Moon;Stefano Foresti</t>
  </si>
  <si>
    <t>situation awareness, network intrusion, visualization</t>
  </si>
  <si>
    <t>Highlighting conflict dynamics in event data</t>
  </si>
  <si>
    <t>10.1109/INFVIS.2005.1532135</t>
  </si>
  <si>
    <t>http://dx.doi.org/10.1109/INFVIS.2005.1532135</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</si>
  <si>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320/spl times/240 images. We expect that on the newest generation of graphics hardware our tool could run in real time for the standard VGA format.</t>
  </si>
  <si>
    <t>R. Strzodka;C. Garbe</t>
  </si>
  <si>
    <t>Caesar Res. Center, Bonn, Germany</t>
  </si>
  <si>
    <t>We present a novel method to encode four data channels in a volumetric data set, and render it at interactive frame rates with maximum intensity projection (MIP) using textured polygons. The first three channels are stored in the volume texture’s red, green, and blue components. The fourth channel is stored in the alpha channel. To achieve real-time rendering speed we are using a pixel shader.</t>
  </si>
  <si>
    <t>Jürgen P. Schulze;Alexander Rice</t>
  </si>
  <si>
    <t>J.P. Schulze;A. Rice</t>
  </si>
  <si>
    <t>Ulrik Brandes;Daniel Fleischer;J�_rgen Lerner</t>
  </si>
  <si>
    <t>Dept. of Comput. &amp; Inf. Sci., Konstanz Univ., Germany|c|;;</t>
  </si>
  <si>
    <t>M. Mancas;B. Gosselin;B. Macq</t>
  </si>
  <si>
    <t>information visualization, text mining, event analysis, time-dependent visualization</t>
  </si>
  <si>
    <t>Polytechnique de Mons</t>
  </si>
  <si>
    <t>Low-level components of analytic activity in information visualization</t>
  </si>
  <si>
    <t>10.1109/INFVIS.2005.1532136</t>
  </si>
  <si>
    <t>http://dx.doi.org/10.1109/INFVIS.2005.1532136</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</si>
  <si>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</si>
  <si>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D. Xue;C. Zhang;R. Crawfis</t>
  </si>
  <si>
    <t>Dept. of Comput. Sci. &amp; Eng., Ohio State Univ., Columbus, OH, USA;Dept. of Comput. Sci. &amp; Eng., Ohio State Univ., Columbus, OH, USA;Dept. of Comput. Sci. &amp; Eng., Ohio State Univ., Columbus, OH, USA</t>
  </si>
  <si>
    <t>Robert A. Amar;James R. Eagan;John T. Stasko</t>
  </si>
  <si>
    <t>Coll. of Comput., Georgia Inst. of Technol., Atlanta, GA, USA|c|;;</t>
  </si>
  <si>
    <t>10.1109/VISUAL.1990.146375;10.1109/INFVIS.1998.729560;10.1109/INFVIS.2000.885092;10.1109/INFVIS.2004.5;10.1109/INFVIS.2001.963289</t>
  </si>
  <si>
    <t>Analytic activity, taxonomy, knowledge discovery, design, evaluation</t>
  </si>
  <si>
    <t>Simple 3D glyphs for spatial multivariate data</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</si>
  <si>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</si>
  <si>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10.1109/INFVIS.2005.1532137</t>
  </si>
  <si>
    <t>M. Brasher;R. Haimes</t>
  </si>
  <si>
    <t>Aerosp. Computational Design Lab., MIT, MA, USA;Aerosp. Computational Design Lab., MIT, MA, USA</t>
  </si>
  <si>
    <t>http://dx.doi.org/10.1109/INFVIS.2005.1532137</t>
  </si>
  <si>
    <t>Camilla Forsell;Stefan Seipel;Mats Lind</t>
  </si>
  <si>
    <t>multidimensional visualization, perception, 3D glyphs</t>
  </si>
  <si>
    <t>Revealing structure within clustered parallel coordinates displays</t>
  </si>
  <si>
    <t>10.1109/INFVIS.2005.1532138</t>
  </si>
  <si>
    <t>http://dx.doi.org/10.1109/INFVIS.2005.1532138</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</si>
  <si>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</si>
  <si>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Y. Kim;Raghu Machiraju;D. Thompson</t>
  </si>
  <si>
    <t>Jimmy Johansson;Patric Ljung;Mikael Jern;Matthew D. Cooper</t>
  </si>
  <si>
    <t>Norrkoping Visualization &amp; Interaction Studio, Linkoping Univ., Sweden|c|;;;</t>
  </si>
  <si>
    <t>10.1109/VISUAL.1990.146402;10.1109/VISUAL.1999.809866;10.1109/INFVIS.2004.68</t>
  </si>
  <si>
    <t>Parallel coordinates, clustering, transfer function, feature animation</t>
  </si>
  <si>
    <t>Parallel sets: visual analysis of categorical data</t>
  </si>
  <si>
    <t>10.1109/INFVIS.2005.1532139</t>
  </si>
  <si>
    <t>http://dx.doi.org/10.1109/INFVIS.2005.1532139</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</si>
  <si>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</si>
  <si>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P.S. McCormick;J. Inman;J.P. Ahrens;C. Hansen;G. Roth</t>
  </si>
  <si>
    <t>Advanced Comput. Lab., Los Alamos Nat. Lab., NM, USA;Advanced Comput. Lab., Los Alamos Nat. Lab., NM, USA;Advanced Comput. Lab., Los Alamos Nat. Lab., NM, USA</t>
  </si>
  <si>
    <t>Fabian Bendix;Robert Kosara;Helwig Hauser</t>
  </si>
  <si>
    <t>10.1109/VISUAL.1990.146386;10.1109/VISUAL.1990.146402;10.1109/INFVIS.2003.1249016;10.1109/INFVIS.2002.1173157</t>
  </si>
  <si>
    <t xml:space="preserve"> categorical data, meta information, interaction</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</si>
  <si>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</si>
  <si>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Multivariate glyphs for multi-object clusters</t>
  </si>
  <si>
    <t>H. Carr;J. Snoeyink;M. van de Panne</t>
  </si>
  <si>
    <t>10.1109/INFVIS.2005.1532140</t>
  </si>
  <si>
    <t>http://dx.doi.org/10.1109/INFVIS.2005.1532140</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</si>
  <si>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</si>
  <si>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André Neubauer 0002;Stefan Wolfsberger;Marie-Thérèse Forster;Lukas Mroz;Rainer Wegenkittl;Katja Bühler</t>
  </si>
  <si>
    <t>A. Neubauer;L. Mroz;S. Wolfsberger;R. Wegenkittl;M.-T. Forster;K. Buhler</t>
  </si>
  <si>
    <t>VRVis Res. Center, Vienna, Austria</t>
  </si>
  <si>
    <t>BA</t>
  </si>
  <si>
    <t>Eleanor Boyle Chlan;Penny Rheingans</t>
  </si>
  <si>
    <t>Whiting Sch. of Eng., Johns Hopkins Univ., Baltiomore, MD, USA|c|;</t>
  </si>
  <si>
    <t>10.1109/INFVIS.1995.528691;10.1109/VISUAL.1996.568111;10.1109/VISUAL.1999.809866;10.1109/VISUAL.2000.885677</t>
  </si>
  <si>
    <t>information visualization, multivariate visualization, distribution, aggregated data</t>
  </si>
  <si>
    <t>An interactive 3D integration of parallel coordinates and star glyphs</t>
  </si>
  <si>
    <t>10.1109/INFVIS.2005.1532141</t>
  </si>
  <si>
    <t>http://dx.doi.org/10.1109/INFVIS.2005.1532141</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</si>
  <si>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</si>
  <si>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Max-Planck-Inst. fur Inf., Saarbrucken, Germany</t>
  </si>
  <si>
    <t>2005</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</si>
  <si>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</si>
  <si>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</si>
  <si>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Georg Zotti;Eduard Gröller</t>
  </si>
  <si>
    <t>G. Zotti;M.E. Groller</t>
  </si>
  <si>
    <t>Elena Fanea;M. Sheelagh T. Carpendale;Tobias Isenberg 0001</t>
  </si>
  <si>
    <t>10.1109/VISUAL.1995.485139;10.1109/INFVIS.2003.1249024;10.1109/INFVIS.2003.1249008;10.1109/INFVIS.2002.1173157;10.1109/INFVIS.2004.71;10.1109/INFVIS.2003.1249015;10.1109/INFVIS.2004.15;10.1109/INFVIS.2004.68;10.1109/VISUAL.1999.809866;10.1109/INFVIS.2002.1173151;10.1109/VISUAL.1994.346302;10.1109/VISUAL.1997.663866;10.1109/VISUAL.1990.146402</t>
  </si>
  <si>
    <t>Parallel Glyphs, parallel coordinates, star glyphs, multi-dimensional data sets, 3D visualization</t>
  </si>
  <si>
    <t>Graph-theoretic scagnostics</t>
  </si>
  <si>
    <t>10.1109/INFVIS.2005.1532142</t>
  </si>
  <si>
    <t>http://dx.doi.org/10.1109/INFVIS.2005.1532142</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</si>
  <si>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</si>
  <si>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M.J. McGuffin;R. Balakrishnan</t>
  </si>
  <si>
    <t>Leland Wilkinson;Anushka Anand;Robert L. Grossman</t>
  </si>
  <si>
    <t>SPSS Inc., Chicago, IL, USA|c|;;</t>
  </si>
  <si>
    <t>10.1109/INFVIS.2003.1249006;10.1109/INFVIS.2004.3;10.1109/INFVIS.2004.15</t>
  </si>
  <si>
    <t>visualization, statistical graphics</t>
  </si>
  <si>
    <t>Visualizing coordination in situ</t>
  </si>
  <si>
    <t>10.1109/INFVIS.2005.1532143</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</si>
  <si>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</si>
  <si>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http://dx.doi.org/10.1109/INFVIS.2005.1532143</t>
  </si>
  <si>
    <t>G. Lommerse;F. Nossin;L. Voinea;A. Telea</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</si>
  <si>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</si>
  <si>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J. Heer;D. Boyd</t>
  </si>
  <si>
    <t>Comput. Sci. Dept., Univ. of Wisconsin-Madison, Madison, WI, USA|c|</t>
  </si>
  <si>
    <t>10.1109/INFVIS.2002.1173141;10.1109/INFVIS.2004.12;10.1109/INFVIS.2004.64;10.1109/INFVIS.1996.559213;10.1109/INFVIS.1997.636792;10.1109/INFVIS.2002.1173142;10.1109/INFVIS.2000.885092;10.1109/INFVIS.2002.1173163</t>
  </si>
  <si>
    <t>coordination, exploratory visualization, linked views, software visualization, metavisualization</t>
  </si>
  <si>
    <t>Two-tone pseudo coloring: compact visualization for one-dimensional data</t>
  </si>
  <si>
    <t>10.1109/INFVIS.2005.1532144</t>
  </si>
  <si>
    <t>http://dx.doi.org/10.1109/INFVIS.2005.1532144</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</si>
  <si>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</si>
  <si>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J. Slack;K. Hildebrand;T. Munzner</t>
  </si>
  <si>
    <t>British Columbia Univ., Vancouver, BC, Canada</t>
  </si>
  <si>
    <t>Takafumi Saito;Hiroko Miyamura;Mitsuyoshi Yamamoto;Hiroki Saito;Yuka Hoshiya;Takumi Kaseda</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</si>
  <si>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</si>
  <si>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Tokyo Univ. of Agric. &amp; Technol., Japan|c|;;;;;</t>
  </si>
  <si>
    <t>pseudo color, overview, detail, focus+context, data density</t>
  </si>
  <si>
    <t>Dept. of Comput. &amp; Inf. Sci., Konstanz Univ., Germany;Dept. of Comput. &amp; Inf. Sci., Konstanz Univ., Germany</t>
  </si>
  <si>
    <t>A note on space-filling visualizations and space-filling curves</t>
  </si>
  <si>
    <t>10.1109/INFVIS.2005.1532145</t>
  </si>
  <si>
    <t>http://dx.doi.org/10.1109/INFVIS.2005.1532145</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</si>
  <si>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</si>
  <si>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Shengdong Zhao;M.J. McGuffin;M.H. Chignell</t>
  </si>
  <si>
    <t>Toronto Univ., Ont., Canada;Toronto Univ., Ont., Canada;Toronto Univ., Ont., Canada</t>
  </si>
  <si>
    <t>IBM Res., White Plains, NY, USA|c|</t>
  </si>
  <si>
    <t>10.1109/INFVIS.2001.963283;10.1109/INFVIS.2002.1173152</t>
  </si>
  <si>
    <t>Hierarchy Visualization</t>
  </si>
  <si>
    <t>An optimization-based approach to dynamic visual context management</t>
  </si>
  <si>
    <t>10.1109/INFVIS.2005.1532146</t>
  </si>
  <si>
    <t>http://dx.doi.org/10.1109/INFVIS.2005.1532146</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</si>
  <si>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</si>
  <si>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T. Dwyer;Y. Koren</t>
  </si>
  <si>
    <t>Sch. of Comput. Sci. &amp; Software Eng., Monash Univ., Australia</t>
  </si>
  <si>
    <t>Zhen Wen;Michelle X. Zhou;Vikram Aggarwal</t>
  </si>
  <si>
    <t>IBM T. J. Watson Res. Center, Hawthorne, NY, USA|c|;;</t>
  </si>
  <si>
    <t>10.1109/INFVIS.2000.885091;10.1109/INFVIS.2000.885093;10.1109/INFVIS.1997.636718</t>
  </si>
  <si>
    <t>intelligent multimodal interfaces, visual context management, automated generation of visualization, visual momentum</t>
  </si>
  <si>
    <t>Adapting the cognitive walkthrough method to assess the usability of a knowledge domain visualization</t>
  </si>
  <si>
    <t>10.1109/INFVIS.2005.1532147</t>
  </si>
  <si>
    <t>http://dx.doi.org/10.1109/INFVIS.2005.1532147</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</si>
  <si>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</si>
  <si>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Pak Chung Wong;P. Mackey;K. Perrine;J. Eagan;H. Foote;J. Thomas</t>
  </si>
  <si>
    <t>Pacific Northwest Nat. Lab., Richland, WA, USA;Pacific Northwest Nat. Lab., Richland, WA, USA;Pacific Northwest Nat. Lab., Richland, WA, USA</t>
  </si>
  <si>
    <t>Kenneth R. Allendoerfer;Serge Aluker;Gulshan Panjwani;Jason M. Proctor;David Sturtz;Mirjana Vukovic;Chaomei Chen</t>
  </si>
  <si>
    <t>Coll. of Inf. Sci. &amp; Technol., Drexel Univ., Philadelphia, PA, USA|c|;;;;;;</t>
  </si>
  <si>
    <t>Cognitive Walkthrough, usability inspection methods, bibliographic networks</t>
  </si>
  <si>
    <t>Importance-driven visualization layouts for large time series data</t>
  </si>
  <si>
    <t>10.1109/INFVIS.2005.1532148</t>
  </si>
  <si>
    <t>http://dx.doi.org/10.1109/INFVIS.2005.1532148</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</si>
  <si>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</si>
  <si>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Kang Shi;Pourang Irani;B. Li</t>
  </si>
  <si>
    <t>Dept. of Comput. Sci., Manitoba Univ., Winnipeg, Man., Canada;Dept. of Comput. Sci., Manitoba Univ., Winnipeg, Man., Canada;Dept. of Comput. Sci., Manitoba Univ., Winnipeg, Man., Canada</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</si>
  <si>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</si>
  <si>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E.G. Hetzler;V.L. Crow;D.A. Payne;A.E. Turner</t>
  </si>
  <si>
    <t>Ming C. Hao;Umeshwar Dayal;Daniel A. Keim;Tobias Schreck</t>
  </si>
  <si>
    <t>Hewlett-Packard Labs., Palo Alto, CA, USA|c|;;;</t>
  </si>
  <si>
    <t>10.1109/INFVIS.1999.801867;10.1109/INFVIS.1999.801851;10.1109/VISUAL.1995.485140;10.1109/INFVIS.1999.801860;10.1109/INFVIS.2000.885086</t>
  </si>
  <si>
    <t>Information Visualization, Time Series, Space-Filling Layout Generation</t>
  </si>
  <si>
    <t>Temporal visualization of planning polygons for efficient partitioning of geo-spatial data</t>
  </si>
  <si>
    <t>10.1109/INFVIS.2005.1532149</t>
  </si>
  <si>
    <t>http://dx.doi.org/10.1109/INFVIS.2005.1532149</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</si>
  <si>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w/sup 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</si>
  <si>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Y. Livnat;J. Agutter;Shaun Moon;S. Foresti</t>
  </si>
  <si>
    <t>Sci. Comput. &amp; Imaging Inst., Utah Univ., USA</t>
  </si>
  <si>
    <t>Poonam Shanbhag;Penny Rheingans;Marie desJardins</t>
  </si>
  <si>
    <t>10.1109/INFVIS.2001.963273;10.1109/INFVIS.2001.963274</t>
  </si>
  <si>
    <t>Temporal visualization, time-dependent attributes, spatial data, multi-attribute visualization, resource allocation</t>
  </si>
  <si>
    <t>Flow map layout</t>
  </si>
  <si>
    <t>10.1109/INFVIS.2005.1532150</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</si>
  <si>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</si>
  <si>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http://dx.doi.org/10.1109/INFVIS.2005.1532150</t>
  </si>
  <si>
    <t>Ulrik Brandes;Daniel Fleischer;Jürgen Lerner</t>
  </si>
  <si>
    <t>U. Brandes;D. Fleischer;J. Lerner</t>
  </si>
  <si>
    <t>Dept. of Comput. &amp; Inf. Sci., Konstanz Univ., Germany;Dept. of Comput. &amp; Inf. Sci., Konstanz Univ., Germany;Dept. of Comput. &amp; Inf. Sci., Konstanz Univ., Germany</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</si>
  <si>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</si>
  <si>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Doantam Phan;Ling Xiao;Ron B. Yeh;Pat Hanrahan;Terry Winograd</t>
  </si>
  <si>
    <t>R. Amar;J. Eagan;J. Stasko</t>
  </si>
  <si>
    <t>10.1109/INFVIS.1995.528697;10.1109/INFVIS.1996.559226</t>
  </si>
  <si>
    <t>Coll. of Comput., Georgia Inst. of Technol., Atlanta, GA, USA;Coll. of Comput., Georgia Inst. of Technol., Atlanta, GA, USA;Coll. of Comput., Georgia Inst. of Technol., Atlanta, GA, USA</t>
  </si>
  <si>
    <t>flow maps, GIS, hierarchical clustering</t>
  </si>
  <si>
    <t>Visualization of graphs with associated timeseries data</t>
  </si>
  <si>
    <t>10.1109/INFVIS.2005.1532151</t>
  </si>
  <si>
    <t>http://dx.doi.org/10.1109/INFVIS.2005.1532151</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</si>
  <si>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</si>
  <si>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C. Forsell;S. Seipel;M. Lind</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</si>
  <si>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</si>
  <si>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Purvi Saraiya;Peter Lee 0005;Chris North</t>
  </si>
  <si>
    <t>J. Johansson;P. Ljung;M. Jern;M. Cooper</t>
  </si>
  <si>
    <t>10.1109/INFVIS.2004.1;10.1109/INFVIS.1996.559226;10.1109/INFVIS.2003.1249009</t>
  </si>
  <si>
    <t>Norrkoping Visualization &amp; Interaction Studio, Linkoping Univ., Sweden;Norrkoping Visualization &amp; Interaction Studio, Linkoping Univ., Sweden;Norrkoping Visualization &amp; Interaction Studio, Linkoping Univ., Sweden;Norrkoping Visualization &amp; Interaction Studio, Linkoping Univ., Sweden</t>
  </si>
  <si>
    <t>Graph visualization, data overlay, timeseries data analysis, usability experiments</t>
  </si>
  <si>
    <t>Interactive Sankey diagrams</t>
  </si>
  <si>
    <t>10.1109/INFVIS.2005.1532152</t>
  </si>
  <si>
    <t>http://dx.doi.org/10.1109/INFVIS.2005.1532152</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</si>
  <si>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</si>
  <si>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F. Bendix;R. Kosara;H. Hauser</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</si>
  <si>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</si>
  <si>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E.B. Chlan;P. Rheingans</t>
  </si>
  <si>
    <t>Whiting Sch. of Eng., Johns Hopkins Univ., Baltiomore, MD, USA</t>
  </si>
  <si>
    <t>Patrick Riehmann;Manfred Hanfler;Bernd Fr̦hlich 0001</t>
  </si>
  <si>
    <t>Fac. of Media, Bauhaus Univ. Weimar, Germany|c|;;</t>
  </si>
  <si>
    <t>10.1109/VISUAL.1993.398870;10.1109/INFVIS.1996.559226</t>
  </si>
  <si>
    <t>Sankey diagram, flow diagram</t>
  </si>
  <si>
    <t>Turning information visualization innovations into commercial products: lessons to guide the next success</t>
  </si>
  <si>
    <t>10.1109/INFVIS.2005.1532153</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</si>
  <si>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</si>
  <si>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Elena Fanea;Sheelagh Carpendale;Tobias Isenberg 0001</t>
  </si>
  <si>
    <t>E. Fanea;S. Carpendale;T. Isenberg</t>
  </si>
  <si>
    <t>http://dx.doi.org/10.1109/INFVIS.2005.1532153</t>
  </si>
  <si>
    <t>We introduce Tukey and Tukey scagnostics and develop graph-theoretic methods for implementing their procedure on large datasets.</t>
  </si>
  <si>
    <t>L. Wilkinson;A. Anand;R. Grossman</t>
  </si>
  <si>
    <t>SPSS Inc., Chicago, IL, USA</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</si>
  <si>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</si>
  <si>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Comput. Sci. Dept., Univ. of Wisconsin-Madison, Madison, WI, USA</t>
  </si>
  <si>
    <t>Ben Shneiderman;Ramana Rao;Keith Andrews;Christopher Ahlberg;Dominique Brodbeck;Tony Jewitt;Jock D. Mackinlay</t>
  </si>
  <si>
    <t>Dept. of Comput. Sci., Maryland Univ., College Park, MD, USA|c|;;;;;;</t>
  </si>
  <si>
    <t>A new pseudo coloring technique for large scale one-dimensional datasets is proposed. For visualization of a large scale dataset, user interaction is indispensable for selecting focus areas in the dataset. However, excessive switching of the visualized image makes it difficult for the user to recognize overview/ detail and detail/ detail relationships. The goal of this research is to develop techniques for visualizing details as precisely as possible in overview display. In this paper, visualization of a one-dimensional but very large dataset is considered. The proposed method is based on pseudo coloring, however, each scalar value corresponds to two discrete colors. By painting with two colors at each value, users can read out the value precisely. This method has many advantages: it requires little image space for visualization; both the overview and details of the dataset are visible in one image without distortion; and implementation is very simple. Several application examples, such as meteorological observation data and train convenience evaluation data, show the effectiveness of the method.</t>
  </si>
  <si>
    <t>2D asymmetric tensor analysis</t>
  </si>
  <si>
    <t>T. Saito;H.N. Miyamura;M. Yamamoto;H. Saito;Y. Hoshiya;T. Kaseda</t>
  </si>
  <si>
    <t>10.1109/VISUAL.2005.1532770</t>
  </si>
  <si>
    <t>Tokyo Univ. of Agric. &amp; Technol., Japan;Tokyo Univ. of Agric. &amp; Technol., Japan;Tokyo Univ. of Agric. &amp; Technol., Japan;Tokyo Univ. of Agric. &amp; Technol., Japan;Tokyo Univ. of Agric. &amp; Technol., Japan;Tokyo Univ. of Agric. &amp; Technol., Japan</t>
  </si>
  <si>
    <t>http://dx.doi.org/10.1109/VISUAL.2005.1532770</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</si>
  <si>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</si>
  <si>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IBM Res., White Plains, NY, USA</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</si>
  <si>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</si>
  <si>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Zhen Wen;M.X. Zhou;V. Aggarwal</t>
  </si>
  <si>
    <t>IBM T. J. Watson Res. Center, Hawthorne, NY, USA;IBM T. J. Watson Res. Center, Hawthorne, NY, USA;IBM T. J. Watson Res. Center, Hawthorne, NY, USA</t>
  </si>
  <si>
    <t>10.1109/VISUAL.1997.663929;10.1109/VISUAL.1998.745291;10.1109/VISUAL.1994.346326;10.1109/VISUAL.1994.346326;10.1109/VISUAL.2004.80;10.1109/VISUAL.1998.745294;10.1109/VISUAL.1999.809886</t>
  </si>
  <si>
    <t>critical points, general tensors, symmetric tensors,degenerate tensors, tensor topology, topological lines, hyperstream-lines</t>
  </si>
  <si>
    <t>Exploring 2D tensor fields using stress nets</t>
  </si>
  <si>
    <t>10.1109/VISUAL.2005.1532771</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</si>
  <si>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</si>
  <si>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http://dx.doi.org/10.1109/VISUAL.2005.1532771</t>
  </si>
  <si>
    <t>K. Allendoerfer;S. Aluker;G. Panjwani;J. Proctor;D. Sturtz;M. Vukovic;Chaomei Chen</t>
  </si>
  <si>
    <t>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</si>
  <si>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</si>
  <si>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M.C. Hao;Umeshwar Dayal;D.A. Keim;T. Schreck</t>
  </si>
  <si>
    <t>Hewlett-Packard Labs., Palo Alto, CA, USA;Hewlett-Packard Labs., Palo Alto, CA, USA</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</si>
  <si>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</si>
  <si>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Poonam Shanbhag;P. Rheingans;M. desJardins</t>
  </si>
  <si>
    <t>Andrew T. Wilson;Rebecca M. Brannon</t>
  </si>
  <si>
    <t>Maryland Univ., Baltimore, MD, USA;Maryland Univ., Baltimore, MD, USA;Maryland Univ., Baltimore, MD, USA</t>
  </si>
  <si>
    <t>10.1109/VISUAL.1998.745316;10.1109/VISUAL.1992.235193;10.1109/VISUAL.2002.1183799;10.1109/VISUAL.1994.346326;10.1109/VISUAL.1999.809894;10.1109/VISUAL.2000.885690;10.1109/VISUAL.1993.398849</t>
  </si>
  <si>
    <t>tensor field, stress tensor, streamlines,controlled density streamlines, crack propagation</t>
  </si>
  <si>
    <t>Illuminated lines revisited</t>
  </si>
  <si>
    <t>10.1109/VISUAL.2005.1532772</t>
  </si>
  <si>
    <t>http://dx.doi.org/10.1109/VISUAL.2005.1532772</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</si>
  <si>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</si>
  <si>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Doantam Phan;Ling Xiao;R. Yeh;P. Hanrahan</t>
  </si>
  <si>
    <t>Stanford Univ., CA, USA;Stanford Univ., CA, USA;Stanford Univ., CA, USA;Stanford Univ., CA, USA</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</si>
  <si>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</si>
  <si>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Purvi Saraiya;P. Lee;C. North</t>
  </si>
  <si>
    <t>Ovidio Mallo;Ronald Peikert;Christian Sigg;Filip Sadlo</t>
  </si>
  <si>
    <t>10.1109/VISUAL.2004.5;10.1109/VISUAL.2003.1250378;10.1109/VISUAL.2002.1183797;10.1109/VISUAL.1996.567777;10.1109/VISUAL.1997.663912</t>
  </si>
  <si>
    <t>Field lines, illumination, vector field visualization,texture mapping, graphics hardware</t>
  </si>
  <si>
    <t>HOT-lines: tracking lines in higher order tensor fields</t>
  </si>
  <si>
    <t>10.1109/VISUAL.2005.1532773</t>
  </si>
  <si>
    <t>http://dx.doi.org/10.1109/VISUAL.2005.1532773</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</si>
  <si>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</si>
  <si>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Patrick Riehmann;Manfred Hanfler;Bernd Fröhlich 0001</t>
  </si>
  <si>
    <t>P. Riehmann;M. Hanfler;B. Froehlich</t>
  </si>
  <si>
    <t>Fac. of Media, Bauhaus Univ. Weimar, Germany;Fac. of Media, Bauhaus Univ. Weimar, Germany;Fac. of Media, Bauhaus Univ. Weimar, Germany</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</si>
  <si>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</si>
  <si>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B. Shneiderman;R. Rao;K. Andrews;C. Ahlberg;D. Brodbeck;T. Jewitt;J. Mackinlay</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</si>
  <si>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</si>
  <si>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Mario Hlawitschka;Gerik Scheuermann</t>
  </si>
  <si>
    <t>Inst. for Comput. Sci., Leipzig Univ., Germany|c|;</t>
  </si>
  <si>
    <t>10.1109/VISUAL.2004.105;10.1109/VISUAL.1992.235193;10.1109/VISUAL.2000.885716;10.1109/VISUAL.2002.1183797;10.1109/VISUAL.1994.346326</t>
  </si>
  <si>
    <t>Higher order tensors, spherical harmonics, tensor lines, tractography, vector/tensor visualization, visualization in medicine, DT-MRI</t>
  </si>
  <si>
    <t>Visualizing tensor fields in geomechanics</t>
  </si>
  <si>
    <t>10.1109/VISUAL.2005.1532774</t>
  </si>
  <si>
    <t>http://dx.doi.org/10.1109/VISUAL.2005.1532774</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</si>
  <si>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</si>
  <si>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A. Wilson;R. Brannon</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</si>
  <si>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</si>
  <si>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O. Mallo;R. Peikert;C. Sigg;F. Sadlo</t>
  </si>
  <si>
    <t>Eidgenossische Tech. Hochschule, Zurich, Switzerland;Eidgenossische Tech. Hochschule, Zurich, Switzerland;Eidgenossische Tech. Hochschule, Zurich, Switzerland;Eidgenossische Tech. Hochschule, Zurich, Switzerland</t>
  </si>
  <si>
    <t>Alisa Neeman;Boris Jeremic;Alex T. Pang</t>
  </si>
  <si>
    <t>Comput. Sci. Dept., UCSC, CA, USA|c|;;</t>
  </si>
  <si>
    <t>10.1109/VISUAL.1998.745294;10.1109/VISUAL.1999.809886</t>
  </si>
  <si>
    <t>symmetric tensors, stress tensor, seismic moment tensor, anisotropic, deviatoric, double couple, compensated linear vector dipole</t>
  </si>
  <si>
    <t>Framework for visualizing higher-order basis functions</t>
  </si>
  <si>
    <t>10.1109/VISUAL.2005.1532776</t>
  </si>
  <si>
    <t>http://dx.doi.org/10.1109/VISUAL.2005.1532776</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</si>
  <si>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</si>
  <si>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M. Hlawitschka;G. Scheuermann</t>
  </si>
  <si>
    <t>Inst. for Comput. Sci., Leipzig Univ., Germany;Inst. for Comput. Sci., Leipzig Univ., Germany</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</si>
  <si>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</si>
  <si>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A. Neeman;B. Jeremic;A. Pang</t>
  </si>
  <si>
    <t>Comput. Sci. Dept., UCSC, CA, USA</t>
  </si>
  <si>
    <t>William J. Schroeder;Fran̤ois Bertel;Mathieu Malaterre;David C. Thompson 0001;Philippe P. P̩bay;Robert M. O'Bara;Saurabh Tendulkar</t>
  </si>
  <si>
    <t>10.1109/VISUAL.1997.663886;10.1109/VISUAL.2004.15;10.1109/VISUAL.1991.175818;10.1109/VISUAL.1995.480821</t>
  </si>
  <si>
    <t xml:space="preserve"> finite element, basis function, tessellation, framework</t>
  </si>
  <si>
    <t>Visualization of white matter tracts with wrapped streamlines</t>
  </si>
  <si>
    <t>10.1109/VISUAL.2005.1532777</t>
  </si>
  <si>
    <t>http://dx.doi.org/10.1109/VISUAL.2005.1532777</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</si>
  <si>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</si>
  <si>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William J. Schroeder;François Bertel;Mathieu Malaterre;David C. Thompson 0001;Philippe P. Pébay;Robert M. O'Bara;Saurabh Tendulkar</t>
  </si>
  <si>
    <t>W.J. Schroeder;F. Bertel;M. Malaterre;D. Thompson;P.P. Pebay;R. O'Barall;Saurabh Tendulkar</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</si>
  <si>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</si>
  <si>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Frank Enders;Natascha Sauber;Dorit Merhof;Peter Hastreiter;Christopher Nimsky;Marc Stamminger</t>
  </si>
  <si>
    <t>F. Enders;N. Sauber;D. Merhof;P. Hastreiter;C. Nimsky;M. Stamminger</t>
  </si>
  <si>
    <t>Dept. of Neurosurg., Erlangen-Nurnberg Univ., Erlangen, Germany</t>
  </si>
  <si>
    <t>10.1109/VISUAL.2001.964524;10.1109/VISUAL.1999.809894;10.1109/VISUAL.1999.809886;10.1109/VISUAL.2001.964549;10.1109/VISUAL.2004.30;10.1109/VISUAL.2001.964519;10.1109/VISUAL.1991.175771</t>
  </si>
  <si>
    <t>Diffusion Tensor Imaging, Tractography, White Matter Tracts, Clustering</t>
  </si>
  <si>
    <t>Dept. of Neurosurg., Erlangen-Nurnberg Univ., Erlangen, Germany|c|;;;;;</t>
  </si>
  <si>
    <t>Fast and reproducible fiber bundle selection in DTI visualization</t>
  </si>
  <si>
    <t>10.1109/VISUAL.2005.1532778</t>
  </si>
  <si>
    <t>http://dx.doi.org/10.1109/VISUAL.2005.1532778</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</si>
  <si>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</si>
  <si>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Jorik Blaas;Charl P. Botha;Bart Peters;Frans Vos;Frits H. Post</t>
  </si>
  <si>
    <t>J. Blaas;C.P. Botha;B. Peters;F.M. Vos;F.H. Post</t>
  </si>
  <si>
    <t>Data Visualization Group, Delft Univ. of Technol., Netherlands;Data Visualization Group, Delft Univ. of Technol., Netherlands</t>
  </si>
  <si>
    <t>10.1109/VISUAL.1999.809894;10.1109/VISUAL.2004.30</t>
  </si>
  <si>
    <t xml:space="preserve"> diffusion tensor imaging, tractography, white matter</t>
  </si>
  <si>
    <t>Evaluation of fiber clustering methods for diffusion tensor imaging</t>
  </si>
  <si>
    <t>10.1109/VISUAL.2005.1532779</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</si>
  <si>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</si>
  <si>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Bart Moberts;Anna Vilanova;Jarke J. van Wijk</t>
  </si>
  <si>
    <t>B. Moberts;A. Vilanova;J.J. van Wijk</t>
  </si>
  <si>
    <t>Dept. of Math. &amp; Comput. Sci., Technische Univ. Eindhoven, Netherlands</t>
  </si>
  <si>
    <t>Diffusion Tensor Imaging, Fiber tracking, Clustering,Clustering Validation, External Indices</t>
  </si>
  <si>
    <t>The application of GPU particle tracing to diffusion tensor field visualization</t>
  </si>
  <si>
    <t>10.1109/VISUAL.2005.1532780</t>
  </si>
  <si>
    <t>Data Visualization Group, Delft Univ. of Technol., Netherlands|c|;;;;</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</si>
  <si>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</si>
  <si>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Polina Kondratieva;Jens H. Krüger;Rüdiger Westermann</t>
  </si>
  <si>
    <t>P. Kondratieva;J. Kruger;R. Westermann</t>
  </si>
  <si>
    <t>Comput. Graphics &amp; Visualization Group, Technische Univ. Munchen, Germany;Comput. Graphics &amp; Visualization Group, Technische Univ. Munchen, Germany;Comput. Graphics &amp; Visualization Group, Technische Univ. Munchen, Germany</t>
  </si>
  <si>
    <t>10.1109/VISUAL.1999.809886;10.1109/VISUAL.2002.1183799;10.1109/VISUAL.1992.235193;10.1109/VISUAL.1999.809894;10.1109/VISUAL.1998.745294</t>
  </si>
  <si>
    <t>Diffusion Tensors, Dynamic Visualization, GPU Particle Tracing and Streamlines, Medical Visualization</t>
  </si>
  <si>
    <t>The value of visualization</t>
  </si>
  <si>
    <t>http://dx.doi.org/10.1109/VISUAL.2005.1532779</t>
  </si>
  <si>
    <t>10.1109/VISUAL.2005.1532781</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</si>
  <si>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</si>
  <si>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10.1109/VISUAL.1991.175815;10.1109/INFVIS.2004.70;10.1109/VISUAL.2001.964505;10.1109/VISUAL.2003.1250354;10.1109/INFVIS.2001.963285;10.1109/INFVIS.1999.801851</t>
  </si>
  <si>
    <t>Visualization, evaluation</t>
  </si>
  <si>
    <t>On the optimization of visualizations of complex phenomena</t>
  </si>
  <si>
    <t>10.1109/VISUAL.2005.1532782</t>
  </si>
  <si>
    <t>Dept. of Math. &amp; Comput. Sci., Technische Univ. Eindhoven, Netherlands|c|;;</t>
  </si>
  <si>
    <t>http://dx.doi.org/10.1109/VISUAL.2005.1532780</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</si>
  <si>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</si>
  <si>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Donald H. House;Alethea Bair;Colin Ware</t>
  </si>
  <si>
    <t>D. House;A. Bair;C. Ware</t>
  </si>
  <si>
    <t>Texas A&amp;M Univ., College Station, TX, USA;Texas A&amp;M Univ., College Station, TX, USA</t>
  </si>
  <si>
    <t>10.1109/VISUAL.1996.568113;10.1109/VISUAL.1996.567784</t>
  </si>
  <si>
    <t>perception, visualization evaluation,layered surfaces, genetic algorithm, data mining, principal component analysis, neural networks</t>
  </si>
  <si>
    <t>Curve-skeleton applications</t>
  </si>
  <si>
    <t>10.1109/VISUAL.2005.1532783</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</si>
  <si>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</si>
  <si>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Nicu D. Cornea;Deborah Silver;Patrick Min</t>
  </si>
  <si>
    <t>N.D. Cornea;D. Silver;P. Min</t>
  </si>
  <si>
    <t>Rutgers Univ., NJ, USA;Rutgers Univ., NJ, USA</t>
  </si>
  <si>
    <t>10.1109/VISUAL.2004.34;10.1109/VISUAL.2004.104;10.1109/VISUAL.2002.1183754;10.1109/VISUAL.1994.346327;10.1109/VISUAL.1999.809912;10.1109/VISUAL.2003.1250353;10.1109/VISUAL.2001.964517</t>
  </si>
  <si>
    <t>skeleton, curve-skeleton</t>
  </si>
  <si>
    <t>Sort-middle multi-projector immediate-mode rendering in Chromium</t>
  </si>
  <si>
    <t>10.1109/VISUAL.2005.1532784</t>
  </si>
  <si>
    <t>Polina Kondratieva;Jens H. Kr�_ger;R�_diger Westermann</t>
  </si>
  <si>
    <t>Comput. Graphics &amp; Visualization Group, Technische Univ. Munchen, Germany|c|;;</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</si>
  <si>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</si>
  <si>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Jorge Luis Williams;Robert E. Hiromoto</t>
  </si>
  <si>
    <t>J.L. Williams;R.E. Hiromoto</t>
  </si>
  <si>
    <t>Dept. of Comput. Sci., Idaho Univ., Moscow, ID, USA;Dept. of Comput. Sci., Idaho Univ., Moscow, ID, USA</t>
  </si>
  <si>
    <t>http://dx.doi.org/10.1109/VISUAL.2005.1532781</t>
  </si>
  <si>
    <t>Cluster Rendering, Sort-Middle, Multi-Projector, Tile Displays, Immediate-Mode Rendering</t>
  </si>
  <si>
    <t>COTS cluster-based sort-last rendering: performance evaluation and pipelined implementation</t>
  </si>
  <si>
    <t>10.1109/VISUAL.2005.1532785</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</si>
  <si>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</si>
  <si>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Xavier Cavin;Christophe Mion;Alain Filbois</t>
  </si>
  <si>
    <t>X. Cavin;C. Mion;A. Filbois</t>
  </si>
  <si>
    <t>cluster-based visualization, sort-last rendering, parallel image compositing</t>
  </si>
  <si>
    <t>OpenGL multipipe SDK: a toolkit for scalable parallel rendering</t>
  </si>
  <si>
    <t>10.1109/VISUAL.2005.1532786</t>
  </si>
  <si>
    <t>Dept. of Math. &amp; Comput. Sci., Technische Univ. Eindhoven, Netherlands|c|</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</si>
  <si>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</si>
  <si>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Praveen Bhaniramka;Philippe C. D. Robert;Stefan Eilemann</t>
  </si>
  <si>
    <t>Praveen Bhaniramka;P.C.D. Robert;S. Eilemann</t>
  </si>
  <si>
    <t>http://dx.doi.org/10.1109/VISUAL.2005.1532782</t>
  </si>
  <si>
    <t>Scalable Rendering, Parallel Rendering, Immersive Environments, Scalable Graphics Hardware</t>
  </si>
  <si>
    <t>A shader-based parallel rendering framework</t>
  </si>
  <si>
    <t>10.1109/VISUAL.2005.1532787</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</si>
  <si>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</si>
  <si>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Jérémie Allard;Bruno Raffin</t>
  </si>
  <si>
    <t>J. Allard;B. Raffin</t>
  </si>
  <si>
    <t>ID-IMAG, CNRS, France;ID-IMAG, CNRS, France</t>
  </si>
  <si>
    <t>10.1109/VISUAL.1995.480821;10.1109/VISUAL.2002.1183812</t>
  </si>
  <si>
    <t xml:space="preserve"> Distributed Rendering, Shaders, Volume Rendering</t>
  </si>
  <si>
    <t>VisTrails: enabling interactive multiple-view visualizations</t>
  </si>
  <si>
    <t>10.1109/VISUAL.2005.1532788</t>
  </si>
  <si>
    <t>Texas A&amp;M Univ., College Station, TX, USA|c|;;</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</si>
  <si>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</si>
  <si>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Louis Bavoil;Steven P. Callahan;Carlos Eduardo Scheidegger;Huy T. Vo;Patricia Crossno;Cláudio T. Silva;Juliana Freire</t>
  </si>
  <si>
    <t>L. Bavoil;S.P. Callahan;P.J. Crossno;J. Freire;C.E. Scheidegger;C.T. Silva;H.T. Vo</t>
  </si>
  <si>
    <t>10.1109/VISUAL.1998.745299;10.1109/INFVIS.2004.2;10.1109/VISUAL.2004.112;10.1109/VISUAL.2002.1183791</t>
  </si>
  <si>
    <t>interrogative visualization, dataflow, caching, coordinated views</t>
  </si>
  <si>
    <t>http://dx.doi.org/10.1109/VISUAL.2005.1532783</t>
  </si>
  <si>
    <t>Build-by-number: rearranging the real world to visualize novel architectural spaces</t>
  </si>
  <si>
    <t>10.1109/VISUAL.2005.1532789</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</si>
  <si>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</si>
  <si>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Daniel R. Bekins;Daniel G. Aliaga</t>
  </si>
  <si>
    <t>D. Bekins;D.G. Aliaga</t>
  </si>
  <si>
    <t>Phonon tracing for auralization and visualization of sound</t>
  </si>
  <si>
    <t>10.1109/VISUAL.2005.1532790</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</si>
  <si>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</si>
  <si>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Martin Hering-Bertram;Eduard Deines;Jan Mohring;Jevgenijs Jegorovs;Hans Hagen</t>
  </si>
  <si>
    <t>M. Bertram;E. Deines;J. Mohring;J. Jegorovs;H. Hagen</t>
  </si>
  <si>
    <t>TU Kaiserslautern, Germany;TU Kaiserslautern, Germany</t>
  </si>
  <si>
    <t>Rutgers Univ., NJ, USA|c|;;</t>
  </si>
  <si>
    <t xml:space="preserve"> acoustics, auralization, raytracing, photon mapping</t>
  </si>
  <si>
    <t>http://dx.doi.org/10.1109/VISUAL.2005.1532784</t>
  </si>
  <si>
    <t>The visible radio: process visualization of a software-defined radio</t>
  </si>
  <si>
    <t>10.1109/VISUAL.2005.1532791</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</si>
  <si>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</si>
  <si>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Matthew Hall;Alex Betts;Donna J. Cox;David Pointer;Volodymyr V. Kindratenko</t>
  </si>
  <si>
    <t>M. Hall;A. Betts;D. Cox;D. Pointer;V. Kindratenko</t>
  </si>
  <si>
    <t>Nat. Center for Supercomput. Appl., Illinois Univ., Urbana, IL, USA;Nat. Center for Supercomput. Appl., Illinois Univ., Urbana, IL, USA;Nat. Center for Supercomput. Appl., Illinois Univ., Urbana, IL, USA;Nat. Center for Supercomput. Appl., Illinois Univ., Urbana, IL, USA;Nat. Center for Supercomput. Appl., Illinois Univ., Urbana, IL, USA</t>
  </si>
  <si>
    <t>visualization metaphor, visualization of mathematics, radio, SDR</t>
  </si>
  <si>
    <t>Query-driven visualization of large data sets</t>
  </si>
  <si>
    <t>10.1109/VISUAL.2005.1532792</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</si>
  <si>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(temperature&amp;gt;1000) AND (70&amp;lt;pressure&amp;lt;90).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</si>
  <si>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Kurt Stockinger;John Shalf;Kesheng Wu;E. Wes Bethel</t>
  </si>
  <si>
    <t>K. Stockinger;J. Shalf;K. Wu;E.W. Bethel</t>
  </si>
  <si>
    <t>Dept. of Comput. Sci., Idaho Univ., Moscow, ID, USA|c|;</t>
  </si>
  <si>
    <t>Computational Res. Div., Lawrence Berkeley Lab., CA, USA;Computational Res. Div., Lawrence Berkeley Lab., CA, USA;Computational Res. Div., Lawrence Berkeley Lab., CA, USA;Computational Res. Div., Lawrence Berkeley Lab., CA, USA</t>
  </si>
  <si>
    <t>10.1109/VISUAL.1999.809864;10.1109/VISUAL.2004.95;10.1109/VISUAL.1998.745299;10.1109/VISUAL.1996.568121</t>
  </si>
  <si>
    <t>http://dx.doi.org/10.1109/VISUAL.2005.1532785</t>
  </si>
  <si>
    <t>query-driven visualization, visual analytics, bitmap index, multivariate visualization, large data visualization, data analysis, scientific data management</t>
  </si>
  <si>
    <t>Visualization of time-dependent remote adaptive mesh refinement data</t>
  </si>
  <si>
    <t>10.1109/VISUAL.2005.1532793</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</si>
  <si>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</si>
  <si>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Ralf Kähler;Steffen Prohaska;Andrei Hutanu;Hans-Christian Hege</t>
  </si>
  <si>
    <t>R. Kaehler;S. Prohaska;A. Hutanu;H.-C. Hege</t>
  </si>
  <si>
    <t>Zuse-lnstitute Berlin, Germany;Zuse-lnstitute Berlin, Germany</t>
  </si>
  <si>
    <t>10.1109/VISUAL.2002.1183820;10.1109/VISUAL.2004.51;10.1109/VISUAL.2002.1183824</t>
  </si>
  <si>
    <t>Time-Varying Data Visualization, Visualization over Networks, Multiresolution Visualization</t>
  </si>
  <si>
    <t>Distributed data management for large volume visualization</t>
  </si>
  <si>
    <t>10.1109/VISUAL.2005.1532794</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</si>
  <si>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</si>
  <si>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Jinzhu Gao;Jian Huang 0007;C. Ryan Johnson;Scott Atchley;James Arthur Kohl</t>
  </si>
  <si>
    <t>J. Gao;J. Huang;C.R. Johnson;S. Atchley</t>
  </si>
  <si>
    <t>http://dx.doi.org/10.1109/VISUAL.2005.1532786</t>
  </si>
  <si>
    <t>Oak Ridge Nat. Lab., TN, USA</t>
  </si>
  <si>
    <t>10.1109/VISUAL.2002.1183758;10.1109/VISUAL.2002.1183757;10.1109/VISUAL.1999.809910;10.1109/VISUAL.1998.745300;10.1109/VISUAL.2004.110;10.1109/VISUAL.2004.112;10.1109/VISUAL.1999.809879</t>
  </si>
  <si>
    <t>large data visualization, distributed storage, logistical networking, visibility culling, volume rendering, multiresolution rendering</t>
  </si>
  <si>
    <t>A contract based system for large data visualization</t>
  </si>
  <si>
    <t>10.1109/VISUAL.2005.1532795</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</si>
  <si>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</si>
  <si>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Hank Childs;Eric Brugger;Kathleen S. Bonnell;Jeremy S. Meredith;Mark C. Miller;Brad Whitlock;Nelson L. Max</t>
  </si>
  <si>
    <t>H. Childs;E. Brugger;K. Bonnell;J. Meredith;M. Miller;B. Whitlock;N. Max</t>
  </si>
  <si>
    <t>10.1109/VISUAL.1996.567752;10.1109/VISUAL.1990.146416;10.1109/VISUAL.1995.480821;10.1109/VISUAL.1991.175794;10.1109/VISUAL.1997.663895</t>
  </si>
  <si>
    <t>large data set visualization, data flow networks, contract-based system</t>
  </si>
  <si>
    <t>Interactive rendering of large unstructured grids using dynamic level-of-detail</t>
  </si>
  <si>
    <t>10.1109/VISUAL.2005.1532796</t>
  </si>
  <si>
    <t>http://dx.doi.org/10.1109/VISUAL.2005.1532787</t>
  </si>
  <si>
    <t>J̩r̩mie Allard;Bruno Raffin</t>
  </si>
  <si>
    <t>ID-IMAG, CNRS, France|c|;</t>
  </si>
  <si>
    <t>http://dx.doi.org/10.1109/VISUAL.2005.1532788</t>
  </si>
  <si>
    <t>Louis Bavoil;Steven P. Callahan;Carlos Eduardo Scheidegger;Huy T. Vo;Patricia Crossno;Cl��udio T. Silva;Juliana Freire</t>
  </si>
  <si>
    <t>Sci. Comput. &amp; Imaging Inst., Utah Univ., Salt Lake City, UT, USA|c|;;;;;;</t>
  </si>
  <si>
    <t>http://dx.doi.org/10.1109/VISUAL.2005.1532789</t>
  </si>
  <si>
    <t>http://dx.doi.org/10.1109/VISUAL.2005.1532790</t>
  </si>
  <si>
    <t>TU Kaiserslautern, Germany|c|;;;;</t>
  </si>
  <si>
    <t>http://dx.doi.org/10.1109/VISUAL.2005.1532791</t>
  </si>
  <si>
    <t>Nat. Center for Supercomput. Appl., Illinois Univ., Urbana, IL, USA|c|;;;;</t>
  </si>
  <si>
    <t>http://dx.doi.org/10.1109/VISUAL.2005.1532792</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</si>
  <si>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 &gt; 1000) AND (70 &lt; pressure &lt; 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</si>
  <si>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Computational Res. Div., Lawrence Berkeley Lab., CA, USA|c|;;;</t>
  </si>
  <si>
    <t>http://dx.doi.org/10.1109/VISUAL.2005.1532793</t>
  </si>
  <si>
    <t>Ralf K�_hler;Steffen Prohaska;Andrei Hutanu;Hans-Christian Hege</t>
  </si>
  <si>
    <t>Zuse-lnstitute Berlin, Germany|c|;;;</t>
  </si>
  <si>
    <t>http://dx.doi.org/10.1109/VISUAL.2005.1532794</t>
  </si>
  <si>
    <t>Oak Ridge Nat. Lab., TN, USA|c|;;;</t>
  </si>
  <si>
    <t>http://dx.doi.org/10.1109/VISUAL.2005.1532795</t>
  </si>
  <si>
    <t>California Univ., Davis, CA, USA|c|;;;;;;</t>
  </si>
  <si>
    <t>http://dx.doi.org/10.1109/VISUAL.2005.1532796</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</si>
  <si>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</si>
  <si>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Steven P. Callahan;Jọo Luiz Dihl Comba;Peter Shirley;Cl��udio T. Silva</t>
  </si>
  <si>
    <t>Sci. Comput. &amp; Imaging Inst., Utah State Univ., Logan, UT, USA|c|;;;</t>
  </si>
  <si>
    <t>10.1109/VISUAL.2004.102;10.1109/VISUAL.1999.809908;10.1109/VISUAL.1998.745283;10.1109/VISUAL.2004.85;10.1109/VISUAL.2003.1250390;10.1109/VISUAL.2002.1183778;10.1109/VISUAL.1998.745329;10.1109/VISUAL.2002.1183767;10.1109/VISUAL.2000.885711</t>
  </si>
  <si>
    <t xml:space="preserve"> interactive volume rendering, multiresolution meshes, level-of-detail, tetrahedral meshes</t>
  </si>
  <si>
    <t>Batched multi triangulation</t>
  </si>
  <si>
    <t>10.1109/VISUAL.2005.1532797</t>
  </si>
  <si>
    <t>http://dx.doi.org/10.1109/VISUAL.2005.1532797</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</si>
  <si>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</si>
  <si>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ISTI, CNR, Italy|c|;;;;;</t>
  </si>
  <si>
    <t>10.1109/VISUAL.1997.663860;10.1109/VISUAL.2002.1183783;10.1109/VISUAL.1998.745282;10.1109/VISUAL.1996.567600;10.1109/VISUAL.2002.1183796;10.1109/VISUAL.2004.86</t>
  </si>
  <si>
    <t>View-dependent rendering of multiresolution texture-atlases</t>
  </si>
  <si>
    <t>10.1109/VISUAL.2005.1532798</t>
  </si>
  <si>
    <t>http://dx.doi.org/10.1109/VISUAL.2005.1532798</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</si>
  <si>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</si>
  <si>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Henrik Buchholz;J�_rgen D̦llner</t>
  </si>
  <si>
    <t>Hasso-Plattner Inst., Potsdam Univ., Germany|c|;</t>
  </si>
  <si>
    <t>10.1109/VISUAL.1998.745322;10.1109/VISUAL.2004.4;10.1109/VISUAL.2000.885699</t>
  </si>
  <si>
    <t>Multiresolution textures, texture level-of-detail, realtime rendering, view-dependent rendering</t>
  </si>
  <si>
    <t>Exploiting frame-to-frame coherence for accelerating high-quality volume raycasting on graphics hardware</t>
  </si>
  <si>
    <t>10.1109/VISUAL.2005.1532799</t>
  </si>
  <si>
    <t>http://dx.doi.org/10.1109/VISUAL.2005.1532799</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</si>
  <si>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</si>
  <si>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Thomas Klein;Magnus Strengert;Simon Stegmaier;Thomas Ertl</t>
  </si>
  <si>
    <t>Inst. for Visualization &amp; Interactive Syst., Stuttgart Univ., Germany|c|;;;</t>
  </si>
  <si>
    <t>10.1109/VISUAL.2002.1183764;10.1109/VISUAL.1993.398852;10.1109/VISUAL.2001.964521;10.1109/VISUAL.2003.1250388;10.1109/VISUAL.2002.1183775;10.1109/VISUAL.2003.1250390;10.1109/VISUAL.2002.1183776;10.1109/VISUAL.2003.1250384;10.1109/VISUAL.2004.63</t>
  </si>
  <si>
    <t>Volume Raycasting, Programmable Graphics Hardware, Frame-to-Frame Coherence, Space Leaping</t>
  </si>
  <si>
    <t>Streaming meshes</t>
  </si>
  <si>
    <t>10.1109/VISUAL.2005.1532800</t>
  </si>
  <si>
    <t>http://dx.doi.org/10.1109/VISUAL.2005.1532800</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</si>
  <si>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</si>
  <si>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Martin Isenburg;Peter Lindstrom</t>
  </si>
  <si>
    <t>10.1109/INFVIS.2002.1173159;10.1109/VISUAL.1997.663895;10.1109/VISUAL.2001.964532;10.1109/VISUAL.2003.1250408</t>
  </si>
  <si>
    <t>Stream-processing points</t>
  </si>
  <si>
    <t>10.1109/VISUAL.2005.1532801</t>
  </si>
  <si>
    <t>http://dx.doi.org/10.1109/VISUAL.2005.1532801</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</si>
  <si>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</si>
  <si>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Dept. of Informatics, Zurich Univ., Switzerland|c|</t>
  </si>
  <si>
    <t>10.1109/VISUAL.2001.964489;10.1109/VISUAL.2000.885721;10.1109/VISUAL.2002.1183770;10.1109/VISUAL.2003.1250408;10.1109/VISUAL.2005.1532800;10.1109/VISUAL.2002.1183771</t>
  </si>
  <si>
    <t>point processing, sequential processing, normal estimation, curvature estimation, fairing</t>
  </si>
  <si>
    <t>VolumeExplorer: roaming large volumes to couple visualization and data processing for oil and gas exploration</t>
  </si>
  <si>
    <t>10.1109/VISUAL.2005.1532802</t>
  </si>
  <si>
    <t>http://dx.doi.org/10.1109/VISUAL.2005.1532802</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</si>
  <si>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</si>
  <si>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Laurent Castanie;Bruno L̩vy;Fabien Bosquet</t>
  </si>
  <si>
    <t>10.1109/VISUAL.2004.46;10.1109/VISUAL.1997.663878;10.1109/VISUAL.2005.1532785;10.1109/VISUAL.2003.1250384;10.1109/VISUAL.2000.885683;10.1109/VISUAL.1999.809908;10.1109/VISUAL.2002.1183757;10.1109/VISUAL.1999.809889</t>
  </si>
  <si>
    <t>Oil and gas exploration, seismic interpretation, large volumes, volume bricking, out-of-core, volume roaming, paging, texture-based volume visualization, multi-modal rendering, programmable graphics hardware</t>
  </si>
  <si>
    <t>Reflection nebula visualization</t>
  </si>
  <si>
    <t>10.1109/VISUAL.2005.1532803</t>
  </si>
  <si>
    <t>http://dx.doi.org/10.1109/VISUAL.2005.1532803</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</si>
  <si>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</si>
  <si>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Marcus A. Magnor;Kristian Hildebrand;Andrei Lintu;Andrew J. Hanson</t>
  </si>
  <si>
    <t>10.1109/VISUAL.2003.1250384;10.1109/VISUAL.2004.18</t>
  </si>
  <si>
    <t>volume rendering, global illumination, dust, nebula,astronomy</t>
  </si>
  <si>
    <t>Multimodal exploration of the fourth dimension</t>
  </si>
  <si>
    <t>10.1109/VISUAL.2005.1532804</t>
  </si>
  <si>
    <t>http://dx.doi.org/10.1109/VISUAL.2005.1532804</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</si>
  <si>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</si>
  <si>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Andrew J. Hanson;Hui Zhang 0006</t>
  </si>
  <si>
    <t xml:space="preserve"> multimodal, haptics, visualization</t>
  </si>
  <si>
    <t>High performance volume splatting for visualization of neurovascular data</t>
  </si>
  <si>
    <t>10.1109/VISUAL.2005.1532805</t>
  </si>
  <si>
    <t>http://dx.doi.org/10.1109/VISUAL.2005.1532805</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</si>
  <si>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</si>
  <si>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Fernando Vega Higuera;Peter Hastreiter;Rudolf Fahlbusch;G�_nther Greiner</t>
  </si>
  <si>
    <t>Dept. of Neurosurg. &amp; Comput. Graphics Group, Univ. of Erlangen, Germany|c|;;;</t>
  </si>
  <si>
    <t>10.1109/VISUAL.2004.38;10.1109/VISUAL.1997.663882;10.1109/VISUAL.2003.1250384;10.1109/VISUAL.1996.567608;10.1109/VISUAL.2003.1250404;10.1109/VISUAL.2001.964519;10.1109/VISUAL.2003.1250388;10.1109/VISUAL.2001.964490;10.1109/VISUAL.1999.809909;10.1109/VISUAL.2003.1250386</t>
  </si>
  <si>
    <t>volume visualization, volume splatting, neurovascular structures, segmented data</t>
  </si>
  <si>
    <t>Teniae coli guided navigation and registration for virtual colonoscopy</t>
  </si>
  <si>
    <t>10.1109/VISUAL.2005.1532806</t>
  </si>
  <si>
    <t>http://dx.doi.org/10.1109/VISUAL.2005.1532806</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</si>
  <si>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</si>
  <si>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Adam Huang;Dave Roy;Marek Franaszek;Ronald M. Summers</t>
  </si>
  <si>
    <t>Diagnostic Radiol. Dept., Nat. Inst. of Health, Bethesda, MD, USA|c|;;;</t>
  </si>
  <si>
    <t>10.1109/VISUAL.2002.1183808;10.1109/VISUAL.2001.964540</t>
  </si>
  <si>
    <t>virtual colonoscopy, CT colonography, virtual endoscopy, camera control, computer-aided diagnosis, colon flattening, parameterization</t>
  </si>
  <si>
    <t>Statistically quantitative volume visualization</t>
  </si>
  <si>
    <t>10.1109/VISUAL.2005.1532807</t>
  </si>
  <si>
    <t>http://dx.doi.org/10.1109/VISUAL.2005.1532807</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</si>
  <si>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</si>
  <si>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Joe Michael Kniss;Robert L. Van Uitert Jr.;Abraham Stephens;Guo-Shi Li;Tolga Tasdizen;Charles D. Hansen</t>
  </si>
  <si>
    <t>Utah Univ., Salt Lake City, UT, USA|c|;;;;;</t>
  </si>
  <si>
    <t>10.1109/VISUAL.2003.1250386;10.1109/VISUAL.1998.745311;10.1109/VISUAL.2004.48;10.1109/VISUAL.1997.663875</t>
  </si>
  <si>
    <t>volume visualization, uncertainty, classification, risk analysis</t>
  </si>
  <si>
    <t>Scale-invariant volume rendering</t>
  </si>
  <si>
    <t>10.1109/VISUAL.2005.1532808</t>
  </si>
  <si>
    <t>http://dx.doi.org/10.1109/VISUAL.2005.1532808</t>
  </si>
  <si>
    <t>As standard volume rendering is based on an integral in physical space (or "coordinate space"), it is inherently dependent on the scaling of this space. Although this dependency is appropriate for the realistic rendering of semitransparent volumetric objects, it has several unpleasant consequences for volume visualization. In order to overcome these disadvantages, a new variant of the volume rendering integral is proposed, which is defined in data space instead of physical space. Apart from achieving scale invariance, this new method supports the rendering of isosurfaces of uniform opacity and color, independently of the local gradient or" the visualized scalar field. Moreover, it reveals certain structures in scalar fields even with constant transfer functions. Furthermore, it can be defined as the limit of infinitely many semitransparent isosurfaces, and is therefore based on an intuitive and at the same time precise definition. In addition to the discussion of these features of scale-invariant volume rendering, efficient adaptations of existing volume rendering algorithms and extensions for silhouette enhancement and local illumination by transmitted light are presented.</t>
  </si>
  <si>
    <t>Martin Kraus</t>
  </si>
  <si>
    <t>10.1109/VISUAL.2000.885683;10.1109/VISUAL.2000.885694;10.1109/VISUAL.1994.346331</t>
  </si>
  <si>
    <t>volume visualization, volume rendering, isosurfaces, silhouette enhancement, volume shading, translucence</t>
  </si>
  <si>
    <t>Rendering tetrahedral meshes with higher-order attenuation functions for digital radiograph reconstruction</t>
  </si>
  <si>
    <t>10.1109/VISUAL.2005.1532809</t>
  </si>
  <si>
    <t>http://dx.doi.org/10.1109/VISUAL.2005.1532809</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</si>
  <si>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</si>
  <si>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Ofri Sadowsky;Jonathan D. Cohen;Russell H. Taylor</t>
  </si>
  <si>
    <t>Johns Hopkins Univ., Laurel, MD, USA|c|;;</t>
  </si>
  <si>
    <t>10.1109/VISUAL.2000.885683;10.1109/VISUAL.2004.85</t>
  </si>
  <si>
    <t>volume rendering, unstructured grids, projected tetrahedra, DRR, higher-order volumetric functions</t>
  </si>
  <si>
    <t>Prefiltered Gaussian reconstruction for high-quality rendering of volumetric data sampled on a body-centered cubic grid</t>
  </si>
  <si>
    <t>10.1109/VISUAL.2005.1532810</t>
  </si>
  <si>
    <t>http://dx.doi.org/10.1109/VISUAL.2005.1532810</t>
  </si>
  <si>
    <t>In this paper a novel high-quality reconstruction scheme is presented. Although our method is mainly proposed to reconstruct volumetric data sampled on an optimal body-centered cubic (BCC) grid, it can be easily adapted lo the conventional regular rectilinear grid as well. The reconstruction process is decomposed into two steps. The first step, which is considered to be a preprocessing, is a discrete Gaussian deconvolution performed only once in the frequency domain. Afterwards, the second step is a spatial-domain convolution with a truncated Gaussian kernel, which is used to interpolate arbitrary samples for ray casting. Since the preprocessing is actually a discrete prefiltering, we call our technique prefiltered Gaussian reconstruction (PGR). It is shown that the impulse response of PGR well approximates the ideal reconstruction kernel. Therefore the quality of PGR is much higher than that of previous reconstruction techniques proposed for optimally sampled data, which are based on linear and cubic box splines adapted to the BCC grid. Concerning the performance, PGR is slower than linear box-spline reconstruction but significantly faster than cubic box-spline reconstruction.</t>
  </si>
  <si>
    <t>Bal��zs Cs̩bfalvi</t>
  </si>
  <si>
    <t>Dept. of Control Eng. &amp; Inf. Technol., Budapest Univ., Hungary|c|</t>
  </si>
  <si>
    <t>10.1109/VISUAL.2004.70;10.1109/VISUAL.2004.65;10.1109/VISUAL.2001.964498;10.1109/VISUAL.1997.663848;10.1109/VISUAL.1994.346331;10.1109/VISUAL.2001.964499</t>
  </si>
  <si>
    <t>Body-Centered Cubic Grid, Reconstruction, Optimal Regular Volume Sampling, Radial Basis Function Interpolation</t>
  </si>
  <si>
    <t>VolQD: direct volume rendering of multi-million atom quantum dot simulations</t>
  </si>
  <si>
    <t>10.1109/VISUAL.2005.1532811</t>
  </si>
  <si>
    <t>http://dx.doi.org/10.1109/VISUAL.2005.1532811</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</si>
  <si>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</si>
  <si>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Wei Qiao;David S. Ebert;Alireza Entezari;Marek Korkusinski;Gerhard Klimeck</t>
  </si>
  <si>
    <t>10.1109/VISUAL.2003.1250414;10.1109/VISUAL.2004.85;10.1109/VISUAL.2004.95;10.1109/VISUAL.2004.65;10.1109/VISUAL.2000.885683;10.1109/VISUAL.2001.964498</t>
  </si>
  <si>
    <t>volume visualization, volume rendering, programmable graphics hardware, face-centered cubic lattice, reconstruction filter, quantum dots, atomistic simulation</t>
  </si>
  <si>
    <t>High dynamic range volume visualization</t>
  </si>
  <si>
    <t>10.1109/VISUAL.2005.1532812</t>
  </si>
  <si>
    <t>http://dx.doi.org/10.1109/VISUAL.2005.1532812</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</si>
  <si>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</si>
  <si>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Xiaoru Yuan;Minh X. Nguyen;Baoquan Chen;David H. Porter</t>
  </si>
  <si>
    <t>Dept. of Comput. Sci. &amp; Eng;, Minnesota Univ., MN, USA|c|;;;</t>
  </si>
  <si>
    <t>10.1109/INFVIS.1997.636718;10.1109/VISUAL.1999.809908</t>
  </si>
  <si>
    <t>Volume Rendering, High Dynamic Range, Focus+Context Techniques, User Interfaces, Transfer Function Design, Non-linear Magnification</t>
  </si>
  <si>
    <t>Volume rendering of smoke propagation CFD data</t>
  </si>
  <si>
    <t>10.1109/VISUAL.2005.1532813</t>
  </si>
  <si>
    <t>http://dx.doi.org/10.1109/VISUAL.2005.1532813</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</si>
  <si>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</si>
  <si>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Oliver Staubli;Christian Sigg;Ronald Peikert;Markus H. Gross;Daniel Gubler</t>
  </si>
  <si>
    <t>Eidgenossische Tech. Hochschule, Zurich, Switzerland|c|;;;;</t>
  </si>
  <si>
    <t>10.1109/VISUAL.2000.885683;10.1109/VISUAL.2003.1250390;10.1109/VISUAL.1993.398846;10.1109/VISUAL.2004.85;10.1109/VISUAL.2003.1250384;10.1109/VISUAL.2003.1250385</t>
  </si>
  <si>
    <t xml:space="preserve"> volume rendering, flow visualization</t>
  </si>
  <si>
    <t>Hardware-accelerated simulated radiography</t>
  </si>
  <si>
    <t>10.1109/VISUAL.2005.1532815</t>
  </si>
  <si>
    <t>http://dx.doi.org/10.1109/VISUAL.2005.1532815</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</si>
  <si>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</si>
  <si>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Daniel E. Laney;Steven P. Callahan;Nelson L. Max;Cl��udio T. Silva;Steven Langer;Randall Frank</t>
  </si>
  <si>
    <t>Lawrence Livermore Nat. Lab., Berkeley, CA, USA|c|;;;;;</t>
  </si>
  <si>
    <t>10.1109/VISUAL.2000.885683;10.1109/VISUAL.2004.85;10.1109/VISUAL.2003.1250390</t>
  </si>
  <si>
    <t xml:space="preserve"> volume rendering, hardware acceleration</t>
  </si>
  <si>
    <t>Fast visualization by shear-warp on quadratic super-spline models using wavelet data decompositions</t>
  </si>
  <si>
    <t>10.1109/VISUAL.2005.1532816</t>
  </si>
  <si>
    <t>http://dx.doi.org/10.1109/VISUAL.2005.1532816</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</si>
  <si>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</si>
  <si>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Gregor Schlosser;J�_rgen Hesser;Frank Zeilfelder;Christian R̦ssl;Reinhard M�_nner;G�_nther N�_rnberger;Hans-Peter Seidel</t>
  </si>
  <si>
    <t>ICM, Mannheim Univ., Germany|c|;;;;;;</t>
  </si>
  <si>
    <t>10.1109/VISUAL.1998.745713;10.1109/VISUAL.2001.964513;10.1109/VISUAL.1994.346331;10.1109/VISUAL.1990.146391</t>
  </si>
  <si>
    <t>Volume Rendering, Quadratic Super-Splines, Shear-Warp Algorithm, Hierarchical Data Encoding</t>
  </si>
  <si>
    <t>Dataset traversal with motion-controlled transfer functions</t>
  </si>
  <si>
    <t>10.1109/VISUAL.2005.1532817</t>
  </si>
  <si>
    <t>http://dx.doi.org/10.1109/VISUAL.2005.1532817</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</si>
  <si>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</si>
  <si>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Carlos D. Correa;Deborah Silver</t>
  </si>
  <si>
    <t>Dept. of Electr. &amp; Comput. Eng., State Univ. of New Jersey, Newark, NJ, USA|c|;</t>
  </si>
  <si>
    <t>10.1109/VISUAL.2003.1250388;10.1109/VISUAL.2002.1183820;10.1109/VISUAL.2002.1183777;10.1109/VISUAL.2003.1250386;10.1109/VISUAL.2004.48;10.1109/VISUAL.2001.964517</t>
  </si>
  <si>
    <t>Dataset traversal, illustrative visualization, volume manipulation, animation, transfer functions</t>
  </si>
  <si>
    <t>The magic volume lens: an interactive focus+context technique for volume rendering</t>
  </si>
  <si>
    <t>10.1109/VISUAL.2005.1532818</t>
  </si>
  <si>
    <t>http://dx.doi.org/10.1109/VISUAL.2005.1532818</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</si>
  <si>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</si>
  <si>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Lujin Wang;Ye Zhao;Klaus Mueller;Arie E. Kaufman</t>
  </si>
  <si>
    <t>Center for Visual Comput., Comput. Sci., Stony Brook Univ., NY, USA|c|;;;</t>
  </si>
  <si>
    <t>10.1109/INFVIS.1997.636786;10.1109/INFVIS.1996.559215;10.1109/INFVIS.1996.559214;10.1109/VISUAL.2001.964552;10.1109/VISUAL.2003.1250386;10.1109/VISUAL.2003.1250384;10.1109/VISUAL.2004.48;10.1109/VISUAL.2003.1250400;10.1109/VISUAL.2000.885697</t>
  </si>
  <si>
    <t>Focus+Context Techniques,Lens,Volume Rendering, Hardware-assisted Volume Rendering</t>
  </si>
  <si>
    <t>Effectively visualizing large networks through sampling</t>
  </si>
  <si>
    <t>10.1109/VISUAL.2005.1532819</t>
  </si>
  <si>
    <t>http://dx.doi.org/10.1109/VISUAL.2005.1532819</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</si>
  <si>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</si>
  <si>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Davood Rafiei;Stephen Curial</t>
  </si>
  <si>
    <t>Dept. of Comput. Sci., Alberta Univ., Edmonton, Alta., Canada|c|</t>
  </si>
  <si>
    <t>10.1109/INFVIS.2001.963282;10.1109/INFVIS.2004.66;10.1109/INFVIS.2002.1173148;10.1109/INFVIS.2003.1249011</t>
  </si>
  <si>
    <t>visualizing the Web, large network visualization, network sampling</t>
  </si>
  <si>
    <t>Opening the black box - data driven visualization of neural networks</t>
  </si>
  <si>
    <t>10.1109/VISUAL.2005.1532820</t>
  </si>
  <si>
    <t>http://dx.doi.org/10.1109/VISUAL.2005.1532820</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</si>
  <si>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</si>
  <si>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Fan-Yin Tzeng;Kwan-Liu Ma</t>
  </si>
  <si>
    <t>10.1109/INFVIS.2002.1173157;10.1109/VISUAL.1999.809866</t>
  </si>
  <si>
    <t>Artificial Neural Network, Information Visualization, Visualization Application, Classification, Machine Learning</t>
  </si>
  <si>
    <t>Interactive visual analysis and exploration of injection systems simulations</t>
  </si>
  <si>
    <t>10.1109/VISUAL.2005.1532821</t>
  </si>
  <si>
    <t>http://dx.doi.org/10.1109/VISUAL.2005.1532821</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</si>
  <si>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</si>
  <si>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Kresimir Matkovic;Mario Jelovic;Josip Juric;Zoltan Konyha;Denis Gracanin</t>
  </si>
  <si>
    <t>VRVis Res. Center, Vienna, Austria|c|;;;;</t>
  </si>
  <si>
    <t>10.1109/INFVIS.1997.636793;10.1109/VISUAL.2000.885739;10.1109/VISUAL.1990.146402</t>
  </si>
  <si>
    <t>Information visualization, visual exploration, simulation, injection system</t>
  </si>
  <si>
    <t>Quality mesh generation for molecular skin surfaces using restricted union of balls</t>
  </si>
  <si>
    <t>10.1109/VISUAL.2005.1532822</t>
  </si>
  <si>
    <t>http://dx.doi.org/10.1109/VISUAL.2005.1532822</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</si>
  <si>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</si>
  <si>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Smooth surfaces, meshing, restricted union of balls, Delaunay triangulation, guaranteed quality triangulation, homeomorphism</t>
  </si>
  <si>
    <t>Surface reconstruction via contour metamorphosis: an Eulerian approach with Lagrangian particle tracking</t>
  </si>
  <si>
    <t>10.1109/VISUAL.2005.1532823</t>
  </si>
  <si>
    <t>http://dx.doi.org/10.1109/VISUAL.2005.1532823</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</si>
  <si>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</si>
  <si>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Ola Nilsson;David E. Breen;Ken Museth</t>
  </si>
  <si>
    <t>Linkoping Univ., Sweden|c|;;</t>
  </si>
  <si>
    <t>10.1109/VISUAL.1996.567812;10.1109/VISUAL.2002.1183773;10.1109/VISUAL.1998.745281;10.1109/VISUAL.1995.480820</t>
  </si>
  <si>
    <t>3D reconstruction, contours, level sets</t>
  </si>
  <si>
    <t>Reconstructing manifold and non-manifold surfaces from point clouds</t>
  </si>
  <si>
    <t>10.1109/VISUAL.2005.1532824</t>
  </si>
  <si>
    <t>http://dx.doi.org/10.1109/VISUAL.2005.1532824</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</si>
  <si>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</si>
  <si>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Jianning Wang;Manuel Menezes de Oliveira Neto;Arie E. Kaufman</t>
  </si>
  <si>
    <t>Stony Brook Univ., NY, USA|c|;;</t>
  </si>
  <si>
    <t>10.1109/VISUAL.2001.964489;10.1109/VISUAL.2001.964528</t>
  </si>
  <si>
    <t>surface reconstruction, non-manifold surfaces, topological thinning</t>
  </si>
  <si>
    <t>Marching diamonds for unstructured meshes</t>
  </si>
  <si>
    <t>10.1109/VISUAL.2005.1532825</t>
  </si>
  <si>
    <t>http://dx.doi.org/10.1109/VISUAL.2005.1532825</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</si>
  <si>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</si>
  <si>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John C. Anderson;Janine Bennett;Kenneth I. Joy</t>
  </si>
  <si>
    <t>10.1109/VISUAL.1994.346331;10.1109/VISUAL.1991.175782</t>
  </si>
  <si>
    <t>isosurface extraction, interpolation, unstructured mesh</t>
  </si>
  <si>
    <t>Evolutionary morphing</t>
  </si>
  <si>
    <t>10.1109/VISUAL.2005.1532826</t>
  </si>
  <si>
    <t>http://dx.doi.org/10.1109/VISUAL.2005.1532826</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</si>
  <si>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</si>
  <si>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David F. Wiley;Nina Amenta;Dan A. Alcantara;Deboshmita Ghosh;Yong Joo Kil;Eric Delson;Will Harcourt-Smith;Katherine St. John;F. James Rohlf;Bernd Hamann</t>
  </si>
  <si>
    <t>Dept. of Comput. Sci., California Univ., Davis, CA, USA|c|;;;;;;;;;</t>
  </si>
  <si>
    <t>morphometrics, morphing, surface blending, merging, warping, distance fields, extremal surface</t>
  </si>
  <si>
    <t>Hardware-accelerated 3D visualization of mass spectrometry data</t>
  </si>
  <si>
    <t>10.1109/VISUAL.2005.1532827</t>
  </si>
  <si>
    <t>http://dx.doi.org/10.1109/VISUAL.2005.1532827</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</si>
  <si>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</si>
  <si>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Jose De Corral;Hanspeter Pfister</t>
  </si>
  <si>
    <t>Waters Corp., Milford, MA, USA|c|;</t>
  </si>
  <si>
    <t>10.1109/VISUAL.1996.567600;10.1109/VISUAL.1998.745282;10.1109/VISUAL.1997.663860</t>
  </si>
  <si>
    <t>Mass Spectrometry, Terrain Rendering, GPU Rendering</t>
  </si>
  <si>
    <t>Differential protein expression analysis via liquid-chromatography/mass-spectrometry data visualization</t>
  </si>
  <si>
    <t>10.1109/VISUAL.2005.1532828</t>
  </si>
  <si>
    <t>http://dx.doi.org/10.1109/VISUAL.2005.1532828</t>
  </si>
  <si>
    <t>Steven P. Callahan;João Luiz Dihl Comba;Peter Shirley;Cláudio T. Silva</t>
  </si>
  <si>
    <t>S.P. Callahan;J.L.D. Comba;P. Shirley;C.T. Silva</t>
  </si>
  <si>
    <t>Sci. Comput. &amp; Imaging Inst., Utah State Univ., Logan, UT, USA</t>
  </si>
  <si>
    <t>Differential protein expression analysis is one of the main challenges in proteomics. It denotes the search for proteins, whose encoding genes are differentially expressed under a given experimental setup. An important task in this context is to identify the differentially expressed proteins or, more generally, all proteins present in the sample. One of the most promising and recently widely used approaches for protein identification is to cleave proteins into peptides, separate the peptides using liquid chromatography, and determine the masses of the separated peptides using mass spectrometry. The resulting data needs to be analyzed and matched against protein sequence databases. The analysis step is typically done by searching for intensity peaks in a large number of 2D graphs. We present an interactive visualization tool for the exploration of liquid-chromatography/mass-spectrometry data in a 3D space, which allows for the understanding of the data in its entirety and a detailed analysis of regions of interest. We compute differential expression over the liquid-chromatography/mass-spectrometry domain and embed it visually in our system. Our exploration tool can treat single liquid-chromatography/mass-spectrometry data sets as well as data acquired using multi-dimensional protein identification technology. For efficiency purposes we perform a peak-preserving data resampling and multiresolution hierarchy generation prior to visualization.</t>
  </si>
  <si>
    <t>Lars Linsen;Julia L̦cherbach;Matthias Berth;J̦rg Bernhardt</t>
  </si>
  <si>
    <t>Dept. of Math. &amp; Comput. Sci., Ernst-Moritz-Arndt-Univ., Greifswald, Germany|c|;;;;</t>
  </si>
  <si>
    <t>interactive visual exploration, hierarchical data representation, visualization in bioinformatics, proteomics</t>
  </si>
  <si>
    <t>The software interface to the 3D-force microscope</t>
  </si>
  <si>
    <t>10.1109/VISUAL.2005.1532829</t>
  </si>
  <si>
    <t>http://dx.doi.org/10.1109/VISUAL.2005.1532829</t>
  </si>
  <si>
    <t>ISTI, CNR, Italy;ISTI, CNR, Italy;ISTI, CNR, Italy;ISTI, CNR, Italy;ISTI, CNR, Italy;ISTI, CNR, Italy</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</si>
  <si>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</si>
  <si>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David Marshburn;Chris Weigle;Benjamin G. Wilde;Russell M. Taylor II;Kalpit Desai;J. K. Fisher;Jeremy Cribb;E. Timothy O'Brien;Richard Superfine</t>
  </si>
  <si>
    <t>Henrik Buchholz;Jürgen Döllner</t>
  </si>
  <si>
    <t>Dept. of Comput. Sci., North Carolina Univ., Chapel Hill, NC, USA|c|;;;;;;;;</t>
  </si>
  <si>
    <t>10.1109/VISUAL.1997.663923;10.1109/VISUAL.1996.568110;10.1109/VISUAL.1996.568136</t>
  </si>
  <si>
    <t>applications of visualization, multimodal visualization, haptics, force, scientific visualization, interactive graphics, virtual worlds, microscopy</t>
  </si>
  <si>
    <t>H. Buchholz;J. Dollner</t>
  </si>
  <si>
    <t>Hasso-Plattner Inst., Potsdam Univ., Germany;Hasso-Plattner Inst., Potsdam Univ., Germany</t>
  </si>
  <si>
    <t>Opening the can of worms: an exploration tool for vortical flows</t>
  </si>
  <si>
    <t>10.1109/VISUAL.2005.1532830</t>
  </si>
  <si>
    <t>http://dx.doi.org/10.1109/VISUAL.2005.1532830</t>
  </si>
  <si>
    <t>T. Klein;M. Strengert;S. Stegmaier;T. Ertl</t>
  </si>
  <si>
    <t>Inst. for Visualization &amp; Interactive Syst., Stuttgart Univ., Germany;Inst. for Visualization &amp; Interactive Syst., Stuttgart Univ., Germany;Inst. for Visualization &amp; Interactive Syst., Stuttgart Univ., Germany;Inst. for Visualization &amp; Interactive Syst., Stuttgart Univ., Germany</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</si>
  <si>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</si>
  <si>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Simon Stegmaier;Ulrich Rist;Thomas Ertl</t>
  </si>
  <si>
    <t>Inst. for Visualization &amp; Interactive Syst., Stuttgart Univ., Germany|c|;;</t>
  </si>
  <si>
    <t>10.1109/VISUAL.1990.146359;10.1109/VISUAL.1998.745297;10.1109/VISUAL.1994.346327;10.1109/VISUAL.2004.3;10.1109/VISUAL.1998.745288;10.1109/VISUAL.1998.745296</t>
  </si>
  <si>
    <t>Flow Features, Vortex Detection, Interactive Manipulation, 3D Vector Field Visualization</t>
  </si>
  <si>
    <t>Strategy for seeding 3D streamlines</t>
  </si>
  <si>
    <t>10.1109/VISUAL.2005.1532831</t>
  </si>
  <si>
    <t>http://dx.doi.org/10.1109/VISUAL.2005.1532831</t>
  </si>
  <si>
    <t>M. Isenburg;P. Lindstrom</t>
  </si>
  <si>
    <t>Dept. of Informatics, Zurich Univ., Switzerland</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</si>
  <si>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��_x0089_��-��_x0089_�� map of 3D critical points. Next, we use Poisson seeding to populate the empty regions. Finally, we filter the streamlines based on their geometric and spatial properties. Altogether, this multi-step strategy reduces clutter and yet captures the important 3D flow features.</t>
  </si>
  <si>
    <t>Xiaohong Ye;David L. Kao;Alex T. Pang</t>
  </si>
  <si>
    <t>Comput. Sci. Dept., UCSC, USA|c|;;</t>
  </si>
  <si>
    <t>10.1109/VISUAL.2000.885690;10.1109/VISUAL.1996.567777;10.1109/VISUAL.2000.885688;10.1109/VISUAL.1999.809865;10.1109/VISUAL.1991.175771;10.1109/VISUAL.2003.1250376</t>
  </si>
  <si>
    <t>streamlines, flow guided, feature based, filtering, critical points, variable templates</t>
  </si>
  <si>
    <t>Farthest point seeding for efficient placement of streamlines</t>
  </si>
  <si>
    <t>10.1109/VISUAL.2005.1532832</t>
  </si>
  <si>
    <t>http://dx.doi.org/10.1109/VISUAL.2005.1532832</t>
  </si>
  <si>
    <t>Laurent Castanie;Bruno Lévy;Fabien Bosquet</t>
  </si>
  <si>
    <t>L. Castanie;B. Levy;F. Bosquet</t>
  </si>
  <si>
    <t>M.A. Magnor;K. Hildebrand;A. Lintu;A.J. Hanson</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</si>
  <si>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</si>
  <si>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Abdelkrim Mebarki;Pierre Alliez;Olivier Devillers</t>
  </si>
  <si>
    <t>INRIA Sophia-Antipolis, France|c|;;</t>
  </si>
  <si>
    <t>Streamline placement, farthest point seeding, Delaunay triangulation, variable density, multiresolution</t>
  </si>
  <si>
    <t>View selection for volume rendering</t>
  </si>
  <si>
    <t>10.1109/VISUAL.2005.1532833</t>
  </si>
  <si>
    <t>http://dx.doi.org/10.1109/VISUAL.2005.1532833</t>
  </si>
  <si>
    <t>A.J. Hanson;H. Zhang</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</si>
  <si>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</si>
  <si>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10.1109/VISUAL.2000.885694;10.1109/VISUAL.2003.1250386;10.1109/VISUAL.2005.1532834;10.1109/VISUAL.2001.964516</t>
  </si>
  <si>
    <t>viewpoint selection, view space partitioning, volume rendering, entropy, visibility</t>
  </si>
  <si>
    <t>A feature-driven approach to locating optimal viewpoints for volume visualization</t>
  </si>
  <si>
    <t>Fernando Vega Higuera;Peter Hastreiter;Rudolf Fahlbusch;Günther Greiner</t>
  </si>
  <si>
    <t>10.1109/VISUAL.2005.1532834</t>
  </si>
  <si>
    <t>F. Vega-Higuera;P. Hastreiter;R. Fahlbusch;G. Greiner</t>
  </si>
  <si>
    <t>http://dx.doi.org/10.1109/VISUAL.2005.1532834</t>
  </si>
  <si>
    <t>Dept. of Neurosurg. &amp; Comput. Graphics Group, Univ. of Erlangen, Germany;Dept. of Neurosurg. &amp; Comput. Graphics Group, Univ. of Erlangen, Germany;Dept. of Neurosurg. &amp; Comput. Graphics Group, Univ. of Erlangen, Germany;Dept. of Neurosurg. &amp; Comput. Graphics Group, Univ. of Erlangen, Germany</t>
  </si>
  <si>
    <t>A. Huang;D. Roy;M. Franaszek;R.M. Summers</t>
  </si>
  <si>
    <t>Diagnostic Radiol. Dept., Nat. Inst. of Health, Bethesda, MD, USA;Diagnostic Radiol. Dept., Nat. Inst. of Health, Bethesda, MD, USA;Diagnostic Radiol. Dept., Nat. Inst. of Health, Bethesda, MD, USA;Diagnostic Radiol. Dept., Nat. Inst. of Health, Bethesda, MD, USA</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</si>
  <si>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</si>
  <si>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Shigeo Takahashi;Issei Fujishiro;Yuriko Takeshima;Tomoyuki Nishita</t>
  </si>
  <si>
    <t>Tokyo Univ., Japan|c|;;;</t>
  </si>
  <si>
    <t>10.1109/VISUAL.1995.480789;10.1109/VISUAL.2004.96;10.1109/VISUAL.2002.1183774;10.1109/VISUAL.2005.1532833;10.1109/VISUAL.1997.663875;10.1109/VISUAL.2002.1183785</t>
  </si>
  <si>
    <t>viewpoint selection, viewpoint entropy, direct volume rendering, interval volumes, level-set graphs</t>
  </si>
  <si>
    <t>Visualizing intersecting surfaces with nested-surface techniques</t>
  </si>
  <si>
    <t>10.1109/VISUAL.2005.1532835</t>
  </si>
  <si>
    <t>http://dx.doi.org/10.1109/VISUAL.2005.1532835</t>
  </si>
  <si>
    <t>J.M. Kniss;R. Van Uitert;A. Stephens;G.-S. Li;T. Tasdizen;C. Hansen</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</si>
  <si>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</si>
  <si>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Chris Weigle;Russell M. Taylor II</t>
  </si>
  <si>
    <t>10.1109/VISUAL.1996.568118;10.1109/VISUAL.1996.568111;10.1109/INFVIS.2003.1249022;10.1109/VISUAL.2000.885723</t>
  </si>
  <si>
    <t>perception, user study, transparent surfaces, nested surfaces, intersecting surfaces, two-surface visualization, scientific visualization</t>
  </si>
  <si>
    <t>Understanding visualization through spatial ability differences</t>
  </si>
  <si>
    <t>10.1109/VISUAL.2005.1532836</t>
  </si>
  <si>
    <t>http://dx.doi.org/10.1109/VISUAL.2005.1532836</t>
  </si>
  <si>
    <t>M. Kraus</t>
  </si>
  <si>
    <t>C. Sadowsky;J.D. Cohen;R.H. Taylor</t>
  </si>
  <si>
    <t>Johns Hopkins Univ., Laurel, MD, USA;Johns Hopkins Univ., Laurel, MD, USA;Johns Hopkins Univ., Laurel, MD, USA</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</si>
  <si>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</si>
  <si>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Maria C. Velez;Deborah Silver;Marilyn Tremaine</t>
  </si>
  <si>
    <t>Center for Adv. Inf. Process., Rutgers State Univ., NJ, USA|c|;;</t>
  </si>
  <si>
    <t>10.1109/INFVIS.2003.1249022;10.1109/VISUAL.2003.1250396</t>
  </si>
  <si>
    <t>Gender differences, orthogonal projections, spatial ability, standardized testing</t>
  </si>
  <si>
    <t>Eyegaze analysis of displays with combined 2D and 3D views</t>
  </si>
  <si>
    <t>10.1109/VISUAL.2005.1532837</t>
  </si>
  <si>
    <t>http://dx.doi.org/10.1109/VISUAL.2005.1532837</t>
  </si>
  <si>
    <t>Balázs Csébfalvi</t>
  </si>
  <si>
    <t>B. Csebfalvi</t>
  </si>
  <si>
    <t>Dept. of Control Eng. &amp; Inf. Technol., Budapest Univ., Hungary</t>
  </si>
  <si>
    <t>W. Qiao;D.S. Ebert;A. Entezari;M. Korkusinski;G. Klimeck</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</si>
  <si>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</si>
  <si>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Melanie Tory;M. Stella Atkins;Arthur E. Kirkpatrick;Marios Nicolaou;Guang-Zhong Yang</t>
  </si>
  <si>
    <t>Dept. of Comput. Sci., British Columbia Univ., Vancouver, BC, Canada|c|;;;;</t>
  </si>
  <si>
    <t>10.1109/VISUAL.2003.1250396;10.1109/VISUAL.1997.663914</t>
  </si>
  <si>
    <t>visualization, 2D/3D combination display, user study, experiment, eyegaze analysis</t>
  </si>
  <si>
    <t>Visualizing data with motion</t>
  </si>
  <si>
    <t>10.1109/VISUAL.2005.1532838</t>
  </si>
  <si>
    <t>http://dx.doi.org/10.1109/VISUAL.2005.1532838</t>
  </si>
  <si>
    <t>X. Yuan;M.Z. Nguyen;B. Chen;D.H. Porter</t>
  </si>
  <si>
    <t>Dept. of Comput. Sci. &amp; Eng;, Minnesota Univ., MN, USA;Dept. of Comput. Sci. &amp; Eng;, Minnesota Univ., MN, USA;Dept. of Comput. Sci. &amp; Eng;, Minnesota Univ., MN, USA;Dept. of Comput. Sci. &amp; Eng;, Minnesota Univ., MN, USA</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</si>
  <si>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20��_x0089_��, and velocity must differ by at least 0.43��_x0089_�� of subtended visual angle. We conclude with an overview of how we are applying our results to real-world data, and then discuss future work we plan to pursue.</t>
  </si>
  <si>
    <t>O. Staubli;C. Sigg;R. Peikert;D. Gubler;M. Gross</t>
  </si>
  <si>
    <t>Daniel E. Huber;Christopher G. Healey</t>
  </si>
  <si>
    <t>Eidgenossische Tech. Hochschule, Zurich, Switzerland;Eidgenossische Tech. Hochschule, Zurich, Switzerland;Eidgenossische Tech. Hochschule, Zurich, Switzerland</t>
  </si>
  <si>
    <t>direction, flicker, motion, multidimensional, perception, velocity, visualization</t>
  </si>
  <si>
    <t>Topology-based simplification for feature extraction from 3D scalar fields</t>
  </si>
  <si>
    <t>10.1109/VISUAL.2005.1532839</t>
  </si>
  <si>
    <t>http://dx.doi.org/10.1109/VISUAL.2005.1532839</t>
  </si>
  <si>
    <t>Daniel E. Laney;Steven P. Callahan;Nelson L. Max;Cláudio T. Silva;Steven Langer;Randall Frank</t>
  </si>
  <si>
    <t>D. Laney;S.P. Callahan;N. Max;C.T. Silva;S. Langer;R. Frank</t>
  </si>
  <si>
    <t>Lawrence Livermore Nat. Lab., Berkeley, CA, USA</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</si>
  <si>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</si>
  <si>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Attila Gyulassy;Vijay Natarajan;Valerio Pascucci;Peer-Timo Bremer;Bernd Hamann</t>
  </si>
  <si>
    <t>10.1109/VISUAL.1999.809907;10.1109/VISUAL.2000.885680;10.1109/VISUAL.2004.96;10.1109/VISUAL.2001.964507</t>
  </si>
  <si>
    <t>Morse theory, Morse-Smale complexes, computational topology, multiresolution, simplification, feature detection, 3D scalar fields</t>
  </si>
  <si>
    <t>Topology-driven surface mappings with robust feature alignment</t>
  </si>
  <si>
    <t>10.1109/VISUAL.2005.1532840</t>
  </si>
  <si>
    <t>http://dx.doi.org/10.1109/VISUAL.2005.1532840</t>
  </si>
  <si>
    <t>Gregor Schlosser;Jürgen Hesser;Frank Zeilfelder;Christian Rössl;Reinhard Männer;Günther Nürnberger;Hans-Peter Seidel</t>
  </si>
  <si>
    <t>G. Schlosser;J. Hesser;F. Zeilfelder;C. Rossl;G. Nurnberger;H.-P. Seidel;R. Manner</t>
  </si>
  <si>
    <t>ICM, Mannheim Univ., Germany</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</si>
  <si>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</si>
  <si>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Christopher Carner;Miao Jin;Xianfeng Gu;Hong Qin</t>
  </si>
  <si>
    <t>Stony Brook Univ., NY, USA|c|;;;</t>
  </si>
  <si>
    <t>Surface parameterization, Riemannian surface structure, Computational topology, Shape morphing</t>
  </si>
  <si>
    <t>Topological structures of 3D tensor fields</t>
  </si>
  <si>
    <t>10.1109/VISUAL.2005.1532841</t>
  </si>
  <si>
    <t>http://dx.doi.org/10.1109/VISUAL.2005.1532841</t>
  </si>
  <si>
    <t>C.D. Correa;D. Silver</t>
  </si>
  <si>
    <t>Dept. of Electr. &amp; Comput. Eng., State Univ. of New Jersey, Newark, NJ, USA;Dept. of Electr. &amp; Comput. Eng., State Univ. of New Jersey, Newark, NJ, USA</t>
  </si>
  <si>
    <t>L. Wang;Y. Zhao;K. Mueller;A. Kaufman</t>
  </si>
  <si>
    <t>Center for Visual Comput., Comput. Sci., Stony Brook Univ., NY, USA;Center for Visual Comput., Comput. Sci., Stony Brook Univ., NY, USA;Center for Visual Comput., Comput. Sci., Stony Brook Univ., NY, USA;Center for Visual Comput., Comput. Sci., Stony Brook Univ., NY, USA</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</si>
  <si>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</si>
  <si>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Xiaoqiang Zheng;Beresford N. Parlett;Alex T. Pang</t>
  </si>
  <si>
    <t>Comput. Sci. Dept., UCSC, Santa Cruz, CA, USA|c|;;</t>
  </si>
  <si>
    <t>10.1109/VISUAL.2004.105;10.1109/VISUAL.1999.809894;10.1109/VISUAL.1994.346326;10.1109/VISUAL.2004.113;10.1109/VISUAL.2003.1250376</t>
  </si>
  <si>
    <t>separating surface, trisectors, wedges, symmetric tensors, hyperstreamlines, degenerate tensors, tensor topology, topological line</t>
  </si>
  <si>
    <t>Extracting higher order critical points and topological simplification of 3D vector fields</t>
  </si>
  <si>
    <t>10.1109/VISUAL.2005.1532842</t>
  </si>
  <si>
    <t>http://dx.doi.org/10.1109/VISUAL.2005.1532842</t>
  </si>
  <si>
    <t>D. Rafiei</t>
  </si>
  <si>
    <t>Dept. of Comput. Sci., Alberta Univ., Edmonton, Alta., Canada</t>
  </si>
  <si>
    <t>F.-Y. Tzeng;K.-L. Ma</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</si>
  <si>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</si>
  <si>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Tino Weinkauf;Holger Theisel;Kuangyu Shi;Hans-Christian Hege;Hans-Peter Seidel</t>
  </si>
  <si>
    <t>ZIB, Berlin, Germany|c|;;;;</t>
  </si>
  <si>
    <t>10.1109/VISUAL.1999.809907;10.1109/VISUAL.2002.1183786;10.1109/VISUAL.2000.885714;10.1109/VISUAL.1991.175773;10.1109/VISUAL.2000.885716;10.1109/VISUAL.2001.964507;10.1109/VISUAL.2003.1250376</t>
  </si>
  <si>
    <t>Visualization of the genus of knots</t>
  </si>
  <si>
    <t>10.1109/VISUAL.2005.1532843</t>
  </si>
  <si>
    <t>http://dx.doi.org/10.1109/VISUAL.2005.1532843</t>
  </si>
  <si>
    <t>K. Matkovic;M. Jelovic;J. Juric;Z. Konyha;D. Gracanin</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</si>
  <si>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</si>
  <si>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Jarke J. van Wijk;Arjeh M. Cohen</t>
  </si>
  <si>
    <t>Visualization, knot theory, topology, genus, Seifert surfaces</t>
  </si>
  <si>
    <t>Visualizing the tightening of knots</t>
  </si>
  <si>
    <t>10.1109/VISUAL.2005.1532844</t>
  </si>
  <si>
    <t>http://dx.doi.org/10.1109/VISUAL.2005.1532844</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</si>
  <si>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/spl epsiv/-sampling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</si>
  <si>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H.-L. Cheng;X. Shi</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</si>
  <si>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</si>
  <si>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Jason Cantarella;Michael Piatek;Eric Rawdon</t>
  </si>
  <si>
    <t>Georgia Univ., Athens, GA, USA|c|;;</t>
  </si>
  <si>
    <t>O. Nilsson;D. Breen;K. Museth</t>
  </si>
  <si>
    <t>collision detection, contact, flexible models, tight knots, ideal knots, ropelength, nonlinear optimization, constrained least squares</t>
  </si>
  <si>
    <t>Linkoping Univ., Sweden</t>
  </si>
  <si>
    <t>Visualization in the Einstein Year 2005: a case study on explanatory and illustrative visualization of relativity and astrophysics</t>
  </si>
  <si>
    <t>10.1109/VISUAL.2005.1532845</t>
  </si>
  <si>
    <t>http://dx.doi.org/10.1109/VISUAL.2005.1532845</t>
  </si>
  <si>
    <t>J. Wang;M.M. Oliveira;A.E. Kaufman</t>
  </si>
  <si>
    <t>Stony Brook Univ., NY, USA</t>
  </si>
  <si>
    <t>In this application paper, we report on over fifteen years of experience with relativistic and astrophysical visualization, which has been culminating in a substantial engagement for visualization in the Einstein Year 2005 - the 100th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</si>
  <si>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Daniel Weiskopf;Marc Borchers;Thomas Ertl;Martin Falk;Oliver Fechtig;Regine Frank;Frank Grave;Andreas King;Ute Kraus;Thomas M�_ller 0005;Hans-Peter Nollert;Isabel Rica Mendez;Hanns Ruder;Corvin Zahn;Michael Zatloukal;Tobias Schafhitzel;Sonja Sch�_r</t>
  </si>
  <si>
    <t>Graphics, Visualisation, &amp; Usability Lab., Simon Fraser Univ., Burnaby, BC, Canada|c|;;;;;;;;;;;;;;;;</t>
  </si>
  <si>
    <t>10.1109/VISUAL.2000.885709;10.1109/VISUAL.2000.885728;10.1109/VISUAL.2000.885694;10.1109/VISUAL.2003.1250366;10.1109/VISUAL.2004.18</t>
  </si>
  <si>
    <t>Visualization, explanatory computer graphics, illustrative visualization, special relativity, general relativity, astrophysics, visualization of mathematics, terrain rendering</t>
  </si>
  <si>
    <t>A handheld flexible display system</t>
  </si>
  <si>
    <t>10.1109/VISUAL.2005.1532846</t>
  </si>
  <si>
    <t>http://dx.doi.org/10.1109/VISUAL.2005.1532846</t>
  </si>
  <si>
    <t>J.C. Anderson;J.C. Bennett;K.I. Joy</t>
  </si>
  <si>
    <t>D.F. Wiley;N. Amenta;D.A. Alcantara;D. Ghosh;Y.J. Kil;E. Delson;W. Harcourt-Smith;F.J. Rohlf;K. St John;B. Hamann</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</si>
  <si>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</si>
  <si>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Dept. of Comput. Sci., California Univ., Davis, CA, USA;Dept. of Comput. Sci., California Univ., Davis, CA, USA;Dept. of Comput. Sci., California Univ., Davis, CA, USA;Dept. of Comput. Sci., California Univ., Davis, CA, USA;Dept. of Comput. Sci., California Univ., Davis, CA, USA</t>
  </si>
  <si>
    <t>Jonathan Konieczny;Clement Shimizu;Gary W. Meyer;D'nardo Colucci</t>
  </si>
  <si>
    <t>Digital Technol. Center, Minnesota Univ., Minneapolis, MN, USA|c|;;;</t>
  </si>
  <si>
    <t>10.1109/VISUAL.2001.964508;10.1109/VISUAL.2003.1250351</t>
  </si>
  <si>
    <t>visualization, virtual reality, user interfaces, projectors, volume rendering, curved sections</t>
  </si>
  <si>
    <t>Profile Flags: a novel metaphor for probing of T&lt;sub&gt;2&lt;/sub&gt; maps</t>
  </si>
  <si>
    <t>10.1109/VISUAL.2005.1532847</t>
  </si>
  <si>
    <t>http://dx.doi.org/10.1109/VISUAL.2005.1532847</t>
  </si>
  <si>
    <t>J. de Corral;H. Pfister</t>
  </si>
  <si>
    <t>Waters Corp., Milford, MA, USA</t>
  </si>
  <si>
    <t>This paper describes a tool for the visualization of T2 maps of knee cartilage. Given the anatomical scan, and the T2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T2 maps of knee cartilage.</t>
  </si>
  <si>
    <t>Matej Mlejnek;Pierre Ermes;Anna Vilanova;Rob van der Rijt;Harrie van den Bosch;Frans A. Gerritsen;M. Eduard Gr̦ller</t>
  </si>
  <si>
    <t>Inst. of Comput. Graphics &amp; Algorithms, Vienna Univ. of Technol., Austria|c|;;;;;;</t>
  </si>
  <si>
    <t>10.1109/VISUAL.2000.885733;10.1109/VISUAL.1993.398849;10.1109/VISUAL.2002.1183752;10.1109/VISUAL.2004.56</t>
  </si>
  <si>
    <t>Eyelet particle tracing - steady visualization of unsteady flow</t>
  </si>
  <si>
    <t>10.1109/VISUAL.2005.1532848</t>
  </si>
  <si>
    <t>http://dx.doi.org/10.1109/VISUAL.2005.1532848</t>
  </si>
  <si>
    <t>Lars Linsen;Julia Löcherbach;Matthias Berth;Jörg Bernhardt</t>
  </si>
  <si>
    <t>L. Linsen;J. Locherbach;M. Berth;J. Bernhardt;D. Becher</t>
  </si>
  <si>
    <t>Dept. of Math. &amp; Comput. Sci., Ernst-Moritz-Arndt-Univ., Greifswald, Germany;Dept. of Math. &amp; Comput. Sci., Ernst-Moritz-Arndt-Univ., Greifswald, Germany</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</si>
  <si>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</si>
  <si>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Alexander Wiebel;Gerik Scheuermann</t>
  </si>
  <si>
    <t>Dept. of Comput. Sci., Leipzig Univ., Germany|c|;</t>
  </si>
  <si>
    <t>D. Marshburn;C. Weigle;B.G. Wilde;R.M. Taylor;K. Desai;J.K. Fisher;J. Cribb;E.T. O'Brien;R. Superfine</t>
  </si>
  <si>
    <t>10.1109/VISUAL.2001.964493;10.1109/VISUAL.1995.485146;10.1109/VISUAL.2004.107;10.1109/VISUAL.1992.235211;10.1109/VISUAL.1993.398848;10.1109/VISUAL.2004.113;10.1109/VISUAL.1993.398850;10.1109/VISUAL.2003.1250372;10.1109/VISUAL.1996.568121;10.1109/VISUAL.2004.99</t>
  </si>
  <si>
    <t>3D Vector Field Visualization, Time-Varying Data Visualization, Flow Visualization, Vector/Tensor Visualization</t>
  </si>
  <si>
    <t>Interpolation and visualization for advected scalar fields</t>
  </si>
  <si>
    <t>10.1109/VISUAL.2005.1532849</t>
  </si>
  <si>
    <t>http://dx.doi.org/10.1109/VISUAL.2005.1532849</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</si>
  <si>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/spl lambda//sub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</si>
  <si>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S. Stegmaier;U. Rist;T. Ertl</t>
  </si>
  <si>
    <t>Inst. for Visualization &amp; Interactive Syst., Stuttgart Univ., Germany</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</si>
  <si>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</si>
  <si>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Shyh-Kuang Ueng;Sheng-Chuan Wang</t>
  </si>
  <si>
    <t>Dept. of Comput. Sci., Nat. Taiwan Ocean Univ., Taipei, Taiwan|c|;</t>
  </si>
  <si>
    <t>10.1109/VISUAL.2004.69;10.1109/VISUAL.2001.964490;10.1109/VISUAL.1999.809916;10.1109/VISUAL.2002.1183823</t>
  </si>
  <si>
    <t>Doppler radar, volume rendering, optical flow, level of details, vector field visualization</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</si>
  <si>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/spl alpha/-/spl beta/ map of 3D critical points. Next, we use Poisson seeding to populate the empty regions. Finally, we filter the streamlines based on their geometric and spatial properties. Altogether, this multi-step strategy reduces clutter and yet captures the important 3D flow features.</t>
  </si>
  <si>
    <t>Visual analysis and exploration of fluid flow in a cooling jacket</t>
  </si>
  <si>
    <t>10.1109/VISUAL.2005.1532850</t>
  </si>
  <si>
    <t>Xiangong Ye;D. Kao;A. Pang</t>
  </si>
  <si>
    <t>http://dx.doi.org/10.1109/VISUAL.2005.1532850</t>
  </si>
  <si>
    <t>Comput. Sci. Dept., UCSC, USA</t>
  </si>
  <si>
    <t>A. Mebarki;P. Alliez;O. Devillers</t>
  </si>
  <si>
    <t>INRIA Sophia-Antipolis, France;INRIA Sophia-Antipolis, France;INRIA Sophia-Antipolis, France</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</si>
  <si>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</si>
  <si>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Robert S. Laramee;Christoph Garth;Helmut Doleisch;J�_rgen Schneider;Helwig Hauser;Hans Hagen</t>
  </si>
  <si>
    <t>10.1109/VISUAL.1999.809895;10.1109/VISUAL.1992.235211;10.1109/VISUAL.1997.663910;10.1109/VISUAL.1996.568137;10.1109/VISUAL.2004.107;10.1109/VISUAL.2004.113;10.1109/VISUAL.1998.745333;10.1109/VISUAL.2002.1183821;10.1109/VISUAL.2003.1250376;10.1109/VISUAL.2002.1183822;10.1109/VISUAL.2004.59;10.1109/VISUAL.2004.128</t>
  </si>
  <si>
    <t>flow visualization, vector field visualization, feature-extraction, feature-based visualization, computational fluid dynamics (CFD), cooling jacket, visualization systems, engine simulation,heat transfer</t>
  </si>
  <si>
    <t>Extraction of parallel vector surfaces in 3D time-dependent fields and application to vortex core line tracking</t>
  </si>
  <si>
    <t>10.1109/VISUAL.2005.1532851</t>
  </si>
  <si>
    <t>http://dx.doi.org/10.1109/VISUAL.2005.1532851</t>
  </si>
  <si>
    <t>U.D. Bordoloi;H.-W. Shen</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</si>
  <si>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</si>
  <si>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Holger Theisel;Jan Sahner;Tino Weinkauf;Hans-Christian Hege;Hans-Peter Seidel</t>
  </si>
  <si>
    <t>MPI Saarbrucken, Germany|c|;;;;</t>
  </si>
  <si>
    <t>10.1109/VISUAL.2004.99;10.1109/VISUAL.1994.346327;10.1109/VISUAL.1999.809896;10.1109/VISUAL.1992.235211;10.1109/VISUAL.1993.398875;10.1109/VISUAL.2001.964506;10.1109/VISUAL.1998.745290;10.1109/VISUAL.1998.745296</t>
  </si>
  <si>
    <t>flow visualization, vortex core lines, bifurcations</t>
  </si>
  <si>
    <t>Particle and texture based spatiotemporal visualization of time-dependent vector fields</t>
  </si>
  <si>
    <t>10.1109/VISUAL.2005.1532852</t>
  </si>
  <si>
    <t>S. Takahashi;I. Fujishiro;Y. Takeshima;T. Nishita</t>
  </si>
  <si>
    <t>Tokyo Univ., Japan</t>
  </si>
  <si>
    <t>http://dx.doi.org/10.1109/VISUAL.2005.1532852</t>
  </si>
  <si>
    <t>C. Weigle;R.M. Taylor</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</si>
  <si>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</si>
  <si>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Daniel Weiskopf;Frederik Schramm;Gordon Erlebacher;Thomas Ertl</t>
  </si>
  <si>
    <t>Graphics, Usability, &amp; Visualization Lab., Simon Fraser Univ., Burnaby, BC, Canada|c|;;;</t>
  </si>
  <si>
    <t>10.1109/VISUAL.2003.1250377;10.1109/VISUAL.2003.1250363;10.1109/VISUAL.2003.1250361;10.1109/VISUAL.2000.885689;10.1109/VISUAL.2003.1250402;10.1109/VISUAL.2003.1250364</t>
  </si>
  <si>
    <t>Unsteady flow visualization, visualization framework, LIC, texture advection, particle systems, GPU methods</t>
  </si>
  <si>
    <t>Texture-based visualization of uncertainty in flow fields</t>
  </si>
  <si>
    <t>10.1109/VISUAL.2005.1532853</t>
  </si>
  <si>
    <t>http://dx.doi.org/10.1109/VISUAL.2005.1532853</t>
  </si>
  <si>
    <t>M.C. Velez;D. Silver;M. Tremaine</t>
  </si>
  <si>
    <t>Center for Adv. Inf. Process., Rutgers State Univ., NJ, USA;Center for Adv. Inf. Process., Rutgers State Univ., NJ, USA;Center for Adv. Inf. Process., Rutgers State Univ., NJ, USA</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</si>
  <si>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</si>
  <si>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Ralf P. Botchen;Daniel Weiskopf</t>
  </si>
  <si>
    <t>10.1109/VISUAL.1996.567784;10.1109/VISUAL.2000.885689;10.1109/VISUAL.1996.568116</t>
  </si>
  <si>
    <t>Uncertainty visualization, unsteady flow visualization, texture advection, GPU programming</t>
  </si>
  <si>
    <t>Example-based volume illustrations</t>
  </si>
  <si>
    <t>10.1109/VISUAL.2005.1532854</t>
  </si>
  <si>
    <t>http://dx.doi.org/10.1109/VISUAL.2005.1532854</t>
  </si>
  <si>
    <t>M. Tory;M.S. Atkins;A.E. Kirkpatrick;M. Nicolaou;G.-Z. Yang</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</si>
  <si>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20/spl deg/, and velocity must differ by at least 0.43/spl deg/ of subtended visual angle. We conclude with an overview of how we are applying our results to real-world data, and then discuss future work we plan to pursue.</t>
  </si>
  <si>
    <t>D.E. Huber;C.G. Healey</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</si>
  <si>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</si>
  <si>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Aidong Lu;David S. Ebert</t>
  </si>
  <si>
    <t>10.1109/VISUAL.2004.35;10.1109/VISUAL.2000.885694;10.1109/VISUAL.2003.1250386;10.1109/VISUAL.1999.809905</t>
  </si>
  <si>
    <t>Volume Illustration, Example-based Rendering, Wang Cubes, Texture Synthesis, Color Transfer</t>
  </si>
  <si>
    <t>Illustrative display of hidden iso-surface structures</t>
  </si>
  <si>
    <t>10.1109/VISUAL.2005.1532855</t>
  </si>
  <si>
    <t>A. Gyulassy;Vijay Natarajan</t>
  </si>
  <si>
    <t>http://dx.doi.org/10.1109/VISUAL.2005.1532855</t>
  </si>
  <si>
    <t>C. Garner;M. Jin;X. Gu;H. Qin</t>
  </si>
  <si>
    <t>Stony Brook Univ., NY, USA;Stony Brook Univ., NY, USA;Stony Brook Univ., NY, USA;Stony Brook Univ., NY, USA</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</si>
  <si>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</si>
  <si>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Jan Fischer;Dirk Bartz;Wolfgang Stra��er</t>
  </si>
  <si>
    <t>Visual Comput. for Medicine, Tubingen Univ., Germany|c|;;</t>
  </si>
  <si>
    <t>10.1109/VISUAL.2002.1183777;10.1109/VISUAL.2000.885694;10.1109/VISUAL.2003.1250387;10.1109/VISUAL.2000.885723;10.1109/VISUAL.2004.48</t>
  </si>
  <si>
    <t>illustrative rendering, non-photorealistic rendering, transparency, indirect volume rendering, hatching, shading language</t>
  </si>
  <si>
    <t>VolumeShop: an interactive system for direct volume illustration</t>
  </si>
  <si>
    <t>10.1109/VISUAL.2005.1532856</t>
  </si>
  <si>
    <t>http://dx.doi.org/10.1109/VISUAL.2005.1532856</t>
  </si>
  <si>
    <t>X. Zheng;B. Parlett;A. Pang</t>
  </si>
  <si>
    <t>Comput. Sci. Dept., UCSC, Santa Cruz, CA, USA</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</si>
  <si>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</si>
  <si>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Stefan Bruckner;M. Eduard Gr̦ller</t>
  </si>
  <si>
    <t>Inst. of Comput. Graphics &amp; Algorithms, Vienna Univ. of Technol., Austria|c|;</t>
  </si>
  <si>
    <t>10.1109/VISUAL.2000.885694;10.1109/VISUAL.2002.1183777;10.1109/VISUAL.2004.62;10.1109/VISUAL.2003.1250384;10.1109/VISUAL.2004.48;10.1109/VISUAL.2004.64</t>
  </si>
  <si>
    <t>T. Weinkauf;H. Theisel;K. Shi;H.-C. Hege;H.-P. Seidel</t>
  </si>
  <si>
    <t>illustrative visualization, volume rendering, focus+context techniques</t>
  </si>
  <si>
    <t>ZIB, Berlin, Germany</t>
  </si>
  <si>
    <t>Illustration-inspired techniques for visualizing time-varying data</t>
  </si>
  <si>
    <t>10.1109/VISUAL.2005.1532857</t>
  </si>
  <si>
    <t>http://dx.doi.org/10.1109/VISUAL.2005.1532857</t>
  </si>
  <si>
    <t>J.J. van Wijk;A.M. Cohen</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</si>
  <si>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</si>
  <si>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Alark Joshi;Penny Rheingans</t>
  </si>
  <si>
    <t>10.1109/VISUAL.2001.964520;10.1109/VISUAL.1999.809910;10.1109/VISUAL.1994.346321;10.1109/VISUAL.1996.567807;10.1109/VISUAL.1999.809879;10.1109/VISUAL.2005.1532858;10.1109/VISUAL.2002.1183777;10.1109/VISUAL.2000.885694;10.1109/VISUAL.2003.1250386</t>
  </si>
  <si>
    <t>Flow visualization, Non-photorealistic rendering, time-varying data, illustration</t>
  </si>
  <si>
    <t>Illustration and photography inspired visualization of flows and volumes</t>
  </si>
  <si>
    <t>10.1109/VISUAL.2005.1532858</t>
  </si>
  <si>
    <t>http://dx.doi.org/10.1109/VISUAL.2005.1532858</t>
  </si>
  <si>
    <t>J. Cantarella;M. Piatek;E. Rawdon</t>
  </si>
  <si>
    <t>Georgia Univ., Athens, GA, USA</t>
  </si>
  <si>
    <t>In this application paper, we report on over fifteen years of experience with relativistic and astrophysical visualization, which has been culminating in a substantial engagement for visualization in the Einstein Year 2005 - the 100/sup 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</si>
  <si>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Daniel Weiskopf;Marc Borchers;Thomas Ertl;Martin Falk;Oliver Fechtig;Regine Frank;Frank Grave;Andreas King;Ute Kraus;Thomas Müller 0005;Hans-Peter Nollert;Isabel Rica Mendez;Hanns Ruder;Corvin Zahn;Michael Zatloukal;Tobias Schafhitzel;Sonja Schär</t>
  </si>
  <si>
    <t>D. Weiskopf;H.-P. Nollert;I.R. Mendez;H. Ruder;T. Schafhitzel;S. Schar;C. Zahn;M. Zatloukal;M. Borchers;T. Ertl;M. Falk;O. Fechtig;R. Frank;F. Grave;A. King;U. Kraus;T. Muller</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</si>
  <si>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</si>
  <si>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Graphics, Visualisation, &amp; Usability Lab., Simon Fraser Univ., Burnaby, BC, Canada</t>
  </si>
  <si>
    <t>Nikolai A. Svakhine;Yun Jang;David S. Ebert;Kelly P. Gaither</t>
  </si>
  <si>
    <t>10.1109/VISUAL.1995.485141;10.1109/VISUAL.1993.398846;10.1109/VISUAL.2003.1250378;10.1109/VISUAL.1996.567777;10.1109/VISUAL.1997.663912;10.1109/VISUAL.2003.1250361;10.1109/VISUAL.1999.809905;10.1109/VISUAL.2000.885694;10.1109/VISUAL.2000.885689;10.1109/VISUAL.2005.1532857;10.1109/VISUAL.2000.885696;10.1109/VISUAL.1993.398877</t>
  </si>
  <si>
    <t>interactive volume illustration, flow visualization, non-photorealistic rendering, photographic techniques</t>
  </si>
  <si>
    <t>Visualization with stylized line primitives</t>
  </si>
  <si>
    <t>10.1109/VISUAL.2005.1532859</t>
  </si>
  <si>
    <t>http://dx.doi.org/10.1109/VISUAL.2005.1532859</t>
  </si>
  <si>
    <t>J. Konieczny;C. Shimizu;G. Meyer;D. Colucci</t>
  </si>
  <si>
    <t>Digital Technol. Center, Minnesota Univ., Minneapolis, MN, USA;Digital Technol. Center, Minnesota Univ., Minneapolis, MN, USA;Digital Technol. Center, Minnesota Univ., Minneapolis, MN, USA;Digital Technol. Center, Minnesota Univ., Minneapolis, MN, USA</t>
  </si>
  <si>
    <t>Profile Flags: a novel metaphor for probing of T₂ maps</t>
  </si>
  <si>
    <t>This paper describes a tool for the visualization of T/sub 2/ maps of knee cartilage. Given the anatomical scan, and the T/sub 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T/sub 2/ maps of knee cartilage.</t>
  </si>
  <si>
    <t>Matej Mlejnek;Pierre Ermes;Anna Vilanova;Rob van der Rijt;Harrie van den Bosch;Frans A. Gerritsen;M. Eduard Gröller</t>
  </si>
  <si>
    <t>M. Mlejnek;P. Ermest;A. Vilanova;R. van der Rijt;H. van den Bosch;F. Gerritsen;M.E. Groller</t>
  </si>
  <si>
    <t>A. Wiebel;G. Scheuermann</t>
  </si>
  <si>
    <t>Dept. of Comput. Sci., Leipzig Univ., Germany;Dept. of Comput. Sci., Leipzig Univ., Germany</t>
  </si>
  <si>
    <t>Dept. of Comput. Sci., Nat. Taiwan Ocean Univ., Taipei, Taiwan;Dept. of Comput. Sci., Nat. Taiwan Ocean Univ., Taipei, Taiwan</t>
  </si>
  <si>
    <t>Robert S. Laramee;Christoph Garth;Helmut Doleisch;Jürgen Schneider;Helwig Hauser;Hans Hagen</t>
  </si>
  <si>
    <t>R.S. Laramee;C. Garth;H. Doleisch;J. Schneider;H. Hauser;H. Hagen</t>
  </si>
  <si>
    <t>H. Theisel;J. Sahner;T. Weinkauf;H.-C. Hege;H.-P. Seidel</t>
  </si>
  <si>
    <t>MPI Saarbrucken, Germany</t>
  </si>
  <si>
    <t>D. Weiskopf;F. Schramm;G. Erlebacher;T. Ertl</t>
  </si>
  <si>
    <t>Graphics, Usability, &amp; Visualization Lab., Simon Fraser Univ., Burnaby, BC, Canada</t>
  </si>
  <si>
    <t>R.P. Botchen;D. Weiskopf;T. Ertl</t>
  </si>
  <si>
    <t>Stuttgart Univ., Germany;Stuttgart Univ., Germany;Stuttgart Univ., Germany</t>
  </si>
  <si>
    <t>A. Lu;D.S. Ebert</t>
  </si>
  <si>
    <t>Jan Fischer;Dirk Bartz;Wolfgang Straßer</t>
  </si>
  <si>
    <t>J. Fischer;D. Bartz;W. Strasser</t>
  </si>
  <si>
    <t>Visual Comput. for Medicine, Tubingen Univ., Germany;Visual Comput. for Medicine, Tubingen Univ., Germany</t>
  </si>
  <si>
    <t>Stefan Bruckner;M. Eduard Gröller</t>
  </si>
  <si>
    <t>S. Bruckner;M.E. Groller</t>
  </si>
  <si>
    <t>A. Joshi;P. Rheingans</t>
  </si>
  <si>
    <t>N.A. Svakhine;Y. Jang;D. Ebert;K. Gaither</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</si>
  <si>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</si>
  <si>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Carsten Stoll;Stefan Gumhold;Hans-Peter Seidel</t>
  </si>
  <si>
    <t>C. Stoll;S. Gumhold;H.-P. Seidel</t>
  </si>
  <si>
    <t>Max-Planck-Inst. fur Inf., Saarbrucken, Germany;Max-Planck-Inst. fur Inf., Saarbrucken, Germany;Max-Planck-Inst. fur Inf., Saarbrucken, Germany</t>
  </si>
  <si>
    <t>10.1109/VISUAL.2004.5;10.1109/VISUAL.1996.567777;10.1109/VISUAL.1998.745317</t>
  </si>
  <si>
    <t xml:space="preserve"> rendering, vector fields, streamlines</t>
  </si>
  <si>
    <t>2006</t>
  </si>
  <si>
    <t>ASK-graphView: a large scale graph visualization system</t>
  </si>
  <si>
    <t>10.1109/TVCG.2006.120</t>
  </si>
  <si>
    <t>J</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</si>
  <si>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</si>
  <si>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James Abello;Frank van Ham;Neeraj Krishnan</t>
  </si>
  <si>
    <t>James Abello;Frank Van Ham;Neeraj Krishnan</t>
  </si>
  <si>
    <t>Ask.com and DIMACS, Rutgers University;IBM, but this work was performed while consulting for Ask.com in 2005;Ask.com</t>
  </si>
  <si>
    <t>10.1109/INFVIS.2004.46;10.1109/INFVIS.2005.1532127;10.1109/INFVIS.2004.66;10.1109/INFVIS.1997.636718;10.1109/INFVIS.2004.43</t>
  </si>
  <si>
    <t>Information visualization, graph visualization, graph clustering</t>
  </si>
  <si>
    <t>Balancing Systematic and Flexible Exploration of Social Networks</t>
  </si>
  <si>
    <t>10.1109/TVCG.2006.122</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</si>
  <si>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</si>
  <si>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Adam Perer;Ben Shneiderman</t>
  </si>
  <si>
    <t>Department of Computer Science, University of Maryland, College Park, MD 20742;Department of Computer Science, University of Maryland, College Park, MD 20742</t>
  </si>
  <si>
    <t>10.1109/INFVIS.2003.1249011;10.1109/INFVIS.2004.43;10.1109/INFVIS.2004.1;10.1109/VAST.2006.261426;10.1109/INFVIS.1997.636718;10.1109/INFVIS.2004.66;10.1109/INFVIS.2005.1532126</t>
  </si>
  <si>
    <t>Social networks, interactive graph visualization, attribute ranking, coordinated views, exploratory data analysis</t>
  </si>
  <si>
    <t>Complex Logarithmic Views for Small Details in Large Contexts</t>
  </si>
  <si>
    <t>10.1109/TVCG.2006.126</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</si>
  <si>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</si>
  <si>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Joachim Böttger;Michael Balzer;Oliver Deussen</t>
  </si>
  <si>
    <t>Joachim Bottger;Michael Balzer;Oliver Deussen</t>
  </si>
  <si>
    <t>10.1109/INFVIS.1997.636786;10.1109/INFVIS.2005.1532128;10.1109/INFVIS.1996.559214</t>
  </si>
  <si>
    <t>Detail in context, complex logarithm, conformal mappings, analytic functions, interaction</t>
  </si>
  <si>
    <t>Dynamic Map Labeling</t>
  </si>
  <si>
    <t>10.1109/TVCG.2006.136</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</si>
  <si>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</si>
  <si>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Ken Been;Eli Daiches;Chee-Keng Yap</t>
  </si>
  <si>
    <t>Ken Been;Eli Daiches;Chee Yap</t>
  </si>
  <si>
    <t>Yeshiva University;Yeshiva University;New York University</t>
  </si>
  <si>
    <t>Map labeling, dynamic maps, human-computer interface, label placement, label selection, label filtering, label consistency,computational cartography, GIS, HCI, realtime, preprocessing</t>
  </si>
  <si>
    <t>Enabling Automatic Clutter Reduction in Parallel Coordinate Plots</t>
  </si>
  <si>
    <t>10.1109/TVCG.2006.138</t>
  </si>
  <si>
    <t>Max-Planck-Inst. fur Inf., Saarbrucken, Germany|c|;;</t>
  </si>
  <si>
    <t>A Generic and Scalable Pipeline for GPU Tetrahedral Grid Rendering</t>
  </si>
  <si>
    <t>10.1109/TVCG.2006.110</t>
  </si>
  <si>
    <t>http://dx.doi.org/10.1109/TVCG.2006.110</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</si>
  <si>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</si>
  <si>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Joachim Georgii;R�_diger Westermann</t>
  </si>
  <si>
    <t>Comput. Graphics &amp; Visualization Group, Technische Univ. Munchen|c|;</t>
  </si>
  <si>
    <t>10.1109/VISUAL.2003.1250390;10.1109/VISUAL.1997.663853;10.1109/VISUAL.2000.885683;10.1109/VISUAL.2003.1250384;10.1109/VISUAL.2001.964512;10.1109/VISUAL.1996.567606</t>
  </si>
  <si>
    <t>Direct volume rendering, unstructured grids, programmable graphics hardware</t>
  </si>
  <si>
    <t>A Novel Visualization Model for Web Search Results</t>
  </si>
  <si>
    <t>10.1109/TVCG.2006.111</t>
  </si>
  <si>
    <t>http://dx.doi.org/10.1109/TVCG.2006.111</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</si>
  <si>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</si>
  <si>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Tien Nguyen;Jun Zhang</t>
  </si>
  <si>
    <t>Dept. of Electr. &amp; Comput. Eng., Iowa State Univ., Ames, IA|c|;</t>
  </si>
  <si>
    <t>10.1109/INFVIS.1995.528691;10.1109/INFVIS.2001.963287;10.1109/INFVIS.1995.528692;10.1109/INFVIS.1998.729553;10.1109/INFVIS.1999.801864;10.1109/INFVIS.2000.885099</t>
  </si>
  <si>
    <t>Visualization model, Web search results, movement, speed</t>
  </si>
  <si>
    <t>A Pipeline for Computer Aided Polyp Detection</t>
  </si>
  <si>
    <t>10.1109/TVCG.2006.112</t>
  </si>
  <si>
    <t>http://dx.doi.org/10.1109/TVCG.2006.112</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</si>
  <si>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</si>
  <si>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Wei Hong;Feng Qiu;Arie E. Kaufman</t>
  </si>
  <si>
    <t>Dept. of Comput. Sci., Stony Brook Univ., NY|c|;;</t>
  </si>
  <si>
    <t>10.1109/VISUAL.2001.964540;10.1109/VISUAL.2004.27;10.1109/VISUAL.1992.235231;10.1109/VISUAL.2003.1250384</t>
  </si>
  <si>
    <t>Computer Aided Detection, Virtual Colonoscopy, Texture Analysis, Volume Rendering</t>
  </si>
  <si>
    <t>A Spectral Analysis of Function Composition and its Implications for Sampling in Direct Volume Visualization</t>
  </si>
  <si>
    <t>10.1109/TVCG.2006.113</t>
  </si>
  <si>
    <t>http://dx.doi.org/10.1109/TVCG.2006.113</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</si>
  <si>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</si>
  <si>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Steven Bergner;Torsten M̦ller;Daniel Weiskopf;David J. Muraki</t>
  </si>
  <si>
    <t>GrUVi-Lab, Simon Fraser Univ., Burnaby, BC|c|;;;</t>
  </si>
  <si>
    <t>10.1109/VISUAL.2003.1250388;10.1109/VISUAL.2005.1532812;10.1109/VISUAL.2003.1250412;10.1109/VISUAL.1993.398852;10.1109/VISUAL.2000.885683;10.1109/VISUAL.2001.964519;10.1109/VISUAL.2003.1250384;10.1109/VISUAL.1999.809908</t>
  </si>
  <si>
    <t>volume rendering, transfer function, signal processing, Fourier transform, adaptive sampling</t>
  </si>
  <si>
    <t>A Trajectory-Preserving Synchronization Method for Collaborative Visualization</t>
  </si>
  <si>
    <t>10.1109/TVCG.2006.114</t>
  </si>
  <si>
    <t>http://dx.doi.org/10.1109/TVCG.2006.114</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</si>
  <si>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</si>
  <si>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Lewis W. F. Li;Frederick W. B. Li;Rynson W. H. Lau</t>
  </si>
  <si>
    <t>Dept. of Comput. Sci., City Univ. of Hong Kong|c|;;</t>
  </si>
  <si>
    <t>10.1109/VISUAL.1997.663890;10.1109/VISUAL.1997.663896</t>
  </si>
  <si>
    <t>Collaborative visualization, network latency, motion synchronization, distributed synchronization</t>
  </si>
  <si>
    <t>Ambient Occlusion and Edge Cueing for Enhancing Real Time Molecular Visualization</t>
  </si>
  <si>
    <t>10.1109/TVCG.2006.115</t>
  </si>
  <si>
    <t>http://dx.doi.org/10.1109/TVCG.2006.115</t>
  </si>
  <si>
    <t>The paper presents a set of combined techniques to enhance the real-time visualization of simple or complex molecules (up to order of 106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</si>
  <si>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Marco Tarini;Paolo Cignoni;Claudio Montani</t>
  </si>
  <si>
    <t>Universita dell''Insubria, Varese|c|;;</t>
  </si>
  <si>
    <t>10.1109/VISUAL.2000.885694;10.1109/VISUAL.2003.1250394</t>
  </si>
  <si>
    <t>An Advanced Evenly-Spaced Streamline Placement Algorithm</t>
  </si>
  <si>
    <t>10.1109/TVCG.2006.116</t>
  </si>
  <si>
    <t>http://dx.doi.org/10.1109/TVCG.2006.116</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</si>
  <si>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</si>
  <si>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Zhanping Liu;Robert J. Moorhead II;Joe Groner</t>
  </si>
  <si>
    <t>HPC, Mississippi State Univ., MS|c|;;</t>
  </si>
  <si>
    <t>10.1109/VISUAL.2000.885690;10.1109/VISUAL.1998.745295;10.1109/VISUAL.2005.1532831;10.1109/VISUAL.2005.1532832</t>
  </si>
  <si>
    <t>Flow visualization, evenly-spaced streamlines, streamline placement, seeding strategy, closed streamlines</t>
  </si>
  <si>
    <t>An Atmospheric Visual Analysis and Exploration System</t>
  </si>
  <si>
    <t>10.1109/TVCG.2006.117</t>
  </si>
  <si>
    <t>http://dx.doi.org/10.1109/TVCG.2006.117</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</si>
  <si>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</si>
  <si>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Yuyan Song;Jing Ye;Nikolai A. Svakhine;Sonia Lasher-Trapp;Mike Baldwin;David S. Ebert</t>
  </si>
  <si>
    <t>Purdue Univ., West Lafayette, IN|c|;;;;;</t>
  </si>
  <si>
    <t>10.1109/VISUAL.2000.885745;10.1109/VISUAL.2003.1250390;10.1109/VISUAL.1998.745330;10.1109/VISUAL.1992.235215;10.1109/VISUAL.1996.568113;10.1109/VISUAL.2003.1250383;10.1109/VISUAL.1990.146361</t>
  </si>
  <si>
    <t>weather visualization, grid structures, transfer function, volume rendering, volume visualization, glyph rendering, warm rain entrainment process</t>
  </si>
  <si>
    <t>Analyzing Complex FTMS Simulations: a Case Study in High-Level Visualization of Ion Motions</t>
  </si>
  <si>
    <t>10.1109/TVCG.2006.118</t>
  </si>
  <si>
    <t>http://dx.doi.org/10.1109/TVCG.2006.118</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</si>
  <si>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5.104 ions and 105 timesteps. This paper discusses the requirements, design and informal evaluation of the implemented system</t>
  </si>
  <si>
    <t>Wojciech Burakiewicz;Robert van Liere</t>
  </si>
  <si>
    <t>10.1109/VISUAL.2001.964552;10.1109/VISUAL.2004.121;10.1109/VISUAL.2000.885733;10.1109/VISUAL.2000.885734</t>
  </si>
  <si>
    <t>Particle visualization, motion, motion features</t>
  </si>
  <si>
    <t>Analyzing Vortex Breakdown Flow Structures by Assignment of Colors to Tensor Invariants</t>
  </si>
  <si>
    <t>10.1109/TVCG.2006.119</t>
  </si>
  <si>
    <t>http://dx.doi.org/10.1109/TVCG.2006.119</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</si>
  <si>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</si>
  <si>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Markus R�_tten;Min S. Chong</t>
  </si>
  <si>
    <t>German Aerosp. Center|c|;</t>
  </si>
  <si>
    <t>10.1109/VISUAL.2003.1250379;10.1109/VISUAL.1997.663858;10.1109/VISUAL.2004.99;10.1109/VISUAL.2004.80;10.1109/VISUAL.2004.113;10.1109/VISUAL.1994.346326;10.1109/VISUAL.1993.398849</t>
  </si>
  <si>
    <t>Flow visualization, Tensor field Topology, Invariants</t>
  </si>
  <si>
    <t>http://dx.doi.org/10.1109/TVCG.2006.120</t>
  </si>
  <si>
    <t>Rutgers Univ., New Brunswick, NJ|c|;;</t>
  </si>
  <si>
    <t>Asynchronous Distributed Calibration for Scalable and Reconfigurable Multi-Projector Displays</t>
  </si>
  <si>
    <t>10.1109/TVCG.2006.121</t>
  </si>
  <si>
    <t>http://dx.doi.org/10.1109/TVCG.2006.121</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</si>
  <si>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</si>
  <si>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Ezekiel S. Bhasker;Pinaki Sinha;Aditi Majumder</t>
  </si>
  <si>
    <t>Dept. of Comput. Sci., California Univ., Irvine, CA|c|;;</t>
  </si>
  <si>
    <t>10.1109/VISUAL.2002.1183793;10.1109/VISUAL.2000.885685;10.1109/VISUAL.2000.885684;10.1109/VISUAL.1999.809883;10.1109/VISUAL.2001.964508</t>
  </si>
  <si>
    <t>Multi-projector displays, projector-camera systems, geometric and color calibration, distributed algorithms</t>
  </si>
  <si>
    <t>http://dx.doi.org/10.1109/TVCG.2006.122</t>
  </si>
  <si>
    <t>Caricaturistic Visualization</t>
  </si>
  <si>
    <t>10.1109/TVCG.2006.123</t>
  </si>
  <si>
    <t>http://dx.doi.org/10.1109/TVCG.2006.123</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</si>
  <si>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</si>
  <si>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Peter Rautek;Ivan Viola;M. Eduard Gr̦ller</t>
  </si>
  <si>
    <t>Inst. of Comput. Graphics &amp; Algorithms, Vienna Univ. of Technol.|c|;;</t>
  </si>
  <si>
    <t>10.1109/VISUAL.2005.1532856;10.1109/VISUAL.2004.48;10.1109/VISUAL.2005.1532857;10.1109/VISUAL.2005.1532835</t>
  </si>
  <si>
    <t>Illustrative Visualization, Focus+Context Techniques, Volume Visualization</t>
  </si>
  <si>
    <t>ClearView: An Interactive Context Preserving Hotspot Visualization Technique</t>
  </si>
  <si>
    <t>10.1109/TVCG.2006.124</t>
  </si>
  <si>
    <t>http://dx.doi.org/10.1109/TVCG.2006.124</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</si>
  <si>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</si>
  <si>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Jens H. Kr�_ger;Jens Schneider;R�_diger Westermann</t>
  </si>
  <si>
    <t>Comput. Graphics &amp; Visualization Group, Technische Univ. Munchen|c|;;</t>
  </si>
  <si>
    <t>10.1109/VISUAL.2000.885694;10.1109/VISUAL.2003.1250400;10.1109/VISUAL.1996.568110;10.1109/VISUAL.2002.1183762;10.1109/VISUAL.2002.1183777;10.1109/VISUAL.1999.809882;10.1109/VISUAL.2000.885694;10.1109/VISUAL.2004.48;10.1109/VISUAL.2003.1250384;10.1109/VISUAL.2005.1532856;10.1109/VISUAL.2005.1532818</t>
  </si>
  <si>
    <t>Focus &amp; Context, GPU rendering, volume raycasting</t>
  </si>
  <si>
    <t>Comparative Visualization for Wave-based and Geometric Acoustics</t>
  </si>
  <si>
    <t>10.1109/TVCG.2006.125</t>
  </si>
  <si>
    <t>http://dx.doi.org/10.1109/TVCG.2006.125</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</si>
  <si>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</si>
  <si>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Eduard Deines;Martin Hering-Bertram;Jan Mohring;Jevgenijs Jegorovs;Frank Michel;Hans Hagen;Gregory M. Nielson</t>
  </si>
  <si>
    <t>IRTG, Kaiserslautern|c|;;;;;;</t>
  </si>
  <si>
    <t>Acoustic simulation, comparative visualization, ray tracing, finite element method, phonon map</t>
  </si>
  <si>
    <t>http://dx.doi.org/10.1109/TVCG.2006.126</t>
  </si>
  <si>
    <t>Joachim B̦ttger;Michael Balzer;Oliver Deussen</t>
  </si>
  <si>
    <t>Dept. of Comput. &amp; Inf. Sci., Konstanz Univ.|c|;;</t>
  </si>
  <si>
    <t>Composite Rectilinear Deformation for Stretch and Squish Navigation</t>
  </si>
  <si>
    <t>10.1109/TVCG.2006.127</t>
  </si>
  <si>
    <t>http://dx.doi.org/10.1109/TVCG.2006.127</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</si>
  <si>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</si>
  <si>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James Slack;Tamara Munzner</t>
  </si>
  <si>
    <t>Dept. of Comput. Sci., British Columbia Univ., Vancouver, BC|c|;</t>
  </si>
  <si>
    <t>10.1109/INFVIS.1997.636786;10.1109/INFVIS.2005.1532127;10.1109/INFVIS.2002.1173156;10.1109/INFVIS.2005.1532127;10.1109/VISUAL.2002.1183791</t>
  </si>
  <si>
    <t>Focus+Context, information visualization, real time rendering, navigation</t>
  </si>
  <si>
    <t>Concurrent Visualization in a Production Supercomputing Environment</t>
  </si>
  <si>
    <t>10.1109/TVCG.2006.128</t>
  </si>
  <si>
    <t>http://dx.doi.org/10.1109/TVCG.2006.128</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</si>
  <si>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</si>
  <si>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David Ellsworth;Bryan Green;Chris Henze;Patrick J. Moran;Timothy Sandstrom</t>
  </si>
  <si>
    <t>AMTl, NASA Ames Res. Center, Moffett Field, CA|c|;;;;</t>
  </si>
  <si>
    <t>Supercomputing, concurrent visualization, interactive visual computing, time-varying data, high temporal resolution visualization, GEOS4 global climate model, hurricane visualization, ECCO, ocean modeling</t>
  </si>
  <si>
    <t>Detection and Visualization of Defects in 3D Unstructured Models of Nematic Liquid Crystals</t>
  </si>
  <si>
    <t>10.1109/TVCG.2006.133</t>
  </si>
  <si>
    <t>http://dx.doi.org/10.1109/TVCG.2006.133</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</si>
  <si>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</si>
  <si>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Ketan Mehta;T. J. Jankun-Kelly</t>
  </si>
  <si>
    <t>Mississippi State Univ., MS|c|;</t>
  </si>
  <si>
    <t>10.1109/TVCG.2006.181;10.1109/TVCG.2006.182;10.1109/VISUAL.1997.663894;10.1109/VISUAL.2004.23;10.1109/VISUAL.2001.964507</t>
  </si>
  <si>
    <t>scientific visualization, disclination, nematic liquid crystal, defects, unstructured grid, feature extraction</t>
  </si>
  <si>
    <t>Diffusion Tensor Visualization with Glyph Packing</t>
  </si>
  <si>
    <t>10.1109/TVCG.2006.134</t>
  </si>
  <si>
    <t>http://dx.doi.org/10.1109/TVCG.2006.134</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</si>
  <si>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</si>
  <si>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Gordon L. Kindlmann;Carl-Fredrik Westin</t>
  </si>
  <si>
    <t>Dept. of Radiol., Harvard Med. Sch., Boston, MA|c|;</t>
  </si>
  <si>
    <t>10.1109/VISUAL.2004.25;10.1109/VISUAL.1998.745294;10.1109/VISUAL.2004.80;10.1109/VISUAL.2002.1183797;10.1109/VISUAL.1995.485141;10.1109/VISUAL.1999.809905;10.1109/VISUAL.2003.1250379</t>
  </si>
  <si>
    <t>Diffusion tensor, glyphs, particle systems, anisotropic sampling, fiber tractography</t>
  </si>
  <si>
    <t>Distributed Shared Memory for Roaming Large Volumes</t>
  </si>
  <si>
    <t>10.1109/TVCG.2006.135</t>
  </si>
  <si>
    <t>http://dx.doi.org/10.1109/TVCG.2006.135</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</si>
  <si>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</si>
  <si>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Laurent Castanie;Christophe Mion;Xavier Cavin;Bruno L̩vy</t>
  </si>
  <si>
    <t>ALICE Group, INRIA, Lorraine|c|;;;</t>
  </si>
  <si>
    <t>10.1109/VISUAL.2005.1532794;10.1109/VISUAL.1997.663888;10.1109/VISUAL.2005.1532785;10.1109/VISUAL.2005.1532802</t>
  </si>
  <si>
    <t>Large volumes, volume roaming, out-of-core, hierarchical caching, distributed shared memory, hardware-accelerated volume visualization, graphics hardware, parallel rendering, graphics cluster</t>
  </si>
  <si>
    <t>http://dx.doi.org/10.1109/TVCG.2006.136</t>
  </si>
  <si>
    <t>Yeshiva Univ.|c|;;</t>
  </si>
  <si>
    <t>Dynamic View Selection for Time-Varying Volumes</t>
  </si>
  <si>
    <t>10.1109/TVCG.2006.137</t>
  </si>
  <si>
    <t>http://dx.doi.org/10.1109/TVCG.2006.137</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</si>
  <si>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</si>
  <si>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Guangfeng Ji;Han-Wei Shen</t>
  </si>
  <si>
    <t>Ohio State Univ., Columbus, OH|c|;</t>
  </si>
  <si>
    <t>10.1109/VISUAL.2003.1250414;10.1109/VISUAL.1996.567807;10.1109/VISUAL.1999.809893;10.1109/INFVIS.2003.1249004;10.1109/VISUAL.2005.1532834;10.1109/VISUAL.2005.1532857;10.1109/VISUAL.2005.1532833;10.1109/VISUAL.2002.1183785;10.1109/VISUAL.2003.1250402</t>
  </si>
  <si>
    <t>Static view selection, image based method, dynamic view selection, information entropy, optimization</t>
  </si>
  <si>
    <t>http://dx.doi.org/10.1109/TVCG.2006.138</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</si>
  <si>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</si>
  <si>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Geoffrey P. Ellis;Alan J. Dix</t>
  </si>
  <si>
    <t>Geoffrey Ellis;Alan Dix</t>
  </si>
  <si>
    <t>10.1109/VISUAL.2004.5;10.1109/VISUAL.2005.1532819;10.1109/INFVIS.2004.64;10.1109/VISUAL.1999.809866;10.1109/INFVIS.2004.15</t>
  </si>
  <si>
    <t>Sampling, random sampling, lens, clutter, occlusion, density reduction, overplotting, information visualisation, parallel coordinates</t>
  </si>
  <si>
    <t>FacetMap: A Scalable Search and Browse Visualization</t>
  </si>
  <si>
    <t>10.1109/TVCG.2006.142</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</si>
  <si>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</si>
  <si>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Greg Smith;Mary Czerwinski;Brian Meyers;Daniel C. Robbins;George G. Robertson;Desney S. Tan</t>
  </si>
  <si>
    <t>Greg Smith;Mary Czerwinski;Brian Meyers;Daniel Robbins;George Robertson;Desney S. Tan</t>
  </si>
  <si>
    <t>10.1109/INFVIS.1998.729570;10.1109/INFVIS.2000.885086;10.1109/INFVIS.2002.1173156;10.1109/INFVIS.1995.528685;10.1109/VISUAL.1991.175815</t>
  </si>
  <si>
    <t>Graphical visualization, interactive information retrieval, faceted metadata</t>
  </si>
  <si>
    <t>Hierarchical Edge Bundles: Visualization of Adjacency Relations in Hierarchical Data</t>
  </si>
  <si>
    <t>10.1109/TVCG.2006.147</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</si>
  <si>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</si>
  <si>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Danny Holten</t>
  </si>
  <si>
    <t>10.1109/INFVIS.2004.1;10.1109/INFVIS.2003.1249008;10.1109/INFVIS.2005.1532150;10.1109/INFVIS.2003.1249030;10.1109/INFVIS.2005.1532129;10.1109/INFVIS.1997.636718;10.1109/INFVIS.2002.1173152</t>
  </si>
  <si>
    <t>Network visualization, edge bundling, edge aggregation, edge concentration, curves, graph visualization, tree visualization, node-link diagrams, hierarchies, treemaps</t>
  </si>
  <si>
    <t>IPSep-CoLa: An Incremental Procedure for Separation Constraint Layout of Graphs</t>
  </si>
  <si>
    <t>10.1109/TVCG.2006.156</t>
  </si>
  <si>
    <t>We extend the popular force-directed approach to network (or graph) layout to allow separation constraints, which enforce a minimum horizontal or vertical separation between selected pairs of nodes. This simple class of linear constraints is expressive enough to satisfy a wide variety of application-specific layout requirements, including: layout of directed graphs to better show flow; layout with non-overlapping node labels; and layout of graphs with grouped nodes (called clusters). In the stress majorization force-directed layout process, separation constraints can be treated as a quadratic programming problem. We give an incremental algorithm based on gradient projection for efficiently solving this problem. The algorithm is considerably faster than using generic constraint optimization techniques and is comparable in speed to unconstrained stress majorization. We demonstrate the utility of our technique with sample data from a number of practical applications including gene-activation networks, terrorist networks and visualization of high-dimensional data.</t>
  </si>
  <si>
    <t>Tim Dwyer;Yehuda Koren;Kim Marriott</t>
  </si>
  <si>
    <t>Monash University, Australia;AT&amp;T Labs — Research;Monash University, Australia</t>
  </si>
  <si>
    <t>Graph drawing, constraints, stress majorization, force directed algorithms,multidimensional scaling</t>
  </si>
  <si>
    <t>MatrixExplorer: a Dual-Representation System to Explore Social Networks</t>
  </si>
  <si>
    <t>10.1109/TVCG.2006.160</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</si>
  <si>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</si>
  <si>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Nathalie Henry Riche;Jean-Daniel Fekete</t>
  </si>
  <si>
    <t>Nathalie Henry;Jean-daniel Fekete</t>
  </si>
  <si>
    <t>IEEE Computer Society;IEEE Computer Society</t>
  </si>
  <si>
    <t>social networks visualization, node-link diagrams, matrix-based representations, exploratory process, matrix ordering, interactive clustering, consensus</t>
  </si>
  <si>
    <t>Measuring Data Abstraction Quality in Multiresolution Visualizations</t>
  </si>
  <si>
    <t>10.1109/TVCG.2006.161</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</si>
  <si>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</si>
  <si>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Qingguang Cui;Matthew O. Ward;Elke A. Rundensteiner;Jing Yang 0001</t>
  </si>
  <si>
    <t>Qingguang Cui;Matthew Ward;Elke Rundensteiner;Jing Yang</t>
  </si>
  <si>
    <t>Worcester Polytechnic Institute, 100 Institute Road, Worcester, MA 01609;Worcester Polytechnic Institute, 100 Institute Road, Worcester, MA 01609;Worcester Polytechnic Institute, 100 Institute Road, Worcester, MA 01609;University of North Carolina at Charlotte, 9201 University City Blvd, Charlotte, NC 28223</t>
  </si>
  <si>
    <t>10.1109/INFVIS.2004.19;10.1109/VISUAL.2005.1532819;10.1109/INFVIS.2004.15;10.1109/VISUAL.1995.485139;10.1109/INFVIS.2000.885088</t>
  </si>
  <si>
    <t>Metrics, Clustering, Sampling, Multiresolution Visualization</t>
  </si>
  <si>
    <t>Multi-Scale Banking to 45 Degrees</t>
  </si>
  <si>
    <t>10.1109/TVCG.2006.163</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</si>
  <si>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</si>
  <si>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Jeffrey Heer;Maneesh Agrawala</t>
  </si>
  <si>
    <t>Computer Science Division of the University of California, Berkeley.;Computer Science Division of the University of California, Berkeley</t>
  </si>
  <si>
    <t>Information visualization, banking to 45 degrees, line charts, time-series, sparklines, graphical perception</t>
  </si>
  <si>
    <t>Network Visualization by Semantic Substrates</t>
  </si>
  <si>
    <t>10.1109/TVCG.2006.166</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</si>
  <si>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</si>
  <si>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Ben Shneiderman;Aleks Aris</t>
  </si>
  <si>
    <t>Professor with the Computer Science Department and the Human-Computer Interaction Laboratory at the University of Maryland, College Park;PhD Candidate with the Computer Science Department and the Human-Computer Interaction Laboratory at the University of Maryland, College Park</t>
  </si>
  <si>
    <t>10.1109/INFVIS.2004.1;10.1109/INFVIS.2005.1532124;10.1109/INFVIS.2005.1532126</t>
  </si>
  <si>
    <t>Network visualization, semantic substrate, information visualization, graphical user interfaces</t>
  </si>
  <si>
    <t>Smashing Peacocks Further: Drawing Quasi-Trees from Biconnected Components</t>
  </si>
  <si>
    <t>10.1109/TVCG.2006.177</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</si>
  <si>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</si>
  <si>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Daniel W. Archambault;Tamara Munzner;David Auber</t>
  </si>
  <si>
    <t>Daniel Archambault;Tamara Munzner;David Auber</t>
  </si>
  <si>
    <t>University of British Columbia;University of British Columbia;Universite de Bordeaux</t>
  </si>
  <si>
    <t>Graph and network visualization, quasi-tree</t>
  </si>
  <si>
    <t>Software Design Patterns for Information Visualization</t>
  </si>
  <si>
    <t>10.1109/TVCG.2006.178</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</si>
  <si>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</si>
  <si>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Computer Science Division of the University of California, Berkeley;Computer Science Division of the University of California, Berkeley</t>
  </si>
  <si>
    <t>10.1109/INFVIS.1998.729560;10.1109/INFVIS.2002.1173141;10.1109/INFVIS.2003.1249007;10.1109/INFVIS.2000.885086;10.1109/INFVIS.2004.12;10.1109/INFVIS.2004.64</t>
  </si>
  <si>
    <t>Design patterns, information visualization, software engineering, object-oriented programming</t>
  </si>
  <si>
    <t>Spatial Analysis of News Sources</t>
  </si>
  <si>
    <t>10.1109/TVCG.2006.179</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</si>
  <si>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</si>
  <si>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Andrew Mehler;Yunfan Bao;Xin Li 0003;Yue Wang;Steven Skiena</t>
  </si>
  <si>
    <t>Andrew Mehler;Yunfan Bao;Xin Li;Yue Wang;Steven Skiena</t>
  </si>
  <si>
    <t>GIS, geographic visualization, text and document visualization, information analytics, WWW data visualization, spidering, newspapers</t>
  </si>
  <si>
    <t>The Perceptual Scalability of Visualization</t>
  </si>
  <si>
    <t>10.1109/TVCG.2006.184</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</si>
  <si>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</si>
  <si>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Beth Yost;Chris North</t>
  </si>
  <si>
    <t>Virginia Tech;Virginia Tech</t>
  </si>
  <si>
    <t>Information visualization, large displays, empirical evaluation</t>
  </si>
  <si>
    <t>Topographic Visualization of Prefix Propagation in the Internet</t>
  </si>
  <si>
    <t>10.1109/TVCG.2006.185</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</si>
  <si>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</si>
  <si>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Pier Francesco Cortese;Giuseppe Di Battista;Antonello Moneta;Maurizio Patrignani;Maurizio Pizzonia</t>
  </si>
  <si>
    <t>10.1109/INFVIS.2004.18;10.1109/INFVIS.2001.963279;10.1109/INFVIS.2002.1173160</t>
  </si>
  <si>
    <t>Interdomain Routing, Internet Visualization, Graph Drawing, Spring Embedder</t>
  </si>
  <si>
    <t>User Interaction with Scatterplots on Small Screens - A Comparative Evaluation of Geometric-Semantic Zoom and Fisheye Distortion</t>
  </si>
  <si>
    <t>10.1109/TVCG.2006.187</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</si>
  <si>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</si>
  <si>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Thorsten Büring;Jens Gerken;Harald Reiterer</t>
  </si>
  <si>
    <t>Thorsten Buering;Jens Gerken;Harald Reiterer</t>
  </si>
  <si>
    <t>University of Konstanz;University of Konstanz;University of Konstanz</t>
  </si>
  <si>
    <t>10.1109/INFVIS.1999.801854;10.1109/INFVIS.2002.1173156</t>
  </si>
  <si>
    <t>Small screen, PDA, scatterplot, zoom, fisheye, focus+context</t>
  </si>
  <si>
    <t>Visual Analysis of Multivariate State Transition Graphs</t>
  </si>
  <si>
    <t>10.1109/TVCG.2006.192</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</si>
  <si>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</si>
  <si>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A. Johannes Pretorius;Jarke J. van Wijk</t>
  </si>
  <si>
    <t>A. Johannes Pretorius;Jarke J. Van Wijk</t>
  </si>
  <si>
    <t>Department of Mathematics and Computer Science, Technische Universiteit Eindhoven, PO Box 513, 5600 MB Eindhoven, The Netherlands;Department of Mathematics and Computer Science, Technische Universiteit Eindhoven, PO Box 513, 5600 MB Eindhoven, The Netherlands</t>
  </si>
  <si>
    <t>10.1109/INFVIS.2002.1173153;10.1109/INFVIS.2002.1173155;10.1109/VISUAL.1991.175796;10.1109/VISUAL.2002.1183778;10.1109/INFVIS.2003.1249028</t>
  </si>
  <si>
    <t>Graph visualization, multivariate visualization, interactive clustering, state spaces, transition systems, finite state machines</t>
  </si>
  <si>
    <t>Visual Exploration of Complex Time-Varying Graphs</t>
  </si>
  <si>
    <t>10.1109/TVCG.2006.193</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</si>
  <si>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</si>
  <si>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Gautam Kumar;Michael Garland</t>
  </si>
  <si>
    <t>D. Auber;T. Munzner;D. Archambault;D. Auber;T. Munzner;D. Archambault</t>
  </si>
  <si>
    <t>British Columbia Univ., Vancouver, BC;British Columbia Univ., Vancouver, BC;British Columbia Univ., Vancouver, BC;British Columbia Univ., Vancouver, BC</t>
  </si>
  <si>
    <t>10.1109/INFVIS.2004.43;10.1109/INFVIS.2004.66</t>
  </si>
  <si>
    <t>Graph and network visualization, financial data visualization, hierarchy visualization, time series data</t>
  </si>
  <si>
    <t>Visualization of Barrier Tree Sequences</t>
  </si>
  <si>
    <t>10.1109/TVCG.2006.196</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</si>
  <si>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</si>
  <si>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Christian Heine 0002;Gerik Scheuermann;Christoph Flamm;Ivo L. Hofacker;Peter F. Stadler</t>
  </si>
  <si>
    <t>Christian Heine;Gerik Scheuermann;Christoph Flamm;Ivo L. Hofacker;Peter F. Stadler</t>
  </si>
  <si>
    <t>Graph drawing, dynamic graph, RNA folding, energy landscape, fitness landscape, barrier tree</t>
  </si>
  <si>
    <t>Visualization of Geo-spatial Point Sets via Global Shape Transformation and Local Pixel Placement</t>
  </si>
  <si>
    <t>10.1109/TVCG.2006.198</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</si>
  <si>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</si>
  <si>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Christian Panse;Mike Sips;Daniel A. Keim;Stephen C. North</t>
  </si>
  <si>
    <t>Christian Panse;Mike Sips;Daniel Keim;Stephen North</t>
  </si>
  <si>
    <t>IEEE Computer Society;IEEE Computer Society;IEEE Computer Society;IEEE Computer Society</t>
  </si>
  <si>
    <t>10.1109/VISUAL.1998.745303;10.1109/INFVIS.2004.57;10.1109/VISUAL.2003.1250410</t>
  </si>
  <si>
    <t>Geo-spatial Data, Shape Transformation, Cartogram, Pixel Visualization</t>
  </si>
  <si>
    <t>Visualizing Business Data with Generalized Treemaps</t>
  </si>
  <si>
    <t>10.1109/TVCG.2006.200</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</si>
  <si>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</si>
  <si>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Roel Vliegen;Jarke J. van Wijk;Erik-Jan van der Linden</t>
  </si>
  <si>
    <t>MagnaView;Technische Universiteit Eindhoven;Magnaview</t>
  </si>
  <si>
    <t>10.1109/VISUAL.2005.1532781;10.1109/INFVIS.2001.963290;10.1109/VISUAL.1991.175815;10.1109/INFVIS.2005.1532125;10.1109/INFVIS.1999.801859</t>
  </si>
  <si>
    <t>Information visualization, treemap, business graphics, hierarchical data</t>
  </si>
  <si>
    <t>Worldmapper: The World as You've Never Seen it Before</t>
  </si>
  <si>
    <t>10.1109/TVCG.2006.202</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</si>
  <si>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</si>
  <si>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Danny Dorling;Anna Barford;Mark Newman</t>
  </si>
  <si>
    <t>Geographic Visualization, Computer Graphics, Worldmapper, Data Visualization, Social Visualization, Cartogram</t>
  </si>
  <si>
    <t>Collaborative Visual Analytics: Inferring from the Spatial Organization and Collaborative Use of Information</t>
  </si>
  <si>
    <t>10.1109/VAST.2006.261415</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</si>
  <si>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</si>
  <si>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Paul E. Keel</t>
  </si>
  <si>
    <t>Massachusetts Institute of Technology, Computer Science and Artificial Intelligence Laboratory, e-mail: keel@mit.edu</t>
  </si>
  <si>
    <t>Visual analytics, Spatial information organization,Indirect human computer interaction,Indirect collaboration, Agents,Sense-making</t>
  </si>
  <si>
    <t>Beyond Usability: Evaluation Aspects of Visual Analytic Environments</t>
  </si>
  <si>
    <t>10.1109/VAST.2006.261416</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</si>
  <si>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</si>
  <si>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Jean Scholtz</t>
  </si>
  <si>
    <t>Pacific Northwest National Laboratory. e-mail: jean.scholtz@pnl.gov</t>
  </si>
  <si>
    <t>10.1109/VISUAL.1990.146375;10.1109/INFVIS.2004.10;10.1109/INFVIS.1997.636794</t>
  </si>
  <si>
    <t>visualization, analytic environments,metrics</t>
  </si>
  <si>
    <t>Visualizing the Performance of Computational Linguistics Algorithms</t>
  </si>
  <si>
    <t>10.1109/VAST.2006.261417</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</si>
  <si>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</si>
  <si>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Stephen G. Eick;Justin Mauger;Alan Ratner</t>
  </si>
  <si>
    <t>SSS Research, Inc. eick@sss-research.com;SAIC Advanced Systems &amp; Concepts, maugerj@saic.com;National Security Agency, asratne@nsa.gov</t>
  </si>
  <si>
    <t>AJAX, thin-client, SVG, ROC curves, confusion matrices, document categorization</t>
  </si>
  <si>
    <t>Scentindex: Conceptually Reorganizing Subject Indexes for Reading</t>
  </si>
  <si>
    <t>10.1109/VAST.2006.261418</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</si>
  <si>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</si>
  <si>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Ed Huai-hsin Chi;Lichan Hong;Julie Heiser;Stuart K. Card</t>
  </si>
  <si>
    <t>Ed H. Chi;Lichan Hong;Julie Heiser;Stuart K. Card</t>
  </si>
  <si>
    <t>Palo Alto Research Center, 3333 Coyote Hill Road, Palo Alto, CA 94304. echi@parc.com;Palo Alto Research Center, 3333 Coyote Hill Road, Palo Alto, CA 94304. hong@parc.com;Adobe Systems, 321 Park Ave., San Jose, CA 95110, julie.heiser@adobe.com;Palo Alto Research Center, 3333 Coyote Hill Road, Palo Alto, CA 94304. card@parc.com</t>
  </si>
  <si>
    <t>Book Index, eBooks, Information Scent, contextualization, personalized information access</t>
  </si>
  <si>
    <t>VAST 2006 Contest - A Tale of Alderwood</t>
  </si>
  <si>
    <t>10.1109/VAST.2006.261420</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</si>
  <si>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</si>
  <si>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Georges G. Grinstein;Theresa A. O'Connell;Sharon J. Laskowski;Catherine Plaisant;Jean Scholtz;Mark A. Whiting</t>
  </si>
  <si>
    <t>Georges Grinstein;Theresa O'Connell;Sharon Laskowski;Catherine Plaisant;Jean Scholtz;Mark Whiting</t>
  </si>
  <si>
    <t>University of Massachusetts Lowell, grinstein@cs.uml.edu;National Institute of Standards and Technology, theresa.oconnell@nist.gov;National Institute of Standards and Technology, sharon.laskowski@nist.gov;University of Maryland, plaisant@cs.umd.edu;Pacific Northwest, National Laboratory, jean.scholtz@pnl.com;Pacific Northwest, National Laboratory, mark.a.whiting@pnl.gov</t>
  </si>
  <si>
    <t>A Visual Interface for Multivariate Temporal Data: Finding Patterns of Events across Multiple Histories</t>
  </si>
  <si>
    <t>10.1109/VAST.2006.261421</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</si>
  <si>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</si>
  <si>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Jerry Alan Fails;Amy K. Karlson;Layla Shahamat;Ben Shneiderman</t>
  </si>
  <si>
    <t>Jerry Alan Fails;Amy Karlson;Layla Shahamat;Ben Shneiderman</t>
  </si>
  <si>
    <t>Department of Computer Science &amp; Human-Computer Interaction Lab, University of Maryland, A. V. Williams Building, College Park, Maryland 20742. fails@cs.umd.edu;Department of Computer Science &amp; Human-Computer Interaction Lab, University of Maryland, A. V. Williams Building, College Park, Maryland 20742. akk@cs.umd.edu;Department of Computer Science &amp; Human-Computer Interaction Lab, University of Maryland, A. V. Williams Building, College Park, Maryland 20742. laylas@cs.umd.edu;Department of Computer Science &amp; Human-Computer Interaction Lab, University of Maryland, A. V. Williams Building, College Park, Maryland 20742. ben@cs.umd.edu</t>
  </si>
  <si>
    <t>Temporal query, information visualization, user interface</t>
  </si>
  <si>
    <t>User Interfaces for the Exploration of Hierarchical Multi-dimensional Data</t>
  </si>
  <si>
    <t>10.1109/VAST.2006.261422</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</si>
  <si>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</si>
  <si>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Mark Sifer</t>
  </si>
  <si>
    <t>School of Economics &amp; Information Systems, University of Wollongong, Australia. msifer@uow.edu.au</t>
  </si>
  <si>
    <t>10.1109/INFVIS.2002.1173157;10.1109/INFVIS.2005.1532139</t>
  </si>
  <si>
    <t>Data exploration, OLAP, visualization, parallel coordinates</t>
  </si>
  <si>
    <t>Pixnostics: Towards Measuring the Value of Visualization</t>
  </si>
  <si>
    <t>10.1109/VAST.2006.261423</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</si>
  <si>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</si>
  <si>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Jörn Schneidewind;Mike Sips;Daniel A. Keim</t>
  </si>
  <si>
    <t>Jorn Schneidewind;Mike Sips;Daniel A. Keim</t>
  </si>
  <si>
    <t>University of Konstanz, Germany. schneide@inf.uni-konstanz.de;Stanford University, USA. ms@pixelmap.org;University of Konstanz, Germany. keim@inf.uni-konstanz.de</t>
  </si>
  <si>
    <t>10.1109/INFVIS.2005.1532145;10.1109/INFVIS.2005.1532142;10.1109/VISUAL.2005.1532782;10.1109/VISUAL.2005.1532781;10.1109/INFVIS.2000.885092</t>
  </si>
  <si>
    <t>Visual Data Exploration, Visualization technique,Visual Analytics</t>
  </si>
  <si>
    <t>Lancaster Univ.|c|;</t>
  </si>
  <si>
    <t>Exploratory Visualization of Multivariate Data with Variable Quality</t>
  </si>
  <si>
    <t>Enhancing Depth Perception in Translucent Volumes</t>
  </si>
  <si>
    <t>10.1109/VAST.2006.261424</t>
  </si>
  <si>
    <t>10.1109/TVCG.2006.139</t>
  </si>
  <si>
    <t>http://dx.doi.org/10.1109/TVCG.2006.139</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</si>
  <si>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</si>
  <si>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Zaixian Xie;Shiping Huang;Matthew O. Ward;Elke A. Rundensteiner</t>
  </si>
  <si>
    <t>Computer Science Department, Worcester Polytechnic Institute, xiezx@cs.wpi.edu;Computer Science Department, Worcester Polytechnic Institute, shiping@cs.wpi.edu;Computer Science Department, Worcester Polytechnic Institute, matt@cs.wpi.edu;Computer Science Department, Worcester Polytechnic Institute, rundenst@cs.wpi.edu</t>
  </si>
  <si>
    <t>10.1109/VISUAL.2000.885679;10.1109/INFVIS.2002.1173145;10.1109/VISUAL.1995.485139;10.1109/INFVIS.2004.10</t>
  </si>
  <si>
    <t>Uncertainty visualization, multivariate visualization,data quality</t>
  </si>
  <si>
    <t>Semantic Image Browser: Bridging Information Visualization with Automated Intelligent Image Analysis</t>
  </si>
  <si>
    <t>10.1109/VAST.2006.261425</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</si>
  <si>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</si>
  <si>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Jing Yang 0001;Jianping Fan 0001;Daniel Hubball;Yuli Gao;Hangzai Luo;William Ribarsky;Matthew O. Ward</t>
  </si>
  <si>
    <t>Jing Yang;Jianping Fan;Daniel Hubball;Yuli Gao;Hangzai Luo;William Ribarsky;Matthew Ward</t>
  </si>
  <si>
    <t>Dept of Computer Science, University of North Carolina at Charlotte, jyang13@uncc.edu;Dept of Computer Science, University of North Carolina at Charlotte, jfan@uncc.edu;Dept of Computer Science, University of North Carolina at Charlotte, dhubball@uncc.edu;Dept of Computer Science, University of North Carolina at Charlotte, ygao@uncc.edu;Dept of Computer Science, University of North Carolina at Charlotte, hluo@uncc.edu;Dept of Computer Science, University of North Carolina at Charlotte, ribarsky@uncc.edu;Dept of Computer Science, Worcester Polytechnic, Institute. matt@cs.wpi.edu</t>
  </si>
  <si>
    <t>10.1109/INFVIS.1999.801855;10.1109/INFVIS.1995.528686;10.1109/INFVIS.2003.1249009;10.1109/VISUAL.1995.485140;10.1109/INFVIS.2004.71</t>
  </si>
  <si>
    <t>Image retrieval, image layout, semantic image classification,multi-dimensional visualization, visual analytics</t>
  </si>
  <si>
    <t>NetLens: Iterative Exploration of Content-Actor Network Data</t>
  </si>
  <si>
    <t>10.1109/VAST.2006.261426</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</si>
  <si>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</si>
  <si>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Marta Kersten;James Stewart;Nikolaus F. Troje;Randy E. Ellis</t>
  </si>
  <si>
    <t>Med. Comput. Lab., Queen''s Univ.|c|;;;</t>
  </si>
  <si>
    <t>Stereo, Stereopsis, X-ray, Radiograph, Volume Rendering</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</si>
  <si>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</si>
  <si>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Exploded Views for Volume Data</t>
  </si>
  <si>
    <t>Hyunmo Kang;Catherine Plaisant;Bongshin Lee;Benjamin B. Bederson</t>
  </si>
  <si>
    <t>10.1109/TVCG.2006.140</t>
  </si>
  <si>
    <t>University of Maryland Institute for Advanced Computer Studies, kang@cs.umd.edu;University of Maryland Institute for Advanced Computer Studies, plaisant@cs.umd.edu;Human-Computer Interaction Laboratory, Computer Science Department, bongshin@cs.umd.edu;Human-Computer Interaction Laboratory, Computer Science Department; University of Maryland Institute for Advanced Computer Studies, bederson@cs.umd.edu</t>
  </si>
  <si>
    <t>10.1109/INFVIS.2004.1;10.1109/INFVIS.1996.559210;10.1109/INFVIS.2005.1532136</t>
  </si>
  <si>
    <t>Human-Computer Interaction, information visualization, network visualization, content-actor network data, iterative query refinement, incremental data exploration, user interfaces, digital library, piccolo</t>
  </si>
  <si>
    <t>http://dx.doi.org/10.1109/TVCG.2006.140</t>
  </si>
  <si>
    <t>Avian Flu Case Study with nSpace and GeoTime</t>
  </si>
  <si>
    <t>10.1109/VAST.2006.261427</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</si>
  <si>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</si>
  <si>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Pascale Proulx;Sumeet Tandon;Adam Bodnar;David Schroh;Robert Harper 0002;William Wright</t>
  </si>
  <si>
    <t>Pascale Proulx;Sumeet Tandon;Adam Bodnar;David Schroh;Robert Harper;William Wright</t>
  </si>
  <si>
    <t>Oculus Info Inc., email: pascale.proulx@oculusinfo.com;Oculus Info Inc., email: sumeet.tandon@oculusinfo.com;Oculus Info Inc., email: adam.bodnar@oculusinfo.com;Oculus Info Inc., email: david.schroh@oculusinfo.com;Oculus Info Inc., email: rob.harper@oculusinfo.com;Oculus Info Inc., email: bill.wright@oculusinfo.com</t>
  </si>
  <si>
    <t>visual analytics, information visualization, human information interaction, sense making, geo-spatial information systems, temporal analysis, user centered design</t>
  </si>
  <si>
    <t>Visual Analysis of Historic Hotel Visitation Patterns</t>
  </si>
  <si>
    <t>10.1109/VAST.2006.261428</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</si>
  <si>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</si>
  <si>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10.1109/VISUAL.2003.1250400;10.1109/VISUAL.2005.1532783;10.1109/VISUAL.2005.1532856;10.1109/VISUAL.2005.1532807;10.1109/VISUAL.2003.1250384;10.1109/INFVIS.1996.559215;10.1109/VISUAL.2004.104;10.1109/VISUAL.2005.1532817</t>
  </si>
  <si>
    <t>Illustrative visualization, exploded views, volume rendering</t>
  </si>
  <si>
    <t>Extensions of the Zwart-Powell Box Spline for Volumetric Data Reconstruction on the Cartesian Lattice</t>
  </si>
  <si>
    <t>10.1109/TVCG.2006.141</t>
  </si>
  <si>
    <t>http://dx.doi.org/10.1109/TVCG.2006.141</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</si>
  <si>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</si>
  <si>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Chris Weaver;David Fyfe;Anthony C. Robinson;Deryck Holdsworth;Donna Peuquet;Alan M. MacEachren</t>
  </si>
  <si>
    <t>Chris Weaver;David Fyfe;Anthony Robinson;Deryck Holdsworth;Donna Peuquet;Alan M. MacEachren</t>
  </si>
  <si>
    <t>The GeoVISTA Center and Department of Geography, The Pennsylvania State University, e-mail: cweaver@psu.edu;The GeoVISTA Center and Department of Geography, The Pennsylvania State University, e-mail: dfyfe@psu.edu;The GeoVISTA Center and Department of Geography, The Pennsylvania State University, e-mail: arobinson@psu.edu;The GeoVISTA Center and Department of Geography, The Pennsylvania State University, e-mail: dwh6@ems.psu.edu;The GeoVISTA Center and Department of Geography, The Pennsylvania State University, e-mail: peuquet@psu.edu;The GeoVISTA Center and Department of Geography, The Pennsylvania State University, e-mail: maceachren@psu.edu</t>
  </si>
  <si>
    <t>10.1109/INFVIS.2004.12;10.1109/INFVIS.2002.1173155;10.1109/INFVIS.2004.64</t>
  </si>
  <si>
    <t>Geovisualization, exploratory visualization, historical geography, coordinated multiple views, travel pattern analysis</t>
  </si>
  <si>
    <t>D-Dupe: An Interactive Tool for Entity Resolution in Social Networks</t>
  </si>
  <si>
    <t>10.1109/VAST.2006.261429</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</si>
  <si>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</si>
  <si>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Mustafa Bilgic 0001;Louis Licamele;Lise Getoor;Ben Shneiderman</t>
  </si>
  <si>
    <t>Mustafa Bilgic;Louis Licamele;Lise Getoor;Ben Shneiderman</t>
  </si>
  <si>
    <t>University of Maryland, College Park, MD. mbilgic@cs.umd.edu;University of Maryland, College Park, MD. licamele@cs.umd.edu;University of Maryland, College Park, MD. getoor@cs.umd.edu;University of Maryland, College Park, MD. ben@cs.umd.edu</t>
  </si>
  <si>
    <t>Data cleaning and integration, user interfaces, visual analytics, visual data mining</t>
  </si>
  <si>
    <t>Interactive Visual Synthesis of Analytic Knowledge</t>
  </si>
  <si>
    <t>10.1109/VAST.2006.261430</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</si>
  <si>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</si>
  <si>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David Gotz;Michelle X. Zhou;Vikram Aggarwal</t>
  </si>
  <si>
    <t>IBM T.J. Watson Research Center, e-mail: dgotz@us.ibm.com;IBM T.J. Watson Research Center, e-mail: mzhou@us.ibm.com;IBM T.J. Watson Research Center, email: vikram@us.ibm.com</t>
  </si>
  <si>
    <t>10.1109/INFVIS.2005.1532146;10.1109/INFVIS.2005.1532136;10.1109/INFVIS.2001.963287;10.1109/INFVIS.1996.559210</t>
  </si>
  <si>
    <t>Visual Analytics, Intelligence analysis, Problem solving environments, Visual Knowledge Discovery</t>
  </si>
  <si>
    <t>Visual Analysis of Conflicting Opinions</t>
  </si>
  <si>
    <t>10.1109/VAST.2006.261431</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</si>
  <si>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</si>
  <si>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Chaomei Chen;Fidelia Ibekwe-Sanjuan;Eric SanJuan;Chris Weaver</t>
  </si>
  <si>
    <t>Chaomei Chen;Fidelia Ibekwe-SanJuan;Eric SanJuan;Chris Weaver</t>
  </si>
  <si>
    <t>Drexel University, USA. e-mail: chaomei.chen@cis.drexel.edu;Université de Lyon 3, France. e-mail: ibekwe@univ-lyon3.fr;Université d'Avignon, France. e-mail: eric.sanjuan@lia-univ-avignon.fr;Penn State University, USA. e-mail: cew15@psu.edu</t>
  </si>
  <si>
    <t>Visual Analytics, Intelligence analysis, Problemsolving environments, Visual Knowledge Discovery</t>
  </si>
  <si>
    <t>Have Green - A Visual Analytics Framework for Large Semantic Graphs</t>
  </si>
  <si>
    <t>10.1109/VAST.2006.261432</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</si>
  <si>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</si>
  <si>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Pak Chung Wong;George Chin Jr.;Harlan Foote;Patrick Mackey;James J. Thomas</t>
  </si>
  <si>
    <t>Pak Chung Wong;George Chin;Harlan Foote;Patrick Mackey;Jim Thomas</t>
  </si>
  <si>
    <t>Pacific Northwest National Laboratory, Email: pak.wong@pnl.gov;Pacific Northwest National Laboratory, Email: george.chin@pnl.gov;Pacific Northwest National Laboratory, Email: harlan.foote@pnl.gov;Pacific Northwest National Laboratory, Email: patrick.mackey@pnl.gov;Pacific Northwest National Laboratory, Email: jim.thomas@pnl.gov</t>
  </si>
  <si>
    <t>10.1109/INFVIS.2003.1249014;10.1109/INFVIS.2005.1532131</t>
  </si>
  <si>
    <t>Visual Analytics, Graph and Network Visualization, Information Analytics, Information Visualization</t>
  </si>
  <si>
    <t>Exploring Large-Scale Video News via Interactive Visualization</t>
  </si>
  <si>
    <t>10.1109/VAST.2006.261433</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</si>
  <si>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</si>
  <si>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Hangzai Luo;Jianping Fan 0001;Jing Yang 0001;William Ribarsky;Shin'ichi Satoh</t>
  </si>
  <si>
    <t>Hangzai Luo;Jianping Fan;Jing Yang;William Ribarsky;Shin'ichi Satoh</t>
  </si>
  <si>
    <t>Department of Computer Science, UNC-Charlotte, Charlotte, NC, USA. e-mail: hluo@uncc.edu;Department of Computer Science, UNC-Charlotte, Charlotte, NC, USA. e-mail: jfan@uncc.edu;Department of Computer Science, UNC-Charlotte, Charlotte, NC, USA. e-mail: jyang13@uncc.edu;Department of Computer Science, UNC-Charlotte, Charlotte, NC, USA. e-mail: rebarsky@uncc.edu;National Institute of Informatics, Tokyo, Japan. e-mail: satoh@nii.ac.jp</t>
  </si>
  <si>
    <t>10.1109/INFVIS.1998.729570;10.1109/INFVIS.2003.1249019;10.1109/VISUAL.1991.175815</t>
  </si>
  <si>
    <t>News Visualization, Semantic Video Classification</t>
  </si>
  <si>
    <t>Interactive Visualization and Analysis of Network and Sensor Data on Mobile Devices</t>
  </si>
  <si>
    <t>10.1109/VAST.2006.261434</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</si>
  <si>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</si>
  <si>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Avin Pattath;Brian D. Bue;Yun Jang;David S. Ebert;Xuan Zhong;Aaron Ault;Edward J. Coyle</t>
  </si>
  <si>
    <t>Avin Pattath;Brian Bue;Yun Jang;David Ebert;Xuan Zhong;Aaron Ault;Edward Coyle</t>
  </si>
  <si>
    <t>Purdue University Regional Visualization and Analytics Center (PURVAC), Purdue University, West Lafayette, IN. e-mail: apattath@purdue.edu;Purdue University Regional Visualization and Analytics Center (PURVAC), Purdue University, West Lafayette, IN. e-mail: bbue@purdue.edu;Purdue University Regional Visualization and Analytics Center (PURVAC), Purdue University, West Lafayette, IN. e-mail: jangy@purdue.edu;Purdue University Regional Visualization and Analytics Center (PURVAC), Purdue University, West Lafayette, IN. e-mail: ebertd@purdue.edu;Center for Wireless Systems and Applications (CWSA), Purdue University, West Lafayette, IN. e-mail: zhongx@purdue.edu;Center for Wireless Systems and Applications (CWSA), Purdue University, West Lafayette, IN. e-mail: aultac@purdue.edu;Center for Wireless Systems and Applications (CWSA), Purdue University, West Lafayette, IN. e-mail: coyle@purdue.edu</t>
  </si>
  <si>
    <t>10.1109/INFVIS.2004.27;10.1109/VISUAL.2001.964496;10.1109/INFVIS.2005.1532135;10.1109/INFVIS.2005.1532131;10.1109/INFVIS.2000.885097</t>
  </si>
  <si>
    <t>mobile visualization, network visualization, visual analytics</t>
  </si>
  <si>
    <t>Interactive Wormhole Detection in Large Scale Wireless Networks</t>
  </si>
  <si>
    <t>10.1109/VAST.2006.261435</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</si>
  <si>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</si>
  <si>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Weichao Wang;Aidong Lu</t>
  </si>
  <si>
    <t>University of Kansas, e-mail: weichaow@eecs.ku.edu;University of North Carolina at Charlotte, e-mail: alul1@uncc.edu</t>
  </si>
  <si>
    <t>10.1109/VISUAL.1996.567787;10.1109/VISUAL.2005.1532819;10.1109/INFVIS.2002.1173161;10.1109/INFVIS.2004.60</t>
  </si>
  <si>
    <t>Interactive Detection, Wormhole Attacks, Visualization on Network Security, Wireless Networks, Topology Visualization</t>
  </si>
  <si>
    <t>Enhancing Visual Analysis of Network Traffic Using a Knowledge Representation</t>
  </si>
  <si>
    <t>10.1109/VAST.2006.261436</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</si>
  <si>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</si>
  <si>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Ling Xiao;John Gerth;Pat Hanrahan</t>
  </si>
  <si>
    <t>Stanford University, Email: lingxiao@cs.stanford.edu;Stanford University, Email: gerth@cs.stanford.edu;Stanford University, Email: hanrahan@cs.stanford.edu</t>
  </si>
  <si>
    <t>network traffic visualization, visual analysis</t>
  </si>
  <si>
    <t>Accelerating Network Traffic Analytics Using Query-Driven Visualization</t>
  </si>
  <si>
    <t>10.1109/VAST.2006.261437</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</si>
  <si>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</si>
  <si>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E. Wes Bethel;Scott Campbell;Eli Dart;Kurt Stockinger;Kesheng Wu</t>
  </si>
  <si>
    <t>Computational Research Division, e-mail: ewbethel@lbl.gov;National Energy Research Scientific Computing Center Division, e-mail: scampbell@lbl.gov;Energy Sciences Network, e-mail: dart@es.net;Computational Research Division, Lawrence Berkeley National Laboratory, University of California, Berkeley, CA 94720. e-mail: kstockinger@lbl.gov;Computational Research Division, Lawrence Berkeley National Laboratory, University of California, Berkeley, CA 94720. e-mail: kwu@lbl.gov</t>
  </si>
  <si>
    <t>10.1109/VISUAL.1999.809930;10.1109/VISUAL.2005.1532792</t>
  </si>
  <si>
    <t>query-driven visualization, network security, data mining, visual analytics</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</si>
  <si>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C2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</si>
  <si>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Alireza Entezari;Torsten M̦ller</t>
  </si>
  <si>
    <t>Monitoring Network Traffic with Radial Traffic Analyzer</t>
  </si>
  <si>
    <t>10.1109/VISUAL.1994.346331;10.1109/VISUAL.1993.398851;10.1109/VISUAL.2005.1532811;10.1109/VISUAL.2004.65;10.1109/VISUAL.1997.663848</t>
  </si>
  <si>
    <t>10.1109/VAST.2006.261438</t>
  </si>
  <si>
    <t>Volumetric data interpolation, reconstruction, box splines</t>
  </si>
  <si>
    <t>http://dx.doi.org/10.1109/TVCG.2006.142</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</si>
  <si>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</si>
  <si>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Daniel A. Keim;Florian Mansmann;Jörn Schneidewind;Tobias Schreck</t>
  </si>
  <si>
    <t>Daniel A. Keim;Florian Mansmann;Jorn Schneidewind;Tobias Schreck</t>
  </si>
  <si>
    <t>Databases, Data Mining and Visualization Group, University of Konstanz, Germany. keim@inf.uni-konstanz.de;Databases, Data Mining and Visualization Group, University of Konstanz, Germany. mansmann@inf.uni-konstanz.de;Databases, Data Mining and Visualization Group, University of Konstanz, Germany. schneide@inf.uni-konstanz.de;Databases, Data Mining and Visualization Group, University of Konstanz, Germany. schreck@inf.uni-konstanz.de</t>
  </si>
  <si>
    <t>10.1109/INFVIS.2000.885091;10.1109/INFVIS.1998.729557</t>
  </si>
  <si>
    <t>Visual Analytics, Network Traffic Monitoring, Information Visualization and Geography-based Solutions</t>
  </si>
  <si>
    <t>Toward a Multi-Analyst, Collaborative Framework for Visual Analytics</t>
  </si>
  <si>
    <t>10.1109/VAST.2006.261439</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</si>
  <si>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</si>
  <si>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Susan Brennan;Klaus Mueller;Gregory J. Zelinsky;I. V. Ramakrishnan;David Scott Warren;Arie E. Kaufman</t>
  </si>
  <si>
    <t>Susan E. Brennan;Klaus Mueller;Greg Zelinsky;IV Ramakrishnan;David S. Warren;Arie Kaufman</t>
  </si>
  <si>
    <t>Stony Brook University, Psychology Department, Stony Brook University, Stony Brook, NY 11794-3300, susan.brennan@sunysb.edu;Stony Brook University, Computer Science Department, Stony Brook University, Stony Brook, NY 11794-4400. mueller@cs.sunysb.edu;Stony Brook University, Psychology Department, Stony Brook University, Stony Brook, NY 11794-3300, gzelinsky@ms.cc.sunysb.edu;Stony Brook University, Computer Science Department, Stony Brook University, Stony Brook, NY 11794-4400. ram@cs.sunysb.edu;Stony Brook University, Computer Science Department, Stony Brook University, Stony Brook, NY 11794-4400. warren@cs.sunysb.edu;Stony Brook University, Computer Science Department, Stony Brook University, Stony Brook, NY 11794-4400. ari@cs.sunysb.edu</t>
  </si>
  <si>
    <t>visual analytics, collaborative and distributed visualization, data management and knowledge representation, visual knowledge discovery</t>
  </si>
  <si>
    <t>Time Tree: Exploring Time Changing Hierarchies</t>
  </si>
  <si>
    <t>10.1109/VAST.2006.261450</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</si>
  <si>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</si>
  <si>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Stuart K. Card;Bongwon Suh;Bryan A. Pendleton;Bryan Heer;John W. Bodnar</t>
  </si>
  <si>
    <t>Stuart K. Card;Bongwon Suh;Bryan A. Pendleton;Jeffrey Heer;John W. Bodnar</t>
  </si>
  <si>
    <t>Palo Alto Research Center, 3333 Coyote Hill Road Palo Alto, CA 94304. E-mail: card@parc.com;Palo Alto Research Center, 3333 Coyote Hill Road Palo Alto, CA 94304. E-mail: suh@parc.com;Palo Alto Research Center, 3333 Coyote Hill Road Palo Alto, CA 94304. E-mail: bpendlet@parc.com;University of California at Berkeley, jheer@cs.berkeley.edu;SAIC, john.w.bodnar@saic.com</t>
  </si>
  <si>
    <t>10.1109/INFVIS.2003.1249010;10.1109/VISUAL.1991.175815</t>
  </si>
  <si>
    <t>TimeTree, DOI Tree, tree visualization,organizational chart, timeseries data, visual analytics</t>
  </si>
  <si>
    <t>Fast and Efficient Compression of Floating-Point Data</t>
  </si>
  <si>
    <t>10.1109/TVCG.2006.143</t>
  </si>
  <si>
    <t>http://dx.doi.org/10.1109/TVCG.2006.143</t>
  </si>
  <si>
    <t>Visual Exploration of Spatio-temporal Relationships for Scientific Data</t>
  </si>
  <si>
    <t>10.1109/VAST.2006.261451</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</si>
  <si>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</si>
  <si>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Bryan Mehta;Srinivasan Parthasarathy 0001;Raghu Machiraju</t>
  </si>
  <si>
    <t>Sameep Mehta;Srinivasan Parthasarathy;Raghu Machiraju</t>
  </si>
  <si>
    <t>Computer Science &amp; Engineering, The Ohio State University, mehtas@cse.ohio-state.edu;Computer Science &amp; Engineering, The Ohio State University, srini@cse.ohio-state.edu;Computer Science &amp; Engineering, The Ohio State University, raghu@cse.ohio-state.edu</t>
  </si>
  <si>
    <t>Knowledge Discovery, Scientific Analytics, Trajectory Analysis, Feature Extraction, Spatio-temporal Predicates, Visual Analytics</t>
  </si>
  <si>
    <t>Visual Analytics of Paleoceanographic Conditions</t>
  </si>
  <si>
    <t>10.1109/VAST.2006.261452</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</si>
  <si>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</si>
  <si>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Roberto Therón</t>
  </si>
  <si>
    <t>Roberto Theron</t>
  </si>
  <si>
    <t>Departamento de Informática y Automática, Universidad de Salamanca, e-mail: theron@usal.es</t>
  </si>
  <si>
    <t>Infovis, parallel coordinates, multiple linked views,exploratory analysis</t>
  </si>
  <si>
    <t>Joachim Georgii;Rüdiger Westermann</t>
  </si>
  <si>
    <t>Joachim Georgii;Rudiger Westermann</t>
  </si>
  <si>
    <t>Tien Nguyen;Jin Zhang</t>
  </si>
  <si>
    <t>Electrical and Computer Engineering Department at Iowa State University;University of Wisconsin at Milwaukee</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</si>
  <si>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</si>
  <si>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Peter Lindstrom;Martin Isenburg</t>
  </si>
  <si>
    <t>Lawrence Livermore Nat. Lab., Berkeley, CA|c|;</t>
  </si>
  <si>
    <t>10.1109/VISUAL.1999.809868;10.1109/VISUAL.2000.885711;10.1109/VISUAL.2002.1183768;10.1109/VISUAL.1996.568138</t>
  </si>
  <si>
    <t>High throughput, lossless compression, file compaction for I/O efficiency, fast entropy coding, range coder, predictive coding, large scale simulation and visualization</t>
  </si>
  <si>
    <t>Feature Aligned Volume Manipulation for Illustration and Visualization</t>
  </si>
  <si>
    <t>10.1109/TVCG.2006.144</t>
  </si>
  <si>
    <t>http://dx.doi.org/10.1109/TVCG.2006.144</t>
  </si>
  <si>
    <t>Wei Hong;Feng Qiu;Arie kaufman</t>
  </si>
  <si>
    <t>Department of Computer Science, Stony Brook University, Stony Brook, NY;Department of Computer Science, Stony Brook University, Stony Brook, NY;Department of Computer Science, Stony Brook University, Stony Brook, NY</t>
  </si>
  <si>
    <t>Steven Bergner;Torsten Möller;Daniel Weiskopf;David J. Muraki</t>
  </si>
  <si>
    <t>Steven Bergner;Torsten Moller;Daniel Weiskopf;David J. Muraki</t>
  </si>
  <si>
    <t>GrUVi-Lab at Simon Fraser University;GrUVi-Lab at Simon Fraser University;GrUVi-Lab at Simon Fraser University;Department of Mathematics at Simon Fraser University</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</si>
  <si>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</si>
  <si>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Carlos D. Correa;Deborah Silver;Min Chen</t>
  </si>
  <si>
    <t>Dept. of Electr. &amp; Comput. Eng., State Univ. of New Jersey, NJ|c|;;</t>
  </si>
  <si>
    <t>10.1109/VISUAL.2003.1250400;10.1109/VISUAL.2000.885694</t>
  </si>
  <si>
    <t>Illustrative visualization, Illustrative manipulation, GPU computing, volume rendering, volume deformation, computerassisted medical illustration</t>
  </si>
  <si>
    <t>fine-grained Visualization Pipelines and Lazy Functional Languages</t>
  </si>
  <si>
    <t>10.1109/TVCG.2006.145</t>
  </si>
  <si>
    <t>http://dx.doi.org/10.1109/TVCG.2006.145</t>
  </si>
  <si>
    <t>Lewis W.f. Li;Frederick W.b. Li;Rynson W.h. Lau</t>
  </si>
  <si>
    <t>The paper presents a set of combined techniques to enhance the real-time visualization of simple or complex molecules (up to order of 10&amp;lt;sup&amp;gt;6&amp;lt;/sup&amp;gt;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</si>
  <si>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</si>
  <si>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David J. Duke;Malcolm Wallace;Rita Borgo;Colin Runciman</t>
  </si>
  <si>
    <t>Sch. of Comput., Leeds Univ.|c|;;;</t>
  </si>
  <si>
    <t>10.1109/VISUAL.1994.346311;10.1109/VISUAL.1999.809864;10.1109/VISUAL.1993.398880;10.1109/VISUAL.1999.809891;10.1109/VISUAL.2005.1532800;10.1109/VISUAL.1997.663888</t>
  </si>
  <si>
    <t>Pipeline model, laziness, functional programming</t>
  </si>
  <si>
    <t>Full Body Virtual Autopsies using a State-of-the-art Volume Rendering Pipeline</t>
  </si>
  <si>
    <t>10.1109/TVCG.2006.146</t>
  </si>
  <si>
    <t>http://dx.doi.org/10.1109/TVCG.2006.146</t>
  </si>
  <si>
    <t>Zhanping Liu;Robert Moorhead;Joe Groner</t>
  </si>
  <si>
    <t>HPC2 / GRI / Visualization Analysis and Imaging Lab, PO Box 9627, Mississippi State University, MS 39762-9627;HPC2 / GRI / Visualization Analysis and Imaging Lab, PO Box 9627, Mississippi State University, MS 39762-9627;HPC2 / GRI / Visualization Analysis and Imaging Lab, PO Box 9627, Mississippi State University, MS 39762-9627</t>
  </si>
  <si>
    <t>Yuyan Song;Jing Ye;Nikolai Svakhine;Sonia Lasher-Trapp;Mike Baldwin;David Ebert</t>
  </si>
  <si>
    <t>student at Purdue University;Microsoft Co.;student at Purdue University;assistant professor at Purdue University;assistant professor at Purdue University;professor at Purdue University</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</si>
  <si>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</si>
  <si>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Patric Ljung;Calle Winskog;Anders Persson;Claes Lundstr̦m;Anders Ynnerman</t>
  </si>
  <si>
    <t>Div. for Visual Inf. Technol. &amp; Applications, Linkoping Univ.|c|;;;;</t>
  </si>
  <si>
    <t>10.1109/VISUAL.2002.1183757;10.1109/VISUAL.2003.1250384;10.1109/VISUAL.2005.1532794;10.1109/VISUAL.2003.1250391;10.1109/VISUAL.2005.1532799;10.1109/VISUAL.1999.809908</t>
  </si>
  <si>
    <t>Forensics, autopsies, medical visualization, volume rendering, large scale data</t>
  </si>
  <si>
    <t>http://dx.doi.org/10.1109/TVCG.2006.147</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</si>
  <si>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5.10&amp;lt;sup&amp;gt;4&amp;lt;/sup&amp;gt; ions and 10&amp;lt;sup&amp;gt;5&amp;lt;/sup&amp;gt; timesteps. This paper discusses the requirements, design and informal evaluation of the implemented system</t>
  </si>
  <si>
    <t>Wojciech Burakiewicz;Robert Van Liere</t>
  </si>
  <si>
    <t>Center of Mathematics and Computer Science, Amsterdam;Center of Mathematics and Computer Science, Amsterdam</t>
  </si>
  <si>
    <t>Technische Univ. Eindhoven|c|</t>
  </si>
  <si>
    <t>High-Level User Interfaces for Transfer Function Design with Semantics</t>
  </si>
  <si>
    <t>Markus Rütten;Min S. Chong</t>
  </si>
  <si>
    <t>10.1109/TVCG.2006.148</t>
  </si>
  <si>
    <t>Markus Rutten;Min S. Chong</t>
  </si>
  <si>
    <t>http://dx.doi.org/10.1109/TVCG.2006.148</t>
  </si>
  <si>
    <t>Department of Computer Science, University of California, Irvine;Department of Computer Science, University of California, Irvine;Department of Computer Science, University of California, Irvine</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</si>
  <si>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</si>
  <si>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Christof Rezk-Salama;Maik Keller;Peter Kohlmann</t>
  </si>
  <si>
    <t>Comput. Graphics &amp; Multimedia Syst. Group, Siegen Univ.|c|;;</t>
  </si>
  <si>
    <t>10.1109/VISUAL.2003.1250384;10.1109/VISUAL.2003.1250413;10.1109/VISUAL.2002.1183764;10.1109/VISUAL.1998.745319;10.1109/VISUAL.2001.964519;10.1109/VISUAL.2003.1250412;10.1109/VISUAL.1996.568113;10.1109/VISUAL.1997.663875</t>
  </si>
  <si>
    <t>Volume rendering, transfer function design, semantic models</t>
  </si>
  <si>
    <t>High-Quality Extraction of Isosurfaces from Regular and Irregular Grids</t>
  </si>
  <si>
    <t>Peter Rautek;Ivan Viola;M. Eduard Gröller</t>
  </si>
  <si>
    <t>10.1109/TVCG.2006.149</t>
  </si>
  <si>
    <t>Peter Rautek;Ivan Viola;M. Eduard Groller</t>
  </si>
  <si>
    <t>Institute of Computer Graphics and Algorithms, Vienna University of Technology, Austria;Institute of Computer Graphics and Algorithms, Vienna University of Technology, Austria;Institute of Computer Graphics and Algorithms, Vienna University of Technology, Austria</t>
  </si>
  <si>
    <t>http://dx.doi.org/10.1109/TVCG.2006.149</t>
  </si>
  <si>
    <t>Jens H. Krüger;Jens Schneider;Rüdiger Westermann</t>
  </si>
  <si>
    <t>Jens Kruger;Jens Schneider;Rudiger Westermann</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</si>
  <si>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</si>
  <si>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John M. Schreiner;Carlos Eduardo Scheidegger;Cl��udio T. Silva</t>
  </si>
  <si>
    <t>SCI Inst., Utah Univ., Salt Lake City, UT|c|;;</t>
  </si>
  <si>
    <t>10.1109/VISUAL.1991.175782;10.1109/VISUAL.2000.885705;10.1109/VISUAL.1997.663930;10.1109/VISUAL.2003.1250414;10.1109/VISUAL.2004.52</t>
  </si>
  <si>
    <t>Isosurface Extraction, Curvature, Advancing Front</t>
  </si>
  <si>
    <t>Eduard Deines;Martin Bertram;Jan Mohring;Jevgenij Jegorovs;Frank Michel;Hans Hagen;Gregory M. Nielson</t>
  </si>
  <si>
    <t>Hub-based Simulation and Graphics Hardware Accelerated Visualization for Nanotechnology Applications</t>
  </si>
  <si>
    <t>10.1109/TVCG.2006.150</t>
  </si>
  <si>
    <t>http://dx.doi.org/10.1109/TVCG.2006.150</t>
  </si>
  <si>
    <t>Department of Computer Science at the University of British Columbia;Department of Computer Science at the University of British Columbia</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</si>
  <si>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</si>
  <si>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Wei Qiao;Michael McLennan;Rick Kennell;David S. Ebert;Gerhard Klimeck</t>
  </si>
  <si>
    <t>Purdue Univ., West Lafayette, IN|c|;;;;</t>
  </si>
  <si>
    <t>10.1109/VISUAL.2002.1183758;10.1109/VISUAL.2003.1250377;10.1109/VISUAL.2005.1532795;10.1109/VISUAL.1992.235211;10.1109/VISUAL.2005.1532811;10.1109/VISUAL.2003.1250361;10.1109/VISUAL.2000.885683;10.1109/VISUAL.2005.1532794;10.1109/VISUAL.2005.1532793;10.1109/VISUAL.1994.346315;10.1109/VISUAL.2000.885689</t>
  </si>
  <si>
    <t>remote visualization, volume visualization, flow visualization, graphics hardware, nanotechnology simulation</t>
  </si>
  <si>
    <t>Hybrid Visualization for White Matter Tracts using Triangle Strips and Point Sprites</t>
  </si>
  <si>
    <t>10.1109/TVCG.2006.151</t>
  </si>
  <si>
    <t>http://dx.doi.org/10.1109/TVCG.2006.151</t>
  </si>
  <si>
    <t>David Ellsworth;Bryan Green;Chris Henze;Patrick Moran;Timothy Sandstrom</t>
  </si>
  <si>
    <t>IEEE Computer Society;IEEE Computer Society;IEEE Computer Society</t>
  </si>
  <si>
    <t>Ketan Mehta;T.j. Jankun-Kelly</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</si>
  <si>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</si>
  <si>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Vital Images, 5850 Opus Parkway, Suite 300, Minnetonka, MN 55343. Work completed at Mississippi State University;Department of Computer Science and Engineering, James Worth Bagley College of Engineering, Mississippi State University, Mississippi State, MS, 39762</t>
  </si>
  <si>
    <t>Dorit Merhof;Markus Sonntag;Frank Enders;Christopher Nimsky;Peter Hastreiter;G�_nther Greiner</t>
  </si>
  <si>
    <t>Dept. of Neurosurgery, Univ. Erlangen|c|;;;;;</t>
  </si>
  <si>
    <t>10.1109/VISUAL.2005.1532859;10.1109/VISUAL.2005.1532772;10.1109/VISUAL.2002.1183799;10.1109/VISUAL.2005.1532773;10.1109/VISUAL.2005.1532778;10.1109/VISUAL.1996.567777;10.1109/VISUAL.2005.1532779;10.1109/VISUAL.2004.30</t>
  </si>
  <si>
    <t>Diffusion tensor data, fiber tracking, streamline visualization</t>
  </si>
  <si>
    <t>Importance-Driven Focus of Attention</t>
  </si>
  <si>
    <t>10.1109/TVCG.2006.152</t>
  </si>
  <si>
    <t>http://dx.doi.org/10.1109/TVCG.2006.152</t>
  </si>
  <si>
    <t>Gordon Kindlmann;Carl-fredrik Westin</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</si>
  <si>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</si>
  <si>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Laurent Castanie;Christophe Mion;Xavier Cavin;Bruno Lévy</t>
  </si>
  <si>
    <t>Ivan Viola;Miquel Feixas;Mateu Sbert;M. Eduard Gr̦ller</t>
  </si>
  <si>
    <t>Laurent Castanie;Christophe Mion;Xavier Cavin;Bruno Levy</t>
  </si>
  <si>
    <t>Inst. of Comput. Graphics &amp; Algorithms, Vienna Univ. of Technol.|c|;;;</t>
  </si>
  <si>
    <t>10.1109/VISUAL.2005.1532856;10.1109/VISUAL.2005.1532834;10.1109/INFVIS.2001.963286;10.1109/VISUAL.2005.1532833</t>
  </si>
  <si>
    <t>Illustrative visualization, volume visualization, interacting with volumetric datasets, characteristic viewpoint estimation, focus+context techniques</t>
  </si>
  <si>
    <t>Interactive Point-based Isosurface Exploration and High-quality Rendering</t>
  </si>
  <si>
    <t>10.1109/TVCG.2006.153</t>
  </si>
  <si>
    <t>http://dx.doi.org/10.1109/TVCG.2006.153</t>
  </si>
  <si>
    <t>Guangfeng Ji;Han-wei Shen</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</si>
  <si>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</si>
  <si>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Haitao Zhang;Arie E. Kaufman</t>
  </si>
  <si>
    <t>Stony Brook Univ., NY|c|;</t>
  </si>
  <si>
    <t>10.1109/VISUAL.1998.745713;10.1109/VISUAL.2004.29;10.1109/VISUAL.1996.568121;10.1109/VISUAL.2004.52;10.1109/VISUAL.1998.745300</t>
  </si>
  <si>
    <t>Isosurface, point-based visualization, isosurface extraction, hardware acceleration, GPU acceleration</t>
  </si>
  <si>
    <t>Interactive Point-Based Rendering of Higher-Order Tetrahedral Data</t>
  </si>
  <si>
    <t>10.1109/TVCG.2006.154</t>
  </si>
  <si>
    <t>http://dx.doi.org/10.1109/TVCG.2006.154</t>
  </si>
  <si>
    <t>Marta Kersten;James Stewart;Niko Troje;Randy Ellis</t>
  </si>
  <si>
    <t>Medical Computing Lab, Queen’s University;Medical Computing Lab, Queen’s University;Medical Computing Lab, Queen’s University;Medical Computing Lab, Queen’s University</t>
  </si>
  <si>
    <t>Stefan Bruckner;M. Eduard Groller</t>
  </si>
  <si>
    <t>Institute of Computer Graphics and Algorithms, Vienna University of Technology;Institute of Computer Graphics and Algorithms, Vienna University of Technology</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</si>
  <si>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</si>
  <si>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Yuan Zhou;Michael Garland</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</si>
  <si>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C&amp;lt;sup&amp;gt;2&amp;lt;/sup&amp;gt;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</si>
  <si>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Dept. of Comput. Sci., Illinois Univ., Urbana, IL|c|;</t>
  </si>
  <si>
    <t>Alireza Entezari;Torsten Möller</t>
  </si>
  <si>
    <t>Alireza Entezari;Torsten Moller</t>
  </si>
  <si>
    <t>10.1109/VISUAL.2003.1250406;10.1109/VISUAL.2005.1532796;10.1109/VISUAL.2005.1532776;10.1109/VISUAL.2005.1532809;10.1109/VISUAL.2003.1250404;10.1109/VISUAL.2002.1183757;10.1109/VISUAL.2002.1183771;10.1109/VISUAL.2004.91;10.1109/VISUAL.2003.1250390;10.1109/VISUAL.1999.809868;10.1109/VISUAL.2004.38;10.1109/VISUAL.2003.1250384;10.1109/VISUAL.2000.885683;10.1109/VISUAL.2002.1183778;10.1109/VISUAL.2005.1532808;10.1109/VISUAL.2003.1250389;10.1109/VISUAL.1995.480790;10.1109/VISUAL.2004.81;10.1109/VISUAL.2005.1532801</t>
  </si>
  <si>
    <t>School of Computing Science, Simon Fraser University;School of Computing Science, Simon Fraser University</t>
  </si>
  <si>
    <t>Interactive large higher-order tetrahedral volume visualization, point-based visualization</t>
  </si>
  <si>
    <t>Interactive Visualization of Intercluster Galaxy Structures in the Horologium-Reticulum Supercluster</t>
  </si>
  <si>
    <t>10.1109/TVCG.2006.155</t>
  </si>
  <si>
    <t>http://dx.doi.org/10.1109/TVCG.2006.155</t>
  </si>
  <si>
    <t>Lawrence Livermore National Laboratory;University of California, Berkeley</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</si>
  <si>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</si>
  <si>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Jameson Miller;Cory Quammen;Matthew Fleenor</t>
  </si>
  <si>
    <t>Dept of Comput. Sci., North Carolina Univ., Chapel Hill, NC|c|;;</t>
  </si>
  <si>
    <t>Carlos Correa;Deborah Silver;Min Chen</t>
  </si>
  <si>
    <t>10.1109/VISUAL.1992.235181;10.1109/VISUAL.2002.1183824;10.1109/VISUAL.2003.1250404</t>
  </si>
  <si>
    <t>Department of Electrical and Computer Engineering, Rutgers, The State University of New Jersey;Department of Electrical and Computer Engineering, Rutgers, The State University of New Jersey;Department of Computer Science, University of Wales, Swansea</t>
  </si>
  <si>
    <t>Sparse point visualization, astronomy, cosmology</t>
  </si>
  <si>
    <t>David Duke;Malcolm Wallace;Rita Borgo;Colin Runciman</t>
  </si>
  <si>
    <t>Patric Ljung;Calle Winskog;Anders Persson;Claes Lundström;Anders Ynnerman</t>
  </si>
  <si>
    <t>Patric Ljung;Calle Winskog;Anders Persson;Claes Lundstrom;Anders Ynnerman</t>
  </si>
  <si>
    <t>Division for Visual Information Technology and Applications (VITA), Link¨oping University, Sweden;National Board of Forensic Medicine, Department of Forensic Medicine, Link¨oping, Sweden;Center for Medical Image Science and Visualization (CMIV), Link¨oping University, Sweden;Center for Medical Image Science and Visualization (CMIV), Link¨oping University, and Sectra-Imtec AB, Sweden;Division for Visual Information Technology and Applications (VITA), Link¨oping University, Sweden</t>
  </si>
  <si>
    <t>Christof Rezk Salama;Maik Keller;Peter Kohlmann</t>
  </si>
  <si>
    <t>IEEE Computer Society</t>
  </si>
  <si>
    <t>John M. Schreiner;Carlos Eduardo Scheidegger;Cláudio T. Silva</t>
  </si>
  <si>
    <t>John Schreiner;Carlos Scheidegger;Claudio Silva</t>
  </si>
  <si>
    <t>http://dx.doi.org/10.1109/TVCG.2006.156</t>
  </si>
  <si>
    <t>SCI Institute at the University of Utah;SCI Institute at the University of Utah;SCI Institute at the University of Utah</t>
  </si>
  <si>
    <t>Wei Qiao;Michael McLennan;Rick Kennell;David Ebert;Gerhard Klimeck</t>
  </si>
  <si>
    <t>Purdue University;Purdue University;Purdue University;Purdue University;Purdue University</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</si>
  <si>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</si>
  <si>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Dorit Merhof;Markus Sonntag;Frank Enders;Christopher Nimsky;Peter Hastreiter;Günther Greiner</t>
  </si>
  <si>
    <t>Konstanz Univ.|c|;;</t>
  </si>
  <si>
    <t>Dorit Merhof;Markus Sonntag;Frank Enders;Christopher Nimsky;Peter Hastreiter;Guenther Greiner</t>
  </si>
  <si>
    <t>Computer Graphics Group, Univ. Erlangen, and Dept. of Neurosurgery, Univ. Erlangen;Computer Graphics Group, Univ. Erlangen;Computer Graphics Group, Univ. Erlangen, and Dept. of Neurosurgery, Univ. Erlangen;Dept. of Neurosurgery, Univ. Erlangen;Computer Graphics Group, Univ. Erlangen, and Dept. of Neurosurgery, Univ. Erlangen;Computer Graphics Group, Univ. Erlangen</t>
  </si>
  <si>
    <t>Isosurface Extraction and Spatial filtering using Persistent Octree (POT)</t>
  </si>
  <si>
    <t>10.1109/TVCG.2006.157</t>
  </si>
  <si>
    <t>http://dx.doi.org/10.1109/TVCG.2006.157</t>
  </si>
  <si>
    <t>Ivan Viola;Miquel Feixas;Mateu Sbert;M. Eduard Gröller</t>
  </si>
  <si>
    <t>Ivan Viola;Miquel Feixas;Mateu Sbert;Meister Eduard Groller</t>
  </si>
  <si>
    <t>Institute of Computer Graphics and Algorithms, Vienna University of Technology, Austria;Institute of Informatics and Applications, University of Girona, Spain;Institute of Informatics and Applications, University of Girona, Spain;Institute of Computer Graphics and Algorithms, Vienna University of Technology, Austria</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</si>
  <si>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</si>
  <si>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Qingmin Shi;Joseph J��J��</t>
  </si>
  <si>
    <t>Dept. of Electr. &amp; Comput. Eng., Maryland Univ., College Park, MD|c|;</t>
  </si>
  <si>
    <t>10.1109/VISUAL.1998.745713;10.1109/VISUAL.1991.175780;10.1109/VISUAL.1998.745299;10.1109/VISUAL.1996.568121;10.1109/VISUAL.1999.809910;10.1109/VISUAL.2002.1183810;10.1109/VISUAL.1998.745298;10.1109/VISUAL.1999.809879;10.1109/VISUAL.2004.52;10.1109/VISUAL.1998.745300;10.1109/VISUAL.2003.1250373</t>
  </si>
  <si>
    <t>Haitao Zhang;Arie Kaufman</t>
  </si>
  <si>
    <t>scientific visualization, isosurface extraction, indexing</t>
  </si>
  <si>
    <t>Stony Brook University;Stony Brook University</t>
  </si>
  <si>
    <t>Lines of Curvature for Polyp Detection in Virtual Colonoscopy</t>
  </si>
  <si>
    <t>10.1109/TVCG.2006.158</t>
  </si>
  <si>
    <t>http://dx.doi.org/10.1109/TVCG.2006.158</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</si>
  <si>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p&lt;0.001. The median winding angle and inter-quartile range (IQR) for true polyps were 7.817 and 6.770-9.288 compared to 2.954 and 1.995-3.749 for false-positive detections</t>
  </si>
  <si>
    <t>Lingxiao Zhao;Charl P. Botha;Javier Bescos;Roel Truyen;Frans Vos;Frits H. Post</t>
  </si>
  <si>
    <t>Data Visualization Group, Delft Univ. of Technol.|c|;;;;;</t>
  </si>
  <si>
    <t>10.1109/VISUAL.2005.1532832;10.1109/VISUAL.2000.885690;10.1109/VISUAL.2002.1183789;10.1109/VISUAL.1995.480795</t>
  </si>
  <si>
    <t>Medical visualization, virtual colonoscopy, polyp detection, line of curvature, implicit surface</t>
  </si>
  <si>
    <t>LOD Map - A Visual Interface for Navigating Multiresolution Volume Visualization</t>
  </si>
  <si>
    <t>10.1109/TVCG.2006.159</t>
  </si>
  <si>
    <t>http://dx.doi.org/10.1109/TVCG.2006.159</t>
  </si>
  <si>
    <t>Qingmin Shi;Joseph JáJá</t>
  </si>
  <si>
    <t>Qingmin Shi;Joseph JaJa</t>
  </si>
  <si>
    <t>Institute for Advanced Computer Studies and the Department of Electrical and Computer Engineering at the University of Maryland, College Park;Institute for Advanced Computer Studies and the Department of Electrical and Computer Engineering at the University of Maryland, College Park</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</si>
  <si>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</si>
  <si>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Chaoli Wang;Han-Wei Shen</t>
  </si>
  <si>
    <t>Dept. of Comput. Sci. &amp; Eng., Ohio State Univ., Columbus, OH|c|;</t>
  </si>
  <si>
    <t>10.1109/VISUAL.1999.809871;10.1109/VISUAL.1999.809908;10.1109/VISUAL.2001.964519;10.1109/VISUAL.1995.480812;10.1109/VISUAL.2005.1532781;10.1109/VISUAL.2005.1532833;10.1109/INFVIS.2001.963283;10.1109/VISUAL.2005.1532834;10.1109/VISUAL.2002.1183757;10.1109/VISUAL.1997.663869;10.1109/VISUAL.2002.1183791;10.1109/VISUAL.1992.235230;10.1109/VISUAL.1997.663875</t>
  </si>
  <si>
    <t>LOD map, knowledge representation, perceptual reasoning, multiresolution rendering, large volume visualization</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</si>
  <si>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p&amp;amp;lt;0.001. The median winding angle and inter-quartile range (IQR) for true polyps were 7.817 and 6.770-9.288 compared to 2.954 and 1.995-3.749 for false-positive detections</t>
  </si>
  <si>
    <t>Lingxiao Zhao;Charl Botha;Javier Bescos;Roel Truyen;Frans Vos;Frits Post</t>
  </si>
  <si>
    <t>Data Visualization Group, Delft University of Technology;Data Visualization Group, Delft University of Technology;Philips Medical Systems Nederland BV, Best;Philips Medical Systems Nederland BV, Best;Quantitative Imaging Group, Delft University of Technology and Dept. of Radiology, Academic Medical Centre, Amsterdam;Data Visualization Group, Delft University of Technology</t>
  </si>
  <si>
    <t>http://dx.doi.org/10.1109/TVCG.2006.160</t>
  </si>
  <si>
    <t>Chaoli Wang;Han-wei Shen</t>
  </si>
  <si>
    <t>Department of Computer Science and Engineering, The Ohio State University, 395 Dreese Laboratories, Columbus, OH;Department of Computer Science and Engineering, The Ohio State University, 395 Dreese Laboratories, Columbus, OH</t>
  </si>
  <si>
    <t>Mesh Layouts for Block-Based Caches</t>
  </si>
  <si>
    <t>10.1109/TVCG.2006.162</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</si>
  <si>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</si>
  <si>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Sung-Eui Yoon;Peter Lindstrom</t>
  </si>
  <si>
    <t>Sung-eui Yoon;Peter Lindstrom</t>
  </si>
  <si>
    <t>Lawrence Livermore National Laboratory;Lawrence Livermore National Laboratory</t>
  </si>
  <si>
    <t>10.1109/VISUAL.2004.86;10.1109/VISUAL.2003.1250408;10.1109/VISUAL.2001.964533;10.1109/VISUAL.1996.568125;10.1109/VISUAL.2005.1532800;10.1109/VISUAL.2002.1183794</t>
  </si>
  <si>
    <t>Mesh and graph layouts, cache-aware and cache-oblivious layouts, metrics for cache coherence, data locality</t>
  </si>
  <si>
    <t>Multi-variate, Time Varying, and Comparative Visualization with Contextual Cues</t>
  </si>
  <si>
    <t>10.1109/TVCG.2006.164</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</si>
  <si>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</si>
  <si>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Jonathan Woodring;Han-Wei Shen</t>
  </si>
  <si>
    <t>Jonathan Woodring;Han-wei Shen</t>
  </si>
  <si>
    <t>10.1109/VISUAL.1993.398869;10.1109/VISUAL.2005.1532856;10.1109/VISUAL.2004.95;10.1109/VISUAL.2000.885694;10.1109/VISUAL.2003.1250402;10.1109/VISUAL.1992.235222</t>
  </si>
  <si>
    <t>multi-variate, time-varying, comparative, focus + context</t>
  </si>
  <si>
    <t>LRI|c|;</t>
  </si>
  <si>
    <t>Multifield-Graphs: An Approach to Visualizing Correlations in Multifield Scalar Data</t>
  </si>
  <si>
    <t>10.1109/TVCG.2006.165</t>
  </si>
  <si>
    <t>http://dx.doi.org/10.1109/TVCG.2006.161</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</si>
  <si>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</si>
  <si>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Natascha Sauber;Holger Theisel;Hans-Peter Seidel</t>
  </si>
  <si>
    <t>Natascha Sauber;Holger Theisel;Hans-peter Seidel</t>
  </si>
  <si>
    <t>10.1109/VISUAL.1999.809865;10.1109/VISUAL.2004.68;10.1109/VISUAL.2004.46;10.1109/VISUAL.1999.809905;10.1109/VISUAL.2003.1250362</t>
  </si>
  <si>
    <t>Visualization, multifield, correlation</t>
  </si>
  <si>
    <t>Occlusion-Free Animation of Driving Routes for Car Navigation Systems</t>
  </si>
  <si>
    <t>10.1109/TVCG.2006.167</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</si>
  <si>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</si>
  <si>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Shigeo Takahashi;Kenichi Yoshida;Kenji Shimada;Tomoyuki Nishita</t>
  </si>
  <si>
    <t>University of Tokyo, 5-1-5 Kashiwanoha, Kashiwa, Chiba, 227-8561, Japan;University of Tokyo, 5-1-5 Kashiwanoha, Kashiwa, Chiba, 227-8561, Japan;Carnegie Mellon University, 5000 Forbes Avenue, Pittsburgh, PA 15213, U.S.A.;University of Tokyo, 5-1-5 Kashiwanoha, Kashiwa, Chiba, 227-8561, Japan</t>
  </si>
  <si>
    <t>10.1109/INFVIS.1997.636786;10.1109/VISUAL.2005.1532818</t>
  </si>
  <si>
    <t>car navigation systems, nonperspective projection, occlusion-free animation, visual perception, temporal coherence</t>
  </si>
  <si>
    <t>On Histograms and Isosurface Statistics</t>
  </si>
  <si>
    <t>10.1109/TVCG.2006.168</t>
  </si>
  <si>
    <t>Worcester Polytech. Inst., MA|c|;;;</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</si>
  <si>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</si>
  <si>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http://dx.doi.org/10.1109/TVCG.2006.162</t>
  </si>
  <si>
    <t>Hamish A. Carr;Brian Duffy;Brian Denby</t>
  </si>
  <si>
    <t>Carr Hamish;Brian Duffy;Brain Denby</t>
  </si>
  <si>
    <t>University College Dublin;University College Dublin;University College Dublin</t>
  </si>
  <si>
    <t>10.1109/VISUAL.1994.346334;10.1109/VISUAL.2001.964519;10.1109/VISUAL.1994.346331;10.1109/VISUAL.1991.175782;10.1109/VISUAL.2001.964515;10.1109/VISUAL.2001.964516;10.1109/VISUAL.1997.663875</t>
  </si>
  <si>
    <t>histograms, isosurfaces, isosurface statistics</t>
  </si>
  <si>
    <t>Out-of-Core Remeshing of Large Polygonal Meshes</t>
  </si>
  <si>
    <t>10.1109/TVCG.2006.169</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</si>
  <si>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</si>
  <si>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Minsu Ahn;Igor Guskov;Seungyong Lee</t>
  </si>
  <si>
    <t>Pohang University of Science and Technology (POSTECH);University of Michigan;Pohang University of Science and Technology (POSTECH)</t>
  </si>
  <si>
    <t>10.1109/VISUAL.2001.964503;10.1109/VISUAL.2003.1250408;10.1109/VISUAL.2005.1532800;10.1109/VISUAL.1998.745282;10.1109/VISUAL.2001.964532</t>
  </si>
  <si>
    <t>Out-of-core algorithm, semi-regular remeshing, shape compression</t>
  </si>
  <si>
    <t>Outlier-Preserving Focus+Context Visualization in Parallel Coordinates</t>
  </si>
  <si>
    <t>10.1109/TVCG.2006.170</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</si>
  <si>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</si>
  <si>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Matej Novotny;Helwig Hauser</t>
  </si>
  <si>
    <t>Comenius University, Bratislava;VRVis Research Center, Vienna</t>
  </si>
  <si>
    <t>10.1109/INFVIS.1997.636793;10.1109/VISUAL.1999.809866;10.1109/INFVIS.2002.1173156;10.1109/VISUAL.1996.567800;10.1109/INFVIS.2005.1532138;10.1109/VISUAL.1990.146402</t>
  </si>
  <si>
    <t>http://dx.doi.org/10.1109/TVCG.2006.163</t>
  </si>
  <si>
    <t>Parallel coordinates, focus+context visualization, outliers &amp; trends, large data visualization</t>
  </si>
  <si>
    <t>Progressive Volume Rendering of Large Unstructured Grids</t>
  </si>
  <si>
    <t>10.1109/TVCG.2006.171</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</si>
  <si>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</si>
  <si>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Steven P. Callahan;Louis Bavoil;Valerio Pascucci;Cláudio T. Silva</t>
  </si>
  <si>
    <t>Steven P. Callahan;Louis Bavoil;Valerio Pascucci;Claudio T. Silva</t>
  </si>
  <si>
    <t>Scientific Computing and Imaging Institute at the University of Utah;Scientific Computing and Imaging Institute at the University of Utah;Lawrence Livermore National Laboratory;Scientific Computing and Imaging Institute at the University of Utah</t>
  </si>
  <si>
    <t>10.1109/VISUAL.2005.1532796;10.1109/VISUAL.1998.745713;10.1109/VISUAL.2003.1250390;10.1109/VISUAL.2004.102;10.1109/VISUAL.2005.1532793</t>
  </si>
  <si>
    <t>Volume Rendering, Large Unstructured Grids, Client-Server, Progressive Rendering, Level-of-Detail</t>
  </si>
  <si>
    <t>Real-Time Illustration of Vascular Structures</t>
  </si>
  <si>
    <t>10.1109/TVCG.2006.172</t>
  </si>
  <si>
    <t>http://dx.doi.org/10.1109/TVCG.2006.164</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</si>
  <si>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</si>
  <si>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Felix Ritter;Christian Hansen 0001;Volker Dicken;Olaf Konrad-Verse;Bernhard Preim;Heinz-Otto Peitgen</t>
  </si>
  <si>
    <t>Felix Ritter;Christian Hansen;Volker Dicken;Olaf Konrad;Bernhard Preim;Heinz-otto Peitgen</t>
  </si>
  <si>
    <t>10.1109/VISUAL.2005.1532782;10.1109/VISUAL.2005.1532859;10.1109/VISUAL.2003.1250394;10.1109/VISUAL.2005.1532835;10.1109/VISUAL.2001.964538;10.1109/INFVIS.2003.1249022;10.1109/VISUAL.2005.1532855</t>
  </si>
  <si>
    <t>Vessel visualization, functional realism, illustrative rendering, spatial perception, evaluation</t>
  </si>
  <si>
    <t>Representing Higher-Order Singularities in Vector fields on Piecewise Linear Surfaces</t>
  </si>
  <si>
    <t>10.1109/TVCG.2006.173</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</si>
  <si>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</si>
  <si>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Wan-Chiu Li;Bruno Vallet;Nicolas Ray;Bruno Lévy</t>
  </si>
  <si>
    <t>Wan-chiu Li;Bruno Vallet;Nicolas Ray;Bruno Levy</t>
  </si>
  <si>
    <t>10.1109/VISUAL.2005.1532776;10.1109/VISUAL.1994.346313;10.1109/VISUAL.2003.1250363;10.1109/VISUAL.2005.1532842;10.1109/VISUAL.1999.809892;10.1109/VISUAL.1999.809897;10.1109/VISUAL.2000.885716;10.1109/VISUAL.2003.1250364</t>
  </si>
  <si>
    <t>vector field visualization, higher-order singularities, line integral convolution, GPU</t>
  </si>
  <si>
    <t>http://dx.doi.org/10.1109/TVCG.2006.165</t>
  </si>
  <si>
    <t>Max-Planck-Inst. fur Inf., Saarbrucken|c|;;</t>
  </si>
  <si>
    <t>http://dx.doi.org/10.1109/TVCG.2006.166</t>
  </si>
  <si>
    <t>http://dx.doi.org/10.1109/TVCG.2006.167</t>
  </si>
  <si>
    <t>Tokyo Univ., Chiba|c|;;;</t>
  </si>
  <si>
    <t>http://dx.doi.org/10.1109/TVCG.2006.168</t>
  </si>
  <si>
    <t>Univ. Coll. Dublin|c|;;</t>
  </si>
  <si>
    <t>http://dx.doi.org/10.1109/TVCG.2006.169</t>
  </si>
  <si>
    <t>Pohang Univ. of Sci. &amp; Technol.|c|;;</t>
  </si>
  <si>
    <t>http://dx.doi.org/10.1109/TVCG.2006.170</t>
  </si>
  <si>
    <t>Comenius Univ., Bratislava|c|;</t>
  </si>
  <si>
    <t>http://dx.doi.org/10.1109/TVCG.2006.171</t>
  </si>
  <si>
    <t>Steven P. Callahan;Louis Bavoil;Valerio Pascucci;Cl��udio T. Silva</t>
  </si>
  <si>
    <t>Sci. Comput. &amp; Imaging Inst., Utah Univ., Salt Lake City, UT|c|;;;</t>
  </si>
  <si>
    <t>http://dx.doi.org/10.1109/TVCG.2006.172</t>
  </si>
  <si>
    <t>MeVis GmbH|c|;;;;;</t>
  </si>
  <si>
    <t>http://dx.doi.org/10.1109/TVCG.2006.173</t>
  </si>
  <si>
    <t>Wan-Chiu Li;Bruno Vallet;Nicolas Ray;Bruno L̩vy</t>
  </si>
  <si>
    <t>INRIA-Alice|c|;;;</t>
  </si>
  <si>
    <t>Saliency-guided Enhancement for Volume Visualization</t>
  </si>
  <si>
    <t>10.1109/TVCG.2006.174</t>
  </si>
  <si>
    <t>http://dx.doi.org/10.1109/TVCG.2006.174</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</si>
  <si>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</si>
  <si>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Youngmin Kim;Amitabh Varshney</t>
  </si>
  <si>
    <t>Maryland Univ., College Park, MD|c|;</t>
  </si>
  <si>
    <t>10.1109/VISUAL.2003.1250414;10.1109/VISUAL.2003.1250412;10.1109/VISUAL.2000.885694;10.1109/VISUAL.2002.1183777;10.1109/VISUAL.2004.64;10.1109/VISUAL.2000.885696</t>
  </si>
  <si>
    <t>Saliency, visual attention, perceptual enhancement, volume rendering, non-photorealistic rendering</t>
  </si>
  <si>
    <t>Scalable Data Servers for Large Multivariate Volume Visualization</t>
  </si>
  <si>
    <t>10.1109/TVCG.2006.175</t>
  </si>
  <si>
    <t>http://dx.doi.org/10.1109/TVCG.2006.175</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</si>
  <si>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</si>
  <si>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Markus Glatter;Jian Huang 0007;Jinzhu Gao;Colin Mollenhour</t>
  </si>
  <si>
    <t>Tennessee Univ., TN|c|;;;</t>
  </si>
  <si>
    <t>10.1109/VISUAL.2005.1532792;10.1109/VISUAL.2005.1532794;10.1109/VISUAL.1999.809910;10.1109/VISUAL.1996.568121;10.1109/VISUAL.2003.1250412;10.1109/VISUAL.2001.964519;10.1109/VISUAL.1998.745311;10.1109/VISUAL.2000.885698</t>
  </si>
  <si>
    <t>Parallel and distributed volume visualization, large Data Set Visualization, multi-variate Visualization, volume Visualization</t>
  </si>
  <si>
    <t>Scalable WIM: Effective Exploration in Large-scale Astrophysical Environments</t>
  </si>
  <si>
    <t>10.1109/TVCG.2006.176</t>
  </si>
  <si>
    <t>http://dx.doi.org/10.1109/TVCG.2006.176</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</si>
  <si>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</si>
  <si>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Yinggang Li;Chi-Wing Fu;Andrew J. Hanson</t>
  </si>
  <si>
    <t>Indiana Univ., IN|c|;;</t>
  </si>
  <si>
    <t>Astrophysical visualization, large-scale exploration, interaction techniques, world-in-miniature (WIM)</t>
  </si>
  <si>
    <t>http://dx.doi.org/10.1109/TVCG.2006.177</t>
  </si>
  <si>
    <t>University of British Columbia|c|;;</t>
  </si>
  <si>
    <t>http://dx.doi.org/10.1109/TVCG.2006.178</t>
  </si>
  <si>
    <t>http://dx.doi.org/10.1109/TVCG.2006.179</t>
  </si>
  <si>
    <t>Dept. of Comput. Sci., Stony Brook Univ.|c|;;;;</t>
  </si>
  <si>
    <t>Subjective Quantification of Perceptual Interactions among some 2D Scientific Visualization Methods</t>
  </si>
  <si>
    <t>10.1109/TVCG.2006.180</t>
  </si>
  <si>
    <t>http://dx.doi.org/10.1109/TVCG.2006.180</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</si>
  <si>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</si>
  <si>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Daniel Acevedo Feliz;David H. Laidlaw</t>
  </si>
  <si>
    <t>Dept. of Comput. Sci., Brown Univ., Providence, RI|c|;</t>
  </si>
  <si>
    <t>10.1109/INFVIS.1997.636792;10.1109/INFVIS.2000.885092</t>
  </si>
  <si>
    <t>Perception models, 2D visualization methods, visualization evaluation, perceptual interactions, visual design</t>
  </si>
  <si>
    <t>Superellipsoid-based, Real Symmetric Traceless Tensor Glyphs Motivated by Nematic Liquid Crystal Alignment Visualization</t>
  </si>
  <si>
    <t>10.1109/TVCG.2006.181</t>
  </si>
  <si>
    <t>http://dx.doi.org/10.1109/TVCG.2006.181</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</si>
  <si>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</si>
  <si>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T. J. Jankun-Kelly;Ketan Mehta</t>
  </si>
  <si>
    <t>Dept. of Comput. Sci. &amp; Eng., Mississippi State Univ., MS|c|;</t>
  </si>
  <si>
    <t>10.1109/TVCG.2006.133;10.1109/VISUAL.2005.1532770;10.1109/VISUAL.2005.1532773;10.1109/TVCG.2006.182</t>
  </si>
  <si>
    <t>scientific visualization, tensor visualization, symmetric traceless tensor, nematic liquid crystals</t>
  </si>
  <si>
    <t>Techniques for the Visualization of Topological Defect Behavior in Nematic Liquid Crystals</t>
  </si>
  <si>
    <t>10.1109/TVCG.2006.182</t>
  </si>
  <si>
    <t>http://dx.doi.org/10.1109/TVCG.2006.182</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</si>
  <si>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cl, cp , and cs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</si>
  <si>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Vadim A. Slavin;Robert Pelcovits;George Loriot;Andrew Callan-Jones;David H. Laidlaw</t>
  </si>
  <si>
    <t>10.1109/VISUAL.1998.745294;10.1109/VISUAL.2004.23</t>
  </si>
  <si>
    <t>Tensor Visualization, Case Studies, Liquid Crystals, Molecular Modeling</t>
  </si>
  <si>
    <t>Texturing of Layered Surfaces for Optimal Viewing</t>
  </si>
  <si>
    <t>10.1109/TVCG.2006.183</t>
  </si>
  <si>
    <t>http://dx.doi.org/10.1109/TVCG.2006.183</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</si>
  <si>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</si>
  <si>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Alethea Bair;Donald H. House;Colin Ware</t>
  </si>
  <si>
    <t>Texas A&amp;M Univ., College Station, TX|c|;;</t>
  </si>
  <si>
    <t>10.1109/VISUAL.2005.1532782;10.1109/INFVIS.2003.1249022</t>
  </si>
  <si>
    <t>perception, optimal visualization, layered surfaces, human-in-the-loop, genetic algorithm, data mining, linear discriminant analysis, parallel coordinates, decision trees</t>
  </si>
  <si>
    <t>http://dx.doi.org/10.1109/TVCG.2006.184</t>
  </si>
  <si>
    <t>IEEE|c|;</t>
  </si>
  <si>
    <t>http://dx.doi.org/10.1109/TVCG.2006.185</t>
  </si>
  <si>
    <t>Dipt. di Informatica e Automazione, Rome Univ.|c|;;;;</t>
  </si>
  <si>
    <t>Understanding the Structure of the Turbulent Mixing Layer in Hydrodynamic Instabilities</t>
  </si>
  <si>
    <t>10.1109/TVCG.2006.186</t>
  </si>
  <si>
    <t>http://dx.doi.org/10.1109/TVCG.2006.186</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</si>
  <si>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</si>
  <si>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David E. Laney;Peer-Timo Bremer;Ajith Mascarenhas;P. Miller;Valerio Pascucci</t>
  </si>
  <si>
    <t>Lawrence Livermore Nat. Lab., Berkeley, CA|c|;;;;</t>
  </si>
  <si>
    <t>10.1109/VISUAL.2003.1250376;10.1109/VISUAL.2002.1183772;10.1109/VISUAL.2005.1532842;10.1109/VISUAL.2000.885716;10.1109/VISUAL.2004.96;10.1109/VISUAL.2003.1250408;10.1109/VISUAL.2004.107;10.1109/VISUAL.1999.809907;10.1109/VISUAL.1998.745288;10.1109/VISUAL.2005.1532839</t>
  </si>
  <si>
    <t>topology, multi-resolution, Morse theory</t>
  </si>
  <si>
    <t>http://dx.doi.org/10.1109/TVCG.2006.187</t>
  </si>
  <si>
    <t>Thorsten B�_ring;Jens Gerken;Harald Reiterer</t>
  </si>
  <si>
    <t>University of Konstanz, Germany</t>
  </si>
  <si>
    <t>Using Difference Intervals for Time-Varying Isosurface Visualization</t>
  </si>
  <si>
    <t>10.1109/TVCG.2006.188</t>
  </si>
  <si>
    <t>http://dx.doi.org/10.1109/TVCG.2006.188</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</si>
  <si>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</si>
  <si>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Kenneth W. Waters;Christopher S. Co;Kenneth I. Joy</t>
  </si>
  <si>
    <t>Inst. for Data Anal. &amp; Visualization, California Univ., Davis, CA|c|;;</t>
  </si>
  <si>
    <t>10.1109/VISUAL.1996.568121;10.1109/VISUAL.1998.745298;10.1109/VISUAL.2004.52;10.1109/VISUAL.2004.29;10.1109/VISUAL.1997.663895;10.1109/VISUAL.1999.809879</t>
  </si>
  <si>
    <t>Isosurface, time-varying, span space, out-of-core, point-based rendering</t>
  </si>
  <si>
    <t>Using Visual Cues of Contact to Improve Interactive Manipulation of Virtual Objects in Industrial Assembly/Maintenance Simulations</t>
  </si>
  <si>
    <t>10.1109/TVCG.2006.189</t>
  </si>
  <si>
    <t>http://dx.doi.org/10.1109/TVCG.2006.189</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</si>
  <si>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</si>
  <si>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Jean Sreng;Anatole L̩cuyer;Christine M̩gard;Claude Andriot</t>
  </si>
  <si>
    <t>CEA LSI, Fontenay-aux-Roses|c|;;;</t>
  </si>
  <si>
    <t>10.1109/VISUAL.2001.964526;10.1109/VISUAL.2000.885692</t>
  </si>
  <si>
    <t>virtual prototyping, assembly/maintenance simulation, visual cues, glyph, light, contact, proximity, force</t>
  </si>
  <si>
    <t>http://dx.doi.org/10.1109/TVCG.2006.192</t>
  </si>
  <si>
    <t>Dept. of Math. &amp; Comput. Sci., Technische Univ. Eindhoven|c|;</t>
  </si>
  <si>
    <t>University of Maryland, College Park;University of Maryland, College Park</t>
  </si>
  <si>
    <t>Markus Glatter;Jian Huang;Jinzhu Gao;Colin Mollenhour</t>
  </si>
  <si>
    <t>http://dx.doi.org/10.1109/TVCG.2006.193</t>
  </si>
  <si>
    <t>The University of Tennessee;The University of Tennessee;The University of Tennessee;Oak Ridge National Lab</t>
  </si>
  <si>
    <t>Yinggang Li;Chi-wing Fu;Andrew Hanson</t>
  </si>
  <si>
    <t>Indiana University;Hong Kong University of Science &amp; Technology;Indiana University</t>
  </si>
  <si>
    <t>British Columbia Univ., Vancouver, BC|c|;;</t>
  </si>
  <si>
    <t>Visual Signatures in Video Visualization</t>
  </si>
  <si>
    <t>10.1109/TVCG.2006.194</t>
  </si>
  <si>
    <t>http://dx.doi.org/10.1109/TVCG.2006.194</t>
  </si>
  <si>
    <t>Daniel Acevedo;David Laidlaw</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</si>
  <si>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</si>
  <si>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Min Chen;Ralf P. Botchen;Rudy Hashim;Daniel Weiskopf;Thomas Ertl;Ian M. Thornton</t>
  </si>
  <si>
    <t>Dept. of Comput. Sci., Swansea Univ.|c|;;;;;</t>
  </si>
  <si>
    <t>10.1109/VISUAL.2003.1250401;10.1109/VISUAL.1991.175792;10.1109/VISUAL.1995.480819</t>
  </si>
  <si>
    <t>Video visualization, volume visualization, flow visualization, human factors, user study, visual signatures, video processing, optical flow, GPU rendering</t>
  </si>
  <si>
    <t>Visualization and Analysis of Large Data Collections: a Case Study Applied to Confocal Microscopy Data</t>
  </si>
  <si>
    <t>10.1109/TVCG.2006.195</t>
  </si>
  <si>
    <t>http://dx.doi.org/10.1109/TVCG.2006.195</t>
  </si>
  <si>
    <t>T.j. Jankun-Kelly;Ketan Mehta</t>
  </si>
  <si>
    <t>Department of Computer Science and Engineering, James Worth Bagley College of Engineering, Mississippi State University, Mississippi State, MS, 39762;Vital Images, 5850 Opus Parkway, Suite 300, Minnetonka, MN 55343. Work completed at Mississippi State University</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</si>
  <si>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</si>
  <si>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Wim C. de Leeuw;Pernette J. Verschure;Robert van Liere</t>
  </si>
  <si>
    <t>Swammerdam Inst. for Life Sci.|c|;;</t>
  </si>
  <si>
    <t>10.1109/VISUAL.1998.745319;10.1109/VISUAL.1990.146378;10.1109/VISUAL.2000.885735;10.1109/VISUAL.2000.885678;10.1109/VISUAL.2005.1532788;10.1109/VISUAL.1996.568136</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</si>
  <si>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c&amp;lt;sub&amp;gt;l&amp;lt;/sub&amp;gt;, c&amp;lt;sub&amp;gt;p &amp;lt;/sub&amp;gt;, and c&amp;lt;sub&amp;gt;s&amp;lt;/sub&amp;gt;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</si>
  <si>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Biomedical visualization, features in volume data sets, large data set visualization</t>
  </si>
  <si>
    <t>Vadim Slavin;Robert Pelcovits;George Loriot;Andrew Callan-Jones;David Laidlaw</t>
  </si>
  <si>
    <t>http://dx.doi.org/10.1109/TVCG.2006.196</t>
  </si>
  <si>
    <t>Dept. of Comput. Sci., Leipzig Univ.|c|;;;;</t>
  </si>
  <si>
    <t>Visualization of fibrous and Thread-like Data</t>
  </si>
  <si>
    <t>10.1109/TVCG.2006.197</t>
  </si>
  <si>
    <t>http://dx.doi.org/10.1109/TVCG.2006.197</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</si>
  <si>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</si>
  <si>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Zeki Melek;David Mayerich;Cem Yuksel;John Keyser</t>
  </si>
  <si>
    <t>Dept. of Comput. Sci., Texas A&amp;M Univ., College Station, TX|c|;;;</t>
  </si>
  <si>
    <t>D. Laney;P.-t. Bremer;A. Mascarenhas;P. Miller;V. Pascucci</t>
  </si>
  <si>
    <t>10.1109/VISUAL.2005.1532859;10.1109/VISUAL.2003.1250399;10.1109/VISUAL.2005.1532780</t>
  </si>
  <si>
    <t>neuron visualization, GPU acceleration, global illumination, orientation filtering</t>
  </si>
  <si>
    <t>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Laney;Lawrence Livermore National Laboratory. Corresponding author: Daniel Laney</t>
  </si>
  <si>
    <t>http://dx.doi.org/10.1109/TVCG.2006.198</t>
  </si>
  <si>
    <t>Institute for Data Analysis and Visualization at the University of California, Davis;Institute for Data Analysis and Visualization at the University of California, Davis;Institute for Data Analysis and Visualization at the University of California, Davis</t>
  </si>
  <si>
    <t>Eidgenossische Tech. Hochschule, Zurich|c|;;;</t>
  </si>
  <si>
    <t>Jean Sreng;Anatole Lécuyer;Christine Mégard;Claude Andriot</t>
  </si>
  <si>
    <t>Jean Sreng;Anatole Lecuyer;Christine Megard;Claude Andriot</t>
  </si>
  <si>
    <t>Visualization Tools for Vorticity Transport Analysis in Incompressible Flow</t>
  </si>
  <si>
    <t>10.1109/TVCG.2006.199</t>
  </si>
  <si>
    <t>http://dx.doi.org/10.1109/TVCG.2006.199</t>
  </si>
  <si>
    <t>Min Chen;Ralf Botchen;Rudy Hashim;Daniel Weiskopf;Thomas Ertl;Ian Thornton</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</si>
  <si>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</si>
  <si>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Filip Sadlo;Ronald Peikert;Mirjam Sick</t>
  </si>
  <si>
    <t>Comput. Sci. Dept., ETH Zurich|c|;;</t>
  </si>
  <si>
    <t>10.1109/VISUAL.1996.567807;10.1109/VISUAL.1999.809896;10.1109/VISUAL.2004.128</t>
  </si>
  <si>
    <t>Flow visualization, vorticity transport, unsteady flow, linked views</t>
  </si>
  <si>
    <t>http://dx.doi.org/10.1109/TVCG.2006.200</t>
  </si>
  <si>
    <t>Wim De Leeuw;Pernette Verschure;Robert Van Liere</t>
  </si>
  <si>
    <t>Swammerdam Institute for Life Sciences (SILS);Swammerdam Institute for Life Sciences (SILS);Center for Mathematics and Computer Science (CWI)</t>
  </si>
  <si>
    <t>Computer Science at Texas A&amp;M University;Computer Science at Texas A&amp;M University;Visualization Science at Texas A&amp;M University;Computer Science at Texas A&amp;M University</t>
  </si>
  <si>
    <t>MagnaView|c|;;</t>
  </si>
  <si>
    <t>Vortex Visualization for Practical Engineering Applications</t>
  </si>
  <si>
    <t>10.1109/TVCG.2006.201</t>
  </si>
  <si>
    <t>http://dx.doi.org/10.1109/TVCG.2006.201</t>
  </si>
  <si>
    <t>Computer Graphics Laboratory, Computer Science Department, ETH Zurich, Switzerland;Computer Graphics Laboratory, Computer Science Department, ETH Zurich, Switzerland;VA Tech Hydro, Zurich, Switzerland</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</si>
  <si>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</si>
  <si>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Monika Jankun-Kelly;Ming Jiang 0005;David S. Thompson;Raghu Machiraju</t>
  </si>
  <si>
    <t>Computational Simulation &amp; Design Center, Mississippi State Univ., MS|c|;;;</t>
  </si>
  <si>
    <t>Monika Jankun-Kelly;Ming Jiang;David Thompson;Raghu Machiraju</t>
  </si>
  <si>
    <t>10.1109/VISUAL.1997.663894;10.1109/VISUAL.2002.1183789;10.1109/VISUAL.2005.1532830;10.1109/VISUAL.1998.745296;10.1109/VISUAL.1998.745288;10.1109/VISUAL.1999.809896</t>
  </si>
  <si>
    <t>Vortex detection, vortex visualization, feature mining</t>
  </si>
  <si>
    <t>Graduate Research Assistant at the Computational Simulation and Design Center, Mississippi State University;Postdoctoral Researcher at the Center for Applied Scientific Computing, Lawrence Livermore National Laboratory;Associate Professor in the Department of Aerospace Engineering at Mississippi State University;Associate Professor in the Department of Computer Science and Engineering at The Ohio State University</t>
  </si>
  <si>
    <t>http://dx.doi.org/10.1109/TVCG.2006.202</t>
  </si>
  <si>
    <t>2007</t>
  </si>
  <si>
    <t>Toward a Deeper Understanding of the Role of Interaction in Information Visualization</t>
  </si>
  <si>
    <t>10.1109/TVCG.2007.70515</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</si>
  <si>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</si>
  <si>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Ji Soo Yi;Youn ah Kang;John T. Stasko;Julie A. Jacko</t>
  </si>
  <si>
    <t>Ji Soo Yi;Youn ah Kang;John Stasko</t>
  </si>
  <si>
    <t>Health Systems Institute &amp; H. Milton Stewart School of Industrial and Systems Engineering, Georgia Institute of Technology;School of Interactive Computing &amp; GVU Center, Georgia Institute of Technology;School of Interactive Computing &amp; GVU Center, Georgia Institute of Technology</t>
  </si>
  <si>
    <t>10.1109/VISUAL.1994.346302;10.1109/INFVIS.2005.1532136;10.1109/INFVIS.1996.559213;10.1109/VISUAL.1991.175794;10.1109/INFVIS.2005.1532126;10.1109/INFVIS.2000.885091;10.1109/INFVIS.1999.801860;10.1109/INFVIS.2000.885086</t>
  </si>
  <si>
    <t>Information visualization, interaction, interaction techniques, taxonomy, visual analytics</t>
  </si>
  <si>
    <t>VisLink: Revealing Relationships Amongst Visualizations</t>
  </si>
  <si>
    <t>10.1109/TVCG.2007.70521</t>
  </si>
  <si>
    <t>Univ. of Sheffield|c|;;</t>
  </si>
  <si>
    <t>http://dx.doi.org/10.1109/VAST.2006.261415</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</si>
  <si>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</si>
  <si>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Christopher Collins;Sheelagh Carpendale</t>
  </si>
  <si>
    <t>PhD Candidate with the Computer Science Department at the Univeristy of Toronto;Professor with the Computer Science Department at the University of Calgary</t>
  </si>
  <si>
    <t>10.1109/VISUAL.2003.1250400;10.1109/VISUAL.1990.146402;10.1109/TVCG.2006.166;10.1109/VISUAL.1991.175815;10.1109/INFVIS.2003.1249008;10.1109/INFVIS.2001.963279;10.1109/TVCG.2006.147</t>
  </si>
  <si>
    <t>Graph visualization, node-link diagrams, structural comparison, hierarchies, 3D visualization, edge aggregation</t>
  </si>
  <si>
    <t>Visual Analysis of Network Traffic for Resource Planning, Interactive Monitoring, and Interpretation of Security Threats</t>
  </si>
  <si>
    <t>Comput. Sci. &amp; Artificial Intelligence Lab., Massachusetts Inst. of Technol.|c|</t>
  </si>
  <si>
    <t>10.1109/TVCG.2007.70522</t>
  </si>
  <si>
    <t>http://dx.doi.org/10.1109/VAST.2006.261416</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</si>
  <si>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</si>
  <si>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Florian Mansmann;Daniel A. Keim;Stephen C. North;Brian Rexroad;Daniel Sheleheda</t>
  </si>
  <si>
    <t>10.1109/VAST.2006.261438;10.1109/INFVIS.2002.1173156;10.1109/INFVIS.2004.57;10.1109/VISUAL.1991.175815</t>
  </si>
  <si>
    <t>Information visualization, network security, network monitoring, treemap</t>
  </si>
  <si>
    <t>Visualizing Causal Semantics Using Animations</t>
  </si>
  <si>
    <t>10.1109/TVCG.2007.70528</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</si>
  <si>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</si>
  <si>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Nivedita R. Kadaba;Pourang Irani;Jason Leboe-McGowan</t>
  </si>
  <si>
    <t>Nivedita Kadaba;Jason Leboe;Jason Leboe;Nivedita Kadaba;Nivedita Kadaba;Nivedita Kadaba;Pourang Irani;Pourang Irani;Pourang Irani;Pourang Irani;Jason Leboe;Jason Leboe</t>
  </si>
  <si>
    <t>Department of Computer Science, University of Manitoba;Department of Psychology, University of Manitoba;Department of Psychology,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Computer Science, University of Manitoba;Department of Psychology, University of Manitoba;Department of Psychology, University of Manitoba</t>
  </si>
  <si>
    <t>Causality, visualization, semantics, animated graphs, perception, visualizing cause and effect, graph semantics</t>
  </si>
  <si>
    <t>Pacific Northwest Nat. Lab., Richland, WA|c|</t>
  </si>
  <si>
    <t>http://dx.doi.org/10.1109/VAST.2006.261417</t>
  </si>
  <si>
    <t>Visualizing Changes of Hierarchical Data using Treemaps</t>
  </si>
  <si>
    <t>10.1109/TVCG.2007.70529</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</si>
  <si>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</si>
  <si>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Ying Tu;Han-Wei Shen</t>
  </si>
  <si>
    <t>Computer Science and Engineering Department at the Ohio State University;Computer Science and Engineering Department at the Ohio State University</t>
  </si>
  <si>
    <t>10.1109/INFVIS.1999.801860;10.1109/INFVIS.2005.1532145;10.1109/TVCG.2006.200;10.1109/VISUAL.1991.175815</t>
  </si>
  <si>
    <t>Treemap, tree comparison, visualize changes, treemap layout algorithm</t>
  </si>
  <si>
    <t>A Taxonomy of Clutter Reduction for Information Visualisation</t>
  </si>
  <si>
    <t>10.1109/TVCG.2007.70535</t>
  </si>
  <si>
    <t>SSS Res., Inc., Naperville, IL|c|;;</t>
  </si>
  <si>
    <t>http://dx.doi.org/10.1109/VAST.2006.261418</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</si>
  <si>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</si>
  <si>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10.1109/INFVIS.2003.1249018;10.1109/INFVIS.2000.885092;10.1109/TVCG.2006.138;10.1109/VISUAL.2005.1532819;10.1109/INFVIS.2003.1249008;10.1109/VISUAL.1999.809866;10.1109/INFVIS.2000.885091;10.1109/VISUAL.1998.745301;10.1109/INFVIS.1997.636789;10.1109/INFVIS.2002.1173156;10.1109/INFVIS.2003.1249019;10.1109/INFVIS.1997.636792;10.1109/INFVIS.1995.528685;10.1109/INFVIS.2004.15;10.1109/TVCG.2006.170</t>
  </si>
  <si>
    <t>Clutter reduction, information visualisation, occlusion, large datasets, taxonomy</t>
  </si>
  <si>
    <t>AdaptiviTree: Adaptive Tree Visualization for Tournament-Style Brackets</t>
  </si>
  <si>
    <t>10.1109/TVCG.2007.70537</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</si>
  <si>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</si>
  <si>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Desney S. Tan;Greg Smith;Bongshin Lee;George G. Robertson</t>
  </si>
  <si>
    <t>Desney Tan;Greg Smith;Bongshin Lee;George Robertson</t>
  </si>
  <si>
    <t>10.1109/INFVIS.2002.1173148;10.1109/INFVIS.2002.1173158;10.1109/INFVIS.1997.636718;10.1109/VAST.2006.261450</t>
  </si>
  <si>
    <t>Online fantasy sports, tournament, bracket, picks, adaptive tree visualization</t>
  </si>
  <si>
    <t>Animated Transitions in Statistical Data Graphics</t>
  </si>
  <si>
    <t>Palo Alto Res. Center, CA|c|;;;</t>
  </si>
  <si>
    <t>10.1109/TVCG.2007.70539</t>
  </si>
  <si>
    <t>http://dx.doi.org/10.1109/VAST.2006.261420</t>
  </si>
  <si>
    <t>Univ. of Massachusetts Lowell, MA|c|;;;;;</t>
  </si>
  <si>
    <t>http://dx.doi.org/10.1109/VAST.2006.261421</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</si>
  <si>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&amp;lt;i&amp;gt;DynaVis&amp;lt;/i&amp;gt;, a visualization system featuring animated data graphics. Two controlled experiments were conducted to assess the efficacy of various transition types, finding that animated transitions can significantly improve graphical perception.</t>
  </si>
  <si>
    <t>Jeffrey Heer;George G. Robertson</t>
  </si>
  <si>
    <t>Jeffrey Heer;George Robertson</t>
  </si>
  <si>
    <t>Computer Science Division at the University of California, Berkeley;Microsoft Research</t>
  </si>
  <si>
    <t>10.1109/INFVIS.1999.801854;10.1109/INFVIS.2001.963279;10.1109/INFVIS.2002.1173148</t>
  </si>
  <si>
    <t>Statistical data graphics, animation, transitions, information visualization, design, experiment</t>
  </si>
  <si>
    <t>Browsing Zoomable Treemaps: Structure-Aware Multi-Scale Navigation Techniques</t>
  </si>
  <si>
    <t>10.1109/TVCG.2007.70540</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</si>
  <si>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</si>
  <si>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Renaud Blanch;Eric Lecolinet</t>
  </si>
  <si>
    <t>10.1109/INFVIS.2004.21;10.1109/INFVIS.2005.1532128;10.1109/INFVIS.2005.1532129;10.1109/INFVIS.2002.1173156;10.1109/INFVIS.2004.46;10.1109/INFVIS.1999.801860;10.1109/TVCG.2006.200;10.1109/INFVIS.2002.1173148;10.1109/INFVIS.2005.1532132</t>
  </si>
  <si>
    <t>Information visualization, multi-scale interaction, structure-aware navigation, zoomable treemaps</t>
  </si>
  <si>
    <t>Casual Information Visualization: Depictions of Data in Everyday Life</t>
  </si>
  <si>
    <t>Dept. of Comput. Sci., Maryland Univ.|c|;;;</t>
  </si>
  <si>
    <t>10.1109/TVCG.2007.70541</t>
  </si>
  <si>
    <t>http://dx.doi.org/10.1109/VAST.2006.261422</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</si>
  <si>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</si>
  <si>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Zachary Pousman;John T. Stasko;Michael Mateas</t>
  </si>
  <si>
    <t>Zachary Pousman;John Stasko;Michael Mateas</t>
  </si>
  <si>
    <t>School of Interactive Computing and the GVU Center at the Georgia Institute of Technology;School of Interactive Computing and the GVU Center at the Georgia Institute of Technology;University of California, Santa Cruz</t>
  </si>
  <si>
    <t>10.1109/INFVIS.2005.1532126;10.1109/INFVIS.2004.8;10.1109/INFVIS.2003.1249031;10.1109/INFVIS.2004.59;10.1109/VISUAL.1990.146375</t>
  </si>
  <si>
    <t>Casual information visualization, ambient infovis, social infovis, editorial, design, evaluation</t>
  </si>
  <si>
    <t>Exploring Multiple Trees through DAG Representations</t>
  </si>
  <si>
    <t>10.1109/TVCG.2007.70556</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</si>
  <si>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</si>
  <si>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Martin Graham;Jessie Kennedy</t>
  </si>
  <si>
    <t>10.1109/INFVIS.2005.1532129;10.1109/INFVIS.2002.1173148;10.1109/INFVIS.2002.1173153;10.1109/INFVIS.2000.885091;10.1109/VISUAL.1991.175815;10.1109/INFVIS.2004.70;10.1109/INFVIS.2005.1532152</t>
  </si>
  <si>
    <t>Multiple trees, Directed Acyclic Graph</t>
  </si>
  <si>
    <t>Geographically Weighted Visualization: Interactive Graphics for Scale-Varying Exploratory Analysis</t>
  </si>
  <si>
    <t>10.1109/TVCG.2007.70558</t>
  </si>
  <si>
    <t>Sch. of Econ. &amp; Inf. Syst., Wollongong Univ., NSW|c|</t>
  </si>
  <si>
    <t>We introduce a series of geographically weighted (GW) interactive graphics, or geowigs, and use them to explore spatial relationships at a range of scales. We visually encode information about geographic and statistical proximity and variation in novel ways through &amp;lt;i&amp;gt;gw-choropleth maps&amp;lt;/i&amp;gt;, multivariate &amp;lt;i&amp;gt;gw-boxplots, gw-shading&amp;lt;/i&amp;gt; and &amp;lt;i&amp;gt;scalograms&amp;lt;/i&amp;gt;.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&amp;lt;i&amp;gt;geowigs &amp;lt;/i&amp;gt;proposed here provide informative representations of multivariate local variation, particularly when combined with interactions that coordinate views and result in &amp;lt;i&amp;gt;gw-shading&amp;lt;/i&amp;gt;. We argue that they are widely applicable to area and point-based geographic data and provide a set of methods to support visual analysis using GW statistics through which the effects of geography can be explored at multiple scales.</t>
  </si>
  <si>
    <t>Jason Dykes;Chris Brunsdon</t>
  </si>
  <si>
    <t>Geographical weighting, exploratory data analysis, scale, multivariate, directional, interaction, coordinated views</t>
  </si>
  <si>
    <t>http://dx.doi.org/10.1109/VAST.2006.261423</t>
  </si>
  <si>
    <t>Hotmap: Looking at Geographic Attention</t>
  </si>
  <si>
    <t>10.1109/TVCG.2007.70561</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</si>
  <si>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</si>
  <si>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Danyel Fisher</t>
  </si>
  <si>
    <t>10.1109/INFVIS.2005.1532122;10.1109/TVCG.2006.179</t>
  </si>
  <si>
    <t>Geographical visualization, GIS, heatmap, server log analysis, online mapping systems, social navigation</t>
  </si>
  <si>
    <t>Interactive Tree Comparison for Co-located Collaborative Information Visualization</t>
  </si>
  <si>
    <t>10.1109/TVCG.2007.70568</t>
  </si>
  <si>
    <t>J̦rn Schneidewind;Mike Sips;Daniel A. Keim</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</si>
  <si>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</si>
  <si>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Petra Isenberg;Sheelagh Carpendale</t>
  </si>
  <si>
    <t>10.1109/INFVIS.2000.885091;10.1109/TVCG.2006.184</t>
  </si>
  <si>
    <t>Information visualization, collaboration, co-located work, hierarchical data comparison</t>
  </si>
  <si>
    <t>http://dx.doi.org/10.1109/VAST.2006.261424</t>
  </si>
  <si>
    <t>Interactive Visual Exploration of a Large Spatio-temporal Dataset: Reflections on a Geovisualization Mashup.</t>
  </si>
  <si>
    <t>10.1109/TVCG.2007.70570</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</si>
  <si>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</si>
  <si>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Jo Wood;Jason Dykes;Aidan Slingsby;Keith Clarke</t>
  </si>
  <si>
    <t>giCentre, Department of Information Science, City University, London;giCentre, Department of Information Science, City University, London;giCentre, Department of Information Science, City University, London;Department of Geography, UC Santa Barbara</t>
  </si>
  <si>
    <t>10.1109/INFVIS.1995.528686;10.1109/INFVIS.2004.12</t>
  </si>
  <si>
    <t>Large dataset visualization, text and document visualization, multiresolution visualization, geographic visualization, applications of infovis</t>
  </si>
  <si>
    <t>Legible Cities: Focus-Dependent Multi-Resolution Visualization of Urban Relationships</t>
  </si>
  <si>
    <t>10.1109/TVCG.2007.70574</t>
  </si>
  <si>
    <t>Dept. of Comput. Sci., Worcester Polytech. Inst., MA|c|;;;</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</si>
  <si>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</si>
  <si>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Remco Chang;Ginette Wessel;Robert Kosara;Eric Sauda;William Ribarsky</t>
  </si>
  <si>
    <t>10.1109/INFVIS.2004.12;10.1109/VISUAL.1990.146402;10.1109/INFVIS.2005.1532149</t>
  </si>
  <si>
    <t>http://dx.doi.org/10.1109/VAST.2006.261425</t>
  </si>
  <si>
    <t>Urban models, information visualization, multi-resolution</t>
  </si>
  <si>
    <t>ManyEyes: a Site for Visualization at Internet Scale</t>
  </si>
  <si>
    <t>10.1109/TVCG.2007.70577</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</si>
  <si>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</si>
  <si>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Fernanda B. Viégas;Martin Wattenberg;Frank van Ham;Jesse Kriss;Matthew M. McKeon</t>
  </si>
  <si>
    <t>Fernanda B. Viegas;Martin Wattenberg;Frank van Ham;Jesse Kriss;Matt McKeon</t>
  </si>
  <si>
    <t>10.1109/INFVIS.2005.1532122;10.1109/VISUAL.1991.175820;10.1109/INFVIS.2003.1249007</t>
  </si>
  <si>
    <t>Visualization, World Wide Web, Social Software, Social Data Analysis, Communication-Minded Visualization</t>
  </si>
  <si>
    <t>Multi-Level Graph Layout on the GPU</t>
  </si>
  <si>
    <t>10.1109/TVCG.2007.70580</t>
  </si>
  <si>
    <t>Dept. of Comput. Sci., Univ. of North Carolina at Charlotte, NC|c|;;;;;;</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</si>
  <si>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</si>
  <si>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Technion, Israel Institute of Technology;Technion, Israel Institute of Technology</t>
  </si>
  <si>
    <t>Graph layout, GPU, graph partitioning</t>
  </si>
  <si>
    <t>http://dx.doi.org/10.1109/VAST.2006.261426</t>
  </si>
  <si>
    <t>NodeTrix: a Hybrid Visualization of Social Networks</t>
  </si>
  <si>
    <t>10.1109/TVCG.2007.70582</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</si>
  <si>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</si>
  <si>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Nathalie Henry Riche;Jean-Daniel Fekete;Michael J. McGuffin</t>
  </si>
  <si>
    <t>Nathalie Henry;Jean-Daniel Fekete;Michael J. McGuffin</t>
  </si>
  <si>
    <t>Univ. of Maryland Inst. for Adv. Comput. Studies|c|;;;</t>
  </si>
  <si>
    <t>INRIA Futurs/University Paris-Sud, France and University of Sydney, Australia;INRIA Futurs, France;Ontario Cancer Institute and University of Toronto, Canada</t>
  </si>
  <si>
    <t>10.1109/TVCG.2006.160;10.1109/VAST.2006.261426;10.1109/INFVIS.2005.1532126;10.1109/INFVIS.2004.46;10.1109/TVCG.2006.193;10.1109/INFVIS.2005.1532129;10.1109/TVCG.2006.166;10.1109/TVCG.2006.147;10.1109/INFVIS.2004.64;10.1109/INFVIS.2003.1249011</t>
  </si>
  <si>
    <t>Network visualization, Matrix visualization, Hybrid visualization, Aggregation, Interaction</t>
  </si>
  <si>
    <t>http://dx.doi.org/10.1109/VAST.2006.261427</t>
  </si>
  <si>
    <t>Overview Use in Multiple Visual Information Resolution Interfaces</t>
  </si>
  <si>
    <t>10.1109/TVCG.2007.70583</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</si>
  <si>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</si>
  <si>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Heidi Lam;Tamara Munzner;Robert Kincaid</t>
  </si>
  <si>
    <t>10.1109/INFVIS.2005.1532136;10.1109/VISUAL.2005.1532838;10.1109/INFVIS.2004.59;10.1109/VISUAL.1990.146375</t>
  </si>
  <si>
    <t>Multiple resolutions, overview use, user study</t>
  </si>
  <si>
    <t>Scented Widgets: Improving Navigation Cues with Embedded Visualizations</t>
  </si>
  <si>
    <t>10.1109/TVCG.2007.70589</t>
  </si>
  <si>
    <t>Oculus Info Inc., Toronto, Ont.|c|;;;;;</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</si>
  <si>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</si>
  <si>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Wesley Willett;Jeffrey Heer;Maneesh Agrawala</t>
  </si>
  <si>
    <t>http://dx.doi.org/10.1109/VAST.2006.261428</t>
  </si>
  <si>
    <t>Computer Science Division at the University of California at Berkeley;Computer Science Division at the University of California at Berkeley;Computer Science Division at the University of California at Berkeley</t>
  </si>
  <si>
    <t>Information visualization, user interface toolkits, information foraging, social navigation, social data analysis</t>
  </si>
  <si>
    <t>Sequential Document Visualization</t>
  </si>
  <si>
    <t>10.1109/TVCG.2007.70592</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</si>
  <si>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</si>
  <si>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Yi Mao;Joshua V. Dillon;Guy Lebanon</t>
  </si>
  <si>
    <t>Yi Mao;Joshua Dillon;Guy Lebanon</t>
  </si>
  <si>
    <t>10.1109/VISUAL.1993.398863;10.1109/VISUAL.1998.745302;10.1109/INFVIS.2001.963287;10.1109/INFVIS.2001.963273;10.1109/INFVIS.2000.885097</t>
  </si>
  <si>
    <t>Document visualization, multi-resolution analysis, local fitting</t>
  </si>
  <si>
    <t>Show Me: Automatic Presentation for Visual Analysis</t>
  </si>
  <si>
    <t>10.1109/TVCG.2007.70594</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</si>
  <si>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</si>
  <si>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Jock D. Mackinlay;Pat Hanrahan;Chris Stolte</t>
  </si>
  <si>
    <t>Jock Mackinlay;Pat Hanrahan;Chris Stolte</t>
  </si>
  <si>
    <t>Automatic presentation, visual analysis, graphic design, best practices, data visualization, small multiples</t>
  </si>
  <si>
    <t>Spatialization Design: Comparing Points and Landscapes</t>
  </si>
  <si>
    <t>10.1109/TVCG.2007.70596</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</si>
  <si>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</si>
  <si>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Melanie Tory;David W. Sprague;Fuqu Wu;Wing Yan So;Tamara Munzner</t>
  </si>
  <si>
    <t>Melanie Tory;David Sprague;Fuqu Wu;Wing Yan So;Tamara Munzner</t>
  </si>
  <si>
    <t>University of Victoria;University of Victoria;University of Victoria;University of Victoria;University of British Columbia</t>
  </si>
  <si>
    <t>10.1109/INFVIS.2004.60;10.1109/INFVIS.2004.19;10.1109/INFVIS.2002.1173146;10.1109/INFVIS.1995.528686</t>
  </si>
  <si>
    <t>Spatialization, Information Landscape, User Study, Numerosity, 3D, 2D, Colour, Greyscale, Surface, Points</t>
  </si>
  <si>
    <t>Visualization of Heterogeneous Data</t>
  </si>
  <si>
    <t>10.1109/TVCG.2007.70617</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</si>
  <si>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</si>
  <si>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Mike Cammarano;Xin Dong 0001;Bryan Chan;Jeff Klingner;Justin Talbot;Alon Y. Halevy;Pat Hanrahan</t>
  </si>
  <si>
    <t>Mike Cammarano;Xin Dong;Bryan Chan;Jeff Klingner;Justin Talbot;Alon Halevey;Pat Hanrahan</t>
  </si>
  <si>
    <t>Stanford University;University of Washington;Stanford University;Stanford University;Stanford University;Google;Stanford University</t>
  </si>
  <si>
    <t>10.1109/INFVIS.2000.885086;10.1109/VISUAL.1994.346302;10.1109/INFVIS.1996.559210</t>
  </si>
  <si>
    <t>Data integration, RDF, attribute inference</t>
  </si>
  <si>
    <t>Visualizing the History of Living Spaces</t>
  </si>
  <si>
    <t>10.1109/TVCG.2007.70621</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</si>
  <si>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</si>
  <si>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Yuri A. Ivanov;Christopher Richard Wren;Alexander Sorokin;Ishwinder Kaur</t>
  </si>
  <si>
    <t>Yuri Ivanov;Christopher Wren;Alexander Sorokin;Ishwinder Kaur</t>
  </si>
  <si>
    <t>Mitsubuishi Electric Research Labs;Mitsubuishi Electric Research Labs;UIUC;MIT Media Lab</t>
  </si>
  <si>
    <t>10.1109/INFVIS.2004.27;10.1109/INFVIS.2005.1532122</t>
  </si>
  <si>
    <t>Sensor networks, user interfaces, surveillance, timeline, spatio-temporal visualization</t>
  </si>
  <si>
    <t>Weaving Versus Blending: a quantitative assessment of the information carrying capacities of two alternative methods for conveying multivariate data with color.</t>
  </si>
  <si>
    <t>10.1109/TVCG.2007.70623</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</si>
  <si>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</si>
  <si>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Haleh Hagh-Shenas;Sunghee Kim;Victoria Interrante;Christopher G. Healey</t>
  </si>
  <si>
    <t>Haleh Hagh-Shenas;Sunghee Kim;Victoria Interrante;Christopher Healey</t>
  </si>
  <si>
    <t>Boston Scientific;Gettysburg College;University of Minnesota;North Carolina State University</t>
  </si>
  <si>
    <t>10.1109/INFVIS.2005.1532140;10.1109/VISUAL.2003.1250362;10.1109/VISUAL.1999.809905;10.1109/INFVIS.2005.1532137</t>
  </si>
  <si>
    <t>Color, perception, visualization, color weaving, color blending</t>
  </si>
  <si>
    <t>InfoVis as Seen by the World Out There: 2007 in Review</t>
  </si>
  <si>
    <t>10.1109/VAST.2007.4388989</t>
  </si>
  <si>
    <t>x</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</si>
  <si>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</si>
  <si>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Stephen Few</t>
  </si>
  <si>
    <t>Perceptual Edge, University of California, Berkeley</t>
  </si>
  <si>
    <t>Activity Analysis Using Spatio-Temporal Trajectory Volumes in Surveillance Applications</t>
  </si>
  <si>
    <t>10.1109/VAST.2007.4388990</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</si>
  <si>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</si>
  <si>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Firdaus Janoos;Shantanu Singh;M. Okan Irfanoglu;Raghu Machiraju;Richard E. Parent</t>
  </si>
  <si>
    <t>Firdaus Janoos;Shantanu Singh;Okan Irfanoglu;Raghu Machiraju;Richard Parent</t>
  </si>
  <si>
    <t>Dept. of Computer Science and Engineering, Ohio State University. e-mail: janoos@cse.ohio-state.edu;Dept. of Computer Science and Engineering, Ohio State University. e-mail: singhsh@cse.ohio-state.edu;Dept. of Computer Science and Engineering, Ohio State University. e-mail: irfanogl@cse.ohio-state.edu;Dept. of Computer Science and Engineering, Ohio State University. e-mail: raghu@cse.ohio-state.edu;Dept. of Computer Science and Engineering, Ohio State University. e-mail: parent@cse.ohio-state.edu</t>
  </si>
  <si>
    <t>wavelets, HOSVD, surveillance, anomaly detection, trajectory</t>
  </si>
  <si>
    <t>FemaRepViz: Automatic Extraction and Geo-Temporal Visualization of FEMA National Situation Updates</t>
  </si>
  <si>
    <t>10.1109/VAST.2007.4388991</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</si>
  <si>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</si>
  <si>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Chi-Chun Pan;Prasenjit Mitra</t>
  </si>
  <si>
    <t>The Pennsylvania State University. e-mail: julianpan@psu.edu;The Pennsylvania State University. e-mail: pmitra@ist.psu.edu</t>
  </si>
  <si>
    <t>visual analytics, geo-temporal visualization, text processing, knowledge discovery, geospatial analytics</t>
  </si>
  <si>
    <t>Stories in GeoTime</t>
  </si>
  <si>
    <t>10.1109/VAST.2007.4388992</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</si>
  <si>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</si>
  <si>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Ryan Eccles;Thomas Kapler;Robert Harper 0002;William Wright</t>
  </si>
  <si>
    <t>Ryan Eccles;Thomas Kapler;Robert Harper;William Wright</t>
  </si>
  <si>
    <t>Oculus Info Inc. reccles@oculusinfo.com;Oculus Info Inc. tkapler@oculusinfo.com;Oculus Info Inc. rharper@oculusinfo.com;Oculus Info Inc. bwright@oculusinfo.com</t>
  </si>
  <si>
    <t>10.1109/INFVIS.2004.27;10.1109/VAST.2006.261436</t>
  </si>
  <si>
    <t>human information interaction, visual analytics, sense-making, narrative, pattern detection, story making, story telling</t>
  </si>
  <si>
    <t>LAHVA: Linked Animal-Human Health Visual Analytics</t>
  </si>
  <si>
    <t>10.1109/VAST.2007.4388993</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</si>
  <si>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</si>
  <si>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Ross Maciejewski;Benjamin Tyner;Yun Jang;Cheng Zheng;Rimma V. Nehme;David S. Ebert;William S. Cleveland;Mourad Ouzzani;Shaun J. Grannis;Lawrence T. Glickman</t>
  </si>
  <si>
    <t>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(PURVAC);Purdue University Regional Visualization and Analytics Center (PURVAC);Regenstrief Institute and Indiana University School of Medicine;Purdue University School of Veterinary Medicine Clinical Epidemiology Group</t>
  </si>
  <si>
    <t>Dept. of Geogr., Pennsylvania State Univ.|c|;;;;;</t>
  </si>
  <si>
    <t>Visual Analytics on Mobile Devices for Emergency Response</t>
  </si>
  <si>
    <t>10.1109/VAST.2007.4388994</t>
  </si>
  <si>
    <t>http://dx.doi.org/10.1109/VAST.2006.261429</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</si>
  <si>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</si>
  <si>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SungYe Kim;Yun Jang;Angela Mellema;David S. Ebert;Timothy W. Collins</t>
  </si>
  <si>
    <t>Sung Ye Kim;Yun Jang;Angela Mellema;David S. Ebert;Timothy Collinss</t>
  </si>
  <si>
    <t>Purdue University Regional Visualization and Analytics Center (PURVAC), Purdue University, West Lafayette, IN. e-mail: inside@purdue.edu;Purdue University Regional Visualization and Analytics Center (PURVAC), Purdue University, West Lafayette, IN. e-mail: inside@purdue.edu, jangy@purdue.edu;Purdue University Regional Visualization and Analytics Center (PURVAC), Purdue University, West Lafayette, IN. e-mail: inside@purdue.edu, amellema@purdue.edu;Purdue University Regional Visualization and Analytics Center (PURVAC), Purdue University, West Lafayette, IN. e-mail: inside@purdue.edu, ebertd@purdue.edu;Purdue Homeland Security Institute (PHSI), Purdue University, West Lafayette, IN. e-mail: tfcollins@purdue.edu</t>
  </si>
  <si>
    <t>mobile visualization, visual analytics, emergency response</t>
  </si>
  <si>
    <t>Visual Analytics Approach to User-Controlled Evacuation Scheduling</t>
  </si>
  <si>
    <t>10.1109/VAST.2007.4388995</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</si>
  <si>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</si>
  <si>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Gennady L. Andrienko;Natalia V. Andrienko;Ulrich Bartling</t>
  </si>
  <si>
    <t>Gennady Andrienko;Natalia Andrienko;Ulrich Bartling</t>
  </si>
  <si>
    <t>Fraunhofer Institute IAIS (Intelligent Analysis and Information Systems), Germany;Fraunhofer Institute IAIS (Intelligent Analysis and Information Systems), Germany;Fraunhofer Institute IAIS (Intelligent Analysis and Information Systems), Germany</t>
  </si>
  <si>
    <t>Geovisualization, transportation planning, vehicle scheduling, task-centered design, coordinated multiple views</t>
  </si>
  <si>
    <t>Maryland Univ., College Park, MD|c|;;;</t>
  </si>
  <si>
    <t>Thin Client Visualization</t>
  </si>
  <si>
    <t>10.1109/VAST.2007.4388996</t>
  </si>
  <si>
    <t>http://dx.doi.org/10.1109/VAST.2006.261430</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</si>
  <si>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</si>
  <si>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Stephen G. Eick;M. Andrew Eick;Jesse Fugitt;Brian Horst;Maxim Khailo;Russell A. Lankenau</t>
  </si>
  <si>
    <t>SSS Research, Inc, 600 S. Washington, Suite 100, Naperville, IL 60540. eick@sss-research.com;SSS Research, Inc, 600 S. Washington, Suite 100, Naperville, IL 60540;SSS Research, Inc, 600 S. Washington, Suite 100, Naperville, IL 60540;SSS Research, Inc, 600 S. Washington, Suite 100, Naperville, IL 60540;SSS Research, Inc, 600 S. Washington, Suite 100, Naperville, IL 60540;SSS Research, Inc, 600 S. Washington, Suite 100, Naperville, IL 60540</t>
  </si>
  <si>
    <t>web 20, JavaScript, scalable vector graphics, visualization components, linked view visual analytics</t>
  </si>
  <si>
    <t>IMAS: The Interactive Multigenomic Analysis System</t>
  </si>
  <si>
    <t>10.1109/VAST.2007.4388997</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</si>
  <si>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</si>
  <si>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Chris Shaw 0002;Greg A. Dasch;Marina E. Eremeeva</t>
  </si>
  <si>
    <t>Christopher D. Shaw;Gregory A. Dasch;Marina E. Eremeeva</t>
  </si>
  <si>
    <t>School of Interactive Arts &amp; Technology, Simon Fraser University Surrey, Surrey, BC, Canada. shaw@sfu.ca;Viral and Rickettsial Zoonoses Branch, National Center for Infectious Diseases, Centers for Disease Control and Prevention, Atlanta, Georgia 30333. ged4@cdc.gov;Viral and Rickettsial Zoonoses Branch, National Center for Infectious Diseases, Centers for Disease Control and Prevention, Atlanta, Georgia 30333. mge6@cdc.gov</t>
  </si>
  <si>
    <t>Bioinformatics, Visual Analytics</t>
  </si>
  <si>
    <t>IBM T. J. Watson Res. Center, Yorktown Heights, NY|c|;;</t>
  </si>
  <si>
    <t>Balancing Interactive Data Management of Massive Data with Situational Awareness through Smart Aggregation</t>
  </si>
  <si>
    <t>10.1109/VAST.2007.4388998</t>
  </si>
  <si>
    <t>http://dx.doi.org/10.1109/VAST.2006.261431</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</si>
  <si>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</si>
  <si>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Daniel R. Tesone;John R. Goodall</t>
  </si>
  <si>
    <t>Secure Decisions, a division of Applied Visions Inc. e-mail: dant@securedecisions.avi.com;Secure Decisions, a division of Applied Visions Inc. e-mail: johng@securedecisions.avi.com</t>
  </si>
  <si>
    <t>10.1109/VAST.2006.261437;10.1109/VISUAL.2005.1532792;10.1109/INFVIS.2004.10</t>
  </si>
  <si>
    <t>Data management, visual analytics, data retrieval, information visualization, smart aggregation, situational awareness</t>
  </si>
  <si>
    <t>ClusterSculptor: A Visual Analytics Tool for High-Dimensional Data</t>
  </si>
  <si>
    <t>10.1109/VAST.2007.4388999</t>
  </si>
  <si>
    <t>Drexel Univ., Philadelphia, PA|c|;;;</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</si>
  <si>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</si>
  <si>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Eun Ju Nam;Yiping Han;Klaus Mueller;Alla Zelenyuk;Dan Imre</t>
  </si>
  <si>
    <t>Stony Brook University. email: ejnam@cs.sunysb.edu;Stony Brook University. email: yiping@cs.sunysb.edu;Stony Brook University. email: mueller@cs.sunysb.edu;Pacific Northwest National Lab. email: alla.zelenyuk@pnl.gov;Imre Consulting. email: dimre2b@charter.net</t>
  </si>
  <si>
    <t>10.1109/VISUAL.1997.663916;10.1109/INFVIS.2004.15;10.1109/INFVIS.1999.801859;10.1109/INFVIS.2004.68;10.1109/VISUAL.1990.146402</t>
  </si>
  <si>
    <t>http://dx.doi.org/10.1109/VAST.2006.261432</t>
  </si>
  <si>
    <t>Visual Analytics, High-Dimensional Data, Visual Data Mining, Visualization in Earth/Space/ and Environmental Sciences</t>
  </si>
  <si>
    <t>Analysis Guided Visual Exploration of Multivariate Data</t>
  </si>
  <si>
    <t>10.1109/VAST.2007.4389000</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</si>
  <si>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</si>
  <si>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Di Yang;Elke A. Rundensteiner;Matthew O. Ward</t>
  </si>
  <si>
    <t>Worcester Polytechnic Institute. e-mail: diyang@wpi.edu;Worcester Polytechnic Institute. e-mail: rundenst@es.wpi.edu;Worcester Polytechnic Institute. e-mail: matt@cs.wpi.edu</t>
  </si>
  <si>
    <t>10.1109/VISUAL.1994.346302;10.1109/VAST.2006.261415;10.1109/INFVIS.2004.71;10.1109/INFVIS.1997.636793;10.1109/VAST.2006.261430</t>
  </si>
  <si>
    <t>Visual Analytics, Visual Knowledge Discovery, Discovery Management, Analysis Guided Exploration</t>
  </si>
  <si>
    <t>Intelligent Visual Analytics Queries</t>
  </si>
  <si>
    <t>10.1109/VAST.2007.4389001</t>
  </si>
  <si>
    <t>Pacific Northwest Nat. Lab., Richland, WA|c|;;;;</t>
  </si>
  <si>
    <t>http://dx.doi.org/10.1109/VAST.2006.261433</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</si>
  <si>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</si>
  <si>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Ming C. Hao;Umeshwar Dayal;Daniel A. Keim;D. Morent;Jörn Schneidewind</t>
  </si>
  <si>
    <t>Ming C. Hao;Umeshwar Dayal;Daniel A. Keim;Dominik Morent;Joern Schneidewind</t>
  </si>
  <si>
    <t>Hewlett Packard Laboratories, CA. Electronic Mail: Ming.hao@hp.com;Hewlett Packard Laboratories, CA. Electronic Mail: Umeshwar.dayal@hp.com;University of Konstanz, Germany. Electronic Mail: keim@informatik.uni-konstanz.de;University of Konstanz, Germany. Electronic Mail: Dominik.Morent@uni-konstanz.de;University of Konstanz, Germany. Electronic Mail: schneide@inf.uni-konstanz.de</t>
  </si>
  <si>
    <t>10.1109/TVCG.2006.200;10.1109/INFVIS.1998.729559;10.1109/VISUAL.1990.146402;10.1109/INFVIS.2000.885086;10.1109/VISUAL.1994.346302</t>
  </si>
  <si>
    <t>Visual Analytics Query, Similarity Queries, Interactive Queries</t>
  </si>
  <si>
    <t>Point Placement by Phylogenetic Trees and its Application to Visual Analysis of Document Collections</t>
  </si>
  <si>
    <t>10.1109/VAST.2007.4389002</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</si>
  <si>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</si>
  <si>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Ana M. Cuadros;Fernando Vieira Paulovich;Rosane Minghim;Guilherme P. Telles</t>
  </si>
  <si>
    <t>Ana M. Cuadros;Fernando V. Paulovich;Rosane Minghim;Guilherme P. Telles</t>
  </si>
  <si>
    <t>Instituto de Ciências Matemáticas e de Computação, Universidade de São Paulo, São Carlos, Brazil. e-mail: anamaria@icmc.usp.br;Instituto de Ciências Matemáticas e de Computação, Universidade de São Paulo, São Carlos, Brazil. e-mail: paulovic@icmc.usp.br;Instituto de Ciências Matemáticas e de Computação, Universidade de São Paulo, São Carlos, Brazil. e-mail: rminghim@icmc.usp.br;Instituto de Ciências Matemáticas e de Computação, Universidade de São Paulo, São Carlos, Brazil. e-mail: gpt@icmc.usp.br</t>
  </si>
  <si>
    <t>10.1109/INFVIS.1995.528686;10.1109/VISUAL.1996.567787</t>
  </si>
  <si>
    <t>Document Visualization, Multidimensional Visualization, Document Analysis, Text Analytics, Phylogenetic Trees</t>
  </si>
  <si>
    <t>Analyzing Large-Scale News Video Databases to Support Knowledge Visualization and Intuitive Retrieval</t>
  </si>
  <si>
    <t>10.1109/VAST.2007.4389003</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</si>
  <si>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</si>
  <si>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Software Engineering Institute, East China Normal University, Shanghai, China. e-mail: memcache@gmail.com;Department of Computer Science, UNC-Charlotte, Charlotte, NC, USA. e-mail: jfan@uncc.edu;Department of Computer Science, UNC-Charlotte, Charlotte, NC, USA. e-mail: jyang13@uncc.edu;Department of Computer Science, UNC-Charlotte, Charlotte, NC, USA. e-mail: ribarsky@uncc.edu;National Institute of Informatics, Tokyo, Japan. e-mail: satoh@nii.ac.jp</t>
  </si>
  <si>
    <t>10.1109/INFVIS.1998.729570;10.1109/TVCG.2006.179;10.1109/INFVIS.1995.528686;10.1109/INFVIS.2000.885098;10.1109/VAST.2006.261433</t>
  </si>
  <si>
    <t>Semantic Video Classification, Knowledge Discovery, Knowledge Visualization</t>
  </si>
  <si>
    <t>Literature Fingerprinting: A New Method for Visual Literary Analysis</t>
  </si>
  <si>
    <t>10.1109/VAST.2007.4389004</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</si>
  <si>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</si>
  <si>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Daniel A. Keim;Daniela Oelke</t>
  </si>
  <si>
    <t>University of Konstanz. e-mail: keim@inf.uni-konstanz.de;University of Konstanz. e-mail: oelke@inf.uni-konstanz.de</t>
  </si>
  <si>
    <t>Visual literature analysis, visual analytics, literature fingerprinting</t>
  </si>
  <si>
    <t>NewsLab: Exploratory Broadcast News Video Analysis</t>
  </si>
  <si>
    <t>10.1109/VAST.2007.4389005</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</si>
  <si>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</si>
  <si>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Mohammad Ghoniem;Dongning Luo;Jing Yang 0001;William Ribarsky</t>
  </si>
  <si>
    <t>Mohammad Ghoniem;Dongning Luo;Jing Yang;William Ribarsky</t>
  </si>
  <si>
    <t>UNC Charlotte. e-mail: mghoniem@uncc.edu;UNC Charlotte. e-mail: dluo2@uncc.edu;UNC Charlotte. e-mail: jyang13@uncc.edu;UNC Charlotte. e-mail: ribarsky@uncc.edu</t>
  </si>
  <si>
    <t>10.1109/VAST.2006.261433;10.1109/VAST.2006.261425;10.1109/VISUAL.1996.568118;10.1109/INFVIS.1998.729559;10.1109/INFVIS.1999.801858;10.1109/INFVIS.2005.1532122</t>
  </si>
  <si>
    <t>Large data exploration, broadcast video analysis, time filtering, clustering, animation, comparative analysis</t>
  </si>
  <si>
    <t>Jigsaw: Supporting Investigative Analysis through Interactive Visualization</t>
  </si>
  <si>
    <t>10.1109/VAST.2007.4389006</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</si>
  <si>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</si>
  <si>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John T. Stasko;Carsten Görg;Zhicheng Liu;Kanupriya Singhal</t>
  </si>
  <si>
    <t>John Stasko;Carsten Gorg;Zhicheng Liu;Kanupriya Singhal</t>
  </si>
  <si>
    <t>School of Interactive Computing &amp; GVU Center, Georgia Institute of Technology. e-mail: stasko@cc.gatech.edu;School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ksinghal@cc.gatech.edu</t>
  </si>
  <si>
    <t>10.1109/INFVIS.1995.528686;10.1109/INFVIS.2004.27;10.1109/VAST.2006.261432</t>
  </si>
  <si>
    <t>Visual analytics, investigative analysis, intelligence analysis, information visualization, multiple views</t>
  </si>
  <si>
    <t>SpiralView: Towards Security Policies Assessment through Visual Correlation of Network Resources with Evolution of Alarms</t>
  </si>
  <si>
    <t>10.1109/VAST.2007.4389007</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</si>
  <si>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</si>
  <si>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Enrico Bertini;Patrick Hertzog;Denis Lalanne</t>
  </si>
  <si>
    <t>University of Fribourg. enrico.bertini@unifr.ch;NEXThink S.A. patrick.hertzog@nexthink.com;University of Fribourg. denis.lalanne@unifr.ch</t>
  </si>
  <si>
    <t>10.1109/INFVIS.2001.963273;10.1109/INFVIS.2001.963279;10.1109/INFVIS.2003.1249020</t>
  </si>
  <si>
    <t>Network security, Intrusion Detection, Visualization, Data Exploration</t>
  </si>
  <si>
    <t>Session Viewer: Visual Exploratory Analysis of Web Session Logs</t>
  </si>
  <si>
    <t>10.1109/VAST.2007.4389008</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</si>
  <si>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</si>
  <si>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Heidi Lam;Daniel M. Russell;Diane Tang;Tamara Munzner</t>
  </si>
  <si>
    <t>Heidi Lam;Daniel Russell;Diane Tang;Tamara Munzner</t>
  </si>
  <si>
    <t>University of British Columbia, Google, Inc. e-mail: hllam@cs.ubc.ca;Google, Inc. e-mail: drussell@google.com;Google, Inc. e-mail: diane@google.com;University of British Columbia. e-mail: tmm@cs.ubc.ca</t>
  </si>
  <si>
    <t>10.1109/INFVIS.1998.729553;10.1109/INFVIS.2003.1249006;10.1109/INFVIS.2004.2;10.1109/INFVIS.1996.559227</t>
  </si>
  <si>
    <t>Web session log analysis, visual exploratory data analysis, information visualization</t>
  </si>
  <si>
    <t>WireVis: Visualization of Categorical, Time-Varying Data From Financial Transactions</t>
  </si>
  <si>
    <t>10.1109/VAST.2007.4389009</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</si>
  <si>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</si>
  <si>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Remco Chang;Mohammad Ghoniem;Robert Kosara;William Ribarsky;Jing Yang 0001;Evan A. Suma;Caroline Ziemkiewicz;Daniel A. Kern;Agus Sudjianto</t>
  </si>
  <si>
    <t>Remco Chang;Mohammad Ghoniem;Robert Kosara;William Ribarsky;Jing Yang;Evan Suma;Caroline Ziemkiewicz;Daniel Kern;Agus Sudjianto</t>
  </si>
  <si>
    <t>UNC Charlotte. e-mail: rchang@uncc.edu;UNC Charlotte. e-mail: mghoniem@uncc.edu;UNC Charlotte. e-mail: rkosara@uncc.edu;UNC Charlotte. e-mail: ribarsky@uncc.edu;UNC Charlotte. e-mail: jyang13@uncc.edu;UNC Charlotte. e-mail: easuma@uncc.edu;UNC Charlotte. e-mail: caziemki@uncc.edu;Bank of America. e-mail: daniel.c.kern@bankofamerica.com;Bank of America. e-mail: agus.sudjianto@bankofamerica.com</t>
  </si>
  <si>
    <t>10.1109/INFVIS.1999.801851;10.1109/INFVIS.1995.528686;10.1109/TVCG.2006.160;10.1109/INFVIS.2004.46</t>
  </si>
  <si>
    <t>Fraud detection, financial data visualization, categorial and time-varying data</t>
  </si>
  <si>
    <t>Us vs. Them: Understanding Social Dynamics in Wikipedia with Revert Graph Visualizations</t>
  </si>
  <si>
    <t>10.1109/VAST.2007.4389010</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</si>
  <si>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</si>
  <si>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Bongwon Suh;Ed Huai-hsin Chi;Bryan A. Pendleton;Aniket Kittur</t>
  </si>
  <si>
    <t>Bongwon Suh;Ed H. Chi;Bryan A. Pendleton;Aniket Kittur</t>
  </si>
  <si>
    <t>Palo Alto Research Center, 3333 Coyote Hill Road, Palo Alto, CA 94304. Email: suh@parc.com;Palo Alto Research Center, 3333 Coyote Hill Road, Palo Alto, CA 94304. Email: echi@parc.com;Palo Alto Research Center, 3333 Coyote Hill Road, Palo Alto, CA 94304. Email: bp@parc.com;Palo Alto Research Center, 3333 Coyote Hill Road, Palo Alto, CA 94304. Email: nkittur@ucla.edu</t>
  </si>
  <si>
    <t>10.1109/TVCG.2006.122;10.1109/INFVIS.2005.1532126</t>
  </si>
  <si>
    <t>Wikipedia, wiki, revert, graph, collaboration, user model, visualization</t>
  </si>
  <si>
    <t>Design Considerations for Collaborative Visual Analytics</t>
  </si>
  <si>
    <t>10.1109/VAST.2007.4389011</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</si>
  <si>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</si>
  <si>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University of California, Soda Hall, UC Berkeley, Berkeley, CA 94720-1776. E-Mail: jheer@cs.berkeley.edu;University of California, Soda Hall, UC Berkeley, Berkeley, CA 94720-1776. E-Mail: maneesh@cs.berkeley.edu</t>
  </si>
  <si>
    <t>10.1109/VISUAL.1991.175820;10.1109/TVCG.2006.178;10.1109/TVCG.2006.202;10.1109/VAST.2006.261439</t>
  </si>
  <si>
    <t>visualization, analysis, collaboration, design, computer-supported cooperative work</t>
  </si>
  <si>
    <t>Visual Analysis of Controversy in User-generated Encyclopedias</t>
  </si>
  <si>
    <t>10.1109/VAST.2007.4389012</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</si>
  <si>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</si>
  <si>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Ulrik Brandes;Jürgen Lerner</t>
  </si>
  <si>
    <t>Ulrik Brandes;Jurgen Lerner</t>
  </si>
  <si>
    <t>Department of Computer &amp; Information Science, University of Konstanz. e-mail: Ulrik.Brandes@uni-konstanz.de;Department of Computer &amp; Information Science, University of Konstanz. e-mail: lerner@inf.uni-konstanz.de</t>
  </si>
  <si>
    <t>Wikipedia, social network analysis, controversy</t>
  </si>
  <si>
    <t>DataMeadow: A Visual Canvas for Analysis of Large-Scale Multivariate Data</t>
  </si>
  <si>
    <t>10.1109/VAST.2007.4389013</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</si>
  <si>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</si>
  <si>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Niklas Elmqvist;John T. Stasko;Philippas Tsigas</t>
  </si>
  <si>
    <t>Niklas Elmqvist;John Stasko;Philippas Tsigas</t>
  </si>
  <si>
    <t>INRIA/LRI, Univ. Paris-Sud. e-mail: elm@lri.fr;Georgia Institute of Technology. e-mail: stasko@cc.gatech.edu;Chalmers University of Technology. e-mail: tsigas@cs.chalmers.se</t>
  </si>
  <si>
    <t>10.1109/INFVIS.2000.885086;10.1109/VISUAL.1990.146386;10.1109/VISUAL.1991.175815;10.1109/INFVIS.2003.1249026;10.1109/VAST.2006.261439;10.1109/INFVIS.2005.1532139;10.1109/VAST.2006.261424;10.1109/VAST.2006.261452;10.1109/INFVIS.2005.1532136;10.1109/INFVIS.1997.636793;10.1109/VAST.2006.261422;10.1109/VAST.2006.261430;10.1109/INFVIS.2003.1249016;10.1109/VISUAL.1999.809866;10.1109/VISUAL.1990.146375</t>
  </si>
  <si>
    <t>Multivariate data, visual analytics, parallel coordinates, dynamic queries, iterative analysis, starplot, small multiples</t>
  </si>
  <si>
    <t>VAST to Knowledge: Combining tools for exploration and mining</t>
  </si>
  <si>
    <t>10.1109/VAST.2007.4389015</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</si>
  <si>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</si>
  <si>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Loretta Auvil;Xavier Llorà;Duane Searsmith;Kelly Searsmith</t>
  </si>
  <si>
    <t>Loretta Auvil;Xavier Llora;Duane Searsmith;Kelly Searsmith</t>
  </si>
  <si>
    <t>Automated Learning Group, National Center for Supercomputing Applications, University of Illinois at Urbana-Champaign. e-mail: lauvil@uiuc.edu;Data Intensive Technologies and Applications, National Center for Supercomputing Applications, University of Illinois at Urbana-Champaign. e-mail: xllora@ncsa.uiuc.edu;Automated Learning Group, National Center for Supercomputing Applications, University of Illinois at Urbana-Champaign. e-mail: dsears@ncsa.uiuc.edu;Automated Learning Group, National Center for Supercomputing Applications, University of Illinois at Urbana-Champaign. e-mail: ksearsmi@ncsa.uiuc.edu</t>
  </si>
  <si>
    <t>VAST 2007 Contest Interactive Poster: Data Analysis Using NdCore and REGGAE</t>
  </si>
  <si>
    <t>10.1109/VAST.2007.4389016</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</si>
  <si>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</si>
  <si>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Lynn Schwendiman;Jonathan McLean;Jonathan Larson</t>
  </si>
  <si>
    <t>ATS Intelligent Discovery, 3505 NW Anderson Hill Road, Suite 200, Silverdale, WA 98383. lynn.schwendiman@atsid.com;ATS Intelligent Discovery, 3505 NW Anderson Hill Road, Suite 200, Silverdale, WA 98383. jonathan.mclean@atsid.com;ATS Intelligent Discovery, 3505 NW Anderson Hill Road, Suite 200, Silverdale, WA 98383. jonathan.larson@atsid.com</t>
  </si>
  <si>
    <t>Visual Analytics with Jigsaw</t>
  </si>
  <si>
    <t>10.1109/VAST.2007.4389017</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</si>
  <si>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</si>
  <si>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Carsten Görg;Zhicheng Liu;Neel Parekh;Kanupriya Singhal;John T. Stasko</t>
  </si>
  <si>
    <t>Carsten Gorg;Zhicheng Liu;Neel Parekh;Kanupriya Singhal;John Stasko</t>
  </si>
  <si>
    <t>School of Interactive Computing &amp; GVU Center, Georgia Institute of Technology. e-mail: goerg@cc.gatech.edu;School of Interactive Computing &amp; GVU Center, Georgia Institute of Technology. e-mail: zcliu@cc.gatech.edu;School of Interactive Computing &amp; GVU Center, Georgia Institute of Technology. e-mail: justneel@gmail.com;School of Interactive Computing &amp; GVU Center, Georgia Institute of Technology. e-mail: ksinghal@cc.gatech.edu;School of Interactive Computing &amp; GVU Center, Georgia Institute of Technology. e-mail: stasko@cc.gatech.edu</t>
  </si>
  <si>
    <t>Dept. of Comput. Sci., North Carolina Univ., Charlotte, NC|c|;;;;</t>
  </si>
  <si>
    <t>http://dx.doi.org/10.1109/VAST.2006.261434</t>
  </si>
  <si>
    <t>Something's "Fishy" at Global Ways and Gill Breeders - Analysis with nSpace and GeoTime</t>
  </si>
  <si>
    <t>10.1109/VAST.2007.4389018</t>
  </si>
  <si>
    <t>GeoTime and nSpace are two interactive visual analytics tools that support the process of analyzing massive and complex datasets. The two tools were used to examine and interpret the 2007 VAST contest dataset. This poster paper describes how the capabilities of the tools were used to facilitate and expedite every stage of an analyst workflow.</t>
  </si>
  <si>
    <t>Lynn Chien;Annie Tat;William Wright</t>
  </si>
  <si>
    <t>Oculus Info Inc.;Oculus Info Inc.;Oculus Info Inc.</t>
  </si>
  <si>
    <t>TextPlorer: An application supporting text analysis</t>
  </si>
  <si>
    <t>10.1109/VAST.2007.4389019</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</si>
  <si>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</si>
  <si>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Chi-Chun Pan;Anuj R. Jaiswal;Junyan Luo;Anthony C. Robinson</t>
  </si>
  <si>
    <t>Chi-Chun Pan;Anuj R. Jaiswal;Junyan Luo;Anthony Robinson</t>
  </si>
  <si>
    <t>The Pennsylvania State University. e-mail: julianpan@psu.edu;The Pennsylvania State University. e-mail: arj135@psu.edu;The Pennsylvania State University. e-mail: jluo@psu.edu;The Pennsylvania State University. e-mail: acr181@psu.edu</t>
  </si>
  <si>
    <t>University of British Columbia &amp; Simon Fraser University - The Bricolage</t>
  </si>
  <si>
    <t>10.1109/VAST.2007.4389020</t>
  </si>
  <si>
    <t>This abstract presents a&lt;i&gt;bricolage&lt;/i&gt;approach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</si>
  <si>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William Chao;Daniel Ha;Kevin I.-J. Ho;Linda T. Kaastra;Minjung Kim;Andrew Wade</t>
  </si>
  <si>
    <t>William Chao;Daniel Ha;Kevin Ho;Linda Kaastra;Minjung Kim;Andrew Wade;Brian Fisher</t>
  </si>
  <si>
    <t>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 e-mail: andrewwade@ubcviscog.com;Faculty Sponsor, Simon Fraser University, SIAT; University of British Columbia, MAGIC</t>
  </si>
  <si>
    <t>VisPad: Integrating Visualization, Navigation and Synthesis</t>
  </si>
  <si>
    <t>10.1109/VAST.2007.4389021</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</si>
  <si>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</si>
  <si>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Yedendra Babu Shrinivasan;Jarke J. van Wijk</t>
  </si>
  <si>
    <t>Yedendra B. Shrinivasan;Jarke J. van Wijk</t>
  </si>
  <si>
    <t>Dept. Mathematics and Computer Science, Technische Universiteit Eindhoven. e-mail: y.b.shrinivasan@tue.nl;Dept. Mathematics and Computer Science, Technische Universiteit Eindhoven. e-mail: vanwijk@win.tue.nl</t>
  </si>
  <si>
    <t>C-GROUP: A Visual Analytic Tool for Pairwise Analysis of Dynamic Group Membership</t>
  </si>
  <si>
    <t>10.1109/VAST.2007.4389022</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</si>
  <si>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</si>
  <si>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Hyunmo Kang;Lise Getoor;Lisa Singh</t>
  </si>
  <si>
    <t>University of Maryland, College Park, MD 20742. kang@cs.umd.edu;University of Maryland, College Park, MD 20742. getoor@cs.umd.edu;Georgetown University, Washington, DC 20052. singh@cs.georgetown.edu</t>
  </si>
  <si>
    <t>Situation Awareness Tool for Global Argus</t>
  </si>
  <si>
    <t>10.1109/VAST.2007.4389023</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</si>
  <si>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</si>
  <si>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Jae Choi;Sang-joon Lee;Sarah Gigitashvilli;James Wilson</t>
  </si>
  <si>
    <t>Georgetown University. e-mail: choi@isis.georgetown.edu;Viznox, Inc. e-mail: sjlee@viznox.com;Georgetown University. e-mail: gigitashvili@isis.georgetown.edu;Georgetown University. e-mail: wilson@isis.georgetown.edu</t>
  </si>
  <si>
    <t>Spectra transformed for model-testing and visual exploration</t>
  </si>
  <si>
    <t>10.1109/VAST.2007.4389024</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</si>
  <si>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</si>
  <si>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Palmyra Catravas</t>
  </si>
  <si>
    <t>ECE Department, Union College, Schenectady, NY. e-mail: catravap@union.edu</t>
  </si>
  <si>
    <t>Formalizing Analytical Discourse in Visual Analytics</t>
  </si>
  <si>
    <t>10.1109/VAST.2007.4389025</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</si>
  <si>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</si>
  <si>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College of Information Sciences and Technology, Penn State University, University Park, PA. Email: cai@ist.psu.edu</t>
  </si>
  <si>
    <t>Sunfall: A Collaborative Visual Analytics System for Astrophysics</t>
  </si>
  <si>
    <t>10.1109/VAST.2007.4389026</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</si>
  <si>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</si>
  <si>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Cecilia R. Aragon;Stephen J. Bailey;Sarah S. Poon;Karl J. Runge;Rollin C. Thomas</t>
  </si>
  <si>
    <t>Cecilia R. Aragon;Stephen J. Bailey;Sarah Poon;Karl J. Runge;Rollin C. Thomas</t>
  </si>
  <si>
    <t>Lawrence Berkeley National Laboratory. E-Mail: aragon@hpcrd.lbl.gov;Lawrence Berkeley National Laboratory. E-Mail: sjbailey@lbl.gov;Space Sciences Laboratory. E-Mail: sspoon@lbl.gov;Space Sciences Laboratory. E-Mail: kjrunge@lbl.gov;Lawrence Berkeley National Laboratory. E-Mail: rcthomas@lbl.gov</t>
  </si>
  <si>
    <t>Visual Analysis of Dynamic Networks with Geological Clustering</t>
  </si>
  <si>
    <t>10.1109/VAST.2007.4389027</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</si>
  <si>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</si>
  <si>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Adel Ahmed;Xiaoyan Fu;Seok-Hee Hong;Quan Hoang Nguyen;Kai Xu 0003</t>
  </si>
  <si>
    <t>Adel Ahmed;Xiaoyan Fu;Seok-Hee Hong;Quan Hoang Nguyen;Kai Xu</t>
  </si>
  <si>
    <t>School of Information Technologies, University of Sydney, Australia; National ICT Australia, Australia. e-mail: adel.ahmed@nicta.com.au;National ICT Australia, Australia. e-mail: xiaoyan.fu@nicta.com.au;School of Information Technologies, University of Sydney, Australia; National ICT Australia, Australia. e-mail: shhong@it.usyd.edu.au;School of Computer Sciences and Engineering, University of NSW, Australia. e-mail: quanhn@cse.unsw.edu.au;National ICT Australia, Australia. e-mail: kai.xu@nicta.com.au</t>
  </si>
  <si>
    <t>From Tasks to Tools: A Field Study in Collaborative Visual Analytics</t>
  </si>
  <si>
    <t>10.1109/VAST.2007.4389028</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</si>
  <si>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</si>
  <si>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Daniel Ha;Minjung Kim;Andrew Wade;William Chao;Kevin I.-J. Ho;Linda T. Kaastra;Brian D. Fisher;John Dill</t>
  </si>
  <si>
    <t>Daniel Ha;Minjung Kim;Andrew Wade;William O. Chao;Kevin Ho;Linda Kaastra;Brian Fisher;John Dill</t>
  </si>
  <si>
    <t>Simon Fraser University, SIAT; University of British Columbia, MAGIC. email: dhal@sfu.ca;Simon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t>
  </si>
  <si>
    <t>Outlook for Visual Analytics Research Funding</t>
  </si>
  <si>
    <t>10.1109/VAST.2007.4389030</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</si>
  <si>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</si>
  <si>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James J. Thomas;Daniel A. Keim;Joe Kielman;Larry Rosenblum</t>
  </si>
  <si>
    <t>Jim Thomas;Daniel Keim;Joe Kielman;Larry Rosenblum</t>
  </si>
  <si>
    <t>Pacific Northwest National Laboratory;University of Konstanz;Department of Homeland Security;National Science Foundation</t>
  </si>
  <si>
    <t>Regional Visualization &amp; Analytics Center, Purdue Univ., West Lafayette, IN|c|;;;;;;</t>
  </si>
  <si>
    <t>VAST 2007 Contest - Blue Iguanodon</t>
  </si>
  <si>
    <t>10.1109/VAST.2007.4389032</t>
  </si>
  <si>
    <t>http://dx.doi.org/10.1109/VAST.2006.261435</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</si>
  <si>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</si>
  <si>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Georges G. Grinstein;Catherine Plaisant;Sharon J. Laskowski;Theresa A. O'Connell;Jean Scholtz;Mark A. Whiting</t>
  </si>
  <si>
    <t>Georges Grinstein;Catherine Plaisant;Sharon Laskowski;Theresa O'Connell;Jean Scholtz;Mark Whiting</t>
  </si>
  <si>
    <t>University of Massachusetts, Lowell. grinstein@cs.uml.edu;University of Maryland. plaisant@cs.umd.edu;National Institute of Standards and Technology. sharon.laskowski@nist.gov;National Institute of Standards and Technology. toconnell@nist.gov;Pacific Northwest National Laboratory. jean.scholtz@pnl.com;Pacific Northwest National Laboratory. mark.a.whiting@pnl.gov</t>
  </si>
  <si>
    <t>VAST 2007 Contest - Analysis with nSpace and GeoTime</t>
  </si>
  <si>
    <t>10.1109/VAST.2007.4389033</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</si>
  <si>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</si>
  <si>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Lynn Chien;Annie Tat;Thomas Kapler;Patricia Enns;Winniefried Kuan;William Wright</t>
  </si>
  <si>
    <t>Oculus Info Inc.;Oculus Info Inc.;Oculus Info Inc.;Oculus Info Inc.;Oculus Info Inc.;Oculus Info Inc.</t>
  </si>
  <si>
    <t>Jigsaw meets Blue Iguanodon - The VAST 2007 Contest</t>
  </si>
  <si>
    <t>10.1109/VAST.2007.4389034</t>
  </si>
  <si>
    <t>Kansas Univ.|c|;</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</si>
  <si>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</si>
  <si>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http://dx.doi.org/10.1109/VAST.2006.261436</t>
  </si>
  <si>
    <t>Carsten Görg;Zhicheng Liu;Neel Parekh;Kanupriyah Singhal;John T. Stasko</t>
  </si>
  <si>
    <t>10.1109/VAST.2007.4389035</t>
  </si>
  <si>
    <t>Stanford Univ., Palo Alto, CA|c|;;</t>
  </si>
  <si>
    <t>Intelligence Analysis Using Titan</t>
  </si>
  <si>
    <t>10.1109/VAST.2007.4389036</t>
  </si>
  <si>
    <t>http://dx.doi.org/10.1109/VAST.2006.261437</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</si>
  <si>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</si>
  <si>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Patricia Crossno;Brian N. Wylie;Andrew T. Wilson;John A. Greenfield;Eric T. Stanton;Timothy M. Shead;Lisa G. Ice;Kenneth Moreland;Jeffrey Baumes;Berk Geveci</t>
  </si>
  <si>
    <t>Patricia Crossno;Brian Wylie;Andrew Wilson;John Greenfield;Eric Stanton;Timothy Shead;Lisa Ice;Kenneth Moreland;Jeffrey Baumes;Berk Geveci</t>
  </si>
  <si>
    <t>Sandia National Laboratories. Email: pjcross@sandia.gov;Sandia National Laboratories. Email: bnwylie@sandia.gov;Sandia National Laboratories. Email: atwilso@sandia.gov;Sandia National Laboratories. Email: jagreen@sandia.gov;Sandia National Laboratories. Email: etstant@sandia.gov;Sandia National Laboratories. Email: tshead@sandia.gov;Sandia National Laboratories. Email: lgice@sandia.gov;Sandia National Laboratories. Email: kmorel@sandia.gov;Kitware Inc. jeff.baumes@kitware.com;Kitware Inc. berk.geveci@kitware.com</t>
  </si>
  <si>
    <t>VAST 2007 Contest TexPlorer</t>
  </si>
  <si>
    <t>10.1109/VAST.2007.4389037</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</si>
  <si>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</si>
  <si>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Chi-Chun Pan;Anuj R. Jaiswal;Junyan Luo;Anthony C. Robinson;Prasenjit Mitra;Alan M. MacEachren;Ian Turton</t>
  </si>
  <si>
    <t>Chi-Chun Pan;Anuj R. Jaiswal;Junyan Luo;Anthony Robinson;Prasenjit Mitra;Alan M. MacEachren;Ian Turton</t>
  </si>
  <si>
    <t>The Pennsylvania State University. e-mail: julianpan@psu.edu;The Pennsylvania State University. e-mail: arj135@psu.edu;The Pennsylvania State University. e-mail: jluo@psu.edu;The Pennsylvania State University. e-mail: acr181@psu.edu;The Pennsylvania State University. e-mail: pmitra@ist.psu.edu;The Pennsylvania State University. e-mail: maceachren@psu.edu;The Pennsylvania State University. e-mail: ijt1@psu.edu</t>
  </si>
  <si>
    <t>Lawrence Berkeley Nat. Lab., California Univ.|c|;;;;</t>
  </si>
  <si>
    <t>VAST 2007 Contest Data Analysis Using NdCore and REGGAE</t>
  </si>
  <si>
    <t>10.1109/VAST.2007.4389038</t>
  </si>
  <si>
    <t>http://dx.doi.org/10.1109/VAST.2006.261438</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</si>
  <si>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</si>
  <si>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10.1109/VAST.2007.4470207</t>
  </si>
  <si>
    <t>William Chao;Daniel Ha;Kevin I.-J. Ho;Linda T. Kaastra;Minjung Kim;Andrew Wade;Brian D. Fisher</t>
  </si>
  <si>
    <t>Transform Coding for Hardware-accelerated Volume Rendering</t>
  </si>
  <si>
    <t>10.1109/TVCG.2007.70516</t>
  </si>
  <si>
    <t>Daniel A. Keim;Florian Mansmann;J̦rn Schneidewind;Tobias Schreck</t>
  </si>
  <si>
    <t>Databases, Data Min. &amp; Visualization Group, Konstanz Univ.|c|;;;</t>
  </si>
  <si>
    <t>http://dx.doi.org/10.1109/VAST.2006.261439</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</si>
  <si>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</si>
  <si>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Nathaniel Fout;Kwan-Liu Ma</t>
  </si>
  <si>
    <t>Department of Computer Science, University of California, Davis;Department of Computer Science, University of California, Davis</t>
  </si>
  <si>
    <t>10.1109/VISUAL.2002.1183757;10.1109/VISUAL.2001.964520;10.1109/VISUAL.2004.95;10.1109/VISUAL.1993.398845;10.1109/VISUAL.2003.1250357;10.1109/VISUAL.1995.480812;10.1109/VISUAL.2003.1250385</t>
  </si>
  <si>
    <t>Volume Compression, Compressed Volume Rendering, Transform Coding, Hardware-accelerated Volume Rendering</t>
  </si>
  <si>
    <t>Two-Level Approach to Efficient Visualization of Protein Dynamics</t>
  </si>
  <si>
    <t>10.1109/TVCG.2007.70517</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</si>
  <si>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</si>
  <si>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Ove Daae Lampe;Ivan Viola;Nathalie Reuter;Helwig Hauser</t>
  </si>
  <si>
    <t>Christian Michelsen Research, Norway;Department of Informatics, University of Bergen, Norway;Computational Biology Unit/BCCS, University of Bergen, Norway;Department of Informatics, University of Bergen, Norway</t>
  </si>
  <si>
    <t>10.1109/VISUAL.2005.1532859;10.1109/INFVIS.1996.559215;10.1109/VISUAL.2000.885733;10.1109/TVCG.2006.115</t>
  </si>
  <si>
    <t>Molecular visualization, hardware acceleration, protein dynamics</t>
  </si>
  <si>
    <t>Stony Brook Univ., NY|c|;;;;;</t>
  </si>
  <si>
    <t>http://dx.doi.org/10.1109/VAST.2006.261450</t>
  </si>
  <si>
    <t>Uncertainty Visualization in Medical Volume Rendering Using Probabilistic Animation</t>
  </si>
  <si>
    <t>10.1109/TVCG.2007.70518</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</si>
  <si>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</si>
  <si>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Claes Lundström;Patric Ljung;Anders Persson;Anders Ynnerman</t>
  </si>
  <si>
    <t>Center for Medical Image Science and Visualization (CMIV), Link¨oping University, and Sectra-Imtec AB;Division for Visual Information Technology and Applications (VITA), Link¨oping University;Center for Medical Image Science and Visualization (CMIV), Link¨oping University;Division for Visual Information Technology and Applications (VITA), Link¨oping University</t>
  </si>
  <si>
    <t>10.1109/VISUAL.2005.1532807;10.1109/VISUAL.1992.235199;10.1109/VISUAL.2003.1250414</t>
  </si>
  <si>
    <t>Uncertainty, probability, medical visualization, volume rendering, transfer function</t>
  </si>
  <si>
    <t>Variable Interactions in Query-Driven Visualization</t>
  </si>
  <si>
    <t>10.1109/TVCG.2007.70519</t>
  </si>
  <si>
    <t>Palo Alto Res. Center, CA|c|;;;;</t>
  </si>
  <si>
    <t>http://dx.doi.org/10.1109/VAST.2006.261451</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</si>
  <si>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</si>
  <si>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Luke J. Gosink;John C. Anderson;E. Wes Bethel;Kenneth I. Joy</t>
  </si>
  <si>
    <t>Luke Gosink;John Anderson;Wes Bethel;Kenneth Joy</t>
  </si>
  <si>
    <t>Institute for Data Analysis and Visualization (IDAV), University of California, Davis;Institute for Data Analysis and Visualization (IDAV), University of California, Davis;Computing Sciences Division and Scientific Visualization Group, Lawrence Berkeley National Laboratory;Institute for Data Analysis and Visualization (IDAV), University of California, Davis</t>
  </si>
  <si>
    <t>10.1109/VISUAL.2004.68;10.1109/VISUAL.2005.1532792;10.1109/VISUAL.1999.809866;10.1109/TVCG.2006.165;10.1109/VISUAL.2003.1250362</t>
  </si>
  <si>
    <t>Multivariate Data, Query-Driven Visualization</t>
  </si>
  <si>
    <t>Visual Analysis of the Air Pollution Problem in Hong Kong</t>
  </si>
  <si>
    <t>10.1109/TVCG.2007.70523</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</si>
  <si>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</si>
  <si>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Huamin Qu;Wing-Yi Chan;Anbang Xu;Kai-Lun Chung;Alexis Kai-Hon Lau;Ping Guo</t>
  </si>
  <si>
    <t>Huamin Qu;Anbang Xu;Anbang Xu;Kai-Lun Chung;Kai-Lun Chung;Kai-Lun Chung;Kai-Lun Chung;Kai-Hon Lau;Kai-Hon Lau;Kai-Hon Lau;Kai-Hon Lau;Huamin Qu;Ping Guo;Ping Guo;Ping Guo;Ping Guo;Huamin Qu;Huamin Qu;Wing-Yi Chan;Wing-Yi Chan;Wing-Yi Chan;Wing-Yi Chan;Anbang Xu;Anbang Xu</t>
  </si>
  <si>
    <t>Hong Kong University of Science and Technology;Beijing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University;Beijing Normal University;Beijing Normal University;Hong Kong University of Science and Technology;Hong Kong University of Science and Technology;Hong Kong University of Science and Technology;Hong Kong University of Science and Technology;Hong Kong University of Science and Technology;Hong Kong University of Science and Technology;Beijing Normal University;Beijing Normal University</t>
  </si>
  <si>
    <t>10.1109/VISUAL.2000.885745;10.1109/VISUAL.1990.146402;10.1109/VISUAL.2000.885736;10.1109/INFVIS.2003.1249015;10.1109/TVCG.2006.165</t>
  </si>
  <si>
    <t>Weather data visualization, polar system, parallel coordinates, air pollution, visual analytics</t>
  </si>
  <si>
    <t>Visualization of Cosmological Particle-Based Datasets</t>
  </si>
  <si>
    <t>10.1109/TVCG.2007.70526</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</si>
  <si>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</si>
  <si>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Paul A. Navrátil;Jarrett Johnson;Volker Bromm</t>
  </si>
  <si>
    <t>Paul Navratil;Jarrett Johnson;Volker Bromm</t>
  </si>
  <si>
    <t>Texas Advanced Computing Center at the University of Texas at Austin;Department of Astronomy at the University of Texas at Austin;Department of Astronomy at the University of Texas at Austin</t>
  </si>
  <si>
    <t>10.1109/VISUAL.2004.52;10.1109/VISUAL.2004.29</t>
  </si>
  <si>
    <t>Interpolation, Isosurface, Astronomy, Cosmology</t>
  </si>
  <si>
    <t>Visualizing Large-Scale Uncertainty in Astrophysical Data</t>
  </si>
  <si>
    <t>10.1109/TVCG.2007.70530</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</si>
  <si>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</si>
  <si>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Hongwei Li;Chi-Wing Fu;Yinggang Li;Andrew J. Hanson</t>
  </si>
  <si>
    <t>Hongwei Li;Chi-Wing Fu;Yinggang Li;Andrew Hanson</t>
  </si>
  <si>
    <t>Hong Kong University of Science &amp; Technology;Hong Kong University of Science &amp; Technology;Indiana University, Bloomington;Indiana University, Bloomington</t>
  </si>
  <si>
    <t>10.1109/VISUAL.2000.885679;10.1109/VISUAL.2002.1183769;10.1109/VISUAL.2003.1250404;10.1109/VISUAL.2005.1532807;10.1109/TVCG.2006.155;10.1109/TVCG.2006.176;10.1109/VISUAL.2004.25;10.1109/VISUAL.2005.1532853;10.1109/VISUAL.1996.568116;10.1109/VISUAL.2002.1183824;10.1109/VISUAL.1996.568105;10.1109/INFVIS.2002.1173145;10.1109/VISUAL.2005.1532803;10.1109/VISUAL.2004.18</t>
  </si>
  <si>
    <t>Uncertainty visualization, large spatial scale, interstellar data, astronomy</t>
  </si>
  <si>
    <t>Visualizing Whole-Brain DTI Tractography with GPU-based Tuboids and LoD Management</t>
  </si>
  <si>
    <t>10.1109/TVCG.2007.70532</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</si>
  <si>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</si>
  <si>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Vid Petrovic;James H. Fallon;Falko Kuester</t>
  </si>
  <si>
    <t>Vid Petrovic;James Fallon;Falko Kuester</t>
  </si>
  <si>
    <t>Calit2, University of California, Irvine;University of California, Irvine;Calit2, University of California, San Diego</t>
  </si>
  <si>
    <t>10.1109/VISUAL.2002.1183799;10.1109/VISUAL.2005.1532859;10.1109/VISUAL.2004.30;10.1109/TVCG.2006.151;10.1109/VISUAL.2003.1250368;10.1109/TVCG.2006.197;10.1109/VISUAL.1996.567777</t>
  </si>
  <si>
    <t>Tuboids, stream tubes, interactive gpu-centric rendering, neuronal pathways</t>
  </si>
  <si>
    <t>A Flexible Multi-Volume Shader Framework for Arbitrarily Intersecting Multi-Resolution Datasets</t>
  </si>
  <si>
    <t>10.1109/TVCG.2007.70534</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</si>
  <si>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</si>
  <si>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John Plate;Thorsten Holtkämper;Bernd Fröhlich 0001</t>
  </si>
  <si>
    <t>John Plate;Thorsten Holtkaemper;Bernd Froehlich</t>
  </si>
  <si>
    <t>10.1109/VISUAL.2003.1250406;10.1109/VISUAL.2003.1250384;10.1109/VISUAL.2002.1183762</t>
  </si>
  <si>
    <t>Multi-volume visualization, constructive solid geometry, shading, display algorithms</t>
  </si>
  <si>
    <t>A Unified Paradigm For Scalable Multi-Projector Displays</t>
  </si>
  <si>
    <t>10.1109/TVCG.2007.70536</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</si>
  <si>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</si>
  <si>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Niranjan Damera-Venkata;Nelson L. Chang;Jeffrey M. DiCarlo</t>
  </si>
  <si>
    <t>Niranjan Damera-Venkata;Nelson Chang;Jeffrey Dicarlo</t>
  </si>
  <si>
    <t>Hewlett-Packard Laboratories in Palo Alto, CA.;Hewlett-Packard Laboratories in Palo Alto, CA.;Hewlett-Packard Laboratories in Palo Alto, CA.</t>
  </si>
  <si>
    <t>Multi-projector displays, tiled displays, large format displays, blending, stitching, automatic geometric alignment, photometric correction, super-resolution, superimposed projection</t>
  </si>
  <si>
    <t>An Effective Illustrative Visualization Framework Based on Photic Extremum Lines (PELs)</t>
  </si>
  <si>
    <t>10.1109/TVCG.2007.70538</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</si>
  <si>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</si>
  <si>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Xuexiang Xie;Ying He 0001;Feng Tian 0006;Seah Hock Soon;Xianfeng Gu;Hong Qin</t>
  </si>
  <si>
    <t>Xuexiang Xie;Ying He;Feng Tian;Hock-Soon Seah;Xianfeng Gu;Hong Qin</t>
  </si>
  <si>
    <t>School of Computer Engineering, Nanyang Technological University, Singapore;School of Computer Engineering, Nanyang Technological University, Singapore;School of Computer Engineering, Nanyang Technological University, Singapore;School of Computer Engineering, Nanyang Technological University, Singapore;Department of Computer Science, Stony Brook University, New York;Department of Computer Science, Stony Brook University, New York</t>
  </si>
  <si>
    <t>10.1109/VISUAL.2003.1250414;10.1109/VISUAL.2000.885694;10.1109/VISUAL.2002.1183777;10.1109/VISUAL.2005.1532856;10.1109/VISUAL.1995.480795</t>
  </si>
  <si>
    <t>Surface and volume illustration, illumination, photic extremum lines (PELs), silhouettes, suggestive contours, ridges and valleys, digital geometry processing</t>
  </si>
  <si>
    <t>Conjoint Analysis to Measure the Perceived Quality in Volume Rendering</t>
  </si>
  <si>
    <t>10.1109/TVCG.2007.70542</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</si>
  <si>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</si>
  <si>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Joachim Giesen;Klaus Mueller;Eva Schuberth;Lujin Wang;Peter Zolliker</t>
  </si>
  <si>
    <t>MPI Informatik;Stony Brook University;ETH Zurich;Stony Brook University;EMPA D¨ubendorf</t>
  </si>
  <si>
    <t>10.1109/TVCG.2006.137;10.1109/VISUAL.2005.1532834;10.1109/TVCG.2006.174;10.1109/VISUAL.2003.1250412;10.1109/INFVIS.2005.1532149;10.1109/TVCG.2006.113</t>
  </si>
  <si>
    <t>Conjoint Analysis, Parameterized Algorithms, Volume Visualization</t>
  </si>
  <si>
    <t>Construction of Simplified Boundary Surfaces from Serial-sectioned Metal Micrographs</t>
  </si>
  <si>
    <t>10.1109/TVCG.2007.70543</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</si>
  <si>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</si>
  <si>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Scott E. Dillard;John Bingert;Dan Thoma;Bernd Hamann</t>
  </si>
  <si>
    <t>Scott Dillard;John Bingert;Dan Thoma;Bernd Hamann</t>
  </si>
  <si>
    <t>Institute for Data Analysis and Visualization (IDAV), University of California, Davis;Materials Science and Technology Division, Los Alamos National Laboratory;Materials Design Institute, Los Alamos National Laboratory;Institute for Data Analysis and Visualization (IDAV), and the Department of Computer Science, University of California, Davis</t>
  </si>
  <si>
    <t>10.1109/VISUAL.2000.885706;10.1109/VISUAL.2005.1532823;10.1109/VISUAL.1997.663887</t>
  </si>
  <si>
    <t>Surface extraction, Polygonal meshes, Visualization in Physical Sciences, Life Sciences and Engineering</t>
  </si>
  <si>
    <t>Contextualized Videos: Combining Videos with Environment Models to Support Situational Understanding</t>
  </si>
  <si>
    <t>10.1109/TVCG.2007.70544</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</si>
  <si>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</si>
  <si>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Yi Wang;David M. Krum;Enylton Machado Coelho;Doug A. Bowman</t>
  </si>
  <si>
    <t>Yi Wang;David M. Krum;Enylton M. Coelho;Doug A. Bowman</t>
  </si>
  <si>
    <t>Center for HCI at Virginia Tech;Robert Bosch Research and Technology Center;Robert Bosch Research and Technology Center;Center for HCI at Virginia Tech</t>
  </si>
  <si>
    <t>10.1109/VISUAL.2003.1250396;10.1109/TVCG.2006.194;10.1109/VISUAL.2003.1250401;10.1109/VISUAL.2003.1250400;10.1109/VISUAL.2005.1532836;10.1109/VISUAL.2005.1532782</t>
  </si>
  <si>
    <t>situational awareness, videos, virtual environment models, design space, testbed design and evaluation</t>
  </si>
  <si>
    <t>Cores of Swirling Particle Motion in Unsteady Flows</t>
  </si>
  <si>
    <t>10.1109/TVCG.2007.70545</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</si>
  <si>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</si>
  <si>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Tino Weinkauf;Jan Sahner;Holger Theisel;Hans-Christian Hege</t>
  </si>
  <si>
    <t>Zuse Institute Berlin;Zuse Institute Berlin;Bielefeld University;Zuse Institute Berlin</t>
  </si>
  <si>
    <t>10.1109/VISUAL.1999.809896;10.1109/VISUAL.2005.1532851;10.1109/VISUAL.1998.745296</t>
  </si>
  <si>
    <t>unsteady flow visualization, feature extraction, particle motion</t>
  </si>
  <si>
    <t>CoViCAD: Comprehensive Visualization of Coronary Artery Disease</t>
  </si>
  <si>
    <t>10.1109/TVCG.2007.70550</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</si>
  <si>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</si>
  <si>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Maurice Termeer;Javier Oliván Bescós;Marcel Breeuwer;Anna Vilanova;Frans A. Gerritsen;M. Eduard Gröller</t>
  </si>
  <si>
    <t>Maurice Termeer;Javier Oliván Bescós;Marcel Breeuwer;Anna Vilanova;Frans Gerritsen;Eduard Gröller</t>
  </si>
  <si>
    <t>Institute of Computer Graphics and Algorithms, Vienna University of Technology;Philips Medical Systems;Philips Medical Systems;Eindhoven University of Technology;Philips Medical Systems;Institute of Computer Graphics and Algorithms, Vienna University of Technology</t>
  </si>
  <si>
    <t>10.1109/VISUAL.2003.1250386;10.1109/VISUAL.2002.1183754;10.1109/TVCG.2006.152;10.1109/VISUAL.2004.104</t>
  </si>
  <si>
    <t>Cardiac MRI, late enhancement, viability, bull's eye plot</t>
  </si>
  <si>
    <t>Efficient Computation and Visualization of Coherent Structures in Fluid Flow Applications</t>
  </si>
  <si>
    <t>10.1109/TVCG.2007.70551</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</si>
  <si>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</si>
  <si>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Christoph Garth;Florian Gerhardt;Xavier Tricoche;Hans Hagen</t>
  </si>
  <si>
    <t>Christoph Garth;Florian Gerhardt;Xavier Tricoche;Hagen Hans</t>
  </si>
  <si>
    <t>University of Kaiserslautern, Germany, and the Institute for Data Analysis and Visualization at University of California, Davis,;University of Kaiserslautern, Germany;SCI Institute, University of Utah, and Purdue University;University of Kaiserslautern, Germany</t>
  </si>
  <si>
    <t>flow visualization, feature detection, 3D vector field visualization</t>
  </si>
  <si>
    <t>Efficient Computation of Morse-Smale Complexes for Three-dimensional Scalar Functions</t>
  </si>
  <si>
    <t>10.1109/TVCG.2007.70552</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</si>
  <si>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</si>
  <si>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Attila Gyulassy;Vijay Natarajan;Valerio Pascucci;Bernd Hamann</t>
  </si>
  <si>
    <t>Institute for Data Analysis and Visualization, Dept. of Computer Science, University of California, Davis;Dept. of Computer Science and Automation, Supercomputer Education and Research Centre, Indian Institute of Science, Bangalore;Center for Applied Scientific Computing, Lawrence Livermore National Laboratory;Institute for Data Analysis and Visualization, Dept. of Computer Science, University of California, Davis</t>
  </si>
  <si>
    <t>10.1109/VISUAL.2004.96;10.1109/VISUAL.2000.885680;10.1109/VISUAL.1998.745329;10.1109/VISUAL.1998.745312;10.1109/VISUAL.2005.1532839;10.1109/VISUAL.2000.885703</t>
  </si>
  <si>
    <t>Efficient Surface Reconstruction using Generalized Coulomb Potentials</t>
  </si>
  <si>
    <t>10.1109/TVCG.2007.70553</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</si>
  <si>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</si>
  <si>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Andrei C. Jalba;Jos B. T. M. Roerdink</t>
  </si>
  <si>
    <t>Andrei C. Jalba;Jos B.T.M. Roerdink</t>
  </si>
  <si>
    <t>Institute for Mathematics and Computing Science, University of Groningen, The Netherlands;Institute for Mathematics and Computing Science, University of Groningen, The Netherlands</t>
  </si>
  <si>
    <t>Surface reconstruction, Implicit surfaces, Octrees, Generalized Coulomb potentials, Polygonization</t>
  </si>
  <si>
    <t>Efficient Visualization of Lagrangian Coherent Structures by filtered AMR Ridge Extraction</t>
  </si>
  <si>
    <t>10.1109/TVCG.2007.70554</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</si>
  <si>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</si>
  <si>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Filip Sadlo;Ronald Peikert</t>
  </si>
  <si>
    <t>ETH Zurich, Switzerland;ETH Zurich, Switzerland</t>
  </si>
  <si>
    <t>10.1109/VISUAL.1999.809896;10.1109/VISUAL.2004.99</t>
  </si>
  <si>
    <t>Ridge extraction, flow visualization, coherent structures, vector field topology, unsteady vector fields</t>
  </si>
  <si>
    <t>Enhancing Depth-Perception with Flexible Volumetric Halos</t>
  </si>
  <si>
    <t>10.1109/TVCG.2007.70555</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</si>
  <si>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</si>
  <si>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Stefan Bruckner;Eduard Gröller</t>
  </si>
  <si>
    <t>Institute of Computer Graphics and Algorithms, Vienna University of Technology, Austria;Institute of Computer Graphics and Algorithms, Vienna University of Technology, Austria</t>
  </si>
  <si>
    <t>10.1109/VISUAL.2003.1250414;10.1109/TVCG.2006.124;10.1109/VISUAL.2000.885694;10.1109/VISUAL.1997.663912;10.1109/VISUAL.2003.1250394;10.1109/TVCG.2006.172;10.1109/VISUAL.2004.64;10.1109/VISUAL.1991.175805;10.1109/TVCG.2006.139</t>
  </si>
  <si>
    <t>Volume rendering, illustrative visualization, halos</t>
  </si>
  <si>
    <t>Generalized Streak Lines: Analysis and Visualization of Boundary Induced Vortices</t>
  </si>
  <si>
    <t>10.1109/TVCG.2007.70557</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</si>
  <si>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</si>
  <si>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Alexander Wiebel;Xavier Tricoche;Dominic Schneider;Heike Leitte;Gerik Scheuermann</t>
  </si>
  <si>
    <t>Alexander Wiebel;Xavier Tricoche;Dominic Schneider;Heike Jaenicke;Gerik Scheuermann</t>
  </si>
  <si>
    <t>10.1109/VISUAL.2004.107;10.1109/TVCG.2006.173;10.1109/TVCG.2006.199;10.1109/VISUAL.1990.146359;10.1109/VISUAL.2005.1532851;10.1109/VISUAL.1999.809896</t>
  </si>
  <si>
    <t>Skin friction, singularity tracking, vortex, generalized streak line, flow visualization, time-dependent vector fields</t>
  </si>
  <si>
    <t>Grid With a View: Optimal Texturing for Perception of Layered Surface Shape</t>
  </si>
  <si>
    <t>10.1109/TVCG.2007.70559</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</si>
  <si>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</si>
  <si>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Alethea Bair;Donald H. House</t>
  </si>
  <si>
    <t>Alethea Bair;Donald House</t>
  </si>
  <si>
    <t>Texas A&amp;M University;Texas A&amp;M University</t>
  </si>
  <si>
    <t>10.1109/VISUAL.2005.1532782;10.1109/TVCG.2006.183;10.1109/VISUAL.2001.964505;10.1109/INFVIS.2003.1249022;10.1109/TVCG.2006.180</t>
  </si>
  <si>
    <t>Perception, optimal visualization, texturing, layered surfaces</t>
  </si>
  <si>
    <t>High-Quality Multimodal Volume Rendering for Preoperative Planning of Neurosurgical Interventions</t>
  </si>
  <si>
    <t>10.1109/TVCG.2007.70560</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</si>
  <si>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</si>
  <si>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Johanna Beyer;Markus Hadwiger;Stefan Wolfsberger;Katja Bühler</t>
  </si>
  <si>
    <t>10.1109/VISUAL.2003.1250384;10.1109/VISUAL.1998.745311;10.1109/VISUAL.2003.1250386;10.1109/VISUAL.2004.98</t>
  </si>
  <si>
    <t>Multimodal Volume Rendering, Hardware Assisted Raycasting, Surgery Planning</t>
  </si>
  <si>
    <t>Illustrative Deformation for Data Exploration</t>
  </si>
  <si>
    <t>10.1109/TVCG.2007.70565</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</si>
  <si>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</si>
  <si>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Carlos D. Correa;Deborah Silver;Mi Chen</t>
  </si>
  <si>
    <t>Carlos Correa;Debora Silver;Mi Chen</t>
  </si>
  <si>
    <t>10.1109/VISUAL.2000.885696;10.1109/TVCG.2006.144;10.1109/VISUAL.2003.1250400;10.1109/TVCG.2006.152;10.1109/VISUAL.2003.1250401;10.1109/INFVIS.2004.59;10.1109/VISUAL.2002.1183777;10.1109/TVCG.2006.140;10.1109/VISUAL.2001.964519;10.1109/VISUAL.2004.48;10.1109/VISUAL.2000.885694;10.1109/VISUAL.2005.1532856;10.1109/VISUAL.2005.1532818</t>
  </si>
  <si>
    <t>Volume deformation, focus+context visualization, interaction techniques</t>
  </si>
  <si>
    <t>Interactive Isosurface Ray Tracing of Time-Varying Tetrahedral Volumes</t>
  </si>
  <si>
    <t>10.1109/TVCG.2007.70566</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</si>
  <si>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</si>
  <si>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Ingo Wald;Heiko Friedrich;Aaron Knoll;Charles D. Hansen</t>
  </si>
  <si>
    <t>SCI Institute, University of Utah, as well as with Intel Corp, Santa Clara, CA;Computer Graphics Group at Saarland University, Saarbrücken, Germany;SCI Institute, University of Utah;SCI Institute, University of Utah</t>
  </si>
  <si>
    <t>10.1109/VISUAL.2005.1532796;10.1109/TVCG.2006.171;10.1109/VISUAL.2003.1250390;10.1109/TVCG.2006.110;10.1109/VISUAL.2003.1250384;10.1109/VISUAL.1998.745713;10.1109/VISUAL.1998.745300</t>
  </si>
  <si>
    <t>Ray Tracing, Isosurfaces, Unstructured meshes, Tetrahedra, Scalar Fields, Time-varying data</t>
  </si>
  <si>
    <t>Interactive sound rendering in complex and dynamic scenes using frustum tracing</t>
  </si>
  <si>
    <t>10.1109/TVCG.2007.70567</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</si>
  <si>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</si>
  <si>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Christian Lauterbach;Anish Chandak;Dinesh Manocha</t>
  </si>
  <si>
    <t>Department of Computer Science, Campus Box 3175, Sitterson Hall, University of North Carolina-Chapel Hill, Chapel Hill, NC 27599;Department of Computer Science, Campus Box 3175, Sitterson Hall, University of North Carolina-Chapel Hill, Chapel Hill, NC 27599;Department of Computer Science, Campus Box 3175, Sitterson Hall, University of North Carolina-Chapel Hill, Chapel Hill, NC 27599</t>
  </si>
  <si>
    <t>10.1109/TVCG.2006.125;10.1109/VISUAL.2005.1532790</t>
  </si>
  <si>
    <t>Acoustic propagation,Interactive systems</t>
  </si>
  <si>
    <t>Interactive Visual Analysis of Perfusion Data</t>
  </si>
  <si>
    <t>10.1109/TVCG.2007.70569</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</si>
  <si>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</si>
  <si>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Steffen Oeltze-Jafra;Helmut Doleisch;Helwig Hauser;Philipp Muigg;Bernhard Preim</t>
  </si>
  <si>
    <t>Steffen Oeltze;Helmut Doleisch;Helwig Hauser;Philipp Muigg;Bernhard Preim</t>
  </si>
  <si>
    <t>Department of Simulation and Graphics, University of Magdeburg, Magdeburg, Germany;VRVis Research Center, Vienna, Austria;Department of Informatics, University of Bergen, Bergen, Norway;VRVis Research Center, Vienna, Austria;Department of Simulation and Graphics, University of Magdeburg, Magdeburg, Germany</t>
  </si>
  <si>
    <t>Multi-field Visualization, Visual Data Mining, Time-varying Volume Data, Integrating InfoVis/SciVis</t>
  </si>
  <si>
    <t>Interactive Visualization of Volumetric White Matter Connectivity in DT-MRI Using a Parallel-Hardware Hamilton-Jacobi Solver</t>
  </si>
  <si>
    <t>10.1109/TVCG.2007.70571</t>
  </si>
  <si>
    <t>In this paper we present a method to compute and visualize volumetric white matter connectivity in diffusion tensor magnetic resonance imaging (DT-MRI) using a Hamilton-Jacobi (H-J) solver on the GPU (graphics processing unit). Paths through the volume are assigned costs that are lower if they are consistent with the preferred diffusion directions. The proposed method finds a set of voxels in the DTI volume that contain paths between two regions whose costs are within a threshold of the optimal path. The result is a volumetric optimal path analysis, which is driven by clinical and scientific questions relating to the connectivity between various known anatomical regions of the brain. To solve the minimal path problem quickly, we introduce a novel numerical algorithm for solving H-J equations, which we call the fast iterative method (FIM). This algorithm is well-adapted to parallel architectures, and we present a GPU-based implementation, which runs roughly 50-100 times faster than traditional CPU-based solvers for anisotropic H-J equations. The proposed system allows users to freely change the endpoints of interesting pathways and to visualize the optimal volumetric path between them at an interactive rate. We demonstrate the proposed method on some synthetic and real DT-MRI datasets and compare the performance with existing methods.</t>
  </si>
  <si>
    <t>Won-Ki Jeong;P. Thomas Fletcher;Ran Tao;Ross T. Whitaker</t>
  </si>
  <si>
    <t>Won-Ki Jeong;P. Thomas Fletcher;Ran Tao;Ross Whitaker</t>
  </si>
  <si>
    <t>Scientiﬁc Computing and Imaging Institute, School of Computing, University of Utah, Salt Lake City, UT;Scientiﬁc Computing and Imaging Institute, School of Computing, University of Utah, Salt Lake City, UT;Scientiﬁc Computing and Imaging Institute, School of Computing, University of Utah, Salt Lake City, UT;Scientiﬁc Computing and Imaging Institute, School of Computing, University of Utah, Salt Lake City, UT</t>
  </si>
  <si>
    <t>10.1109/VISUAL.2003.1250358;10.1109/VISUAL.2003.1250357</t>
  </si>
  <si>
    <t>Diffusion tensor visualization, graphics hardware, interactivity</t>
  </si>
  <si>
    <t>IStar: A Raster Representation for Scalable Image and Volume Data</t>
  </si>
  <si>
    <t>10.1109/TVCG.2007.70572</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</si>
  <si>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</si>
  <si>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Joe Michael Kniss;Warren A. Hunt;Kristin Potter;Pradeep Sen</t>
  </si>
  <si>
    <t>Joe Kniss;Warren Hunt;Kristin Potter;Pradeep Sen</t>
  </si>
  <si>
    <t>Advanced Graphics Lab at the University of New Mexico;Advanced Graphics Lab at the University of New Mexico;School of Computing at the University of Utah;Advanced Graphics Lab at the University of New Mexico</t>
  </si>
  <si>
    <t>10.1109/VISUAL.2005.1532839;10.1109/VISUAL.2005.1532807</t>
  </si>
  <si>
    <t>Topology, Compression, Image Representation</t>
  </si>
  <si>
    <t>Lattice-Based Volumetric Global Illumination</t>
  </si>
  <si>
    <t>10.1109/TVCG.2007.70573</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</si>
  <si>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</si>
  <si>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Feng Qiu;Fang Xu;Zhe Fan;Neophytos Neophytou;Arie E. Kaufman;Klaus Mueller</t>
  </si>
  <si>
    <t>Feng Qiu;Fang Xu;Zhe Fan;Neophytou Neophytos;Arie Kaufman;Klaus Mueller</t>
  </si>
  <si>
    <t>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11794-4400;Department of Computer Science, Stony Brook University, Stony Brook, NY 11794-4400</t>
  </si>
  <si>
    <t>10.1109/VISUAL.2004.65;10.1109/VISUAL.2001.964498;10.1109/VISUAL.2003.1250384;10.1109/VISUAL.2005.1532811</t>
  </si>
  <si>
    <t>Volume visualization, volume rendering, participating media, lattice, FCC lattice, sampling, multiple scattering, GPU</t>
  </si>
  <si>
    <t>Listener-based Analysis of Surface Importance for Acoustic Metrics</t>
  </si>
  <si>
    <t>10.1109/TVCG.2007.70575</t>
  </si>
  <si>
    <t>Comput. Sci. &amp; Eng., Ohio State Univ., Columbus, OH|c|;;</t>
  </si>
  <si>
    <t>http://dx.doi.org/10.1109/VAST.2006.261452</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</si>
  <si>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(D&amp;lt;sub&amp;gt;50&amp;lt;/sub&amp;gt;) and clarity (C&amp;lt;sub&amp;gt;50&amp;lt;/sub&amp;gt;)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(C&amp;lt;sub&amp;gt;50&amp;lt;/sub&amp;gt;) values at listener positions throughout the room.</t>
  </si>
  <si>
    <t>Frank Michel;Eduard Deines;Martin Hering-Bertram;Christoph Garth;Hans Hagen</t>
  </si>
  <si>
    <t>IRTG Kaiserslautern;IRTG Kaiserslautern;Fraunhofer ITWM Kaiserslautern;University of Kaiserslautern and the Institute for Data Analysis and Visualization at the University of California in Davis;University of Kaiserslautern</t>
  </si>
  <si>
    <t>Sound analytics, Applications of Visualization, Room Acoustics, Phonon Tracing, Acoustic Metric</t>
  </si>
  <si>
    <t>LiveSync: Deformed Viewing Spheres for Knowledge-Based Navigation</t>
  </si>
  <si>
    <t>10.1109/TVCG.2007.70576</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</si>
  <si>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</si>
  <si>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Peter Kohlmann;Stefan Bruckner;Armin Kanitsar;M. Eduard Gröller</t>
  </si>
  <si>
    <t>Peter Kohlmann;Stefan Bruckner;Armin Kanitsar;Eduard Gröller</t>
  </si>
  <si>
    <t>10.1109/VISUAL.2005.1532834;10.1109/TVCG.2006.152;10.1109/VISUAL.2005.1532833</t>
  </si>
  <si>
    <t>Navigation, interaction, linked views, medical visualization, viewpoint selection</t>
  </si>
  <si>
    <t>Roberto Ther�_n</t>
  </si>
  <si>
    <t>Departamento de Informalica y Automatica, Univ. de Salamanca|c|</t>
  </si>
  <si>
    <t>Molecular Surface Abstraction</t>
  </si>
  <si>
    <t>10.1109/TVCG.2007.70578</t>
  </si>
  <si>
    <t>http://dx.doi.org/10.1109/TVCG.2007.70515</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</si>
  <si>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</si>
  <si>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Gregory Cipriano;Michael Gleicher</t>
  </si>
  <si>
    <t>Department of Computer Sciences, University of Wisconsin, Madison;Department of Computer Sciences, University of Wisconsin, Madison</t>
  </si>
  <si>
    <t>10.1109/VISUAL.1993.398882;10.1109/VISUAL.2002.1183769;10.1109/VISUAL.2005.1532822;10.1109/VISUAL.2002.1183780;10.1109/VISUAL.2004.62;10.1109/TVCG.2006.115</t>
  </si>
  <si>
    <t>molecular surfaces, molecular visualization, surfaces, textures, cartographic labeling</t>
  </si>
  <si>
    <t>Moment Invariants for the Analysis of 2D Flow fields</t>
  </si>
  <si>
    <t>10.1109/TVCG.2007.70579</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</si>
  <si>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</si>
  <si>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Michael Schlemmer;Manuel Heringer;Florian Morr;Ingrid Hotz;Martin Hering-Bertram;Christoph Garth;Wolfgang Kollmann;Bernd Hamann;Hans Hagen</t>
  </si>
  <si>
    <t>University of Kaiserslautern, Germany;University of Kaiserslautern, Germany;University of Kaiserslautern, Germany;Konrad-Zuse-Zentrum f ¨ur Informationstechnik Berlin (ZIB), FU Berlin, Germany;Fraunhofer Institut f ¨ur Techno- und Wirtschaftsmathematik (ITWM) in Kaiserslautern, Germany;University of Kaiserslautern, Germany, and the Institute for Data Analysis and Visualization at the University of California, Davis, CA;Department of Mechanical and Aeronautical Engineering, University of California, Davis, CA;Institute for Data Analysis and Visualization and Department of Computer Science, University of California, Davis, CA;University of Kaiserslautern, Germany</t>
  </si>
  <si>
    <t>Georgia Inst. of Technol., Atlanta|c|;;;</t>
  </si>
  <si>
    <t>10.1109/VISUAL.2004.68;10.1109/VISUAL.1999.809873;10.1109/VISUAL.2005.1532858;10.1109/VISUAL.2003.1250372</t>
  </si>
  <si>
    <t>Flow Visualization, Feature Detection, Pattern Extraction, Pattern Recognition, Image Processing</t>
  </si>
  <si>
    <t>Navigating in a Shape Space of Registered Models</t>
  </si>
  <si>
    <t>10.1109/TVCG.2007.70581</t>
  </si>
  <si>
    <t>http://dx.doi.org/10.1109/TVCG.2007.70516</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</si>
  <si>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</si>
  <si>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Randall C. Smith;Richard R. Pawlicki;István Kókai;Jörg Finger;Thomas Vetter</t>
  </si>
  <si>
    <t>Randall Smith;Richard Pawlicki;István Kókai;Jörg Finger;Thomas Vetter</t>
  </si>
  <si>
    <t>GM R&amp;D;GM R&amp;D;University of Basel;University of Basel;University of Basel</t>
  </si>
  <si>
    <t>Morphable model, shape space, barycentric coordinates, design space</t>
  </si>
  <si>
    <t>Querying and Creating Visualizations by Analogy</t>
  </si>
  <si>
    <t>10.1109/TVCG.2007.70584</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</si>
  <si>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</si>
  <si>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Carlos Eduardo Scheidegger;Huy T. Vo;David Koop;Juliana Freire;Cláudio T. Silva</t>
  </si>
  <si>
    <t>Carlos Scheidegger;Huy Vo;David Koop;Juliana Freire;Claudio Silva</t>
  </si>
  <si>
    <t>Scientific Computing and Imaging (SCI) Institute at the University of Utah;Scientific Computing and Imaging (SCI) Institute at the University of Utah;Scientific Computing and Imaging (SCI) Institute at the University of Utah;School of Computing at the University of Utah;Scientific Computing and Imaging (SCI) Institute at the University of Utah</t>
  </si>
  <si>
    <t>10.1109/VISUAL.2005.1532781;10.1109/INFVIS.2004.2;10.1109/VISUAL.2004.112;10.1109/VISUAL.2005.1532788;10.1109/VISUAL.2005.1532795</t>
  </si>
  <si>
    <t>visualization systems, query-by-example, analogy</t>
  </si>
  <si>
    <t>Univ. of California, Davis|c|;</t>
  </si>
  <si>
    <t>http://dx.doi.org/10.1109/TVCG.2007.70517</t>
  </si>
  <si>
    <t>Random-Accessible Compressed Triangle Meshes</t>
  </si>
  <si>
    <t>10.1109/TVCG.2007.70585</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</si>
  <si>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</si>
  <si>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Korea Advanced Institute of Science and Technology (KAIST);Lawrence Livermore National Laboratory</t>
  </si>
  <si>
    <t>10.1109/VISUAL.2002.1183796;10.1109/TVCG.2006.143;10.1109/VISUAL.2005.1532800;10.1109/TVCG.2006.162;10.1109/VISUAL.2001.964532</t>
  </si>
  <si>
    <t>Mesh compression, random access, cache-coherent layouts, mesh data structures, external memory algorithms</t>
  </si>
  <si>
    <t>Registration Techniques for Using Imperfect and Par tially Calibrated Devices in Planar Multi-Projector Displays</t>
  </si>
  <si>
    <t>10.1109/TVCG.2007.70586</t>
  </si>
  <si>
    <t>Christian Michelsen Res., Bergen|c|;;;</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</si>
  <si>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</si>
  <si>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Ezekiel S. Bhasker;Ray Juang;Aditi Majumder</t>
  </si>
  <si>
    <t>Ezekiel Bhasker;Ray Juang;Aditi Majumder</t>
  </si>
  <si>
    <t>University of California, Irvine;University of California, Irvine;University of California, Irvine</t>
  </si>
  <si>
    <t>10.1109/VISUAL.2001.964508;10.1109/TVCG.2006.121;10.1109/VISUAL.2000.885685;10.1109/VISUAL.2002.1183793;10.1109/VISUAL.2000.885684;10.1109/VISUAL.1999.809883</t>
  </si>
  <si>
    <t>http://dx.doi.org/10.1109/TVCG.2007.70518</t>
  </si>
  <si>
    <t>Geometric calibration, photometric calibration, tiled displays</t>
  </si>
  <si>
    <t xml:space="preserve">Tile-based Level of Detail for the Parallel Age </t>
  </si>
  <si>
    <t>10.1109/TVCG.2007.70587</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</si>
  <si>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</si>
  <si>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Krzysztof Niski;Jonathan D. Cohen</t>
  </si>
  <si>
    <t>NVIDIA Corporation;Lawrence Livermore National Laboratory</t>
  </si>
  <si>
    <t>Scalable Hybrid Unstructured and Structured Grid Raycasting</t>
  </si>
  <si>
    <t>10.1109/TVCG.2007.70588</t>
  </si>
  <si>
    <t>Claes Lundstr̦m;Patric Ljung;Anders Persson;Anders Ynnerman</t>
  </si>
  <si>
    <t>Linkoping Univ., Linkoping|c|;;;</t>
  </si>
  <si>
    <t>http://dx.doi.org/10.1109/TVCG.2007.70519</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</si>
  <si>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</si>
  <si>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Philipp Muigg;Markus Hadwiger;Helmut Doleisch;Helwig Hauser</t>
  </si>
  <si>
    <t>VRVis Research Center, Austria;VRVis Research Center, Austria;VRVis Research Center, Austria;University of Bergen, Norway</t>
  </si>
  <si>
    <t>10.1109/TVCG.2006.171;10.1109/VISUAL.2003.1250390;10.1109/TVCG.2006.124;10.1109/VISUAL.2001.964514;10.1109/TVCG.2006.152;10.1109/TVCG.2006.110;10.1109/TVCG.2006.154;10.1109/VISUAL.2000.885683;10.1109/VISUAL.2003.1250384;10.1109/VISUAL.2001.964512;10.1109/VISUAL.1999.809908</t>
  </si>
  <si>
    <t>Volume Rendering of Unstructured Grids, Focus+Context Techniques, Hardware-Assisted Volume Rendering</t>
  </si>
  <si>
    <t>Segmentation of Three-dimensional Retinal Image Data</t>
  </si>
  <si>
    <t>10.1109/TVCG.2007.70590</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</si>
  <si>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</si>
  <si>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Alfred R. Fuller;Robert Zawadzki;Stacey Choi;David F. Wiley;John S. Werner;Bernd Hamann</t>
  </si>
  <si>
    <t>Alfred Fuller;Robert Zawadzki;Stacey Choi;David Wiley;John Werner;Bernd Hamann</t>
  </si>
  <si>
    <t>10.1109/VISUAL.2001.964519;10.1109/VISUAL.2003.1250413</t>
  </si>
  <si>
    <t>support vector machine, segmentation, image analysis, retinal, optical coherence tomography, volume visualization, image processing</t>
  </si>
  <si>
    <t>Univ. of California, Davis|c|;;;</t>
  </si>
  <si>
    <t>Semantic Layers for Illustrative Volume Rendering</t>
  </si>
  <si>
    <t>10.1109/TVCG.2007.70591</t>
  </si>
  <si>
    <t>http://dx.doi.org/10.1109/TVCG.2007.70521</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</si>
  <si>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</si>
  <si>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Peter Rautek;Stefan Bruckner;M. Eduard Gröller</t>
  </si>
  <si>
    <t>Peter Rautek;Stefan Bruckner;Eduard Groller</t>
  </si>
  <si>
    <t>10.1109/VISUAL.2004.95;10.1109/VISUAL.2005.1532792;10.1109/VISUAL.2005.1532807;10.1109/VISUAL.2003.1250414;10.1109/VISUAL.2004.64;10.1109/VISUAL.2005.1532856;10.1109/TVCG.2006.164;10.1109/TVCG.2006.148</t>
  </si>
  <si>
    <t>Shadow-Driven 4D Haptic Visualization</t>
  </si>
  <si>
    <t>10.1109/TVCG.2007.70593</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</si>
  <si>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</si>
  <si>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Univ. of Toronto, Toronto|c|;</t>
  </si>
  <si>
    <t>Hui Zhang 0006;Andrew J. Hanson</t>
  </si>
  <si>
    <t>Hui Zhang;Andrew Hanson</t>
  </si>
  <si>
    <t>Computer Science Department, Indiana University, Bloomington.;Computer Science Department, Indiana University, Bloomington</t>
  </si>
  <si>
    <t>10.1109/VISUAL.1996.568120;10.1109/VISUAL.2005.1532804</t>
  </si>
  <si>
    <t>knot theory, haptics, visualization</t>
  </si>
  <si>
    <t>http://dx.doi.org/10.1109/TVCG.2007.70522</t>
  </si>
  <si>
    <t>Similarity-Guided Streamline Placement with Error Evaluation</t>
  </si>
  <si>
    <t>10.1109/TVCG.2007.70595</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</si>
  <si>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</si>
  <si>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Yuan Chen;Jonathan D. Cohen;Julian Krolik</t>
  </si>
  <si>
    <t>Yuan Chen;Jonathan Cohen;Julian Krolik</t>
  </si>
  <si>
    <t>Johns Hopkins University;Lawrence Livermore National Laboratory;Johns Hopkins University</t>
  </si>
  <si>
    <t>10.1109/VISUAL.2005.1532831;10.1109/VISUAL.2005.1532832;10.1109/VISUAL.2004.87;10.1109/VISUAL.2001.964530;10.1109/TVCG.2006.116;10.1109/VISUAL.2000.885690</t>
  </si>
  <si>
    <t>Adaptive streamlines, vector field reconstruction, shape matching</t>
  </si>
  <si>
    <t>Stochastic DT-MRI Connectivity Mapping on the GPU</t>
  </si>
  <si>
    <t>10.1109/TVCG.2007.70597</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</si>
  <si>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</si>
  <si>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Tim McGraw;Mariappan S. Nadar</t>
  </si>
  <si>
    <t>Tim McGraw;Mariappan Nadar</t>
  </si>
  <si>
    <t>West Virginia University;Siemens Corporate Research</t>
  </si>
  <si>
    <t>10.1109/VISUAL.2005.1532780;10.1109/TVCG.2006.134;10.1109/VISUAL.2003.1250384;10.1109/VISUAL.1998.745294;10.1109/VISUAL.1999.809886;10.1109/VISUAL.2005.1532779;10.1109/VISUAL.2005.1532777;10.1109/VISUAL.1999.809904;10.1109/TVCG.2006.151</t>
  </si>
  <si>
    <t>Univ. of Konstanz, Konstanz|c|;;;;</t>
  </si>
  <si>
    <t>diffusion tensor, magnetic resonance imaging, stochastic tractography</t>
  </si>
  <si>
    <t>http://dx.doi.org/10.1109/TVCG.2007.70523</t>
  </si>
  <si>
    <t>Surface Extraction from Multi-Material Components for Metrology using Dual Energy CT</t>
  </si>
  <si>
    <t>10.1109/TVCG.2007.70598</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</si>
  <si>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</si>
  <si>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Christoph Heinzl;Johann Kastner;M. Eduard Gröller</t>
  </si>
  <si>
    <t>Christoph Heinzl;Johann Kastner;Eduard Gröller</t>
  </si>
  <si>
    <t>10.1109/VISUAL.2003.1250418;10.1109/VISUAL.2001.964519</t>
  </si>
  <si>
    <t>DECT image fusion, local surface extraction, Dual Energy CT, metrology, dimensional measurement, variance comparison</t>
  </si>
  <si>
    <t>Texture-based feature tracking for effective time-varying data visualization</t>
  </si>
  <si>
    <t>10.1109/TVCG.2007.70599</t>
  </si>
  <si>
    <t>Hong Kong Univ. of Sci. &amp; Technol., Hong Kong|c|;;;;;</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</si>
  <si>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</si>
  <si>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Jesus J. Caban;Alark Joshi;Penny Rheingans</t>
  </si>
  <si>
    <t>Jesus Caban;Alark Joshi;Penny Rheingans</t>
  </si>
  <si>
    <t>University of Maryland, Baltimore County;University of Maryland, Baltimore County;University of Maryland, Baltimore County</t>
  </si>
  <si>
    <t>10.1109/VISUAL.2003.1250374;10.1109/VISUAL.2000.885694;10.1109/VISUAL.1998.745288;10.1109/VISUAL.1996.567807</t>
  </si>
  <si>
    <t>Feature tracking, texture-based analysis, flow visualization, time-varying data, visualization</t>
  </si>
  <si>
    <t>http://dx.doi.org/10.1109/TVCG.2007.70526</t>
  </si>
  <si>
    <t>Time Dependent Processing in a Parallel Pipeline Architecture</t>
  </si>
  <si>
    <t>10.1109/TVCG.2007.70600</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</si>
  <si>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</si>
  <si>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John Biddiscombe;Berk Geveci;Ken Martin;Kenneth Moreland;David C. Thompson 0001</t>
  </si>
  <si>
    <t>John Biddiscombe;Berk Geveci;Ken Martin;Kenneth Moreland;David Thompson</t>
  </si>
  <si>
    <t>Swiss National Supercomputing Centre;Kitware, Inc.;Kitware, Inc.;Sandia National Laboratories;Sandia National Laboratories</t>
  </si>
  <si>
    <t>10.1109/VISUAL.2005.1532793;10.1109/VISUAL.1992.235219;10.1109/VISUAL.2005.1532795;10.1109/VISUAL.1991.175794;10.1109/VISUAL.2004.55;10.1109/INFVIS.2000.885092;10.1109/VISUAL.1995.480821</t>
  </si>
  <si>
    <t>data-parallel visualization pipeline, time-varying data</t>
  </si>
  <si>
    <t>Paul A. Navr��til;Jarrett Johnson;Volker Bromm</t>
  </si>
  <si>
    <t>Topological Landscapes: A Terrain Metaphor for Scientific Data</t>
  </si>
  <si>
    <t>Univ. of Texas, Austin|c|;;</t>
  </si>
  <si>
    <t>10.1109/TVCG.2007.70601</t>
  </si>
  <si>
    <t>http://dx.doi.org/10.1109/TVCG.2007.70528</t>
  </si>
  <si>
    <t>Univ. of Manitoba, Winnipeg|c|;;</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</si>
  <si>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</si>
  <si>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Gunther H. Weber;Peer-Timo Bremer;Valerio Pascucci</t>
  </si>
  <si>
    <t>Gunther Weber;Peer-Timo Bremer;Valerio Pascucci</t>
  </si>
  <si>
    <t>Computational Research Division, Lawrence Berkeley National Laboratory, 1 Cyclotron Road, Berkeley, CA-94720;Center for Applied Scientific Computing, Lawrence Livermore National Laboratory, Box 808, L-551, Livermore, CA 94551;Center for Applied Scientific Computing, Lawrence Livermore National Laboratory, Box 808, L-551, Livermore, CA 94551</t>
  </si>
  <si>
    <t>10.1109/VISUAL.2004.96;10.1109/VISUAL.1998.745303;10.1109/VISUAL.1992.235215;10.1109/VISUAL.1999.809932;10.1109/INFVIS.2004.57;10.1109/VISUAL.1997.663860;10.1109/VISUAL.1997.663875;10.1109/INFVIS.2002.1173159;10.1109/VISUAL.2002.1183772;10.1109/VISUAL.2005.1532839;10.1109/VISUAL.2003.1250376</t>
  </si>
  <si>
    <t>Feature Detection, User Interfaces, Visual Analytics, Contour Tree, Terrain, Topology, SOAR</t>
  </si>
  <si>
    <t>Topological Visualization of Brain Diffusion MRI Data</t>
  </si>
  <si>
    <t>10.1109/TVCG.2007.70602</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</si>
  <si>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</si>
  <si>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Thomas Schultz 0001;Holger Theisel;Hans-Peter Seidel</t>
  </si>
  <si>
    <t>Thomas Schultz;Holger Theisel;Hans-Peter Seidel</t>
  </si>
  <si>
    <t>10.1109/VISUAL.1999.809894;10.1109/VISUAL.2005.1532777;10.1109/VISUAL.2005.1532841;10.1109/VISUAL.1994.346326;10.1109/VISUAL.2005.1532778;10.1109/VISUAL.1994.346326</t>
  </si>
  <si>
    <t>Diffusion tensor, probabilistic fiber tracking, tensor topology, uncertainty visualization</t>
  </si>
  <si>
    <t>Topologically Clean Distance fields</t>
  </si>
  <si>
    <t>10.1109/TVCG.2007.70603</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</si>
  <si>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</si>
  <si>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Attila Gyulassy;Mark A. Duchaineau;Vijay Natarajan;Valerio Pascucci;Eduardo Bringa;Andrew Higginbotham;Bernd Hamann</t>
  </si>
  <si>
    <t>Attila Gyulassy;Mark Duchaineau;Vijay Natarajan;Valerio Pascucci;Eduardo Bringa;Andrew Higginbotham;Bernd Hamann</t>
  </si>
  <si>
    <t>Institute for Data Analysis and Visualization, Dept. of Computer Science, University of California, Davis;Center for Applied Scientific Computing, Lawrence Livermore National Laboratory;Dept. of Computer Science and Automation, Supercomputer Education and Research Centre, Indian Institute of Science, Bangalore;Center for Applied Scientific Computing, Lawrence Livermore National Laboratory;Material Science and Technology Division, Lawrence Livermore National Laboratory;Department of Physics, Clarendon Laboratory, University of Oxford, Oxford;Institute for Data Analysis and Visualization, Dept. of Computer Science, University of California, Davis</t>
  </si>
  <si>
    <t>10.1109/VISUAL.2005.1532839;10.1109/VISUAL.2005.1532783;10.1109/VISUAL.2003.1250356;10.1109/VISUAL.2004.96;10.1109/VISUAL.2000.885680;10.1109/VISUAL.2000.885703</t>
  </si>
  <si>
    <t>Morse theory, Morse-Smale complex, distance field, topological simplification, wavefront, critical point, porous solid, material science</t>
  </si>
  <si>
    <t>Topology, Accuracy, and Quality of Isosurface Meshes Using Dynamic Particles</t>
  </si>
  <si>
    <t>10.1109/TVCG.2007.70604</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</si>
  <si>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</si>
  <si>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Miriah D. Meyer;Robert Michael Kirby;Ross T. Whitaker</t>
  </si>
  <si>
    <t>Miriah Meyer;Robert M. Kirby;Ross Whitaker</t>
  </si>
  <si>
    <t>Scientific Computing and Imaging Institute at the University of Utah,;Scientific Computing and Imaging Institute at the University of Utah,;Scientific Computing and Imaging Institute at the University of Utah,</t>
  </si>
  <si>
    <t>10.1109/VISUAL.2002.1183766;10.1109/VISUAL.2003.1250414;10.1109/VISUAL.2003.1250363;10.1109/TVCG.2006.149;10.1109/VISUAL.2002.1183808;10.1109/VISUAL.2000.885705</t>
  </si>
  <si>
    <t>Isosurface extraction, particle systems, Delaunay triangulation</t>
  </si>
  <si>
    <t>Virtual Rheoscopic Fluids for Flow Visualization</t>
  </si>
  <si>
    <t>10.1109/TVCG.2007.70610</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</si>
  <si>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</si>
  <si>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William L. Barth;Christopher Burns</t>
  </si>
  <si>
    <t>William Barth;Christopher Burns</t>
  </si>
  <si>
    <t>http://dx.doi.org/10.1109/TVCG.2007.70529</t>
  </si>
  <si>
    <t>Texas Advanced Computing Center;Texas Advanced Computing Center</t>
  </si>
  <si>
    <t>Flow visualization, rheoscopic fluids</t>
  </si>
  <si>
    <t>Visual Verification and Analysis of Cluster Detection for Molecular Dynamics</t>
  </si>
  <si>
    <t>10.1109/TVCG.2007.70614</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</si>
  <si>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</si>
  <si>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Sebastian Grottel;Guido Reina;Jadran Vrabec;Thomas Ertl</t>
  </si>
  <si>
    <t>10.1109/VISUAL.2003.1250404;10.1109/VISUAL.2002.1183811;10.1109/TVCG.2006.115;10.1109/VISUAL.2004.103;10.1109/TVCG.2006.186;10.1109/VISUAL.2003.1250404</t>
  </si>
  <si>
    <t>Cluster detection analysis, molecular dynamics visualization, time-dependent scattered data, glyph visualization, out-of-core techniques, evolution graph vie</t>
  </si>
  <si>
    <t>Ohio State Univ., Columbus|c|;</t>
  </si>
  <si>
    <t>Multifield Visualization Using Local Statistical Complexity</t>
  </si>
  <si>
    <t>10.1109/TVCG.2007.70615</t>
  </si>
  <si>
    <t>http://dx.doi.org/10.1109/TVCG.2007.70530</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</si>
  <si>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</si>
  <si>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Heike Leitte;Alexander Wiebel;Gerik Scheuermann;Wolfgang Kollmann</t>
  </si>
  <si>
    <t>Heike Janicke;Alexander Wiebel;Gerik Scheuermann;Wolfgang Kollmann</t>
  </si>
  <si>
    <t>University of Leipzig, Germany;University of Leipzig, Germany;University of Leipzig, Germany;University of California, Davis</t>
  </si>
  <si>
    <t>10.1109/VISUAL.1999.809865;10.1109/VISUAL.2003.1250372;10.1109/TVCG.2006.165;10.1109/VISUAL.1999.809905;10.1109/TVCG.2006.183;10.1109/VISUAL.2003.1250383</t>
  </si>
  <si>
    <t>Local statistical complexity, multifield visualization, time-dependent, coherent structures, feature detection, information theroy, flow visualization</t>
  </si>
  <si>
    <t>2008</t>
  </si>
  <si>
    <t>A Framework of Interaction Costs in Information Visualization</t>
  </si>
  <si>
    <t>10.1109/TVCG.2008.109</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</si>
  <si>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</si>
  <si>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Heidi Lam</t>
  </si>
  <si>
    <t>Hong Kong Univ. of Sci. &amp; Technol., Hong Kong|c|;;;</t>
  </si>
  <si>
    <t>10.1109/INFVIS.2001.963289;10.1109/INFVIS.2003.1249020;10.1109/INFVIS.2005.1532151;10.1109/INFVIS.2004.21;10.1109/TVCG.2006.187;10.1109/INFVIS.2004.5;10.1109/TVCG.2007.70515;10.1109/TVCG.2006.120;10.1109/INFVIS.2005.1532133;10.1109/INFVIS.2004.19;10.1109/INFVIS.2005.1532126;10.1109/VAST.2006.261426;10.1109/VISUAL.1994.346302;10.1109/TVCG.2007.70589;10.1109/INFVIS.2005.1532132;10.1109/INFVIS.1998.729560;10.1109/TVCG.2007.70583</t>
  </si>
  <si>
    <t>Interaction, Information Visualization, Framework, Interface Evaluation</t>
  </si>
  <si>
    <t>HM</t>
  </si>
  <si>
    <t>http://dx.doi.org/10.1109/TVCG.2007.70532</t>
  </si>
  <si>
    <t>Balloon Focus: a Seamless Multi-Focus+Context Method for Treemaps</t>
  </si>
  <si>
    <t>10.1109/TVCG.2008.114</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</si>
  <si>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</si>
  <si>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the Ohio State University;the Ohio State University</t>
  </si>
  <si>
    <t>10.1109/INFVIS.2000.885091;10.1109/INFVIS.2001.963278;10.1109/INFVIS.2005.1532148;10.1109/INFVIS.2002.1173156;10.1109/INFVIS.1996.559214;10.1109/INFVIS.1998.729558;10.1109/INFVIS.2005.1532132;10.1109/INFVIS.2004.66;10.1109/INFVIS.2002.1173151</t>
  </si>
  <si>
    <t>Treemap, focus+context, multi-focus, fisheye, magnification, visualizing query results, multi-scale viewing</t>
  </si>
  <si>
    <t>Cerebral: Visualizing Multiple Experimental Conditions on a Graph with Biological Context</t>
  </si>
  <si>
    <t>10.1109/TVCG.2008.117</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</si>
  <si>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</si>
  <si>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Aaron Barsky;Tamara Munzner;Jennifer L. Gardy;Robert Kincaid</t>
  </si>
  <si>
    <t>Aaron Barsky;Tamara Munzner;Jennifer Gardy;Robert Kincaid</t>
  </si>
  <si>
    <t>University of British Columbia;University of British Columbia;University of British Columbia;Agilent Labs, Agilent Technologies</t>
  </si>
  <si>
    <t>10.1109/INFVIS.2005.1532151;10.1109/TVCG.2006.156;10.1109/TVCG.2006.166</t>
  </si>
  <si>
    <t>Graph layout, systems biology visualization, small multiples, design study</t>
  </si>
  <si>
    <t>Univ. of California at Irvine, Irvine|c|;;</t>
  </si>
  <si>
    <t>Distributed Cognition as a Theoretical Framework for Information Visualization</t>
  </si>
  <si>
    <t>http://dx.doi.org/10.1109/TVCG.2007.70534</t>
  </si>
  <si>
    <t>John Plate;Thorsten Holtk�_mper;Bernd Fr̦hlich 0001</t>
  </si>
  <si>
    <t>Bauhaus-Univ. Weimar, Weimar|c|;;</t>
  </si>
  <si>
    <t>http://dx.doi.org/10.1109/TVCG.2007.70535</t>
  </si>
  <si>
    <t>Lancaster Univ, Lancaster|c|;</t>
  </si>
  <si>
    <t>http://dx.doi.org/10.1109/TVCG.2007.70536</t>
  </si>
  <si>
    <t>10.1109/TVCG.2008.121</t>
  </si>
  <si>
    <t>Hewlett-Packard Lab., Palo Alto|c|;;</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</si>
  <si>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</si>
  <si>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Zhicheng Liu;Nancy J. Nersessian;John T. Stasko</t>
  </si>
  <si>
    <t>Zhicheng Liu;Nancy Nersessian;John Stasko</t>
  </si>
  <si>
    <t>Georgia Institute of Technology;Georgia Institute of Technology;Georgia Institute of Technology</t>
  </si>
  <si>
    <t>10.1109/TVCG.2007.70515;10.1109/TVCG.2007.70577;10.1109/VAST.2007.4389006;10.1109/INFVIS.2000.885092</t>
  </si>
  <si>
    <t>Information visualization, distributed cognition, interaction, representation, theory and methods</t>
  </si>
  <si>
    <t>http://dx.doi.org/10.1109/TVCG.2007.70537</t>
  </si>
  <si>
    <t>Effectiveness of Animation in Trend Visualization</t>
  </si>
  <si>
    <t>10.1109/TVCG.2008.125</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</si>
  <si>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</si>
  <si>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George G. Robertson;Roland Fernandez;Danyel Fisher;Bongshin Lee;John T. Stasko</t>
  </si>
  <si>
    <t>George Robertson;Roland Fernandez;Danyel Fisher;Bongshin Lee;John Stasko</t>
  </si>
  <si>
    <t>Microsoft Research;Microsoft Research;Microsoft Research;Microsoft Research;Georgia Institute of Technology</t>
  </si>
  <si>
    <t>10.1109/INFVIS.1999.801854;10.1109/TVCG.2007.70539</t>
  </si>
  <si>
    <t>Information visualization, animation, trends, design, experiment</t>
  </si>
  <si>
    <t>Microsoft Res., Redmond|c|;;;</t>
  </si>
  <si>
    <t>EMDialog: Bringing Information Visualization into the Museum</t>
  </si>
  <si>
    <t>10.1109/TVCG.2008.127</t>
  </si>
  <si>
    <t>http://dx.doi.org/10.1109/TVCG.2007.70538</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</si>
  <si>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</si>
  <si>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Uta Hinrichs;Holly Schmidt;Sheelagh Carpendale</t>
  </si>
  <si>
    <t>University of Calgary, Canada;University of Calgary, Canada</t>
  </si>
  <si>
    <t>10.1109/TVCG.2007.70541;10.1109/INFVIS.2004.8;10.1109/INFVIS.2003.1249031;10.1109/INFVIS.2005.1532122;10.1109/TVCG.2007.70568</t>
  </si>
  <si>
    <t>artistic information visualization, interactive information visualization, walk-up-and-use interaction, public displays</t>
  </si>
  <si>
    <t>Evaluating the Use of Data Transformation for Information Visualization</t>
  </si>
  <si>
    <t>10.1109/TVCG.2008.129</t>
  </si>
  <si>
    <t>Nanyang Technol. Univ.|c|;;;;;</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</si>
  <si>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</si>
  <si>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http://dx.doi.org/10.1109/TVCG.2007.70539</t>
  </si>
  <si>
    <t>Zhen Wen;Michelle X. Zhou</t>
  </si>
  <si>
    <t>Zhen Wen;Michelle Zhou</t>
  </si>
  <si>
    <t>IBM T. J. Watson Research Center;IBM T. J. Watson Research Center</t>
  </si>
  <si>
    <t>10.1109/INFVIS.2005.1532136;10.1109/INFVIS.2004.70;10.1109/TVCG.2006.161;10.1109/INFVIS.2000.885092;10.1109/INFVIS.2003.1249015;10.1109/VISUAL.1990.146375;10.1109/TVCG.2007.70577</t>
  </si>
  <si>
    <t>data transformation, data cleaning, empirical evaluation, user studies</t>
  </si>
  <si>
    <t>Exploration of Networks using overview+detail with Constraint-based cooperative layout</t>
  </si>
  <si>
    <t>10.1109/TVCG.2008.130</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</si>
  <si>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</si>
  <si>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Tim Dwyer;Kim Marriott;Falk Schreiber;Peter J. Stuckey;Michael Woodward;Michael Wybrow</t>
  </si>
  <si>
    <t>Tim Dwyer;Kim Marriott;Falk Schreiber;Peter Stuckey;Michael Woodward;Michael Wybrow</t>
  </si>
  <si>
    <t>Microsoft Research;Monash University;IPL-Gatersleben;National ICT Australia;The University of Melbourne;Monash University</t>
  </si>
  <si>
    <t>10.1109/INFVIS.2002.1173159;10.1109/TVCG.2006.122;10.1109/TVCG.2006.156;10.1109/INFVIS.2005.1532126;10.1109/INFVIS.2004.43;10.1109/TVCG.2006.177;10.1109/INFVIS.2002.1173148;10.1109/INFVIS.2004.66;10.1109/INFVIS.1999.801854</t>
  </si>
  <si>
    <t>Graph drawing, constraints, stress majorization, force directed algorithms, multidimensional scaling</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</si>
  <si>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DynaVis, a visualization system featuring animated data graphics. Two controlled experiments were conducted to assess the efficacy of various transition types, finding that animated transitions can significantly improve graphical perception.</t>
  </si>
  <si>
    <t>Univ. of California at Berkeley, Berkeley|c|;</t>
  </si>
  <si>
    <t>Geometry-Based Edge Clustering for Graph Visualization</t>
  </si>
  <si>
    <t>10.1109/TVCG.2008.135</t>
  </si>
  <si>
    <t>http://dx.doi.org/10.1109/TVCG.2007.70540</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</si>
  <si>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</si>
  <si>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Weiwei Cui;Hong Zhou;Huamin Qu;Pak Chung Wong;Xiaoming Li</t>
  </si>
  <si>
    <t>the Hong Kong University of Science and Technology;the Hong Kong University of Science and Technology;the Hong Kong University of Science and Technology;Pacific Northwest National Laboratory;Peking University</t>
  </si>
  <si>
    <t>10.1109/TVCG.2007.70535;10.1109/TVCG.2007.70580;10.1109/INFVIS.2004.43;10.1109/INFVIS.2003.1249008;10.1109/INFVIS.2005.1532150;10.1109/INFVIS.2004.66;10.1109/INFVIS.2005.1532138;10.1109/TVCG.2006.147</t>
  </si>
  <si>
    <t>Graph visualization, visual clutter, mesh, edge clustering</t>
  </si>
  <si>
    <t>Graphical Histories for Visualization: Supporting Analysis, Communication, and Evaluation</t>
  </si>
  <si>
    <t>10.1109/TVCG.2008.137</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</si>
  <si>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</si>
  <si>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Jeffrey Heer;Jock D. Mackinlay;Chris Stolte;Maneesh Agrawala</t>
  </si>
  <si>
    <t>Jeffrey Heer;Jock Mackinlay;Chris Stolte;Maneesh Agrawala</t>
  </si>
  <si>
    <t>Univ. of Grenoble 1, Grenoble|c|;</t>
  </si>
  <si>
    <t>University of California at Berkeley;Tableau Software, Inc.;Tableau Software, Inc.;University of California at Berkeley</t>
  </si>
  <si>
    <t>10.1109/INFVIS.2000.885086;10.1109/VISUAL.1993.398857;10.1109/VISUAL.1999.809871;10.1109/INFVIS.2004.2;10.1109/VISUAL.1995.480801;10.1109/TVCG.2007.70594;10.1109/VAST.2007.4388992</t>
  </si>
  <si>
    <t>Visualization, history, undo, analysis, presentation, evaluation</t>
  </si>
  <si>
    <t>http://dx.doi.org/10.1109/TVCG.2007.70541</t>
  </si>
  <si>
    <t>HiPP: A Novel Hierarchical Point Placement Strategy and its Application to the Exploration of Document Collections</t>
  </si>
  <si>
    <t>10.1109/TVCG.2008.138</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</si>
  <si>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</si>
  <si>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Fernando Vieira Paulovich;Rosane Minghim</t>
  </si>
  <si>
    <t>Fernando V. Paulovich;Rosane Minghim</t>
  </si>
  <si>
    <t>Instituto de Ciências Matemáticas e de Computação (ICMC), University of São Paulo, São Carlos/SP, Brazil;Instituto de Ciências Matemáticas e de Computação (ICMC), University of São Paulo, São Carlos/SP, Brazil</t>
  </si>
  <si>
    <t>10.1109/VISUAL.1999.809866;10.1109/VISUAL.1991.175815;10.1109/VAST.2007.4389002;10.1109/VISUAL.1996.567787</t>
  </si>
  <si>
    <t>Text and document visualization, hierarchical multidimensional visualization, visual knowledge discovery, high-dimensional data</t>
  </si>
  <si>
    <t>Improving the Readability of Clustered Social Networks using Node Duplication</t>
  </si>
  <si>
    <t>10.1109/TVCG.2008.141</t>
  </si>
  <si>
    <t>Georgia Inst.of Technol, Atlanta|c|;;</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</si>
  <si>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</si>
  <si>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Nathalie Henry Riche;Anastasia Bezerianos;Jean-Daniel Fekete</t>
  </si>
  <si>
    <t>http://dx.doi.org/10.1109/TVCG.2007.70542</t>
  </si>
  <si>
    <t>Nathalie y Henr;Anastasia Bezerianos;Jean-Daniel Fekete</t>
  </si>
  <si>
    <t>INRIA-LRI and Univ. of Sydney;NICTA;INRIA</t>
  </si>
  <si>
    <t>10.1109/TVCG.2007.70582;10.1109/TVCG.2006.160;10.1109/VAST.2006.261426;10.1109/TVCG.2006.120;10.1109/INFVIS.1997.636792;10.1109/TVCG.2006.147;10.1109/INFVIS.2003.1249011</t>
  </si>
  <si>
    <t>Clustering, Graph Visualization, Node Duplications, Social Networks</t>
  </si>
  <si>
    <t>Interactive Visual Analysis of Set-Typed Data</t>
  </si>
  <si>
    <t>10.1109/TVCG.2008.144</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</si>
  <si>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</si>
  <si>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Wolfgang Freiler;Kresimir Matkovic;Helwig Hauser</t>
  </si>
  <si>
    <t>VRVis Research Center, Vienna, Austria;VRVis Research Center, Vienna, Austria;University of Bergen, Norway</t>
  </si>
  <si>
    <t>10.1109/INFVIS.1999.801860;10.1109/VISUAL.1990.146402;10.1109/INFVIS.2001.963288;10.1109/INFVIS.2003.1249016;10.1109/VAST.2007.4389006;10.1109/INFVIS.2005.1532139;10.1109/VISUAL.1991.175815</t>
  </si>
  <si>
    <t>Interactive Visual Analysis, Multidimensional Multivariate Data Visualization, Categorical Data Visualization, Interactive Visualization, Focus+Context Visualization, Multiple Coordinated Views</t>
  </si>
  <si>
    <t>Multi-Focused Geospatial Analysis Using Probes</t>
  </si>
  <si>
    <t>Univ. des Saarlandes, Saarbrucken|c|;;;;</t>
  </si>
  <si>
    <t>10.1109/TVCG.2008.149</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</si>
  <si>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</si>
  <si>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Thomas Butkiewicz;Wenwen Dou;Zachary Wartell;William Ribarsky;Remco Chang</t>
  </si>
  <si>
    <t>http://dx.doi.org/10.1109/TVCG.2007.70543</t>
  </si>
  <si>
    <t>The Charlotte Visualization Center, UNC Charlotte;The Charlotte Visualization Center, UNC Charlotte;The Charlotte Visualization Center, UNC Charlotte;The Charlotte Visualization Center, UNC Charlotte;The Charlotte Visualization Center, UNC Charlotte</t>
  </si>
  <si>
    <t>10.1109/INFVIS.2000.885102;10.1109/TVCG.2007.70574</t>
  </si>
  <si>
    <t>Multiple-view techniques, geospatial visualization, geospatial analysis, focus + context, probes</t>
  </si>
  <si>
    <t>On the Visualization of Social and other Scale-Free Networks</t>
  </si>
  <si>
    <t>10.1109/TVCG.2008.151</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</si>
  <si>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</si>
  <si>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Yuntao Jia;Jared Hoberock;Michael Garland;John C. Hart</t>
  </si>
  <si>
    <t>Yuntao Jia;Jared Hoberock;Michael Garland;John Hart</t>
  </si>
  <si>
    <t>UIUC;UIUC;NVIDIA;UIUC</t>
  </si>
  <si>
    <t>10.1109/VISUAL.2005.1532819;10.1109/TVCG.2006.193;10.1109/INFVIS.2003.1249011</t>
  </si>
  <si>
    <t>Scale-free network, edge filtering, betweenness centrality, anisotropic shading</t>
  </si>
  <si>
    <t>Particle-based labeling: Fast point-feature labeling without obscuring other visual features</t>
  </si>
  <si>
    <t>10.1109/TVCG.2008.152</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</si>
  <si>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</si>
  <si>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Martin Luboschik;Heidrun Schumann;Hilko Cords</t>
  </si>
  <si>
    <t>University of Rostock;University of Rostock;University of Rostock</t>
  </si>
  <si>
    <t>10.1109/TVCG.2006.136;10.1109/TVCG.2006.136;10.1109/VISUAL.2005.1532856</t>
  </si>
  <si>
    <t>Interactive labeling, dynamic labeling, automatic label placement, occlusion-free, information visualization</t>
  </si>
  <si>
    <t>Rolling the Dice: Multidimensional Visual Exploration using Scatterplot Matrix Navigation</t>
  </si>
  <si>
    <t>10.1109/TVCG.2008.153</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</si>
  <si>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</si>
  <si>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Niklas Elmqvist;Pierre Dragicevic;Jean-Daniel Fekete</t>
  </si>
  <si>
    <t>10.1109/TVCG.2007.70515;10.1109/VAST.2007.4389013;10.1109/TVCG.2007.70577;10.1109/VISUAL.1990.146386;10.1109/VAST.2006.261452;10.1109/INFVIS.2005.1532136;10.1109/VISUAL.1994.346302;10.1109/INFVIS.1998.729559;10.1109/VISUAL.1995.485139;10.1109/INFVIS.2003.1249016;10.1109/INFVIS.2000.885086;10.1109/INFVIS.2004.3;10.1109/INFVIS.2004.64;10.1109/TVCG.2007.70539;10.1109/INFVIS.2004.15</t>
  </si>
  <si>
    <t>Visual exploration, visual queries, visual analytics, navigation, multivariate data, interaction</t>
  </si>
  <si>
    <t>Perceptual Organization in User-Generated Graph Layouts</t>
  </si>
  <si>
    <t>10.1109/TVCG.2008.155</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</si>
  <si>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</si>
  <si>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Frank van Ham;Bernice E. Rogowitz</t>
  </si>
  <si>
    <t>Frank van Ham;Bernice Rogowitz</t>
  </si>
  <si>
    <t>IBM Research;IBM Research</t>
  </si>
  <si>
    <t>10.1109/INFVIS.2004.1;10.1109/TVCG.2007.70577</t>
  </si>
  <si>
    <t>Network layout visualization, perceptual organization, graph layout, user studies</t>
  </si>
  <si>
    <t>Rapid Graph Layout Using Space filling Curves</t>
  </si>
  <si>
    <t>10.1109/TVCG.2008.158</t>
  </si>
  <si>
    <t>Network data frequently arises in a wide variety of fields, and node-link diagrams are a very natural and intuitive representation of such data. In order for a node-link diagram to be effective, the nodes must be arranged well on the screen. While many graph layout algorithms exist for this purpose, they often have limitations such as high computational complexity or node colocation. This paper proposes a new approach to graph layout through the use of space filling curves which is very fast and guarantees that there will be no nodes that are colocated. The resulting layout is also aesthetic and satisfies several criteria for graph layout effectiveness.</t>
  </si>
  <si>
    <t>Chris Muelder;Kwan-Liu Ma</t>
  </si>
  <si>
    <t>University of California, Davis;University of California, Davis</t>
  </si>
  <si>
    <t>10.1109/INFVIS.2002.1173159;10.1109/INFVIS.2005.1532145;10.1109/INFVIS.2005.1532126;10.1109/INFVIS.2004.66;10.1109/TVCG.2007.70580</t>
  </si>
  <si>
    <t xml:space="preserve"> Information visualization, Graph layout, Space filling curves</t>
  </si>
  <si>
    <t>Spatially Ordered Treemaps</t>
  </si>
  <si>
    <t>10.1109/TVCG.2008.165</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</si>
  <si>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</si>
  <si>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Jo Wood;Jason Dykes</t>
  </si>
  <si>
    <t>giCentre, City University London;giCentre, City University London</t>
  </si>
  <si>
    <t>10.1109/INFVIS.2001.963283;10.1109/INFVIS.2001.963290;10.1109/TVCG.2007.70522;10.1109/TVCG.2007.70529</t>
  </si>
  <si>
    <t>Geovisualization, treemaps, cartograms, CIELab, geographic information, tree structures</t>
  </si>
  <si>
    <t>http://dx.doi.org/10.1109/TVCG.2007.70544</t>
  </si>
  <si>
    <t>Stacked Graphs - Geometry &amp; Aesthetics</t>
  </si>
  <si>
    <t>10.1109/TVCG.2008.166</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</si>
  <si>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</si>
  <si>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Lee Byron;Martin Wattenberg</t>
  </si>
  <si>
    <t>The New York Times;Visual Communication Lab at IBM</t>
  </si>
  <si>
    <t>10.1109/TVCG.2006.163;10.1109/INFVIS.2005.1532122;10.1109/TVCG.2007.70577;10.1109/INFVIS.2000.885098</t>
  </si>
  <si>
    <t>Streamgraph, ThemeRiver, listening history, lastfm, aesthetics, communication-minded visualization, time series</t>
  </si>
  <si>
    <t>The Shaping of Information by Visual Metaphors</t>
  </si>
  <si>
    <t>10.1109/TVCG.2008.171</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</si>
  <si>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</si>
  <si>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Caroline Ziemkiewicz;Robert Kosara</t>
  </si>
  <si>
    <t>UNC Charlotte;UNC Charlotte</t>
  </si>
  <si>
    <t>10.1109/INFVIS.2004.70;10.1109/INFVIS.2002.1173153;10.1109/INFVIS.2004.64;10.1109/INFVIS.2001.963290</t>
  </si>
  <si>
    <t>Cognition, visualization theory, metaphors, hierarchies, evaluation</t>
  </si>
  <si>
    <t>Virginia Tech., Blacksburg|c|;;;</t>
  </si>
  <si>
    <t>The Word Tree, an Interactive Visual Concordance</t>
  </si>
  <si>
    <t>10.1109/TVCG.2008.172</t>
  </si>
  <si>
    <t>http://dx.doi.org/10.1109/TVCG.2007.70545</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</si>
  <si>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</si>
  <si>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Martin Wattenberg;Fernanda B. Viégas</t>
  </si>
  <si>
    <t>10.1109/INFVIS.2002.1173155;10.1109/VAST.2007.4389006;10.1109/TVCG.2007.70577;10.1109/INFVIS.2002.1173148</t>
  </si>
  <si>
    <t>Text visualization, document visualization, Many Eyes, case study, concordance, information retrieval, search</t>
  </si>
  <si>
    <t>VisGets: Coordinated Visualizations for Web-based Information Exploration and Discovery</t>
  </si>
  <si>
    <t>10.1109/TVCG.2008.175</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</si>
  <si>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</si>
  <si>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Marian Dörk;Sheelagh Carpendale;Christopher Collins;Carey L. Williamson</t>
  </si>
  <si>
    <t>Marian Dörk;Sheelagh Carpendale;Christopher Collins;Carey Williamson</t>
  </si>
  <si>
    <t>University of Calgary;University of Calgary;University of Toronto;University of Calgary</t>
  </si>
  <si>
    <t>10.1109/TVCG.2007.70570;10.1109/TVCG.2007.70589;10.1109/TVCG.2007.70577;10.1109/VISUAL.1993.398863;10.1109/INFVIS.2005.1532122;10.1109/VISUAL.1996.567610</t>
  </si>
  <si>
    <t>Information visualization, World Wide Web, information retrieval, exploratory search, visual information seeking</t>
  </si>
  <si>
    <t>Vispedia: Interactive Visual Exploration of Wikipedia Data via Search-Based Integration</t>
  </si>
  <si>
    <t>10.1109/TVCG.2008.178</t>
  </si>
  <si>
    <t>Zuse Inst. Berlin, Berlin|c|;;;</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</si>
  <si>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</si>
  <si>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Bryan Chan;Leslie Wu;Justin Talbot;Mike Cammarano;Pat Hanrahan</t>
  </si>
  <si>
    <t>Stanford University;Stanford University;Stanford University;Stanford University;Stanford University</t>
  </si>
  <si>
    <t>10.1109/TVCG.2007.70617;10.1109/TVCG.2007.70577;10.1109/VAST.2007.4389010</t>
  </si>
  <si>
    <t>Information visualization, Data integration, Wikipedia, Semantic web, Search interfaces</t>
  </si>
  <si>
    <t>http://dx.doi.org/10.1109/TVCG.2007.70550</t>
  </si>
  <si>
    <t>Visualizing Incomplete and Partially Ranked Data</t>
  </si>
  <si>
    <t>10.1109/TVCG.2008.181</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</si>
  <si>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</si>
  <si>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Paul Kidwell;Guy Lebanon;William S. Cleveland</t>
  </si>
  <si>
    <t>Paul Kidwell;Guy Lebanon;William Cleveland</t>
  </si>
  <si>
    <t>Department of Statistics, Purdue University;College of Computing, Georgia Institute of Technology;Departments of Statistics and Computer Science, Purdue University</t>
  </si>
  <si>
    <t>Partial rankings, incomplete rankings, multidimensional scaling</t>
  </si>
  <si>
    <t>Viz-A-Vis: Toward Visualizing Video through Computer Vision</t>
  </si>
  <si>
    <t>10.1109/TVCG.2008.185</t>
  </si>
  <si>
    <t>Maurice Termeer;Javier Oliv��n Besc�_s;Marcel Breeuwer;Anna Vilanova;Frans A. Gerritsen;M. Eduard Gr̦ller</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</si>
  <si>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</si>
  <si>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Mario Romero;Jay Summet;John T. Stasko;Gregory D. Abowd</t>
  </si>
  <si>
    <t>Mario Romero;Jay Summet;John Stasko;Gregory Abowd</t>
  </si>
  <si>
    <t>Georgia Tech;Georgia Tech;Georgia Tech;Georgia Tech</t>
  </si>
  <si>
    <t>10.1109/VISUAL.2003.1250401;10.1109/TVCG.2007.70621</t>
  </si>
  <si>
    <t>Spatiotemporal visualization, time series data, video visualization, sensor analytics, image/video analytics</t>
  </si>
  <si>
    <t>Who Votes For What? A Visual Query Language for Opinion Data</t>
  </si>
  <si>
    <t>10.1109/TVCG.2008.187</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</si>
  <si>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</si>
  <si>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Geoffrey M. Draper;Richard F. Riesenfeld</t>
  </si>
  <si>
    <t>Geoffrey Draper;Richard Riesenfeld</t>
  </si>
  <si>
    <t>University of Utah;University of Utah</t>
  </si>
  <si>
    <t>10.1109/TVCG.2007.70584;10.1109/INFVIS.1996.559210;10.1109/INFVIS.2005.1532134;10.1109/INFVIS.2001.963279;10.1109/VISUAL.1990.146402;10.1109/TVCG.2007.70617;10.1109/VAST.2006.261438;10.1109/INFVIS.1998.729570;10.1109/INFVIS.2001.963287;10.1109/INFVIS.2000.885086;10.1109/TVCG.2007.70539;10.1109/VAST.2007.4389013;10.1109/INFVIS.2000.885091;10.1109/TVCG.2007.70577;10.1109/TVCG.2006.147</t>
  </si>
  <si>
    <t>Visual query languages, radial visualization, data analysis, human-computer interaction</t>
  </si>
  <si>
    <t>Visual cluster analysis of trajectory data with interactive Kohonen Maps</t>
  </si>
  <si>
    <t>10.1109/VAST.2008.4677350</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</si>
  <si>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</si>
  <si>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Tobias Schreck;Jürgen Bernard;Tatiana von Landesberger;Jörn Kohlhammer</t>
  </si>
  <si>
    <t>Tobias Schreck;Jurgen Bernard;Tatiana Tekusova;Jorn Kohlhammer</t>
  </si>
  <si>
    <t>Interactive Graphics Systems Group, TU Darmstadt, Germany;Interactive Graphics Systems Group, TU Darmstadt, Germany;Interactive Graphics Systems Group, TU Darmstadt, Germany;Fraunhofer Institute for Computer Graphics IGD, Darmstadt, Germany</t>
  </si>
  <si>
    <t>Crystal structures classifier for an evolutionary algorithm structure predictor</t>
  </si>
  <si>
    <t>10.1109/VAST.2008.4677351</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</si>
  <si>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</si>
  <si>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Mario Valle;Artem R. Oganov</t>
  </si>
  <si>
    <t>Data Analysis and Visualization Services, Swiss National Supercomputing Centre (CSCS), Switzerland;Laboratory of Crystallography, Department of Materials, ETH Zürich, Switzerland</t>
  </si>
  <si>
    <t>Model-driven Visual Analytics</t>
  </si>
  <si>
    <t>10.1109/VAST.2008.4677352</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</si>
  <si>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</si>
  <si>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Supriya Garg;Julia Eunju Nam;I. V. Ramakrishnan;Klaus Mueller</t>
  </si>
  <si>
    <t>Supriya Garg;Julia Eunju Nam;I.V. Ramakrishnan;Klaus Mueller</t>
  </si>
  <si>
    <t>Computer Science Department, Stony Brook University, USA;Computer Science Department, Stony Brook University, USA;Computer Science Department, Stony Brook University, USA;Computer Science Department, Stony Brook University, USA</t>
  </si>
  <si>
    <t>10.1109/VAST.2006.261437;10.1109/VAST.2007.4388999;10.1109/VAST.2007.4388998;10.1109/VAST.2007.4389003;10.1109/VAST.2007.4389000;10.1109/VAST.2006.261425;10.1109/VAST.2006.261436;10.1109/VAST.2007.4388992;10.1109/TVCG.2007.70581;10.1109/VISUAL.1990.146402;10.1109/VISUAL.1990.146386</t>
  </si>
  <si>
    <t>Visual Analytics, Knowledge Discovery, Visual Clustering, Machine Learning, Grand Tour, High-dimensional Data, Network Security</t>
  </si>
  <si>
    <t>Using visual analytics to maintain situation awareness in astrophysics</t>
  </si>
  <si>
    <t>10.1109/VAST.2008.4677353</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</si>
  <si>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</si>
  <si>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Cecilia R. Aragon;Sarah S. Poon;Gregory S. Aldering;Rollin C. Thomas;Robert Quimby</t>
  </si>
  <si>
    <t>Lawrence Berkeley National Laboratory, CA 94720, USA;Space Sciences Laboratory, Berkeley, CA 94720, USA;Lawrence Berkeley National Laboratory, CA 94720, USA;Lawrence Berkeley National Laboratory, CA 94720, USA;California Institute of Technology, Pasadena, 91125, USA</t>
  </si>
  <si>
    <t>10.1109/VAST.2007.4388997;10.1109/VAST.2007.4388998;10.1109/VAST.2007.4388993;10.1109/VAST.2006.261416;10.1109/VAST.2007.4388991;10.1109/VAST.2007.4388996;10.1109/VAST.2007.4388994;10.1109/VAST.2006.261434;10.1109/TVCG.2006.176;10.1109/INFVIS.2004.27</t>
  </si>
  <si>
    <t>Data and knowledge visualization, scientific visualization, visual analytics, situation awareness, astrophysics</t>
  </si>
  <si>
    <t>Understanding syndromic hotspots - a visual analytics approach</t>
  </si>
  <si>
    <t>10.1109/VAST.2008.4677354</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</si>
  <si>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</si>
  <si>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Ross Maciejewski;Stephen Rudolph;Ryan Hafen;Ahmad M. Abusalah;Mohamed Yakout;Mourad Ouzzani;William S. Cleveland;Shaun J. Grannis;Michael Wade;David S. Ebert</t>
  </si>
  <si>
    <t>Ross Maciejewski;Stephen Rudolph;Ryan Hafen;Ahmad Abusalah;Mohamed Yakout;Mourad Ouzzani;William S. Cleveland;Shaun J. Grannis;Michael Wade;David S. Ebert</t>
  </si>
  <si>
    <t>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USA;Purdue University Regional Visualization and Analytics Center (PURVAC), USA;Regenstrief Institute and Indiana University School of Medicine, USA;Indiana State Department of Health, USA;Purdue University Regional Visualization and Analytics Center (PURVAC), USA</t>
  </si>
  <si>
    <t>10.1109/INFVIS.2001.963294;10.1109/VAST.2007.4388991;10.1109/INFVIS.1998.729563;10.1109/VISUAL.1995.485139;10.1109/VAST.2007.4388993</t>
  </si>
  <si>
    <t>Configurable Spaces: Temporal analysis in diagrammatic contexts</t>
  </si>
  <si>
    <t>10.1109/VAST.2008.4677355</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</si>
  <si>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</si>
  <si>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Thomas Kapler;Ryan Eccles;Robert Harper 0002;William Wright</t>
  </si>
  <si>
    <t>Thomas Kapler;Ryan Eccles;Robert Harper;William Wright</t>
  </si>
  <si>
    <t>Oculus Info Inc., USA;Oculus Info Inc., USA;Oculus Info Inc., USA;Oculus Info Inc., USA</t>
  </si>
  <si>
    <t>10.1109/VAST.2006.261450;10.1109/INFVIS.2001.963281;10.1109/INFVIS.2004.27;10.1109/INFVIS.2002.1173160</t>
  </si>
  <si>
    <t>human information interaction, visual analytics, graph visualization, geo-temporal analysis, concept maps</t>
  </si>
  <si>
    <t>Spatio-temporal aggregation for visual analysis of movements</t>
  </si>
  <si>
    <t>10.1109/VAST.2008.4677356</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</si>
  <si>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</si>
  <si>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Gennady L. Andrienko;Natalia V. Andrienko</t>
  </si>
  <si>
    <t>Gennady Andrienko;Natalia Andrienko</t>
  </si>
  <si>
    <t>Fraunhofer Institute IAIS (Intelligent Analysis and Information Systems), Sankt Augustin, Germany;Fraunhofer Institute IAIS (Intelligent Analysis and Information Systems), Sankt Augustin, Germany</t>
  </si>
  <si>
    <t>Movement data, spatio-temporal data, aggregation, scalable visualization, geovisualization</t>
  </si>
  <si>
    <t>Maintaining interactivity while exploring massive time series</t>
  </si>
  <si>
    <t>10.1109/VAST.2008.4677357</t>
  </si>
  <si>
    <t>The speed of data retrieval qualitatively affects how analysts visually explore and analyze their data. To ensure smooth interactions in massive time series datasets, one needs to address the challenges of computing &amp;lt;i&amp;gt;ad&amp;lt;/i&amp;gt; &amp;lt;i&amp;gt;hoc&amp;lt;/i&amp;gt;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</si>
  <si>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Sye-Min Chan;Ling Xiao;John Gerth;Pat Hanrahan</t>
  </si>
  <si>
    <t>Stanford University, USA;Stanford University, USA;Stanford University, USA;Stanford University, USA</t>
  </si>
  <si>
    <t>10.1109/VAST.2006.261437;10.1109/VAST.2007.4388998</t>
  </si>
  <si>
    <t>Collaborative synthesis of visual analytic results</t>
  </si>
  <si>
    <t>10.1109/VAST.2008.4677358</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</si>
  <si>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</si>
  <si>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Anthony C. Robinson</t>
  </si>
  <si>
    <t>GeoVISTA Center, Department of Geography, The Pennsylvania State University, USA</t>
  </si>
  <si>
    <t>10.1109/VAST.2007.4389011;10.1109/TVCG.2007.70594;10.1109/TVCG.2007.70568</t>
  </si>
  <si>
    <t>Visual evaluation of text features for document summarization and analysis</t>
  </si>
  <si>
    <t>10.1109/VAST.2008.4677359</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</si>
  <si>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</si>
  <si>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Daniela Oelke;Peter Bak;Daniel A. Keim;Mark Last;Guy Danon</t>
  </si>
  <si>
    <t>University of Konstanz, Germany;University of Konstanz, Germany;University of Konstanz, Germany;Ben-Gurion University of the Negev, Israel;Ben-Gurion University of the Negev, Israel</t>
  </si>
  <si>
    <t>10.1109/VISUAL.1993.398863;10.1109/INFVIS.1995.528686;10.1109/VAST.2007.4389004</t>
  </si>
  <si>
    <t>Evaluating the relationship between user interaction and financial visual analysis</t>
  </si>
  <si>
    <t>10.1109/VAST.2008.4677360</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</si>
  <si>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</si>
  <si>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Dong Hyun Jeong;Wenwen Dou;Heather Lipford;Felesia Stukes;Remco Chang;William Ribarsky</t>
  </si>
  <si>
    <t>Dong Hyun Jeong;Wenwen Dou;Heather Richter Lipford;Felesia Stukes;Remco Chang;William Ribarsky</t>
  </si>
  <si>
    <t>UNC Charlotte, Viscenter, USA;UNC Charlotte, Viscenter, USA;UNC Charlotte, HCI Lab, USA;UNC Charlotte, HCI Lab, USA;UNC Charlotte, Viscenter, USA;UNC Charlotte, Viscenter, USA</t>
  </si>
  <si>
    <t>Visual analytics for complex concepts using a human cognition model</t>
  </si>
  <si>
    <t>10.1109/VAST.2008.4677361</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</si>
  <si>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</si>
  <si>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Tera Marie Green;William Ribarsky;Brian D. Fisher</t>
  </si>
  <si>
    <t>Tera Marie Green;William Ribarsky;Brian Fisher</t>
  </si>
  <si>
    <t>Charlotte Visualization Center, University of North Carolina, USA;Charlotte Visualization Center, University of North Carolina, USA;School of Interactive Arts and Technology, Simon Fraser University, Canada</t>
  </si>
  <si>
    <t>10.1109/VISUAL.2005.1532781;10.1109/VAST.2006.261425;10.1109/TVCG.2007.70574;10.1109/VAST.2007.4389006;10.1109/VAST.2007.4389005;10.1109/VAST.2007.4389009;10.1109/INFVIS.1995.528686</t>
  </si>
  <si>
    <t>visual analytics, cognition and perception theory, embodied cognition, visualization taxonomies and models</t>
  </si>
  <si>
    <t>Entity-based collaboration tools for intelligence analysis</t>
  </si>
  <si>
    <t>10.1109/VAST.2008.4677362</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</si>
  <si>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</si>
  <si>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Eric A. Bier;Stuart K. Card;John W. Bodnar</t>
  </si>
  <si>
    <t>Palo Alto Research Center, Inc., 3333 Coyote Hill Road, California, 94304, USA;Palo Alto Research Center, Inc., 3333 Coyote Hill Road, California, 94304, USA;Science Applications International Corporation, 1710 SAIC Drive, McLean, VA 22102, USA</t>
  </si>
  <si>
    <t>10.1109/VAST.2006.261427;10.1109/VAST.2007.4389006</t>
  </si>
  <si>
    <t>sensemaking, information foraging, collective intelligence, exploratory search, information workspace, entity-based, collaboration, intelligence analysis, visualization, semantic notebook, argumentation marshalling, visual analytics</t>
  </si>
  <si>
    <t>Applied visual analytics for economic decision-making</t>
  </si>
  <si>
    <t>10.1109/VAST.2008.4677363</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</si>
  <si>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</si>
  <si>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Anya Samak;Ross Maciejewski;David S. Ebert</t>
  </si>
  <si>
    <t>Anya Savikhin;Ross Maciejewski;David S. Ebert</t>
  </si>
  <si>
    <t>Purdue University Department of Economics, USA;Purdue University Regional Visualization and Analytics Center (PURVAC), USA;Purdue University Regional Visualization and Analytics Center (PURVAC), USA</t>
  </si>
  <si>
    <t>Narratives: A visualization to track narrative events as they develop</t>
  </si>
  <si>
    <t>10.1109/VAST.2008.4677364</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</si>
  <si>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</si>
  <si>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Danyel Fisher;Aaron Hoff;George G. Robertson;Matthew Hurst</t>
  </si>
  <si>
    <t>Danyel Fisher;Aaron Hoff;George Robertson;Matthew Hurst</t>
  </si>
  <si>
    <t>Microsoft Research, USA;Microsoft Research, USA;Microsoft Research, USA;Microsoft Live Labs, Switzerland</t>
  </si>
  <si>
    <t>10.1109/INFVIS.2005.1532122;10.1109/INFVIS.1999.801851</t>
  </si>
  <si>
    <t>blogs, events, trends, time series, topic detection and tracking</t>
  </si>
  <si>
    <t>Vienna Univ. of Technol., Vienna|c|;;;;;</t>
  </si>
  <si>
    <t>http://dx.doi.org/10.1109/TVCG.2007.70551</t>
  </si>
  <si>
    <t>Univ. of Kaiserslautern, Kaiserslautern|c|;;;</t>
  </si>
  <si>
    <t>http://dx.doi.org/10.1109/TVCG.2007.70552</t>
  </si>
  <si>
    <t>http://dx.doi.org/10.1109/TVCG.2007.70553</t>
  </si>
  <si>
    <t>Univ. of Groningen, Groningen|c|;</t>
  </si>
  <si>
    <t>http://dx.doi.org/10.1109/TVCG.2007.70554</t>
  </si>
  <si>
    <t>ETH Zurich, Zurich|c|;</t>
  </si>
  <si>
    <t>http://dx.doi.org/10.1109/TVCG.2007.70555</t>
  </si>
  <si>
    <t>Vienna Univ. of Technol., Vienna|c|;</t>
  </si>
  <si>
    <t>http://dx.doi.org/10.1109/TVCG.2007.70556</t>
  </si>
  <si>
    <t>Napier Univ, Edinburgh|c|;</t>
  </si>
  <si>
    <t>http://dx.doi.org/10.1109/TVCG.2007.70557</t>
  </si>
  <si>
    <t>Univ. Leipzig, Leipzig|c|;;;;</t>
  </si>
  <si>
    <t>http://dx.doi.org/10.1109/TVCG.2007.70558</t>
  </si>
  <si>
    <t>We introduce a series of geographically weighted (GW) interactive graphics, or geowigs, and use them to explore spatial relationships at a range of scales. We visually encode information about geographic and statistical proximity and variation in novel ways through gw-choropleth maps, multivariate gw-boxplots, gw-shading and scalograms.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geowigs proposed here provide informative representations of multivariate local variation, particularly when combined with interactions that coordinate views and result in gw-shading. We argue that they are widely applicable to area and point-based geographic data and provide a set of methods to support visual analysis using GW statistics through which the effects of geography can be explored at multiple scales.</t>
  </si>
  <si>
    <t>City Univ., London|c|;</t>
  </si>
  <si>
    <t>http://dx.doi.org/10.1109/TVCG.2007.70559</t>
  </si>
  <si>
    <t>Texas A&amp;M Univ., College Station|c|;</t>
  </si>
  <si>
    <t>http://dx.doi.org/10.1109/TVCG.2007.70560</t>
  </si>
  <si>
    <t>Characterizing users' visual analytic activity for insight provenance</t>
  </si>
  <si>
    <t>10.1109/VAST.2008.4677365</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</si>
  <si>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</si>
  <si>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David Gotz;Michelle X. Zhou</t>
  </si>
  <si>
    <t>IBM T.J. Watson Research Center, USA;IBM T.J. Watson Research Center, USA</t>
  </si>
  <si>
    <t>10.1109/INFVIS.2004.2;10.1109/INFVIS.1996.559213;10.1109/TVCG.2007.70577;10.1109/VISUAL.2005.1532788;10.1109/VAST.2007.4388992;10.1109/INFVIS.2005.1532136;10.1109/INFVIS.1998.729560;10.1109/INFVIS.2004.10;10.1109/VAST.2006.261430;10.1109/INFVIS.2000.885092;10.1109/VISUAL.1990.146375;10.1109/VISUAL.2002.1183791</t>
  </si>
  <si>
    <t>Taxonomy, Information Visualization, Analytic Activity, Visual Analytics, Insight Provenance</t>
  </si>
  <si>
    <t>The Scalable Reasoning System: Lightweight visualization for distributed analytics</t>
  </si>
  <si>
    <t>10.1109/VAST.2008.4677366</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</si>
  <si>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</si>
  <si>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William A. Pike;Joe Bruce;Bob Baddeley;Daniel M. Best;Lyndsey Franklin;Richard May;Douglas M. Rice;Roderick M. Riensche;Katarina Younkin</t>
  </si>
  <si>
    <t>William A. Pike;Joe Bruce;Bob Baddeley;Daniel Best;Lyndsey Franklin;Richard May;Douglas M. Rice;Rick Riensche;Katarina Younkin</t>
  </si>
  <si>
    <t>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t>
  </si>
  <si>
    <t>10.1109/TVCG.2007.70577;10.1109/TVCG.2006.142;10.1109/VAST.2007.4388996;10.1109/INFVIS.2005.1532133;10.1109/VISUAL.1993.398874;10.1109/VAST.2007.4389006;10.1109/VAST.2007.4388991</t>
  </si>
  <si>
    <t>Web visualization, mobile visualization, analytic reasoning, law enforcement, multiple views</t>
  </si>
  <si>
    <t>Generating hypotheses of trends in high-dimensional data skeletons</t>
  </si>
  <si>
    <t>10.1109/VAST.2008.4677367</t>
  </si>
  <si>
    <t>Johanna Beyer;Markus Hadwiger;Stefan Wolfsberger;Katja B�_hler</t>
  </si>
  <si>
    <t>VRVis Res. Center, Vienna|c|;;;</t>
  </si>
  <si>
    <t>http://dx.doi.org/10.1109/TVCG.2007.70561</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</si>
  <si>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</si>
  <si>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Chandan K. Reddy;Snehal Pokharkar;Tin Kam Ho</t>
  </si>
  <si>
    <t>Department of Computer Science, Wayne State University, USA;Department of Computer Science, Wayne State University, USA;Bell Labs, Alcatel-Lucent, USA</t>
  </si>
  <si>
    <t>Multivariate visual explanation for high dimensional datasets</t>
  </si>
  <si>
    <t>10.1109/VAST.2008.4677368</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</si>
  <si>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</si>
  <si>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Scott Barlowe;Tianyi Zhang;Yujie Liu;Jing Yang 0001;Donald J. Jacobs</t>
  </si>
  <si>
    <t>Microsoft Res., Redmond|c|</t>
  </si>
  <si>
    <t>http://dx.doi.org/10.1109/TVCG.2007.70565</t>
  </si>
  <si>
    <t>State Univ. of New Jersey, Brunswick|c|;;</t>
  </si>
  <si>
    <t>http://dx.doi.org/10.1109/TVCG.2007.70566</t>
  </si>
  <si>
    <t>Univ. of Utah, Santa Clara|c|;;;</t>
  </si>
  <si>
    <t>http://dx.doi.org/10.1109/TVCG.2007.70567</t>
  </si>
  <si>
    <t>Scott Barlowe;Tianyi Zhang;Yujie Liu;Jing Yang;Donald Jacobs</t>
  </si>
  <si>
    <t>Dept of Computer Science, University of North Carolina at Charlotte, USA;Dept of Computer Science, University of North Carolina at Charlotte, USA;Dept of Computer Science, University of North Carolina at Charlotte, USA;Dept of Computer Science, University of North Carolina at Charlotte, USA;Dept of Physics and Optical Science, University of North Carolina at Charlotte, USA</t>
  </si>
  <si>
    <t>10.1109/INFVIS.2005.1532142;10.1109/INFVIS.2004.10;10.1109/VISUAL.1995.485140;10.1109/VISUAL.1995.485139;10.1109/INFVIS.2004.3;10.1109/INFVIS.2004.71</t>
  </si>
  <si>
    <t>visual analysis, multivariate analysis, dimension reduction, multivariate model construction, multivariate visualization</t>
  </si>
  <si>
    <t>Visual mining of multimedia data for social and behavioral studies</t>
  </si>
  <si>
    <t>10.1109/VAST.2008.4677369</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</si>
  <si>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demonstrate various functions in our visualization program using a set of multimedia data including video, audio and motion tracking data.</t>
  </si>
  <si>
    <t>Chen Yu;Yiwen Zhong;Thomas G. Smith 0002;Ikhyun Park;Weixia Huang</t>
  </si>
  <si>
    <t>Chen Yu;Yiwen Zhong;Thomas Smith;Ikhyun Park;Weixia Huang</t>
  </si>
  <si>
    <t>Indiana University, USA;Indiana University, USA;Indiana University, USA;Indiana University, USA;Indiana University, USA</t>
  </si>
  <si>
    <t>10.1109/INFVIS.2001.963273;10.1109/INFVIS.1999.801851</t>
  </si>
  <si>
    <t>visual data mining, multimedia data</t>
  </si>
  <si>
    <t>Multidimensional visual analysis using cross-filtered views</t>
  </si>
  <si>
    <t>10.1109/VAST.2008.4677370</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</si>
  <si>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</si>
  <si>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The GeoVISTA Center and Department of Geography, The Pennsylvania State University, USA</t>
  </si>
  <si>
    <t>10.1109/TVCG.2006.178;10.1109/VAST.2006.261428;10.1109/INFVIS.2003.1249024;10.1109/INFVIS.2000.885086;10.1109/VISUAL.1994.346302;10.1109/INFVIS.1998.729560;10.1109/TVCG.2007.70594;10.1109/VAST.2007.4389006</t>
  </si>
  <si>
    <t>Interactive poster: Visual analytic techniques for CO₂ emissions and concentrations in the United States</t>
  </si>
  <si>
    <t>10.1109/VAST.2008.4677372</t>
  </si>
  <si>
    <t>Climate change has emerged as one of the grand global challenges facing humanity. The dominant anthropogenic greenhouse gas that seems to be contributing to the climate change problem, carbon dioxide (CO&lt;sub&gt;2&lt;/sub&gt;), has a complex cycle through the atmosphere, oceans and biosphere. The combustion of fossil fuels (power production, transportation, etc.) remains the largest source of anthropogenic CO&lt;sub&gt;2&lt;/sub&gt; to the Earthpsilas atmosphere. Up until very recently, the quantification of fossil fuel CO&lt;sub&gt;2&lt;/sub&gt; was understood only at coarse space and time scales. A recent research effort has greatly improved this space/time quantification resulting in source data at a resolution of less than 10 km&lt;sup&gt;2&lt;/sup&gt;/hr at the surface of North America. By providing visual tools to examine this new, high resolution CO&lt;sub&gt;2&lt;/sub&gt; data, we can better understand the way that CO&lt;sub&gt;2&lt;/sub&gt;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CO&lt;sub&gt;2&lt;/sub&gt; emissions in the U.S.</t>
  </si>
  <si>
    <t>Nathan Andrysco;Bedrich Benes;Kevin R. Gurney</t>
  </si>
  <si>
    <t>Nathan Andrysco;Bedrich Benes;Kevin Gurney</t>
  </si>
  <si>
    <t>Department of Computer Science, Purdue University, USA;Department of Computer Graphics Technology, Purdue University, USA;Department of Atmospheric Sciences, Purdue University, USA</t>
  </si>
  <si>
    <t>Envisioning user models for adaptive visualization</t>
  </si>
  <si>
    <t>10.1109/VAST.2008.4677373</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</si>
  <si>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</si>
  <si>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Jae-wook Ahn;Peter Brusilovsky</t>
  </si>
  <si>
    <t>School of Information Sciences, University of Pittsburgh, USA;School of Information Sciences, University of Pittsburgh, USA</t>
  </si>
  <si>
    <t>A compound approach for interactive visualization of time-oriented data</t>
  </si>
  <si>
    <t>10.1109/VAST.2008.4677374</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</si>
  <si>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</si>
  <si>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Tim Lammarsch</t>
  </si>
  <si>
    <t>Department of Information and Knowledge Engineering (ike), Danube University Krems, Austria</t>
  </si>
  <si>
    <t>Interactive poster - SocialRank: An ego- and time-centric workflow for relationship identification</t>
  </si>
  <si>
    <t>10.1109/VAST.2008.4677375</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</si>
  <si>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</si>
  <si>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Jaime Montemayor;Christopher P. Diehl;Michael Pekala;David Patrone</t>
  </si>
  <si>
    <t>Jaime Montemayor;Chris Diehl;Mike Pekala;David Patrone</t>
  </si>
  <si>
    <t>Milton Eisenhower Research Center, The Johns Hopkins University Applied Physics Laboratory, USA;Milton Eisenhower Research Center, The Johns Hopkins University Applied Physics Laboratory, USA;Milton Eisenhower Research Center, The Johns Hopkins University Applied Physics Laboratory, USA;Milton Eisenhower Research Center, The Johns Hopkins University Applied Physics Laboratory, USA</t>
  </si>
  <si>
    <t>Visual analysis for mutual fund performance</t>
  </si>
  <si>
    <t>10.1109/VAST.2008.4677376</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</si>
  <si>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</si>
  <si>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Ye Zhao;Jamal Alsakran;Xinlei Zhao</t>
  </si>
  <si>
    <t>Kent State University, USA;Kent State University, USA;Kent State University, USA</t>
  </si>
  <si>
    <t>An information visualisation system for the understanding of web data</t>
  </si>
  <si>
    <t>10.1109/VAST.2008.4677377</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</si>
  <si>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</si>
  <si>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Victor Pascual-Cid</t>
  </si>
  <si>
    <t>Web Research Group, Universitat Pompeu Fabra and Fundació Barcelona Media, Spain</t>
  </si>
  <si>
    <t>Univ. of North Carolina-Chapel Hill, Chapel Hill|c|;;</t>
  </si>
  <si>
    <t>http://dx.doi.org/10.1109/TVCG.2007.70568</t>
  </si>
  <si>
    <t>Univ. of Calgary, Calgary|c|;</t>
  </si>
  <si>
    <t>http://dx.doi.org/10.1109/TVCG.2007.70569</t>
  </si>
  <si>
    <t>Univ. of Magdeburg, Magdeburg|c|;;;;</t>
  </si>
  <si>
    <t>http://dx.doi.org/10.1109/TVCG.2007.70570</t>
  </si>
  <si>
    <t>City Univ., London|c|;;;</t>
  </si>
  <si>
    <t>http://dx.doi.org/10.1109/TVCG.2007.70571</t>
  </si>
  <si>
    <t>Univ. of Utah, Salt Lake City|c|;;;</t>
  </si>
  <si>
    <t>http://dx.doi.org/10.1109/TVCG.2007.70572</t>
  </si>
  <si>
    <t>Supporting exploration awareness for visual analytics</t>
  </si>
  <si>
    <t>10.1109/VAST.2008.4677378</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</si>
  <si>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</si>
  <si>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Eindhoven University of Technology, The Netherlands;Eindhoven University of Technology, The Netherlands</t>
  </si>
  <si>
    <t>Interactive poster: Visual data mining of unevenly-spaced event sequences</t>
  </si>
  <si>
    <t>10.1109/VAST.2008.4677379</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</si>
  <si>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</si>
  <si>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Alex Godwin;Remco Chang;Robert Kosara;William Ribarsky</t>
  </si>
  <si>
    <t>Visualization Center, University of North Carolina at Charlotte, USA;Visualization Center, University of North Carolina at Charlotte, USA;Visualization Center, University of North Carolina at Charlotte, USA;Visualization Center, University of North Carolina at Charlotte, USA</t>
  </si>
  <si>
    <t>A 3D treemap approach for analyzing the classificatory distribution in patent portfolios</t>
  </si>
  <si>
    <t>10.1109/VAST.2008.4677380</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</si>
  <si>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</si>
  <si>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Mark Giereth;Harald Bosch;Thomas Ertl</t>
  </si>
  <si>
    <t>Visualization and Interactive Systems Institute (VIS), University of Stuttgart, Germany;Visualization and Interactive Systems Institute (VIS), University of Stuttgart, Germany;Visualization and Interactive Systems Institute (VIS), University of Stuttgart, Germany</t>
  </si>
  <si>
    <t>Visual analysis of seismic simulation data</t>
  </si>
  <si>
    <t>10.1109/VAST.2008.4677381</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</si>
  <si>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</si>
  <si>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Florian Jürgen Gerhardt;Joerg Meyer</t>
  </si>
  <si>
    <t>Florian Juergen Gerhardt;Joerg Meyer</t>
  </si>
  <si>
    <t>Technical University of Kaiserslautern, Germany;Electrical Engineering and Computer Science Department, University of California, Irvine, USA</t>
  </si>
  <si>
    <t>VAST 2008 Challenge: Introducing mini-challenges</t>
  </si>
  <si>
    <t>Univ. of New Mexico, Albuquerque|c|;;;</t>
  </si>
  <si>
    <t>http://dx.doi.org/10.1109/TVCG.2007.70573</t>
  </si>
  <si>
    <t>10.1109/VAST.2008.4677383</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</si>
  <si>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</si>
  <si>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Georges G. Grinstein;Catherine Plaisant;Sharon J. Laskowski;Teresa O'Connell;Jean Scholtz;Mark A. Whiting</t>
  </si>
  <si>
    <t>University of Massachusetts, Lowell, USA;University of Maryland, USA;National Institute of Standards and Technology, USA;National Institute of Standards and Technology, USA;Pacific Northwest National Laboratory, USA;Pacific Northwest National Laboratory, USA</t>
  </si>
  <si>
    <t>Grand challenge award: Data integration visualization and collaboration in the VAST 2008 Challenge</t>
  </si>
  <si>
    <t>10.1109/VAST.2008.4677384</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</si>
  <si>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</si>
  <si>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Donald A. Pellegrino;Chi-Chun Pan;Anthony C. Robinson;Michael Stryker;Junyan Luo;Chris Weaver;Prasenjit Mitra;Chaomei Chen;Ian Turton;Alan M. MacEachren</t>
  </si>
  <si>
    <t>Donald Pellegrino;Chi-Chun Pan;Anthony Robinson;Michael Stryker;Junyan Luo;Chris Weaver;Prasenjit Mitra;Chaomei Chen;Ian Turton;Alan MacEachren</t>
  </si>
  <si>
    <t>Drexel University, USA;Penn State University, USA;Penn State University, USA;Penn State University, USA;Penn State University, USA;Penn State University, USA;Penn State University, USA;Drexel University, USA;Penn State University, USA;Penn State University, USA</t>
  </si>
  <si>
    <t>Grand challenge award 2008: Support for diverse analytic techniques - nSpace2 and GeoTime visual analytics</t>
  </si>
  <si>
    <t>10.1109/VAST.2008.4677385</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</si>
  <si>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</si>
  <si>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Lynn Chien;Annie Tat;Pascale Proulx;Adeel Khamisa;William Wright</t>
  </si>
  <si>
    <t>Oculus Info Inc., USA;Oculus Info Inc., USA;Oculus Info Inc., USA;Oculus Info Inc., USA;Oculus Info Inc., USA</t>
  </si>
  <si>
    <t>Grand challenge award: Interactive visual analytics palantir: The future of analysis</t>
  </si>
  <si>
    <t>10.1109/VAST.2008.4677386</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</si>
  <si>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</si>
  <si>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Jason Payne;Jake Solomon;Ravi Sankar;Bob McGrew</t>
  </si>
  <si>
    <t>100 Hamilton Ave Suite 300 Palo Alto CA 94301, USA;100 Hamilton Ave Suite 300 Palo Alto CA 94301, USA;100 Hamilton Ave Suite 300 Palo Alto CA 94301, USA;100 Hamilton Ave Suite 300 Palo Alto CA 94301, USA</t>
  </si>
  <si>
    <t>Migrant boat mini challenge award: Simple and effective integrated display geo-temporal analysis of migrant boats</t>
  </si>
  <si>
    <t>10.1109/VAST.2008.4677387</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</si>
  <si>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</si>
  <si>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Ranko Miklin;Tomislav Lipic;Zoltan Konyha;Mario Beric;Wolfgang Freiler;Kresimir Matkovic;Denis Gracanin</t>
  </si>
  <si>
    <t>R. Miklin;T. Lipic;Z. Konyha;M. Beric;W. Freiler;K. Matkovic;D. Gracanin</t>
  </si>
  <si>
    <t>Dept. of Telecom.¿FER, Univ. of Zagreb, Croatia;Dept. of Telecom.¿FER, Univ. of Zagreb, Croatia;VRVis Research, Vienna, Austria;Dept. of Telecom.¿FER, Univ. of Zagreb, Croatia;VRVis Research, Vienna, Austria;VRVis Research, Vienna, Austria;Virginia Tech, Blacksburg, USA</t>
  </si>
  <si>
    <t>Evacuation trace Mini Challenge award: Tool integration analysis of movements with Geospatial Visual Analytics Toolkit</t>
  </si>
  <si>
    <t>10.1109/VAST.2008.4677388</t>
  </si>
  <si>
    <t>Stony Brook Univ., Stony Brook|c|;;;;;</t>
  </si>
  <si>
    <t>http://dx.doi.org/10.1109/TVCG.2007.70574</t>
  </si>
  <si>
    <t>UNC Charlotte, Charlotte|c|;;;;</t>
  </si>
  <si>
    <t>http://dx.doi.org/10.1109/TVCG.2007.70575</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</si>
  <si>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(D50) and clarity (C50)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(C50) values at listener positions throughout the room.</t>
  </si>
  <si>
    <t>IRTG Kaiserslautern, Kaiserslautern|c|;;;;</t>
  </si>
  <si>
    <t>http://dx.doi.org/10.1109/TVCG.2007.70576</t>
  </si>
  <si>
    <t>Peter Kohlmann;Stefan Bruckner;Armin Kanitsar;M. Eduard Gr̦ller</t>
  </si>
  <si>
    <t>Vienna Univ. of Technol., Vienna|c|;;;</t>
  </si>
  <si>
    <t>http://dx.doi.org/10.1109/TVCG.2007.70577</t>
  </si>
  <si>
    <t>Fernanda B. Vi̩gas;Martin Wattenberg;Frank van Ham;Jesse Kriss;Matthew M. McKeon</t>
  </si>
  <si>
    <t>IBM Res., Yorktown Heights|c|;;;;</t>
  </si>
  <si>
    <t>http://dx.doi.org/10.1109/TVCG.2007.70578</t>
  </si>
  <si>
    <t>Univ. of Wisconsin, Madison|c|;</t>
  </si>
  <si>
    <t>http://dx.doi.org/10.1109/TVCG.2007.70579</t>
  </si>
  <si>
    <t>Univ. of Kaiserslautern, Kaiserslautern|c|;;;;;;;;</t>
  </si>
  <si>
    <t>http://dx.doi.org/10.1109/TVCG.2007.70580</t>
  </si>
  <si>
    <t>Israel Inst. of Technol., Haifa|c|;</t>
  </si>
  <si>
    <t>http://dx.doi.org/10.1109/TVCG.2007.70581</t>
  </si>
  <si>
    <t>Randall C. Smith;Richard R. Pawlicki;Istv��n K�_kai;J̦rg Finger;Thomas Vetter</t>
  </si>
  <si>
    <t>GM R&amp;D, Bangalore|c|;;;;</t>
  </si>
  <si>
    <t>http://dx.doi.org/10.1109/TVCG.2007.70582</t>
  </si>
  <si>
    <t>Univ. of Sydney, Sydney|c|;;</t>
  </si>
  <si>
    <t>http://dx.doi.org/10.1109/TVCG.2007.70583</t>
  </si>
  <si>
    <t>Univ. of British Columbia, Vancouver|c|;;</t>
  </si>
  <si>
    <t>http://dx.doi.org/10.1109/TVCG.2007.70584</t>
  </si>
  <si>
    <t>Carlos Eduardo Scheidegger;Huy T. Vo;David Koop;Juliana Freire;Cl��udio T. Silva</t>
  </si>
  <si>
    <t>Univ. of Utah, Salt Lake|c|;;;;</t>
  </si>
  <si>
    <t>http://dx.doi.org/10.1109/TVCG.2007.70585</t>
  </si>
  <si>
    <t>Korea Adv. Inst. of Sci. &amp; Technol.|c|;</t>
  </si>
  <si>
    <t>http://dx.doi.org/10.1109/TVCG.2007.70586</t>
  </si>
  <si>
    <t>Univ. of California, Irvine|c|;;</t>
  </si>
  <si>
    <t>Tile-based Level of Detail for the Parallel Age</t>
  </si>
  <si>
    <t>http://dx.doi.org/10.1109/TVCG.2007.70587</t>
  </si>
  <si>
    <t>NVIDIA Corp., Santa Clara|c|;</t>
  </si>
  <si>
    <t>http://dx.doi.org/10.1109/TVCG.2007.70588</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</si>
  <si>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</si>
  <si>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Natalia V. Andrienko;Gennady L. Andrienko</t>
  </si>
  <si>
    <t>Natalia Andrienko;Gennady Andrienko</t>
  </si>
  <si>
    <t>Cell phone mini challenge award: Social network accuracy - exploring temporal communication in mobile call graphs</t>
  </si>
  <si>
    <t>10.1109/VAST.2008.4677389</t>
  </si>
  <si>
    <t>VRVis Res. Center|c|;;;</t>
  </si>
  <si>
    <t>http://dx.doi.org/10.1109/TVCG.2007.70589</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</si>
  <si>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</si>
  <si>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Qi Ye;Tian Zhu;Deyong Hu;Bin Wu 0001;Nan Du;Bai Wang 0001</t>
  </si>
  <si>
    <t>Qi Ye;Tian Zhu;Deyong Hu;Bin Wu;Nan Du;Bai Wang</t>
  </si>
  <si>
    <t>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China;Beijing University of Posts and Telecommunications, Beijing Key Lab of Intelligent Telecommunications Software and Multimedia, China</t>
  </si>
  <si>
    <t>Evacuation traces mini challenge: User testing to obtain consensus discovering the terrorist</t>
  </si>
  <si>
    <t>10.1109/VAST.2008.4677390</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</si>
  <si>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</si>
  <si>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Adalberto L. Simeone;Paolo Buono</t>
  </si>
  <si>
    <t>Univ. of California, Berkeley|c|;;</t>
  </si>
  <si>
    <t>Adalberto L. Simeone;Buono Paolo</t>
  </si>
  <si>
    <t>University of Bari, Italy;University of Bari, Italy</t>
  </si>
  <si>
    <t>Cell phone mini challenge award: Intuitive social network graphs visual analytics of cell phone data using mobivis and ontovis</t>
  </si>
  <si>
    <t>http://dx.doi.org/10.1109/TVCG.2007.70590</t>
  </si>
  <si>
    <t>10.1109/VAST.2008.4677391</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</si>
  <si>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</si>
  <si>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Carlos D. Correa;Tarik Crnovrsanin;Chris Muelder;Zeqian Shen;Ryan Armstrong;James Shearer;Kwan-Liu Ma</t>
  </si>
  <si>
    <t>Carlos D. Correa;Tarik Crnovrsanin;Christopher Muelder;Zeqian Shen;Ryan Armstrong;James Shearer;Kwan-Liu Ma</t>
  </si>
  <si>
    <t>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t>
  </si>
  <si>
    <t>Using SocialAction to uncover structure in social networks over time</t>
  </si>
  <si>
    <t>10.1109/VAST.2008.4677392</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</si>
  <si>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</si>
  <si>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Adam Perer</t>
  </si>
  <si>
    <t>Human-Computer Interaction Lab &amp; Department of Computer Science, University of Maryland, USA</t>
  </si>
  <si>
    <t>Univ. of California at Davis, Davis|c|;;;;;</t>
  </si>
  <si>
    <t>http://dx.doi.org/10.1109/TVCG.2007.70591</t>
  </si>
  <si>
    <t>Cell phone Mini Challenge: Node-link animation award animating multivariate dynamic social networks</t>
  </si>
  <si>
    <t>10.1109/VAST.2008.4677393</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</si>
  <si>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</si>
  <si>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Michael Farrugia;Aaron J. Quigley</t>
  </si>
  <si>
    <t>Michael Farrugia;Aaron Quigley</t>
  </si>
  <si>
    <t>University College Dublin, Ireland;University College Dublin, Ireland</t>
  </si>
  <si>
    <t>Migrant boat mini challenge award: Analysis summary a geo-temporal analysis of the migrant boat dataset</t>
  </si>
  <si>
    <t>10.1109/VAST.2008.4677394</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</si>
  <si>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</si>
  <si>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Benjamin Holland;Lisa Kuchy;Jason Dalton</t>
  </si>
  <si>
    <t>SPADAC, Inc., USA;SPADAC, Inc., USA;SPADAC, Inc., USA</t>
  </si>
  <si>
    <t>Evacuation Traces Mini Challenge award: Innovative trace visualization staining for information discovery</t>
  </si>
  <si>
    <t>Peter Rautek;Stefan Bruckner;M. Eduard Gr̦ller</t>
  </si>
  <si>
    <t>10.1109/VAST.2008.4677395</t>
  </si>
  <si>
    <t>Vienna Univ. of Technol., Vienna|c|;;</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</si>
  <si>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</si>
  <si>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Dennis J. Bouvier;Britian Oates</t>
  </si>
  <si>
    <t>Dennis J. Bouvier;Britain Oates</t>
  </si>
  <si>
    <t>Southern Illinois University Edwardsville, USA;Southern Illinois University Edwardsville, USA</t>
  </si>
  <si>
    <t>http://dx.doi.org/10.1109/TVCG.2007.70592</t>
  </si>
  <si>
    <t>Award: Efficient toolkit integration solving the cell phone calls challenge with the Prajna Project</t>
  </si>
  <si>
    <t>10.1109/VAST.2008.4677396</t>
  </si>
  <si>
    <t>The Prajna Project is a Java toolkit designed to provide various capabilities for visualization, knowledge representation, geographic displays, semantic reasoning, and data fusion. Rather than attempt to recreate the significant capabilities provided in other tools, Prajna instead provides software bridges to incorporate other toolkits where appropriate. This challenge required the development of a custom application for visual analysis. By applying the utilities within the Prajna project, I developed a robust and diverse set of capabilities to solve the analytical challenge.</t>
  </si>
  <si>
    <t>Edward Swing</t>
  </si>
  <si>
    <t>Vision Systems &amp; Technology, Inc., USA</t>
  </si>
  <si>
    <t>A Comparison of the Perceptual Benefits of Linear Perspective and Physically-Based Illumination for Display of Dense 3D Streamtubes</t>
  </si>
  <si>
    <t>10.1109/TVCG.2008.108</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</si>
  <si>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</si>
  <si>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Chris Weigle;David Banks</t>
  </si>
  <si>
    <t>UT/ORNL Joint Institiute for Computational Sciences, Department of Electrical Engineering and Computer Science, University of Tennessee;UT/ORNL Joint Institiute for Computational Sciences, Department of Electrical Engineering and Computer Science, University of Tennessee</t>
  </si>
  <si>
    <t>10.1109/TVCG.2006.197;10.1109/VISUAL.2003.1250395</t>
  </si>
  <si>
    <t>user study, volume completion, 3D shape perception, physically-based illumination, global illumination, local illumination, multi-scale visualization, flow visualization, streamtubes, DT-MRI, white matter tractography</t>
  </si>
  <si>
    <t>A Practical Approach to Morse-Smale Complex Computation: Scalability and Generality</t>
  </si>
  <si>
    <t>Purdue Univ., West Lafayette|c|;;</t>
  </si>
  <si>
    <t>10.1109/TVCG.2008.110</t>
  </si>
  <si>
    <t>http://dx.doi.org/10.1109/TVCG.2007.70593</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</si>
  <si>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billion/1024&lt;sup&gt;3&lt;/sup&gt;node grid on a laptop computer with 2 Gb memory.</t>
  </si>
  <si>
    <t>Attila Gyulassy;Peer-Timo Bremer;Bernd Hamann;Valerio Pascucci</t>
  </si>
  <si>
    <t>Attila Gyulassy is with UC Davis and Lawrence Livermore National Laboratory, E-mail: aggyulassy@ucdavis.edu.;Peer-Timo Bremer is with Lawrence Livermore National Laboratory, E-mail: ptbremer@acm.org.;Bernd Hamann is with University of California, Davis, E-mail: hamann@cs.ucdavis.edu.;Valerio Pascucci is with University of Utah, E-mail: pascucci@acm.org.</t>
  </si>
  <si>
    <t>10.1109/VISUAL.2005.1532839;10.1109/VISUAL.1998.745329;10.1109/VISUAL.2004.96;10.1109/TVCG.2007.70552;10.1109/VISUAL.1998.745312;10.1109/VISUAL.2000.885680;10.1109/VISUAL.2000.885703;10.1109/TVCG.2006.186</t>
  </si>
  <si>
    <t>Topology-based analysis, Morse-Smale complex, large scale data</t>
  </si>
  <si>
    <t>AD-Frustum: Adaptive Frustum Tracing for Interactive Sound Propagation</t>
  </si>
  <si>
    <t>10.1109/TVCG.2008.111</t>
  </si>
  <si>
    <t>Indiana Univ., Bloomington|c|;</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</si>
  <si>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</si>
  <si>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Anish Chandak;Christian Lauterbach;Micah T. Taylor;Zhimin Ren;Dinesh Manocha</t>
  </si>
  <si>
    <t>Anish Chandak;Christian Lauterbach;Micah Taylor;Zhimin Ren;Dinesh Manocha</t>
  </si>
  <si>
    <t>UNC-Chapel Hill;UNC-Chapel Hill;UNC-Chapel Hill;UNC-Chapel Hill;UNC-Chapel Hill</t>
  </si>
  <si>
    <t>http://dx.doi.org/10.1109/TVCG.2007.70594</t>
  </si>
  <si>
    <t>10.1109/TVCG.2007.70575;10.1109/TVCG.2006.125;10.1109/VISUAL.2005.1532790</t>
  </si>
  <si>
    <t>Sound propagation, interactive system, auralization</t>
  </si>
  <si>
    <t>An Efficient Naturalness-Preserving Image-Recoloring Method for Dichromats</t>
  </si>
  <si>
    <t>10.1109/TVCG.2008.112</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</si>
  <si>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</si>
  <si>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Giovane R. Kuhn;Manuel Menezes de Oliveira Neto;Leandro A. F. Fernandes</t>
  </si>
  <si>
    <t>Giovane R. Kuhn;Manuel M. Oliveira;Leandro A. F. Fernandes</t>
  </si>
  <si>
    <t>Color-contrast enhancement, Color-vision deficiency, Recoloring algorithms, Information and Scientific Visualization</t>
  </si>
  <si>
    <t>Box Spline Reconstruction On The Face-Centered Cubic Lattice</t>
  </si>
  <si>
    <t>10.1109/TVCG.2008.115</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</si>
  <si>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</si>
  <si>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Minho Kim;Alireza Entezari;Jörg Peters</t>
  </si>
  <si>
    <t>University of Florida;University of Florida;University of Florida</t>
  </si>
  <si>
    <t>10.1109/VISUAL.1994.346331;10.1109/TVCG.2007.70573;10.1109/VISUAL.2001.964498;10.1109/VISUAL.1993.398851;10.1109/VISUAL.2005.1532811;10.1109/VISUAL.2005.1532810;10.1109/VISUAL.2004.65</t>
  </si>
  <si>
    <t>Volumetric data reconstruction, box spline, Face-Centered Cubic lattice</t>
  </si>
  <si>
    <t>Brushing of Attribute Clouds for the Visualization of Multivariate Data</t>
  </si>
  <si>
    <t>Tableau Software, Seattle|c|;;</t>
  </si>
  <si>
    <t>10.1109/TVCG.2008.116</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</si>
  <si>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</si>
  <si>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http://dx.doi.org/10.1109/TVCG.2007.70595</t>
  </si>
  <si>
    <t>Heike Leitte;Michael Böttinger;Gerik Scheuermann</t>
  </si>
  <si>
    <t>Heike Jänicke;Michael Böttinger;Gerik Scheuermann</t>
  </si>
  <si>
    <t>University of Leipzig;German Climate Computing Centre (DKRZ);University of Leipzig</t>
  </si>
  <si>
    <t>10.1109/INFVIS.2003.1249024;10.1109/INFVIS.2002.1173157;10.1109/VISUAL.1995.485139;10.1109/INFVIS.1999.801858;10.1109/VISUAL.1996.567800;10.1109/VISUAL.2004.113;10.1109/VISUAL.1998.745289</t>
  </si>
  <si>
    <t>Multivariate data, brushing, data transformation, manifold learning, linked views</t>
  </si>
  <si>
    <t>Color Design for Illustrative Visualization</t>
  </si>
  <si>
    <t>10.1109/TVCG.2008.118</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</si>
  <si>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</si>
  <si>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Lujin Wang;Joachim Giesen;Kevin T. McDonnell;Peter Zolliker;Klaus Mueller</t>
  </si>
  <si>
    <t>Stony Brook University;Friedrich-Schiller-Universita¿t Jena;Dowling College;EMPA Du¿bendorf;Stony Brook University</t>
  </si>
  <si>
    <t>10.1109/VISUAL.1993.398874;10.1109/VISUAL.1996.568118;10.1109/TVCG.2007.70542;10.1109/TVCG.2006.174;10.1109/VISUAL.2001.964510</t>
  </si>
  <si>
    <t>Color design, volume rendering, transparency, user study evaluation, conjoint analysis, illustrative visualization</t>
  </si>
  <si>
    <t>Johns Hopkins Univ., Baltimore|c|;;</t>
  </si>
  <si>
    <t>http://dx.doi.org/10.1109/TVCG.2007.70596</t>
  </si>
  <si>
    <t>Continuous Scatterplots</t>
  </si>
  <si>
    <t>10.1109/TVCG.2008.119</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</si>
  <si>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</si>
  <si>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Sven Bachthaler;Daniel Weiskopf</t>
  </si>
  <si>
    <t>VISUS (Visualization Research Center), Universität Stuttgart;VISUS (Visualization Research Center), Universität Stuttgart</t>
  </si>
  <si>
    <t>Victoria Univ., Victoria|c|;;;;</t>
  </si>
  <si>
    <t>10.1109/TVCG.2006.168;10.1109/TVCG.2008.160</t>
  </si>
  <si>
    <t>Scatterplot, histogram, continuous frequency plot, interpolation</t>
  </si>
  <si>
    <t>Direct Volume Editing</t>
  </si>
  <si>
    <t>10.1109/TVCG.2008.120</t>
  </si>
  <si>
    <t>http://dx.doi.org/10.1109/TVCG.2007.70597</t>
  </si>
  <si>
    <t>In this work we present basic methodology for interactive volume editing on GPUs, and we demonstrate the use of these methods to achieve a number of different effects. We present fast techniques to modify the appearance and structure of volumetric scalar fields given on Cartesian grids. Similar to 2D circular brushes as used in surface painting we present 3D spherical brushes for intuitive coloring of particular structures in such fields. This paint metaphor is extended to allow the user to change the data itself, and the use of this functionality for interactive structure isolation, hole filling, and artefact removal is demonstrated. Building on previous work in the field we introduce high-resolution selection volumes, which can be seen as a resolution-based focus+context metaphor. By utilizing such volumes we present a novel approach to interactive volume editing at sub-voxel accuracy. Finally, we introduce a fast technique to paste textures onto iso-surfaces in a 3D scalar field. Since the texture resolution is independent of the volume resolution, this technique allows structure-aligned textures containing appearance properties or textual information to be used for volume augmentation and annotation.</t>
  </si>
  <si>
    <t>Kai Bürger;Jens H. Krüger;Rüdiger Westermann</t>
  </si>
  <si>
    <t>Kai Bürger;Jens Krüger;Rüdiger Westermann</t>
  </si>
  <si>
    <t>Technische Universität München, tum.3D;Scientific Computing and Imaging Institute, University of Utah;Technische Universität München, tum.3D</t>
  </si>
  <si>
    <t>10.1109/TVCG.2006.124;10.1109/VISUAL.1996.568110;10.1109/VISUAL.2003.1250384;10.1109/VISUAL.2002.1183762;10.1109/VISUAL.2002.1183777;10.1109/TVCG.2007.70555;10.1109/VISUAL.2003.1250381;10.1109/VISUAL.2000.885694;10.1109/VISUAL.2004.48;10.1109/VISUAL.2005.1532856;10.1109/VISUAL.1996.568108</t>
  </si>
  <si>
    <t>Volume editing, GPU, painting, carving, annotations</t>
  </si>
  <si>
    <t>Edge Groups: An Approach to Understanding the Mesh Quality of Marching Methods</t>
  </si>
  <si>
    <t>10.1109/TVCG.2008.122</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</si>
  <si>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</si>
  <si>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Carlos A. Dietrich;Carlos Eduardo Scheidegger;João Luiz Dihl Comba;Luciana Porcher Nedel;Cláudio T. Silva</t>
  </si>
  <si>
    <t>carlos dietrich;Carlos Scheidegger;João Comba;Luciana Nedel;Cláudio Silva</t>
  </si>
  <si>
    <t>Universidade Federal do Rio Grande do Sul;University of Utah;Universidade Federal do Rio Grande do Sul;Universidade Federal do Rio Grande do Sul;University of Utah</t>
  </si>
  <si>
    <t>10.1109/TVCG.2006.168;10.1109/VISUAL.2000.885704;10.1109/VISUAL.1994.346308;10.1109/VISUAL.2004.28;10.1109/VISUAL.2003.1250355;10.1109/TVCG.2006.149;10.1109/VISUAL.2002.1183808;10.1109/TVCG.2007.70604</t>
  </si>
  <si>
    <t>Isosurface extraction, Marching Cubes</t>
  </si>
  <si>
    <t>Effective visualization of complex vascular structures using a non-parametric vessel detection method</t>
  </si>
  <si>
    <t>10.1109/TVCG.2008.123</t>
  </si>
  <si>
    <t>West Virginia Univ, Morgantown|c|;</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</si>
  <si>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</si>
  <si>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Alark Joshi;Xiaoning Qian;Donald P. Dione;Ketan R. Bulsara;Christopher K. Breuer;Albert J. Sinusas;Xenophon Papademetris</t>
  </si>
  <si>
    <t>Alark Joshi;Xiaoning Qian;Donald Dione;Ketan Bulsara;Christopher Breuer;Albert Sinusas;Xenophon Papademetris</t>
  </si>
  <si>
    <t>Yale University;Yale University;Yale University;Yale University;Yale University;Yale University;Yale University</t>
  </si>
  <si>
    <t>10.1109/TVCG.2006.172;10.1109/VISUAL.2000.885694;10.1109/TVCG.2007.70555;10.1109/VISUAL.2003.1250353</t>
  </si>
  <si>
    <t>Vessel identification, Vessel visualization, Evaluation of visualization techniques</t>
  </si>
  <si>
    <t>http://dx.doi.org/10.1109/TVCG.2007.70598</t>
  </si>
  <si>
    <t>Effective Visualization of Short Routes</t>
  </si>
  <si>
    <t>10.1109/TVCG.2008.124</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</si>
  <si>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</si>
  <si>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Patrick Degener;Ruwen Schnabel;Christopher Schwartz;Reinhard Klein</t>
  </si>
  <si>
    <t>University of Bonn;University of Bonn;University of Bonn;University of Bonn</t>
  </si>
  <si>
    <t>Maps, Route visualization, Space deformation</t>
  </si>
  <si>
    <t>Effects of Video Placement and Spatial Context Presentation on Path Reconstruction Tasks with Contextualized Videos</t>
  </si>
  <si>
    <t>10.1109/TVCG.2008.126</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</si>
  <si>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</si>
  <si>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Yi Wang;Doug A. Bowman;David M. Krum;Enylton Machado Coelho;Tonya L. Smith-Jackson;David Bailey;Sarah Peck;Swethan Anand;Trevor Kennedy;Yernar Abdrazakov</t>
  </si>
  <si>
    <t>Yi Wang;Doug Bowman;David Krum;Enylton Coalho;Tonya Smith-Jackson;David Bailey;Sarah Peck;Swethan Anand;Trevor Kennedy;Yernar Abdrazakov</t>
  </si>
  <si>
    <t>Virginia Tech;Virginia Tech;Bosch RTC;Bosch RTC;Virginia Tech;Virginia Tech;Virginia Tech;Virginia Tech;Virginia Tech;Virginia Tech</t>
  </si>
  <si>
    <t>10.1109/TVCG.2007.70621;10.1109/TVCG.2007.70544;10.1109/VISUAL.2003.1250400</t>
  </si>
  <si>
    <t>contextualized videos, design factors, user study, video placement, spatial context, tracking, path reconstruction</t>
  </si>
  <si>
    <t>Christoph Heinzl;Johann Kastner;M. Eduard Gr̦ller</t>
  </si>
  <si>
    <t>Upper Austrian Univ. of Appl. Sci., Wels|c|;;</t>
  </si>
  <si>
    <t>Estimating Crossing fibers: A Tensor Decomposition Approach</t>
  </si>
  <si>
    <t>10.1109/TVCG.2008.128</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</si>
  <si>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</si>
  <si>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Thomas Schultz 0001;Hans-Peter Seidel</t>
  </si>
  <si>
    <t>Thomas Schultz;Hans-Peter Seidel</t>
  </si>
  <si>
    <t>MPI Informatik;MPI Informatik</t>
  </si>
  <si>
    <t>DW-MRI, Q-Ball, spherical deconvolution, fiber tracking, higher-order tensor, tensor decomposition</t>
  </si>
  <si>
    <t>http://dx.doi.org/10.1109/TVCG.2007.70599</t>
  </si>
  <si>
    <t>Extensions of Parallel Coordinates for Interactive Exploration of Large Multi-Timepoint Data Sets</t>
  </si>
  <si>
    <t>10.1109/TVCG.2008.131</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</si>
  <si>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</si>
  <si>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Jorik Blaas;Charl P. Botha;Frits H. Post</t>
  </si>
  <si>
    <t>Jorik Blaas;Charl Botha;Frits Post</t>
  </si>
  <si>
    <t>TU Delft;TU Delft;TU Delft</t>
  </si>
  <si>
    <t>10.1109/VISUAL.1999.809866;10.1109/TVCG.2006.170;10.1109/INFVIS.2005.1532138;10.1109/INFVIS.2004.68;10.1109/VISUAL.1994.346302;10.1109/VISUAL.2000.885739</t>
  </si>
  <si>
    <t>Parallel coordinate plots, time-varying, multi-field, linked related views</t>
  </si>
  <si>
    <t>Focus+Context Visualization with Distortion Minimization</t>
  </si>
  <si>
    <t>10.1109/TVCG.2008.132</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</si>
  <si>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</si>
  <si>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Yu-Shuen Wang;Tong-Yee Lee;Chiew-Lan Tai</t>
  </si>
  <si>
    <t>Univ. of Maryland Baltimore County, Baltimore|c|;;</t>
  </si>
  <si>
    <t>National Cheng-Kung University;National Cheng-Kung University;Hong Kong University of Science and Technology</t>
  </si>
  <si>
    <t>10.1109/INFVIS.1997.636786;10.1109/VISUAL.2004.48;10.1109/INFVIS.1996.559215;10.1109/VISUAL.2003.1250400;10.1109/INFVIS.1996.559214;10.1109/INFVIS.1998.729558;10.1109/VISUAL.2005.1532818</t>
  </si>
  <si>
    <t>Focus+Context visualization, magnification, bounding space</t>
  </si>
  <si>
    <t>Generation of Accurate Integral Surfaces in Time-Dependent Vector fields</t>
  </si>
  <si>
    <t>10.1109/TVCG.2008.133</t>
  </si>
  <si>
    <t>http://dx.doi.org/10.1109/TVCG.2007.70600</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</si>
  <si>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</si>
  <si>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Christoph Garth;Han Krishnan;Xavier Tricoche;Tom Tricoche;Kenneth I. Joy</t>
  </si>
  <si>
    <t>University of California, Davis;University of California, Davis;Purdue University;University of Kaiserslauterns;University of California, Davis</t>
  </si>
  <si>
    <t>10.1109/VISUAL.1993.398875;10.1109/VISUAL.2001.964506;10.1109/VISUAL.2004.28;10.1109/VISUAL.1992.235211;10.1109/VISUAL.1992.235226</t>
  </si>
  <si>
    <t>3D vector field visualization, flow visualization, time-varying and time-series visualization, surface extraction</t>
  </si>
  <si>
    <t>Geodesic Distance-weighted Shape Vector Image Diffusion</t>
  </si>
  <si>
    <t>10.1109/TVCG.2008.134</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</si>
  <si>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</si>
  <si>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Jing Hua;Zhaoqiang Lai;Ming Dong;Xianfeng Gu;Hong Qin</t>
  </si>
  <si>
    <t>Surface Matching, Shape Vector Image, Multiscale Diffusion, Visualization</t>
  </si>
  <si>
    <t>Glyph-Based SPECT Visualization for the Diagnosis of Coronary Artery Disease</t>
  </si>
  <si>
    <t>10.1109/TVCG.2008.136</t>
  </si>
  <si>
    <t>Swiss Nat. Supercomput. Centre, Manno|c|;;;;</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</si>
  <si>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</si>
  <si>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Jennis Meyer-Spradow;Lars Stegger;Christian Döring;Timo Ropinski;Klaus H. Hinrichs</t>
  </si>
  <si>
    <t>Jennis Meyer-Spradow;Lars Stegger;Christian Döring;Timo Ropinski;Klaus Hinrichs</t>
  </si>
  <si>
    <t>Visualization and Computer Graphics Research Group (VisCG), University of Münster;Department of Nuclear Medicine, University Hospital of Münster;Visualization and Computer Graphics Research Group (VisCG), University of Münster;Visualization and Computer Graphics Research Group (VisCG), University of Münster;Visualization and Computer Graphics Research Group (VisCG), University of Münster</t>
  </si>
  <si>
    <t>10.1109/VISUAL.2003.1250425;10.1109/TVCG.2006.134;10.1109/TVCG.2007.70550;10.1109/VISUAL.1998.745294</t>
  </si>
  <si>
    <t>Multivariate visualization, glyph techniques, SPECT, myocardial perfusion imaging</t>
  </si>
  <si>
    <t>http://dx.doi.org/10.1109/TVCG.2007.70601</t>
  </si>
  <si>
    <t>Hypothesis Generation in Climate Research with Interactive Visual Data Exploration</t>
  </si>
  <si>
    <t>10.1109/TVCG.2008.139</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</si>
  <si>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</si>
  <si>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Johannes Kehrer;Florian Ladstädter;Philipp Muigg;Helmut Doleisch;Andrea K. Steiner;Helwig Hauser</t>
  </si>
  <si>
    <t>Johannes Kehrer;Florian Ladstädter;Philipp Muigg;Helmut Doleisch;Andrea Steiner;Helwig Hauser</t>
  </si>
  <si>
    <t>Department of Informatics, University of Bergen, Norway;Wegener Center for Climate and Global Change (WegCenter) and Institute for Geophysics, Astrophysics, and Meteorology (IGAM), University of Graz, Austria;VRVis Research Center and SimVis GmbH, Vienna, Austria;VRVis Research Center and SimVis GmbH, Vienna, Austria;Wegener Center for Climate and Global Change (WegCenter) and Institute for Geophysics, Astrophysics, and Meteorology (IGAM), University of Graz, Austria;Department of Informatics, University of Bergen, Norway</t>
  </si>
  <si>
    <t>10.1109/INFVIS.2005.1532138;10.1109/VISUAL.1994.346302;10.1109/VISUAL.2005.1532850;10.1109/TVCG.2006.170</t>
  </si>
  <si>
    <t>Interactive visual hypothesis generation, interactive visual exploration and analysis, visualization for climate research</t>
  </si>
  <si>
    <t>Importance-Driven Time-Varying Data Visualization</t>
  </si>
  <si>
    <t>10.1109/TVCG.2008.140</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</si>
  <si>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</si>
  <si>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Chaoli Wang;Hongfeng Yu;Kwan-Liu Ma</t>
  </si>
  <si>
    <t>University of California, Davis;University of California, Davis;University of California, Davis</t>
  </si>
  <si>
    <t>10.1109/VISUAL.1995.480809;10.1109/VISUAL.2003.1250402;10.1109/TVCG.2007.70615;10.1109/TVCG.2006.152;10.1109/VISUAL.2001.964531;10.1109/VISUAL.1994.346321;10.1109/VISUAL.1999.809910;10.1109/VISUAL.2004.48</t>
  </si>
  <si>
    <t>Time-varying data, conditional entropy, joint feature-temporal space, clustering, highlighting, transfer function</t>
  </si>
  <si>
    <t>Interactive Blood Damage Analysis for Ventricular Assist Devices</t>
  </si>
  <si>
    <t>10.1109/TVCG.2008.142</t>
  </si>
  <si>
    <t>Lawrence Berkeley Nat. Lab., Berkeley|c|;;</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</si>
  <si>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</si>
  <si>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Bernd Hentschel 0001;Irene Tedjo-Palczynski;Markus Probst;Marc Wolter;Marek Behr;Christian H. Bischof;Torsten W. Kuhlen</t>
  </si>
  <si>
    <t>Bernd Hentschel;Irene Tedjo;Markus Probst;Marc Wolter;Marek Behr;Christian Bischof;Torsten Kuhlen</t>
  </si>
  <si>
    <t>http://dx.doi.org/10.1109/TVCG.2007.70602</t>
  </si>
  <si>
    <t>Virtual Reality Group, RWTH Aachen University;Virtual Reality Group, RWTH Aachen University;Chair for Computational Analysis of Technical Systems (CATS), RWTH Aachen University;Virtual Reality Group, RWTH Aachen University;Chair for Computational Analysis of Technical Systems (CATS), RWTH Aachen University;Institute for Scientific Computing, RWTH Aachen University;Virtual Reality Group, RWTH Aachen University</t>
  </si>
  <si>
    <t>10.1109/VISUAL.2004.55;10.1109/VISUAL.1991.175771;10.1109/VISUAL.2004.80;10.1109/VISUAL.2002.1183798;10.1109/VISUAL.1993.398849;10.1109/TVCG.2006.134;10.1109/TVCG.2006.181;10.1109/VISUAL.1991.175781;10.1109/VISUAL.1996.567777</t>
  </si>
  <si>
    <t>Tensor visualization, time-dependent data, blood damage, ventricular assist device, virtual reality</t>
  </si>
  <si>
    <t>Interactive Comparison of Scalar fields Based on Largest Contours with Applications to Flow Visualization</t>
  </si>
  <si>
    <t>10.1109/TVCG.2008.143</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</si>
  <si>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</si>
  <si>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Dominic Schneider;Alexander Wiebel;Hamish A. Carr;Mario Hlawitschka;Gerik Scheuermann</t>
  </si>
  <si>
    <t>Dominic Schneider;Alexander Wiebel;Hamish Carr;Mario Hlawitschka;Gerik Scheuermann</t>
  </si>
  <si>
    <t>University of Leipzig;University of Leipzig;University College Dublin;University of Leipzig;University of Leipzig</t>
  </si>
  <si>
    <t>10.1109/TVCG.2006.164;10.1109/VISUAL.2001.964519;10.1109/VISUAL.2004.107;10.1109/TVCG.2007.70615;10.1109/VISUAL.2005.1532830;10.1109/TVCG.2006.165;10.1109/VISUAL.2004.96;10.1109/VISUAL.2003.1250374;10.1109/TVCG.2007.70519;10.1109/VISUAL.2005.1532848;10.1109/VISUAL.1997.663875;10.1109/VISUAL.2005.1532835</t>
  </si>
  <si>
    <t>Scalar topology, comparative visualization, contour tree, largest contours, flow visualization</t>
  </si>
  <si>
    <t>Interactive Visual Steering - Rapid Visual Prototyping of a Common Rail Injection System</t>
  </si>
  <si>
    <t>10.1109/TVCG.2008.145</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</si>
  <si>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</si>
  <si>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Kresimir Matkovic;Denis Gracanin;Mario Jelovic;Helwig Hauser</t>
  </si>
  <si>
    <t>VRVis Research Center, Vienna;Virginia Tech;AVL AST, Zagreb;University of Bergen</t>
  </si>
  <si>
    <t>MPI Inf., Saarbrucken|c|;;</t>
  </si>
  <si>
    <t>10.1109/INFVIS.2004.12;10.1109/VISUAL.1998.745289;10.1109/VISUAL.2005.1532821;10.1109/INFVIS.2005.1532143;10.1109/VISUAL.2003.1250417;10.1109/VISUAL.2005.1532850</t>
  </si>
  <si>
    <t>Interactive computational steering, interactive visual analysis, simulation, common rail injection system</t>
  </si>
  <si>
    <t>Interactive Visualization and Analysis of Transitional Flow</t>
  </si>
  <si>
    <t>10.1109/TVCG.2008.146</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</si>
  <si>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</si>
  <si>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Gregory P. Johnson;Victor Calo;Kelly P. Gaither</t>
  </si>
  <si>
    <t>http://dx.doi.org/10.1109/TVCG.2007.70603</t>
  </si>
  <si>
    <t>Gregory P. Johnson,;Victor M. Calo;Kelly P. Gaither</t>
  </si>
  <si>
    <t>INRIA</t>
  </si>
  <si>
    <t>10.1109/VISUAL.2005.1532792;10.1109/VISUAL.1993.398850;10.1109/VISUAL.2005.1532794;10.1109/VISUAL.1991.175818;10.1109/VISUAL.2004.55</t>
  </si>
  <si>
    <t>Applications of Visualization, Flow Visualization, Transitional Flow, Turbulence</t>
  </si>
  <si>
    <t>Interactive Volume Exploration for Feature Detection and Quantification in Industrial CT Data</t>
  </si>
  <si>
    <t>10.1109/TVCG.2008.147</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</si>
  <si>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</si>
  <si>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Markus Hadwiger;Laura Fritz;Christof Rezk-Salama;Thomas Höllt;Georg Geier;Thomas Pabel</t>
  </si>
  <si>
    <t>Markus Hadwiger;Fritz Laura;Christof Rezk-Salama;Thomas Höllt;Georg Geier;Thomas Pabel</t>
  </si>
  <si>
    <t>VRVis Research Center, Austria;VRVis Research Center, Austria;University of Siegen, Germany;VRVis Research Center, Austria;Austrian Foundry Research Institute;Austrian Foundry Research Institute</t>
  </si>
  <si>
    <t>10.1109/VISUAL.2003.1250418;10.1109/VISUAL.2001.964519;10.1109/VISUAL.1997.663875;10.1109/VISUAL.2001.964516</t>
  </si>
  <si>
    <t>Non-Destructive Testing, Multi-Dimensional Transfer Functions, Region Growing, Volume Rendering</t>
  </si>
  <si>
    <t>Invariant Crease Lines for Topological and Structural Analysis of Tensor fields</t>
  </si>
  <si>
    <t>10.1109/TVCG.2008.148</t>
  </si>
  <si>
    <t>We introduce a versatile framework for characterizing and extracting salient structures in three-dimensional symmetric second-order tensor fields. The key insight is that degenerate lines in tensor fields, as defined by the standard topological approach, are exactly crease (ridge and valley) lines of a particular tensor invariant called mode. This reformulation allows us to apply well-studied approaches from scientific visualization or computer vision to the extraction of topological lines in tensor fields. More generally, this main result suggests that other tensor invariants, such as anisotropy measures like fractional anisotropy (FA), can be used in the same framework in lieu of mode to identify important structural properties in tensor fields. Our implementation addresses the specific challenge posed by the non-linearity of the considered scalar measures and by the smoothness requirement of the crease manifold computation. We use a combination of smooth reconstruction kernels and adaptive refinement strategy that automatically adjust the resolution of the analysis to the spatial variation of the considered quantities. Together, these improvements allow for the robust application of existing ridge line extraction algorithms in the tensor context of our problem. Results are proposed for a diffusion tensor MRI dataset, and for a benchmark stress tensor field used in engineering research.</t>
  </si>
  <si>
    <t>Univ. of California at Davis, Davis|c|;;;;;;</t>
  </si>
  <si>
    <t>Xavier Tricoche;Gordon L. Kindlmann;Carl-Fredrik Westin</t>
  </si>
  <si>
    <t>Xavier Tricoche;Gordon Kindlmann;Carl-Fredrik Westin</t>
  </si>
  <si>
    <t>Purdue University;Brigham and Women's Hospital, Harvard Medical School;Brigham and Women's Hospital, Harvard Medical School</t>
  </si>
  <si>
    <t>10.1109/VISUAL.2004.105;10.1109/TVCG.2007.70602;10.1109/VISUAL.1999.809896;10.1109/VISUAL.1991.175773;10.1109/VISUAL.1994.346326;10.1109/VISUAL.1994.346326;10.1109/VISUAL.1990.146359;10.1109/TVCG.2007.70554</t>
  </si>
  <si>
    <t>Tensor fields, tensor invariants, ridge lines, crease extraction, structural analysis, topology</t>
  </si>
  <si>
    <t>http://dx.doi.org/10.1109/TVCG.2007.70604</t>
  </si>
  <si>
    <t>Novel interaction techniques for neurosurgical planning and stereotactic navigation</t>
  </si>
  <si>
    <t>10.1109/TVCG.2008.150</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</si>
  <si>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</si>
  <si>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Alark Joshi;Dustin Scheinost;Kenneth P. Vives;Dennis D. Spencer;Lawrence H. Staib;Xenophon Papademetris</t>
  </si>
  <si>
    <t>Alark Joshi;Dustin Scheinost;Kenneth Vives;Dennis Spencer;Lawrence Staib;Xenophon Papademetris</t>
  </si>
  <si>
    <t>Yale University;Yale University;Yale University;Yale University;Yale University;Yale University</t>
  </si>
  <si>
    <t>10.1109/VISUAL.2000.885694;10.1109/VISUAL.2002.1183762</t>
  </si>
  <si>
    <t>User interaction, irregular cropping</t>
  </si>
  <si>
    <t>Particle-based Sampling and Meshing of Surfaces in Multimaterial Volumes</t>
  </si>
  <si>
    <t>10.1109/TVCG.2008.154</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</si>
  <si>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</si>
  <si>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Miriah D. Meyer;Ross T. Whitaker;Robert Michael Kirby;Christian Ledergerber;Hanspeter Pfister</t>
  </si>
  <si>
    <t>Miriah Meyer;Ross Whitaker;Robert M. Kirby;Christian Ledergerber;Hanspeter Pfister</t>
  </si>
  <si>
    <t>10.1109/VISUAL.2002.1183808;10.1109/TVCG.2007.70604;10.1109/VISUAL.1997.663930;10.1109/TVCG.2007.70572;10.1109/TVCG.2007.70543;10.1109/TVCG.2006.149;10.1109/VISUAL.1997.663887</t>
  </si>
  <si>
    <t>Sampling, meshing, visualizations</t>
  </si>
  <si>
    <t>Query-Driven Visualization of Time-Varying Adaptive Mesh Refinement Data</t>
  </si>
  <si>
    <t>10.1109/TVCG.2008.157</t>
  </si>
  <si>
    <t>Univ. of Utah, Salt Lake City|c|;;</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</si>
  <si>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</si>
  <si>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http://dx.doi.org/10.1109/TVCG.2007.70610</t>
  </si>
  <si>
    <t>Miriah Meyer;Luke J. Gosink;John C. Anderson;E. Wes Bethel;Kenneth I. Joy</t>
  </si>
  <si>
    <t>10.1109/VISUAL.2000.885704;10.1109/VISUAL.2005.1532792;10.1109/VAST.2006.261437;10.1109/VISUAL.2002.1183820;10.1109/VISUAL.2003.1250402;10.1109/TVCG.2007.70519;10.1109/VISUAL.1993.398869;10.1109/VISUAL.2005.1532793</t>
  </si>
  <si>
    <t>AMR, Query-Driven Visualization, Multitemporal Visualization</t>
  </si>
  <si>
    <t>Relation-Aware Volume Exploration Pipeline</t>
  </si>
  <si>
    <t>10.1109/TVCG.2008.159</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</si>
  <si>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</si>
  <si>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Ming-Yuen Chan;Huamin Qu;Ka-Kei Chung;Wai-Ho Mak;Yingcai Wu</t>
  </si>
  <si>
    <t>The Hong Kong University of Science and Technolgoy;The Hong Kong University of Science and Technolgoy;The Hong Kong University of Science and Technolgoy;The Hong Kong University of Science and Technolgoy;The Hong Kong University of Science and Technolgoy</t>
  </si>
  <si>
    <t>10.1109/TVCG.2007.70584;10.1109/TVCG.2007.70515;10.1109/TVCG.2006.144;10.1109/VISUAL.1999.809871;10.1109/TVCG.2007.70535;10.1109/TVCG.2007.70576;10.1109/VISUAL.2000.885694;10.1109/INFVIS.2003.1249009;10.1109/TVCG.2007.70555;10.1109/VISUAL.2005.1532835;10.1109/VISUAL.2005.1532788;10.1109/TVCG.2007.70591;10.1109/VISUAL.2005.1532834;10.1109/VISUAL.2005.1532856;10.1109/TVCG.2007.70572;10.1109/VISUAL.2005.1532833</t>
  </si>
  <si>
    <t>Exploratory Visualization, Relation-Based Visualization, Visualization Pipeline</t>
  </si>
  <si>
    <t>Texas Advanced Computing Center, Austin|c|;</t>
  </si>
  <si>
    <t>Revisiting Histograms and Isosurface Statistics</t>
  </si>
  <si>
    <t>10.1109/TVCG.2008.160</t>
  </si>
  <si>
    <t>http://dx.doi.org/10.1109/TVCG.2007.70614</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</si>
  <si>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</si>
  <si>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Carlos Eduardo Scheidegger;John M. Schreiner;Brian Duffy;Hamish A. Carr;Cláudio T. Silva</t>
  </si>
  <si>
    <t>Carlos E. Scheidegger;John M. Schreiner;Brian Duffy;Hamish Carr;Cláudio T. Silva</t>
  </si>
  <si>
    <t>10.1109/TVCG.2006.168;10.1109/TVCG.2008.119;10.1109/VISUAL.2001.964519;10.1109/VISUAL.2001.964515;10.1109/VISUAL.1997.663875;10.1109/VISUAL.2001.964516</t>
  </si>
  <si>
    <t>Isosurfaces, Histograms, Coarea Formula</t>
  </si>
  <si>
    <t>Sinus Endoscopy - Application of Advanced GPU Volume Rendering for Virtual Endoscopy</t>
  </si>
  <si>
    <t>10.1109/TVCG.2008.161</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</si>
  <si>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</si>
  <si>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Arno Krüger;Christoph Kubisch;Gero Strauß;Bernhard Preim</t>
  </si>
  <si>
    <t>Arno Krueger;Christoph Kubisch;Bernhard Preim;Gero Strauss</t>
  </si>
  <si>
    <t>Department of Simulation and Graphics, Otto-von-Guericke-University of Magdeburg, Germany;Department of Simulation and Graphics, Otto-von-Guericke-University of Magdeburg, Germany;Department of Simulation and Graphics, Otto-von-Guericke-University of Magdeburg, Germany;ENT Department,University Hospital of Leipzig, Germany</t>
  </si>
  <si>
    <t>10.1109/VISUAL.2003.1250370;10.1109/VISUAL.2003.1250384;10.1109/VISUAL.2004.98</t>
  </si>
  <si>
    <t>medical visualization, sinus surgery, operation planning, virtual endoscopy, volume rendering</t>
  </si>
  <si>
    <t>Size-based Transfer Functions: A New Volume Exploration Technique</t>
  </si>
  <si>
    <t>10.1109/TVCG.2008.162</t>
  </si>
  <si>
    <t>Univ. Stuttgart, Stuttgart|c|;;;</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</si>
  <si>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</si>
  <si>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Carlos D. Correa;Kwan-Liu Ma</t>
  </si>
  <si>
    <t>Carlos Correa;Kwan-Liu Ma</t>
  </si>
  <si>
    <t>University of California at Davis;University of California at Davis</t>
  </si>
  <si>
    <t>10.1109/VISUAL.2003.1250414;10.1109/VISUAL.1999.809932;10.1109/VISUAL.2000.885694;10.1109/VISUAL.2001.964519;10.1109/VISUAL.2004.64;10.1109/VISUAL.2003.1250413;10.1109/VISUAL.1995.480812;10.1109/VISUAL.2003.1250369;10.1109/VISUAL.2005.1532817</t>
  </si>
  <si>
    <t>Transfer Functions, Interactive Visualization, Volume Rendering, Scale Space, GPU Techniques</t>
  </si>
  <si>
    <t>http://dx.doi.org/10.1109/TVCG.2007.70615</t>
  </si>
  <si>
    <t>Smoke Surfaces: An Interactive Flow Visualization Technique Inspired by Real-World Flow Experiments</t>
  </si>
  <si>
    <t>10.1109/TVCG.2008.163</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</si>
  <si>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</si>
  <si>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Wolfram von Funck;Tino Weinkauf;Holger Theisel;Hans-Peter Seidel</t>
  </si>
  <si>
    <t>MPI Informatik Saarbücken;Zuse Institute Berlin;University of Magdeburg;MPI Informatik Saarbücken</t>
  </si>
  <si>
    <t>10.1109/VISUAL.1995.485141;10.1109/VISUAL.1993.398846;10.1109/VISUAL.1992.235211;10.1109/VISUAL.2001.964506;10.1109/VISUAL.1993.398877</t>
  </si>
  <si>
    <t>Unsteady flow visualization, streak surfaces, smoke visualization</t>
  </si>
  <si>
    <t>Smooth Surface Extraction from Unstructured Point-based Volume Data Using PDEs</t>
  </si>
  <si>
    <t>10.1109/TVCG.2008.164</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</si>
  <si>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</si>
  <si>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Paul Rosenthal;Lars Linsen</t>
  </si>
  <si>
    <t>Jacobs University;Jacobs University</t>
  </si>
  <si>
    <t>10.1109/VISUAL.2002.1183773;10.1109/VISUAL.2003.1250357</t>
  </si>
  <si>
    <t>PDEs, surface extraction, level sets, point-based visualization</t>
  </si>
  <si>
    <t>Surface Extraction from Multi-field Particle Volume Data Using Multi-dimensional Cluster Visualization</t>
  </si>
  <si>
    <t>10.1109/TVCG.2008.167</t>
  </si>
  <si>
    <t>Data sets resulting from physical simulations typically contain a multitude of physical variables. It is, therefore, desirable that visualization methods take into account the entire multi-field volume data rather than concentrating on one variable. We present a visualization approach based on surface extraction from multi-field particle volume data. The surfaces segment the data with respect to the underlying multi-variate function. Decisions on segmentation properties are based on the analysis of the multi-dimensional feature space. The feature space exploration is performed by an automated multi-dimensional hierarchical clustering method, whose resulting density clusters are shown in the form of density level sets in a 3D star coordinate layout. In the star coordinate layout, the user can select clusters of interest. A selected cluster in feature space corresponds to a segmenting surface in object space. Based on the segmentation property induced by the cluster membership, we extract a surface from the volume data. Our driving applications are smoothed particle hydrodynamics (SPH) simulations, where each particle carries multiple properties. The data sets are given in the form of unstructured point-based volume data. We directly extract our surfaces from such data without prior resampling or grid generation. The surface extraction computes individual points on the surface, which is supported by an efficient neighborhood computation. The extracted surface points are rendered using point-based rendering operations. Our approach combines methods in scientific visualization for object-space operations with methods in information visualization for feature-space operations.</t>
  </si>
  <si>
    <t>Lars Linsen;Tran Van Long;Paul Rosenthal;Stephan Rosswog</t>
  </si>
  <si>
    <t>Jacobs University;Jacobs University;Jacobs University;Jacobs University</t>
  </si>
  <si>
    <t>10.1109/TVCG.2007.70615;10.1109/TVCG.2006.164;10.1109/TVCG.2007.70569;10.1109/TVCG.2006.165;10.1109/TVCG.2007.70526</t>
  </si>
  <si>
    <t>Multi-field and multi-variate visualization, isosurfaces and surface extraction, point-based visualization, star coordinates, visualization in astrophysics, particle simulations</t>
  </si>
  <si>
    <t>Text Scaffolds for Effective Surface Labeling</t>
  </si>
  <si>
    <t>10.1109/TVCG.2008.168</t>
  </si>
  <si>
    <t>Univ. of Leipzig, Leipzig|c|;;;</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</si>
  <si>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</si>
  <si>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University of Wisconsin-Madison;University of Wisconsin-Madison</t>
  </si>
  <si>
    <t>surface labeling, computational cartography, text authoring, annotation</t>
  </si>
  <si>
    <t>http://dx.doi.org/10.1109/TVCG.2007.70617</t>
  </si>
  <si>
    <t>Texture-based Transfer Functions for Direct Volume Rendering</t>
  </si>
  <si>
    <t>10.1109/TVCG.2008.169</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</si>
  <si>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</si>
  <si>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Jesus J. Caban;Penny Rheingans</t>
  </si>
  <si>
    <t>10.1109/VISUAL.2001.964519;10.1109/VISUAL.2003.1250413;10.1109/VISUAL.2003.1250414</t>
  </si>
  <si>
    <t>visualization, statistical analysis, volume rendering, data variability, medical imaging</t>
  </si>
  <si>
    <t>The Seismic Analyzer: Interpreting and Illustrating 2D Seismic Data</t>
  </si>
  <si>
    <t>10.1109/TVCG.2008.170</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</si>
  <si>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</si>
  <si>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Daniel Patel;Christopher Giertsen;John Thurmond;John Gjelberg;M. Eduard Gröller</t>
  </si>
  <si>
    <t>Daniel Patel;Christopher Giertsen;John Thurmond;John Gjelberg;Eduard Grøller</t>
  </si>
  <si>
    <t>Christian Michelsen Research, Bergen, Norway;Christian Michelsen Research, Bergen, Norway;StatoilHydro, Bergen, Norway;StatoilHydro, Bergen, Norway;Vienna University of Technology, Austria</t>
  </si>
  <si>
    <t>10.1109/VISUAL.1999.809905;10.1109/VISUAL.2005.1532802;10.1109/VISUAL.1991.175811</t>
  </si>
  <si>
    <t>Seismic interpretation, Illustrative rendering, Seismic attributes, Top-down interpretation</t>
  </si>
  <si>
    <t>Stanford Univ., Stanford|c|;;;;;;</t>
  </si>
  <si>
    <t>Vectorized Radviz and Its Application to Multiple Cluster Datasets</t>
  </si>
  <si>
    <t>10.1109/TVCG.2008.173</t>
  </si>
  <si>
    <t>http://dx.doi.org/10.1109/TVCG.2007.70621</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</si>
  <si>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</si>
  <si>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John Sharko;Georges G. Grinstein;Kenneth A. Marx</t>
  </si>
  <si>
    <t>John Sharko;Georges Grinstein;Kenneth A. Marx</t>
  </si>
  <si>
    <t>10.1109/INFVIS.2004.15;10.1109/VISUAL.1997.663916;10.1109/INFVIS.1998.729559</t>
  </si>
  <si>
    <t>Visualization, Radviz, Vectorized Radviz, Clustering, Multiple Clustering, Cluster Ensembles, Flattening Datasets</t>
  </si>
  <si>
    <t>VisComplete: Automating Suggestions for Visualization Pipelines</t>
  </si>
  <si>
    <t>10.1109/TVCG.2008.174</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</si>
  <si>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</si>
  <si>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David Koop;Carlos Eduardo Scheidegger;Steven P. Callahan;Juliana Freire;Cláudio T. Silva</t>
  </si>
  <si>
    <t>D. Koop;C.E. Scheidegger;S.P. Callahan;J. Freire;C.T. Silva</t>
  </si>
  <si>
    <t>Sch. of Comput., Univ. of Utah, Salt Lake City, UT</t>
  </si>
  <si>
    <t>10.1109/TVCG.2007.70584;10.1109/TVCG.2007.70577;10.1109/VISUAL.2005.1532834;10.1109/VISUAL.2005.1532833;10.1109/VISUAL.2005.1532788;10.1109/VISUAL.2005.1532795</t>
  </si>
  <si>
    <t>Scientific Workflows, Scientific Visualization, Auto Completion</t>
  </si>
  <si>
    <t>Visibility-driven Mesh Analysis and Visualization through Graph Cuts</t>
  </si>
  <si>
    <t>10.1109/TVCG.2008.176</t>
  </si>
  <si>
    <t>In this paper we present an algorithm that operates on a triangular mesh and classifies each face of a triangle as either inside or outside. We present three example applications of this core algorithm: normal orientation, inside removal, and layer-based visualization. The distinguishing feature of our algorithm is its robustness even if a difficult input model that includes holes, coplanar triangles, intersecting triangles, and lost connectivity is given. Our algorithm works with the original triangles of the input model and uses sampling to construct a visibility graph that is then segmented using graph cut.</t>
  </si>
  <si>
    <t>Kaichi Zhou;Eugene Zhang;Jirí Bittner;Peter Wonka</t>
  </si>
  <si>
    <t>Kaichi Zhou;Eugene Zhang;Jiˇr´ı Bittner;Peter Wonka</t>
  </si>
  <si>
    <t>Arizona State University;Oregon State University;Czech Technical University in Prague;Arizona State University</t>
  </si>
  <si>
    <t>Mitsubuishi Electr. Res. Labs.|c|;;;</t>
  </si>
  <si>
    <t>Interior/Exterior Classification, Normal Orientation, Layer Classification, Inside Removal, Graph Cut</t>
  </si>
  <si>
    <t>Visiting the Gödel Universe</t>
  </si>
  <si>
    <t>10.1109/TVCG.2008.177</t>
  </si>
  <si>
    <t>http://dx.doi.org/10.1109/TVCG.2007.70623</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</si>
  <si>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</si>
  <si>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Frank Grave;Michael Buser</t>
  </si>
  <si>
    <t>VISUS and ITP1;Institute of Quantum Physics</t>
  </si>
  <si>
    <t>10.1109/TVCG.2006.176;10.1109/VISUAL.2005.1532803;10.1109/TVCG.2007.70530</t>
  </si>
  <si>
    <t>General relativity, Godel universe, nonlinear ray tracing, time travel</t>
  </si>
  <si>
    <t>Visualization of Cellular and Microvascular Relationships</t>
  </si>
  <si>
    <t>10.1109/TVCG.2008.179</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</si>
  <si>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</si>
  <si>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David Mayerich;Louise C. Abbott;John Keyser</t>
  </si>
  <si>
    <t>David Mayerich;Louise Abbott;John Keyser</t>
  </si>
  <si>
    <t>Texas A&amp;MUniversity;Texas A&amp;MUniversity;Texas A&amp;MUniversity</t>
  </si>
  <si>
    <t>10.1109/VISUAL.2005.1532859;10.1109/VISUAL.1997.663917;10.1109/TVCG.2006.197;10.1109/TVCG.2007.70532</t>
  </si>
  <si>
    <t>microscopy, biomedical, medical, blood vessels, cells</t>
  </si>
  <si>
    <t>Visualization of Myocardial Perfusion Derived from Coronary Anatomy</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</si>
  <si>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 -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</si>
  <si>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10.1109/TVCG.2008.180</t>
  </si>
  <si>
    <t>Boston Sci. Corp., Natick|c|;;;</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</si>
  <si>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</si>
  <si>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Maurice Termeer;Javier Oliván Bescós;Marcel Breeuwer;Anna Vilanova;Frans A. Gerritsen;M. Eduard Gröller;Eike Nagel</t>
  </si>
  <si>
    <t>Maurice Termeer;Javier Oliván Bescós;Marcel Breeuwer;Anna Vilanova;Frans Gerritsen;M. Eduard Gröller;Eike Nagel</t>
  </si>
  <si>
    <t>Vienna University of Technology;Philips Healthcare;Philips Healthcare;Eindhoven University of Technology;Philips Healthcare;Vienna University of Technology;King's College London</t>
  </si>
  <si>
    <t>http://dx.doi.org/10.1109/VAST.2007.4388989</t>
  </si>
  <si>
    <t>10.1109/TVCG.2007.70550;10.1109/VISUAL.2002.1183754</t>
  </si>
  <si>
    <t>Cardiac visualization, coronary artery territories, myocardial perfusion</t>
  </si>
  <si>
    <t>Visualizing Multiwavelength Astrophysical Data</t>
  </si>
  <si>
    <t>10.1109/TVCG.2008.182</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</si>
  <si>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</si>
  <si>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Hongwei Li;Chi-Wing Fu;Andrew J. Hanson</t>
  </si>
  <si>
    <t>Hongwei Li;Chi-Wing Fu;Andrew Hanson</t>
  </si>
  <si>
    <t>The Hong Kong University of Science and Technology;Nanyang Technological University, Singapore;Indiana University, Bloomington</t>
  </si>
  <si>
    <t>10.1109/VISUAL.2003.1250404;10.1109/TVCG.2006.155;10.1109/VISUAL.1995.485155;10.1109/TVCG.2006.176;10.1109/VISUAL.1992.235222;10.1109/VISUAL.2002.1183824;10.1109/TVCG.2007.70530;10.1109/VISUAL.2003.1250401;10.1109/VISUAL.2005.1532803;10.1109/VISUAL.2004.18;10.1109/TVCG.2007.70526</t>
  </si>
  <si>
    <t>Astrophysical visualization, multiwavelength data, astronomy</t>
  </si>
  <si>
    <t>Visualizing Particle/Flow Structure Interactions in the Small Bronchial Tubes</t>
  </si>
  <si>
    <t>10.1109/TVCG.2008.183</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</si>
  <si>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</si>
  <si>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Bela Soni;David S. Thompson;Raghu Machiraju</t>
  </si>
  <si>
    <t>Bela Soni;David Thompson;Raghu Machiraju</t>
  </si>
  <si>
    <t>Mississippi State University;Mississippi State University;The Ohio State University</t>
  </si>
  <si>
    <t>10.1109/TVCG.2007.70551;10.1109/TVCG.2007.70554</t>
  </si>
  <si>
    <t>FTLE, particle trajectory, visualization, bronchial tube</t>
  </si>
  <si>
    <t>Visualizing Temporal Patterns in Large Multivariate Data using Textual Pattern Matching</t>
  </si>
  <si>
    <t>10.1109/TVCG.2008.184</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</si>
  <si>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</si>
  <si>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Markus Glatter;Jian Huang 0007;Sean Ahern;Jamison Daniel;Aidong Lu</t>
  </si>
  <si>
    <t>Markus Glatter;Jian Huang;Sean Ahern;Jamison Daniel;Aidong Lu</t>
  </si>
  <si>
    <t>The University of Tennessee at Knoxville;The University of Tennessee at Knoxville;Oak Ridge National Laboratory;Oak Ridge National Laboratory;University of North Carolina at Charlotte</t>
  </si>
  <si>
    <t>10.1109/VISUAL.2003.1250402;10.1109/TVCG.2007.70600;10.1109/TVCG.2006.175;10.1109/VISUAL.2004.95;10.1109/TVCG.2007.70519;10.1109/VISUAL.2001.964519;10.1109/VISUAL.2005.1532792</t>
  </si>
  <si>
    <t>Perceptual Edge, University of California, Berkeley|c|</t>
  </si>
  <si>
    <t>Multivariate visualization, Time-varying, Uncertainty</t>
  </si>
  <si>
    <t>Volume MLS Ray Casting</t>
  </si>
  <si>
    <t>10.1109/TVCG.2008.186</t>
  </si>
  <si>
    <t>http://dx.doi.org/10.1109/VAST.2007.4388990</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</si>
  <si>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</si>
  <si>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Christian Ledergerber;Gaël Guennebaud;Miriah D. Meyer;Moritz Bächer;Hanspeter Pfister</t>
  </si>
  <si>
    <t>Christian Ledergerber;Gaël Guennebaud;Miriah Meyer;Moritz Bächer;Hanspeter Pfister</t>
  </si>
  <si>
    <t>IIC at Harvard University;CNR of Pisa;IIC at Harvard University;IIC at Harvard University;IIC at Harvard University</t>
  </si>
  <si>
    <t>10.1109/VISUAL.1993.398853;10.1109/VISUAL.2000.885683;10.1109/TVCG.2006.141;10.1109/VISUAL.2001.964490;10.1109/VISUAL.2003.1250414;10.1109/VISUAL.1994.346331;10.1109/VISUAL.2003.1250390</t>
  </si>
  <si>
    <t>Volume Visualization, Unstructured Grids, Moving Least Squares Reconstruction, Adaptive Integration</t>
  </si>
  <si>
    <t>2009</t>
  </si>
  <si>
    <t>"Search, Show Context, Expand on Demand": Supporting Large Graph Exploration with Degree-of-Interest</t>
  </si>
  <si>
    <t>10.1109/TVCG.2009.108</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</si>
  <si>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</si>
  <si>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Frank van Ham;Adam Perer</t>
  </si>
  <si>
    <t>IBM-ILOG Research in Gentilly, France;IBM Research in Haifa, Israel</t>
  </si>
  <si>
    <t>10.1109/TVCG.2006.122;10.1109/INFVIS.2004.66;10.1109/INFVIS.2004.43;10.1109/TVCG.2006.166;10.1109/TVCG.2006.147</t>
  </si>
  <si>
    <t>Graph visualization, network visualization, degree of interest, legal citation networks, focus+context</t>
  </si>
  <si>
    <t>A Comparison of User-Generated and Automatic Graph Layouts</t>
  </si>
  <si>
    <t>10.1109/TVCG.2009.109</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</si>
  <si>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</si>
  <si>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Tim Dwyer;Bongshin Lee;Danyel Fisher;Kori Inkpen Quinn;Petra Isenberg;George G. Robertson;Chris North</t>
  </si>
  <si>
    <t>Tim Dwyer;Bongshin Lee;Danyel Fisher;Kori Inkpen Quinn;Petra Isenberg;George Robertson;Chris North</t>
  </si>
  <si>
    <t>Microsoft Research;Microsoft Research;Microsoft Research;Microsoft Research;University of Calgary;Microsoft Research;Virginia Tech</t>
  </si>
  <si>
    <t>Ohio State Univ., Columbus|c|;;;;</t>
  </si>
  <si>
    <t>Graph layout, network layout, automatic layout algorithms, user-generated layout, graph-drawing aesthetics</t>
  </si>
  <si>
    <t>A Multi-Threading Architecture to Support Interactive Visual Exploration</t>
  </si>
  <si>
    <t>10.1109/TVCG.2009.110</t>
  </si>
  <si>
    <t>http://dx.doi.org/10.1109/VAST.2007.4388991</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</si>
  <si>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</si>
  <si>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Harald Piringer;Christian Tominski;Philipp Muigg;Wolfgang Berger</t>
  </si>
  <si>
    <t>VRVis Research Center, Vienna, Austria;Institute for Computer Science, University of Rostock, Germany;Vienna University of Technology and SimVis Gmbh, Vienna, Austria;VRVis Research Center, Vienna, Austria</t>
  </si>
  <si>
    <t>10.1109/VISUAL.1999.809891;10.1109/TVCG.2006.138;10.1109/INFVIS.1997.636790;10.1109/TVCG.2006.171;10.1109/INFVIS.2004.12;10.1109/INFVIS.2002.1173156;10.1109/TVCG.2007.70540;10.1109/TVCG.2006.178;10.1109/TVCG.2006.170;10.1109/INFVIS.2004.64;10.1109/INFVIS.2000.885092;10.1109/VAST.2008.4677357</t>
  </si>
  <si>
    <t>Information visualization architecture, continuous interaction, multi-threading, layer, preview</t>
  </si>
  <si>
    <t>Pennsylvania State Univ., State College|c|;</t>
  </si>
  <si>
    <t>A Nested Model for Visualization Design and Validation</t>
  </si>
  <si>
    <t>10.1109/TVCG.2009.111</t>
  </si>
  <si>
    <t>http://dx.doi.org/10.1109/VAST.2007.4388992</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</si>
  <si>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</si>
  <si>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10.1109/VAST.2007.4389008;10.1109/INFVIS.2005.1532136;10.1109/TVCG.2008.117;10.1109/TVCG.2006.160;10.1109/VISUAL.1998.745289;10.1109/TVCG.2007.70515;10.1109/TVCG.2008.109;10.1109/VISUAL.1992.235203;10.1109/INFVIS.2004.59;10.1109/INFVIS.2005.1532124;10.1109/INFVIS.1998.729560;10.1109/INFVIS.2004.10;10.1109/TVCG.2008.125;10.1109/INFVIS.1997.636792;10.1109/INFVIS.2005.1532150;10.1109/VISUAL.1990.146375</t>
  </si>
  <si>
    <t>Models, frameworks, design, evaluation</t>
  </si>
  <si>
    <t>ABySS-Explorer: Visualizing Genome Sequence Assemblies</t>
  </si>
  <si>
    <t>10.1109/TVCG.2009.116</t>
  </si>
  <si>
    <t>Oculus Info. Inc., Toronto|c|;;;</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</si>
  <si>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</si>
  <si>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Cydney B. Nielsen;Shaun D. Jackman;Inanç Birol;Steven J. M. Jones</t>
  </si>
  <si>
    <t>Cydney B. Nielsen;Shaun D. Jackman;Inanç Birol;Steven J.M. Jones</t>
  </si>
  <si>
    <t>BC Cancer Agency, Genome Sciences Centre;BC Cancer Agency, Genome Sciences Centre;BC Cancer Agency, Genome Sciences Centre;BC Cancer Agency, Genome Sciences Centre</t>
  </si>
  <si>
    <t>Bioinformatics visualization, design study, DNA sequence, genome assembly</t>
  </si>
  <si>
    <t>http://dx.doi.org/10.1109/VAST.2007.4388993</t>
  </si>
  <si>
    <t>ActiviTree: Interactive Visual Exploration of Sequences in Event-Based Data Using Graph Similarity</t>
  </si>
  <si>
    <t>10.1109/TVCG.2009.117</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</si>
  <si>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</si>
  <si>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Katerina Vrotsou;Jimmy Johansson;Matthew D. Cooper</t>
  </si>
  <si>
    <t>Katerina Vrotsou;Jimmy Johansson;Matthew Cooper</t>
  </si>
  <si>
    <t>Norrk&amp;#x0F6;ping Visualization and Interaction Studio, Link&amp;#x0F6;ping University;Norrk&amp;#x0F6;ping Visualization and Interaction Studio, Link&amp;#x0F6;ping University;Norrk&amp;#x0F6;ping Visualization and Interaction Studio, Link&amp;#x0F6;ping University</t>
  </si>
  <si>
    <t>10.1109/TVCG.2006.192;10.1109/VAST.2006.261421</t>
  </si>
  <si>
    <t>Interactive visual exploration, event-based data, sequence identification, graph similarity, node similarity</t>
  </si>
  <si>
    <t>Bubble Sets: Revealing Set Relations with Isocontours over Existing Visualizations</t>
  </si>
  <si>
    <t>10.1109/TVCG.2009.122</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</si>
  <si>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</si>
  <si>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Christopher Collins;Gerald Penn;Sheelagh Carpendale</t>
  </si>
  <si>
    <t>University of Toronto;University of Toronto;University of Calgary</t>
  </si>
  <si>
    <t>10.1109/TVCG.2006.122;10.1109/INFVIS.2005.1532150;10.1109/TVCG.2008.130;10.1109/TVCG.2008.144;10.1109/INFVIS.2005.1532126;10.1109/TVCG.2007.70521;10.1109/TVCG.2008.153</t>
  </si>
  <si>
    <t>clustering, spatial layout, graph visualization, tree visualization</t>
  </si>
  <si>
    <t>Purdue Univ. Regional Visualization &amp; Analytics Center (PURVAC), West Lafayette|c|;;;;;;;;;</t>
  </si>
  <si>
    <t>code_swarm: A Design Study in Organic Software Visualization</t>
  </si>
  <si>
    <t>10.1109/TVCG.2009.123</t>
  </si>
  <si>
    <t>http://dx.doi.org/10.1109/VAST.2007.4388994</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</si>
  <si>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</si>
  <si>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Michael Ogawa;Kwan-Liu Ma</t>
  </si>
  <si>
    <t>10.1109/TVCG.2007.70541;10.1109/TVCG.2008.172;10.1109/INFVIS.2005.1532125;10.1109/INFVIS.2004.65;10.1109/INFVIS.2005.1532122</t>
  </si>
  <si>
    <t>Software visualization, organic information visualization, software development history and evolution</t>
  </si>
  <si>
    <t>Comparing Dot and Landscape Spatializations for Visual Memory Differences</t>
  </si>
  <si>
    <t>10.1109/TVCG.2009.127</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</si>
  <si>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</si>
  <si>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Melanie Tory;Colin Swindells;Rebecca Dreezer</t>
  </si>
  <si>
    <t>University of Victoria;University of Victoria;McMaster University</t>
  </si>
  <si>
    <t>10.1109/INFVIS.2004.19;10.1109/INFVIS.2002.1173146;10.1109/TVCG.2007.70596;10.1109/INFVIS.2004.60;10.1109/INFVIS.2001.963291;10.1109/INFVIS.1995.528686;10.1109/INFVIS.2001.963291;10.1109/INFVIS.2001.963274</t>
  </si>
  <si>
    <t>Information interfaces and presentation, screen design, evaluation / methodology, user / machine systems, software psychology, landscape visualization</t>
  </si>
  <si>
    <t>Purdue Univ., West Lafayette|c|;;;;</t>
  </si>
  <si>
    <t>Configuring Hierarchical Layouts to Address Research Questions</t>
  </si>
  <si>
    <t>10.1109/TVCG.2009.128</t>
  </si>
  <si>
    <t>http://dx.doi.org/10.1109/VAST.2007.4388995</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</si>
  <si>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</si>
  <si>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Aidan Slingsby;Jason Dykes;Jo Wood</t>
  </si>
  <si>
    <t>City University London;City University London;City University London</t>
  </si>
  <si>
    <t>10.1109/TVCG.2007.70515;10.1109/INFVIS.2003.1249006;10.1109/VISUAL.1990.146386;10.1109/TVCG.2008.125;10.1109/TVCG.2007.70539;10.1109/VISUAL.2002.1183791</t>
  </si>
  <si>
    <t>Geovisualization, hierarchical, layout, guidelines, exploratory, notation</t>
  </si>
  <si>
    <t>Conjunctive Visual Forms</t>
  </si>
  <si>
    <t>10.1109/TVCG.2009.129</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</si>
  <si>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</si>
  <si>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University of Oklahoma</t>
  </si>
  <si>
    <t>10.1109/VAST.2006.261427;10.1109/INFVIS.2001.963287;10.1109/INFVIS.2003.1249024;10.1109/TVCG.2007.70577;10.1109/VISUAL.1995.485139;10.1109/TVCG.2007.70594;10.1109/INFVIS.1996.559216;10.1109/VAST.2007.4389006;10.1109/VAST.2008.4677370;10.1109/TVCG.2008.153</t>
  </si>
  <si>
    <t>Boolean query, brushing, conjunctive normal form, exploratory visualization, multiple views, visual abstraction</t>
  </si>
  <si>
    <t>Constructing Overview + Detail Dendrogram-Matrix Views</t>
  </si>
  <si>
    <t>10.1109/TVCG.2009.130</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</si>
  <si>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</si>
  <si>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Jin Chen;Alan M. MacEachren;Donna Peuquet</t>
  </si>
  <si>
    <t>Jin Chen;Alan M. MacEachren;Donna J. Peuquet</t>
  </si>
  <si>
    <t>Fraunhofer Inst., Sankt Augustin|c|;;</t>
  </si>
  <si>
    <t>Pennsylvania State University;Pennsylvania State University;Pennsylvania State University</t>
  </si>
  <si>
    <t>10.1109/TVCG.2006.161;10.1109/TVCG.2007.70535;10.1109/INFVIS.2004.46</t>
  </si>
  <si>
    <t>Dendrogram, reorderable matrix, compound graphs, data abstraction quality metrics, hierarchical clusters</t>
  </si>
  <si>
    <t>http://dx.doi.org/10.1109/VAST.2007.4388996</t>
  </si>
  <si>
    <t>Document Cards: A Top Trumps Visualization for Documents</t>
  </si>
  <si>
    <t>10.1109/TVCG.2009.139</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</si>
  <si>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</si>
  <si>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Hendrik Strobelt;Daniela Oelke;Christian Rohrdantz;Andreas Stoffel;Daniel A. Keim;Oliver Deussen</t>
  </si>
  <si>
    <t>University of Konstanz;University of Konstanz;University of Konstanz;University of Konstanz;University of Konstanz;University of Konstanz</t>
  </si>
  <si>
    <t>document visualization, visual summary, content extraction, document collection browsing</t>
  </si>
  <si>
    <t>Exemplar-based Visualization of Large Document Corpus</t>
  </si>
  <si>
    <t>10.1109/TVCG.2009.140</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</si>
  <si>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</si>
  <si>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Yanhua Chen;Lijun Wang;Ming Dong;Jing Hua</t>
  </si>
  <si>
    <t>Wayne State University, Detroit, MI;Wayne State University, Detroit, MI;Wayne State University, Detroit, MI;Wayne State University, Detroit, MI</t>
  </si>
  <si>
    <t>10.1109/VISUAL.1999.809866;10.1109/TVCG.2008.138</t>
  </si>
  <si>
    <t>Exemplar, large-scale document visualization, multidimensional projection</t>
  </si>
  <si>
    <t>SSS Res., Inc., Naperville|c|;;;;;</t>
  </si>
  <si>
    <t>http://dx.doi.org/10.1109/VAST.2007.4388997</t>
  </si>
  <si>
    <t>Flow Mapping and Multivariate Visualization of Large Spatial Interaction Data</t>
  </si>
  <si>
    <t>10.1109/TVCG.2009.143</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</si>
  <si>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</si>
  <si>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Department of Geography, University of South Carolina</t>
  </si>
  <si>
    <t>10.1109/TVCG.2008.135;10.1109/TVCG.2006.147;10.1109/TVCG.2006.138;10.1109/INFVIS.2005.1532150</t>
  </si>
  <si>
    <t>hierarchical clustering, graph partitioning, flow mapping, spatial interaction, contiguity constraints, multidimensional visualization, coordinated views, data mining</t>
  </si>
  <si>
    <t>Simon Fraser Univ. Surrey, Surrey|c|;;</t>
  </si>
  <si>
    <t>FromDaDy: Spreading Aircraft Trajectories Across Views to Support Iterative Queries</t>
  </si>
  <si>
    <t>10.1109/TVCG.2009.145</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</si>
  <si>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</si>
  <si>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Christophe Hurter;Benjamin Tissoires;Stéphane Conversy</t>
  </si>
  <si>
    <t>DSNA/DTI R&amp;D, ENAC and IRIT/IHCS;DSNA/DTI R&amp;D, ENAC and IRIT/IHCS;ENAC and IRIT/IHCS</t>
  </si>
  <si>
    <t>10.1109/INFVIS.2000.885086;10.1109/VISUAL.1995.485139;10.1109/VISUAL.1994.346302;10.1109/TVCG.2008.153;10.1109/INFVIS.2004.64</t>
  </si>
  <si>
    <t>visualization, iterative exploration, direct manipulation, trajectories</t>
  </si>
  <si>
    <t>http://dx.doi.org/10.1109/VAST.2007.4388998</t>
  </si>
  <si>
    <t>Appl. Visions Inc., Sacramento|c|;</t>
  </si>
  <si>
    <t>http://dx.doi.org/10.1109/VAST.2007.4388999</t>
  </si>
  <si>
    <t>GeneShelf: A Web-based Visual Interface for Large Gene Expression Time-Series Data Repositories</t>
  </si>
  <si>
    <t>10.1109/TVCG.2009.146</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</si>
  <si>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</si>
  <si>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Bo Hyoung Kim;Bongshin Lee;Susan Knoblach;Eric P. Hoffman;Jinwook Seo</t>
  </si>
  <si>
    <t>Bohyoung Kim;Bongshin Lee;Susan Knoblach;Eric Hoffman;Jinwook Seo</t>
  </si>
  <si>
    <t>Stony Brook Univ., Stony Brook|c|;;;;</t>
  </si>
  <si>
    <t>Seoul National University;Microsoft Research;Children's National Medical Center;Children's National Medical Center;Seoul National University</t>
  </si>
  <si>
    <t>bioinformatics visualization, augmented timeline, animation, zoomable grid, gene expression profiling</t>
  </si>
  <si>
    <t>http://dx.doi.org/10.1109/VAST.2007.4389000</t>
  </si>
  <si>
    <t>Harnessing the Information Ecosystem with Wiki-based Visualization Dashboards</t>
  </si>
  <si>
    <t>10.1109/TVCG.2009.148</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</si>
  <si>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</si>
  <si>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Matt McKeon</t>
  </si>
  <si>
    <t>IBM Research</t>
  </si>
  <si>
    <t>10.1109/TVCG.2007.70577;10.1109/INFVIS.1998.729560;10.1109/TVCG.2008.172;10.1109/TVCG.2006.178;10.1109/VAST.2008.4677366;10.1109/TVCG.2008.175;10.1109/VAST.2007.4389011;10.1109/VISUAL.1994.346302</t>
  </si>
  <si>
    <t>visualization, web, social software, wikis, social data analysis, collaboration, dashboards, visual analytics</t>
  </si>
  <si>
    <t>Interaction Techniques for Selecting and Manipulating Subgraphs in Network Visualizations</t>
  </si>
  <si>
    <t>10.1109/TVCG.2009.151</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</si>
  <si>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</si>
  <si>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Michael J. McGuffin;Igor Jurisica</t>
  </si>
  <si>
    <t>Worcester Polytech. Inst., Worcester|c|;;</t>
  </si>
  <si>
    <t>Ecole de technologie superieure;Ontario Cancer Institute</t>
  </si>
  <si>
    <t>10.1109/INFVIS.2005.1532124;10.1109/INFVIS.1996.559216</t>
  </si>
  <si>
    <t>Interactive graph drawing, network layout, radial menus, marking menus, hotbox, biological networks</t>
  </si>
  <si>
    <t>http://dx.doi.org/10.1109/VAST.2007.4389001</t>
  </si>
  <si>
    <t>Interactive Dimensionality Reduction Through User-defined Combinations of Quality Metrics</t>
  </si>
  <si>
    <t>10.1109/TVCG.2009.153</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</si>
  <si>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</si>
  <si>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Sara Johansson;Jimmy Johansson</t>
  </si>
  <si>
    <t>10.1109/INFVIS.2005.1532142;10.1109/INFVIS.2003.1249015;10.1109/INFVIS.1998.729559;10.1109/TVCG.2006.161;10.1109/INFVIS.2004.60;10.1109/INFVIS.2004.3;10.1109/INFVIS.2004.71;10.1109/TVCG.2008.138;10.1109/INFVIS.2004.15</t>
  </si>
  <si>
    <t>dimensionality reduction, interactivity, quality metrics, variable ordering</t>
  </si>
  <si>
    <t>Lark: Coordinating Co-located Collaboration with Information Visualization</t>
  </si>
  <si>
    <t>10.1109/TVCG.2009.162</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</si>
  <si>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</si>
  <si>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Matthew Tobiasz;Petra Isenberg;Sheelagh Carpendale</t>
  </si>
  <si>
    <t>University of Calgary;University of Calgary;University of Calgary</t>
  </si>
  <si>
    <t>10.1109/INFVIS.2004.12;10.1109/INFVIS.1998.729560;10.1109/VAST.2006.261415;10.1109/VAST.2007.4389011;10.1109/INFVIS.2005.1532143;10.1109/VAST.2006.261439;10.1109/TVCG.2007.70568</t>
  </si>
  <si>
    <t>Information visualization, Meta-visualization, Collaboration, Coordination, Co-located work, Workspace awareness</t>
  </si>
  <si>
    <t>Mapping Text with Phrase Nets</t>
  </si>
  <si>
    <t>10.1109/TVCG.2009.165</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</si>
  <si>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</si>
  <si>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Frank van Ham;Martin Wattenberg;Fernanda B. Viégas</t>
  </si>
  <si>
    <t>Frank van Ham;Martin Wattenberg;Fernanda B. Viegas</t>
  </si>
  <si>
    <t>IBM Research;IBM Research;IBM Research</t>
  </si>
  <si>
    <t>10.1109/TVCG.2008.172;10.1109/VISUAL.2005.1532781;10.1109/TVCG.2007.70577</t>
  </si>
  <si>
    <t>Text visualization, tag cloud, natural language processing, semantic net</t>
  </si>
  <si>
    <t>MizBee: A Multiscale Synteny Browser</t>
  </si>
  <si>
    <t>10.1109/TVCG.2009.167</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</si>
  <si>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</si>
  <si>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Miriah D. Meyer;Tamara Munzner;Hanspeter Pfister</t>
  </si>
  <si>
    <t>Miriah Meyer;Tamara Munzner;Hanspeter Pfister</t>
  </si>
  <si>
    <t>Harvard University;University of British Columbia;Harvard University</t>
  </si>
  <si>
    <t>10.1109/INFVIS.2005.1532134;10.1109/TVCG.2006.147</t>
  </si>
  <si>
    <t>Information visualization, design study, bioinformatics, synteny</t>
  </si>
  <si>
    <t>Participatory Visualization with Wordle</t>
  </si>
  <si>
    <t>10.1109/TVCG.2009.171</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</si>
  <si>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</si>
  <si>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Fernanda B. Viégas;Martin Wattenberg;Jonathan Feinberg</t>
  </si>
  <si>
    <t>Fernanda B. Viegas;Martin Wattenberg;Jonathan Feinberg</t>
  </si>
  <si>
    <t>10.1109/INFVIS.2005.1532122;10.1109/TVCG.2007.70577</t>
  </si>
  <si>
    <t>Visualization, text, tag cloud, participatory culture, memory, educational visualization, social data analysis</t>
  </si>
  <si>
    <t>Protovis: A Graphical Toolkit for Visualization</t>
  </si>
  <si>
    <t>10.1109/TVCG.2009.174</t>
  </si>
  <si>
    <t>Ming C. Hao;Umeshwar Dayal;Daniel A. Keim;D. Morent;J̦rn Schneidewind</t>
  </si>
  <si>
    <t>Hewlett Packard Lab., Palo Alto|c|;;;;</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</si>
  <si>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</si>
  <si>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Michael Bostock;Jeffrey Heer</t>
  </si>
  <si>
    <t>Stanford University;Stanford University</t>
  </si>
  <si>
    <t>10.1109/VISUAL.1999.809864;10.1109/INFVIS.2004.12;10.1109/TVCG.2006.178;10.1109/TVCG.2007.70577;10.1109/INFVIS.1998.729560;10.1109/VAST.2007.4389011;10.1109/TVCG.2008.166;10.1109/INFVIS.2004.64;10.1109/INFVIS.2000.885086;10.1109/VAST.2007.4388996</t>
  </si>
  <si>
    <t>Information visualization, user interfaces, toolkits, 2D graphics</t>
  </si>
  <si>
    <t>http://dx.doi.org/10.1109/VAST.2007.4389002</t>
  </si>
  <si>
    <t>ResultMaps: Visualization for Search Interfaces</t>
  </si>
  <si>
    <t>10.1109/TVCG.2009.176</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</si>
  <si>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</si>
  <si>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Edward Clarkson;Krishna Desai;James D. Foley</t>
  </si>
  <si>
    <t>Edward Clarkson;Krishna Desai;James Foley</t>
  </si>
  <si>
    <t>Georgia Tech;Georgia Tech;Georgia Tech</t>
  </si>
  <si>
    <t>10.1109/VISUAL.1991.175815;10.1109/TVCG.2006.142;10.1109/INFVIS.1995.528686</t>
  </si>
  <si>
    <t>Treemap, evaluation, user studies, digital library, digital repository, search engine, search visualization, infovis</t>
  </si>
  <si>
    <t>Scattering Points in Parallel Coordinates</t>
  </si>
  <si>
    <t>10.1109/TVCG.2009.179</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</si>
  <si>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</si>
  <si>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Xiaoru Yuan;Peihong Guo;He Xiao;Hong Zhou;Huamin Qu</t>
  </si>
  <si>
    <t>10.1109/TVCG.2008.119;10.1109/INFVIS.2005.1532139;10.1109/VISUAL.1997.663867;10.1109/VISUAL.1990.146402;10.1109/INFVIS.2005.1532141;10.1109/VISUAL.1997.663916;10.1109/TVCG.2006.138;10.1109/VISUAL.1997.663866;10.1109/VISUAL.1996.567800;10.1109/INFVIS.2005.1532138;10.1109/INFVIS.2003.1249015;10.1109/VISUAL.1996.567787;10.1109/INFVIS.1998.729559;10.1109/INFVIS.2003.1249008;10.1109/INFVIS.2002.1173157;10.1109/VISUAL.1999.809866;10.1109/INFVIS.2003.1249023;10.1109/TVCG.2006.170;10.1109/INFVIS.2004.68;10.1109/INFVIS.2004.15;10.1109/TVCG.2008.153</t>
  </si>
  <si>
    <t>Parallel Coordinates, Scatterplots, Information Visualization, Multidimensional Scaling</t>
  </si>
  <si>
    <t>Univ. de Sao Paulo, Sao Carlos|c|;;;</t>
  </si>
  <si>
    <t>SellTrend: Inter-Attribute Visual Analysis of Temporal Transaction Data</t>
  </si>
  <si>
    <t>10.1109/TVCG.2009.180</t>
  </si>
  <si>
    <t>http://dx.doi.org/10.1109/VAST.2007.4389003</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</si>
  <si>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</si>
  <si>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Zhicheng Liu;John T. Stasko;Timothy Sullivan</t>
  </si>
  <si>
    <t>Zhicheng Liu;John Stasko;Timothy Sullivan</t>
  </si>
  <si>
    <t>Georgia Institute of Technology;Georgia Institute of Technology;Travelport Corp.</t>
  </si>
  <si>
    <t>10.1109/VAST.2007.4389009;10.1109/INFVIS.2005.1532139;10.1109/VISUAL.1991.175815;10.1109/VISUAL.1992.235181;10.1109/TVCG.2006.142;10.1109/INFVIS.1997.636793;10.1109/TVCG.2008.121;10.1109/VAST.2007.4389006</t>
  </si>
  <si>
    <t>investigative analysis, transaction analysis, information visualization, multiple views, time series data, multiple attributes, categorical data</t>
  </si>
  <si>
    <t>Smooth Graphs for Visual Exploration of Higher-Order State Transitions</t>
  </si>
  <si>
    <t>10.1109/TVCG.2009.181</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</si>
  <si>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</si>
  <si>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Jorik Blaas;Charl P. Botha;Edward Grundy;Mark W. Jones;Robert S. Laramee;Frits H. Post</t>
  </si>
  <si>
    <t>Jorik Blaas;Charl Botha;Edward Grundy;Mark Jones;Robert Laramee;Frits Post</t>
  </si>
  <si>
    <t>Visualization Group, Delft University of Technology, NL;Visualization Group, Delft University of Technology, NL;Visual Computing Group, Swansea University, UK.;Visual Computing Group, Swansea University, UK.;Visual Computing Group, Swansea University, UK.;Visualization Group, Delft University of Technology, NL</t>
  </si>
  <si>
    <t>10.1109/INFVIS.1995.528685;10.1109/TVCG.2008.155;10.1109/TVCG.2008.135;10.1109/TVCG.2006.192;10.1109/INFVIS.2001.963281;10.1109/INFVIS.2001.963281;10.1109/TVCG.2006.147</t>
  </si>
  <si>
    <t>State transitions, Graph drawing, Time series, Biological data</t>
  </si>
  <si>
    <t>Spatiotemporal Analysis of Sensor Logs using Growth Ring Maps</t>
  </si>
  <si>
    <t>10.1109/TVCG.2009.182</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</si>
  <si>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</si>
  <si>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Peter Bak;Florian Mansmann;Halldór Janetzko;Daniel A. Keim</t>
  </si>
  <si>
    <t>Peter Bak;Florian Mansmann;Halldor Janetzko;Daniel Keim</t>
  </si>
  <si>
    <t>University of Konstanz;University of Konstanz;University of Konstanz;University of Konstanz</t>
  </si>
  <si>
    <t>10.1109/INFVIS.2004.27;10.1109/VISUAL.1995.485140;10.1109/INFVIS.2005.1532144;10.1109/TVCG.2006.198;10.1109/TVCG.2007.70621;10.1109/TVCG.2007.70535;10.1109/INFVIS.1999.801851;10.1109/TVCG.2006.202</t>
  </si>
  <si>
    <t>spatiotemporal visualization, visual analytics, animal behavior, dense pixel displays</t>
  </si>
  <si>
    <t>SpicyNodes: Radial Layout Authoring for the General Public</t>
  </si>
  <si>
    <t>10.1109/TVCG.2009.183</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</si>
  <si>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</si>
  <si>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Michael Douma;Grzegorz Ligierko;Ovidiu Ancuta;Pavel Gritsai;Sean Liu</t>
  </si>
  <si>
    <t>IDEA;IDEA;IDEA;IDEA;IDEA</t>
  </si>
  <si>
    <t>10.1109/INFVIS.2001.963279;10.1109/TVCG.2008.171;10.1109/INFVIS.2003.1249009;10.1109/INFVIS.2004.64</t>
  </si>
  <si>
    <t>Trees and network visualization, radial tree layout, information visualization, interaction, focus+context, hierarchy visualization, human-computer interaction</t>
  </si>
  <si>
    <t>Temporal Summaries: Supporting Temporal Categorical Searching, Aggregation and Comparison</t>
  </si>
  <si>
    <t>10.1109/TVCG.2009.187</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</si>
  <si>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</si>
  <si>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Taowei David Wang;Catherine Plaisant;Ben Shneiderman;Neil Spring;David Roseman;Greg Marchand;Vikramjit Mukherjee;Mark S. Smith</t>
  </si>
  <si>
    <t>Taowei David Wang;Catherine Plaisant;Ben Shneiderman;Neil Spring;David Roseman;Greg Marchand;Vikramjit Mukherjee;Mark Smith</t>
  </si>
  <si>
    <t>Human-Computer Interaction Lab and Dept. of Computer Science, University of Maryland at College Park;Human-Computer Interaction Lab and Dept. of Computer Science, University of Maryland at College Park;Human-Computer Interaction Lab and Dept. of Computer Science, University of Maryland at College Park;Dept. of Computer Science, University of Maryland at College Park;ER One Institute, Washington Hospital Center, Medstar Health;ER One Institute, Washington Hospital Center, Medstar Health;ER One Institute, Washington Hospital Center, Medstar Health;ER One Institute, Washington Hospital Center, Medstar Health</t>
  </si>
  <si>
    <t>10.1109/INFVIS.2005.1532122;10.1109/VAST.2007.4389008</t>
  </si>
  <si>
    <t>Information Visualization, Interaction design, Human-computer interaction, temporal categorical data visualization</t>
  </si>
  <si>
    <t>The Benefits of Synchronous Collaborative Information Visualization: Evidence from an Experimental Evaluation</t>
  </si>
  <si>
    <t>10.1109/TVCG.2009.188</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</si>
  <si>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and participation. An implication of our study for information visualization applications is to extend them by using real-time group annotation functionalities that aid in the group sense making process of the represented data.</t>
  </si>
  <si>
    <t>Sabrina Bresciani;Martin J. Eppler</t>
  </si>
  <si>
    <t>University of Lugano (USI);University of St. Gallen (HSG)</t>
  </si>
  <si>
    <t>10.1109/VAST.2008.4677358;10.1109/TVCG.2007.70568;10.1109/TVCG.2008.125;10.1109/TVCG.2008.129</t>
  </si>
  <si>
    <t>Laboratory Studies, Visual Knowledge Representation, Collaborative and Distributed Visualization, synchronous situated collaboration, group work, experiment, knowledge sharing</t>
  </si>
  <si>
    <t>Towards Utilizing GPUs in Information Visualization: A Model and Implementation of Image-Space Operations</t>
  </si>
  <si>
    <t>10.1109/TVCG.2009.191</t>
  </si>
  <si>
    <t>East China Normal Univ., Shanghai|c|;;;;</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</si>
  <si>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</si>
  <si>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Bryan McDonnel;Niklas Elmqvist</t>
  </si>
  <si>
    <t>Purdue University in West Lafayette, IN;Purdue University in West Lafayette, IN</t>
  </si>
  <si>
    <t>10.1109/INFVIS.2004.12;10.1109/VISUAL.2004.95;10.1109/INFVIS.2002.1173156;10.1109/VAST.2007.4389013;10.1109/TVCG.2007.70580;10.1109/INFVIS.1998.729560;10.1109/INFVIS.1997.636792</t>
  </si>
  <si>
    <t>GPU-acceleration, shader programming, interaction, high-performance visualization</t>
  </si>
  <si>
    <t>http://dx.doi.org/10.1109/VAST.2007.4389004</t>
  </si>
  <si>
    <t>Visual Analysis of Inter-Process Communication for Large-Scale Parallel Computing</t>
  </si>
  <si>
    <t>10.1109/TVCG.2009.196</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</si>
  <si>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</si>
  <si>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Chris Muelder;François Gygi;Kwan-Liu Ma</t>
  </si>
  <si>
    <t>Chris Muelder;Francois Gygi;Kwan-Liu Ma</t>
  </si>
  <si>
    <t>10.1109/INFVIS.2005.1532138;10.1109/INFVIS.2002.1173155;10.1109/INFVIS.2004.25</t>
  </si>
  <si>
    <t>Information Visualization, MPI Profiling, Scalability</t>
  </si>
  <si>
    <t>Visualizing Social Photos on a Hasse Diagram for Eliciting Relations and Indexing New Photos</t>
  </si>
  <si>
    <t>10.1109/TVCG.2009.201</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</si>
  <si>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</si>
  <si>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Michel Crampes;Jeremy de Oliveira-Kumar;Sylvie Ranwez;Jean Villerd</t>
  </si>
  <si>
    <t>LGI2P/EMA Research Center;UNSW;LGI2P/EMA Research Center;LGI2P/EMA Research Center</t>
  </si>
  <si>
    <t>Information visualization, Hasse Diagram, indexation, social photos, formal concept analysis, Galois sub-hierarchy</t>
  </si>
  <si>
    <t>Visualizing the Intellectual Structure with Paper-Reference Matrices</t>
  </si>
  <si>
    <t>10.1109/TVCG.2009.202</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</si>
  <si>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</si>
  <si>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Jian Zhang 0006;Chaomei Chen;Jiexun Li</t>
  </si>
  <si>
    <t>Jian Zhang;Chaomei Chen;Jiexun Li</t>
  </si>
  <si>
    <t>Drexel University;Drexel University;Drexel University</t>
  </si>
  <si>
    <t>10.1109/INFVIS.2000.885091;10.1109/TVCG.2008.172;10.1109/TVCG.2008.135;10.1109/TVCG.2008.121;10.1109/INFVIS.2004.43;10.1109/TVCG.2008.130;10.1109/VISUAL.1991.175815</t>
  </si>
  <si>
    <t>Intellectual Structure, Paper-reference Matrix, FP-tree, Co-citation</t>
  </si>
  <si>
    <t>Merging visual analysis with automated reasoning: Using Prajna to solve the traffic challenge</t>
  </si>
  <si>
    <t>10.1109/VAST.2009.5332481</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</si>
  <si>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</si>
  <si>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Professional analysts using a large, high-resolution display</t>
  </si>
  <si>
    <t>10.1109/VAST.2009.5332485</t>
  </si>
  <si>
    <t>Univ. of Konstanz, Konstanz|c|;</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</si>
  <si>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</si>
  <si>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Alex Endert;Christopher Andrews;Glenn A. Fink;Chris North</t>
  </si>
  <si>
    <t>Virginia Polytechnic Institute and State University, USA;Virginia Polytechnic Institute and State University, USA;Pacific Northwest National Laboratory, USA;Virginia Polytechnic Institute and State University, USA</t>
  </si>
  <si>
    <t>Interactive visual clustering of large collections of trajectories</t>
  </si>
  <si>
    <t>http://dx.doi.org/10.1109/VAST.2007.4389005</t>
  </si>
  <si>
    <t>10.1109/VAST.2009.5332584</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</si>
  <si>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</si>
  <si>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Gennady L. Andrienko;Natalia V. Andrienko;Salvatore Rinzivillo;Mirco Nanni;Dino Pedreschi;Fosca Giannotti</t>
  </si>
  <si>
    <t>Gennady Andrienko;Natalia Andrienko;Salvatore Rinzivillo;Mirco Nanni;Dino Pedreschi;Fosca Giannotti</t>
  </si>
  <si>
    <t>Fraunhofer Institute IAIS (Intelligent Analysis and Information Systems), Sankt Augustin, Germany;Fraunhofer Institute IAIS (Intelligent Analysis and Information Systems), Sankt Augustin, Germany;KDD Lab ISTI CNR, Pisa, Italy;KDD Lab ISTI CNR, Pisa, Italy;University of Pisa, Italy;KDD Lab ISTI CNR, Pisa, Italy</t>
  </si>
  <si>
    <t>10.1109/VAST.2008.4677356;10.1109/VAST.2007.4388999</t>
  </si>
  <si>
    <t>Spatio-temporal data, movement data, trajectories, clustering, classification, scalable visualization, geovisualization</t>
  </si>
  <si>
    <t>Guided analysis of hurricane trends using statistical processes integrated with interactive parallel coordinates</t>
  </si>
  <si>
    <t>10.1109/VAST.2009.5332586</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</si>
  <si>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</si>
  <si>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Chad A. Steed;J. Edward Swan;T. J. Jankun-Kelly;Patrick J. Fitzpatrick</t>
  </si>
  <si>
    <t>UNC Charlotte, Charlotte|c|;;;</t>
  </si>
  <si>
    <t>http://dx.doi.org/10.1109/VAST.2007.4389006</t>
  </si>
  <si>
    <t>John T. Stasko;Carsten G̦rg;Zhicheng Liu;Kanupriya Singhal</t>
  </si>
  <si>
    <t>http://dx.doi.org/10.1109/VAST.2007.4389007</t>
  </si>
  <si>
    <t>Univ. of Fribourg, Fribourg|c|;;</t>
  </si>
  <si>
    <t>http://dx.doi.org/10.1109/VAST.2007.4389008</t>
  </si>
  <si>
    <t>Univ. of British Columbia Google, Vancouver|c|;;;</t>
  </si>
  <si>
    <t>http://dx.doi.org/10.1109/VAST.2007.4389009</t>
  </si>
  <si>
    <t>Chad A. Steed;J. Edward Swan;T.J. Jankun-Kelly;Patrick J. Fitzpatrick</t>
  </si>
  <si>
    <t>Naval Research Laboratory, USA;Mississippi State University, USA;Mississippi State University, USA;Mississippi State University, USA</t>
  </si>
  <si>
    <t>10.1109/TVCG.2007.70523;10.1109/INFVIS.2005.1532138;10.1109/VAST.2006.261452;10.1109/INFVIS.2004.68;10.1109/VISUAL.1995.485139;10.1109/INFVIS.2002.1173157;10.1109/VISUAL.1999.809866;10.1109/TVCG.2006.170</t>
  </si>
  <si>
    <t>Climate study, multivariate data, correlation, regression, interaction, statistical analysis, visual analytics</t>
  </si>
  <si>
    <t>Proximity-based visualization of movement trace data</t>
  </si>
  <si>
    <t>10.1109/VAST.2009.5332593</t>
  </si>
  <si>
    <t>UNC at Charlotte, Charlotte|c|;;;;;;;;</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</si>
  <si>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</si>
  <si>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Tarik Crnovrsanin;Chris Muelder;Carlos D. Correa;Kwan-Liu Ma</t>
  </si>
  <si>
    <t>Tarik Crnovrsanin;Chris Muelder;Carlos Correa;Kwan-Liu Ma</t>
  </si>
  <si>
    <t>http://dx.doi.org/10.1109/VAST.2007.4389010</t>
  </si>
  <si>
    <t>University of California, Davis, USA;University of California, Davis, USA;University of California, Davis, USA;University of California, Davis, USA</t>
  </si>
  <si>
    <t>10.1109/INFVIS.2004.27;10.1109/VISUAL.1990.146402;10.1109/TVCG.2007.70621;10.1109/TVCG.2007.70558</t>
  </si>
  <si>
    <t>Spatio-temporal visualization, proximity, linked views, principal component analysis, temporal trajectories, movement patterns</t>
  </si>
  <si>
    <t>Finding comparable temporal categorical records: A similarity measure with an interactive visualization</t>
  </si>
  <si>
    <t>10.1109/VAST.2009.5332595</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</si>
  <si>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M&amp;amp;M (Match &amp;amp; Mismatch) measure, which is based on the concept of aligning records by sentinel events, then matching events between the target and the compared records. The M&amp;amp;M measure combines the time differences between pairs of events and the number of mismatches. To accom-modate customization of parameters in the M&amp;amp;M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M&amp;amp;M measure. The usability study feedback, led to an improved version with a continuous timeline, which was tested in a pilot study with 5 participants.</t>
  </si>
  <si>
    <t>Krist Wongsuphasawat;Ben Shneiderman</t>
  </si>
  <si>
    <t>Department of Computer Science &amp; Human-Computer Interaction Lab, University of Maryland, College Park, 20742, USA;Department of Computer Science &amp; Human-Computer Interaction Lab, University of Maryland, College Park, 20742, USA</t>
  </si>
  <si>
    <t>Palo Alto Res. Center, Palo Alto|c|;;;</t>
  </si>
  <si>
    <t>Similan, M&amp;M Measure, Similarity Search, Temporal Categorical Records</t>
  </si>
  <si>
    <t>A visual analytics system for radio frequency fingerprinting-based localization</t>
  </si>
  <si>
    <t>10.1109/VAST.2009.5332596</t>
  </si>
  <si>
    <t>http://dx.doi.org/10.1109/VAST.2007.4389011</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</si>
  <si>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</si>
  <si>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Yi Han;Erich P. Stuntebeck;John T. Stasko;Gregory D. Abowd</t>
  </si>
  <si>
    <t>School of Interactive Computing &amp; GVU Center,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t>
  </si>
  <si>
    <t>Geovisual analytics for self-organizing network data</t>
  </si>
  <si>
    <t>10.1109/VAST.2009.5332610</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</si>
  <si>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</si>
  <si>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Ho Van Quan;Tobias Åström;Mikael Jern</t>
  </si>
  <si>
    <t>Van Quan Ho;Tobias Astrom;Mikael Jern</t>
  </si>
  <si>
    <t>National Center for Visual Analytics, Dept. of Science and Technology, Linköping University, Sweden;National Center for Visual Analytics, Dept. of Science and Technology, Linköping University, Sweden;National Center for Visual Analytics, Dept. of Science and Technology, Linköping University, Sweden</t>
  </si>
  <si>
    <t>Geovisual analytics, visualization, self-organizing network, multi-layer, multi-dimensional, time-varying, geospatial data sets</t>
  </si>
  <si>
    <t>A framework for uncertainty-aware visual analytics</t>
  </si>
  <si>
    <t>10.1109/VAST.2009.5332611</t>
  </si>
  <si>
    <t>Visual analytics has become an important tool for gaining insight on large and complex collections of data. Numerous statistical tools and data transformations, such as projections, binning and clustering, have been coupled with visualization to help analysts understand data better and faster. However, data is inherently uncertain, due to error, noise or unreliable sources. When making decisions based on uncertain data, it is important to quantify and present to the analyst both the aggregated uncertainty of the results and the impact of the sources of that uncertainty. In this paper, we present a new framework to support uncertainty in the visual analytics process, through statistic methods such as uncertainty modeling, propagation and aggregation. We show that data transformations, such as regression, principal component analysis and k-means clustering, can be adapted to account for uncertainty. This framework leads to better visualizations that improve the decision-making process and help analysts gain insight on the analytic process itself.</t>
  </si>
  <si>
    <t>Carlos D. Correa;Yu-Hsuan Chan;Kwan-Liu Ma</t>
  </si>
  <si>
    <t>University of California at Davis, USA;University of California at Davis, USA;University of California at Davis, USA</t>
  </si>
  <si>
    <t>10.1109/VAST.2008.4677368;10.1109/VAST.2007.4389000</t>
  </si>
  <si>
    <t>Uncertainty, Data Transformations, Principal Component Analysis, Model fitting</t>
  </si>
  <si>
    <t>Combining automated analysis and visualization techniques for effective exploration of high-dimensional data</t>
  </si>
  <si>
    <t>10.1109/VAST.2009.5332628</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</si>
  <si>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</si>
  <si>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Andrada Tatu;Georgia Albuquerque;Martin Eisemann;Jörn Schneidewind;Holger Theisel;Marcus A. Magnor;Daniel A. Keim</t>
  </si>
  <si>
    <t>Andrada Tatu;Georgia Albuquerque;Martin Eisemann;Jorn Schneidewind;Holger Theisel;Marcus Magnork;Daniel Keim</t>
  </si>
  <si>
    <t>University of Konstanz, Germany;TU Braunschweig, Germany;TU Braunschweig, Germany;Telefonica o2 Business, Intelligence Center, Germany;University of Magdeburg, Germany;TU Braunschweig, Germany;University of Konstanz, Germany</t>
  </si>
  <si>
    <t>10.1109/INFVIS.2005.1532142;10.1109/INFVIS.1998.729559;10.1109/INFVIS.2003.1249017;10.1109/VISUAL.1994.346302;10.1109/VAST.2006.261423</t>
  </si>
  <si>
    <t>Two-stage framework for visualization of clustered high dimensional data</t>
  </si>
  <si>
    <t>10.1109/VAST.2009.5332629</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</si>
  <si>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</si>
  <si>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Jaegul Choo;Shawn Bohn;Haesun Park</t>
  </si>
  <si>
    <t>College of Computing, Georgia Institute of Technology, 266 Ferst Drive, Atlanta, 30332, USA;National Visualization and Analytics Center, Pacific Northwest National Laboratory, 902 Battelle Blvd, Richland, WA 99354, USA;College of Computing, Georgia Institute of Technology, 266 Ferst Drive, Atlanta, 30332, USA</t>
  </si>
  <si>
    <t>dimension reduction, linear discriminant analysis, principal component analysis, orthogonal centroid method, 2D projection, clustered data, regularization, generalized singular value decomposition</t>
  </si>
  <si>
    <t>Capturing and supporting the analysis process</t>
  </si>
  <si>
    <t>10.1109/VAST.2009.5333020</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</si>
  <si>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</si>
  <si>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Nazanin Kadivar;Victor Y. Chen;Dustin Dunsmuir;Eric Lee;Cheryl Z. Qian;John Dill;Chris Shaw 0002;Robert F. Woodbury</t>
  </si>
  <si>
    <t>Nazanin Kadivar;Victor Chen;Dustin Dunsmuir;Eric Lee;Cheryl Qian;John Dill;Christopher Shaw;Robert Woodbury</t>
  </si>
  <si>
    <t>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t>
  </si>
  <si>
    <t>10.1109/INFVIS.2005.1532136;10.1109/VAST.2008.4677362;10.1109/VAST.2007.4388992;10.1109/TVCG.2008.137;10.1109/VAST.2007.4389006;10.1109/VAST.2008.4677365;10.1109/INFVIS.2004.2;10.1109/VAST.2007.4389002;10.1109/TVCG.2007.70515;10.1109/VAST.2007.4389001</t>
  </si>
  <si>
    <t>Visual Analytics, Sense-making, Analysis Process, Visual History</t>
  </si>
  <si>
    <t>Connecting the dots in visual analysis</t>
  </si>
  <si>
    <t>10.1109/VAST.2009.5333023</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</si>
  <si>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</si>
  <si>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Yedendra Babu Shrinivasan;David Gotz;Jie Lu</t>
  </si>
  <si>
    <t>Yedendra B. Shrinivasan;David Gotzy;Jie Lu</t>
  </si>
  <si>
    <t>Eindhoven University of Technology, The Netherlands;IBM Research, USA;IBM Research, USA</t>
  </si>
  <si>
    <t>10.1109/VAST.2008.4677362;10.1109/VAST.2007.4389006;10.1109/VAST.2007.4389011;10.1109/VAST.2006.261432;10.1109/VAST.2008.4677365</t>
  </si>
  <si>
    <t>Interactive poster: Interactive multiobjective optimization - a new application area for visual analytics</t>
  </si>
  <si>
    <t>Univ. of California, Berkeley|c|;</t>
  </si>
  <si>
    <t>10.1109/VAST.2009.5333081</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</si>
  <si>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</si>
  <si>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http://dx.doi.org/10.1109/VAST.2007.4389012</t>
  </si>
  <si>
    <t>Suvi Tarkkanen;Kaisa Miettinen;Jussi Hakanen</t>
  </si>
  <si>
    <t>Department of Mathematical Information Technology, University of Jyväskylä, Finland;Department of Mathematical Information Technology, University of Jyväskylä, Finland;Department of Mathematical Information Technology, University of Jyväskylä, Finland</t>
  </si>
  <si>
    <t>Poster: Icexplorer: Studying Great Lakes Ice cover</t>
  </si>
  <si>
    <t>10.1109/VAST.2009.5333082</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</si>
  <si>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</si>
  <si>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Stina S. Bridgeman</t>
  </si>
  <si>
    <t>Stina Bridgeman</t>
  </si>
  <si>
    <t>Hobart and William Smith Colleges, USA</t>
  </si>
  <si>
    <t>Articulate: a conversational interface for visual analytics</t>
  </si>
  <si>
    <t>10.1109/VAST.2009.5333099</t>
  </si>
  <si>
    <t>While many visualization tools exist that offer sophisticated functions for charting complex data, they still expect users to possess a high degree of expertise in wielding the tools to create an effective visualization. This poster presents Articulate, an attempt at a semi-automated visual analytic model that is guided by a conversational user interface. The goal is to relieve the user of the physical burden of having to directly craft a visualization through the manipulation of a complex user-interface, by instead being able to verbally articulate what the user wants to see, and then using natural language processing and heuristics to semi-automatically create a suitable visualization.</t>
  </si>
  <si>
    <t>Yiwen Sun;Jason Leigh;Andrew E. Johnson;Dennis Chau</t>
  </si>
  <si>
    <t>Yiwen Sun;Jason Leigh;Andrew Johnson;Dennis Chau</t>
  </si>
  <si>
    <t>Electronic Visualization Laboratory, University of Illinois at Chicago, USA;Electronic Visualization Laboratory, University of Illinois at Chicago, USA;Electronic Visualization Laboratory, University of Illinois at Chicago, USA;Electronic Visualization Laboratory, University of Illinois at Chicago, USA</t>
  </si>
  <si>
    <t>VAST contest dataset use in education</t>
  </si>
  <si>
    <t>10.1109/VAST.2009.5333245</t>
  </si>
  <si>
    <t>Ulrik Brandes;J�_rgen Lerner</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</si>
  <si>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</si>
  <si>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Mark A. Whiting;Chris North;Alex Endert;Jean Scholtz;Jereme Haack;Carrie Varley;James J. Thomas</t>
  </si>
  <si>
    <t>Mark A. Whiting;Chris North;Alex Endert;Jean Scholtz;Jereme Haack;Carrie Varley;Jim Thomas</t>
  </si>
  <si>
    <t>Pacific Northwest National Laboratory, USA;Virginia Tech, Department of Computer Science, USA;Virginia Tech, Department of Computer Science, USA;Pacific Northwest National Laboratory, USA;Pacific Northwest National Laboratory, USA;Pacific Northwest National Laboratory, USA;Pacific Northwest National Laboratory, USA</t>
  </si>
  <si>
    <t>education, evaluation, synthetic data</t>
  </si>
  <si>
    <t>http://dx.doi.org/10.1109/VAST.2007.4389013</t>
  </si>
  <si>
    <t>What's being said near "Martha"? Exploring name entities in literary text collections</t>
  </si>
  <si>
    <t>10.1109/VAST.2009.5333248</t>
  </si>
  <si>
    <t>A common task in literary analysis is to study characters in a novel or collection. Automatic entity extraction, text analysis and effective user interfaces facilitate character analysis. Using our interface, called POSvis, the scholar uses word clouds and self-organizing graphs to review vocabulary, to filter by part of speech, and to explore the network of characters located near characters under review. Further, visualizations show word usages within an analysis window (i.e. a book chapter), which can be compared with a reference window (i.e. the whole book). We describe the interface and report on an early case study with a humanities scholar.</t>
  </si>
  <si>
    <t>Romain Vuillemot;Tanya E. Clement;Catherine Plaisant;Amit Kumar</t>
  </si>
  <si>
    <t>Romain Vuillemot;Tanya Clement;Catherine Plaisant;Amit Kumar</t>
  </si>
  <si>
    <t>Université de Lyon, France;University of Maryland, USA;University of Maryland, USA;University of Illinois, Urbana Champaign, USA</t>
  </si>
  <si>
    <t>10.1109/TVCG.2008.172;10.1109/TVCG.2007.70577;10.1109/VAST.2008.4677359;10.1109/VAST.2007.4389004;10.1109/VAST.2007.4389006</t>
  </si>
  <si>
    <t>Visual Analytics, Design, Experimentation, Human Factors</t>
  </si>
  <si>
    <t>BEADS: High dimensional data cluster visualization</t>
  </si>
  <si>
    <t>10.1109/VAST.2009.5333417</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</si>
  <si>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</si>
  <si>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Soujanya Vadapalli;Kamalakar Karlapalem</t>
  </si>
  <si>
    <t>Centre for Data Engineering, International Institute of Information Technology-Hyderabad, INDIA;Centre for Data Engineering, International Institute of Information Technology-Hyderabad, INDIA</t>
  </si>
  <si>
    <t>Poster: Visual prediction of time series</t>
  </si>
  <si>
    <t>10.1109/VAST.2009.5333420</t>
  </si>
  <si>
    <t>Univ. Paris-Sud, Paris|c|;;</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</si>
  <si>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</si>
  <si>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Ming C. Hao;Halldór Janetzko;Ratnesh K. Sharma;Umeshwar Dayal;Daniel A. Keim;Malú Castellanos</t>
  </si>
  <si>
    <t>Ming C. Hao;Halldor Janetzko;Ratnesh K. Sharma;Umeshwar Dayal;Daniel A. Keim;Malu Castellanos</t>
  </si>
  <si>
    <t>Hewlett-Packard Labs, USA;University of Konstanz, Germany;Hewlett-Packard Labs, USA;Hewlett-Packard Labs, USA;University of Konstanz, Germany;Hewlett-Packard Labs, USA</t>
  </si>
  <si>
    <t>http://dx.doi.org/10.1109/VAST.2007.4389015</t>
  </si>
  <si>
    <t>ProcessLine: Visualizing time-series data in process industry</t>
  </si>
  <si>
    <t>10.1109/VAST.2009.5333421</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</si>
  <si>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</si>
  <si>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XiongFei Luo;Hongan Wang;Feng Tian 0001;Wei Liu 0023;Dongxing Teng;Guozhong Dai</t>
  </si>
  <si>
    <t>Xiongfei Luo;Hongan Wang;Feng Tian;Wei Liu;Dongxing Teng;Guozhong Dai</t>
  </si>
  <si>
    <t>Graduate University, Chinese Academy of Sciences, Beijing, China;Institute of Software, Chinese Academy of Sciences, Beijing, China;Institute of Software, Chinese Academy of Sciences, Beijing, China;Graduate University, Chinese Academy of Sciences, Beijing, China;Institute of Software, Chinese Academy of Sciences, Beijing, China;Institute of Software, Chinese Academy of Sciences, Beijing, China</t>
  </si>
  <si>
    <t>LSAView: A tool for visual exploration of latent semantic modeling</t>
  </si>
  <si>
    <t>10.1109/VAST.2009.5333428</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</si>
  <si>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</si>
  <si>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Patricia Crossno;Daniel M. Dunlavy;Timothy M. Shead</t>
  </si>
  <si>
    <t>Patricia J. Crossno;Daniel M. Dunlavy;Timothy M. Shead</t>
  </si>
  <si>
    <t>Sandia National Laboratories, USA;Sandia National Laboratories, USA;Sandia National Laboratories, USA</t>
  </si>
  <si>
    <t>Model space visualization for multivariate linear trend discovery</t>
  </si>
  <si>
    <t>10.1109/VAST.2009.5333431</t>
  </si>
  <si>
    <t>Loretta Auvil;Xavier Llor��;Duane Searsmith;Kelly Searsmith</t>
  </si>
  <si>
    <t>Univ. of Illinois at Urbana-Champaign, Urbana|c|;;;</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</si>
  <si>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</si>
  <si>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Zhenyu Guo;Matthew O. Ward;Elke A. Rundensteiner</t>
  </si>
  <si>
    <t>http://ieeexplore.ieee.org/xpl/articleDetails.jsp?arnumber=4389016</t>
  </si>
  <si>
    <t>Computer Science Department, Worcester Polytechnic Institute, USA;Computer Science Department, Worcester Polytechnic Institute, USA;Computer Science Department, Worcester Polytechnic Institute, USA</t>
  </si>
  <si>
    <t>10.1109/VAST.2008.4677350;10.1109/VAST.2007.4389000;10.1109/VAST.2008.4677363;10.1109/VAST.2007.4388999;10.1109/VISUAL.1990.146402;10.1109/VAST.2008.4677352;10.1109/VAST.2008.4677368</t>
  </si>
  <si>
    <t>Knowledge Discovery, visual analysis, multivariate linear model construction, model space visualization</t>
  </si>
  <si>
    <t>Reordered tilebars for visual text exploration</t>
  </si>
  <si>
    <t>10.1109/VAST.2009.5333436</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</si>
  <si>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</si>
  <si>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VinhTuan Thai;Siegfried Handschuh</t>
  </si>
  <si>
    <t>Digital Enterprise Research Institute, National University of Ireland, Galway, Ireland;Digital Enterprise Research Institute, National University of Ireland, Galway, Ireland</t>
  </si>
  <si>
    <t>Describing story evolution from dynamic information streams</t>
  </si>
  <si>
    <t>10.1109/VAST.2009.5333437</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</si>
  <si>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</si>
  <si>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Stuart J. Rose;Scott Butner;Wendy Cowley;Michelle L. Gregory;Julia Walker</t>
  </si>
  <si>
    <t>Stuart Rose;Scott Butner;Wendy Cowley;Michelle Gregory;Julia Walker</t>
  </si>
  <si>
    <t>Pacific Northwest National Laboratory, USA;Pacific Northwest National Laboratory, USA;Pacific Northwest National Laboratory, USA;Pacific Northwest National Laboratory, USA;Pacific Northwest National Laboratory, USA</t>
  </si>
  <si>
    <t>10.1109/INFVIS.2000.885098;10.1109/INFVIS.2005.1532133</t>
  </si>
  <si>
    <t>Visual knowledge exploration and discovery from different points of view</t>
  </si>
  <si>
    <t>10.1109/VAST.2009.5333438</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</si>
  <si>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</si>
  <si>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Aba-Sah Dadzie;Daniela Petrelli</t>
  </si>
  <si>
    <t>Dept. of Information Studies, The University of Sheffield, UK;Dept. of Information Studies, The University of Sheffield, UK</t>
  </si>
  <si>
    <t>Parallel Tag Clouds to explore and analyze faceted text corpora</t>
  </si>
  <si>
    <t>10.1109/VAST.2009.5333443</t>
  </si>
  <si>
    <t>ATS Intelligent Discovery, Silverdale|c|;;</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</si>
  <si>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</si>
  <si>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Christopher Collins;Fernanda B. Viégas;Martin Wattenberg</t>
  </si>
  <si>
    <t>Christopher Collins;Fernanda B. Viegas;Martin Wattenberg</t>
  </si>
  <si>
    <t>University of Toronto, Canada;IBM Research, USA;IBM Research, USA</t>
  </si>
  <si>
    <t>10.1109/INFVIS.1995.528686;10.1109/TVCG.2007.70589;10.1109/TVCG.2008.175;10.1109/TVCG.2008.172;10.1109/VAST.2007.4389006;10.1109/TVCG.2006.166</t>
  </si>
  <si>
    <t>Text visualization, corpus visualization, information retrieval, text mining, tag clouds</t>
  </si>
  <si>
    <t>http://dx.doi.org/10.1109/VAST.2007.4389017</t>
  </si>
  <si>
    <t>A scalable architecture for visual data exploration</t>
  </si>
  <si>
    <t>10.1109/VAST.2009.5333451</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</si>
  <si>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</si>
  <si>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Jonathan W. Decker;Alex Godwin;Mark A. Livingston;Denise Royle</t>
  </si>
  <si>
    <t>Jonathan Decker;Alex Godwin;Mark A. Livingston;Denise Royle</t>
  </si>
  <si>
    <t>Naval Research Laboratory, USA;Naval Research Laboratory, USA;Naval Research Laboratory, USA;Naval Research Laboratory, USA</t>
  </si>
  <si>
    <t>Interactive visual analysis of location reporting patterns</t>
  </si>
  <si>
    <t>10.1109/VAST.2009.5333453</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</si>
  <si>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</si>
  <si>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Derek Overby;John Keyser;Jim Wall</t>
  </si>
  <si>
    <t>Department of Industrial and Systems Engineering, Texas A&amp;M University, USA;Department of Industrial and Systems Engineering, Texas A&amp;M University, USA;Department of Industrial and Systems Engineering, Texas A&amp;M University, USA</t>
  </si>
  <si>
    <t>Carsten G̦rg;Zhicheng Liu;Neel Parekh;Kanupriya Singhal;John T. Stasko</t>
  </si>
  <si>
    <t>Georgia Inst. of Technol., Atlanta|c|;;;;</t>
  </si>
  <si>
    <t>Working memory load as a novel tool for evaluating visual analytics</t>
  </si>
  <si>
    <t>10.1109/VAST.2009.5333468</t>
  </si>
  <si>
    <t>http://dx.doi.org/10.1109/VAST.2007.4389018</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</si>
  <si>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</si>
  <si>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Courtney C. Dornburg;Laura E. Matzen;Travis L. Bauer;Laura A. McNamara</t>
  </si>
  <si>
    <t>Sandia National Laboratories, USA;Sandia National Laboratories, USA;Sandia National Laboratories, USA;Sandia National Laboratories, USA</t>
  </si>
  <si>
    <t>Comparing two interface tools in performing visual analytics tasks</t>
  </si>
  <si>
    <t>10.1109/VAST.2009.5333469</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</si>
  <si>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</si>
  <si>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Dong Hyun Jeong;Tera Marie Green;William Ribarsky;Remco Chang</t>
  </si>
  <si>
    <t>Charlotte Visualization Center, UNC Charlotte, USA;School of Interactive Arts and Technology, Simon Fraser University, Canada;Charlotte Visualization Center, UNC Charlotte, USA;Charlotte Visualization Center, UNC Charlotte, USA</t>
  </si>
  <si>
    <t>Analysis of community-contributed space- and time-referenced data (example of flickr and panoramio photos)</t>
  </si>
  <si>
    <t>10.1109/VAST.2009.5333472</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</si>
  <si>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</si>
  <si>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Gennady L. Andrienko;Natalia V. Andrienko;Peter Bak;Slava Kisilevich;Daniel A. Keim</t>
  </si>
  <si>
    <t>Gennady Andrienko;Natalia Andrienko;Peter Bak;Slava Kisilevich;Daniel Keim</t>
  </si>
  <si>
    <t>University of Bonn and Fraunhofer Institute IAIS, Germany;University of Bonn and Fraunhofer Institute IAIS, Germany;University of Konstanz, Germany;University of Konstanz, Germany;University of Konstanz, Germany</t>
  </si>
  <si>
    <t>Interactive poster: A proposal for sharing user requirements for visual analytic tools</t>
  </si>
  <si>
    <t>10.1109/VAST.2009.5333474</t>
  </si>
  <si>
    <t>http://dx.doi.org/10.1109/VAST.2007.4389019</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</si>
  <si>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</si>
  <si>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Pacific Northwest National Laboratory, USA</t>
  </si>
  <si>
    <t>Iterative integration of visual insights during patent search and analysis</t>
  </si>
  <si>
    <t>10.1109/VAST.2009.5333564</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</si>
  <si>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</si>
  <si>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Steffen Koch;Harald Bosch;Mark Giereth;Thomas Ertl</t>
  </si>
  <si>
    <t>Visualization and Interactive Systems Group, Universität Stuttgart, Germany;Visualization and Interactive Systems Group, Universität Stuttgart, Germany;Visualization and Interactive Systems Group, Universität Stuttgart, Germany;Visualization and Interactive Systems Group, Universität Stuttgart, Germany</t>
  </si>
  <si>
    <t>10.1109/INFVIS.2000.885086;10.1109/VAST.2007.4389009;10.1109/VAST.2007.4389006</t>
  </si>
  <si>
    <t>Patent retrieval, information visualization, visual analytics, multiple coordinated views</t>
  </si>
  <si>
    <t>Evaluating visual analytics systems for investigative analysis: Deriving design principles from a case study</t>
  </si>
  <si>
    <t>10.1109/VAST.2009.5333878</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</si>
  <si>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</si>
  <si>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Pennsylvania State Univ., State College|c|;;;</t>
  </si>
  <si>
    <t>Youn ah Kang;Carsten Görg;John T. Stasko</t>
  </si>
  <si>
    <t>Youn-ah Kang;Carsten Gorg;John Stasko</t>
  </si>
  <si>
    <t>School of Interactive Computing &amp; GVU Center, Georgia Institute of Technology, USA;School of Interactive Computing &amp; GVU Center, Georgia Institute of Technology, USA;School of Interactive Computing &amp; GVU Center, Georgia Institute of Technology, USA</t>
  </si>
  <si>
    <t>10.1109/VAST.2008.4677362;10.1109/VAST.2008.4677360;10.1109/VAST.2006.261416;10.1109/VAST.2007.4389006;10.1109/VAST.2008.4677358</t>
  </si>
  <si>
    <t>http://dx.doi.org/10.1109/VAST.2007.4389020</t>
  </si>
  <si>
    <t>A multi-level middle-out cross-zooming approach for large graph analytics</t>
  </si>
  <si>
    <t>10.1109/VAST.2009.5333880</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</si>
  <si>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</si>
  <si>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Pak Chung Wong;Patrick Mackey;Kristin A. Cook;Randall M. Rohrer;Harlan Foote;Mark A. Whiting</t>
  </si>
  <si>
    <t>Pacific Northwest National Laboratory, USA;Pacific Northwest National Laboratory, USA;Pacific Northwest National Laboratory, USA;U.S. Department of Defense, USA;Pacific Northwest National Laboratory, USA;Pacific Northwest National Laboratory, USA</t>
  </si>
  <si>
    <t>10.1109/VAST.2007.4389006;10.1109/INFVIS.2004.43;10.1109/INFVIS.2004.66;10.1109/TVCG.2007.70582</t>
  </si>
  <si>
    <t>Graph analytics, information visualization</t>
  </si>
  <si>
    <t>Visual analysis of graphs with multiple connected components</t>
  </si>
  <si>
    <t>10.1109/VAST.2009.5333893</t>
  </si>
  <si>
    <t>This abstract presents a bricolage 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</si>
  <si>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</si>
  <si>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Tatiana von Landesberger;Melanie Görner;Tobias Schreck</t>
  </si>
  <si>
    <t>Simon Fraser Univ., Columbia|c|;;;;;</t>
  </si>
  <si>
    <t>Tatiana von Landesberger;Melanie Gorner;Tobias Schreck</t>
  </si>
  <si>
    <t>Interactive Graphics Systems Group, Technische Universität Darmstadt and Fraunhofer IGD, Germany;Interactive Graphics Systems Group, Technische Universität Darmstadt, Germany;Interactive Graphics Systems Group, Technische Universität Darmstadt, Germany</t>
  </si>
  <si>
    <t>10.1109/TVCG.2006.193;10.1109/TVCG.2008.135;10.1109/INFVIS.2003.1249011;10.1109/TVCG.2006.147</t>
  </si>
  <si>
    <t>http://dx.doi.org/10.1109/VAST.2007.4389021</t>
  </si>
  <si>
    <t>MassVis: Visual analysis of protein complexes using mass spectrometry</t>
  </si>
  <si>
    <t>10.1109/VAST.2009.5333895</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</si>
  <si>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</si>
  <si>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Robert Kincaid;Kurt Dejgaard</t>
  </si>
  <si>
    <t>Agilent Laboratories, USA;McGill University, Canada</t>
  </si>
  <si>
    <t>10.1109/VISUAL.2005.1532827;10.1109/VISUAL.2005.1532828;10.1109/VAST.2007.4389006</t>
  </si>
  <si>
    <t>information visualization, visual analysis, correlation analysis, mass spectrometry, proteomics, interactome</t>
  </si>
  <si>
    <t>SpRay: A visual analytics approach for gene expression data</t>
  </si>
  <si>
    <t>10.1109/VAST.2009.5333911</t>
  </si>
  <si>
    <t>Tech. Univ. Eindhoven, Eindhoven|c|;</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</si>
  <si>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</si>
  <si>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Janko Dietzsch;Julian Heinrich;Kay Nieselt;Dirk Bartz</t>
  </si>
  <si>
    <t>ZBIT, University of Tübingen, Germany;VISUS, University of Stuttgart, Germany;ZBIT, University of Tübingen, Germany;ICCAS/VCM, Universität Leipzig, Germany</t>
  </si>
  <si>
    <t>http://dx.doi.org/10.1109/VAST.2007.4389022</t>
  </si>
  <si>
    <t>10.1109/VISUAL.2005.1532828;10.1109/INFVIS.2004.68;10.1109/VISUAL.2004.82;10.1109/TVCG.2006.138;10.1109/TVCG.2006.170;10.1109/INFVIS.2005.1532138</t>
  </si>
  <si>
    <t>Visual analytics, bioinformatics, gene expression experiments, microarray data, large-scale microarray</t>
  </si>
  <si>
    <t>Using projection and 2D plots to visually reveal genetic mechanisms of complex human disorders</t>
  </si>
  <si>
    <t>10.1109/VAST.2009.5333917</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</si>
  <si>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</si>
  <si>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Boonthanome Nouanesengsy;Sang-Cheol Seok;Han-Wei Shen;Veronica J. Vieland</t>
  </si>
  <si>
    <t>Boonthanome Nouanesengsy;Sang-Cheol Seok;Han-Wei Shen;Veronica J Vieland</t>
  </si>
  <si>
    <t>Battelle Center for Mathematical Medicine, Nationwide Childrens Hospital &amp; The Ohio State University, USA;Battelle Center for Mathematical Medicine, Nationwide Childrens Hospital, USA;The Ohio State University, USA;Battelle Center for Mathematical Medicine, Nationwide Childrens Hospital &amp; The Ohio State University, USA</t>
  </si>
  <si>
    <t>Visualization, Multidimensional data, Linkage Analysis, Posterior Probability of Linkage, PPL, PPLD, LD analysis, Linkage disequilibrium, Autism</t>
  </si>
  <si>
    <t>Visual opinion analysis of customer feedback data</t>
  </si>
  <si>
    <t>10.1109/VAST.2009.5333919</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</si>
  <si>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</si>
  <si>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Daniela Oelke;Ming C. Hao;Christian Rohrdantz;Daniel A. Keim;Umeshwar Dayal;Lars-Erik Haug;Halldór Janetzko</t>
  </si>
  <si>
    <t>Daniela Oelke;Ming Hao;Christian Rohrdantz;Daniel A. Keim;Umeshwar Dayal;Lars-Erik Haug;Halldor Janetzko</t>
  </si>
  <si>
    <t>University of Konstanz, Germany;Hewlett Packard Laboratories, Palo Alto, CA, USA;University of Konstanz, Germany;University of Konstanz, Germany;Hewlett Packard Laboratories, Palo Alto, CA, USA;Hewlett Packard Laboratories, Palo Alto, CA, USA;University of Konstanz, Germany</t>
  </si>
  <si>
    <t>Visual Opinion Analysis, Visual Sentiment Analysis, Visual Document Analysis, Attribute Extraction</t>
  </si>
  <si>
    <t>Univ. of Maryland, College Park|c|;;</t>
  </si>
  <si>
    <t>finVis: Applied visual analytics for personal financial planning</t>
  </si>
  <si>
    <t>http://dx.doi.org/10.1109/VAST.2007.4389023</t>
  </si>
  <si>
    <t>10.1109/VAST.2009.5333920</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</si>
  <si>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</si>
  <si>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Stephen Rudolph;Anya Samak;David S. Ebert</t>
  </si>
  <si>
    <t>Stephen Rudolph;Anya Savikhin;David S. Ebert</t>
  </si>
  <si>
    <t>Purdue University Regional Visualization and Analytics Center (PURVAC), USA;Purdue University Department of Economics, USA;Purdue University Regional Visualization and Analytics Center (PURVAC), USA</t>
  </si>
  <si>
    <t>10.1109/INFVIS.2000.885098;10.1109/INFVIS.1997.636789;10.1109/TVCG.2007.70541;10.1109/INFVIS.2001.963273;10.1109/TVCG.2007.70589;10.1109/TVCG.2007.70577;10.1109/VAST.2008.4677363;10.1109/INFVIS.2003.1249027</t>
  </si>
  <si>
    <t>Casual Information Visualization, visual analytics, personal finance, visualization of risk, economic decision-making</t>
  </si>
  <si>
    <t>VIScover: Visualizing, exploring, and analysing structured data</t>
  </si>
  <si>
    <t>10.1109/VAST.2009.5333946</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</si>
  <si>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</si>
  <si>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Thorsten Liebig;Olaf Noppens;Friedrich W. von Henke</t>
  </si>
  <si>
    <t>Georgetown Univ., Washington|c|;;;</t>
  </si>
  <si>
    <t>Thorsten Liebig;Olaf Noppens;Friedrich von Henke</t>
  </si>
  <si>
    <t>Ulm University, derivo GmbH, Germany;Ulm University, derivo GmbH, Germany;Ulm University, Germany</t>
  </si>
  <si>
    <t>http://dx.doi.org/10.1109/VAST.2007.4389024</t>
  </si>
  <si>
    <t>VIDI surveillance - embassy monitoring and oversight system</t>
  </si>
  <si>
    <t>10.1109/VAST.2009.5333950</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</si>
  <si>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</si>
  <si>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Chad Jones;Michael Ogawa;James Shearer;Anna Tikhonova;Kwan-Liu Ma</t>
  </si>
  <si>
    <t>VIDI Group, University of California, Davis, USA;VIDI Group, University of California, Davis, USA;VIDI Group, University of California, Davis, USA;VIDI Group, University of California, Davis, USA;VIDI Group, University of California, Davis, USA</t>
  </si>
  <si>
    <t>Multiple step social structure analysis with Cytoscape</t>
  </si>
  <si>
    <t>10.1109/VAST.2009.5333961</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</si>
  <si>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</si>
  <si>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Hao Zhou;Anna A. Shaverdian;H. V. Jagadish;George Michailidis</t>
  </si>
  <si>
    <t>Hao Zhou;Anna A. Shaverdian;H.V. Jagadish;George Michailidis</t>
  </si>
  <si>
    <t>Dept. of Statistics, University of Michigan, USA;Dept. of EECS, University of Michigan, USA;Dept. of EECS, University of Michigan, USA;Dept. of Statistics, University of Michigan, USA</t>
  </si>
  <si>
    <t>Visualization of uncertainty and analysis of geographical data</t>
  </si>
  <si>
    <t>10.1109/VAST.2009.5333965</t>
  </si>
  <si>
    <t>Union Coll., Schenectady|c|</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</si>
  <si>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</si>
  <si>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Jo Wood;Aidan Slingsby;Naz Khalili-Shavarini;Jason Dykes;David M. Mountain</t>
  </si>
  <si>
    <t>Jo Wood;Aidan Slingsby;Naz Khalili-Shavarini;Jason Dykes;David Mountain</t>
  </si>
  <si>
    <t>http://dx.doi.org/10.1109/VAST.2007.4389025</t>
  </si>
  <si>
    <t>School of Informatics, City University London, UK;School of Informatics, City University London, UK;School of Informatics, City University London, UK;School of Informatics, City University London, UK;School of Informatics, City University London, UK</t>
  </si>
  <si>
    <t>EAKOS: VAST 2009</t>
  </si>
  <si>
    <t>10.1109/VAST.2009.5333967</t>
  </si>
  <si>
    <t>In this article, I describe the tools and techniques used to generate competing hypotheses for the VAST 2009 Flitter mini challenge. I will describe how I approached solving the social networks and the importance of the geospatial relationships to determine that ldquoSocial Structure Form Ardquo was the best matching social network.</t>
  </si>
  <si>
    <t>Lorne Leonard</t>
  </si>
  <si>
    <t>Penn State University Research Computing &amp; Cyberinfrastructure, USA</t>
  </si>
  <si>
    <t>Visualized subgraph search</t>
  </si>
  <si>
    <t>10.1109/VAST.2009.5333968</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</si>
  <si>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</si>
  <si>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Dóra Erdös;Zsolt Fekete;András Lukács</t>
  </si>
  <si>
    <t>Dora Erdos;Zsolt Fekete;Andras Lukacs</t>
  </si>
  <si>
    <t>Computer and Automation Research Institute (MTA SZTAKI), Hungarian Academy of Sciences, Data Mining and Web Search Group, Hungary;Computer and Automation Research Institute (MTA SZTAKI), Hungarian Academy of Sciences, Data Mining and Web Search Group, Hungary;Computer and Automation Research Institute (MTA SZTAKI), Hungarian Academy of Sciences, Data Mining and Web Search Group, Hungary</t>
  </si>
  <si>
    <t>Penn State Univ., University Park|c|</t>
  </si>
  <si>
    <t>Innovative filtering techniques and customized analytics tools</t>
  </si>
  <si>
    <t>http://dx.doi.org/10.1109/VAST.2007.4389026</t>
  </si>
  <si>
    <t>10.1109/VAST.2009.5334300</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</si>
  <si>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</si>
  <si>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Harald Bosch;Julian Heinrich;Christoph Müller 0001;Benjamin Höferlin;Guido Reina;Markus Höferlin;Michael Wörner 0001;Steffen Koch</t>
  </si>
  <si>
    <t>Harald Bosch;Julian Heinrich;Christoph Muller;Benjamin Hoferlin;Guido Reina;Markus Hoferlin;Michael Worner;Steffen Koch</t>
  </si>
  <si>
    <t>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t>
  </si>
  <si>
    <t>VAST 2009 Traffic Mini Challenge: Intuitive analytic information presentation</t>
  </si>
  <si>
    <t>10.1109/VAST.2009.5334301</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</si>
  <si>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</si>
  <si>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Shraddha Agrawal;Kollukuduru Sravanthi;Soujanya Vadapalli;Kamalakar Karlapalem</t>
  </si>
  <si>
    <t>Centre for Data Engineering, International Institute of Information Technology, Hyderabad, India;Centre for Data Engineering, International Institute of Information Technology, Hyderabad, India;Centre for Data Engineering, International Institute of Information Technology, Hyderabad, India;Centre for Data Engineering, International Institute of Information Technology, Hyderabad, India</t>
  </si>
  <si>
    <t>Lawrence Berkeley Nat. Lab., Berkeley|c|;;;;</t>
  </si>
  <si>
    <t>Detecting and analyzing relationships among anomalies</t>
  </si>
  <si>
    <t>10.1109/VAST.2009.5334426</t>
  </si>
  <si>
    <t>http://dx.doi.org/10.1109/VAST.2007.4389027</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</si>
  <si>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</si>
  <si>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David Allen;Tsai-Ching Lu;David Huber</t>
  </si>
  <si>
    <t>David Allen;Tsai-Ching Lu;Dave Huber</t>
  </si>
  <si>
    <t>HRL Laboratories, LLC, USA;HRL Laboratories, LLC, USA;HRL Laboratories, LLC, USA</t>
  </si>
  <si>
    <t>Integrative visual analytics for suspicious behavior detection</t>
  </si>
  <si>
    <t>10.1109/VAST.2009.5334430</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</si>
  <si>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</si>
  <si>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Peter Bak;Christian Rohrdantz;Svenja Leifert;Christoph Granacher;Stefan Koch;Simon Butscher;Patrick Jungk;Daniel A. Keim</t>
  </si>
  <si>
    <t>University of Konstanz, Germany;University of Konstanz, Germany;University of Konstanz, Germany;University of Konstanz, Germany;University of Konstanz, Germany;University of Konstanz, Germany;University of Konstanz, Germany;University of Konstanz, Germany</t>
  </si>
  <si>
    <t>VAST 2009 challenge: An insider threat</t>
  </si>
  <si>
    <t>10.1109/VAST.2009.5334454</t>
  </si>
  <si>
    <t>The 4&amp;lt;sup&amp;gt;th&amp;lt;/sup&amp;gt;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</si>
  <si>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Georges G. Grinstein;Jean Scholtz;Mark A. Whiting;Catherine Plaisant</t>
  </si>
  <si>
    <t>Georges Grinstein;Jean Scholtz;Mark Whiting;Catherine Plaisant</t>
  </si>
  <si>
    <t>University of Massachusetts Lowell, USA;Pacific Northwest National Laboratory, USA;Pacific Northwest National Laboratory, USA;University of Maryland, USA</t>
  </si>
  <si>
    <t>Solving the traffic and flitter challenges with tulip</t>
  </si>
  <si>
    <t>10.1109/VAST.2009.5334456</t>
  </si>
  <si>
    <t>http://dx.doi.org/10.1109/VAST.2007.4389028</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</si>
  <si>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</si>
  <si>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Paolo Simonetto;Pierre-Yves Koenig;Faraz Zaidi;Daniel W. Archambault;Frédéric Gilbert;Trung-Tien Phan-Quang;Morgan Mathiaut;Antoine Lambert;Jonathan Dubois;Ronan Sicre;Mathieu Brulin;Rémy Vieux;Guy Melançon</t>
  </si>
  <si>
    <t>Paolo Simonetto;Mathieu Brulin;Remy Vieux;Guy Melancon;Pierre-Yves Koenig;Faraz Zaidi;Daniel Archambault;Frederic Gilbert;Trung-Tien Phan-Quang;Morgan Mathiaut;Antoine Lambert;Jonathan Dubois;Ronan Sicre</t>
  </si>
  <si>
    <t>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France;INRIA Bordeaux Sud-Ouest and LaBRI, Université de Bordeaux I, France</t>
  </si>
  <si>
    <t>Timeline analysis of undercover activities VAST 2009 traffic mini challenge award: Good analytical technique</t>
  </si>
  <si>
    <t>10.1109/VAST.2009.5334460</t>
  </si>
  <si>
    <t>Simon Fraser Univ., Burnaby|c|;;;;;;;</t>
  </si>
  <si>
    <t>http://dx.doi.org/10.1109/VAST.2007.4389030</t>
  </si>
  <si>
    <t>Pacific Northwest National Laboratory|c|;;;</t>
  </si>
  <si>
    <t>http://dx.doi.org/10.1109/VAST.2007.4389032</t>
  </si>
  <si>
    <t>Univ. of Massachusetts, Lowell|c|;;;;;</t>
  </si>
  <si>
    <t>http://dx.doi.org/10.1109/VAST.2007.4389033</t>
  </si>
  <si>
    <t>Oculus Info Inc., Toronto|c|;;;;;</t>
  </si>
  <si>
    <t>http://dx.doi.org/10.1109/VAST.2007.4389034</t>
  </si>
  <si>
    <t>Carsten G̦rg;Zhicheng Liu;Neel Parekh;Kanupriyah Singhal;John T. Stasko</t>
  </si>
  <si>
    <t>http://dx.doi.org/10.1109/VAST.2007.4389035</t>
  </si>
  <si>
    <t>Automated Learning Group, National Center for Supercomputing Applications, University of Illinois at Urbana-Champaign. e-mail: lauvil@uiuc.edu|c|;;;</t>
  </si>
  <si>
    <t>http://dx.doi.org/10.1109/VAST.2007.4389036</t>
  </si>
  <si>
    <t>Sandia Nat. Lab., Albuquerque|c|;;;;;;;;;</t>
  </si>
  <si>
    <t>http://dx.doi.org/10.1109/VAST.2007.4389037</t>
  </si>
  <si>
    <t>Pennsylvania State Univ., University Park|c|;;;;;;</t>
  </si>
  <si>
    <t>http://dx.doi.org/10.1109/VAST.2007.4389038</t>
  </si>
  <si>
    <t>ATS, Silverdale|c|;;</t>
  </si>
  <si>
    <t>http://dx.doi.org/10.1109/VAST.2007.4470207</t>
  </si>
  <si>
    <t>http://dx.doi.org/10.1109/TVCG.2008.108</t>
  </si>
  <si>
    <t>Dept. of Electr. Eng. &amp; Comput. Sci., Univ. of Tennessee, Knoxville, TN|c|;</t>
  </si>
  <si>
    <t>http://dx.doi.org/10.1109/TVCG.2008.109</t>
  </si>
  <si>
    <t>Univ. of British Columbia, Vancouver, BC|c|</t>
  </si>
  <si>
    <t>http://dx.doi.org/10.1109/TVCG.2008.110</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</si>
  <si>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billion/10243 node grid on a laptop computer with 2 Gb memory.</t>
  </si>
  <si>
    <t>Livermore Nat. Lab., UC Davis &amp; Lawrence, Livermore, CA|c|;;;</t>
  </si>
  <si>
    <t>http://dx.doi.org/10.1109/TVCG.2008.111</t>
  </si>
  <si>
    <t>UNC-Chapel Hill, Chapel Hill, NC|c|;;;;</t>
  </si>
  <si>
    <t>http://dx.doi.org/10.1109/TVCG.2008.112</t>
  </si>
  <si>
    <t>Inst. de Inf., UFRGS, Porto Alegre|c|;;</t>
  </si>
  <si>
    <t>http://dx.doi.org/10.1109/TVCG.2008.114</t>
  </si>
  <si>
    <t>Comput. Sci. &amp; Eng. Dept., Ohio State Univ., Columbus, OH|c|;</t>
  </si>
  <si>
    <t>http://dx.doi.org/10.1109/TVCG.2008.115</t>
  </si>
  <si>
    <t>Minho Kim;Alireza Entezari;J̦rg Peters</t>
  </si>
  <si>
    <t>CISE Dept., Univ. of Florida, Gainesville, FL|c|;;</t>
  </si>
  <si>
    <t>http://dx.doi.org/10.1109/TVCG.2008.116</t>
  </si>
  <si>
    <t>Heike Leitte;Michael B̦ttinger;Gerik Scheuermann</t>
  </si>
  <si>
    <t>Univ. of Leipzig, Leipzig|c|;;</t>
  </si>
  <si>
    <t>http://dx.doi.org/10.1109/TVCG.2008.117</t>
  </si>
  <si>
    <t>Dept. of Comput. Sci., Univ. of British Columbia, Vancouver, BC|c|;;;</t>
  </si>
  <si>
    <t>http://dx.doi.org/10.1109/TVCG.2008.118</t>
  </si>
  <si>
    <t>Center for Visual Comput., Stony Brook Univ., Stony Brook, NY|c|;;;;</t>
  </si>
  <si>
    <t>http://dx.doi.org/10.1109/TVCG.2008.119</t>
  </si>
  <si>
    <t>Visualization Res. Center, Univ. Stuttgart, Stuttgart|c|;</t>
  </si>
  <si>
    <t>http://dx.doi.org/10.1109/TVCG.2008.120</t>
  </si>
  <si>
    <t>Kai B�_rger;Jens H. Kr�_ger;R�_diger Westermann</t>
  </si>
  <si>
    <t>Tech. Univ. Munchen, Munich|c|;;</t>
  </si>
  <si>
    <t>http://dx.doi.org/10.1109/TVCG.2008.121</t>
  </si>
  <si>
    <t>Sch. of Interactive Comput., Georgia Inst. of Technol., Atlanta, GA|c|;;</t>
  </si>
  <si>
    <t>http://dx.doi.org/10.1109/TVCG.2008.122</t>
  </si>
  <si>
    <t>Carlos A. Dietrich;Carlos Eduardo Scheidegger;Jọo Luiz Dihl Comba;Luciana Porcher Nedel;Cl��udio T. Silva</t>
  </si>
  <si>
    <t>Inst. de Inf., Univ. Fed. do Rio Grande do Sul, Rio Grande do Sul|c|;;;;</t>
  </si>
  <si>
    <t>http://dx.doi.org/10.1109/TVCG.2008.123</t>
  </si>
  <si>
    <t>Yale Univ., New Haven, CT|c|;;;;;;</t>
  </si>
  <si>
    <t>http://dx.doi.org/10.1109/TVCG.2008.124</t>
  </si>
  <si>
    <t>Comput. Graphics Group, Univ. of Bonn, Bonn|c|;;;</t>
  </si>
  <si>
    <t>http://dx.doi.org/10.1109/TVCG.2008.125</t>
  </si>
  <si>
    <t>Microsoft Res., Redmond, WA|c|;;;;</t>
  </si>
  <si>
    <t>http://dx.doi.org/10.1109/TVCG.2008.126</t>
  </si>
  <si>
    <t>Virginia Tech., Blacksburg, VA|c|;;;;;;;;;</t>
  </si>
  <si>
    <t>http://dx.doi.org/10.1109/TVCG.2008.127</t>
  </si>
  <si>
    <t>Calgary Univ., Calgary, AB|c|;;</t>
  </si>
  <si>
    <t>http://dx.doi.org/10.1109/TVCG.2008.128</t>
  </si>
  <si>
    <t>MPI Inf., Saarbrucken|c|;</t>
  </si>
  <si>
    <t>http://dx.doi.org/10.1109/TVCG.2008.129</t>
  </si>
  <si>
    <t>IBM T. J. Watson Res. Center, Hawthorne, NY|c|;</t>
  </si>
  <si>
    <t>http://dx.doi.org/10.1109/TVCG.2008.130</t>
  </si>
  <si>
    <t>Microsoft Res., Redmond, WA|c|;;;;;</t>
  </si>
  <si>
    <t>http://dx.doi.org/10.1109/TVCG.2008.131</t>
  </si>
  <si>
    <t>Data Visualization Group, Delft Univ. of Technol., Delft|c|;;</t>
  </si>
  <si>
    <t>http://dx.doi.org/10.1109/TVCG.2008.132</t>
  </si>
  <si>
    <t>Dept. of Comput. Sci. &amp; Inf. Eng., Nat. Cheng-Kung Univ., Tainan|c|;;</t>
  </si>
  <si>
    <t>http://dx.doi.org/10.1109/TVCG.2008.133</t>
  </si>
  <si>
    <t>Inst. of Data Anal. &amp; Visualization, Univ. of California, Davis, CA|c|;;;;</t>
  </si>
  <si>
    <t>http://dx.doi.org/10.1109/TVCG.2008.134</t>
  </si>
  <si>
    <t>Wayne State Univ., Detroit, MI|c|;;;;</t>
  </si>
  <si>
    <t>http://dx.doi.org/10.1109/TVCG.2008.135</t>
  </si>
  <si>
    <t>Hong Kong Univ. of Sci. &amp; Technol., Kowloon|c|;;;;</t>
  </si>
  <si>
    <t>http://dx.doi.org/10.1109/TVCG.2008.136</t>
  </si>
  <si>
    <t>Jennis Meyer-Spradow;Lars Stegger;Christian D̦ring;Timo Ropinski;Klaus H. Hinrichs</t>
  </si>
  <si>
    <t>Visualization &amp; Comput. Graphics Res. Group, Univ. of Munster, Munster|c|;;;;</t>
  </si>
  <si>
    <t>http://dx.doi.org/10.1109/TVCG.2008.137</t>
  </si>
  <si>
    <t>Univ. of California at Berkeley, Berkeley, CA|c|;;;</t>
  </si>
  <si>
    <t>http://dx.doi.org/10.1109/TVCG.2008.138</t>
  </si>
  <si>
    <t>Inst. de Cienc. Mat. e de Comput., Sao Paulo Univ., Sao Paulo|c|;</t>
  </si>
  <si>
    <t>http://dx.doi.org/10.1109/TVCG.2008.139</t>
  </si>
  <si>
    <t>Johannes Kehrer;Florian Ladst�_dter;Philipp Muigg;Helmut Doleisch;Andrea K. Steiner;Helwig Hauser</t>
  </si>
  <si>
    <t>Dept. of Inf., Bergen Univ., Bergen|c|;;;;;</t>
  </si>
  <si>
    <t>http://dx.doi.org/10.1109/TVCG.2008.140</t>
  </si>
  <si>
    <t>Dept. of Comput. Sci., Univ. of California, Davis, CA|c|;;</t>
  </si>
  <si>
    <t>http://dx.doi.org/10.1109/TVCG.2008.141</t>
  </si>
  <si>
    <t>INRIA-LRI, Univ. of Sydney, Sydney, NSW|c|;;</t>
  </si>
  <si>
    <t>http://dx.doi.org/10.1109/TVCG.2008.142</t>
  </si>
  <si>
    <t>Virtual Reality Group, RWTH Aachen Univ., Aachen|c|;;;;;;</t>
  </si>
  <si>
    <t>http://dx.doi.org/10.1109/TVCG.2008.143</t>
  </si>
  <si>
    <t>Leipzig Univ., Leipzig|c|;;;;</t>
  </si>
  <si>
    <t>http://dx.doi.org/10.1109/TVCG.2008.144</t>
  </si>
  <si>
    <t>VRVis Res. Center, Vienna|c|;;</t>
  </si>
  <si>
    <t>http://dx.doi.org/10.1109/TVCG.2008.145</t>
  </si>
  <si>
    <t>http://dx.doi.org/10.1109/TVCG.2008.146</t>
  </si>
  <si>
    <t>Texas Adv. Comput. Center, Univ. of Texas, Austin, TX|c|;;</t>
  </si>
  <si>
    <t>http://dx.doi.org/10.1109/TVCG.2008.147</t>
  </si>
  <si>
    <t>Markus Hadwiger;Laura Fritz;Christof Rezk-Salama;Thomas H̦llt;Georg Geier;Thomas Pabel</t>
  </si>
  <si>
    <t>VRVis Res. Center, Vienna|c|;;;;;</t>
  </si>
  <si>
    <t>http://dx.doi.org/10.1109/TVCG.2008.148</t>
  </si>
  <si>
    <t>Dept. of Comput. Sci., Purdue Univ., West Lafayette, IN|c|;;</t>
  </si>
  <si>
    <t>http://dx.doi.org/10.1109/TVCG.2008.149</t>
  </si>
  <si>
    <t>Charlotte Visualization Center, UNC Charlotte, Charlotte, NC|c|;;;;</t>
  </si>
  <si>
    <t>http://dx.doi.org/10.1109/TVCG.2008.150</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</si>
  <si>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</si>
  <si>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Jaegul Choo;Emily Fujimoto;Hanseung Lee;Pedro R. Walteros</t>
  </si>
  <si>
    <t>Georgia Institute of Technology, 266 Ferst Drive, Atlanta, 30332, USA;Georgia Institute of Technology, 266 Ferst Drive, Atlanta, 30332, USA;Georgia Institute of Technology, 266 Ferst Drive, Atlanta, 30332, USA;Georgia Institute of Technology, 266 Ferst Drive, Atlanta, 30332, USA</t>
  </si>
  <si>
    <t>Palantir: A visualization platform for real-world analysis</t>
  </si>
  <si>
    <t>10.1109/VAST.2009.5334462</t>
  </si>
  <si>
    <t>Dept. of Diagnostic Radiol., Yale Sch. of Med., New Haven, CT|c|;;;;;</t>
  </si>
  <si>
    <t>http://dx.doi.org/10.1109/TVCG.2008.151</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</si>
  <si>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</si>
  <si>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Brandon Wright;Jason Payne;Matthew Steckman;Scott Stevson</t>
  </si>
  <si>
    <t>Palantir Technologies, USA;Palantir Technologies, USA;Palantir Technologies, USA;Palantir Technologies, USA</t>
  </si>
  <si>
    <t>Combining iterative analytical reasoning and software development using the visualization language Processing</t>
  </si>
  <si>
    <t>10.1109/VAST.2009.5334463</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</si>
  <si>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</si>
  <si>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Claudia Müller-Birn;Lukas Birn</t>
  </si>
  <si>
    <t>Claudia Muller-Birn;Lukas Birn</t>
  </si>
  <si>
    <t>Carnegie Mellon University, USA;Capgemini sd&amp;m AG, Germany</t>
  </si>
  <si>
    <t>A Novel Interface for Interactive Exploration of DTI fibers</t>
  </si>
  <si>
    <t>10.1109/TVCG.2009.112</t>
  </si>
  <si>
    <t>Illinois Univ., Urbana, IL|c|;;;</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</si>
  <si>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</si>
  <si>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Wei Chen 0001;Zi'ang Ding;Song Zhang 0004;Anna MacKay-Brandt;Stephen Correia;Huamin Qu;John Allen Crow;David F. Tate;Zhicheng Yan;Qunsheng Peng</t>
  </si>
  <si>
    <t>http://dx.doi.org/10.1109/TVCG.2008.152</t>
  </si>
  <si>
    <t>Wei Chen;Zi'ang Ding;Song Zhang;Anna MacKay-Brandt;Stephen Correia;Huamin Qu;John Allen Crow;David F. Tate;Zhicheng Yan;Qunsheng Peng</t>
  </si>
  <si>
    <t>State Key Lab of CAD&amp;CG,Zhejiang University;State Key Lab of CAD&amp;CG,Zhejiang University;Department of Computer Science and Engineering,Mississippi State University;Brown University;Brown University;Department of Computer Science and Engineering,The Hong Kong University of Science and Technology;College of Veterinary Medicine, Mississippi State University;Brigham and Women’s Hospital;State Key Lab of CAD&amp;CG,Zhejiang University;State Key Lab of CAD&amp;CG,Zhejiang University</t>
  </si>
  <si>
    <t>10.1109/TVCG.2007.70602;10.1109/TVCG.2009.141;10.1109/VISUAL.2005.1532777;10.1109/VISUAL.2003.1250413;10.1109/VISUAL.2005.1532778;10.1109/VISUAL.2005.1532779;10.1109/VISUAL.2005.1532772;10.1109/VISUAL.2003.1250379;10.1109/VISUAL.2004.30</t>
  </si>
  <si>
    <t>Diffusion Tensor Imaging, fibers, fiber Clustering, Visualization Interface</t>
  </si>
  <si>
    <t>A Physiologically-based Model for Simulation of Color Vision Deficiency</t>
  </si>
  <si>
    <t>10.1109/TVCG.2009.113</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</si>
  <si>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</si>
  <si>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Gustavo M. Machado;Manuel Menezes de Oliveira Neto;Leandro A. F. Fernandes</t>
  </si>
  <si>
    <t>Gustavo M. Machado;Manuel M. Oliveira;Leandro A. F. Fernandes</t>
  </si>
  <si>
    <t>UFRGS;UFRGS;UFRGS</t>
  </si>
  <si>
    <t>10.1109/VISUAL.1996.568118;10.1109/VISUAL.1995.480803;10.1109/TVCG.2008.112</t>
  </si>
  <si>
    <t>Models of Color Vision, Color Perception, Simulation of Color Vision Deficiency, Anomalous Trichromacy, Dichromacy</t>
  </si>
  <si>
    <t>A User Study to Compare Four Uncertainty Visualization Methods for 1D and 2D Datasets</t>
  </si>
  <si>
    <t>10.1109/TVCG.2009.114</t>
  </si>
  <si>
    <t>Univ. of Rostock, Rostock|c|;;</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</si>
  <si>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design. In addition, the framework developed in this user study presents a structured approach to evaluate uncertainty visualization techniques, as well as provides a basis for future research in uncertainty visualization.</t>
  </si>
  <si>
    <t>Jibonananda Sanyal;Song Zhang 0004;Gargi Bhattacharya;Philip Amburn;Robert J. Moorhead II</t>
  </si>
  <si>
    <t>Jibonananda Sanyal;Song Zhang;Gargi Bhattacharya;Phil Amburn;Robert Moorhead</t>
  </si>
  <si>
    <t>Mississippi State University;Mississippi State University;Southern Illinois University;Mississippi State University;Mississippi State University</t>
  </si>
  <si>
    <t>10.1109/TVCG.2007.70518;10.1109/VISUAL.1996.568105;10.1109/VISUAL.2000.885679;10.1109/INFVIS.2002.1173145;10.1109/INFVIS.2004.59;10.1109/TVCG.2007.70530</t>
  </si>
  <si>
    <t>User study, uncertainty visualization</t>
  </si>
  <si>
    <t>http://dx.doi.org/10.1109/TVCG.2008.153</t>
  </si>
  <si>
    <t>A Visual Approach to Efficient Analysis and Quantification of Ductile Iron and Reinforced Sprayed Concrete</t>
  </si>
  <si>
    <t>10.1109/TVCG.2009.115</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</si>
  <si>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</si>
  <si>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Laura Fritz;Markus Hadwiger;Georg Geier;Gerhard Pittino;M. Eduard Gröller</t>
  </si>
  <si>
    <t>Laura Fritz;Markus Hadwiger;Georg Geier;Gerhard Pittino;M. Eduard Groller</t>
  </si>
  <si>
    <t>VRVis Research Center, Vienna, Austriastill involve a considerable amount of manual work due to insufficient;VRVis Research Center, Vienna, Austriastill involve a considerable amount of manual work due to insufficient;{|}Austrian Foundry Research Institute, Leoben, Austriatomized for specific applications with a high relevance for NDT prac-;Institute for Subsurface Engineering, University of Leoben, Austriaexpert users from this domain, both from a more practical engineer-;Vienna University of Technology, Vienna, Austriaof view. The first application scenario that we describe (Section 3) is</t>
  </si>
  <si>
    <t>10.1109/TVCG.2008.147;10.1109/VISUAL.2003.1250418;10.1109/TVCG.2008.162;10.1109/VISUAL.2001.964519;10.1109/VISUAL.2003.1250384;10.1109/TVCG.2007.70603</t>
  </si>
  <si>
    <t>Non-Destructive Testing, Multi-Dimensional Transfer Functions, Direction Visualization, Volume Rendering</t>
  </si>
  <si>
    <t>An interactive visualization tool for multi-channel confocal microscopy data in neurobiology research</t>
  </si>
  <si>
    <t>10.1109/TVCG.2009.118</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</si>
  <si>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</si>
  <si>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Yong Wan;Hideo Otsuna;Chi-Bin Chien;Charles D. Hansen</t>
  </si>
  <si>
    <t>Yong Wan;Hideo Otsuna;Chi-Bin Chien;Charles Hansen</t>
  </si>
  <si>
    <t>Scientific and Imaging Institute at University of Utah;Department of Neurobiology and Anatomy at University of Utah;Department of Neurobiology and Anatomy at University of Utah;Scientific and Imaging Institute at University of Utah</t>
  </si>
  <si>
    <t>10.1109/VISUAL.1999.809887;10.1109/TVCG.2006.148</t>
  </si>
  <si>
    <t>Visualization, neurobiology, confocal microscopy, qualitative analysis, volume rendering</t>
  </si>
  <si>
    <t>Applying Manifold Learning to Plotting Approximate Contour Trees</t>
  </si>
  <si>
    <t>INRIA, Paris|c|;;</t>
  </si>
  <si>
    <t>http://dx.doi.org/10.1109/TVCG.2008.154</t>
  </si>
  <si>
    <t>10.1109/TVCG.2009.119</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</si>
  <si>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</si>
  <si>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Shigeo Takahashi;Issei Fujishiro;Masato Okada</t>
  </si>
  <si>
    <t>The University of Tokyo;Keio University;The University of Tokyo</t>
  </si>
  <si>
    <t>10.1109/VISUAL.2002.1183772;10.1109/TVCG.2007.70601;10.1109/VISUAL.2004.96;10.1109/VISUAL.2002.1183774;10.1109/VISUAL.1997.663875</t>
  </si>
  <si>
    <t>Contour trees, manifold learning, time-varying volumes, high-dimensional data analysis</t>
  </si>
  <si>
    <t>Automatic Transfer Function Generation Using Contour Tree Controlled Residue Flow Model and Color Harmonics</t>
  </si>
  <si>
    <t>10.1109/TVCG.2009.120</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</si>
  <si>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</si>
  <si>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Jianlong Zhou;Masahiro Takatsuka</t>
  </si>
  <si>
    <t>The University of Sydney, Australia,and National ICT Australia (NICTA);The University of Sydney, Australia,and National ICT Australia (NICTA)</t>
  </si>
  <si>
    <t>10.1109/VISUAL.1998.745319;10.1109/TVCG.2008.118;10.1109/VISUAL.1999.809932;10.1109/VISUAL.2003.1250414;10.1109/VISUAL.2004.96;10.1109/TVCG.2007.70591;10.1109/TVCG.2008.162;10.1109/VISUAL.2001.964519;10.1109/VISUAL.2003.1250413;10.1109/VISUAL.1997.663875;10.1109/TVCG.2006.148</t>
  </si>
  <si>
    <t>Volume Rendering, Transfer Function, Contour Tree, Residue Flow, Harmonic Color</t>
  </si>
  <si>
    <t>Initiative in Innovative Comput., Harvard Univ., Cambridge, MA|c|;;;;</t>
  </si>
  <si>
    <t>BrainGazer - Visual Queries for Neurobiology Research</t>
  </si>
  <si>
    <t>10.1109/TVCG.2009.121</t>
  </si>
  <si>
    <t>http://dx.doi.org/10.1109/TVCG.2008.155</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</si>
  <si>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</si>
  <si>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Stefan Bruckner;Veronika Soltészová;M. Eduard Gröller;Jirí Hladuvka;Katja Bühler;Jai Y. Yu;Barry J. Dickson</t>
  </si>
  <si>
    <t>Stefan Bruckner;Veronika Solteszova;Eduard Groller;Jiri Hladuvka;Katja Buhler;Jai Y. Yu;Barry J. Dickson</t>
  </si>
  <si>
    <t>Institute of Computer Graphics and Algorithms, Vienna University of Technology, Austria;Institute of Computer Graphics and Algorithms, Vienna University of Technology, Austria;Institute of Computer Graphics and Algorithms, Vienna University of Technology, Austria;VRVis Research Center, Vienna, Austria;VRVis Research Center, Vienna, Austria;Research Institute of Molecular Pathology, Vienna, Austria;Research Institute of Molecular Pathology, Vienna, Austria</t>
  </si>
  <si>
    <t>10.1109/VISUAL.2004.104;10.1109/VISUAL.1990.146378;10.1109/VISUAL.2003.1250412;10.1109/TVCG.2006.197;10.1109/VISUAL.1995.485139;10.1109/VISUAL.1996.568136;10.1109/TVCG.2006.195;10.1109/VAST.2008.4677354</t>
  </si>
  <si>
    <t>Biomedical visualization, neurobiology, visual queries, volume visualization</t>
  </si>
  <si>
    <t>Color Seamlessness in Multi-Projector Displays Using Constrained Gamut Morphing</t>
  </si>
  <si>
    <t>10.1109/TVCG.2009.124</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</si>
  <si>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</si>
  <si>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Behzad Sajadi;Maxim Lazarov;Meenakshisundaram Gopi;Aditi Majumder</t>
  </si>
  <si>
    <t>Behzad Sajadi;Maxim Lazarov;M. Gopi;Aditi Majumder</t>
  </si>
  <si>
    <t>University of California, Irvine;University of California, Irvine;University of California, Irvine;University of California, Irvine</t>
  </si>
  <si>
    <t>10.1109/VISUAL.2001.964508;10.1109/VISUAL.2002.1183793;10.1109/VISUAL.2000.885684;10.1109/VISUAL.1999.809883;10.1109/TVCG.2007.70586;10.1109/TVCG.2006.121</t>
  </si>
  <si>
    <t>Color Calibration, Multi-Projector Displays, Tiled Displays</t>
  </si>
  <si>
    <t>Coloring 3D Line fields Using Boy's Real Projective Plane Immersion</t>
  </si>
  <si>
    <t>10.1109/TVCG.2009.125</t>
  </si>
  <si>
    <t>We introduce a new method for coloring 3D line fields and show results from its application in visualizing orientation in DTI brain data sets. The method uses Boy's surface, an immersion of RP2 in 3D. This coloring method is smooth and one-to-one except on a set of measure zero, the double curve of Boy's surface.</t>
  </si>
  <si>
    <t>Çagatay Demiralp;John F. Hughes;David H. Laidlaw</t>
  </si>
  <si>
    <t>Çağatay Demiralp;John F. Hughes;David H. Laidlaw</t>
  </si>
  <si>
    <t>Brown University;Brown University;Brown University</t>
  </si>
  <si>
    <t>IBM Res., Cambridge|c|;</t>
  </si>
  <si>
    <t>10.1109/VISUAL.1994.346338;10.1109/VISUAL.1993.398867</t>
  </si>
  <si>
    <t>Line field, colormapping, orientation, real projective plane, tensor field, DTI</t>
  </si>
  <si>
    <t>http://dx.doi.org/10.1109/TVCG.2008.157</t>
  </si>
  <si>
    <t>Comparing 3D Vector field Visualization Methods: A User Study</t>
  </si>
  <si>
    <t>10.1109/TVCG.2009.126</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</si>
  <si>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</si>
  <si>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Andrew S. Forsberg;Jian Chen;David H. Laidlaw</t>
  </si>
  <si>
    <t>Andrew Forsberg;Jian Chen;David Laidlaw</t>
  </si>
  <si>
    <t>10.1109/VISUAL.1996.567777;10.1109/VISUAL.2005.1532831;10.1109/VISUAL.2004.59;10.1109/VISUAL.2005.1532772</t>
  </si>
  <si>
    <t>3D vector fields, visualization, user study, tubes, lines, stereoscopic and monoscopic viewing</t>
  </si>
  <si>
    <t>Continuous Parallel Coordinates</t>
  </si>
  <si>
    <t>10.1109/TVCG.2009.131</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</si>
  <si>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</si>
  <si>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Julian Heinrich;Daniel Weiskopf</t>
  </si>
  <si>
    <t>Universit&amp;#x0E4;t Stuttgart;Universit&amp;#x0E4;t Stuttgart</t>
  </si>
  <si>
    <t>10.1109/TVCG.2006.168;10.1109/TVCG.2008.119;10.1109/TVCG.2008.131;10.1109/INFVIS.2005.1532139;10.1109/TVCG.2009.179;10.1109/TVCG.2006.138;10.1109/VISUAL.1990.146402;10.1109/INFVIS.2005.1532138;10.1109/TVCG.2008.160;10.1109/INFVIS.2002.1173157;10.1109/VISUAL.1999.809866;10.1109/TVCG.2006.170;10.1109/INFVIS.2004.68</t>
  </si>
  <si>
    <t>Parallel coordinates, integrating spatial and non-spatial data visualization, multi-variate visualization, interpolation</t>
  </si>
  <si>
    <t>Inst. for Data Anal. &amp; Visualization, Univ. of California, Davis, CA|c|;;;</t>
  </si>
  <si>
    <t>Curve-Centric Volume Reformation for Comparative Visualization</t>
  </si>
  <si>
    <t>10.1109/TVCG.2009.136</t>
  </si>
  <si>
    <t>http://dx.doi.org/10.1109/TVCG.2008.158</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</si>
  <si>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</si>
  <si>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Ove Daae Lampe;Carlos D. Correa;Kwan-Liu Ma;Helwig Hauser</t>
  </si>
  <si>
    <t>Ove Daae Lampe;Carlos Correa;Kwan-Liu Ma;Helwig Hauser</t>
  </si>
  <si>
    <t>CMR AS and the University of Bergen;UC Davis;UC Davis;University of Bergen</t>
  </si>
  <si>
    <t>10.1109/TVCG.2006.144;10.1109/VISUAL.2002.1183754;10.1109/VISUAL.2001.964540;10.1109/VISUAL.1992.235194;10.1109/VISUAL.2003.1250353</t>
  </si>
  <si>
    <t>Volume Deformation, Curve-Centric-Reformation, Comparative Visualization, Radial Ray-Casting</t>
  </si>
  <si>
    <t>Decoupling Illumination from Isosurface Generation Using 4D Light Transport</t>
  </si>
  <si>
    <t>10.1109/TVCG.2009.137</t>
  </si>
  <si>
    <t>Univ. of California, Davis, CA|c|;</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</si>
  <si>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</si>
  <si>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David C. Banks;Kevin Beason</t>
  </si>
  <si>
    <t>University of Tennessee;Rhythm and Hues Studios</t>
  </si>
  <si>
    <t>10.1109/TVCG.2008.108;10.1109/VISUAL.2000.885692;10.1109/VISUAL.2003.1250394</t>
  </si>
  <si>
    <t>physically-based illumination, isosurface, level set, light transport</t>
  </si>
  <si>
    <t>http://dx.doi.org/10.1109/TVCG.2008.159</t>
  </si>
  <si>
    <t>Depth-Dependent Halos: Illustrative Rendering of Dense Line Data</t>
  </si>
  <si>
    <t>10.1109/TVCG.2009.138</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</si>
  <si>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</si>
  <si>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Maarten H. Everts;Henk Bekker;Jos B. T. M. Roerdink;Tobias Isenberg 0001</t>
  </si>
  <si>
    <t>Maarten H. Everts;Henk Bekker;Jos B.T.M. Roerdink;Tobias Isenberg</t>
  </si>
  <si>
    <t>University of Groningen;University of Groningen;University of Groningen;University of Groningen</t>
  </si>
  <si>
    <t>10.1109/VISUAL.2000.885694;10.1109/TVCG.2007.70532;10.1109/TVCG.2006.172;10.1109/VISUAL.2000.885696;10.1109/VISUAL.2005.1532778;10.1109/TVCG.2006.115;10.1109/VISUAL.2005.1532859;10.1109/TVCG.2006.197;10.1109/VISUAL.2005.1532858;10.1109/TVCG.2007.70555;10.1109/VISUAL.1996.567777;10.1109/VISUAL.2004.48</t>
  </si>
  <si>
    <t>Illustrative rendering and visualization, NPR, dense line data, DTI, black-and-white rendering, GPU technique</t>
  </si>
  <si>
    <t>Exploring 3D DTI fiber Tracts with Linked 2D Representations</t>
  </si>
  <si>
    <t>10.1109/TVCG.2009.141</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</si>
  <si>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</si>
  <si>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Radu Jianu;Çagatay Demiralp;David H. Laidlaw</t>
  </si>
  <si>
    <t>Radu Jianu;Cagatay Demiralp;David Laidlaw</t>
  </si>
  <si>
    <t>Dept. of Comput. Sci. &amp; Eng., Hong Kong Univ. of Sci. &amp; Technol., Hong Kong|c|;;;;</t>
  </si>
  <si>
    <t>http://dx.doi.org/10.1109/TVCG.2008.160</t>
  </si>
  <si>
    <t>Carlos Eduardo Scheidegger;John M. Schreiner;Brian Duffy;Hamish A. Carr;Cl��udio T. Silva</t>
  </si>
  <si>
    <t>Inst. of Sci. Comput. &amp; Imaging, Utah Univ., Salt Lake City, UT|c|;;;;</t>
  </si>
  <si>
    <t>10.1109/VISUAL.2000.885739;10.1109/VISUAL.1991.175794;10.1109/VISUAL.1996.567787;10.1109/VISUAL.2004.30;10.1109/TVCG.2009.112;10.1109/VISUAL.1994.346302;10.1109/VISUAL.2005.1532779</t>
  </si>
  <si>
    <t>DTI fiber tracts, embedding, coloring, interaction</t>
  </si>
  <si>
    <t>http://dx.doi.org/10.1109/TVCG.2008.161</t>
  </si>
  <si>
    <t>Exploring the Millennium Run - Scalable Rendering of Large-Scale Cosmological Datasets</t>
  </si>
  <si>
    <t>10.1109/TVCG.2009.142</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</si>
  <si>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</si>
  <si>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Roland Fraedrich;Jens Schneider;Rüdiger Westermann</t>
  </si>
  <si>
    <t>Technische Universität München;Technische Universität München;Technische Universität München</t>
  </si>
  <si>
    <t>10.1109/VISUAL.2003.1250404;10.1109/VISUAL.2002.1183824;10.1109/VISUAL.2003.1250404;10.1109/VISUAL.2005.1532795;10.1109/VISUAL.2003.1250385;10.1109/TVCG.2006.176;10.1109/TVCG.2007.70530;10.1109/VISUAL.1997.663888;10.1109/TVCG.2007.70526;10.1109/VISUAL.2004.112;10.1109/TVCG.2006.155</t>
  </si>
  <si>
    <t>Particle Visualization, Scalability, Cosmology</t>
  </si>
  <si>
    <t>Focus+Context Route Zooming and Information Overlay in 3D Urban Environments</t>
  </si>
  <si>
    <t>10.1109/TVCG.2009.144</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</si>
  <si>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</si>
  <si>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Huamin Qu;Haomian Wang;Weiwei Cui;Yingcai Wu;Ming-Yuen Chan</t>
  </si>
  <si>
    <t>Arno Kr�_ger;Christoph Kubisch;Gero Strau��;Bernhard Preim</t>
  </si>
  <si>
    <t>Dept. of Simulation &amp; Graphics, Otto-von-Guericke-Univ. of Magdeburg, Magdeburg|c|;;;</t>
  </si>
  <si>
    <t>The Hong Kong University of Science and Technology;The Hong Kong University of Science and Technology;The Hong Kong University of Science and Technology;The Hong Kong University of Science and Technology;The Hong Kong University of Science and Technology</t>
  </si>
  <si>
    <t>10.1109/TVCG.2008.124;10.1109/TVCG.2006.163;10.1109/TVCG.2006.167;10.1109/INFVIS.1998.729558;10.1109/TVCG.2008.132</t>
  </si>
  <si>
    <t>focus+context visualization, zooming, 3D virtual environment, seam carving</t>
  </si>
  <si>
    <t>GL4D: A GPU-based Architecture for Interactive 4D Visualization</t>
  </si>
  <si>
    <t>http://dx.doi.org/10.1109/TVCG.2008.162</t>
  </si>
  <si>
    <t>10.1109/TVCG.2009.147</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</si>
  <si>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</si>
  <si>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Alan Chu;Chi-Wing Fu;Andrew J. Hanson;Pheng-Ann Heng</t>
  </si>
  <si>
    <t>Alan Chu;Chi-Wing Fu;Andrew Hanson;Pheng-Ann Heng</t>
  </si>
  <si>
    <t>Chinese University of Hong Kong;Nanyang Technological University, Singapore;Indiana University, Bloomington;Chinese University of Hong Kong</t>
  </si>
  <si>
    <t>10.1109/VISUAL.1994.346318;10.1109/VISUAL.2000.885704;10.1109/VISUAL.1992.235222;10.1109/VISUAL.2005.1532804;10.1109/TVCG.2007.70593;10.1109/VISUAL.1994.346324;10.1109/VISUAL.1993.398869</t>
  </si>
  <si>
    <t>Mathematical visualization, four-dimensional visualization, graphics hardware, interactive illumination</t>
  </si>
  <si>
    <t>High-Quality, Semi-Analytical Volume Rendering for AMR Data</t>
  </si>
  <si>
    <t>10.1109/TVCG.2009.149</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</si>
  <si>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</si>
  <si>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Stéphane Marchesin;Guillaume Colin de Verdière</t>
  </si>
  <si>
    <t>Stephane Marchesin;Guillaume Colin De Verdiere</t>
  </si>
  <si>
    <t>10.1109/VISUAL.2000.885683;10.1109/VISUAL.2004.85;10.1109/VISUAL.2005.1532793;10.1109/TVCG.2008.157;10.1109/VISUAL.2003.1250384;10.1109/TVCG.2008.186</t>
  </si>
  <si>
    <t>Volume rendering, AMR data, Volume shading</t>
  </si>
  <si>
    <t>Hue-Preserving Color Blending</t>
  </si>
  <si>
    <t>10.1109/TVCG.2009.150</t>
  </si>
  <si>
    <t>http://dx.doi.org/10.1109/TVCG.2008.163</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</si>
  <si>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</si>
  <si>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Johnson Chuang;Daniel Weiskopf;Torsten Möller</t>
  </si>
  <si>
    <t>Johnson Chuang;Daniel Weiskopf;Torsten Moller</t>
  </si>
  <si>
    <t>Simon Fraser University;Universit&amp;#x0E4;t Stuttgart;Simon Fraser University</t>
  </si>
  <si>
    <t>10.1109/VISUAL.1996.568118;10.1109/TVCG.2008.118;10.1109/TVCG.2006.183</t>
  </si>
  <si>
    <t>Image compositing, perceptual transparency, color blending, volume rendering, illustrative visualization</t>
  </si>
  <si>
    <t>Interactive Coordinated Multiple-View Visualization of Biomechanical Motion Data</t>
  </si>
  <si>
    <t>10.1109/TVCG.2009.152</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</si>
  <si>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</si>
  <si>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Daniel F. Keefe;Marcus Ewert;William Ribarsky;Remco Chang</t>
  </si>
  <si>
    <t>Daniel Keefe;Marcus Ewert;William Ribarsky;Remco Chang</t>
  </si>
  <si>
    <t>University of Minnesota;University of Minnesota;University of North Carolina - Charlotte;University of North Carolina - Charlotte</t>
  </si>
  <si>
    <t>10.1109/TVCG.2008.125;10.1109/TVCG.2007.70569;10.1109/TVCG.2008.109</t>
  </si>
  <si>
    <t>Scientific visualization, information visualization, coordinated multiple views, biomechanics</t>
  </si>
  <si>
    <t>Interactive Streak Surface Visualization on the GPU</t>
  </si>
  <si>
    <t>10.1109/TVCG.2009.154</t>
  </si>
  <si>
    <t>MPI Informatlk, Saarbrucken|c|;;;</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</si>
  <si>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</si>
  <si>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Kai Bürger;Florian Ferstl;Holger Theisel;Rüdiger Westermann</t>
  </si>
  <si>
    <t>Kai Buerger;Florian Ferstl;Holger Theisel;Rüdiger Westermann</t>
  </si>
  <si>
    <t>Technische Universität München;Technische Universität München;University of Magdeburg;Technische Universität München</t>
  </si>
  <si>
    <t>10.1109/VISUAL.1992.235211;10.1109/VISUAL.2001.964506;10.1109/TVCG.2008.133;10.1109/VISUAL.1993.398875;10.1109/TVCG.2008.163</t>
  </si>
  <si>
    <t>Unsteady flow visualization, streak surface generation, GPUs</t>
  </si>
  <si>
    <t>http://dx.doi.org/10.1109/TVCG.2008.164</t>
  </si>
  <si>
    <t>Interactive Visual Analysis of Complex Scientific Data as Families of Data Surfaces</t>
  </si>
  <si>
    <t>10.1109/TVCG.2009.155</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</si>
  <si>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</si>
  <si>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Kresimir Matkovic;Denis Gracanin;Borislav Klarin;Helwig Hauser</t>
  </si>
  <si>
    <t>VRVis Research Center, Vienna, Austria;Virginia Tech., Blacksburg, USA;AVL AST d. o. o., Zagreb, Croatia;University of Bergen, Norway</t>
  </si>
  <si>
    <t>10.1109/VISUAL.1997.663867;10.1109/TVCG.2008.145;10.1109/INFVIS.2001.963273;10.1109/TVCG.2006.170</t>
  </si>
  <si>
    <t>Interactive visual analysis, family of surfaces, coordinated multiple views, multidimensional multivariate data</t>
  </si>
  <si>
    <t>Interactive Visual Optimization and Analysis for RfiD Benchmarking</t>
  </si>
  <si>
    <t>10.1109/TVCG.2009.156</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</si>
  <si>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</si>
  <si>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Yingcai Wu;Ka-Kei Chung;Huamin Qu;Xiaoru Yuan;Shing-Chi Cheung</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</si>
  <si>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 - 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</si>
  <si>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Yingcai Wu;Ka-Kei Chung;Huamin Qu;Xiaoru Yuan;S.C. Cheung</t>
  </si>
  <si>
    <t>The Department of Computer Science and Engineering at The Hong Kong University of Science and Technology, Clear Water Bay,Kowloon, Hong Kong.;The Department of Computer Science and Engineering at The Hong Kong University of Science and Technology, Clear Water Bay,Kowloon, Hong Kong.;The Department of Computer Science and Engineering at The Hong Kong University of Science and Technology, Clear Water Bay,Kowloon, Hong Kong.;The Key Laboratory of Machine Perceptio (Ministry of Education) and School of EECS, Peking University, Beijing, P.R. China;The Department of Computer Science and Engineering at The Hong Kong University of Science and Technology, Clear Water Bay,Kowloon, Hong Kong.</t>
  </si>
  <si>
    <t>Jacobs Univ. Bremen, Bremen|c|;</t>
  </si>
  <si>
    <t>10.1109/TVCG.2008.131;10.1109/VISUAL.1990.146402;10.1109/TVCG.2007.70535;10.1109/INFVIS.2005.1532141;10.1109/VISUAL.1996.567800;10.1109/INFVIS.2004.2</t>
  </si>
  <si>
    <t>RfiD Visualization, Visual analytics, Visual Optimization</t>
  </si>
  <si>
    <t>Interactive Visualization of Molecular Surface Dynamics</t>
  </si>
  <si>
    <t>10.1109/TVCG.2009.157</t>
  </si>
  <si>
    <t>http://dx.doi.org/10.1109/TVCG.2008.165</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</si>
  <si>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</si>
  <si>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Michael Krone;Katrin Bidmon;Thomas Ertl</t>
  </si>
  <si>
    <t>VISUS, Universit&amp;#x0E4;t Stuttgart;VISUS, Universit&amp;#x0E4;t Stuttgart;VISUS, Universit&amp;#x0E4;t Stuttgart</t>
  </si>
  <si>
    <t>10.1109/VISUAL.2004.103;10.1109/TVCG.2006.115</t>
  </si>
  <si>
    <t>Point-based Data, Time-varying Data, GPU, Ray Casting, Molecular Visualization, Surface Extraction, Isosurfaces</t>
  </si>
  <si>
    <t>Interactive Volume Rendering of Functional Representations in Quantum Chemistry</t>
  </si>
  <si>
    <t>10.1109/TVCG.2009.158</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</si>
  <si>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</si>
  <si>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Yun Jang;Ugo Varetto</t>
  </si>
  <si>
    <t>Sch. of Inf., City Univ. London, London|c|;</t>
  </si>
  <si>
    <t>ETH Z&amp;#x0FC;rich;Swiss National Supercomputing Center(CSCS)</t>
  </si>
  <si>
    <t>10.1109/TVCG.2007.70614;10.1109/TVCG.2007.70517;10.1109/VISUAL.2003.1250384;10.1109/VISUAL.2002.1183780;10.1109/TVCG.2006.133;10.1109/VISUAL.2005.1532811;10.1109/VISUAL.2000.885694;10.1109/VISUAL.2004.23;10.1109/TVCG.2007.70578;10.1109/TVCG.2006.150;10.1109/VISUAL.2004.36;10.1109/TVCG.2006.115;10.1109/VISUAL.2005.1532858;10.1109/VISUAL.2004.103</t>
  </si>
  <si>
    <t>Quantum Chemistry, GTO, Volume Rendering, GPU</t>
  </si>
  <si>
    <t>http://dx.doi.org/10.1109/TVCG.2008.166</t>
  </si>
  <si>
    <t>Intrinsic Geometric Scale Space by Shape Diffusion</t>
  </si>
  <si>
    <t>10.1109/TVCG.2009.159</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</si>
  <si>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</si>
  <si>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Guangyu Zou;Jing Hua;Zhaoqiang Lai;Xianfeng Gu;Ming Dong</t>
  </si>
  <si>
    <t>Wayne State University;Wayne State University;Wayne State University;Stony Brook University;Wayne State University</t>
  </si>
  <si>
    <t>Scale space, feature extraction, geometric flow, Riemannian manifolds</t>
  </si>
  <si>
    <t>Isosurface Extraction and View-Dependent filtering from Time-Varying fields Using Persistent Time-Octree (PTOT)</t>
  </si>
  <si>
    <t>10.1109/TVCG.2009.160</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</si>
  <si>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time-varying fields larger than main memory. Our experiments on datasets as large as 192 GB (with 4 GB per time step) having no more than 870 MB of memory footprint in both preprocessing and run-time phases demonstrate the efficacy of our new technique.</t>
  </si>
  <si>
    <t>Cong Wang;Yi-Jen Chiang</t>
  </si>
  <si>
    <t>Polytechnic Institute of New York University;Polytechnic Institute of New York University</t>
  </si>
  <si>
    <t>10.1109/VISUAL.2003.1250375;10.1109/VISUAL.1998.745299;10.1109/VISUAL.1997.663895;10.1109/VISUAL.1998.745300;10.1109/VISUAL.2003.1250373</t>
  </si>
  <si>
    <t>Isosurface extraction, time-varying fields, persistent data structure, view-dependent filtering, out-of-core methods</t>
  </si>
  <si>
    <t>New York Times, New York, NY|c|;</t>
  </si>
  <si>
    <t>Kd-Jump: a Path-Preserving Stackless Traversal for Faster Isosurface Raytracing on GPUs</t>
  </si>
  <si>
    <t>10.1109/TVCG.2009.161</t>
  </si>
  <si>
    <t>http://dx.doi.org/10.1109/TVCG.2008.167</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</si>
  <si>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</si>
  <si>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David Meirion Hughes;Ik Soo Lim</t>
  </si>
  <si>
    <t>David M. Hughes;Ik Soo Lim</t>
  </si>
  <si>
    <t>School of Computer Science, Bangor University, UK;Computer Science, Bangor University, UK</t>
  </si>
  <si>
    <t>Raytracing, isosurface, GPU, parallel computing, volume visualization</t>
  </si>
  <si>
    <t>Loop surgery for volumetric meshes: Reeb graphs reduced to contour trees</t>
  </si>
  <si>
    <t>10.1109/TVCG.2009.163</t>
  </si>
  <si>
    <t>This paper introduces an efficient algorithm for computing the Reeb graph of a scalar function f defined on a volumetric mesh M in Ropf&amp;lt;sup&amp;gt;3&amp;lt;/sup&amp;gt;.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</si>
  <si>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Julien Tierny;Attila Gyulassy;Eddie Simon;Valerio Pascucci</t>
  </si>
  <si>
    <t>Sch. of Eng. &amp; Sci., Jacobs Univ., Bremen|c|;;;</t>
  </si>
  <si>
    <t>Scientific Computing and Imaging Institute, University of Utah;Scientific Computing and Imaging Institute, University of Utah;Dassault Systemes;Scientific Computing and Imaging Institute, University of Utah</t>
  </si>
  <si>
    <t>10.1109/VISUAL.2004.96;10.1109/TVCG.2007.70601;10.1109/VISUAL.1997.663875</t>
  </si>
  <si>
    <t>Reeb graph, scalar field topology, isosurfaces, topological simplification</t>
  </si>
  <si>
    <t>Mapping High-fidelity Volume Rendering for Medical Imaging to CPU, GPU and Many-Core Architectures</t>
  </si>
  <si>
    <t>http://dx.doi.org/10.1109/TVCG.2008.168</t>
  </si>
  <si>
    <t>10.1109/TVCG.2009.164</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</si>
  <si>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Intel&amp;lt;sup&amp;gt;reg&amp;lt;/sup&amp;gt;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</si>
  <si>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Mikhail Smelyanskiy;David R. Holmes III;Jatin Chhugani;Alan Larson;Doug Carmean;Dennis P. Hanson;Pradeep Dubey;Kurt Augustine;Daehyun Kim;Alan Kyker;Victor W. Lee;Anthony D. Nguyen;Larry Seiler;Richard A. Robb</t>
  </si>
  <si>
    <t>Mikhail Smelyanskiy;Victor W. Lee;Anthony D. Nguyen;Larry Seiler;Richard Robb;David Holmes;Jatin Chhugani;Alan Larson;Douglas M. Carmean;Dennis Hanson;Pradeep Dubey;Kurt Augustine;Daehyun Kim;Alan Kyker</t>
  </si>
  <si>
    <t>Intel Corporation;Intel Corporation;Intel Corporation;Intel Corporation;Mayo Clinic;Mayo Clinic;Intel Corporation;Mayo Clinic;Intel Corporation;Mayo Clinic;Intel Corporation;Mayo Clinic;Intel Corporation;Intel Corporation</t>
  </si>
  <si>
    <t>10.1109/VISUAL.2003.1250384;10.1109/VISUAL.1998.745309</t>
  </si>
  <si>
    <t>Volume Compositing, Parallel Processing, Many-core Computing, Medical Imaging, Graphics Architecture, GPGPU</t>
  </si>
  <si>
    <t>Markerless View-Independent Registration of Multiple Distorted Projectors on Extruded Surfaces Using an Uncalibrated Camera</t>
  </si>
  <si>
    <t>10.1109/TVCG.2009.166</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</si>
  <si>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</si>
  <si>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Behzad Sajadi;Aditi Majumder</t>
  </si>
  <si>
    <t>University of California, Irvine;University of California, Irvine</t>
  </si>
  <si>
    <t>10.1109/VISUAL.2001.964508;10.1109/VISUAL.2002.1183793;10.1109/VISUAL.1999.809883;10.1109/TVCG.2009.124;10.1109/TVCG.2007.70586</t>
  </si>
  <si>
    <t>Registration, Calibration, Multi-Projector Displays, Tiled Displays</t>
  </si>
  <si>
    <t>Dept. of Comput. Sci., Wisconsin Univ., Madison, WI|c|;</t>
  </si>
  <si>
    <t>Multi-Scale Surface Descriptors</t>
  </si>
  <si>
    <t>10.1109/TVCG.2009.168</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</si>
  <si>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</si>
  <si>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Gregory Cipriano;George N. Phillips Jr.;Michael Gleicher</t>
  </si>
  <si>
    <t>http://dx.doi.org/10.1109/TVCG.2008.169</t>
  </si>
  <si>
    <t>University of Wisconsin;University of Wisconsin;University of Wisconsin</t>
  </si>
  <si>
    <t>10.1109/VISUAL.2003.1250414;10.1109/VISUAL.2002.1183787;10.1109/VISUAL.2002.1183785</t>
  </si>
  <si>
    <t>Curvature, descriptors, npr, stylized rendering, shape matching</t>
  </si>
  <si>
    <t>Multimodal Vessel Visualization of Mouse Aorta PET/CT Scans</t>
  </si>
  <si>
    <t>10.1109/TVCG.2009.169</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</si>
  <si>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</si>
  <si>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Timo Ropinski;Sven Hermann;Rainer Reich;Michael Schäfers 0001;Klaus H. Hinrichs</t>
  </si>
  <si>
    <t>Timo Ropinski;Sven Hermann;Rainer Reich;Michael Schafers;Klaus Hinrichs</t>
  </si>
  <si>
    <t>Visualization and Computer Graphics Research Group (VisCG), University of M&amp;#x0FC;nster;University Hospital of M&amp;#x0FC;nster;Visualization and Computer Graphics Research Group (VisCG), University of M&amp;#x0FC;nster;European Institute of Molecular Imaging (EIMI);Visualization and Computer Graphics Research Group (VisCG), University of M&amp;#x0FC;nster</t>
  </si>
  <si>
    <t>10.1109/VISUAL.2003.1250353;10.1109/VISUAL.1992.235203;10.1109/TVCG.2007.70576;10.1109/VISUAL.2004.104;10.1109/VISUAL.2003.1250384;10.1109/VISUAL.2001.964538;10.1109/TVCG.2007.70560;10.1109/VISUAL.2002.1183754;10.1109/VISUAL.2003.1250396</t>
  </si>
  <si>
    <t>Vessel visualization, plaque growth, multipath CPR, vessel flattening</t>
  </si>
  <si>
    <t>Parameter Sensitivity Visualization for DTI fiber Tracking</t>
  </si>
  <si>
    <t>10.1109/TVCG.2009.170</t>
  </si>
  <si>
    <t>http://dx.doi.org/10.1109/TVCG.2008.170</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</si>
  <si>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</si>
  <si>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Ralph Brecheisen;Anna Vilanova;Bram Platel;Bart M. ter Haar Romeny</t>
  </si>
  <si>
    <t>Ralph Brecheisen;Anna Vilanova;Bram Platel;Bart ter Haar Romeny</t>
  </si>
  <si>
    <t>Technical University Eindhoven;Technical University Eindhoven;Technical University Eindhoven;Technical University Eindhoven</t>
  </si>
  <si>
    <t>10.1109/TVCG.2008.147;10.1109/VISUAL.2005.1532853;10.1109/TVCG.2007.70518;10.1109/VISUAL.2005.1532778;10.1109/VISUAL.2005.1532779;10.1109/VISUAL.1996.568116;10.1109/VISUAL.1999.809894;10.1109/VISUAL.2004.30;10.1109/VISUAL.2001.964552</t>
  </si>
  <si>
    <t>fiber Tracking, Parameter Sensitivity, Stopping Criteria, Diffusion Tensor Imaging, Uncertainty Visualization</t>
  </si>
  <si>
    <t>Perception-Based Transparency Optimization for Direct Volume Rendering</t>
  </si>
  <si>
    <t>10.1109/TVCG.2009.172</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</si>
  <si>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</si>
  <si>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Ming-Yuen Chan;Yingcai Wu;Wai-Ho Mak;Wei Chen 0001;Huamin Qu</t>
  </si>
  <si>
    <t>Ming-Yuen Chan;Yingcai Wu;Wai-Ho Mak;Wei Chen;Huamin Qu</t>
  </si>
  <si>
    <t>Department of Computer Science and Engineering, The Hong Kong University of Science and Technology;Department of Computer Science and Engineering, The Hong Kong University of Science and Technology;Department of Computer Science and Engineering, The Hong Kong University of Science and Technology;State Key Lab of CAD&amp;amp;CG, Zhejiang University;Department of Computer Science and Engineering, The Hong Kong University of Science and Technology</t>
  </si>
  <si>
    <t>10.1109/VISUAL.1998.745319;10.1109/VISUAL.2000.885694;10.1109/TVCG.2008.118;10.1109/VISUAL.2003.1250414;10.1109/TVCG.2007.70591;10.1109/VISUAL.2004.62;10.1109/TVCG.2008.162;10.1109/TVCG.2006.183;10.1109/TVCG.2008.159;10.1109/TVCG.2006.148</t>
  </si>
  <si>
    <t>Direct volume rendering, image enhancement, layer perception</t>
  </si>
  <si>
    <t>Predictor-Corrector Schemes for Visualization ofSmoothed Particle Hydrodynamics Data</t>
  </si>
  <si>
    <t>10.1109/TVCG.2009.173</t>
  </si>
  <si>
    <t>Daniel Patel;Christopher Giertsen;John Thurmond;John Gjelberg;M. Eduard Gr̦ller</t>
  </si>
  <si>
    <t>Christian Michelsen Res., Bergen|c|;;;;</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</si>
  <si>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</si>
  <si>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Benjamin Schindler;Raphael Fuchs;John Biddiscombe;Ronald Peikert</t>
  </si>
  <si>
    <t>ETH Zurich;ETH Zurich;CSCS Manno;ETH Zurich</t>
  </si>
  <si>
    <t>10.1109/VISUAL.1999.809896;10.1109/TVCG.2007.70595;10.1109/VISUAL.2005.1532851;10.1109/VISUAL.1998.745296;10.1109/VISUAL.2004.59;10.1109/TVCG.2007.70545;10.1109/TVCG.2008.164</t>
  </si>
  <si>
    <t>Smoothed particle hydrodynamics, flow visualization, unsteady flow, feature extraction, vortex core lines</t>
  </si>
  <si>
    <t>http://dx.doi.org/10.1109/TVCG.2008.171</t>
  </si>
  <si>
    <t>Quantitative Texton Sequences for Legible Bivariate Maps</t>
  </si>
  <si>
    <t>10.1109/TVCG.2009.175</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</si>
  <si>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</si>
  <si>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Center for Coastal and Ocean Mapping, University of New Hampshire</t>
  </si>
  <si>
    <t>10.1109/VISUAL.1995.480803;10.1109/VISUAL.1998.745292;10.1109/TVCG.2007.70623;10.1109/VISUAL.2000.885679;10.1109/VISUAL.1997.663874;10.1109/VISUAL.1990.146383</t>
  </si>
  <si>
    <t>Bivariate maps, texture, texton, legibility, quantitative texton sequence, QTonS</t>
  </si>
  <si>
    <t>Sampling and Visualizing Creases with Scale-Space Particles</t>
  </si>
  <si>
    <t>10.1109/TVCG.2009.177</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</si>
  <si>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</si>
  <si>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Gordon L. Kindlmann;Raúl San José Estépar;Stephen M. Smith;Carl-Fredrik Westin</t>
  </si>
  <si>
    <t>Gordon L. Kindlmann;Raúl San José Estepar;Stephen M. Smith;Carl-Fredrik Westin</t>
  </si>
  <si>
    <t>Department of Computer Science and the Computation Institute, University of Chicagoimplemented in a straight-forward manner at the level of individual;Department of Radiology, Brigham and Women’s Hospital, Harvard Medical Schoolborhood of particles and data values. Particles also enjoy the property;Centre for Functional MRI of the Brain, John Radcliffe Hospital, Oxford Universityundue influence. Our work leverages these properties while it extends;Department of Radiology, Brigham and Women’s Hospital, Harvard Medical Schoolborhood of particles and data values. Particles also enjoy the property</t>
  </si>
  <si>
    <t>10.1109/TVCG.2008.154;10.1109/VISUAL.1993.398880;10.1109/TVCG.2007.70604;10.1109/TVCG.2008.148;10.1109/VISUAL.1997.663930;10.1109/TVCG.2008.167;10.1109/VISUAL.1999.809896</t>
  </si>
  <si>
    <t>Particle Systems, Crease Features, Ridge and Valley Detection, Lung CT, Diffusion Tensor MRI</t>
  </si>
  <si>
    <t>Scalable and Interactive Segmentation and Visualization of Neural Processes in EM Datasets</t>
  </si>
  <si>
    <t>UNC, Charlotte, NC|c|;</t>
  </si>
  <si>
    <t>10.1109/TVCG.2009.178</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</si>
  <si>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</si>
  <si>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Won-Ki Jeong;Johanna Beyer;Markus Hadwiger;Amelio Vázquez Reina;Hanspeter Pfister;Ross T. Whitaker</t>
  </si>
  <si>
    <t>http://dx.doi.org/10.1109/TVCG.2008.172</t>
  </si>
  <si>
    <t>Won-Ki Jeong;Johanna Beyer;Markus Hadwiger;Amelio Vazquez;Hanspeter Pfister;Ross T. Whitaker</t>
  </si>
  <si>
    <t>School of Engineering and Applied Sciences at Harvard University;VRVis Center for Virtual Reality and Visualization Research;VRVis Center for Virtual Reality and Visualization Research;School of Engineering and Applied Sciences at Harvard University;School of Engineering and Applied Sciences at Harvard University;Scientific Computing and Imaging Institute at the University of Utah</t>
  </si>
  <si>
    <t>10.1109/TVCG.2008.169;10.1109/VISUAL.2003.1250357;10.1109/TVCG.2008.179;10.1109/VISUAL.1999.809912;10.1109/TVCG.2007.70532</t>
  </si>
  <si>
    <t>Segmentation, neuroscience, connectome, volume rendering, implicit surface rendering, graphics hardware</t>
  </si>
  <si>
    <t>Stress Tensor field Visualization for Implant Planning in Orthopedics</t>
  </si>
  <si>
    <t>10.1109/TVCG.2009.184</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</si>
  <si>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</si>
  <si>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Christian Dick;Joachim Georgii;Rainer Burgkart;Rüdiger Westermann</t>
  </si>
  <si>
    <t>Technische Universität München;Technische Universität München;Technische Universität München;Technische Universität München</t>
  </si>
  <si>
    <t>10.1109/VISUAL.2005.1532780;10.1109/TVCG.2006.124;10.1109/VISUAL.2003.1250379;10.1109/VISUAL.2004.80;10.1109/VISUAL.1998.745294;10.1109/TVCG.2007.70532;10.1109/VISUAL.2002.1183797;10.1109/VISUAL.1994.346326;10.1109/VISUAL.2005.1532771;10.1109/VISUAL.2002.1183798;10.1109/VISUAL.1994.346326;10.1109/VISUAL.2002.1183799;10.1109/TVCG.2006.151;10.1109/VISUAL.1998.745316</t>
  </si>
  <si>
    <t>Stress Tensor fields, Biomedical Visualization, Comparative Visualization, Implant Planning, GPU Techniques</t>
  </si>
  <si>
    <t>Structuring Feature Space: A Non-Parametric Method for Volumetric Transfer Function Generation</t>
  </si>
  <si>
    <t>10.1109/TVCG.2009.185</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</si>
  <si>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transfer function generation serves as a reasonable base for volumetric rendering, reducing the trial-and-error overhead typically found in transfer function design.</t>
  </si>
  <si>
    <t>Martin Wattenberg;Fernanda B. Vi̩gas</t>
  </si>
  <si>
    <t>Ross Maciejewski;Insoo Woo;Wei Chen 0001;David S. Ebert</t>
  </si>
  <si>
    <t>IBM Res., Cambridge, MA|c|;</t>
  </si>
  <si>
    <t>Ross Maciejewski;Insoo Woo;Wei Chen;David Ebert</t>
  </si>
  <si>
    <t>Purdue University;Purdue University;Zhejiang University;Purdue University</t>
  </si>
  <si>
    <t>10.1109/TVCG.2008.119;10.1109/VISUAL.1998.745319;10.1109/VISUAL.2003.1250414;10.1109/VISUAL.2003.1250371;10.1109/VISUAL.2005.1532807;10.1109/TVCG.2008.162;10.1109/VISUAL.2001.964519;10.1109/VISUAL.2003.1250413;10.1109/VISUAL.2005.1532858;10.1109/TVCG.2006.148</t>
  </si>
  <si>
    <t>Volume rendering, kernel density estimation, transfer function design, temporal volume rendering</t>
  </si>
  <si>
    <t>http://dx.doi.org/10.1109/TVCG.2008.173</t>
  </si>
  <si>
    <t>Supercubes: A High-Level Primitive for Diamond Hierarchies</t>
  </si>
  <si>
    <t>10.1109/TVCG.2009.186</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</si>
  <si>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</si>
  <si>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Kenneth Weiss;Leila De Floriani</t>
  </si>
  <si>
    <t>University of Maryland, College Park;University of Genova</t>
  </si>
  <si>
    <t>10.1109/VISUAL.2002.1183810;10.1109/VISUAL.2000.885681;10.1109/VISUAL.2000.885703;10.1109/VISUAL.1997.663860;10.1109/VISUAL.1997.663869</t>
  </si>
  <si>
    <t>Longest edge bisection, diamonds, hierarchy of diamonds, multiresolution models, selective refinement</t>
  </si>
  <si>
    <t>The Occlusion Spectrum for Volume Classification and Visualization</t>
  </si>
  <si>
    <t>10.1109/TVCG.2009.189</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</si>
  <si>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</si>
  <si>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10.1109/VISUAL.2003.1250414;10.1109/VISUAL.1999.809932;10.1109/TVCG.2008.162;10.1109/VISUAL.2001.964519;10.1109/VISUAL.2004.64;10.1109/VISUAL.2003.1250413;10.1109/TVCG.2006.115;10.1109/VISUAL.1997.663875;10.1109/TVCG.2006.148</t>
  </si>
  <si>
    <t>Transfer functions, Ambient Occlusion, Volume Rendering, Interactive Classification</t>
  </si>
  <si>
    <t>Time and Streak Surfaces for Flow Visualization in Large Time-Varying Data Sets</t>
  </si>
  <si>
    <t>10.1109/TVCG.2009.190</t>
  </si>
  <si>
    <t>Dept. of Comput. Sci., Univ. of Massachusetts - Lowell, Lowell, MA|c|;;</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</si>
  <si>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</si>
  <si>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http://dx.doi.org/10.1109/TVCG.2008.174</t>
  </si>
  <si>
    <t>Harinarayan Krishnan;Christoph Garth;Kenneth I. Joy</t>
  </si>
  <si>
    <t>Hari Krishnan;Christoph Garth;Kenneth Joy</t>
  </si>
  <si>
    <t>10.1109/TVCG.2007.70557;10.1109/VISUAL.1992.235211;10.1109/VISUAL.1993.398875;10.1109/VISUAL.2001.964506;10.1109/TVCG.2008.163;10.1109/VISUAL.2000.885688;10.1109/TVCG.2008.133</t>
  </si>
  <si>
    <t>3D vector field visualization, flow visualization, time-varying, time and streak surfaces, surface extraction</t>
  </si>
  <si>
    <t>Verifiable Visualization for Isosurface Extraction</t>
  </si>
  <si>
    <t>10.1109/TVCG.2009.194</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</si>
  <si>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</si>
  <si>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Tiago Etiene;Carlos Eduardo Scheidegger;Luis Gustavo Nonato;Robert Michael Kirby;Cláudio T. Silva</t>
  </si>
  <si>
    <t>Tiago Etiene;Carlos Scheidegger;Luis Gustavo Nonato;Robert Mike Kirby;Cláudio Silva</t>
  </si>
  <si>
    <t>University of Utah;University of Utah;Universidade de São Paulo;University of Utah;University of Utah</t>
  </si>
  <si>
    <t>10.1109/TVCG.2006.149;10.1109/VISUAL.1994.346331</t>
  </si>
  <si>
    <t>Verification, V&amp;V, Isosurface Extraction, Marching Cubes</t>
  </si>
  <si>
    <t>VisMashup: Streamlining the Creation of Custom Visualization Applications</t>
  </si>
  <si>
    <t>10.1109/TVCG.2009.195</t>
  </si>
  <si>
    <t>David Koop;Carlos Eduardo Scheidegger;Steven P. Callahan;Juliana Freire;Cl��udio T. Silva</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</si>
  <si>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</si>
  <si>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Sch. of Comput., Univ. of Utah, Salt Lake City, UT|c|;;;;</t>
  </si>
  <si>
    <t>Emanuele Santos;Lauro Didier Lins;James P. Ahrens;Juliana Freire;Cláudio T. Silva</t>
  </si>
  <si>
    <t>Emanuele Santos;Lauro Lins;James Ahrens;Juliana Freire;Claudio Silva</t>
  </si>
  <si>
    <t>University of Utah;University of Utah;Los Alamos National Lab;University of Utah;University of Utah</t>
  </si>
  <si>
    <t>10.1109/TVCG.2007.70584;10.1109/VISUAL.2005.1532795;10.1109/TVCG.2007.70577</t>
  </si>
  <si>
    <t>Scientific Visualization, Dataflow, Visualization Systems</t>
  </si>
  <si>
    <t>Visual Exploration of Climate Variability Changes Using Wavelet Analysis</t>
  </si>
  <si>
    <t>http://dx.doi.org/10.1109/TVCG.2008.175</t>
  </si>
  <si>
    <t>10.1109/TVCG.2009.197</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</si>
  <si>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</si>
  <si>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Heike Leitte;Michael Böttinger;Uwe Mikolajewicz;Gerik Scheuermann</t>
  </si>
  <si>
    <t>Heike Janicke;Michael Bottinger;Uwe Mikolajewicz;Gerik Scheuermann</t>
  </si>
  <si>
    <t>University of Leipzig;German Climate Computing Center (DKRZ);Max Planck Institute for Meteorology (MPI-M);University of Leipzig</t>
  </si>
  <si>
    <t>10.1109/TVCG.2008.116;10.1109/VISUAL.2003.1250383;10.1109/VISUAL.1997.663871</t>
  </si>
  <si>
    <t>Wavelet analysis, multivariate data, time-dependent data, climate variability change visualization, El Nino</t>
  </si>
  <si>
    <t>Visual Exploration of Nasal Airflow</t>
  </si>
  <si>
    <t>10.1109/TVCG.2009.198</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</si>
  <si>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</si>
  <si>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Stefan Zachow;Philipp Muigg;Thomas Hildebrandt;Helmut Doleisch;Hans-Christian Hege</t>
  </si>
  <si>
    <t>Zuse Institute Berlin (ZIB);Vienna University of Technology and SimVis GmbH, Austria;Asklepios Clinic Birkenwerder;SimVis GmbH, Austria;Zuse Institute Berlin (ZIB)</t>
  </si>
  <si>
    <t>10.1109/TVCG.2008.139;10.1109/TVCG.2007.70588;10.1109/VISUAL.2003.1250390;10.1109/VISUAL.2000.885739;10.1109/VISUAL.1990.146402;10.1109/VISUAL.2005.1532788;10.1109/TVCG.2006.170</t>
  </si>
  <si>
    <t>Flow visualization, exploratory data analysis, interactive visual analysis of scientific data, time-dependent data</t>
  </si>
  <si>
    <t>Visual Human+Machine Learning</t>
  </si>
  <si>
    <t>10.1109/TVCG.2009.199</t>
  </si>
  <si>
    <t>Marian D̦rk;Sheelagh Carpendale;Christopher Collins;Carey L. Williamson</t>
  </si>
  <si>
    <t>Comput. Sci. Dept., Univ. of Calgary, Calgary, AB|c|;;;</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</si>
  <si>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</si>
  <si>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Raphael Fuchs;Jürgen Waser;M. Eduard Gröller</t>
  </si>
  <si>
    <t>Raphael Fuchs;Jürgen Waser;Meister Eduard Groller</t>
  </si>
  <si>
    <t>ETH Zurich;VRVis Vienna;TU Vienna</t>
  </si>
  <si>
    <t>10.1109/TVCG.2007.70615;10.1109/TVCG.2008.139;10.1109/VAST.2007.4389001;10.1109/VAST.2007.4389000</t>
  </si>
  <si>
    <t>Interactive Visual Analysis, Volumetric Data, Multiple Competing Hypotheses, Knowledge Discovery, Computerassisted Multivariate Data Exploration, Curse of Dimensionality, Predictive Analysis, Genetic Algorithm</t>
  </si>
  <si>
    <t>Visualization and Exploration of Temporal Trend Relationships in Multivariate Time-Varying Data</t>
  </si>
  <si>
    <t>10.1109/TVCG.2009.200</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</si>
  <si>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</si>
  <si>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Teng-Yok Lee;Han-Wei Shen</t>
  </si>
  <si>
    <t>The Ohio State University;The Ohio State University</t>
  </si>
  <si>
    <t>http://dx.doi.org/10.1109/TVCG.2008.176</t>
  </si>
  <si>
    <t>10.1109/TVCG.2008.131;10.1109/VISUAL.1999.809864;10.1109/VISUAL.2004.95;10.1109/VISUAL.2003.1250402;10.1109/TVCG.2007.70519;10.1109/INFVIS.1997.636793;10.1109/TVCG.2008.140;10.1109/VAST.2006.261421</t>
  </si>
  <si>
    <t>SUBDTW, trend sequence, trend sequence clustering</t>
  </si>
  <si>
    <t>Volume Illustration of Muscle from Diffusion Tensor Images</t>
  </si>
  <si>
    <t>10.1109/TVCG.2009.203</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</si>
  <si>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</si>
  <si>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Wei Chen 0001;Zhicheng Yan;Song Zhang 0004;John Allen Crow;David S. Ebert;Ronald M. McLaughlin;Katie B. Mullins;Robert Cooper;Zi'ang Ding;Jun Liao</t>
  </si>
  <si>
    <t>Wei Chen;Zhicheng Yan;Song Zhang;John Allen Crow;David S. Ebert;Ronald M. McLaughlin;Katie B. Mullins;Robert Cooper;Zi'ang Ding;Jun Liao</t>
  </si>
  <si>
    <t>State Key Lab of CAD&amp;CG, Zhejiang University;State Key Lab of CAD&amp;CG, Zhejiang University;Department of Computer Science and Engineering, Mississippi State University;College of Veterinary Medicine, Mississippi State University;Purdue University;College of Veterinary Medicine, Mississippi State University;College of Veterinary Medicine, Mississippi State University;College of Veterinary Medicine, Mississippi State University;State Key Lab of CAD&amp;CG,Zhejiang University;Department of Agriculture and Biomedical Engineering, Mississippi State University</t>
  </si>
  <si>
    <t>10.1109/TVCG.2006.144;10.1109/VISUAL.2005.1532856;10.1109/TVCG.2006.134;10.1109/VISUAL.2005.1532777;10.1109/VISUAL.2003.1250425;10.1109/VISUAL.2005.1532854;10.1109/VISUAL.2000.885694</t>
  </si>
  <si>
    <t>Illustrative Visualization, Diffusion Tensor Image, Muscle, Solid Texture Synthesis</t>
  </si>
  <si>
    <t>Volume Ray Casting with Peak finding and Differential Sampling</t>
  </si>
  <si>
    <t>10.1109/TVCG.2009.204</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</si>
  <si>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C&amp;lt;sup&amp;gt;0&amp;lt;/sup&amp;gt; transfer functions.</t>
  </si>
  <si>
    <t>Aaron Knoll;Younis Hijazi;Rolf Westerteiger;Mathias Schott;Charles D. Hansen;Hans Hagen</t>
  </si>
  <si>
    <t>Aaron Knoll;Younis Hijazi;Rolf Westerteiger;Mathias Schott;Charles Hansen;Hans Hagen</t>
  </si>
  <si>
    <t>Kaichi Zhou;Eugene Zhang;Jir�_ Bittner;Peter Wonka</t>
  </si>
  <si>
    <t>University of Kaiserslautern;University of Strasbourg;University of Kaiserslautern;SCI Institute, University of Utah;SCI Institute, University of Utah;University of Kaiserslautern</t>
  </si>
  <si>
    <t>Arizona State Univ., Tempe, AZ|c|;;;</t>
  </si>
  <si>
    <t>10.1109/VISUAL.1994.346320;10.1109/VISUAL.2003.1250384;10.1109/VISUAL.2003.1250412;10.1109/VISUAL.1998.745713;10.1109/TVCG.2006.154;10.1109/VISUAL.2000.885683;10.1109/TVCG.2006.149;10.1109/VISUAL.2001.964490;10.1109/VISUAL.2004.52;10.1109/VISUAL.1998.745300</t>
  </si>
  <si>
    <t>direct volume rendering, isosurface, ray casting, ray differentials, sampling, transfer function, preintegration, view dependent</t>
  </si>
  <si>
    <t>Visiting the G̦del Universe</t>
  </si>
  <si>
    <t>2010</t>
  </si>
  <si>
    <t>http://dx.doi.org/10.1109/TVCG.2008.177</t>
  </si>
  <si>
    <t>behaviorism: a framework for dynamic data visualization</t>
  </si>
  <si>
    <t>10.1109/TVCG.2010.126</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</si>
  <si>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</si>
  <si>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Angus Graeme Forbes;Tobias Höllerer;George Legrady</t>
  </si>
  <si>
    <t>Angus Forbes;Tobias Hollerer;George Legrady</t>
  </si>
  <si>
    <t>UCSB;UCSB;UCSB</t>
  </si>
  <si>
    <t>10.1109/INFVIS.2004.64;10.1109/VISUAL.1996.567752;10.1109/INFVIS.1997.636761;10.1109/TVCG.2009.111</t>
  </si>
  <si>
    <t>Frameworks, information visualization, information art, dynamic data</t>
  </si>
  <si>
    <t>Inst. for Theor. Phys. &amp; VISUS, Univ. of Stuttgart, Stuttgart|c|;</t>
  </si>
  <si>
    <t>http://dx.doi.org/10.1109/TVCG.2008.178</t>
  </si>
  <si>
    <t>A Visual Backchannel for Large-Scale Events</t>
  </si>
  <si>
    <t>10.1109/TVCG.2010.129</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</si>
  <si>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</si>
  <si>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Marian Dörk;Dan Gruen;Carey L. Williamson;Sheelagh Carpendale</t>
  </si>
  <si>
    <t>Marian Dörk;Daniel Gruen;Carey Williamson;Sheelagh Carpendale</t>
  </si>
  <si>
    <t>Stanford Univ., Stanford, CA|c|;;;;</t>
  </si>
  <si>
    <t>10.1109/VAST.2009.5333443;10.1109/TVCG.2007.70541;10.1109/TVCG.2008.166;10.1109/TVCG.2008.175;10.1109/INFVIS.2005.1532133;10.1109/INFVIS.2003.1249028;10.1109/VAST.2008.4677364;10.1109/VAST.2009.5333437</t>
  </si>
  <si>
    <t>Backchannel, information visualization, events, multiple views, microblogging, information retrieval, World Wide Web</t>
  </si>
  <si>
    <t>An Extension of Wilkinson's Algorithm for Positioning Tick Labels on Axes</t>
  </si>
  <si>
    <t>10.1109/TVCG.2010.130</t>
  </si>
  <si>
    <t>http://dx.doi.org/10.1109/TVCG.2008.179</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</si>
  <si>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</si>
  <si>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Justin Talbot;Sharon Lin;Pat Hanrahan</t>
  </si>
  <si>
    <t>Stanford University;Stanford University;Stanford University</t>
  </si>
  <si>
    <t>Axis labeling, nice numbers</t>
  </si>
  <si>
    <t>MulteeSum: A Tool for Comparative Spatial and Temporal Gene Expression Data</t>
  </si>
  <si>
    <t>10.1109/TVCG.2010.137</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</si>
  <si>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</si>
  <si>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Miriah D. Meyer;Tamara Munzner;Angela H. DePace;Hanspeter Pfister</t>
  </si>
  <si>
    <t>Miriah Meyer;Tamara Munzner;Angela DePace;Hanspeter Pfister</t>
  </si>
  <si>
    <t>10.1109/TVCG.2006.178;10.1109/TVCG.2007.70583;10.1109/TVCG.2007.70589;10.1109/TVCG.2009.167</t>
  </si>
  <si>
    <t>Spatial data, temporal data, gene expression</t>
  </si>
  <si>
    <t>Comparative Analysis of Multidimensional; Quantitative Data</t>
  </si>
  <si>
    <t>10.1109/TVCG.2010.138</t>
  </si>
  <si>
    <t>Dept. of Comput. Sci., Texas A&amp;M Univ., College Station, TX|c|;;</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</si>
  <si>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</si>
  <si>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Alexander Lex;Marc Streit;Christian Partl;Karl Kashofer;Dieter Schmalstieg</t>
  </si>
  <si>
    <t>10.1109/VISUAL.1996.568118;10.1109/VISUAL.1990.146402;10.1109/TVCG.2006.147;10.1109/TVCG.2007.70556;10.1109/TVCG.2007.70529;10.1109/TVCG.2009.167;10.1109/INFVIS.2000.885086</t>
  </si>
  <si>
    <t>Multidimensional data, cluster comparison, bioinformatics visualization</t>
  </si>
  <si>
    <t>http://dx.doi.org/10.1109/TVCG.2008.180</t>
  </si>
  <si>
    <t>Declarative Language Design for Interactive Visualization</t>
  </si>
  <si>
    <t>10.1109/TVCG.2010.144</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</si>
  <si>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</si>
  <si>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Jeffrey Heer;Michael Bostock</t>
  </si>
  <si>
    <t>10.1109/TVCG.2009.174;10.1109/TVCG.2006.178;10.1109/INFVIS.2004.12;10.1109/TVCG.2007.70577;10.1109/TVCG.2009.128;10.1109/VISUAL.1992.235219;10.1109/TVCG.2009.191;10.1109/TVCG.2009.110;10.1109/TVCG.2007.70539;10.1109/INFVIS.2004.64;10.1109/INFVIS.2000.885086</t>
  </si>
  <si>
    <t>Information visualization, user interfaces, toolkits, domain specific languages, declarative languages, optimization</t>
  </si>
  <si>
    <t>eSeeTrack—Visualizing Sequential fixation Patterns</t>
  </si>
  <si>
    <t>10.1109/TVCG.2010.149</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</si>
  <si>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</si>
  <si>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Hoi Ying Tsang;Melanie Tory;Colin Swindells</t>
  </si>
  <si>
    <t>University of Victoria;University of Victoria;University of Victoria, Locarna Systems</t>
  </si>
  <si>
    <t>10.1109/TVCG.2009.117;10.1109/TVCG.2009.181;10.1109/TVCG.2008.172</t>
  </si>
  <si>
    <t>Evaluating the impact of task demands and block resolution on the effectiveness of pixel-based visualization</t>
  </si>
  <si>
    <t>10.1109/TVCG.2010.150</t>
  </si>
  <si>
    <t>Maurice Termeer;Javier Oliv��n Besc�_s;Marcel Breeuwer;Anna Vilanova;Frans A. Gerritsen;M. Eduard Gr̦ller;Eike Nagel</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</si>
  <si>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</si>
  <si>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Vienna Univ. of Technol., Vienna|c|;;;;;;</t>
  </si>
  <si>
    <t>Rita Borgo;Karl J. Proctor;Min Chen;Heike Leitte;Tavi Murray;Ian M. Thornton</t>
  </si>
  <si>
    <t>Rita Borgo;Karl Proctor;Min Chen;Heike Janicke;Tavi Murray;Ian Thornton</t>
  </si>
  <si>
    <t>Swansea University;Swansea University;Swansea University;Heidelberg University;Swansea University;Swansea University</t>
  </si>
  <si>
    <t>Pixel-based visualization, evaluation, user study, visual search, change detection</t>
  </si>
  <si>
    <t>http://dx.doi.org/10.1109/TVCG.2008.181</t>
  </si>
  <si>
    <t>FacetAtlas: Multifaceted Visualization for Rich Text Corpora</t>
  </si>
  <si>
    <t>10.1109/TVCG.2010.154</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</si>
  <si>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</si>
  <si>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Nan Cao;Jimeng Sun;Yu-Ru Lin;David Gotz;Shixia Liu;Huamin Qu</t>
  </si>
  <si>
    <t>IEEE, Member</t>
  </si>
  <si>
    <t>10.1109/TVCG.2006.122;10.1109/VAST.2009.5333443;10.1109/INFVIS.2000.885098;10.1109/TVCG.2009.140;10.1109/TVCG.2008.135;10.1109/TVCG.2008.172;10.1109/TVCG.2009.139;10.1109/TVCG.2009.171;10.1109/INFVIS.2005.1532126;10.1109/TVCG.2006.142;10.1109/TVCG.2006.147;10.1109/VISUAL.1998.745302;10.1109/TVCG.2009.165;10.1109/INFVIS.1995.528686;10.1109/TVCG.2006.185</t>
  </si>
  <si>
    <t>Multi-facet visualization, Text visualization, Multi-relational Graph, Search UI</t>
  </si>
  <si>
    <t>GeneaQuilts: A System for Exploring Large Genealogies</t>
  </si>
  <si>
    <t>10.1109/TVCG.2010.159</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</si>
  <si>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&amp;amp; Slide that allows fluid navigation in very large genealogies. We report on preliminary feedback from domain experts and show how our system supports a number of their tasks.</t>
  </si>
  <si>
    <t>Anastasia Bezerianos;Pierre Dragicevic;Jean-Daniel Fekete;Juhee Bae;Benjamin Watson</t>
  </si>
  <si>
    <t>Anastasia Bezerianos;Pierre Dragicevic;Jean-Daniel Fekete;Juhee Bae;Ben Watson</t>
  </si>
  <si>
    <t>10.1109/INFVIS.2002.1173156;10.1109/INFVIS.2005.1532124</t>
  </si>
  <si>
    <t>Genealogy visualization, interaction</t>
  </si>
  <si>
    <t>Dept. of Stat., Purdue Univ., West Lafayette, IN|c|;;</t>
  </si>
  <si>
    <t>http://dx.doi.org/10.1109/TVCG.2008.182</t>
  </si>
  <si>
    <t>Graphical inference for infovis</t>
  </si>
  <si>
    <t>10.1109/TVCG.2010.161</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</si>
  <si>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</si>
  <si>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Hadley Wickham;Dianne Cook;Heike Hofmann;Andreas Buja</t>
  </si>
  <si>
    <t>Rice University;Iowa State University;Iowa State University;Wharton School, University of Pennsylvania</t>
  </si>
  <si>
    <t>Hong Kong Univ. of Sci. &amp; Technol., Hong Kong|c|;;</t>
  </si>
  <si>
    <t>Statistics, visual testing, permutation tests, null hypotheses, data plots</t>
  </si>
  <si>
    <t>Graphical Perception of Multiple Time Series</t>
  </si>
  <si>
    <t>10.1109/TVCG.2010.162</t>
  </si>
  <si>
    <t>http://dx.doi.org/10.1109/TVCG.2008.183</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</si>
  <si>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</si>
  <si>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Waqas Javed;Bryan McDonnel;Niklas Elmqvist</t>
  </si>
  <si>
    <t>Purdue University;Purdue University;Purdue University</t>
  </si>
  <si>
    <t>10.1109/TVCG.2008.166;10.1109/TVCG.2007.70583;10.1109/TVCG.2007.70535;10.1109/INFVIS.1999.801851;10.1109/TVCG.2008.125;10.1109/INFVIS.2005.1532144</t>
  </si>
  <si>
    <t>Line graphs, braided graphs, horizon graphs, small multiples, stacked graphs, evaluation, design guidelines</t>
  </si>
  <si>
    <t>Gremlin: An Interactive Visualization Model for Analyzing Genomic Rearrangements</t>
  </si>
  <si>
    <t>10.1109/TVCG.2010.163</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</si>
  <si>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</si>
  <si>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Trevor M. O'Brien;Anna M. Ritz;Benjamin J. Raphael;David H. Laidlaw</t>
  </si>
  <si>
    <t>Trevor O'Brien;Anna Ritz;Benjamin Raphael;David Laidlaw</t>
  </si>
  <si>
    <t>Brown University;Brown University;Brown University;Brown University</t>
  </si>
  <si>
    <t>10.1109/TVCG.2009.174;10.1109/TVCG.2009.167</t>
  </si>
  <si>
    <t>Information visualization, bioinformatics, insight-based evaluation</t>
  </si>
  <si>
    <t>Mississippi State Univ., Oxford, MS|c|;;</t>
  </si>
  <si>
    <t>How Information Visualization Novices Construct Visualizations</t>
  </si>
  <si>
    <t>10.1109/TVCG.2010.164</t>
  </si>
  <si>
    <t>http://dx.doi.org/10.1109/TVCG.2008.184</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</si>
  <si>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</si>
  <si>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Lars Grammel;Melanie Tory;Margaret-Anne D. Storey</t>
  </si>
  <si>
    <t>Lars Grammel;Melanie Tory;Margaret-Anne Storey</t>
  </si>
  <si>
    <t>University of Victoria;University of Victoria;University of Victoria</t>
  </si>
  <si>
    <t>10.1109/TVCG.2007.70515;10.1109/TVCG.2006.163;10.1109/TVCG.2007.70541;10.1109/VAST.2009.5333878;10.1109/TVCG.2008.109;10.1109/VAST.2006.261428;10.1109/TVCG.2007.70577;10.1109/VAST.2008.4677358;10.1109/VAST.2008.4677365;10.1109/TVCG.2007.70535;10.1109/INFVIS.2005.1532136;10.1109/INFVIS.1998.729560;10.1109/TVCG.2007.70594;10.1109/INFVIS.2000.885086;10.1109/INFVIS.2001.963289;10.1109/INFVIS.2000.885092;10.1109/TVCG.2008.137</t>
  </si>
  <si>
    <t>Empirical study, visualization, visualization construction, visual analytics, visual mapping, novices</t>
  </si>
  <si>
    <t>Laws of Attraction: From Perceptual Forces to Conceptual Similarity</t>
  </si>
  <si>
    <t>10.1109/TVCG.2010.174</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</si>
  <si>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</si>
  <si>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Univ. of Tennessee at Knoxville, Knoxville, TN|c|;;;;</t>
  </si>
  <si>
    <t>Perceptual cognition, visualization models, laboratory studies, cognition theory</t>
  </si>
  <si>
    <t>ManiWordle: Providing Flexible Control over Wordle</t>
  </si>
  <si>
    <t>http://dx.doi.org/10.1109/TVCG.2008.185</t>
  </si>
  <si>
    <t>10.1109/TVCG.2010.175</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</si>
  <si>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</si>
  <si>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Kyle Koh;Bongshin Lee;Bo Hyoung Kim;Jinwook Seo</t>
  </si>
  <si>
    <t>Kyle Koh;Bongshin Lee;Bohyoung Kim;Jinwook Seo</t>
  </si>
  <si>
    <t>Seoul National University;Microsoft Research;Seoul National University;Seoul National University</t>
  </si>
  <si>
    <t>10.1109/TVCG.2007.70541;10.1109/TVCG.2007.70515;10.1109/TVCG.2009.171;10.1109/VAST.2009.5333443;10.1109/INFVIS.2003.1249031</t>
  </si>
  <si>
    <t xml:space="preserve">Interaction design, direct manipulation, flexibilty-usability tradeoff, tag-cloud, participatory visualization, user study </t>
  </si>
  <si>
    <t>Matching Visual Saliency to Confidence in Plots of Uncertain Data</t>
  </si>
  <si>
    <t>10.1109/TVCG.2010.176</t>
  </si>
  <si>
    <t>Georgia Tech, Atlanta, GA|c|;;;</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</si>
  <si>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</si>
  <si>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David Feng;Lester Kwock;Yueh Lee;Russell M. Taylor II</t>
  </si>
  <si>
    <t>David Feng;Lester Kwock;Yueh Lee;Russell Taylor</t>
  </si>
  <si>
    <t>UNC Chapel Hill;UNC Chapel Hill;UNC Chapel Hill;UNC Chapel Hill</t>
  </si>
  <si>
    <t>10.1109/TVCG.2008.119;10.1109/INFVIS.2001.963286;10.1109/TVCG.2008.167;10.1109/TVCG.2009.179;10.1109/INFVIS.2002.1173145;10.1109/TVCG.2009.131;10.1109/VISUAL.1999.809866;10.1109/TVCG.2009.114;10.1109/TVCG.2006.170;10.1109/INFVIS.2004.3;10.1109/VISUAL.1994.346302;10.1109/TVCG.2008.153;10.1109/TVCG.2009.118</t>
  </si>
  <si>
    <t>Uncertainty visualization, brushing, scatter plots, parallel coordinates, multivariate data</t>
  </si>
  <si>
    <t>http://dx.doi.org/10.1109/TVCG.2008.186</t>
  </si>
  <si>
    <t>Mental Models; Visual Reasoning and Interaction in Information Visualization: A Top-down Perspective</t>
  </si>
  <si>
    <t>10.1109/TVCG.2010.177</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</si>
  <si>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</si>
  <si>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Zhicheng Liu;John T. Stasko</t>
  </si>
  <si>
    <t>Zhicheng Liu;John Stasko</t>
  </si>
  <si>
    <t>Georgia Institute of Technology;Georgia Institute of Technology</t>
  </si>
  <si>
    <t>10.1109/TVCG.2009.187;10.1109/TVCG.2008.155;10.1109/INFVIS.2001.963289;10.1109/TVCG.2009.109;10.1109/TVCG.2007.70515;10.1109/TVCG.2009.180;10.1109/TVCG.2008.109;10.1109/TVCG.2008.171;10.1109/TVCG.2008.121;10.1109/VAST.2008.4677365</t>
  </si>
  <si>
    <t>Mental model, model-based reasoning, distributed cognition, interaction, theory, information visualization</t>
  </si>
  <si>
    <t>Narrative Visualization: Telling Stories with Data</t>
  </si>
  <si>
    <t>10.1109/TVCG.2010.179</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</si>
  <si>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</si>
  <si>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Edward Segel;Jeffrey Heer</t>
  </si>
  <si>
    <t>10.1109/TVCG.2007.70577;10.1109/TVCG.2007.70539;10.1109/TVCG.2008.137;10.1109/VAST.2007.4388992</t>
  </si>
  <si>
    <t>Narrative visualization, storytelling, design methods, case study, journalism, social data analysis</t>
  </si>
  <si>
    <t>Necklace Maps</t>
  </si>
  <si>
    <t>10.1109/TVCG.2010.180</t>
  </si>
  <si>
    <t>Christian Ledergerber;Ga��l Guennebaud;Miriah D. Meyer;Moritz B�_cher;Hanspeter Pfister</t>
  </si>
  <si>
    <t>Harvard Univ., Cambridge, MA|c|;;;;</t>
  </si>
  <si>
    <t>http://dx.doi.org/10.1109/TVCG.2008.187</t>
  </si>
  <si>
    <t>Sch. of Comput., Univ. of Utah, Salt Lake City, UT|c|;</t>
  </si>
  <si>
    <t>http://dx.doi.org/10.1109/VAST.2008.4677350</t>
  </si>
  <si>
    <t>Tobias Schreck;J�_rgen Bernard;Tatiana von Landesberger;J̦rn Kohlhammer</t>
  </si>
  <si>
    <t>Interactive Graphics Syst. Group, TU Darmstadt, Darmstadt|c|;;;</t>
  </si>
  <si>
    <t>http://dx.doi.org/10.1109/VAST.2008.4677351</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</si>
  <si>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</si>
  <si>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Bettina Speckmann;Kevin Verbeek</t>
  </si>
  <si>
    <t>authro Speckmann;Kevin Verbeek</t>
  </si>
  <si>
    <t>10.1109/INFVIS.2004.57;10.1109/TVCG.2008.165</t>
  </si>
  <si>
    <t>Geographic Visualization, Automated Cartography, Proportional Symbol Maps, Necklace Maps</t>
  </si>
  <si>
    <t>Data Anal. &amp; Visualization Services, Swiss Nat. Supercomput. Centre (CSCS)|c|;</t>
  </si>
  <si>
    <t>OpinionSeer: Interactive Visualization of Hotel Customer Feedback</t>
  </si>
  <si>
    <t>10.1109/TVCG.2010.183</t>
  </si>
  <si>
    <t>http://dx.doi.org/10.1109/VAST.2008.4677352</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</si>
  <si>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</si>
  <si>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Yingcai Wu;Furu Wei;Shixia Liu;Norman Au;Weiwei Cui;Hong Zhou;Huamin Qu</t>
  </si>
  <si>
    <t>10.1109/VAST.2006.261431;10.1109/TVCG.2009.171;10.1109/VAST.2009.5332611;10.1109/TVCG.2008.187;10.1109/VAST.2009.5333919;10.1109/INFVIS.2002.1173151</t>
  </si>
  <si>
    <t>opinion visualization, radial visualization, uncertainty visualization</t>
  </si>
  <si>
    <t>Pargnostics: Screen-Space Metrics for Parallel Coordinates</t>
  </si>
  <si>
    <t>10.1109/TVCG.2010.184</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</si>
  <si>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</si>
  <si>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Aritra Dasgupta;Robert Kosara</t>
  </si>
  <si>
    <t>University of North Carolina at Charlotte;University of North Carolina at Charlotte</t>
  </si>
  <si>
    <t>10.1109/INFVIS.2005.1532142;10.1109/TVCG.2006.138;10.1109/VISUAL.1990.146402;10.1109/VAST.2006.261423;10.1109/VAST.2009.5332628;10.1109/INFVIS.2005.1532136;10.1109/INFVIS.1998.729559;10.1109/INFVIS.1997.636793</t>
  </si>
  <si>
    <t>Parallel coordinates, metrics, display optimization, visualization models</t>
  </si>
  <si>
    <t>PedVis: A Structured; Space-Efficient Technique for Pedigree Visualization</t>
  </si>
  <si>
    <t>10.1109/TVCG.2010.185</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</si>
  <si>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</si>
  <si>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Claurissa Tuttle;Luis Gustavo Nonato;Cláudio T. Silva</t>
  </si>
  <si>
    <t>Claurissa Tuttle;Luis Gustavo Nonato;Claudio Silva</t>
  </si>
  <si>
    <t>University of Utah;Universidade do Sao Paulo, Brazil;University of Utah</t>
  </si>
  <si>
    <t>10.1109/TVCG.2008.158;10.1109/TVCG.2008.141;10.1109/INFVIS.2005.1532124;10.1109/INFVIS.2003.1249004;10.1109/VISUAL.1991.175815;10.1109/INFVIS.2002.1173152;10.1109/INFVIS.2002.1173148;10.1109/INFVIS.1997.636718</t>
  </si>
  <si>
    <t>Genealogy, Pedigree, H-tree</t>
  </si>
  <si>
    <t>Perceptual Guidelines for Creating Rectangular Treemaps</t>
  </si>
  <si>
    <t>10.1109/TVCG.2010.186</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</si>
  <si>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</si>
  <si>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Nicholas Kong;Jeffrey Heer;Maneesh Agrawala</t>
  </si>
  <si>
    <t>University of California, Berkeley;Stanford University;University of California, Berkeley</t>
  </si>
  <si>
    <t>10.1109/INFVIS.2000.885091;10.1109/INFVIS.2005.1532145;10.1109/INFVIS.2004.70;10.1109/INFVIS.2005.1532144;10.1109/TVCG.2007.70583;10.1109/INFVIS.2001.963283;10.1109/INFVIS.2001.963290;10.1109/TVCG.2008.171;10.1109/INFVIS.1999.801860;10.1109/INFVIS.2002.1173153</t>
  </si>
  <si>
    <t>Graphical Perception, Visualization, Treemaps, Rectangular Area, Visual Encoding, Experiment, Mechanical Turk</t>
  </si>
  <si>
    <t>Rethinking Map Legends with Visualization</t>
  </si>
  <si>
    <t>10.1109/TVCG.2010.191</t>
  </si>
  <si>
    <t>Comput. Sci. Dept., Stony Brook Univ., Stony Brook, NY|c|;;;</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</si>
  <si>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</si>
  <si>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Jason Dykes;Jo Wood;Aidan Slingsby</t>
  </si>
  <si>
    <t>10.1109/TVCG.2007.70561;10.1109/TVCG.2008.165;10.1109/TVCG.2007.70539;10.1109/TVCG.2006.202;10.1109/INFVIS.2000.885095;10.1109/TVCG.2007.70589;10.1109/TVCG.2009.128</t>
  </si>
  <si>
    <t>Cartography, design, Digimap service, legend, online web mapping, visualization</t>
  </si>
  <si>
    <t>http://dx.doi.org/10.1109/VAST.2008.4677353</t>
  </si>
  <si>
    <t>SignalLens: Focus+Context Applied to Electronic Time Series</t>
  </si>
  <si>
    <t>10.1109/TVCG.2010.193</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</si>
  <si>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</si>
  <si>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Robert Kincaid</t>
  </si>
  <si>
    <t>Agilent Laboratories</t>
  </si>
  <si>
    <t xml:space="preserve">Focus+Context, Lens, Test and Measurement, Electronic Signal, Signal Processing </t>
  </si>
  <si>
    <t>SparkClouds: Visualizing Trends in Tag Clouds</t>
  </si>
  <si>
    <t>10.1109/TVCG.2010.194</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</si>
  <si>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</si>
  <si>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Bongshin Lee;Nathalie Henry Riche;Amy K. Karlson;Sheelagh Carpendale</t>
  </si>
  <si>
    <t>Bongshin Lee;Nathalie Henry Riche;Amy K. Karlson;Sheelash Carpendale</t>
  </si>
  <si>
    <t>Microsoft Research;Microsoft Research;Microsoft Research;University of Calgary</t>
  </si>
  <si>
    <t>10.1109/TVCG.2009.171;10.1109/INFVIS.2005.1532122;10.1109/TVCG.2007.70589</t>
  </si>
  <si>
    <t>Tag clouds, trend visualization, multiple line graphs, stacked bar charts, evaluation</t>
  </si>
  <si>
    <t>Lawrence Berkeley Nat. Lab., Berkeley, CA|c|;;;;</t>
  </si>
  <si>
    <t>Stacking Graphic Elements to Avoid Over-Plotting</t>
  </si>
  <si>
    <t>10.1109/TVCG.2010.197</t>
  </si>
  <si>
    <t>http://dx.doi.org/10.1109/VAST.2008.4677354</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</si>
  <si>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</si>
  <si>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Dang Tuan Nhon;Leland Wilkinson;Anushka Anand</t>
  </si>
  <si>
    <t>Tuan Nhon Dang;Leland Wilkinson;Anushka Anand</t>
  </si>
  <si>
    <t>10.1109/INFVIS.2005.1532139;10.1109/INFVIS.2005.1532138;10.1109/TVCG.2009.131;10.1109/INFVIS.1995.528685;10.1109/VISUAL.1991.175815;10.1109/INFVIS.2005.1532122;10.1109/INFVIS.2004.68;10.1109/INFVIS.2000.885098</t>
  </si>
  <si>
    <t>Dot plots, Parallel coordinate plots, Multidimensional data, Density-based visualization</t>
  </si>
  <si>
    <t>The FlowVizMenu and Parallel Scatterplot Matrix: Hybrid Multidimensional Visualizations for Network Exploration</t>
  </si>
  <si>
    <t>10.1109/TVCG.2010.205</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</si>
  <si>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</si>
  <si>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Christophe Viau;Michael J. McGuffin;Yves Chiricota;Igor Jurisica</t>
  </si>
  <si>
    <t>&amp;#x0C9;cole de technologie sup&amp;#x0E9;rieure;&amp;#x0C9;cole de technologie sup&amp;#x0E9;rieure;Universit&amp;#x0E9; du Qu&amp;#x0E9;bec &amp;#x0E0; Chicoutimi;Ontario Cancer Institute</t>
  </si>
  <si>
    <t>10.1109/TVCG.2009.151;10.1109/INFVIS.2005.1532142;10.1109/TVCG.2007.70523;10.1109/TVCG.2009.179;10.1109/VAST.2009.5332586;10.1109/INFVIS.2005.1532141;10.1109/TVCG.2006.187;10.1109/INFVIS.2004.47;10.1109/TVCG.2007.70521;10.1109/INFVIS.2003.1249011;10.1109/TVCG.2008.153</t>
  </si>
  <si>
    <t>Interactive graph drawing, network layout, attribute-driven layout, parallel coordinates, scatterplot matrix, radial menu</t>
  </si>
  <si>
    <t>The Streams of Our Lives: Visualizing Listening Histories in Context</t>
  </si>
  <si>
    <t>10.1109/TVCG.2010.206</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</si>
  <si>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</si>
  <si>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Dominikus Baur;Frederik Seiffert;Michael Sedlmair;Sebastian Boring</t>
  </si>
  <si>
    <t>University of Munich (LMU);University of Munich (LMU);University of Munich (LMU);University of Munich (LMU)</t>
  </si>
  <si>
    <t>10.1109/TVCG.2008.166;10.1109/TVCG.2007.70541;10.1109/INFVIS.2001.963273;10.1109/INFVIS.2002.1173155;10.1109/INFVIS.1999.801851;10.1109/VAST.2006.261421</t>
  </si>
  <si>
    <t>Information visualization, lifelogging, design study, music, listening history, timelines, photos, calendars</t>
  </si>
  <si>
    <t>http://dx.doi.org/10.1109/VAST.2008.4677355</t>
  </si>
  <si>
    <t>Uncovering Strengths and Weaknesses of Radial Visualizations---an Empirical Approach</t>
  </si>
  <si>
    <t>10.1109/TVCG.2010.209</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</si>
  <si>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</si>
  <si>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Stephan Diehl 0001;Fabian Beck 0001;Michael Burch</t>
  </si>
  <si>
    <t>Stephan Diehl;Fabian Beck;Michael Burch</t>
  </si>
  <si>
    <t>University of Trier;University of Trier;University of Stuttgart</t>
  </si>
  <si>
    <t>10.1109/INFVIS.2004.70;10.1109/INFVIS.2001.963291;10.1109/VISUAL.1997.663916;10.1109/INFVIS.2001.963291</t>
  </si>
  <si>
    <t>Radial visualization, user study, visual memory</t>
  </si>
  <si>
    <t>Untangling Euler Diagrams</t>
  </si>
  <si>
    <t>10.1109/TVCG.2010.210</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</si>
  <si>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</si>
  <si>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Nathalie Henry Riche;Tim Dwyer</t>
  </si>
  <si>
    <t>Microsoft Research;Microsoft Corporation Microsoft Corporation</t>
  </si>
  <si>
    <t>10.1109/TVCG.2008.144;10.1109/TVCG.2007.70582;10.1109/INFVIS.2005.1532126;10.1109/TVCG.2008.141;10.1109/TVCG.2009.122;10.1109/TVCG.2006.156;10.1109/TVCG.2006.120;10.1109/TVCG.2008.130;10.1109/TVCG.2006.166;10.1109/VISUAL.1993.398863;10.1109/TVCG.2008.153</t>
  </si>
  <si>
    <t>Information Visualization, Euler diagrams, Set Visualization, Graph Visualization</t>
  </si>
  <si>
    <t>Visualization of Diversity in Large Multivariate Data Sets</t>
  </si>
  <si>
    <t>10.1109/TVCG.2010.216</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</si>
  <si>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</si>
  <si>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Tuan Pham;Rob Hess;Crystal Ju;Eugene Zhang;Ronald A. Metoyer</t>
  </si>
  <si>
    <t>Tuan Pham;Rob Hess;Crystal Ju;Eugene Zhang;Ronald Metoyer</t>
  </si>
  <si>
    <t>Oregon State University;Oregon State University;Oregon State University;Oregon State University;Oregon State University</t>
  </si>
  <si>
    <t>10.1109/VISUAL.1990.146402;10.1109/VISUAL.1990.146386;10.1109/INFVIS.2004.15;10.1109/INFVIS.1997.636793;10.1109/INFVIS.2002.1173157;10.1109/VISUAL.1991.175815;10.1109/VISUAL.1999.809866;10.1109/INFVIS.2004.68</t>
  </si>
  <si>
    <t>Information visualization, diversity, categorical data, multivariate data, evaluation</t>
  </si>
  <si>
    <t>http://dx.doi.org/10.1109/VAST.2008.4677356</t>
  </si>
  <si>
    <t>Visualization of Graph Products</t>
  </si>
  <si>
    <t>10.1109/TVCG.2010.217</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</si>
  <si>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</si>
  <si>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Stefan Jänicke;Christian Heine 0002;Marc Hellmuth;Peter F. Stadler;Gerik Scheuermann</t>
  </si>
  <si>
    <t>Stefan Janicke;Christian Heine;Marc Hellmuth;Peter F. Stadler;Gerik Scheuermann</t>
  </si>
  <si>
    <t>Institute for Computer Science, University of Leipzig, Germany;Institute for Computer Science, University of Leipzig, Germany;Institute for Computer Science, University of Leipzig, Germany;Institute for Computer Science, University of Leipzig, Germany;Institute for Computer Science, University of Leipzig, Germany</t>
  </si>
  <si>
    <t>Graph drawing, graph products, TopoLayout</t>
  </si>
  <si>
    <t>Visualizations everywhere: A Multiplatform Infrastructure for Linked Visualizations</t>
  </si>
  <si>
    <t>10.1109/TVCG.2010.222</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</si>
  <si>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</si>
  <si>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Danyel Fisher;Steven M. Drucker;Roland Fernandez;Scott Ruble</t>
  </si>
  <si>
    <t>Danyel Fisher;Steven Drucker;Roland Fernandez;Scott Ruble</t>
  </si>
  <si>
    <t>Microsoft Research;Microsoft Research;Microsoft Research;Microsoft</t>
  </si>
  <si>
    <t>Fraunhofer Inst. IAIS, Sankt Augustin|c|;</t>
  </si>
  <si>
    <t>10.1109/INFVIS.2004.12;10.1109/TVCG.2009.148;10.1109/TVCG.2008.175;10.1109/TVCG.2009.174;10.1109/TVCG.2007.70577;10.1109/INFVIS.2000.885086</t>
  </si>
  <si>
    <t>Visualization systems, toolkit design, data transformation and representation</t>
  </si>
  <si>
    <t>Adapting Daniel and Wood's modeling approach to interactive visual analytics</t>
  </si>
  <si>
    <t>http://dx.doi.org/10.1109/VAST.2008.4677357</t>
  </si>
  <si>
    <t>10.1109/VAST.2010.5649831</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</si>
  <si>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</si>
  <si>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Justin Talbot;Pat Hanrahan</t>
  </si>
  <si>
    <t>Computer Science Department Stanford University;Computer Science Department Stanford University</t>
  </si>
  <si>
    <t>Enron case study: Analysis of email behavior using EmailTime</t>
  </si>
  <si>
    <t>10.1109/VAST.2010.5649905</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</si>
  <si>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</si>
  <si>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Minoo Erfani Joorabchi;Ji-Dong Yim;Mona Erfani Joorabchi;Chris Shaw 0002</t>
  </si>
  <si>
    <t>Minoo Erfani Joorabchi;Ji-Dong Yim;Mona Erfani Joorabchi;Christopher D. Shaw</t>
  </si>
  <si>
    <t>Simon Fraser University;Simon Fraser University;Simon Fraser University;Simon Fraser University</t>
  </si>
  <si>
    <t>Email, Enron, Case Study, EmailTime, Visual Analysis</t>
  </si>
  <si>
    <t>The speed of data retrieval qualitatively affects how analysts visually explore and analyze their data. To ensure smooth interactions in massive time series datasets, one needs to address the challenges of computing ad hoc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</si>
  <si>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Stanford Univ., Stanford, CA|c|;;;</t>
  </si>
  <si>
    <t>A radial visualization tool for depicting hierarchically structured video content</t>
  </si>
  <si>
    <t>10.1109/VAST.2010.5650177</t>
  </si>
  <si>
    <t>http://dx.doi.org/10.1109/VAST.2008.4677358</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</si>
  <si>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</si>
  <si>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Tobias Ruppert;Jörn Kohlhammer</t>
  </si>
  <si>
    <t>Fraunhofer Institute for Computer Graphics Research (IGD), Darmstadt, Germany;Fraunhofer Institute for Computer Graphics Research (IGD), Darmstadt, Germany</t>
  </si>
  <si>
    <t>A Visual Analytics approach to identifying protein structural constraints</t>
  </si>
  <si>
    <t>10.1109/VAST.2010.5650199</t>
  </si>
  <si>
    <t>Dept. of Geogr., Pennsylvania State Univ., State College, PA|c|</t>
  </si>
  <si>
    <t>http://dx.doi.org/10.1109/VAST.2008.4677359</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</si>
  <si>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</si>
  <si>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William C. Ray</t>
  </si>
  <si>
    <t>The Research Institute at Nationwide Children's Hospital, The Ohio State University Biophysics Program</t>
  </si>
  <si>
    <t>High-order finite elements, spectral/hp elements, cut-plane extraction, GPU-based root-finding, GPU ray-tracing, cut-surface extraction</t>
  </si>
  <si>
    <t>ProDV - A case study in delivering visual analytics</t>
  </si>
  <si>
    <t>10.1109/VAST.2010.5650219</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</si>
  <si>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</si>
  <si>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Department of Computer Science and Engineering, Texas A&amp;M University;Department of Computer Science and Engineering, Texas A&amp;M University;Department of Industrial and Systems Engineering, Texas A&amp;M University</t>
  </si>
  <si>
    <t>Visualization system and toolkit design</t>
  </si>
  <si>
    <t>Poster: Translating cross-filtered queries into questions</t>
  </si>
  <si>
    <t>10.1109/VAST.2010.5650251</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</si>
  <si>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</si>
  <si>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Maryam Nafari;Chris Weaver</t>
  </si>
  <si>
    <t>School of Computer Science and Center for Spatial Analysis The University of Oklahoma;School of Computer Science and Center for Spatial Analysis The University of Oklahoma</t>
  </si>
  <si>
    <t>http://dx.doi.org/10.1109/VAST.2008.4677360</t>
  </si>
  <si>
    <t>Coordinated multiple views, cross-filtered queries, interaction states, natural language generation, visual provenance</t>
  </si>
  <si>
    <t>Visual analysis of frequent patterns in large time series</t>
  </si>
  <si>
    <t>10.1109/VAST.2010.5650766</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</si>
  <si>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</si>
  <si>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Ming C. Hao;Manish Marwah;Halldór Janetzko;Daniel A. Keim;Umeshwar Dayal;Ratnesh K. Sharma;Debprakash Patnaik;Naren Ramakrishnan</t>
  </si>
  <si>
    <t>M. C. Hao;M. Marwah;H. Janetzko;D. A. Keim;U. Dayal;R. Sharma;D. Patnaik;N. Ramakrishnan</t>
  </si>
  <si>
    <t>Hewlett Packard Laboratories, USA;Hewlett Packard Laboratories, USA;University of Konstanz, Germany;University of Konstanz, Germany;Hewlett Packard Laboratories, USA;Hewlett Packard Laboratories, USA;Virginia Tech, USA;Virginia Tech, USA</t>
  </si>
  <si>
    <t>Enhancing text-based chat with visuals for hazardous weather decision making</t>
  </si>
  <si>
    <t>10.1109/VAST.2010.5650815</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</si>
  <si>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</si>
  <si>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Moshe Gutman;Gina Eosco;Monica Zappa;Chris Weaver</t>
  </si>
  <si>
    <t>School of Computer Science and School of Meteorology, University of Oklahoma;School of Computer Science and School of Meteorology, University of Oklahoma;School of Computer Science and School of Meteorology, University of Oklahoma;School of Computer Science and School of Meteorology, University of Oklahoma</t>
  </si>
  <si>
    <t>Collaboration, coordinated multiple views, instant messaging, emergency response, hazardous weather</t>
  </si>
  <si>
    <t>http://dx.doi.org/10.1109/VAST.2008.4677361</t>
  </si>
  <si>
    <t>ALIDA: Using machine learning for intent discernment in visual analytics interfaces</t>
  </si>
  <si>
    <t>10.1109/VAST.2010.5650854</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</si>
  <si>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</si>
  <si>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Tera Marie Green;Ross Maciejewski;Steve DiPaola</t>
  </si>
  <si>
    <t>School of Interactive Arts &amp;#x002B; Technology - Simon Fraser University;Purdue Visual Analytics Center - Purdue University;School of Interactive Arts &amp;#x002B; Technology - Simon Fraser University</t>
  </si>
  <si>
    <t>artificial intelligence, cognition, intent discernment, volume rendering</t>
  </si>
  <si>
    <t>Conveying network features in geospatial battlespace displays</t>
  </si>
  <si>
    <t>10.1109/VAST.2010.5651192</t>
  </si>
  <si>
    <t>Advanced battlespace network visualization techniques are required within the modern Air Operations Center (AOC) to improve cross-domain situation awareness and to support planning and decision-making. We present a visualization toolkit to address this need that supports the integration of network health and status information and meta-information with other traditional AOC information resources and activities across air, space, and cyber domains. Applications include the development of battlespace visualization technologies that will improve warfighters' decision-making response time and provide enhanced flexibility for mission planning by efficiently revealing affordances for leveraging, disrupting, or enhancing network connectivity.</t>
  </si>
  <si>
    <t>J. Alex Godwin;Ryan M. Kilgore</t>
  </si>
  <si>
    <t>Charles River Analytics;Charles River Analytics</t>
  </si>
  <si>
    <t>Visualization of temporal relationships within coordinated views</t>
  </si>
  <si>
    <t>10.1109/VAST.2010.5651617</t>
  </si>
  <si>
    <t>In command and control (C2) environments, decision makers must rapidly understand and address key temporal relationships that exist between critical tasks as conditions fluctuate. However, traditional temporal displays, such as mission timelines, fail to support user understanding of and reasoning about critical relationships. We have developed visualization methods to compactly and effectively convey key temporal constraints. In this paper, we present examples of our visualization approach and describe how we are exploring interaction methods within an integrated visualization workspace to support user awareness of temporal constraints.</t>
  </si>
  <si>
    <t>Stephanie Dudzic;J. Alex Godwin;Ryan M. Kilgore</t>
  </si>
  <si>
    <t>Charles River Analytics;Charles River Analytics;Charles River Analytics</t>
  </si>
  <si>
    <t>temporal relationships, temporal visualization</t>
  </si>
  <si>
    <t>Cluster correspondence views for enhanced analysis of SOM displays</t>
  </si>
  <si>
    <t>10.1109/VAST.2010.5651676</t>
  </si>
  <si>
    <t>Charlotte Visualization Center, Univ. of North Carolina, Charlotte, NC|c|;;</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</si>
  <si>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</si>
  <si>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Jürgen Bernard;Tatiana von Landesberger;Sebastian Bremm;Tobias Schreck</t>
  </si>
  <si>
    <t>Interactive Graphics Systems Group, TU Darmstadt, Germany;Interactive Graphics Systems Group, TU Darmstadt, Germany, and, Fraunhofer IGD, Darmstadt;Interactive Graphics Systems Group, TU Darmstadt, Germany;Interactive Graphics Systems Group, TU Darmstadt, Germany</t>
  </si>
  <si>
    <t>http://dx.doi.org/10.1109/VAST.2008.4677362</t>
  </si>
  <si>
    <t>Interactive visual analysis of multiobjective optimizations</t>
  </si>
  <si>
    <t>10.1109/VAST.2010.5651694</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</si>
  <si>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</si>
  <si>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Wolfgang Berger;Harald Piringer</t>
  </si>
  <si>
    <t>DimStiller: Workflows for dimensional analysis and reduction</t>
  </si>
  <si>
    <t>10.1109/VAST.2010.5652392</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</si>
  <si>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</si>
  <si>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Stephen Ingram;Tamara Munzner;Veronika Irvine;Melanie Tory;Steven Bergner;Torsten Möller</t>
  </si>
  <si>
    <t>University of British Columbia;University of British Columbia;University of Victoria;University of Victoria;Simon Fraser University;Simon Fraser University</t>
  </si>
  <si>
    <t>10.1109/INFVIS.2003.1249013;10.1109/VISUAL.1994.346302;10.1109/TVCG.2006.178;10.1109/INFVIS.2003.1249015;10.1109/TVCG.2009.153;10.1109/INFVIS.2004.71</t>
  </si>
  <si>
    <t>Palo Alto Res. Center, Palo Alto, CA|c|;;</t>
  </si>
  <si>
    <t>Visual exploration of classification models for risk assessment</t>
  </si>
  <si>
    <t>10.1109/VAST.2010.5652398</t>
  </si>
  <si>
    <t>http://dx.doi.org/10.1109/VAST.2008.4677363</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</si>
  <si>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</si>
  <si>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Malgorzata Migut;Marcel Worring</t>
  </si>
  <si>
    <t>Intelligent Systems Lab Amsterdam, University of Amsterdam;Intelligent Systems Lab Amsterdam, University of Amsterdam</t>
  </si>
  <si>
    <t>10.1109/TVCG.2007.70515;10.1109/INFVIS.2005.1532139;10.1109/VAST.2009.5332628;10.1109/INFVIS.1998.729559;10.1109/TVCG.2009.199;10.1109/INFVIS.2000.885086;10.1109/TVCG.2007.70521;10.1109/VAST.2008.4677369;10.1109/VISUAL.1994.346302;10.1109/TVCG.2008.153</t>
  </si>
  <si>
    <t>Visual Analytics, Interactive Visual Exploration, Decision Boundary Visualization, Multi-dimensional Space, Classification</t>
  </si>
  <si>
    <t>Improving the visual analysis of high-dimensional datasets using quality measures</t>
  </si>
  <si>
    <t>10.1109/VAST.2010.5652433</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</si>
  <si>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</si>
  <si>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Georgia Albuquerque;Martin Eisemann;Dirk J. Lehmann;Holger Theisel;Marcus A. Magnor</t>
  </si>
  <si>
    <t>Georgia Albuquerque;Martin Eisemann;Dirk J. Lehmann;Holger Theisel;Marcus Magnor</t>
  </si>
  <si>
    <t>TU Braunschweig, Germany;TU Braunschweig, Germany;University of Magdeburg, Germany;University of Magdeburg, Germany;TU Braunschweig, Germany</t>
  </si>
  <si>
    <t>10.1109/INFVIS.2005.1532145;10.1109/INFVIS.2005.1532142;10.1109/VISUAL.1997.663916;10.1109/VAST.2006.261423;10.1109/VAST.2009.5332628;10.1109/TVCG.2008.173</t>
  </si>
  <si>
    <t>iVisClassifier: An interactive visual analytics system for classification based on supervised dimension reduction</t>
  </si>
  <si>
    <t>10.1109/VAST.2010.5652443</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</si>
  <si>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</si>
  <si>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Dept. of Econ., Purdue Univ., West Lafayette, IN|c|;;</t>
  </si>
  <si>
    <t>Jaegul Choo;Hanseung Lee;Jaeyeon Kihm;Haesun Park</t>
  </si>
  <si>
    <t>School of Computational Science and Engineering, Georgia Institute of Technology;School of Electrical and Computer Engineering, Georgia Institute of Technology;School of Interactive, Computing, Georgia Institute of Technology;School of Computational Science and Engineering, Georgia Institute of Technology</t>
  </si>
  <si>
    <t>10.1109/VAST.2009.5332629;10.1109/INFVIS.2003.1249015;10.1109/INFVIS.2004.60;10.1109/TVCG.2009.153</t>
  </si>
  <si>
    <t>http://dx.doi.org/10.1109/VAST.2008.4677364</t>
  </si>
  <si>
    <t>finding and visualizing relevant subspaces for clustering high-dimensional astronomical data using connected morphological operators</t>
  </si>
  <si>
    <t>10.1109/VAST.2010.5652450</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</si>
  <si>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priori assumptions. Hence, our method holds good prospects for discovering new relations as well.</t>
  </si>
  <si>
    <t>Bilkis J. Ferdosi;Hugo Buddelmeijer;Scott C. Trager;Michael H. F. Wilkinson;Jos B. T. M. Roerdink</t>
  </si>
  <si>
    <t>Bilkis J. Ferdosi;Hugo Buddelmeijer;Scott Trager;Michael H. F. Wilkinson;Jos B. T. M. Roerdink</t>
  </si>
  <si>
    <t>Johann Bernoulli Institute for Mathematics and Computer Science, University of Groningen;Kapteyn Astronomical Institute, University of Groningen;Kapteyn Astronomical Institute, University of Groningen;Johann Bernoulli Institute for Mathematics and Computer Science, University of Groningen;Johann Bernoulli Institute for Mathematics and Computer Science, University of Groningen</t>
  </si>
  <si>
    <t>Subspace finding, clustering high-dimensional data, connected morphological operators, visual exploration, astronomical data</t>
  </si>
  <si>
    <t>Flow-based scatterplots for sensitivity analysis</t>
  </si>
  <si>
    <t>10.1109/VAST.2010.5652460</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</si>
  <si>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</si>
  <si>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Yu-Hsuan Chan;Carlos D. Correa;Kwan-Liu Ma</t>
  </si>
  <si>
    <t>University of California at Davis;University of California at Davis;University of California at Davis</t>
  </si>
  <si>
    <t>10.1109/TVCG.2008.119;10.1109/VAST.2008.4677368;10.1109/VAST.2009.5332611;10.1109/VAST.2007.4389000;10.1109/TVCG.2006.166;10.1109/TVCG.2008.153</t>
  </si>
  <si>
    <t>Anomaly detection in GPS data based on visual analytics</t>
  </si>
  <si>
    <t>10.1109/VAST.2010.5652467</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</si>
  <si>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</si>
  <si>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Zicheng Liao;Yizhou Yu;Baoquan Chen</t>
  </si>
  <si>
    <t>University of Illinois at Urbana-Champaign;University of Illinois at Urbana-Champaign;Shenzhen Institutes of Advanced Technology, Chinese Academy of Sciences</t>
  </si>
  <si>
    <t>http://dx.doi.org/10.1109/VAST.2008.4677365</t>
  </si>
  <si>
    <t>Discovering bits of place histories from people's activity traces</t>
  </si>
  <si>
    <t>10.1109/VAST.2010.5652478</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</si>
  <si>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</si>
  <si>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Gennady L. Andrienko;Natalia V. Andrienko;Martin Mladenov;Michael Mock;Christian Pölitz</t>
  </si>
  <si>
    <t>Gennady Andrienko;Natalia Andrienko;Martin Mladenov;Michael Mock;Christian Pölitz</t>
  </si>
  <si>
    <t>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t>
  </si>
  <si>
    <t>10.1109/INFVIS.1999.801851;10.1109/TVCG.2007.70621</t>
  </si>
  <si>
    <t>event detection, spatio-temporal data, time series analysis, scalable visualization, geovisualization</t>
  </si>
  <si>
    <t>A visual analytics approach to model learning</t>
  </si>
  <si>
    <t>10.1109/VAST.2010.5652484</t>
  </si>
  <si>
    <t>http://dx.doi.org/10.1109/VAST.2008.4677366</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</si>
  <si>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</si>
  <si>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Supriya Garg;I. V. Ramakrishnan;Klaus Mueller</t>
  </si>
  <si>
    <t>Computer Science Department, Stony Brook University;Computer Science Department, Stony Brook University;Computer Science Department, Stony Brook University</t>
  </si>
  <si>
    <t>10.1109/VAST.2008.4677352;10.1109/VAST.2008.4677350;10.1109/VAST.2009.5332584;10.1109/VAST.2007.4388990;10.1109/VAST.2009.5333428;10.1109/TVCG.2007.70592</t>
  </si>
  <si>
    <t>Visual Knowledge Discovery, Visual Knowledge Representation, Data Clustering, Human-Computer Interaction</t>
  </si>
  <si>
    <t>Multidimensional data dissection using attribute relationship graphs</t>
  </si>
  <si>
    <t>10.1109/VAST.2010.5652520</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</si>
  <si>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</si>
  <si>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School of Computer Science and Center for Spatial Analysis The University of Oklahoma</t>
  </si>
  <si>
    <t>10.1109/TVCG.2008.137;10.1109/TVCG.2006.122;10.1109/VAST.2006.261432;10.1109/INFVIS.2004.12;10.1109/TVCG.2006.178;10.1109/INFVIS.2002.1173158;10.1109/VISUAL.1994.346302;10.1109/INFVIS.1998.729560;10.1109/TVCG.2007.70582;10.1109/TVCG.2007.70594;10.1109/VAST.2007.4389006;10.1109/INFVIS.2005.1532129;10.1109/INFVIS.2004.64</t>
  </si>
  <si>
    <t>Visual market sector analysis for financial time series data</t>
  </si>
  <si>
    <t>10.1109/VAST.2010.5652530</t>
  </si>
  <si>
    <t>http://dx.doi.org/10.1109/VAST.2008.4677367</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</si>
  <si>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</si>
  <si>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Hartmut Ziegler;Marco Jenny;Tino Gruse;Daniel A. Keim</t>
  </si>
  <si>
    <t>10.1109/INFVIS.2001.963273;10.1109/INFVIS.1997.636789;10.1109/INFVIS.2001.963288;10.1109/INFVIS.1999.801851;10.1109/INFVIS.2003.1249027</t>
  </si>
  <si>
    <t>Visual Analytics, financial Information Visualization, Time Series Data, Time Series Clustering, Explorative Analysis</t>
  </si>
  <si>
    <t>Large-scale neuroanatomical visualization using a manifold embedding approach</t>
  </si>
  <si>
    <t>10.1109/VAST.2010.5652532</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</si>
  <si>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</si>
  <si>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Shantanu H. Joshi;Ian Bowman;John D. Van Horn</t>
  </si>
  <si>
    <t>Shantanu H. Joshi;Ian Bowman;John Darrell Van Horn</t>
  </si>
  <si>
    <t>Laboratory of Neuro Imaging, Department of Neurology, UCLA School of Medicine, University of California Los Angeles, CA 90034;Laboratory of Neuro Imaging, Department of Neurology, UCLA School of Medicine, University of California Los Angeles, CA 90034;Laboratory of Neuro Imaging, Department of Neurology, UCLA School of Medicine, University of California Los Angeles, CA 90034</t>
  </si>
  <si>
    <t>A closer look at note taking in the co-located collaborative visual analytics process</t>
  </si>
  <si>
    <t>10.1109/VAST.2010.5652879</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</si>
  <si>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</si>
  <si>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Narges Mahyar;Ali Sarvghad;Melanie Tory</t>
  </si>
  <si>
    <t>10.1109/TVCG.2008.137;10.1109/VAST.2008.4677358;10.1109/TVCG.2007.70568;10.1109/VAST.2009.5333020;10.1109/VAST.2008.4677365;10.1109/VAST.2009.5333023;10.1109/TVCG.2007.70577</t>
  </si>
  <si>
    <t>http://dx.doi.org/10.1109/VAST.2008.4677368</t>
  </si>
  <si>
    <t>note taking, recording, collaboration, tabletop, wall display, history, provenance</t>
  </si>
  <si>
    <t>An exploratory study of co-located collaborative visual analytics around a tabletop display</t>
  </si>
  <si>
    <t>10.1109/VAST.2010.5652880</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</si>
  <si>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</si>
  <si>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Petra Isenberg;Danyel Fisher;Meredith Ringel Morris;Kori Inkpen Quinn;Mary Czerwinski</t>
  </si>
  <si>
    <t>Petra Isenberg;Danyel Fisher;Meredith Ringel Morris;Kori Inkpen;Mary Czerwinski</t>
  </si>
  <si>
    <t>INRIA;Microsoft Research;Microsoft Research;Microsoft Research;Microsoft Research</t>
  </si>
  <si>
    <t>10.1109/VAST.2006.261439;10.1109/VAST.2007.4389006;10.1109/VAST.2006.261415;10.1109/TVCG.2007.70577;10.1109/VAST.2008.4677358;10.1109/TVCG.2007.70568</t>
  </si>
  <si>
    <t>Click2Annotate: Automated Insight Externalization with rich semantics</t>
  </si>
  <si>
    <t>10.1109/VAST.2010.5652885</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</si>
  <si>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</si>
  <si>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Yang Chen;Scott Barlowe;Jing Yang 0001</t>
  </si>
  <si>
    <t>Yang Chen;Scott Barlowe;Jing Yang</t>
  </si>
  <si>
    <t>Department of Computer Science UNC Charlotte;Department of Computer Science UNC Charlotte;Department of Computer Science UNC Charlotte</t>
  </si>
  <si>
    <t>10.1109/VISUAL.1990.146375;10.1109/INFVIS.2005.1532136;10.1109/TVCG.2007.70541;10.1109/VAST.2008.4677365;10.1109/TVCG.2007.70577;10.1109/TVCG.2009.139</t>
  </si>
  <si>
    <t>Visual Analytics, Decision Making, Annotation, Insight Management, Multidimensional Visualization</t>
  </si>
  <si>
    <t>Dept of Comput. Sci., Univ. of North Carolina, Charlotte, NC|c|;;;;</t>
  </si>
  <si>
    <t>Interactive querying of temporal data using a comic strip metaphor</t>
  </si>
  <si>
    <t>10.1109/VAST.2010.5652890</t>
  </si>
  <si>
    <t>http://dx.doi.org/10.1109/VAST.2008.4677369</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</si>
  <si>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</si>
  <si>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Jing Jin;Pedro A. Szekely</t>
  </si>
  <si>
    <t>Jing Jin;Pedro Szekely</t>
  </si>
  <si>
    <t>Information Sciences Institute University of Southern California;Information Sciences Institute University of Southern California</t>
  </si>
  <si>
    <t>10.1109/VAST.2006.261421;10.1109/VAST.2006.261436</t>
  </si>
  <si>
    <t>Geo-historical context support for information foraging and sensemaking: Conceptual model, implementation, and assessment</t>
  </si>
  <si>
    <t>10.1109/VAST.2010.5652895</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</si>
  <si>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</si>
  <si>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Brian M. Tomaszewski;Alan M. MacEachren</t>
  </si>
  <si>
    <t>Brian Tomaszewski;Alan M. MacEachren</t>
  </si>
  <si>
    <t>Department of Information Sciences and Technologies, Rochester Institute of Technology;GeoVISTA Center, Dept. of Geography, The Pennsylvania State University</t>
  </si>
  <si>
    <t>context, foraging, sensemaking, mapping, text analysis, geographic information retrieval</t>
  </si>
  <si>
    <t>Real-time aggregation of Wikipedia data for visual analytics</t>
  </si>
  <si>
    <t>10.1109/VAST.2010.5652896</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</si>
  <si>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</si>
  <si>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 - monstrate various functions in our visualization program using a set of multimedia data including video, audio and motion tracking data.</t>
  </si>
  <si>
    <t>Nadia Boukhelifa;Fanny Chevalier;Jean-Daniel Fekete</t>
  </si>
  <si>
    <t>Microsoft Research - INRIA Joint Centre;Microsoft Research - INRIA Joint Centre;INRIA</t>
  </si>
  <si>
    <t>NetClinic: Interactive visualization to enhance automated fault diagnosis in enterprise networks</t>
  </si>
  <si>
    <t>10.1109/VAST.2010.5652910</t>
  </si>
  <si>
    <t>http://dx.doi.org/10.1109/VAST.2008.4677370</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</si>
  <si>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</si>
  <si>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Zhicheng Liu;Bongshin Lee;Srikanth Kandula;Ratul Mahajan</t>
  </si>
  <si>
    <t>Microsoft Research, Georgia Institute of Technology;Microsoft Research;Microsoft Research;Microsoft Research</t>
  </si>
  <si>
    <t>10.1109/TVCG.2006.122;10.1109/TVCG.2007.70522;10.1109/VAST.2009.5333878;10.1109/VAST.2007.4389006;10.1109/VAST.2006.261429</t>
  </si>
  <si>
    <t>Sensemaking, Semantic Graph Layout, Visual Analytics, Network Diagnosis, Information Visualization</t>
  </si>
  <si>
    <t>Diamonds in the rough: Social media visual analytics for journalistic inquiry</t>
  </si>
  <si>
    <t>10.1109/VAST.2010.5652922</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</si>
  <si>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</si>
  <si>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Nicholas Diakopoulos;Mor Naaman;Funda Kivran-Swaine</t>
  </si>
  <si>
    <t>Rutgers University, School of Communication and Information;Rutgers University, School of Communication and Information;Rutgers University, School of Communication and Information</t>
  </si>
  <si>
    <t>10.1109/VAST.2009.5333437;10.1109/VAST.2009.5333443;10.1109/VAST.2009.5333878;10.1109/VAST.2008.4677364</t>
  </si>
  <si>
    <t>Computational Journalism, Computer Assisted Reporting, Social Media, Sensemaking</t>
  </si>
  <si>
    <t>Visual readability analysis: How to make your writings easier to read</t>
  </si>
  <si>
    <t>10.1109/VAST.2010.5652926</t>
  </si>
  <si>
    <t>GeoVISTA Center &amp; Dept. of Geogr., Pennsylvania State Univ., University Park, PA|c|</t>
  </si>
  <si>
    <t>Interactive poster: Visual analytic techniques for CO&lt;inf&gt;2&lt;/inf&gt; emissions and concentrations in the United States</t>
  </si>
  <si>
    <t>http://dx.doi.org/10.1109/VAST.2008.4677372</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</si>
  <si>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</si>
  <si>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Daniela Oelke;David Spretke;Andreas Stoffel;Daniel A. Keim</t>
  </si>
  <si>
    <t>Understanding text corpora with multiple facets</t>
  </si>
  <si>
    <t>10.1109/VAST.2010.5652931</t>
  </si>
  <si>
    <t>Climate change has emerged as one of the grand global challenges facing humanity. The dominant anthropogenic greenhouse gas that seems to be contributing to the climate change problem, carbon dioxide (CO2), has a complex cycle through the atmosphere, oceans and biosphere. The combustion of fossil fuels (power production, transportation, etc.) remains the largest source of anthropogenic CO2 to the Earthpsilas atmosphere. Up until very recently, the quantification of fossil fuel CO2 was understood only at coarse space and time scales. A recent research effort has greatly improved this space/time quantification resulting in source data at a resolution of less than 10 km2/hr at the surface of North America. By providing visual tools to examine this new, high resolution CO2 data, we can better understand the way that CO2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CO2 emissions in the U.S.</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</si>
  <si>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</si>
  <si>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Lei Shi;Furu Wei;Shixia Liu;Li Tan;Xiaoxiao Lian;Michelle X. Zhou</t>
  </si>
  <si>
    <t>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China, 19 Zhongguancun Software Park, Beijing 100193, China;IBM Research - Almaden, 650 Harry Road San Jose, CA 95120, USA</t>
  </si>
  <si>
    <t>10.1109/VAST.2009.5333443;10.1109/VAST.2007.4389005;10.1109/TVCG.2008.172;10.1109/TVCG.2009.171;10.1109/TVCG.2008.166;10.1109/TVCG.2009.165;10.1109/INFVIS.2002.1173155;10.1109/INFVIS.1999.801866;10.1109/VAST.2007.4389006;10.1109/INFVIS.2005.1532122;10.1109/INFVIS.2000.885097</t>
  </si>
  <si>
    <t>text visualization, multi-facet data visualization</t>
  </si>
  <si>
    <t>http://dx.doi.org/10.1109/VAST.2008.4677373</t>
  </si>
  <si>
    <t>VizCept: Supporting synchronous collaboration for constructing visualizations in intelligence analysis</t>
  </si>
  <si>
    <t>10.1109/VAST.2010.5652932</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</si>
  <si>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</si>
  <si>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Haeyong Chung;Seungwon Yang;Naveed Massjouni;Christopher Andrews;Rahul Kanna;Chris North</t>
  </si>
  <si>
    <t>Department of Computer Science, Virginia Tech;Department of Computer Science, Virginia Tech;Department of Computer Science, Virginia Tech;Department of Computer Science, Virginia Tech;Department of Computer Science, Virginia Tech;Department of Computer Science, Virginia Tech</t>
  </si>
  <si>
    <t>10.1109/TVCG.2009.148;10.1109/VAST.2007.4389006;10.1109/VAST.2009.5333245;10.1109/VAST.2008.4677362;10.1109/TVCG.2007.70577;10.1109/VAST.2008.4677366</t>
  </si>
  <si>
    <t>Collaborative visualization, text and document data, intelligence analysis</t>
  </si>
  <si>
    <t>Two-stage framework for a topology-based projection and visualization of classified document collections</t>
  </si>
  <si>
    <t>10.1109/VAST.2010.5652940</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</si>
  <si>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</si>
  <si>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Patrick Oesterling;Gerik Scheuermann;Sven Teresniak;Gerhard Heyer;Steffen Koch;Thomas Ertl;Gunther H. Weber</t>
  </si>
  <si>
    <t>University of Leipzig;University of Leipzig;University of Leipzig;University of Leipzig;University of Stuttgart;University of Stuttgart;Lawrence Berkeley National Laboratory</t>
  </si>
  <si>
    <t>10.1109/VAST.2009.5333564;10.1109/TVCG.2007.70601;10.1109/VISUAL.1990.146402;10.1109/INFVIS.1995.528686;10.1109/VAST.2009.5332629;10.1109/TVCG.2009.119</t>
  </si>
  <si>
    <t>Visually representing geo-temporal differences</t>
  </si>
  <si>
    <t>10.1109/VAST.2010.5652951</t>
  </si>
  <si>
    <t>Sch. of Inf. Sci., Univ. of Pittsburgh, Pittsburgh, PA|c|;</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</si>
  <si>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</si>
  <si>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Orland Hoeber;Garnett Carl Wilson;Simon Harding;René Enguehard;Rodolphe Devillers</t>
  </si>
  <si>
    <t>Orland Hoeber;Garnett Wilson;Simon Harding;René Enguehard;Rodolphe Devillers</t>
  </si>
  <si>
    <t>Department of Computer Science, Memorial University;Department of Computer Science, Memorial University;Department of Computer Science, Memorial University;Department of Geography, Memorial University;Department of Geography, Memorial University</t>
  </si>
  <si>
    <t>http://dx.doi.org/10.1109/VAST.2008.4677374</t>
  </si>
  <si>
    <t>A continuous analysis process between desktop and collaborative visual analytics environments</t>
  </si>
  <si>
    <t>10.1109/VAST.2010.5652958</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</si>
  <si>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</si>
  <si>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Dong Hyun Jeong;Evan A. Suma;Thomas Butkiewicz;William Ribarsky;Remco Chang</t>
  </si>
  <si>
    <t>Dong Hyun Jeong;Evan Suma;Thomas Butkiewicz;William Ribarsky;Remco Chang</t>
  </si>
  <si>
    <t>Univ. of the District of Columbia;Univ. of Southern California;Univ. of North Carolina at Charlotte;Univ. of North Carolina at Charlotte;Tufts University</t>
  </si>
  <si>
    <t>EmailTime: Visual analytics of emails</t>
  </si>
  <si>
    <t>10.1109/VAST.2010.5652968</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</si>
  <si>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</si>
  <si>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Minoo Erfani Joorabchi;Ji-Dong Yim;Chris Shaw 0002</t>
  </si>
  <si>
    <t>Minoo Erfani Joorabchi;Ji-Dong Yim;Christopher D. Shaw</t>
  </si>
  <si>
    <t>Simon Fraser University;Simon Fraser University;Simon Fraser University</t>
  </si>
  <si>
    <t>Email, Enron, EmailTime, Email Correspondents, Visual Analysis</t>
  </si>
  <si>
    <t>Poster: Dynamic time transformation for interpreting clusters of trajectories with space-time cube</t>
  </si>
  <si>
    <t>Dept. of Inf. &amp; Knowledge Eng. (ike), Danube Univ. Krems, Krems|c|</t>
  </si>
  <si>
    <t>10.1109/VAST.2010.5653580</t>
  </si>
  <si>
    <t>http://dx.doi.org/10.1109/VAST.2008.4677375</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</si>
  <si>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</si>
  <si>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University of Bonn and Fraunhofer Institute IAIS;University of Bonn and Fraunhofer Institute IAIS</t>
  </si>
  <si>
    <t>Towards the Personal Equation of Interaction: The impact of personality factors on visual analytics interface interaction</t>
  </si>
  <si>
    <t>10.1109/VAST.2010.5653587</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</si>
  <si>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</si>
  <si>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Tera Marie Green;Brian D. Fisher</t>
  </si>
  <si>
    <t>Tear Marie Green;Brian Fisher</t>
  </si>
  <si>
    <t>School of Interactive Arts &amp;#x002B; Technology Simon Fraser University;School of Interactive Arts &amp;#x002B; Technology Simon Fraser University</t>
  </si>
  <si>
    <t>Helping users recall their reasoning process</t>
  </si>
  <si>
    <t>10.1109/VAST.2010.5653598</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</si>
  <si>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</si>
  <si>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Heather Lipford;Felesia Stukes;Wenwen Dou;Matthew E. Hawkins;Remco Chang</t>
  </si>
  <si>
    <t>Milton Eisenhower Res. Center, Johns Hopkins Univ. Appl. Phys. Lab., Laurel, MD|c|;;;</t>
  </si>
  <si>
    <t>Heather Richter Lipford;Felesia Stukes;Wenwen Dou;Matthew E. Hawkins;Remco Chang</t>
  </si>
  <si>
    <t>University of North Carolina at Charlotte;University of North Carolina at Charlotte;University of North Carolina at Charlotte;University of North Carolina at Charlotte;University of North Carolina at Charlotte</t>
  </si>
  <si>
    <t>10.1109/TVCG.2008.137;10.1109/VAST.2007.4388992;10.1109/VAST.2008.4677365;10.1109/VAST.2008.4677360;10.1109/VAST.2007.4389009</t>
  </si>
  <si>
    <t xml:space="preserve">Visual analytics, visualization, reasoning process </t>
  </si>
  <si>
    <t>http://dx.doi.org/10.1109/VAST.2008.4677376</t>
  </si>
  <si>
    <t>Comparing different levels of interaction constraints for deriving visual problem isomorphs</t>
  </si>
  <si>
    <t>10.1109/VAST.2010.5653599</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</si>
  <si>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</si>
  <si>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Wenwen Dou;Caroline Ziemkiewicz;Lane Harrison;Dong Hyun Jeong;Roxanne Ryan;William Ribarsky;Xiaoyu Wang;Remco Chang</t>
  </si>
  <si>
    <t>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Charlotte;University of North Carolina at Charlotte</t>
  </si>
  <si>
    <t>10.1109/TVCG.2007.70515;10.1109/TVCG.2008.121</t>
  </si>
  <si>
    <t>Interaction, Visual Isomorph, Problem Solving</t>
  </si>
  <si>
    <t>Data representation and exploration with Geometric Wavelets</t>
  </si>
  <si>
    <t>10.1109/VAST.2010.5653822</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</si>
  <si>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</si>
  <si>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Eric E. Monson;Guangliang Chen;Rachel Brady;Mauro Maggioni</t>
  </si>
  <si>
    <t>Eric E. Monson;Guangliang Chen;Rachael Brady;Mauro Maggioni</t>
  </si>
  <si>
    <t>Duke Visualization Technology Group;Duke Mathematics;Duke Visualization Technology Group;Duke Mathematics and, Computer Science</t>
  </si>
  <si>
    <t>Combining statistical independence testing, visual attribute selection and automated analysis to find relevant attributes for classification</t>
  </si>
  <si>
    <t>10.1109/VAST.2010.5654445</t>
  </si>
  <si>
    <t>Kent State Univ., Kent, OH|c|;;</t>
  </si>
  <si>
    <t>http://dx.doi.org/10.1109/VAST.2008.4677377</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</si>
  <si>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</si>
  <si>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Thorsten May;James Davey;Jörn Kohlhammer</t>
  </si>
  <si>
    <t>Fraunhofer Institute for Computer Graphics Research;Fraunhofer Institute for Computer Graphics Research;Fraunhofer Institute for, Computer Graphics, Research</t>
  </si>
  <si>
    <t>Visual tools for dynamic analysis of complex situations</t>
  </si>
  <si>
    <t>10.1109/VAST.2010.5654451</t>
  </si>
  <si>
    <t>This paper presents an interactive interface synchronized with a simulation framework for exploring complex scenarios. This interface exploits visual analysis for facilitating the understanding of complex situation by human users.</t>
  </si>
  <si>
    <t>Marielle Mokhtari;Eric Boivin;Denis Laurendeau;Maxime Girardin</t>
  </si>
  <si>
    <t>System of Systems Section, Defence R&amp;amp;D Canada Quebec (QC), Canada;System of Systems Section, Defence R&amp;amp;D Canada Quebec (QC), Canada;Computer Vision and Systems Laboratory Dept. of ECE, Laval University, Quebec (QC), Canada;Computer Vision and Systems Laboratory Dept. of ECE, Laval University, Quebec (QC), Canada</t>
  </si>
  <si>
    <t>Information visualization, 2D1/2 animation, line &amp; surface graph animation, interaction, synchronization</t>
  </si>
  <si>
    <t>A Curved Ray Camera for Handling Occlusions through Continuous Multiperspective Visualization</t>
  </si>
  <si>
    <t>10.1109/TVCG.2010.127</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</si>
  <si>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C&amp;lt;sup&amp;gt;1&amp;lt;/sup&amp;gt;-continuous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</si>
  <si>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Jian Cui;Paul Rosen;Voicu Popescu;Christoph M. Hoffmann</t>
  </si>
  <si>
    <t>Jian Cui;Paul Rosen;Voicu Popescu;Christoph Hoffmann</t>
  </si>
  <si>
    <t>Purdue University;University of Utah;Purdue University;Purdue University</t>
  </si>
  <si>
    <t>10.1109/TVCG.2008.124;10.1109/VISUAL.2004.50;10.1109/TVCG.2006.140;10.1109/TVCG.2006.167;10.1109/INFVIS.2003.1249008;10.1109/TVCG.2006.124</t>
  </si>
  <si>
    <t>Alleviating occlusions, camera model, curved rays, multiperspective visualization, interactive visualization</t>
  </si>
  <si>
    <t>A Scalable Distributed Paradigm for Multi-User Interaction with Tiled Rear Projection Display Walls</t>
  </si>
  <si>
    <t>Web Res. Group, Univ. Pompeu Fabra &amp; Fundacio Barcelona Media, Barcelona|c|</t>
  </si>
  <si>
    <t>10.1109/TVCG.2010.128</t>
  </si>
  <si>
    <t>http://dx.doi.org/10.1109/VAST.2008.4677378</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</si>
  <si>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</si>
  <si>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Pablo Roman;Maxim Lazarov;Aditi Majumder</t>
  </si>
  <si>
    <t>University of California Irvine UCI;University of California Irvine UCI;University of California Irvine UCI</t>
  </si>
  <si>
    <t>10.1109/TVCG.2006.121;10.1109/TVCG.2007.70586;10.1109/VISUAL.2002.1183793;10.1109/TVCG.2009.124</t>
  </si>
  <si>
    <t>Tiled Displays, Human-Computer Interaction, Gesture-Based Interaction, Multi-user interaction, Distributed algorithms</t>
  </si>
  <si>
    <t>An Information-Theoretic Framework for Flow Visualization</t>
  </si>
  <si>
    <t>10.1109/TVCG.2010.131</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</si>
  <si>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</si>
  <si>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Lijie Xu;Teng-Yok Lee;Han-Wei Shen</t>
  </si>
  <si>
    <t>The Ohio State University;The Ohio State University;The Ohio State University</t>
  </si>
  <si>
    <t>10.1109/TVCG.2008.119;10.1109/TVCG.2007.70595;10.1109/TVCG.2007.70615;10.1109/TVCG.2006.152;10.1109/TVCG.2006.116;10.1109/VISUAL.2005.1532832;10.1109/VISUAL.2005.1532831;10.1109/TVCG.2008.140;10.1109/VISUAL.2000.885690;10.1109/VISUAL.2005.1532833;10.1109/TVCG.2007.70579;10.1109/VISUAL.2002.1183785</t>
  </si>
  <si>
    <t>Flow field visualization, information theory, streamline generation</t>
  </si>
  <si>
    <t>An Information-theoretic Framework for Visualization</t>
  </si>
  <si>
    <t>10.1109/TVCG.2010.132</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</si>
  <si>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</si>
  <si>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Eindhoven Univ. of Technol., Eindhoven|c|;</t>
  </si>
  <si>
    <t>Min Chen;Heike Leitte</t>
  </si>
  <si>
    <t>Min Chen;Heike Jaenicke</t>
  </si>
  <si>
    <t>Swansea University;Ruprecht-Karls-University Heidelberg</t>
  </si>
  <si>
    <t>10.1109/TVCG.2007.70615;10.1109/VISUAL.2005.1532781;10.1109/TVCG.2006.152;10.1109/INFVIS.1996.559213;10.1109/VISUAL.2005.1532834;10.1109/INFVIS.2000.885096;10.1109/TVCG.2007.70515;10.1109/TVCG.2006.159;10.1109/INFVIS.2004.59;10.1109/TVCG.2007.70535;10.1109/TVCG.2008.140;10.1109/TVCG.2008.121;10.1109/INFVIS.1997.636792;10.1109/VISUAL.2005.1532833;10.1109/INFVIS.2000.885092;10.1109/VISUAL.1990.146375;10.1109/VISUAL.2002.1183785</t>
  </si>
  <si>
    <t>Information theory, theory of visualization, quantitative evaluation</t>
  </si>
  <si>
    <t>http://dx.doi.org/10.1109/VAST.2008.4677379</t>
  </si>
  <si>
    <t>Analysis of Recurrent Patterns in Toroidal Magnetic fields</t>
  </si>
  <si>
    <t>10.1109/TVCG.2010.133</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</si>
  <si>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Poincaré map of the sampled fieldlines in a Poincaré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</si>
  <si>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Allen R. Sanderson;Guoning Chen;Xavier Tricoche;David Pugmire;Scott Kruger;Joshua A. Breslau</t>
  </si>
  <si>
    <t>Allen Sanderson;Guoning Chen;Xavier Tricoche;David Pugmire;Scott Kruger;Joshua Breslau</t>
  </si>
  <si>
    <t>SCI Institute, University of Utah;SCI Institute, University of Utah;Purdue University;Oak Ridge National Laboratory;Tech-X Corporation;Princeton Plasma Physics Laboratory</t>
  </si>
  <si>
    <t>10.1109/VISUAL.2005.1532842;10.1109/VISUAL.2001.964507;10.1109/VISUAL.2003.1250376;10.1109/VISUAL.1997.663858</t>
  </si>
  <si>
    <t>Confined magnetic fusion, magnetic field visualization, Poincare map, periodic magnetic fieldlines, recurrent patterns</t>
  </si>
  <si>
    <t>Articulated Planar Reformation for Change Visualization in Small Animal Imaging</t>
  </si>
  <si>
    <t>10.1109/TVCG.2010.134</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</si>
  <si>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</si>
  <si>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Peter Kok;Martin Baiker;Emile A. Hendriks;Frits H. Post;Jouke Dijkstra;Clemens W. G. M. Löwik;Boudewijn P. F. Lelieveldt;Charl P. Botha</t>
  </si>
  <si>
    <t>Peter Kok;Martin Baiker;Emile A. Hendriks;Frits H. Post;Jouke Dijkstra;Clemens W.G.M. Lowik;Boudewijn P.F. Lelieveldt;Charl P. Botha</t>
  </si>
  <si>
    <t>10.1109/TVCG.2009.169;10.1109/VISUAL.2002.1183754;10.1109/VISUAL.2003.1250400;10.1109/TVCG.2006.140;10.1109/TVCG.2008.143</t>
  </si>
  <si>
    <t>Small animal imaging, comparative visualization, multi-timepoint, molecular imaging, articulated planar reformation</t>
  </si>
  <si>
    <t>Browsing Large Image Datasets through Voronoi Diagrams</t>
  </si>
  <si>
    <t>10.1109/TVCG.2010.136</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</si>
  <si>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</si>
  <si>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Paolo Brivio;Marco Tarini;Paolo Cignoni</t>
  </si>
  <si>
    <t>Visualization System and Toolkit Design, Scalability Issues, User Interfaces, Zooming and Navigation Techniques</t>
  </si>
  <si>
    <t>Computing Robustness and Persistence for Images</t>
  </si>
  <si>
    <t>10.1109/TVCG.2010.139</t>
  </si>
  <si>
    <t>Visualization Center, Univ. of North Carolina at Charlotte, Charlotte, NC|c|;;;</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</si>
  <si>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R&amp;lt;sup&amp;gt;3&amp;lt;/sup&amp;gt; and can thus be used to construct level and interlevel sets. We apply these tools to study 3-dimensional images of plant root systems.</t>
  </si>
  <si>
    <t>http://dx.doi.org/10.1109/VAST.2008.4677380</t>
  </si>
  <si>
    <t>Paul Bendich;Herbert Edelsbrunner;Michael Kerber</t>
  </si>
  <si>
    <t>Voxel arrays, oct-trees, persistent homology, persistence diagrams, level sets, robustness, approximations, plant roots</t>
  </si>
  <si>
    <t>Direct Interval Volume Visualization</t>
  </si>
  <si>
    <t>10.1109/TVCG.2010.145</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</si>
  <si>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</si>
  <si>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Marco Ament;Daniel Weiskopf;Hamish A. Carr</t>
  </si>
  <si>
    <t>Marco Ament;Daniel Weiskopf;Hamish Carr</t>
  </si>
  <si>
    <t>VISUS;VISUS;University of Leeds</t>
  </si>
  <si>
    <t>10.1109/VISUAL.1998.745713;10.1109/VISUAL.1997.663886;10.1109/VISUAL.2004.85;10.1109/VISUAL.1995.480789;10.1109/VISUAL.2002.1183762;10.1109/TVCG.2009.149;10.1109/TVCG.2006.113;10.1109/TVCG.2008.186;10.1109/VISUAL.2000.885683;10.1109/VISUAL.2005.1532808;10.1109/TVCG.2008.160;10.1109/VISUAL.2003.1250384;10.1109/TVCG.2009.204;10.1109/VISUAL.1995.480807</t>
  </si>
  <si>
    <t>Direct volume rendering, interval volume, isosurface, ray casting, preintegration, scale-invariant opacity</t>
  </si>
  <si>
    <t>Discontinuities in Continuous Scatterplots</t>
  </si>
  <si>
    <t>10.1109/TVCG.2010.146</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</si>
  <si>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&amp;amp;amp; brushing interaction. Finally, we apply our approaches to a number of synthetic as well as real data sets.</t>
  </si>
  <si>
    <t>Visualization &amp; Interactive Syst. Inst., Univ. of Stuttgart, Stuttgart|c|;;</t>
  </si>
  <si>
    <t>Dirk J. Lehmann;Holger Theisel</t>
  </si>
  <si>
    <t>University of Magdeburg;University of Magdeburg</t>
  </si>
  <si>
    <t>10.1109/TVCG.2006.168;10.1109/TVCG.2008.119;10.1109/VISUAL.1999.809896;10.1109/VISUAL.2005.1532851;10.1109/TVCG.2009.131</t>
  </si>
  <si>
    <t>Discontinuity, Scatterplot, Topology, Data Visualization</t>
  </si>
  <si>
    <t>http://dx.doi.org/10.1109/VAST.2008.4677381</t>
  </si>
  <si>
    <t>Edge Aware Anisotropic Diffusion for 3D Scalar Data</t>
  </si>
  <si>
    <t>10.1109/TVCG.2010.147</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</si>
  <si>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</si>
  <si>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Zahid Hossain 0001;Torsten Möller</t>
  </si>
  <si>
    <t>Zahid Hosssain;Torsten Moller</t>
  </si>
  <si>
    <t>Simon Fraser University;Simon Fraser University</t>
  </si>
  <si>
    <t>10.1109/VISUAL.2002.1183766;10.1109/VISUAL.2003.1250414;10.1109/VISUAL.2004.96;10.1109/VISUAL.2001.964516</t>
  </si>
  <si>
    <t>Anisotropic diffusion, PDE, De-noising, Scale-Space, Principal Curvatures</t>
  </si>
  <si>
    <t>Efficient High-Quality Volume Rendering of SPH Data</t>
  </si>
  <si>
    <t>10.1109/TVCG.2010.148</t>
  </si>
  <si>
    <t>Florian J�_rgen Gerhardt;Joerg Meyer</t>
  </si>
  <si>
    <t>Tech. Univ. of Kaiserslautern, Kaiserslautern|c|;</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</si>
  <si>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</si>
  <si>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Roland Fraedrich;Stefan Auer;Rüdiger Westermann</t>
  </si>
  <si>
    <t>http://dx.doi.org/10.1109/VAST.2008.4677383</t>
  </si>
  <si>
    <t>Roland Fraedrich;Stefan Auer;Rudiger Westermann</t>
  </si>
  <si>
    <t>10.1109/VISUAL.2003.1250404;10.1109/TVCG.2008.164;10.1109/VISUAL.1992.235223;10.1109/VISUAL.2003.1250404;10.1109/VISUAL.2003.1250384;10.1109/TVCG.2007.70526;10.1109/TVCG.2009.142;10.1109/TVCG.2007.70600;10.1109/VISUAL.2004.55</t>
  </si>
  <si>
    <t>Particle visualization, volume rendering, ray-casting, GPU resampling</t>
  </si>
  <si>
    <t>Exploded View Diagrams of Mathematical Surfaces</t>
  </si>
  <si>
    <t>10.1109/TVCG.2010.151</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</si>
  <si>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</si>
  <si>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Olga A. Karpenko;Wilmot Li;Niloy J. Mitra;Maneesh Agrawala</t>
  </si>
  <si>
    <t>Olga Karpenko;Wilmot Li;Niloy Mitra;Maneesh Agrawala</t>
  </si>
  <si>
    <t>UC Berkeley;Adobe Systems;KAUST / IIT Delhi;UC Berkeley</t>
  </si>
  <si>
    <t>10.1109/TVCG.2006.140;10.1109/VISUAL.2003.1250400;10.1109/VISUAL.2005.1532856</t>
  </si>
  <si>
    <t>Exploded view diagrams, mathematical visualization, symmetry</t>
  </si>
  <si>
    <t>Exploration and Visualization of Segmentation Uncertainty using Shape and Appearance Prior Information</t>
  </si>
  <si>
    <t>10.1109/TVCG.2010.152</t>
  </si>
  <si>
    <t>http://dx.doi.org/10.1109/VAST.2008.4677384</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</si>
  <si>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</si>
  <si>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Ahmed Saad;Ghassan Hamarneh;Torsten Möller</t>
  </si>
  <si>
    <t>Ahmed Saad;Ghassan Hamarneh;Torsten Moller</t>
  </si>
  <si>
    <t>10.1109/TVCG.2009.189;10.1109/VISUAL.2005.1532807;10.1109/VISUAL.2003.1250414;10.1109/TVCG.2007.70518</t>
  </si>
  <si>
    <t>Uncertainty visualization, Medical imaging, Probabilistic segmentation</t>
  </si>
  <si>
    <t>Exploration of 4D MRI Blood Flow using Stylistic Visualization</t>
  </si>
  <si>
    <t>10.1109/TVCG.2010.153</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</si>
  <si>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</si>
  <si>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Roy van Pelt;Javier Oliván Bescós;Marcel Breeuwer;Rachel E. Clough;M. Eduard Gröller;Bart M. ter Haar Romeny;Anna Vilanova</t>
  </si>
  <si>
    <t>Roy van Pelt;Javier Olivan Bescos;Marcel Breeuwer;Rachel E. Clough;M. Eduard Groller;Bart ter Haar Romenij;Anna Vilanova</t>
  </si>
  <si>
    <t>Eindhoven University of Technology;Philips Healthcare;Philips Healthcare;King's College London; Guy's and St Thomas' NHS foundation;Vienna University of Technology;Eindhoven University of Technology;Eindhoven University of Technology</t>
  </si>
  <si>
    <t>10.1109/TVCG.2006.140;10.1109/TVCG.2009.138</t>
  </si>
  <si>
    <t>4D MRI blood-flow, Probing, Flow visualization, Illustrative visualization, Phase-contrast cine MRI</t>
  </si>
  <si>
    <t>Fast High-Quality Volume Ray Casting with Virtual Samplings</t>
  </si>
  <si>
    <t>10.1109/TVCG.2010.155</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</si>
  <si>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</si>
  <si>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http://dx.doi.org/10.1109/VAST.2008.4677385</t>
  </si>
  <si>
    <t>Byeonghun Lee;Jihye Yun;Jinwook Seo;Byonghyo Shim;Yeong-Gil Shin;Bo Hyoung Kim</t>
  </si>
  <si>
    <t>Byeonghun Lee;Jihye Yun;Jinwook Seo;Byonghyo Shim;Yeong-Gil Shin;Bohyoung Kim</t>
  </si>
  <si>
    <t>Seoul National University, Seoul, Korea;Seoul National University, Seoul, Korea;Seoul National University, Seoul, Korea;Korea University, Seoul, Korea;Seoul National University, Seoul, Korea;Seoul National University, Seoul, Korea</t>
  </si>
  <si>
    <t>10.1109/VISUAL.1994.346331;10.1109/VISUAL.2004.70;10.1109/VISUAL.2005.1532810;10.1109/TVCG.2009.204;10.1109/VISUAL.2003.1250384</t>
  </si>
  <si>
    <t>Direct volume rendering, GPU, high quality, curve interpolation</t>
  </si>
  <si>
    <t>Fast; Memory-Efficient Cell Location in Unstructured Grids for Visualization</t>
  </si>
  <si>
    <t>10.1109/TVCG.2010.156</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</si>
  <si>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</si>
  <si>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Christoph Garth;Kenneth I. Joy</t>
  </si>
  <si>
    <t>10.1109/TVCG.2008.163;10.1109/TVCG.2008.133;10.1109/VISUAL.2005.1532795;10.1109/TVCG.2009.154</t>
  </si>
  <si>
    <t>Unstructured grids, cell location, interpolation, vector field visualization</t>
  </si>
  <si>
    <t>FI3D: Direct-Touch Interaction for the Exploration of 3D Scientific Visualization Spaces</t>
  </si>
  <si>
    <t>10.1109/TVCG.2010.157</t>
  </si>
  <si>
    <t>http://dx.doi.org/10.1109/VAST.2008.4677386</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</si>
  <si>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</si>
  <si>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Lingyun Yu;Pjotr Svetachov;Petra Isenberg;Maarten H. Everts;Tobias Isenberg 0001</t>
  </si>
  <si>
    <t>Lingyun Yu;Pjotr Svetachov;Petra Isenberg;Maarten H. Everts;Tobias Isenberg</t>
  </si>
  <si>
    <t>University of Groningen;University of Groningen;INRIA;University of Groningen;University of Groningen</t>
  </si>
  <si>
    <t>10.1109/VISUAL.2005.1532778;10.1109/TVCG.2007.70515;10.1109/VISUAL.2004.30</t>
  </si>
  <si>
    <t>Direct-touch interaction, wall displays, 3D navigation and exploration, evaluation, illustrative visualization</t>
  </si>
  <si>
    <t>Gradient Estimation Revitalized</t>
  </si>
  <si>
    <t>10.1109/TVCG.2010.160</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</si>
  <si>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</si>
  <si>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Usman R. Alim;Torsten Möller;Laurent Condat</t>
  </si>
  <si>
    <t>Usman Alim;Torsten Moller;Laurent Condat</t>
  </si>
  <si>
    <t>Simon Fraser University,Burnaby, BC, Canada;Simon Fraser University, Burnaby, BC, Canada;GREYC, A joint CNRS-UCBN-ENSICAEN Research Unit, Cedex,France</t>
  </si>
  <si>
    <t>http://dx.doi.org/10.1109/VAST.2008.4677387</t>
  </si>
  <si>
    <t>10.1109/VISUAL.2001.964498;10.1109/VISUAL.1994.346331;10.1109/VISUAL.1997.663848;10.1109/VISUAL.2004.65</t>
  </si>
  <si>
    <t>Derivative, Gradient, Reconstruction, Sampling, Lattice, Interpolation, Approximation, Frequency Error Kernel</t>
  </si>
  <si>
    <t>Illustrative Stream Surfaces</t>
  </si>
  <si>
    <t>10.1109/TVCG.2010.166</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</si>
  <si>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</si>
  <si>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Silvia Born;Alexander Wiebel;Jan Friedrich;Gerik Scheuermann;Dirk Bartz</t>
  </si>
  <si>
    <t>Universität Leipzig;Max Planck Institute for Human Cognitive and Brain Sciences;Universität Leipzig;Universität Leipzig;Universität Leipzig</t>
  </si>
  <si>
    <t>10.1109/VISUAL.1990.146395;10.1109/TVCG.2009.190;10.1109/TVCG.2007.70565;10.1109/VISUAL.2005.1532857;10.1109/VISUAL.1999.809905;10.1109/TVCG.2008.133;10.1109/TVCG.2009.138;10.1109/VISUAL.2001.964506;10.1109/VISUAL.2005.1532858;10.1109/VISUAL.2005.1532855;10.1109/TVCG.2008.170;10.1109/VISUAL.2004.113;10.1109/VISUAL.2003.1250376</t>
  </si>
  <si>
    <t>Flow visualization, Stream surfaces, Illustrative rendering, Silhouettes, GPU technique, 3D vector field data</t>
  </si>
  <si>
    <t>Dept. of Telecommun., Univ. of Zagreb, Zagreb|c|;;;;;;</t>
  </si>
  <si>
    <t>http://dx.doi.org/10.1109/VAST.2008.4677388</t>
  </si>
  <si>
    <t>http://dx.doi.org/10.1109/VAST.2008.4677389</t>
  </si>
  <si>
    <t>Beijing Key Lab. of Intell. Telecommun. Software &amp; Multimedia, Beijing Univ. of Posts &amp; Telecommun., Beijing|c|;;;;;</t>
  </si>
  <si>
    <t>http://dx.doi.org/10.1109/VAST.2008.4677390</t>
  </si>
  <si>
    <t>Univ. of Bari, Bari|c|;</t>
  </si>
  <si>
    <t>http://dx.doi.org/10.1109/VAST.2008.4677391</t>
  </si>
  <si>
    <t>Visualization &amp; Interface Design Innovation Group, Univ. of California, Davis, CA|c|;;;;;;</t>
  </si>
  <si>
    <t>http://dx.doi.org/10.1109/VAST.2008.4677392</t>
  </si>
  <si>
    <t>Dept. of Comput. Sci., Univ. of Maryland, College Park, MD|c|</t>
  </si>
  <si>
    <t>http://dx.doi.org/10.1109/VAST.2008.4677393</t>
  </si>
  <si>
    <t>Univ. Coll. Dublin, Dublin|c|;</t>
  </si>
  <si>
    <t>http://dx.doi.org/10.1109/VAST.2008.4677394</t>
  </si>
  <si>
    <t>http://dx.doi.org/10.1109/VAST.2008.4677395</t>
  </si>
  <si>
    <t>Southern Illinois Univ. Edwardsville, Edwardsville, IL|c|;</t>
  </si>
  <si>
    <t>http://dx.doi.org/10.1109/VAST.2008.4677396</t>
  </si>
  <si>
    <t>http://dx.doi.org/10.1109/TVCG.2009.108</t>
  </si>
  <si>
    <t>IBM-ILOG Res., Gentilly, France|c|;</t>
  </si>
  <si>
    <t>http://dx.doi.org/10.1109/TVCG.2009.109</t>
  </si>
  <si>
    <t>http://dx.doi.org/10.1109/TVCG.2009.110</t>
  </si>
  <si>
    <t>http://dx.doi.org/10.1109/TVCG.2009.111</t>
  </si>
  <si>
    <t>Univ. of British Columbia, Vancouver, BC, Canada|c|</t>
  </si>
  <si>
    <t>http://dx.doi.org/10.1109/TVCG.2009.112</t>
  </si>
  <si>
    <t>State Key Lab. of CAD &amp; CG, Zhejiang Univ., Hangzhou, China|c|;;;;;;;;;</t>
  </si>
  <si>
    <t>http://dx.doi.org/10.1109/TVCG.2009.113</t>
  </si>
  <si>
    <t>UFRGS, Porto Alegre, Brazil|c|;;</t>
  </si>
  <si>
    <t>http://dx.doi.org/10.1109/TVCG.2009.114</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</si>
  <si>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 - n. In addition, the framework developed in this user study presents a structured approach to evaluate uncertainty visualization techniques, as well as provides a basis for future research in uncertainty visualization.</t>
  </si>
  <si>
    <t>Geosystems Res. Inst., Mississippi State Univ., Starkville, MS, USA|c|;;;;</t>
  </si>
  <si>
    <t>http://dx.doi.org/10.1109/TVCG.2009.115</t>
  </si>
  <si>
    <t>Laura Fritz;Markus Hadwiger;Georg Geier;Gerhard Pittino;M. Eduard Gr̦ller</t>
  </si>
  <si>
    <t>http://dx.doi.org/10.1109/TVCG.2009.116</t>
  </si>
  <si>
    <t>Cydney B. Nielsen;Shaun D. Jackman;Inan̤ Birol;Steven J. M. Jones</t>
  </si>
  <si>
    <t>Genome Sci. Centre, BC Cancer Agency, Vancouver, BC, Canada|c|;;;</t>
  </si>
  <si>
    <t>http://dx.doi.org/10.1109/TVCG.2009.117</t>
  </si>
  <si>
    <t>Linkoping Univ., Linkoping, Sweden|c|;;</t>
  </si>
  <si>
    <t>http://dx.doi.org/10.1109/TVCG.2009.118</t>
  </si>
  <si>
    <t>Sci. &amp; Imaging Inst., Univ. of Utah, Salt Lake City, UT, USA|c|;;;</t>
  </si>
  <si>
    <t>http://dx.doi.org/10.1109/TVCG.2009.119</t>
  </si>
  <si>
    <t>Univ. of Tokyo, Tokyo, Japan|c|;;</t>
  </si>
  <si>
    <t>http://dx.doi.org/10.1109/TVCG.2009.120</t>
  </si>
  <si>
    <t>Sch. of Inf. Technol., Univ. of Sydney, Sydney, NSW, Australia|c|;</t>
  </si>
  <si>
    <t>http://dx.doi.org/10.1109/TVCG.2009.121</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</si>
  <si>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</si>
  <si>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Stefan Bruckner;Veronika Solt̩szov��;M. Eduard Gr̦ller;Jir�_ Hladuvka;Katja B�_hler;Jai Y. Yu;Barry J. Dickson</t>
  </si>
  <si>
    <t>Inst. of Comput. Graphics &amp; Algorithms, Vienna Univ. of Technol., Vienna, Austria|c|;;;;;;</t>
  </si>
  <si>
    <t>http://dx.doi.org/10.1109/TVCG.2009.122</t>
  </si>
  <si>
    <t>Univ. of Toronto, Toronto, ON, Canada|c|;;</t>
  </si>
  <si>
    <t>http://dx.doi.org/10.1109/TVCG.2009.123</t>
  </si>
  <si>
    <t>VIDI Lab., Univ. of California, Davis, CA, USA|c|;</t>
  </si>
  <si>
    <t>http://dx.doi.org/10.1109/TVCG.2009.124</t>
  </si>
  <si>
    <t>Comput. Sci. Dept., Univ. of California, Irvine, CA, USA|c|;;;</t>
  </si>
  <si>
    <t>http://dx.doi.org/10.1109/TVCG.2009.125</t>
  </si>
  <si>
    <t>��agatay Demiralp;John F. Hughes;David H. Laidlaw</t>
  </si>
  <si>
    <t>Brown Univ., Providence, RI, USA|c|;;</t>
  </si>
  <si>
    <t>http://dx.doi.org/10.1109/TVCG.2009.126</t>
  </si>
  <si>
    <t>Comput. Sci. Dept., Brown Univ., RI, USA|c|;;</t>
  </si>
  <si>
    <t>http://dx.doi.org/10.1109/TVCG.2009.127</t>
  </si>
  <si>
    <t>Univ. of Victoria, Victoria, BC, Canada|c|;;</t>
  </si>
  <si>
    <t>http://dx.doi.org/10.1109/TVCG.2009.128</t>
  </si>
  <si>
    <t>Dept. of Inf. Sci., City Univ. London, London, UK|c|;;</t>
  </si>
  <si>
    <t>http://dx.doi.org/10.1109/TVCG.2009.129</t>
  </si>
  <si>
    <t>Center for Spatial Anal., Univ. of Oklahoma, Norman, OK, USA|c|</t>
  </si>
  <si>
    <t>http://dx.doi.org/10.1109/TVCG.2009.130</t>
  </si>
  <si>
    <t>Dept. of Geogr., Pennsylvania State Univ., University Park, PA, USA|c|;;</t>
  </si>
  <si>
    <t>http://dx.doi.org/10.1109/TVCG.2009.131</t>
  </si>
  <si>
    <t>VISUS (Visualization Res. Center), Univ. Stuttgart, Stuttgart, Germany|c|;</t>
  </si>
  <si>
    <t>http://dx.doi.org/10.1109/TVCG.2009.136</t>
  </si>
  <si>
    <t>CMR AS, Univ. of Bergen, Bergen, Norway|c|;;;</t>
  </si>
  <si>
    <t>http://dx.doi.org/10.1109/TVCG.2009.137</t>
  </si>
  <si>
    <t>ORNL Sci. Comput. Group, Univ. of Tennessee, Knoxville, TN, USA|c|;</t>
  </si>
  <si>
    <t>http://dx.doi.org/10.1109/TVCG.2009.138</t>
  </si>
  <si>
    <t>Univ. of Groningen, Groningen, Netherlands|c|;;;</t>
  </si>
  <si>
    <t>http://dx.doi.org/10.1109/TVCG.2009.139</t>
  </si>
  <si>
    <t>Univ. of Konstanz, Konstanz, Germany|c|;;;;;</t>
  </si>
  <si>
    <t>http://dx.doi.org/10.1109/TVCG.2009.140</t>
  </si>
  <si>
    <t>Dept. of Comput. Sci., Wayne State Univ., Detroit, MI, USA|c|;;;</t>
  </si>
  <si>
    <t>http://dx.doi.org/10.1109/TVCG.2009.141</t>
  </si>
  <si>
    <t>Radu Jianu;��agatay Demiralp;David H. Laidlaw</t>
  </si>
  <si>
    <t>http://dx.doi.org/10.1109/TVCG.2009.142</t>
  </si>
  <si>
    <t>Roland Fraedrich;Jens Schneider;R�_diger Westermann</t>
  </si>
  <si>
    <t>Comput. Graphics &amp; Visualization Group, Tech. Univ. Munchen, Munich, Germany|c|;;</t>
  </si>
  <si>
    <t>http://dx.doi.org/10.1109/TVCG.2009.143</t>
  </si>
  <si>
    <t>Dept. of Geogr., Univ. of South Carolina, Columbia, SC, USA|c|</t>
  </si>
  <si>
    <t>http://dx.doi.org/10.1109/TVCG.2009.144</t>
  </si>
  <si>
    <t>Hong Kong Univ. of Sci. &amp; Technol., Hong Kong, China|c|;;;;</t>
  </si>
  <si>
    <t>http://dx.doi.org/10.1109/TVCG.2009.145</t>
  </si>
  <si>
    <t>Christophe Hurter;Benjamin Tissoires;St̩phane Conversy</t>
  </si>
  <si>
    <t>DSNA, DTI R&amp;D, ENAC, Toulouse, France|c|;;</t>
  </si>
  <si>
    <t>http://dx.doi.org/10.1109/TVCG.2009.146</t>
  </si>
  <si>
    <t>Seoul Nat. Univ., Seoul, South Korea|c|;;;;</t>
  </si>
  <si>
    <t>http://dx.doi.org/10.1109/TVCG.2009.147</t>
  </si>
  <si>
    <t>Chinese Univ. of Hong Kong, Hong Kong, China|c|;;;</t>
  </si>
  <si>
    <t>http://dx.doi.org/10.1109/TVCG.2009.148</t>
  </si>
  <si>
    <t>IBM Research|c|</t>
  </si>
  <si>
    <t>http://dx.doi.org/10.1109/TVCG.2009.149</t>
  </si>
  <si>
    <t>St̩phane Marchesin;Guillaume Colin de Verdi̬re</t>
  </si>
  <si>
    <t>DAM, CEA, Arpajon, France|c|;</t>
  </si>
  <si>
    <t>http://dx.doi.org/10.1109/TVCG.2009.150</t>
  </si>
  <si>
    <t>Johnson Chuang;Daniel Weiskopf;Torsten M̦ller</t>
  </si>
  <si>
    <t>Simon Fraser Univ., Burnaby, BC, Canada|c|;;</t>
  </si>
  <si>
    <t>http://dx.doi.org/10.1109/TVCG.2009.151</t>
  </si>
  <si>
    <t>Ecole de Technol. Super., Montreal, QC, Canada|c|;</t>
  </si>
  <si>
    <t>Interactive Histology of Large-Scale Biomedical Image Stacks</t>
  </si>
  <si>
    <t>10.1109/TVCG.2010.168</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</si>
  <si>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</si>
  <si>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Won-Ki Jeong;Jens Schneider;Stephen G. Turney;Beverly E. Faulkner-Jones;Dominik Meyer;Rüdiger Westermann;R. Clay Reid;Jeff Lichtman;Hanspeter Pfister</t>
  </si>
  <si>
    <t>Won-Ki Jeong;Jens Schneider;Stephen Turney;Beverly E Faulkner-Jones;Dominik Meyer;Rudiger Westermann;R. Clay Reid;Jeff Lichtman;Hanspeter Pfister</t>
  </si>
  <si>
    <t>Harvard University;King Abdullar University of Science and Technology;Harvard University;BIDMC Pathology and Harvard Medical School;Technische Universit&amp;#x0E4;t M&amp;#x0FC;nchen;Technische Universit&amp;#x0E4;t M&amp;#x0FC;nchen;Harvard Medical School;Harvard University;Harvard University</t>
  </si>
  <si>
    <t>10.1109/VISUAL.1994.346321;10.1109/VISUAL.2002.1183757;10.1109/VISUAL.2001.964520;10.1109/TVCG.2007.70516;10.1109/VISUAL.1995.480809;10.1109/VISUAL.2001.964531;10.1109/VISUAL.1995.480812;10.1109/VISUAL.2003.1250385</t>
  </si>
  <si>
    <t>Gigapixel viewer, biomedical image processing, GPU, texture compression</t>
  </si>
  <si>
    <t>Interactive Separating Streak Surfaces</t>
  </si>
  <si>
    <t>10.1109/TVCG.2010.169</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</si>
  <si>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</si>
  <si>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Florian Ferstl;Kai Bürger;Holger Theisel;Rüdiger Westermann</t>
  </si>
  <si>
    <t>Florian Ferstl;Kai Burger;Holger Theisel;Rudiger Westermann</t>
  </si>
  <si>
    <t>10.1109/TVCG.2009.190;10.1109/TVCG.2007.70557;10.1109/VISUAL.1992.235211;10.1109/TVCG.2008.133;10.1109/VISUAL.2001.964506;10.1109/TVCG.2007.70554;10.1109/VISUAL.1993.398875;10.1109/TVCG.2009.177;10.1109/TVCG.2009.154;10.1109/TVCG.2006.151;10.1109/TVCG.2007.70551;10.1109/TVCG.2008.163;10.1109/VISUAL.2005.1532780</t>
  </si>
  <si>
    <t>Unsteady flow visualization, feature extraction, streak surface generation, GPUs</t>
  </si>
  <si>
    <t>Interactive Vector field Feature Identification</t>
  </si>
  <si>
    <t>10.1109/TVCG.2010.170</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</si>
  <si>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</si>
  <si>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Joel Daniels II;Erik W. Anderson;Luis Gustavo Nonato;Cláudio T. Silva</t>
  </si>
  <si>
    <t>Joel Daniels II;Erik W. Anderson;Luis Gustavo Nonato;Claudio T. Silva</t>
  </si>
  <si>
    <t>10.1109/TVCG.2009.138;10.1109/VISUAL.1993.398846;10.1109/TVCG.2007.70579;10.1109/VISUAL.1991.175794;10.1109/VISUAL.1998.745333;10.1109/VISUAL.1992.235211;10.1109/TVCG.2008.116;10.1109/TVCG.2009.190;10.1109/VISUAL.1999.809917;10.1109/VISUAL.1997.663910;10.1109/VISUAL.1998.745296;10.1109/VISUAL.1991.175771;10.1109/VISUAL.2000.885690;10.1109/VISUAL.2000.885689</t>
  </si>
  <si>
    <t>Vector field, data clustering, feature classification, high-dimensional data, user interaction</t>
  </si>
  <si>
    <t>Interactive Visual Analysis of Multiple Simulation Runs Using the Simulation Model View: Understanding and Tuning of an Electronic Unit Injector</t>
  </si>
  <si>
    <t>10.1109/TVCG.2010.171</t>
  </si>
  <si>
    <t>Multiple simulation runs using the same simulation model with different values of control parameters generate a large data set that captures the behavior of the modeled phenomenon. However, there is a conceptual and visual gap between the simulation model behavior and the data set that makes data analysis more difficult. We propose a simulation model view that helps to bridge that gap by visually combining the simulation model description and the generated data. The simulation model view provides a visual outline of the simulation process and the corresponding simulation model. The view is integrated in a Coordinated Multiple Views; (CMV) system. As the simulation model view provides a limited display space, we use three levels of details. We explored the use of the simulation model view, in close collaboration with a domain expert, to understand and tune an electronic unit injector (EUI). We also developed analysis procedures based on the view. The EUI is mostly used in heavy duty Diesel engines. We were mainly interested in understanding the model and how to tune it for three different operation modes: low emission, low consumption, and high power. Very positive feedback from the domain expert shows that the use of the simulation model view and the corresponding ;analysis procedures within a CMV system represents an effective technique for interactive visual analysis of multiple simulation runs.</t>
  </si>
  <si>
    <t>Kresimir Matkovic;Denis Gracanin;Mario Jelovic;Andreas Ammer;Alan Lez;Helwig Hauser</t>
  </si>
  <si>
    <t>VRVis Research Center, Vienna, Austria;Virginia Tech;AVL AST Croatia;VRVis Research Center, Vienna, Austria;VRVis Research Center, Vienna, Austria;University of Bergen, Norway</t>
  </si>
  <si>
    <t>10.1109/TVCG.2009.155;10.1109/INFVIS.2002.1173149;10.1109/INFVIS.1995.528685;10.1109/INFVIS.2002.1173157</t>
  </si>
  <si>
    <t>Visualization in physical sciences and engineering, time series data, coordinated multiple views</t>
  </si>
  <si>
    <t>Interactive Visualization of Hyperspectral Images of Historical Documents</t>
  </si>
  <si>
    <t>10.1109/TVCG.2010.172</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</si>
  <si>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</si>
  <si>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Seon Joo Kim;Shaojie Zhuo;Fanbo Deng;Chi-Wing Fu;Michael S. Brown</t>
  </si>
  <si>
    <t>Seon Joo Kim;Shaojie Zhuo;Fanbo Deng;Chi-Wing Fu;Michael Brown</t>
  </si>
  <si>
    <t>National University of Singapore;National University of Singapore;National University of Singapore;Nanyang Technological University;National University of Singapore</t>
  </si>
  <si>
    <t>10.1109/TVCG.2008.139;10.1109/TVCG.2008.161;10.1109/TVCG.2008.146;10.1109/TVCG.2006.155;10.1109/VISUAL.1995.485155;10.1109/TVCG.2008.182</t>
  </si>
  <si>
    <t>Hyperspectral visualization, data exploration, image fusion, document processing and analysis</t>
  </si>
  <si>
    <t>IRIS: Illustrative Rendering for Integral Surfaces</t>
  </si>
  <si>
    <t>10.1109/TVCG.2010.173</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</si>
  <si>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</si>
  <si>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Mathias Hummel;Christoph Garth;Bernd Hamann;Hans Hagen;Kenneth I. Joy</t>
  </si>
  <si>
    <t>University of Kaiserslautern;University of California, Davis;University of California, Davis;University of Kaiserslautern;University of California, Davis</t>
  </si>
  <si>
    <t>10.1109/TVCG.2006.124;10.1109/VISUAL.2003.1250414;10.1109/TVCG.2008.133;10.1109/VISUAL.1992.235211;10.1109/TVCG.2009.190;10.1109/VISUAL.1993.398875;10.1109/VISUAL.2001.964506;10.1109/VISUAL.2000.885694;10.1109/TVCG.2008.163;10.1109/TVCG.2009.154</t>
  </si>
  <si>
    <t>Flow visualization, integral surfaces, illustrative rendering</t>
  </si>
  <si>
    <t>Noodles: A Tool for Visualization of Numerical Weather Model Ensemble Uncertainty</t>
  </si>
  <si>
    <t>10.1109/TVCG.2010.181</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</si>
  <si>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</si>
  <si>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Jibonananda Sanyal;Song Zhang 0004;Jamie Dyer;Andrew Mercer 0001;Philip Amburn;Robert J. Moorhead II</t>
  </si>
  <si>
    <t>Jibonananda Sanyal;Song Zhang;Jamie Dyer;Andrew Mercer;Philip Amburn;Robert Moorhead</t>
  </si>
  <si>
    <t>Mississippi State University;Mississippi State University;Mississippi State University;Mississippi State University;Mississippi State University;Mississippi State University</t>
  </si>
  <si>
    <t>10.1109/TVCG.2009.114;10.1109/INFVIS.2002.1173145</t>
  </si>
  <si>
    <t>Uncertainty visualization, weather ensemble, geographic/geospatial visualization, glyph-based techniques, time-varying data, qualitative evaluation</t>
  </si>
  <si>
    <t>On the Fractal Dimension of Isosurfaces</t>
  </si>
  <si>
    <t>10.1109/TVCG.2010.182</t>
  </si>
  <si>
    <t>A (3D) scalar grid is a regular n&lt;sub&gt;1&lt;/sub&gt;× n&lt;sub&gt;2&lt;/sub&gt;× n&lt;sub&gt;3&lt;/sub&gt;grid of vertices where each vertex v is associated with some scalar value s&lt;sub&gt;v&lt;/sub&gt;. Applying trilinear interpolation, the scalar grid determines a scalar function g where g(v) = s&lt;sub&gt;v&lt;/sub&gt;for each grid vertex v. An isosurface with isovalue σ is a triangular mesh which approximates the level set g&lt;sup&gt;-1&lt;/sup&gt;(σ).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</si>
  <si>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Marc Khoury;Rephael Wenger</t>
  </si>
  <si>
    <t>Computer and Information Science Department at The Ohio State University;Computer and Information Science Department at The Ohio State University</t>
  </si>
  <si>
    <t>10.1109/TVCG.2006.168;10.1109/TVCG.2008.160;10.1109/VISUAL.2004.28;10.1109/VISUAL.1996.568103;10.1109/VISUAL.2001.964515;10.1109/VISUAL.1991.175782;10.1109/VISUAL.1997.663875</t>
  </si>
  <si>
    <t>Isosurfaces, scalar data, fractal dimension</t>
  </si>
  <si>
    <t>Pre-Integrated Volume Rendering with Non-Linear Gradient Interpolation</t>
  </si>
  <si>
    <t>10.1109/TVCG.2010.187</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</si>
  <si>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</si>
  <si>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Amel Guetat;Alexandre Ancel;Stéphane Marchesin;Jean-Michel Dischler</t>
  </si>
  <si>
    <t>Amel Guetat;Alexandre Ancel;Stephane Marchesin;Jean-Michel Dischler</t>
  </si>
  <si>
    <t>University of Strasbourg;University of Strasbourg;UC Davis;University of Strasbourg</t>
  </si>
  <si>
    <t>10.1109/VISUAL.2000.885683;10.1109/VISUAL.2000.885694;10.1109/VISUAL.1990.146391;10.1109/TVCG.2009.149</t>
  </si>
  <si>
    <t>Ray casting, pre-integration, Phong shading, volume rendering</t>
  </si>
  <si>
    <t>Projector Placement Planning for High Quality Visualizations on Real-World Colored Objects</t>
  </si>
  <si>
    <t>10.1109/TVCG.2010.189</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</si>
  <si>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</si>
  <si>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Alvin J. Law;Daniel G. Aliaga;Aditi Majumder</t>
  </si>
  <si>
    <t>10.1109/TVCG.2009.124;10.1109/VISUAL.2002.1183793;10.1109/TVCG.2006.121;10.1109/TVCG.2007.70586;10.1109/VISUAL.2000.885684</t>
  </si>
  <si>
    <t xml:space="preserve">Large and High-resolution Displays, Interaction Design, Mobile and Ubiquitous Visualization </t>
  </si>
  <si>
    <t>Result-Driven Exploration of Simulation Parameter Spaces for Visual Effects Design</t>
  </si>
  <si>
    <t>10.1109/TVCG.2010.190</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</si>
  <si>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</si>
  <si>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Stefan Bruckner;Torsten Möller</t>
  </si>
  <si>
    <t>Stefan Bruckner;Torsten Moller</t>
  </si>
  <si>
    <t>Simon Fraser University, Canada;Simon Fraser University, Canada</t>
  </si>
  <si>
    <t>10.1109/VISUAL.1992.235222;10.1109/VISUAL.1999.809871;10.1109/VISUAL.2003.1250401;10.1109/TVCG.2006.164;10.1109/VISUAL.2003.1250402;10.1109/INFVIS.1998.729559;10.1109/TVCG.2009.200;10.1109/VAST.2007.4389013;10.1109/VISUAL.1993.398859;10.1109/TVCG.2009.153;10.1109/TVCG.2007.70581;10.1109/VAST.2006.261421</t>
  </si>
  <si>
    <t>Visual exploration, visual effects, clustering, time-dependent volume data</t>
  </si>
  <si>
    <t>Scalable Multi-variate Analytics of Seismic and Satellite-based Observational Data</t>
  </si>
  <si>
    <t>10.1109/TVCG.2010.192</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</si>
  <si>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</si>
  <si>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Xiaoru Yuan;He Xiao;Hanqi Guo;Peihong Guo;Wesley Kendall;Jian Huang 0007;Yongxian Zhang</t>
  </si>
  <si>
    <t>Xiaoru Yuan;He Xiao;Hanqi Guo;Peihong Guo;Wesley Kendall;Jian Huang;Yongxian Zhang</t>
  </si>
  <si>
    <t>Peking University;Peking University;Peking University;Peking University;University of Tennessee;University of Tennessee;China Earthquake Networks Center</t>
  </si>
  <si>
    <t>10.1109/TVCG.2009.179;10.1109/VISUAL.2003.1250412;10.1109/VISUAL.1990.146402;10.1109/VISUAL.2002.1183814;10.1109/TVCG.2008.170;10.1109/TVCG.2008.184</t>
  </si>
  <si>
    <t>Earth Science Visualization, Multivariate Visualization, Seismic Data, Scalable Visualization</t>
  </si>
  <si>
    <t>Spatial Conditioning of Transfer Functions Using Local Material Distributions</t>
  </si>
  <si>
    <t>10.1109/TVCG.2010.195</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</si>
  <si>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</si>
  <si>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Stefan Lindholm;Patric Ljung;Claes Lundström;Anders Persson;Anders Ynnerman</t>
  </si>
  <si>
    <t>Stefan Lindholm;Patric Ljung;Claes Lundstrom;Anders Persson;Anders Ynnerman</t>
  </si>
  <si>
    <t>C-Research - Link&amp;#x0F6;ping University, Sweden and Siemens Corporate Research, USA;Siemens Corporate Research, USA;Sectra Imtec AB, Sweden;CMIV - Link &amp;#x0F6;ping University - Link&amp;#x0F6;ping University Hospital, Sweden;C-Research - Link&amp;#x0F6;ping University, Sweden</t>
  </si>
  <si>
    <t>10.1109/TVCG.2009.185;10.1109/TVCG.2009.120;10.1109/TVCG.2008.147;10.1109/VISUAL.2003.1250412;10.1109/TVCG.2007.70591;10.1109/VISUAL.2001.964516;10.1109/TVCG.2009.189;10.1109/TVCG.2008.162;10.1109/VISUAL.2003.1250413;10.1109/VISUAL.1999.809932;10.1109/TVCG.2006.148</t>
  </si>
  <si>
    <t>Direct Volume Rendering, Transfer Function, Spatial Conditioning, Neighborhood Meta-Data</t>
  </si>
  <si>
    <t>Special Relativistic Visualization by Local Ray Tracing</t>
  </si>
  <si>
    <t>10.1109/TVCG.2010.196</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</si>
  <si>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</si>
  <si>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Thomas Müller 0005;Sebastian Grottel;Daniel Weiskopf</t>
  </si>
  <si>
    <t>Thomas Muller;Sebastian Grottel;Daniel Weiskopf</t>
  </si>
  <si>
    <t>VISUS;VISUS;VISUS</t>
  </si>
  <si>
    <t>Poincare transformation, aberration of light, Doppler effect, illumination, searchlight effect, special relativity, GPU ray tracing</t>
  </si>
  <si>
    <t>Streak Lines as Tangent Curves of a Derived Vector field</t>
  </si>
  <si>
    <t>10.1109/TVCG.2010.198</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</si>
  <si>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</si>
  <si>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Tino Weinkauf;Holger Theisel</t>
  </si>
  <si>
    <t>New York University;University of Magdeburg</t>
  </si>
  <si>
    <t>10.1109/TVCG.2007.70557;10.1109/VISUAL.2005.1532851;10.1109/TVCG.2007.70545;10.1109/TVCG.2009.154;10.1109/TVCG.2007.70554;10.1109/VISUAL.2004.99;10.1109/TVCG.2008.133;10.1109/TVCG.2009.190;10.1109/VISUAL.2005.1532832;10.1109/VISUAL.1999.809896;10.1109/VISUAL.1992.235211;10.1109/TVCG.2008.163;10.1109/TVCG.2007.70551</t>
  </si>
  <si>
    <t>Unsteady flow visualization, streak lines, streak surfaces, feature extraction</t>
  </si>
  <si>
    <t>Superquadric Glyphs for Symmetric Second-Order Tensors</t>
  </si>
  <si>
    <t>10.1109/TVCG.2010.199</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</si>
  <si>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</si>
  <si>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Thomas Schultz 0001;Gordon L. Kindlmann</t>
  </si>
  <si>
    <t>Thomas Schultz;Gordon L. Kindlmann</t>
  </si>
  <si>
    <t>Computer Science Department and the Computation Institute, University of Chicago;Computer Science Department and the Computation Institute, University of Chicago</t>
  </si>
  <si>
    <t>10.1109/VISUAL.1999.809905;10.1109/TVCG.2006.134;10.1109/VISUAL.1998.745294;10.1109/TVCG.2006.181;10.1109/VISUAL.1991.175773;10.1109/TVCG.2009.184;10.1109/TVCG.2006.182;10.1109/TVCG.2009.177;10.1109/TVCG.2010.166;10.1109/VISUAL.1993.398849;10.1109/VISUAL.2003.1250414;10.1109/VISUAL.1994.346326;10.1109/VISUAL.1997.663929;10.1109/VISUAL.2002.1183797;10.1109/VISUAL.2003.1250376;10.1109/VISUAL.2005.1532774;10.1109/VISUAL.2004.80;10.1109/TVCG.2006.115</t>
  </si>
  <si>
    <t>Tensor Glyphs, Stress Tensors, Rate-of-Deformation Tensors, Geometry Tensors, Glyph Design</t>
  </si>
  <si>
    <t>Supine and Prone Colon Registration Using Quasi-Conformal Mapping</t>
  </si>
  <si>
    <t>10.1109/TVCG.2010.200</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</si>
  <si>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</si>
  <si>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Wei Zeng;Joseph Marino;Krishna Chaitanya Gurijala;Xianfeng Gu;Arie E. Kaufman</t>
  </si>
  <si>
    <t>Wei Zeng;Joseph Marino;Krishna Chaitanya Gurijala;Xianfeng Gu;Arie Kaufman</t>
  </si>
  <si>
    <t>Stony Brook University;Stony Brook University;Stony Brook University;Stony Brook University;Stony Brook University</t>
  </si>
  <si>
    <t>10.1109/VISUAL.2005.1532806;10.1109/TVCG.2006.112;10.1109/VISUAL.2004.75;10.1109/TVCG.2006.158</t>
  </si>
  <si>
    <t>Data registration, geometry-based techniques, medical visualization, mathematical foundations for visualization</t>
  </si>
  <si>
    <t>TanGeoMS: Tangible Geospatial Modeling System</t>
  </si>
  <si>
    <t>10.1109/TVCG.2010.202</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</si>
  <si>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</si>
  <si>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Laura Tateosian;Helena Mitásová;Brendan Harmon;Brent Fogleman;Katherine Weaver;Russell S. Harmon</t>
  </si>
  <si>
    <t>Laura Tateosian;Helena Mitasova;Brendan Harmon;Brent Fogleman;Katherine Weaver;Russel Harmon</t>
  </si>
  <si>
    <t>North Carolina State University;North Carolina State University;University of Oxford;North Carolina State University;North Carolina State University;US Army Research Office</t>
  </si>
  <si>
    <t>Visualization system, geographic/geospatial visualization, terrain visualization, tangible user interface, collaborative visualization, human-computer interaction</t>
  </si>
  <si>
    <t>Two-Phase Mapping for Projecting Massive Data Sets</t>
  </si>
  <si>
    <t>10.1109/TVCG.2010.207</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</si>
  <si>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</si>
  <si>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Fernando Vieira Paulovich;Cláudio T. Silva;Luis Gustavo Nonato</t>
  </si>
  <si>
    <t>Fernando V. Paulovich;Claudio T. Silva;Luis G. Nonato</t>
  </si>
  <si>
    <t>Universidade de S&amp;#x0E3;o Paulo (USP);University of Utah;Universidade de S&amp;#x0E3;o Paulo (USP)</t>
  </si>
  <si>
    <t>10.1109/INFVIS.2002.1173159;10.1109/VISUAL.1996.567787;10.1109/TVCG.2008.138;10.1109/TVCG.2009.131;10.1109/INFVIS.2004.60;10.1109/TVCG.2007.70580;10.1109/TVCG.2008.153;10.1109/INFVIS.2002.1173161</t>
  </si>
  <si>
    <t>Dimensionality Reduction,Projection Methods,Visual Data Mining,Streaming Technique</t>
  </si>
  <si>
    <t>Uncertainty-Aware Guided Volume Segmentation</t>
  </si>
  <si>
    <t>10.1109/TVCG.2010.208</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</si>
  <si>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</si>
  <si>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Jörg-Stefan Praßni;Timo Ropinski;Klaus H. Hinrichs</t>
  </si>
  <si>
    <t>Jorg-Stefan Prassni;Timo Ropinski;Klaus Hinrichs</t>
  </si>
  <si>
    <t>University of Münster;University of Münster;University of Münster</t>
  </si>
  <si>
    <t>10.1109/VISUAL.2005.1532855;10.1109/VISUAL.2003.1250370;10.1109/TVCG.2009.189;10.1109/TVCG.2007.70518;10.1109/VISUAL.2005.1532807;10.1109/VISUAL.2003.1250369</t>
  </si>
  <si>
    <t>Volume segmentation, uncertainty, classification, random walker</t>
  </si>
  <si>
    <t>VDVR: Verifiable Volume Visualization of Projection-Based Data</t>
  </si>
  <si>
    <t>10.1109/TVCG.2010.211</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</si>
  <si>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</si>
  <si>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Ziyi Zheng;Wei Xu;Klaus Mueller</t>
  </si>
  <si>
    <t>Stony Brook University;Stony Brook University;Stony Brook University</t>
  </si>
  <si>
    <t>10.1109/VISUAL.1999.809908;10.1109/VISUAL.1991.175805;10.1109/TVCG.2009.194;10.1109/TVCG.2006.141;10.1109/VISUAL.1994.346331;10.1109/VISUAL.2004.70;10.1109/TVCG.2009.149</t>
  </si>
  <si>
    <t xml:space="preserve">Direct volume rendering, computed tomography, filtered back-projection, verifiable visualization </t>
  </si>
  <si>
    <t>View-Dependent Streamlines for 3D Vector fields</t>
  </si>
  <si>
    <t>10.1109/TVCG.2010.212</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</si>
  <si>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</si>
  <si>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Stéphane Marchesin;Cheng-Kai Chen;Chris Ho;Kwan-Liu Ma</t>
  </si>
  <si>
    <t>Stephane Marchesin;Cheng-Kai Chen;Chris Ho;Kwan-Liu Ma</t>
  </si>
  <si>
    <t>UC Davis;UC Davis;UC Davis;UC Davis</t>
  </si>
  <si>
    <t>10.1109/VISUAL.2005.1532831;10.1109/TVCG.2007.70595;10.1109/VISUAL.1994.346312;10.1109/VISUAL.2002.1183789;10.1109/TVCG.2006.116;10.1109/VISUAL.2000.885690;10.1109/VISUAL.1998.745295;10.1109/VISUAL.2005.1532832;10.1109/VISUAL.2005.1532834;10.1109/TVCG.2009.125</t>
  </si>
  <si>
    <t>Streamlines, Vector fields, View-dependent</t>
  </si>
  <si>
    <t>Visual Exploration of High Dimensional Scalar Functions</t>
  </si>
  <si>
    <t>10.1109/TVCG.2010.213</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</si>
  <si>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</si>
  <si>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Samuel Gerber;Peer-Timo Bremer;Valerio Pascucci;Ross T. Whitaker</t>
  </si>
  <si>
    <t>Samuel Gerber;Peer-Timo Bremer;Valerio Pascucci;Ross Whitaker</t>
  </si>
  <si>
    <t>University of Utah;Lawrence Livermore National Laboratory;University of Utah;University of Utah</t>
  </si>
  <si>
    <t>10.1109/VISUAL.2004.96;10.1109/TVCG.2007.70603;10.1109/TVCG.2006.186;10.1109/TVCG.2007.70552;10.1109/TVCG.2007.70601;10.1109/VISUAL.2005.1532839</t>
  </si>
  <si>
    <t>Morse theory, High-dimensional visualization, Morse-Smale complex</t>
  </si>
  <si>
    <t>Visual Optimality and Stability Analysis of 3DCT Scan Positions</t>
  </si>
  <si>
    <t>10.1109/TVCG.2010.214</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</si>
  <si>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</si>
  <si>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Artem Amirkhanov;Christoph Heinzl;Michael Reiter;M. Eduard Gröller</t>
  </si>
  <si>
    <t>Artem Amirkhanov;Christoph Heinzl;Michael Reiter;Eduard Groller</t>
  </si>
  <si>
    <t>Institute of Computer Graphics and Algorithms, Vienna University of Technology;Upper Austrian University of Applied Sciences, Wels Campus;Upper Austrian University of Applied Sciences, Wels Campus;Institute of Computer Graphics and Algorithms, Vienna University of Technology</t>
  </si>
  <si>
    <t>10.1109/TVCG.2006.152;10.1109/VISUAL.2005.1532834;10.1109/VISUAL.2005.1532833</t>
  </si>
  <si>
    <t>Visualization by Proxy: A Novel Framework for Deferred Interaction with Volume Data</t>
  </si>
  <si>
    <t>10.1109/TVCG.2010.215</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</si>
  <si>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</si>
  <si>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Anna Tikhonova;Carlos D. Correa;Kwan-Liu Ma</t>
  </si>
  <si>
    <t>10.1109/TVCG.2007.70591;10.1109/VISUAL.1996.568113;10.1109/VISUAL.2002.1183758</t>
  </si>
  <si>
    <t>Volume visualization, deferred interaction, image-based rendering, volume distortion camera</t>
  </si>
  <si>
    <t>Visualizing Flow Trajectories Using Locality-based Rendering and Warped Curve Plots</t>
  </si>
  <si>
    <t>10.1109/TVCG.2010.218</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</si>
  <si>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</si>
  <si>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Chad Jones;Kwan-Liu Ma</t>
  </si>
  <si>
    <t>10.1109/TVCG.2009.136;10.1109/VISUAL.2005.1532850;10.1109/TVCG.2009.145;10.1109/TVCG.2008.186</t>
  </si>
  <si>
    <t>Flow visualization, Multi-field visualization, Focus+context visualization, Coordinated linked views</t>
  </si>
  <si>
    <t>Volumetric Modeling in Laser BPH Therapy Simulation</t>
  </si>
  <si>
    <t>10.1109/TVCG.2010.221</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</si>
  <si>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</si>
  <si>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Nan Zhang;Xiangmin Zhou;Yunhe Shen;Robert M. Sweet</t>
  </si>
  <si>
    <t>Nan Zhang;Xiangmin Zhou;Yunhe Shen;Robert Sweet</t>
  </si>
  <si>
    <t>University of Minnesota;University of Minnesota;University of Minnesota;University of Minnesota</t>
  </si>
  <si>
    <t>10.1109/VISUAL.2003.1250358;10.1109/VISUAL.2003.1250360</t>
  </si>
  <si>
    <t>Volume modeling, volume CSG, controlled-volume vaporization, medical simulation, laser BPH simulator</t>
  </si>
  <si>
    <t>World Lines</t>
  </si>
  <si>
    <t>10.1109/TVCG.2010.223</t>
  </si>
  <si>
    <t>In this paper we present World Lines as a novel interactive visualization that provides complete control over multiple heterogeneous simulation runs. In many application areas, decisions can only be made by exploring alternative scenarios. The goal of the suggested approach is to support users in this decision making process. In this setting, the data domain is extended to a set of alternative worlds where only one outcome will actually happen. World Lines integrate simulation, visualization and computational steering into a single unified system that is capable of dealing with the extended solution space. World Lines represent simulation runs as causally connected tracks that share a common time axis. This setup enables users to interfere and add new information quickly. A World Line is introduced as a visual combination of user events and their effects in order to present a possible future. To quickly find the most attractive outcome, we suggest World Lines as the governing component in a system of multiple linked views and a simulation component. World Lines employ linking and brushing to enable comparative visual analysis of multiple simulations in linked views. Analysis results can be mapped to various visual variables that World Lines provide in order to highlight the most compelling solutions. To demonstrate this technique we present a flooding scenario and show the usefulness of the integrated approach to support informed decision making.</t>
  </si>
  <si>
    <t>Jürgen Waser;Raphael Fuchs;Hrvoje Ribicic;Benjamin Schindler;Günter Blöschl;M. Eduard Gröller</t>
  </si>
  <si>
    <t>Jurgen Waser;Raphael Fuchs;Hrvoje Ribicic;Benjamin Schindler;Gunther Bloschl;Eduard Groller</t>
  </si>
  <si>
    <t>VRVis Vienna;ETH Z&amp;#x0FC;rich;VRVis Vienna;ETH Z&amp;#x0FC;rich;TU Vienna;TU Vienna</t>
  </si>
  <si>
    <t>10.1109/INFVIS.2002.1173149;10.1109/INFVIS.2004.12;10.1109/VISUAL.1999.809871;10.1109/INFVIS.2005.1532143;10.1109/TVCG.2009.199;10.1109/VISUAL.1993.398857;10.1109/TVCG.2008.145;10.1109/TVCG.2007.70539;10.1109/VISUAL.1998.745289</t>
  </si>
  <si>
    <t>Problem solving environment, decision making, simulation steering, parallel worlds, CFD, smoothed particle hydrodynamics</t>
  </si>
  <si>
    <t>2011</t>
  </si>
  <si>
    <t>A Study on Dual-Scale Data Charts</t>
  </si>
  <si>
    <t>10.1109/TVCG.2011.160</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</si>
  <si>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</si>
  <si>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Petra Isenberg;Anastasia Bezerianos;Pierre Dragicevic;Jean-Daniel Fekete</t>
  </si>
  <si>
    <t>INRIA;&amp;#x0C9;cole Centrale;INRIA;INRIA</t>
  </si>
  <si>
    <t>10.1109/INFVIS.1998.729558;10.1109/TVCG.2009.174;10.1109/TVCG.2007.70577</t>
  </si>
  <si>
    <t>Focus+Context, Quantitative Experiment, Dual-Scale Charts</t>
  </si>
  <si>
    <t>Adaptive Privacy-Preserving Visualization Using Parallel Coordinates</t>
  </si>
  <si>
    <t>10.1109/TVCG.2011.163</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</si>
  <si>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</si>
  <si>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UNC-Charlotte;UNC-Charlotte</t>
  </si>
  <si>
    <t>10.1109/VISUAL.1990.146402;10.1109/INFVIS.2005.1532138;10.1109/TVCG.2010.184;10.1109/VISUAL.1999.809866;10.1109/TVCG.2006.170</t>
  </si>
  <si>
    <t>Parallel coordinates, privacy, clustering</t>
  </si>
  <si>
    <t>Angular Histograms: Frequency-Based Visualizations for Large, High Dimensional Data</t>
  </si>
  <si>
    <t>10.1109/TVCG.2011.166</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</si>
  <si>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</si>
  <si>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Zhao Geng;Zhenmin Peng;Robert S. Laramee;Jonathan C. Roberts;Rick Walker</t>
  </si>
  <si>
    <t>Zhao Geng;ZhenMin Peng;Robert S.Laramee;Jonathan C. Roberts;Rick Walker</t>
  </si>
  <si>
    <t>Swansea University, UK;Swansea University, UK;Swansea University, UK;Bangore University, UK;Bangor University, UK</t>
  </si>
  <si>
    <t>10.1109/INFVIS.2002.1173157;10.1109/INFVIS.2004.68;10.1109/TVCG.2006.138;10.1109/TVCG.2007.70535;10.1109/VISUAL.1999.809866;10.1109/INFVIS.1996.559216;10.1109/VISUAL.1990.146402;10.1109/TVCG.2010.184;10.1109/INFVIS.2005.1532138;10.1109/TVCG.2006.170;10.1109/TVCG.2008.131</t>
  </si>
  <si>
    <t>Parallel Coordinates, Angular Histogram, Attribute Curves</t>
  </si>
  <si>
    <t>Arc Length-Based Aspect Ratio Selection</t>
  </si>
  <si>
    <t>10.1109/TVCG.2011.167</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</si>
  <si>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</si>
  <si>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Justin Talbot;John Gerth;Pat Hanrahan</t>
  </si>
  <si>
    <t>Aspect ratio selection, Banking to 45 degrees, Orientation resolution</t>
  </si>
  <si>
    <t>Asymmetric Relations in Longitudinal Social Networks</t>
  </si>
  <si>
    <t>10.1109/TVCG.2011.169</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</si>
  <si>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</si>
  <si>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Ulrik Brandes;Bobo Nick</t>
  </si>
  <si>
    <t>University of Konstanz;University of Konstanz</t>
  </si>
  <si>
    <t>10.1109/TVCG.2006.163;10.1109/TVCG.2007.70582;10.1109/TVCG.2009.116;10.1109/TVCG.2006.122;10.1109/TVCG.2010.215</t>
  </si>
  <si>
    <t>Network visualization, Social networks, Time series data, visual knolwedge discovery and representation, glyph-based techniques</t>
  </si>
  <si>
    <t>BallotMaps: Detecting Name Bias in Alphabetically Ordered Ballot Papers</t>
  </si>
  <si>
    <t>10.1109/TVCG.2011.174</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</si>
  <si>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</si>
  <si>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Jo Wood;Donia Badawood;Jason Dykes;Aidan Slingsby</t>
  </si>
  <si>
    <t>giCentre, City University London;giCentre, City University London;giCentre, City University London;giCentre, City University London</t>
  </si>
  <si>
    <t>10.1109/TVCG.2009.128;10.1109/TVCG.2008.165;10.1109/TVCG.2010.161</t>
  </si>
  <si>
    <t>Voting, election, bias, democracy, governance, treemaps, geovisualization, hierarchy, governance</t>
  </si>
  <si>
    <t>Benefitting InfoVis with Visual Difficulties</t>
  </si>
  <si>
    <t>10.1109/TVCG.2011.175</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</si>
  <si>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</si>
  <si>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Jessica Hullman;Eytan Adar;Priti Shah</t>
  </si>
  <si>
    <t>University of Michigan School of Information;University of Michigan School of Information;University of Michigan</t>
  </si>
  <si>
    <t>10.1109/INFVIS.1995.528688;10.1109/TVCG.2008.125;10.1109/TVCG.2007.70539;10.1109/TVCG.2010.177;10.1109/INFVIS.2001.963279;10.1109/TVCG.2009.111</t>
  </si>
  <si>
    <t xml:space="preserve">Desirable difficulites, cognitive efficiency, active processing, engagement, individual differences </t>
  </si>
  <si>
    <t>BirdVis: Visualizing and Understanding Bird Populations</t>
  </si>
  <si>
    <t>10.1109/TVCG.2011.176</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</si>
  <si>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studies that show how BirdVis has helped scientists obtain new evidence for existing hypotheses, as well as formulate new hypotheses in their domain.</t>
  </si>
  <si>
    <t>Nivan Ferreira;Lauro Didier Lins;Daniel Fink;Steve Kelling;Christopher Wood;Juliana Freire;Cláudio T. Silva</t>
  </si>
  <si>
    <t>Nivan Ferreira;Lauro Lins;Daniel Fink;Steve Kelling;Christopher Wood;Juliana Freire;Claudio Silva</t>
  </si>
  <si>
    <t>University of Utah;University of Utah;Cornell Lab of Ornithology;Cornell Lab of Ornithology;Cornell Lab of Ornithology;University of Utah;University of Utah</t>
  </si>
  <si>
    <t>10.1109/VISUAL.2001.964510;10.1109/VISUAL.1990.146361;10.1109/TVCG.2010.194;10.1109/TVCG.2010.130;10.1109/TVCG.2007.70570;10.1109/TVCG.2008.153</t>
  </si>
  <si>
    <t>Ornithology, species distribution models, multiscale analysis, spatial data, temporal data</t>
  </si>
  <si>
    <t>Brushing Dimensions - A Dual Visual Analysis Model for High-Dimensional Data</t>
  </si>
  <si>
    <t>10.1109/TVCG.2011.178</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</si>
  <si>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</si>
  <si>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Cagatay Turkay;Peter Filzmoser;Helwig Hauser</t>
  </si>
  <si>
    <t>University of Bergen;Vienna University of Technology;University of Bergen</t>
  </si>
  <si>
    <t>10.1109/INFVIS.2000.885086;10.1109/VISUAL.1994.346302;10.1109/TVCG.2008.116;10.1109/TVCG.2009.199;10.1109/VISUAL.1995.485139;10.1109/VAST.2009.5332611;10.1109/INFVIS.2004.60;10.1109/INFVIS.2004.3;10.1109/VAST.2009.5333431</t>
  </si>
  <si>
    <t>Interactive visual analysis, High-dimensional data analysis</t>
  </si>
  <si>
    <t>CloudLines: Compact Display of Event Episodes in Multiple Time-Series</t>
  </si>
  <si>
    <t>10.1109/TVCG.2011.179</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</si>
  <si>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</si>
  <si>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Milos Krstajic;Enrico Bertini;Daniel A. Keim</t>
  </si>
  <si>
    <t>Milos Krstajic;Enrico Bertini;Daniel Keim</t>
  </si>
  <si>
    <t>10.1109/TVCG.2010.193;10.1109/VAST.2006.261431;10.1109/INFVIS.2005.1532133;10.1109/INFVIS.2003.1249028;10.1109/TVCG.2007.70539</t>
  </si>
  <si>
    <t>Incremental Visualization, Event-based Data, Lens Distortion</t>
  </si>
  <si>
    <t>Composite Density Maps for Multivariate Trajectories</t>
  </si>
  <si>
    <t>10.1109/TVCG.2011.181</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</si>
  <si>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</si>
  <si>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Roeland Scheepens;Niels Willems;Huub van de Wetering;Gennady L. Andrienko;Natalia V. Andrienko;Jarke J. van Wijk</t>
  </si>
  <si>
    <t>Roeland Scheepens;Niels Willems;Huub van de Wetering;Gennady Andrienko;Natalia Andrienko;Jarke J. van Wijk</t>
  </si>
  <si>
    <t>TU Eindhoven;TU Eindhoven;TU Eindhoven;Fraunhofer Institute IAIS;Fraunhofer Institute IAIS;TU Eindhoven</t>
  </si>
  <si>
    <t>10.1109/TVCG.2006.178;10.1109/VAST.2008.4677356;10.1109/TVCG.2007.70570;10.1109/VAST.2010.5652478;10.1109/VAST.2007.4388992;10.1109/VAST.2010.5652467;10.1109/VAST.2009.5332593</t>
  </si>
  <si>
    <t>Trajectories, Kernel Density Estimation, Multivariate Data, Geographical Information Systems, Raster Maps</t>
  </si>
  <si>
    <t>Context-Preserving Visual Links</t>
  </si>
  <si>
    <t>10.1109/TVCG.2011.183</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</si>
  <si>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</si>
  <si>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Markus Steinberger;Manuela Waldner;Marc Streit;Alexander Lex;Dieter Schmalstieg</t>
  </si>
  <si>
    <t>Graz University of Technology;Graz University of Technology;Graz University of Technology;Graz University of Technology;Graz University of Technology</t>
  </si>
  <si>
    <t>10.1109/TVCG.2010.138;10.1109/INFVIS.2001.963286;10.1109/TVCG.2006.147;10.1109/TVCG.2009.122;10.1109/VISUAL.1995.485139;10.1109/TVCG.2010.174;10.1109/TVCG.2006.166;10.1109/TVCG.2007.70521</t>
  </si>
  <si>
    <t>Visual links, highlighting, connectedness, routing, image-based, saliency</t>
  </si>
  <si>
    <t>D³ Data-Driven Documents</t>
  </si>
  <si>
    <t>10.1109/TVCG.2011.185</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</si>
  <si>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</si>
  <si>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Michael Bostock;Vadim Ogievetsky;Jeffrey Heer</t>
  </si>
  <si>
    <t>10.1109/INFVIS.2000.885091;10.1109/INFVIS.2000.885098;10.1109/TVCG.2010.144;10.1109/TVCG.2009.174;10.1109/INFVIS.2004.12;10.1109/TVCG.2006.178;10.1109/INFVIS.2005.1532122;10.1109/TVCG.2008.166;10.1109/INFVIS.2004.64;10.1109/TVCG.2007.70539</t>
  </si>
  <si>
    <t>Design Study of LineSets, a Novel Set Visualization Technique</t>
  </si>
  <si>
    <t>10.1109/TVCG.2011.186</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</si>
  <si>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</si>
  <si>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Basak Alper;Nathalie Henry Riche;Gonzalo Ramos;Mary Czerwinski</t>
  </si>
  <si>
    <t>Basak Alper;Nathalie Riche;Gonzalo Ramos;Mary Czerwinski</t>
  </si>
  <si>
    <t>Microsoft Research, UC Santa Barbara;Microsoft Research;Microsoft Research;Microsoft Research</t>
  </si>
  <si>
    <t>10.1109/TVCG.2008.144;10.1109/TVCG.2010.210;10.1109/TVCG.2009.122;10.1109/INFVIS.2005.1532126</t>
  </si>
  <si>
    <t>Set visualization, clustering, faceted data visualization, graph visualization</t>
  </si>
  <si>
    <t>Developing and Evaluating Quilts for the Depiction of Large Layered Graphs</t>
  </si>
  <si>
    <t>10.1109/TVCG.2011.187</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</si>
  <si>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</si>
  <si>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Juhee Bae;Benjamin Watson</t>
  </si>
  <si>
    <t>North Carolina State University;North Carolina State University</t>
  </si>
  <si>
    <t>10.1109/TVCG.2010.159;10.1109/INFVIS.2004.1;10.1109/TVCG.2007.70582</t>
  </si>
  <si>
    <t>Graph drawing, layered graphs, matrix based depiction, node-link diagram</t>
  </si>
  <si>
    <t>DICON: Interactive Visual Analysis of Multidimensional Clusters</t>
  </si>
  <si>
    <t>10.1109/TVCG.2011.188</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</si>
  <si>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</si>
  <si>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Nan Cao;David Gotz;Jimeng Sun;Huamin Qu</t>
  </si>
  <si>
    <t>Hong Kong University of Science and Technology;IBM T.J. Watson Research Center;IBM T.J. Watson Research Center;Hong Kong University of Science and Technology</t>
  </si>
  <si>
    <t>10.1109/INFVIS.2005.1532128;10.1109/TVCG.2006.147;10.1109/TVCG.2009.179;10.1109/VISUAL.1995.485141;10.1109/TVCG.2007.70582;10.1109/VISUAL.1990.146402;10.1109/VAST.2009.5332628;10.1109/INFVIS.2001.963283;10.1109/INFVIS.1998.729559;10.1109/TVCG.2010.216;10.1109/VISUAL.1999.809866;10.1109/TVCG.2008.153;10.1109/TVCG.2008.165;10.1109/TVCG.2009.153</t>
  </si>
  <si>
    <t>Visual Analysis, Clustering, Information Visualization</t>
  </si>
  <si>
    <t>Divided Edge Bundling for Directional Network Data</t>
  </si>
  <si>
    <t>10.1109/TVCG.2011.190</t>
  </si>
  <si>
    <t>The node-link diagram is an intuitive and venerable way to depict a graph. To reduce clutter and improve the readability of node-link views, Holten &amp;amp;amp;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</si>
  <si>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David Selassie;Brandon Heller;Jeffrey Heer</t>
  </si>
  <si>
    <t>10.1109/INFVIS.2003.1249008;10.1109/TVCG.2008.135;10.1109/TVCG.2007.70582;10.1109/TVCG.2007.70535;10.1109/TVCG.2006.147</t>
  </si>
  <si>
    <t>Graph visualization, aggregation, node-link diagrams, edge bundling, physical simulation</t>
  </si>
  <si>
    <t>Drawing Road Networks with Focus Regions</t>
  </si>
  <si>
    <t>10.1109/TVCG.2011.191</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</si>
  <si>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</si>
  <si>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Jan-Henrik Haunert;Leon Sering</t>
  </si>
  <si>
    <t>University of W&amp;#x0FC;rzburg;University of W&amp;#x0FC;rzburg</t>
  </si>
  <si>
    <t>10.1109/TVCG.2008.132;10.1109/INFVIS.2004.66</t>
  </si>
  <si>
    <t>cartography, schematic maps, fish-eye view, graph drawing, optimization, quadratic programming</t>
  </si>
  <si>
    <t>Evaluation of Artery Visualizations for Heart Disease Diagnosis</t>
  </si>
  <si>
    <t>10.1109/TVCG.2011.192</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</si>
  <si>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</si>
  <si>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Michelle Borkin;Krzysztof Z. Gajos;Amanda Randles;Dimitris Mitsouras;Simone Melchionna;Frank J. Rybicki;Charles L. Feldman;Hanspeter Pfister</t>
  </si>
  <si>
    <t>Michelle Borkin;Krzysztof Gajos;Amanda Peters;Dimitrios Mitsouras;Simone Melchionna;Frank Rybicki;Charles Feldman;Hanspeter Pfister</t>
  </si>
  <si>
    <t>Harvard University;Harvard University;Harvard University;Brigham and Women's Hospital &amp; Harvard Medical School;IPCF-CNR, Consiglio Nazionale delle Ricerche;Brigham and Women's Hospital &amp; Harvard Medical School;Brigham and Women's Hospital &amp; Harvard Medical School;Harvard University</t>
  </si>
  <si>
    <t>10.1109/TVCG.2009.169;10.1109/VISUAL.2002.1183788;10.1109/VISUAL.2002.1183754;10.1109/VISUAL.2001.964510;10.1109/VISUAL.2004.104;10.1109/TVCG.2006.172;10.1109/INFVIS.2005.1532136;10.1109/TVCG.2009.126;10.1109/VISUAL.2001.964538;10.1109/TVCG.2009.126;10.1109/VISUAL.1992.235201;10.1109/VISUAL.1996.568118;10.1109/VISUAL.2000.885731;10.1109/TVCG.2007.70550;10.1109/TVCG.2007.70596</t>
  </si>
  <si>
    <t>Quantitative evaluation, qualitative evaluation, biomedical and medical visualization</t>
  </si>
  <si>
    <t>Evaluation of Traditional, Orthogonal, and Radial Tree Diagrams by an Eye Tracking Study</t>
  </si>
  <si>
    <t>10.1109/TVCG.2011.193</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</si>
  <si>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</si>
  <si>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Michael Burch;Natalia Konevtsova;Julian Heinrich;Markus Höferlin;Daniel Weiskopf</t>
  </si>
  <si>
    <t>Michael Burch;Natalia Konevtsova;Julian Heinrich;Markus Hoeferlin;Daniel Weiskopf</t>
  </si>
  <si>
    <t>VISUS, University of Stuttgart;VISUS, University of Stuttgart;VISUS, University of Stuttgart;VISUS, University of Stuttgart;VISUS, University of Stuttgart</t>
  </si>
  <si>
    <t>10.1109/TVCG.2010.209;10.1109/INFVIS.2004.70</t>
  </si>
  <si>
    <t>Hierarchy visualization, node-link layout, eye tracking, user study</t>
  </si>
  <si>
    <t>Exploratory Analysis of Time-Series with ChronoLenses</t>
  </si>
  <si>
    <t>10.1109/TVCG.2011.195</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</si>
  <si>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</si>
  <si>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Jian Zhao;Fanny Chevalier;Emmanuel Pietriga;Ravin Balakrishnan</t>
  </si>
  <si>
    <t>University of Toronto, Canada;OCAD University, Canada;INRIA, France;University of Toronto, Canada</t>
  </si>
  <si>
    <t>10.1109/TVCG.2010.162;10.1109/INFVIS.1999.801851;10.1109/VAST.2007.4389007;10.1109/INFVIS.2001.963273;10.1109/INFVIS.2005.1532148;10.1109/TVCG.2007.70583;10.1109/TVCG.2010.193</t>
  </si>
  <si>
    <t>Time-series Data, Exploratory Visualization, Focus+Context, Lens, Interaction Techniques</t>
  </si>
  <si>
    <t>Exploring Ambient and Artistic Visualization for Residential Energy Use Feedback</t>
  </si>
  <si>
    <t>10.1109/TVCG.2011.196</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</si>
  <si>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</si>
  <si>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Johnny Rodgers;Lyn Bartram</t>
  </si>
  <si>
    <t>School of Interactive Arts + Technology / Simon Fraser University;School of Interactive Arts + Technology / Simon Fraser University</t>
  </si>
  <si>
    <t>10.1109/TVCG.2007.70541;10.1109/INFVIS.2003.1249031</t>
  </si>
  <si>
    <t>Ambient visualization, informative art, casual infovis, sustainability, distributed visualization</t>
  </si>
  <si>
    <t>Exploring Uncertainty in Geodemographics with Interactive Graphics</t>
  </si>
  <si>
    <t>10.1109/TVCG.2011.197</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</si>
  <si>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</si>
  <si>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giCentre, City University London;giCentre, City University London;giCentre, City University London</t>
  </si>
  <si>
    <t>10.1109/INFVIS.1996.559216;10.1109/TVCG.2010.191;10.1109/TVCG.2007.70574;10.1109/TVCG.2010.186;10.1109/VISUAL.1999.809866;10.1109/TVCG.2008.165;10.1109/TVCG.2006.202;10.1109/TVCG.2007.70515;10.1109/INFVIS.2004.12</t>
  </si>
  <si>
    <t>Geodemographics, OAC, classification, cartography, uncertainty</t>
  </si>
  <si>
    <t>Flexible Linked Axes for Multivariate Data Visualization</t>
  </si>
  <si>
    <t>10.1109/TVCG.2011.201</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</si>
  <si>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</si>
  <si>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Jarry H. T. Claessen;Jarke J. van Wijk</t>
  </si>
  <si>
    <t>Jarry H.T. Claessen;Jarke J. van Wijk</t>
  </si>
  <si>
    <t>Eindhoven University of Technology;Eindhoven University of Technology</t>
  </si>
  <si>
    <t>10.1109/INFVIS.2005.1532142;10.1109/INFVIS.2005.1532136;10.1109/INFVIS.2002.1173157;10.1109/TVCG.2006.138;10.1109/TVCG.2010.205;10.1109/TVCG.2006.170;10.1109/TVCG.2007.70521;10.1109/VISUAL.1991.175790;10.1109/TVCG.2008.153</t>
  </si>
  <si>
    <t>Multivariate data, visualization, scatterplot, Parallel Coordinates Plot</t>
  </si>
  <si>
    <t>Flow Map Layout via Spiral Trees</t>
  </si>
  <si>
    <t>10.1109/TVCG.2011.202</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</si>
  <si>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</si>
  <si>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Kevin Buchin;Bettina Speckmann;Kevin Verbeek</t>
  </si>
  <si>
    <t>TU Eindhoven;TU Eindhoven;TU Eindhoven</t>
  </si>
  <si>
    <t>10.1109/TVCG.2009.143;10.1109/TVCG.2008.135;10.1109/INFVIS.2005.1532150;10.1109/INFVIS.1996.559226;10.1109/TVCG.2006.147</t>
  </si>
  <si>
    <t>Flow maps, Automated Cartography, Spiral Trees</t>
  </si>
  <si>
    <t>Focus+Context Metro Maps</t>
  </si>
  <si>
    <t>10.1109/TVCG.2011.205</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</si>
  <si>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</si>
  <si>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Yu-Shuen Wang;Ming-Te Chi</t>
  </si>
  <si>
    <t>National Chiao Tung University;National Chengchi University</t>
  </si>
  <si>
    <t>10.1109/INFVIS.1997.636786;10.1109/INFVIS.1996.559214;10.1109/TVCG.2008.132;10.1109/INFVIS.1998.729558;10.1109/VISUAL.2005.1532818</t>
  </si>
  <si>
    <t>Focus+context visualization, metro map, octilinear layout, graph labeling, optimization</t>
  </si>
  <si>
    <t>Human-Centered Approaches in Geovisualization Design: Investigating Multiple Methods Through a Long-Term Case Study</t>
  </si>
  <si>
    <t>10.1109/TVCG.2011.209</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</si>
  <si>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</si>
  <si>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David Lloyd;Jason Dykes</t>
  </si>
  <si>
    <t>10.1109/TVCG.2010.191;10.1109/TVCG.2009.174</t>
  </si>
  <si>
    <t>Evaluation, geovisualization, context of use, requirements, field study, prototypes, sketching, design</t>
  </si>
  <si>
    <t>Improved Similarity Trees and their Application to Visual Data Classification</t>
  </si>
  <si>
    <t>10.1109/TVCG.2011.212</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</si>
  <si>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</si>
  <si>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Jose Gustavo Paiva;Laura Florian;Hélio Pedrini;Guilherme P. Telles;Rosane Minghim</t>
  </si>
  <si>
    <t>Jose Gustavo Paiva;Laura Florian;Helio Pedrini;Guilherme Telles;Rosane Minghim</t>
  </si>
  <si>
    <t>ICMC, University of S&amp;#x0E3;o Paulo, Brazil;ICMC, University of S&amp;#x0E3;o Paulo, Brazil;University of Campinas, Brazil;University of Campinas, Brazil;ICMC, University of S&amp;#x0E3;o Paulo, Brazil</t>
  </si>
  <si>
    <t>10.1109/INFVIS.1999.801855;10.1109/TVCG.2009.140;10.1109/VAST.2007.4389002;10.1109/TVCG.2008.138;10.1109/VISUAL.1996.567787;10.1109/TVCG.2010.207;10.1109/TVCG.2010.170;10.1109/INFVIS.2002.1173148</t>
  </si>
  <si>
    <t>Similarity Trees, Multidimensional Projections, Image Classification</t>
  </si>
  <si>
    <t>In Situ Exploration of Large Dynamic Networks</t>
  </si>
  <si>
    <t>10.1109/TVCG.2011.213</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</si>
  <si>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</si>
  <si>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Steffen Hadlak;Hans-Jörg Schulz;Heidrun Schumann</t>
  </si>
  <si>
    <t>Steffen Hadlak;Hans-Jorg Schulz;Heidrun Schumann</t>
  </si>
  <si>
    <t>University of Rostock;Graz University of Technology;University of Rostock</t>
  </si>
  <si>
    <t>10.1109/TVCG.2009.151;10.1109/TVCG.2008.114;10.1109/INFVIS.2004.18;10.1109/TVCG.2007.70582;10.1109/INFVIS.2000.885087;10.1109/INFVIS.2004.66;10.1109/INFVIS.2002.1173153;10.1109/INFVIS.2002.1173160;10.1109/INFVIS.2005.1532151;10.1109/INFVIS.2003.1249006;10.1109/TVCG.2007.70529;10.1109/TVCG.2006.166</t>
  </si>
  <si>
    <t>Dynamic graph data, multiform visualization, multi-focus+context</t>
  </si>
  <si>
    <t>Local Affine Multidimensional Projection</t>
  </si>
  <si>
    <t>10.1109/TVCG.2011.220</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</si>
  <si>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</si>
  <si>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Paulo Joia;Danilo Barbosa Coimbra;José Alberto Cuminato;Fernando Vieira Paulovich;Luis Gustavo Nonato</t>
  </si>
  <si>
    <t>Paulo Joia;Danilo Coimbra;Jose A. Cuminato;Fernando V. Paulovich;Luis G. Nonato</t>
  </si>
  <si>
    <t>Universidade de S&amp;#x0E3;o Paulo (USP);Universidade de S&amp;#x0E3;o Paulo (USP);Universidade de S&amp;#x0E3;o Paulo (USP);Universidade de S&amp;#x0E3;o Paulo (USP);Universidade de S&amp;#x0E3;o Paulo (USP)</t>
  </si>
  <si>
    <t>10.1109/VISUAL.1996.567787;10.1109/TVCG.2009.140;10.1109/TVCG.2007.70580;10.1109/INFVIS.2002.1173159;10.1109/TVCG.2010.207;10.1109/TVCG.2010.170;10.1109/INFVIS.2002.1173161</t>
  </si>
  <si>
    <t>Multidimensional Projection, High Dimensional Data, Visual Data Mining</t>
  </si>
  <si>
    <t>MoleView: An Attribute and Structure-Based Semantic Lens for Large Element-Based Plots</t>
  </si>
  <si>
    <t>10.1109/TVCG.2011.223</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</si>
  <si>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</si>
  <si>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Christophe Hurter;Alexandru Telea;Ozan Ersoy</t>
  </si>
  <si>
    <t>DSNA, IRIT, Toulouse France;University of Groningen;University of Groningen</t>
  </si>
  <si>
    <t>10.1109/TVCG.2011.233;10.1109/TVCG.2008.135;10.1109/TVCG.2006.147;10.1109/INFVIS.2005.1532150;10.1109/INFVIS.2004.66;10.1109/INFVIS.2003.1249008</t>
  </si>
  <si>
    <t>Semantic lenses, magic lenses, graph bundling, attribute filtering</t>
  </si>
  <si>
    <t>Parallel Edge Splatting for Scalable Dynamic Graph Visualization</t>
  </si>
  <si>
    <t>10.1109/TVCG.2011.226</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</si>
  <si>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</si>
  <si>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Michael Burch;Corinna Vehlow;Fabian Beck 0001;Stephan Diehl 0001;Daniel Weiskopf</t>
  </si>
  <si>
    <t>Michael Burch;Corinna Vehlow;Fabian Beck;Stephan Diehl;Daniel Weiskopf</t>
  </si>
  <si>
    <t>VISUS, University of Stuttgart;VISUS, University of Stuttgart;University of Trier;University of Trier;VISUS, University of Stuttgart</t>
  </si>
  <si>
    <t>10.1109/TVCG.2009.123;10.1109/TVCG.2008.131;10.1109/VISUAL.1990.146402;10.1109/TVCG.2010.176;10.1109/INFVIS.2005.1532138;10.1109/TVCG.2006.147;10.1109/TVCG.2009.131;10.1109/INFVIS.1999.801866;10.1109/INFVIS.2002.1173160;10.1109/INFVIS.2004.68</t>
  </si>
  <si>
    <t>Dynamic graph visualization, graph splatting, software visualization, software evolution</t>
  </si>
  <si>
    <t>Product Plots</t>
  </si>
  <si>
    <t>10.1109/TVCG.2011.227</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</si>
  <si>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</si>
  <si>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Hadley Wickham;Heike Hofmann</t>
  </si>
  <si>
    <t>Rice University;Iowa State University</t>
  </si>
  <si>
    <t>10.1109/TVCG.2007.70594;10.1109/TVCG.2006.200;10.1109/INFVIS.2002.1173141;10.1109/INFVIS.2000.885091;10.1109/VISUAL.1990.146386;10.1109/TVCG.2010.186;10.1109/INFVIS.2005.1532128;10.1109/INFVIS.2005.1532142;10.1109/TVCG.2010.209;10.1109/TVCG.2009.128;10.1109/INFVIS.2005.1532145</t>
  </si>
  <si>
    <t>Statistics, joint distribution, conditional distribution, treemap, bar chart, mosaic plot</t>
  </si>
  <si>
    <t>Quality Metrics in High-Dimensional Data Visualization: An Overview and Systematization</t>
  </si>
  <si>
    <t>10.1109/TVCG.2011.229</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</si>
  <si>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</si>
  <si>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Enrico Bertini</t>
  </si>
  <si>
    <t>Enrico Bertini;Andrada Tatu;Daniel Keim</t>
  </si>
  <si>
    <t>10.1109/INFVIS.2005.1532145;10.1109/VAST.2010.5652433;10.1109/VAST.2006.261423;10.1109/TVCG.2010.184;10.1109/TVCG.2010.179;10.1109/INFVIS.2004.15;10.1109/TVCG.2006.161;10.1109/TVCG.2007.70515;10.1109/INFVIS.2005.1532142;10.1109/VISUAL.1990.146402;10.1109/INFVIS.2003.1249006;10.1109/VISUAL.1990.146386;10.1109/TVCG.2006.138;10.1109/INFVIS.2004.59;10.1109/VAST.2009.5332628;10.1109/INFVIS.2003.1249015;10.1109/VAST.2010.5652450;10.1109/TVCG.2007.70535;10.1109/INFVIS.1998.729559;10.1109/INFVIS.2000.885092;10.1109/INFVIS.2004.3;10.1109/TVCG.2009.153;10.1109/INFVIS.1997.636794</t>
  </si>
  <si>
    <t>Quality Metrics, High-Dimensional Data Visualization</t>
  </si>
  <si>
    <t>Sequence Surveyor: Leveraging Overview for Scalable Genomic Alignment Visualization</t>
  </si>
  <si>
    <t>10.1109/TVCG.2011.232</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</si>
  <si>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</si>
  <si>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Danielle Albers Szafir;Colin N. Dewey;Michael Gleicher</t>
  </si>
  <si>
    <t>Danielle Albers;Colin Dewey;Michael Gleicher</t>
  </si>
  <si>
    <t>University of Wisconsin-Madison;University of Wisconsin-Madison;University of Wisconsin-Madison</t>
  </si>
  <si>
    <t>10.1109/TVCG.2007.70623;10.1109/INFVIS.2002.1173156;10.1109/TVCG.2009.128;10.1109/TVCG.2009.167</t>
  </si>
  <si>
    <t>Bioinformatics Visualization, Perception Theory, Scalability Issues, Visual Design</t>
  </si>
  <si>
    <t>Skeleton-Based Edge Bundling for Graph Visualization</t>
  </si>
  <si>
    <t>10.1109/TVCG.2011.233</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</si>
  <si>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</si>
  <si>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Ozan Ersoy;Christophe Hurter;Fernando Vieira Paulovich;Gabriel Cantareiro;Alexandru Telea</t>
  </si>
  <si>
    <t>Ozan Ersoy;Christophe Hurter;Fernando Paulovich;Gabriel Cantareiro;Alex Telea</t>
  </si>
  <si>
    <t>University of Groningen, The Netherlands;DGAC/DSNA, Toulouse, France;University of S&amp;#x0E3;o Paulo, S&amp;#x0E3;o Carlos/SP, Brazil;University of S&amp;#x0E3;o Paulo, S&amp;#x0E3;o Carlos/SP, Brazil;University of Groningen, The Netherlands</t>
  </si>
  <si>
    <t>10.1109/TVCG.2008.135;10.1109/TVCG.2006.147;10.1109/TVCG.2007.70535;10.1109/TVCG.2006.120;10.1109/INFVIS.2005.1532150;10.1109/INFVIS.2003.1249030</t>
  </si>
  <si>
    <t>Graph layouts, edge bundles, image-based information visualization</t>
  </si>
  <si>
    <t>Stereoscopic Highlighting: 2D Graph Visualization on Stereo Displays</t>
  </si>
  <si>
    <t>10.1109/TVCG.2011.234</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</si>
  <si>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</si>
  <si>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Basak Alper;Tobias Höllerer;JoAnn Kuchera-Morin;Angus Graeme Forbes</t>
  </si>
  <si>
    <t>Basak Alper;Tobias Hollerer;JoAnn Kuchera-Morin;Angus Forbes</t>
  </si>
  <si>
    <t>UC Santa Barbara, MAT;UC Santa Barbara, CS;UC Santa Barbara, MAT;UC Santa Barbara, MAT</t>
  </si>
  <si>
    <t>10.1109/INFVIS.1999.801869;10.1109/TVCG.2007.70521;10.1109/INFVIS.2002.1173160</t>
  </si>
  <si>
    <t>Graph visualization, stereo displays, virtual reality</t>
  </si>
  <si>
    <t>Synthetic Generation of High-Dimensional Datasets</t>
  </si>
  <si>
    <t>10.1109/TVCG.2011.237</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</si>
  <si>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</si>
  <si>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Georgia Albuquerque;Thomas Löwe;Marcus A. Magnor</t>
  </si>
  <si>
    <t>Georgia Albuquerque;Thomas Lowe;Marcus Magnor</t>
  </si>
  <si>
    <t>TU Braunschweig;TU Braunschweig;TU Braunschweig</t>
  </si>
  <si>
    <t>10.1109/INFVIS.2005.1532142;10.1109/VISUAL.1994.346302;10.1109/VAST.2010.5652433;10.1109/VAST.2009.5332628;10.1109/INFVIS.2004.15;10.1109/TVCG.2008.153</t>
  </si>
  <si>
    <t>Synthetic data generation, multivariate data, high-dimensional data, interaction</t>
  </si>
  <si>
    <t>TextFlow: Towards Better Understanding of Evolving Topics in Text</t>
  </si>
  <si>
    <t>10.1109/TVCG.2011.239</t>
  </si>
  <si>
    <t>http://dx.doi.org/10.1109/TVCG.2009.152</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</si>
  <si>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</si>
  <si>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Weiwei Cui;Shixia Liu;Li Tan;Conglei Shi;Yangqiu Song;Zekai Gao;Huamin Qu;Xin Tong</t>
  </si>
  <si>
    <t>Hong Kong University of Science and Technology ∕ Microsoft Research Asia;Microsoft Research Asia;Microsoft Research Asia;Hong Kong University of Science and Technology;Microsoft Research Asia;Zhejiang University ∕ Microsoft Research Asia;Hong Kong University of Science and Technology;Microsoft Research Asia</t>
  </si>
  <si>
    <t>10.1109/VAST.2010.5652931;10.1109/VAST.2009.5333443;10.1109/TVCG.2006.156;10.1109/TVCG.2009.171;10.1109/TVCG.2008.166;10.1109/TVCG.2010.129;10.1109/VAST.2008.4677364;10.1109/INFVIS.2005.1532122;10.1109/VAST.2009.5333437;10.1109/INFVIS.2005.1532152</t>
  </si>
  <si>
    <t>Text visualization, Topic evolution, Hierarchical Dirichlet process, Critical event</t>
  </si>
  <si>
    <t>TreeNetViz: Revealing Patterns of Networks over Tree Structures</t>
  </si>
  <si>
    <t>10.1109/TVCG.2011.247</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</si>
  <si>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</si>
  <si>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Liang Gou;Xiaolong Zhang 0001</t>
  </si>
  <si>
    <t>Liang Gou;Xiaolong Luke Zhang</t>
  </si>
  <si>
    <t>The Pennsylvania State University;The Pennsylvania State University</t>
  </si>
  <si>
    <t>10.1109/INFVIS.2004.1;10.1109/INFVIS.2003.1249011;10.1109/INFVIS.2003.1249030;10.1109/INFVIS.2002.1173151;10.1109/TVCG.2009.167;10.1109/TVCG.2006.192;10.1109/TVCG.2008.135;10.1109/TVCG.2006.120;10.1109/INFVIS.2000.885091;10.1109/TVCG.2006.166;10.1109/TVCG.2007.70521;10.1109/TVCG.2006.147</t>
  </si>
  <si>
    <t>Compound graph, network and tree, TreeNetViz, visualization, multiscale and cross-scale</t>
  </si>
  <si>
    <t>VisBricks: Multiform Visualization of Large, Inhomogeneous Data</t>
  </si>
  <si>
    <t>10.1109/TVCG.2011.250</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</si>
  <si>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</si>
  <si>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Alexander Lex;Hans-Jörg Schulz;Marc Streit;Christian Partl;Dieter Schmalstieg</t>
  </si>
  <si>
    <t>Alexander Lex;Hans-Jorg Schulz;Marc Streit;Christian Partl;Dieter Schmalstieg</t>
  </si>
  <si>
    <t>10.1109/INFVIS.2005.1532129;10.1109/TVCG.2010.138;10.1109/TVCG.2006.120;10.1109/TVCG.2007.70582;10.1109/INFVIS.2003.1249006;10.1109/TVCG.2006.147;10.1109/TVCG.2009.167;10.1109/TVCG.2010.216;10.1109/TVCG.2006.166</t>
  </si>
  <si>
    <t>Inhomogeneous data, multiple coordinated views, multiform visualization</t>
  </si>
  <si>
    <t>Visual Thinking In Action: Visualizations As Used On Whiteboards</t>
  </si>
  <si>
    <t>Dept. of Comput. Sci. &amp; Eng., Univ. of Minnesota, Minneapolis, MN, USA|c|;;;</t>
  </si>
  <si>
    <t>10.1109/TVCG.2011.251</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</si>
  <si>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</si>
  <si>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Jagoda Walny;Sheelagh Carpendale;Nathalie Henry Riche;Gina Venolia;Philip Fawcett</t>
  </si>
  <si>
    <t>http://dx.doi.org/10.1109/TVCG.2009.153</t>
  </si>
  <si>
    <t>University of Calgary;University of Calgary / Microsoft Research;Microsoft Research;Microsoft Research;Microsoft Research</t>
  </si>
  <si>
    <t>10.1109/TVCG.2010.144;10.1109/TVCG.2010.179;10.1109/TVCG.2006.156;10.1109/TVCG.2007.70535;10.1109/TVCG.2008.155;10.1109/INFVIS.2004.10;10.1109/INFVIS.2002.1173148;10.1109/VISUAL.1991.175815;10.1109/TVCG.2010.164</t>
  </si>
  <si>
    <t>Visualization, diagrams, whiteboards, observational study</t>
  </si>
  <si>
    <t>Visualization of Parameter Space for Image Analysis</t>
  </si>
  <si>
    <t>10.1109/TVCG.2011.253</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</si>
  <si>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</si>
  <si>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A. Johannes Pretorius;Mark-Anthony Bray;Anne E. Carpenter;Roy A. Ruddle</t>
  </si>
  <si>
    <t>School of Computing, University of Leeds;Broad Institute of MIT and Harvard;Broad Institute of MIT and Harvard;School of Computing, University of Leeds</t>
  </si>
  <si>
    <t>10.1109/INFVIS.2004.70;10.1109/VISUAL.2005.1532788;10.1109/VISUAL.1991.175815;10.1109/VISUAL.1999.809871;10.1109/VISUAL.2000.885678;10.1109/INFVIS.2001.963290</t>
  </si>
  <si>
    <t>Information visualization, visual analytics, parameter space, image analysis, sampling</t>
  </si>
  <si>
    <t>Visualization Rhetoric: Framing Effects in Narrative Visualization</t>
  </si>
  <si>
    <t>10.1109/TVCG.2011.255</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</si>
  <si>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</si>
  <si>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Jessica Hullman;Nicholas Diakopoulos</t>
  </si>
  <si>
    <t>Jessica Hullman;Nick Diakopoulos</t>
  </si>
  <si>
    <t>University of Michigan School of Information;Rutgers University School of Information and Communication</t>
  </si>
  <si>
    <t>10.1109/TVCG.2010.179;10.1109/TVCG.2007.70577;10.1109/TVCG.2010.177;10.1109/TVCG.2009.111</t>
  </si>
  <si>
    <t xml:space="preserve">Rhetoric, narrative visualization, framing effects, semiotics, denotation, connotation </t>
  </si>
  <si>
    <t>Norrkoping Visualization &amp; Interaction Studio (NVIS), Linkoping Univ., Linkoping, Sweden|c|;</t>
  </si>
  <si>
    <t>Visual analytic roadblocks for novice investigators</t>
  </si>
  <si>
    <t>10.1109/VAST.2011.6102435</t>
  </si>
  <si>
    <t>http://dx.doi.org/10.1109/TVCG.2009.154</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</si>
  <si>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</si>
  <si>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Bum Chul Kwon;Brian D. Fisher;Ji Soo Yi</t>
  </si>
  <si>
    <t>Bum chul Kwon;Brian Fisher;Ji Soo Yi</t>
  </si>
  <si>
    <t>Purdue University, USA;Simon Fraser University, Canada;Purdue University, USA</t>
  </si>
  <si>
    <t>10.1109/INFVIS.2004.10;10.1109/VAST.2007.4389006;10.1109/TVCG.2010.164;10.1109/VAST.2009.5333878;10.1109/TVCG.2010.179;10.1109/TVCG.2008.121;10.1109/INFVIS.2004.5;10.1109/TVCG.2007.70515;10.1109/TVCG.2010.177;10.1109/VAST.2006.261416;10.1109/TVCG.2008.171;10.1109/TVCG.2008.109;10.1109/TVCG.2007.70535;10.1109/VAST.2008.4677361;10.1109/TVCG.2007.70589;10.1109/TVCG.2007.70594</t>
  </si>
  <si>
    <t>Visual analytics, investigative analysis, cognitive model, framework, roadblock, qualitative experiment</t>
  </si>
  <si>
    <t>Perception-based visual quality measures</t>
  </si>
  <si>
    <t>10.1109/VAST.2011.6102437</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</si>
  <si>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</si>
  <si>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Georgia Albuquerque;Martin Eisemann;Marcus A. Magnor</t>
  </si>
  <si>
    <t>Georgia Albuquerque;Martin Eisemann;Marcus Magnor</t>
  </si>
  <si>
    <t>TU Braunschweig, Germany;TU Braunschweig, Germany;TU Braunschweig, Germany</t>
  </si>
  <si>
    <t>10.1109/INFVIS.2005.1532142;10.1109/VAST.2010.5652433;10.1109/VAST.2006.261423;10.1109/VAST.2009.5332628;10.1109/TVCG.2010.184;10.1109/TVCG.2009.153</t>
  </si>
  <si>
    <t>Characterizing the intelligence analysis process: Informing visual analytics design through a longitudinal field study</t>
  </si>
  <si>
    <t>10.1109/VAST.2011.6102438</t>
  </si>
  <si>
    <t>Kai B�_rger;Florian Ferstl;Holger Theisel;R�_diger Westermann</t>
  </si>
  <si>
    <t>Comput. Graphics &amp; Visualization group, Tech. Univ. Munchen, Munich, Germany|c|;;;</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</si>
  <si>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</si>
  <si>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Youn ah Kang;John T. Stasko</t>
  </si>
  <si>
    <t>Youn-ah Kang;John Stasko</t>
  </si>
  <si>
    <t>Georgia Institute of Technology, USA;Georgia Institute of Technology, USA</t>
  </si>
  <si>
    <t>10.1109/VAST.2008.4677362;10.1109/VISUAL.1992.235203;10.1109/VAST.2008.4677358;10.1109/TVCG.2009.111;10.1109/VAST.2007.4389006</t>
  </si>
  <si>
    <t>Intelligence analysis, qualitatvie user study</t>
  </si>
  <si>
    <t>http://dx.doi.org/10.1109/TVCG.2009.155</t>
  </si>
  <si>
    <t>Interactive visual comparison of multiple trees</t>
  </si>
  <si>
    <t>10.1109/VAST.2011.6102439</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</si>
  <si>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</si>
  <si>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Sebastian Bremm;Tatiana von Landesberger;Martin Hess;Tobias Schreck;Philipp Weil;Kay Hamacher</t>
  </si>
  <si>
    <t>Sebastian Bremm;Tatiana von Landesberger;Martin Heß;Tobias Schreck;Philipp Weil;Kay Hamacherk</t>
  </si>
  <si>
    <t>Interactive-Graphics Systems, TU Darmstadt, Germany;Interactive-Graphics Systems, TU Darmstadt, Germany;Interactive-Graphics Systems, TU Darmstadt, Germany;Data Analysis and Visualization Group, University of Konstanz, Germany;Computational Biology, TU Darmstadt, Germany;Computational Biology, TU Darmstadt, Germany</t>
  </si>
  <si>
    <t>10.1109/TVCG.2008.114;10.1109/TVCG.2009.130;10.1109/VAST.2009.5333893;10.1109/TVCG.2007.70529</t>
  </si>
  <si>
    <t>Network-based visual analysis of tabular data</t>
  </si>
  <si>
    <t>10.1109/VAST.2011.6102440</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</si>
  <si>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</si>
  <si>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Zhicheng Liu;Shamkant B. Navathe;John T. Stasko</t>
  </si>
  <si>
    <t>Georgia Institute of Technology, USA;Georgia Institute of Technology, USA;Georgia Institute of Technology, USA</t>
  </si>
  <si>
    <t>10.1109/TVCG.2006.122;10.1109/TVCG.2010.177;10.1109/TVCG.2007.70582;10.1109/TVCG.2006.166;10.1109/VAST.2010.5652520;10.1109/INFVIS.2000.885086;10.1109/VAST.2007.4389006</t>
  </si>
  <si>
    <t>Orion: A system for modeling, transformation and visualization of multidimensional heterogeneous networks</t>
  </si>
  <si>
    <t>10.1109/VAST.2011.6102441</t>
  </si>
  <si>
    <t>http://dx.doi.org/10.1109/TVCG.2009.156</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</si>
  <si>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</si>
  <si>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Jeffrey Heer;Adam Perer</t>
  </si>
  <si>
    <t>Stanford University, USA;IBM Research, USA</t>
  </si>
  <si>
    <t>10.1109/TVCG.2010.144;10.1109/TVCG.2009.174;10.1109/TVCG.2006.178;10.1109/TVCG.2007.70582;10.1109/TVCG.2006.166;10.1109/VAST.2006.261426;10.1109/INFVIS.2000.885086</t>
  </si>
  <si>
    <t>Social network analysis, data management, data transformation, graphs, visualization, end-user programming</t>
  </si>
  <si>
    <t>G-PARE: A visual analytic tool for comparative analysis of uncertain graphs</t>
  </si>
  <si>
    <t>10.1109/VAST.2011.6102442</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</si>
  <si>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</si>
  <si>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Hossam Sharara;Awalin Sopan;Galileo Namata;Lise Getoor;Lisa Singh</t>
  </si>
  <si>
    <t>Computer Science Department, University of Maryland, College Park, USA;Computer Science Department, University of Maryland, College Park, USA;Computer Science Department, University of Maryland, College Park, USA;Computer Science Department, University of Maryland, College Park, USA;Computer Science Department, Georgetown University, Washington DC, USA</t>
  </si>
  <si>
    <t>10.1109/TVCG.2006.122;10.1109/VAST.2010.5652398;10.1109/VAST.2010.5652910;10.1109/VAST.2006.261429;10.1109/VAST.2010.5652443;10.1109/TVCG.2007.70582</t>
  </si>
  <si>
    <t>Uncertain Graphs, Comparative Analysis, Model Comparison, Visualizing Uncertainty</t>
  </si>
  <si>
    <t>Visual social network analytics for relationship discovery in the enterprise</t>
  </si>
  <si>
    <t>10.1109/VAST.2011.6102443</t>
  </si>
  <si>
    <t>Dept. of Comput. Sci. &amp; Eng., Hong Kong Univ. of Sci. &amp; Technol., Kowloon, China|c|;;;;</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</si>
  <si>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</si>
  <si>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Adam Perer;Ido Guy;Erel Uziel;Inbal Ronen;Michal Jacovi</t>
  </si>
  <si>
    <t>http://dx.doi.org/10.1109/TVCG.2009.157</t>
  </si>
  <si>
    <t>IBM Research, USA;IBM Research, USA;IBM Research, USA;IBM Research, USA;IBM Research, USA</t>
  </si>
  <si>
    <t>10.1109/TVCG.2006.122;10.1109/TVCG.2007.70582;10.1109/VAST.2006.261426;10.1109/INFVIS.2005.1532126;10.1109/TVCG.2006.166</t>
  </si>
  <si>
    <t>information discovery, social networks, social data mining, social visualization</t>
  </si>
  <si>
    <t>How locus of control influences compatibility with visualization style</t>
  </si>
  <si>
    <t>10.1109/VAST.2011.6102445</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</si>
  <si>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</si>
  <si>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Caroline Ziemkiewicz;R. Jordan Crouser;Ashley Rye Yauilla;Sara L. Su;William Ribarsky;Remco Chang</t>
  </si>
  <si>
    <t>Brown University, USA;Tufts University, USA;Winthrop University, USA;Tufts University, USA;UNC Charlotte, USA;Tufts University, USA</t>
  </si>
  <si>
    <t>10.1109/VAST.2010.5653587;10.1109/TVCG.2008.171;10.1109/TVCG.2008.121</t>
  </si>
  <si>
    <t>Obvious: A meta-toolkit to encapsulate information visualization toolkits - One toolkit to bind them all</t>
  </si>
  <si>
    <t>10.1109/VAST.2011.6102446</t>
  </si>
  <si>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</si>
  <si>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Jean-Daniel Fekete;Pierre-Luc Hemery;Thomas Baudel;Jo Wood</t>
  </si>
  <si>
    <t>Jean-Daniel Fekete;Pierre-Luc Hémery;Thomas Baudel;Jo Wood</t>
  </si>
  <si>
    <t>INRIA, France;INRIA, France;IBM, USA;City University, London, USA</t>
  </si>
  <si>
    <t>10.1109/INFVIS.2004.12;10.1109/TVCG.2009.152;10.1109/TVCG.2009.174;10.1109/TVCG.2006.178;10.1109/TVCG.2010.159;10.1109/INFVIS.2004.64;10.1109/INFVIS.1998.729560;10.1109/INFVIS.2002.1173148</t>
  </si>
  <si>
    <t>Supporting effective common ground construction in Asynchronous Collaborative Visual Analytics</t>
  </si>
  <si>
    <t>10.1109/VAST.2011.6102447</t>
  </si>
  <si>
    <t>Visualization Res. Center VISUS, Univ. Stuttgart, Stuttgart, Germany|c|;;</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</si>
  <si>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</si>
  <si>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Yang Chen;Jamal Alsakran;Scott Barlowe;Jing Yang 0001;Ye Zhao</t>
  </si>
  <si>
    <t>Yang Chen;Jamal Alsakran;Scott Barlowe;Jing Yang;Ye Zhao</t>
  </si>
  <si>
    <t>http://dx.doi.org/10.1109/TVCG.2009.158</t>
  </si>
  <si>
    <t>University of North Carolina at Charlotte, USA;Kent State University, USA;University of North Carolina at Charlotte, USA;University of North Carolina at Charlotte, USA;Kent State University, USA</t>
  </si>
  <si>
    <t>10.1109/TVCG.2007.70541;10.1109/VAST.2009.5333023;10.1109/TVCG.2007.70577;10.1109/VAST.2010.5652879;10.1109/VAST.2008.4677358;10.1109/VAST.2010.5652932;10.1109/VAST.2007.4389011;10.1109/VAST.2008.4677365;10.1109/TVCG.2006.166;10.1109/VAST.2010.5652885</t>
  </si>
  <si>
    <t>Visual analytics, asynchronous collaboration, insight, multidimensional visualization</t>
  </si>
  <si>
    <t>Guiding feature subset selection with an interactive visualization</t>
  </si>
  <si>
    <t>10.1109/VAST.2011.6102448</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</si>
  <si>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</si>
  <si>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Thorsten May;Andreas Bannach;James Davey;Tobias Ruppert;Jörn Kohlhammer</t>
  </si>
  <si>
    <t>Fraunhofer Institute for Computer Graphics Research, Darmstadt, Germany;Fraunhofer Institute for Computer Graphics Research, Darmstadt, Germany;Fraunhofer Institute for Computer Graphics Research, Darmstadt, Germany;Fraunhofer Institute for Computer Graphics Research, Darmstadt, Germany;Fraunhofer Institute for Computer Graphics Research, Darmstadt, Germany</t>
  </si>
  <si>
    <t>10.1109/VAST.2010.5652392;10.1109/INFVIS.2003.1249006;10.1109/TVCG.2009.153;10.1109/TVCG.2008.153</t>
  </si>
  <si>
    <t>Observation-level interaction with statistical models for visual analytics</t>
  </si>
  <si>
    <t>10.1109/VAST.2011.6102449</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</si>
  <si>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</si>
  <si>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Alex Endert;Chao Han;Dipayan Maiti;Leanna House;Scotland Leman;Chris North</t>
  </si>
  <si>
    <t>Department of Computer Science, Virginia Tech, USA;Department of Statistics, Virginia Tech, USA;Department of Statistics, Virginia Tech, USA;Department of Statistics, Virginia Tech, USA;Department of Statistics, Virginia Tech, USA;Department of Computer Science, Virginia Tech, USA</t>
  </si>
  <si>
    <t>observation-level interaction, visual analytics, statistical models</t>
  </si>
  <si>
    <t>ETH Zurich, Zurich, Switzerland|c|;</t>
  </si>
  <si>
    <t>Pointwise local pattern exploration for sensitivity analysis</t>
  </si>
  <si>
    <t>10.1109/VAST.2011.6102450</t>
  </si>
  <si>
    <t>http://dx.doi.org/10.1109/TVCG.2009.159</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</si>
  <si>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</si>
  <si>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Zhenyu Guo;Matthew O. Ward;Elke A. Rundensteiner;Carolina Ruiz</t>
  </si>
  <si>
    <t>Computer Science Department, Worcester Polytechnic Institute, USA;Computer Science Department, Worcester Polytechnic Institute, USA;Computer Science Department, Worcester Polytechnic Institute, USA;Computer Science Department, Worcester Polytechnic Institute, USA</t>
  </si>
  <si>
    <t>10.1109/VISUAL.2005.1532821;10.1109/VAST.2008.4677368;10.1109/VAST.2010.5652460;10.1109/VAST.2009.5332611;10.1109/INFVIS.2004.71;10.1109/VAST.2009.5333431</t>
  </si>
  <si>
    <t>Knowledge discovery, sensitivity analysis, local pattern visualizations</t>
  </si>
  <si>
    <t>Interactive decision making using dissimilarity to visually represented prototypes</t>
  </si>
  <si>
    <t>10.1109/VAST.2011.6102451</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</si>
  <si>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</si>
  <si>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Malgorzata Migut;Jan C. van Gemert;Marcel Worring</t>
  </si>
  <si>
    <t>M.A. Migut;J.C. van Gemert;M. Worring</t>
  </si>
  <si>
    <t>Intelligent Systems Lab Amsterdam, University of Amsterdam, The Netherlands;Expertise Center Forensic Psychiatry, Utrecht, The Netherlands;Intelligent Systems Lab Amsterdam, University of Amsterdam, The Netherlands</t>
  </si>
  <si>
    <t>10.1109/TVCG.2007.70515;10.1109/TVCG.2009.174;10.1109/TVCG.2009.199;10.1109/VAST.2010.5652398;10.1109/VISUAL.1994.346302;10.1109/INFVIS.1998.729559;10.1109/INFVIS.2000.885086</t>
  </si>
  <si>
    <t>dissimilarity based classication, dissimilarity based visualization, prototypes, interactive visualization, visual analytics</t>
  </si>
  <si>
    <t>BaobabView: Interactive construction and analysis of decision trees</t>
  </si>
  <si>
    <t>10.1109/VAST.2011.6102453</t>
  </si>
  <si>
    <t>Wayne State Univ., Detroit, MI, USA|c|;;;;</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</si>
  <si>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</si>
  <si>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Stef van den Elzen;Jarke J. van Wijk</t>
  </si>
  <si>
    <t>Eindhoven University of Technology, the Netherlands;Eindhoven University of Technology, the Netherlands</t>
  </si>
  <si>
    <t>10.1109/TVCG.2008.166;10.1109/INFVIS.2001.963292;10.1109/INFVIS.2001.963290</t>
  </si>
  <si>
    <t>http://dx.doi.org/10.1109/TVCG.2009.160</t>
  </si>
  <si>
    <t>From movement tracks through events to places: Extracting and characterizing significant places from mobility data</t>
  </si>
  <si>
    <t>10.1109/VAST.2011.6102454</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</si>
  <si>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</si>
  <si>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Gennady L. Andrienko;Natalia V. Andrienko;Christophe Hurter;Salvatore Rinzivillo;Stefan Wrobel</t>
  </si>
  <si>
    <t>Gennady Andrienko;Natalia Andrienko;Christophe Hurter;Salvatore Rinzivillo;Stefan Wrobel</t>
  </si>
  <si>
    <t>Fraunhofer Institute IAIS (Intelligent Analysis and Information Systems) and University of Bonn, Germany;Fraunhofer Institute IAIS (Intelligent Analysis and Information Systems) and University of Bonn, Germany;DGAC/DTI R&amp;amp;D, ENAC and the University of Toulouse, France;KDDLab, ISTI - CNR, Pisa, Italy;Fraunhofer Institute IAIS (Intelligent Analysis and Information Systems) and University of Bonn, Germany</t>
  </si>
  <si>
    <t>10.1109/VAST.2009.5332593;10.1109/TVCG.2009.145</t>
  </si>
  <si>
    <t>movement, trajectories, spatio-temporal data, spatial events, spatial clustering, spatio-temporal clustering</t>
  </si>
  <si>
    <t>Visual analysis of route diversity</t>
  </si>
  <si>
    <t>10.1109/VAST.2011.6102455</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</si>
  <si>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</si>
  <si>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He Liu;Yuan Gao;Lu Lu;Siyuan Liu;Huamin Qu;Lionel M. Ni</t>
  </si>
  <si>
    <t>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China;The Hong Kong University of Science and Technology, China</t>
  </si>
  <si>
    <t>10.1109/INFVIS.2004.27;10.1109/VAST.2008.4677356;10.1109/TVCG.2008.149;10.1109/TVCG.2007.70570;10.1109/TVCG.2007.70574;10.1109/TVCG.2006.202;10.1109/VAST.2009.5332593;10.1109/TVCG.2007.70561;10.1109/TVCG.2009.145;10.1109/TVCG.2010.180</t>
  </si>
  <si>
    <t>SensePlace2: GeoTwitter analytics support for situational awareness</t>
  </si>
  <si>
    <t>10.1109/VAST.2011.6102456</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</si>
  <si>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 me-varying fields larger than main memory. Our experiments on datasets as large as 192 GB (with 4 GB per time step) having no more than 870 MB of memory footprint in both preprocessing and run-time phases demonstrate the efficacy of our new technique.</t>
  </si>
  <si>
    <t>CSE Dept, Polytech. Inst. of New York Univ., Brooklyn, NY, USA|c|;</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</si>
  <si>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</si>
  <si>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Alan M. MacEachren;Anuj R. Jaiswal;Anthony C. Robinson;Scott Pezanowski;Alexander Savelyev;Prasenjit Mitra;Xiao Zhang;Justine I. Blanford</t>
  </si>
  <si>
    <t>Alan M. MacEachren;Anuj Jaiswal;Anthony C. Robinson;Scott Pezanowski;Alexander Savelyev;Prasenjit Mitra;Xiao Zhang;Justine Blanford</t>
  </si>
  <si>
    <t>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USA;GeoVISTA Center, The Pennsylvania State University, USA</t>
  </si>
  <si>
    <t>10.1109/VAST.2010.5652478;10.1109/VAST.2007.4388994;10.1109/TVCG.2010.129;10.1109/INFVIS.2005.1532134;10.1109/VAST.2010.5652922</t>
  </si>
  <si>
    <t xml:space="preserve">social media analytics, scenario-based design, geovisualization, situational awareness, text analytics, crisis management, spatio-temporal analysis </t>
  </si>
  <si>
    <t>Visual analytics decision support environment for epidemic modeling and response evaluation</t>
  </si>
  <si>
    <t>10.1109/VAST.2011.6102457</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</si>
  <si>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</si>
  <si>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Shehzad Afzal;Ross Maciejewski;David S. Ebert</t>
  </si>
  <si>
    <t>Purdue University Visualization and Analytics Center, USA;Purdue University Visualization and Analytics Center, USA;Purdue University Visualization and Analytics Center, USA</t>
  </si>
  <si>
    <t>10.1109/TVCG.2008.137;10.1109/TVCG.2007.70594;10.1109/VISUAL.1993.398857;10.1109/VAST.2009.5333020;10.1109/TVCG.2010.223;10.1109/TVCG.2010.190;10.1109/TVCG.2010.206;10.1109/TVCG.2009.187;10.1109/TVCG.2010.171;10.1109/VAST.2006.261450;10.1109/INFVIS.2000.885086</t>
  </si>
  <si>
    <t>http://dx.doi.org/10.1109/TVCG.2009.161</t>
  </si>
  <si>
    <t>SAVE: Sensor anomaly visualization engine</t>
  </si>
  <si>
    <t>10.1109/VAST.2011.6102458</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</si>
  <si>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</si>
  <si>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Lei Shi;Qi Liao;Yuan He;Rui Li;Aaron Striegel;Zhong Su</t>
  </si>
  <si>
    <t>IBM Research - China;Computer Science and Engineering Department, University of Notre Dame, USA;Computer Science and Engineering Department, Hong Kong University of Science and Technology, HK;Computer Science and Technology Department, Xi'an Jiao Tong University, China;Computer Science and Engineering Department, University of Notre Dame, USA;IBM Research - China</t>
  </si>
  <si>
    <t>10.1109/TVCG.2009.182;10.1109/VAST.2009.5333880;10.1109/INFVIS.2005.1532126;10.1109/INFVIS.2004.1;10.1109/VAST.2010.5652910</t>
  </si>
  <si>
    <t>A visual navigation system for querying neural stem cell imaging data</t>
  </si>
  <si>
    <t>10.1109/VAST.2011.6102459</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</si>
  <si>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</si>
  <si>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Ishwar Kulkarni;Shanaz Y. Mistry;Brian Cummings;Meenakshisundaram Gopi</t>
  </si>
  <si>
    <t>Ishwar Kulkarni;Shanaz Y. Mistry;Brian Cummings;M. Gopi</t>
  </si>
  <si>
    <t>Department of Computer Science, University of California, Irvine, USA;Department of Computer Science, University of California, Irvine, USA;Department of Anatomy and Neurobiology, University of California, Irvine, USA;Department of Computer Science, University of California, Irvine, USA</t>
  </si>
  <si>
    <t>10.1109/TVCG.2009.121;10.1109/VAST.2009.5333895</t>
  </si>
  <si>
    <t>Neuroscience, stem cell segmentation, tracking, cell imaging, data management, visual analytics, navigation, exploration, query processing</t>
  </si>
  <si>
    <t>A visual analytics process for maritime resource allocation and risk assessment</t>
  </si>
  <si>
    <t>10.1109/VAST.2011.6102460</t>
  </si>
  <si>
    <t>Sch. of Comput. Sci., Bangor Univ., Bangor, UK|c|;</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</si>
  <si>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</si>
  <si>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Abish Malik;Ross Maciejewski;Ben Maule;David S. Ebert</t>
  </si>
  <si>
    <t>Purdue University Visualization and Analytics Center (PURVAC), USA;Purdue University Visualization and Analytics Center (PURVAC), USA;United States Coast Guard, USA;Purdue University Visualization and Analytics Center (PURVAC), USA</t>
  </si>
  <si>
    <t>10.1109/VISUAL.1993.398870;10.1109/VAST.2010.5652398;10.1109/VAST.2009.5333920;10.1109/VAST.2008.4677363;10.1109/INFVIS.1999.801851;10.1109/VAST.2007.4389006;10.1109/VAST.2009.5332611</t>
  </si>
  <si>
    <t>Visual analytics, risk assessment, Coast Guard</t>
  </si>
  <si>
    <t>http://dx.doi.org/10.1109/TVCG.2009.162</t>
  </si>
  <si>
    <t>ParallelTopics: A probabilistic approach to exploring document collections</t>
  </si>
  <si>
    <t>10.1109/VAST.2011.6102461</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</si>
  <si>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</si>
  <si>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Wenwen Dou;Xiaoyu Wang;Remco Chang;William Ribarsky</t>
  </si>
  <si>
    <t>UNC Charlotte, USA;UNC Charlotte, USA;Tufts University, USA;UNC Charlotte, USA</t>
  </si>
  <si>
    <t>10.1109/VAST.2010.5652931;10.1109/VAST.2009.5333428;10.1109/TVCG.2010.184;10.1109/VAST.2010.5652940;10.1109/TVCG.2009.140;10.1109/INFVIS.2000.885098</t>
  </si>
  <si>
    <t>Analysis of large digital collections with interactive visualization</t>
  </si>
  <si>
    <t>10.1109/VAST.2011.6102462</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</si>
  <si>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</si>
  <si>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Weijia Xu;Maria Esteva;Suyog Dott Jain;Varun Jain</t>
  </si>
  <si>
    <t>Weijia Xu;Maria Esteva;Suyog Dutt Jain;Varun Jain</t>
  </si>
  <si>
    <t>The University of Texas at Austin, USA;The University of Texas at Austin, USA;The University of Texas at Austin, USA;The University of Texas at Austin, USA</t>
  </si>
  <si>
    <t>10.1109/INFVIS.2000.885091;10.1109/TVCG.2008.172;10.1109/TVCG.2009.176;10.1109/VAST.2007.4389006;10.1109/INFVIS.2004.64;10.1109/VAST.2010.5652931;10.1109/INFVIS.1999.801860</t>
  </si>
  <si>
    <t>Digital collections, archival analysis, visual anaytics, data curation</t>
  </si>
  <si>
    <t>Univ. of Calgary, Calgary, AB, Canada|c|;;</t>
  </si>
  <si>
    <t>A two-stage framework for designing visual analytics system in organizational environments</t>
  </si>
  <si>
    <t>10.1109/VAST.2011.6102463</t>
  </si>
  <si>
    <t>http://dx.doi.org/10.1109/TVCG.2009.163</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</si>
  <si>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</si>
  <si>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Xiaoyu Wang;Wenwen Dou;Thomas Butkiewicz;Eric A. Bier;William Ribarsky</t>
  </si>
  <si>
    <t>UNC Charlotte, USA;UNC Charlotte, USA;University of New Hampshire, USA;Palo Alto Research Center, USA;UNC Charlotte, USA</t>
  </si>
  <si>
    <t>10.1109/VAST.2008.4677362;10.1109/VAST.2009.5333020;10.1109/TVCG.2008.137;10.1109/VAST.2006.261416;10.1109/VAST.2007.4389009;10.1109/TVCG.2009.139;10.1109/VAST.2008.4677361;10.1109/TVCG.2009.111;10.1109/VISUAL.2005.1532781;10.1109/VAST.2008.4677352;10.1109/TVCG.2008.109;10.1109/TVCG.2007.70515;10.1109/VAST.2008.4677360;10.1109/VAST.2008.4677365;10.1109/VAST.2009.5333564</t>
  </si>
  <si>
    <t>Design Theory, Visual Analytics, HCI</t>
  </si>
  <si>
    <t>Using random projections to identify class-separating variables in high-dimensional spaces</t>
  </si>
  <si>
    <t>10.1109/VAST.2011.6102465</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</si>
  <si>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</si>
  <si>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Anushka Anand;Leland Wilkinson;Dang Tuan Nhon</t>
  </si>
  <si>
    <t>Anushka Anand;Leland Wilkinson;Tuan Nhon Dang</t>
  </si>
  <si>
    <t>Department of Computer Science, University of Illinois at Chicago, USA;Department of Computer Science, University of Illinois at Chicago, USA;Department of Computer Science, University of Illinois at Chicago, USA</t>
  </si>
  <si>
    <t>Evaluation of large display interaction using smart phones</t>
  </si>
  <si>
    <t>10.1109/VAST.2011.6102466</t>
  </si>
  <si>
    <t>This paper introduces an efficient algorithm for computing the Reeb graph of a scalar function f defined on a volumetric mesh M in Ropf3.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</si>
  <si>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Sci. Comput. &amp; Imaging Inst., Univ. of Utah, Salt Lake City, UT, USA|c|;;;</t>
  </si>
  <si>
    <t>http://dx.doi.org/10.1109/TVCG.2009.164</t>
  </si>
  <si>
    <t>Visual analytics, “the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</si>
  <si>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Jens Bauer;Sebastian Thelen;Achim Ebert</t>
  </si>
  <si>
    <t>Computer Graphics &amp; HCI Lab, University of Kaiserslautern, Germany;Computer Graphics &amp; HCI Lab, University of Kaiserslautern, Germany;Computer Graphics &amp; HCI Lab, University of Kaiserslautern, Germany</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</si>
  <si>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Intelreg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</si>
  <si>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Query-based coordinated multiple views with Feature Similarity Space for visual analysis of MRI repositories</t>
  </si>
  <si>
    <t>Intel Corp., Santa Clara, CA, USA|c|;;;;;;;;;;;;;</t>
  </si>
  <si>
    <t>10.1109/VAST.2011.6102467</t>
  </si>
  <si>
    <t>http://dx.doi.org/10.1109/TVCG.2009.165</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</si>
  <si>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</si>
  <si>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Ian Bowman;Shantanu H. Joshi;John D. Van Horn</t>
  </si>
  <si>
    <t>Ian Bowman;Shantanu H. Joshi;John Darrell Van Horn</t>
  </si>
  <si>
    <t>Laboratory of Neuro Imaging, University of California Los Angeles, 90034, USA;Laboratory of Neuro Imaging, University of California Los Angeles, 90034, USA;Laboratory of Neuro Imaging, University of California Los Angeles, 90034, USA</t>
  </si>
  <si>
    <t>Reasonable abstractions: Semantics for dynamic data visualization</t>
  </si>
  <si>
    <t>10.1109/VAST.2011.6102468</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</si>
  <si>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</si>
  <si>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Joseph A. Cottam;Andrew Lumsdaine</t>
  </si>
  <si>
    <t>Exploring agent-based simulations using temporal graphs</t>
  </si>
  <si>
    <t>10.1109/VAST.2011.6102469</t>
  </si>
  <si>
    <t>Frank van Ham;Martin Wattenberg;Fernanda B. Vi̩gas</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</si>
  <si>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</si>
  <si>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R. Jordan Crouser;Jeremy G. Freeman;Remco Chang</t>
  </si>
  <si>
    <t>Tufts University, USA;Tufts University, USA;Tufts University, USA</t>
  </si>
  <si>
    <t>http://dx.doi.org/10.1109/TVCG.2009.166</t>
  </si>
  <si>
    <t>Comput. Sci. Dept., Univ. of California, Irvine, Irvine, CA, USA|c|;</t>
  </si>
  <si>
    <t>http://dx.doi.org/10.1109/TVCG.2009.167</t>
  </si>
  <si>
    <t>http://dx.doi.org/10.1109/TVCG.2009.168</t>
  </si>
  <si>
    <t>Dept. of Comput. Sci., Univ. of Wisconsin, Madison, WI, USA|c|;;</t>
  </si>
  <si>
    <t>http://dx.doi.org/10.1109/TVCG.2009.169</t>
  </si>
  <si>
    <t>Timo Ropinski;Sven Hermann;Rainer Reich;Michael Sch�_fers 0001;Klaus H. Hinrichs</t>
  </si>
  <si>
    <t>Visualization &amp; Comput. Graphics Res. Group (VisCG), Univ. of Munster, Munster, Germany|c|;;;;</t>
  </si>
  <si>
    <t>Visual analytical approaches to evaluating uncertainty and bias in crowd sourced crisis information</t>
  </si>
  <si>
    <t>10.1109/VAST.2011.6102470</t>
  </si>
  <si>
    <t>http://dx.doi.org/10.1109/TVCG.2009.170</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</si>
  <si>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</si>
  <si>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Iain Dillingham;Jason Dykes;Jo Wood</t>
  </si>
  <si>
    <t>giCentre, School of Informatics, City University London, UK;giCentre, School of Informatics, City University London, UK;giCentre, School of Informatics, City University London, UK</t>
  </si>
  <si>
    <t>TreeVersity: Comparing tree structures by topology and node's attributes differences</t>
  </si>
  <si>
    <t>10.1109/VAST.2011.6102471</t>
  </si>
  <si>
    <t>Tech. Univ. Eindhoven, Eindhoven, Netherlands|c|;;;</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</si>
  <si>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</si>
  <si>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John Alexis Guerra Gómez;Audra Buck-Coleman;Catherine Plaisant;Ben Shneiderman</t>
  </si>
  <si>
    <t>HCIL &amp; Department of Computer Science, University of Maryland, USA;Department of Art, University of Maryland, USA;HCIL &amp; UMIACS, University of Maryland, USA;HCIL &amp; Department of Computer Science, University of Maryland, USA</t>
  </si>
  <si>
    <t>http://dx.doi.org/10.1109/TVCG.2009.171</t>
  </si>
  <si>
    <t>Visual sentiment analysis on twitter data streams</t>
  </si>
  <si>
    <t>10.1109/VAST.2011.6102472</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</si>
  <si>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</si>
  <si>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Ming C. Hao;Christian Rohrdantz;Halldór Janetzko;Umeshwar Dayal;Daniel A. Keim;Lars-Erik Haug;Meichun Hsu</t>
  </si>
  <si>
    <t>Ming Hao;Christian Rohrdantz;Halldór Janetzko;Umeshwar Dayal;Daniel A. Keim;Lars-Erik Haug;Mei-Chun Hsu</t>
  </si>
  <si>
    <t>Hewlett-Packard Labs, USA;Hewlett-Packard Labs, USA;Hewlett-Packard Labs, USA;Hewlett-Packard Labs, USA;Hewlett-Packard Labs, USA;University of Konstanz, Germany;University of Konstanz, Germany</t>
  </si>
  <si>
    <t>Analysts aren't machines: Inferring frustration through visualization interaction</t>
  </si>
  <si>
    <t>10.1109/VAST.2011.6102473</t>
  </si>
  <si>
    <t>Fernanda B. Vi̩gas;Martin Wattenberg;Jonathan Feinberg</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</si>
  <si>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</si>
  <si>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IBM Res., Hawthorne, CA, USA|c|;;</t>
  </si>
  <si>
    <t>Lane Harrison;Wenwen Dou;Aidong Lu;William Ribarsky;Xiaoyu Wang</t>
  </si>
  <si>
    <t>Computer Science, UNC-Charlotte, USA;Computer Science, UNC-Charlotte, USA;Computer Science, UNC-Charlotte, USA;Computer Science, UNC-Charlotte, USA;Computer Science, UNC-Charlotte, USA</t>
  </si>
  <si>
    <t>http://dx.doi.org/10.1109/TVCG.2009.172</t>
  </si>
  <si>
    <t>Automated measures for interpretable dimensionality reduction for visual classification: A user study</t>
  </si>
  <si>
    <t>10.1109/VAST.2011.6102474</t>
  </si>
  <si>
    <t>This paper studies the interpretability of transformations of labeled higher dimensional data into a 2D representation (scatterplots) for visual classification.&amp;lt;sup&amp;gt;1&amp;lt;/sup&amp;gt;In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</si>
  <si>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Ilknur Icke;Andrew Rosenberg</t>
  </si>
  <si>
    <t>The Graduate Center, The City University of New York, USA;The Graduate Center, The City University of New York, USA</t>
  </si>
  <si>
    <t>3D Visualization of temporal changes in bloggers' activities and interests</t>
  </si>
  <si>
    <t>10.1109/VAST.2011.6102475</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</si>
  <si>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</si>
  <si>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Masahiko Itoh;Naoki Yoshinaga 0001;Masashi Toyoda;Masaru Kitsuregawa</t>
  </si>
  <si>
    <t>Masahiko Itoh;Naoki Yoshinaga;Masashi Toyoda;Masaru Kitsuregawa</t>
  </si>
  <si>
    <t>Institute of Industrial Science, University of Tokyo, Japan;Institute of Industrial Science, University of Tokyo, Japan;Institute of Industrial Science, University of Tokyo, Japan;Institute of Industrial Science, University of Tokyo, Japan</t>
  </si>
  <si>
    <t>A state transition approach to understanding users' interactions</t>
  </si>
  <si>
    <t>10.1109/VAST.2011.6102476</t>
  </si>
  <si>
    <t>http://dx.doi.org/10.1109/VAST.2011.6102476</t>
  </si>
  <si>
    <t>Dept. of Comput. Sci. &amp; Eng., Hong Kong Univ. of Sci. &amp; Technol., Hong Kong, China|c|;;;;</t>
  </si>
  <si>
    <t>http://dx.doi.org/10.1109/TVCG.2009.173</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</si>
  <si>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</si>
  <si>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Dong Hyun Jeong;Soo-Yeon Ji;William Ribarsky;Remco Chang</t>
  </si>
  <si>
    <t>University of the District of Columbia, USA;Bowie State University, USA;University of North Carolina at Charlotte, USA;Tufts University, USA</t>
  </si>
  <si>
    <t>Visualizing an information assurance risk taxonomy</t>
  </si>
  <si>
    <t>10.1109/VAST.2011.6102477</t>
  </si>
  <si>
    <t>http://dx.doi.org/10.1109/VAST.2011.6102477</t>
  </si>
  <si>
    <t>Inst. of Visual Comput., ETH Zurich, Zurich, Switzerland|c|;;;</t>
  </si>
  <si>
    <t>http://dx.doi.org/10.1109/TVCG.2009.174</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</si>
  <si>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</si>
  <si>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Victoria Lemieux;Barbara Endicott-Popovsky;Karl Eckler;Thomas Dang;Adam Jansen</t>
  </si>
  <si>
    <t>University of British Columbia, USA;University of Washington, USA;University of Washington, USA;University of British Columbia, USA;University of British Columbia, USA</t>
  </si>
  <si>
    <t>Comput. Sci. Dept., Stanford Univ., Stanford, CA, USA|c|;</t>
  </si>
  <si>
    <t>Find distance function, hide model inference</t>
  </si>
  <si>
    <t>10.1109/VAST.2011.6102478</t>
  </si>
  <si>
    <t>http://dx.doi.org/10.1109/VAST.2011.6102478</t>
  </si>
  <si>
    <t>http://dx.doi.org/10.1109/TVCG.2009.175</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</si>
  <si>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</si>
  <si>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Jingjing Liu;Eli T. Brown;Remco Chang</t>
  </si>
  <si>
    <t>KD-photomap: Exploring photographs in space and time</t>
  </si>
  <si>
    <t>10.1109/VAST.2011.6102479</t>
  </si>
  <si>
    <t>http://dx.doi.org/10.1109/VAST.2011.6102479</t>
  </si>
  <si>
    <t>Center for Coastal &amp; Ocean Mapping, Univ. of New Hampshire, Durham, NH, USA|c|</t>
  </si>
  <si>
    <t>http://dx.doi.org/10.1109/TVCG.2009.176</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</si>
  <si>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</si>
  <si>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Iulian Peca;Haolin Zhi;Katerina Vrotsou;Natalia V. Andrienko;Gennady L. Andrienko</t>
  </si>
  <si>
    <t>Iulian Peca;Haolin Zhi;Katerina Vrotsou;Natalia Andrienko;Gennady Andrienko</t>
  </si>
  <si>
    <t>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USA;University of Bonn and Fraunhofer Institute for Intelligent Analysis and Information Systems (IAIS), USA</t>
  </si>
  <si>
    <t>PORGY: Interactive and visual reasoning with graph rewriting systems</t>
  </si>
  <si>
    <t>10.1109/VAST.2011.6102480</t>
  </si>
  <si>
    <t>http://dx.doi.org/10.1109/VAST.2011.6102480</t>
  </si>
  <si>
    <t>Georgia Tech, Atlanta, GA, USA|c|;;</t>
  </si>
  <si>
    <t>http://dx.doi.org/10.1109/TVCG.2009.177</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</si>
  <si>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</si>
  <si>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Bruno Pinaud;Jonathan Dubois;Guy Melançon</t>
  </si>
  <si>
    <t>University of Bordeaux and INRIA Bordeaux Sud-Ouest, France;University of Bordeaux and INRIA Bordeaux Sud-Ouest, France;University of Bordeaux and INRIA Bordeaux Sud-Ouest, France</t>
  </si>
  <si>
    <t>Exploring proportions: Comparative visualization of categorical data</t>
  </si>
  <si>
    <t>10.1109/VAST.2011.6102481</t>
  </si>
  <si>
    <t>http://dx.doi.org/10.1109/VAST.2011.6102481</t>
  </si>
  <si>
    <t>Gordon L. Kindlmann;Ra̼l San Jos̩ Est̩par;Stephen M. Smith;Carl-Fredrik Westin</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</si>
  <si>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</si>
  <si>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Dept. of Comput. Sci., Univ. of Chicago, Chicago, IL, USA|c|;;;</t>
  </si>
  <si>
    <t>Harald Piringer;Matthias Buchetics</t>
  </si>
  <si>
    <t>Pexel and heatmap visual analysis of multidimensional gun/homicide data</t>
  </si>
  <si>
    <t>http://dx.doi.org/10.1109/TVCG.2009.178</t>
  </si>
  <si>
    <t>10.1109/VAST.2011.6102482</t>
  </si>
  <si>
    <t>http://dx.doi.org/10.1109/VAST.2011.6102482</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</si>
  <si>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</si>
  <si>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Scott D. Rothenberger;John E. Wenskovitch;G. Elisabeta Marai</t>
  </si>
  <si>
    <t>Department of Statistics, University of Pittsburgh, USA;Department of Computer Science, University of Pittsburgh, USA;Department of Computer Science, University of Pittsburgh, USA</t>
  </si>
  <si>
    <t>Won-Ki Jeong;Johanna Beyer;Markus Hadwiger;Amelio V��zquez Reina;Hanspeter Pfister;Ross T. Whitaker</t>
  </si>
  <si>
    <t>City sentinel - VAST 2011 mini challenge 1 award: "Outstanding integration of computational and visual methods"</t>
  </si>
  <si>
    <t>Sch. of Eng. &amp; Appl. Sci., Harvard Univ., Cambridge, MA, USA|c|;;;;;</t>
  </si>
  <si>
    <t>10.1109/VAST.2011.6102485</t>
  </si>
  <si>
    <t>http://dx.doi.org/10.1109/VAST.2011.6102485</t>
  </si>
  <si>
    <t>http://dx.doi.org/10.1109/TVCG.2009.179</t>
  </si>
  <si>
    <t>We present City Sentinel, an in-house built visual analytic software capable of handling a large collection of textual documents by combining diverse text mining and visualization tools. We applied this tool for the Vast Challenge 2011, Mini Challenge 1 over millions of tweet messages. We demonstrate how City Sentinel aided the analyst in retrieving the hidden information from the tweet messages to analyze and locate a hypothetical epidemic outbreak.</t>
  </si>
  <si>
    <t>N. Banfi;L. Dudas;Zsolt Fekete;J. Gobolos-Szabo;András Lukács;A. Nagy;A. Szabo;Z. Szabo;G. Szucs</t>
  </si>
  <si>
    <t>N. Bánfi;L. Dudás;Zs. Fekete;J. Göbö lös-Szabó;A. Lukács;Á. Nagy;A. Szabó;Z. Szabó;G. Szűcs</t>
  </si>
  <si>
    <t>Computer and Automation Research Institute (MTA SZTAKI), Hungarian Academy of Sciences, Hungary;Computer and Automation Research Institute (MTA SZTAKI), Hungarian Academy of Sciences, Hungary;Computer and Automation Research Institute (MTA SZTAKI), Hungarian Academy of Sciences, Hungary;Data Mining and Web Search Group,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Hungary;Computer and Automation Research Institute (MTA SZTAKI), Hungarian Academy of Sciences, Hungary</t>
  </si>
  <si>
    <t>Mapping an epidemic outbreak: Effective analysis and presentation</t>
  </si>
  <si>
    <t>10.1109/VAST.2011.6102486</t>
  </si>
  <si>
    <t>http://dx.doi.org/10.1109/VAST.2011.6102486</t>
  </si>
  <si>
    <t>Key Lab. of Machine Perception (Minist. of Educ.), Peking Univ., Beijing, China|c|;;;;</t>
  </si>
  <si>
    <t>http://dx.doi.org/10.1109/TVCG.2009.180</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</si>
  <si>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</si>
  <si>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Kevin Boone;Edward Swing</t>
  </si>
  <si>
    <t>Vision Systems &amp;amp; Technology, Inc., a SAS Company, Australia;Vision Systems &amp;amp; Technology, Inc., a SAS Company, Australia</t>
  </si>
  <si>
    <t>ScatterBlogs: Geo-spatial document analysis</t>
  </si>
  <si>
    <t>10.1109/VAST.2011.6102488</t>
  </si>
  <si>
    <t>http://dx.doi.org/10.1109/VAST.2011.6102488</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</si>
  <si>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</si>
  <si>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Harald Bosch;Dennis Thom;Michael Wörner 0001;Steffen Koch;Edwin Puttmann;Dominik Jäckle;Thomas Ertl</t>
  </si>
  <si>
    <t>Harald Bosch;Dennis Thom;Michael Wörner;Steffen Koch;Edwin Püttmann;Dominik Jäckle;Thomas Ertl</t>
  </si>
  <si>
    <t>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t>
  </si>
  <si>
    <t>Sch. of Interactive Comput., Georgia Inst. of Technol., Atlanta, GA, USA|c|;;</t>
  </si>
  <si>
    <t>epSpread - Storyboarding for visual analytics</t>
  </si>
  <si>
    <t>10.1109/VAST.2011.6102489</t>
  </si>
  <si>
    <t>http://dx.doi.org/10.1109/VAST.2011.6102489</t>
  </si>
  <si>
    <t>http://dx.doi.org/10.1109/TVCG.2009.181</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</si>
  <si>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</si>
  <si>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Llyr ap Cenydd;Rick Walker;Serban R. Pop;Helen C. Miles;Chris J. Hughes;William John Teahan;Jonathan C. Roberts</t>
  </si>
  <si>
    <t>Llyr ap Cenydd;Rick Walker;Serban Pop;Helen Miles;Chris Hughes;William Teahan;Jonathan C. Roberts</t>
  </si>
  <si>
    <t>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t>
  </si>
  <si>
    <t>MobileAnalymator: Animating data changes on mobile devices</t>
  </si>
  <si>
    <t>10.1109/VAST.2011.6102490</t>
  </si>
  <si>
    <t>http://dx.doi.org/10.1109/VAST.2011.6102490</t>
  </si>
  <si>
    <t>Visualization Group, Delft Univ. of Technol., Delft, Netherlands|c|;;;;;</t>
  </si>
  <si>
    <t>http://dx.doi.org/10.1109/TVCG.2009.182</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</si>
  <si>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</si>
  <si>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Victor Y. Chen;Cheryl Z. Qian;Li Zhang</t>
  </si>
  <si>
    <t>Yingjie Victor Chen;Zhenyu Cheryl Qian;Li Zhang</t>
  </si>
  <si>
    <t>Interaction Design, Purdue University, USA;Interaction Design, Purdue University, USA;Interaction Design, Purdue University, USA</t>
  </si>
  <si>
    <t>Geovisual analytics for cyber security: Adopting the GeoViz Toolkit</t>
  </si>
  <si>
    <t>10.1109/VAST.2011.6102491</t>
  </si>
  <si>
    <t>http://dx.doi.org/10.1109/VAST.2011.6102491</t>
  </si>
  <si>
    <t>Peter Bak;Florian Mansmann;Halld�_r Janetzko;Daniel A. Keim</t>
  </si>
  <si>
    <t>Univ. of Konstanz, Konstanz, Germany|c|;;;</t>
  </si>
  <si>
    <t>http://dx.doi.org/10.1109/TVCG.2009.183</t>
  </si>
  <si>
    <t>For the VAST 2011 Network Security Mini-Challenge, we adopted geovisual analytic methods and applied them in the field of network security. We used the GeoViz Toolkit [1] to represent cyber security events, by fabricating a simple “geography”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</si>
  <si>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Nicklaus A. Giacobe;Sen Xu</t>
  </si>
  <si>
    <t>College of Information Sciences and Technology, The Pennsylvania State University, USA;Department of Geography and GeoVISTA Center, The Pennsylvania State University, USA</t>
  </si>
  <si>
    <t>Guiding security analysis through visualization</t>
  </si>
  <si>
    <t>10.1109/VAST.2011.6102492</t>
  </si>
  <si>
    <t>http://dx.doi.org/10.1109/VAST.2011.6102492</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</si>
  <si>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</si>
  <si>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An integrated visualization on network events VAST 2011 mini challenge #2 award: "Outstanding integrated overview display"</t>
  </si>
  <si>
    <t>10.1109/VAST.2011.6102493</t>
  </si>
  <si>
    <t>http://dx.doi.org/10.1109/TVCG.2009.184</t>
  </si>
  <si>
    <t>http://dx.doi.org/10.1109/VAST.2011.6102493</t>
  </si>
  <si>
    <t>To visualize security trends for the data set provided by the VAST 2011 Mini Challenge #2 a custom tool has been developed. Open source tools [1,2], web programming languages [4,7] and an open source database [3] has been used to work with the data and create a visualization for security log files containing network security trends. In this paper, the tools and methods used for the analysis are described. The methods include the log synchronization with different timezone and the development of heat maps and parallel coordinates charts. To develop the visualization, Processing and Canvas [4,7] was used.</t>
  </si>
  <si>
    <t>Walter Marcelo Lamagna</t>
  </si>
  <si>
    <t>Universidad de Buenos Aires, Master on Datamining and Knowledge Discovery, Spain</t>
  </si>
  <si>
    <t>Analyst's workspace: Protecting vastopolis</t>
  </si>
  <si>
    <t>10.1109/VAST.2011.6102495</t>
  </si>
  <si>
    <t>http://dx.doi.org/10.1109/VAST.2011.6102495</t>
  </si>
  <si>
    <t>Christian Dick;Joachim Georgii;Rainer Burgkart;R�_diger Westermann</t>
  </si>
  <si>
    <t>Comput. Graphics &amp; Visualization Group, Tech. Univ. Munchen, Munich, Germany|c|;;;</t>
  </si>
  <si>
    <t>http://dx.doi.org/10.1109/TVCG.2009.185</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</si>
  <si>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</si>
  <si>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Christopher Andrews;M. Shahriar Hossain;Samah Gad;Naren Ramakrishnan;Chris North</t>
  </si>
  <si>
    <t>Virginia Tech, USA;Virginia Tech, USA;Virginia Tech, USA;Virginia Tech, USA;Virginia Tech, USA</t>
  </si>
  <si>
    <t>Jigsaw to save vastopolis</t>
  </si>
  <si>
    <t>10.1109/VAST.2011.6102496</t>
  </si>
  <si>
    <t>http://dx.doi.org/10.1109/VAST.2011.6102496</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</si>
  <si>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 ransfer function generation serves as a reasonable base for volumetric rendering, reducing the trial-and-error overhead typically found in transfer function design.</t>
  </si>
  <si>
    <t>Rendering &amp; Perceptualization Laboaratoy, Purdue Univ., Purdue, CA, USA|c|;;;</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</si>
  <si>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</si>
  <si>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http://dx.doi.org/10.1109/TVCG.2009.186</t>
  </si>
  <si>
    <t>Elizabeth Braunstein;Carsten Görg;Zhicheng Liu;John T. Stasko</t>
  </si>
  <si>
    <t>Elizabeth Braunstein;Carsten Görg;Zhicheng Liu;John Stasko</t>
  </si>
  <si>
    <t>Mercyhurst College, USA;Univ. of Colorado Denver, USA;Georgia Tech, USA;Georgia Tech, USA</t>
  </si>
  <si>
    <t>Interactive data analysis with nSpace2(c)</t>
  </si>
  <si>
    <t>10.1109/VAST.2011.6102497</t>
  </si>
  <si>
    <t>http://dx.doi.org/10.1109/VAST.2011.6102497</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</si>
  <si>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</si>
  <si>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Dept. of Comput. Sci., Univ. of Maryland, College Park, MD, USA|c|;</t>
  </si>
  <si>
    <t>Casey M. Canfield;David Sheffield</t>
  </si>
  <si>
    <t>Oculus Info Inc., USA;Oculus Info Inc., USA</t>
  </si>
  <si>
    <t>http://dx.doi.org/10.1109/TVCG.2009.187</t>
  </si>
  <si>
    <t>Visual analytics of terrorist activities related to epidemics</t>
  </si>
  <si>
    <t>10.1109/VAST.2011.6102498</t>
  </si>
  <si>
    <t>http://dx.doi.org/10.1109/VAST.2011.6102498</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</si>
  <si>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</si>
  <si>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Enrico Bertini;Juri Buchmüller;Fabian Fischer 0001;Stephan Huber;Thomas Lindemeier;Fabian Maass;Florian Mansmann;Thomas Ramm;Michael Regenscheit;Christian Rohrdantz;Christian Scheible;Tobias Schreck;Stephan Sellien;Florian Stoffel;Mark Tautzenberger;Matthias Zieker;Daniel A. Keim</t>
  </si>
  <si>
    <t>Enrico Bertini;Christian Scheible;Tobias Schreck;Stephan Sellien;Florian Stoffel;Mark Tautzenberger;Matthias Zieker;Daniel A. Keim;Juri Buchmüller;Fabian Fischer;Stephan Huber;Thomas Lindemeier;Fabian Maaß;Florian Mansmann;Thomas Ramm;Michael Regenscheit;Christian Rohrdantz</t>
  </si>
  <si>
    <t>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t>
  </si>
  <si>
    <t>A Scale Space Based Persistence Measure for Critical Points in 2D Scalar fields</t>
  </si>
  <si>
    <t>10.1109/TVCG.2011.159</t>
  </si>
  <si>
    <t>Dept. of Comput. Sci., Univ. of Maryland at Coll. Park, College Park, MD, USA|c|;;;;;;;</t>
  </si>
  <si>
    <t>http://dx.doi.org/10.1109/TVCG.2009.188</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</si>
  <si>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</si>
  <si>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Jan Reininghaus;Natallia Kotava;David Günther;Jens Kasten;Hans Hagen;Ingrid Hotz</t>
  </si>
  <si>
    <t>Jan Reininghaus;Natallia Kotava;David Guenther;Jens Kasten;Hans Hagen;Ingrid Hotz</t>
  </si>
  <si>
    <t>Zuse Institute Berlin, Germany;University of Kaiserslautern, Germany;Zuse Institute Berlin, Germany;Zuse Institute Berlin, Germany;University of Kaiserslautern, Germany;Zuse Institute Berlin, Germany</t>
  </si>
  <si>
    <t>10.1109/TVCG.2008.110;10.1109/TVCG.2008.162;10.1109/TVCG.2007.70603;10.1109/TVCG.2009.177;10.1109/TVCG.2006.186</t>
  </si>
  <si>
    <t>Scale space, persistence, discrete Morse theory</t>
  </si>
  <si>
    <t>About the Influence of Illumination Models on Image Comprehension in Direct Volume Rendering</t>
  </si>
  <si>
    <t>10.1109/TVCG.2011.161</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</si>
  <si>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</si>
  <si>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Florian Lindemann;Timo Ropinski</t>
  </si>
  <si>
    <t>University of Münster;University of Münster</t>
  </si>
  <si>
    <t>10.1109/TVCG.2008.108;10.1109/VISUAL.2002.1183761;10.1109/TVCG.2009.172;10.1109/TVCG.2011.211;10.1109/VISUAL.2003.1250394;10.1109/VISUAL.2002.1183764</t>
  </si>
  <si>
    <t>Volumetric illumination, volume rendering, spatial comprehension</t>
  </si>
  <si>
    <t>Adaptive Extraction and Quantification of Geophysical Vortices</t>
  </si>
  <si>
    <t>10.1109/TVCG.2011.162</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</si>
  <si>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 - nd participation. An implication of our study for information visualization applications is to extend them by using real-time group annotation functionalities that aid in the group sense making process of the represented data.</t>
  </si>
  <si>
    <t>Univ. of Lugano, Lugano, Switzerland|c|;</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</si>
  <si>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</si>
  <si>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Sean Williams;Mark Petersen;Peer-Timo Bremer;Matthew Hecht;Valerio Pascucci;James P. Ahrens;Mario Hlawitschka;Bernd Hamann</t>
  </si>
  <si>
    <t>Sean Williams;Mark Petersen;Peer-Timo Bremer;Matthew Hecht;Valerio Pascucci;James Ahrens;Mario Hlawitschka;Bernd Hamann</t>
  </si>
  <si>
    <t>Computer, Computational and Statistical Sciences Division, Los Alamos National Laboratory;Lawrence-Livermore National Laboratory;Computer, Computational and Statistical Sciences Division, Los Alamos National Laboratory;Scientific Computing and Imaging Institute, University of Utah;Computer, Computational and Statistical Sciences Division, Los Alamos National Laboratory;Institute for Data Analysis and Visualization (IDAV) and Department of Computer Science, University of California, Davis;Institute for Data Analysis and Visualization (IDAV) and Department of Computer Science, University of California, Davis</t>
  </si>
  <si>
    <t>10.1109/VISUAL.1994.346327;10.1109/TVCG.2008.143;10.1109/VISUAL.1993.398877</t>
  </si>
  <si>
    <t>Vortex extraction, feature extraction, statistical data analysis</t>
  </si>
  <si>
    <t>http://dx.doi.org/10.1109/TVCG.2009.189</t>
  </si>
  <si>
    <t>An Efficient Direct Volume Rendering Approach for Dichromats</t>
  </si>
  <si>
    <t>10.1109/TVCG.2011.164</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</si>
  <si>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</si>
  <si>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Weifeng Chen 0002;Wei Chen 0001;Hujun Bao</t>
  </si>
  <si>
    <t>Weifeng Chen;Wei Chen;Hujun Bao</t>
  </si>
  <si>
    <t>Zhejiang University;Zhejiang University;Zhejiang University</t>
  </si>
  <si>
    <t>10.1109/TVCG.2008.118;10.1109/TVCG.2009.172;10.1109/TVCG.2008.112;10.1109/TVCG.2009.150;10.1109/VISUAL.2005.1532833;10.1109/TVCG.2009.113</t>
  </si>
  <si>
    <t>Dichromacy, direct volume rendering, volume classification, image recoloring</t>
  </si>
  <si>
    <t>An Interactive Local Flattening Operator to Support Digital Investigations on Artwork Surfaces</t>
  </si>
  <si>
    <t>10.1109/TVCG.2011.165</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</si>
  <si>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</si>
  <si>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Univ. of California at Davis, Davis, CA, USA|c|;</t>
  </si>
  <si>
    <t>Nico Pietroni;Massimiliano Corsini;Paolo Cignoni;Roberto Scopigno</t>
  </si>
  <si>
    <t>Nico Pietroni;Corsini Massimiliano;Paolo Cignoni;Roberto Scopigno</t>
  </si>
  <si>
    <t>ISTI-CNR;ISTI-CNR;ISTI-CNR;ISTI-CNR</t>
  </si>
  <si>
    <t>Surface Characterization, Interactive Inspection, Cultural Heritage, Mesh Parameterization, Image Processing</t>
  </si>
  <si>
    <t>Artificial Defocus for Displaying Markers in Microscopy Z-Stacks</t>
  </si>
  <si>
    <t>http://dx.doi.org/10.1109/TVCG.2009.190</t>
  </si>
  <si>
    <t>10.1109/TVCG.2011.168</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</si>
  <si>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</si>
  <si>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Alessandro Giusti;Pierluigi Taddei;Giorgio Corani;Luca Maria Gambardella;Cristina Magli;Luca Gianaroli</t>
  </si>
  <si>
    <t>Alessandro Giusti;Pierluigi Taddei;Giorgio Corani;Luca Gambardella;Cristina Magli;Luca Gianaroli</t>
  </si>
  <si>
    <t>Dalle Molle Institute for Artificial Intelligence, Lugano, Switzerland;JRC, Ispra;Dalle Molle Institute for Artificial Intelligence, Lugano, Switzerland;Dalle Molle Institute for Artificial Intelligence, Lugano, Switzerland;International Institute of Reproductive Medicine, Lugano, Switzerland;International Institute of Reproductive Medicine, Lugano, Switzerland</t>
  </si>
  <si>
    <t>Depth of field, Microscopy, Focus stacks</t>
  </si>
  <si>
    <t>Asymmetric Tensor field Visualization for Surfaces</t>
  </si>
  <si>
    <t>10.1109/TVCG.2011.170</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</si>
  <si>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</si>
  <si>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Darrel Palke;Zhongzang Lin;Guoning Chen;Harry Yeh;Paul Vincent;Robert S. Laramee;Eugene Zhang</t>
  </si>
  <si>
    <t>Darrel Palke;Zhongzang Lin;Guoning Chen;Harry Yeh;Paul Vincent;Robert Laramee;Eugene Zhang</t>
  </si>
  <si>
    <t>Oregon State University;Oregon State University;SCI, University of Utah;Oregon State University;Oregon State University;Swansea University;Oregon State University</t>
  </si>
  <si>
    <t>10.1109/VISUAL.2003.1250379;10.1109/TVCG.2010.199;10.1109/VISUAL.2004.105;10.1109/VISUAL.1993.398849;10.1109/VISUAL.2005.1532773;10.1109/VISUAL.2005.1532770;10.1109/TVCG.2006.134;10.1109/VISUAL.2005.1532850;10.1109/TVCG.2006.116;10.1109/VISUAL.2005.1532841;10.1109/VISUAL.2003.1250363;10.1109/VISUAL.1998.745295;10.1109/VISUAL.2004.80;10.1109/VISUAL.1998.745294;10.1109/VISUAL.2005.1532832;10.1109/VISUAL.1999.809905;10.1109/VISUAL.2000.885690;10.1109/VISUAL.1994.346326</t>
  </si>
  <si>
    <t>Aasymmetric tensor fields, vector fields, glyph packing, hyperstreamline placement, view-dependent</t>
  </si>
  <si>
    <t>Authalic Parameterization of General Surfaces Using Lie Advection</t>
  </si>
  <si>
    <t>10.1109/TVCG.2011.171</t>
  </si>
  <si>
    <t>Inst. of Data Anal. &amp; Visualization, Univ. of California, Davis, CA, USA|c|;;</t>
  </si>
  <si>
    <t>http://dx.doi.org/10.1109/TVCG.2009.191</t>
  </si>
  <si>
    <t>http://dx.doi.org/10.1109/TVCG.2009.194</t>
  </si>
  <si>
    <t>Tiago Etiene;Carlos Eduardo Scheidegger;Luis Gustavo Nonato;Robert Michael Kirby;Cl��udio T. Silva</t>
  </si>
  <si>
    <t>Sch. of Comput. &amp; Sci. Comput., Univ. of Utah, Salt Lake City, UT, USA|c|;;;;</t>
  </si>
  <si>
    <t>http://dx.doi.org/10.1109/TVCG.2009.195</t>
  </si>
  <si>
    <t>Emanuele Santos;Lauro Didier Lins;James P. Ahrens;Juliana Freire;Cl��udio T. Silva</t>
  </si>
  <si>
    <t>Sci. Comput. &amp; Imaging (SCI) Inst., Univ. of Utah, Salt Lake City, UT, USA|c|;;;;</t>
  </si>
  <si>
    <t>http://dx.doi.org/10.1109/TVCG.2009.196</t>
  </si>
  <si>
    <t>Chris Muelder;Fran̤ois Gygi;Kwan-Liu Ma</t>
  </si>
  <si>
    <t>Univ. of California, Davis, CA, USA|c|;;</t>
  </si>
  <si>
    <t>http://dx.doi.org/10.1109/TVCG.2009.197</t>
  </si>
  <si>
    <t>Heike Leitte;Michael B̦ttinger;Uwe Mikolajewicz;Gerik Scheuermann</t>
  </si>
  <si>
    <t>Univ. of Leipzig, Leipzig, Germany|c|;;;</t>
  </si>
  <si>
    <t>http://dx.doi.org/10.1109/TVCG.2009.198</t>
  </si>
  <si>
    <t>Zuse Inst. Berlin (ZIB), Berlin, Germany|c|;;;;</t>
  </si>
  <si>
    <t>http://dx.doi.org/10.1109/TVCG.2009.199</t>
  </si>
  <si>
    <t>Raphael Fuchs;J�_rgen Waser;M. Eduard Gr̦ller</t>
  </si>
  <si>
    <t>ETH Zurich, Zurich, Switzerland|c|;;</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</si>
  <si>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</si>
  <si>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Guangyu Zou;Jiaxi Hu;Xianfeng Gu;Jing Hua</t>
  </si>
  <si>
    <t>Wayne State University;Wayne State University;Stony Brook University;Wayne State University</t>
  </si>
  <si>
    <t>10.1109/TVCG.2008.134;10.1109/TVCG.2009.159;10.1109/TVCG.2006.134;10.1109/VISUAL.2004.75;10.1109/VISUAL.2002.1183795;10.1109/VISUAL.2001.964553</t>
  </si>
  <si>
    <t>http://dx.doi.org/10.1109/TVCG.2009.200</t>
  </si>
  <si>
    <t>Area-preserving surface parameterization, differential forms, Lie advection, surface visualization</t>
  </si>
  <si>
    <t>Automatic Transfer Functions Based on Informational Divergence</t>
  </si>
  <si>
    <t>10.1109/TVCG.2011.173</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</si>
  <si>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</si>
  <si>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Marc Ruiz;Anton Bardera;Imma Boada;Ivan Viola</t>
  </si>
  <si>
    <t>Marc Ruiz;Anton Bardera;Imma Boada;Ivan Viola;Miquel Feixas;Mateu Sbert</t>
  </si>
  <si>
    <t>University of Girona;University of Girona;University of Girona;University of Bergen</t>
  </si>
  <si>
    <t>10.1109/TVCG.2010.132;10.1109/TVCG.2006.137;10.1109/TVCG.2006.159;10.1109/TVCG.2010.131;10.1109/TVCG.2006.152;10.1109/VISUAL.2003.1250414;10.1109/TVCG.2007.70576;10.1109/TVCG.2009.120;10.1109/VISUAL.1996.568113;10.1109/TVCG.2008.140;10.1109/VISUAL.2005.1532834;10.1109/VISUAL.2002.1183785;10.1109/TVCG.2006.148</t>
  </si>
  <si>
    <t>Transfer function, Information theory, Informational divergence, Kullback-Leibler distance</t>
  </si>
  <si>
    <t>http://dx.doi.org/10.1109/TVCG.2009.201</t>
  </si>
  <si>
    <t>Branching and Circular Features in High Dimensional Data</t>
  </si>
  <si>
    <t>10.1109/TVCG.2011.177</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</si>
  <si>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</si>
  <si>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Bei Wang;Brian Summa;Valerio Pascucci;Mikael Vejdemo-Johansson</t>
  </si>
  <si>
    <t>SCI Institute, University of Utah;SCI Institute, University of Utah;SCI Institute, University of Utah;Department of mathematics, Stanford University</t>
  </si>
  <si>
    <t>10.1109/TVCG.2010.213;10.1109/TVCG.2009.119;10.1109/TVCG.2007.70601;10.1109/TVCG.2010.139;10.1109/VAST.2010.5652940</t>
  </si>
  <si>
    <t>Dimensionality reduction, circular coordinates, visualization, topological analysis</t>
  </si>
  <si>
    <t>Context Preserving Maps of Tubular Structures</t>
  </si>
  <si>
    <t>10.1109/TVCG.2011.182</t>
  </si>
  <si>
    <t>LGI2P/EMA Res. Center, France|c|;;;</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</si>
  <si>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</si>
  <si>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Joseph Marino</t>
  </si>
  <si>
    <t>Joseph Marino;Wei Zeng;Xianfeng Gu;Arie Kaufman</t>
  </si>
  <si>
    <t>Stony Brook University</t>
  </si>
  <si>
    <t>10.1109/TVCG.2006.112;10.1109/TVCG.2010.200;10.1109/VISUAL.2001.964540</t>
  </si>
  <si>
    <t>Geometry-based technique, volume rendering, biomedical visualization, medical visualization, conformal mapping</t>
  </si>
  <si>
    <t>http://dx.doi.org/10.1109/TVCG.2009.202</t>
  </si>
  <si>
    <t>Crepuscular Rays for Tumor Accessibility Planning</t>
  </si>
  <si>
    <t>10.1109/TVCG.2011.184</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</si>
  <si>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</si>
  <si>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Rostislav Khlebnikov;Bernhard Kainz;Judith Muehl;Dieter Schmalstieg</t>
  </si>
  <si>
    <t>Graz University of Technology;Graz University of Technology;Graz University of Technology;Graz University of Technology</t>
  </si>
  <si>
    <t>Accessibility, ray casting, medical visualization</t>
  </si>
  <si>
    <t>Distance Visualization for Interactive 3D Implant Planning</t>
  </si>
  <si>
    <t>10.1109/TVCG.2011.189</t>
  </si>
  <si>
    <t>Drexel Univ., Philadelphia, PA, USA|c|;;</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</si>
  <si>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</si>
  <si>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http://dx.doi.org/10.1109/TVCG.2009.203</t>
  </si>
  <si>
    <t>Christian Dick;Rainer Burgkart;Rüdiger Westermann</t>
  </si>
  <si>
    <t>Christian Dick;Rainer Burgkart;Rudiger Westermann</t>
  </si>
  <si>
    <t>10.1109/VISUAL.2002.1183752;10.1109/TVCG.2009.184</t>
  </si>
  <si>
    <t>Distance visualization, biomedical visualization, implant planning, glyphs, distance fields</t>
  </si>
  <si>
    <t>Evaluation of Trend Localization with Multi-Variate Visualizations</t>
  </si>
  <si>
    <t>10.1109/TVCG.2011.194</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</si>
  <si>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</si>
  <si>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Mark A. Livingston;Jonathan W. Decker</t>
  </si>
  <si>
    <t>Mark Livingston;Jonathan Decker</t>
  </si>
  <si>
    <t>Naval Research Laboratory;Naval Research Laboratory</t>
  </si>
  <si>
    <t>10.1109/TVCG.2009.126;10.1109/VISUAL.1998.745292;10.1109/VISUAL.1990.146387;10.1109/VISUAL.1990.146386;10.1109/TVCG.2007.70623;10.1109/VISUAL.1991.175795;10.1109/VISUAL.1999.809905;10.1109/VISUAL.2003.1250362;10.1109/VISUAL.1998.745294;10.1109/VISUAL.2003.1250362</t>
  </si>
  <si>
    <t>User study, multi-variate visualization, visual task design, visual analytics</t>
  </si>
  <si>
    <t>Extinction-Based Shading and Illumination in GPU Volume Ray-Casting</t>
  </si>
  <si>
    <t>10.1109/TVCG.2011.198</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</si>
  <si>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</si>
  <si>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Philipp Schlegel;Maxim Makhinya;Renato Pajarola</t>
  </si>
  <si>
    <t>University of Zurich;University of Zurich;University of Zurich</t>
  </si>
  <si>
    <t>10.1109/TVCG.2007.70555;10.1109/VISUAL.2002.1183764;10.1109/VISUAL.2003.1250384</t>
  </si>
  <si>
    <t>Volume Rendering, Shadows, Ambient Occlusion, GPU Ray-Casting, Exponential Extinction</t>
  </si>
  <si>
    <t>Feature-Based Statistical Analysis of Combustion Simulation Data</t>
  </si>
  <si>
    <t>10.1109/TVCG.2011.199</t>
  </si>
  <si>
    <t>http://dx.doi.org/10.1109/TVCG.2009.204</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</si>
  <si>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science; however, it is applicable to many other science domains.</t>
  </si>
  <si>
    <t>Janine Bennett;Vaidyanathan Krishnamoorthy;Shusen Liu;Ray W. Grout;Evatt R. Hawkes;Jacqueline Chen;Jason F. Shepherd;Valerio Pascucci;Peer-Timo Bremer</t>
  </si>
  <si>
    <t>Janine C. Bennett;Vaidyanathan Krishnamoorthy;Shusen Liu;Ray W. Grout;Evatt R. Hawkes;Jacqueline H. Chen;Jason Shepherd;Valerio Pascucci;Peer-Timo Bremer</t>
  </si>
  <si>
    <t>Sandia National Laboratories;SCI Institute, University of Utah;SCI Institute, University of Utah;National Renewable Energy Laboratory;The University of New South Wales;Sandia National Laboratories;Sandia National Laboratories;SCI Institute, University of Utah;Lawrence Livermore National Laboratory SCI Institute, University of Utah</t>
  </si>
  <si>
    <t>10.1109/VISUAL.2004.96;10.1109/VISUAL.2003.1250386;10.1109/TVCG.2007.70603;10.1109/TVCG.2006.186;10.1109/VISUAL.1997.663875</t>
  </si>
  <si>
    <t>Topology, Statistics, Data analysis, Data exploration, Visualization in Physical Sciences and Engineering, Multi-variate Data</t>
  </si>
  <si>
    <t>Features in Continuous Parallel Coordinates</t>
  </si>
  <si>
    <t>10.1109/TVCG.2011.200</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</si>
  <si>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</si>
  <si>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Department of Simulation and Graphics, University of Magdeburg, Germany;Department of Simulation and Graphics, University of Magdeburg, Germany</t>
  </si>
  <si>
    <t>10.1109/TVCG.2008.119;10.1109/TVCG.2010.146;10.1109/VISUAL.1998.745284;10.1109/TVCG.2009.131;10.1109/VISUAL.1999.809896</t>
  </si>
  <si>
    <t>Features, Parallel Coordinates, Topology, Visualization</t>
  </si>
  <si>
    <t>Flow Radar Glyphs—Static Visualization of Unsteady Flow with Uncertainty</t>
  </si>
  <si>
    <t>10.1109/TVCG.2011.203</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</si>
  <si>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C0 transfer functions.</t>
  </si>
  <si>
    <t>Univ. of Kaiserslautern, Kaiserslautern, Germany|c|;;;;;</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</si>
  <si>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</si>
  <si>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Marcel Hlawatsch;Philipp C. Leube;Wolfgang Nowak;Daniel Weiskopf</t>
  </si>
  <si>
    <t>Marcel Hlawatsch;Philipp Leube;Wolfgang Nowak;Daniel Weiskopf</t>
  </si>
  <si>
    <t>Visualization Research Center, University of Stuttgart;Institute of Hydraulic Engineering (LH2), University of Stuttgart;Institute of Hydraulic Engineering (LH2), University of Stuttgart;Visualization Research Center, University of Stuttgart</t>
  </si>
  <si>
    <t>10.1109/VISUAL.2005.1532853;10.1109/VISUAL.1993.398849;10.1109/INFVIS.2001.963273;10.1109/VISUAL.2003.1250402;10.1109/VISUAL.1996.568139;10.1109/VISUAL.2005.1532857;10.1109/VISUAL.1991.175792;10.1109/VISUAL.1995.480819;10.1109/VISUAL.1996.568116;10.1109/TVCG.2009.182</t>
  </si>
  <si>
    <t>Visualization, glyph, uncertainty, unsteady flow</t>
  </si>
  <si>
    <t>http://dx.doi.org/10.1109/VAST.2009.5332481</t>
  </si>
  <si>
    <t>FoamVis: Visualization of 2D Foam Simulation Data</t>
  </si>
  <si>
    <t>10.1109/TVCG.2011.204</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</si>
  <si>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</si>
  <si>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Dan R. Lipsa;Robert S. Laramee;Simon J. Cox;Tudur Davies</t>
  </si>
  <si>
    <t>Dan Lipsa;Robert Laramee;Simon Cox;Tudur Davies</t>
  </si>
  <si>
    <t>Swansea University;Swansea University;Aberystwyth University;Aberystwyth University</t>
  </si>
  <si>
    <t>10.1109/TVCG.2008.147;10.1109/TVCG.2008.139</t>
  </si>
  <si>
    <t>Surface Evolver, bubble-scale simulation, time-dependent visualizations</t>
  </si>
  <si>
    <t>GPU-Based Interactive Cut-Surface Extraction From High-Order finite Element fields</t>
  </si>
  <si>
    <t>10.1109/TVCG.2011.206</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</si>
  <si>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</si>
  <si>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Blake Nelson;Robert Michael Kirby;Robert Haimes</t>
  </si>
  <si>
    <t>Blake Nelson;Robert M. Kirby;Robert Haimes</t>
  </si>
  <si>
    <t>University of Utah;University of Utah;MIT</t>
  </si>
  <si>
    <t>10.1109/VISUAL.2005.1532776;10.1109/VISUAL.2004.91;10.1109/TVCG.2006.154</t>
  </si>
  <si>
    <t>Vision Syst. &amp; Technol., Inc., NJ, USA|c|</t>
  </si>
  <si>
    <t>GPU-based Real-Time Approximation of the Ablation Zone for Radiofrequency Ablation</t>
  </si>
  <si>
    <t>10.1109/TVCG.2011.207</t>
  </si>
  <si>
    <t>http://dx.doi.org/10.1109/VAST.2009.5332485</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</si>
  <si>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</si>
  <si>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Christian Rieder;Tim Kröger;Christian Schumann;Horst K. Hahn</t>
  </si>
  <si>
    <t>Christian Rieder;Tim Kroeger;Christian Schumann;Horst K. Hahn</t>
  </si>
  <si>
    <t>Fraunhofer MEVIS;Fraunhofer MEVIS / CeVis, University of Bremen;Fraunhofer MEVIS;Fraunhofer MEVIS / Jacobs University Bremen</t>
  </si>
  <si>
    <t>10.1109/TVCG.2010.208;10.1109/VISUAL.1998.745311;10.1109/VISUAL.2000.885694</t>
  </si>
  <si>
    <t>Radiofrequency ablation, ablation zone visualization, distance field, volume rendering, GPU, interaction</t>
  </si>
  <si>
    <t>Hierarchical Event Selection for Video Storyboards with a Case Study on Snooker Video Visualization</t>
  </si>
  <si>
    <t>10.1109/TVCG.2011.208</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</si>
  <si>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</si>
  <si>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Matthew L. Parry;Philip A. Legg;David H. S. Chung;Iwan W. Griffiths;Min Chen</t>
  </si>
  <si>
    <t>Matthew L. Parry;Philip A. Legg;David H.S. Chung;Iwan W. Griffiths;Min Chen</t>
  </si>
  <si>
    <t>Swansea University;Swansea University;Swansea University;Swansea University;Swansea University</t>
  </si>
  <si>
    <t>Virginia Polytech. Inst. &amp; State Univ., Blacksburg, VA, USA|c|;;;</t>
  </si>
  <si>
    <t>10.1109/TVCG.2008.185;10.1109/INFVIS.2004.27;10.1109/VISUAL.2003.1250401;10.1109/TVCG.2007.70544;10.1109/TVCG.2006.194</t>
  </si>
  <si>
    <t>Multimedia visualization, Time series data, Illustrative visualization</t>
  </si>
  <si>
    <t>http://dx.doi.org/10.1109/VAST.2009.5332584</t>
  </si>
  <si>
    <t>Image Plane Sweep Volume Illumination</t>
  </si>
  <si>
    <t>10.1109/TVCG.2011.211</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</si>
  <si>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</si>
  <si>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Erik Sundén;Anders Ynnerman;Timo Ropinski</t>
  </si>
  <si>
    <t>Erik Sunden;Anders Ynnerman;Timo Ropinski</t>
  </si>
  <si>
    <t>Link&amp;#x0F5;ping University;Link&amp;#x0F5;ping University;University of M&amp;#x0FC;nster</t>
  </si>
  <si>
    <t>10.1109/TVCG.2011.161;10.1109/VISUAL.2002.1183761;10.1109/VISUAL.2003.1250394;10.1109/VISUAL.2002.1183764;10.1109/TVCG.2007.70573;10.1109/VISUAL.2003.1250384;10.1109/TVCG.2009.164</t>
  </si>
  <si>
    <t>Interactive volume rendering, GPU-based ray-casting, Advanced illumination</t>
  </si>
  <si>
    <t>Interactive Multiscale Tensor Reconstruction for Multiresolution Volume Visualization</t>
  </si>
  <si>
    <t>10.1109/TVCG.2011.214</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</si>
  <si>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</si>
  <si>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Susanne K. Suter;José Antonio Iglesias Guitián;Fabio Marton;Marco Agus;Andreas Elsener;Christoph P. E. Zollikofer;Meenakshisundaram Gopi;Enrico Gobbetti;Renato Pajarola</t>
  </si>
  <si>
    <t>Susanne K. Suter;Jose A. Iglesias Guitian;Fabio Marton;Marco Agus;Andreas Elsener;Christoph P.E. Zollikofer;M. Gopi;Enrico Gobbetti;Renato Pajarola</t>
  </si>
  <si>
    <t>University of Zurich, Switzerland;CRS4, Italy;CRS4, Italy;CRS4, Italy;University of Zurich, Switzerland;University of Zurich, Switzerland;University of California, Irvine, USA;CRS4, Italy;University of Zurich, Switzerland</t>
  </si>
  <si>
    <t>10.1109/VISUAL.2002.1183757;10.1109/VISUAL.1997.663900;10.1109/TVCG.2007.70516;10.1109/VISUAL.1998.745311;10.1109/TVCG.2006.146;10.1109/VISUAL.2003.1250385</t>
  </si>
  <si>
    <t>GPU/CUDA, multiscale, tensor reconstruction, interactive volume visualization, multiresolution rendering</t>
  </si>
  <si>
    <t>Fraunhofer Inst. IAIS (Intell. Anal. &amp; Inf. Syst.), St. Augustin, Germany|c|;;;;;</t>
  </si>
  <si>
    <t>Interactive Virtual Probing of 4D MRI Blood-Flow</t>
  </si>
  <si>
    <t>10.1109/TVCG.2011.215</t>
  </si>
  <si>
    <t>http://dx.doi.org/10.1109/VAST.2009.5332586</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</si>
  <si>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</si>
  <si>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Eindhoven University of Technology, The Netherlands;Philips Healthcare, The Netherlands;Philips Healthcare, The Netherlands;NIHR Comprehensive Biomedical Research Centre of Guy's and St Thomas' NHS Foundation Trust and King's College London, United Kingdom;Vienna University of Technology, Austria;Eindhoven University of Technology, The Netherlands;Eindhoven University of Technology, The Netherlands</t>
  </si>
  <si>
    <t>10.1109/VISUAL.1993.398849;10.1109/TVCG.2009.154;10.1109/TVCG.2010.173;10.1109/TVCG.2010.153;10.1109/TVCG.2007.70576;10.1109/TVCG.2008.133;10.1109/TVCG.2009.138;10.1109/VISUAL.2005.1532847;10.1109/TVCG.2010.166;10.1109/VISUAL.2005.1532857</t>
  </si>
  <si>
    <t>Probing, Flow visualization, Illustrative visualization, Multivalued images, Phase-contrast cine MRI</t>
  </si>
  <si>
    <t>Interactive Volume Visualization of General Polyhedral Grids</t>
  </si>
  <si>
    <t>10.1109/TVCG.2011.216</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</si>
  <si>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</si>
  <si>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Philipp Muigg;Markus Hadwiger;Helmut Doleisch;M. Eduard Gröller</t>
  </si>
  <si>
    <t>Philipp Muigg;Markus Hadwiger;Helmut Doleisch;Eduard Groller</t>
  </si>
  <si>
    <t>Vienna University of Technology, Austria;King Abdullah University of Science and Technology, Saudi Arabia;SimVis GmbH, Vienna, Austria;Vienna University of Technology, Austria</t>
  </si>
  <si>
    <t>10.1109/VISUAL.2005.1532796;10.1109/TVCG.2006.171;10.1109/TVCG.2007.70588;10.1109/VISUAL.2003.1250390;10.1109/VISUAL.2001.964514;10.1109/TVCG.2006.154;10.1109/VISUAL.2005.1532850;10.1109/VISUAL.2001.964511;10.1109/VISUAL.1999.809908</t>
  </si>
  <si>
    <t>Volume rendering, unstructured grids, polyhedral grids, GPU-based visualization</t>
  </si>
  <si>
    <t>Interactive, Graph-based Visual Analysis of High-dimensional, Multi-parameter Fluorescence Microscopy Data in Toponomics</t>
  </si>
  <si>
    <t>10.1109/TVCG.2011.217</t>
  </si>
  <si>
    <t>Naval Res. Lab., Orlando, FL, USA|c|;;;</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</si>
  <si>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</si>
  <si>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Steffen Oeltze-Jafra;Wolfgang Freiler;Reyk Hillert;Helmut Doleisch;Bernhard Preim;Walter Schubert</t>
  </si>
  <si>
    <t>Steffen Oeltze;Wolfgang Freiler;Reyk Hillert;Helmut Doleisch;Bernhard Preim;Walter Schubert</t>
  </si>
  <si>
    <t>Universit&amp;#x0E4;t Magdeburg;SimVis GmbH, Vienna;University of Magdeburg;SimVis GmbH, Vienna;University of Magdeburg;University of Magdeburg</t>
  </si>
  <si>
    <t>10.1109/VAST.2009.5333911;10.1109/TVCG.2006.195;10.1109/TVCG.2006.147;10.1109/TVCG.2007.70569;10.1109/TVCG.2009.167</t>
  </si>
  <si>
    <t>Visual Analytics, Fluorescence Microscopy, Toponomics, Protein Interaction, Graph Visualization</t>
  </si>
  <si>
    <t>http://dx.doi.org/10.1109/VAST.2009.5332593</t>
  </si>
  <si>
    <t>iView: A Feature Clustering Framework for Suggesting Informative Views in Volume Visualization</t>
  </si>
  <si>
    <t>10.1109/TVCG.2011.218</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</si>
  <si>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</si>
  <si>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Ziyi Zheng;Nafees Ahmed;Klaus Mueller</t>
  </si>
  <si>
    <t>10.1109/TVCG.2009.156;10.1109/TVCG.2007.70576;10.1109/TVCG.2008.162;10.1109/TVCG.2008.159;10.1109/TVCG.2010.214;10.1109/TVCG.2009.172;10.1109/VISUAL.2005.1532833;10.1109/VISUAL.2005.1532818;10.1109/TVCG.2006.124;10.1109/TVCG.2009.185;10.1109/TVCG.2009.189;10.1109/VISUAL.2003.1250414;10.1109/VISUAL.2005.1532834</t>
  </si>
  <si>
    <t>Direct volume rendering, k-means, entropy, view suggestion, set-cover problem, ant colony optimization</t>
  </si>
  <si>
    <t>Load-Balanced Parallel Streamline Generation on Large Scale Vector fields</t>
  </si>
  <si>
    <t>10.1109/TVCG.2011.219</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</si>
  <si>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</si>
  <si>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Boonthanome Nouanesengsy;Teng-Yok Lee;Han-Wei Shen</t>
  </si>
  <si>
    <t>Flow visualization, Parallel processing, 3D vector field visualization, Streamlines</t>
  </si>
  <si>
    <t>Univ. of California, Davis, CA, USA|c|;;;</t>
  </si>
  <si>
    <t>Multi-Touch Table System for Medical Visualization: Application to Orthopedic Surgery Planning</t>
  </si>
  <si>
    <t>10.1109/TVCG.2011.224</t>
  </si>
  <si>
    <t>http://dx.doi.org/10.1109/VAST.2009.5332595</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</si>
  <si>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</si>
  <si>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Claes Lundström;Thomas Rydell;Camilla Forsell;Anders Persson;Anders Ynnerman</t>
  </si>
  <si>
    <t>Claes Lundstrom;Thomas Rydell;Camilla Forsell;Anders Persson;Anders Ynnerman</t>
  </si>
  <si>
    <t>Center for Medical Image Science and Visualization, Linköping University, Sweden / Sectra Imtec AB, Sweden;Interactive Institute, Norrköping, Sweden;C-research, Linköping University, Sweden;Center for Medical Image Science and Visualization, Linköping University, Sweden;C-research, Linköping University, Sweden</t>
  </si>
  <si>
    <t>10.1109/TVCG.2010.157;10.1109/VAST.2010.5652880;10.1109/TVCG.2006.146</t>
  </si>
  <si>
    <t>Medical visualization, multi-touch, tabletop display, treatment planning</t>
  </si>
  <si>
    <t>Nodes on Ropes: A Comprehensive Data and Control Flow for Steering Ensemble Simulations</t>
  </si>
  <si>
    <t>10.1109/TVCG.2011.225</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</si>
  <si>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</si>
  <si>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Jürgen Waser;Hrvoje Ribicic;Raphael Fuchs;Christian Hirsch;Benjamin Schindler;Günter Blöschl;M. Eduard Gröller</t>
  </si>
  <si>
    <t>Jurgen Waser;Hrvoje Ribicic;Raphael Fuchs;Christian Hirsch;Benjamin Schindler;Gunther Bloschl;Eduard Groller</t>
  </si>
  <si>
    <t>VRVis Vienna;VRVis Vienna;ETH Z&amp;#x0FC;rich;VRVis Vienna;ETH Z&amp;#x0FC;rich;TU Vienna;TU Vienna</t>
  </si>
  <si>
    <t>10.1109/TVCG.2010.223;10.1109/TVCG.2007.70584;10.1109/INFVIS.2002.1173149;10.1109/TVCG.2010.214;10.1109/INFVIS.2004.12;10.1109/VISUAL.2005.1532795;10.1109/TVCG.2009.195;10.1109/INFVIS.2005.1532143;10.1109/TVCG.2010.190;10.1109/TVCG.2010.223</t>
  </si>
  <si>
    <t>Emergency/Disaster Management, Visual Knowledge Discovery, Visualization System and Toolkit Design, Data-Flow, Meta-Flow, Parameter Study, Uncertainty, Visualization of Control</t>
  </si>
  <si>
    <t>Projection-Based Metal-Artifact Reduction for Industrial 3D X-ray Computed Tomography</t>
  </si>
  <si>
    <t>10.1109/TVCG.2011.228</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</si>
  <si>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M&amp;M (Match &amp; Mismatch) measure, which is based on the concept of aligning records by sentinel events, then matching events between the target and the compared records. The M&amp;M measure combines the time differences between pairs of events and the number of mismatches. To accom-modate customization of parameters in the M&amp;M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M&amp;M measure. The usability study feedback, led to an improved version with a continuous timeline, which was tested in a pilot study with 5 participants.</t>
  </si>
  <si>
    <t>Dept. of Comput. Sci. &amp; Human-Comput. Interaction Lab., Univ. of Maryland, College Park, MD, USA|c|;</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</si>
  <si>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</si>
  <si>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Artem Amirkhanov;Christoph Heinzl;Michael Reiter;Johann Kastner;M. Eduard Gröller</t>
  </si>
  <si>
    <t>Artem Amirkhanov;Christoph Heinzl;Michael Reiter;Johann Kastner;Eduard Groller</t>
  </si>
  <si>
    <t>Institute of Computer Graphics and Algorithms, Vienna University of Technology;Upper Austrian University of Applied Sciences, Wels Campus;Upper Austrian University of Applied Sciences, Wels Campus;Upper Austrian University of Applied Sciences, Wels Campus;Institute of Computer Graphics and Algorithms, Vienna University of Technology</t>
  </si>
  <si>
    <t>10.1109/TVCG.2008.147;10.1109/VISUAL.2003.1250418</t>
  </si>
  <si>
    <t>http://dx.doi.org/10.1109/VAST.2009.5332596</t>
  </si>
  <si>
    <t>Metal-artifact reduction, multi-material components, visual analysis, 3D X-ray computed tomography</t>
  </si>
  <si>
    <t>Quasi Interpolation With Voronoi Splines</t>
  </si>
  <si>
    <t>10.1109/TVCG.2011.230</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</si>
  <si>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</si>
  <si>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Mahsa Mirzargar;Alireza Entezari</t>
  </si>
  <si>
    <t>University of FLorida;University of Florida</t>
  </si>
  <si>
    <t>10.1109/TVCG.2008.115;10.1109/VISUAL.2004.65;10.1109/TVCG.2007.70573;10.1109/VISUAL.2001.964498;10.1109/VISUAL.2005.1532810;10.1109/VISUAL.1997.663848;10.1109/VISUAL.1994.346331</t>
  </si>
  <si>
    <t>Voronoi Spline, Quasi Interpolation, Volume Visualization, Box spline</t>
  </si>
  <si>
    <t>Saliency-Assisted Navigation of Very Large Landscape Images</t>
  </si>
  <si>
    <t>10.1109/TVCG.2011.231</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</si>
  <si>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</si>
  <si>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Cheuk Yiu Ip;Amitabh Varshney</t>
  </si>
  <si>
    <t>University of Maryland;University of Maryland</t>
  </si>
  <si>
    <t>10.1109/TVCG.2010.132;10.1109/TVCG.2007.70557;10.1109/TVCG.2007.70615;10.1109/TVCG.2006.152;10.1109/VISUAL.2003.1250401;10.1109/TVCG.2006.174;10.1109/VISUAL.2005.1532833</t>
  </si>
  <si>
    <t>Image Saliency, Very Large Scale Images, Scene Perception, Interactive Visualization, Anomaly Detection, Guided Interaction</t>
  </si>
  <si>
    <t>Sch. of Interactive Comput., Georgia Inst. of Technol., Atlanta, GA, USA|c|;;;</t>
  </si>
  <si>
    <t>Straightening Tubular Flow for Side-by-Side Visualization</t>
  </si>
  <si>
    <t>http://dx.doi.org/10.1109/VAST.2009.5332610</t>
  </si>
  <si>
    <t>10.1109/TVCG.2011.235</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</si>
  <si>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</si>
  <si>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Paolo Angelelli;Helwig Hauser</t>
  </si>
  <si>
    <t>University of Bergen;University of Bergen</t>
  </si>
  <si>
    <t>10.1109/TVCG.2009.169;10.1109/TVCG.2010.218;10.1109/VISUAL.1996.568137;10.1109/VISUAL.2003.1250353;10.1109/TVCG.2010.153;10.1109/VISUAL.2001.964540;10.1109/TVCG.2009.136</t>
  </si>
  <si>
    <t>Flow Visualization, Data Reformation, Comparative Visualization</t>
  </si>
  <si>
    <t>Symmetry in Scalar field Topology</t>
  </si>
  <si>
    <t>10.1109/TVCG.2011.236</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</si>
  <si>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</si>
  <si>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Dilip Mathew Thomas;Vijay Natarajan</t>
  </si>
  <si>
    <t>Department of Computer Science and Automation, Indian Institute of Science, Bangalore, India;Department of Computer Science and Automation, Supercomputer Education and Research Centre, Indian Institute of Science, Bangalore, India</t>
  </si>
  <si>
    <t>10.1109/TVCG.2008.143;10.1109/TVCG.2009.120;10.1109/TVCG.2007.70601</t>
  </si>
  <si>
    <t>Scalar field symmetry, contour tree, similarity measure, persistence, isosurface extraction, transfer function design</t>
  </si>
  <si>
    <t>The Effect of Colour and Transparency on the Perception of Overlaid Grids</t>
  </si>
  <si>
    <t>10.1109/TVCG.2011.242</t>
  </si>
  <si>
    <t>Ho Van Quan;Tobias ��str̦m;Mikael Jern</t>
  </si>
  <si>
    <t>Dept. of Sci. &amp; Technol., Linkoping Univ., Linkoping, Sweden|c|;;</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</si>
  <si>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</si>
  <si>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Lyn Bartram;Billy Cheung;Maureen C. Stone</t>
  </si>
  <si>
    <t>Lyn Bartram;Billy Cheung;Maureen Stone</t>
  </si>
  <si>
    <t>School of Interactive Art + Technology, Simon Fraser University;School of Interactive Art + Technology, Simon Fraser University;StoneSoup Consulting / School of Interactive Art + Technology, Simon Fraser University</t>
  </si>
  <si>
    <t>http://dx.doi.org/10.1109/VAST.2009.5332611</t>
  </si>
  <si>
    <t>10.1109/TVCG.2007.70559;10.1109/TVCG.2006.180</t>
  </si>
  <si>
    <t>Information visualization, automated presentation, applied perception, visual design, computational aesthetics</t>
  </si>
  <si>
    <t>The FLOWLENS: A Focus-and-Context Visualization Approach for Exploration of Blood Flow in Cerebral Aneurysms</t>
  </si>
  <si>
    <t>10.1109/TVCG.2011.243</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</si>
  <si>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</si>
  <si>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Rocco Gasteiger;Mathias Neugebauer;Oliver Beuing;Bernhard Preim</t>
  </si>
  <si>
    <t>Department of Simulation and Graphics, University of Magdeburg, Germany;Department of Simulation and Graphics, University of Magdeburg, Germany;Department of Neuroradiology, University Hospital Magdeburg, Germany;Department of Simulation and Graphics, University of Magdeburg, Germany</t>
  </si>
  <si>
    <t>10.1109/TVCG.2010.166;10.1109/TVCG.2009.138;10.1109/TVCG.2010.153;10.1109/TVCG.2006.124;10.1109/TVCG.2009.126;10.1109/VISUAL.2005.1532818</t>
  </si>
  <si>
    <t>Flow Visualization, Focus-and-Context, Illustrative Rendering, Aneurysm</t>
  </si>
  <si>
    <t>Topological Spines: A Structure-preserving Visual Representation of Scalar fields</t>
  </si>
  <si>
    <t>10.1109/TVCG.2011.244</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</si>
  <si>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</si>
  <si>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Univ. of California at Davis, Davis, CA, USA|c|;;</t>
  </si>
  <si>
    <t>Carlos D. Correa;Peter Lindstrom;Peer-Timo Bremer</t>
  </si>
  <si>
    <t>Carlos Correa;Peter Lindstrom;Peer-Timo Bremer</t>
  </si>
  <si>
    <t>Lawrence Livermore National Lab;Lawrence Livermore National Lab;Lawrence Livermore National Lab</t>
  </si>
  <si>
    <t>10.1109/VISUAL.2002.1183772;10.1109/TVCG.2007.70552;10.1109/TVCG.2007.70601;10.1109/VISUAL.2003.1250376;10.1109/TVCG.2009.163;10.1109/TVCG.2008.110;10.1109/TVCG.2010.213;10.1109/VISUAL.2005.1532839;10.1109/TVCG.2006.186</t>
  </si>
  <si>
    <t>Scalar field topology, topological spine, extremum graph, Morse-Smale complex</t>
  </si>
  <si>
    <t>http://dx.doi.org/10.1109/VAST.2009.5332628</t>
  </si>
  <si>
    <t>Towards Robust Topology of Sparsely Sampled Data</t>
  </si>
  <si>
    <t>10.1109/TVCG.2011.245</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</si>
  <si>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</si>
  <si>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Carlos D. Correa;Peter Lindstrom</t>
  </si>
  <si>
    <t>Carlos Correa;Peter Lindstrom</t>
  </si>
  <si>
    <t>Lawrence Livermore National Lab;Lawrence Livermore National Lab</t>
  </si>
  <si>
    <t>10.1109/VISUAL.2005.1532839;10.1109/TVCG.2010.213;10.1109/TVCG.2011.244;10.1109/VAST.2010.5652940;10.1109/VISUAL.1999.809932</t>
  </si>
  <si>
    <t>Neighborhood graphs, topology, sparsely sampled data</t>
  </si>
  <si>
    <t>TransGraph: Hierarchical Exploration of Transition Relationships in Time-Varying Volumetric Data</t>
  </si>
  <si>
    <t>10.1109/TVCG.2011.246</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</si>
  <si>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</si>
  <si>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Yi Gu;Chaoli Wang</t>
  </si>
  <si>
    <t>Michigan Technological University;Michigan Technological University</t>
  </si>
  <si>
    <t>Andrada Tatu;Georgia Albuquerque;Martin Eisemann;J̦rn Schneidewind;Holger Theisel;Marcus A. Magnor;Daniel A. Keim</t>
  </si>
  <si>
    <t>10.1109/TVCG.2008.119;10.1109/VISUAL.1994.346321;10.1109/VAST.2006.261451;10.1109/VISUAL.1999.809871;10.1109/TVCG.2006.165;10.1109/VISUAL.2003.1250401;10.1109/TVCG.2008.116;10.1109/TVCG.2010.190;10.1109/VISUAL.2003.1250402;10.1109/VISUAL.1995.480809;10.1109/TVCG.2008.140;10.1109/VISUAL.2001.964531;10.1109/TVCG.2009.200</t>
  </si>
  <si>
    <t>Time-varying data visualization, hierarchical representation, states, transition relationship, user interface</t>
  </si>
  <si>
    <t>Univ. of Konstanz, Konstanz, Germany|c|;;;;;;</t>
  </si>
  <si>
    <t>Tuner: Principled Parameter finding for Image Segmentation Algorithms Using Visual Response Surface Exploration</t>
  </si>
  <si>
    <t>http://dx.doi.org/10.1109/VAST.2009.5332629</t>
  </si>
  <si>
    <t>10.1109/TVCG.2011.248</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</si>
  <si>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</si>
  <si>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Thomas Torsney-Weir;Ahmed Saad;Torsten Möller;Hans-Christian Hege;Britta Weber;Jean-Marc Verbavatz</t>
  </si>
  <si>
    <t>Thomas Torsney-Weir;Ahmed Saad;Torsten Moller;Hans-Christian Hege;Britta Weber;Jean-Marc Verbavatz;Steven Bergner</t>
  </si>
  <si>
    <t>Simon Fraser University;Simon Fraser University;Simon Fraser University;Zuse Institute Berlin;Zuse Institute Berlin;Max Planck Institute of Molecular Cell Biology and Genetics (MPI-CBG);GrUVi (Graphics, Usability, and Visualization Lab) at Simon Fraser University, Burnaby, Canada</t>
  </si>
  <si>
    <t>10.1109/TVCG.2007.70584;10.1109/TVCG.2008.119;10.1109/TVCG.2010.223;10.1109/TVCG.2010.190;10.1109/VISUAL.1994.346302;10.1109/TVCG.2010.130;10.1109/VISUAL.1993.398859;10.1109/VISUAL.1999.809871;10.1109/TVCG.2011.253;10.1109/VISUAL.2000.885678</t>
  </si>
  <si>
    <t>Parameter exploration, Image segmentation, Gaussian Process Model</t>
  </si>
  <si>
    <t>Two-Dimensional Time-Dependent Vortex Regions Based on the Acceleration Magnitude</t>
  </si>
  <si>
    <t>10.1109/TVCG.2011.249</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</si>
  <si>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</si>
  <si>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Jens Kasten;Jan Reininghaus;Ingrid Hotz;Hans-Christian Hege</t>
  </si>
  <si>
    <t>Zuse Institute Berlin;Zuse Institute Berlin;Zuse Institute Berlin;Zuse Institute Berlin</t>
  </si>
  <si>
    <t>10.1109/VISUAL.2005.1532830;10.1109/VISUAL.2004.107;10.1109/TVCG.2008.143;10.1109/VISUAL.2002.1183821;10.1109/TVCG.2006.201</t>
  </si>
  <si>
    <t>Vortex regions, time-dependent flow fields, feature extraction</t>
  </si>
  <si>
    <t>Visualization of AMR Data With Multi-Level Dual-Mesh Interpolation</t>
  </si>
  <si>
    <t>10.1109/TVCG.2011.252</t>
  </si>
  <si>
    <t>http://dx.doi.org/10.1109/VAST.2009.5333020</t>
  </si>
  <si>
    <t>We present a new technique for providing interpolation within cell-centered Adaptive Mesh Refinement (AMR) data that achieves C&amp;lt;sup&amp;gt;0&amp;lt;/sup&amp;gt;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</si>
  <si>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Patrick J. Moran;David Ellsworth</t>
  </si>
  <si>
    <t>Patrick Moran;David Ellsworth</t>
  </si>
  <si>
    <t>NASA Ames Research Center;Computer Sciences Corporation, NASA Ames Research Center</t>
  </si>
  <si>
    <t>10.1109/VISUAL.1991.175782;10.1109/TVCG.2009.149;10.1109/VISUAL.2002.1183820</t>
  </si>
  <si>
    <t>Adaptive mesh refinement, AMR, Enzo, interpolation, ray casting, isosurfaces, dual meshes, stitching cells</t>
  </si>
  <si>
    <t>Visualization of Topological Structures in Area-Preserving Maps</t>
  </si>
  <si>
    <t>10.1109/TVCG.2011.254</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</si>
  <si>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</si>
  <si>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Xavier Tricoche;Christoph Garth;Allen R. Sanderson</t>
  </si>
  <si>
    <t>Xavier Tricoche;Christoph Garth;Allen Sanderson</t>
  </si>
  <si>
    <t>Purdue University;UC Davis;University of Utah</t>
  </si>
  <si>
    <t>10.1109/VISUAL.2005.1532839;10.1109/VISUAL.2003.1250376;10.1109/VISUAL.2004.107;10.1109/VISUAL.2000.885716;10.1109/TVCG.2007.70601;10.1109/TVCG.2010.133;10.1109/VISUAL.2005.1532770;10.1109/VISUAL.2002.1183786;10.1109/VISUAL.1994.346326</t>
  </si>
  <si>
    <t>Poincare map, dynamical systems, topology, chaos, area-preserving maps, invariant manifolds</t>
  </si>
  <si>
    <t>Sch. of Interactive Arts &amp; Technol., Simon Fraser Univ., Burnaby, BC, Canada|c|;;;;;;;</t>
  </si>
  <si>
    <t>Volume Analysis Using Multimodal Surface Similarity</t>
  </si>
  <si>
    <t>10.1109/TVCG.2011.258</t>
  </si>
  <si>
    <t>http://dx.doi.org/10.1109/VAST.2009.5333023</t>
  </si>
  <si>
    <t>Eindhoven Univ. of Technol., Eindhoven, Netherlands|c|;;</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</si>
  <si>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</si>
  <si>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Martin Haidacher;Stefan Bruckner;M. Eduard Gröller</t>
  </si>
  <si>
    <t>Martin Haidacher;Stefan Bruckner;Eduard Groller</t>
  </si>
  <si>
    <t>Institute of Computer Graphics and Algorithms, Vienna University of Technology;Institute of Computer Graphics and Algorithms, Vienna University of Technology;Institute of Computer Graphics and Algorithms, Vienna University of Technology</t>
  </si>
  <si>
    <t>10.1109/TVCG.2010.132;10.1109/TVCG.2006.168;10.1109/TVCG.2010.131;10.1109/TVCG.2006.152;10.1109/TVCG.2007.70598;10.1109/TVCG.2008.160;10.1109/TVCG.2010.182</t>
  </si>
  <si>
    <t>Multimodal data, volume visualization, surface similarity</t>
  </si>
  <si>
    <t>http://dx.doi.org/10.1109/VAST.2009.5333081</t>
  </si>
  <si>
    <t>Voronoi-Based Extraction and Visualization of Molecular Paths</t>
  </si>
  <si>
    <t>10.1109/TVCG.2011.259</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</si>
  <si>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</si>
  <si>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Norbert Lindow;Daniel Baum;Hans-Christian Hege</t>
  </si>
  <si>
    <t>Zuse Institute Berlin (ZIB);Zuse Institute Berlin (ZIB);Zuse Institute Berlin (ZIB)</t>
  </si>
  <si>
    <t>10.1109/TVCG.2010.218;10.1109/TVCG.2006.115;10.1109/TVCG.2009.157</t>
  </si>
  <si>
    <t>Molecular visualization, data filtering, geometry-based techniques, view-dependent visualization</t>
  </si>
  <si>
    <t>Vortex Visualization in Ultra Low Reynolds Number Insect Flight</t>
  </si>
  <si>
    <t>10.1109/TVCG.2011.260</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</si>
  <si>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quad wing insects.</t>
  </si>
  <si>
    <t>Christopher Koehler;Thomas Wischgoll;Haibo Dong;Zachary Gaston</t>
  </si>
  <si>
    <t>Wright State University College of Engineering and Computer Science;Wright State University College of Engineering and Computer Science;Wright State University College of Mechanical and Materials Engineering;Wright State University College of Mechanical and Materials Engineering</t>
  </si>
  <si>
    <t>10.1109/VISUAL.2002.1183789;10.1109/VISUAL.2005.1532830;10.1109/TVCG.2007.70557;10.1109/VISUAL.2005.1532831;10.1109/TVCG.2008.163;10.1109/TVCG.2010.169;10.1109/VISUAL.2005.1532848;10.1109/VISUAL.2005.1532850;10.1109/TVCG.2010.212;10.1109/VISUAL.2000.885690;10.1109/TVCG.2010.198;10.1109/VISUAL.2004.113;10.1109/VISUAL.1998.745296;10.1109/TVCG.2007.70595;10.1109/TVCG.2009.190;10.1109/TVCG.2008.133;10.1109/TVCG.2006.199;10.1109/VISUAL.2002.1183821;10.1109/TVCG.2007.70545;10.1109/TVCG.2010.166;10.1109/TVCG.2006.201</t>
  </si>
  <si>
    <t>Dept. of Math. Inf. Technol., Univ. of Jyvaskyla, Jyvaskyla, Finland|c|;;</t>
  </si>
  <si>
    <t>Flow visualization, flowing seed points, streak lines, streamlines, insect flight, vortex visualization, unsteady flow</t>
  </si>
  <si>
    <t>http://dx.doi.org/10.1109/VAST.2009.5333082</t>
  </si>
  <si>
    <t>WYSIWYG (What You See is What You Get) Volume Visualization</t>
  </si>
  <si>
    <t>10.1109/TVCG.2011.261</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</si>
  <si>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</si>
  <si>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Hanqi Guo;Ningyu Mao;Xiaoru Yuan</t>
  </si>
  <si>
    <t>Key Laboratory of Machine Perception (Ministry of Education), and School of EECS, Peking University / Center for Computational Science and Engineering, Peking University, Beijing, P.R. China;Key Laboratory of Machine Perception (Ministry of Education), and School of EECS, Peking University;Key Laboratory of Machine Perception (Ministry of Education), and School of EECS, Peking University / Center for Computational Science and Engineering, Peking University, Beijing, P.R. China</t>
  </si>
  <si>
    <t>10.1109/TVCG.2010.145;10.1109/VISUAL.1998.745319;10.1109/TVCG.2008.120;10.1109/VISUAL.2003.1250414;10.1109/TVCG.2007.70591;10.1109/VISUAL.1996.568113;10.1109/TVCG.2009.189;10.1109/TVCG.2008.162;10.1109/VISUAL.2003.1250386;10.1109/VISUAL.2003.1250413;10.1109/VISUAL.2000.885694;10.1109/VISUAL.2005.1532856;10.1109/VISUAL.1997.663875;10.1109/TVCG.2006.148</t>
  </si>
  <si>
    <t>Volume rendering, Sketching input, Human-computer interaction, Transfer functions, Feature space</t>
  </si>
  <si>
    <t>2012</t>
  </si>
  <si>
    <t>A User Study on Curved Edges in Graph Visualization</t>
  </si>
  <si>
    <t>10.1109/TVCG.2012.189</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</si>
  <si>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</si>
  <si>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Kai Xu 0003;Chris Rooney;Peter J. Passmore;Dong-Han Ham;Phong H. Nguyen</t>
  </si>
  <si>
    <t>Kai Xu;Chris Rooney;Peter Passmore;Dong-Han Ham;Phong H. Nguyen</t>
  </si>
  <si>
    <t>Middlesex University;Middlesex University;Middlesex University;Chonnam National University;Middlesex University</t>
  </si>
  <si>
    <t>10.1109/TVCG.2011.233;10.1109/INFVIS.2002.1173155;10.1109/TVCG.2006.147;10.1109/INFVIS.2005.1532136;10.1109/INFVIS.2005.1532131;10.1109/INFVIS.2003.1249008;10.1109/TVCG.2006.166</t>
  </si>
  <si>
    <t>Graph, visualization, curved edges, evaluation</t>
  </si>
  <si>
    <t>Hobart &amp; William Smith Colleges, Hobart, IN, USA|c|</t>
  </si>
  <si>
    <t>Adaptive Composite Map Projections</t>
  </si>
  <si>
    <t>10.1109/TVCG.2012.192</t>
  </si>
  <si>
    <t>http://dx.doi.org/10.1109/VAST.2009.5333099</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</si>
  <si>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</si>
  <si>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Bernhard Jenny</t>
  </si>
  <si>
    <t>Oregon State University</t>
  </si>
  <si>
    <t>10.1109/TVCG.2011.191;10.1109/TVCG.2010.191;10.1109/INFVIS.2000.885095</t>
  </si>
  <si>
    <t>Multi-scale map, web mapping, web cartography, web map projection, web Mercator, HTML5 Canvas</t>
  </si>
  <si>
    <t>Algorithms for Labeling Focus Regions</t>
  </si>
  <si>
    <t>10.1109/TVCG.2012.193</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</si>
  <si>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</si>
  <si>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Martin Fink 0001;Jan-Henrik Haunert;André Schulz 0001;Joachim Spoerhase;Alexander Wolff</t>
  </si>
  <si>
    <t>Martin Fink;Jan-Henrik Haunert;André Schulz;Joachim Spoerhase;Alexander Wolff</t>
  </si>
  <si>
    <t>Universität Würzburg;Universität Würzburg;Universität Münster;Universität Würzburg;Universität Würzburg</t>
  </si>
  <si>
    <t>10.1109/TVCG.2011.191;10.1109/TVCG.2010.180;10.1109/TVCG.2011.183;10.1109/INFVIS.2000.885087</t>
  </si>
  <si>
    <t>Focus+context techniques, data clustering, mobile and ubiquitous visualization, geographic/geospatial visualization</t>
  </si>
  <si>
    <t>An Empirical Model of Slope Ratio Comparisons</t>
  </si>
  <si>
    <t>10.1109/TVCG.2012.196</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</si>
  <si>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</si>
  <si>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Electron. Visualization Lab., Univ. of Illinois at Chicago, Chicago, IL, USA|c|;;;</t>
  </si>
  <si>
    <t>10.1109/TVCG.2006.163;10.1109/TVCG.2011.167</t>
  </si>
  <si>
    <t>Banking to 45 degrees, slope perception, orientation resolution, aspect ratio selection</t>
  </si>
  <si>
    <t>http://dx.doi.org/10.1109/VAST.2009.5333245</t>
  </si>
  <si>
    <t>An Empirical Study on Using Visual Embellishments in Visualization</t>
  </si>
  <si>
    <t>10.1109/TVCG.2012.197</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</si>
  <si>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</si>
  <si>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Rita Borgo;Alfie Abdul-Rahman;Farhan Mohamed;Phil W. Grant;Irene Reppa;Luciano Floridi;Min Chen</t>
  </si>
  <si>
    <t>Rita Borgo;Alfie Abdul-Rahman;Farhan Mohamed;Philip W. Grant;Irene Reppa;Luciano Floridi;Min Chen</t>
  </si>
  <si>
    <t>Computer Science, Swansea University;Oxford e-Research Centre, Oxford University;Universiti Teknologi Malaysia;Computer Science, Swansea University;Psychology, Swansea University;Phylosophy, Oxford University;Oxford e-Research Centre, Oxford University</t>
  </si>
  <si>
    <t>10.1109/TVCG.2010.132;10.1109/VISUAL.1996.568118;10.1109/TVCG.2008.171;10.1109/TVCG.2011.175</t>
  </si>
  <si>
    <t>Visual embellishments, metaphors, icons, cognition, working memory, long-term memory, visual search, evaluation</t>
  </si>
  <si>
    <t>Assessing the Effect of Visualizations on Bayesian Reasoning through Crowdsourcing</t>
  </si>
  <si>
    <t>10.1109/TVCG.2012.199</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</si>
  <si>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</si>
  <si>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Luana Micallef;Pierre Dragicevic;Jean-Daniel Fekete</t>
  </si>
  <si>
    <t>INRIA;INRIA;INRIA</t>
  </si>
  <si>
    <t>10.1109/TVCG.2010.210;10.1109/TVCG.2009.122</t>
  </si>
  <si>
    <t>Bayesian reasoning, base rate fallacy, probabilistic judgment, Euler diagrams, glyphs, crowdsourcing</t>
  </si>
  <si>
    <t>Beyond Mouse and Keyboard: Expanding Design Considerations for Information Visualization Interactions</t>
  </si>
  <si>
    <t>10.1109/TVCG.2012.204</t>
  </si>
  <si>
    <t>http://dx.doi.org/10.1109/VAST.2009.5333248</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</si>
  <si>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“natural,” interaction techniques for InfoVis.</t>
  </si>
  <si>
    <t>Bongshin Lee;Petra Isenberg;Nathalie Henry Riche;Sheelagh Carpendale</t>
  </si>
  <si>
    <t>Microsoft Research;INRIA;Microsoft Research;University of Calgary</t>
  </si>
  <si>
    <t>10.1109/TVCG.2010.164;10.1109/TVCG.2007.70515;10.1109/TVCG.2008.121;10.1109/TVCG.2009.162;10.1109/TVCG.2010.206;10.1109/TVCG.2007.70582;10.1109/INFVIS.2005.1532122;10.1109/INFVIS.1998.729560;10.1109/TVCG.2007.70568</t>
  </si>
  <si>
    <t>Design considerations, interaction, post-WIMP, NUI (Natural User Interface)</t>
  </si>
  <si>
    <t>Capturing the Design Space of Sequential Space-filling Layouts</t>
  </si>
  <si>
    <t>10.1109/TVCG.2012.205</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</si>
  <si>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</si>
  <si>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Thomas Baudel;Bertjan Broeksema</t>
  </si>
  <si>
    <t>IBM;IBM</t>
  </si>
  <si>
    <t>10.1109/VISUAL.1991.175815;10.1109/TVCG.2006.178;10.1109/VISUAL.1990.146386;10.1109/TVCG.2006.200;10.1109/TVCG.2011.227;10.1109/INFVIS.1998.729560;10.1109/TVCG.2010.186;10.1109/TVCG.2008.165;10.1109/TVCG.2009.128</t>
  </si>
  <si>
    <t>Layout, visualization models, tables &amp; tree layouts, grids, treemaps, mosaic plots, dimensional stacking</t>
  </si>
  <si>
    <t>Comparing Clusterings Using Bertin's Idea</t>
  </si>
  <si>
    <t>10.1109/TVCG.2012.207</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</si>
  <si>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</si>
  <si>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Alexander Pilhofer;Alexander Gribov;Antony Unwin</t>
  </si>
  <si>
    <t>Alexander Pilhöfer;Alexander Gribov;Antony Unwin</t>
  </si>
  <si>
    <t>University of Augsburg;University of Augsburg;University of Augsburg</t>
  </si>
  <si>
    <t>10.1109/TVCG.2010.184;10.1109/TVCG.2010.138</t>
  </si>
  <si>
    <t>Univ. de Lyon, Lyon, France|c|;;;</t>
  </si>
  <si>
    <t>Order optimization, fluctuation diagrams, classification, seriation</t>
  </si>
  <si>
    <t>Compressed Adjacency Matrices: Untangling Gene Regulatory Networks</t>
  </si>
  <si>
    <t>10.1109/TVCG.2012.208</t>
  </si>
  <si>
    <t>http://dx.doi.org/10.1109/VAST.2009.5333417</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</si>
  <si>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</si>
  <si>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Kasper Dinkla;Michel A. Westenberg;Jarke J. van Wijk</t>
  </si>
  <si>
    <t>Eindhoven University of Technology;Eindhoven University of Technology;Eindhoven University of Technology</t>
  </si>
  <si>
    <t>10.1109/TVCG.2011.187;10.1109/TVCG.2006.160;10.1109/TVCG.2007.70582;10.1109/INFVIS.2004.1;10.1109/INFVIS.2005.1532126;10.1109/INFVIS.2004.46;10.1109/TVCG.2006.147;10.1109/TVCG.2008.141;10.1109/TVCG.2007.70556;10.1109/INFVIS.2004.5;10.1109/TVCG.2006.156;10.1109/TVCG.2010.159;10.1109/INFVIS.2003.1249030</t>
  </si>
  <si>
    <t>Network, gene regulation, scale-free, adjacency matrix</t>
  </si>
  <si>
    <t>Design Considerations for Optimizing Storyline Visualizations</t>
  </si>
  <si>
    <t>10.1109/TVCG.2012.212</t>
  </si>
  <si>
    <t>Storyline visualization is a technique used to depict the temporal dynamics of social interactions. This visualization technique was first introduced as a hand-drawn illustration in XKCD's “Movie Narrative Charts”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</si>
  <si>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Yuzuru Tanahashi;Kwan-Liu Ma</t>
  </si>
  <si>
    <t>University of California Davis;University of California Davis</t>
  </si>
  <si>
    <t>10.1109/TVCG.2008.166;10.1109/TVCG.2008.135;10.1109/TVCG.2011.190;10.1109/TVCG.2011.239;10.1109/TVCG.2006.193;10.1109/TVCG.2007.70535;10.1109/INFVIS.2003.1249008;10.1109/TVCG.2008.125;10.1109/INFVIS.2002.1173160</t>
  </si>
  <si>
    <t>Layout algorithm, timeline visualization, storyline visualization, design study</t>
  </si>
  <si>
    <t>Design Study Methodology: Reflections from the Trenches and the Stacks</t>
  </si>
  <si>
    <t>Centre for Data Eng., Int. Inst. of Inf. Technol.-Hyderabad, Hyderabad, India|c|;</t>
  </si>
  <si>
    <t>10.1109/TVCG.2012.213</t>
  </si>
  <si>
    <t>http://dx.doi.org/10.1109/VAST.2009.5333420</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</si>
  <si>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</si>
  <si>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Michael Sedlmair;Miriah D. Meyer;Tamara Munzner</t>
  </si>
  <si>
    <t>Michael Sedlmair;Miriah Meyer;Tamara Munzner</t>
  </si>
  <si>
    <t>University of British Columbia;University of Utah;University of British Columbia</t>
  </si>
  <si>
    <t>10.1109/INFVIS.1999.801869;10.1109/INFVIS.1996.559226;10.1109/TVCG.2008.117;10.1109/TVCG.2009.152;10.1109/TVCG.2010.206;10.1109/INFVIS.2005.1532136;10.1109/TVCG.2010.193;10.1109/VAST.2011.6102443;10.1109/TVCG.2011.174;10.1109/VAST.2007.4389008;10.1109/TVCG.2009.116;10.1109/TVCG.2011.192;10.1109/TVCG.2009.128;10.1109/INFVIS.2003.1249023;10.1109/TVCG.2009.167;10.1109/TVCG.2009.111;10.1109/TVCG.2011.209</t>
  </si>
  <si>
    <t>Design study, methodology, visualization, framework</t>
  </si>
  <si>
    <t>Different Strokes for Different Folks: Visual Presentation Design between Disciplines</t>
  </si>
  <si>
    <t>10.1109/TVCG.2012.214</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</si>
  <si>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</si>
  <si>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Steven R. Gomez;Radu Jianu;Caroline Ziemkiewicz;Hua Guo;David H. Laidlaw</t>
  </si>
  <si>
    <t>Steven R. Gomez;Radu Jianu;Caroline Ziemkiewicz;Hua Guo;David Laidlaw</t>
  </si>
  <si>
    <t>Brown University;Brown University;Brown University;Brown University;Brown University</t>
  </si>
  <si>
    <t>10.1109/TVCG.2011.251;10.1109/TVCG.2010.177;10.1109/TVCG.2010.179;10.1109/TVCG.2011.255</t>
  </si>
  <si>
    <t>Presentations, information visualization, design, visual analysis</t>
  </si>
  <si>
    <t>Does an Eye Tracker Tell the Truth about Visualizations?: findings while Investigating Visualizations for Decision Making</t>
  </si>
  <si>
    <t>10.1109/TVCG.2012.215</t>
  </si>
  <si>
    <t>Ming C. Hao;Halld�_r Janetzko;Ratnesh K. Sharma;Umeshwar Dayal;Daniel A. Keim;Mal̼ Castellanos</t>
  </si>
  <si>
    <t>Hewlett-Packard Labs., Palo Alto, CA, USA|c|;;;;;</t>
  </si>
  <si>
    <t>http://dx.doi.org/10.1109/VAST.2009.5333421</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</si>
  <si>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</si>
  <si>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Sung-Hee Kim;Zhihua Dong;Hanjun Xian;Benjavan Upatising;Ji Soo Yi</t>
  </si>
  <si>
    <t>10.1109/VISUAL.1990.146402;10.1109/TVCG.2011.193;10.1109/VAST.2008.4677363;10.1109/TVCG.2010.149;10.1109/TVCG.2011.183;10.1109/VAST.2009.5333920</t>
  </si>
  <si>
    <t>Visualized decision making, eye tracking, crowdsourcing, quantitative empirical study, limitations, peripheral vision</t>
  </si>
  <si>
    <t>Evaluating Sketchiness as a Visual Variable for the Depiction of Qualitative Uncertainty</t>
  </si>
  <si>
    <t>10.1109/TVCG.2012.220</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</si>
  <si>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</si>
  <si>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Nadia Boukhelifa;Anastasia Bezerianos;Tobias Isenberg 0001;Jean-Daniel Fekete</t>
  </si>
  <si>
    <t>Nadia Boukhelifa;Anastasia Bezerianos;Tobias Isenberg;Jean-Daniel Fekete</t>
  </si>
  <si>
    <t>INRIA;LRI;DIGITEO/CNRS/INRIA;INRIA</t>
  </si>
  <si>
    <t>10.1109/VISUAL.2005.1532853;10.1109/VISUAL.1992.235199;10.1109/TVCG.2007.70530;10.1109/TVCG.2009.114;10.1109/VAST.2009.5332611;10.1109/VAST.2006.261424;10.1109/TVCG.2012.262;10.1109/TVCG.2007.70589;10.1109/VISUAL.2000.885679</t>
  </si>
  <si>
    <t>Uncertainty visualization, qualitative evaluation, quantitative evaluation, perception</t>
  </si>
  <si>
    <t>Evaluating the Effect of Style in Information Visualization</t>
  </si>
  <si>
    <t>10.1109/TVCG.2012.221</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</si>
  <si>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</si>
  <si>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Chinese Acad. of Sci., Grad. Univ., Beijing, China|c|;;;;;</t>
  </si>
  <si>
    <t>Andrew Vande Moere;Martin Tomitsch;Christoph Wimmer;Christoph M. Bösch;Thomas Grechenig</t>
  </si>
  <si>
    <t>Andrew Vande Moere;Martin Tomitsch;Christoph Wimmer;Boesch Christoph;Thomas Grechenig</t>
  </si>
  <si>
    <t>KU Leuven;University of Sydney;TU Wien;TU Wien;TU Wien</t>
  </si>
  <si>
    <t>10.1109/TVCG.2007.70541;10.1109/TVCG.2007.70577;10.1109/TVCG.2009.122</t>
  </si>
  <si>
    <t>Visualization, design, style, aesthetics, evaluation, online study, user experience</t>
  </si>
  <si>
    <t>Exploring Flow, Factors, and Outcomes of Temporal Event Sequences with the Outflow Visualization</t>
  </si>
  <si>
    <t>10.1109/TVCG.2012.225</t>
  </si>
  <si>
    <t>http://dx.doi.org/10.1109/VAST.2009.5333428</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</si>
  <si>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</si>
  <si>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Krist Wongsuphasawat;David Gotz</t>
  </si>
  <si>
    <t>University of Maryland;IBM</t>
  </si>
  <si>
    <t>10.1109/TVCG.2009.181;10.1109/VAST.2011.6102453;10.1109/TVCG.2006.192;10.1109/INFVIS.2005.1532150;10.1109/VAST.2009.5332595;10.1109/TVCG.2009.117;10.1109/INFVIS.2005.1532152;10.1109/VAST.2006.261421</t>
  </si>
  <si>
    <t>Outflow, information visualization, temporal event sequences, state diagram, state transition</t>
  </si>
  <si>
    <t>Facilitating Discourse Analysis with Interactive Visualization</t>
  </si>
  <si>
    <t>10.1109/TVCG.2012.226</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</si>
  <si>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</si>
  <si>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Jian Zhao;Fanny Chevalier;Christopher Collins;Ravin Balakrishnan</t>
  </si>
  <si>
    <t>University of Toronto;University of Toronto;University of Ontario Institute of Technology;University of Toronto</t>
  </si>
  <si>
    <t>10.1109/VAST.2011.6102439;10.1109/TVCG.2007.70529;10.1109/TVCG.2009.122;10.1109/INFVIS.1999.801869;10.1109/INFVIS.2003.1249030</t>
  </si>
  <si>
    <t>Discourse structure, tree comparison, computational linguisitics, visual analytics, interaction techniques</t>
  </si>
  <si>
    <t>Graphical Overlays: Using Layered Elements to Aid Chart Reading</t>
  </si>
  <si>
    <t>10.1109/TVCG.2012.229</t>
  </si>
  <si>
    <t>Sandia Nat. Labs., Albuquerque, NM, USA|c|;;</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</si>
  <si>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</si>
  <si>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Nicholas Kong;Maneesh Agrawala</t>
  </si>
  <si>
    <t>University of California, Berkeley;University of California, Berkeley</t>
  </si>
  <si>
    <t>http://dx.doi.org/10.1109/VAST.2009.5333431</t>
  </si>
  <si>
    <t>10.1109/TVCG.2011.242;10.1109/VISUAL.1991.175820;10.1109/TVCG.2009.122;10.1109/TVCG.2011.183</t>
  </si>
  <si>
    <t>Visualization, overlays, graphical perception, graph comprehension</t>
  </si>
  <si>
    <t>Graphical Tests for Power Comparison of Competing Designs</t>
  </si>
  <si>
    <t>10.1109/TVCG.2012.230</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</si>
  <si>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</si>
  <si>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Heike Hofmann;Lendie Follett;Mahbubul Majumder;Dianne Cook</t>
  </si>
  <si>
    <t>Iowa State University;Iowa State University;Iowa State University;Iowa State University</t>
  </si>
  <si>
    <t>10.1109/TVCG.2009.111;10.1109/TVCG.2010.161</t>
  </si>
  <si>
    <t>Lineups, Visual inference, Power comparison, Efficiency of displays</t>
  </si>
  <si>
    <t>How Capacity Limits of Attention Influence Information Visualization Effectiveness</t>
  </si>
  <si>
    <t>10.1109/TVCG.2012.233</t>
  </si>
  <si>
    <t>In this paper, we explore how the capacity limits of attention influence the effectiveness of information visualizations. We conducted a series of experiments to test how visual feature type (color vs. motion), layout, and variety of visual elements impacted user performance. The experiments tested users' abilities to (1) determine if a specified target is on the screen, (2) detect an odd-ball, deviant target, different from the other visible objects, and (3) gain a qualitative overview by judging the number of unique categories on the screen. Our results show that the severe capacity limits of attention strongly modulate the effectiveness of information visualizations, particularly the ability to detect unexpected information. Keeping in mind these capacity limits, we conclude with a set of design guidelines which depend on a visualization's intended use.</t>
  </si>
  <si>
    <t>Steve Haroz;David Whitney</t>
  </si>
  <si>
    <t>Comput. Sci. Dept., Worcester Polytech. Inst., Worcester, MA, USA|c|;;</t>
  </si>
  <si>
    <t>University of California, Davis;University of California, Berkeley</t>
  </si>
  <si>
    <t>10.1109/INFVIS.2001.963274;10.1109/VISUAL.1996.568118;10.1109/TVCG.2010.186;10.1109/VISUAL.2005.1532838</t>
  </si>
  <si>
    <t>Perception, attention, color, motion, user study, nominal axis, layout, goal-oriented design</t>
  </si>
  <si>
    <t>http://dx.doi.org/10.1109/VAST.2009.5333436</t>
  </si>
  <si>
    <t>Intelligent Graph Layout Using Many Users' Input</t>
  </si>
  <si>
    <t>10.1109/TVCG.2012.236</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</si>
  <si>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</si>
  <si>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Xiaoru Yuan;Limei Che;Yifan Hu;Xin Zhang</t>
  </si>
  <si>
    <t>Peking University;Peking University;AT&amp;amp;T Labs Research;Peking University</t>
  </si>
  <si>
    <t>10.1109/TVCG.2008.155;10.1109/INFVIS.2005.1532130;10.1109/TVCG.2009.109;10.1109/TVCG.2007.70580</t>
  </si>
  <si>
    <t>Graph layout, Laplacian matrix, force directed layout, stress model, merging, editing, crowd sourcing</t>
  </si>
  <si>
    <t>Interaction Support for Visual Comparison Inspired by Natural Behavior</t>
  </si>
  <si>
    <t>10.1109/TVCG.2012.237</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</si>
  <si>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</si>
  <si>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Christian Tominski;Camilla Forsell;Jimmy Johansson</t>
  </si>
  <si>
    <t>University of Rostock;Link&amp;#x00F6;ping University;Link&amp;#x00F6;ping University</t>
  </si>
  <si>
    <t>10.1109/TVCG.2008.109;10.1109/TVCG.2007.70568;10.1109/TVCG.2011.201;10.1109/TVCG.2007.70515;10.1109/TVCG.2007.70623;10.1109/TVCG.2009.151;10.1109/INFVIS.2002.1173157;10.1109/TVCG.2011.223;10.1109/TVCG.2007.70582;10.1109/TVCG.2008.153</t>
  </si>
  <si>
    <t>Interaction techniques, visual comparison, visualization, human-computer interaction, natural interaction</t>
  </si>
  <si>
    <t>Interactive Level-of-Detail Rendering of Large Graphs</t>
  </si>
  <si>
    <t>10.1109/TVCG.2012.238</t>
  </si>
  <si>
    <t>Digital Enterprise Res. Inst., Nat. Univ. of Ireland, Galway, Ireland|c|;</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</si>
  <si>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</si>
  <si>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Michael Zinsmaier;Ulrik Brandes;Oliver Deussen;Hendrik Strobelt</t>
  </si>
  <si>
    <t>Uni Konstanz;Uni Konstanz;Uni Konstanz;Uni Konstanz</t>
  </si>
  <si>
    <t>http://dx.doi.org/10.1109/VAST.2009.5333437</t>
  </si>
  <si>
    <t>10.1109/INFVIS.2005.1532150;10.1109/TVCG.2006.120;10.1109/TVCG.2011.233;10.1109/TVCG.2008.135;10.1109/TVCG.2006.187;10.1109/TVCG.2006.147;10.1109/TVCG.2010.154;10.1109/INFVIS.2004.66</t>
  </si>
  <si>
    <t>Graph visualization, OpenGL, edge aggregation</t>
  </si>
  <si>
    <t>Living Liquid: Design and Evaluation of an Exploratory Visualization Tool for Museum Visitors</t>
  </si>
  <si>
    <t>10.1109/TVCG.2012.244</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</si>
  <si>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</si>
  <si>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Joyce Ma;Isaac Liao;Kwan-Liu Ma;Jennifer Frazier</t>
  </si>
  <si>
    <t>Exploratorium;University of California, Davis;University of California, Davis;Exploratorium</t>
  </si>
  <si>
    <t>10.1109/TVCG.2008.127;10.1109/TVCG.2011.175;10.1109/INFVIS.2004.8</t>
  </si>
  <si>
    <t>Information visualization, user interaction, evaluation, user studies, science museums, informal learning environments</t>
  </si>
  <si>
    <t>Memorability of Visual Features in Network Diagrams</t>
  </si>
  <si>
    <t>10.1109/TVCG.2012.245</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</si>
  <si>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</si>
  <si>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Kim Marriott;Helen C. Purchase;Michael Wybrow;Cagatay Goncu</t>
  </si>
  <si>
    <t>Kim Marriott;Helen Purchase;Michael Wybrow;Cagatay Goncu</t>
  </si>
  <si>
    <t>Monash University;University of Glasgow;Monash University;Monash University</t>
  </si>
  <si>
    <t>10.1109/TVCG.2008.155;10.1109/TVCG.2009.109</t>
  </si>
  <si>
    <t>Network diagrams, graph layout, perceptual theories, visual features, diagram recall, experiment</t>
  </si>
  <si>
    <t>Pacific Northwest Nat. Lab., Richland, WA, USA|c|;;;;</t>
  </si>
  <si>
    <t>Organizing Search Results with a Reference Map</t>
  </si>
  <si>
    <t>10.1109/TVCG.2012.250</t>
  </si>
  <si>
    <t>http://dx.doi.org/10.1109/VAST.2009.5333438</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</si>
  <si>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</si>
  <si>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Arlind Nocaj;Ulrik Brandes</t>
  </si>
  <si>
    <t>10.1109/INFVIS.2005.1532128;10.1109/INFVIS.1997.636718;10.1109/TVCG.2006.147;10.1109/TVCG.2010.154;10.1109/TVCG.2009.176</t>
  </si>
  <si>
    <t>Search results, mental map, voronoi treemaps, dynamic graph layout, multidimensional scaling, edge bundling</t>
  </si>
  <si>
    <t>Perception of Visual Variables on Tiled Wall-Sized Displays for Information Visualization Applications</t>
  </si>
  <si>
    <t>10.1109/TVCG.2012.251</t>
  </si>
  <si>
    <t>Dept. of Inf. Studies, Univ. of Sheffield, Sheffield, UK|c|;</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</si>
  <si>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</si>
  <si>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Anastasia Bezerianos;Petra Isenberg</t>
  </si>
  <si>
    <t>Univ Paris-Sud;INRIA</t>
  </si>
  <si>
    <t>10.1109/TVCG.2011.160;10.1109/TVCG.2006.184</t>
  </si>
  <si>
    <t>Information visualization, perception, wall-displays</t>
  </si>
  <si>
    <t>http://dx.doi.org/10.1109/VAST.2009.5333443</t>
  </si>
  <si>
    <t>PivotPaths: Strolling through Faceted Information Spaces</t>
  </si>
  <si>
    <t>10.1109/TVCG.2012.252</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</si>
  <si>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</si>
  <si>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Marian Dörk;Nathalie Henry Riche;Gonzalo Ramos;Susan T. Dumais</t>
  </si>
  <si>
    <t>Marian Dörk;Nathalie Henry Riche;Gonzalo Ramos;Susan Dumais</t>
  </si>
  <si>
    <t>University of Calgary;Microsoft;Microsoft;Microsoft</t>
  </si>
  <si>
    <t>10.1109/VAST.2009.5333443;10.1109/TVCG.2010.154;10.1109/VAST.2006.261426;10.1109/VAST.2007.4389006;10.1109/VAST.2008.4677370;10.1109/TVCG.2007.70539;10.1109/TVCG.2008.175</t>
  </si>
  <si>
    <t>Information visualization, interactivity, node-link diagrams, animation, information seeking, exploratory search</t>
  </si>
  <si>
    <t>RankExplorer: Visualization of Ranking Changes in Large Time Series Data</t>
  </si>
  <si>
    <t>10.1109/TVCG.2012.253</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</si>
  <si>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</si>
  <si>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Conglei Shi;Weiwei Cui;Shixia Liu;Panpan Xu;Wei Chen 0001;Huamin Qu</t>
  </si>
  <si>
    <t>Conglei Shi;Weiwei Cui;Shixia Liu;Panpan Xu;Wei Chen;Huamin Qu</t>
  </si>
  <si>
    <t>Hong Kong University of Science and Technology;Microsoft Research Aisa;Microsoft Research Aisa;Hong Kong University of Science and Technology;Zhe Jiang University;Hong Kong University of Science and Technology</t>
  </si>
  <si>
    <t>Christopher Collins;Fernanda B. Vi̩gas;Martin Wattenberg</t>
  </si>
  <si>
    <t>10.1109/TVCG.2008.166;10.1109/VAST.2010.5652931;10.1109/TVCG.2010.193;10.1109/VAST.2010.5652530;10.1109/INFVIS.2000.885098;10.1109/INFVIS.2005.1532148;10.1109/TVCG.2011.179;10.1109/TVCG.2007.70535;10.1109/TVCG.2008.140;10.1109/TVCG.2010.129;10.1109/TVCG.2008.181;10.1109/TVCG.2009.187;10.1109/INFVIS.1999.801851;10.1109/INFVIS.2005.1532122;10.1109/VISUAL.1995.485140;10.1109/TVCG.2010.194;10.1109/TVCG.2011.239;10.1109/TVCG.2010.162;10.1109/TVCG.2011.195;10.1109/TVCG.2009.180</t>
  </si>
  <si>
    <t>Time-series data, ranking change, Themeriver, interaction techniques</t>
  </si>
  <si>
    <t>RelEx: Visualization for Actively Changing Overlay Network Specifications</t>
  </si>
  <si>
    <t>10.1109/TVCG.2012.255</t>
  </si>
  <si>
    <t>http://dx.doi.org/10.1109/VAST.2009.5333451</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</si>
  <si>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</si>
  <si>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Michael Sedlmair;Annika Frank;Tamara Munzner;Andreas Butz</t>
  </si>
  <si>
    <t>University of British Columbia;Bertrand AG, Munich;University of British Columbia;University of Munich (LMU)</t>
  </si>
  <si>
    <t>10.1109/TVCG.2006.160;10.1109/INFVIS.2004.12;10.1109/VAST.2011.6102443;10.1109/TVCG.2007.70582;10.1109/TVCG.2009.111;10.1109/TVCG.2009.116;10.1109/INFVIS.1999.801869;10.1109/TVCG.2008.141;10.1109/TVCG.2008.117;10.1109/INFVIS.2005.1532126;10.1109/TVCG.2012.213;10.1109/INFVIS.2003.1249030;10.1109/VAST.2006.261426</t>
  </si>
  <si>
    <t>Network visualization, change management, traffic routing, traffic optimization, automotive, design study</t>
  </si>
  <si>
    <t>Representative Factor Generation for the Interactive Visual Analysis of High-Dimensional Data</t>
  </si>
  <si>
    <t>10.1109/TVCG.2012.256</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</si>
  <si>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</si>
  <si>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Cagatay Turkay;Arvid Lundervold;Astri J. Lundervold;Helwig Hauser</t>
  </si>
  <si>
    <t>Cagatay Turkay;Arvid Lundervold;Astri Johansen Lundervold;Helwig Hauser</t>
  </si>
  <si>
    <t>Department of Informatics, University of Bergen;Department of Biomedicine, University of Bergen;Department of Biological and Medical Psychology, University of Bergen;Department of Informatics, University of Bergen</t>
  </si>
  <si>
    <t>10.1109/TVCG.2009.199;10.1109/INFVIS.2005.1532142;10.1109/VAST.2011.6102449;10.1109/INFVIS.2000.885086;10.1109/VISUAL.1994.346302;10.1109/TVCG.2008.116;10.1109/TVCG.2011.178;10.1109/TVCG.2007.70569;10.1109/VISUAL.1999.809866;10.1109/INFVIS.2004.60;10.1109/INFVIS.2004.3;10.1109/TVCG.2009.153</t>
  </si>
  <si>
    <t>Interactive visual analysis, high-dimensional data analysis</t>
  </si>
  <si>
    <t>Sketchy Rendering for Information Visualization</t>
  </si>
  <si>
    <t>10.1109/TVCG.2012.262</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</si>
  <si>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</si>
  <si>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Jo Wood;Petra Isenberg;Tobias Isenberg 0001;Jason Dykes;Nadia Boukhelifa;Aidan Slingsby</t>
  </si>
  <si>
    <t>Jo Wood;Petra Isenberg;Tobias Isenberg;Jason Dykes;Nadia Boukhelifa;Aidan Slingsby</t>
  </si>
  <si>
    <t>giCentre, City University London;INRIA, Paris;University of Groningen, Netherlands;giCentre, City University London;INRIA, Paris;giCentre, City University London</t>
  </si>
  <si>
    <t>10.1109/TVCG.2010.186;10.1109/TVCG.2011.175;10.1109/TVCG.2012.220;10.1109/TVCG.2011.251;10.1109/TVCG.2011.209;10.1109/TVCG.2011.255</t>
  </si>
  <si>
    <t>NPR, non-photorealistic rendering, sketch, hand-drawn, uncertainty, visualization</t>
  </si>
  <si>
    <t>http://dx.doi.org/10.1109/VAST.2009.5333453</t>
  </si>
  <si>
    <t>SnapShot: Visualization to Propel Ice Hockey Analytics</t>
  </si>
  <si>
    <t>10.1109/TVCG.2012.263</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</si>
  <si>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</si>
  <si>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Hannah Pileggi;Charles D. Stolper;J. Michael Boyle;John T. Stasko</t>
  </si>
  <si>
    <t>Georgia Institute of Technology;Georgia Institute of Technology;Sports Analytics Institute, Inc.;Georgia Institute of Technology</t>
  </si>
  <si>
    <t>10.1109/TVCG.2010.179;10.1109/TVCG.2007.70537;10.1109/INFVIS.1997.636793;10.1109/TVCG.2011.185;10.1109/TVCG.2007.70577;10.1109/INFVIS.1996.559229</t>
  </si>
  <si>
    <t>Visual knowledge discovery, visual knowledge representation, hypothesis testing, visual evidence, human computer interaction</t>
  </si>
  <si>
    <t>Dept. of Comput. Sci. &amp; Eng., Texas A&amp;M Univ., College Station, TX, USA|c|;;</t>
  </si>
  <si>
    <t>http://dx.doi.org/10.1109/VAST.2009.5333468</t>
  </si>
  <si>
    <t>Spatial Text Visualization Using Automatic Typographic Maps</t>
  </si>
  <si>
    <t>10.1109/TVCG.2012.264</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</si>
  <si>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</si>
  <si>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Shehzad Afzal;Ross Maciejewski;Yun Jang;Niklas Elmqvist;David S. Ebert</t>
  </si>
  <si>
    <t>Purdue University;Arizona State University;Sejong University;Purdue University;Purdue University</t>
  </si>
  <si>
    <t>10.1109/VAST.2010.5652931;10.1109/TVCG.2010.191;10.1109/TVCG.2010.175;10.1109/INFVIS.1995.528686;10.1109/VISUAL.1997.663912;10.1109/VISUAL.2000.885694;10.1109/INFVIS.2005.1532131;10.1109/INFVIS.2002.1173144;10.1109/TVCG.2008.165;10.1109/TVCG.2010.194;10.1109/TVCG.2009.171;10.1109/INFVIS.2000.885095</t>
  </si>
  <si>
    <t>Geovisualization, spatial data, text visualization, label placement</t>
  </si>
  <si>
    <t>Stacking-Based Visualization of Trajectory Attribute Data</t>
  </si>
  <si>
    <t>10.1109/TVCG.2012.265</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</si>
  <si>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</si>
  <si>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Christian Tominski;Heidrun Schumann;Gennady L. Andrienko;Natalia V. Andrienko</t>
  </si>
  <si>
    <t>Christian Tominski;Heidrun Schumann;Gennady Andrienko;Natalia Andrienko</t>
  </si>
  <si>
    <t>University of Rostock;University of Rostock;Fraunhofer Institute IAIS;Fraunhofer Institute IAIS</t>
  </si>
  <si>
    <t>10.1109/TVCG.2010.197;10.1109/VAST.2011.6102455;10.1109/VAST.2009.5332593;10.1109/VISUAL.1995.480803;10.1109/INFVIS.2004.27;10.1109/INFVIS.2005.1532144;10.1109/VAST.2011.6102454</t>
  </si>
  <si>
    <t>Visualization, interaction, exploratory analysis, trajectory attribute data, spatio-temporal data</t>
  </si>
  <si>
    <t>Taxonomy-Based Glyph Design---with a Case Study on Visualizing Workflows of Biological Experiments</t>
  </si>
  <si>
    <t>10.1109/TVCG.2012.271</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</si>
  <si>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</si>
  <si>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Eamonn Maguire;Philippe Rocca-Serra;Susanna-Assunta Sansone;Jim Davies;Min Chen</t>
  </si>
  <si>
    <t>University of Oxford;University of Oxford;University of Oxford;University of Oxford;University of Oxford</t>
  </si>
  <si>
    <t>10.1109/TVCG.2006.134;10.1109/TVCG.2012.197;10.1109/TVCG.2010.132;10.1109/VISUAL.1995.485141;10.1109/INFVIS.1998.729568</t>
  </si>
  <si>
    <t>Glyph-based techniques, taxonomies, design methodologies, bioinformatics visualization</t>
  </si>
  <si>
    <t>The DeepTree Exhibit: Visualizing the Tree of Life to Facilitate Informal Learning</t>
  </si>
  <si>
    <t>10.1109/TVCG.2012.272</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</si>
  <si>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</si>
  <si>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Florian Block;Michael S. Horn;Brenda Caldwell Phillips;Judy Diamond;E. Margaret Evans;Chia Shen</t>
  </si>
  <si>
    <t>Harvard University;Northwestern University;Harvard University;University of Nebraska State Museum;University of Michigan;Harvard University</t>
  </si>
  <si>
    <t>10.1109/INFVIS.2001.963285;10.1109/INFVIS.1997.636718;10.1109/TVCG.2009.111;10.1109/TVCG.2007.70539;10.1109/INFVIS.2002.1173153;10.1109/TVCG.2008.127;10.1109/INFVIS.2002.1173148;10.1109/TVCG.2007.70541</t>
  </si>
  <si>
    <t>Informal science education, collaborative learning, large tree visualizations, multi-touch interaction</t>
  </si>
  <si>
    <t>Understanding Pen and Touch Interaction for Data Exploration on Interactive Whiteboards</t>
  </si>
  <si>
    <t>10.1109/TVCG.2012.275</t>
  </si>
  <si>
    <t>http://dx.doi.org/10.1109/VAST.2009.5333469</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</si>
  <si>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</si>
  <si>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Jagoda Walny;Bongshin Lee;Paul Johns;Nathalie Henry Riche;Sheelagh Carpendale</t>
  </si>
  <si>
    <t>University of Calgary;Microsoft Research;Microsoft Research;Microsoft Research;University of Calgary</t>
  </si>
  <si>
    <t>10.1109/TVCG.2012.262;10.1109/TVCG.2009.174;10.1109/TVCG.2011.251;10.1109/TVCG.2007.70568;10.1109/TVCG.2010.164</t>
  </si>
  <si>
    <t>Pen and touch, interaction, Wizard of Oz, whiteboard, data exploration</t>
  </si>
  <si>
    <t>Visual Semiotics &amp; Uncertainty Visualization: An Empirical Study</t>
  </si>
  <si>
    <t>10.1109/TVCG.2012.279</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</si>
  <si>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</si>
  <si>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Alan M. MacEachren;Robert E. Roth;James O'Brien;Bonan Li;Derek Swingley;Mark Gahegan</t>
  </si>
  <si>
    <t>Penn State University;University of Wisconsin;Macquarie University;ZillionInfo;Penn State University;University of Auckland</t>
  </si>
  <si>
    <t>10.1109/VISUAL.1992.235199;10.1109/TVCG.2011.197;10.1109/TVCG.2009.114</t>
  </si>
  <si>
    <t>Uncertainty visualization, uncertainty categories, visual variables, semiotics</t>
  </si>
  <si>
    <t>Charlotte Visualization Center, UNC Charlotte, Charlotte, NC, USA|c|;;;</t>
  </si>
  <si>
    <t>http://dx.doi.org/10.1109/VAST.2009.5333472</t>
  </si>
  <si>
    <t>Visualizing Flow of Uncertainty through Analytical Processes</t>
  </si>
  <si>
    <t>10.1109/TVCG.2012.285</t>
  </si>
  <si>
    <t>Uncertainty can arise in any stage of a visual analytics process, especially in data-intensive applications with a sequence of data transformations. Additionally, throughout the process of multidimensional, multivariate data analysis, uncertainty due to data transformation and integration may split, merge, increase, or decrease. This dynamic characteristic along with other features of uncertainty pose a great challenge to effective uncertainty-aware visualization. This paper presents a new framework for modeling uncertainty and characterizing the evolution of the uncertainty information through analytical processes. Based on the framework, we have designed a visual metaphor called uncertainty flow to visually and intuitively summarize how uncertainty information propagates over the whole analysis pipeline. Our system allows analysts to interact with and analyze the uncertainty information at different levels of detail. Three experiments were conducted to demonstrate the effectiveness and intuitiveness of our design.</t>
  </si>
  <si>
    <t>Yingcai Wu;Guo-Xun Yuan;Kwan-Liu Ma</t>
  </si>
  <si>
    <t>10.1109/TVCG.2008.137;10.1109/TVCG.2011.178;10.1109/INFVIS.2004.2;10.1109/INFVIS.2002.1173145;10.1109/VISUAL.1993.398857;10.1109/VAST.2009.5332611;10.1109/TVCG.2010.183;10.1109/TVCG.2009.114;10.1109/TVCG.2011.197;10.1109/TVCG.2010.176</t>
  </si>
  <si>
    <t>Uncertainty visualization, uncertainty quantification, uncertainty propagation, error ellipsoids, uncertainty fusion</t>
  </si>
  <si>
    <t>Visualizing Network Traffic to Understand the Performance of Massively Parallel Simulations</t>
  </si>
  <si>
    <t>10.1109/TVCG.2012.286</t>
  </si>
  <si>
    <t>The performance of massively parallel applications is often heavily impacted by the cost of communication among compute nodes. However, determining how to best use the network is a formidable task, made challenging by the ever increasing size and complexity of modern supercomputers. This paper applies visualization techniques to aid parallel application developers in understanding the network activity by enabling a detailed exploration of the flow of packets through the hardware interconnect. In order to visualize this large and complex data, we employ two linked views of the hardware network. The first is a 2D view, that represents the network structure as one of several simplified planar projections. This view is designed to allow a user to easily identify trends and patterns in the network traffic. The second is a 3D view that augments the 2D view by preserving the physical network topology and providing a context that is familiar to the application developers. Using the massively parallel multi-physics code pF3D as a case study, we demonstrate that our tool provides valuable insight that we use to explain and optimize pF3D's performance on an IBM Blue Gene/P system.</t>
  </si>
  <si>
    <t>Aaditya G. Landge;Joshua A. Levine;Abhinav Bhatele;Katherine E. Isaacs;Todd Gamblin;Martin Schulz 0001;Steve H. Langer;Peer-Timo Bremer;Valerio Pascucci</t>
  </si>
  <si>
    <t>Aaditya G. Landge;Joshua A. Levine;Abhinav Bhatele;Katherine E. Isaacs;Todd Gamblin;Martin Schulz;Steve H. Langer;Peer-Timo Bremer;Valerio Pascucci</t>
  </si>
  <si>
    <t>SCI Institute, University of Utah;SCI Institute, University of Utah;Lawrence Livermore National Laboratory;University of California, Davis;Lawrence Livermore National Laboratory;Lawrence Livermore National Laboratory;Lawrence Livermore National Laboratory;Lawrence Livermore National Laboratory;SCI Institute, University of Utah</t>
  </si>
  <si>
    <t>10.1109/TVCG.2009.196;10.1109/INFVIS.2004.66</t>
  </si>
  <si>
    <t>Performance analysis, network traffic visualization, projected graph layouts</t>
  </si>
  <si>
    <t>Fraunhofer Inst. IAIS, Univ. of Bonn, Bonn, Germany|c|;;;;</t>
  </si>
  <si>
    <t>Visualizing Student Histories Using Clustering and Composition</t>
  </si>
  <si>
    <t>10.1109/TVCG.2012.288</t>
  </si>
  <si>
    <t>http://dx.doi.org/10.1109/VAST.2009.5333474</t>
  </si>
  <si>
    <t>Pacific Northwest Nat. Lab., Rockaway Beach, OR, USA|c|</t>
  </si>
  <si>
    <t>http://dx.doi.org/10.1109/VAST.2009.5333564</t>
  </si>
  <si>
    <t>Visualization &amp; Interactive Syst. Group, Univ. Stuttgart, Stuttgart, Germany|c|;;;</t>
  </si>
  <si>
    <t>http://dx.doi.org/10.1109/VAST.2009.5333878</t>
  </si>
  <si>
    <t>Youn ah Kang;Carsten G̦rg;John T. Stasko</t>
  </si>
  <si>
    <t>GVU Center, Georgia Inst. of Technol., Atlanta, GA, USA|c|;;</t>
  </si>
  <si>
    <t>http://dx.doi.org/10.1109/VAST.2009.5333880</t>
  </si>
  <si>
    <t>http://dx.doi.org/10.1109/VAST.2009.5333893</t>
  </si>
  <si>
    <t>Tatiana von Landesberger;Melanie G̦rner;Tobias Schreck</t>
  </si>
  <si>
    <t>Interactive Graphics Syst. Group, Tech. Univ. Darmstadt, Darmstadt, Germany|c|;;</t>
  </si>
  <si>
    <t>http://dx.doi.org/10.1109/VAST.2009.5333895</t>
  </si>
  <si>
    <t>http://dx.doi.org/10.1109/VAST.2009.5333911</t>
  </si>
  <si>
    <t>ZBIT, Univ. of Tubingen, Tubingen, Germany|c|;;;</t>
  </si>
  <si>
    <t>http://dx.doi.org/10.1109/VAST.2009.5333917</t>
  </si>
  <si>
    <t>Battelle Center for Math. Med., Ohio State Univ., Columbus, OH, USA|c|;;;</t>
  </si>
  <si>
    <t>http://dx.doi.org/10.1109/VAST.2009.5333919</t>
  </si>
  <si>
    <t>Daniela Oelke;Ming C. Hao;Christian Rohrdantz;Daniel A. Keim;Umeshwar Dayal;Lars-Erik Haug;Halld�_r Janetzko</t>
  </si>
  <si>
    <t>http://dx.doi.org/10.1109/VAST.2009.5333920</t>
  </si>
  <si>
    <t>Purdue Univ. Regional Visualization &amp; Analytics Center (PURVAC), West Lafayette, IN, USA|c|;;</t>
  </si>
  <si>
    <t>http://dx.doi.org/10.1109/VAST.2009.5333946</t>
  </si>
  <si>
    <t>derivo GmbH, Ulm Univ., Ulm, Germany|c|;;</t>
  </si>
  <si>
    <t>http://dx.doi.org/10.1109/VAST.2009.5333950</t>
  </si>
  <si>
    <t>VIDI Group, Univ. of California, Davis, CA, USA|c|;;;;</t>
  </si>
  <si>
    <t>http://dx.doi.org/10.1109/VAST.2009.5333961</t>
  </si>
  <si>
    <t>Dept. of Stat., Univ. of Michigan, Ann Arbor, MI, USA|c|;;;</t>
  </si>
  <si>
    <t>http://dx.doi.org/10.1109/VAST.2009.5333965</t>
  </si>
  <si>
    <t>Sch. of Inf., City Univ. London, London, UK|c|;;;;</t>
  </si>
  <si>
    <t>http://dx.doi.org/10.1109/VAST.2009.5333967</t>
  </si>
  <si>
    <t>http://dx.doi.org/10.1109/VAST.2009.5333968</t>
  </si>
  <si>
    <t>D�_ra Erd̦s;Zsolt Fekete;Andr��s Luk��cs</t>
  </si>
  <si>
    <t>Data Min. &amp; Web Search Group, Hungarian Acad. of Sci., Budapest, Hungary|c|;;</t>
  </si>
  <si>
    <t>http://dx.doi.org/10.1109/VAST.2009.5334300</t>
  </si>
  <si>
    <t>Harald Bosch;Julian Heinrich;Christoph M�_ller 0001;Benjamin H̦ferlin;Guido Reina;Markus H̦ferlin;Michael W̦rner 0001;Steffen Koch</t>
  </si>
  <si>
    <t>Visualization &amp; Interactive Syst. Inst., Univ. Stuttgart, Stuttgart, Germany|c|;;;;;;;</t>
  </si>
  <si>
    <t>http://dx.doi.org/10.1109/VAST.2009.5334301</t>
  </si>
  <si>
    <t>Centre for Data Eng., Int. Inst. of Inf. Technol., Hyderabad, India|c|;;;</t>
  </si>
  <si>
    <t>http://dx.doi.org/10.1109/VAST.2009.5334426</t>
  </si>
  <si>
    <t>http://dx.doi.org/10.1109/VAST.2009.5334430</t>
  </si>
  <si>
    <t>Univ. of Konstanz, Konstanz, Germany|c|;;;;;;;</t>
  </si>
  <si>
    <t>http://dx.doi.org/10.1109/VAST.2009.5334454</t>
  </si>
  <si>
    <t>The 4th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</si>
  <si>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Univ. of Massachusetts, Lowell, MA, USA|c|;;;</t>
  </si>
  <si>
    <t>http://dx.doi.org/10.1109/VAST.2009.5334456</t>
  </si>
  <si>
    <t>Paolo Simonetto;Pierre-Yves Koenig;Faraz Zaidi;Daniel W. Archambault;Fr̩d̩ric Gilbert;Trung-Tien Phan-Quang;Morgan Mathiaut;Antoine Lambert;Jonathan Dubois;Ronan Sicre;Mathieu Brulin;R̩my Vieux;Guy Melan̤on</t>
  </si>
  <si>
    <t>LaBRI, Univ. de Bordeaux I, Bordeaux, France|c|;;;;;;;;;;;;</t>
  </si>
  <si>
    <t>http://dx.doi.org/10.1109/VAST.2009.5334460</t>
  </si>
  <si>
    <t>Georgia Inst. of Technol., Atlanta, GA, USA|c|;;;</t>
  </si>
  <si>
    <t>http://dx.doi.org/10.1109/VAST.2009.5334462</t>
  </si>
  <si>
    <t>Palantir Technol., Palo Alto, CA, USA|c|;;;</t>
  </si>
  <si>
    <t>http://dx.doi.org/10.1109/VAST.2009.5334463</t>
  </si>
  <si>
    <t>Claudia M�_ller-Birn;Lukas Birn</t>
  </si>
  <si>
    <t>http://dx.doi.org/10.1109/TVCG.2010.126</t>
  </si>
  <si>
    <t>Angus Graeme Forbes;Tobias H̦llerer;George Legrady</t>
  </si>
  <si>
    <t>Media Arts &amp; Technol. Dept., Univ. of California, Santa Barbara, CA, USA|c|;;</t>
  </si>
  <si>
    <t>http://dx.doi.org/10.1109/TVCG.2010.127</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</si>
  <si>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C1-continuous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</si>
  <si>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http://dx.doi.org/10.1109/TVCG.2010.128</t>
  </si>
  <si>
    <t>Comput. Sci. Dept., Univ. of Calif ornia, Irvine, CA, USA|c|;;</t>
  </si>
  <si>
    <t>http://dx.doi.org/10.1109/TVCG.2010.129</t>
  </si>
  <si>
    <t>Marian D̦rk;Dan Gruen;Carey L. Williamson;Sheelagh Carpendale</t>
  </si>
  <si>
    <t>http://dx.doi.org/10.1109/TVCG.2010.130</t>
  </si>
  <si>
    <t>http://dx.doi.org/10.1109/TVCG.2010.131</t>
  </si>
  <si>
    <t>http://dx.doi.org/10.1109/TVCG.2010.132</t>
  </si>
  <si>
    <t>http://dx.doi.org/10.1109/TVCG.2010.133</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</si>
  <si>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Poincare����_ map of the sampled fieldlines in a Poincare����_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</si>
  <si>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http://dx.doi.org/10.1109/TVCG.2010.134</t>
  </si>
  <si>
    <t>Peter Kok;Martin Baiker;Emile A. Hendriks;Frits H. Post;Jouke Dijkstra;Clemens W. G. M. L̦wik;Boudewijn P. F. Lelieveldt;Charl P. Botha</t>
  </si>
  <si>
    <t>;;;;;;;</t>
  </si>
  <si>
    <t>http://dx.doi.org/10.1109/TVCG.2010.136</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</si>
  <si>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</si>
  <si>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David Trimm;Penny Rheingans;Marie desJardins</t>
  </si>
  <si>
    <t>The University of Maryland, Baltimore County;The University of Maryland, Baltimore County;The University of Maryland, Baltimore County</t>
  </si>
  <si>
    <t>10.1109/INFVIS.2005.1532140;10.1109/TVCG.2007.70623;10.1109/TVCG.2009.131</t>
  </si>
  <si>
    <t>Clustering, aggregate visualization, student performance analysis, visualization composition</t>
  </si>
  <si>
    <t>Whisper: Tracing the Spatiotemporal Process of Information Diffusion in Real Time</t>
  </si>
  <si>
    <t>10.1109/TVCG.2012.291</t>
  </si>
  <si>
    <t>Univ. of Insubria, Varese, Italy|c|;;</t>
  </si>
  <si>
    <t>When and where is an idea dispersed? Social media, like Twitter, has been increasingly used for exchanging information, opinions and emotions about events that are happening across the world. Here we propose a novel visualization design, “Whisper”,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</si>
  <si>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Nan Cao;Yu-Ru Lin;Xiaohua Sun;David Lazer;Shixia Liu;Huamin Qu</t>
  </si>
  <si>
    <t>Hong Kong University of Science and Technology;Northeastern University;TongJi University;Northeastern University;Microsoft Research Asia;Hong Kong University of Science and Technology</t>
  </si>
  <si>
    <t>http://dx.doi.org/10.1109/TVCG.2010.137</t>
  </si>
  <si>
    <t>10.1109/TVCG.2009.171;10.1109/TVCG.2006.147;10.1109/INFVIS.2000.885098;10.1109/TVCG.2006.202;10.1109/TVCG.2007.70535;10.1109/TVCG.2010.129;10.1109/TVCG.2008.125;10.1109/TVCG.2011.188</t>
  </si>
  <si>
    <t>Information visualization, Information diffusion, Contagion, Social media, Microblogging, Spatiotemporal patterns</t>
  </si>
  <si>
    <t>A Data-Driven Approach to Hue-Preserving Color-Blending</t>
  </si>
  <si>
    <t>10.1109/TVCG.2012.186</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</si>
  <si>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</si>
  <si>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Lars Kuehne;Joachim Giesen;Zhiyuan Zhang;Sungsoo Ha;Klaus Mueller</t>
  </si>
  <si>
    <t>Lars Kühne;Joachim Giesen;Zhiyuan Zhang;Sungsoo Ha;Klaus Mueller</t>
  </si>
  <si>
    <t>Friedrich-Schiller-Universität Jena;Friedrich-Schiller-Universität Jena;Stony Brook University;Stony Brook University;Stony Brook University</t>
  </si>
  <si>
    <t>10.1109/TVCG.2009.150;10.1109/TVCG.2008.118;10.1109/TVCG.2007.70623;10.1109/TVCG.2012.234;10.1109/VISUAL.2003.1250362</t>
  </si>
  <si>
    <t>Color blending, hue preservation, knowledge-assisted visualization, volume rendering, parallel coordinates</t>
  </si>
  <si>
    <t>A Novel Approach to Visualizing Dark Matter Simulations</t>
  </si>
  <si>
    <t>10.1109/TVCG.2012.187</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</si>
  <si>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</si>
  <si>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Ralf Kähler;Oliver Hahn;Tom Abel</t>
  </si>
  <si>
    <t>Ralf Kaehler;Oliver Hahn;Tom Abel</t>
  </si>
  <si>
    <t>KIPAC;KIPAC;KIPAC</t>
  </si>
  <si>
    <t>10.1109/TVCG.2010.148;10.1109/VISUAL.2003.1250390;10.1109/VISUAL.2004.85;10.1109/TVCG.2006.154;10.1109/VISUAL.2003.1250404;10.1109/TVCG.2011.216;10.1109/TVCG.2009.142;10.1109/VISUAL.2001.964512;10.1109/VISUAL.2003.1250404</t>
  </si>
  <si>
    <t>Astrophysics, dark matter, n-body simulations, tetrahedral grids</t>
  </si>
  <si>
    <t>A Perceptual-Statistics Shading Model</t>
  </si>
  <si>
    <t>10.1109/TVCG.2012.188</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</si>
  <si>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</si>
  <si>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Veronika Soltészová;Cagatay Turkay;Mark C. Price;Ivan Viola</t>
  </si>
  <si>
    <t>Veronika Šoltészová;Cagatay Turkay;Mark C. Price;Ivan Viola</t>
  </si>
  <si>
    <t>Department of Informatics, University of Bergen;Department of Informatics, University of Bergen;Faculty of Psychology, University of Bergen;Department of Informatics, University of Bergen and Christian Michelsen Research, Norway</t>
  </si>
  <si>
    <t>Shading, perception, evaluation, surface slant, statistical analysis</t>
  </si>
  <si>
    <t>A Visual Analysis Concept for the Validation of Geoscientific Simulation Models</t>
  </si>
  <si>
    <t>10.1109/TVCG.2012.190</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</si>
  <si>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</si>
  <si>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Andrea Unger;Sven Schulte;Volker Klemann;Doris Dransch</t>
  </si>
  <si>
    <t>GFZ German Reserach Center For Geosciences, Potsdam, Germany;Magdeburg-Stendal University of Applied Sciences, Germany;National Oceanography Centre, Liverpool, UK;GFZ German Reserach Center For Geosciences, Potsdam, Germany</t>
  </si>
  <si>
    <t>10.1109/TVCG.2010.192;10.1109/VAST.2010.5652895;10.1109/TVCG.2011.248;10.1109/TVCG.2008.145;10.1109/TVCG.2011.225;10.1109/TVCG.2010.223;10.1109/TVCG.2010.171;10.1109/TVCG.2010.190;10.1109/VISUAL.1993.398859;10.1109/TVCG.2010.181;10.1109/TVCG.2008.139</t>
  </si>
  <si>
    <t>Earth science visualization, model validation, coordinated multiple views, spatio-temporal visualization, sea level indicators</t>
  </si>
  <si>
    <t>An Adaptive Prediction-Based Approach to Lossless Compression of Floating-Point Volume Data</t>
  </si>
  <si>
    <t>10.1109/TVCG.2012.194</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</si>
  <si>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</si>
  <si>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10.1109/VISUAL.1996.568138;10.1109/TVCG.2006.143;10.1109/VISUAL.1994.346332</t>
  </si>
  <si>
    <t>Volume compression, lossless compression, floating-point compression</t>
  </si>
  <si>
    <t>Analysis of Streamline Separation at Infinity Using Time-Discrete Markov Chains</t>
  </si>
  <si>
    <t>10.1109/TVCG.2012.198</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</si>
  <si>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</si>
  <si>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Wieland Reich;Gerik Scheuermann</t>
  </si>
  <si>
    <t>University of Leipzig;University of Leipzig</t>
  </si>
  <si>
    <t>Vector field topology, flow visualization, feature extraction, uncertainty</t>
  </si>
  <si>
    <t>Augmented Topological Descriptors of Pore Networks for Material Science</t>
  </si>
  <si>
    <t>10.1109/TVCG.2012.200</t>
  </si>
  <si>
    <t>One potential solution to reduce the concentration of carbon dioxide in the atmosphere is the geologic storage of captured CO&amp;lt;sub&amp;gt;2&amp;lt;/sub&amp;gt;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</si>
  <si>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Daniela Ushizima;Dmitriy Morozov;Gunther H. Weber;Andrea Gomes Campos Bianchi;James A. Sethian;E. Wes Bethel</t>
  </si>
  <si>
    <t>Daniela Ushizima;Dmitriy Morozov;Gunther H. Weber;Andrea G.C. Bianchi;James A. Sethian;E. Wes Bethel</t>
  </si>
  <si>
    <t>Lawrence Berkeley National Laboratory;Lawrence Berkeley National Laboratory;Lawrence Berkeley National Laboratory;Lawrence Berkeley National Laboratory;University of California, Berkeley;Lawrence Berkeley National Laboratory</t>
  </si>
  <si>
    <t>10.1109/TVCG.2010.218;10.1109/TVCG.2007.70603;10.1109/VISUAL.2005.1532795</t>
  </si>
  <si>
    <t>Reeb graph, persistent homology, topological data analysis, geometric algorithms, segmentation, microscopy</t>
  </si>
  <si>
    <t>Automatic Detection and Visualization of Qualitative Hemodynamic Characteristics in Cerebral Aneurysms</t>
  </si>
  <si>
    <t>10.1109/TVCG.2012.202</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</si>
  <si>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</si>
  <si>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Rocco Gasteiger;Dirk J. Lehmann;Roy van Pelt;Gábor Janiga;Oliver Beuing;Anna Vilanova;Holger Theisel;Bernhard Preim</t>
  </si>
  <si>
    <t>University of Magdeburg, Germany;University of Magdeburg, Germany;Eindhoven University of Technology, Netherlands;University of Magdeburg, Germany;University Hospital Magdeburg, Germany;Eindhoven University of Technology, Netherlands;University of Magdeburg, Germany;University of Magdeburg, Germany</t>
  </si>
  <si>
    <t>10.1109/TVCG.2011.215;10.1109/TVCG.2011.159;10.1109/TVCG.2011.243;10.1109/TVCG.2009.138;10.1109/TVCG.2010.153;10.1109/TVCG.2010.173</t>
  </si>
  <si>
    <t>Cerebral aneurysm, Hemodynamic, Inflow jet, Impingement zone, Visualization, Glyph</t>
  </si>
  <si>
    <t>Automatic Tuning of Spatially Varying Transfer Functions for Blood Vessel Visualization</t>
  </si>
  <si>
    <t>10.1109/TVCG.2012.203</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</si>
  <si>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</si>
  <si>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Gunnar Läthén;Stefan Lindholm;Reiner Lenz;Anders Persson;Magnus Borga</t>
  </si>
  <si>
    <t>Linköping University;Linköping University;Linköping University;Linköping University;Linköping University</t>
  </si>
  <si>
    <t>10.1109/VISUAL.2003.1250414;10.1109/TVCG.2009.120;10.1109/VISUAL.2001.964516;10.1109/VISUAL.1996.568113;10.1109/TVCG.2008.162;10.1109/TVCG.2010.195;10.1109/TVCG.2008.123</t>
  </si>
  <si>
    <t>Direct volume rendering, transfer functions, vessel visualization</t>
  </si>
  <si>
    <t>Coherency-Based Curve Compression for High-Order finite Element Model Visualization</t>
  </si>
  <si>
    <t>10.1109/TVCG.2012.206</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</si>
  <si>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</si>
  <si>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Alexander Bock;Erik Sundén;Bingchen Liu;Burkhard Wünsche;Timo Ropinski</t>
  </si>
  <si>
    <t>Linköping University;Linköping University;University of Auckland;University of Auckland;Linköping University</t>
  </si>
  <si>
    <t>10.1109/VISUAL.1998.745310;10.1109/VISUAL.2004.91;10.1109/TVCG.2011.206;10.1109/TVCG.2006.110</t>
  </si>
  <si>
    <t>finite element visualization, GPU-based ray-casting</t>
  </si>
  <si>
    <t>Computing Morse-Smale Complexes with Accurate Geometry</t>
  </si>
  <si>
    <t>10.1109/TVCG.2012.209</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</si>
  <si>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</si>
  <si>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Attila Gyulassy;Peer-Timo Bremer;Valerio Pascucci</t>
  </si>
  <si>
    <t>SCI Institute, University of Utah;Lawrence Livermore National Laboratory;SCI Institute, University of Utah</t>
  </si>
  <si>
    <t>10.1109/TVCG.2011.249;10.1109/TVCG.2008.110;10.1109/TVCG.2007.70603;10.1109/TVCG.2011.199;10.1109/VISUAL.2005.1532839;10.1109/TVCG.2006.186</t>
  </si>
  <si>
    <t>Topology, topological methods, Morse-Smale complex</t>
  </si>
  <si>
    <t>Cumulative Heat Diffusion Using Volume Gradient Operator for Volume Analysis</t>
  </si>
  <si>
    <t>http://dx.doi.org/10.1109/TVCG.2010.138</t>
  </si>
  <si>
    <t>10.1109/TVCG.2012.210</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</si>
  <si>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</si>
  <si>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Krishna Chaitanya Gurijala;Lei Wang 0024;Arie E. Kaufman</t>
  </si>
  <si>
    <t>Krishna Chaitanya Gurijala;Lei Wang;Arie Kaufman</t>
  </si>
  <si>
    <t>10.1109/TVCG.2011.258;10.1109/VISUAL.2005.1532817</t>
  </si>
  <si>
    <t>Heat diffusion, volume gradient operator, shape-based volume analysis, classification, transfer function</t>
  </si>
  <si>
    <t>Derived Metric Tensors for Flow Surface Visualization</t>
  </si>
  <si>
    <t>10.1109/TVCG.2012.211</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</si>
  <si>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</si>
  <si>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Harald Obermaier;Kenneth I. Joy</t>
  </si>
  <si>
    <t>10.1109/TVCG.2008.163;10.1109/TVCG.2010.173;10.1109/TVCG.2011.170;10.1109/TVCG.2006.134;10.1109/TVCG.2008.133;10.1109/VISUAL.1992.235211;10.1109/TVCG.2007.70551;10.1109/VISUAL.2004.80;10.1109/TVCG.2009.190;10.1109/TVCG.2010.166;10.1109/TVCG.2009.154;10.1109/TVCG.2007.70554</t>
  </si>
  <si>
    <t>Vector field, integral surfaces, metric tensor, deformation, velocity gradient, continuum mechanics</t>
  </si>
  <si>
    <t>Effects of Stereo and Screen Size on the Legibility of Three-Dimensional Streamtube Visualization</t>
  </si>
  <si>
    <t>10.1109/TVCG.2012.216</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</si>
  <si>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</si>
  <si>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Jian Chen;Haipeng Cai;Alexander P. Auchus;David H. Laidlaw</t>
  </si>
  <si>
    <t>University of Maryland Baltimore County;University of Southern Mississippi;University of Mississippi Medical Center;Brown University</t>
  </si>
  <si>
    <t>10.1109/TVCG.2009.126;10.1109/VISUAL.2000.885694;10.1109/VISUAL.2003.1250414;10.1109/TVCG.2009.111;10.1109/TVCG.2009.138;10.1109/TVCG.2006.183</t>
  </si>
  <si>
    <t>Display characteristics, diffusion tensor MRI, virtual environment</t>
  </si>
  <si>
    <t>Efficient Structure-Aware Selection Techniques for 3D Point Cloud Visualizations with 2DOF Input</t>
  </si>
  <si>
    <t>10.1109/TVCG.2012.217</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</si>
  <si>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</si>
  <si>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Lingyun Yu;Konstantinos Efstathiou 0001;Petra Isenberg;Tobias Isenberg 0001</t>
  </si>
  <si>
    <t>Lingyun Yu;Konstantinos Efstathiou;Petra Isenberg;Tobias Isenberg</t>
  </si>
  <si>
    <t>University of Groningen;University of Groningen;INRIA;University of Groningen</t>
  </si>
  <si>
    <t>10.1109/TVCG.2010.157;10.1109/TVCG.2012.292;10.1109/TVCG.2008.153</t>
  </si>
  <si>
    <t>3D interaction, spatial selection, direct-touch interaction</t>
  </si>
  <si>
    <t>ElVis: A System for the Accurate and Interactive Visualization of High-Order finite Element Solutions</t>
  </si>
  <si>
    <t>10.1109/TVCG.2012.218</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</si>
  <si>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uncertainty for engineers using ElVis.</t>
  </si>
  <si>
    <t>Blake Nelson;Eric Liu;Robert Michael Kirby;Robert Haimes</t>
  </si>
  <si>
    <t>Blake Nelson;Eric Liu;Robert M. Kirby;Robert Haimes</t>
  </si>
  <si>
    <t>University of Utah;MIT;University of Utah;MIT</t>
  </si>
  <si>
    <t>10.1109/VISUAL.2005.1532776;10.1109/VISUAL.1991.175837;10.1109/VISUAL.2004.91;10.1109/TVCG.2006.154;10.1109/TVCG.2011.206</t>
  </si>
  <si>
    <t>High-order finite elements, spectral/hp elements, discontinuous Galerkin, fluid flow simulation, cut surface extraction, contours, isosurfaces</t>
  </si>
  <si>
    <t>Evaluation of Fast-Forward Video Visualization</t>
  </si>
  <si>
    <t>10.1109/TVCG.2012.222</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</si>
  <si>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</si>
  <si>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Markus Höferlin;Kuno Kurzhals;Benjamin Höferlin;Gunther Heidemann;Daniel Weiskopf</t>
  </si>
  <si>
    <t>Visualization Research Center (VISUS), University of Stuttgart;Visualization Research Center (VISUS), University of Stuttgart;Computer Vision Group, Institute of Cognitive Science, University of Osnabrück;Computer Vision Group, Institute of Cognitive Science, University of Osnabrück;Visualization Research Center (VISUS), University of Stuttgart</t>
  </si>
  <si>
    <t>10.1109/TVCG.2007.70542;10.1109/TVCG.2007.70617;10.1109/TVCG.2008.125;10.1109/TVCG.2007.70539;10.1109/TVCG.2006.194</t>
  </si>
  <si>
    <t>Video visualization, adaptive fast-forward, controlled laboratory user study</t>
  </si>
  <si>
    <t>Evaluation of Multivariate Visualization on a Multivariate Task</t>
  </si>
  <si>
    <t>10.1109/TVCG.2012.223</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</si>
  <si>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</si>
  <si>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Mark A. Livingston;Jonathan W. Decker;Zhuming Ai</t>
  </si>
  <si>
    <t>Naval Research Laboratory;Naval Research Laboratory;Naval Research Laboratory</t>
  </si>
  <si>
    <t>10.1109/TVCG.2011.194;10.1109/TVCG.2009.126;10.1109/VISUAL.1998.745292;10.1109/VISUAL.1990.146387;10.1109/TVCG.2007.70623;10.1109/VISUAL.1990.146386;10.1109/VISUAL.1991.175795;10.1109/VISUAL.1998.745294;10.1109/VISUAL.2003.1250362</t>
  </si>
  <si>
    <t>Quantitative evaluation, multivariate visualization, visual task design, texture perception</t>
  </si>
  <si>
    <t>Fuzzy Volume Rendering</t>
  </si>
  <si>
    <t>10.1109/TVCG.2012.227</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</si>
  <si>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</si>
  <si>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10.1109/TVCG.2007.70518;10.1109/TVCG.2010.211;10.1109/VISUAL.2005.1532807;10.1109/VAST.2009.5332611</t>
  </si>
  <si>
    <t>Uncertainty visualization, verifiable visualization, volume rendering</t>
  </si>
  <si>
    <t>Generalized Topological Simplification of Scalar fields on Surfaces</t>
  </si>
  <si>
    <t>10.1109/TVCG.2012.228</t>
  </si>
  <si>
    <t>http://dx.doi.org/10.1109/TVCG.2010.139</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</si>
  <si>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g||&lt;sub&gt;∞&lt;/sub&gt;for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</si>
  <si>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Julien Tierny;Valerio Pascucci</t>
  </si>
  <si>
    <t>CNRS;SCI Institute</t>
  </si>
  <si>
    <t>10.1109/TVCG.2008.110;10.1109/TVCG.2009.163;10.1109/VISUAL.2004.96;10.1109/TVCG.2011.244</t>
  </si>
  <si>
    <t>Scalar field visualization, scalar field design, topological simplification</t>
  </si>
  <si>
    <t>Hierarchical Exploration of Volumes Using Multilevel Segmentation of the Intensity-Gradient Histograms</t>
  </si>
  <si>
    <t>10.1109/TVCG.2012.231</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</si>
  <si>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</si>
  <si>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Cheuk Yiu Ip;Amitabh Varshney;Joseph JáJá</t>
  </si>
  <si>
    <t>Cheuk Yiu Ip;Amitabh Varshney;Joseph JaJa</t>
  </si>
  <si>
    <t>University of Maryland;University of Maryland;University of Maryland</t>
  </si>
  <si>
    <t>10.1109/TVCG.2010.132;10.1109/TVCG.2009.185;10.1109/VISUAL.1999.809932;10.1109/VISUAL.2005.1532795;10.1109/VISUAL.2003.1250370;10.1109/TVCG.2010.208;10.1109/TVCG.2008.162;10.1109/TVCG.2011.248;10.1109/TVCG.2011.173;10.1109/TVCG.2006.174;10.1109/TVCG.2011.231;10.1109/TVCG.2007.70590;10.1109/TVCG.2009.197;10.1109/TVCG.2006.148</t>
  </si>
  <si>
    <t>Volume exploration, volume classification, normalized cut, Information-guided exploration</t>
  </si>
  <si>
    <t>Historygrams: Enabling Interactive Global Illumination in Direct Volume Rendering using Photon Mapping</t>
  </si>
  <si>
    <t>10.1109/TVCG.2012.232</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</si>
  <si>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</si>
  <si>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Daniel Jönsson;Joel Kronander;Timo Ropinski;Anders Ynnerman</t>
  </si>
  <si>
    <t>C-Research, Linköping University;C-Research, Linköping University;C-Research, Linköping University;C-Research, Linköping University</t>
  </si>
  <si>
    <t>Volume rendering, photon mapping, global illumination, participating media</t>
  </si>
  <si>
    <t>Human Computation in Visualization: Using Purpose Driven Games for Robust Evaluation of Visualization Algorithms</t>
  </si>
  <si>
    <t>10.1109/TVCG.2012.234</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</si>
  <si>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</si>
  <si>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Nafees Ahmed;Ziyi Zheng;Klaus Mueller</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</si>
  <si>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R3 and can thus be used to construct level and interlevel sets. We apply these tools to study 3-dimensional images of plant root systems.</t>
  </si>
  <si>
    <t>10.1109/TVCG.2009.172;10.1109/TVCG.2011.218;10.1109/TVCG.2009.189;10.1109/VISUAL.2005.1532781;10.1109/TVCG.2012.186;10.1109/TVCG.2008.118;10.1109/TVCG.2009.150</t>
  </si>
  <si>
    <t>IST Austria, Klosterneuburg, Austria|c|;;</t>
  </si>
  <si>
    <t>Human computation, perception, evaluation, color blending</t>
  </si>
  <si>
    <t>Interactive Retro-Deformation of Terrain for Reconstructing 3D Fault Displacements</t>
  </si>
  <si>
    <t>10.1109/TVCG.2012.239</t>
  </si>
  <si>
    <t>http://dx.doi.org/10.1109/TVCG.2010.144</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</si>
  <si>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</si>
  <si>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Rolf Westerteiger;Tracy Compton;Tony Bernardin;Eric S. Cowgill;Klaus Gwinner;Bernd Hamann;Andreas Gerndt;Hans Hagen</t>
  </si>
  <si>
    <t>Rolf Westerteiger;Tracy Compton;Tony Bernadin;Eric Cowgill;Klaus Gwinner;Bernd Hamann;Andreas Gerndt;Hans Hagen</t>
  </si>
  <si>
    <t>German Aerospace Center (DLR);Department of Geology, University of California, Davis;Institute for Data Analysis and Visualization, Department of Computer Science, University of California, Davis;Department of Geology, University of California, Davis;Institute of Planetary Research, German Aerospace Center (DLR), Berlin;Institute for Data Analysis and Visualization, Department of Computer Science, University of California, Davis;German Aerospace Center (DLR);University of Kaiserslautern</t>
  </si>
  <si>
    <t>Terrain rendering, interactive, fault simulation, mesh deformation</t>
  </si>
  <si>
    <t>Interactive Volume Exploration of Petascale Microscopy Data Streams Using a Visualization-Driven Virtual Memory Approach</t>
  </si>
  <si>
    <t>10.1109/TVCG.2012.240</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</si>
  <si>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</si>
  <si>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Markus Hadwiger;Johanna Beyer;Won-Ki Jeong;Hanspeter Pfister</t>
  </si>
  <si>
    <t>King Adbullah University of Science and Technology, Saudi Arabia;King Adbullah University of Science and Technology, Saudi Arabia;UNIST;Harvard University</t>
  </si>
  <si>
    <t>10.1109/VISUAL.1999.809908;10.1109/VISUAL.2003.1250384;10.1109/TVCG.2009.161</t>
  </si>
  <si>
    <t>Petascale volume exploration, high-resolution microscopy, high-throughput imaging, neuroscience</t>
  </si>
  <si>
    <t>KnotPad: Visualizing and Exploring Knot Theory with Fluid Reidemeister Moves</t>
  </si>
  <si>
    <t>10.1109/TVCG.2012.242</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</si>
  <si>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</si>
  <si>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Hui Zhang 0006;Jianguang Weng;Lin Jing;Yiwen Zhong</t>
  </si>
  <si>
    <t>Hui Zhang;Jianguang Weng;Lin Jing;Yiwen Zhong</t>
  </si>
  <si>
    <t>Indiana University;Zhejiang University of Media and Communications, China;Fujian Agriculture and Forestry University, Fuzhou, China;Fujian Agriculture and Forestry University, Fuzhou, China</t>
  </si>
  <si>
    <t>10.1109/VISUAL.2005.1532804;10.1109/VISUAL.2005.1532843;10.1109/TVCG.2007.70593</t>
  </si>
  <si>
    <t>Knot Theory, Math Visualization</t>
  </si>
  <si>
    <t>http://dx.doi.org/10.1109/TVCG.2010.145</t>
  </si>
  <si>
    <t>Lagrangian Coherent Structures for Design Analysis of Revolving Doors</t>
  </si>
  <si>
    <t>10.1109/TVCG.2012.243</t>
  </si>
  <si>
    <t>Room air flow and air exchange are important aspects for the design of energy-efficient buildings. As a result, simulations are increasingly used prior to construction to achieve an energy-efficient design. We present a visual analysis of air flow generated at building entrances, which uses a combination of revolving doors and air curtains. The resulting flow pattern is challenging because of two interacting flow patterns: On the one hand, the revolving door acts as a pump, on the other hand, the air curtain creates a layer of uniformly moving warm air between the interior of the building and the revolving door. Lagrangian coherent structures (LCS), which by definition are flow barriers, are the method of choice for visualizing the separation and recirculation behavior of warm and cold air flow. The extraction of LCS is based on the finite-time Lyapunov exponent (FTLE) and makes use of a ridge definition which is consistent with the concept of weak LCS. Both FTLE computation and ridge extraction are done in a robust and efficient way by making use of the fast Fourier transform for computing scale-space derivatives.</t>
  </si>
  <si>
    <t>Benjamin Schindler;Raphael Fuchs;Stefan Barp;Jürgen Waser;Armin Pobitzer;Robert Carnecky;Kresimir Matkovic;Ronald Peikert</t>
  </si>
  <si>
    <t>Benjamin Schindler;Raphael Fuchs;Stefan Barp;Jürgen Waser;Armin Pobitzer;Robert Carnecky;Krešimir Matković;Ronald Peikert</t>
  </si>
  <si>
    <t>ETH Zurich;ETH Zurich;Air Flow Consulting AG Zurich;VRVis Research Center, Austria;University of Bergen;ETH Zurich;VRVis Research Center, Austria;ETH Zurich</t>
  </si>
  <si>
    <t>10.1109/TVCG.2007.70551;10.1109/TVCG.2010.223;10.1109/TVCG.2007.70554;10.1109/TVCG.2010.156;10.1109/VISUAL.2005.1532813</t>
  </si>
  <si>
    <t>Visualization in physical sciences and engineering, topology-based techniques, vector field data</t>
  </si>
  <si>
    <t>Multivariate Data Analysis Using Persistence-Based filtering and Topological Signatures</t>
  </si>
  <si>
    <t>10.1109/TVCG.2012.248</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</si>
  <si>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</si>
  <si>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Bastian Rieck;Hubert Mara;Heike Leitte</t>
  </si>
  <si>
    <t>Interdisciplinary Center for Scientific Computing;Interdisciplinary Center for Scientific Computing;Interdisciplinary Center for Scientific Computing</t>
  </si>
  <si>
    <t>10.1109/VISUAL.1990.146373;10.1109/VISUAL.2005.1532839;10.1109/TVCG.2007.70601;10.1109/VISUAL.2002.1183774</t>
  </si>
  <si>
    <t>Topological persistence, multivariate data, clustering</t>
  </si>
  <si>
    <t>On the Interpolation of Data with Normally Distributed Uncertainty for Visualization</t>
  </si>
  <si>
    <t>10.1109/TVCG.2012.249</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</si>
  <si>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</si>
  <si>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Steven Schlegel;Nico Korn;Gerik Scheuermann</t>
  </si>
  <si>
    <t>University of Leipzig;Helmholtz-Centre Dresden-Rossendorf;University of Leipzig</t>
  </si>
  <si>
    <t>10.1109/TVCG.2007.70530;10.1109/TVCG.2011.203;10.1109/VISUAL.2005.1532807</t>
  </si>
  <si>
    <t>Gaussian process, uncertainty, interpolation</t>
  </si>
  <si>
    <t>SeiVis: An Interactive Visual Subsurface Modeling Application</t>
  </si>
  <si>
    <t>10.1109/TVCG.2012.259</t>
  </si>
  <si>
    <t>VISUS (Visualization Res. Center), Univ. Stuttgart, Stuttgart, Germany|c|;;</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</si>
  <si>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</si>
  <si>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Thomas Höllt;Wolfgang Freiler;Fritz Gschwantner;Helmut Doleisch;Gabor Heinemann;Markus Hadwiger</t>
  </si>
  <si>
    <t>Thomas Höllt;Wolfgang Freiler;Fritz-M. Gschwantner;Helmut Doleisch;Gabor Heinemann;Markus Hadwiger</t>
  </si>
  <si>
    <t>King Adbullah University of Science and Technology, Saudi Arabia;SimVis GmbH, Austria;VRVis Research Center, Austria;SimVis GmbH, Austria;Heinemann Oil GmbH, Austria;King Adbullah University of Science and Technology, Saudi Arabia</t>
  </si>
  <si>
    <t>10.1109/TVCG.2009.136;10.1109/TVCG.2006.140;10.1109/VISUAL.2005.1532802;10.1109/VISUAL.2003.1250400</t>
  </si>
  <si>
    <t>Seismic visualization, volume deformation, exploded views, seismic interpretation</t>
  </si>
  <si>
    <t>http://dx.doi.org/10.1109/TVCG.2010.146</t>
  </si>
  <si>
    <t>Sketching Uncertainty into Simulations</t>
  </si>
  <si>
    <t>10.1109/TVCG.2012.261</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</si>
  <si>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</si>
  <si>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Hrvoje Ribicic;Jürgen Waser;Roman Gurbat;Bernhard Sadransky;M. Eduard Gröller</t>
  </si>
  <si>
    <t>Hrvoje Ribicic;Juergen Waser;Roman Gurbat;Bernhard Sadransky;M. Eduard Gröller</t>
  </si>
  <si>
    <t>VRVis Research Center, Austria;VRVis Research Center, Austria;TU Wien;VRVis Research Center, Austria;TU Wien</t>
  </si>
  <si>
    <t>10.1109/TVCG.2010.223;10.1109/TVCG.2011.225;10.1109/TVCG.2010.223;10.1109/TVCG.2010.202;10.1109/VAST.2011.6102457</t>
  </si>
  <si>
    <t>Emergency/disaster management, interaction design, uncertainty visualization, sketch-based steering, ensemble simulation steering, integrated visualization system, flood management</t>
  </si>
  <si>
    <t>Structure-Aware Lighting Design for Volume Visualization</t>
  </si>
  <si>
    <t>10.1109/TVCG.2012.267</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</si>
  <si>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 brushing interaction. Finally, we apply our approaches to a number of synthetic as well as real data sets.</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</si>
  <si>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</si>
  <si>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Dept. of Simulation &amp; Graphics, Univ. of Magdeburg, Magdeburg, Germany|c|;</t>
  </si>
  <si>
    <t>Yubo Tao;Hai Lin 0003;Feng Dong;Chao Wang;Gordon Clapworthy;Hujun Bao</t>
  </si>
  <si>
    <t>Yubo Tao;Hai Lin;Feng Dong;Chao Wang;Gordon Clapworthy;Hujun Bao</t>
  </si>
  <si>
    <t>State Key Lab of CAD&amp;CG, Zhejiang University, P.R. China;State Key Lab of CAD&amp;CG, Zhejiang University, P.R. China;University of Bedfordshire, UK;University of Bedfordshire, UK;University of Bedfordshire, UK;State Key Lab of CAD&amp;CG, Zhejiang University, P.R. China</t>
  </si>
  <si>
    <t>10.1109/TVCG.2006.137;10.1109/TVCG.2011.218;10.1109/VISUAL.2004.62;10.1109/VISUAL.2005.1532834;10.1109/VISUAL.2005.1532833;10.1109/VISUAL.2003.1250395;10.1109/VISUAL.2002.1183785</t>
  </si>
  <si>
    <t>Automatic lighting design, structural dissimilarity, lighting similarity, lighting stability, volume rendering</t>
  </si>
  <si>
    <t>http://dx.doi.org/10.1109/TVCG.2010.147</t>
  </si>
  <si>
    <t>Surface-Based Structure Analysis and Visualization for Multifield Time-Varying Datasets</t>
  </si>
  <si>
    <t>10.1109/TVCG.2012.269</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</si>
  <si>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</si>
  <si>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Samer S. Barakat;Markus Rütten;Xavier Tricoche</t>
  </si>
  <si>
    <t>Purdue University;DLR Göttingen;Purdue University</t>
  </si>
  <si>
    <t>10.1109/TVCG.2007.70615;10.1109/TVCG.2007.70523;10.1109/TVCG.2006.165;10.1109/TVCG.2007.70519;10.1109/TVCG.2008.116;10.1109/TVCG.2007.70519;10.1109/TVCG.2008.140;10.1109/VISUAL.1995.485139;10.1109/TVCG.2009.177;10.1109/TVCG.2008.148</t>
  </si>
  <si>
    <t>Multifield, time-varying, surface structures</t>
  </si>
  <si>
    <t>Turbulence Visualization at the Terascale on Desktop PCs</t>
  </si>
  <si>
    <t>10.1109/TVCG.2012.274</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</si>
  <si>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</si>
  <si>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Marc Treib;Kai Bürger;Florian Reichl;Charles Meneveau;Alexander S. Szalay;Rüdiger Westermann</t>
  </si>
  <si>
    <t>Marc Treib;Kai Bürger;Florian Reichl;Charles Meneveau;Alex Szalay;Rüdiger Westermann</t>
  </si>
  <si>
    <t>Technische Universität München;Technische Universität München;Technische Universität München;Johns Hopkins University;Johns Hopkins University;Technische Universität München</t>
  </si>
  <si>
    <t>10.1109/VISUAL.2002.1183757;10.1109/VISUAL.2001.964520;10.1109/TVCG.2006.143;10.1109/VISUAL.2005.1532808;10.1109/VISUAL.2003.1250384;10.1109/VISUAL.2001.964531;10.1109/VISUAL.2004.55;10.1109/VISUAL.2003.1250385</t>
  </si>
  <si>
    <t>Visualization system and toolkit design, vector fields, volume rendering, data streaming, data compression</t>
  </si>
  <si>
    <t>Visual Data Analysis as an Integral Part of Environmental Management</t>
  </si>
  <si>
    <t>10.1109/TVCG.2012.278</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</si>
  <si>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</si>
  <si>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Joerg Meyer;E. Wes Bethel;Jennifer L. Horsman;Susan S. Hubbard;Harinarayan Krishnan;Alexandru Romosan;Elizabeth H. Keating;Laura Monroe;Richard Strelitz;Phil Moore;Glenn Taylor;Ben Torkian;Timothy C. Johnson;Ian Gorton</t>
  </si>
  <si>
    <t>Zahid Hossain 0001;Torsten M̦ller</t>
  </si>
  <si>
    <t>Joerg Meyer;Glenn Taylor;Ben Torkian;Timothy C. Johnson;Ian Gorton;E. Wes Bethel;Jennifer L. Horsman;Susan S. Hubbard;Harinarayan Krishnan;Alexandru Romosan;Elizabeth H. Keating;Laura Monroe;Richard Strelitz;Phil Moore</t>
  </si>
  <si>
    <t>Graphics, Usability, &amp; Visualization (GrUVi) Lab., Simon Fraser Univ., Burnaby, BC, Canada|c|;</t>
  </si>
  <si>
    <t>Lawrence Berkeley National Laboratory;Savannah River National Laboratory;Savannah River National Laboratory;Pacific Northwest National Laboratory;Pacific Northwest National Laboratory;Lawrence Berkeley National Laboratory;Lawrence Berkeley National Laboratory;Lawrence Berkeley National Laboratory;Lawrence Berkeley National Laboratory;Lawrence Berkeley National Laboratory;Los Alamos National Laboratory;Los Alamos National Laboratory;Los Alamos National Laboratory;Savannah River National Laboratory</t>
  </si>
  <si>
    <t>Visual analytics, high-performance computing, data management, parallel rendering, environmental management</t>
  </si>
  <si>
    <t>Visual Steering and Verification of Mass Spectrometry Data Factorization in Air Quality Research</t>
  </si>
  <si>
    <t>10.1109/TVCG.2012.280</t>
  </si>
  <si>
    <t>http://dx.doi.org/10.1109/TVCG.2010.148</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</si>
  <si>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</si>
  <si>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Daniel Engel;Klaus Greff;Christoph Garth;Keith Bein;Anthony S. Wexler;Bernd Hamann;Hans Hagen</t>
  </si>
  <si>
    <t>Daniel Engel;Klaus Greff;Christoph Garth;Keith Bein;Anthony Wexler;Bernd Hamann;Hans Hagen</t>
  </si>
  <si>
    <t>University of Kaiserslautern, Germany;University of Kaiserslautern, Germany;University of Kaiserslautern, Germany;Air Quality Research Center (AQRC), University of California, Davis, CA, USA;Air Quality Research Center (AQRC), University of California, Davis, CA, USA;Institute for Data Analysis and Visualization (IDAV), University of California, Davis, CA, USA;University of Kaiserslautern, Germany</t>
  </si>
  <si>
    <t>10.1109/INFVIS.2004.68;10.1109/INFVIS.2004.15;10.1109/INFVIS.2005.1532138;10.1109/TVCG.2008.116;10.1109/VISUAL.2000.885734;10.1109/INFVIS.2003.1249015;10.1109/TVCG.2010.223;10.1109/VISUAL.2005.1532850;10.1109/INFVIS.2002.1173157;10.1109/TVCG.2008.153</t>
  </si>
  <si>
    <t>Dimension reduction, mass spectrometry data, matrix factorization, visual encodings of numerical error metrics, multi-dimensional data visualization</t>
  </si>
  <si>
    <t>Visualization of Astronomical Nebulae via Distributed Multi-GPU Compressed Sensing Tomography</t>
  </si>
  <si>
    <t>10.1109/TVCG.2012.281</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</si>
  <si>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</si>
  <si>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Stephan Wenger;Marco Ament;Stefan Guthe;Dirk A. Lorenz;Andreas M. Tillmann;Daniel Weiskopf;Marcus A. Magnor</t>
  </si>
  <si>
    <t>Stephan Wenger;Marco Ament;Stefan Guthe;Dirk Lorenz;Andreas Tillmann;Daniel Weiskopf;Marcus Magnor</t>
  </si>
  <si>
    <t>Institut für Computergraphik, TU Braunschweig, Germany;Visualization Research Center, Universität Stuttgart, Germany;Institut für Computergraphik, TU Braunschweig, Germany;Institute for Analysis and Algebra, TU Braunschweig, Germany;Research Group Optimization, TU Darmstadt, Germany;Visualization Research Center, Universität Stuttgart, Germany;Institut für Computergraphik, TU Braunschweig, Germany</t>
  </si>
  <si>
    <t>10.1109/VISUAL.2005.1532803;10.1109/VISUAL.2004.18;10.1109/VISUAL.1994.346331</t>
  </si>
  <si>
    <t>Astronomical visualization, distributed volume reconstruction, direct volume rendering</t>
  </si>
  <si>
    <t>Visualization of Electrostatic Dipoles in Molecular Dynamics of Metal Oxides</t>
  </si>
  <si>
    <t>10.1109/TVCG.2012.282</t>
  </si>
  <si>
    <t>Roland Fraedrich;Stefan Auer;R�_diger Westermann</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</si>
  <si>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</si>
  <si>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Comput. Graphics &amp; Visualization Group, Tech. Univ. at Munchen, M�_nchen, Germany|c|;;</t>
  </si>
  <si>
    <t>Sebastian Grottel;Philipp Beck;Christoph Müller 0001;Guido Reina;Johannes Roth;Hans-Rainer Trebin;Thomas Ertl</t>
  </si>
  <si>
    <t>Sebastian Grottel;Philipp Beck;Christoph Müller;Guido Reina;Johannes Roth;Hans-Rainer Trebin;Thomas Ertl</t>
  </si>
  <si>
    <t>Computer Graphics and Visualization, TU Dresden;Institute for Theoretical and Applied Physics of the University of Stuttgart (ITAP);Visualization Research Center of the University of Stuttgart (VISUS);Visualization Research Center of the University of Stuttgart (VISUS);Institute for Theoretical and Applied Physics of the University of Stuttgart (ITAP);Institute for Theoretical and Applied Physics of the University of Stuttgart (ITAP);Visualization Research Center of the University of Stuttgart (VISUS)</t>
  </si>
  <si>
    <t>10.1109/TVCG.2006.186;10.1109/VISUAL.2005.1532781;10.1109/VISUAL.1999.809886</t>
  </si>
  <si>
    <t>Visualization in physical sciences and engineering, glyph-based techniques, time-varying data, point-based data</t>
  </si>
  <si>
    <t>eSeeTrack&amp;amp;#8212;Visualizing Sequential fixation Patterns</t>
  </si>
  <si>
    <t>http://dx.doi.org/10.1109/TVCG.2010.149</t>
  </si>
  <si>
    <t>Visualization of Flow Behavior in Earth Mantle Convection</t>
  </si>
  <si>
    <t>10.1109/TVCG.2012.283</t>
  </si>
  <si>
    <t>A fundamental characteristic of fluid flow is that it causes mixing: introduce a dye into a flow, and it will disperse. Mixing can be used as a method to visualize and characterize flow. Because mixing is a process that occurs over time, it is a 4D problem that presents a challenge for computation, visualization, and analysis. Motivated by a mixing problem in geophysics, we introduce a combination of methods to analyze, transform, and finally visualize mixing in simulations of convection in a self-gravitating 3D spherical shell representing convection in the Earth's mantle. Geophysicists use tools such as the finite element model CitcomS to simulate convection, and introduce massless, passive tracers to model mixing. The output of geophysical flow simulation is hard to analyze for domain experts because of overall data size and complexity. In addition, information overload and occlusion are problems when visualizing a whole-earth model. To address the large size of the data, we rearrange the simulation data using intelligent indexing for fast file access and efficient caching. To address information overload and interpret mixing, we compute tracer concentration statistics, which are used to characterize mixing in mantle convection models. Our visualization uses a specially tailored version of Direct Volume Rendering. The most important adjustment is the use of constant opacity. Because of this special area of application, i. e. the rendering of a spherical shell, many computations for volume rendering can be optimized. These optimizations are essential to a smooth animation of the time-dependent simulation data. Our results show how our system can be used to quickly assess the simulation output and test hypotheses regarding Earth's mantle convection. The integrated processing pipeline helps geoscientists to focus on their main task of analyzing mantle homogenization.</t>
  </si>
  <si>
    <t>Simon Schröder;John A. Peterson;Harald Obermaier;Louise H. Kellogg;Kenneth I. Joy;Hans Hagen</t>
  </si>
  <si>
    <t>Fraunhofer ITWM;Department of Geology, University of California, Davis;Institute for Data Analysis and Visualization, University of California, Davis;Department of Geology, University of California, Davis;Institute for Data Analysis and Visualization, University of California, Davis;Computer Graphics and HCI Group, University of Kaiserslautern</t>
  </si>
  <si>
    <t>Geophysics, flow visualization, tracer concentration, Earth mantle, convection, large data system</t>
  </si>
  <si>
    <t>Visualization of Temporal Similarity in field Data</t>
  </si>
  <si>
    <t>10.1109/TVCG.2012.284</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</si>
  <si>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</si>
  <si>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Steffen Frey;Filip Sadlo;Thomas Ertl</t>
  </si>
  <si>
    <t>University of Stuttgart;University of Stuttgart;University of Stuttgart</t>
  </si>
  <si>
    <t>10.1109/TVCG.2008.139;10.1109/TVCG.2006.199;10.1109/TVCG.2006.165;10.1109/TVCG.2010.213;10.1109/TVCG.2010.133;10.1109/TVCG.2010.223;10.1109/TVCG.2009.199;10.1109/TVCG.2008.140;10.1109/TVCG.2010.216;10.1109/TVCG.2009.200;10.1109/TVCG.2011.159;10.1109/TVCG.2009.197</t>
  </si>
  <si>
    <t>Time-dependent fields, similarity analysis, interactive recurrence analysis, comparative visualization</t>
  </si>
  <si>
    <t>http://dx.doi.org/10.1109/TVCG.2010.150</t>
  </si>
  <si>
    <t>Visualizing Nuclear Scission through a Multifield Extension of Topological Analysis</t>
  </si>
  <si>
    <t>10.1109/TVCG.2012.287</t>
  </si>
  <si>
    <t>In nuclear science, density functional theory (DFT) is a powerful tool to model the complex interactions within the atomic nucleus, and is the primary theoretical approach used by physicists seeking a better understanding of fission. However DFT simulations result in complex multivariate datasets in which it is difficult to locate the crucial `scission' point at which one nucleus fragments into two, and to identify the precursors to scission. The Joint Contour Net (JCN) has recently been proposed as a new data structure for the topological analysis of multivariate scalar fields, analogous to the contour tree for univariate fields. This paper reports the analysis of DFT simulations using the JCN, the first application of the JCN technique to real data. It makes three contributions to visualization: (i) a set of practical methods for visualizing the JCN, (ii) new insight into the detection of nuclear scission, and (iii) an analysis of aesthetic criteria to drive further work on representing the JCN.</t>
  </si>
  <si>
    <t>David J. Duke;Hamish A. Carr;Aaron Knoll;Nicolas Schunck;Hai Ah Nam;Andrzej Staszczak</t>
  </si>
  <si>
    <t>David Duke;Hamish Carr;Aaron Knoll;Nicolas Schunck;Hai Ah Nam;Andrzej Staszczak</t>
  </si>
  <si>
    <t>University of Leeds, UK;University of Leeds, UK;Argonne National Lab, USA;Lawrence Livermore National Lab, USA;Oak Ridge National Lab, USA;University Marie Curie-Skłodowska, Poland</t>
  </si>
  <si>
    <t>Topology, scalar fields, multifields</t>
  </si>
  <si>
    <t>WYSIWYP: What You See Is What You Pick</t>
  </si>
  <si>
    <t>10.1109/TVCG.2012.292</t>
  </si>
  <si>
    <t>Comput. Sci., Swansea Univ., Swansea, UK|c|;;;;;</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</si>
  <si>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</si>
  <si>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http://dx.doi.org/10.1109/TVCG.2010.151</t>
  </si>
  <si>
    <t>Alexander Wiebel;Frans Vos;David Foerster;Hans-Christian Hege</t>
  </si>
  <si>
    <t>Alexander Wiebel;Frans M. Vos;David Foerster;Hans-Christian Hege</t>
  </si>
  <si>
    <t>Zuse Institute Berlin (ZIB);TU Delft;Zuse Institute Berlin (ZIB);Zuse Institute Berlin (ZIB)</t>
  </si>
  <si>
    <t>10.1109/TVCG.2012.217;10.1109/VISUAL.1998.745337;10.1109/VISUAL.2003.1250384;10.1109/TVCG.2007.70576;10.1109/VISUAL.2005.1532833;10.1109/TVCG.2009.121</t>
  </si>
  <si>
    <t>Picking, volume rendering, WYSIWYG</t>
  </si>
  <si>
    <t>A Visual Analytics Approach to Multiscale Exploration of Environmental Time Series</t>
  </si>
  <si>
    <t>10.1109/TVCG.2012.191</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</si>
  <si>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</si>
  <si>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Mike Sips;Patrick Köthur;Andrea Unger;Hans-Christian Hege;Doris Dransch</t>
  </si>
  <si>
    <t>German Research Center for GeoSciences GFZ;German Research Center for GeoSciences GFZ;German Research Center for GeoSciences GFZ;Zuse Institute Berlin;German Research Center for GeoSciences GFZ</t>
  </si>
  <si>
    <t>10.1109/INFVIS.2001.963273;10.1109/INFVIS.1995.528685</t>
  </si>
  <si>
    <t>Time series analysis, multiscale visualization, visual analytics</t>
  </si>
  <si>
    <t>An Affordance-Based Framework for Human Computation and Human-Computer Collaboration</t>
  </si>
  <si>
    <t>10.1109/TVCG.2012.195</t>
  </si>
  <si>
    <t>Visual Analytics is “the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</si>
  <si>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R. Jordan Crouser;Remco Chang</t>
  </si>
  <si>
    <t>R. Jordon Crouser;Remco Chang</t>
  </si>
  <si>
    <t>Tufts University;Tufts University</t>
  </si>
  <si>
    <t>10.1109/VAST.2010.5652398;10.1109/VAST.2011.6102461;10.1109/TVCG.2009.199;10.1109/VAST.2010.5652910;10.1109/VAST.2010.5652484;10.1109/VAST.2009.5332584;10.1109/VAST.2010.5652885;10.1109/VAST.2009.5333564;10.1109/VAST.2010.5652392;10.1109/VAST.2009.5332586;10.1109/VAST.2011.6102451;10.1109/VAST.2009.5333023;10.1109/VAST.2009.5333020;10.1109/VAST.2009.5332628;10.1109/TVCG.2011.173;10.1109/TVCG.2011.218;10.1109/TVCG.2011.231;10.1109/VAST.2010.5652443;10.1109/VAST.2010.5653598;10.1109/VAST.2011.6102447</t>
  </si>
  <si>
    <t>Human computation, human complexity, theory, framework</t>
  </si>
  <si>
    <t>http://dx.doi.org/10.1109/TVCG.2010.152</t>
  </si>
  <si>
    <t>Enterprise Data Analysis and Visualization: An Interview Study</t>
  </si>
  <si>
    <t>10.1109/TVCG.2012.219</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</si>
  <si>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</si>
  <si>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Sean Kandel;Andreas Paepcke;Joseph M. Hellerstein;Jeffrey Heer</t>
  </si>
  <si>
    <t>Stanford University;Stanford University;University of California, Berkeley;Stanford University</t>
  </si>
  <si>
    <t>10.1109/TVCG.2008.137;10.1109/VAST.2008.4677365;10.1109/VAST.2011.6102438;10.1109/INFVIS.2005.1532136;10.1109/VAST.2010.5652880;10.1109/VAST.2009.5333878;10.1109/VAST.2007.4389011;10.1109/VAST.2011.6102435</t>
  </si>
  <si>
    <t>Data, analysis, visualization, enterprise</t>
  </si>
  <si>
    <t>Examining the Use of a Visual Analytics System for Sensemaking Tasks: Case Studies with Domain Experts</t>
  </si>
  <si>
    <t>10.1109/TVCG.2012.224</t>
  </si>
  <si>
    <t>Ahmed Saad;Ghassan Hamarneh;Torsten M̦ller</t>
  </si>
  <si>
    <t>Med. Image Anal. Lab. (MIAL), Simon Fraser Univ., Burnaby, BC, Canada|c|;;</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</si>
  <si>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</si>
  <si>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Google Inc.;Georgia Institute of Technology</t>
  </si>
  <si>
    <t>10.1109/VAST.2008.4677362;10.1109/VAST.2006.261416;10.1109/INFVIS.2004.5;10.1109/VAST.2011.6102438;10.1109/VAST.2012.6400559;10.1109/VAST.2007.4389006;10.1109/VAST.2009.5333878</t>
  </si>
  <si>
    <t>http://dx.doi.org/10.1109/TVCG.2010.153</t>
  </si>
  <si>
    <t>Visual analytics, case study, qualitative evaluation</t>
  </si>
  <si>
    <t>Reinventing the Contingency Wheel: Scalable Visual Analytics of Large Categorical Data</t>
  </si>
  <si>
    <t>10.1109/TVCG.2012.254</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</si>
  <si>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</si>
  <si>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Bilal Alsallakh;Wolfgang Aigner;Silvia Miksch;M. Eduard Gröller</t>
  </si>
  <si>
    <t>Vienna University of Technology;Vienna University of Technology;Vienna University of Technology;Vienna University of Technology</t>
  </si>
  <si>
    <t>10.1109/INFVIS.2005.1532139;10.1109/VISUAL.2005.1532819;10.1109/INFVIS.2002.1173156;10.1109/INFVIS.2003.1249016;10.1109/INFVIS.2002.1173157</t>
  </si>
  <si>
    <t>Large categorical data, contingency table analysis, information interfaces and representation, visual analytics</t>
  </si>
  <si>
    <t>Scatter/Gather Clustering: Flexibly Incorporating User Feedback to Steer Clustering Results</t>
  </si>
  <si>
    <t>10.1109/TVCG.2012.258</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</si>
  <si>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</si>
  <si>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M. Shahriar Hossain;Praveen Kumar Reddy Ojili;Cindy Grimm;Rolf Mueller;Layne T. Watson;Naren Ramakrishnan</t>
  </si>
  <si>
    <t>M. Shahriar Hossain;Praveen Kumar Reddy Ojili;Cindy Grimm;Rolf Müller;Layne T. Watson;Naren Ramakrishnan</t>
  </si>
  <si>
    <t>10.1109/VAST.2009.5332584;10.1109/VAST.2007.4388999;10.1109/VAST.2008.4677350;10.1109/INFVIS.1998.729559;10.1109/VAST.2009.5332629</t>
  </si>
  <si>
    <t>Scatter/gather clustering, alternative clustering, constrained clustering</t>
  </si>
  <si>
    <t>Roy van Pelt;Javier Oliv��n Besc�_s;Marcel Breeuwer;Rachel E. Clough;M. Eduard Gr̦ller;Bart M. ter Haar Romeny;Anna Vilanova</t>
  </si>
  <si>
    <t>Dept. of Biomed. Eng., Eindhoven Univ. of Technol., Eindhoven, Netherlands|c|;;;;;;</t>
  </si>
  <si>
    <t>Semantic Interaction for Sensemaking: Inferring Analytical Reasoning for Model Steering</t>
  </si>
  <si>
    <t>10.1109/TVCG.2012.260</t>
  </si>
  <si>
    <t>http://dx.doi.org/10.1109/TVCG.2010.154</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</si>
  <si>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</si>
  <si>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Alex Endert;Patrick Fiaux;Chris North</t>
  </si>
  <si>
    <t>Virginia Polytechnic Institute and State University;Virginia Polytechnic Institute and State University;Virginia Polytechnic Institute and State University</t>
  </si>
  <si>
    <t>10.1109/INFVIS.1995.528686;10.1109/VAST.2012.6400559;10.1109/VAST.2011.6102449;10.1109/VAST.2011.6102438;10.1109/VAST.2007.4389006</t>
  </si>
  <si>
    <t>User Interaction, visualization, sensemaking, analytic reasoning, visual analytics</t>
  </si>
  <si>
    <t>The User Puzzle---Explaining the Interaction with Visual Analytics Systems</t>
  </si>
  <si>
    <t>10.1109/TVCG.2012.273</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</si>
  <si>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</si>
  <si>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Margit Pohl;Michael Smuc;Eva Mayr</t>
  </si>
  <si>
    <t>Vienna University of Technology;Danube University Krems;Danube University Krems</t>
  </si>
  <si>
    <t>10.1109/TVCG.2008.121;10.1109/TVCG.2007.70515;10.1109/VAST.2010.5653598;10.1109/VAST.2008.4677361;10.1109/VAST.2011.6102445</t>
  </si>
  <si>
    <t>Cognitive theory, visual knowledge discovery, interaction design, reasoning, problem solving</t>
  </si>
  <si>
    <t>Visual Analytics Methodology for Eye Movement Studies</t>
  </si>
  <si>
    <t>10.1109/TVCG.2012.276</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</si>
  <si>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</si>
  <si>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Gennady L. Andrienko;Natalia V. Andrienko;Michael Burch;Daniel Weiskopf</t>
  </si>
  <si>
    <t>Gennady Andrienko;Natalia Andrienko;Michael Burch;Daniel Weiskopf</t>
  </si>
  <si>
    <t>Dept. of Comput. Sci. &amp; Eng., Hong Kong Univ. of Sci. &amp; Technol., Hong Kong, China|c|;;;;;</t>
  </si>
  <si>
    <t>Fraunhofer Institute IAIS;Fraunhofer Institute IAIS;University of Stuttgart;University of Stuttgart</t>
  </si>
  <si>
    <t>10.1109/VAST.2009.5332593;10.1109/TVCG.2011.193;10.1109/INFVIS.2005.1532150</t>
  </si>
  <si>
    <t>Visual analytics, eye tracking, movement data, trajectory analysis</t>
  </si>
  <si>
    <t>Visual Classifier Training for Text Document Retrieval</t>
  </si>
  <si>
    <t>10.1109/TVCG.2012.277</t>
  </si>
  <si>
    <t>http://dx.doi.org/10.1109/TVCG.2010.155</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</si>
  <si>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</si>
  <si>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Florian Heimerl;Steffen Koch;Harald Bosch;Thomas Ertl</t>
  </si>
  <si>
    <t>Universoty of Stuttgart;Universoty of Stuttgart;Universoty of Stuttgart;Universoty of Stuttgart</t>
  </si>
  <si>
    <t>10.1109/VAST.2011.6102449;10.1109/VAST.2011.6102453;10.1109/VAST.2007.4389006;10.1109/VAST.2012.6400492</t>
  </si>
  <si>
    <t>Visual analytics, human computer interaction, information retrieval, active learning, classification, user evaluation</t>
  </si>
  <si>
    <t>Relative N-gram signatures: Document visualization at the level of character N-grams</t>
  </si>
  <si>
    <t>10.1109/VAST.2012.6400484</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</si>
  <si>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</si>
  <si>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Magdalena Jankowska;Vlado Keselj;Evangelos E. Milios</t>
  </si>
  <si>
    <t>Magdalena Jankowska;Vlado Kešelj;Evangelos Milios</t>
  </si>
  <si>
    <t>Faculty of Computer Science, Dalhousie University;Faculty of Computer Science, Dalhousie University;Faculty of Computer Science, Dalhousie University</t>
  </si>
  <si>
    <t>10.1109/VAST.2009.5333443;10.1109/VAST.2007.4389004</t>
  </si>
  <si>
    <t>Visual analytics, visual text analysis, text classification</t>
  </si>
  <si>
    <t>LeadLine: Interactive visual analysis of text data through event identification and exploration</t>
  </si>
  <si>
    <t>10.1109/VAST.2012.6400485</t>
  </si>
  <si>
    <t>Seoul Nat. Univ., Seoul, South Korea|c|;;;;;</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</si>
  <si>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</si>
  <si>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Wenwen Dou;Xiaoyu Wang;Drew Skau;William Ribarsky;Michelle X. Zhou</t>
  </si>
  <si>
    <t>University of North Carolina at Charlotte;University of North Carolina at Charlotte;University of North Carolina at Charlotte;University of North Carolina at Charlotte;IBM Almaden Research Center</t>
  </si>
  <si>
    <t>10.1109/VAST.2011.6102456;10.1109/VAST.2010.5652931;10.1109/TVCG.2011.179;10.1109/TVCG.2011.239;10.1109/VAST.2011.6102461;10.1109/TVCG.2011.185;10.1109/TVCG.2010.179;10.1109/VAST.2007.4389006;10.1109/INFVIS.2000.885098</t>
  </si>
  <si>
    <t>http://dx.doi.org/10.1109/TVCG.2010.156</t>
  </si>
  <si>
    <t>Dis-function: Learning distance functions interactively</t>
  </si>
  <si>
    <t>10.1109/VAST.2012.6400486</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</si>
  <si>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</si>
  <si>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Eli T. Brown;Jingjing Liu;Carla E. Brodley;Remco Chang</t>
  </si>
  <si>
    <t>Department of Computer Science Tufts University;Department of Computer Science Tufts University;Department of Computer Science Tufts University;Department of Computer Science Tufts University</t>
  </si>
  <si>
    <t>10.1109/VISUAL.1990.146402;10.1109/VAST.2011.6102449;10.1109/VAST.2007.4388999;10.1109/VAST.2009.5332584;10.1109/VAST.2011.6102448;10.1109/VAST.2008.4677352;10.1109/VAST.2010.5652443</t>
  </si>
  <si>
    <t>Just-in-time annotation of clusters, outliers, and trends in point-based data visualizations</t>
  </si>
  <si>
    <t>10.1109/VAST.2012.6400487</t>
  </si>
  <si>
    <t>We introduce the concept of just-in-time descriptive analytics as a novel application of computational and statistical techniques performed at interaction-time to help users easily understand the structure of data as seen in visualizations. Fundamental to just-intime descriptive analytics is (a) identifying visual features, such as clusters, outliers, and trends, user might observe in visualizations automatically, (b) determining the semantics of such features by performing statistical analysis as the user is interacting, and (c) enriching visualizations with annotations that not only describe semantics of visual features but also facilitate interaction to support high-level understanding of data. In this paper, we demonstrate just-in-time descriptive analytics applied to a point-based multi-dimensional visualization technique to identify and describe clusters, outliers, and trends. We argue that it provides a novel user experience of computational techniques working alongside of users allowing them to build faster qualitative mental models of data by demonstrating its application on a few use-cases. Techniques used to facilitate just-in-time descriptive analytics are described in detail along with their runtime performance characteristics. We believe this is just a starting point and much remains to be researched, as we discuss open issues and opportunities in improving accessibility and collaboration.</t>
  </si>
  <si>
    <t>Eser Kandogan</t>
  </si>
  <si>
    <t>IBM Center for Advanced Visualization, IBM Research</t>
  </si>
  <si>
    <t>10.1109/INFVIS.2003.1249015;10.1109/INFVIS.2005.1532142;10.1109/INFVIS.2004.3;10.1109/TVCG.2011.220;10.1109/INFVIS.2004.15;10.1109/INFVIS.1998.729559;10.1109/VAST.2006.261423;10.1109/TVCG.2009.153;10.1109/VAST.2010.5652885;10.1109/VAST.2009.5332628;10.1109/TVCG.2011.229</t>
  </si>
  <si>
    <t>Just-in-time descriptive analytics, feature identification and characterization, point-based visualizations</t>
  </si>
  <si>
    <t>Subspace search and visualization to make sense of alternative clusterings in high-dimensional data</t>
  </si>
  <si>
    <t>10.1109/VAST.2012.6400488</t>
  </si>
  <si>
    <t>Inst. of Data Anal. &amp; Visualization, Univ. of California, Davis, CA, USA|c|;</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</si>
  <si>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</si>
  <si>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Andrada Tatu;Fabian Maass;Ines Färber;Enrico Bertini;Tobias Schreck;Thomas Seidl 0001;Daniel A. Keim</t>
  </si>
  <si>
    <t>Andrada Tatu;Fabian Maaß;Ines Färber;Enrico Bertini;Tobias Schreck;Thomas Seidl;Daniel Keim</t>
  </si>
  <si>
    <t>University of Konstanz, Germany;University of Konstanz, Germany;RWTH Aachen University Germany;University of Konstanz, Germany;University of Konstanz, Germany;RWTH Aachen University Germany;University of Konstanz Germany</t>
  </si>
  <si>
    <t>10.1109/INFVIS.2005.1532142;10.1109/TVCG.2010.138;10.1109/VAST.2010.5652392;10.1109/INFVIS.2004.71;10.1109/VAST.2010.5652450;10.1109/VAST.2011.6102439;10.1109/TVCG.2011.188;10.1109/INFVIS.2004.3;10.1109/TVCG.2009.153</t>
  </si>
  <si>
    <t>http://dx.doi.org/10.1109/TVCG.2010.157</t>
  </si>
  <si>
    <t>iLAMP: Exploring high-dimensional spacing through backward multidimensional projection</t>
  </si>
  <si>
    <t>10.1109/VAST.2012.6400489</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</si>
  <si>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</si>
  <si>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Elisa Portes dos Santos;Emilio Vital Brazil;Joel Daniels II;Paulo Joia;Luis Gustavo Nonato;Mario Costa Sousa</t>
  </si>
  <si>
    <t>Elisa Portes dos Santos Amorim;Emilio Vital Brazil;Joel Daniels;Paulo Joia;Luis Gustavo Nonato;Mario Costa Sousa</t>
  </si>
  <si>
    <t>University of Calgary;University of Calgary;NYU Polytechnic Institute;University of Sao Paulo;University of Sao Paulo;University of Calgary</t>
  </si>
  <si>
    <t>10.1109/INFVIS.2005.1532138;10.1109/TVCG.2008.116;10.1109/TVCG.2010.213;10.1109/TVCG.2009.140;10.1109/TVCG.2011.220;10.1109/VISUAL.1999.809866;10.1109/TVCG.2006.170;10.1109/INFVIS.2000.885086;10.1109/INFVIS.2004.15;10.1109/TVCG.2008.153;10.1109/INFVIS.2002.1173159;10.1109/INFVIS.2003.1249015;10.1109/VISUAL.1990.146402;10.1109/VISUAL.1996.567787;10.1109/TVCG.2010.170;10.1109/TVCG.2007.70580;10.1109/TVCG.2010.207;10.1109/INFVIS.2002.1173161</t>
  </si>
  <si>
    <t>Visual pattern discovery using random projections</t>
  </si>
  <si>
    <t>10.1109/VAST.2012.6400490</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</si>
  <si>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</si>
  <si>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Univ. of Groningen, Groningen, Netherlands|c|;;;;</t>
  </si>
  <si>
    <t>Department of Computer Science, University of Illinois at Chicago;Department of Computer Science, University of Illinois at Chicago;Department of Computer Science, University of Illinois at Chicago</t>
  </si>
  <si>
    <t>10.1109/VAST.2010.5652433;10.1109/TVCG.2011.178;10.1109/VAST.2011.6102437;10.1109/VAST.2007.4389006;10.1109/VAST.2010.5652392;10.1109/INFVIS.2005.1532142;10.1109/VAST.2009.5332629</t>
  </si>
  <si>
    <t>Random Projections, High-dimensional Data</t>
  </si>
  <si>
    <t>A correlative analysis process in a visual analytics environment</t>
  </si>
  <si>
    <t>10.1109/VAST.2012.6400491</t>
  </si>
  <si>
    <t>http://dx.doi.org/10.1109/TVCG.2010.159</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</si>
  <si>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</si>
  <si>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Abish Malik;Ross Maciejewski;Niklas Elmqvist;Yun Jang;David S. Ebert;Whitney Huang</t>
  </si>
  <si>
    <t>Purdue University, USA;Arizona State University, USA;Purdue University, USA;Sejong University, South Korea;Purdue University, USA;Purdue University, USA</t>
  </si>
  <si>
    <t>10.1109/INFVIS.2005.1532148;10.1109/TVCG.2011.179;10.1109/TVCG.2010.193;10.1109/INFVIS.1999.801851;10.1109/INFVIS.1999.801851;10.1109/VAST.2007.4389006;10.1109/TVCG.2007.70539;10.1109/TVCG.2010.162;10.1109/TVCG.2011.195</t>
  </si>
  <si>
    <t>Visual analytics, correlative analysis</t>
  </si>
  <si>
    <t>Inter-active learning of ad-hoc classifiers for video visual analytics</t>
  </si>
  <si>
    <t>10.1109/VAST.2012.6400492</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</si>
  <si>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</si>
  <si>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Benjamin Höferlin;Rudolf Netzel;Markus Höferlin;Daniel Weiskopf;Gunther Heidemann</t>
  </si>
  <si>
    <t>Institute of Cognitive Science, University of Osnabrück;Visualization Research Center (VISUS), University of Stuttgart;Visualization Research Center (VISUS), University of Stuttgart;Visualization Research Center (VISUS), University of Stuttgart;Institute of Cognitive Science, University of Osnabrück</t>
  </si>
  <si>
    <t>10.1109/VAST.2010.5652398;10.1109/TVCG.2012.277</t>
  </si>
  <si>
    <t>An adaptive parameter space-filling algorithm for highly interactive cluster exploration</t>
  </si>
  <si>
    <t>10.1109/VAST.2012.6400493</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</si>
  <si>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 Slide that allows fluid navigation in very large genealogies. We report on preliminary feedback from domain experts and show how our system supports a number of their tasks.</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</si>
  <si>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</si>
  <si>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http://dx.doi.org/10.1109/TVCG.2010.160</t>
  </si>
  <si>
    <t>Zafar Ahmed;Chris Weaver</t>
  </si>
  <si>
    <t>10.1109/TVCG.2007.70515;10.1109/INFVIS.2004.12;10.1109/VAST.2009.5332629;10.1109/VAST.2008.4677357;10.1109/TVCG.2011.188;10.1109/VISUAL.1994.346302;10.1109/INFVIS.1998.729559;10.1109/VAST.2007.4388999</t>
  </si>
  <si>
    <t>Visual cluster exploration of web clickstream data</t>
  </si>
  <si>
    <t>10.1109/VAST.2012.6400494</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</si>
  <si>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</si>
  <si>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Jishang Wei;Zeqian Shen;Neel Sundaresan;Kwan-Liu Ma</t>
  </si>
  <si>
    <t>University of California, Davis;eBay Research Labs;eBay Research Labs;University of California, Davis</t>
  </si>
  <si>
    <t>10.1109/INFVIS.2005.1532145;10.1109/VAST.2007.4389008;10.1109/VAST.2011.6102462;10.1109/VISUAL.1991.175815</t>
  </si>
  <si>
    <t>LensingWikipedia: Parsing text for the interactive visualization of human history</t>
  </si>
  <si>
    <t>10.1109/VAST.2012.6400530</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</si>
  <si>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</si>
  <si>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Ravikiran Vadlapudi;Maryam Siahbani;Anoop Sarkar;John Dill</t>
  </si>
  <si>
    <t>VDQAM: A toolkit for database quality evaluation based on visual morphology</t>
  </si>
  <si>
    <t>10.1109/VAST.2012.6400531</t>
  </si>
  <si>
    <t>Usman R. Alim;Torsten M̦ller;Laurent Condat</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</si>
  <si>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</si>
  <si>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Dongxing Teng;Haiyan Yang;CuiXia Ma;Hongan Wang</t>
  </si>
  <si>
    <t>Dongxing Teng;Haiyan Yang;Cuixia Ma;Hongan Wang</t>
  </si>
  <si>
    <t>Institute of Software, Chinese Academy of Sciences, Beijing, China;Institute of Software, Chinese Academy of Sciences, Beijing, China;Institute of Software, Chinese Academy of Sciences, Beijing, China;Institute of Software, Chinese Academy of Sciences, Beijing, China</t>
  </si>
  <si>
    <t>A case study: Tracking and visualizing the evolution of dark matter halos and groups of satellite halos in cosmology simulations</t>
  </si>
  <si>
    <t>http://dx.doi.org/10.1109/TVCG.2010.161</t>
  </si>
  <si>
    <t>10.1109/VAST.2012.6400532</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</si>
  <si>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</si>
  <si>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Jay Takle;Deborah Silver;Katrin Heitmann</t>
  </si>
  <si>
    <t>Department of Electrical &amp; Computer Engineering, Rutgers University;Department of Electrical &amp; Computer Engineering, Rutgers University;High Energy Physics Division, Argonne National Laboratory</t>
  </si>
  <si>
    <t>Infographics at the Congressional Budget Office</t>
  </si>
  <si>
    <t>10.1109/VAST.2012.6400533</t>
  </si>
  <si>
    <t>The Congressional Budget Office (CBO) is an agency of the federal government with about 240 employees that provides the U.S. Congress with timely, nonpartisan analysis of important budgetary and economic issues. Recently, CBO began producing static infographics to present its headline stories and to provide information to the Congress in different ways.</t>
  </si>
  <si>
    <t>Jonathan A. Schwabish</t>
  </si>
  <si>
    <t>Congressional Budget Office</t>
  </si>
  <si>
    <t>Visual exploration of local interest points in sets of time series</t>
  </si>
  <si>
    <t>10.1109/VAST.2012.6400534</t>
  </si>
  <si>
    <t>Rice Univ., Houston, TX, USA|c|;;;</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</si>
  <si>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</si>
  <si>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Tobias Schreck;Lyubka Sharalieva;Franz Wanner;Jürgen Bernard;Tobias Ruppert;Tatiana von Landesberger;Benjamin Bustos</t>
  </si>
  <si>
    <t>University of Konstanz, Germany;University of Konstanz, Germany;University of Konstanz, Germany;Fraunhofer IGD Darmstadt, Germany;Fraunhofer IGD Darmstadt, Germany;TU Darmstadt Germany;Universidad de Chile Santiago de Chile</t>
  </si>
  <si>
    <t>http://dx.doi.org/10.1109/TVCG.2010.162</t>
  </si>
  <si>
    <t>Priming Locus of Control to affect performance</t>
  </si>
  <si>
    <t>10.1109/VAST.2012.6400535</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</si>
  <si>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</si>
  <si>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Alvitta Ottley;R. Jordan Crouser;Caroline Ziemkiewicz;Remco Chang</t>
  </si>
  <si>
    <t>Tufts University;Tufts University;Brown University;Tufts University</t>
  </si>
  <si>
    <t>The spatiotemporal multivariate hypercube for discovery of patterns in event data</t>
  </si>
  <si>
    <t>10.1109/VAST.2012.6400536</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</si>
  <si>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</si>
  <si>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Fred Olislagers;Marcel Worring</t>
  </si>
  <si>
    <t>Intelligent Systems Lab Amsterdam, University of Amsterdam, The Netherlands;Intelligent Systems Lab Amsterdam, University of Amsterdam, The Netherlands</t>
  </si>
  <si>
    <t>A generic model for the integration of interactive visualization and statistical computing using R</t>
  </si>
  <si>
    <t>Purdue Univ. in West Lafayette, West Lafayette, IN, USA|c|;;</t>
  </si>
  <si>
    <t>10.1109/VAST.2012.6400537</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</si>
  <si>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</si>
  <si>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Johannes Kehrer;Roland N. Boubela;Peter Filzmoser;Harald Piringer</t>
  </si>
  <si>
    <t>VRVis Research Center, Vienna, Austria;Dept. of Statistics and Probability Theory, Vienna University of Technology, Austria;Dept. of Statistics and Probability Theory, Vienna University of Technology, Austria;VRVis Research Center, Vienna, Austria</t>
  </si>
  <si>
    <t>http://dx.doi.org/10.1109/TVCG.2010.163</t>
  </si>
  <si>
    <t>Using visual analytics to detect problems in datasets collected from photo-sharing services</t>
  </si>
  <si>
    <t>10.1109/VAST.2012.6400538</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</si>
  <si>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</si>
  <si>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Alexander Kachkaev;Jo Wood</t>
  </si>
  <si>
    <t>Visualizing flows of images in social media</t>
  </si>
  <si>
    <t>10.1109/VAST.2012.6400539</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</si>
  <si>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</si>
  <si>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Masahiko Itoh;Masashi Toyoda;Tetsuya Kamijo;Masaru Kitsuregawa</t>
  </si>
  <si>
    <t>Institute of Industrial Science, University of Tokyo;Institute of Industrial Science, University of Tokyo;Rakuten, Inc.;Institute of Industrial Science, University of Tokyo</t>
  </si>
  <si>
    <t>Exploring the impact of emotion on visual judgement</t>
  </si>
  <si>
    <t>10.1109/VAST.2012.6400540</t>
  </si>
  <si>
    <t>Comput. Sci. Dept., Brown Univ., Providence, RI, USA|c|;;;</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</si>
  <si>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</si>
  <si>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Lane Harrison;Remco Chang;Aidong Lu</t>
  </si>
  <si>
    <t>UNC-Charlotte;Tufts University;UNC-Charlotte</t>
  </si>
  <si>
    <t>http://dx.doi.org/10.1109/TVCG.2010.164</t>
  </si>
  <si>
    <t>Exploring cyber physical data streams using Radial Pixel Visualizations</t>
  </si>
  <si>
    <t>10.1109/VAST.2012.6400541</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</si>
  <si>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</si>
  <si>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Ming C. Hao;Manish Marwah;Sebastian Mittelstädt;Halldór Janetzko;Daniel A. Keim;Umeshwar Dayal;Cullen Bash;Carlos J. Felix;Chandrakant D. Patel;Meichun Hsu;Yuan Chen</t>
  </si>
  <si>
    <t>M. Hao;Y. Chen;M. Marwah;S. Mittelstadt;H. Janetzko;D. Keim;U. Dayal;C. Bash;C. Felix;C. Patel;M. Hsu</t>
  </si>
  <si>
    <t>Hewlett-Packard Laboratories, Palo Alto, CA;Hewlett-Packard Laboratories, Palo Alto, CA;Hewlett-Packard Laboratories, Palo Alto, CA;University of Konstanz, Germany;University of Konstanz, Germany;University of Konstanz, Germany;Hewlett-Packard Laboratories, Palo Alto, CA;Hewlett-Packard Laboratories, Palo Alto, CA;Hewlett-Packard Laboratories, Palo Alto, CA;Hewlett-Packard Laboratories, Palo Alto, CA;Hewlett-Packard Laboratories, Palo Alto, CA</t>
  </si>
  <si>
    <t>Incorporating GOMS analysis into the design of an EEG data visual analysis tool</t>
  </si>
  <si>
    <t>10.1109/VAST.2012.6400542</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</si>
  <si>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</si>
  <si>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Hua Guo;Diem Tran;David H. Laidlaw</t>
  </si>
  <si>
    <t>Department of Computer Science Brown University;Department of Computer Science Brown University;Department of Computer Science Brown University</t>
  </si>
  <si>
    <t>Using translational science in visual analytics</t>
  </si>
  <si>
    <t>10.1109/VAST.2012.6400543</t>
  </si>
  <si>
    <t>We introduce translational science, a research discipline from medicine, and show how adapting it for visual analytics can improve the design and evaluation of visual analytics interfaces. Translational science “translates” knowledge from the lab to the real-world to “ground truth” by incorporating a 3 phase program of research. Phase 1 &amp;amp; 2 include protocols for research in the lab and field and Phase 3 focuses on dissemination and documentation. We discuss these phases and how they may be applied to visual analytics research.</t>
  </si>
  <si>
    <t>Tera Marie Green;Brian Fisher</t>
  </si>
  <si>
    <t>School of Interactive Arts + Science, Simon Fraser University;School of Interactive Arts + Science, Simon Fraser University</t>
  </si>
  <si>
    <t>Optimizing an SPT-tree for visual analytics</t>
  </si>
  <si>
    <t>http://dx.doi.org/10.1109/TVCG.2010.166</t>
  </si>
  <si>
    <t>10.1109/VAST.2012.6400544</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</si>
  <si>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</si>
  <si>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Connor Gramazio;Remco Chang</t>
  </si>
  <si>
    <t>Department of Computer Science Brown University &amp;amp; Tufts University;Department of Computer Science, Tufts University</t>
  </si>
  <si>
    <t>Visualising variations in household energy consumption</t>
  </si>
  <si>
    <t>10.1109/VAST.2012.6400545</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</si>
  <si>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</si>
  <si>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Sarah Goodwin;Jason Dykes</t>
  </si>
  <si>
    <t>giCentre, City University London, UK;giCentre, City University London, UK</t>
  </si>
  <si>
    <t>Time-oriented visualization and anticipation</t>
  </si>
  <si>
    <t>10.1109/VAST.2012.6400546</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</si>
  <si>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</si>
  <si>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</si>
  <si>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Univ. Leipzig, Leipzig, Germany|c|;;;;</t>
  </si>
  <si>
    <t>Cindy Chamberland;François Vachon;Jean-François Gagnon;Simon P. Banbury;Sébastien Tremblay</t>
  </si>
  <si>
    <t>Cindy Chamberland;François Vachon;Jean-François Gagnon;Simon Banbury;Sébastien Tremblay</t>
  </si>
  <si>
    <t>Université Laval;Université Laval;Université Laval;Looking Glass HF, Inc.;Université Laval</t>
  </si>
  <si>
    <t>Augmenting visual representation of affectively charged information using sound graphs</t>
  </si>
  <si>
    <t>10.1109/VAST.2012.6400547</t>
  </si>
  <si>
    <t>http://dx.doi.org/10.1109/TVCG.2010.168</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</si>
  <si>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</si>
  <si>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Nadya A. Calderón;Bernhard E. Riecke;Brian D. Fisher</t>
  </si>
  <si>
    <t>Nadya A. Calderon;Bernhard E. Riecke;Brian Fisher</t>
  </si>
  <si>
    <t>School of Interactive Arts and Technology Simon Fraser University;School of Interactive Arts and Technology Simon Fraser University;School of Interactive Arts and Technology Simon Fraser University</t>
  </si>
  <si>
    <t>Feature-similarity visualization of MRI cortical surface data</t>
  </si>
  <si>
    <t>10.1109/VAST.2012.6400548</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</si>
  <si>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</si>
  <si>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Ian Bowman;Shantanu H. Joshi;Vaughan Greer;John D. Van Horn</t>
  </si>
  <si>
    <t>Ian Bowman;Shantanu H. Joshi;Vaughan Greer;John Darrell Van Horn</t>
  </si>
  <si>
    <t>Laboratory of Neuro Imaging, UCLA School of Medicine, Los Angeles 90095;Laboratory of Neuro Imaging, UCLA School of Medicine, Los Angeles 90095;Laboratory of Neuro Imaging, UCLA School of Medicine, Los Angeles 90095;Laboratory of Neuro Imaging, UCLA School of Medicine, Los Angeles 90095</t>
  </si>
  <si>
    <t>Matrix-based visual correlation analysis on large timeseries data</t>
  </si>
  <si>
    <t>10.1109/VAST.2012.6400549</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</si>
  <si>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</si>
  <si>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Won-Ki Jeong;Jens Schneider;Stephen G. Turney;Beverly E. Faulkner-Jones;Dominik Meyer;R�_diger Westermann;R. Clay Reid;Jeff Lichtman;Hanspeter Pfister</t>
  </si>
  <si>
    <t>Michael Behrisch;James Davey;Tobias Schreck;Daniel A. Keim;Jörn Kohlhammer</t>
  </si>
  <si>
    <t>Michael Behrisch;James Davey;Tobias Schreck;Daniel Keim;Jörn Kohlhammer</t>
  </si>
  <si>
    <t>Universität Konstanz;Fraunhofer IGD;Universität Konstanz;Universität Konstanz;Fraunhofer IGD</t>
  </si>
  <si>
    <t>A visual analytics approach to understanding cycling behaviour</t>
  </si>
  <si>
    <t>10.1109/VAST.2012.6400550</t>
  </si>
  <si>
    <t>http://dx.doi.org/10.1109/TVCG.2010.169</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</si>
  <si>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scheme&amp;lt;sup&amp;gt;1&amp;lt;/sup&amp;gt;,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</si>
  <si>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Roger Beecham;Jo Wood;Audrey Bowerman</t>
  </si>
  <si>
    <t>City University London;City University London;Transport for London</t>
  </si>
  <si>
    <t>Information retrieval failure analysis: Visual analytics as a support for interactive "what-if" investigation</t>
  </si>
  <si>
    <t>10.1109/VAST.2012.6400551</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</si>
  <si>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“what-if” analysis and visually explore what can happen if you adopt a given solution before having to actually implement it.</t>
  </si>
  <si>
    <t>Marco Angelini;Nicola Ferro;Guido Granato;Giuseppe Santucci;Gianmaria Silvello</t>
  </si>
  <si>
    <t>Marco Angelini;Nicola Ferro;Guido Granato;Guiseppe Santucci;Gianmaria Silvello</t>
  </si>
  <si>
    <t>Sapienza University of Roma, Italy;University of Padua, Italy;Sapienza University of Roma, Italy;Sapienza University of Roma, Italy;University of Padua, Italy</t>
  </si>
  <si>
    <t>Watch this: A taxonomy for dynamic data visualization</t>
  </si>
  <si>
    <t>10.1109/VAST.2012.6400552</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</si>
  <si>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</si>
  <si>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Joseph A. Cottam;Andrew Lumsdaine;Chris Weaver</t>
  </si>
  <si>
    <t>Indiana University;Indiana University;University of Oklahoma</t>
  </si>
  <si>
    <t>10.1109/TVCG.2009.123;10.1109/INFVIS.2004.65;10.1109/TVCG.2007.70539;10.1109/TVCG.2008.125;10.1109/INFVIS.2000.885092</t>
  </si>
  <si>
    <t>Dynamic Data, Interpretation</t>
  </si>
  <si>
    <t>Florian Ferstl;Kai B�_rger;Holger Theisel;R�_diger Westermann</t>
  </si>
  <si>
    <t>Comput. Graphics &amp; Visualization group, Tech. Univ. Munchen, M�_nchen, Germany|c|;;;</t>
  </si>
  <si>
    <t>Visual analytics methods for categoric spatio-temporal data</t>
  </si>
  <si>
    <t>10.1109/VAST.2012.6400553</t>
  </si>
  <si>
    <t>http://dx.doi.org/10.1109/TVCG.2010.170</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</si>
  <si>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</si>
  <si>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Tatiana von Landesberger;Sebastian Bremm;Natalia V. Andrienko;Gennady L. Andrienko;Maria Tekusova</t>
  </si>
  <si>
    <t>T. von Landesberger;Sebastian Bremm;Natalia Andrienko;Gennady Andrienko;Mária Tekušová</t>
  </si>
  <si>
    <t>TU Darmstadt Darmstadt, Germany;TU Darmstadt Darmstadt, Germany;Fraunhofer IAIS Bonn, Germany;Fraunhofer IAIS Bonn, Germany;SHMU Bratislava, Slovakia</t>
  </si>
  <si>
    <t>10.1109/TVCG.2011.174;10.1109/TVCG.2009.117;10.1109/TVCG.2009.181;10.1109/INFVIS.2000.885098;10.1109/TVCG.2010.138;10.1109/VAST.2010.5652530;10.1109/INFVIS.2004.27;10.1109/INFVIS.2005.1532152;10.1109/INFVIS.2001.963281;10.1109/TVCG.2008.165;10.1109/TVCG.2009.153</t>
  </si>
  <si>
    <t>Visual analytics for the big data era---A comparative review of state-of-the-art commercial systems</t>
  </si>
  <si>
    <t>10.1109/VAST.2012.6400554</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</si>
  <si>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</si>
  <si>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Leishi Zhang;Andreas Stoffel;Michael Behrisch;Sebastian Mittelstädt;Tobias Schreck;René Pompl;Stefan Weber 0004;Holger Last;Daniel A. Keim</t>
  </si>
  <si>
    <t>Leishi Zhang;Andreas Stoffel;Michael Behrisch;Sebastian Mittelstadt;Tobias Schreck;René Pompl;Stefan Weber;Holger Last;Daniel Keim</t>
  </si>
  <si>
    <t>University of Konstanz, Germany;University of Konstanz, Germany;University of Konstanz, Germany;University of Konstanz, Germany;University of Konstanz, Germany;Siemens AG;Siemens AG;Siemens AG;University of Konstanz, Germany</t>
  </si>
  <si>
    <t>10.1109/INFVIS.2004.12;10.1109/INFVIS.2004.64;10.1109/INFVIS.2000.885098</t>
  </si>
  <si>
    <t>Smart super views---A knowledge-assisted interface for medical visualization</t>
  </si>
  <si>
    <t>10.1109/VAST.2012.6400555</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</si>
  <si>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</si>
  <si>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Gabriel Mistelbauer;Hamed Bouzari;Rüdiger Schernthaner;Ivan Baclija;Arnold Köchl;Stefan Bruckner;Milos Srámek;M. Eduard Gröller</t>
  </si>
  <si>
    <t>Gabriel Mistelbauer;Arnold Köchl;Rudiger Schernthaner;Ivan Baclija;Rüdiger Schernthaner;Stefan Bruckner;Milos Sramek;Meister Eduard Gröller</t>
  </si>
  <si>
    <t>Vienna University of Technology, Austria;Kaiser-Franz-Josef Hospital Vienna, Austria;Austrian Academy of Sciences;Vienna University of Technology Austria;Medical University of Vienna, Austria;Austrian Academy of Sciences;Kaiser-Franz-Josef Hospital Vienna, Austria;Vienna University of Technology, Austria</t>
  </si>
  <si>
    <t>10.1109/VISUAL.2003.1250400;10.1109/TVCG.2006.152;10.1109/TVCG.2007.70576;10.1109/TVCG.2007.70591;10.1109/VISUAL.2002.1183754;10.1109/VISUAL.2005.1532856;10.1109/TVCG.2011.183;10.1109/VISUAL.2005.1532818;10.1109/TVCG.2006.148</t>
  </si>
  <si>
    <t>Visualization, Fuzzy Logic, Interaction</t>
  </si>
  <si>
    <t>AlVis: Situation awareness in the surveillance of road tunnels</t>
  </si>
  <si>
    <t>10.1109/VAST.2012.6400556</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</si>
  <si>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</si>
  <si>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Harald Piringer;Matthias Buchetics;Rudolf Benedik</t>
  </si>
  <si>
    <t>VRVis Research Center;VRVis Research Center;Kapsch TrafficCom AG</t>
  </si>
  <si>
    <t>10.1109/INFVIS.2002.1173149;10.1109/INFVIS.2005.1532134;10.1109/VAST.2011.6102456;10.1109/TVCG.2007.70544;10.1109/TVCG.2007.70521;10.1109/TVCG.2007.70621;10.1109/INFVIS.2004.27;10.1109/INFVIS.1995.528685;10.1109/TVCG.2008.185;10.1109/VAST.2007.4388994;10.1109/VAST.2007.4388998;10.1109/VAST.2008.4677353</t>
  </si>
  <si>
    <t>Joel Daniels II;Erik W. Anderson;Luis Gustavo Nonato;Cl��udio T. Silva</t>
  </si>
  <si>
    <t>Sch. of Comput. &amp; Sci. Comput., Univ. of Utah, Salt Lake City, UT, USA|c|;;;</t>
  </si>
  <si>
    <t>Spatiotemporal social media analytics for abnormal event detection and examination using seasonal-trend decomposition</t>
  </si>
  <si>
    <t>10.1109/VAST.2012.6400557</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</si>
  <si>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</si>
  <si>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Junghoon Chae;Dennis Thom;Harald Bosch;Yun Jang;Ross Maciejewski;David S. Ebert;Thomas Ertl</t>
  </si>
  <si>
    <t>http://dx.doi.org/10.1109/TVCG.2010.171</t>
  </si>
  <si>
    <t>Purdue University;University of Stuttgart;University of Stuttgart;Sejong University;Arizona State University;Purdue University;University of Stuttgart</t>
  </si>
  <si>
    <t>10.1109/VAST.2011.6102456;10.1109/VAST.2011.6102461;10.1109/TVCG.2008.175</t>
  </si>
  <si>
    <t>SocialNetSense: Supporting sensemaking of social and structural features in networks with interactive visualization</t>
  </si>
  <si>
    <t>10.1109/VAST.2012.6400558</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</si>
  <si>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</si>
  <si>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Liang Gou;Xiaolong Zhang 0001;Airong Luo;Patricia F. Anderson</t>
  </si>
  <si>
    <t>Liang Gou;Xiaolong Zhang;Airong Luo;Patricia F. Anderson</t>
  </si>
  <si>
    <t>The Pennsylvania State University;The Pennsylvania State University;University of Michigan;University of Michigan</t>
  </si>
  <si>
    <t>10.1109/INFVIS.1999.801853;10.1109/TVCG.2011.247;10.1109/INFVIS.2005.1532126;10.1109/VISUAL.2005.1532788;10.1109/TVCG.2007.70582;10.1109/TVCG.2006.192;10.1109/VAST.2009.5333020;10.1109/VAST.2011.6102440;10.1109/VAST.2006.261426;10.1109/INFVIS.2004.2;10.1109/TVCG.2008.137;10.1109/TVCG.2006.166;10.1109/TVCG.2006.160;10.1109/VAST.2008.4677365;10.1109/TVCG.2006.147;10.1109/VAST.2007.4389006</t>
  </si>
  <si>
    <t>Social network, visualization, sensemaking, visual analytics, SocialNetSense</t>
  </si>
  <si>
    <t>Analyst's Workspace: An embodied sensemaking environment for large, high-resolution displays</t>
  </si>
  <si>
    <t>10.1109/VAST.2012.6400559</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</si>
  <si>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</si>
  <si>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Christopher Andrews;Chris North</t>
  </si>
  <si>
    <t>10.1109/TVCG.2008.121;10.1109/VAST.2008.4677362;10.1109/INFVIS.2004.27;10.1109/VAST.2008.4677358;10.1109/TVCG.2006.184;10.1109/VAST.2007.4388992;10.1109/VAST.2010.5652880;10.1109/VAST.2011.6102449;10.1109/VAST.2007.4389006;10.1109/VAST.2011.6102438;10.1109/VAST.2009.5333878</t>
  </si>
  <si>
    <t>Embodiment, distributed cognition, large and high-resolution display, sensemaking, space</t>
  </si>
  <si>
    <t>The Deshredder: A visual analytic approach to reconstructing shredded documents</t>
  </si>
  <si>
    <t>10.1109/VAST.2012.6400560</t>
  </si>
  <si>
    <t>http://dx.doi.org/10.1109/TVCG.2010.172</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</si>
  <si>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</si>
  <si>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Patrick Butler;Prithwish Chakraborty;Naren Ramakrishnan</t>
  </si>
  <si>
    <t>Patrick Butler;Prithwish Chakraborty;Naren Ramakrishan</t>
  </si>
  <si>
    <t>Department of Computer Science and Discovery Analytics Center, Virginia Tech, Blacksburg, VA 24061;Department of Computer Science and Discovery Analytics Center, Virginia Tech, Blacksburg, VA 24061;Department of Computer Science and Discovery Analytics Center, Virginia Tech, Blacksburg, VA 24061</t>
  </si>
  <si>
    <t>2013</t>
  </si>
  <si>
    <t>A Deeper Understanding of Sequence in Narrative Visualization</t>
  </si>
  <si>
    <t>10.1109/TVCG.2013.119</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</si>
  <si>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</si>
  <si>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Jessica Hullman;Steven M. Drucker;Nathalie Henry Riche;Bongshin Lee;Danyel Fisher;Eytan Adar</t>
  </si>
  <si>
    <t>Jessica Hullman;Steven Drucker;Nathalie Henry Riche;Bongshin Lee;Danyel Fisher;Eytan Adar</t>
  </si>
  <si>
    <t>University of Michigan;Microsoft Research;Microsoft Research;Microsoft Research;Microsoft Research;University of Michigan</t>
  </si>
  <si>
    <t>10.1109/VISUAL.2005.1532788;10.1109/TVCG.2007.70577;10.1109/TVCG.2007.70594;10.1109/TVCG.2010.179;10.1109/TVCG.2008.137;10.1109/TVCG.2011.255;10.1109/TVCG.2007.70584;10.1109/TVCG.2007.70539;10.1109/INFVIS.2000.885086</t>
  </si>
  <si>
    <t>Data storytelling, narrative visualization, narrative structure</t>
  </si>
  <si>
    <t>A Design Space of Visualization Tasks</t>
  </si>
  <si>
    <t>10.1109/TVCG.2013.120</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</si>
  <si>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</si>
  <si>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Hans-Jörg Schulz;Thomas Nocke;Magnus Heitzler;Heidrun Schumann</t>
  </si>
  <si>
    <t>University of Rostock;Potsdam Institute for Climate Impact Research;Potsdam Institute for Climate Impact Research;University of Rostock</t>
  </si>
  <si>
    <t>10.1109/INFVIS.1996.559213;10.1109/INFVIS.2005.1532136;10.1109/TVCG.2007.70515;10.1109/VISUAL.1990.146372;10.1109/TVCG.2012.205;10.1109/VISUAL.1992.235203;10.1109/INFVIS.2004.59;10.1109/VAST.2008.4677365;10.1109/INFVIS.1996.559211;10.1109/INFVIS.2004.10;10.1109/INFVIS.1997.636792;10.1109/INFVIS.2000.885093;10.1109/INFVIS.2000.885092;10.1109/VISUAL.1990.146375</t>
  </si>
  <si>
    <t>Task taxonomy, design space, climate impact research, visualization recommendation</t>
  </si>
  <si>
    <t>Nat. Univ. of Singapore, Singapore, Singapore|c|;;;;</t>
  </si>
  <si>
    <t>A Model for Structure-Based Comparison of Many Categories in Small-Multiple Displays</t>
  </si>
  <si>
    <t>10.1109/TVCG.2013.122</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</si>
  <si>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</si>
  <si>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Johannes Kehrer;Harald Piringer;Wolfgang Berger;M. Eduard Gröller</t>
  </si>
  <si>
    <t>VRVis Research Center, Vienna, and the Institute of Computer Graphics and Algorithms, Vienna University of Technology;VRVis Research Center, Vienna;VRVis Research Center, Vienna;Institute of Computer Graphics and Algorithms, Vienna University of Technology</t>
  </si>
  <si>
    <t>10.1109/TVCG.2010.138;10.1109/TVCG.2007.70594;10.1109/VISUAL.2005.1532821;10.1109/TVCG.2013.125;10.1109/TVCG.2011.178;10.1109/VAST.2011.6102439;10.1109/TVCG.2008.125;10.1109/INFVIS.2000.885086;10.1109/TVCG.2012.237;10.1109/TVCG.2007.70521</t>
  </si>
  <si>
    <t>Comparative visualization, small-multiple displays, trellis displays, categorical data</t>
  </si>
  <si>
    <t>http://dx.doi.org/10.1109/TVCG.2010.173</t>
  </si>
  <si>
    <t>A Multi-Level Typology of Abstract Visualization Tasks</t>
  </si>
  <si>
    <t>10.1109/TVCG.2013.124</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</si>
  <si>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</si>
  <si>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Matthew Brehmer;Tamara Munzner</t>
  </si>
  <si>
    <t>University of British Columbia;University of British Columbia</t>
  </si>
  <si>
    <t>10.1109/TVCG.2007.70541;10.1109/TVCG.2012.219;10.1109/INFVIS.1996.559213;10.1109/TVCG.2012.213;10.1109/TVCG.2012.273;10.1109/INFVIS.2005.1532136;10.1109/TVCG.2010.177;10.1109/TVCG.2007.70539;10.1109/INFVIS.2002.1173148;10.1109/TVCG.2007.70515;10.1109/TVCG.2012.204;10.1109/TVCG.2009.111;10.1109/TVCG.2008.109;10.1109/VISUAL.1992.235203;10.1109/INFVIS.2004.59;10.1109/VAST.2008.4677365;10.1109/VAST.2011.6102438;10.1109/TVCG.2008.121;10.1109/TVCG.2008.137;10.1109/INFVIS.1998.729560;10.1109/INFVIS.2004.10;10.1109/TVCG.2012.252;10.1109/VISUAL.1990.146375</t>
  </si>
  <si>
    <t>Typology, visualization models, task and requirements analysis, qualitative evaluation</t>
  </si>
  <si>
    <t>An Empirically-Derived Taxonomy of Interaction Primitives for Interactive Cartography and Geovisualization</t>
  </si>
  <si>
    <t>10.1109/TVCG.2013.130</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</si>
  <si>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&amp;amp; delineate), but exhibited a large amount of variation across participants due to consideration of broader user goals (procure, predict, &amp;amp; prescribe) and interaction operands (space-alone, attributes-in-space, &amp;amp; space-in-time; elementary &amp;amp; general). The operator sort suggested five enabling operators (import, export, save, edit, &amp;amp; annotate) and twelve work operators (reexpress, arrange, sequence, resymbolize, overlay, pan, zoom, reproject, search, filter, retrieve, &amp;amp; calculate). This taxonomy offers an empirically-derived and ecologically-valid structure to inform future research and design on interaction.</t>
  </si>
  <si>
    <t>Robert E. Roth</t>
  </si>
  <si>
    <t>Univ. of Kaiserslautern, Kaiserslautern, Germany|c|;;;;</t>
  </si>
  <si>
    <t>10.1109/INFVIS.1996.559213;10.1109/TVCG.2007.70515;10.1109/VISUAL.1990.146375;10.1109/INFVIS.1998.729560;10.1109/INFVIS.2005.1532136;10.1109/VAST.2010.5653599;10.1109/INFVIS.2000.885092</t>
  </si>
  <si>
    <t>Science of interaction, interaction primitives, interactive maps, geovisualization, interaction techniques</t>
  </si>
  <si>
    <t>An Interaction Model for Visualizations Beyond The Desktop</t>
  </si>
  <si>
    <t>10.1109/TVCG.2013.134</t>
  </si>
  <si>
    <t>http://dx.doi.org/10.1109/TVCG.2010.174</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</si>
  <si>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</si>
  <si>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Yvonne Jansen;Pierre Dragicevic</t>
  </si>
  <si>
    <t>Inria and Universite Paris Sud;Inria</t>
  </si>
  <si>
    <t>10.1109/TVCG.2010.177;10.1109/VISUAL.2005.1532781;10.1109/TVCG.2007.70577;10.1109/INFVIS.2005.1532136;10.1109/TVCG.2012.251;10.1109/TVCG.2007.70515;10.1109/TVCG.2012.204;10.1109/TVCG.2006.178;10.1109/TVCG.2009.162;10.1109/INFVIS.2003.1249008;10.1109/INFVIS.1998.729560;10.1109/VISUAL.1990.146375</t>
  </si>
  <si>
    <t>Information visualization, interaction model, notational system, physical visualization</t>
  </si>
  <si>
    <t>Automatic Layout of Structured Hierarchical Reports</t>
  </si>
  <si>
    <t>10.1109/TVCG.2013.137</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</si>
  <si>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</si>
  <si>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Eirik Bakke;David R. Karger;Rob Miller 0001</t>
  </si>
  <si>
    <t>Eirik Bakke;David R. Karger;Robert C. Miller</t>
  </si>
  <si>
    <t>MIT Computer Science and Artificial Intelligence Laboratory (CSAIL);MIT Computer Science and Artificial Intelligence Laboratory (CSAIL);MIT Computer Science and Artificial Intelligence Laboratory (CSAIL)</t>
  </si>
  <si>
    <t>10.1109/VAST.2011.6102445;10.1109/INFVIS.2004.1;10.1109/INFVIS.1995.528693;10.1109/TVCG.2007.70594;10.1109/VISUAL.1991.175815;10.1109/INFVIS.2005.1532129;10.1109/INFVIS.1997.636761</t>
  </si>
  <si>
    <t>Hierarchy data, tabular data, nested relations, layout management</t>
  </si>
  <si>
    <t>Common Angle Plots as Perception-True Visualizations of Categorical Associations</t>
  </si>
  <si>
    <t>10.1109/TVCG.2013.140</t>
  </si>
  <si>
    <t>http://dx.doi.org/10.1109/TVCG.2010.175</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</si>
  <si>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</si>
  <si>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Heike Hofmann;Marie Vendettuoli</t>
  </si>
  <si>
    <t>Iowa State University;Iowa State University</t>
  </si>
  <si>
    <t>10.1109/INFVIS.2000.885091;10.1109/INFVIS.2005.1532128;10.1109/TVCG.2010.186;10.1109/TVCG.2011.185;10.1109/TVCG.2009.128</t>
  </si>
  <si>
    <t>Linewidth illusion, data visualization, high-dimensional displays, parallel sets, hammock plots, Muller-Lyer illusion</t>
  </si>
  <si>
    <t>Creative User-Centered Visualization Design for Energy Analysts and Modelers</t>
  </si>
  <si>
    <t>10.1109/TVCG.2013.145</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</si>
  <si>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</si>
  <si>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Sarah Goodwin;Jason Dykes;Sara Jones;Iain Dillingham;Graham Dove;Alison Duffy;Alexander Kachkaev;Aidan Slingsby;Jo Wood</t>
  </si>
  <si>
    <t>giCentre, City University London;giCentre, City University London;Centre for Creativity in Professional Practice, City University London;giCentre, City University London;Centre for Creativity in Professional Practice, City University London;Centre for Creativity in Professional Practice, City University London;giCentre, City University London;giCentre, City University London;giCentre, City University London</t>
  </si>
  <si>
    <t>10.1109/TVCG.2010.191;10.1109/TVCG.2012.213;10.1109/TVCG.2011.196;10.1109/TVCG.2007.70539;10.1109/INFVIS.1999.801851;10.1109/TVCG.2011.209</t>
  </si>
  <si>
    <t>Creativity techniques, user-centered design, data visualization, smart home, energy consumption</t>
  </si>
  <si>
    <t>DiffAni: Visualizing Dynamic Graphs with a Hybrid of Difference Maps and Animation</t>
  </si>
  <si>
    <t>10.1109/TVCG.2013.149</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</si>
  <si>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</si>
  <si>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Sébastien Rufiange;Michael J. McGuffin</t>
  </si>
  <si>
    <t>école de technologie supérieure;école de technologie supérieure</t>
  </si>
  <si>
    <t>10.1109/VAST.2012.6400552;10.1109/TVCG.2011.169;10.1109/INFVIS.2005.1532151;10.1109/TVCG.2011.226;10.1109/INFVIS.2002.1173155;10.1109/TVCG.2011.213;10.1109/TVCG.2008.141;10.1109/TVCG.2007.70582;10.1109/INFVIS.2002.1173148;10.1109/INFVIS.2005.1532129;10.1109/INFVIS.2002.1173160;10.1109/TVCG.2007.70539</t>
  </si>
  <si>
    <t>Dynamic networks, hybrid visualization, taxonomy, evolution, animation, difference map</t>
  </si>
  <si>
    <t>Dimension Projection Matrix/Tree: Interactive Subspace Visual Exploration and Analysis of High Dimensional Data</t>
  </si>
  <si>
    <t>Seoul Nat. Univ., Seoul, South Korea|c|;;;</t>
  </si>
  <si>
    <t>10.1109/TVCG.2013.150</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</si>
  <si>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</si>
  <si>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Xiaoru Yuan;Donghao Ren;Zuchao Wang;Cong Guo</t>
  </si>
  <si>
    <t>http://dx.doi.org/10.1109/TVCG.2010.176</t>
  </si>
  <si>
    <t>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University;Key Laboratory of Machine Perception (Ministry of Education) and School of EECS, Peking University</t>
  </si>
  <si>
    <t>10.1109/INFVIS.2005.1532142;10.1109/TVCG.2009.179;10.1109/TVCG.2010.138;10.1109/INFVIS.2003.1249015;10.1109/VISUAL.1990.146402;10.1109/VAST.2012.6400488;10.1109/VISUAL.1997.663866;10.1109/VISUAL.1995.485140;10.1109/TVCG.2010.184;10.1109/TVCG.2009.128;10.1109/VAST.2006.261422;10.1109/VISUAL.1999.809866;10.1109/INFVIS.2004.60;10.1109/INFVIS.2004.3;10.1109/INFVIS.2004.71;10.1109/TVCG.2009.153;10.1109/TVCG.2008.153;10.1109/INFVIS.2002.1173151</t>
  </si>
  <si>
    <t>High dimensional data, hierarchical visualization, sub-dimensional space, user interaction, subspace, tree, matrix</t>
  </si>
  <si>
    <t>Edge Compression Techniques for Visualization of Dense Directed Graphs</t>
  </si>
  <si>
    <t>10.1109/TVCG.2013.151</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</si>
  <si>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</si>
  <si>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Tim Dwyer;Nathalie Henry Riche;Kim Marriott;Christopher Mears</t>
  </si>
  <si>
    <t>Monash University;Microsoft Research;Monash University;Monash University</t>
  </si>
  <si>
    <t>10.1109/TVCG.2009.165;10.1109/TVCG.2011.233;10.1109/TVCG.2006.120;10.1109/INFVIS.2004.66</t>
  </si>
  <si>
    <t>Directed graphs, networks, modular decomposition, power graph analysis</t>
  </si>
  <si>
    <t>Empirical Guidance on Scatterplot and Dimension Reduction Technique Choices</t>
  </si>
  <si>
    <t>10.1109/TVCG.2013.153</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</si>
  <si>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</si>
  <si>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Michael Sedlmair;Tamara Munzner;Melanie Tory</t>
  </si>
  <si>
    <t>University of Vienna;University of British Columbia;University of Victoria</t>
  </si>
  <si>
    <t>10.1109/TVCG.2009.127;10.1109/TVCG.2011.229;10.1109/TVCG.2007.70596;10.1109/INFVIS.2005.1532142;10.1109/INFVIS.1997.636793;10.1109/VAST.2010.5652392;10.1109/VAST.2012.6400490;10.1109/TVCG.2008.109;10.1109/VAST.2009.5332628</t>
  </si>
  <si>
    <t>Dimensionality reduction, scatterplots, quantitative study</t>
  </si>
  <si>
    <t>Entourage: Visualizing Relationships between Biological Pathways using Contextual Subsets</t>
  </si>
  <si>
    <t>10.1109/TVCG.2013.154</t>
  </si>
  <si>
    <t>Univ. of North Carolina at Chapel Hill, Chapel Hill, NC, USA|c|;;;</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</si>
  <si>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</si>
  <si>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Alexander Lex;Christian Partl;Denis Kalkofen;Marc Streit;Samuel Gratzl;Anne Mai Wassermann;Dieter Schmalstieg;Hanspeter Pfister</t>
  </si>
  <si>
    <t>Harvard University;Graz University of Technology;Graz University of Technology;Johannes Kepler University Linz;Johannes Kepler University Linz;Novartis Institutes for BioMedical Research;Graz University of Technology;Harvard University</t>
  </si>
  <si>
    <t>10.1109/VAST.2009.5333443;10.1109/TVCG.2011.250;10.1109/TVCG.2011.213;10.1109/TVCG.2009.122;10.1109/TVCG.2011.183;10.1109/INFVIS.2000.885087</t>
  </si>
  <si>
    <t>Pathway visualization, biological networks, subsets, graphs, biomolecular data</t>
  </si>
  <si>
    <t>http://dx.doi.org/10.1109/TVCG.2010.177</t>
  </si>
  <si>
    <t>Evaluation of filesystem Provenance Visualization Tools</t>
  </si>
  <si>
    <t>10.1109/TVCG.2013.155</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</si>
  <si>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</si>
  <si>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Michelle Borkin;Chelsea S. Yeh;Madelaine Boyd;Peter Macko;Krzysztof Z. Gajos;Margo I. Seltzer;Hanspeter Pfister</t>
  </si>
  <si>
    <t>Michelle A. Borkin;Chelsea S. Yeh;Madelaine Boyd;Peter Macko;Krzysztof Z. Gajos;Margo Seltzer;Hanspeter Pfister</t>
  </si>
  <si>
    <t>Harvard University;Harvard University;Harvard University;Harvard University;Harvard University;Harvard University;Harvard University</t>
  </si>
  <si>
    <t>10.1109/TVCG.2006.193;10.1109/INFVIS.2005.1532136;10.1109/TVCG.2006.120;10.1109/TVCG.2009.167;10.1109/INFVIS.2004.66;10.1109/INFVIS.2004.1;10.1109/VISUAL.2005.1532788;10.1109/TVCG.2011.247;10.1109/INFVIS.2005.1532134</t>
  </si>
  <si>
    <t>Provenance data, graph/network data, hierarchy data, quantitative evaluation, gender differences</t>
  </si>
  <si>
    <t>GPLOM: The Generalized Plot Matrix for Visualizing Multidimensional Multivariate Data</t>
  </si>
  <si>
    <t>10.1109/TVCG.2013.160</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</si>
  <si>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</si>
  <si>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Jean-François Im;Michael J. McGuffin;Rock Leung</t>
  </si>
  <si>
    <t>école de technologie supérieure;école de technologie supérieure;SAP, Vancouver</t>
  </si>
  <si>
    <t>10.1109/INFVIS.2005.1532142;10.1109/TVCG.2007.70523;10.1109/TVCG.2009.179;10.1109/VAST.2009.5332586;10.1109/TVCG.2007.70594;10.1109/VISUAL.1990.146386;10.1109/TVCG.2011.185;10.1109/TVCG.2010.205;10.1109/TVCG.2011.183;10.1109/VISUAL.1993.398859;10.1109/TVCG.2011.201;10.1109/TVCG.2010.164;10.1109/INFVIS.2000.885086;10.1109/TVCG.2007.70521;10.1109/INFVIS.2004.15;10.1109/TVCG.2008.153;10.1109/VISUAL.1991.175796</t>
  </si>
  <si>
    <t>Multidimensional data, tabular data, relational data, mdmv, high-dimensional data, database visualization, database overview, parallel coordinates, scatterplot matrix, user interfaces, business intelligence</t>
  </si>
  <si>
    <t>Sch. of Interactive Comput., Georgia Inst. of Technol., Atlanta, GA, USA|c|;</t>
  </si>
  <si>
    <t>Hybrid-Image Visualization for Large Viewing Environments</t>
  </si>
  <si>
    <t>10.1109/TVCG.2013.163</t>
  </si>
  <si>
    <t>http://dx.doi.org/10.1109/TVCG.2010.179</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</si>
  <si>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</si>
  <si>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Petra Isenberg;Pierre Dragicevic;Wesley Willett;Anastasia Bezerianos;Jean-Daniel Fekete</t>
  </si>
  <si>
    <t>INRIA;INRIA;INRIA;LRI (Univ. Paris-Sud &amp;amp; CNRS) &amp;amp; INRIA;INRIA</t>
  </si>
  <si>
    <t>10.1109/TVCG.2012.251;10.1109/TVCG.2012.264;10.1109/TVCG.2006.184;10.1109/TVCG.2007.70582;10.1109/INFVIS.2001.963288;10.1109/TVCG.2007.70583;10.1109/INFVIS.2005.1532131</t>
  </si>
  <si>
    <t>Multi-scale, large displays, hybrid images, collaboration, visualization</t>
  </si>
  <si>
    <t>Information Visualization and Proxemics: Design Opportunities and Empirical findings</t>
  </si>
  <si>
    <t>10.1109/TVCG.2013.166</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</si>
  <si>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</si>
  <si>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Mikkel Rønne Jakobsen;Yonas Sahlemariam Haile;Søren Knudsen;Kasper Hornbæk</t>
  </si>
  <si>
    <t>Mikkel R. Jakobsen;Yonas Sahlemariam Haile;Søren Knudsen;Kasper Hornbæk</t>
  </si>
  <si>
    <t>University of Copenhagen;University of Copenhagen;University of Copenhagen;University of Copenhagen</t>
  </si>
  <si>
    <t>10.1109/TVCG.2006.184;10.1109/TVCG.2012.204;10.1109/TVCG.2012.251;10.1109/TVCG.2007.70577;10.1109/INFVIS.2005.1532136</t>
  </si>
  <si>
    <t>Proxemics, information visualization, user study, large displays, user tracking, movement, orientation, distance</t>
  </si>
  <si>
    <t>Interactive Visualizations on Large and Small Displays: The Interrelation of Display Size, Information Space, and Scale</t>
  </si>
  <si>
    <t>10.1109/TVCG.2013.170</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</si>
  <si>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</si>
  <si>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Stanford Univ., Stanford, CA, USA|c|;</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</si>
  <si>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performance and to discuss differences between the two experimental approaches.</t>
  </si>
  <si>
    <t>Mikkel Rønne Jakobsen;Kasper Hornbæk</t>
  </si>
  <si>
    <t>Mikkel R. Jakobsen;Kasper Hornbæk</t>
  </si>
  <si>
    <t>University of Copenhagen;University of Copenhagen</t>
  </si>
  <si>
    <t>10.1109/TVCG.2006.184;10.1109/TVCG.2006.187</t>
  </si>
  <si>
    <t>Information visualization, multi-scale navigation, interaction techniques, experimental method, user studies</t>
  </si>
  <si>
    <t>http://dx.doi.org/10.1109/TVCG.2010.180</t>
  </si>
  <si>
    <t>LineUp: Visual Analysis of Multi-Attribute Rankings</t>
  </si>
  <si>
    <t>10.1109/TVCG.2013.173</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</si>
  <si>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</si>
  <si>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Samuel Gratzl;Alexander Lex;Nils Gehlenborg;Hanspeter Pfister;Marc Streit</t>
  </si>
  <si>
    <t>Johannes Kepler University Linz;Johannes Kepler University Linz;Harvard University;Harvard University;Harvard Medical School</t>
  </si>
  <si>
    <t>10.1109/TVCG.2012.253;10.1109/TVCG.2008.166;10.1109/VISUAL.1996.568118;10.1109/TVCG.2008.181;10.1109/TVCG.2007.70539</t>
  </si>
  <si>
    <t>Ranking visualization, ranking, scoring, multi-attribute, multifactorial, multi-faceted, stacked bar charts</t>
  </si>
  <si>
    <t>Nanocubes for Real-Time Exploration of Spatiotemporal Datasets</t>
  </si>
  <si>
    <t>10.1109/TVCG.2013.179</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</si>
  <si>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</si>
  <si>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Lauro Didier Lins;James T. Klosowski;Carlos Eduardo Scheidegger</t>
  </si>
  <si>
    <t>Tech. Univ. Eindhoven, Eindhoven, Netherlands|c|;</t>
  </si>
  <si>
    <t>Lauro Lins;James T. Klosowski;Carlos Scheidegger</t>
  </si>
  <si>
    <t>AT&amp;amp;T Research;AT&amp;amp;T Research;AT&amp;amp;T Research</t>
  </si>
  <si>
    <t>10.1109/TVCG.2006.161;10.1109/INFVIS.2002.1173141;10.1109/TVCG.2009.191;10.1109/VAST.2008.4677357;10.1109/TVCG.2007.70594;10.1109/INFVIS.2002.1173156;10.1109/VISUAL.1990.146386;10.1109/TVCG.2011.185</t>
  </si>
  <si>
    <t>Data cube, Data structures, Interactive exploration</t>
  </si>
  <si>
    <t>Orthographic Star Coordinates</t>
  </si>
  <si>
    <t>http://dx.doi.org/10.1109/TVCG.2010.181</t>
  </si>
  <si>
    <t>10.1109/TVCG.2013.182</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</si>
  <si>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</si>
  <si>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Start plot, multivariate visualization, visual analytics</t>
  </si>
  <si>
    <t>Perception of Average Value in Multiclass Scatterplots</t>
  </si>
  <si>
    <t>10.1109/TVCG.2013.183</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</si>
  <si>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</si>
  <si>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Michael Gleicher;Michael Correll;Christine Nothelfer;Steven Franconeri</t>
  </si>
  <si>
    <t>University of Wisconsin - Madison;University of Wisconsin - Madison;Northwestern University;Northwestern University</t>
  </si>
  <si>
    <t>Psychophysics, Information Visualization, Perceptual Study</t>
  </si>
  <si>
    <t>Radial Sets: Interactive Visual Analysis of Large Overlapping Sets</t>
  </si>
  <si>
    <t>10.1109/TVCG.2013.184</t>
  </si>
  <si>
    <t>http://dx.doi.org/10.1109/TVCG.2010.182</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</si>
  <si>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</si>
  <si>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Bilal Alsallakh;Wolfgang Aigner;Silvia Miksch;Helwig Hauser</t>
  </si>
  <si>
    <t>Vienna University of Technology;Vienna University of Technology;Vienna University of Technology;University of Bergen</t>
  </si>
  <si>
    <t>10.1109/TVCG.2006.160;10.1109/TVCG.2009.122;10.1109/TVCG.2008.144;10.1109/TVCG.2011.186;10.1109/INFVIS.2004.1;10.1109/TVCG.2010.210;10.1109/TVCG.2012.254;10.1109/INFVIS.2002.1173157</t>
  </si>
  <si>
    <t>Multi-valued attributes, set-typed data, overlapping sets, visualization technique, scalability</t>
  </si>
  <si>
    <t>Selecting the Aspect Ratio of a Scatter Plot Based on Its Delaunay Triangulation</t>
  </si>
  <si>
    <t>10.1109/TVCG.2013.187</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</si>
  <si>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</si>
  <si>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Martin Fink 0001;Jan-Henrik Haunert;Joachim Spoerhase;Alexander Wolff</t>
  </si>
  <si>
    <t>Martin Fink;Jan-Henrik Haunert;Joachim Spoerhase;Alexander Wolff</t>
  </si>
  <si>
    <t>Lehrstuhl I, Institut f&amp;#x00FC;r Informatik, Universit&amp;#x00C2;&amp;#x00A8;at W&amp;#x00FC;rzburg;Lehrstuhl I, Institut f&amp;#x00FC;r Informatik, Universit&amp;#x00C2;&amp;#x00A8;at W&amp;#x00FC;rzburg;Lehrstuhl I, Institut f&amp;#x00FC;r Informatik, Universit&amp;#x00C2;&amp;#x00A8;at W&amp;#x00FC;rzburg;Lehrstuhl I, Institut f&amp;#x00FC;r Informatik, Universit&amp;#x00C2;&amp;#x00A8;at W&amp;#x00FC;rzburg</t>
  </si>
  <si>
    <t>10.1109/TVCG.2006.163;10.1109/TVCG.2012.196;10.1109/TVCG.2011.167</t>
  </si>
  <si>
    <t>Scatter plot, aspect ratio, Delaunay triangulation</t>
  </si>
  <si>
    <t>SketchStory: Telling More Engaging Stories with Data through Freeform Sketching</t>
  </si>
  <si>
    <t>10.1109/TVCG.2013.191</t>
  </si>
  <si>
    <t>A (3D) scalar grid is a regular n1 �� n2 �� n3 grid of vertices where each vertex v is associated with some scalar value sv. Applying trilinear interpolation, the scalar grid determines a scalar function g where g(v) = sv for each grid vertex v. An isosurface with isovalue �� is a triangular mesh which approximates the level set g-1 (��).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</si>
  <si>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Comput. &amp; Inf. Sci. Dept., Ohio State Univ., Columbus, OH, USA|c|;</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</si>
  <si>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</si>
  <si>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Bongshin Lee;Rubaiat Habib Kazi;Greg Smith</t>
  </si>
  <si>
    <t>Microsoft Research;National University of Singapore;Microsoft Research</t>
  </si>
  <si>
    <t>10.1109/TVCG.2007.70577;10.1109/TVCG.2012.262;10.1109/TVCG.2010.179;10.1109/TVCG.2012.275;10.1109/TVCG.2008.137;10.1109/VAST.2007.4388992</t>
  </si>
  <si>
    <t>Storytelling, data presentation, sketch, pen and touch, interaction, visualization</t>
  </si>
  <si>
    <t>http://dx.doi.org/10.1109/TVCG.2010.183</t>
  </si>
  <si>
    <t>SoccerStories: A Kick-off for Visual Soccer Analysis</t>
  </si>
  <si>
    <t>10.1109/TVCG.2013.192</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</si>
  <si>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</si>
  <si>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Charles Perin;Romain Vuillemot;Jean-Daniel Fekete</t>
  </si>
  <si>
    <t>INRIA and Universite Paris-Sud;INRIA;INRIA</t>
  </si>
  <si>
    <t>10.1109/TVCG.2007.70582;10.1109/TVCG.2011.169;10.1109/TVCG.2011.185;10.1109/TVCG.2012.263</t>
  </si>
  <si>
    <t>Visual knowledge discovery, visual knowledge representation, sport analytics, visual aggregation</t>
  </si>
  <si>
    <t>StoryFlow: Tracking the Evolution of Stories</t>
  </si>
  <si>
    <t>10.1109/TVCG.2013.196</t>
  </si>
  <si>
    <t>Dept. of Comput. Sci. &amp; Eng., Hong Kong Univ. of Sci. &amp; Technol., Kowloon, China|c|;;;;;;</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</si>
  <si>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</si>
  <si>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http://dx.doi.org/10.1109/TVCG.2010.184</t>
  </si>
  <si>
    <t>Shixia Liu;Yingcai Wu;Enxun Wei;Mengchen Liu;Yang Liu 0014</t>
  </si>
  <si>
    <t>Shixia Liu;Yingcai Wu;Enxun Wei;Mengchen Liu;Yang Liu</t>
  </si>
  <si>
    <t>Microsoft Research Asia;Microsoft Research Asia;Shanghai Jiao Tong University;Tsinghua University;Microsoft Research Asia</t>
  </si>
  <si>
    <t>10.1109/TVCG.2012.253;10.1109/TVCG.2011.255;10.1109/TVCG.2010.179;10.1109/TVCG.2011.226;10.1109/VAST.2008.4677364;10.1109/TVCG.2012.212;10.1109/TVCG.2013.221;10.1109/TVCG.2012.225;10.1109/VAST.2006.261421;10.1109/VAST.2009.5333437;10.1109/TVCG.2011.239</t>
  </si>
  <si>
    <t>Storylines, story-telling visualization, user interactions, level-of-detail, optimization</t>
  </si>
  <si>
    <t>Understanding Interfirm Relationships in Business Ecosystems with Interactive Visualization</t>
  </si>
  <si>
    <t>10.1109/TVCG.2013.209</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</si>
  <si>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</si>
  <si>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Rahul C. Basole;Trustin Clear;Mengdie Hu;Harshit Mehrotra;John T. Stasko</t>
  </si>
  <si>
    <t>Rahul C. Basole;Trustin Clear;Mengdie Hu;Harshit Mehrotra;John Stasko</t>
  </si>
  <si>
    <t>Georgia Tech;Georgia Tech;Georgia Tech;Georgia Tech;Georgia Tech</t>
  </si>
  <si>
    <t>10.1109/TVCG.2006.160;10.1109/INFVIS.2005.1532134;10.1109/INFVIS.2003.1249027;10.1109/INFVIS.2005.1532126;10.1109/TVCG.2012.213;10.1109/TVCG.2006.122;10.1109/VAST.2010.5652530;10.1109/TVCG.2006.166</t>
  </si>
  <si>
    <t>Business ecosystems, market research, strategic analysis, design study, interaction, network visualization</t>
  </si>
  <si>
    <t>Using Concrete Scales: A Practical Framework for Effective Visual Depiction of Complex Measures</t>
  </si>
  <si>
    <t>10.1109/TVCG.2013.210</t>
  </si>
  <si>
    <t>Univ. of North Carolina at Charlotte, Charlotte, NC, USA|c|;</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</si>
  <si>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</si>
  <si>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Fanny Chevalier;Romain Vuillemot;Guia Gali</t>
  </si>
  <si>
    <t>University of Toronto &amp;amp; OCAD University;INRIA;independant graphic designer and researcher</t>
  </si>
  <si>
    <t>http://dx.doi.org/10.1109/TVCG.2010.185</t>
  </si>
  <si>
    <t>Concrete scale, scale cognition, visual comparison, graphic composition, visual notation</t>
  </si>
  <si>
    <t>Variant View: Visualizing Sequence Variants in their Gene Context</t>
  </si>
  <si>
    <t>10.1109/TVCG.2013.214</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</si>
  <si>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</si>
  <si>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Joel A. Ferstay;Cydney B. Nielsen;Tamara Munzner</t>
  </si>
  <si>
    <t>University of British Columbia;University of British Columbia;University of British Columbia</t>
  </si>
  <si>
    <t>10.1109/TVCG.2009.111;10.1109/TVCG.2008.109;10.1109/TVCG.2012.213;10.1109/TVCG.2011.185;10.1109/INFVIS.2003.1249023;10.1109/TVCG.2009.116;10.1109/TVCG.2009.167;10.1109/TVCG.2011.209</t>
  </si>
  <si>
    <t>Information visualization, design study, bioinformatics, genetic variants</t>
  </si>
  <si>
    <t>Visual Compression of Workflow Visualizations with Automated Detection of Macro Motifs</t>
  </si>
  <si>
    <t>10.1109/TVCG.2013.225</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</si>
  <si>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</si>
  <si>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10.1109/TVCG.2007.70584;10.1109/INFVIS.2004.12;10.1109/TVCG.2006.147;10.1109/TVCG.2009.195;10.1109/TVCG.2012.271;10.1109/VISUAL.1996.567752;10.1109/TVCG.2008.174;10.1109/TVCG.2006.166</t>
  </si>
  <si>
    <t>Workflow visualization, motif detection, glyph-based visualization, glyph generation, state-transition-based algorithm</t>
  </si>
  <si>
    <t>Claurissa Tuttle;Luis Gustavo Nonato;Cl��udio T. Silva</t>
  </si>
  <si>
    <t>Univ. of Utah, Salt Lake City, UT, USA|c|;;</t>
  </si>
  <si>
    <t>Visual Sedimentation</t>
  </si>
  <si>
    <t>10.1109/TVCG.2013.227</t>
  </si>
  <si>
    <t>http://dx.doi.org/10.1109/TVCG.2010.186</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</si>
  <si>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</si>
  <si>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Samuel Huron;Romain Vuillemot;Jean-Daniel Fekete</t>
  </si>
  <si>
    <t>10.1109/VAST.2012.6400552;10.1109/TVCG.2012.291;10.1109/TVCG.2011.179;10.1109/INFVIS.2003.1249014;10.1109/TVCG.2011.185;10.1109/TVCG.2008.166;10.1109/TVCG.2008.171;10.1109/INFVIS.2004.65;10.1109/TVCG.2007.70539</t>
  </si>
  <si>
    <t>Design, Information Visualization, Dynamic visualization, Dynamic data, Data stream, Real time, Metaphor</t>
  </si>
  <si>
    <t>Visualization of Shape Motions in Shape Space</t>
  </si>
  <si>
    <t>10.1109/TVCG.2013.230</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</si>
  <si>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</si>
  <si>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Vahid Taimouri;Jing Hua</t>
  </si>
  <si>
    <t>Wayne State University and Children’s Hospital Boston, Harvard Medical School;Wayne State University</t>
  </si>
  <si>
    <t>10.1109/TVCG.2006.137;10.1109/INFVIS.2003.1249025;10.1109/TVCG.2009.159;10.1109/INFVIS.2004.65</t>
  </si>
  <si>
    <t>Medial surface, shape space, comparative visualization, left ventricle diagnosis</t>
  </si>
  <si>
    <t>Visualizing Change over Time Using Dynamic Hierarchies: TreeVersity2 and the StemView</t>
  </si>
  <si>
    <t>10.1109/TVCG.2013.231</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</si>
  <si>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</si>
  <si>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John Alexis Guerra Gómez;Michael L. Pack;Catherine Plaisant;Ben Shneiderman</t>
  </si>
  <si>
    <t>JohnAlexis Guerra-Gómez;Michael L. Pack;Catherine Plaisant;Ben Shneiderman</t>
  </si>
  <si>
    <t>University of Maryland;University of Maryland;University of Maryland;University of Maryland</t>
  </si>
  <si>
    <t>10.1109/VAST.2011.6102439;10.1109/TVCG.2006.147;10.1109/TVCG.2011.185;10.1109/VISUAL.1991.175815;10.1109/TVCG.2007.70556;10.1109/INFVIS.2002.1173150;10.1109/VAST.2006.261450;10.1109/INFVIS.2002.1173148;10.1109/INFVIS.2003.1249026;10.1109/TVCG.2007.70529</t>
  </si>
  <si>
    <t>Information visualization, Tree comparison</t>
  </si>
  <si>
    <t>Visualizing Fuzzy Overlapping Communities in Networks</t>
  </si>
  <si>
    <t>10.1109/TVCG.2013.232</t>
  </si>
  <si>
    <t>Univ. of California, Berkeley, Berkeley, CA, USA|c|;;</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</si>
  <si>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</si>
  <si>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Corinna Vehlow;Thomas Reinhardt;Daniel Weiskopf</t>
  </si>
  <si>
    <t>VISUS, University of Stuttgart;University of Stuttgart;VISUS, University of Stuttgart</t>
  </si>
  <si>
    <t>http://dx.doi.org/10.1109/TVCG.2010.187</t>
  </si>
  <si>
    <t>10.1109/VISUAL.1993.398872;10.1109/INFVIS.2005.1532126;10.1109/TVCG.2011.186;10.1109/TVCG.2010.210;10.1109/TVCG.2009.122;10.1109/INFVIS.2004.43;10.1109/TVCG.2009.113</t>
  </si>
  <si>
    <t>Overlapping community visualization, fuzzy clustering, graph visualization, uncertainty visualization</t>
  </si>
  <si>
    <t>Visualizing Request-Flow Comparison to Aid Performance Diagnosis in Distributed Systems</t>
  </si>
  <si>
    <t>10.1109/TVCG.2013.233</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</si>
  <si>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</si>
  <si>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Raja R. Sambasivan;Ilari Shafer;Michelle L. Mazurek;Gregory R. Ganger</t>
  </si>
  <si>
    <t>Carnegie Mellon University;Carnegie Mellon University;Carnegie Mellon University;Carnegie Mellon University</t>
  </si>
  <si>
    <t>10.1109/VAST.2010.5652910;10.1109/TVCG.2008.125;10.1109/TVCG.2007.70539;10.1109/VAST.2011.6102442</t>
  </si>
  <si>
    <t>Distributed systems, human factors, problem diagnosis, visualization</t>
  </si>
  <si>
    <t>What Makes a Visualization Memorable?</t>
  </si>
  <si>
    <t>10.1109/TVCG.2013.234</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</si>
  <si>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</si>
  <si>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Michelle Borkin;Azalea A. Vo;Zoya Bylinskii;Phillip Isola;Shashank Sunkavalli;Aude Oliva;Hanspeter Pfister</t>
  </si>
  <si>
    <t>Michelle A. Borkin;Azalea A. Vo;Zoya Bylinskii;Phillip Isola;Shashank Sunkavalli;Aude Oliva;Hanspeter Pfister</t>
  </si>
  <si>
    <t>Harvard University;Harvard University;Massachusetts Institute of Technology;Massachusetts Institute of Technology;Harvard University;Massachusetts Institute of Technology;Harvard University</t>
  </si>
  <si>
    <t>10.1109/TVCG.2012.221;10.1109/INFVIS.2004.59;10.1109/TVCG.2012.197;10.1109/TVCG.2012.245;10.1109/TVCG.2011.175</t>
  </si>
  <si>
    <t>Visualization taxonomy, information visualization, memorability</t>
  </si>
  <si>
    <t>A Lightweight Tangible 3D Interface for Interactive Visualization of Thin fiber Structures</t>
  </si>
  <si>
    <t>10.1109/TVCG.2013.121</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</si>
  <si>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</si>
  <si>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Bret Jackson;Tung Yuen Lau;David Schroeder;Kimani C. Toussaint;Daniel F. Keefe</t>
  </si>
  <si>
    <t>University of Minnesota;University of Illinois Urbana-Champaign;University of Minnesota;University of Illinois Urbana-Champaign;University of Minnesota</t>
  </si>
  <si>
    <t>10.1109/TVCG.2009.138;10.1109/VISUAL.2005.1532846;10.1109/VISUAL.2002.1183753;10.1109/VISUAL.1997.663912</t>
  </si>
  <si>
    <t>Scientific visualization, 3D interaction, tangible interaction, microscopy visualization</t>
  </si>
  <si>
    <t>A Multi-Criteria Approach to Camera Motion Design for Volume Data Animation</t>
  </si>
  <si>
    <t>10.1109/TVCG.2013.123</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</si>
  <si>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</si>
  <si>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Wei-Hsien Hsu;Yubo Zhang;Kwan-Liu Ma</t>
  </si>
  <si>
    <t>10.1109/TVCG.2006.152;10.1109/TVCG.2006.140;10.1109/TVCG.2009.189;10.1109/INFVIS.2003.1249004;10.1109/VISUAL.2005.1532834;10.1109/TVCG.2012.292;10.1109/VISUAL.2005.1532787;10.1109/VISUAL.2005.1532833;10.1109/VISUAL.2001.964517</t>
  </si>
  <si>
    <t>Camera motion planning, volume rendering, visualization, animation</t>
  </si>
  <si>
    <t>A Systematic Review on the Practice of Evaluating Visualization</t>
  </si>
  <si>
    <t>10.1109/TVCG.2013.126</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</si>
  <si>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</si>
  <si>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Tobias Isenberg 0001;Petra Isenberg;Jian Chen;Michael Sedlmair;Torsten Möller</t>
  </si>
  <si>
    <t>Tobias Isenberg;Petra Isenberg;Jian Chen;Michael Sedlmair;Torsten Möller</t>
  </si>
  <si>
    <t>INRIA;INRIA;University of Maryland;University of Vienna;University of Vienna</t>
  </si>
  <si>
    <t>10.1109/TVCG.2009.121;10.1109/VISUAL.2005.1532781;10.1109/TVCG.2006.143;10.1109/TVCG.2011.224;10.1109/TVCG.2010.199;10.1109/TVCG.2010.223;10.1109/TVCG.2012.213;10.1109/TVCG.2010.134;10.1109/TVCG.2009.194;10.1109/TVCG.2011.174;10.1109/TVCG.2009.111;10.1109/TVCG.2011.206;10.1109/TVCG.2012.234;10.1109/TVCG.2012.292;10.1109/TVCG.2008.128;10.1109/TVCG.2009.167;10.1109/TVCG.2012.223</t>
  </si>
  <si>
    <t>Evaluation, validation, systematic review, visualization, scientific visualization, information visualization</t>
  </si>
  <si>
    <t>Acuity-Driven Gigapixel Visualization</t>
  </si>
  <si>
    <t>10.1109/TVCG.2013.127</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</si>
  <si>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</si>
  <si>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Charilaos Papadopoulos;Arie E. Kaufman</t>
  </si>
  <si>
    <t>10.1109/TVCG.2011.231;10.1109/INFVIS.2004.66</t>
  </si>
  <si>
    <t>Gigapixel visualization, visual acuity, focus and context, Reality Deck, gigapixel display</t>
  </si>
  <si>
    <t>Adaptive Refinement of the Flow Map Using Sparse Samples</t>
  </si>
  <si>
    <t>10.1109/TVCG.2013.128</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</si>
  <si>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</si>
  <si>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Samer S. Barakat;Xavier Tricoche</t>
  </si>
  <si>
    <t>Purdue University;Purdue University</t>
  </si>
  <si>
    <t>10.1109/TVCG.2009.190;10.1109/TVCG.2008.133;10.1109/TVCG.2007.70554;10.1109/TVCG.2007.70551</t>
  </si>
  <si>
    <t>Lagrangian flow visualization, flow map, edge features, scattered data interpolation, sparse sampling, adaptive refinement, parallel reconstruction</t>
  </si>
  <si>
    <t>Ambient Volume Scattering</t>
  </si>
  <si>
    <t>10.1109/TVCG.2013.129</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</si>
  <si>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</si>
  <si>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Marco Ament;Filip Sadlo;Daniel Weiskopf</t>
  </si>
  <si>
    <t>VISUS, University of Stuttgart;VISUS, University of Stuttgart;VISUS, University of Stuttgart</t>
  </si>
  <si>
    <t>10.1109/TVCG.2011.211;10.1109/TVCG.2007.70555;10.1109/VISUAL.2003.1250394;10.1109/VISUAL.2000.885683;10.1109/TVCG.2010.187;10.1109/VISUAL.2004.64;10.1109/VISUAL.2003.1250406;10.1109/TVCG.2010.145;10.1109/TVCG.2012.232;10.1109/TVCG.2011.161;10.1109/TVCG.2011.198;10.1109/VISUAL.2002.1183764;10.1109/VISUAL.2005.1532803;10.1109/TVCG.2009.204</t>
  </si>
  <si>
    <t>Direct volume rendering, volume illumination, ambient scattering, preintegrated light transport, gradient-free shading</t>
  </si>
  <si>
    <t>An Exploration Framework to Identify and Track Movement of Cloud Systems</t>
  </si>
  <si>
    <t>10.1109/TVCG.2013.131</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</si>
  <si>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</si>
  <si>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Harish Doraiswamy;Vijay Natarajan;Ravi S. Nanjundiah</t>
  </si>
  <si>
    <t>Polytechnic Institute of New York University;Indian Institute of Science;Indian Institute of Science</t>
  </si>
  <si>
    <t>10.1109/TVCG.2007.70519;10.1109/TVCG.2006.186;10.1109/VISUAL.2003.1250383</t>
  </si>
  <si>
    <t>Cloud clusters, tracking, computational topology, split tree, weather and climate simulations</t>
  </si>
  <si>
    <t>An Information-Aware Framework for Exploring Multivariate Data Sets</t>
  </si>
  <si>
    <t>10.1109/TVCG.2013.133</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</si>
  <si>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</si>
  <si>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Ayan Biswas;Soumya Dutta;Han-Wei Shen;Jonathan Woodring</t>
  </si>
  <si>
    <t>The Ohio State University;The Ohio State University;The Ohio State University;Los Alamos National Laboratory</t>
  </si>
  <si>
    <t>10.1109/TVCG.2010.132;10.1109/TVCG.2009.120;10.1109/VISUAL.1990.146402;10.1109/TVCG.2010.131;10.1109/TVCG.2006.152;10.1109/TVCG.2008.116;10.1109/TVCG.2010.184;10.1109/INFVIS.2004.15;10.1109/TVCG.2008.160;10.1109/TVCG.2008.140;10.1109/VAST.2007.4389000;10.1109/TVCG.2011.201;10.1109/VISUAL.1995.485139;10.1109/VISUAL.2005.1532833;10.1109/TVCG.2010.182;10.1109/VISUAL.1997.663875;10.1109/VISUAL.2002.1183785</t>
  </si>
  <si>
    <t>Information theory, framework, isosurface, multivariate uncertainty</t>
  </si>
  <si>
    <t>Area-Preservation Mapping using Optimal Mass Transport</t>
  </si>
  <si>
    <t>10.1109/TVCG.2013.135</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</si>
  <si>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O(n&amp;lt;sup&amp;gt;2&amp;lt;/sup&amp;gt;)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</si>
  <si>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Xin Zhao;Zhengyu Su;Xianfeng Gu;Arie E. Kaufman;Jian Sun;Jie Gao;Feng Luo 0002</t>
  </si>
  <si>
    <t>Xin Zhao;Zhengyu Su;Xianfeng David Gu;Arie Kaufman;Jian Sun;Jie Gao;Feng Luo</t>
  </si>
  <si>
    <t>Stony Brook University;Stony Brook University;Stony Brook University;Stony Brook University;Tsinghua University;Stony Brook University;Rutgers University</t>
  </si>
  <si>
    <t>Area-preservation mapping, surface flattening, optimal transport map, Monge-Brenier theory, visualization and graphics applications</t>
  </si>
  <si>
    <t>Characterizing and Visualizing Predictive Uncertainty in Numerical Ensembles Through Bayesian Model Averaging</t>
  </si>
  <si>
    <t>10.1109/TVCG.2013.138</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</si>
  <si>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</si>
  <si>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Luke J. Gosink;Kevin Bensema;Trenton Pulsipher;Harald Obermaier;Michael Henry;Hank Childs;Kenneth I. Joy</t>
  </si>
  <si>
    <t>Luke Gosink;Kevin Bensema;Trenton Pulsipher;Harald Obermaier;Michael Henry;Hank Childs;Kenneth I. Joy</t>
  </si>
  <si>
    <t>Pacific Northwest National Laboratory;University of California at Davis;Pacific Northwest National Laboratory;University of California at Davis;Pacific Northwest National Laboratory;University of Oregon;University of California at Davis</t>
  </si>
  <si>
    <t>10.1109/VISUAL.2002.1183769;10.1109/VISUAL.2005.1532853;10.1109/VISUAL.1996.568116;10.1109/TVCG.2010.208;10.1109/TVCG.2010.181</t>
  </si>
  <si>
    <t>Uncertainty visualization, numerical ensembles, statistical visualization</t>
  </si>
  <si>
    <t>Colon Flattening Using Heat Diffusion Riemannian Metric</t>
  </si>
  <si>
    <t>10.1109/TVCG.2013.139</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</si>
  <si>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</si>
  <si>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Krishna Chaitanya Gurijala;Rui Shi;Wei Zeng;Xianfeng Gu;Arie E. Kaufman</t>
  </si>
  <si>
    <t>Krishna Chaitanya Gurijala;Rui Shi;Wei Zeng;Xianfeng Gu;Arie Kaufman</t>
  </si>
  <si>
    <t>Stony Brook University;Stony Brook University;Florida International University;Stony Brook University;Stony Brook University</t>
  </si>
  <si>
    <t>10.1109/VISUAL.2001.964540;10.1109/TVCG.2006.112;10.1109/VISUAL.2001.964540;10.1109/TVCG.2010.200</t>
  </si>
  <si>
    <t>Colon flattening, heat diffusion, virtual colonoscopy, volume rendering, topological noise, shape-preserving mapping</t>
  </si>
  <si>
    <t>Comparative Visual Analysis of Lagrangian Transport in CFD Ensembles</t>
  </si>
  <si>
    <t>10.1109/TVCG.2013.141</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</si>
  <si>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</si>
  <si>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Mathias Hummel;Harald Obermaier;Christoph Garth;Kenneth I. Joy</t>
  </si>
  <si>
    <t>University of Kaiserslautern;University of California, Davis;University of Kaiserslautern;University of California, Davis</t>
  </si>
  <si>
    <t>10.1109/TVCG.2011.203;10.1109/VISUAL.1996.568116;10.1109/TVCG.2010.190;10.1109/TVCG.2010.181;10.1109/TVCG.2007.70551</t>
  </si>
  <si>
    <t>Ensemble, flow field, time-varying, comparison, visualization, Lagrangian, variance, principal components analysis</t>
  </si>
  <si>
    <t>ConnectomeExplorer: Query-Guided Visual Analysis of Large Volumetric Neuroscience Data</t>
  </si>
  <si>
    <t>10.1109/TVCG.2013.142</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</si>
  <si>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</si>
  <si>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Johanna Beyer;Ali K. Al-Awami;Narayanan Kasthuri;Jeff Lichtman;Hanspeter Pfister;Markus Hadwiger</t>
  </si>
  <si>
    <t>Johanna Beyer;Ali Al-Awami;Narayanan Kasthuri;Jeff W. Lichtman;Hanspeter Pfister;Markus Hadwiger</t>
  </si>
  <si>
    <t>King Abdullah University of Science and Technology;King Abdullah University of Science and Technology;Center for Brain Science at Harvard University;Center for Brain Science at Harvard University;School of Engineering and Applied Sciences at Harvard University;King Abdullah University of Science and Technology</t>
  </si>
  <si>
    <t>10.1109/INFVIS.2000.885086;10.1109/VISUAL.2005.1532792;10.1109/TVCG.2009.178;10.1109/TVCG.2012.240;10.1109/TVCG.2006.195;10.1109/VISUAL.1995.485139;10.1109/TVCG.2007.70560;10.1109/TVCG.2009.118;10.1109/TVCG.2009.121</t>
  </si>
  <si>
    <t>Connectomics, neuroscience, query algebra, visual knowledge discovery, petascale volume analysis</t>
  </si>
  <si>
    <t>Contour Boxplots: A Method for Characterizing Uncertainty in Feature Sets from Simulation Ensembles</t>
  </si>
  <si>
    <t>10.1109/TVCG.2013.143</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</si>
  <si>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</si>
  <si>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Ross T. Whitaker;Mahsa Mirzargar;Robert Michael Kirby</t>
  </si>
  <si>
    <t>Ross T. Whitaker;Mahsa Mirzargar;Robert M. Kirby</t>
  </si>
  <si>
    <t>SCI Institute, University of Utah;University of Florida;University of Utah</t>
  </si>
  <si>
    <t>10.1109/VISUAL.2002.1183769;10.1109/VISUAL.1996.568105;10.1109/VISUAL.2005.1532807;10.1109/TVCG.2010.181</t>
  </si>
  <si>
    <t>Uncertainty visualization, boxplots, band depth, ensemble visualization, order statistics</t>
  </si>
  <si>
    <t>Coupled Ensemble Flow Line Advection and Analysis</t>
  </si>
  <si>
    <t>10.1109/TVCG.2013.144</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</si>
  <si>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</si>
  <si>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Hanqi Guo;Xiaoru Yuan;Jian Huang 0007;Xiaomin Zhu</t>
  </si>
  <si>
    <t>Hanqi Guo;Xiaoru Yuan;Jian Huang;Xiaomin Zhu</t>
  </si>
  <si>
    <t>Key Laboratory of Machine Perception (Ministry of Education), School of EECS, and Center for Computational Science and Engineering, Peking University;Key Laboratory of Machine Perception (Ministry of Education), School of EECS, and Center for Computational Science and Engineering, Peking University;University of Tennessee;National Super Computing Center in Jinan, Shandong, China</t>
  </si>
  <si>
    <t>10.1109/VISUAL.2005.1532853;10.1109/TVCG.2011.219;10.1109/TVCG.2011.203;10.1109/TVCG.2006.116;10.1109/TVCG.2010.190;10.1109/TVCG.2010.181;10.1109/VISUAL.1996.568116;10.1109/TVCG.2007.70551</t>
  </si>
  <si>
    <t>Ensemble analysis, parallel processing, field line advection</t>
  </si>
  <si>
    <t>Design by Dragging: An Interface for Creative Forward and Inverse Design with Simulation Ensembles</t>
  </si>
  <si>
    <t>10.1109/TVCG.2013.147</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</si>
  <si>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</si>
  <si>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Dane M. Coffey;Chi-Lun Lin;Arthur G. Erdman;Daniel F. Keefe</t>
  </si>
  <si>
    <t>Dane Coffey;Chi-Lun Lin;Arthur G. Erdman;Daniel F. Keefe</t>
  </si>
  <si>
    <t>10.1109/TVCG.2012.261;10.1109/TVCG.2010.223;10.1109/TVCG.2010.190;10.1109/TVCG.2011.248;10.1109/VISUAL.2000.885734;10.1109/TVCG.2010.171;10.1109/TVCG.2007.70581</t>
  </si>
  <si>
    <t>Design, simulation, direct manipulation, multi-touch</t>
  </si>
  <si>
    <t>Detecting Symmetry in Scalar fields Using Augmented Extremum Graphs</t>
  </si>
  <si>
    <t>10.1109/TVCG.2013.148</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</si>
  <si>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</si>
  <si>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Indian Institute of Science;Indian Institute of Science</t>
  </si>
  <si>
    <t>10.1109/VISUAL.2004.68;10.1109/TVCG.2009.120;10.1109/TVCG.2011.236;10.1109/TVCG.2008.143;10.1109/TVCG.2011.244;10.1109/TVCG.2007.70603;10.1109/TVCG.2012.200;10.1109/TVCG.2006.186</t>
  </si>
  <si>
    <t>Scalar field visualization, extremum graph, Morse decomposition, symmetry detection, data exploration</t>
  </si>
  <si>
    <t>Efficient Local Statistical Analysis via Integral Histograms with Discrete Wavelet Transform</t>
  </si>
  <si>
    <t>10.1109/TVCG.2013.152</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</si>
  <si>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</si>
  <si>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10.1109/VISUAL.1999.809910;10.1109/TVCG.2010.131;10.1109/TVCG.2011.246;10.1109/VISUAL.2001.964516;10.1109/TVCG.2011.198;10.1109/TVCG.2009.197</t>
  </si>
  <si>
    <t>WaveletSAT, integral histograms, discrete wavelet transform</t>
  </si>
  <si>
    <t>Evaluation of Static and Dynamic Visualization Training Approaches for Users with Different Spatial Abilities</t>
  </si>
  <si>
    <t>10.1109/TVCG.2013.156</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</si>
  <si>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</si>
  <si>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Maria-Elena Froese;Melanie Tory;Guy-Warwick Evans;Kedar Shrikhande</t>
  </si>
  <si>
    <t>University of Victoria;University of Victoria;University of Victoria;University of Victoria</t>
  </si>
  <si>
    <t>10.1109/VISUAL.2005.1532836;10.1109/VISUAL.2003.1250396</t>
  </si>
  <si>
    <t>Spatial ability, 3D visualization, training, evaluation, orthographic projection, CAD</t>
  </si>
  <si>
    <t>Fast Blending Scheme for Molecular Surface Representation</t>
  </si>
  <si>
    <t>10.1109/TVCG.2013.158</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</si>
  <si>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</si>
  <si>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Július Parulek;Andrea Brambilla</t>
  </si>
  <si>
    <t>Julius Parulek;Andrea Brambilla</t>
  </si>
  <si>
    <t>10.1109/TVCG.2009.157;10.1109/VISUAL.2003.1250414;10.1109/TVCG.2006.115</t>
  </si>
  <si>
    <t>Molecular visualization, geometry-based techniques, implicit surfaces</t>
  </si>
  <si>
    <t>Fast Generation of Virtual X-ray Images for Reconstruction of 3D Anatomy</t>
  </si>
  <si>
    <t>10.1109/TVCG.2013.159</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</si>
  <si>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</si>
  <si>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Moritz Ehlke;Heiko Ramm;Hans Lamecker;Hans-Christian Hege;Stefan Zachow</t>
  </si>
  <si>
    <t>Zuse Institut Berlin (ZIB);Zuse Institut Berlin (ZIB);Zuse Institut Berlin (ZIB);Zuse Institut Berlin (ZIB);Zuse Institut Berlin (ZIB)</t>
  </si>
  <si>
    <t>10.1109/VISUAL.2005.1532809;10.1109/VISUAL.2005.1532815;10.1109/TVCG.2006.110;10.1109/VISUAL.2003.1250384</t>
  </si>
  <si>
    <t>Digitally reconstructed radiographs, volume rendering, mesh deformation, statistical shape and intensity models, image registration, GPU acceleration</t>
  </si>
  <si>
    <t>GRACE: A Visual Comparison Framework for Integrated Spatial and Non-Spatial Geriatric Data</t>
  </si>
  <si>
    <t>10.1109/TVCG.2013.161</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</si>
  <si>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</si>
  <si>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Adrian Maries;Nathan Mays;MeganOlson Hunt;Kim F. Wong;William J. Layton;Robert Boudreau;Caterina Rosano;G. Elisabeta Marai</t>
  </si>
  <si>
    <t>Adrian Maries;Nathan Mays;MeganOlson Hunt;Kim F. Wong;William Layton;Robert Boudreau;Caterina Rosano;G. Elisabeta Marai</t>
  </si>
  <si>
    <t>University of Pittsburgh;Wheeling Jesuit University;University of Pittsburgh;University of Pittsburgh;University of Pittsburgh;University of Pittsburgh;University of Pittsburgh;University of Pittsburgh</t>
  </si>
  <si>
    <t>10.1109/TVCG.2009.141;10.1109/VISUAL.2000.885739;10.1109/VAST.2006.261438;10.1109/TVCG.2009.111;10.1109/TVCG.2010.137;10.1109/TVCG.2009.114;10.1109/VISUAL.1991.175815;10.1109/TVCG.2010.162</t>
  </si>
  <si>
    <t>Design studies, methodology design, task and requirements analysis, integrating spatial and non-spatial data visualization, visual comparison, high-dimensional data, applications of visualization</t>
  </si>
  <si>
    <t>Interactive Patient-Specific Vascular Modeling with Sweep Surfaces</t>
  </si>
  <si>
    <t>10.1109/TVCG.2013.169</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</si>
  <si>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</si>
  <si>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Jan Kretschmer;Christian Godenschwager;Bernhard Preim;Marc Stamminger</t>
  </si>
  <si>
    <t>Computer Science Department, FAU Erlangen, and Siemens Healthcare, Computed Tomography;Computer Science Department, FAU Erlangen, and Siemens Healthcare, Computed Tomography;University of Magdeburg;Department of Computer Graphics, FAU Erlangen</t>
  </si>
  <si>
    <t>10.1109/VISUAL.2001.964538;10.1109/VISUAL.1994.346339</t>
  </si>
  <si>
    <t>Surface modeling, vascular visualization, centerline-based modeling</t>
  </si>
  <si>
    <t>Lighting Design for Globally Illuminated Volume Rendering</t>
  </si>
  <si>
    <t>10.1109/TVCG.2013.172</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</si>
  <si>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</si>
  <si>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Yubo Zhang;Kwan-Liu Ma</t>
  </si>
  <si>
    <t>10.1109/VISUAL.2005.1532812;10.1109/VISUAL.2004.62;10.1109/TVCG.2011.198;10.1109/TVCG.2012.267;10.1109/VISUAL.2002.1183785</t>
  </si>
  <si>
    <t>Global illumination, lighting design, volume rendering, tone mapping</t>
  </si>
  <si>
    <t>ManyVis: Multiple Applications in an Integrated Visualization Environment</t>
  </si>
  <si>
    <t>10.1109/TVCG.2013.174</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</si>
  <si>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</si>
  <si>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Atul Rungta;Brian Summa;Dogan Demir;Peer-Timo Bremer;Valerio Pascucci</t>
  </si>
  <si>
    <t>SCI Institute, University of Utah;SCI Institute, University of Utah;SCI Institute, University of Utah;Lawrence Livermore National Laboratory;SCI Institute, University of Utah</t>
  </si>
  <si>
    <t>Visualization environments, integrated applications, macros, linked views</t>
  </si>
  <si>
    <t>MObjects--A Novel Method for the Visualization and Interactive Exploration of Defects in Industrial XCT Data</t>
  </si>
  <si>
    <t>10.1109/TVCG.2013.177</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</si>
  <si>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</si>
  <si>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Andreas Reh;Christian Gusenbauer;Johann Kastner;M. Eduard Gröller;Christoph Heinzl</t>
  </si>
  <si>
    <t>University of Applied Sciences Upper Austria, Campus Wels;University of Applied Sciences Upper Austria, Campus Wels;University of Applied Sciences Upper Austria, Campus Wels;Vienna University of Technology;University of Applied Sciences Upper Austria, Campus Wels</t>
  </si>
  <si>
    <t>10.1109/TVCG.2012.231;10.1109/VISUAL.1999.809871;10.1109/TVCG.2009.121;10.1109/TVCG.2012.227;10.1109/TVCG.2011.248;10.1109/VISUAL.2005.1532807;10.1109/TVCG.2010.190;10.1109/TVCG.2010.214;10.1109/VISUAL.1993.398859;10.1109/VISUAL.1997.663875</t>
  </si>
  <si>
    <t>3D X-ray computed tomography, carbon fiber reinforced polymers, porosity, parameter space analysis, MObjects</t>
  </si>
  <si>
    <t>Noise-Based Volume Rendering for the Visualization of Multivariate Volumetric Data</t>
  </si>
  <si>
    <t>10.1109/TVCG.2013.180</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</si>
  <si>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</si>
  <si>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Rostislav Khlebnikov;Bernhard Kainz;Markus Steinberger;Dieter Schmalstieg</t>
  </si>
  <si>
    <t>Graz University of Technology;Imperial College London;Graz University of Technology;Graz University of Technology</t>
  </si>
  <si>
    <t>10.1109/VISUAL.1990.146373;10.1109/VISUAL.2003.1250412;10.1109/TVCG.2006.113;10.1109/VISUAL.2005.1532807;10.1109/TVCG.2007.70623;10.1109/TVCG.2012.223;10.1109/VISUAL.2003.1250362</t>
  </si>
  <si>
    <t>Volume rendering, multi-variate data visualization, multi-volume rendering, scientific visualization</t>
  </si>
  <si>
    <t>Semi-Automatic Vortex Extraction in 4D PC-MRI Cardiac Blood Flow Data using Line Predicates</t>
  </si>
  <si>
    <t>10.1109/TVCG.2013.189</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</si>
  <si>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</si>
  <si>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Benjamin Köhler 0001;Rocco Gasteiger;Uta Preim;Holger Theisel;Matthias Gutberlet;Bernhard Preim</t>
  </si>
  <si>
    <t>Benjamin Köhler;Rocco Gasteiger;Uta Preim;Holger Theisel;Matthias Gutberlet;Bernhard Preim</t>
  </si>
  <si>
    <t>Visualization and Visual Computing, University of Magdeburg;Visualization and Visual Computing, University of Magdeburg;Herzzentrum in Leipzig;Visualization and Visual Computing, University of Magdeburg;Herzzentrum in Leipzig;Visualization and Visual Computing, University of Magdeburg</t>
  </si>
  <si>
    <t>10.1109/TVCG.2011.260;10.1109/VISUAL.1999.809869;10.1109/TVCG.2010.153;10.1109/VISUAL.1999.809896;10.1109/TVCG.2011.243;10.1109/TVCG.2007.70545;10.1109/VISUAL.2004.99;10.1109/TVCG.2010.173</t>
  </si>
  <si>
    <t>4D pc-mri, cardiac blood flow, hemodynamics, line predicates, vortex extraction</t>
  </si>
  <si>
    <t>Uncertainty Quantification in Linear Interpolation for Isosurface Extraction</t>
  </si>
  <si>
    <t>10.1109/TVCG.2013.208</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</si>
  <si>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</si>
  <si>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Tushar Athawale;Alireza Entezari</t>
  </si>
  <si>
    <t>University of Florida;University of Florida</t>
  </si>
  <si>
    <t>10.1109/VISUAL.2005.1532853;10.1109/TVCG.2007.70602;10.1109/VISUAL.1991.175782;10.1109/TVCG.2007.70518;10.1109/TVCG.2012.249;10.1109/VISUAL.1994.346331;10.1109/VISUAL.1996.568116;10.1109/TVCG.2009.194;10.1109/TVCG.2011.203</t>
  </si>
  <si>
    <t>Uncertainty quantification, linear interpolation, isosurface extraction, marching cubes</t>
  </si>
  <si>
    <t>Vessel Visualization using Curved Surface Reformation</t>
  </si>
  <si>
    <t>10.1109/TVCG.2013.215</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</si>
  <si>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</si>
  <si>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Thomas Auzinger;Gabriel Mistelbauer;Ivan Baclija;Rüdiger Schernthaner;Arnold Köchl;Michael Wimmer;M. Eduard Gröller;Stefan Bruckner</t>
  </si>
  <si>
    <t>Vienna University of Technology;Vienna University of Technology;Kaiser-Franz-Josef Hospital Vienna;Medical University of Vienna;Landesklinikum Tulln;Vienna University of Technology;Vienna University of Technology;University of Bergen</t>
  </si>
  <si>
    <t>10.1109/TVCG.2009.138;10.1109/VISUAL.2004.104;10.1109/VISUAL.2003.1250353;10.1109/VISUAL.2003.1250400;10.1109/TVCG.2006.152;10.1109/TVCG.2009.136;10.1109/VISUAL.2002.1183754;10.1109/TVCG.2011.244;10.1109/VISUAL.2003.1250351;10.1109/TVCG.2006.201;10.1109/VISUAL.2001.964555</t>
  </si>
  <si>
    <t>Reformation, volume rendering, surface approximation</t>
  </si>
  <si>
    <t>Visualization of Morse Connection Graphs for Topologically Rich 2D Vector fields</t>
  </si>
  <si>
    <t>10.1109/TVCG.2013.229</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</si>
  <si>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</si>
  <si>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Andrzej Szymczak;Levente Sipeki</t>
  </si>
  <si>
    <t>Amel Guetat;Alexandre Ancel;St̩phane Marchesin;Jean-Michel Dischler</t>
  </si>
  <si>
    <t>Colorado School of Mines;Colorado School of Mines</t>
  </si>
  <si>
    <t>10.1109/TVCG.2011.233;10.1109/TVCG.2008.135;10.1109/TVCG.2012.209;10.1109/VISUAL.2000.885716</t>
  </si>
  <si>
    <t>Morse connection graph, vector field topology</t>
  </si>
  <si>
    <t>A Partition-Based Framework for Building and Validating Regression Models</t>
  </si>
  <si>
    <t>10.1109/TVCG.2013.125</t>
  </si>
  <si>
    <t>http://dx.doi.org/10.1109/TVCG.2010.189</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</si>
  <si>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</si>
  <si>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Thomas Mühlbacher;Harald Piringer</t>
  </si>
  <si>
    <t>VRVis Research Center;VRVis Research Center</t>
  </si>
  <si>
    <t>10.1109/TVCG.2012.219;10.1109/TVCG.2009.128;10.1109/VISUAL.1993.398859;10.1109/VAST.2012.6400486;10.1109/VAST.2011.6102453;10.1109/VAST.2009.5333431;10.1109/TVCG.2010.213;10.1109/TVCG.2012.205;10.1109/VAST.2009.5332628;10.1109/VISUAL.1990.146402;10.1109/VAST.2011.6102450;10.1109/VAST.2008.4677368;10.1109/VAST.2010.5652460;10.1109/TVCG.2011.248;10.1109/INFVIS.2005.1532142;10.1109/VAST.2007.4388999;10.1109/INFVIS.2004.10;10.1109/TVCG.2009.110;10.1109/VAST.2011.6102448;10.1109/INFVIS.2004.3</t>
  </si>
  <si>
    <t>Regression, model building, visual knowledge discovery, feature selection, data partitioning, guided visualization</t>
  </si>
  <si>
    <t>An Extensible Framework for Provenance in Human Terrain Visual Analytics</t>
  </si>
  <si>
    <t>10.1109/TVCG.2013.132</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</si>
  <si>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</si>
  <si>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Rick Walker;Aidan Slingsby;Jason Dykes;Kai Xu 0003;Jo Wood;Phong H. Nguyen;Derek Stephens;B. L. William Wong;Yongjun Zheng</t>
  </si>
  <si>
    <t>Rick Walker;Aiden Slingsby;Jason Dykes;Kai Xu;Jo Wood;Phong H. Nguyen;Derek Stephens;B.L. William Wong;Yongjun Zheng</t>
  </si>
  <si>
    <t>Middlesex University;City University;City University;Middlesex University;City University;Middlesex University;Loughborough University;Middlesex University;Middlesex University</t>
  </si>
  <si>
    <t>10.1109/TVCG.2012.252;10.1109/TVCG.2010.191;10.1109/VAST.2007.4388992;10.1109/TVCG.2006.142;10.1109/VAST.2006.261431;10.1109/TVCG.2010.154;10.1109/TVCG.2012.213;10.1109/INFVIS.2000.885086;10.1109/TVCG.2007.70577;10.1109/TVCG.2009.111;10.1109/VAST.2008.4677366;10.1109/VAST.2008.4677365;10.1109/VAST.2007.4388992;10.1109/TVCG.2009.128;10.1109/VAST.2009.5332611;10.1109/TVCG.2010.183;10.1109/VAST.2009.5333919;10.1109/TVCG.2011.209;10.1109/TVCG.2009.139;10.1109/TVCG.2008.175</t>
  </si>
  <si>
    <t>Human terrain analysis, provenance, framework, bookmarks, narratives</t>
  </si>
  <si>
    <t>Decision Exploration Lab: A Visual Analytics Solution for Decision Management</t>
  </si>
  <si>
    <t>10.1109/TVCG.2013.146</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</si>
  <si>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</si>
  <si>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Bertjan Broeksema;Thomas Baudel;Arthur G. Telea;Paolo Crisafulli</t>
  </si>
  <si>
    <t>Bertjan Broeksema;Thomas Baudel;Alex Telea;Paolo Crisafulli</t>
  </si>
  <si>
    <t>IBM France Center for Advanced Studies, Institute Johann Bernoulli, University of Groningen, The Netherlands andINRIA, University of Bordeaux, France;IBM France Center for Advanced Studies;Institute Johann Bernoulli, University of Groningen, The Netherlands;IBM France</t>
  </si>
  <si>
    <t>10.1109/VISUAL.1991.175815;10.1109/VAST.2011.6102463;10.1109/VAST.2010.5652398;10.1109/VAST.2008.4677361;10.1109/VAST.2008.4677363;10.1109/TVCG.2011.185;10.1109/VAST.2011.6102457</t>
  </si>
  <si>
    <t>Decision support systems, model validation and analysis, multivariate Statistics, program analysis</t>
  </si>
  <si>
    <t>Dept. of Comput. Sci., Purdue Univ., West Lafayette, IN, USA|c|;;</t>
  </si>
  <si>
    <t>Explainers: Expert Explorations with Crafted Projections</t>
  </si>
  <si>
    <t>10.1109/TVCG.2013.157</t>
  </si>
  <si>
    <t>http://dx.doi.org/10.1109/TVCG.2010.190</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</si>
  <si>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</si>
  <si>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Michael Gleicher</t>
  </si>
  <si>
    <t>Department of Computer Sciences, University of Wisconsin - Madison</t>
  </si>
  <si>
    <t>10.1109/VAST.2012.6400487;10.1109/VAST.2012.6400486;10.1109/TVCG.2012.277;10.1109/INFVIS.2005.1532142;10.1109/INFVIS.2004.71;10.1109/TVCG.2012.256;10.1109/VAST.2010.5652392;10.1109/VAST.2012.6400490;10.1109/TVCG.2011.220;10.1109/INFVIS.1998.729559;10.1109/VAST.2011.6102448;10.1109/TVCG.2009.153</t>
  </si>
  <si>
    <t>High-dimensional spaces, exploration, support vector machines</t>
  </si>
  <si>
    <t>HierarchicalTopics: Visually Exploring Large Text Collections Using Topic Hierarchies</t>
  </si>
  <si>
    <t>10.1109/TVCG.2013.162</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</si>
  <si>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</si>
  <si>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Wenwen Dou;Li Yu;Xiaoyu Wang;Zhiqiang Ma;William Ribarsky</t>
  </si>
  <si>
    <t>10.1109/VAST.2010.5652931;10.1109/VAST.2012.6400557;10.1109/TVCG.2011.239;10.1109/VAST.2011.6102461;10.1109/VAST.2012.6400485</t>
  </si>
  <si>
    <t>Hierarchical topic representation, topic modeling, visual analytics, rose tree</t>
  </si>
  <si>
    <t>Identifying Redundancy and Exposing Provenance in Crowdsourced Data Analysis</t>
  </si>
  <si>
    <t>10.1109/TVCG.2013.164</t>
  </si>
  <si>
    <t>Stefan Bruckner;Torsten M̦ller</t>
  </si>
  <si>
    <t>GrUVi (Graphics, Usability, &amp; Visualization Lab.), Simon Fraser Univ., Burnaby, BC, Canada|c|;</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</si>
  <si>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</si>
  <si>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Wesley Willett;Shiry Ginosar;Avital Steinitz;Björn Hartmann;Maneesh Agrawala</t>
  </si>
  <si>
    <t>INRIA;UC Berkeley;UC Berkeley;UC Berkeley;UC Berkeley</t>
  </si>
  <si>
    <t>Crowdsourcing, social data analysis</t>
  </si>
  <si>
    <t>http://dx.doi.org/10.1109/TVCG.2010.191</t>
  </si>
  <si>
    <t>Interactive Exploration of Implicit and Explicit Relations in Faceted Datasets</t>
  </si>
  <si>
    <t>10.1109/TVCG.2013.167</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</si>
  <si>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</si>
  <si>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Jian Zhao;Christopher Collins;Fanny Chevalier;Ravin Balakrishnan</t>
  </si>
  <si>
    <t>University of Toronto;University of Ontario Institute of Technology;University of Toronto, Canada;University of Toronto, Canada</t>
  </si>
  <si>
    <t>10.1109/TVCG.2008.137;10.1109/VAST.2011.6102440;10.1109/TVCG.2011.213;10.1109/TVCG.2010.154;10.1109/VAST.2006.261426;10.1109/INFVIS.2005.1532136;10.1109/TVCG.2010.205;10.1109/TVCG.2012.252;10.1109/TVCG.2006.166;10.1109/INFVIS.2000.885086</t>
  </si>
  <si>
    <t>Faceted browsing, network exploration, dynamic query, interaction, information visualization, visual analytics</t>
  </si>
  <si>
    <t>Interactive Exploration of Surveillance Video through Action Shot Summarization and Trajectory Visualization</t>
  </si>
  <si>
    <t>10.1109/TVCG.2013.168</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</si>
  <si>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</si>
  <si>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Amir H. Meghdadi;Pourang Irani</t>
  </si>
  <si>
    <t>Department of Computer Science, University of Manitoba;Department of Computer Science, University of Manitoba</t>
  </si>
  <si>
    <t>10.1109/INFVIS.2004.27;10.1109/TVCG.2012.222;10.1109/VISUAL.2003.1250401</t>
  </si>
  <si>
    <t>Video visual analytics, surveillance video, video visualization, video summarization, video browsing and exploration</t>
  </si>
  <si>
    <t>MotionExplorer: Exploratory Search in Human Motion Capture Data Based on Hierarchical Aggregation</t>
  </si>
  <si>
    <t>10.1109/TVCG.2013.178</t>
  </si>
  <si>
    <t>http://dx.doi.org/10.1109/TVCG.2010.192</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</si>
  <si>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</si>
  <si>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Jürgen Bernard;Nils Wilhelm;Björn Krüger;Thorsten May;Tobias Schreck;Jörn Kohlhammer</t>
  </si>
  <si>
    <t>Fraunhofer Institute for Computer Graphics Research Darmstadt;Fraunhofer Institute for Computer Graphics Research Darmstadt;Institute of Computer Science, Universität Bonn;Fraunhofer Institute for Computer Graphics Research Darmstadt;Data Analysis and Visualization Group, Universität Konstanz;Fraunhofer Institute for Computer Graphics Research Darmstadt</t>
  </si>
  <si>
    <t>10.1109/VISUAL.1999.809865;10.1109/VAST.2008.4677350;10.1109/TVCG.2006.120;10.1109/TVCG.2011.181;10.1109/TVCG.2011.188</t>
  </si>
  <si>
    <t>Visual analytics, exploratory search, multivariate time series, motion capture data, data aggregation, cluster glyph</t>
  </si>
  <si>
    <t>Open-Box Spectral Clustering: Applications to Medical Image Analysis</t>
  </si>
  <si>
    <t>10.1109/TVCG.2013.181</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</si>
  <si>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</si>
  <si>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University of Bonn;University of Chicago</t>
  </si>
  <si>
    <t>10.1109/VISUAL.2005.1532820;10.1109/VAST.2010.5652926;10.1109/VISUAL.2000.885740;10.1109/VAST.2012.6400488;10.1109/TVCG.2009.141;10.1109/TVCG.2009.112;10.1109/TVCG.2009.177;10.1109/TVCG.2010.199;10.1109/TVCG.2009.199;10.1109/TVCG.2011.248;10.1109/TVCG.2011.253</t>
  </si>
  <si>
    <t>Image segmentation, spectral clustering, high-dimensional embeddings, linked views, programming with example</t>
  </si>
  <si>
    <t>ScatterBlogs2: Real-Time Monitoring of Microblog Messages through User-Guided filtering</t>
  </si>
  <si>
    <t>10.1109/TVCG.2013.186</t>
  </si>
  <si>
    <t>Key Lab. of Machine Perception, Peking Univ., Beijing, China|c|;;;;;;</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</si>
  <si>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</si>
  <si>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Harald Bosch;Dennis Thom;Florian Heimerl;Edwin Puttmann;Steffen Koch;Robert Krüger;Michael Wörner 0001;Thomas Ertl</t>
  </si>
  <si>
    <t>Harald Bosch;Dennis Thom;Florian Heimerl;Edwin Püttmann;Steffen Koch;Robert Krüger;Michael Wörner;Thomas Ertl</t>
  </si>
  <si>
    <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Stuttgart;Visualization and Interactive Systems, University of Stuttgart</t>
  </si>
  <si>
    <t>10.1109/VISUAL.2005.1532781;10.1109/VAST.2012.6400492;10.1109/VAST.2012.6400557;10.1109/TVCG.2012.291;10.1109/TVCG.2012.277;10.1109/VAST.2012.6400485;10.1109/VAST.2007.4389013;10.1109/VAST.2007.4389006;10.1109/VAST.2011.6102456;10.1109/TVCG.2008.175</t>
  </si>
  <si>
    <t>Microblog analysis, Twitter, text analytics, social media monitoring, live monitoring, visual analytics, information visualization, filter construction, query construction, text classification</t>
  </si>
  <si>
    <t>http://dx.doi.org/10.1109/TVCG.2010.193</t>
  </si>
  <si>
    <t>Semantics of Directly Manipulating Spatializations</t>
  </si>
  <si>
    <t>10.1109/TVCG.2013.188</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</si>
  <si>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</si>
  <si>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Xinran Hu;Lauren Bradel;Dipayan Maiti;Leanna House;Chris North;Scotland Leman</t>
  </si>
  <si>
    <t>Virginia Tech;Virginia Tech;Virginia Tech;Virginia Tech;Virginia Tech;Virginia Tech</t>
  </si>
  <si>
    <t>10.1109/VAST.2011.6102449;10.1109/INFVIS.1995.528686;10.1109/TVCG.2012.260;10.1109/VAST.2012.6400486;10.1109/VAST.2008.4677358</t>
  </si>
  <si>
    <t>Visual to parametric interaction, visual analytics, statistical models</t>
  </si>
  <si>
    <t>SketchPadN-D: WYDIWYG Sculpting and Editing in High-Dimensional Space</t>
  </si>
  <si>
    <t>10.1109/TVCG.2013.190</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</si>
  <si>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SketchPad&amp;lt;sup&amp;gt;ND&amp;lt;/sup&amp;gt;,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SketchPad&amp;lt;sup&amp;gt;ND&amp;lt;/sup&amp;gt;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</si>
  <si>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Bing Wang 0007;Puripant Ruchikachorn;Klaus Mueller</t>
  </si>
  <si>
    <t>Bing Wang;Puripant Ruchikachorn;Klaus Mueller</t>
  </si>
  <si>
    <t>Agilent Laboratories|c|</t>
  </si>
  <si>
    <t>Visual Analytics and Imaging Laboratory, Computer Science Department, Stony Brook University;Visual Analytics and Imaging Laboratory, Computer Science Department, Stony Brook University, and Chulalongkorn Business School, Chulalongkorn University;Visual Analytics and Imaging Laboratory, Computer Science Department, Stony Brook University, and SUNY Korea</t>
  </si>
  <si>
    <t>10.1109/TVCG.2011.237;10.1109/VAST.2012.6400489</t>
  </si>
  <si>
    <t>Synthetic data generation, data editing, data acquisition and management, multivariate data, high-dimensional data, interaction, user interface, parallel coordinates, scatterplot, N-D navigation, multiple views</t>
  </si>
  <si>
    <t>http://dx.doi.org/10.1109/TVCG.2010.194</t>
  </si>
  <si>
    <t>Space Transformation for Understanding Group Movement</t>
  </si>
  <si>
    <t>10.1109/TVCG.2013.193</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</si>
  <si>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</si>
  <si>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Natalia V. Andrienko;Gennady L. Andrienko;Louise Barrett;Marcus Dostie;S. Peter Henzi</t>
  </si>
  <si>
    <t>Natalia Andrienko;Gennady Andrienko;Louise Barrett;Marcus Dostie;Peter Henzi</t>
  </si>
  <si>
    <t>Fraunhofer Institute IAIS;Fraunhofer Institute IAIS;University of Lethbridge and University of South Africa;University of Lethbridge and University of South Africa;University of Lethbridge and University of South Africa</t>
  </si>
  <si>
    <t>10.1109/INFVIS.2005.1532142;10.1109/INFVIS.2004.27</t>
  </si>
  <si>
    <t>Visual analytics, movement data, collective movement</t>
  </si>
  <si>
    <t>Space-Time Visual Analytics of Eye-Tracking Data for Dynamic Stimuli</t>
  </si>
  <si>
    <t>10.1109/TVCG.2013.194</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</si>
  <si>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</si>
  <si>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Kuno Kurzhals;Daniel Weiskopf</t>
  </si>
  <si>
    <t>University of Stuttgart.;University of Stuttgart.</t>
  </si>
  <si>
    <t>10.1109/TVCG.2010.149;10.1109/TVCG.2011.193;10.1109/TVCG.2012.276;10.1109/TVCG.2006.194</t>
  </si>
  <si>
    <t>Eye-tracking, space-time cube, dynamic areas of interest, spatiotemporal clustering, motion-compensated heat map</t>
  </si>
  <si>
    <t>http://dx.doi.org/10.1109/TVCG.2010.195</t>
  </si>
  <si>
    <t>Supporting Awareness through Collaborative Brushing and Linking of Tabular Data</t>
  </si>
  <si>
    <t>10.1109/TVCG.2013.197</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</si>
  <si>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&amp;amp;amp;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&amp;amp;amp; linking caused substantial interference. These findings suggest promise for the idea of exploiting natural brushing actions to provide awareness in collaborative work.</t>
  </si>
  <si>
    <t>Amir Hossein Hajizadeh;Melanie Tory;Rock Leung</t>
  </si>
  <si>
    <t>University of Victoria;University of Victoria;SAP</t>
  </si>
  <si>
    <t>10.1109/TVCG.2011.196;10.1109/TVCG.2007.70541;10.1109/TVCG.2011.185;10.1109/VAST.2010.5652880;10.1109/INFVIS.2003.1249020;10.1109/VAST.2007.4389011;10.1109/VAST.2011.6102447</t>
  </si>
  <si>
    <t>Collaboration, awareness, attentionally ambient visualization, brushing and linking, linked views, user study</t>
  </si>
  <si>
    <t>Supporting the Visual Analysis of Dynamic Networks by Clustering associated Temporal Attributes</t>
  </si>
  <si>
    <t>10.1109/TVCG.2013.198</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</si>
  <si>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</si>
  <si>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Steffen Hadlak;Heidrun Schumann;Clemens H. Cap;Till Wollenberg</t>
  </si>
  <si>
    <t>University of Rostock;University of Rostock;University of Rostock;University of Rostock</t>
  </si>
  <si>
    <t>10.1109/INFVIS.2005.1532151;10.1109/VAST.2010.5652530;10.1109/INFVIS.2004.18;10.1109/TVCG.2011.226;10.1109/TVCG.2011.213;10.1109/TVCG.2006.193;10.1109/VAST.2012.6400493;10.1109/INFVIS.1999.801851;10.1109/TVCG.2007.70529;10.1109/INFVIS.2002.1173160</t>
  </si>
  <si>
    <t>Dynamic networks, visualization, supergraph clustering</t>
  </si>
  <si>
    <t>Stefan Lindholm;Patric Ljung;Claes Lundstr̦m;Anders Persson;Anders Ynnerman</t>
  </si>
  <si>
    <t>Temporal Event Sequence Simplification</t>
  </si>
  <si>
    <t>10.1109/TVCG.2013.200</t>
  </si>
  <si>
    <t>http://dx.doi.org/10.1109/TVCG.2010.196</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</si>
  <si>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</si>
  <si>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Megan Monroe;Rongjian Lan;Hanseung Lee;Catherine Plaisant;Ben Shneiderman</t>
  </si>
  <si>
    <t>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Maryland;Department of Computer Science &amp;amp; Human-Computer Interaction Lab, University of Maryland</t>
  </si>
  <si>
    <t>10.1109/TVCG.2009.117;10.1109/TVCG.2012.213;10.1109/VAST.2010.5652890</t>
  </si>
  <si>
    <t>Event sequences, simplification, electronic heath records, temporal query</t>
  </si>
  <si>
    <t>The Impact of Physical Navigation on Spatial Organization for Sensemaking</t>
  </si>
  <si>
    <t>10.1109/TVCG.2013.205</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</si>
  <si>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</si>
  <si>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Middlebury College;Virginia Tech</t>
  </si>
  <si>
    <t>10.1109/VAST.2012.6400559;10.1109/VAST.2008.4677358;10.1109/VAST.2009.5333878</t>
  </si>
  <si>
    <t>Sensemaking, visual analytics, physical navigation, embodiment, large and high-resolution displays</t>
  </si>
  <si>
    <t>TimeBench: A Data Model and Software Library for Visual Analytics of Time-Oriented Data</t>
  </si>
  <si>
    <t>10.1109/TVCG.2013.206</t>
  </si>
  <si>
    <t>Thomas M�_ller 0005;Sebastian Grottel;Daniel Weiskopf</t>
  </si>
  <si>
    <t>Visualization Res. Center (VISUS), Univ. of Stuttgart, Stuttgart, Germany|c|;;</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</si>
  <si>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</si>
  <si>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Alexander Rind;Tim Lammarsch;Wolfgang Aigner;Bilal Alsallakh;Silvia Miksch</t>
  </si>
  <si>
    <t>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Systems;Vienna University of Technology, Institute of Software Technology &amp; Interactive Systems</t>
  </si>
  <si>
    <t>10.1109/TVCG.2009.174;10.1109/INFVIS.2004.12;10.1109/VAST.2011.6102446;10.1109/VAST.2006.261428;10.1109/INFVIS.2000.885086;10.1109/TVCG.2010.144;10.1109/TVCG.2006.178;10.1109/INFVIS.2004.64;10.1109/TVCG.2013.222;10.1109/INFVIS.2002.1173155;10.1109/TVCG.2011.185;10.1109/TVCG.2010.126;10.1109/INFVIS.1997.636792</t>
  </si>
  <si>
    <t>http://dx.doi.org/10.1109/TVCG.2010.197</t>
  </si>
  <si>
    <t>Visual Analytics, information visualization, toolkits, software infrastructure, time, temporal data</t>
  </si>
  <si>
    <t>Transformation of an Uncertain Video Search Pipeline to a Sketch-Based Visual Analytics Loop</t>
  </si>
  <si>
    <t>10.1109/TVCG.2013.207</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</si>
  <si>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</si>
  <si>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Philip A. Legg;David H. S. Chung;Matthew L. Parry;Rhodri Bown;Mark W. Jones;Iwan W. Griffiths;Min Chen</t>
  </si>
  <si>
    <t>Philip A. Legg;David H.S. Chung;Matthew L. Parry;Rhodri Bown;Mark W. Jones;Iwan W. Griffiths;Min Chen</t>
  </si>
  <si>
    <t>Department of Computer Science, Swansea University, University of Oxford;Department of Computer Science, Swansea University;Department of Computer Science, Swansea University;Welsh Rugby Union;Department of Computer Science, Swansea University;Department of Engineering, Swansea University;e-Research Centre, University of Oxford</t>
  </si>
  <si>
    <t>10.1109/TVCG.2006.138;10.1109/VISUAL.2003.1250401;10.1109/VAST.2009.5332628;10.1109/TVCG.2010.184;10.1109/VAST.2007.4389001;10.1109/TVCG.2008.131;10.1109/INFVIS.1998.729559;10.1109/TVCG.2006.194;10.1109/TVCG.2011.208</t>
  </si>
  <si>
    <t>Visual knowledge discovery, data clustering, machine learning, multimedia visualization</t>
  </si>
  <si>
    <t>Using Interactive Visual Reasoning to Support Sense-Making: Implications for Design</t>
  </si>
  <si>
    <t>Dept. of Comput. Sci., Univ. of Illinois at Chicago, Chicago, IL, USA|c|;;</t>
  </si>
  <si>
    <t>10.1109/TVCG.2013.211</t>
  </si>
  <si>
    <t>http://dx.doi.org/10.1109/TVCG.2010.198</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</si>
  <si>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</si>
  <si>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Neesha Kodagoda;Simon Attfield;B. L. William Wong;Chris Rooney;Sharmin (Tinni) Choudhury</t>
  </si>
  <si>
    <t>Neesha Kodagoda;Simon Attfield;B.L. William Wong;Chris Rooney;Sharmin Choudhury</t>
  </si>
  <si>
    <t>School of Science and Technology, Middlesex University;School of Science and Technology, Middlesex University;School of Science and Technology, Middlesex University;School of Science and Technology, Middlesex University;School of Science and Technology, Middlesex University</t>
  </si>
  <si>
    <t>10.1109/VAST.2009.5333020;10.1109/VAST.2007.4389006;10.1109/TVCG.2012.252</t>
  </si>
  <si>
    <t>Visual analytics, sense-making, dataframe mode, evaluation, reasoning, analysis, interaction, interface design</t>
  </si>
  <si>
    <t>UTOPIAN: User-Driven Topic Modeling Based on Interactive Nonnegative Matrix Factorization</t>
  </si>
  <si>
    <t>10.1109/TVCG.2013.212</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</si>
  <si>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</si>
  <si>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Jaegul Choo;Changhyun Lee;Chandan K. Reddy;Haesun Park</t>
  </si>
  <si>
    <t>Georgia Institute of Technology;Georgia Institute of Technology;Wayne State University;Georgia Institute of Technology</t>
  </si>
  <si>
    <t>10.1109/TVCG.2012.258;10.1109/VAST.2009.5332629;10.1109/TVCG.2011.239;10.1109/VAST.2011.6102461;10.1109/VAST.2012.6400485;10.1109/VAST.2007.4388999;10.1109/VAST.2007.4389006;10.1109/TVCG.2008.138;10.1109/VAST.2010.5652443</t>
  </si>
  <si>
    <t>Latent Dirichlet allocation, nonnegative matrix factorization, topic modeling, visual analytics, interactive clustering, text analytics</t>
  </si>
  <si>
    <t>VAICo: Visual Analysis for Image Comparison</t>
  </si>
  <si>
    <t>10.1109/TVCG.2013.213</t>
  </si>
  <si>
    <t>Courant Inst. of Math. Sci., New York Univ., New York, NY, USA|c|;</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</si>
  <si>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</si>
  <si>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Johanna Schmidt;M. Eduard Gröller;Stefan Bruckner</t>
  </si>
  <si>
    <t>Vienna University of Technology;Vienna University of Technology;University of Bergen</t>
  </si>
  <si>
    <t>http://dx.doi.org/10.1109/TVCG.2010.199</t>
  </si>
  <si>
    <t>10.1109/TVCG.2007.70584;10.1109/TVCG.2007.70623;10.1109/VAST.2012.6400555;10.1109/TVCG.2010.190;10.1109/VISUAL.1999.809871;10.1109/VISUAL.1999.809873;10.1109/TVCG.2011.248;10.1109/VISUAL.2002.1183790</t>
  </si>
  <si>
    <t>Comparative visualization, focus+context visualization, image set comparison</t>
  </si>
  <si>
    <t>Vis4Heritage: Visual Analytics Approach on Grotto Wall Painting Degradations</t>
  </si>
  <si>
    <t>10.1109/TVCG.2013.219</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</si>
  <si>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</si>
  <si>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Jiawan Zhang;Kai Kang;Dajian Liu;Ye Yuan;E. Yanli</t>
  </si>
  <si>
    <t>Jiawan Zhang;Kai Kang;Dajian Liu;Ye Yuan;Yanli E.</t>
  </si>
  <si>
    <t>School of Computer Software and Information Technology Research Center for Cultural Heritage Conservation and Promotion, Tianjin University;School of Computer Software, Tianjin University;School of Computer Software, Tianjin University;School of Computer Software, Tianjin University;School of Computer Software, Tianjin University</t>
  </si>
  <si>
    <t>10.1109/TVCG.2011.239;10.1109/INFVIS.2004.1;10.1109/TVCG.2008.173;10.1109/INFVIS.2005.1532138;10.1109/TVCG.2006.147;10.1109/TVCG.2012.244;10.1109/VAST.2007.4389013;10.1109/TVCG.2008.153;10.1109/INFVIS.2000.885098</t>
  </si>
  <si>
    <t>Cultural heritage, wall paintings, degradation, visual analytics</t>
  </si>
  <si>
    <t>Visual Analysis of Higher-Order Conjunctive Relationships in Multidimensional Data Using a Hypergraph Query System</t>
  </si>
  <si>
    <t>10.1109/TVCG.2013.220</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</si>
  <si>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</si>
  <si>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Rachel Shadoan;Chris Weaver</t>
  </si>
  <si>
    <t>Akashic Labs LLC;School of Computer Science and the Center for Spatial Analysis at University of Oklahoma</t>
  </si>
  <si>
    <t>10.1109/TVCG.2006.160;10.1109/INFVIS.2004.12;10.1109/VAST.2011.6102440;10.1109/VAST.2007.4389006;10.1109/TVCG.2006.166;10.1109/VAST.2010.5652520</t>
  </si>
  <si>
    <t>Graph search, graph query language, multidimensional data, attribute relationship graphs, multivariate data analysis, higher-order conjunctive queries, visual query language, digital humanities</t>
  </si>
  <si>
    <t>Comput. Sci. Dept., Univ. of Chicago, Chicago, IL, USA|c|;</t>
  </si>
  <si>
    <t>Visual Analysis of Topic Competition on Social Media</t>
  </si>
  <si>
    <t>10.1109/TVCG.2013.221</t>
  </si>
  <si>
    <t>http://dx.doi.org/10.1109/TVCG.2010.200</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</si>
  <si>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</si>
  <si>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Panpan Xu;Yingcai Wu;Enxun Wei;Tai-Quan Peng;Shixia Liu;Jonathan J. H. Zhu;Huamin Qu</t>
  </si>
  <si>
    <t>Panpan Xu;Yingcai Wu;Enxun Wei;Tai-Quan Peng;Shixia Liu;Jonathan J.H. Zhu;Huamin Qu</t>
  </si>
  <si>
    <t>Hong Kong University of Science and Technology;Microsoft Research Asia;Shanghai Jiao Tong University;Nanyang Technological University;Microsoft Research Asia;City University of Hong Kong;Hong Kong University of Science and Technology</t>
  </si>
  <si>
    <t>10.1109/TVCG.2008.166;10.1109/TVCG.2011.239;10.1109/TVCG.2012.253;10.1109/TVCG.2012.225;10.1109/VAST.2009.5333437;10.1109/TVCG.2010.194;10.1109/TVCG.2012.291;10.1109/VAST.2010.5652931;10.1109/TVCG.2013.196;10.1109/INFVIS.2001.963273;10.1109/TVCG.2012.212;10.1109/VAST.2010.5652922;10.1109/TVCG.2010.129;10.1109/INFVIS.1999.801851</t>
  </si>
  <si>
    <t>Social media visuaization, topic competition, information diffusion, information propagation, agenda-setting</t>
  </si>
  <si>
    <t>Visual Analytics for Model Selection in Time Series Analysis</t>
  </si>
  <si>
    <t>10.1109/TVCG.2013.222</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</si>
  <si>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</si>
  <si>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Markus Bögl;Wolfgang Aigner;Peter Filzmoser;Tim Lammarsch;Silvia Miksch;Alexander Rind</t>
  </si>
  <si>
    <t>Vienna University of Technology;Vienna University of Technology;Vienna University of Technology;Vienna University of Technology;Vienna University of Technology;Vienna University of Technology</t>
  </si>
  <si>
    <t>10.1109/TVCG.2013.206;10.1109/TVCG.2012.213;10.1109/TVCG.2007.70539</t>
  </si>
  <si>
    <t>Visual analytics, model selection, visual interaction, time series analysis, coordinated &amp; multiple views</t>
  </si>
  <si>
    <t>Visual Analytics for Multimodal Social Network Analysis: A Design Study with Social Scientists</t>
  </si>
  <si>
    <t>10.1109/TVCG.2013.223</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</si>
  <si>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</si>
  <si>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Comput. Sci. Dept. at, Stony Brook Univ., Stony Brook, NY, USA|c|;;;;</t>
  </si>
  <si>
    <t>Sohaib Ghani;Bum Chul Kwon;Seungyoon Lee;Ji Soo Yi;Niklas Elmqvist</t>
  </si>
  <si>
    <t>School of Electrical and Computer Engineering, Purdue University;School of Industrial Engineering, Purdue University;Brian Lamb School of Communication, Purdue University;School of Industrial Engineering, Purdue University;School of Electrical and Computer Engineering, Purdue University</t>
  </si>
  <si>
    <t>10.1109/TVCG.2011.247;10.1109/VAST.2011.6102440;10.1109/TVCG.2012.213;10.1109/TVCG.2011.201;10.1109/VAST.2007.4389006;10.1109/TVCG.2007.70521;10.1109/INFVIS.2005.1532142;10.1109/VISUAL.1990.146402;10.1109/TVCG.2007.70535;10.1109/INFVIS.2002.1173155;10.1109/VAST.2006.261430;10.1109/TVCG.2006.166;10.1109/TVCG.2011.209</t>
  </si>
  <si>
    <t>Design study, user-centered design, node-link diagrams, multimodal graphs, interaction, qualitative evaluation</t>
  </si>
  <si>
    <t>http://dx.doi.org/10.1109/TVCG.2010.202</t>
  </si>
  <si>
    <t>Visual Analytics for Spatial Clustering: Using a Heuristic Approach for Guided Exploration</t>
  </si>
  <si>
    <t>10.1109/TVCG.2013.224</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</si>
  <si>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</si>
  <si>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Eli Packer;Peter Bak;Mikko Nikkilä;Valentin Polishchuk;Harold J. Ship</t>
  </si>
  <si>
    <t>IBM Research – Haifa / Israel, Smarter Decision Solutions Group;IBM Research – Haifa / Israel, Smarter Decision Solutions Group;Helsinki Institute for Information Technology, Computer Science Department, University of Helsinki, Finland;Helsinki Institute for Information Technology, Computer Science Department, University of Helsinki, Finland;IBM Research – Haifa / Israel, Smarter Decision Solutions Group</t>
  </si>
  <si>
    <t>10.1109/VAST.2011.6102449;10.1109/INFVIS.2003.1249015;10.1109/VAST.2012.6400486;10.1109/TVCG.2009.122;10.1109/VAST.2010.5652443;10.1109/TVCG.2011.186</t>
  </si>
  <si>
    <t>Heuristic-based spatial clustering, interactive visual clustering, k-order a-(alpha)-shapes</t>
  </si>
  <si>
    <t>Visual Exploration of Big Spatio-Temporal Urban Data: A Study of New York City Taxi Trips</t>
  </si>
  <si>
    <t>10.1109/TVCG.2013.226</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</si>
  <si>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</si>
  <si>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Nivan Ferreira;Jorge Poco;Huy T. Vo;Juliana Freire;Cláudio T. Silva</t>
  </si>
  <si>
    <t>NYU Poly;NYU Poly;NYU CUSP;NYU Poly;NYU Poly and NYU CUSP</t>
  </si>
  <si>
    <t>Laura Tateosian;Helena Mit��sov��;Brendan Harmon;Brent Fogleman;Katherine Weaver;Russell S. Harmon</t>
  </si>
  <si>
    <t>10.1109/INFVIS.2004.12;10.1109/VAST.2008.4677356;10.1109/VAST.2011.6102454;10.1109/TVCG.2007.70535;10.1109/VAST.2010.5652467;10.1109/INFVIS.2005.1532150;10.1109/VAST.2008.4677370;10.1109/INFVIS.2000.885086</t>
  </si>
  <si>
    <t>North Carolina State Univ., Raleigh, NC, USA|c|;;;;;</t>
  </si>
  <si>
    <t>Spatio-temporal queries, urban data, taxi movement data, visual exploration</t>
  </si>
  <si>
    <t>Visual Traffic Jam Analysis Based on Trajectory Data</t>
  </si>
  <si>
    <t>10.1109/TVCG.2013.228</t>
  </si>
  <si>
    <t>http://dx.doi.org/10.1109/TVCG.2010.205</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</si>
  <si>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</si>
  <si>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Zuchao Wang;Min Lu;Xiaoru Yuan;Junping Zhang;Huub van de Wetering</t>
  </si>
  <si>
    <t>Key Laboratory of Machine Perception (Ministry of Education), and School of EECS, Peking University;Key Laboratory of Machine Perception (Ministry of Education), and School of EECS, Peking University, and Center for Computational Science and Engineering, Peking University;Key Laboratory of Machine Perception (Ministry of Education), and School of EECS, Peking University, and Center for Computational Science and Engineering, Peking University;Shanghai Key Laboratory of Intelligent Information Processing, and School of Computer Science, Fudan University;Department of Mathematics and Computer Science, Technische Universiteit Eindhoven</t>
  </si>
  <si>
    <t>10.1109/VISUAL.1997.663866;10.1109/VAST.2011.6102454;10.1109/TVCG.2009.145;10.1109/VAST.2012.6400556;10.1109/INFVIS.2004.27;10.1109/VAST.2008.4677356;10.1109/TVCG.2011.202;10.1109/VAST.2012.6400553;10.1109/TVCG.2012.265;10.1109/TVCG.2011.181;10.1109/VAST.2009.5332593;10.1109/TVCG.2008.125;10.1109/VAST.2011.6102455</t>
  </si>
  <si>
    <t>Traffic visualization, traffic jam propagation</t>
  </si>
  <si>
    <t>2014</t>
  </si>
  <si>
    <t>UpSet: Visualization of Intersecting Sets</t>
  </si>
  <si>
    <t>10.1109/TVCG.2014.2346248</t>
  </si>
  <si>
    <t>http://dx.doi.org/10.1109/TVCG.2014.2346248</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</si>
  <si>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</si>
  <si>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Alexander Lex;Nils Gehlenborg;Hendrik Strobelt;Romain Vuillemot;Hanspeter Pfister</t>
  </si>
  <si>
    <t>Hendrik Strobelt and Hanspeter Pfister are with Harvard University.;Harvard Medical School;Hendrik Strobelt and Hanspeter Pfister are with Harvard University.;Romain Vuillemot is with Harvard University;Hendrik Strobelt and Hanspeter Pfister are with Harvard University.</t>
  </si>
  <si>
    <t>10.1109/TVCG.2008.144;10.1109/TVCG.2013.184;10.1109/TVCG.2011.186;10.1109/TVCG.2010.210;10.1109/TVCG.2009.122;10.1109/TVCG.2011.185;10.1109/TVCG.2011.183</t>
  </si>
  <si>
    <t>Sets, set visualization, sets intersections, set attributes, set relationships, multidimensional data</t>
  </si>
  <si>
    <t>Ecole de Technol. Super., Montreal, QC, Canada|c|;;;</t>
  </si>
  <si>
    <t>OnSet: A Visualization Technique for Large-scale Binary Set Data</t>
  </si>
  <si>
    <t>10.1109/TVCG.2014.2346249</t>
  </si>
  <si>
    <t>http://dx.doi.org/10.1109/TVCG.2014.2346249</t>
  </si>
  <si>
    <t>http://dx.doi.org/10.1109/TVCG.2010.206</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</si>
  <si>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</si>
  <si>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Ramik Sadana;Timothy Major;Alistair D. M. Dove;John T. Stasko</t>
  </si>
  <si>
    <t>Ramik Sadana;Timothy Major;Alistair Dove;John Stasko</t>
  </si>
  <si>
    <t>Georgia Tech.;Georgia Tech.;Georgia Aquarium;Georgia Tech.</t>
  </si>
  <si>
    <t>10.1109/TVCG.2010.210;10.1109/TVCG.2009.122;10.1109/TVCG.2011.185;10.1109/TVCG.2008.144;10.1109/TVCG.2011.186;10.1109/TVCG.2013.184</t>
  </si>
  <si>
    <t>Set visualization, information visualization, direct manipulation, Euler diagrams, interaction, logical operations</t>
  </si>
  <si>
    <t>DimpVis: Exploring Time-varying Information Visualizations by Direct Manipulation</t>
  </si>
  <si>
    <t>10.1109/TVCG.2014.2346250</t>
  </si>
  <si>
    <t>http://dx.doi.org/10.1109/TVCG.2014.2346250</t>
  </si>
  <si>
    <t>http://dx.doi.org/10.1109/TVCG.2010.207</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</si>
  <si>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</si>
  <si>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Brittany Kondo;Christopher Collins</t>
  </si>
  <si>
    <t>University of Ontario Institute of Technology;University of Ontario Institute of Technology</t>
  </si>
  <si>
    <t>10.1109/TVCG.2013.147;10.1109/TVCG.2012.204;10.1109/TVCG.2012.260;10.1109/TVCG.2008.175;10.1109/VAST.2012.6400486;10.1109/TVCG.2012.265;10.1109/TVCG.2013.149;10.1109/INFVIS.2005.1532136;10.1109/TVCG.2011.185;10.1109/TVCG.2008.125;10.1109/TVCG.2011.195</t>
  </si>
  <si>
    <t>Time navigation, direct manipulation, information visualization</t>
  </si>
  <si>
    <t>Axis Calibration for Improving Data Attribute Estimation in Star Coordinates Plots</t>
  </si>
  <si>
    <t>10.1109/TVCG.2014.2346258</t>
  </si>
  <si>
    <t>http://dx.doi.org/10.1109/TVCG.2014.2346258</t>
  </si>
  <si>
    <t>Fernando Vieira Paulovich;Cl��udio T. Silva;Luis Gustavo Nonato</t>
  </si>
  <si>
    <t>Univ. de Sao Paulo, Sa&amp;#x0303;o Carlos, Brazil|c|;;</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</si>
  <si>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</si>
  <si>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Manuel Rubio-Sánchez;Alberto Sánchez 0001</t>
  </si>
  <si>
    <t>Manuel Rubio-Sánchez;Alberto Sanchez</t>
  </si>
  <si>
    <t>URJC;URJC</t>
  </si>
  <si>
    <t>10.1109/TVCG.2010.209;10.1109/TVCG.2013.182;10.1109/VISUAL.1990.146402;10.1109/VISUAL.1997.663916</t>
  </si>
  <si>
    <t>Star Coordinates, RadViz, Biplots, Axis calibration, Attribute value estimation, Data centering, Orthographic projection</t>
  </si>
  <si>
    <t>http://dx.doi.org/10.1109/TVCG.2010.208</t>
  </si>
  <si>
    <t>Domino: Extracting, Comparing, and Manipulating Subsets Across Multiple Tabular Datasets</t>
  </si>
  <si>
    <t>10.1109/TVCG.2014.2346260</t>
  </si>
  <si>
    <t>http://dx.doi.org/10.1109/TVCG.2014.2346260</t>
  </si>
  <si>
    <t>J̦rg-Stefan Pra��ni;Timo Ropinski;Klaus H. Hinrichs</t>
  </si>
  <si>
    <t>Visualization &amp; Comput. Graphics Res. Group (VisCG), Univ. of Munster, Munster, Germany|c|;;</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</si>
  <si>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</si>
  <si>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Samuel Gratzl;Nils Gehlenborg;Alexander Lex;Hanspeter Pfister;Marc Streit</t>
  </si>
  <si>
    <t>Johannes Kepler University Linz;Harvard Medical School;Harvard University;Harvard University;Johannes Kepler University Linz</t>
  </si>
  <si>
    <t>http://dx.doi.org/10.1109/TVCG.2010.209</t>
  </si>
  <si>
    <t>10.1109/TVCG.2009.179;10.1109/TVCG.2010.138;10.1109/VISUAL.1990.146402;10.1109/TVCG.2012.207;10.1109/TVCG.2011.250;10.1109/VISUAL.2005.1532788;10.1109/TVCG.2013.173;10.1109/TVCG.2011.183;10.1109/TVCG.2013.160;10.1109/TVCG.2011.201;10.1109/TVCG.2006.166;10.1109/INFVIS.2005.1532152;10.1109/INFVIS.2004.15;10.1109/TVCG.2007.70521</t>
  </si>
  <si>
    <t>Multiple coordinated views, visual linking, relationships, heterogeneous data, categorical data</t>
  </si>
  <si>
    <t>Attribute Signatures: Dynamic Visual Summaries for Analyzing Multivariate Geographical Data</t>
  </si>
  <si>
    <t>10.1109/TVCG.2014.2346265</t>
  </si>
  <si>
    <t>http://dx.doi.org/10.1109/TVCG.2014.2346265</t>
  </si>
  <si>
    <t>Comput. Sci. Dept., Univ. of Trier, Trier, Germany|c|;;</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</si>
  <si>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</si>
  <si>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Cagatay Turkay;Aidan Slingsby;Helwig Hauser;Jo Wood;Jason Dykes</t>
  </si>
  <si>
    <t>http://dx.doi.org/10.1109/TVCG.2010.210</t>
  </si>
  <si>
    <t>Dep. of Computer Science at City University London, UK;Dep. of Computer Science at City University London, UK;Department of Informatics at University of Bergen, Bergen, Norway;Dep. of Computer Science at City University London, UK;Dep. of Computer Science at City University London, UK</t>
  </si>
  <si>
    <t>10.1109/TVCG.2013.173;10.1109/TVCG.2011.178;10.1109/TVCG.2013.226;10.1109/TVCG.2011.197;10.1109/TVCG.2007.70558;10.1109/TVCG.2008.149;10.1109/INFVIS.2004.12;10.1109/TVCG.2012.256;10.1109/TVCG.2007.70574;10.1109/VAST.2008.4677350;10.1109/TVCG.2008.125;10.1109/TVCG.2013.122</t>
  </si>
  <si>
    <t>Visual analytics, multi-variate data, geographic information, geovisualization, interactive data analysis</t>
  </si>
  <si>
    <t>Origin-Destination Flow Data Smoothing and Mapping</t>
  </si>
  <si>
    <t>10.1109/TVCG.2014.2346271</t>
  </si>
  <si>
    <t>http://dx.doi.org/10.1109/TVCG.2014.2346271</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</si>
  <si>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</si>
  <si>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Diansheng Guo;Xi Zhu 0002</t>
  </si>
  <si>
    <t>Diansheng Guo;Xi Zhu</t>
  </si>
  <si>
    <t>Department of Geography, University of South Carolina;Department of Geography, University of South Carolina</t>
  </si>
  <si>
    <t>10.1109/TVCG.2009.143;10.1109/TVCG.2008.135;10.1109/TVCG.2006.147;10.1109/TVCG.2006.193;10.1109/TVCG.2011.202;10.1109/INFVIS.2005.1532150;10.1109/TVCG.2011.181;10.1109/VISUAL.2005.1532819</t>
  </si>
  <si>
    <t>flow mapping, kernel smoothing, generalization, multi-resolution mapping, graph drawing, spatial data mining</t>
  </si>
  <si>
    <t>http://dx.doi.org/10.1109/TVCG.2010.211</t>
  </si>
  <si>
    <t>Stenomaps: Shorthand for shapes</t>
  </si>
  <si>
    <t>10.1109/TVCG.2014.2346274</t>
  </si>
  <si>
    <t>http://dx.doi.org/10.1109/TVCG.2014.2346274</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</si>
  <si>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C&amp;lt;sup&amp;gt;1&amp;lt;/sup&amp;gt;-continuous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</si>
  <si>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Arthur van Goethem;Andreas Reimer;Bettina Speckmann;Jo Wood</t>
  </si>
  <si>
    <t>TU Eindhoven;Universität Heidelberg;TU Eindhoven;City University London</t>
  </si>
  <si>
    <t>Schematisation, Maps, Algorithm, Design</t>
  </si>
  <si>
    <t>Center of Visual Comput., Stony Brook Univ., Stony Brook, NY, USA|c|;;</t>
  </si>
  <si>
    <t>Nmap: A Novel Neighborhood Preservation Space-filling Algorithm</t>
  </si>
  <si>
    <t>10.1109/TVCG.2014.2346276</t>
  </si>
  <si>
    <t>http://dx.doi.org/10.1109/TVCG.2014.2346276</t>
  </si>
  <si>
    <t>http://dx.doi.org/10.1109/TVCG.2010.212</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</si>
  <si>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</si>
  <si>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Felipe S. L. G. Duarte;Fabio Sikansi;Francisco M. Fatore;Samuel G. Fadel;Fernando Vieira Paulovich</t>
  </si>
  <si>
    <t>Felipe S. L. G. Duarte;Fabio Sikansi;Francisco M. Fatore;Samuel G. Fadel;Fernando V. Paulovich</t>
  </si>
  <si>
    <t>Institute of Mathematics and Computer Science, São Carlos, Sp, Brazil;Institute of Mathematics and Computer Science, São Carlos, Sp, Brazil;Institute of Mathematics and Computer Science, São Carlos, Sp, Brazil;Institute of Mathematics and Computer Science, São Carlos, Sp, Brazil;Institute of Mathematics and Computer Science, São Carlos, Sp, Brazil</t>
  </si>
  <si>
    <t>10.1109/INFVIS.2000.885091;10.1109/INFVIS.2005.1532145;10.1109/TVCG.2007.70522;10.1109/TVCG.2009.128;10.1109/TVCG.2007.70529;10.1109/VISUAL.1991.175815;10.1109/TVCG.2008.165</t>
  </si>
  <si>
    <t>Space-filling techniques, treemaps, distance-similarity preservation</t>
  </si>
  <si>
    <t>Tree Colors: Color Schemes for Tree-Structured Data</t>
  </si>
  <si>
    <t>10.1109/TVCG.2014.2346277</t>
  </si>
  <si>
    <t>http://dx.doi.org/10.1109/TVCG.2014.2346277</t>
  </si>
  <si>
    <t>St̩phane Marchesin;Cheng-Kai Chen;Chris Ho;Kwan-Liu Ma</t>
  </si>
  <si>
    <t>http://dx.doi.org/10.1109/TVCG.2010.213</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</si>
  <si>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</si>
  <si>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Martijn Tennekes;Edwin de Jonge</t>
  </si>
  <si>
    <t>Statistics Netherlands;Statistics Netherlands</t>
  </si>
  <si>
    <t>10.1109/TVCG.2011.193;10.1109/INFVIS.2000.885091;10.1109/INFVIS.2002.1173151</t>
  </si>
  <si>
    <t>Color schemes, statistical graphics, hierarchical data</t>
  </si>
  <si>
    <t>Revisiting Bertin Matrices: New Interactions for Crafting Tabular Visualizations</t>
  </si>
  <si>
    <t>10.1109/TVCG.2014.2346279</t>
  </si>
  <si>
    <t>http://dx.doi.org/10.1109/TVCG.2014.2346279</t>
  </si>
  <si>
    <t>http://dx.doi.org/10.1109/TVCG.2010.214</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</si>
  <si>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</si>
  <si>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Charles Perin;Pierre Dragicevic;Jean-Daniel Fekete</t>
  </si>
  <si>
    <t>10.1109/TVCG.2006.160;10.1109/TVCG.2014.2346292;10.1109/TVCG.2014.2346426</t>
  </si>
  <si>
    <t>Visualization, Interaction, Tabular Data, Bertin, Crossing, Crossets</t>
  </si>
  <si>
    <t>iVisDesigner: Expressive Interactive Design of Information Visualizations</t>
  </si>
  <si>
    <t>10.1109/TVCG.2014.2346291</t>
  </si>
  <si>
    <t>http://dx.doi.org/10.1109/TVCG.2014.2346291</t>
  </si>
  <si>
    <t>Artem Amirkhanov;Christoph Heinzl;Michael Reiter;M. Eduard Gr̦ller</t>
  </si>
  <si>
    <t>Inst. of Comput. Graphics &amp; Algorithms, Vienna Univ. of Technol., Vienna, Austria|c|;;;</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</si>
  <si>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</si>
  <si>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Donghao Ren;Tobias Höllerer;Xiaoru Yuan</t>
  </si>
  <si>
    <t>Department of Computer Science, University of California, Santa Barbara;Department of Computer Science, University of California, Santa Barbara;Key Laboratory of Machine Perception (Ministry of Education), School of EECS</t>
  </si>
  <si>
    <t>10.1109/INFVIS.2004.12;10.1109/TVCG.2010.144;10.1109/TVCG.2009.179;10.1109/TVCG.2009.174;10.1109/VISUAL.2005.1532788;10.1109/TVCG.2011.185;10.1109/TVCG.2007.70577;10.1109/INFVIS.2004.64;10.1109/TVCG.2010.126;10.1109/TVCG.2013.191;10.1109/INFVIS.1997.636792;10.1109/TVCG.2011.201;10.1109/TVCG.2011.261;10.1109/TVCG.2012.275;10.1109/INFVIS.1997.636761</t>
  </si>
  <si>
    <t>http://dx.doi.org/10.1109/TVCG.2010.215</t>
  </si>
  <si>
    <t>Visualization design, Interactive Design, Interaction, Expressiveness, Web-based visualization</t>
  </si>
  <si>
    <t>Constructing Visual Representations: Investigating the Use of Tangible Tokens</t>
  </si>
  <si>
    <t>10.1109/TVCG.2014.2346292</t>
  </si>
  <si>
    <t>http://dx.doi.org/10.1109/TVCG.2014.2346292</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</si>
  <si>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</si>
  <si>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Samuel Huron;Yvonne Jansen;Sheelagh Carpendale</t>
  </si>
  <si>
    <t>Inria and IRI;Inria and University of Copenhagen;University of Calgary</t>
  </si>
  <si>
    <t>10.1109/TVCG.2009.176;10.1109/TVCG.2011.185;10.1109/TVCG.2013.227;10.1109/TVCG.2007.70577;10.1109/INFVIS.2004.64;10.1109/TVCG.2011.251;10.1109/VISUAL.1997.663890;10.1109/TVCG.2012.275;10.1109/TVCG.2013.134;10.1109/TVCG.2010.164;10.1109/TVCG.2007.70541;10.1109/TVCG.2012.199</t>
  </si>
  <si>
    <t>Constructive visualization, Physical visualization, Dynamic visualization, Empirical study, Token, Visualization authoring, Information visualization, Visual mapping, Novices, Visualization construction, Visual analytics</t>
  </si>
  <si>
    <t>http://dx.doi.org/10.1109/TVCG.2010.216</t>
  </si>
  <si>
    <t>PanoramicData: Data Analysis through Pen &amp; Touch</t>
  </si>
  <si>
    <t>10.1109/TVCG.2014.2346293</t>
  </si>
  <si>
    <t>http://dx.doi.org/10.1109/TVCG.2014.2346293</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</si>
  <si>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</si>
  <si>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Emanuel Zgraggen;Robert C. Zeleznik;Steven M. Drucker</t>
  </si>
  <si>
    <t>Emanuel Zgraggen;Robert Zeleznik;Steven M. Drucker</t>
  </si>
  <si>
    <t>Brown University;Brown University;Microsoft Research</t>
  </si>
  <si>
    <t>10.1109/INFVIS.2000.885086;10.1109/TVCG.2009.162;10.1109/TVCG.2010.164;10.1109/TVCG.2011.251;10.1109/TVCG.2013.191;10.1109/TVCG.2012.275;10.1109/VAST.2007.4389013;10.1109/TVCG.2013.150;10.1109/TVCG.2007.70521;10.1109/TVCG.2008.137;10.1109/INFVIS.2005.1532136;10.1109/TVCG.2007.70594;10.1109/TVCG.2012.204</t>
  </si>
  <si>
    <t>Visual analytics, pen and touch, user interfaces, interaction design, coordinated and multiple views</t>
  </si>
  <si>
    <t>Sch. of Electr. Eng. &amp; Comput. Sci., Oregon State Univ., Corvallis, OR, USA|c|;;;;</t>
  </si>
  <si>
    <t>Visualizing Statistical Mix Effects and Simpson's Paradox</t>
  </si>
  <si>
    <t>10.1109/TVCG.2014.2346297</t>
  </si>
  <si>
    <t>http://dx.doi.org/10.1109/TVCG.2014.2346297</t>
  </si>
  <si>
    <t>http://dx.doi.org/10.1109/TVCG.2010.217</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</si>
  <si>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</si>
  <si>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Zan Armstrong;Martin Wattenberg</t>
  </si>
  <si>
    <t>Google at the time of research, currently unaffiliated;Google</t>
  </si>
  <si>
    <t>10.1109/TVCG.2012.213;10.1109/TVCG.2007.70577</t>
  </si>
  <si>
    <t>Mix effects, Omitted variable bias, Simpson's paradox, Statistics</t>
  </si>
  <si>
    <t>Error Bars Considered Harmful: Exploring Alternate Encodings for Mean and Error</t>
  </si>
  <si>
    <t>10.1109/TVCG.2014.2346298</t>
  </si>
  <si>
    <t>http://dx.doi.org/10.1109/TVCG.2014.2346298</t>
  </si>
  <si>
    <t>Stefan J�_nicke;Christian Heine 0002;Marc Hellmuth;Peter F. Stadler;Gerik Scheuermann</t>
  </si>
  <si>
    <t>Inst. for Compute r Sci., Univ. of Leipzig, Leipzig, Germany|c|;;;;</t>
  </si>
  <si>
    <t>http://dx.doi.org/10.1109/TVCG.2010.218</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</si>
  <si>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</si>
  <si>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Michael Correll;Michael Gleicher</t>
  </si>
  <si>
    <t>Department of Computer Sciences, University of Wisconsin-Madison;Department of Computer Sciences, University of Wisconsin-Madison</t>
  </si>
  <si>
    <t>10.1109/TVCG.2012.220;10.1109/TVCG.2012.199;10.1109/TVCG.2012.262;10.1109/TVCG.2011.175;10.1109/TVCG.2012.279</t>
  </si>
  <si>
    <t>Visual statistics, information visualization, crowd-sourcing, empirical evaluation</t>
  </si>
  <si>
    <t>MovExp: A Versatile Visualization Tool for Human-Computer Interaction Studies with 3D Performance and Biomechanical Data</t>
  </si>
  <si>
    <t>10.1109/TVCG.2014.2346311</t>
  </si>
  <si>
    <t>http://dx.doi.org/10.1109/TVCG.2014.2346311</t>
  </si>
  <si>
    <t>Univ. of California, Davis, CA, USA|c|;</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</si>
  <si>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</si>
  <si>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Gregorio Palmas;Myroslav Bachynskyi;Antti Oulasvirta;Hans-Peter Seidel;Tino Weinkauf</t>
  </si>
  <si>
    <t>Gregorio Palmas;Myroslav Bachynskyi;Antti Oulasvirta;Hans-Peter Seidel;Tina Weinkauf</t>
  </si>
  <si>
    <t>Max Planck Institute for Informatics;Max Planck Institute for Informatics;Max Planck Institute for Informatics;Max Planck Institute for Informatics;Max Planck Institute for Informatics</t>
  </si>
  <si>
    <t>10.1109/TVCG.2009.152;10.1109/TVCG.2012.213;10.1109/TVCG.2012.204;10.1109/INFVIS.2000.885086;10.1109/VISUAL.1994.346302;10.1109/INFVIS.2004.12</t>
  </si>
  <si>
    <t>Information visualization, Design study, Human-Computer Interaction</t>
  </si>
  <si>
    <t>http://dx.doi.org/10.1109/TVCG.2010.221</t>
  </si>
  <si>
    <t>NeuroLines: A Subway Map Metaphor for Visualizing Nanoscale Neuronal Connectivity</t>
  </si>
  <si>
    <t>10.1109/TVCG.2014.2346312</t>
  </si>
  <si>
    <t>http://dx.doi.org/10.1109/TVCG.2014.2346312</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</si>
  <si>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</si>
  <si>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Univ. of Minnesota, Duluth, MN, USA|c|;;;</t>
  </si>
  <si>
    <t>Ali K. Al-Awami;Johanna Beyer;Hendrik Strobelt;Narayanan Kasthuri;Jeff Lichtman;Hanspeter Pfister;Markus Hadwiger</t>
  </si>
  <si>
    <t>http://dx.doi.org/10.1109/TVCG.2010.222</t>
  </si>
  <si>
    <t>Ali K. Al-Awami;Johanna Beyer;Hendrik Strobelt;Narayanan Kasthuri;Jeff W. Lichtman;Hanspeter Pfister;Markus Hadwiger</t>
  </si>
  <si>
    <t>King Abdullah University of Science and Technology (KAUST);School of Engineering and Applied Sciences at Harvard University;School of Engineering and Applied Sciences at Harvard University;Center for Brain Science at Harvard University;Center for Brain Science at Harvard University;School of Engineering and Applied Sciences at Harvard University;King Abdullah University of Science and Technology (KAUST)</t>
  </si>
  <si>
    <t>10.1109/TVCG.2013.142;10.1109/TVCG.2012.240;10.1109/TVCG.2014.2346371;10.1109/TVCG.2009.121;10.1109/VAST.2011.6102439;10.1109/TVCG.2009.108;10.1109/TVCG.2011.192;10.1109/VISUAL.2002.1183754;10.1109/TVCG.2013.154</t>
  </si>
  <si>
    <t>Connectomics, Neuroscience, Data Abstraction, Multi-Trees, Focus+Context</t>
  </si>
  <si>
    <t>Four Experiments on the Perception of Bar Charts</t>
  </si>
  <si>
    <t>10.1109/TVCG.2014.2346320</t>
  </si>
  <si>
    <t>http://dx.doi.org/10.1109/TVCG.2014.2346320</t>
  </si>
  <si>
    <t>Bar charts are one of the most common visualization types. In a classic graphical perception paper, Cleveland &amp;amp;amp;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&amp;amp;amp; McGill's ranking of various bar chart configurations, we provide additional insight into the bar chart reading task and the sources of participants' errors. We use our results to propose new hypotheses on the perception of bar charts.</t>
  </si>
  <si>
    <t>Justin Talbot;Vidya Setlur;Anushka Anand</t>
  </si>
  <si>
    <t>Tableau Research;Tableau Research;Tableau Research</t>
  </si>
  <si>
    <t>Graphical perception, bar charts</t>
  </si>
  <si>
    <t>Visual Parameter Space Analysis: A Conceptual Framework</t>
  </si>
  <si>
    <t>10.1109/TVCG.2014.2346321</t>
  </si>
  <si>
    <t>http://dx.doi.org/10.1109/TVCG.2014.2346321</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</si>
  <si>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</si>
  <si>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Michael Sedlmair;Christoph Heinzl;Stefan Bruckner;Harald Piringer;Torsten Möller</t>
  </si>
  <si>
    <t>University of Vienna;University of Applied Sciences Upper Austria;University of Bergen;VRVis;University of Vienna</t>
  </si>
  <si>
    <t>10.1109/INFVIS.1995.528680;10.1109/TVCG.2010.177;10.1109/TVCG.2008.145;10.1109/TVCG.2012.219;10.1109/TVCG.2009.155;10.1109/TVCG.2010.223;10.1109/TVCG.2012.224;10.1109/TVCG.2012.213;10.1109/TVCG.2010.190;10.1109/INFVIS.2005.1532136;10.1109/VISUAL.1993.398859;10.1109/VAST.2009.5333431;10.1109/TVCG.2007.70581;10.1109/TVCG.2013.142;10.1109/VAST.2010.5652392;10.1109/INFVIS.2005.1532142;10.1109/TVCG.2013.130;10.1109/TVCG.2013.147;10.1109/TVCG.2013.124;10.1109/TVCG.2012.190;10.1109/TVCG.2009.111;10.1109/TVCG.2011.229;10.1109/TVCG.2013.157;10.1109/TVCG.2013.125;10.1109/VAST.2011.6102450;10.1109/VISUAL.2005.1532788;10.1109/TVCG.2013.126;10.1109/TVCG.2011.248;10.1109/TVCG.2010.214;10.1109/TVCG.2009.170;10.1109/VAST.2011.6102457;10.1109/TVCG.2013.120;10.1109/TVCG.2011.253</t>
  </si>
  <si>
    <t>Parameter space analysis, input-output model, simulation, task characterization, literature analysis</t>
  </si>
  <si>
    <t>Moving beyond sequential design: Reflections on a rich multi-channel approach to data visualization</t>
  </si>
  <si>
    <t>10.1109/TVCG.2014.2346323</t>
  </si>
  <si>
    <t>http://dx.doi.org/10.1109/TVCG.2014.2346323</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</si>
  <si>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</si>
  <si>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Jo Wood;Roger Beecham;Jason Dykes</t>
  </si>
  <si>
    <t>10.1109/TVCG.2012.272;10.1109/TVCG.2012.262;10.1109/TVCG.2012.213;10.1109/TVCG.2011.175;10.1109/TVCG.2013.134;10.1109/TVCG.2010.179;10.1109/TVCG.2013.132;10.1109/INFVIS.2004.59;10.1109/TVCG.2011.209;10.1109/TVCG.2013.145;10.1109/TVCG.2008.127</t>
  </si>
  <si>
    <t>Movement visualization, visual analytics, bikeshare, impact, visualization models, design study</t>
  </si>
  <si>
    <t>An Algebraic Process for Visualization Design</t>
  </si>
  <si>
    <t>10.1109/TVCG.2014.2346325</t>
  </si>
  <si>
    <t>http://dx.doi.org/10.1109/TVCG.2014.2346325</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</si>
  <si>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</si>
  <si>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Gordon L. Kindlmann;Carlos Eduardo Scheidegger</t>
  </si>
  <si>
    <t>Gordon Kindlmann;Carlos Scheidegger</t>
  </si>
  <si>
    <t>University of Chicago;University of Arizona</t>
  </si>
  <si>
    <t>10.1109/TVCG.2013.173;10.1109/INFVIS.1999.801860;10.1109/TVCG.2010.132;10.1109/TVCG.2010.199;10.1109/VISUAL.1996.568118;10.1109/TVCG.2013.124;10.1109/TVCG.2009.125;10.1109/TVCG.2009.111;10.1109/TVCG.2007.70594;10.1109/TVCG.2013.119;10.1109/INFVIS.2003.1249005;10.1109/INFVIS.2004.59;10.1109/VISUAL.1996.567784;10.1109/TVCG.2013.126;10.1109/TVCG.2008.121;10.1109/TVCG.2012.230;10.1109/TVCG.2010.161</t>
  </si>
  <si>
    <t>Visualization Design, Symmetries, Visualization Theory</t>
  </si>
  <si>
    <t>Design Activity Framework for Visualization Design</t>
  </si>
  <si>
    <t>10.1109/TVCG.2014.2346331</t>
  </si>
  <si>
    <t>http://dx.doi.org/10.1109/TVCG.2014.2346331</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</si>
  <si>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</si>
  <si>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Sean McKenna;Dominika Mazur;James Agutter;Miriah D. Meyer</t>
  </si>
  <si>
    <t>Sean McKenna;Dominika Mazur;James Agutter;Miriah Meyer</t>
  </si>
  <si>
    <t>School of Computing, Salt Lake City, UT;Department of Psychology, University of Utah, Salt Lake City, UT;College of Architecture and Planning, University of Utah, Salt Lake City, UT;School of Computing, Salt Lake City, UT</t>
  </si>
  <si>
    <t>10.1109/TVCG.2012.213;10.1109/TVCG.2011.209;10.1109/TVCG.2009.111;10.1109/TVCG.2013.126;10.1109/TVCG.2013.145</t>
  </si>
  <si>
    <t>Design, frameworks, process, cybersecurity, nested model, decisions, models, evaluation, visualization</t>
  </si>
  <si>
    <t>The Persuasive Power of Data Visualization</t>
  </si>
  <si>
    <t>10.1109/TVCG.2014.2346419</t>
  </si>
  <si>
    <t>http://dx.doi.org/10.1109/TVCG.2014.2346419</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</si>
  <si>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</si>
  <si>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Anshul Vikram Pandey;Anjali Manivannan;Oded Nov;Margaret Satterthwaite;Enrico Bertini</t>
  </si>
  <si>
    <t>New York University;New York University;New York University;New York University;New York University</t>
  </si>
  <si>
    <t>10.1109/TVCG.2012.199;10.1109/TVCG.2012.221;10.1109/TVCG.2012.197;10.1109/TVCG.2011.192;10.1109/TVCG.2013.234</t>
  </si>
  <si>
    <t>Persuasive visualization, elaboration likelihood model, evaluation</t>
  </si>
  <si>
    <t>http://dx.doi.org/10.1109/TVCG.2010.223</t>
  </si>
  <si>
    <t>J�_rgen Waser;Raphael Fuchs;Hrvoje Ribicic;Benjamin Schindler;G�_nter Bl̦schl;M. Eduard Gr̦ller</t>
  </si>
  <si>
    <t>VRVis Vienna, Vienna, Austria|c|;;;;;</t>
  </si>
  <si>
    <t>http://dx.doi.org/10.1109/VAST.2010.5649831</t>
  </si>
  <si>
    <t>http://dx.doi.org/10.1109/VAST.2010.5649905</t>
  </si>
  <si>
    <t>Simon Fraser Univ., Burnaby, BC, Canada|c|;;;</t>
  </si>
  <si>
    <t>http://ieeexplore.ieee.org/xpl/articleDetails.jsp?arnumber=5650177</t>
  </si>
  <si>
    <t>Tobias Ruppert;J̦rn Kohlhammer</t>
  </si>
  <si>
    <t>Fraunhofer Inst. for Comput. Graphics Res. (IGD), Darmstadt, Germany|c|;</t>
  </si>
  <si>
    <t>http://dx.doi.org/10.1109/VAST.2010.5650199</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</si>
  <si>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 - 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</si>
  <si>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Res. Inst., Ohio State Univ. Biophys. Program, Columbus, OH, USA|c|</t>
  </si>
  <si>
    <t>http://dx.doi.org/10.1109/VAST.2010.5650219</t>
  </si>
  <si>
    <t>http://dx.doi.org/10.1109/VAST.2010.5650251</t>
  </si>
  <si>
    <t>Center for Spatial Anal., Univ. of Oklahoma, Norman, OK, USA|c|;</t>
  </si>
  <si>
    <t>http://dx.doi.org/10.1109/VAST.2010.5650766</t>
  </si>
  <si>
    <t>Ming C. Hao;Manish Marwah;Halld�_r Janetzko;Daniel A. Keim;Umeshwar Dayal;Ratnesh K. Sharma;Debprakash Patnaik;Naren Ramakrishnan</t>
  </si>
  <si>
    <t>http://dx.doi.org/10.1109/VAST.2010.5650815</t>
  </si>
  <si>
    <t>Sch. of Comput. Sci., Univ. of Oklahoma, Norman, OK, USA|c|;;;</t>
  </si>
  <si>
    <t>http://dx.doi.org/10.1109/VAST.2010.5650854</t>
  </si>
  <si>
    <t>http://dx.doi.org/10.1109/VAST.2010.5651192</t>
  </si>
  <si>
    <t>http://dx.doi.org/10.1109/VAST.2010.5651617</t>
  </si>
  <si>
    <t>http://dx.doi.org/10.1109/VAST.2010.5651676</t>
  </si>
  <si>
    <t>J�_rgen Bernard;Tatiana von Landesberger;Sebastian Bremm;Tobias Schreck</t>
  </si>
  <si>
    <t>Interactive Graphics Syst. Group, Tech. Univ. Darmstadt, Darmstadt, Germany|c|;;;</t>
  </si>
  <si>
    <t>http://dx.doi.org/10.1109/VAST.2010.5651694</t>
  </si>
  <si>
    <t>VRVis Res. Center, Vienna, Austria|c|;</t>
  </si>
  <si>
    <t>http://dx.doi.org/10.1109/VAST.2010.5652392</t>
  </si>
  <si>
    <t>Stephen Ingram;Tamara Munzner;Veronika Irvine;Melanie Tory;Steven Bergner;Torsten M̦ller</t>
  </si>
  <si>
    <t>Univ. of British Columbia, Vancouver, BC, Canada|c|;;;;;</t>
  </si>
  <si>
    <t>http://dx.doi.org/10.1109/VAST.2010.5652398</t>
  </si>
  <si>
    <t>Intell. Syst. Lab. Amsterdam, Univ. of Amsterdam, Amsterdam, Netherlands|c|;</t>
  </si>
  <si>
    <t>http://dx.doi.org/10.1109/VAST.2010.5652433</t>
  </si>
  <si>
    <t>Tech. Univ. Braunschweig, Braunschweig, Germany|c|;;;;</t>
  </si>
  <si>
    <t>http://dx.doi.org/10.1109/VAST.2010.5652443</t>
  </si>
  <si>
    <t>Sch. of Comput. Sci. &amp; Eng., Georgia Inst. of Technol., Atlanta, GA, USA|c|;;;</t>
  </si>
  <si>
    <t>http://dx.doi.org/10.1109/VAST.2010.5652450</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</si>
  <si>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 - ori assumptions. Hence, our method holds good prospects for discovering new relations as well.</t>
  </si>
  <si>
    <t>Johann Bernoulli Inst. for Math. &amp; Comput. Sci., Univ. of Groningen, Groningen, Netherlands|c|;;;;</t>
  </si>
  <si>
    <t>http://dx.doi.org/10.1109/VAST.2010.5652460</t>
  </si>
  <si>
    <t>http://dx.doi.org/10.1109/VAST.2010.5652467</t>
  </si>
  <si>
    <t>Univ. of Illinois at Urbana-Champaign, Urbana, IL, USA|c|;;</t>
  </si>
  <si>
    <t>http://dx.doi.org/10.1109/VAST.2010.5652478</t>
  </si>
  <si>
    <t>Gennady L. Andrienko;Natalia V. Andrienko;Martin Mladenov;Michael Mock;Christian P̦litz</t>
  </si>
  <si>
    <t>Fraunhofer Inst. IAIS (Intell. Anal. &amp; Inf. Syst.), St. Augustin, Germany|c|;;;;</t>
  </si>
  <si>
    <t>http://dx.doi.org/10.1109/VAST.2010.5652484</t>
  </si>
  <si>
    <t>Comput. Sci. Dept., Stony Brook Univ., Stony Brook, NY, USA|c|;;</t>
  </si>
  <si>
    <t>http://dx.doi.org/10.1109/VAST.2010.5652520</t>
  </si>
  <si>
    <t>http://dx.doi.org/10.1109/VAST.2010.5652530</t>
  </si>
  <si>
    <t>http://dx.doi.org/10.1109/VAST.2010.5652532</t>
  </si>
  <si>
    <t>Dept. of Neurology, Univ. of California, Los Angeles, CA, USA|c|;;</t>
  </si>
  <si>
    <t>http://dx.doi.org/10.1109/VAST.2010.5652879</t>
  </si>
  <si>
    <t>http://dx.doi.org/10.1109/VAST.2010.5652880</t>
  </si>
  <si>
    <t>http://dx.doi.org/10.1109/VAST.2010.5652885</t>
  </si>
  <si>
    <t>Dept. of Comput. Sci., UNC Charlotte, Charlotte, NC, USA|c|;;</t>
  </si>
  <si>
    <t>http://dx.doi.org/10.1109/VAST.2010.5652890</t>
  </si>
  <si>
    <t>Inf. Sci. Inst., Univ. of Southern California, Los Angeles, CA, USA|c|;</t>
  </si>
  <si>
    <t>http://dx.doi.org/10.1109/VAST.2010.5652895</t>
  </si>
  <si>
    <t>Dept. of Inf. Sci. &amp; Technol., Rochester Inst. of Technol., Rochester, NY, USA|c|;</t>
  </si>
  <si>
    <t>http://dx.doi.org/10.1109/VAST.2010.5652896</t>
  </si>
  <si>
    <t>http://dx.doi.org/10.1109/VAST.2010.5652910</t>
  </si>
  <si>
    <t>http://dx.doi.org/10.1109/VAST.2010.5652922</t>
  </si>
  <si>
    <t>http://dx.doi.org/10.1109/VAST.2010.5652926</t>
  </si>
  <si>
    <t>http://dx.doi.org/10.1109/VAST.2010.5652931</t>
  </si>
  <si>
    <t>IBM Res. - China, Beijing, China|c|;;;;;</t>
  </si>
  <si>
    <t>http://dx.doi.org/10.1109/VAST.2010.5652932</t>
  </si>
  <si>
    <t>Dept. of Comput. Sci., Virginia Tech, Blacksburg, VA, USA|c|;;;;;</t>
  </si>
  <si>
    <t>http://dx.doi.org/10.1109/VAST.2010.5652940</t>
  </si>
  <si>
    <t>Univ. of Leipzig, Leipzig, Germany|c|;;;;;;</t>
  </si>
  <si>
    <t>http://dx.doi.org/10.1109/VAST.2010.5652951</t>
  </si>
  <si>
    <t>Orland Hoeber;Garnett Carl Wilson;Simon Harding;Ren̩ Enguehard;Rodolphe Devillers</t>
  </si>
  <si>
    <t>http://dx.doi.org/10.1109/VAST.2010.5652958</t>
  </si>
  <si>
    <t>Univ. of the District of Columbia, Washington, DC, USA|c|;;;;</t>
  </si>
  <si>
    <t>http://dx.doi.org/10.1109/VAST.2010.5652968</t>
  </si>
  <si>
    <t>http://dx.doi.org/10.1109/VAST.2010.5653580</t>
  </si>
  <si>
    <t>http://dx.doi.org/10.1109/VAST.2010.5653587</t>
  </si>
  <si>
    <t>Sch. of Interactive Arts + Technol., Simon Fraser Univ., Surrey, BC, Canada|c|;</t>
  </si>
  <si>
    <t>http://dx.doi.org/10.1109/VAST.2010.5653598</t>
  </si>
  <si>
    <t>Univ. of North Carolina at Charlotte, Charlotte, NC, USA|c|;;;;</t>
  </si>
  <si>
    <t>http://dx.doi.org/10.1109/VAST.2010.5653599</t>
  </si>
  <si>
    <t>Univ. of North Carolina at Charlotte, Charlotte, NC, USA|c|;;;;;;;</t>
  </si>
  <si>
    <t>http://dx.doi.org/10.1109/VAST.2010.5653822</t>
  </si>
  <si>
    <t>http://dx.doi.org/10.1109/VAST.2010.5654445</t>
  </si>
  <si>
    <t>Thorsten May;James Davey;J̦rn Kohlhammer</t>
  </si>
  <si>
    <t>Fraunhofer Inst. for Comput. Graphics Res., Darmstadt, Germany|c|;;</t>
  </si>
  <si>
    <t>http://dx.doi.org/10.1109/VAST.2010.5654451</t>
  </si>
  <si>
    <t>Syst. of Syst. Sect., Defence R&amp;D Canada, Quebec City, QC, Canada|c|;;;</t>
  </si>
  <si>
    <t>http://dx.doi.org/10.1109/TVCG.2011.159</t>
  </si>
  <si>
    <t>Jan Reininghaus;Natallia Kotava;David G�_nther;Jens Kasten;Hans Hagen;Ingrid Hotz</t>
  </si>
  <si>
    <t>Zuse Inst. Berlin, Berlin, Germany|c|;;;;;</t>
  </si>
  <si>
    <t>http://dx.doi.org/10.1109/TVCG.2011.160</t>
  </si>
  <si>
    <t>Inria, France;;;</t>
  </si>
  <si>
    <t>http://dx.doi.org/10.1109/TVCG.2011.161</t>
  </si>
  <si>
    <t>Visualization &amp; Comput. Graphics Res. Group, Univ. of Munster, Munster, Germany|c|;</t>
  </si>
  <si>
    <t>http://dx.doi.org/10.1109/TVCG.2011.162</t>
  </si>
  <si>
    <t>Inst. for Data Anal. &amp; Visualization, Univ. of California, Davis, CA, USA|c|;;;;;;;</t>
  </si>
  <si>
    <t>http://dx.doi.org/10.1109/TVCG.2011.163</t>
  </si>
  <si>
    <t>http://dx.doi.org/10.1109/TVCG.2011.164</t>
  </si>
  <si>
    <t>State Key Lab. of CAD&amp;CG, Zhejiang Univ., Hangzhou, China|c|;;</t>
  </si>
  <si>
    <t>http://dx.doi.org/10.1109/TVCG.2011.165</t>
  </si>
  <si>
    <t>ISTI, CNR, Pisa, Italy|c|;;;</t>
  </si>
  <si>
    <t>http://dx.doi.org/10.1109/TVCG.2011.166</t>
  </si>
  <si>
    <t>Visual Comput. Group, Swansea Univ., Swansea, UK|c|;;;;</t>
  </si>
  <si>
    <t>http://dx.doi.org/10.1109/TVCG.2011.167</t>
  </si>
  <si>
    <t>http://dx.doi.org/10.1109/TVCG.2011.168</t>
  </si>
  <si>
    <t>Dalle Molle Inst. for Artificial Intell., Lugano, Switzerland|c|;;;;;</t>
  </si>
  <si>
    <t>http://dx.doi.org/10.1109/TVCG.2011.169</t>
  </si>
  <si>
    <t>Dept. of Comput. &amp; Inf. Sci., Univ. of Konstanz, Konstanz, Germany|c|;</t>
  </si>
  <si>
    <t>http://dx.doi.org/10.1109/TVCG.2011.170</t>
  </si>
  <si>
    <t>SCI, Univ. of Utah, Salt Lake City, UT, USA|c|;;;;;;</t>
  </si>
  <si>
    <t>http://dx.doi.org/10.1109/TVCG.2011.171</t>
  </si>
  <si>
    <t>Wayne State Univ., Detroit, MI, USA|c|;;;</t>
  </si>
  <si>
    <t>http://dx.doi.org/10.1109/TVCG.2011.173</t>
  </si>
  <si>
    <t>http://dx.doi.org/10.1109/TVCG.2011.174</t>
  </si>
  <si>
    <t>http://dx.doi.org/10.1109/TVCG.2011.175</t>
  </si>
  <si>
    <t>http://dx.doi.org/10.1109/TVCG.2011.176</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</si>
  <si>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 udies that show how BirdVis has helped scientists obtain new evidence for existing hypotheses, as well as formulate new hypotheses in their domain.</t>
  </si>
  <si>
    <t>Nivan Ferreira;Lauro Didier Lins;Daniel Fink;Steve Kelling;Christopher Wood;Juliana Freire;Cl��udio T. Silva</t>
  </si>
  <si>
    <t>http://dx.doi.org/10.1109/TVCG.2011.177</t>
  </si>
  <si>
    <t>SCI Inst., Univ. of Utah, Salt Lake City, UT, USA|c|;;;</t>
  </si>
  <si>
    <t>http://dx.doi.org/10.1109/TVCG.2011.178</t>
  </si>
  <si>
    <t>Dept. of Inf., Univ. of Bergen, Bergen, Norway</t>
  </si>
  <si>
    <t>http://dx.doi.org/10.1109/TVCG.2011.179</t>
  </si>
  <si>
    <t>Univ. of Konstanz, Konstanz, Germany|c|;;</t>
  </si>
  <si>
    <t>http://dx.doi.org/10.1109/TVCG.2011.181</t>
  </si>
  <si>
    <t>Eindhoven Univ. of Technol., Eindhoven, Netherlands|c|;;;;;</t>
  </si>
  <si>
    <t>http://dx.doi.org/10.1109/TVCG.2011.182</t>
  </si>
  <si>
    <t>Comparative Eye Tracking Study on Node-Link Visualizations of Trajectories</t>
  </si>
  <si>
    <t>10.1109/TVCG.2014.2346420</t>
  </si>
  <si>
    <t>http://dx.doi.org/10.1109/TVCG.2014.2346420</t>
  </si>
  <si>
    <t>Comput. Sci. Dept., Stony Brook Univ., Stony Brook, NY, USA|c|;;;</t>
  </si>
  <si>
    <t>http://dx.doi.org/10.1109/TVCG.2011.183</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</si>
  <si>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</si>
  <si>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Rudolf Netzel;Michael Burch;Daniel Weiskopf</t>
  </si>
  <si>
    <t>Rudolf Netzel;Michel Burch;Daniel Weiskopf</t>
  </si>
  <si>
    <t>10.1109/INFVIS.2004.1;10.1109/TVCG.2011.193;10.1109/TVCG.2011.226</t>
  </si>
  <si>
    <t>User study, eye tracking, evaluation, trajectory visualization, node-link visualization, direction encoding, node splatting, halo rendering</t>
  </si>
  <si>
    <t>Node, Node-Link, and Node-Link-Group Diagrams: An Evaluation</t>
  </si>
  <si>
    <t>10.1109/TVCG.2014.2346422</t>
  </si>
  <si>
    <t>http://dx.doi.org/10.1109/TVCG.2011.184</t>
  </si>
  <si>
    <t>http://dx.doi.org/10.1109/TVCG.2014.2346422</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</si>
  <si>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</si>
  <si>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Bahador Saket;Paolo Simonetto;Stephen G. Kobourov;Katy Börner</t>
  </si>
  <si>
    <t>Bahador Saket;Paolo Simonetto;Stephen Kobourov;Katy Börner</t>
  </si>
  <si>
    <t>University of Arizona;University of Arizona;University of Arizona;Indiana University</t>
  </si>
  <si>
    <t>10.1109/INFVIS.2003.1249011;10.1109/TVCG.2011.186;10.1109/TVCG.2008.155;10.1109/INFVIS.1995.528686;10.1109/TVCG.2007.70596;10.1109/TVCG.2009.122;10.1109/TVCG.2013.187;10.1109/TVCG.2013.124</t>
  </si>
  <si>
    <t>graphs, networks, maps, scatter plots</t>
  </si>
  <si>
    <t>Graz Univ. of Technol., Graz, Austria|c|;;;</t>
  </si>
  <si>
    <t>The Not-so-Staggering Effect of Staggered Animated Transitions on Visual Tracking</t>
  </si>
  <si>
    <t>10.1109/TVCG.2014.2346424</t>
  </si>
  <si>
    <t>http://dx.doi.org/10.1109/TVCG.2014.2346424</t>
  </si>
  <si>
    <t>D3 Data-Driven Documents</t>
  </si>
  <si>
    <t>http://dx.doi.org/10.1109/TVCG.2011.185</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</si>
  <si>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</si>
  <si>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Fanny Chevalier;Pierre Dragicevic;Steven Franconeri</t>
  </si>
  <si>
    <t>Inria;Inria;Northwestern University</t>
  </si>
  <si>
    <t>10.1109/TVCG.2012.199;10.1109/INFVIS.1999.801854;10.1109/INFVIS.2002.1173148;10.1109/TVCG.2008.153;10.1109/TVCG.2007.70539</t>
  </si>
  <si>
    <t>Animated transitions, staggered animation, visual tracking</t>
  </si>
  <si>
    <t>Comput. Sci. Dept., Stanford Univ., Stanford, CA, USA|c|;;</t>
  </si>
  <si>
    <t>The Influence of Contour on Similarity Perception of Star Glyphs</t>
  </si>
  <si>
    <t>10.1109/TVCG.2014.2346426</t>
  </si>
  <si>
    <t>http://dx.doi.org/10.1109/TVCG.2014.2346426</t>
  </si>
  <si>
    <t>http://dx.doi.org/10.1109/TVCG.2011.186</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</si>
  <si>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</si>
  <si>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Johannes Fuchs 0001;Petra Isenberg;Anastasia Bezerianos;Fabian Fischer 0001;Enrico Bertini</t>
  </si>
  <si>
    <t>Johannes Fuchs;Petra Isenberg;Anastasia Bezerianos;Fabian Fischer;Enrico Bertini</t>
  </si>
  <si>
    <t>University of Konstanz;Inria;CNRS &amp; Inria, Université Paris-Sud;University of Konstanz;NYU Poly</t>
  </si>
  <si>
    <t>10.1109/TVCG.2012.220;10.1109/TVCG.2008.136;10.1109/TVCG.2011.242;10.1109/INFVIS.2004.15</t>
  </si>
  <si>
    <t>Glyphs, star glyphs, contours, perception, quantitative evaluation, similarity detection, visual comparison</t>
  </si>
  <si>
    <t>Order of Magnitude Markers: An Empirical Study on Large Magnitude Number Detection</t>
  </si>
  <si>
    <t>10.1109/TVCG.2014.2346428</t>
  </si>
  <si>
    <t>http://dx.doi.org/10.1109/TVCG.2014.2346428</t>
  </si>
  <si>
    <t>http://dx.doi.org/10.1109/TVCG.2011.187</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</si>
  <si>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</si>
  <si>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Rita Borgo;Joel Dearden;Mark W. Jones</t>
  </si>
  <si>
    <t>Swansea University;Swansea University;Swansea University</t>
  </si>
  <si>
    <t>10.1109/TVCG.2013.187;10.1109/TVCG.2012.229;10.1109/INFVIS.2004.59;10.1109/TVCG.2012.197;10.1109/INFVIS.2005.1532136;10.1109/TVCG.2011.160;10.1109/TVCG.2010.130;10.1109/TVCG.2013.234</t>
  </si>
  <si>
    <t>Orders of magnitude, bar charts, logarithmic scale</t>
  </si>
  <si>
    <t>Overview: The Design, Adoption, and Analysis of a Visual Document Mining Tool for Investigative Journalists</t>
  </si>
  <si>
    <t>10.1109/TVCG.2014.2346431</t>
  </si>
  <si>
    <t>http://dx.doi.org/10.1109/TVCG.2014.2346431</t>
  </si>
  <si>
    <t>http://dx.doi.org/10.1109/TVCG.2011.188</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</si>
  <si>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</si>
  <si>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Matthew Brehmer;Stephen Ingram;Jonathan Stray;Tamara Munzner</t>
  </si>
  <si>
    <t>University of British Columbia;University of British Columbia;Columbia Journalism School and the Associated Press;University of British Columbia</t>
  </si>
  <si>
    <t>10.1109/TVCG.2009.127;10.1109/INFVIS.2004.19;10.1109/TVCG.2012.224;10.1109/TVCG.2012.213;10.1109/TVCG.2012.260;10.1109/TVCG.2009.140;10.1109/TVCG.2013.162;10.1109/TVCG.2013.153;10.1109/TVCG.2009.148;10.1109/TVCG.2013.124;10.1109/TVCG.2011.239;10.1109/VAST.2010.5652940;10.1109/TVCG.2011.209</t>
  </si>
  <si>
    <t>Design study, investigative journalism, task and requirements analysis, text and document data, text analysis</t>
  </si>
  <si>
    <t>How Hierarchical Topics Evolve in Large Text Corpora</t>
  </si>
  <si>
    <t>10.1109/TVCG.2014.2346433</t>
  </si>
  <si>
    <t>http://dx.doi.org/10.1109/TVCG.2014.2346433</t>
  </si>
  <si>
    <t>Dept. of Comput. Sci. &amp; Eng., Hong Kong Univ. of Sci. &amp; Technol., Hong Kong, China|c|;;;</t>
  </si>
  <si>
    <t>http://dx.doi.org/10.1109/TVCG.2011.189</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</si>
  <si>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</si>
  <si>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Weiwei Cui;Shixia Liu;Zhuofeng Wu 0002;Hao Wei</t>
  </si>
  <si>
    <t>Weiwei Cui;Shixia Liu;Zhuofeng Wu;Hao Wei</t>
  </si>
  <si>
    <t>Microsoft Research;Microsoft Research;Nankai University;Zhejiang University</t>
  </si>
  <si>
    <t>10.1109/TVCG.2013.196;10.1109/TVCG.2009.108;10.1109/VAST.2014.7042494;10.1109/TVCG.2009.111;10.1109/TVCG.2011.239;10.1109/TVCG.2014.2346920;10.1109/TVCG.2012.212;10.1109/TVCG.2013.221;10.1109/TVCG.2012.225;10.1109/TVCG.2013.162;10.1109/TVCG.2013.200</t>
  </si>
  <si>
    <t>Hierarchical topic visualization, evolutionary tree clustering, data transformation</t>
  </si>
  <si>
    <t>Exploring the Placement and Design of Word-Scale Visualizations</t>
  </si>
  <si>
    <t>10.1109/TVCG.2014.2346435</t>
  </si>
  <si>
    <t>http://dx.doi.org/10.1109/TVCG.2014.2346435</t>
  </si>
  <si>
    <t>Christian Dick;Rainer Burgkart;R�_diger Westermann</t>
  </si>
  <si>
    <t>http://dx.doi.org/10.1109/TVCG.2011.190</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</si>
  <si>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</si>
  <si>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Pascal Goffin;Wesley Willett;Jean-Daniel Fekete;Petra Isenberg</t>
  </si>
  <si>
    <t>Inria;Inria;Inria;Inria</t>
  </si>
  <si>
    <t>10.1109/TVCG.2013.192;10.1109/TVCG.2006.163;10.1109/TVCG.2012.196;10.1109/TVCG.2011.185;10.1109/TVCG.2007.70589;10.1109/TVCG.2011.183;10.1109/TVCG.2013.120;10.1109/TVCG.2010.194;10.1109/INFVIS.2005.1532144</t>
  </si>
  <si>
    <t>Information visualization, text visualization, sparklines, glyphs, design space, word-scale visualizations</t>
  </si>
  <si>
    <t>Effects of Presentation Mode and Pace Control on Performance in Image Classification</t>
  </si>
  <si>
    <t>10.1109/TVCG.2014.2346437</t>
  </si>
  <si>
    <t>http://dx.doi.org/10.1109/TVCG.2014.2346437</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</si>
  <si>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</si>
  <si>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The node-link diagram is an intuitive and venerable way to depict a graph. To reduce clutter and improve the readability of node-link views, Holten &amp;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</si>
  <si>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Paul van der Corput;Jarke J. van Wijk</t>
  </si>
  <si>
    <t>RSVP, image classification, image browsing, multimedia visualization</t>
  </si>
  <si>
    <t>http://dx.doi.org/10.1109/TVCG.2011.191</t>
  </si>
  <si>
    <t>Multivariate Network Exploration and Presentation: From Detail to Overview via Selections and Aggregations</t>
  </si>
  <si>
    <t>10.1109/TVCG.2014.2346441</t>
  </si>
  <si>
    <t>http://dx.doi.org/10.1109/TVCG.2014.2346441</t>
  </si>
  <si>
    <t>Univ. of W�_rzburg, W�_rzburg, Germany|c|;</t>
  </si>
  <si>
    <t>http://dx.doi.org/10.1109/TVCG.2011.192</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</si>
  <si>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</si>
  <si>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Department of Mathematic and Computer Science, Eindhoven University of Technology, The Netherlands;Department of Mathematic and Computer Science, Eindhoven University of Technology, The Netherlands</t>
  </si>
  <si>
    <t>10.1109/VISUAL.1995.485139;10.1109/INFVIS.2003.1249008;10.1109/TVCG.2006.122;10.1109/TVCG.2009.145;10.1109/TVCG.2013.223;10.1109/VAST.2007.4389013;10.1109/VISUAL.1994.346302;10.1109/TVCG.2007.70589;10.1109/TVCG.2008.153;10.1109/TVCG.2009.108;10.1109/TVCG.2006.166;10.1109/TVCG.2006.147</t>
  </si>
  <si>
    <t>Multivariate Networks, Selections of Interest, Interaction, Direct Manipulation</t>
  </si>
  <si>
    <t>GLO-STIX: Graph-Level Operations for Specifying Techniques and Interactive eXploration</t>
  </si>
  <si>
    <t>10.1109/TVCG.2014.2346444</t>
  </si>
  <si>
    <t>http://dx.doi.org/10.1109/TVCG.2014.2346444</t>
  </si>
  <si>
    <t>http://dx.doi.org/10.1109/TVCG.2011.193</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</si>
  <si>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</si>
  <si>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Charles D. Stolper;Minsuk Kahng;Zhiyuan Lin 0001;Florian Foerster;Aakash Goel;John T. Stasko;Duen Horng Chau</t>
  </si>
  <si>
    <t>Charles D. Stolper;Minsuk Kahng;Zhiyuan Lin;Florian Foerster;Aakash Goel;John Stasko;Duen Horng Chau</t>
  </si>
  <si>
    <t>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t>
  </si>
  <si>
    <t>10.1109/TVCG.2008.137;10.1109/VAST.2011.6102441;10.1109/TVCG.2010.144;10.1109/TVCG.2008.135;10.1109/TVCG.2007.70582;10.1109/VAST.2011.6102440;10.1109/INFVIS.2002.1173155;10.1109/TVCG.2006.147;10.1109/TVCG.2010.205;10.1109/INFVIS.1997.636793;10.1109/TVCG.2011.233;10.1109/TVCG.2011.185;10.1109/TVCG.2006.166;10.1109/TVCG.2009.108;10.1109/TVCG.2013.192</t>
  </si>
  <si>
    <t>Graph-level operations, graph visualization, visualization technique specification, graph analysis, information visualization</t>
  </si>
  <si>
    <t>TenniVis: Visualization for Tennis Match Analysis</t>
  </si>
  <si>
    <t>10.1109/TVCG.2014.2346445</t>
  </si>
  <si>
    <t>http://dx.doi.org/10.1109/TVCG.2014.2346445</t>
  </si>
  <si>
    <t>Michael Burch;Natalia Konevtsova;Julian Heinrich;Markus H̦ferlin;Daniel Weiskopf</t>
  </si>
  <si>
    <t>VISUS, Univ. of Stuttgart, Germany|c|;;;;</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</si>
  <si>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</si>
  <si>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Tom Polk;Jing Yang;Yueqi Hu;Ye Zhao</t>
  </si>
  <si>
    <t>University of North Carolina at Charlotte;University of North Carolina at Charlotte;University of North Carolina at Charlotte;Kent State University</t>
  </si>
  <si>
    <t>10.1109/TVCG.2012.263;10.1109/TVCG.2013.192;10.1109/VISUAL.2001.964496;10.1109/INFVIS.1996.559229;10.1109/INFVIS.2002.1173148</t>
  </si>
  <si>
    <t>Visual knowledge discovery, sports analytics, tennis visualization</t>
  </si>
  <si>
    <t>http://dx.doi.org/10.1109/TVCG.2011.194</t>
  </si>
  <si>
    <t>The Effects of Interactive Latency on Exploratory Visual Analysis</t>
  </si>
  <si>
    <t>10.1109/TVCG.2014.2346452</t>
  </si>
  <si>
    <t>http://dx.doi.org/10.1109/TVCG.2014.2346452</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</si>
  <si>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</si>
  <si>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Zhicheng Liu;Jeffrey Heer</t>
  </si>
  <si>
    <t>Adobe Research;University of Washington</t>
  </si>
  <si>
    <t>Interaction, latency, exploratory analysis, interactive visualization, scalability, user performance, verbal analysis</t>
  </si>
  <si>
    <t>http://dx.doi.org/10.1109/TVCG.2011.195</t>
  </si>
  <si>
    <t>LiveGantt: Interactively Visualizing a Large Manufacturing Schedule</t>
  </si>
  <si>
    <t>10.1109/TVCG.2014.2346454</t>
  </si>
  <si>
    <t>http://dx.doi.org/10.1109/TVCG.2014.2346454</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</si>
  <si>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</si>
  <si>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Jaemin Jo;Jaeseok Huh;Jonghun Park;Bo Hyoung Kim;Jinwook Seo</t>
  </si>
  <si>
    <t>Jaemin Jo;Jaeseok Huh;Jonghun Park;Bohyoung Kim;Jinwook Seo</t>
  </si>
  <si>
    <t>Seoul National University;Seoul National University;Seoul National University;Seoul National University Bundang Hospital;Seoul National University</t>
  </si>
  <si>
    <t>10.1109/TVCG.2013.200;10.1109/TVCG.2012.213;10.1109/TVCG.2009.117;10.1109/TVCG.2012.225</t>
  </si>
  <si>
    <t>Schedule visualization, event sequence visualization, simplification, exploratory interactions, simulation</t>
  </si>
  <si>
    <t>DGP, Univ. of Toronto, Toronto, ON, Canada|c|;;;</t>
  </si>
  <si>
    <t>Combing the Communication Hairball: Visualizing Parallel Execution Traces using Logical Time</t>
  </si>
  <si>
    <t>10.1109/TVCG.2014.2346456</t>
  </si>
  <si>
    <t>http://dx.doi.org/10.1109/TVCG.2014.2346456</t>
  </si>
  <si>
    <t>http://dx.doi.org/10.1109/TVCG.2011.196</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</si>
  <si>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</si>
  <si>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Katherine E. Isaacs;Peer-Timo Bremer;Ilir Jusufi;Todd Gamblin;Abhinav Bhatele;Martin Schulz 0001;Bernd Hamann</t>
  </si>
  <si>
    <t>Katherine E. Isaacs;Peer-Timo Bremer;Ilir Jusufi;Todd Gamblin;Abhinav Bhatele;Martin Schulz;Bernd Hamann</t>
  </si>
  <si>
    <t>University of California, Davis;Lawrence Livermore National Laboratory;University of California, Davis;Lawrence Livermore National Laboratory;Lawrence Livermore National Laboratory;Lawrence Livermore National Laboratory;University of California, Davis</t>
  </si>
  <si>
    <t>10.1109/TVCG.2012.286;10.1109/TVCG.2009.196;10.1109/TVCG.2011.199;10.1109/TVCG.2013.200</t>
  </si>
  <si>
    <t>Information visualization, software visualization, timelines, traces, performance analysis</t>
  </si>
  <si>
    <t>Learning Perceptual Kernels for Visualization Design</t>
  </si>
  <si>
    <t>10.1109/TVCG.2014.2346978</t>
  </si>
  <si>
    <t>http://dx.doi.org/10.1109/TVCG.2014.2346978</t>
  </si>
  <si>
    <t>http://dx.doi.org/10.1109/TVCG.2011.197</t>
  </si>
  <si>
    <t>Visualization design can benefit from careful consideration of perception, as different assignments of visual encoding variables such as color, shape and size affect how viewers interpret data. In this work, we introduce perceptual kernels: distance matrices derived from aggregate perceptual judgments. Perceptual kernels represent perceptual differences between and within visual variables in a reusable form that is directly applicable to visualization evaluation and automated design. We report results from crowd-sourced experiments to estimate kernels for color, shape, size and combinations thereof. We analyze kernels estimated using five different judgment types-including Likert ratings among pairs, ordinal triplet comparisons, and manual spatial arrangement-and compare them to existing perceptual models. We derive recommendations for collecting perceptual similarities, and then demonstrate how the resulting kernels can be applied to automate visualization design decisions.</t>
  </si>
  <si>
    <t>Çagatay Demiralp;Michael S. Bernstein;Jeffrey Heer</t>
  </si>
  <si>
    <t>Çağatay Demiralp;Michael S. Bernstein;Jeffrey Heer</t>
  </si>
  <si>
    <t>Stanford University;Stanford University;University of Washington</t>
  </si>
  <si>
    <t>10.1109/TVCG.2010.186;10.1109/TVCG.2006.163;10.1109/TVCG.2007.70594;10.1109/TVCG.2011.167;10.1109/TVCG.2007.70583;10.1109/TVCG.2008.125;10.1109/TVCG.2010.130;10.1109/TVCG.2007.70539</t>
  </si>
  <si>
    <t>Visualization, design, encoding, perception, model, crowdsourcing, automated visualization, visual embedding</t>
  </si>
  <si>
    <t>Ranking Visualizations of Correlation Using Weber's Law</t>
  </si>
  <si>
    <t>10.1109/TVCG.2014.2346979</t>
  </si>
  <si>
    <t>http://dx.doi.org/10.1109/TVCG.2014.2346979</t>
  </si>
  <si>
    <t>http://dx.doi.org/10.1109/TVCG.2011.198</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</si>
  <si>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</si>
  <si>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Lane Harrison;Fumeng Yang;Steven Franconeri;Remco Chang</t>
  </si>
  <si>
    <t>Tufts University;Tufts University;Northwestern University;Tufts University</t>
  </si>
  <si>
    <t>10.1109/TVCG.2013.187;10.1109/TVCG.2009.111;10.1109/TVCG.2007.70594</t>
  </si>
  <si>
    <t>Perception, Visualization, Evaluation</t>
  </si>
  <si>
    <t>The relation between visualization size, grouping, and user performance</t>
  </si>
  <si>
    <t>10.1109/TVCG.2014.2346983</t>
  </si>
  <si>
    <t>http://dx.doi.org/10.1109/TVCG.2014.2346983</t>
  </si>
  <si>
    <t>Dept. of Inf., Univ. of Zurich, Zurich, Switzerland|c|;;</t>
  </si>
  <si>
    <t>http://dx.doi.org/10.1109/TVCG.2011.199</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</si>
  <si>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</si>
  <si>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Connor Gramazio;Karen B. Schloss;David H. Laidlaw</t>
  </si>
  <si>
    <t>Connor C. Gramazio;Karen B. Schloss;David H. Laidlaw</t>
  </si>
  <si>
    <t>Department of Computer Science, Brown University;Department of Cognitive, Linguistic, Psychological Sciences at Brown University;Department of Computer Science, Brown University</t>
  </si>
  <si>
    <t>10.1109/TVCG.2012.233;10.1109/TVCG.2012.196;10.1109/TVCG.2011.185;10.1109/VAST.2007.4389009;10.1109/TVCG.2013.187;10.1109/TVCG.2011.175;10.1109/TVCG.2013.183;10.1109/TVCG.2006.184;10.1109/TVCG.2010.186;10.1109/VISUAL.1996.568118;10.1109/TVCG.2012.220;10.1109/TVCG.2013.170;10.1109/TVCG.2013.234</t>
  </si>
  <si>
    <t>information visualization, graphical perception, size, layout</t>
  </si>
  <si>
    <t>A Principled Way of Assessing Visualization Literacy</t>
  </si>
  <si>
    <t>10.1109/TVCG.2014.2346984</t>
  </si>
  <si>
    <t>http://dx.doi.org/10.1109/TVCG.2014.2346984</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</si>
  <si>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</si>
  <si>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Jeremy Boy;Ronald A. Rensink;Enrico Bertini;Jean-Daniel Fekete</t>
  </si>
  <si>
    <t>Inria, Telecom ParisTech, EnsadLab;University of British Columbia;NYU Polytechnic School of Engineering;Inria</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</si>
  <si>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 ience; however, it is applicable to many other science domains.</t>
  </si>
  <si>
    <t>Literacy, Visualization literacy, Rasch Model, Item Response Theory</t>
  </si>
  <si>
    <t>Sandia Nat. Labs., Albuquerque, NM, USA|c|;;;;;;;;</t>
  </si>
  <si>
    <t>Reinforcing Visual Grouping Cues to Communicate Complex Informational Structure</t>
  </si>
  <si>
    <t>10.1109/TVCG.2014.2346998</t>
  </si>
  <si>
    <t>http://dx.doi.org/10.1109/TVCG.2014.2346998</t>
  </si>
  <si>
    <t>http://dx.doi.org/10.1109/TVCG.2011.200</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</si>
  <si>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</si>
  <si>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10.1109/TVCG.2010.174;10.1109/INFVIS.2003.1249005</t>
  </si>
  <si>
    <t>Visual grouping, visual hierarchy, gestalt principles, perception, visual communication</t>
  </si>
  <si>
    <t>Activity Sculptures: Exploring the Impact of Physical Visualizations on Running Activity</t>
  </si>
  <si>
    <t>10.1109/TVCG.2014.2352953</t>
  </si>
  <si>
    <t>http://dx.doi.org/10.1109/TVCG.2014.2352953</t>
  </si>
  <si>
    <t>http://dx.doi.org/10.1109/TVCG.2011.201</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</si>
  <si>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</si>
  <si>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Simon Stusak;Aurélien Tabard;Franziska Sauka;Rohit Ashok Khot;Andreas Butz</t>
  </si>
  <si>
    <t>University of Munich (LMU);Université de Lyon &amp; CNRS, France;University of Munich (LMU);Exertion Games Lab, RMIT University;University of Munich (LMU)</t>
  </si>
  <si>
    <t>10.1109/TVCG.2007.70541;10.1109/INFVIS.2003.1249031;10.1109/TVCG.2013.134</t>
  </si>
  <si>
    <t>Physical Visualizations, Activity Sculptures, Physical Activity, Data Sculptures, Behavioral Change</t>
  </si>
  <si>
    <t>Predicate-Based Focus-and-Context Visualization for 3D Ultrasound</t>
  </si>
  <si>
    <t>10.1109/TVCG.2014.2346317</t>
  </si>
  <si>
    <t>http://dx.doi.org/10.1109/TVCG.2014.2346317</t>
  </si>
  <si>
    <t>Eindhoven Univ. of Technol., Eindhoven, Netherlands|c|;</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</si>
  <si>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</si>
  <si>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Christian Schulte zu Berge;Maximilian Baust;Ankur Kapoor;Nassir Navab</t>
  </si>
  <si>
    <t>Chair for Computer Aided Medical Procedures, Technische Universität, München, Germany;Chair for Computer Aided Medical Procedures, Technische Universität, München, Germany;Imaging and Computer Vision, Siemens Corporation, Corporate Technology, Princeton, NJ, USA;Chair for Computer Aided Medical Procedures, Technische Universität, München, Germany</t>
  </si>
  <si>
    <t>10.1109/TVCG.2006.148;10.1109/TVCG.2006.124;10.1109/TVCG.2013.189;10.1109/VISUAL.2003.1250413;10.1109/VISUAL.2001.964539</t>
  </si>
  <si>
    <t>Direct Volume Rendering, Ultrasound, Classification, Predicate Function, User Interface</t>
  </si>
  <si>
    <t>ViSlang: A System for Interpreted Domain-Specific Languages for Scientific Visualization</t>
  </si>
  <si>
    <t>10.1109/TVCG.2014.2346318</t>
  </si>
  <si>
    <t>http://dx.doi.org/10.1109/TVCG.2014.2346318</t>
  </si>
  <si>
    <t>http://dx.doi.org/10.1109/TVCG.2011.202</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</si>
  <si>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</si>
  <si>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Peter Rautek;Stefan Bruckner;M. Eduard Gröller;Markus Hadwiger</t>
  </si>
  <si>
    <t>KAUST;University of Bergen;Vienna University of Technology;KAUST</t>
  </si>
  <si>
    <t>10.1109/VISUAL.2005.1532792;10.1109/VISUAL.1992.235219;10.1109/TVCG.2009.174;10.1109/TVCG.2014.2346322;10.1109/VISUAL.2004.95;10.1109/TVCG.2011.185;10.1109/VISUAL.2005.1532788;10.1109/VISUAL.1992.235202;10.1109/TVCG.2008.184</t>
  </si>
  <si>
    <t>Domain-specific languages, Volume visualization, Volume visualization framework</t>
  </si>
  <si>
    <t>Interactive Progressive Visualization with Space-Time Error Control</t>
  </si>
  <si>
    <t>10.1109/TVCG.2014.2346319</t>
  </si>
  <si>
    <t>http://dx.doi.org/10.1109/TVCG.2014.2346319</t>
  </si>
  <si>
    <t>Tech. Univ. Eindhoven, Eindhoven, Netherlands|c|;;</t>
  </si>
  <si>
    <t>Flow Radar Glyphs&amp;amp;#8212;Static Visualization of Unsteady Flow with Uncertainty</t>
  </si>
  <si>
    <t>http://dx.doi.org/10.1109/TVCG.2011.203</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</si>
  <si>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</si>
  <si>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Steffen Frey;Filip Sadlo;Kwan-Liu Ma;Thomas Ertl</t>
  </si>
  <si>
    <t>University of Stuttgart;University of Stuttgart;UC Davis;University of Stuttgart</t>
  </si>
  <si>
    <t>10.1109/VISUAL.1994.346321;10.1109/TVCG.2013.126;10.1109/VISUAL.2000.885702;10.1109/TVCG.2009.114</t>
  </si>
  <si>
    <t>Progressive visualization, error-based frame control, interactive volume raycasting</t>
  </si>
  <si>
    <t>Vivaldi: A Domain-Specific Language for Volume Processing and Visualization on Distributed Heterogeneous Systems</t>
  </si>
  <si>
    <t>10.1109/TVCG.2014.2346322</t>
  </si>
  <si>
    <t>http://dx.doi.org/10.1109/TVCG.2014.2346322</t>
  </si>
  <si>
    <t>Visualization Res. Center (VISUS), Univ. of Stuttgart, Stuttgart, Germany|c|;;;</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</si>
  <si>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</si>
  <si>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Hyungsuk Choi;Woohyuk Choi;Tran Minh Quan;David G. C. Hildebrand;Hanspeter Pfister;Won-Ki Jeong</t>
  </si>
  <si>
    <t>Ulsan National Institute of Science and Technology (UNIST);Ulsan National Institute of Science and Technology (UNIST);Ulsan National Institute of Science and Technology (UNIST);Harvard University;Harvard University;Ulsan National Institute of Science and Technology (UNIST)</t>
  </si>
  <si>
    <t>Domain-specific language, volume rendering, GPU computing, distributed heterogeneous systems</t>
  </si>
  <si>
    <t>http://dx.doi.org/10.1109/TVCG.2011.204</t>
  </si>
  <si>
    <t>Sparse PDF Volumes for Consistent Multi-Resolution Volume Rendering</t>
  </si>
  <si>
    <t>10.1109/TVCG.2014.2346324</t>
  </si>
  <si>
    <t>http://dx.doi.org/10.1109/TVCG.2014.2346324</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</si>
  <si>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</si>
  <si>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Ronell Sicat;Jens H. Krüger;Torsten Möller;Markus Hadwiger</t>
  </si>
  <si>
    <t>Ronell Sicat;Jens Krüger;Torsten Möller;Markus Hadwiger</t>
  </si>
  <si>
    <t>King Abdullah University of Science and Technology (KAUST);University of Duisburg-Essen;University of Vienna;King Abdullah University of Science and Technology (KAUST)</t>
  </si>
  <si>
    <t>10.1109/TVCG.2006.143;10.1109/TVCG.2012.240;10.1109/VISUAL.1999.809908</t>
  </si>
  <si>
    <t>Multi-resolution representations, sparse approximation, pursuit algorithms, large-scale volume rendering</t>
  </si>
  <si>
    <t>Swansea Univ., Swansea, UK|c|;;;</t>
  </si>
  <si>
    <t>Multiscale Symmetry Detection in Scalar Fields by Clustering Contours</t>
  </si>
  <si>
    <t>10.1109/TVCG.2014.2346332</t>
  </si>
  <si>
    <t>http://dx.doi.org/10.1109/TVCG.2014.2346332</t>
  </si>
  <si>
    <t>http://dx.doi.org/10.1109/TVCG.2011.205</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</si>
  <si>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</si>
  <si>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Department of Computer Science and Automation, Indian Institute of Science, Bangalore, India;Department of Computer Science and Automation and Supercomputer Education Research Centre, Indian Institute of Science, Bangalore, India</t>
  </si>
  <si>
    <t>10.1109/TVCG.2013.142;10.1109/VISUAL.1999.809869;10.1109/TVCG.2006.149;10.1109/TVCG.2011.236;10.1109/TVCG.2008.143;10.1109/TVCG.2011.258;10.1109/TVCG.2013.148</t>
  </si>
  <si>
    <t>Scalar field visualization, symmetry detection, contour tree, data exploration</t>
  </si>
  <si>
    <t>Low-Pass Filtered Volumetric Shadows</t>
  </si>
  <si>
    <t>10.1109/TVCG.2014.2346333</t>
  </si>
  <si>
    <t>http://dx.doi.org/10.1109/TVCG.2014.2346333</t>
  </si>
  <si>
    <t>http://dx.doi.org/10.1109/TVCG.2011.206</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</si>
  <si>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</si>
  <si>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Marco Ament;Filip Sadlo;Carsten Dachsbacher;Daniel Weiskopf</t>
  </si>
  <si>
    <t>Karlsruhe Institute of Technology, Germany;University of Stuttgart, Germany;Karlsruhe Institute of Technology, Germany;University of Stuttgart, Germany</t>
  </si>
  <si>
    <t>10.1109/TVCG.2013.172;10.1109/TVCG.2013.129;10.1109/TVCG.2011.211;10.1109/VISUAL.2003.1250394;10.1109/TVCG.2012.232;10.1109/TVCG.2011.161;10.1109/TVCG.2011.198;10.1109/VISUAL.2002.1183764</t>
  </si>
  <si>
    <t>Direct volume rendering, volume illumination, soft shadows, filtered shadows, summed area table</t>
  </si>
  <si>
    <t>Boundary Aware Reconstruction of Scalar Fields</t>
  </si>
  <si>
    <t>10.1109/TVCG.2014.2346351</t>
  </si>
  <si>
    <t>http://dx.doi.org/10.1109/TVCG.2014.2346351</t>
  </si>
  <si>
    <t>Sci. Comput. &amp; Imaging Inst., Univ. of Utah, Salt Lake City, UT, USA|c|;;</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</si>
  <si>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</si>
  <si>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Stefan Lindholm;Daniel Jönsson;Charles D. Hansen;Anders Ynnerman</t>
  </si>
  <si>
    <t>Stefan Lindholm;Daniel Jönsson;Charles Hansen;Anders Ynnerman</t>
  </si>
  <si>
    <t>Department of Science and Technology, Linköping University;Department of Science and Technology, Linköping University;Scientific Computing and Imaging Institute, University of Utah;Department of Science and Technology, Linköping University</t>
  </si>
  <si>
    <t>10.1109/TVCG.2007.70518;10.1109/TVCG.2008.186;10.1109/VISUAL.2003.1250386;10.1109/VISUAL.2005.1532807;10.1109/VISUAL.1998.745311;10.1109/VISUAL.2003.1250387</t>
  </si>
  <si>
    <t>Reconstruction, signal processing, kernel regression, volume rendering</t>
  </si>
  <si>
    <t>http://dx.doi.org/10.1109/TVCG.2011.207</t>
  </si>
  <si>
    <t>Attractive Flicker: Guiding Attention in Dynamic Narrative Visualizations</t>
  </si>
  <si>
    <t>10.1109/TVCG.2014.2346352</t>
  </si>
  <si>
    <t>http://dx.doi.org/10.1109/TVCG.2014.2346352</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</si>
  <si>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</si>
  <si>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Manuela Waldner;Mathieu Le Muzic;Matthias Bernhard;Werner Purgathofer;Ivan Viola</t>
  </si>
  <si>
    <t>Vienna University of Technology;Vienna University of Technology;Vienna University of Technology;Vienna University of Technology;Vienna University of Technology</t>
  </si>
  <si>
    <t>10.1109/TVCG.2009.185;10.1109/VISUAL.1995.480802;10.1109/VISUAL.2005.1532838;10.1109/TVCG.2010.179;10.1109/TVCG.2011.183;10.1109/TVCG.2006.174</t>
  </si>
  <si>
    <t>Visual attention, flicker, narrative visualization</t>
  </si>
  <si>
    <t>Christian Rieder;Tim Kr̦ger;Christian Schumann;Horst K. Hahn</t>
  </si>
  <si>
    <t>Design and Evaluation of Interactive Proofreading Tools for Connectomics</t>
  </si>
  <si>
    <t>10.1109/TVCG.2014.2346371</t>
  </si>
  <si>
    <t>http://dx.doi.org/10.1109/TVCG.2014.2346371</t>
  </si>
  <si>
    <t>http://dx.doi.org/10.1109/TVCG.2011.208</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</si>
  <si>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</si>
  <si>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Daniel Haehn;Seymour Knowles-Barley;Mike Roberts;Johanna Beyer;Narayanan Kasthuri;Jeff Lichtman;Hanspeter Pfister</t>
  </si>
  <si>
    <t>Daniel Haehn;Seymour Knowles-Barley;Mike Roberts;Johanna Beyer;Narayanan Kasthuri;Jeff W. Lichtman;Hanspeter Pfister</t>
  </si>
  <si>
    <t>School of Engineering and Applied Sciences at Harvard University;Center for Brain Science at Harvard University;Computer Graphics Laboratory at Stanford University;School of Engineering and Applied Sciences at Harvard University;Center for Brain Science at Harvard University;Center for Brain Science at Harvard University;School of Engineering and Applied Sciences at Harvard University</t>
  </si>
  <si>
    <t>10.1109/TVCG.2013.142;10.1109/TVCG.2012.240</t>
  </si>
  <si>
    <t>Proofreading, Segmentation, Connectomics, Quantitative Evaluation</t>
  </si>
  <si>
    <t>Characterizing Molecular Interactions in Chemical Systems</t>
  </si>
  <si>
    <t>10.1109/TVCG.2014.2346403</t>
  </si>
  <si>
    <t>http://dx.doi.org/10.1109/TVCG.2014.2346403</t>
  </si>
  <si>
    <t>Dept. of Comput. Sci., Swansea Univ., Swansea, UK|c|;;;;</t>
  </si>
  <si>
    <t>http://dx.doi.org/10.1109/TVCG.2011.209</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</si>
  <si>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</si>
  <si>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David Günther;Roberto Álvarez Boto;Juila Contreras-Garcia;Jean-Philip Piquemal;Julien Tierny</t>
  </si>
  <si>
    <t>David Günther;Roberto A. Boto;Juila Contreras-Garcia;Jean-Philip Piquemal;Julien Tierny</t>
  </si>
  <si>
    <t>Institut-Mines-Télécom, Paris, France;Sorbonne Universités, Paris, France;Sorbonne Universités, Paris, France;Sorbonne Universités, Paris, France;CNRS LIP6, UPMC, Paris, France</t>
  </si>
  <si>
    <t>10.1109/TVCG.2009.163;10.1109/VISUAL.2004.96;10.1109/VISUAL.2003.1250376;10.1109/TVCG.2008.110;10.1109/TVCG.2009.157;10.1109/TVCG.2011.259;10.1109/TVCG.2007.70578;10.1109/TVCG.2013.158</t>
  </si>
  <si>
    <t>Molecular Chemistry, Topological Data Analysis, Morse-Smale Complex, Join Tree</t>
  </si>
  <si>
    <t>Ligand Excluded Surface: A New Type of Molecular Surface</t>
  </si>
  <si>
    <t>10.1109/TVCG.2014.2346404</t>
  </si>
  <si>
    <t>http://dx.doi.org/10.1109/TVCG.2014.2346404</t>
  </si>
  <si>
    <t>giCentre, City Univ. London, London, UK|c|;</t>
  </si>
  <si>
    <t>http://dx.doi.org/10.1109/TVCG.2011.211</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</si>
  <si>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</si>
  <si>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Zuse Institute Berlin;Zuse Institute Berlin;Zuse Institute Berlin</t>
  </si>
  <si>
    <t>10.1109/TVCG.2009.157;10.1109/TVCG.2011.259;10.1109/TVCG.2013.158</t>
  </si>
  <si>
    <t>Molecular visualization, solvent excluded surface, ligand excluded surface, cavity analysis</t>
  </si>
  <si>
    <t>ADR - Anatomy-Driven Reformation</t>
  </si>
  <si>
    <t>10.1109/TVCG.2014.2346405</t>
  </si>
  <si>
    <t>http://dx.doi.org/10.1109/TVCG.2014.2346405</t>
  </si>
  <si>
    <t>Erik Sund̩n;Anders Ynnerman;Timo Ropinski</t>
  </si>
  <si>
    <t>Sci. Visualization Group, Linkoping Univ., Linkoping, Sweden|c|;;</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</si>
  <si>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</si>
  <si>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Jan Kretschmer;Grzegorz Soza;Christian Tietjen;Michael Sühling;Bernhard Preim;Marc Stamminger</t>
  </si>
  <si>
    <t>Jan Kretschmer;Grzegorz Soza;Christian Tietjen;Michael Suehling;Bernhard Preim;Marc Stamminger</t>
  </si>
  <si>
    <t>Department of Computer Graphics, FAU Erlangen, and Siemens Healthcare Computed Tomography, Forchheim, Germany;Siemens Healthcare Computed Tomography, Forchheim, Germany;Siemens Healthcare Computed Tomography, Forchheim, Germany;Siemens Healthcare Computed Tomography, Forchheim, Germany;Department of Simulation and Graphics, Otto-von-Guericke University of Magdeburg, Germany;Department of Computer Graphics, FAU Erlangen, Germany</t>
  </si>
  <si>
    <t>10.1109/VISUAL.2003.1250353;10.1109/TVCG.2013.215;10.1109/VISUAL.2001.964540;10.1109/TVCG.2007.70550;10.1109/VISUAL.2002.1183754;10.1109/VISUAL.2003.1250351</t>
  </si>
  <si>
    <t>Medical Visualization, Volume Reformation, Viewing Algorithms</t>
  </si>
  <si>
    <t>http://dx.doi.org/10.1109/TVCG.2011.212</t>
  </si>
  <si>
    <t>Combined Visualization of Wall Thickness and Wall Shear Stress for the Evaluation of Aneurysms</t>
  </si>
  <si>
    <t>10.1109/TVCG.2014.2346406</t>
  </si>
  <si>
    <t>http://dx.doi.org/10.1109/TVCG.2014.2346406</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</si>
  <si>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</si>
  <si>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Sylvia Glaßer;Kai Lawonn;Thomas Hoffmann;Martin Skalej;Bernhard Preim</t>
  </si>
  <si>
    <t>Department for Simulation and Graphics, University of Magdeburg, Germany;Department for Simulation and Graphics, University of Magdeburg, Germany;Neuroradiology Department, University hospital of Magdeburg, Germany;Neuroradiology Department, University hospital of Magdeburg, Germany;Department for Simulation and Graphics, University of Magdeburg, Germany</t>
  </si>
  <si>
    <t>Jose Gustavo Paiva;Laura Florian;H̩lio Pedrini;Guilherme P. Telles;Rosane Minghim</t>
  </si>
  <si>
    <t>10.1109/TVCG.2012.202;10.1109/TVCG.2007.70550;10.1109/VISUAL.1995.480795;10.1109/TVCG.2011.189</t>
  </si>
  <si>
    <t>Aneurysm, IVUS, Wall Thickness, Wall Shear Stress, Brushing and Linking, Focus + Context</t>
  </si>
  <si>
    <t>Univ. of Sao Paulo, Sao Paulo, Brazil|c|;;;;</t>
  </si>
  <si>
    <t>Visualization of Brain Microstructure Through Spherical Harmonics Illumination of High Fidelity Spatio-Angular Fields</t>
  </si>
  <si>
    <t>10.1109/TVCG.2014.2346411</t>
  </si>
  <si>
    <t>http://dx.doi.org/10.1109/TVCG.2014.2346411</t>
  </si>
  <si>
    <t>http://dx.doi.org/10.1109/TVCG.2011.213</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</si>
  <si>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</si>
  <si>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Sujal Bista;Jiachen Zhuo;Rao P. Gullapalli;Amitabh Varshney</t>
  </si>
  <si>
    <t>University of Maryland, College Park;University of Maryland School of Medicine at Baltimore;University of Maryland School of Medicine at Baltimore;University of Maryland, College Park</t>
  </si>
  <si>
    <t>10.1109/TVCG.2013.172;10.1109/TVCG.2007.70602;10.1109/TVCG.2010.199;10.1109/TVCG.2012.231;10.1109/VISUAL.1999.809886;10.1109/VISUAL.2004.62;10.1109/TVCG.2008.162;10.1109/VISUAL.2004.64;10.1109/VISUAL.2004.5;10.1109/TVCG.2011.198;10.1109/TVCG.2008.148</t>
  </si>
  <si>
    <t>Diffusion Kurtosis Imaging, Diffusion Tensor Imaging, Spatio-Angular Fields, Spherical Harmonics Fields, Tensor Fields</t>
  </si>
  <si>
    <t>Steffen Hadlak;Hans-J̦rg Schulz;Heidrun Schumann</t>
  </si>
  <si>
    <t>A Robust Parity Test for Extracting Parallel Vectors in 3D</t>
  </si>
  <si>
    <t>10.1109/TVCG.2014.2346412</t>
  </si>
  <si>
    <t>http://dx.doi.org/10.1109/TVCG.2014.2346412</t>
  </si>
  <si>
    <t>http://dx.doi.org/10.1109/TVCG.2011.214</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</si>
  <si>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</si>
  <si>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Tao Ju;Minxin Cheng;Xu Wang;Ye Duan</t>
  </si>
  <si>
    <t>Washington University in St. Louis;University of Missouri at Columbia;University of Missouri at Columbia;University of Missouri at Columbia</t>
  </si>
  <si>
    <t>10.1109/VISUAL.2002.1183786;10.1109/VISUAL.2005.1532851;10.1109/VISUAL.1999.809896</t>
  </si>
  <si>
    <t>Parallel vectors, feature curve extraction, ridges and valleys, parity test</t>
  </si>
  <si>
    <t>Vortex Cores of Inertial Particles</t>
  </si>
  <si>
    <t>10.1109/TVCG.2014.2346415</t>
  </si>
  <si>
    <t>http://dx.doi.org/10.1109/TVCG.2014.2346415</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</si>
  <si>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</si>
  <si>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Tobias Günther;Holger Theisel</t>
  </si>
  <si>
    <t>Visual Computing Group at the University of Magdeburg;Visual Computing Group at the University of Magdeburg</t>
  </si>
  <si>
    <t>10.1109/VISUAL.2005.1532851;10.1109/TVCG.2007.70545;10.1109/TVCG.2010.198;10.1109/VISUAL.1999.809896;10.1109/VISUAL.1998.745296</t>
  </si>
  <si>
    <t>Inertial particles, flow visualization, vortex cores</t>
  </si>
  <si>
    <t>FLDA: Latent Dirichlet Allocation Based Unsteady Flow Analysis</t>
  </si>
  <si>
    <t>10.1109/TVCG.2014.2346416</t>
  </si>
  <si>
    <t>http://dx.doi.org/10.1109/TVCG.2014.2346416</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</si>
  <si>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</si>
  <si>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Fan Hong;Chufan Lai;Hanqi Guo;Enya Shen;Xiaoru Yuan;Sikun Li</t>
  </si>
  <si>
    <t>Key Laboratory of Machine Perception (Ministry of Education), School of EECS;Key Laboratory of Machine Perception (Ministry of Education), School of EECS;Key Laboratory of Machine Perception (Ministry of Education), School of EECS;School of Computer Science, National University of Defense Technology, Changsha, China;Key Laboratory of Machine Perception (Ministry of Education), School of EECS;School of Computer Science, National University of Defense Technology, Changsha, China</t>
  </si>
  <si>
    <t>10.1109/TVCG.2008.131;10.1109/TVCG.2010.131;10.1109/TVCG.2011.239;10.1109/TVCG.2006.165;10.1109/TVCG.2008.116;10.1109/TVCG.2006.164;10.1109/TVCG.2010.190;10.1109/TVCG.2011.246;10.1109/TVCG.2008.167;10.1109/TVCG.2009.112;10.1109/TVCG.2010.170;10.1109/TVCG.2013.133</t>
  </si>
  <si>
    <t>Flow visualization, Topic model, Latent Dirichlet allocation (LDA)</t>
  </si>
  <si>
    <t>Advection-Based Sparse Data Management for Visualizing Unsteady Flow</t>
  </si>
  <si>
    <t>10.1109/TVCG.2014.2346418</t>
  </si>
  <si>
    <t>http://dx.doi.org/10.1109/TVCG.2014.2346418</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</si>
  <si>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</si>
  <si>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Hanqi Guo;Jiang Zhang;Richen Liu;Lu Liu;Xiaoru Yuan;Jian Huang 0007;Xiangfei Meng;Jingshan Pan</t>
  </si>
  <si>
    <t>Susanne K. Suter;Jos̩ Antonio Iglesias Guiti��n;Fabio Marton;Marco Agus;Andreas Elsener;Christoph P. E. Zollikofer;Meenakshisundaram Gopi;Enrico Gobbetti;Renato Pajarola</t>
  </si>
  <si>
    <t>Hanqi Guo;Jiang Zhang;Richen Liu;Lu Liu;Xiaoru Yuan;Jian Huang;Xiangfei Meng;Jingshan Pan</t>
  </si>
  <si>
    <t>Univ. of Zurich, Zurich, Switzerland|c|;;;;;;;;</t>
  </si>
  <si>
    <t>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EECS;Key Laboratory of Machine Perception (Ministry of Education), School of EECS;Department of Electrical Engineering and Computer Science, University of Tennessee, Knoxville;National Supercomputer Center in Tianjin, Binhai, Tianjin, China;National Supercomputer Center in Jinan, Shandong, China</t>
  </si>
  <si>
    <t>10.1109/TVCG.2009.154;10.1109/TVCG.2011.219;10.1109/VISUAL.1997.663898;10.1109/TVCG.2013.144;10.1109/TVCG.2013.128;10.1109/TVCG.2007.70551</t>
  </si>
  <si>
    <t>Flow visualization, Data management, High performance visualization, Key-value store</t>
  </si>
  <si>
    <t>Trajectory-Based Flow Feature Tracking in Joint Particle/Volume Datasets</t>
  </si>
  <si>
    <t>http://dx.doi.org/10.1109/TVCG.2011.215</t>
  </si>
  <si>
    <t>10.1109/TVCG.2014.2346423</t>
  </si>
  <si>
    <t>http://dx.doi.org/10.1109/TVCG.2014.2346423</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</si>
  <si>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</si>
  <si>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Franz Sauer;Hongfeng Yu;Kwan-Liu Ma</t>
  </si>
  <si>
    <t>University of California, Davis;University of Nebraska, Lincoln;University of California, Davis</t>
  </si>
  <si>
    <t>10.1109/VISUAL.1997.663930;10.1109/VISUAL.1996.567807;10.1109/TVCG.2007.70599;10.1109/VISUAL.2003.1250374;10.1109/VISUAL.1990.146391;10.1109/VISUAL.1998.745288</t>
  </si>
  <si>
    <t>Feature extraction and tracking, particle data, volume data, particle trajectories, flow visualization</t>
  </si>
  <si>
    <t>Visualizing 2-dimensional Manifolds with Curve Handles in 4D</t>
  </si>
  <si>
    <t>10.1109/TVCG.2014.2346425</t>
  </si>
  <si>
    <t>http://dx.doi.org/10.1109/TVCG.2014.2346425</t>
  </si>
  <si>
    <t>http://dx.doi.org/10.1109/TVCG.2011.216</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</si>
  <si>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</si>
  <si>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Hui Zhang 0006;Jianguang Weng;Guangchen Ruan</t>
  </si>
  <si>
    <t>Hui Zhang;Jianguang Weng;Guangchen Ruan</t>
  </si>
  <si>
    <t>Pervasive Technology Institute, Indiana University;Zhejiang University of Media and Communication;School of Informatics and Computing, Indiana University</t>
  </si>
  <si>
    <t>10.1109/TVCG.2012.242;10.1109/VISUAL.2005.1532804;10.1109/VISUAL.2005.1532843;10.1109/TVCG.2010.151;10.1109/VISUAL.2005.1532833;10.1109/TVCG.2007.70593</t>
  </si>
  <si>
    <t>math visualization, 4D, deformation, Reidemeister theorem</t>
  </si>
  <si>
    <t>Fast and Memory-Efficienty Topological Denoising of 2D and 3D Scalar Fields</t>
  </si>
  <si>
    <t>10.1109/TVCG.2014.2346432</t>
  </si>
  <si>
    <t>http://dx.doi.org/10.1109/TVCG.2014.2346432</t>
  </si>
  <si>
    <t>Philipp Muigg;Markus Hadwiger;Helmut Doleisch;M. Eduard Gr̦ller</t>
  </si>
  <si>
    <t>Vienna Univ. of Technol., Vienna, Austria|c|;;;</t>
  </si>
  <si>
    <t>http://dx.doi.org/10.1109/TVCG.2011.217</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</si>
  <si>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</si>
  <si>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David Günther;Alec Jacobson;Jan Reininghaus;Hans-Peter Seidel;Olga Sorkine-Hornung;Tino Weinkauf</t>
  </si>
  <si>
    <t>Institut Mines-Télécom, Paris, France;Columbia University, New York, USA;IST Austria, Vienna, Austria;Max Planck Institute for Informatics, Saarbrücken, Germany;ETH Zürich, Zürich, Switzerland;Max Planck Institute for Informatics, Saarbrücken, Germany</t>
  </si>
  <si>
    <t>10.1109/TVCG.2012.228;10.1109/VISUAL.2001.964507</t>
  </si>
  <si>
    <t>Numerical optimization, topology, scalar fields</t>
  </si>
  <si>
    <t>Conforming Morse-Smale Complexes</t>
  </si>
  <si>
    <t>10.1109/TVCG.2014.2346434</t>
  </si>
  <si>
    <t>http://dx.doi.org/10.1109/TVCG.2014.2346434</t>
  </si>
  <si>
    <t>Steffen Oeltze-Jafra;Wolfgang Freiler</t>
  </si>
  <si>
    <t>Univ. of Magdeburg, Magdeburg, Germany|c|;;;;;</t>
  </si>
  <si>
    <t>http://dx.doi.org/10.1109/TVCG.2011.218</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</si>
  <si>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</si>
  <si>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Attila Gyulassy;David Günther;Joshua A. Levine;Julien Tierny;Valerio Pascucci</t>
  </si>
  <si>
    <t>SCI Institute;Institut Mines-Télécom, Télécom ParisTech, CNRS LTCI, Paris, France;School of Computing, Visual Computing Division, Clemson University, Clemson, SC, USA;Institut Mines-Télécom, Télécom ParisTech, CNRS LTCI, Paris, France;SCI Institute, University of Utah</t>
  </si>
  <si>
    <t>10.1109/TVCG.2011.249;10.1109/TVCG.2008.110;10.1109/TVCG.2007.70603;10.1109/TVCG.2006.186;10.1109/TVCG.2012.228;10.1109/TVCG.2012.209;10.1109/VISUAL.2005.1532839</t>
  </si>
  <si>
    <t>Computational Topology, Morse-Smale Complex, Data Analysis</t>
  </si>
  <si>
    <t>Escape Maps</t>
  </si>
  <si>
    <t>10.1109/TVCG.2014.2346442</t>
  </si>
  <si>
    <t>http://dx.doi.org/10.1109/TVCG.2014.2346442</t>
  </si>
  <si>
    <t>http://dx.doi.org/10.1109/TVCG.2011.219</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</si>
  <si>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</si>
  <si>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Gustavo Mello Machado;Filip Sadlo;Thomas Müller 0005;Thomas Ertl</t>
  </si>
  <si>
    <t>Gustavo Machado;Filip Sadlo;Thomas Müller;Thomas Ertl</t>
  </si>
  <si>
    <t>University of Stuttgart, Germany;University of Stuttgart, Germany;University of Stuttgart, Germany;University of Stuttgart, Germany</t>
  </si>
  <si>
    <t>10.1109/VISUAL.1991.175773;10.1109/VISUAL.1992.235211;10.1109/VISUAL.2003.1250376</t>
  </si>
  <si>
    <t>Streamline behavior, vector field topology, isocline surfaces, coronal hole extraction</t>
  </si>
  <si>
    <t>City Forensics: Using Visual Elements to Predict Non-Visual City Attributes</t>
  </si>
  <si>
    <t>10.1109/TVCG.2014.2346446</t>
  </si>
  <si>
    <t>http://dx.doi.org/10.1109/TVCG.2014.2346446</t>
  </si>
  <si>
    <t>http://dx.doi.org/10.1109/TVCG.2011.220</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</si>
  <si>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</si>
  <si>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Sean M. Arietta;Alexei A. Efros;Ravi Ramamoorthi;Maneesh Agrawala</t>
  </si>
  <si>
    <t>EECS Department, University of California, Berkeley;EECS Department, University of California, Berkeley;CSE Department, University of California, San Diego;EECS Department, University of California, Berkeley</t>
  </si>
  <si>
    <t>Data mining, big data, computational geography, visual processing</t>
  </si>
  <si>
    <t>Paulo Joia;Danilo Barbosa Coimbra;Jos̩ Alberto Cuminato;Fernando Vieira Paulovich;Luis Gustavo Nonato</t>
  </si>
  <si>
    <t>Univ. de Sao Paulo, Sao Paulo, Brazil|c|;;;;</t>
  </si>
  <si>
    <t>http://dx.doi.org/10.1109/TVCG.2011.223</t>
  </si>
  <si>
    <t>Decomposition and Simplification of Multivariate Data using Pareto Sets</t>
  </si>
  <si>
    <t>10.1109/TVCG.2014.2346447</t>
  </si>
  <si>
    <t>http://dx.doi.org/10.1109/TVCG.2014.2346447</t>
  </si>
  <si>
    <t>DGAC, Univ. of Toulouse, Toulouse, France</t>
  </si>
  <si>
    <t>http://dx.doi.org/10.1109/TVCG.2011.224</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</si>
  <si>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</si>
  <si>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Lars Huettenberger;Christian Heine 0002;Christoph Garth</t>
  </si>
  <si>
    <t>Lars Huettenberger;Christian Heine;Christoph Garth</t>
  </si>
  <si>
    <t>TU Kaiserslautern;ETH Zurich;TU Kaiserslautern</t>
  </si>
  <si>
    <t>10.1109/TVCG.2012.228;10.1109/VISUAL.2005.1532839;10.1109/TVCG.2009.120;10.1109/VISUAL.2002.1183774;10.1109/VISUAL.2000.885716;10.1109/TVCG.2008.110</t>
  </si>
  <si>
    <t>Multivariate Topology, Pareto Set, Simplification, Decomposition</t>
  </si>
  <si>
    <t>Multi-Charts for Comparative 3D Ensemble Visualization</t>
  </si>
  <si>
    <t>10.1109/TVCG.2014.2346448</t>
  </si>
  <si>
    <t>http://dx.doi.org/10.1109/TVCG.2014.2346448</t>
  </si>
  <si>
    <t>Claes Lundstr̦m;Thomas Rydell;Camilla Forsell;Anders Persson;Anders Ynnerman</t>
  </si>
  <si>
    <t>Center for Med. Image Sci. &amp; Visualization, Linkoping Univ., Linkoping, Sweden|c|;;;;</t>
  </si>
  <si>
    <t>http://dx.doi.org/10.1109/TVCG.2011.225</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</si>
  <si>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</si>
  <si>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Ismail Demir;Christian Dick;Rüdiger Westermann</t>
  </si>
  <si>
    <t>Computer Graphics and Visualization Group, Technische Universität München Informatik 15, Garching, Germany;Computer Graphics and Visualization Group, Technische Universität München Informatik 15, Garching, Germany;Computer Graphics and Visualization Group, Technische Universität München Informatik 15, Garching, Germany</t>
  </si>
  <si>
    <t>10.1109/TVCG.2013.143;10.1109/VISUAL.2000.885739;10.1109/TVCG.2006.159;10.1109/TVCG.2008.139;10.1109/TVCG.2007.70518;10.1109/TVCG.2010.181;10.1109/TVCG.2009.198;10.1109/INFVIS.2002.1173157;10.1109/VISUAL.1999.809921</t>
  </si>
  <si>
    <t>Ensemble visualization, brushing and linking, statistical analysis</t>
  </si>
  <si>
    <t>Using Topological Analysis to Support Event-Guided Exploration in Urban Data</t>
  </si>
  <si>
    <t>10.1109/TVCG.2014.2346449</t>
  </si>
  <si>
    <t>http://dx.doi.org/10.1109/TVCG.2014.2346449</t>
  </si>
  <si>
    <t>J�_rgen Waser;Hrvoje Ribicic;Raphael Fuchs;Christian Hirsch;Benjamin Schindler;G�_nter Bl̦schl;M. Eduard Gr̦ller</t>
  </si>
  <si>
    <t>VRVis Vienna, Vienna, Austria|c|;;;;;;</t>
  </si>
  <si>
    <t>http://dx.doi.org/10.1109/TVCG.2011.226</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</si>
  <si>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</si>
  <si>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Harish Doraiswamy;Nivan Ferreira;Theodoros Damoulas;Juliana Freire;Cláudio T. Silva</t>
  </si>
  <si>
    <t>10.1109/TVCG.2013.130;10.1109/TVCG.2007.70574;10.1109/VAST.2008.4677356;10.1109/VISUAL.2004.96;10.1109/TVCG.2013.179;10.1109/TVCG.2006.186;10.1109/VAST.2008.4677354;10.1109/TVCG.2013.226;10.1109/TVCG.2013.228;10.1109/VAST.2012.6400557;10.1109/VAST.2011.6102454;10.1109/TVCG.2013.131</t>
  </si>
  <si>
    <t>Computational topology, event detection, spatio-temporal index, urban data, visual exploration</t>
  </si>
  <si>
    <t>Trend-Centric Motion Visualization: Designing and Applying a New Strategy for Analyzing Scientific Motion Collections</t>
  </si>
  <si>
    <t>10.1109/TVCG.2014.2346451</t>
  </si>
  <si>
    <t>http://dx.doi.org/10.1109/TVCG.2014.2346451</t>
  </si>
  <si>
    <t>VISUS, Univ. of Stuttgart, Stuttgart, Germany|c|;;;;</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</si>
  <si>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</si>
  <si>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David Schroeder;Fedor Korsakov;Carissa Mai-Ping Knipe;Lauren Thorson;Arin M. Ellingson;David J. Nuckley;John V. Carlis;Daniel F. Keefe</t>
  </si>
  <si>
    <t>David Schroeder;Fedor Korsakov;Carissa Mai-Ping Knipe;Lauren Thorson;Arin M. Ellingson;David Nuckley;John Carlis;Daniel F Keefe</t>
  </si>
  <si>
    <t>University of Minnesota;University of Minnesota;University of Minnesota;Minneapolis College of Art and Design;University of Minnesota;Zimmer Spine;University of Minnesota;University of Minnesota</t>
  </si>
  <si>
    <t>10.1109/TVCG.2013.178;10.1109/TVCG.2009.152;10.1109/VAST.2011.6102454;10.1109/TVCG.2010.223;10.1109/VISUAL.2001.964496;10.1109/TVCG.2007.70518;10.1109/VAST.2009.5332593;10.1109/VISUAL.2005.1532857</t>
  </si>
  <si>
    <t>Design studies, focus + context techniques, integrating spatial and non-spatial data visualization, visual design, biomedical and medical visualization</t>
  </si>
  <si>
    <t>Curve Boxplot: Generalization of Boxplot for Ensembles of Curves</t>
  </si>
  <si>
    <t>10.1109/TVCG.2014.2346455</t>
  </si>
  <si>
    <t>http://dx.doi.org/10.1109/TVCG.2014.2346455</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</si>
  <si>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</si>
  <si>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Mahsa Mirzargar;Ross T. Whitaker;Robert Michael Kirby</t>
  </si>
  <si>
    <t>Mahsa Mirzargar;Ross T. Whitaker;Robert M. Kirby</t>
  </si>
  <si>
    <t>Scientific Computing and Imaging Institute, University of Utah, Salt Lake City, UT;Scientific Computing and Imaging Institute, Salt Lake City, UT;Scientific Computing and Imaging Institute, Salt Lake City, UT</t>
  </si>
  <si>
    <t>10.1109/TVCG.2013.143;10.1109/VISUAL.2002.1183769;10.1109/VISUAL.1996.568116;10.1109/VISUAL.1996.568105;10.1109/TVCG.2013.141;10.1109/TVCG.2010.212;10.1109/TVCG.2013.126;10.1109/TVCG.2010.181</t>
  </si>
  <si>
    <t>Uncertainty visualization, boxplots, ensemble visualization, order statistics, data depth, nonparametric statistic, functional data, parametric curves</t>
  </si>
  <si>
    <t>Volume-Preserving Mapping and Registration for Collective Data Visualization</t>
  </si>
  <si>
    <t>10.1109/TVCG.2014.2346457</t>
  </si>
  <si>
    <t>http://dx.doi.org/10.1109/TVCG.2014.2346457</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</si>
  <si>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</si>
  <si>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Jiaxi Hu;Guangyu Zou;Jing Hua</t>
  </si>
  <si>
    <t>Jiaxi Hu;Guangyu Jeff Zou;Jing Hua</t>
  </si>
  <si>
    <t>Department of Computer Science, Wayne State University, Detroit, MI;Department of Computer Science, Wayne State University, Detroit, MI;Department of Computer Science, Wayne State University, Detroit, MI</t>
  </si>
  <si>
    <t>10.1109/TVCG.2008.134;10.1109/VISUAL.2004.75;10.1109/VISUAL.2002.1183795;10.1109/TVCG.2011.171</t>
  </si>
  <si>
    <t>Volume-preserving mapping, data regularization, data transformation</t>
  </si>
  <si>
    <t>Fixed-Rate Compressed Floating-Point Arrays</t>
  </si>
  <si>
    <t>10.1109/TVCG.2014.2346458</t>
  </si>
  <si>
    <t>http://dx.doi.org/10.1109/TVCG.2014.2346458</t>
  </si>
  <si>
    <t>Current compression schemes for floating-point data commonly take fixed-precision values and compress them to a variable-length bit stream, complicating memory management and random access. We present a fixed-rate, near-lossless compression scheme that maps small blocks of 4&amp;lt;sup&amp;gt;d&amp;lt;/sup&amp;gt;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</si>
  <si>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Peter Lindstrom</t>
  </si>
  <si>
    <t>http://dx.doi.org/10.1109/TVCG.2011.227</t>
  </si>
  <si>
    <t>Center for Applied Scientific Computing, Lawrence Livermore National Laboratory</t>
  </si>
  <si>
    <t>10.1109/TVCG.2006.143;10.1109/VISUAL.2001.964531;10.1109/TVCG.2006.186;10.1109/VISUAL.2001.964520;10.1109/VISUAL.2003.1250385;10.1109/TVCG.2012.209;10.1109/TVCG.2007.70516;10.1109/TVCG.2012.194;10.1109/VISUAL.1996.568138</t>
  </si>
  <si>
    <t>Data compression, floating-point arrays, orthogonal block transform, embedded coding</t>
  </si>
  <si>
    <t>Stent Maps - Comparative Visualization for the Prediction of Adverse Events of Transcatheter Aortic Valve Implantations</t>
  </si>
  <si>
    <t>10.1109/TVCG.2014.2346459</t>
  </si>
  <si>
    <t>http://dx.doi.org/10.1109/TVCG.2014.2346459</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</si>
  <si>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</si>
  <si>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Silvia Born;Simon H. Sündermann;Christoph Russ;Raoul Hopf;Carlos E. Ruiz;Volkmar Falk;Michael Gessat</t>
  </si>
  <si>
    <t>University of Zurich, Switzerland;Division of Cardiovascular Surgery, University Hospital of Zurich, Switzerland;Swiss Federal Institute of Technology (ETH) Zurich, Switzerland;Swiss Federal Institute of Technology (ETH) Zurich, Switzerland;Structural and Congenital Heart Division, Lenox Hill Hospital;Division of Cardiovascular Surgery, University Hospital of Zurich, Switzerland;University of Zurich, Switzerland</t>
  </si>
  <si>
    <t>10.1109/TVCG.2009.169;10.1109/TVCG.2007.70550;10.1109/VISUAL.2001.964540;10.1109/TVCG.2011.235;10.1109/TVCG.2013.139;10.1109/VISUAL.2003.1250353</t>
  </si>
  <si>
    <t>Comparative visualization, medical visualization, vessel flattening, transcatheter aortic valve implantation (TAVI)</t>
  </si>
  <si>
    <t>Visualization of Regular Maps: The Chase Continues</t>
  </si>
  <si>
    <t>10.1109/TVCG.2014.2352952</t>
  </si>
  <si>
    <t>http://dx.doi.org/10.1109/TVCG.2014.2352952</t>
  </si>
  <si>
    <t>http://dx.doi.org/10.1109/TVCG.2011.228</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</si>
  <si>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</si>
  <si>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regular maps, tiling, tessellation, surface topology, mathematical visualization</t>
  </si>
  <si>
    <t>Knowledge Generation Model for Visual Analytics</t>
  </si>
  <si>
    <t>10.1109/TVCG.2014.2346481</t>
  </si>
  <si>
    <t>http://dx.doi.org/10.1109/TVCG.2014.2346481</t>
  </si>
  <si>
    <t>Artem Amirkhanov;Christoph Heinzl;Michael Reiter;Johann Kastner;M. Eduard Gr̦ller</t>
  </si>
  <si>
    <t>Inst. of Comput. Graphics &amp; Algorithms, Vienna Univ. of Technol., Vienna, Austria|c|;;;;</t>
  </si>
  <si>
    <t>http://dx.doi.org/10.1109/TVCG.2011.229</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</si>
  <si>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</si>
  <si>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Dominik Sacha;Andreas Stoffel;Florian Stoffel;Bum Chul Kwon;Geoffrey P. Ellis;Daniel A. Keim</t>
  </si>
  <si>
    <t>Dominik Sacha;Andreas Stoffel;Florian Stoffel;Bum Chul Kwon;Geoffrey Ellis;Daniel A. Keim</t>
  </si>
  <si>
    <t>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t>
  </si>
  <si>
    <t>10.1109/VISUAL.2005.1532781;10.1109/TVCG.2013.124;10.1109/VAST.2009.5333023;10.1109/TVCG.2011.229;10.1109/TVCG.2008.109;10.1109/VAST.2008.4677361;10.1109/VAST.2008.4677365;10.1109/VAST.2010.5652879;10.1109/TVCG.2012.273;10.1109/VAST.2008.4677358;10.1109/TVCG.2008.121;10.1109/VAST.2007.4389006;10.1109/VAST.2011.6102435;10.1109/TVCG.2013.120</t>
  </si>
  <si>
    <t>Visual Analytics, Knowledge Generation, Reasoning, Visualization Taxonomies and Models, Interaction</t>
  </si>
  <si>
    <t>INFUSE: Interactive Feature Selection for Predictive Modeling of High Dimensional Data</t>
  </si>
  <si>
    <t>10.1109/TVCG.2014.2346482</t>
  </si>
  <si>
    <t>http://dx.doi.org/10.1109/TVCG.2014.2346482</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</si>
  <si>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</si>
  <si>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Josua Krause;Adam Perer;Enrico Bertini</t>
  </si>
  <si>
    <t>NYU Polytechnic School of Engineering;IBM T.J. Watson Research Center;NYU Polytechnic School of Engineering</t>
  </si>
  <si>
    <t>10.1109/INFVIS.2004.71;10.1109/VAST.2009.5332586;10.1109/INFVIS.2005.1532142;10.1109/TVCG.2011.229;10.1109/VAST.2011.6102448;10.1109/INFVIS.2003.1249015;10.1109/TVCG.2011.178;10.1109/VAST.2011.6102453;10.1109/TVCG.2013.125;10.1109/TVCG.2009.153;10.1109/VAST.2010.5652443</t>
  </si>
  <si>
    <t>Predictive modeling, feature selection, classification, visual analytics, high-dimensional data</t>
  </si>
  <si>
    <t>http://dx.doi.org/10.1109/TVCG.2011.230</t>
  </si>
  <si>
    <t>Transforming Scagnostics to Reveal Hidden Features</t>
  </si>
  <si>
    <t>10.1109/TVCG.2014.2346572</t>
  </si>
  <si>
    <t>http://dx.doi.org/10.1109/TVCG.2014.2346572</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</si>
  <si>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</si>
  <si>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Dang Tuan Nhon;Leland Wilkinson</t>
  </si>
  <si>
    <t>Tuan Nhon Dang;Leland Wilkinson</t>
  </si>
  <si>
    <t>Department of Computer Science, University of Illinois at Chicago;Department of Computer Science, Skytree Software Inc.</t>
  </si>
  <si>
    <t>10.1109/TVCG.2006.163;10.1109/INFVIS.2005.1532142;10.1109/TVCG.2013.187;10.1109/TVCG.2011.167;10.1109/VAST.2006.261423;10.1109/TVCG.2010.184;10.1109/VAST.2011.6102437;10.1109/VAST.2007.4389006</t>
  </si>
  <si>
    <t>Scagnostics, Scatterplot matrix, Transformation, High-Dimensional Visual Analytics</t>
  </si>
  <si>
    <t>Supporting Communication and Coordination in Collaborative Sensemaking</t>
  </si>
  <si>
    <t>10.1109/TVCG.2014.2346573</t>
  </si>
  <si>
    <t>http://dx.doi.org/10.1109/TVCG.2014.2346573</t>
  </si>
  <si>
    <t>http://dx.doi.org/10.1109/TVCG.2011.231</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</si>
  <si>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</si>
  <si>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Narges Mahyar;Melanie Tory</t>
  </si>
  <si>
    <t>University of Victoria;University of Victoria</t>
  </si>
  <si>
    <t>10.1109/VAST.2009.5333245;10.1109/VAST.2006.261439;10.1109/VAST.2008.4677358;10.1109/TVCG.2013.197;10.1109/VAST.2011.6102438;10.1109/VAST.2009.5333878;10.1109/VAST.2006.261430;10.1109/VAST.2007.4389011;10.1109/VAST.2007.4389006;10.1109/VAST.2011.6102447</t>
  </si>
  <si>
    <t>Sensemaking, Collaboration, Externalization, Linked common work, Collaborative thinking space</t>
  </si>
  <si>
    <t>Progressive Visual Analytics: User-Driven Visual Exploration of In-Progress Analytics</t>
  </si>
  <si>
    <t>10.1109/TVCG.2014.2346574</t>
  </si>
  <si>
    <t>http://dx.doi.org/10.1109/TVCG.2014.2346574</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</si>
  <si>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</si>
  <si>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Charles D. Stolper;Adam Perer;David Gotz</t>
  </si>
  <si>
    <t>http://dx.doi.org/10.1109/TVCG.2011.232</t>
  </si>
  <si>
    <t>School of Interactive Computing, Georgia Institute of Technology;IBM T.J. Watson Research Center;University of North Carolina at Chapel Hill</t>
  </si>
  <si>
    <t>10.1109/VAST.2006.261421;10.1109/TVCG.2013.227;10.1109/TVCG.2009.187;10.1109/TVCG.2011.179;10.1109/INFVIS.2005.1532133;10.1109/TVCG.2012.225;10.1109/TVCG.2013.179;10.1109/INFVIS.2000.885097;10.1109/TVCG.2013.200</t>
  </si>
  <si>
    <t>Progressive visual analytics, information visualization, interactive machine learning, electronic medical records</t>
  </si>
  <si>
    <t>Finding Waldo: Learning about Users from their Interactions</t>
  </si>
  <si>
    <t>10.1109/TVCG.2014.2346575</t>
  </si>
  <si>
    <t>http://dx.doi.org/10.1109/TVCG.2014.2346575</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</si>
  <si>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</si>
  <si>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Eli T. Brown;Alvitta Ottley;Helen Zhao;Quan Lin;Richard Souvenir;Alex Endert;Remco Chang</t>
  </si>
  <si>
    <t>Eli T Brown;Alvitta Ottley;Helen Zhao;Quan Lin;Richard Souvenir;Alex Endert;Remco Chang</t>
  </si>
  <si>
    <t>Tufts U;Tufts U;Tufts U;Tufts U;U.N.C. Charlotte;Pacific Northwest National Lab;Tufts U</t>
  </si>
  <si>
    <t>10.1109/TVCG.2012.204;10.1109/VAST.2010.5653587;10.1109/VAST.2009.5333020;10.1109/VAST.2012.6400486;10.1109/VISUAL.2005.1532788;10.1109/TVCG.2012.276;10.1109/VAST.2006.261436;10.1109/VAST.2008.4677352</t>
  </si>
  <si>
    <t>User Interactions, Analytic Provenance, Visualization, Applied Machine Learning</t>
  </si>
  <si>
    <t>Opening the Black Box: Strategies for Increased User Involvement in Existing Algorithm Implementations</t>
  </si>
  <si>
    <t>10.1109/TVCG.2014.2346578</t>
  </si>
  <si>
    <t>http://dx.doi.org/10.1109/TVCG.2014.2346578</t>
  </si>
  <si>
    <t>Univ. of Wisconsin-Madison, Madison, WI, USA|c|;;</t>
  </si>
  <si>
    <t>http://dx.doi.org/10.1109/TVCG.2011.233</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</si>
  <si>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</si>
  <si>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Thomas Mühlbacher;Harald Piringer;Samuel Gratzl;Michael Sedlmair;Marc Streit</t>
  </si>
  <si>
    <t>VRVis Research Center, Vienna, Austria;VRVis Research Center, Vienna, Austria;Johannes Kepler University, Linz, Austria;University of Vienna, Austria;Johannes Kepler University, Linz, Austria</t>
  </si>
  <si>
    <t>10.1109/VAST.2012.6400486;10.1109/VAST.2007.4388999;10.1109/VAST.2011.6102449;10.1109/TVCG.2007.70515;10.1109/TVCG.2009.151;10.1109/TVCG.2014.2346321;10.1109/VAST.2008.4677350;10.1109/TVCG.2006.171;10.1109/TVCG.2013.212;10.1109/TVCG.2013.125;10.1109/INFVIS.2002.1173145;10.1109/TVCG.2009.110;10.1109/INFVIS.2004.60;10.1109/VAST.2011.6102453;10.1109/TVCG.2012.195;10.1109/INFVIS.2003.1249014;10.1109/TVCG.2011.229</t>
  </si>
  <si>
    <t>Visual analytics infrastructures, integration, interactive algorithms, user involvement, problem subdivision</t>
  </si>
  <si>
    <t>Interactive Visual Analysis of Image-Centric Cohort Study Data</t>
  </si>
  <si>
    <t>10.1109/TVCG.2014.2346591</t>
  </si>
  <si>
    <t>http://dx.doi.org/10.1109/TVCG.2014.2346591</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</si>
  <si>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</si>
  <si>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Paul Klemm;Steffen Oeltze-Jafra;Kai Lawonn;Katrin Hegenscheid;Henry Völzke;Bernhard Preim</t>
  </si>
  <si>
    <t>Otto-von-Guericke University Magdeburg, Germany;Otto-von-Guericke University Magdeburg, Germany;Otto-von-Guericke University Magdeburg, Germany;Ernst-Moritz-Arndt University Greifswald, Germany;Ernst-Moritz-Arndt University Greifswald, Germany;Otto-von-Guericke University Magdeburg, Germany</t>
  </si>
  <si>
    <t>10.1109/TVCG.2013.160;10.1109/TVCG.2011.185;10.1109/VISUAL.2000.885739;10.1109/TVCG.2011.217;10.1109/TVCG.2007.70569</t>
  </si>
  <si>
    <t>Interactive Visual Analysis, Epidemiology, Spine</t>
  </si>
  <si>
    <t>Visual Abstraction and Exploration of Multi-class Scatterplots</t>
  </si>
  <si>
    <t>http://dx.doi.org/10.1109/TVCG.2011.234</t>
  </si>
  <si>
    <t>10.1109/TVCG.2014.2346594</t>
  </si>
  <si>
    <t>http://dx.doi.org/10.1109/TVCG.2014.2346594</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</si>
  <si>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</si>
  <si>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Haidong Chen;Wei Chen 0001;Honghui Mei;Zhiqi Liu;Kun Zhou;Weifeng Chen 0002;Wentao Gu;Kwan-Liu Ma</t>
  </si>
  <si>
    <t>Haidong Chen;Wei Chen;Honghui Mei;Zhiqi Liu;Kun Zhou;Weifeng Chen;Wentao Gu;Kwan-Liu Ma</t>
  </si>
  <si>
    <t>State Key Lab of CAD&amp;CG;State Key Lab of CAD&amp;CG;State Key Lab of CAD&amp;CG;State Key Lab of CAD&amp;CG;State Key Lab of CAD&amp;CG;Zhejiang University of Finance &amp; Economics;Zhejiang GongShang University;University of California at Davis</t>
  </si>
  <si>
    <t>10.1109/TVCG.2013.150;10.1109/TVCG.2008.119;10.1109/VISUAL.1998.745301;10.1109/TVCG.2008.120;10.1109/TVCG.2010.197;10.1109/TVCG.2006.187;10.1109/TVCG.2007.70623;10.1109/TVCG.2013.180;10.1109/INFVIS.2004.52;10.1109/VAST.2010.5652460;10.1109/TVCG.2009.112;10.1109/TVCG.2009.122;10.1109/TVCG.2011.181;10.1109/TVCG.2012.238;10.1109/TVCG.2010.176;10.1109/TVCG.2013.212;10.1109/TVCG.2011.261;10.1109/TVCG.2008.153;10.1109/TVCG.2013.183</t>
  </si>
  <si>
    <t>Scatterplot, overdraw reduction, sampling, visual abstraction</t>
  </si>
  <si>
    <t>Cupid: Cluster-Based Exploration of Geometry Generators with Parallel Coordinates and Radial Trees</t>
  </si>
  <si>
    <t>10.1109/TVCG.2014.2346626</t>
  </si>
  <si>
    <t>http://dx.doi.org/10.1109/TVCG.2014.2346626</t>
  </si>
  <si>
    <t>Basak Alper;Tobias H̦llerer;JoAnn Kuchera-Morin;Angus Graeme Forbes</t>
  </si>
  <si>
    <t>Media Arts &amp; Technol. Program, Univ. of California, Santa Barbara, CA, USA|c|;;;</t>
  </si>
  <si>
    <t>http://dx.doi.org/10.1109/TVCG.2011.235</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</si>
  <si>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</si>
  <si>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Michael Beham;Wolfgang Herzner;M. Eduard Gröller;Johannes Kehrer</t>
  </si>
  <si>
    <t>Vienna University of Technology;Austrian Institute of Technology;Vienna University of Technology;Vienna University of Technology</t>
  </si>
  <si>
    <t>10.1109/TVCG.2013.147;10.1109/TVCG.2013.213;10.1109/TVCG.2010.138;10.1109/TVCG.2009.155;10.1109/VISUAL.2005.1532856;10.1109/TVCG.2010.190;10.1109/TVCG.2006.147;10.1109/VISUAL.1993.398859;10.1109/VISUAL.1999.809866;10.1109/TVCG.2007.70581</t>
  </si>
  <si>
    <t>Composite visualization, hierarchical clustering, illustrative parallel coordinates, radial trees, 3D shape analysis</t>
  </si>
  <si>
    <t>Visual Methods for Analyzing Probabilistic Classification Data</t>
  </si>
  <si>
    <t>10.1109/TVCG.2014.2346660</t>
  </si>
  <si>
    <t>http://dx.doi.org/10.1109/TVCG.2014.2346660</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</si>
  <si>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</si>
  <si>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Bilal Alsallakh;Allan Hanbury;Helwig Hauser;Silvia Miksch;Andreas Rauber</t>
  </si>
  <si>
    <t>Vienna University of Technology;Vienna University of Technology;University of Bergen;Vienna University of Technology;Vienna University of Technology</t>
  </si>
  <si>
    <t>10.1109/VISUAL.2000.885740;10.1109/VAST.2010.5652398;10.1109/VAST.2009.5332628;10.1109/TVCG.2012.277;10.1109/VAST.2012.6400486;10.1109/TVCG.2013.184;10.1109/TVCG.2012.254;10.1109/VAST.2011.6102448;10.1109/VAST.2011.6102453;10.1109/VAST.2012.6400492;10.1109/VAST.2010.5652443</t>
  </si>
  <si>
    <t>Probabilistic classification, confusion analysis, feature evaluation and selection, visual inspection</t>
  </si>
  <si>
    <t>http://dx.doi.org/10.1109/TVCG.2011.236</t>
  </si>
  <si>
    <t>A Five-Level Design Framework for Bicluster Visualizations</t>
  </si>
  <si>
    <t>10.1109/TVCG.2014.2346665</t>
  </si>
  <si>
    <t>http://dx.doi.org/10.1109/TVCG.2014.2346665</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</si>
  <si>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</si>
  <si>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Maoyuan Sun;Chris North;Naren Ramakrishnan</t>
  </si>
  <si>
    <t>Department of Computer Science, Discovery Analytics Center, Virginia Tech;Department of Computer Science, Discovery Analytics Center, Virginia Tech;Department of Computer Science, Discovery Analytics Center, Virginia Tech</t>
  </si>
  <si>
    <t>10.1109/TVCG.2006.147;10.1109/TVCG.2009.153;10.1109/INFVIS.2005.1532126;10.1109/TVCG.2010.138;10.1109/VISUAL.1990.146402;10.1109/TVCG.2011.250;10.1109/TVCG.2006.160;10.1109/TVCG.2009.122;10.1109/VISUAL.1999.809866;10.1109/VAST.2006.261426;10.1109/INFVIS.2004.1;10.1109/VAST.2011.6102449;10.1109/TVCG.2013.167;10.1109/TVCG.2006.170;10.1109/TVCG.2007.70582</t>
  </si>
  <si>
    <t>Biclusters, interactive visual analytics, coordinated relationships, design framework</t>
  </si>
  <si>
    <t>VarifocalReader -- In-Depth Visual Analysis of Large Text Documents</t>
  </si>
  <si>
    <t>10.1109/TVCG.2014.2346677</t>
  </si>
  <si>
    <t>Dept. of Comput. Sci. &amp; Autom., Indian Inst. of Sci., Bangalore, India|c|;</t>
  </si>
  <si>
    <t>http://dx.doi.org/10.1109/TVCG.2014.2346677</t>
  </si>
  <si>
    <t>http://dx.doi.org/10.1109/TVCG.2011.237</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</si>
  <si>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</si>
  <si>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Steffen Koch;Markus John;Michael Wörner 0001;Andreas Müller 0012;Thomas Ertl</t>
  </si>
  <si>
    <t>Steffen Koch;Markus John;Michael Wörner;Andreas Müller;Thomas Ertl</t>
  </si>
  <si>
    <t>Institute of Visualization and Interactive Systems (VIS);Institute of Visualization and Interactive Systems (VIS);Institute of Visualization and Interactive Systems (VIS);Institute for Natural Language Processing (IMS);Institute of Visualization and Interactive Systems (VIS)</t>
  </si>
  <si>
    <t>10.1109/VAST.2010.5652926;10.1109/TVCG.2008.172;10.1109/VAST.2012.6400485;10.1109/TVCG.2013.188;10.1109/TVCG.2007.70577;10.1109/VAST.2012.6400486;10.1109/TVCG.2012.277;10.1109/TVCG.2009.165;10.1109/TVCG.2013.162;10.1109/INFVIS.1995.528686;10.1109/VAST.2009.5333248;10.1109/TVCG.2012.260;10.1109/VAST.2007.4389006;10.1109/VAST.2009.5333919;10.1109/VAST.2007.4389004</t>
  </si>
  <si>
    <t>visual analytics, document analysis, literary analysis, natural language processing, text mining, machine learning, distant reading</t>
  </si>
  <si>
    <t>DecisionFlow: Visual Analytics for High-Dimensional Temporal Event Sequence Data</t>
  </si>
  <si>
    <t>10.1109/TVCG.2014.2346682</t>
  </si>
  <si>
    <t>http://dx.doi.org/10.1109/TVCG.2014.2346682</t>
  </si>
  <si>
    <t>Georgia Albuquerque;Thomas L̦we;Marcus A. Magnor</t>
  </si>
  <si>
    <t>Comput. Graphics Lab., TU, Braunschweig, Germany|c|;;</t>
  </si>
  <si>
    <t>http://dx.doi.org/10.1109/TVCG.2011.239</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</si>
  <si>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</si>
  <si>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David Gotz;Harry Stavropoulos</t>
  </si>
  <si>
    <t>University of North Carolina at Chapel Hill;IBM T.J. Watson Research Center</t>
  </si>
  <si>
    <t>10.1109/TVCG.2013.206;10.1109/TVCG.2012.225;10.1109/TVCG.2011.179;10.1109/INFVIS.2000.885097;10.1109/VAST.2009.5332595;10.1109/VAST.2010.5652890;10.1109/TVCG.2009.117;10.1109/VAST.2006.261421;10.1109/TVCG.2013.200</t>
  </si>
  <si>
    <t>Information Visualization, Temporal Event Sequences, Visual Analytics, Flow Diagrams, Medical Informatics</t>
  </si>
  <si>
    <t>Footprints: A Visual Search Tool that Supports Discovery and Coverage Tracking</t>
  </si>
  <si>
    <t>10.1109/TVCG.2014.2346743</t>
  </si>
  <si>
    <t>http://dx.doi.org/10.1109/TVCG.2014.2346743</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</si>
  <si>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</si>
  <si>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Ellen Isaacs;Kelly Domico;Shane Ahern;Eugene Bart;Mudita Singhal</t>
  </si>
  <si>
    <t>Ellen Isaacs;Kelly Damico;Shane Ahern;Eugene Bart;Mudita Singhal</t>
  </si>
  <si>
    <t>Palo Alto Research Center (PARC);Palo Alto Research Center (PARC);Palo Alto Research Center (PARC);Palo Alto Research Center (PARC);Palo Alto Research Center (PARC)</t>
  </si>
  <si>
    <t>Hong Kong Univ. of Sci. &amp; Technol., Hong Kong, China|c|;;;;;;;</t>
  </si>
  <si>
    <t>10.1109/VAST.2009.5333443;10.1109/VAST.2008.4677365;10.1109/VAST.2007.4389006;10.1109/INFVIS.2001.963287;10.1109/TVCG.2007.70589;10.1109/VAST.2006.261426;10.1109/TVCG.2007.70577</t>
  </si>
  <si>
    <t>discovery search visualization, visual cues, discoverage, coverage tracking, document triage, interactive histograms</t>
  </si>
  <si>
    <t>Visual Analytics for Complex Engineering Systems: Hybrid Visual Steering of Simulation Ensembles</t>
  </si>
  <si>
    <t>10.1109/TVCG.2014.2346744</t>
  </si>
  <si>
    <t>http://dx.doi.org/10.1109/TVCG.2014.2346744</t>
  </si>
  <si>
    <t>http://dx.doi.org/10.1109/TVCG.2011.242</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</si>
  <si>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naïve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“best”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</si>
  <si>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Kresimir Matkovic;Denis Gracanin;Rainer Splechtna;Mario Jelovic;Benedikt Stehno;Helwig Hauser;Werner Purgathofer</t>
  </si>
  <si>
    <t>Kreŝimir Matković;Denis Gračanin;Rainer Splechtna;Mario Jelović;Benedikt Stehno;Helwig Hauser;Werner Purgathofer</t>
  </si>
  <si>
    <t>VRVis Research Center, Vienna, Austria;Virginia Tech, Blacksburg, VA, USA;VRVis Research Center, Vienna, Austria;AVL-AST Zagreb, Croatia;VRVis Research Center, Vienna, Austria;University of Bergen, Norway;Vienna University of Technology, Austria</t>
  </si>
  <si>
    <t>10.1109/TVCG.2010.223;10.1109/TVCG.2012.280;10.1109/TVCG.2008.145;10.1109/TVCG.2009.110;10.1109/TVCG.2010.171</t>
  </si>
  <si>
    <t>Interactive Visual Analysis, Integrated Design Environment, Simulation, Visual Steering, Automatic Optimization</t>
  </si>
  <si>
    <t>Visual Exploration of Sparse Traffic Trajectory Data</t>
  </si>
  <si>
    <t>10.1109/TVCG.2014.2346746</t>
  </si>
  <si>
    <t>http://dx.doi.org/10.1109/TVCG.2014.2346746</t>
  </si>
  <si>
    <t>http://dx.doi.org/10.1109/TVCG.2011.243</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</si>
  <si>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</si>
  <si>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Zuchao Wang;Tangzhi Ye;Min Lu;Xiaoru Yuan;Huamin Qu;Jacky Yuan;Qianliang Wu</t>
  </si>
  <si>
    <t>Peking University;Peking University;Peking University;Peking University;Hong Kong University of Science and Technology;Nanjing Intelligent Transportation Systems Co., Ltd;Nanjing Intelligent Transportation Systems Co., Ltd</t>
  </si>
  <si>
    <t>10.1109/VAST.2012.6400556;10.1109/INFVIS.2004.27;10.1109/VAST.2008.4677356;10.1109/INFVIS.2005.1532151;10.1109/VAST.2011.6102458;10.1109/TVCG.2011.226;10.1109/TVCG.2013.228;10.1109/TVCG.2013.193;10.1109/VAST.2009.5332584;10.1109/TVCG.2013.226;10.1109/VAST.2011.6102454;10.1109/VAST.2011.6102455;10.1109/TVCG.2009.182;10.1109/TVCG.2012.265</t>
  </si>
  <si>
    <t>Sparse Traffic Trajectory, Traffic Visualization, Dynamic Graph Visualization, Traffic Congestion</t>
  </si>
  <si>
    <t>DIA2: Web-based Cyberinfrastructure for Visual Analysis of Funding Portfolios</t>
  </si>
  <si>
    <t>10.1109/TVCG.2014.2346747</t>
  </si>
  <si>
    <t>http://dx.doi.org/10.1109/TVCG.2014.2346747</t>
  </si>
  <si>
    <t>Dept. of Simulation &amp; Graphics, Univ. of Magdeburg, Magdeburg, Germany|c|;;;</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</si>
  <si>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</si>
  <si>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Krishna P. C. Madhavan;Niklas Elmqvist;Mihaela Vorvoreanu;Xin Chen;Yuet Ling Wong;Hanjun Xian;Zhihua Dong;Aditya Johri</t>
  </si>
  <si>
    <t>Krishna Madhavan;Niklas Elmqvist;Mihaela Vorvoreanu;Xin Chen;Yuetling Wong;Hanjun Xian;Zhihua Dong;Aditya Johri</t>
  </si>
  <si>
    <t>Purdue University;Purdue University;Purdue University;Purdue University;Purdue University;Microsoft Corporation;Microsoft Corporation;George Mason University</t>
  </si>
  <si>
    <t>10.1109/TVCG.2007.70541;10.1109/TVCG.2011.174;10.1109/TVCG.2010.177;10.1109/TVCG.2012.255;10.1109/TVCG.2009.123;10.1109/TVCG.2013.223;10.1109/INFVIS.2001.963283;10.1109/TVCG.2012.213;10.1109/VAST.2008.4677361</t>
  </si>
  <si>
    <t>visual analytics, portfolio mining, web-based visualization, casual visualization, design study</t>
  </si>
  <si>
    <t>http://dx.doi.org/10.1109/TVCG.2011.244</t>
  </si>
  <si>
    <t>Visual Analytics for Comparison of Ocean Model Output with Reference Data: Detecting and Analyzing Geophysical Processes Using Clustering Ensembles</t>
  </si>
  <si>
    <t>10.1109/TVCG.2014.2346751</t>
  </si>
  <si>
    <t>http://dx.doi.org/10.1109/TVCG.2014.2346751</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</si>
  <si>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</si>
  <si>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Center for Appl. Sci. Comput. (CASC), Lawrence Livermore Nat. Lab., Livermore, CA, USA|c|;;</t>
  </si>
  <si>
    <t>Patrick Köthur;Mike Sips;Henryk Dobslaw;Doris Dransch</t>
  </si>
  <si>
    <t>GFZ German Research Centre for Geosciences, Potsdam, Germany;GFZ German Research Centre for Geosciences, Potsdam, Germany;GFZ German Research Centre for Geosciences, Potsdam, Germany;GFZ German Research Centre for Geosciences, Potsdam, Germany</t>
  </si>
  <si>
    <t>10.1109/TVCG.2012.190;10.1109/TVCG.2012.284;10.1109/TVCG.2008.139</t>
  </si>
  <si>
    <t>Ocean modeling, model assessment, geospatial time series, cluster ensembles, visual comparison, visual analytics</t>
  </si>
  <si>
    <t>http://dx.doi.org/10.1109/TVCG.2011.245</t>
  </si>
  <si>
    <t>ConTour: Data-Driven Exploration of Multi-Relational Datasets for Drug Discovery</t>
  </si>
  <si>
    <t>10.1109/TVCG.2014.2346752</t>
  </si>
  <si>
    <t>http://dx.doi.org/10.1109/TVCG.2014.2346752</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</si>
  <si>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</si>
  <si>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Christian Partl;Alexander Lex;Marc Streit;Hendrik Strobelt;Anne Mai Wassermann;Hanspeter Pfister;Dieter Schmalstieg</t>
  </si>
  <si>
    <t>Christian Partl;Alexander Lex;Marc Streit;Hendrik Strobelt;Anne-Mai Wassermann;Hanspeter Pfister;Dieter Schmalstieg</t>
  </si>
  <si>
    <t>Graz University of Technology;Harvard University;Johannes Kepler University Linz;Harvard University;Novartis Institutes for BicMedical Research;Harvard University;Graz University of Technology</t>
  </si>
  <si>
    <t>10.1109/TVCG.2013.167;10.1109/TVCG.2012.213;10.1109/TVCG.2012.252;10.1109/VAST.2007.4389006;10.1109/TVCG.2006.166;10.1109/TVCG.2013.223</t>
  </si>
  <si>
    <t>Multi-relational data, visual data analysis, drug discovery</t>
  </si>
  <si>
    <t>Genotet: An Interactive Web-based Visual Exploration Framework to Support Validation of Gene Regulatory Networks</t>
  </si>
  <si>
    <t>10.1109/TVCG.2014.2346753</t>
  </si>
  <si>
    <t>http://dx.doi.org/10.1109/TVCG.2014.2346753</t>
  </si>
  <si>
    <t>Center for Appl. Sci. Comput. (CASC), Lawrence Livermore Nat. Lab., Livermore, CA, USA|c|;</t>
  </si>
  <si>
    <t>http://dx.doi.org/10.1109/TVCG.2011.246</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</si>
  <si>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</si>
  <si>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Bowen Yu;Harish Doraiswamy;Xi Chen;Emily R. Miraldi;Mario Luis Arrieta-Ortiz;Christoph Hafemeister;Aviv Madar;Richard Bonneau;Cláudio T. Silva</t>
  </si>
  <si>
    <t>Bowen Yu;Harish Doraiswamy;Xi Chen;Emily Miraldi;Mario Luis Arrieta-Ortiz;Christoph Hafemeister;Aviv Madar;Richard Bonneau;Cláudio T. Silva</t>
  </si>
  <si>
    <t>NYU Polytechnic School of Engineering;NYU Polytechnic School of Engineering;NYU Center for Genomics and Systems Biology;NYU Center for Genomics and Systems Biology;NYU Center for Genomics and Systems Biology;NYU Center for Genomics and Systems Biology;Cornell University;NYU Center for Genomics and Systems Biology;NYU Polytechnic School of Engineering</t>
  </si>
  <si>
    <t>10.1109/TVCG.2008.117;10.1109/TVCG.2009.146;10.1109/TVCG.2011.185;10.1109/TVCG.2009.167</t>
  </si>
  <si>
    <t>Web-based visualization, gene regulatory network</t>
  </si>
  <si>
    <t>The Spinel Explorer - Interactive Visual Analysis of Spinel Group Minerals</t>
  </si>
  <si>
    <t>10.1109/TVCG.2014.2346754</t>
  </si>
  <si>
    <t>http://dx.doi.org/10.1109/TVCG.2014.2346754</t>
  </si>
  <si>
    <t>Dept. of Comput. Sci., Michigan Technol. Univ., Houghton, MA, USA|c|;</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</si>
  <si>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current workflow only. Very positive feedback from geologists confirms the usefulness of the Spinel Explorer.</t>
  </si>
  <si>
    <t>Maria Luján Ganuza;Gabriela Ferracutti;Maria Florencia Gargiulo;Silvia Mabel Castro;Ernesto A. Bjerg;M. Eduard Gröller;Kresimir Matkovic</t>
  </si>
  <si>
    <t>María Luján Ganuza;Gabriela Ferracutti;María Florencia Gargiulo;Silvia Mabel Castro;Ernesto Bjerg;Eduard Gröller;Krešimir Matković</t>
  </si>
  <si>
    <t>VyGLab Research Laboratory at the Universidad Nacional del Sur, Bahía Blanca, Argentina;Departamento de GeologíaINGEOSUR CCT CONICET, Universidad Nacional del Sur, Bahía Blanca, Argentina;Departamento de Geología, Universidad Nacional del Sur, Bahía Blanca, Argentina;VyGLab Research Laboratory at the Universidad Nacional del Sur, Bahía Blanca, Argentina;Departamento de GeologíaINGEOSUR CCT CONICET, Universidad Nacional del Sur, Bahía Blanca, Argentina;Vienna University of Technology, Austria;VRVis Research Center, Vienna, Austria</t>
  </si>
  <si>
    <t>10.1109/INFVIS.2000.885086;10.1109/TVCG.2009.155;10.1109/VISUAL.1995.485139</t>
  </si>
  <si>
    <t>Interactive visual analysis, visualization in earth/space/ and environmental sciences, coordinated and multiple views, design studies</t>
  </si>
  <si>
    <t>Visual Reconciliation of Alternative Similarity Spaces in Climate Modeling</t>
  </si>
  <si>
    <t>http://dx.doi.org/10.1109/TVCG.2011.247</t>
  </si>
  <si>
    <t>10.1109/TVCG.2014.2346755</t>
  </si>
  <si>
    <t>http://dx.doi.org/10.1109/TVCG.2014.2346755</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</si>
  <si>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</si>
  <si>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Jorge Poco;Aritra Dasgupta;Yaxing Wei;William W. Hargrove;Christopher R. Schwalm;Deborah N. Huntzinger;Robert B. Cook;Enrico Bertini;Cláudio T. Silva</t>
  </si>
  <si>
    <t>Jorge Poco;Aritra Dasgupta;Yaxing Wei;William Hargrove;Christopher R. Schwalm;Deborah N. Huntzinger;Robert Cook;Enrico Bertini;Claudio T. Silva</t>
  </si>
  <si>
    <t>New York University;New York University and DataONE;Oak Ridge National Laboratory;USDA Forest Service;Northern Arizona University;Northern Arizona University;Oak Ridge National Laboratory;New York University;New York University</t>
  </si>
  <si>
    <t>10.1109/TVCG.2008.139;10.1109/TVCG.2012.256;10.1109/VISUAL.2005.1532821;10.1109/TVCG.2013.157;10.1109/VAST.2012.6400486;10.1109/TVCG.2013.188;10.1109/TVCG.2013.224;10.1109/VAST.2008.4677350;10.1109/TVCG.2013.120</t>
  </si>
  <si>
    <t>Similarity, clustering, matrix, optimization, climate model</t>
  </si>
  <si>
    <t>Visualizing Mobility of Public Transportation System</t>
  </si>
  <si>
    <t>10.1109/TVCG.2014.2346893</t>
  </si>
  <si>
    <t>Coll. of Inf. Sci. &amp; Technol., Pennsylvania State Univ., University Park, PA, USA|c|;</t>
  </si>
  <si>
    <t>http://dx.doi.org/10.1109/TVCG.2014.2346893</t>
  </si>
  <si>
    <t>http://dx.doi.org/10.1109/TVCG.2011.248</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</si>
  <si>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</si>
  <si>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Wei Zeng;Chi-Wing Fu;Stefan Müller Arisona;Alexander Erath;Huamin Qu</t>
  </si>
  <si>
    <t>Nanyang Technological University, Singapore;Nanyang Technological University, Singapore;University of Applied Sciences;ETH Zurich;Hong Kong University of Science and Technology</t>
  </si>
  <si>
    <t>10.1109/INFVIS.2001.963273;10.1109/TVCG.2011.202;10.1109/TVCG.2011.205;10.1109/TVCG.2009.143;10.1109/TVCG.2012.265;10.1109/TVCG.2013.228;10.1109/TVCG.2013.226;10.1109/VAST.2011.6102455;10.1109/INFVIS.2005.1532150</t>
  </si>
  <si>
    <t>Mobility, public transportation, visual analytics</t>
  </si>
  <si>
    <t>Visual Analysis of Public Utility Service Problems in a Metropolis</t>
  </si>
  <si>
    <t>10.1109/TVCG.2014.2346898</t>
  </si>
  <si>
    <t>http://dx.doi.org/10.1109/TVCG.2014.2346898</t>
  </si>
  <si>
    <t>Thomas Torsney-Weir;Ahmed Saad;Torsten M̦ller;Hans-Christian Hege;Britta Weber;Jean-Marc Verbavatz</t>
  </si>
  <si>
    <t>Graphics, Usability, &amp; Visualization Lab., Simon Fraser Univ., Burnaby, BC, Canada|c|;;;;;;</t>
  </si>
  <si>
    <t>http://dx.doi.org/10.1109/TVCG.2011.249</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</si>
  <si>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</si>
  <si>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Jiawan Zhang;E. Yanli;Jing Ma;Yahui Zhao;Binghan Xu;Liting Sun;Jinyan Chen;Xiaoru Yuan</t>
  </si>
  <si>
    <t>Jiawan Zhang;E Yanli;Jing Ma;Yahui Zhao;Binghan Xu;Liting Sun;Jinyan Chen;Xiaoru Yuan</t>
  </si>
  <si>
    <t>School of Computer Science and Technology;School of Computer Science and Technology;SCS, Tianjin University;SCS, Tianjin University;SCS, Tianjin University;SCS, Tianjin University;SCS, Tianjin University;School of EECS</t>
  </si>
  <si>
    <t>10.1109/VAST.2012.6400557;10.1109/VAST.2012.6400556;10.1109/TVCG.2013.228;10.1109/TVCG.2009.111;10.1109/VAST.2008.4677356;10.1109/TVCG.2012.291;10.1109/TVCG.2013.132;10.1109/TVCG.2013.226;10.1109/VAST.2011.6102455;10.1109/VAST.2011.6102460;10.1109/TVCG.2009.122</t>
  </si>
  <si>
    <t>utility services, evidence-based decision making, visual analytics, aggregate</t>
  </si>
  <si>
    <t>VASA: Interactive Computational Steering of Large Asynchronous Simulation Pipelines for Societal Infrastructure</t>
  </si>
  <si>
    <t>10.1109/TVCG.2014.2346911</t>
  </si>
  <si>
    <t>http://dx.doi.org/10.1109/TVCG.2014.2346911</t>
  </si>
  <si>
    <t>Zuse Inst. Berlin, Berlin, Germany|c|;;;</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</si>
  <si>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</si>
  <si>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Sungahn Ko;Jieqiong Zhao;Jing Xia;Shehzad Afzal;Xiaoyu Wang;Greg Abram;Niklas Elmqvist;Len Kne;David Van Riper;Kelly P. Gaither;Shaun Kennedy;William J. Tolone;William Ribarsky;David S. Ebert</t>
  </si>
  <si>
    <t>Sungahn Ko;Shaun Kennedy;William Tolone;William Ribarsky;David S. Ebert;Jieqiong Zhao;Jing Xia;Shehzad Afzal;Xiaoyu Wang;Greg Abram;Niklas Elmqvist;Len Kne;David Van Riper;Kelly Gaither</t>
  </si>
  <si>
    <t>Purdue University in West Lafayette, IN, USA;University of Minnesota in Minneapolis, MN, USA;University of North Carolina at Charlotte in Charlotte, NC, USA;University of North Carolina at Charlotte in Charlotte, NC, USA;Purdue University in West Lafayette, IN, USA;Purdue University in West Lafayette, IN, USA;State Key Lab of CAD&amp;CG, China;Purdue University in West Lafayette, IN, USA;University of North Carolina at Charlotte in Charlotte, NC, USA;University of Texas at Austin in Austin, TX, USA;Purdue University in West Lafayette, IN, USA;University of Minnesota in Minneapolis, MN, USA;University of Minnesota in Minneapolis, MN, USA;University of Texas at Austin in Austin, TX, USA</t>
  </si>
  <si>
    <t>http://dx.doi.org/10.1109/TVCG.2011.250</t>
  </si>
  <si>
    <t>10.1109/INFVIS.2000.885098;10.1109/TVCG.2011.225;10.1109/TVCG.2012.260;10.1109/TVCG.2007.70541;10.1109/TVCG.2010.223;10.1109/TVCG.2013.146;10.1109/TVCG.2010.171;10.1109/VAST.2011.6102460;10.1109/VAST.2011.6102457</t>
  </si>
  <si>
    <t>Computational steering, visual analytics, critical infrastructure, homeland security</t>
  </si>
  <si>
    <t>LoyalTracker: Visualizing Loyalty Dynamics in Search Engines</t>
  </si>
  <si>
    <t>10.1109/TVCG.2014.2346912</t>
  </si>
  <si>
    <t>http://dx.doi.org/10.1109/TVCG.2014.2346912</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</si>
  <si>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</si>
  <si>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Conglei Shi;Yingcai Wu;Shixia Liu;Hong Zhou;Huamin Qu</t>
  </si>
  <si>
    <t>Alexander Lex;Hans-J̦rg Schulz;Marc Streit;Christian Partl;Dieter Schmalstieg</t>
  </si>
  <si>
    <t>Hong Kong University of Science and Technology;Microsoft Research Asia;Microsoft Research Asia;Shenzhen University;Hong Kong University of Science and Technology</t>
  </si>
  <si>
    <t>Graz Univ. of Technol., Graz, Austria|c|;;;;</t>
  </si>
  <si>
    <t>10.1109/VAST.2010.5652931;10.1109/TVCG.2009.171;10.1109/VAST.2007.4389008;10.1109/TVCG.2012.253;10.1109/INFVIS.1996.559227;10.1109/TVCG.2012.212;10.1109/TVCG.2010.129;10.1109/TVCG.2012.225;10.1109/TVCG.2011.239;10.1109/VAST.2012.6400494;10.1109/INFVIS.2005.1532150;10.1109/TVCG.2008.166</t>
  </si>
  <si>
    <t>Time-series visualization, stacked graphs, log data visualization, text visualization</t>
  </si>
  <si>
    <t>VAET: A Visual Analytics Approach for E-Transactions Time-Series</t>
  </si>
  <si>
    <t>10.1109/TVCG.2014.2346913</t>
  </si>
  <si>
    <t>http://dx.doi.org/10.1109/TVCG.2011.251</t>
  </si>
  <si>
    <t>http://dx.doi.org/10.1109/TVCG.2014.2346913</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</si>
  <si>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</si>
  <si>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Cong Xie;Wei Chen 0001;Xinxin Huang;Yueqi Hu;Scott Barlowe;Jing Yang</t>
  </si>
  <si>
    <t>Cong Xie;Wei Chen;Xinxin Huang;Yueqi Hu;Scott Barlowe;Jing Yang</t>
  </si>
  <si>
    <t>State Key Lab of CAD&amp;CG, Zhejiang University;State Key Lab of CAD&amp;CG, Zhejiang University;State Key Lab of CAD&amp;CG, Zhejiang University;Dept. of Computer Science, University of North Carolina, Charlotte;Western Carolina University;Dept. of Computer Science, University of North Carolina, Charlotte</t>
  </si>
  <si>
    <t>10.1109/TVCG.2009.123;10.1109/VAST.2007.4389009;10.1109/TVCG.2012.212;10.1109/INFVIS.1995.528685;10.1109/VAST.2012.6400494;10.1109/TVCG.2010.162;10.1109/TVCG.2009.180</t>
  </si>
  <si>
    <t>Time-Series, Visual Analytics, E-transaction</t>
  </si>
  <si>
    <t>EvoRiver: Visual Analysis of Topic Coopetition on Social Media</t>
  </si>
  <si>
    <t>Univ. of Calgary, Calgary, AB, Canada|c|;;;;</t>
  </si>
  <si>
    <t>10.1109/TVCG.2014.2346919</t>
  </si>
  <si>
    <t>http://dx.doi.org/10.1109/TVCG.2014.2346919</t>
  </si>
  <si>
    <t>http://dx.doi.org/10.1109/TVCG.2011.252</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</si>
  <si>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</si>
  <si>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Guodao Sun;Yingcai Wu;Shixia Liu;Tai-Quan Peng;Jonathan J. H. Zhu;Ronghua Liang</t>
  </si>
  <si>
    <t>Zhejiang University of Technology;Microsoft Research;Microsoft Research;Nanyang Technological University;City University of Hong Kong;Zhejiang University of Technology</t>
  </si>
  <si>
    <t>10.1109/VAST.2010.5652931;10.1109/TVCG.2012.291;10.1109/TVCG.2008.166;10.1109/TVCG.2011.239;10.1109/TVCG.2012.253;10.1109/TVCG.2014.2346920;10.1109/TVCG.2013.221;10.1109/TVCG.2013.196;10.1109/TVCG.2013.162</t>
  </si>
  <si>
    <t>Topic coopetition, information diffusion, information propagation, time-based visualization</t>
  </si>
  <si>
    <t>OpinionFlow: Visual Analysis of Opinion Diffusion on Social Media</t>
  </si>
  <si>
    <t>10.1109/TVCG.2014.2346920</t>
  </si>
  <si>
    <t>http://dx.doi.org/10.1109/TVCG.2014.2346920</t>
  </si>
  <si>
    <t>We present a new technique for providing interpolation within cell-centered Adaptive Mesh Refinement (AMR) data that achieves C0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</si>
  <si>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Ames Res. Center, NASA, Moffett Field, CA, USA|c|;</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</si>
  <si>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</si>
  <si>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http://dx.doi.org/10.1109/TVCG.2011.253</t>
  </si>
  <si>
    <t>Yingcai Wu;Shixia Liu;Kai Yan;Mengchen Liu;Fangzhao Wu</t>
  </si>
  <si>
    <t>Microsoft Research;Microsoft Research;Harbin Institute of Technology;Tsinghua University;Tsinghua University</t>
  </si>
  <si>
    <t>10.1109/TVCG.2011.239;10.1109/TVCG.2013.162;10.1109/TVCG.2013.221;10.1109/TVCG.2014.2346433;10.1109/INFVIS.2005.1532152;10.1109/TVCG.2012.291;10.1109/VAST.2006.261431;10.1109/TVCG.2010.129;10.1109/TVCG.2013.196;10.1109/TVCG.2014.2346919;10.1109/TVCG.2010.183;10.1109/VAST.2009.5333919</t>
  </si>
  <si>
    <t>Opinion visualization, opinion diffusion, opinion flow, influence estimation, kernel density estimation, level-of-detail</t>
  </si>
  <si>
    <t>#FluxFlow: Visual Analysis of Anomalous Information Spreading on Social Media</t>
  </si>
  <si>
    <t>10.1109/TVCG.2014.2346922</t>
  </si>
  <si>
    <t>http://dx.doi.org/10.1109/TVCG.2014.2346922</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</si>
  <si>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</si>
  <si>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Jian Zhao;Nan Cao;Zhen Wen;Yale Song;Yu-Ru Lin;Christopher Collins</t>
  </si>
  <si>
    <t>University of Toronto;MIT;MIT;IBM J. Watson Research Center;University of Pittsburgh;UOIT</t>
  </si>
  <si>
    <t>10.1109/VAST.2011.6102456;10.1109/TVCG.2012.291;10.1109/VAST.2012.6400557;10.1109/TVCG.2011.179;10.1109/TVCG.2011.239;10.1109/TVCG.2012.226;10.1109/TVCG.2013.227;10.1109/VAST.2012.6400485;10.1109/VAST.2010.5652922;10.1109/TVCG.2010.129;10.1109/TVCG.2013.221;10.1109/TVCG.2013.162</t>
  </si>
  <si>
    <t>Retweeting threads, anomaly detection, social media, visual analytics, machine learning, information visualization</t>
  </si>
  <si>
    <t>Sch. of Comput., Univ. of Leeds, Leeds, UK|c|;;;</t>
  </si>
  <si>
    <t>Proactive Spatiotemporal Resource Allocation and Predictive Visual Analytics for Community Policing and Law Enforcement</t>
  </si>
  <si>
    <t>10.1109/TVCG.2014.2346926</t>
  </si>
  <si>
    <t>http://dx.doi.org/10.1109/TVCG.2014.2346926</t>
  </si>
  <si>
    <t>http://dx.doi.org/10.1109/TVCG.2011.254</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</si>
  <si>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</si>
  <si>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Abish Malik;Ross Maciejewski;Sherry Towers;Sean McCullough;David S. Ebert</t>
  </si>
  <si>
    <t>Purdue University;Arizona State University;Arizona State University;Purdue University;Purdue University</t>
  </si>
  <si>
    <t>10.1109/TVCG.2013.125;10.1109/TVCG.2013.206;10.1109/VAST.2012.6400491;10.1109/VAST.2007.4389006;10.1109/TVCG.2013.200</t>
  </si>
  <si>
    <t>Visual Analytics, Natural Scales, Seasonal Trend decomposition based on Loess (STL), Law Enforcement</t>
  </si>
  <si>
    <t>Run Watchers: Automatic Simulation-Based Decision Support in Flood Management</t>
  </si>
  <si>
    <t>10.1109/TVCG.2014.2346930</t>
  </si>
  <si>
    <t>http://dx.doi.org/10.1109/TVCG.2014.2346930</t>
  </si>
  <si>
    <t>http://dx.doi.org/10.1109/TVCG.2011.255</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</si>
  <si>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</si>
  <si>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Artem Konev;Jürgen Waser;Bernhard Sadransky;Daniel Cornel;Rui A. P. Perdigão;Zsolt Horváth;M. Eduard Gröller</t>
  </si>
  <si>
    <t>Artem Konev;Jürgen Waser;Bernhard Sadransky;Daniel Cornel;Rui A.P. Perdigão;Zsolt Horváth;M. Eduard Gröller</t>
  </si>
  <si>
    <t>VRVis Vienna;VRVis Vienna;VRVis Vienna;VRVis Vienna;TU Vienna;TU Vienna;TU Vienna</t>
  </si>
  <si>
    <t>10.1109/INFVIS.2002.1173149;10.1109/VISUAL.2000.885727;10.1109/TVCG.2010.190;10.1109/TVCG.2011.248;10.1109/TVCG.2010.223;10.1109/TVCG.2008.145</t>
  </si>
  <si>
    <t>Disaster management, simulation control, decision making, visual evidence, storytelling</t>
  </si>
  <si>
    <t>Towards Interactive, Intelligent, and Integrated Multimedia Analytics</t>
  </si>
  <si>
    <t>10.1109/VAST.2014.7042476</t>
  </si>
  <si>
    <t>http://dx.doi.org/10.1109/VAST.2014.7042476</t>
  </si>
  <si>
    <t>http://dx.doi.org/10.1109/TVCG.2011.258</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</si>
  <si>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</si>
  <si>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Jan Zahálka;Marcel Worring</t>
  </si>
  <si>
    <t>University of Amsterdam;University of Amsterdam</t>
  </si>
  <si>
    <t>10.1109/VAST.2006.261425;10.1109/VAST.2007.4389003;10.1109/INFVIS.2005.1532136;10.1109/TVCG.2010.136;10.1109/TVCG.2007.70515;10.1109/TVCG.2007.70541;10.1109/TVCG.2013.168</t>
  </si>
  <si>
    <t>Multimedia (image/video/music) visualization, machine learning</t>
  </si>
  <si>
    <t>Feature-Driven Visual Analytics of Soccer Data</t>
  </si>
  <si>
    <t>10.1109/VAST.2014.7042477</t>
  </si>
  <si>
    <t>http://dx.doi.org/10.1109/VAST.2014.7042477</t>
  </si>
  <si>
    <t>Martin Haidacher;Stefan Bruckner;M. Eduard Gr̦ller</t>
  </si>
  <si>
    <t>Inst. of Comput. Graphics &amp; Algorithms, Vienna Univ. of Technol., Vienna, Austria|c|;;</t>
  </si>
  <si>
    <t>http://dx.doi.org/10.1109/TVCG.2011.259</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</si>
  <si>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</si>
  <si>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Halldór Janetzko;Dominik Sacha;Manuel Stein;Tobias Schreck;Daniel A. Keim;Oliver Deussen</t>
  </si>
  <si>
    <t>Halld'or Janetzko;Dominik Sacha;Manuel Stein;Tobias Schreck;Daniel A. Keim;Oliver Deussen</t>
  </si>
  <si>
    <t>10.1109/TVCG.2012.263;10.1109/VAST.2008.4677350;10.1109/TVCG.2007.70621;10.1109/TVCG.2013.228;10.1109/TVCG.2013.193;10.1109/TVCG.2013.207;10.1109/TVCG.2013.186</t>
  </si>
  <si>
    <t>Visual Analytics, Sport Analytics, Soccer Analysis</t>
  </si>
  <si>
    <t>Baseball4D: A Tool for Baseball Game Reconstruction &amp; Visualization</t>
  </si>
  <si>
    <t>10.1109/VAST.2014.7042478</t>
  </si>
  <si>
    <t>http://dx.doi.org/10.1109/VAST.2014.7042478</t>
  </si>
  <si>
    <t>Zuse Inst. Berlin, Berlin, Germany|c|;;</t>
  </si>
  <si>
    <t>http://dx.doi.org/10.1109/TVCG.2011.260</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</si>
  <si>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</si>
  <si>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Carlos A. Dietrich;David Koop;Huy T. Vo;Cláudio T. Silva</t>
  </si>
  <si>
    <t>Carlos Dietrich;David Koop;Huy T. Vo;Cláudio T. Silva</t>
  </si>
  <si>
    <t>NYU;NYU;NYU</t>
  </si>
  <si>
    <t>10.1109/TVCG.2012.263;10.1109/TVCG.2013.192;10.1109/TVCG.2012.225;10.1109/VISUAL.2001.964496</t>
  </si>
  <si>
    <t>sports visualization, sports analytics, baseball, game reconstruction, baseball metrics, event data</t>
  </si>
  <si>
    <t>A System for Visual Analysis of Radio Signal Data</t>
  </si>
  <si>
    <t>10.1109/VAST.2014.7042479</t>
  </si>
  <si>
    <t>http://dx.doi.org/10.1109/VAST.2014.7042479</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</si>
  <si>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 wing insects.</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</si>
  <si>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</si>
  <si>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Eng. &amp; Comput. Sci., Wright State Univ. Coll., Dayton, OH, USA|c|;;;</t>
  </si>
  <si>
    <t>Tarik Crnovrsanin;Chris Muelder;Kwan-Liu Ma</t>
  </si>
  <si>
    <t>VIDi @ U. C. Davis;VIDi @ U. C. Davis;VIDi @ U. C. Davis</t>
  </si>
  <si>
    <t>10.1109/TVCG.2012.286;10.1109/VAST.2009.5332596;10.1109/INFVIS.2005.1532138;10.1109/VISUAL.1998.745302;10.1109/VAST.2009.5332593</t>
  </si>
  <si>
    <t>Intelligence Analysis, Coordinated and Multiple Views, Time-varying data, Geographic/Geospatial Visualization</t>
  </si>
  <si>
    <t>Feedback-Driven Interactive Exploration of Large Multidimensional Data Supported by Visual Classifier</t>
  </si>
  <si>
    <t>http://dx.doi.org/10.1109/TVCG.2011.261</t>
  </si>
  <si>
    <t>10.1109/VAST.2014.7042480</t>
  </si>
  <si>
    <t>http://dx.doi.org/10.1109/VAST.2014.7042480</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</si>
  <si>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</si>
  <si>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Michael Behrisch;Fatih Korkmaz;Lin Shao;Tobias Schreck</t>
  </si>
  <si>
    <t>Universit&amp;#x00E4;t Konstanz, Germany;Universit&amp;#x00E4;t Konstanz, Germany;Universit&amp;#x00E4;t Konstanz, Germany;Universit&amp;#x00E4;t Konstanz, Germany</t>
  </si>
  <si>
    <t>10.1109/INFVIS.2005.1532142;10.1109/TVCG.2012.277;10.1109/TVCG.2010.184;10.1109/VAST.2012.6400486;10.1109/VAST.2007.4389001;10.1109/TVCG.2013.160;10.1109/VAST.2012.6400488</t>
  </si>
  <si>
    <t>View Space Exploration Framework, Interesting View Problem, Relevance Feedback, User Preference Model</t>
  </si>
  <si>
    <t>Key Lab. of Machine Perception (Minist. of Educ.), Peking Univ., Beijing, China|c|;;</t>
  </si>
  <si>
    <t>An Integrated Visual Analysis System for Fusing MR Spectroscopy and Multi-Modal Radiology Imaging</t>
  </si>
  <si>
    <t>10.1109/VAST.2014.7042481</t>
  </si>
  <si>
    <t>http://dx.doi.org/10.1109/VAST.2014.7042481</t>
  </si>
  <si>
    <t>http://dx.doi.org/10.1109/VAST.2011.6102435</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</si>
  <si>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</si>
  <si>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Miguel Nunes;Benjamin Rowland;Matthias Schlachter;Soléakhéna Ken;Kresimir Matkovic;Anne Laprie;Katja Bühler</t>
  </si>
  <si>
    <t>VRVis Research Center, Vienna, Austria;Institut Claudius Regaud, Toulouse, France;VRVis Research Center, Vienna, Austria;Institut Claudius Regaud, Toulouse, France;VRVis Research Center, Vienna, Austria;Institut Claudius Regaud, Toulouse, France;VRVis Research Center, Vienna, Austria</t>
  </si>
  <si>
    <t>10.1109/TVCG.2007.70569;10.1109/TVCG.2013.180;10.1109/TVCG.2010.176</t>
  </si>
  <si>
    <t>MR spectroscopy, cancer, brain, visualization, multi-modality data, radiotherapy planning, medical decision support systems</t>
  </si>
  <si>
    <t>An Insight- and Task-based Methodology for Evaluating Spatiotemporal Visual Analytics</t>
  </si>
  <si>
    <t>10.1109/VAST.2014.7042482</t>
  </si>
  <si>
    <t>http://dx.doi.org/10.1109/VAST.2014.7042482</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</si>
  <si>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</si>
  <si>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̢��_x0081_�visual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</si>
  <si>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Steven R. Gomez;Hua Guo;Caroline Ziemkiewicz;David H. Laidlaw</t>
  </si>
  <si>
    <t>Brown University;Brown University;Aptima, Inc;Brown University</t>
  </si>
  <si>
    <t>10.1109/TVCG.2012.233;10.1109/TVCG.2007.70617;10.1109/TVCG.2013.124;10.1109/TVCG.2010.154;10.1109/TVCG.2013.126;10.1109/INFVIS.2005.1532136;10.1109/TVCG.2009.128;10.1109/TVCG.2011.185;10.1109/TVCG.2010.163;10.1109/TVCG.2013.120</t>
  </si>
  <si>
    <t>Evaluation methodology, insight-based evaluation, visual analytics, network visualization, information visualization</t>
  </si>
  <si>
    <t>Weaving a Carpet from Log Entries: A Network Security Visualization Built with Co-Creation</t>
  </si>
  <si>
    <t>http://dx.doi.org/10.1109/VAST.2011.6102437</t>
  </si>
  <si>
    <t>10.1109/VAST.2014.7042483</t>
  </si>
  <si>
    <t>http://dx.doi.org/10.1109/VAST.2014.7042483</t>
  </si>
  <si>
    <t>Tech. Univ. Braunschweig, Braunschweig, Germany|c|;;</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</si>
  <si>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define areas of interest for closer inspection.</t>
  </si>
  <si>
    <t>Johannes Landstorfer;Ivo Herrmann;Jan-Erik Stange;Marian Dörk;Reto Wettach</t>
  </si>
  <si>
    <t>http://dx.doi.org/10.1109/VAST.2011.6102438</t>
  </si>
  <si>
    <t>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Germany;Department of Design at the University of Applied Sciences Potsdam, Germany</t>
  </si>
  <si>
    <t>10.1109/TVCG.2006.160;10.1109/INFVIS.2005.1532134;10.1109/VISUAL.1991.175795;10.1109/VAST.2006.261436;10.1109/TVCG.2009.111;10.1109/INFVIS.1995.528685</t>
  </si>
  <si>
    <t>Pixel-oriented techniques, task and requirements analysis, multidimensional data, network security and intrusion</t>
  </si>
  <si>
    <t>Analyzing High-dimensional Multivariate Network Links with Integrated Anomaly Detection, Highlighting and Exploration</t>
  </si>
  <si>
    <t>10.1109/VAST.2014.7042484</t>
  </si>
  <si>
    <t>http://dx.doi.org/10.1109/VAST.2014.7042484</t>
  </si>
  <si>
    <t>http://dx.doi.org/10.1109/VAST.2011.6102439</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</si>
  <si>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</si>
  <si>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Sungahn Ko;Shehzad Afzal;Simon J. Walton;Yang Yang;Junghoon Chae;Abish Malik;Yun Jang;Min Chen 0001;David S. Ebert</t>
  </si>
  <si>
    <t>Sungahnn Ko;Shehzad Afzal;Simon Walton;Yang Yang;Junghoon Chae;Abish Malik;Yun Jang;Min Chen;David Ebert</t>
  </si>
  <si>
    <t>Purdue University;Purdue University;Oxford University;Purdue University;Purdue University;Purdue University;Sejong University;Oxford University;Purdue University</t>
  </si>
  <si>
    <t>10.1109/VAST.2012.6400554;10.1109/TVCG.2010.150;10.1109/TVCG.2007.70582;10.1109/TVCG.2011.190;10.1109/VAST.2011.6102440;10.1109/TVCG.2009.143;10.1109/INFVIS.1999.801851;10.1109/TVCG.2006.166;10.1109/VAST.2007.4389013</t>
  </si>
  <si>
    <t>Visual Analysis of Patterns in Multiple Amino Acid Mutation Graphs</t>
  </si>
  <si>
    <t>10.1109/VAST.2014.7042485</t>
  </si>
  <si>
    <t>http://dx.doi.org/10.1109/VAST.2014.7042485</t>
  </si>
  <si>
    <t>Interactive-Graphics Syst., Tech. Univ. Darmstadt, Darmstadt, Germany|c|;;;;;</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</si>
  <si>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</si>
  <si>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Olav Lenz;Frank Keul;Sebastian Bremm;Kay Hamacher;Tatiana von Landesberger</t>
  </si>
  <si>
    <t>http://dx.doi.org/10.1109/VAST.2011.6102440</t>
  </si>
  <si>
    <t>GRIS, TU Darmstadt;Computational Biology, TU Darmstadt;GRIS, TU Darmstadt;Computational Biology, TU Darmstadt;GRIS, TU Darmstadt</t>
  </si>
  <si>
    <t>10.1109/TVCG.2013.225;10.1109/VAST.2011.6102439;10.1109/VAST.2009.5333893;10.1109/TVCG.2009.167;10.1109/TVCG.2007.70521;10.1109/TVCG.2009.122;10.1109/TVCG.2007.70529</t>
  </si>
  <si>
    <t>Biologic Visualization, Graph Visualization, Motif Search, Motif Visualization, Biology, Mutations, Pattern Visualization</t>
  </si>
  <si>
    <t>A Visual Reasoning Approach for Data-driven Transport Assessment on Urban Roads</t>
  </si>
  <si>
    <t>10.1109/VAST.2014.7042486</t>
  </si>
  <si>
    <t>http://dx.doi.org/10.1109/VAST.2014.7042486</t>
  </si>
  <si>
    <t>Georgia Inst. of Technol., Atlanta, GA, USA|c|;;</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</si>
  <si>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(&amp;amp;gt; 30GB) show that our system performs well for on-demand transport assessment and reasoning.</t>
  </si>
  <si>
    <t>http://dx.doi.org/10.1109/VAST.2011.6102441</t>
  </si>
  <si>
    <t>Fei Wang 0016;Wei Chen 0001;Feiran Wu;Ye Zhao;Han Hong;Tianyu Gu;Long Wang;Ronghua Liang;Hujun Bao</t>
  </si>
  <si>
    <t>Fei Wang;Wei Chen;Feiran Wu;Ye Zhao;Han Hong;Tianyu Gu;Long Wang;Ronghua Liang;Hujun Bao</t>
  </si>
  <si>
    <t>State Key Lab of CAD&amp;amp;CG, Zhejiang University;State Key Lab of CAD&amp;amp;CG, Zhejiang University;State Key Lab of CAD&amp;amp;CG, Zhejiang University;Kent State University;State Key Lab of CAD&amp;amp;CG, Zhejiang University;State Key Lab of CAD&amp;amp;CG, Zhejiang University;State Key Lab of CAD&amp;amp;CG, Zhejiang University;Zhejiang University of Technology;State Key Lab of CAD&amp;amp;CG, Zhejiang University</t>
  </si>
  <si>
    <t>10.1109/VAST.2011.6102458;10.1109/TVCG.2013.226;10.1109/TVCG.2013.228;10.1109/TVCG.2013.179;10.1109/VAST.2011.6102455;10.1109/TVCG.2013.133</t>
  </si>
  <si>
    <t>Road-based Query, Taxi Trajectory, Hash Index, Visual Analysis</t>
  </si>
  <si>
    <t>Using Visualizations to Monitor Changes and Harvest Insights from a Global-Scale Logging Infrastructure at Twitter</t>
  </si>
  <si>
    <t>10.1109/VAST.2014.7042487</t>
  </si>
  <si>
    <t>http://dx.doi.org/10.1109/VAST.2014.7042487</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</si>
  <si>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</si>
  <si>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Krist Wongsuphasawat;Jimmy Lin</t>
  </si>
  <si>
    <t>Twitter, Inc.;Twitter, Inc.</t>
  </si>
  <si>
    <t>10.1109/INFVIS.2000.885091;10.1109/TVCG.2009.117;10.1109/INFVIS.1997.636718;10.1109/VAST.2007.4389008;10.1109/INFVIS.1996.559227;10.1109/TVCG.2012.225;10.1109/TVCG.2007.70529;10.1109/VAST.2012.6400494;10.1109/TVCG.2013.231;10.1109/INFVIS.2004.64;10.1109/VISUAL.1991.175815;10.1109/TVCG.2013.200;10.1109/VAST.2006.261421;10.1109/TVCG.2011.185</t>
  </si>
  <si>
    <t>Information Visualization, Visual Analytics, Log Analysis, Log Visualization, Session Analysis, Funnel Analysis</t>
  </si>
  <si>
    <t>http://dx.doi.org/10.1109/VAST.2011.6102442</t>
  </si>
  <si>
    <t>HydroQual: Visual Analysis of River Water Quality</t>
  </si>
  <si>
    <t>10.1109/VAST.2014.7042488</t>
  </si>
  <si>
    <t>http://dx.doi.org/10.1109/VAST.2014.7042488</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</si>
  <si>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</si>
  <si>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Pierre Accorsi;Nathalie Lalande;Mickaël Fabrègue;Agnès Braud;Pascal Poncelet;Arnaud Sallaberry;Sandra Bringay;Maguelonne Teisseire;Flavie Cernesson;Florence Le Ber</t>
  </si>
  <si>
    <t>Pierre Accorsi;Nathalie Lalande;Mickäel Fabrègue;Agnès Braud;Pascal Poncelet;Arnaud Sallaberry;Sandra Bringay;Maguelonne Teisseire;Flavie Cernesson;Florence Le Ber</t>
  </si>
  <si>
    <t>LIRMM Univ. Montpellier 2;IRSTEA Montpellier;IRSTEA Montpellier Univ. Strasbourg/ENGEES;ICube Univ. Strasbourg;LIRMM Univ. Montpellier 2;LIRMM Univ. Montpellier 3;LIRMM Univ. Montpellier 3;IRSTEA Montpellier;AgroParisTech Montpellier;ICube Univ. Strasbourg/ENGEES</t>
  </si>
  <si>
    <t>10.1109/VISUAL.1996.568146;10.1109/INFVIS.2000.885097</t>
  </si>
  <si>
    <t>Comput. Sci. Dept., Univ. of Maryland, College Park, MD, USA|c|;;;;</t>
  </si>
  <si>
    <t>Visual Analytics, Spatiotemporal Data Mining and Visualization, Water Quality</t>
  </si>
  <si>
    <t>Vismate: Interactive Visual Analysis of Station-Based Observation Data on Climate Changes</t>
  </si>
  <si>
    <t>10.1109/VAST.2014.7042489</t>
  </si>
  <si>
    <t>http://dx.doi.org/10.1109/VAST.2011.6102443</t>
  </si>
  <si>
    <t>http://dx.doi.org/10.1109/VAST.2014.7042489</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</si>
  <si>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</si>
  <si>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Jie Li;Kang Zhang;Zhao-Peng Meng</t>
  </si>
  <si>
    <t>School of Computer Science and Technology, Tianjin University, and National Ocean Technology Center, Tianjin, China;Department of Computer Science, The University of Texas at Dallas, USA;School of Computer Software, Tianjin University, China</t>
  </si>
  <si>
    <t>10.1109/VAST.2012.6400491;10.1109/TVCG.2010.194;10.1109/INFVIS.2000.885098;10.1109/TVCG.2007.70523;10.1109/TVCG.2009.199;10.1109/TVCG.2010.183;10.1109/VAST.2012.6400553;10.1109/TVCG.2010.180;10.1109/TVCG.2009.197</t>
  </si>
  <si>
    <t>climate changes, spatiotemporal visualization, station-based observation data, radial layout, visual analytics</t>
  </si>
  <si>
    <t>BoundarySeer: Visual Analysis of 2D Boundary Changes</t>
  </si>
  <si>
    <t>IBM Res., Yorktown Heights, NY, USA|c|;;;;</t>
  </si>
  <si>
    <t>10.1109/VAST.2014.7042490</t>
  </si>
  <si>
    <t>http://dx.doi.org/10.1109/VAST.2014.7042490</t>
  </si>
  <si>
    <t>http://dx.doi.org/10.1109/VAST.2011.6102445</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</si>
  <si>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</si>
  <si>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Wenchao Wu;Yixian Zheng;Huamin Qu;Wei Chen 0001;M. Eduard Gröller;Lionel M. Ni</t>
  </si>
  <si>
    <t>Wenchao Wu;Yixian Zheng;Huamin Qu;Wei Chen;Eduard Gröller;Lionel M. Ni</t>
  </si>
  <si>
    <t>Hong Kong University of Science and Technology;Hong Kong University of Science and Technology;Hong Kong University of Science and Technology;State Key Lab of CAD&amp;CG, Zhejiang University;Institute of Computer Graphics and Algorithms, Vienna University of Technology and VRVis Research Center, Austria;Hong Kong University of Science and Technology</t>
  </si>
  <si>
    <t>10.1109/TVCG.2013.230;10.1109/INFVIS.2004.27;10.1109/INFVIS.2001.963273;10.1109/TVCG.2011.239;10.1109/TVCG.2008.166;10.1109/INFVIS.2005.1532149;10.1109/TVCG.2013.213;10.1109/TVCG.2012.265;10.1109/TVCG.2007.70535;10.1109/TVCG.2008.125;10.1109/TVCG.2007.70561</t>
  </si>
  <si>
    <t>Boundary change, visual analytics, scatter plot, ThemeRiver, contour map, radial visualization</t>
  </si>
  <si>
    <t>YMCA - Your Mesh Comparison Application</t>
  </si>
  <si>
    <t>10.1109/VAST.2014.7042491</t>
  </si>
  <si>
    <t>http://dx.doi.org/10.1109/VAST.2014.7042491</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</si>
  <si>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̢��_x0081_�locus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</si>
  <si>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Brown Univ., Providence, RI, USA|c|;;;;;</t>
  </si>
  <si>
    <t>http://dx.doi.org/10.1109/VAST.2011.6102446</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</si>
  <si>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</si>
  <si>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Johanna Schmidt;Reinhold Preiner;Thomas Auzinger;Michael Wimmer;M. Eduard Gröller;Stefan Bruckner</t>
  </si>
  <si>
    <t>Vienna University of Technology, Austria;Vienna University of Technology, Austria;Vienna University of Technology, Austria;Vienna University of Technology, Austria;Vienna University of Technology, Vienna, Austria;University of Bergen, Norway</t>
  </si>
  <si>
    <t>10.1109/INFVIS.2002.1173157;10.1109/VISUAL.1990.146402;10.1109/TVCG.2013.213;10.1109/VISUAL.2002.1183790</t>
  </si>
  <si>
    <t>Visual analysis, comparative visualization, 3D data exploration, focus+context, mesh comparison</t>
  </si>
  <si>
    <t>Multi-Model Semantic Interaction for Text Analytics</t>
  </si>
  <si>
    <t>10.1109/VAST.2014.7042492</t>
  </si>
  <si>
    <t>http://dx.doi.org/10.1109/VAST.2014.7042492</t>
  </si>
  <si>
    <t>This article describes ̢��_x0081_�Obvious̢����: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</si>
  <si>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INRIA, Sophia Antipolis, France|c|;;;</t>
  </si>
  <si>
    <t>http://dx.doi.org/10.1109/VAST.2011.6102447</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</si>
  <si>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</si>
  <si>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Lauren Bradel;Chris North;Leanna House;Scotland Leman</t>
  </si>
  <si>
    <t>Virginia Tech.;Virginia Tech.;Virginia Tech.;Virginia Tech.</t>
  </si>
  <si>
    <t>10.1109/VAST.2011.6102449;10.1109/TVCG.2013.188;10.1109/VAST.2012.6400559;10.1109/VAST.2012.6400486;10.1109/INFVIS.1995.528686;10.1109/VAST.2007.4389006</t>
  </si>
  <si>
    <t>Visual analytics, Semantic Interaction, Sensemaking, Text Analytics</t>
  </si>
  <si>
    <t>Serendip: Topic Model-Driven Visual Exploration of Text Corpora</t>
  </si>
  <si>
    <t>10.1109/VAST.2014.7042493</t>
  </si>
  <si>
    <t>http://dx.doi.org/10.1109/VAST.2014.7042493</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</si>
  <si>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</si>
  <si>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Eric C. Alexander;Joe Kohlmann;Robin Valenza;Michael Witmore;Michael Gleicher</t>
  </si>
  <si>
    <t>Eric Alexander;Joe Kohlmann;Robin Valenza;Michael Witmore;Michael Gleicher</t>
  </si>
  <si>
    <t>http://dx.doi.org/10.1109/VAST.2011.6102448</t>
  </si>
  <si>
    <t>Department of Computer Sciences at the University of Wisconsin-Madison;Department of Computer Sciences at the University of Wisconsin-Madison;Department of English at the University of Wisconsin-Madison;Folger Shakespeare Library in Washington, D. C.;Department of Computer Sciences at the University of Wisconsin-Madison.</t>
  </si>
  <si>
    <t>10.1109/VAST.2011.6102449;10.1109/INFVIS.2000.885098;10.1109/INFVIS.1998.729568;10.1109/TVCG.2011.239;10.1109/TVCG.2011.220;10.1109/VAST.2012.6400486;10.1109/VAST.2011.6102461;10.1109/TVCG.2013.157;10.1109/TVCG.2013.162;10.1109/VAST.2007.4389006;10.1109/VAST.2007.4389004</t>
  </si>
  <si>
    <t>Text visualization, topic modeling</t>
  </si>
  <si>
    <t>TopicPanorama: A Full Picture of Relevant Topics</t>
  </si>
  <si>
    <t>10.1109/VAST.2014.7042494</t>
  </si>
  <si>
    <t>http://dx.doi.org/10.1109/VAST.2014.7042494</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</si>
  <si>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</si>
  <si>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Shixia Liu;Xiting Wang;Jianfei Chen;Jim Zhu;Baining Guo</t>
  </si>
  <si>
    <t>Thorsten May;Andreas Bannach;James Davey;Tobias Ruppert;J̦rn Kohlhammer</t>
  </si>
  <si>
    <t>Microsoft Research Asia;Tsinghua University and Microsoft Research Asia;Dept. of Comp. Sei. &amp;amp; Tech., TNList Lab, State Key Lab of lntell. Tech. &amp;amp; Sys., Tsingua University;Dept. of Comp. Sei. &amp;amp; Tech., TNList Lab, State Key Lab of Intell. Tech. &amp;amp; Sys., Tsinghua University;Microsoft Research Asia</t>
  </si>
  <si>
    <t>Fraunhofer Inst. for Comput. Graphics Res., Darmstadt, Germany|c|;;;;</t>
  </si>
  <si>
    <t>10.1109/VAST.2011.6102461;10.1109/TVCG.2011.239;10.1109/TVCG.2009.111;10.1109/TVCG.2010.154;10.1109/VAST.2011.6102439;10.1109/TVCG.2006.193;10.1109/TVCG.2012.285;10.1109/TVCG.2013.221;10.1109/TVCG.2013.162;10.1109/TVCG.2012.279;10.1109/TVCG.2010.183;10.1109/TVCG.2014.2346433;10.1109/TVCG.2007.70521;10.1109/TVCG.2013.233;10.1109/TVCG.2013.212;10.1109/TVCG.2007.70582;10.1109/TVCG.2013.232;10.1109/TVCG.2010.129;10.1109/TVCG.2014.2346919</t>
  </si>
  <si>
    <t>Topic graph, graph matching, graph visualization, user interactions, level-of-detail</t>
  </si>
  <si>
    <t>http://dx.doi.org/10.1109/VAST.2011.6102449</t>
  </si>
  <si>
    <t>Integrating Predictive Analytics and Social Media</t>
  </si>
  <si>
    <t>10.1109/VAST.2014.7042495</t>
  </si>
  <si>
    <t>http://dx.doi.org/10.1109/VAST.2014.7042495</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</si>
  <si>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</si>
  <si>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Yafeng Lu;Robert Krüger;Dennis Thom;Feng Wang 0012;Steffen Koch;Thomas Ertl;Ross Maciejewski</t>
  </si>
  <si>
    <t>Yafeng Lu;Robert Krüger;Dennis Thom;Feng Wang;Steffen Koch;Thomas Ertl;Ross Maciejewski</t>
  </si>
  <si>
    <t>Arizona State University;University of Stuttgart, Germany;University of Stuttgart, Germany;Arizona State University;University of Stuttgart, Germany;University of Stuttgart, Germany;Arizona State University</t>
  </si>
  <si>
    <t>10.1109/VAST.2012.6400557;10.1109/TVCG.2011.185;10.1109/VAST.2012.6400486;10.1109/TVCG.2013.162;10.1109/TVCG.2013.221;10.1109/VAST.2011.6102456;10.1109/TVCG.2012.291;10.1109/TVCG.2013.125;10.1109/INFVIS.2004.10;10.1109/VAST.2011.6102448;10.1109/VAST.2010.5652443;10.1109/INFVIS.2004.3</t>
  </si>
  <si>
    <t>Social Media, Predictive Analytics, Feature Selection</t>
  </si>
  <si>
    <t>PEARL: An Interactive Visual Analytic Tool for Understanding Personal Emotion Style Derived from Social Media</t>
  </si>
  <si>
    <t>10.1109/VAST.2014.7042496</t>
  </si>
  <si>
    <t>http://dx.doi.org/10.1109/VAST.2014.7042496</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</si>
  <si>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̢��_x0081_�observation̢����)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</si>
  <si>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http://dx.doi.org/10.1109/VAST.2011.6102450</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</si>
  <si>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</si>
  <si>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Jian Zhao;Liang Gou;Fei Wang;Michelle X. Zhou</t>
  </si>
  <si>
    <t>Jian Zhao;Liang Gou;Fei Wang;Michelle Zhou</t>
  </si>
  <si>
    <t>University of Toronto;IBM Research Almad&amp;#x00E9;n;IBM Research Almad&amp;#x00E9;n;IBM Research Almad&amp;#x00E9;n</t>
  </si>
  <si>
    <t>10.1109/TVCG.2011.239;10.1109/VAST.2012.6400485;10.1109/TVCG.2010.129;10.1109/TVCG.2011.185;10.1109/TVCG.2010.183</t>
  </si>
  <si>
    <t>Personal emotion analytics, affective and mood modeling, social media text, Twitter, information visualization</t>
  </si>
  <si>
    <t>2015</t>
  </si>
  <si>
    <t>Comput. Sci. Dept., Worcester Polytech. Inst., Worcester, MA, USA|c|;;;</t>
  </si>
  <si>
    <t>http://dx.doi.org/10.1109/VAST.2011.6102451</t>
  </si>
  <si>
    <t>Matches, Mismatches, and Methods: Multiple-View Workflows for Energy Portfolio Analysis</t>
  </si>
  <si>
    <t>10.1109/TVCG.2015.2466971</t>
  </si>
  <si>
    <t>http://dx.doi.org/10.1109/TVCG.2015.2466971</t>
  </si>
  <si>
    <t>Intell. Syst. Lab. Amsterdam, Univ. of Amsterdam, Amsterdam, Netherlands|c|;;</t>
  </si>
  <si>
    <t>http://dx.doi.org/10.1109/VAST.2011.6102453</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</si>
  <si>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</si>
  <si>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Matthew Brehmer;Jocelyn Ng;Kevin Tate;Tamara Munzner</t>
  </si>
  <si>
    <t>University of British Columbia;EnerNOC, Inc.;EnerNOC, Inc.;University of British Columbia</t>
  </si>
  <si>
    <t>10.1109/TVCG.2011.185;10.1109/TVCG.2013.124;10.1109/TVCG.2008.166;10.1109/TVCG.2013.145;10.1109/TVCG.2013.173;10.1109/TVCG.2010.162;10.1109/TVCG.2007.70583;10.1109/TVCG.2011.209;10.1109/TVCG.2014.2346331;10.1109/TVCG.2014.2346578;10.1109/TVCG.2009.111;10.1109/TVCG.2011.196;10.1109/TVCG.2012.213;10.1109/INFVIS.1999.801851;10.1109/INFVIS.2005.1532122</t>
  </si>
  <si>
    <t>Design study, design methodologies, time series data, task and requirements analysis, coordinated and multiple views</t>
  </si>
  <si>
    <t>Evaluation of Parallel Coordinates: Overview, Categorization and Guidelines for Future Research</t>
  </si>
  <si>
    <t>10.1109/TVCG.2015.2466992</t>
  </si>
  <si>
    <t>http://dx.doi.org/10.1109/TVCG.2015.2466992</t>
  </si>
  <si>
    <t>http://dx.doi.org/10.1109/VAST.2011.6102454</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</si>
  <si>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</si>
  <si>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Jimmy Johansson;Camilla Forsell</t>
  </si>
  <si>
    <t>Norrköping Visualization Center C/Linköping University, Sweden;Norrköping Visualization Center C/Linköping University, Sweden</t>
  </si>
  <si>
    <t>10.1109/TVCG.2014.2346626;10.1109/TVCG.2011.201;10.1109/VISUAL.1999.809866;10.1109/TVCG.2014.2346979;10.1109/INFVIS.2002.1173157;10.1109/TVCG.2013.126;10.1109/INFVIS.2005.1532138;10.1109/TVCG.2009.153;10.1109/INFVIS.2004.15;10.1109/INFVIS.2004.5;10.1109/TVCG.2011.197;10.1109/VISUAL.1997.663867</t>
  </si>
  <si>
    <t>Survey, evaluation, guidelines, parallel coordinates</t>
  </si>
  <si>
    <t>SchemeLens: A Content-Aware Vector-Based Fisheye Technique for Navigating Large Systems Diagrams</t>
  </si>
  <si>
    <t>10.1109/TVCG.2015.2467035</t>
  </si>
  <si>
    <t>http://dx.doi.org/10.1109/TVCG.2015.2467035</t>
  </si>
  <si>
    <t>Fraunhofer Inst., Univ. of Bonn, Bonn, Germany|c|;;;;</t>
  </si>
  <si>
    <t>http://dx.doi.org/10.1109/VAST.2011.6102455</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</si>
  <si>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</si>
  <si>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Aurélie Cohé;Bastien Liutkus;Gilles Bailly;James R. Eagan;Eric Lecolinet</t>
  </si>
  <si>
    <t>Aurélie Cohé;Bastien Liutkus;Gilles Bailly;James Eagan;Eric Lecolinet</t>
  </si>
  <si>
    <t>Télécom ParisTech;Télécom ParisTech;CNRS LTCI &amp; Télécom ParisTech;Télécom ParisTech;Télécom ParisTech</t>
  </si>
  <si>
    <t>10.1109/INFVIS.2004.66;10.1109/TVCG.2012.245;10.1109/INFVIS.2003.1249008</t>
  </si>
  <si>
    <t>Fisheye, vector-scaling, content-aware, network schematics, interactive zoom, navigation, information visualization</t>
  </si>
  <si>
    <t>AggreSet: Rich and Scalable Set Exploration using Visualizations of Element Aggregations</t>
  </si>
  <si>
    <t>10.1109/TVCG.2015.2467051</t>
  </si>
  <si>
    <t>http://dx.doi.org/10.1109/TVCG.2015.2467051</t>
  </si>
  <si>
    <t>Hong Kong Univ. of Sci. &amp; Technol., Hong Kong, China|c|;;;;;</t>
  </si>
  <si>
    <t>http://dx.doi.org/10.1109/VAST.2011.6102456</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</si>
  <si>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</si>
  <si>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Mehmet Adil Yalçin;Niklas Elmqvist;Benjamin B. Bederson</t>
  </si>
  <si>
    <t>M. Adil Yalçin;Niklas Elmqvist;Benjamin B. Bederson</t>
  </si>
  <si>
    <t>University of Maryland, College Park;University of Maryland, College Park;University of Maryland, College Park</t>
  </si>
  <si>
    <t>10.1109/TVCG.2011.186;10.1109/TVCG.2013.184;10.1109/TVCG.2011.185;10.1109/TVCG.2009.122;10.1109/TVCG.2007.70535;10.1109/TVCG.2008.144;10.1109/INFVIS.2004.1;10.1109/TVCG.2007.70539;10.1109/TVCG.2008.141;10.1109/TVCG.2014.2346248;10.1109/TVCG.2010.210;10.1109/TVCG.2014.2346249</t>
  </si>
  <si>
    <t>Multi-valued attributes, sets, visualization, set visualization, data exploration, interaction, design, scalability</t>
  </si>
  <si>
    <t>Reactive Vega: A Streaming Dataflow Architecture for Declarative Interactive Visualization</t>
  </si>
  <si>
    <t>10.1109/TVCG.2015.2467091</t>
  </si>
  <si>
    <t>http://dx.doi.org/10.1109/TVCG.2015.2467091</t>
  </si>
  <si>
    <t>GeoVISTA Center, Pennsylvania State Univ., University Park, PA, USA|c|;;;;;;;</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</si>
  <si>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</si>
  <si>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Arvind Satyanarayan;Ryan Russell;Jane Hoffswell;Jeffrey Heer</t>
  </si>
  <si>
    <t>http://dx.doi.org/10.1109/VAST.2011.6102457</t>
  </si>
  <si>
    <t>Stanford University;University of Washington;University of Washington;University of Washington</t>
  </si>
  <si>
    <t>10.1109/VISUAL.1995.480821;10.1109/TVCG.2009.174;10.1109/TVCG.2011.185;10.1109/TVCG.2010.144;10.1109/TVCG.2014.2346250;10.1109/TVCG.2013.179;10.1109/TVCG.2010.177;10.1109/VISUAL.1996.567752;10.1109/INFVIS.2000.885086;10.1109/INFVIS.2004.12;10.1109/TVCG.2015.2467191;10.1109/TVCG.2007.70515</t>
  </si>
  <si>
    <t>Information visualization, systems, toolkits, declarative specification, optimization, interaction, streaming data</t>
  </si>
  <si>
    <t>Visualization, Selection, and Analysis of Traffic Flows</t>
  </si>
  <si>
    <t>10.1109/TVCG.2015.2467112</t>
  </si>
  <si>
    <t>http://dx.doi.org/10.1109/TVCG.2015.2467112</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</si>
  <si>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</si>
  <si>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Roeland Scheepens;Christophe Hurter;Huub van de Wetering;Jarke J. van Wijk</t>
  </si>
  <si>
    <t>Roeland Scheepens;Christophe Hurter;Huub Van De Wetering;Jarke J. Van Wijk</t>
  </si>
  <si>
    <t>Department of Mathematics and Computer Science, Eindhoven University of Technology, The Netherlands;Interactive Computing Laboratory (LII) of the French Civil Aviation University (ENAC) in Toulouse, France;Department of Mathematics and Computer Science, Eindhoven University of Technology, The Netherlands;Department of Mathematics and Computer Science, Eindhoven University of Technology, The Netherlands</t>
  </si>
  <si>
    <t>10.1109/TVCG.2011.185;10.1109/TVCG.2011.261;10.1109/VISUAL.1999.809905;10.1109/VISUAL.1998.745294</t>
  </si>
  <si>
    <t>Moving Object Visualization, traffic flows, interaction</t>
  </si>
  <si>
    <t>Visualization &amp; Analytics Center, Purdue Univ., West Lafayette, IN, USA|c|;;</t>
  </si>
  <si>
    <t>http://dx.doi.org/10.1109/VAST.2011.6102458</t>
  </si>
  <si>
    <t>Optimal Sets of Projections of High-Dimensional Data</t>
  </si>
  <si>
    <t>10.1109/TVCG.2015.2467132</t>
  </si>
  <si>
    <t>http://dx.doi.org/10.1109/TVCG.2015.2467132</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</si>
  <si>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</si>
  <si>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10.1109/VAST.2010.5652433;10.1109/VAST.2011.6102437;10.1109/TVCG.2011.229;10.1109/VISUAL.1997.663916;10.1109/TVCG.2011.220;10.1109/TVCG.2013.182;10.1109/TVCG.2010.207;10.1109/VAST.2006.261423;10.1109/INFVIS.2005.1532142</t>
  </si>
  <si>
    <t>Multivariate Projections, Star Coordinates, Radial Visualization, High-dimensional Data</t>
  </si>
  <si>
    <t>Voyager: Exploratory Analysis via Faceted Browsing of Visualization Recommendations</t>
  </si>
  <si>
    <t>10.1109/TVCG.2015.2467191</t>
  </si>
  <si>
    <t>http://dx.doi.org/10.1109/TVCG.2015.2467191</t>
  </si>
  <si>
    <t>IBM Res., Beijing, China|c|;;;;;</t>
  </si>
  <si>
    <t>http://dx.doi.org/10.1109/VAST.2011.6102459</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</si>
  <si>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</si>
  <si>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Kanit Wongsuphasawat;Dominik Moritz;Anushka Anand;Jock D. Mackinlay;Bill Howe;Jeffrey Heer</t>
  </si>
  <si>
    <t>Kanit Wongsuphasawat;Dominik Moritz;Anushka Anand;Jock Mackinlay;Bill Howe;Jeffrey Heer</t>
  </si>
  <si>
    <t>University of Washington;Tableau Research;Tableau Research;Tableau Research;University of Washington;University of Washington</t>
  </si>
  <si>
    <t>10.1109/TVCG.2014.2346297;10.1109/TVCG.2009.174;10.1109/TVCG.2011.185;10.1109/TVCG.2007.70594;10.1109/TVCG.2014.2346291;10.1109/INFVIS.2000.885086</t>
  </si>
  <si>
    <t>User interfaces, information visualization, exploratory analysis, visualization recommendation, mixed-initiative systems</t>
  </si>
  <si>
    <t>How do People Make Sense of Unfamiliar Visualizations?: A Grounded Model of Novice's Information Visualization Sensemaking</t>
  </si>
  <si>
    <t>10.1109/TVCG.2015.2467195</t>
  </si>
  <si>
    <t>http://dx.doi.org/10.1109/TVCG.2015.2467195</t>
  </si>
  <si>
    <t>Dept. of Comput. Sci., Univ. of California, Irvine, CA, USA|c|;;;</t>
  </si>
  <si>
    <t>http://dx.doi.org/10.1109/VAST.2011.6102460</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</si>
  <si>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</si>
  <si>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Sukwon Lee;Sung-Hee Kim;Ya-Hsin Hung;Heidi Lam;Youn ah Kang;Ji Soo Yi</t>
  </si>
  <si>
    <t>Sukwon Lee;Sung-Hee Kim;Ya-Hsin Hung;Heidi Lam;Youn-Ah Kang;Ji Soo Yi</t>
  </si>
  <si>
    <t>School of Industrial Engineering, Purdue University, West Lafayette, IN, USA;Department of Computer Science, University of British Columbia, Vancouver, BC, Canada;School of Industrial Engineering, Purdue University, West Lafayette, IN, USA;Google Inc., Mountain View, CA, USA;Techno-Art Division, Information and Interaction Design, Incheon, South Korea;School of Industrial Engineering, Purdue University, West Lafayette, IN, USA</t>
  </si>
  <si>
    <t>10.1109/TVCG.2013.234;10.1109/TVCG.2014.2346984;10.1109/TVCG.2010.164;10.1109/VAST.2011.6102435;10.1109/TVCG.2014.2346452;10.1109/TVCG.2010.177;10.1109/TVCG.2014.2346481;10.1109/TVCG.2010.179;10.1109/TVCG.2007.70515</t>
  </si>
  <si>
    <t>Sensemaking model, information visualization, novice users, grounded theory, qualitative study</t>
  </si>
  <si>
    <t>Visualizing Multiple Variables Across Scale and Geography</t>
  </si>
  <si>
    <t>10.1109/TVCG.2015.2467199</t>
  </si>
  <si>
    <t>http://dx.doi.org/10.1109/TVCG.2015.2467199</t>
  </si>
  <si>
    <t>Purdue Univ. Visualization &amp; Analytics Center (PURVAC), IN, USA|c|;;;</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</si>
  <si>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</si>
  <si>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http://dx.doi.org/10.1109/VAST.2011.6102461</t>
  </si>
  <si>
    <t>Sarah Goodwin;Jason Dykes;Aidan Slingsby;Cagatay Turkay</t>
  </si>
  <si>
    <t>Monash University;the giCentre, City University London;the giCentre, City University London;the giCentre, City University London</t>
  </si>
  <si>
    <t>10.1109/TVCG.2007.70558;10.1109/TVCG.2013.145;10.1109/TVCG.2007.70539;10.1109/TVCG.2014.2346482;10.1109/VAST.2011.6102448;10.1109/TVCG.2013.125;10.1109/TVCG.2014.2346321;10.1109/TVCG.2009.128;10.1109/TVCG.2011.197;10.1109/TVCG.2012.256;10.1109/TVCG.2014.2346265</t>
  </si>
  <si>
    <t>Scale, Geography, Multivariate, Sensitivity Analysis, Variable Selection, Local Statistics, Geodemographics, Energy</t>
  </si>
  <si>
    <t>Suggested Interactivity: Seeking Perceived Affordances for Information Visualization</t>
  </si>
  <si>
    <t>10.1109/TVCG.2015.2467201</t>
  </si>
  <si>
    <t>http://dx.doi.org/10.1109/TVCG.2015.2467201</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</si>
  <si>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</si>
  <si>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Jeremy Boy;Louis Eveillard;Françoise Détienne;Jean-Daniel Fekete</t>
  </si>
  <si>
    <t>Jeremy Boy;Louis Eveillard;Françoise Detienne;Jean-Daniel Fekete</t>
  </si>
  <si>
    <t>INRIA;EnsadLab;Telecom ParisTech;INRIA</t>
  </si>
  <si>
    <t>10.1109/TVCG.2014.2346984;10.1109/TVCG.2013.134;10.1109/TVCG.2010.179;10.1109/INFVIS.2005.1532122</t>
  </si>
  <si>
    <t>Suggested interactivity, perceived affordances, information visualization for the people, online visualization</t>
  </si>
  <si>
    <t>High-Quality Ultra-Compact Grid Layout of Grouped Networks</t>
  </si>
  <si>
    <t>10.1109/TVCG.2015.2467251</t>
  </si>
  <si>
    <t>http://dx.doi.org/10.1109/TVCG.2015.2467251</t>
  </si>
  <si>
    <t>UNC Charlotte, Charlotte, NC, USA|c|;;;</t>
  </si>
  <si>
    <t>http://dx.doi.org/10.1109/VAST.2011.6102462</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</si>
  <si>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</si>
  <si>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Univ. of Texas at Austin, Austin, TX, USA|c|;;;</t>
  </si>
  <si>
    <t>http://dx.doi.org/10.1109/VAST.2011.6102463</t>
  </si>
  <si>
    <t>UNC Charlotte, Charlotte, NC, USA|c|;;;;</t>
  </si>
  <si>
    <t>http://dx.doi.org/10.1109/VAST.2011.6102465</t>
  </si>
  <si>
    <t>http://dx.doi.org/10.1109/VAST.2011.6102466</t>
  </si>
  <si>
    <t>Visual analytics, ̢��_x0081_�the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</si>
  <si>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Comput. Graphics &amp; HCI Lab., Univ. of Kaiserslautern, Kaiserslautern, Germany|c|;;</t>
  </si>
  <si>
    <t>http://dx.doi.org/10.1109/VAST.2011.6102467</t>
  </si>
  <si>
    <t>Lab. of Neuro Imaging, Univ. of California Los Angeles, Los Angeles, CA, USA|c|;;</t>
  </si>
  <si>
    <t>http://dx.doi.org/10.1109/VAST.2011.6102468</t>
  </si>
  <si>
    <t>http://dx.doi.org/10.1109/VAST.2011.6102469</t>
  </si>
  <si>
    <t>Tufts Univ., Medford, MA, USA|c|;;</t>
  </si>
  <si>
    <t>http://dx.doi.org/10.1109/VAST.2011.6102470</t>
  </si>
  <si>
    <t>giCentre, City Univ. London, London, UK|c|;;</t>
  </si>
  <si>
    <t>http://dx.doi.org/10.1109/VAST.2011.6102471</t>
  </si>
  <si>
    <t>John Alexis Guerra G�_mez;Audra Buck-Coleman;Catherine Plaisant;Ben Shneiderman</t>
  </si>
  <si>
    <t>HCIL &amp; Dept. of Comput. Sci., Univ. of Maryland, College Park, MD, USA|c|;;;</t>
  </si>
  <si>
    <t>http://dx.doi.org/10.1109/VAST.2011.6102472</t>
  </si>
  <si>
    <t>Ming C. Hao;Christian Rohrdantz;Halld�_r Janetzko;Umeshwar Dayal;Daniel A. Keim;Lars-Erik Haug;Meichun Hsu</t>
  </si>
  <si>
    <t>Hewlett-Packard Labs., Palo Alto, CA, USA|c|;;;;;;</t>
  </si>
  <si>
    <t>http://dx.doi.org/10.1109/VAST.2011.6102473</t>
  </si>
  <si>
    <t>Comput. Sci., UNC - Charlotte, Charlotte, NC, USA|c|;;;;</t>
  </si>
  <si>
    <t>http://dx.doi.org/10.1109/VAST.2011.6102474</t>
  </si>
  <si>
    <t>This paper studies the interpretability of transformations of labeled higher dimensional data into a 2D representation (scatterplots) for visual classification.1In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</si>
  <si>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Grad. Center, City Univ. of New York, New York, NY, USA|c|;</t>
  </si>
  <si>
    <t>http://dx.doi.org/10.1109/VAST.2011.6102475</t>
  </si>
  <si>
    <t>Inst. of Ind. Sci., Univ. of Tokyo, Tokyo, Japan|c|;;;</t>
  </si>
  <si>
    <t>Univ. of the District of Columbia, Washington, DC, USA|c|;;;</t>
  </si>
  <si>
    <t>Fraunhofer Inst. for Intell. Anal. &amp; Inf. Syst. (IAIS), Univ. of Bonn, Bonn, Germany|c|;;;;</t>
  </si>
  <si>
    <t>Bruno Pinaud;Jonathan Dubois;Guy Melan̤on</t>
  </si>
  <si>
    <t>Univ. of Bordeaux, Bordeaux, France|c|;;</t>
  </si>
  <si>
    <t>Dept. of Stat., Univ. of Pittsburgh, Pittsburgh, PA, USA|c|;;</t>
  </si>
  <si>
    <t>N. Banfi;L. Dudas;Zsolt Fekete;J. Gobolos-Szabo;Andr��s Luk��cs;A. Nagy;A. Szabo;Z. Szabo;G. Szucs</t>
  </si>
  <si>
    <t>Comput. &amp; Autom. Res. Inst. (MTA SZTAKI), Hungary|c|;;;;;;;;</t>
  </si>
  <si>
    <t>Harald Bosch;Dennis Thom;Michael W̦rner 0001;Steffen Koch;Edwin Puttmann;Dominik J�_ckle;Thomas Ertl</t>
  </si>
  <si>
    <t>Inst. for Visualization &amp; Interactive Syst., Univ. Stuttgart, Stuttgart, Germany|c|;;;;;;</t>
  </si>
  <si>
    <t>Sch. of Comput. Sci., Bangor Univ., Bangor, UK|c|;;;;;;</t>
  </si>
  <si>
    <t>Interaction Design, Purdue Univ., West Lafayette, IN, USA|c|;;</t>
  </si>
  <si>
    <t>For the VAST 2011 Network Security Mini-Challenge, we adopted geovisual analytic methods and applied them in the field of network security. We used the GeoViz Toolkit [1] to represent cyber security events, by fabricating a simple ̢��_x0081_�geography̢����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</si>
  <si>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Master on Datamining &amp; Knowledge Discovery, Univ. de Buenos Aires, Buenos Aires, Argentina|c|</t>
  </si>
  <si>
    <t>Elizabeth Braunstein;Carsten G̦rg;Zhicheng Liu;John T. Stasko</t>
  </si>
  <si>
    <t>Mercyhurst Coll., USA|c|;;;</t>
  </si>
  <si>
    <t>Enrico Bertini;Juri Buchm�_ller;Fabian Fischer 0001;Stephan Huber;Thomas Lindemeier;Fabian Maass;Florian Mansmann;Thomas Ramm;Michael Regenscheit;Christian Rohrdantz;Christian Scheible;Tobias Schreck;Stephan Sellien;Florian Stoffel;Mark Tautzenberger;Matthias Zieker;Daniel A. Keim</t>
  </si>
  <si>
    <t>Data Anal. &amp; Visualization Group, Univ. of Konstanz, Konstanz, Germany|c|;;;;;;;;;;;;;;;;</t>
  </si>
  <si>
    <t>http://dx.doi.org/10.1109/TVCG.2012.186</t>
  </si>
  <si>
    <t>http://dx.doi.org/10.1109/TVCG.2012.187</t>
  </si>
  <si>
    <t>Ralf K�_hler;Oliver Hahn;Tom Abel</t>
  </si>
  <si>
    <t>http://dx.doi.org/10.1109/TVCG.2012.188</t>
  </si>
  <si>
    <t>Veronika Solt̩szov��;Cagatay Turkay;Mark C. Price;Ivan Viola</t>
  </si>
  <si>
    <t>Dept. of Inf., Univ. of Bergen, Bergen, Norway|c|;;;</t>
  </si>
  <si>
    <t>http://dx.doi.org/10.1109/TVCG.2012.189</t>
  </si>
  <si>
    <t>Middlesex Univ., London, UK|c|;;;;</t>
  </si>
  <si>
    <t>http://dx.doi.org/10.1109/TVCG.2012.190</t>
  </si>
  <si>
    <t>GFZ German Reserach Center For Geosci., Potsdam, Germany|c|;;;</t>
  </si>
  <si>
    <t>http://dx.doi.org/10.1109/TVCG.2012.191</t>
  </si>
  <si>
    <t>Mike Sips;Patrick K̦thur;Andrea Unger;Hans-Christian Hege;Doris Dransch</t>
  </si>
  <si>
    <t>German Res. Center for Geosci. GFZ, Germany|c|;;;;</t>
  </si>
  <si>
    <t>http://dx.doi.org/10.1109/TVCG.2012.192</t>
  </si>
  <si>
    <t>Oregon State Univ., Corvallis, OR, USA|c|</t>
  </si>
  <si>
    <t>http://dx.doi.org/10.1109/TVCG.2012.193</t>
  </si>
  <si>
    <t>Martin Fink 0001;Jan-Henrik Haunert;Andr̩ Schulz 0001;Joachim Spoerhase;Alexander Wolff</t>
  </si>
  <si>
    <t>Inst. fur Inf., Univ. Wurzburg, Wurzburg, Germany|c|;;;;</t>
  </si>
  <si>
    <t>http://dx.doi.org/10.1109/TVCG.2012.194</t>
  </si>
  <si>
    <t>UC Davis, Davis, CA, USA|c|;</t>
  </si>
  <si>
    <t>http://dx.doi.org/10.1109/TVCG.2012.195</t>
  </si>
  <si>
    <t>Visual Analytics is ̢��_x0081_�the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</si>
  <si>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http://dx.doi.org/10.1109/TVCG.2012.196</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</si>
  <si>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</si>
  <si>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http://dx.doi.org/10.1109/TVCG.2012.197</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</si>
  <si>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̢��_x0081_�divided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</si>
  <si>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Comput. Sci., Swansea Univ., Swansea, UK|c|;;;;;;</t>
  </si>
  <si>
    <t>http://dx.doi.org/10.1109/TVCG.2012.198</t>
  </si>
  <si>
    <t>Univ. of Leipzig, Leipzig, Germany|c|;</t>
  </si>
  <si>
    <t>http://dx.doi.org/10.1109/TVCG.2012.199</t>
  </si>
  <si>
    <t>INRIA, Sophia Antipolis, France|c|;;</t>
  </si>
  <si>
    <t>http://dx.doi.org/10.1109/TVCG.2012.200</t>
  </si>
  <si>
    <t>One potential solution to reduce the concentration of carbon dioxide in the atmosphere is the geologic storage of captured CO2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</si>
  <si>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Comput. Res. Div., Lawrence Berkeley Nat. Lab., Berkeley, CA, USA|c|;;;;;</t>
  </si>
  <si>
    <t>http://dx.doi.org/10.1109/TVCG.2012.202</t>
  </si>
  <si>
    <t>Vahan Yoghourdjian;Tim Dwyer;Graeme Gange;Steve Kieffer;Karsten Klein 0001;Kim Marriott</t>
  </si>
  <si>
    <t>Vahan Yoghourdjian;Tim Dwyer;Graeme Gange;Steve Kieffer;Karsten Klein;Kim Marriott</t>
  </si>
  <si>
    <t>Monash University;Monash University;The University of Melbourne;Monash University;Monash University;Monash University</t>
  </si>
  <si>
    <t>10.1109/TVCG.2008.117;10.1109/TVCG.2013.151;10.1109/TVCG.2006.156;10.1109/TVCG.2009.109;10.1109/INFVIS.2003.1249009;10.1109/TVCG.2015.2467451;10.1109/TVCG.2012.245</t>
  </si>
  <si>
    <t>Network visualization, graph drawing, power graph, optimization, large-neighborhood search</t>
  </si>
  <si>
    <t>Rocco Gasteiger;Dirk J. Lehmann;Roy van Pelt;G��bor Janiga;Oliver Beuing;Anna Vilanova;Holger Theisel;Bernhard Preim</t>
  </si>
  <si>
    <t>Sketching Designs Using the Five Design-Sheet Methodology</t>
  </si>
  <si>
    <t>10.1109/TVCG.2015.2467271</t>
  </si>
  <si>
    <t>Dept. of Simulation &amp; Graphics, Univ. of Magdeburg, Magdeburg, Germany|c|;;;;;;;</t>
  </si>
  <si>
    <t>http://dx.doi.org/10.1109/TVCG.2015.2467271</t>
  </si>
  <si>
    <t>http://dx.doi.org/10.1109/TVCG.2012.203</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</si>
  <si>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</si>
  <si>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Jonathan C. Roberts;Christopher James Headleand;Panagiotis D. Ritsos</t>
  </si>
  <si>
    <t>Jonathan C. Roberts;Chris Headleand;Panagiotis D. Ritsos</t>
  </si>
  <si>
    <t>School of Computer Science, Bangor University;School of Computer Science, Bangor University;Department of Computer Science, University of Chester</t>
  </si>
  <si>
    <t>10.1109/TVCG.2010.132;10.1109/INFVIS.2000.885092;10.1109/TVCG.2006.178;10.1109/VISUAL.1994.346304;10.1109/TVCG.2014.2346331;10.1109/TVCG.2009.111;10.1109/TVCG.2012.213;10.1109/INFVIS.2004.59;10.1109/TVCG.2012.262;10.1109/TVCG.2007.70515;10.1109/TVCG.2008.171</t>
  </si>
  <si>
    <t>Lo-fidelity prototyping, User-centred design, Sketching for visualization, Ideation</t>
  </si>
  <si>
    <t>Gunnar L�_th̩n;Stefan Lindholm;Reiner Lenz;Anders Persson;Magnus Borga</t>
  </si>
  <si>
    <t>Center for Med. Image Sci. &amp; Visualization (CMIV), Linkoping Univ., Linkoping, Sweden|c|;;;;</t>
  </si>
  <si>
    <t>Acquired Codes of Meaning in Data Visualization and Infographics: Beyond Perceptual Primitives</t>
  </si>
  <si>
    <t>10.1109/TVCG.2015.2467321</t>
  </si>
  <si>
    <t>http://dx.doi.org/10.1109/TVCG.2015.2467321</t>
  </si>
  <si>
    <t>http://dx.doi.org/10.1109/TVCG.2012.204</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</si>
  <si>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</si>
  <si>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Lydia Byrne;Daniel Angus;Janet Wiles</t>
  </si>
  <si>
    <t>The University of Queensland;The University of Queensland;The University of Queensland</t>
  </si>
  <si>
    <t>10.1109/TVCG.2013.234;10.1109/TVCG.2010.126;10.1109/INFVIS.2005.1532122;10.1109/TVCG.2011.255;10.1109/TVCG.2007.70594;10.1109/TVCG.2010.179;10.1109/INFVIS.2004.59;10.1109/TVCG.2012.221;10.1109/TVCG.2008.171</t>
  </si>
  <si>
    <t>Visual Design, Taxonomies, Illustrative Visualization, Design Methodologies</t>
  </si>
  <si>
    <t>Off the Radar: Comparative Evaluation of Radial Visualization Solutions for Composite Indicators</t>
  </si>
  <si>
    <t>10.1109/TVCG.2015.2467322</t>
  </si>
  <si>
    <t>http://dx.doi.org/10.1109/TVCG.2015.2467322</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</si>
  <si>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̢��_x0081_�natural̢����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̢��_x0081_�natural,̢���� interaction techniques for InfoVis.</t>
  </si>
  <si>
    <t>http://dx.doi.org/10.1109/TVCG.2012.205</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</si>
  <si>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</si>
  <si>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Yael Albo;Joel Lanir;Peter Bak;Sheizaf Rafaeli</t>
  </si>
  <si>
    <t>University of Haifa, Israel;University of Haifa, Israel;IBM Research Haifa Lab, Haifa, Israel;Sheizaf Rafaeli is with University of Haifa, Israel</t>
  </si>
  <si>
    <t>10.1109/TVCG.2010.209;10.1109/TVCG.2008.125</t>
  </si>
  <si>
    <t>Visualization evaluation, radial layout design, composite indicator visualization, experiment</t>
  </si>
  <si>
    <t>Automatic Selection of Partitioning Variables for Small Multiple Displays</t>
  </si>
  <si>
    <t>10.1109/TVCG.2015.2467323</t>
  </si>
  <si>
    <t>http://dx.doi.org/10.1109/TVCG.2015.2467323</t>
  </si>
  <si>
    <t>http://dx.doi.org/10.1109/TVCG.2012.206</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</si>
  <si>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</si>
  <si>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Anushka Anand;Justin Talbot</t>
  </si>
  <si>
    <t>Tableau Research;Tableau Research</t>
  </si>
  <si>
    <t>10.1109/VAST.2010.5652433;10.1109/INFVIS.1998.729559;10.1109/TVCG.2011.229;10.1109/TVCG.2006.161;10.1109/TVCG.2010.184;10.1109/TVCG.2009.153;10.1109/INFVIS.2003.1249006;10.1109/TVCG.2007.70594;10.1109/VAST.2006.261423;10.1109/INFVIS.2000.885086;10.1109/VAST.2009.5332628;10.1109/TVCG.2010.161;10.1109/INFVIS.2005.1532142</t>
  </si>
  <si>
    <t>Small multiple displays, Visualization selection, Multidimensional data</t>
  </si>
  <si>
    <t>A comparative study between RadViz and Star Coordinates</t>
  </si>
  <si>
    <t>10.1109/TVCG.2015.2467324</t>
  </si>
  <si>
    <t>http://dx.doi.org/10.1109/TVCG.2015.2467324</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</si>
  <si>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</si>
  <si>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Manuel Rubio-Sánchez;Laura Raya;Francisco Diaz;Alberto Sánchez 0001</t>
  </si>
  <si>
    <t>Manuel Rubio-Sánchez;Laura Raya;Francisco Díaz;Alberto Sanchez</t>
  </si>
  <si>
    <t>URJC;U-tad;UPM;URJC and CCS</t>
  </si>
  <si>
    <t>10.1109/VAST.2010.5652433;10.1109/INFVIS.1998.729559;10.1109/VISUAL.1997.663916;10.1109/TVCG.2013.182;10.1109/TVCG.2014.2346258;10.1109/TVCG.2008.173</t>
  </si>
  <si>
    <t>RadViz, Star coordinates, Exploratory data analysis, Cluster analysis, Classification, Outlier detection</t>
  </si>
  <si>
    <t>Alexander Bock;Erik Sund̩n;Bingchen Liu;Burkhard W�_nsche;Timo Ropinski</t>
  </si>
  <si>
    <t>Sci. Visualization Group, Linkoping Univ., Linkoping, Sweden|c|;;;;</t>
  </si>
  <si>
    <t>TimeSpan: Using Visualization to Explore Temporal Multi-dimensional Data of Stroke Patients</t>
  </si>
  <si>
    <t>10.1109/TVCG.2015.2467325</t>
  </si>
  <si>
    <t>http://dx.doi.org/10.1109/TVCG.2015.2467325</t>
  </si>
  <si>
    <t>http://dx.doi.org/10.1109/TVCG.2012.207</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</si>
  <si>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</si>
  <si>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Mona Hosseinkhani Loorak;Charles Perin;Noreen Kamal;Michael Hill;Sheelagh Carpendale</t>
  </si>
  <si>
    <t>Department of Computer Science, University of Calgary;Department of Computer Science, University of Calgary;Department of Clinical Neurosciences, University of Calgary;Department of Clinical Neurosciences, University of Calgary;Department of Computer Science, University of Calgary</t>
  </si>
  <si>
    <t>10.1109/INFVIS.2005.1532136;10.1109/VAST.2006.261421;10.1109/TVCG.2014.2346682;10.1109/TVCG.2013.200;10.1109/TVCG.2014.2346279;10.1109/INFVIS.2005.1532152;10.1109/TVCG.2009.187;10.1109/TVCG.2012.225;10.1109/TVCG.2007.70515</t>
  </si>
  <si>
    <t>Multi-dimensional data, Temporal event sequences, Electronic health records</t>
  </si>
  <si>
    <t>HOLA: Human-like Orthogonal Network Layout</t>
  </si>
  <si>
    <t>10.1109/TVCG.2015.2467451</t>
  </si>
  <si>
    <t>http://dx.doi.org/10.1109/TVCG.2015.2467451</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</si>
  <si>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</si>
  <si>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Steve Kieffer;Tim Dwyer;Kim Marriott;Michael Wybrow</t>
  </si>
  <si>
    <t>Monash University and NICTA Victoria;Monash University;Monash University and NICTA Victoria;Monash University</t>
  </si>
  <si>
    <t>10.1109/TVCG.2006.120;10.1109/TVCG.2012.208;10.1109/TVCG.2013.151;10.1109/TVCG.2006.156;10.1109/TVCG.2009.109;10.1109/TVCG.2008.141;10.1109/TVCG.2006.147;10.1109/TVCG.2012.245;10.1109/TVCG.2008.155</t>
  </si>
  <si>
    <t>Graph layout, orthogonal layout, automatic layout algorithms, user-generated layout, graph-drawing aesthetics</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</si>
  <si>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̢��_x0081_�the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</si>
  <si>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Speculative Practices: Utilizing InfoVis to Explore Untapped Literary Collections</t>
  </si>
  <si>
    <t>10.1109/TVCG.2015.2467452</t>
  </si>
  <si>
    <t>Univ. of Augsburg, Augsburg, Germany|c|;;</t>
  </si>
  <si>
    <t>http://dx.doi.org/10.1109/TVCG.2015.2467452</t>
  </si>
  <si>
    <t>http://dx.doi.org/10.1109/TVCG.2012.208</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</si>
  <si>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</si>
  <si>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Uta Hinrichs;Stefania Forlini;Bridget Moynihan</t>
  </si>
  <si>
    <t>SACHI Group, University of St Andrews, UK;Department of English, University of Calgary;Department of English, University of Calgary</t>
  </si>
  <si>
    <t>10.1109/TVCG.2012.272;10.1109/TVCG.2014.2346431;10.1109/TVCG.2008.175;10.1109/TVCG.2008.127;10.1109/TVCG.2007.70541;10.1109/TVCG.2012.213;10.1109/VAST.2007.4389006;10.1109/TVCG.2009.165;10.1109/TVCG.2007.70577;10.1109/TVCG.2009.171;10.1109/TVCG.2008.172;10.1109/VAST.2008.4677370</t>
  </si>
  <si>
    <t>Digital Humanities, Interlinked Visualization, Literary Studies, Cultural Collections, Science Fiction</t>
  </si>
  <si>
    <t>A Linguistic Approach to Categorical Color Assignment for Data Visualization</t>
  </si>
  <si>
    <t>10.1109/TVCG.2015.2467471</t>
  </si>
  <si>
    <t>http://dx.doi.org/10.1109/TVCG.2015.2467471</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</si>
  <si>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</si>
  <si>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Vidya Setlur;Maureen C. Stone</t>
  </si>
  <si>
    <t>linguistics, natural language processing, semantics, color names, categorical color, Google n-grams, WordNet, XKCD</t>
  </si>
  <si>
    <t>http://dx.doi.org/10.1109/TVCG.2012.209</t>
  </si>
  <si>
    <t>Beyond Weber's Law: A Second Look at Ranking Visualizations of Correlation</t>
  </si>
  <si>
    <t>10.1109/TVCG.2015.2467671</t>
  </si>
  <si>
    <t>http://dx.doi.org/10.1109/TVCG.2015.2467671</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</si>
  <si>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</si>
  <si>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Matthew Kay;Jeffrey Heer</t>
  </si>
  <si>
    <t>University of Washington;University of Washington</t>
  </si>
  <si>
    <t>Weber's law, perception of correlation, log transformation, censored regression, Bayesian methods</t>
  </si>
  <si>
    <t>AmbiguityVis: Visualization of Ambiguity in Graph Layouts</t>
  </si>
  <si>
    <t>10.1109/TVCG.2015.2467691</t>
  </si>
  <si>
    <t>http://dx.doi.org/10.1109/TVCG.2015.2467691</t>
  </si>
  <si>
    <t>SCI Inst., Univ. of Utah, Salt Lake City, UT, USA|c|;;</t>
  </si>
  <si>
    <t>http://dx.doi.org/10.1109/TVCG.2012.210</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</si>
  <si>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</si>
  <si>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Yong Wang 0021;Qiaomu Shen;Daniel W. Archambault;Zhiguang Zhou;Min Zhu;Sixiao Yang;Huamin Qu</t>
  </si>
  <si>
    <t>Yong Wang;Qiaomu Shen;Daniel Archambault;Zhiguang Zhou;Min Zhu;Sixiao Yang;Huamin Qu</t>
  </si>
  <si>
    <t>Hong Kong University of Science and Technology;Hong Kong University of Science and Technology;Swansea University;Zhejiang University of Finance and Economics;Sichuan University;Huawei Co. Ltd.;Hong Kong University of Science and Technology</t>
  </si>
  <si>
    <t>10.1109/TVCG.2006.120;10.1109/TVCG.2006.147;10.1109/TVCG.2012.245;10.1109/VAST.2009.5332628;10.1109/TVCG.2008.155;10.1109/TVCG.2012.189</t>
  </si>
  <si>
    <t>Visual Ambiguity, Visualization, Node-link diagram, Graph layout, Graph visualization</t>
  </si>
  <si>
    <t>Probing Projections: Interaction Techniques for Interpreting Arrangements and Errors of Dimensionality Reductions</t>
  </si>
  <si>
    <t>10.1109/TVCG.2015.2467717</t>
  </si>
  <si>
    <t>http://dx.doi.org/10.1109/TVCG.2015.2467717</t>
  </si>
  <si>
    <t>Stony Brook Univ., Stony Brook, NY, USA|c|;;</t>
  </si>
  <si>
    <t>http://dx.doi.org/10.1109/TVCG.2012.211</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</si>
  <si>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</si>
  <si>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Julian Stahnke;Marian Dörk;Boris Müller;Andreas Thom</t>
  </si>
  <si>
    <t>Potsdam University of Applied Sciences;Potsdam University of Applied Sciences;Potsdam University of Applied Sciences;Potsdam University of Applied Sciences</t>
  </si>
  <si>
    <t>10.1109/TVCG.2013.157;10.1109/TVCG.2011.255;10.1109/VAST.2010.5652392;10.1109/VISUAL.1990.146402;10.1109/TVCG.2009.153;10.1109/TVCG.2012.279;10.1109/TVCG.2014.2346419;10.1109/TVCG.2013.153;10.1109/TVCG.2009.127;10.1109/VISUAL.1994.346302;10.1109/TVCG.2007.70589;10.1109/INFVIS.2004.60;10.1109/INFVIS.1995.528686</t>
  </si>
  <si>
    <t>Information visualization, interactivity, dimensionality reduction, multidimensional scaling</t>
  </si>
  <si>
    <t>Beyond Memorability: Visualization Recognition and Recall</t>
  </si>
  <si>
    <t>10.1109/TVCG.2015.2467732</t>
  </si>
  <si>
    <t>http://dx.doi.org/10.1109/TVCG.2015.2467732</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</si>
  <si>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</si>
  <si>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Michelle Borkin;Zoya Bylinskii;Nam Wook Kim;Constance May Bainbridge;Chelsea S. Yeh;Daniel Borkin;Hanspeter Pfister;Aude Oliva</t>
  </si>
  <si>
    <t>Michelle A. Borkin;Zoya Bylinskii;Nam Wook Kim;Constance May Bainbridge;Chelsea S. Yeh;Daniel Borkin;Hanspeter Pfister;Aude Oliva</t>
  </si>
  <si>
    <t>Inst. for Data Anal. &amp; Visualization (IDAV), Univ. of California, Davis, CA, USA|c|;</t>
  </si>
  <si>
    <t>University of British Columbia;Computer Science and Artificial Intelligence Laboratory (CSAIL), Massachusetts Institute of Technology (MIT);School of Engineering &amp; Applied Sciences, Harvard University;Computer Science and Artificial Intelligence Laboratory (CSAIL), Massachusetts Institute of Technology (MIT);School of Engineering &amp; Applied Sciences, Harvard University;University of Michigan;School of Engineering &amp; Applied Sciences, Harvard University;Computer Science and Artificial Intelligence Laboratory (CSAIL), Massachusetts Institute of Technology (MIT)</t>
  </si>
  <si>
    <t>10.1109/TVCG.2012.197;10.1109/TVCG.2013.234;10.1109/TVCG.2011.193;10.1109/TVCG.2012.233;10.1109/TVCG.2011.175;10.1109/TVCG.2013.234;10.1109/TVCG.2012.215;10.1109/VAST.2010.5653598;10.1109/TVCG.2012.245;10.1109/TVCG.2012.221</t>
  </si>
  <si>
    <t>Information visualization, memorability, recognition, recall, eye-tracking study</t>
  </si>
  <si>
    <t>http://dx.doi.org/10.1109/TVCG.2012.212</t>
  </si>
  <si>
    <t>TimeNotes: A Study on Effective Chart Visualization and Interaction Techniques for Time-Series Data</t>
  </si>
  <si>
    <t>10.1109/TVCG.2015.2467751</t>
  </si>
  <si>
    <t>http://dx.doi.org/10.1109/TVCG.2015.2467751</t>
  </si>
  <si>
    <t>Storyline visualization is a technique used to depict the temporal dynamics of social interactions. This visualization technique was first introduced as a hand-drawn illustration in XKCD's ̢��_x0081_�Movie Narrative Charts̢����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</si>
  <si>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ViDi Res. Group, Univ. of California, Davis, CA, USA|c|;</t>
  </si>
  <si>
    <t>http://dx.doi.org/10.1109/TVCG.2012.213</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</si>
  <si>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</si>
  <si>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James S. Walker;Rita Borgo;Mark W. Jones</t>
  </si>
  <si>
    <t>James Walker;Rita Borgo;Mark W. Jones</t>
  </si>
  <si>
    <t>10.1109/TVCG.2009.181;10.1109/TVCG.2014.2346428;10.1109/INFVIS.2005.1532148;10.1109/TVCG.2011.160;10.1109/TVCG.2010.162;10.1109/TVCG.2010.193;10.1109/INFVIS.1999.801860;10.1109/TVCG.2011.195</t>
  </si>
  <si>
    <t>Time-series Exploration, Focus+Context, Lens, Interaction Techniques</t>
  </si>
  <si>
    <t>Visual Encodings of Temporal Uncertainty: A Comparative User Study</t>
  </si>
  <si>
    <t>10.1109/TVCG.2015.2467752</t>
  </si>
  <si>
    <t>http://dx.doi.org/10.1109/TVCG.2015.2467752</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</si>
  <si>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</si>
  <si>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Theresia Gschwandtner;Markus Bögl;Paolo Federico 0001;Silvia Miksch</t>
  </si>
  <si>
    <t>Theresia Gschwandtnei;Markus Bögl;Paolo Federico;Silvia Miksch</t>
  </si>
  <si>
    <t>10.1109/TVCG.2014.2346298;10.1109/TVCG.2012.279;10.1109/INFVIS.2002.1173145;10.1109/TVCG.2009.114</t>
  </si>
  <si>
    <t>Uncertainty, temporal intervals, visualization</t>
  </si>
  <si>
    <t>Visually Comparing Weather Features in Forecasts</t>
  </si>
  <si>
    <t>10.1109/TVCG.2015.2467754</t>
  </si>
  <si>
    <t>http://dx.doi.org/10.1109/TVCG.2015.2467754</t>
  </si>
  <si>
    <t>http://dx.doi.org/10.1109/TVCG.2012.214</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</si>
  <si>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</si>
  <si>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P. Samuel Quinan;Miriah D. Meyer</t>
  </si>
  <si>
    <t>P. Samuel Quinan;Miriah Meyer</t>
  </si>
  <si>
    <t>10.1109/VISUAL.1990.146361;10.1109/VISUAL.2002.1183788;10.1109/TVCG.2011.209;10.1109/TVCG.2010.181;10.1109/TVCG.2012.213;10.1109/TVCG.2013.143</t>
  </si>
  <si>
    <t>Design study, weather, geographic/geospatial visualization, ensemble data</t>
  </si>
  <si>
    <t>Improving Bayesian Reasoning: The Effects of Phrasing, Visualization, and Spatial Ability</t>
  </si>
  <si>
    <t>10.1109/TVCG.2015.2467758</t>
  </si>
  <si>
    <t>http://dx.doi.org/10.1109/TVCG.2015.2467758</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</si>
  <si>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</si>
  <si>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Alvitta Ottley;Evan M. Peck;Lane Harrison;Daniel Afergan;Caroline Ziemkiewicz;Holly A. Taylor;Paul K. J. Han;Remco Chang</t>
  </si>
  <si>
    <t>Alvitta Ottley;Evan M. Peck;Lane T. Harrison;Daniel Afergan;Caroline Ziemkiewicz;Holly A. Taylor;Paul K. J. Han;Remco Chang</t>
  </si>
  <si>
    <t>Tufts University;Bucknell University;Tufts University;Tufts University;Tufts University and Aptima Inc.;Tufts University;Maine Medical Center and Tufts Medical School;Tufts University</t>
  </si>
  <si>
    <t>10.1109/TVCG.2014.2346575;10.1109/VAST.2010.5653587;10.1109/TVCG.2011.255;10.1109/TVCG.2013.119;10.1109/TVCG.2012.199;10.1109/TVCG.2010.179;10.1109/VISUAL.2005.1532836</t>
  </si>
  <si>
    <t>Bayesian Reasoning, Visualization, Spatial Ability, Individual Differences</t>
  </si>
  <si>
    <t>Guidelines for Effective Usage of Text Highlighting Techniques</t>
  </si>
  <si>
    <t>10.1109/TVCG.2015.2467759</t>
  </si>
  <si>
    <t>http://dx.doi.org/10.1109/TVCG.2015.2467759</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</si>
  <si>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̢��_x0081_�chalk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</si>
  <si>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Brown Univ., Providence, RI, USA|c|;;;;</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</si>
  <si>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</si>
  <si>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Hendrik Strobelt;Daniela Oelke;Bum Chul Kwon;Tobias Schreck;Hanspeter Pfister</t>
  </si>
  <si>
    <t>http://dx.doi.org/10.1109/TVCG.2012.215</t>
  </si>
  <si>
    <t>Harvard University;Siemens AG;University of Konstanz;TU Graz;Harvard University</t>
  </si>
  <si>
    <t>10.1109/TVCG.2012.277;10.1109/VAST.2007.4389004;10.1109/TVCG.2014.2346677;10.1109/TVCG.2007.70594;10.1109/TVCG.2011.183;10.1109/TVCG.2009.139;10.1109/VAST.2011.6102453;10.1109/INFVIS.1995.528686</t>
  </si>
  <si>
    <t>Text highlighting techniques, visual document analytics, text annotation, crowdsourced study</t>
  </si>
  <si>
    <t>Poemage: Visualizing the Sonic Topology of a Poem</t>
  </si>
  <si>
    <t>10.1109/TVCG.2015.2467811</t>
  </si>
  <si>
    <t>http://dx.doi.org/10.1109/TVCG.2015.2467811</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</si>
  <si>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</si>
  <si>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Nina McCurdy;Julie Lein;Katherine Coles;Miriah D. Meyer</t>
  </si>
  <si>
    <t>Nina McCurdy;Julie Lein;Katharine Coles;Miriah Meyer</t>
  </si>
  <si>
    <t>University of Utah School of Computing;University of Utah Department of English;University of Utah Department of English;University of Utah School of Computing</t>
  </si>
  <si>
    <t>10.1109/TVCG.2011.186;10.1109/TVCG.2009.122;10.1109/VAST.2009.5333443;10.1109/TVCG.2008.135;10.1109/TVCG.2011.233;10.1109/INFVIS.2005.1532126;10.1109/TVCG.2012.213;10.1109/VAST.2007.4389006;10.1109/TVCG.2009.165;10.1109/TVCG.2009.171;10.1109/INFVIS.2002.1173155;10.1109/TVCG.2008.172;10.1109/INFVIS.1995.528686</t>
  </si>
  <si>
    <t>Visualization in the humanities, design studies, text and document data, graph/network data</t>
  </si>
  <si>
    <t>Sch. ofIndustrial Eng., Purdue Univ., West Lafayette, IN, USA|c|;;;;</t>
  </si>
  <si>
    <t>Visual Mementos: Reflecting Memories with Personal Data</t>
  </si>
  <si>
    <t>10.1109/TVCG.2015.2467831</t>
  </si>
  <si>
    <t>http://dx.doi.org/10.1109/TVCG.2015.2467831</t>
  </si>
  <si>
    <t>http://dx.doi.org/10.1109/TVCG.2012.216</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</si>
  <si>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</si>
  <si>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Alice Thudt;Dominikus Baur;Samuel Huron;Sheelagh Carpendale</t>
  </si>
  <si>
    <t>University of Calgary;An Independent Researcher;University of Calgary;University of Calgary</t>
  </si>
  <si>
    <t>10.1109/TVCG.2010.206;10.1109/TVCG.2007.70541;10.1109/TVCG.2014.2352953;10.1109/INFVIS.2004.8</t>
  </si>
  <si>
    <t>Visual Memento, Memories, Personal Visualization, Movement Data, World Wide Web</t>
  </si>
  <si>
    <t>Time Curves: Folding Time to Visualize Patterns of Temporal Evolution in Data</t>
  </si>
  <si>
    <t>10.1109/TVCG.2015.2467851</t>
  </si>
  <si>
    <t>http://dx.doi.org/10.1109/TVCG.2015.2467851</t>
  </si>
  <si>
    <t>http://dx.doi.org/10.1109/TVCG.2012.217</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</si>
  <si>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</si>
  <si>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Benjamin Bach;Conglei Shi;Nicolas Heulot;Tara M. Madhyastha;Thomas J. Grabowski;Pierre Dragicevic</t>
  </si>
  <si>
    <t>Benjamin Bach;Conglei Shi;Nicolas Heulot;Tara Madhyastha;Tom Grabowski;Pierre Dragicevic</t>
  </si>
  <si>
    <t>Microsoft Research-Inria Joint Centre;IBM T.J, Watson Research Center, Yorktown Height, NY;IRT SystemX;Department of Radiology, University of Washington;Department of Radiology and Neurology, University of Washington;Inria</t>
  </si>
  <si>
    <t>10.1109/TVCG.2011.186;10.1109/TVCG.2007.70535;10.1109/INFVIS.2004.1;10.1109/TVCG.2014.2346325;10.1109/TVCG.2013.192;10.1109/INFVIS.2002.1173155</t>
  </si>
  <si>
    <t>Temporal data visualization, information visualization, multidimensional scaling</t>
  </si>
  <si>
    <t>Orientation-Enhanced Parallel Coordinate Plots</t>
  </si>
  <si>
    <t>10.1109/TVCG.2015.2467872</t>
  </si>
  <si>
    <t>http://dx.doi.org/10.1109/TVCG.2015.2467872</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</si>
  <si>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</si>
  <si>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Renata G. Raidou;Martin Eisemann;Marcel Breeuwer;Elmar Eisemann;Anna Vilanova</t>
  </si>
  <si>
    <t>Renata Georgia Raidou;Martin Eisemann;Marcel Breeuwer;Elmar Eisemann;Anna Vilanova</t>
  </si>
  <si>
    <t>http://dx.doi.org/10.1109/TVCG.2012.218</t>
  </si>
  <si>
    <t>Eindhoven University of Technology;Delft University of Technology;Eindhoven University of Technology;Delft University of Technology;Delft University of Technology</t>
  </si>
  <si>
    <t>10.1109/INFVIS.1998.729559;10.1109/INFVIS.2004.68;10.1109/TVCG.2006.138;10.1109/TVCG.2007.70535;10.1109/INFVIS.2005.1532141;10.1109/VISUAL.1999.809866;10.1109/TVCG.2011.166;10.1109/TVCG.2014.2346979;10.1109/INFVIS.2002.1173157;10.1109/INFVIS.2005.1532138;10.1109/TVCG.2009.153;10.1109/VISUAL.1995.485139;10.1109/TVCG.2006.170;10.1109/INFVIS.2004.15;10.1109/VISUAL.1994.346302;10.1109/INFVIS.2003.1249008;10.1109/VISUAL.1996.567800;10.1109/INFVIS.2003.1249015;10.1109/TVCG.2009.179</t>
  </si>
  <si>
    <t>Parallel Coordinates, Orientation-enhanced Parallel Coordinates, Brushing, Orientation-enhanced Brushing, Data Readability, Data Selection</t>
  </si>
  <si>
    <t>Vials: Visualizing Alternative Splicing of Genes</t>
  </si>
  <si>
    <t>10.1109/TVCG.2015.2467911</t>
  </si>
  <si>
    <t>http://dx.doi.org/10.1109/TVCG.2015.2467911</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</si>
  <si>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</si>
  <si>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Hendrik Strobelt;Bilal Alsallakh;Joseph Botros;Brant Peterson;Mark Borowsky;Hanspeter Pfister;Alexander Lex</t>
  </si>
  <si>
    <t>Harvard University;Vienna University of Technology;Harvard University;Institute of BioMedical Research;Institute of BioMedical Research;Harvard University;Harvard University</t>
  </si>
  <si>
    <t>10.1109/TVCG.2013.214;10.1109/TVCG.2013.223;10.1109/TVCG.2014.2346248</t>
  </si>
  <si>
    <t>Biology visualization, protein isoforms, mRNA-seq, directed acyclic graphs, multivariate networks</t>
  </si>
  <si>
    <t>A Psychophysical Investigation of Size as a Physical Variable</t>
  </si>
  <si>
    <t>10.1109/TVCG.2015.2467951</t>
  </si>
  <si>
    <t>http://dx.doi.org/10.1109/TVCG.2015.2467951</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</si>
  <si>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 ncertainty for engineers using ElVis.</t>
  </si>
  <si>
    <t>Sch. of Comput., Univ. of Utah, Salt Lake City, UT, USA|c|;;;</t>
  </si>
  <si>
    <t>http://dx.doi.org/10.1109/TVCG.2012.219</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</si>
  <si>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</si>
  <si>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Yvonne Jansen;Kasper Hornbæk</t>
  </si>
  <si>
    <t>10.1109/TVCG.2012.251;10.1109/TVCG.2013.234;10.1109/TVCG.2012.220;10.1109/TVCG.2013.134;10.1109/TVCG.2007.70541;10.1109/TVCG.2014.2352953;10.1109/TVCG.2014.2346320</t>
  </si>
  <si>
    <t>Data physicalization, physical visualization, psychophysics, experiment, physical variable</t>
  </si>
  <si>
    <t>A Simple Approach for Boundary Improvement of Euler Diagrams</t>
  </si>
  <si>
    <t>10.1109/TVCG.2015.2467992</t>
  </si>
  <si>
    <t>http://dx.doi.org/10.1109/TVCG.2015.2467992</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</si>
  <si>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</si>
  <si>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Stanford Univ., Stanford, CA, USA|c|;;;</t>
  </si>
  <si>
    <t>Paolo Simonetto;Daniel W. Archambault;Carlos Eduardo Scheidegger</t>
  </si>
  <si>
    <t>Paolo Simonetto;Daniel Archambault;Carlos Scheidegger</t>
  </si>
  <si>
    <t>University of Arizona;University of Arizona;University of Arizona</t>
  </si>
  <si>
    <t>10.1109/TVCG.2011.186;10.1109/TVCG.2013.184;10.1109/TVCG.2009.122;10.1109/TVCG.2014.2346248;10.1109/TVCG.2010.210</t>
  </si>
  <si>
    <t>Euler diagrams, Boundary Improvement, Force-Directed Approaches</t>
  </si>
  <si>
    <t>Spatial Reasoning and Data Displays</t>
  </si>
  <si>
    <t>10.1109/TVCG.2015.2469125</t>
  </si>
  <si>
    <t>http://dx.doi.org/10.1109/TVCG.2012.220</t>
  </si>
  <si>
    <t>http://dx.doi.org/10.1109/TVCG.2015.2469125</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</si>
  <si>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</si>
  <si>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Susan VanderPlas;Heike Hofmann</t>
  </si>
  <si>
    <t>Post Doc in the Department of Statistics, Iowa State University;Member of the faculty in the Human Computer Interaction program, Statistics at Iowa State University</t>
  </si>
  <si>
    <t>10.1109/TVCG.2012.230;10.1109/TVCG.2014.2346320;10.1109/TVCG.2010.161</t>
  </si>
  <si>
    <t>Data visualization, Perception, Statistical graphics, Statistical computing</t>
  </si>
  <si>
    <t>A Classification of User Tasks in Visual Analysis of Volume Data</t>
  </si>
  <si>
    <t>10.1109/SciVis.2015.7429485</t>
  </si>
  <si>
    <t>http://dx.doi.org/10.1109/TVCG.2012.221</t>
  </si>
  <si>
    <t>http://dx.doi.org/10.1109/SciVis.2015.7429485</t>
  </si>
  <si>
    <t>Andrew Vande Moere;Martin Tomitsch;Christoph Wimmer;Christoph M. B̦sch;Thomas Grechenig</t>
  </si>
  <si>
    <t>http://dx.doi.org/10.1109/TVCG.2012.222</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</si>
  <si>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</si>
  <si>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Bireswar Laha;Doug A. Bowman;David H. Laidlaw;John J. Socha</t>
  </si>
  <si>
    <t>Stanford University;Virginia Tech;Brown University;Virginia Tech</t>
  </si>
  <si>
    <t>10.1109/INFVIS.2004.10;10.1109/TVCG.2013.124;10.1109/TVCG.2012.216;10.1109/TVCG.2009.126;10.1109/TVCG.2013.130;10.1109/TVCG.2013.120;10.1109/TVCG.2014.2346321;10.1109/INFVIS.2004.59</t>
  </si>
  <si>
    <t>Task Taxonomy, Empirical Evaluation, Volume Visualization, Scientific Visualization, Virtual Reality, 3D Interaction</t>
  </si>
  <si>
    <t>Using Maximum Topology Matching to Explore Differences in Species Distribution Models</t>
  </si>
  <si>
    <t>10.1109/SciVis.2015.7429486</t>
  </si>
  <si>
    <t>http://dx.doi.org/10.1109/SciVis.2015.7429486</t>
  </si>
  <si>
    <t>Markus H̦ferlin;Kuno Kurzhals;Benjamin H̦ferlin;Gunther Heidemann;Daniel Weiskopf</t>
  </si>
  <si>
    <t>http://dx.doi.org/10.1109/TVCG.2012.223</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</si>
  <si>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</si>
  <si>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Jorge Poco;Harish Doraiswamy;Marian Talbert;Jeffrey T. Morisette;Cláudio T. Silva</t>
  </si>
  <si>
    <t>Jorge Poco;Harish Doraiswamy;Marian Talbert;Jeffrey Morisette;Cláudio T. Silva</t>
  </si>
  <si>
    <t>New York University;New York University;U.S. Geological Survey;U.S. Geological Survey;New York University</t>
  </si>
  <si>
    <t>10.1109/TVCG.2011.244;10.1109/TVCG.2010.213;10.1109/TVCG.2008.145;10.1109/TVCG.2009.155;10.1109/TVCG.2013.125;10.1109/TVCG.2008.143;10.1109/TVCG.2011.236;10.1109/TVCG.2013.148;10.1109/TVCG.2014.2346332;10.1109/TVCG.2011.248;10.1109/TVCG.2007.70601</t>
  </si>
  <si>
    <t>Function similarity, computational topology, species distribution models, persistence, high dimensional visualization</t>
  </si>
  <si>
    <t>Visual Verification of Space Weather Ensemble Simulations</t>
  </si>
  <si>
    <t>10.1109/SciVis.2015.7429487</t>
  </si>
  <si>
    <t>http://dx.doi.org/10.1109/SciVis.2015.7429487</t>
  </si>
  <si>
    <t>http://dx.doi.org/10.1109/TVCG.2012.224</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</si>
  <si>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</si>
  <si>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Alexander Bock;Asher Pembroke;M. Leila Mays;Lutz Rastaetter;Timo Ropinski;Anders Ynnerman</t>
  </si>
  <si>
    <t>Linkoping University;NASA Goddard Space Flight Center;NASA Goddard Space Flight Center;NASA Goddard Space Flight Center;Ulm University;Linköping University</t>
  </si>
  <si>
    <t>10.1109/TVCG.2010.190;10.1109/TVCG.2010.181;10.1109/TVCG.2013.143</t>
  </si>
  <si>
    <t>Visual Verification, Space Weather, Coronal Mass Ejections, Ensemble</t>
  </si>
  <si>
    <t>A Visual Voting Framework for Weather Forecast Calibration</t>
  </si>
  <si>
    <t>10.1109/SciVis.2015.7429488</t>
  </si>
  <si>
    <t>http://dx.doi.org/10.1109/SciVis.2015.7429488</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</si>
  <si>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</si>
  <si>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Hongsen Liao;Yingcai Wu;Li Chen;Thomas M. Hamill;Yunhai Wang;Kan Dai;Hui Zhang;Wei Chen 0001</t>
  </si>
  <si>
    <t>Hongsen Liao;Yingcai Wu;Li Chen;Thomas M. Hamill;Yunhai Wang;Kan Dai;Hui Zhang;Wei Chen</t>
  </si>
  <si>
    <t>School of Software, Tsinghua National Laboratory for Information Science and Technology, Tsinghua University;State Key Lab of CAD &amp; CG, Zhejiang University;School of Software, Tsinghua National Laboratory for Information Science and Technology, Tsinghua University;NOAA Earth System Research Lab, Physical Sciences Division;Shenzhen Institutes of Advanced Technology, Chinese Academy of Sciences;National Meteorological Center of CMA;School of Software, Tsinghua National Laboratory for Information Science and Technology, Tsinghua University;State Key Lab of CAD &amp; CG, Zhejiang University</t>
  </si>
  <si>
    <t>10.1109/TVCG.2013.131;10.1109/TVCG.2013.138;10.1109/TVCG.2013.144;10.1109/TVCG.2009.197;10.1109/TVCG.2008.139;10.1109/TVCG.2014.2346755;10.1109/TVCG.2010.181;10.1109/VISUAL.1994.346298;10.1109/TVCG.2013.143</t>
  </si>
  <si>
    <t>Weather forecast, analog method, calibration, majority voting, visual analytics</t>
  </si>
  <si>
    <t>Real-time Uncertainty Visualization for B-Mode Ultrasound</t>
  </si>
  <si>
    <t>10.1109/SciVis.2015.7429489</t>
  </si>
  <si>
    <t>http://dx.doi.org/10.1109/SciVis.2015.7429489</t>
  </si>
  <si>
    <t>http://dx.doi.org/10.1109/TVCG.2012.225</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</si>
  <si>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</si>
  <si>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Christian Schulte zu Berge;Denis Declara;Christoph Hennersperger;Maximilian Baust;Nassir Navab</t>
  </si>
  <si>
    <t>Christian Schulte Zu Berge;Denis Declara;Christoph Hennersperger;Maximilian Baust;Nassir Navab</t>
  </si>
  <si>
    <t>10.1109/VISUAL.2001.964550;10.1109/TVCG.2006.134;10.1109/TVCG.2007.70518;10.1109/TVCG.2012.279;10.1109/TVCG.2009.114</t>
  </si>
  <si>
    <t>Ultrasound, Uncertainty Visualization, Confidence Maps, Real-time</t>
  </si>
  <si>
    <t>Explicit Frequency Control for High-Quality Texture-Based Flow Visualization</t>
  </si>
  <si>
    <t>10.1109/SciVis.2015.7429490</t>
  </si>
  <si>
    <t>http://dx.doi.org/10.1109/SciVis.2015.7429490</t>
  </si>
  <si>
    <t>Univ. of Maryland, College Park, MD, USA|c|;</t>
  </si>
  <si>
    <t>http://dx.doi.org/10.1109/TVCG.2012.226</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</si>
  <si>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</si>
  <si>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Victor Matvienko;Jens H. Krüger</t>
  </si>
  <si>
    <t>Victor Matvienko;Jens Krüger</t>
  </si>
  <si>
    <t>Saarland University;University Duisburg-Essen</t>
  </si>
  <si>
    <t>10.1109/VISUAL.2005.1532853;10.1109/TVCG.2007.70595;10.1109/TVCG.2006.161;10.1109/VISUAL.1994.346313;10.1109/VISUAL.1996.567784;10.1109/VISUAL.2001.964505;10.1109/TVCG.2009.126;10.1109/VISUAL.1999.809892;10.1109/VISUAL.2003.1250362;10.1109/VISUAL.2005.1532781</t>
  </si>
  <si>
    <t>flow visualization, texture-based visualization, LIC, Gabor filter, spatial frequency, image contrast</t>
  </si>
  <si>
    <t>Feature-Based Tensor Field Visualization for Fiber Reinforced Polymers</t>
  </si>
  <si>
    <t>10.1109/SciVis.2015.7429491</t>
  </si>
  <si>
    <t>http://dx.doi.org/10.1109/SciVis.2015.7429491</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</si>
  <si>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</si>
  <si>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Valentin Zobel;Markus Stommel;Gerik Scheuermann</t>
  </si>
  <si>
    <t>Leipzig University;TU Dortmund University;Leipzig University</t>
  </si>
  <si>
    <t>10.1109/VISUAL.1994.346326;10.1109/TVCG.2009.184;10.1109/VISUAL.1995.485141;10.1109/TVCG.2010.199;10.1109/VISUAL.2004.105</t>
  </si>
  <si>
    <t>tensor visualization, feature-based visualisation, composite materials, structural mechanics</t>
  </si>
  <si>
    <t>Univ. of Toronto, Toronto, ON, Canada|c|;;;</t>
  </si>
  <si>
    <t>CPU Ray Tracing Large Particle Data with Balanced P-k-d Trees</t>
  </si>
  <si>
    <t>10.1109/SciVis.2015.7429492</t>
  </si>
  <si>
    <t>http://dx.doi.org/10.1109/SciVis.2015.7429492</t>
  </si>
  <si>
    <t>http://dx.doi.org/10.1109/TVCG.2012.227</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</si>
  <si>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</si>
  <si>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Ingo Wald;Aaron Knoll;Gregory P. Johnson;Will Usher;Valerio Pascucci;Michael E. Papka</t>
  </si>
  <si>
    <t>Intel Corporation;SCI Institute, University of Utah;Intel Corporation;SCI Institute, University of Utah;SCI Institute, University of Utah;Argonne National Laboratory, Northern Illinois University</t>
  </si>
  <si>
    <t>10.1109/TVCG.2010.148;10.1109/TVCG.2009.142;10.1109/TVCG.2012.282</t>
  </si>
  <si>
    <t>Ray tracing, Visualization, Particle Data, k-d Trees</t>
  </si>
  <si>
    <t>Auto-Calibration of Multi-Projector Displays with a Single Handheld Camera</t>
  </si>
  <si>
    <t>10.1109/SciVis.2015.7429493</t>
  </si>
  <si>
    <t>http://dx.doi.org/10.1109/SciVis.2015.7429493</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</si>
  <si>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</si>
  <si>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http://dx.doi.org/10.1109/TVCG.2012.228</t>
  </si>
  <si>
    <t>Sanghun Park;Hyunggoog Seo;Seunghoon Cha;Jun-yong Noh</t>
  </si>
  <si>
    <t>Sanghun Park;Hyunggoog Seo;Seunghoon Cha;Junyong Noh</t>
  </si>
  <si>
    <t>KAIST;KAIST;KAIST;KAIST</t>
  </si>
  <si>
    <t>10.1109/VISUAL.2002.1183793;10.1109/VISUAL.2000.885685;10.1109/VISUAL.1999.809883</t>
  </si>
  <si>
    <t>Correlation analysis in multidimensional multivariate time-varying datasets</t>
  </si>
  <si>
    <t>10.1109/SciVis.2015.7429502</t>
  </si>
  <si>
    <t>http://dx.doi.org/10.1109/SciVis.2015.7429502</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</si>
  <si>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g||��_ 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</si>
  <si>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</si>
  <si>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Najmeh Abedzadeh</t>
  </si>
  <si>
    <t>Telecom ParisTech, Paris, France|c|;</t>
  </si>
  <si>
    <t>OpenSpace: Public dissemination of space mission profiles</t>
  </si>
  <si>
    <t>10.1109/SciVis.2015.7429503</t>
  </si>
  <si>
    <t>http://dx.doi.org/10.1109/SciVis.2015.7429503</t>
  </si>
  <si>
    <t>http://dx.doi.org/10.1109/TVCG.2012.229</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</si>
  <si>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</si>
  <si>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Alexander Bock;Michal Marcinkowski;Joakim Kilby;Carter Emmart;Anders Ynnerman</t>
  </si>
  <si>
    <t>Linköping University;American Museum of Natural History, Linköping University;Linköping University;American Museum of Natural History;Linköping University</t>
  </si>
  <si>
    <t>3D superquadric glyphs for visualizing myocardial motion</t>
  </si>
  <si>
    <t>10.1109/SciVis.2015.7429504</t>
  </si>
  <si>
    <t>http://dx.doi.org/10.1109/SciVis.2015.7429504</t>
  </si>
  <si>
    <t>Comput. Sci. Div., UC Berkeley, Berkeley, CO, USA|c|;</t>
  </si>
  <si>
    <t>http://dx.doi.org/10.1109/TVCG.2012.230</t>
  </si>
  <si>
    <t>Various cardiac diseases can be diagnosed by the analysis of myocardial motion. Relevant biomarkers are radial, longitudinal, and rotational velocities of the cardiac muscle computed locally from MR images. We designed a visual encoding that maps these three attributes to glyph shapes according to a barycentric space formed by 3D superquadric glyphs. The glyphs show aggregated myocardial motion information following the AHA model and are displayed in a respective 3D layout.</t>
  </si>
  <si>
    <t>Teodora Chitiboi;Mathias Neugebauer;Susanne Schnell;Michael Markl;Lars Linsen</t>
  </si>
  <si>
    <t>FraunhoferMEVIS, Jacobs University Bremen;Fraunhofer MEVIS;Northwestern University;Northwestern University;Jacobs University Bremen</t>
  </si>
  <si>
    <t>Real-time interactive time correction on the GPU</t>
  </si>
  <si>
    <t>10.1109/SciVis.2015.7429505</t>
  </si>
  <si>
    <t>http://dx.doi.org/10.1109/SciVis.2015.7429505</t>
  </si>
  <si>
    <t>Stat., Iowa State Univ., Ames, IA, USA|c|;;;</t>
  </si>
  <si>
    <t>http://dx.doi.org/10.1109/TVCG.2012.231</t>
  </si>
  <si>
    <t>The study of physical phenomena and their dynamic evolution is supported by the analysis and visualization of time-enabled data. In many applications, available data are sparsely distributed in the space-time domain, which leads to incomprehensible visualizations. We present an interactive approach for the dynamic tracking and visualization of measured data particles through advection in a simulated flow. We introduce a fully GPU-based technique for efficient spatio-temporal interpolation, using a kd-tree forest for acceleration. As the user interacts with the system using a time slider, particle positions are reconstructed for the time selected by the user. Our results show that the proposed technique achieves highly accurate parallel tracking for thousands of particles. The rendering performance is mainly affected by the size of the query set.</t>
  </si>
  <si>
    <t>Mai El-Shehaly;Denis Gracanin;Mohamed A. Gad;JunPeng Wang;Hicham G. Elmongui</t>
  </si>
  <si>
    <t>Mai Elshehaly;Denis Gračanin;Mohamed Gad;Junpeng Wang;Hicham G. Elmongui</t>
  </si>
  <si>
    <t>Virginia Tech;Virginia Tech;Ain Shams University;Virginia Tech;Alexandria University</t>
  </si>
  <si>
    <t>Visualizing crossing probabilistic tracts</t>
  </si>
  <si>
    <t>10.1109/SciVis.2015.7429506</t>
  </si>
  <si>
    <t>http://dx.doi.org/10.1109/SciVis.2015.7429506</t>
  </si>
  <si>
    <t>Cheuk Yiu Ip;Amitabh Varshney;Joseph J��J��</t>
  </si>
  <si>
    <t>Inst. for Adv. Comput. Studies, Univ. of Maryland, College Park, MD, USA|c|;;</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</si>
  <si>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</si>
  <si>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Mathias Goldau;André Reichenbach;Mario Hlawitschka</t>
  </si>
  <si>
    <t>Leipzig University;Leipzig University;Leipzig University</t>
  </si>
  <si>
    <t>http://dx.doi.org/10.1109/TVCG.2012.232</t>
  </si>
  <si>
    <t>An evaluation of three methods for visualizing uncertainty in architecture and archaeology</t>
  </si>
  <si>
    <t>10.1109/SciVis.2015.7429507</t>
  </si>
  <si>
    <t>http://dx.doi.org/10.1109/SciVis.2015.7429507</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</si>
  <si>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</si>
  <si>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Scott Houde;Sheila Bonde;David H. Laidlaw</t>
  </si>
  <si>
    <t>Daniel J̦nsson;Joel Kronander;Timo Ropinski;Anders Ynnerman</t>
  </si>
  <si>
    <t>Linkoping Univ., Linkoping, Sweden|c|;;;</t>
  </si>
  <si>
    <t>Multiresolution visualization of digital earth data via hexagonal box-spline wavelets</t>
  </si>
  <si>
    <t>10.1109/SciVis.2015.7429508</t>
  </si>
  <si>
    <t>http://dx.doi.org/10.1109/SciVis.2015.7429508</t>
  </si>
  <si>
    <t>http://dx.doi.org/10.1109/TVCG.2012.233</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</si>
  <si>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</si>
  <si>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Mohammad Imrul Jubair;Usman R. Alim;Niklas Röber;John P. Clyne;Ali Mahdavi-Amiri;Faramarz F. Samavati</t>
  </si>
  <si>
    <t>Mohammad Imrul Jubair;Usman Alim;Niklas Roeber;John Clyne;Ali Mahdavi-Amiri;Faramarz Samavati</t>
  </si>
  <si>
    <t>University of Calgary;University of Calgary;German Climate Computing Centre;University Corporation for Atmospheric Research;University of Calgary;University of Calgary</t>
  </si>
  <si>
    <t>Automated visualization workflow for simulation experiments</t>
  </si>
  <si>
    <t>10.1109/SciVis.2015.7429509</t>
  </si>
  <si>
    <t>http://dx.doi.org/10.1109/SciVis.2015.7429509</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</si>
  <si>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</si>
  <si>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Jonathan Leidig;Santhosh Dharmapuri</t>
  </si>
  <si>
    <t>Jonathan P. Leidig;Santhosh Dharmapuri</t>
  </si>
  <si>
    <t>School of Computing and Information Systems, Grand Valley State University;School of Computing and Information Systems, Grand Valley State University</t>
  </si>
  <si>
    <t>A bottom-up scheme for user-defined feature exploration in vector field ensembles</t>
  </si>
  <si>
    <t>10.1109/SciVis.2015.7429510</t>
  </si>
  <si>
    <t>http://dx.doi.org/10.1109/SciVis.2015.7429510</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</si>
  <si>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</si>
  <si>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Richen Liu;Hanqi Guo;Xiaoru Yuan</t>
  </si>
  <si>
    <t>Key Laboratory of Machine Perception (Ministry of Education), and School of EECS, Peking University;Argonne National Laboratory;Key Laboratory of Machine Perception (Ministry of Education), and School of EECS, Peking University</t>
  </si>
  <si>
    <t>A proposed multivariate visualization taxonomy from user data</t>
  </si>
  <si>
    <t>10.1109/SciVis.2015.7429511</t>
  </si>
  <si>
    <t>http://dx.doi.org/10.1109/SciVis.2015.7429511</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</si>
  <si>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</si>
  <si>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PathlinesExplorer ??? Image-based exploration of large-scale pathline fields</t>
  </si>
  <si>
    <t>10.1109/SciVis.2015.7429512</t>
  </si>
  <si>
    <t>http://dx.doi.org/10.1109/SciVis.2015.7429512</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</si>
  <si>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</si>
  <si>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Omniah H. Nagoor;Markus Hadwiger;Madhusudhanan Srinivasan</t>
  </si>
  <si>
    <t>KAUST;KAUST;KAUST</t>
  </si>
  <si>
    <t>Visualizing 3D flow through cutting planes</t>
  </si>
  <si>
    <t>10.1109/SciVis.2015.7429513</t>
  </si>
  <si>
    <t>http://dx.doi.org/10.1109/SciVis.2015.7429513</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</si>
  <si>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</si>
  <si>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Colin Ware;Andrew H. Stevens</t>
  </si>
  <si>
    <t>University of New Hampshire;University of New Hampshire</t>
  </si>
  <si>
    <t>Inviwo ??? An extensible, multi-purpose visualization framework</t>
  </si>
  <si>
    <t>10.1109/SciVis.2015.7429514</t>
  </si>
  <si>
    <t>http://dx.doi.org/10.1109/SciVis.2015.7429514</t>
  </si>
  <si>
    <t>http://dx.doi.org/10.1109/TVCG.2012.234</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</si>
  <si>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</si>
  <si>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Erik Sundén;Peter Steneteg;Sathish Kottravel;Daniel Jönsson;Rickard Englund;Martin Falk;Timo Ropinski</t>
  </si>
  <si>
    <t>Erik Sunden;Peter Steneteg;Sathish Kottravel;Daniel Jonsson;Rickard Englund;Martin Falk;Timo Ropinski</t>
  </si>
  <si>
    <t>Linkoping University;Linkoping University;Linkoping University;Linkoping University;Linkoping University;Linkoping University;Ulm University</t>
  </si>
  <si>
    <t>High performance flow field visualization with high-order access dependencies</t>
  </si>
  <si>
    <t>10.1109/SciVis.2015.7429515</t>
  </si>
  <si>
    <t>http://dx.doi.org/10.1109/SciVis.2015.7429515</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</si>
  <si>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</si>
  <si>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Jiang Zhang;Hanqi Guo;Xiaoru Yuan</t>
  </si>
  <si>
    <t>Extracting, Tracking, and Visualizing Magnetic Flux Vortices in 3D Complex-Valued Superconductor Simulation Data</t>
  </si>
  <si>
    <t>10.1109/TVCG.2015.2466838</t>
  </si>
  <si>
    <t>http://dx.doi.org/10.1109/TVCG.2015.2466838</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</si>
  <si>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</si>
  <si>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Hanqi Guo;Carolyn L. Phillips;Tom Peterka;Dmitry A. Karpeyev;Andreas Glatz</t>
  </si>
  <si>
    <t>Hanqi Guo;Carolyn L. Phillips;Tom Peterka;Dmitry Karpeyev;Andreas Glatz</t>
  </si>
  <si>
    <t>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t>
  </si>
  <si>
    <t>10.1109/VISUAL.1994.346327;10.1109/VISUAL.2005.1532795;10.1109/TVCG.2011.249;10.1109/VISUAL.1999.809896;10.1109/VISUAL.1996.568137;10.1109/VISUAL.1998.745288;10.1109/VISUAL.2004.3;10.1109/TVCG.2012.212;10.1109/VISUAL.2005.1532851;10.1109/TVCG.2007.70545</t>
  </si>
  <si>
    <t>Superconductor, Vortex extraction, Feature tracking, Unstructured grid</t>
  </si>
  <si>
    <t>Visualizing Tensor Normal Distributions at Multiple Levels of Detail</t>
  </si>
  <si>
    <t>10.1109/TVCG.2015.2467031</t>
  </si>
  <si>
    <t>http://dx.doi.org/10.1109/TVCG.2015.2467031</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</si>
  <si>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</si>
  <si>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Amin Abbasloo;Vitalis Wiens;Max Hermann;Thomas Schultz 0001</t>
  </si>
  <si>
    <t>Amin Abbasloo;Vitalis Wiens;Max Hermann;Thomas Schultz</t>
  </si>
  <si>
    <t>10.1109/TVCG.2009.170;10.1109/TVCG.2009.184;10.1109/VISUAL.2005.1532773;10.1109/TVCG.2006.181;10.1109/TVCG.2006.134;10.1109/TVCG.2010.199;10.1109/TVCG.2008.128;10.1109/TVCG.2007.70602;10.1109/TVCG.2015.2467435</t>
  </si>
  <si>
    <t>Uncertainty visualization, tensor visualization, direct volume rendering, interaction, glyph based visualization</t>
  </si>
  <si>
    <t>Visualization-by-Sketching: An Artist's Interface for Creating Multivariate Time-Varying Data Visualizations</t>
  </si>
  <si>
    <t>10.1109/TVCG.2015.2467153</t>
  </si>
  <si>
    <t>http://dx.doi.org/10.1109/TVCG.2015.2467153</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</si>
  <si>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</si>
  <si>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David Schroeder;Daniel F. Keefe</t>
  </si>
  <si>
    <t>University of Minnesota;Department of Computer Science &amp; Engineering, University of Minnesota</t>
  </si>
  <si>
    <t>10.1109/VAST.2008.4677356;10.1109/TVCG.2009.181;10.1109/TVCG.2013.124;10.1109/TVCG.2011.202;10.1109/TVCG.2008.153;10.1109/TVCG.2013.226;10.1109/TVCG.2014.2346271;10.1109/INFVIS.2002.1173157;10.1109/TVCG.2009.145;10.1109/TVCG.2010.162;10.1109/INFVIS.2001.963286;10.1109/TVCG.2011.181;10.1109/TVCG.2012.265;10.1109/TVCG.2014.2346441</t>
  </si>
  <si>
    <t>Visualization design, multivariate, art, sketch, color map, glyph</t>
  </si>
  <si>
    <t>TelCoVis: Visual Exploration of Co-occurrence in Urban Human Mobility Based on Telco Data</t>
  </si>
  <si>
    <t>10.1109/TVCG.2015.2467194</t>
  </si>
  <si>
    <t>http://dx.doi.org/10.1109/TVCG.2015.2467194</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</si>
  <si>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</si>
  <si>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Wenchao Wu;Jiayi Xu;Haipeng Zeng;Yixian Zheng;Huamin Qu;Bing Ni;Mingxuan Yuan;Lionel M. Ni</t>
  </si>
  <si>
    <t>Hong Kong University of Science and Technology;Hong Kong University of Science and Technology;Hong Kong University of Science and Technology;Hong Kong University of Science and Technology;Hong Kong University of Science and Technology;Noah's Ark Lab;Noah's Ark Lab;University of Macau</t>
  </si>
  <si>
    <t>10.1109/VAST.2010.5652478;10.1109/TVCG.2013.193;10.1109/TVCG.2014.2346276;10.1109/TVCG.2013.226;10.1109/TVCG.2011.166;10.1109/TVCG.2013.173;10.1109/TVCG.2014.2346271;10.1109/VAST.2011.6102455;10.1109/INFVIS.2000.885091;10.1109/TVCG.2014.2346665;10.1109/TVCG.2012.265;10.1109/TVCG.2013.228;10.1109/VAST.2014.7042490;10.1109/TVCG.2014.2346922</t>
  </si>
  <si>
    <t>Co-occurrence, human mobility, telco data, bicluster, visual analytics</t>
  </si>
  <si>
    <t>Accurate Interactive Visualization of Large Deformations and Variability in Biomedical Image Ensembles</t>
  </si>
  <si>
    <t>10.1109/TVCG.2015.2467198</t>
  </si>
  <si>
    <t>http://dx.doi.org/10.1109/TVCG.2015.2467198</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</si>
  <si>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̢��_x0081_�Disguise̢����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</si>
  <si>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</si>
  <si>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Max Hermann;Anja C. Schunke;Thomas Schultz 0001;Reinhard Klein</t>
  </si>
  <si>
    <t>Max Hermann;Anja C. Schunke;Thomas Schultz;Reinhard Klein</t>
  </si>
  <si>
    <t>Institut für Informatik II;Max Planck Institute for Evolutionary Biology, Pl&amp;#x00F6;n;Institut für Informatik II;Institut für Informatik II</t>
  </si>
  <si>
    <t>10.1109/TVCG.2006.140;10.1109/VISUAL.2002.1183754;10.1109/TVCG.2014.2346591;10.1109/TVCG.2014.2346405;10.1109/TVCG.2006.123</t>
  </si>
  <si>
    <t>Statistical deformation model, stationary velocity fields, image warping, interactive visual analysis</t>
  </si>
  <si>
    <t>http://dx.doi.org/10.1109/TVCG.2012.236</t>
  </si>
  <si>
    <t>Rotation Invariant Vortices for Flow Visualization</t>
  </si>
  <si>
    <t>10.1109/TVCG.2015.2467200</t>
  </si>
  <si>
    <t>http://dx.doi.org/10.1109/TVCG.2015.2467200</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</si>
  <si>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</si>
  <si>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Tobias Günther;Maik Schulze;Holger Theisel</t>
  </si>
  <si>
    <t>Visual Computing Group, University of Magdeburg;MAXON Computer;Visual Computing Group, University of Magdeburg</t>
  </si>
  <si>
    <t>10.1109/TVCG.2014.2346415;10.1109/VISUAL.2002.1183789;10.1109/TVCG.2014.2346412;10.1109/TVCG.2011.249;10.1109/TVCG.2013.189;10.1109/VISUAL.1999.809917;10.1109/VISUAL.1999.809896;10.1109/VISUAL.1998.745296;10.1109/VISUAL.2005.1532851;10.1109/TVCG.2007.70545;10.1109/TVCG.2010.198</t>
  </si>
  <si>
    <t>Vortex cores, rotation invariance, Galilean invariance, scientific visualization, flow visualization, line fields</t>
  </si>
  <si>
    <t>CAST: Effective and Efficient User Interaction for Context-Aware Selection in 3D Particle Clouds</t>
  </si>
  <si>
    <t>10.1109/TVCG.2015.2467202</t>
  </si>
  <si>
    <t>Key Lab. of Machine Perception (Minist. of Educ.), Peking Univ., Beijing, China|c|;;;</t>
  </si>
  <si>
    <t>http://dx.doi.org/10.1109/TVCG.2015.2467202</t>
  </si>
  <si>
    <t>http://dx.doi.org/10.1109/TVCG.2012.237</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</si>
  <si>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</si>
  <si>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Hangrhou Dianzi University, Zhejiang, China;University of Groningen, The Netherlands;Inria, France;Inria, France</t>
  </si>
  <si>
    <t>10.1109/TVCG.2008.153;10.1109/VISUAL.1999.809932;10.1109/TVCG.2013.126;10.1109/TVCG.2012.292;10.1109/INFVIS.1996.559216;10.1109/TVCG.2012.217;10.1109/TVCG.2010.157</t>
  </si>
  <si>
    <t>Selection, spatial selection, structure-aware selection, context-aware selection, exploratory data visualization and analysis, 3D interaction, user interaction</t>
  </si>
  <si>
    <t>Cluster Analysis of Vortical Flow in Simulations of Cerebral Aneurysm Hemodynamics</t>
  </si>
  <si>
    <t>10.1109/TVCG.2015.2467203</t>
  </si>
  <si>
    <t>http://dx.doi.org/10.1109/TVCG.2015.2467203</t>
  </si>
  <si>
    <t>Univ. of Rostock, Rostock, Germany|c|;;</t>
  </si>
  <si>
    <t>http://dx.doi.org/10.1109/TVCG.2012.238</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</si>
  <si>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</si>
  <si>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Steffen Oeltze-Jafra;Juan R. Cebral;Gábor Janiga;Bernhard Preim</t>
  </si>
  <si>
    <t>Department of Simulation and Graphics, University of Magdeburg, Germany;Center for Computational Fluid Dynamics, George Mason University, Fairfax, Virginia, USA;Institute of Fluid Dynamics and Thermodynamics, Germany;Department of Simulation and Graphics, University of Magdeburg, Germany</t>
  </si>
  <si>
    <t>10.1109/TVCG.2009.138;10.1109/TVCG.2012.202;10.1109/TVCG.2014.2346406;10.1109/TVCG.2006.201;10.1109/VISUAL.2002.1183789;10.1109/TVCG.2013.189;10.1109/VISUAL.2004.59;10.1109/TVCG.2006.199;10.1109/VISUAL.2005.1532830;10.1109/VISUAL.2005.1532859</t>
  </si>
  <si>
    <t>Blood Flow, Aneurysm, Clustering, Vortex Dynamics, Embedded Vortices</t>
  </si>
  <si>
    <t>Streamline Variability Plots for Characterizing the Uncertainty in Vector Field Ensembles</t>
  </si>
  <si>
    <t>10.1109/TVCG.2015.2467204</t>
  </si>
  <si>
    <t>http://dx.doi.org/10.1109/TVCG.2015.2467204</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</si>
  <si>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</si>
  <si>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Florian Ferstl;Kai Bürger;Rüdiger Westermann</t>
  </si>
  <si>
    <t>Computer Graphics and Visualization Group;Computer Graphics and Visualization Group;Computer Graphics and Visualization Group</t>
  </si>
  <si>
    <t>10.1109/TVCG.2007.70595;10.1109/VISUAL.2000.885715;10.1109/VISUAL.1999.809863;10.1109/TVCG.2013.141;10.1109/TVCG.2007.70518;10.1109/TVCG.2014.2346455;10.1109/VISUAL.2005.1532779;10.1109/TVCG.2010.181;10.1109/VISUAL.1999.809865;10.1109/TVCG.2013.143</t>
  </si>
  <si>
    <t>Ensemble visualization, uncertainty visualization, flow visualization, streamlines, statistical modeling</t>
  </si>
  <si>
    <t>Reconstruction and Visualization of Coordinated 3D Cell Migration Based on Optical Flow</t>
  </si>
  <si>
    <t>10.1109/TVCG.2015.2467291</t>
  </si>
  <si>
    <t>http://dx.doi.org/10.1109/TVCG.2015.2467291</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</si>
  <si>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</si>
  <si>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Christopher P. Kappe;Lucas Schutz;Stefan Gunther;Lars Hufnagel;Steffen Lemke;Heike Leitte</t>
  </si>
  <si>
    <t>Christopher P. Kappe;Lucas Schütz;Stefan Gunther;Lars Hufnagel;Steffen Lemke;Heike Leitte</t>
  </si>
  <si>
    <t>IWR, Heidelberg University;COS, Heidelberg University;EMBL, Heidelberg, Germany;EMBL, Heidelberg, Germany;COS, Heidelberg University;IWR, Heidelberg University</t>
  </si>
  <si>
    <t>10.1109/TVCG.2010.169;10.1109/VISUAL.1996.567784;10.1109/TVCG.2009.190;10.1109/VISUAL.2003.1250364;10.1109/VISUAL.1997.663898;10.1109/VISUAL.2003.1250363</t>
  </si>
  <si>
    <t>Cell migration, vector field, 3D, timedependent,LIC, tracking, validation</t>
  </si>
  <si>
    <t>Multi-field Pattern Matching based on Sparse Feature Sampling</t>
  </si>
  <si>
    <t>10.1109/TVCG.2015.2467292</t>
  </si>
  <si>
    <t>http://dx.doi.org/10.1109/TVCG.2015.2467292</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</si>
  <si>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</si>
  <si>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Zhongjie Wang;Hans-Peter Seidel;Tino Weinkauf</t>
  </si>
  <si>
    <t>MPI for Informatics, Saarbr&amp;#x00FC;cken, Germany;MPI for Informatics, Saarbr&amp;#x00FC;cken, Germany;KTH Royal Institute of Technology, Stockholm, Sweden</t>
  </si>
  <si>
    <t>10.1109/VISUAL.2003.1250372;10.1109/TVCG.2009.141;10.1109/TVCG.2006.165;10.1109/TVCG.2007.70579;10.1109/TVCG.2014.2346332;10.1109/TVCG.2011.236</t>
  </si>
  <si>
    <t>Pattern matching, multi-field visualization</t>
  </si>
  <si>
    <t>Real-Time Molecular Visualization Supporting Diffuse Interreflections and Ambient Occlusion</t>
  </si>
  <si>
    <t>10.1109/TVCG.2015.2467293</t>
  </si>
  <si>
    <t>http://dx.doi.org/10.1109/TVCG.2015.2467293</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</si>
  <si>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</si>
  <si>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Robin Skanberg;Pere-Pau Vázquez;Victor Guallar;Timo Ropinski</t>
  </si>
  <si>
    <t>Robin Skånberg;Pere-Pau Vázquez;Victor Guallar;Timo Ropinski</t>
  </si>
  <si>
    <t>Visual Computing Group;MOVING Group;Barcelona Supercomputing Center;Visual Computing Group</t>
  </si>
  <si>
    <t>10.1109/TVCG.2007.70578;10.1109/TVCG.2009.168;10.1109/TVCG.2007.70517;10.1109/TVCG.2012.282;10.1109/TVCG.2009.157;10.1109/TVCG.2014.2346404;10.1109/TVCG.2006.115</t>
  </si>
  <si>
    <t>Molecular visualization, diffuse interreflections, ambient occlusion</t>
  </si>
  <si>
    <t>http://dx.doi.org/10.1109/TVCG.2012.239</t>
  </si>
  <si>
    <t>Intuitive Exploration of Volumetric Data Using Dynamic Galleries</t>
  </si>
  <si>
    <t>10.1109/TVCG.2015.2467294</t>
  </si>
  <si>
    <t>http://dx.doi.org/10.1109/TVCG.2015.2467294</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</si>
  <si>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</si>
  <si>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Daniel Jönsson;Martin Falk;Anders Ynnerman</t>
  </si>
  <si>
    <t>Linköping University, Sweden;Linköping University, Sweden;Linköping University, Sweden</t>
  </si>
  <si>
    <t>10.1109/TVCG.2008.162;10.1109/TVCG.2011.261;10.1109/VISUAL.1996.568113;10.1109/TVCG.2012.231;10.1109/TVCG.2010.195;10.1109/TVCG.2011.224;10.1109/TVCG.2006.148;10.1109/TVCG.2011.218</t>
  </si>
  <si>
    <t>Transfer function, scalar fields, volume rendering, touch interaction, visualization, user interfaces</t>
  </si>
  <si>
    <t>JiTTree: A Just-in-Time Compiled Sparse GPU Volume Data Structure</t>
  </si>
  <si>
    <t>10.1109/TVCG.2015.2467331</t>
  </si>
  <si>
    <t>http://dx.doi.org/10.1109/TVCG.2015.2467331</t>
  </si>
  <si>
    <t>German Aerosp. Center, Univ. of Kaiserslautern, Kaiserslautern, Germany|c|;;;;;;;</t>
  </si>
  <si>
    <t>http://dx.doi.org/10.1109/TVCG.2012.240</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</si>
  <si>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</si>
  <si>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Matthias Labschutz;Stefan Bruckner;M. Eduard Gröller;Markus Hadwiger;Peter Rautek</t>
  </si>
  <si>
    <t>Matthias Labschütz;Stefan Bruckner;M. Eduard Gröller;Markus Hadwiger;Peter Rautek</t>
  </si>
  <si>
    <t>KAUST;University of Bergen;TU Wien and VrVis Research Center;KAUST;KAUST</t>
  </si>
  <si>
    <t>Data Transformation and Representation, GPUs and Multi-core Architectures, Volume Rendering</t>
  </si>
  <si>
    <t>In Situ Eddy Analysis in a High-Resolution Ocean Climate Model</t>
  </si>
  <si>
    <t>10.1109/TVCG.2015.2467411</t>
  </si>
  <si>
    <t>http://dx.doi.org/10.1109/TVCG.2015.2467411</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</si>
  <si>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I/O time, but the in situ workflow enables it and scales well to ten-thousand processing elements.</t>
  </si>
  <si>
    <t>Jonathan Woodring;Mark Petersen;Andre Schmeißer;John Patchett;James P. Ahrens;Hans Hagen</t>
  </si>
  <si>
    <t>Jonathan Woodring;Mark Petersen;Andre Schmeiβer;John Patchett;James Ahrens;Hans Hagen</t>
  </si>
  <si>
    <t>Los Alamos National Laboratory, USA;Los Alamos National Laboratory, USA;Computer Graphics and HCI Group, Germany;Los Alamos National Laboratory, USA;Los Alamos National Laboratory, USA;Computer Graphics and HCI Group, Germany</t>
  </si>
  <si>
    <t>10.1109/TVCG.2008.143;10.1109/VISUAL.2005.1532830;10.1109/TVCG.2010.215;10.1109/TVCG.2011.162</t>
  </si>
  <si>
    <t>In situ analysis, online analysis, mesoscale eddies, ocean modeling, climate modeling, simulation, feature extraction,feature analysis, high performance computing, supercomputing, software engineering, collaborative development, revision control</t>
  </si>
  <si>
    <t>Adaptive Multilinear Tensor Product Wavelets</t>
  </si>
  <si>
    <t>10.1109/TVCG.2015.2467412</t>
  </si>
  <si>
    <t>http://dx.doi.org/10.1109/TVCG.2015.2467412</t>
  </si>
  <si>
    <t>http://dx.doi.org/10.1109/TVCG.2012.242</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</si>
  <si>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</si>
  <si>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Kenneth Weiss;Peter Lindstrom</t>
  </si>
  <si>
    <t>10.1109/TVCG.2010.145;10.1109/VISUAL.1997.663860;10.1109/VISUAL.2002.1183810;10.1109/TVCG.2011.252;10.1109/VISUAL.1996.568127;10.1109/TVCG.2009.186</t>
  </si>
  <si>
    <t>Multilinear interpolation, adaptive wavelets, multiresolution models, octrees, continuous reconstruction</t>
  </si>
  <si>
    <t>Planar Visualization of Treelike Structures</t>
  </si>
  <si>
    <t>10.1109/TVCG.2015.2467413</t>
  </si>
  <si>
    <t>http://dx.doi.org/10.1109/TVCG.2015.2467413</t>
  </si>
  <si>
    <t>Pervasive Technol. Inst., Indiana Univ., Bloomington, IN, USA|c|;;;</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</si>
  <si>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</si>
  <si>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http://dx.doi.org/10.1109/TVCG.2012.243</t>
  </si>
  <si>
    <t>Joseph Marino;Arie E. Kaufman</t>
  </si>
  <si>
    <t>Joseph Marino;Arie Kaufman</t>
  </si>
  <si>
    <t>Computer Science Department, Stony Brook University;Computer Science Department, Stony Brook University</t>
  </si>
  <si>
    <t>10.1109/TVCG.2011.235;10.1109/VISUAL.2001.964540;10.1109/TVCG.2011.192;10.1109/TVCG.2014.2346406;10.1109/VISUAL.2001.964538;10.1109/VISUAL.2004.75;10.1109/VISUAL.2002.1183754;10.1109/VISUAL.2003.1250353;10.1109/TVCG.2011.182;10.1109/TVCG.2006.172</t>
  </si>
  <si>
    <t>Geometry-based techniques, view-dependent visualization, medical visualization, planar embedding</t>
  </si>
  <si>
    <t>Benjamin Schindler;Raphael Fuchs;Stefan Barp;J�_rgen Waser;Armin Pobitzer;Robert Carnecky;Kresimir Matkovic;Ronald Peikert</t>
  </si>
  <si>
    <t>Association Analysis for Visual Exploration of Multivariate Scientific Data Sets</t>
  </si>
  <si>
    <t>10.1109/TVCG.2015.2467431</t>
  </si>
  <si>
    <t>ETH Zurich, Zurich, Switzerland|c|;;;;;;;</t>
  </si>
  <si>
    <t>http://dx.doi.org/10.1109/TVCG.2015.2467431</t>
  </si>
  <si>
    <t>http://dx.doi.org/10.1109/TVCG.2012.244</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</si>
  <si>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</si>
  <si>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Xiaotong Liu;Han-Wei Shen</t>
  </si>
  <si>
    <t>10.1109/TVCG.2013.133;10.1109/TVCG.2007.70519;10.1109/TVCG.2008.116;10.1109/TVCG.2007.70615;10.1109/VISUAL.1995.485139;10.1109/TVCG.2006.165;10.1109/VAST.2012.6400488;10.1109/TVCG.2011.178;10.1109/VAST.2007.4389000</t>
  </si>
  <si>
    <t>Multivariate data, association analysis, visual exploration, multiple views</t>
  </si>
  <si>
    <t>Interstitial and Interlayer Ion Diffusion Geometry Extraction in Graphitic Nanosphere Battery Materials</t>
  </si>
  <si>
    <t>10.1109/TVCG.2015.2467432</t>
  </si>
  <si>
    <t>http://dx.doi.org/10.1109/TVCG.2015.2467432</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</si>
  <si>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</si>
  <si>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Attila Gyulassy;Aaron Knoll;Kah Chun Lau;Bei Wang;Peer-Timo Bremer;Michael E. Papka;Larry A. Curtiss;Valerio Pascucci</t>
  </si>
  <si>
    <t>SCI Institute;SCI Institute;Materials Science Division, Argonne National Laboratory;SCI Institute;Lawrence Livermore National Laboratory;Materials Science Division, Argonne National Laboratory;Materials Science Division, Argonne National Laboratory;SCI Institute</t>
  </si>
  <si>
    <t>10.1109/VISUAL.2005.1532795;10.1109/TVCG.2011.244;10.1109/TVCG.2014.2346403;10.1109/VISUAL.2005.1532839;10.1109/TVCG.2011.259</t>
  </si>
  <si>
    <t>materials science, morse-smale, topology, Delaunay, computational geometry</t>
  </si>
  <si>
    <t>Interactive Visualization for Singular Fibers of Functions f : R3 -&gt; R2</t>
  </si>
  <si>
    <t>10.1109/TVCG.2015.2467433</t>
  </si>
  <si>
    <t>http://dx.doi.org/10.1109/TVCG.2015.2467433</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</si>
  <si>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R&lt;sup&gt;3&lt;/sup&gt;→R&lt;sup&gt;2&lt;/sup&gt;.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</si>
  <si>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Daisuke Sakurai;Osamu Saeki;Hamish A. Carr;Hsiang-Yun Wu;Takahiro Yamamoto;David J. Duke;Shigeo Takahashi</t>
  </si>
  <si>
    <t>Daisuke Sakurai;Osamu Saeki;Hamish Carr;Hsiang-Yun Wu;Takahiro Yamamoto;David Duke;Shigeo Takahashi</t>
  </si>
  <si>
    <t>University of Tokyo, Kashiwa, Japan;Kyushu University, Fukuoka, Japan;University of Leeds, Leeds, UK;Keio University, Yokohama, Japan;Kyushu Sangyo University, Fukuoka, Japan;University of Leeds, Leeds, UK;University of Aizu, Aizu-Wakamatsu, Japan</t>
  </si>
  <si>
    <t>10.1109/TVCG.2008.119;10.1109/VISUAL.1997.663875;10.1109/TVCG.2012.287;10.1109/TVCG.2010.213;10.1109/TVCG.2014.2346447;10.1109/TVCG.2010.146;10.1109/VISUAL.2002.1183774;10.1109/TVCG.2008.143;10.1109/TVCG.2009.119;10.1109/TVCG.2007.70601</t>
  </si>
  <si>
    <t>Singular fibers, fiber topology, mathematical visualization, design study</t>
  </si>
  <si>
    <t>AnimoAminoMiner: Exploration of Protein Tunnels and their Properties in Molecular Dynamics</t>
  </si>
  <si>
    <t>10.1109/TVCG.2015.2467434</t>
  </si>
  <si>
    <t>http://dx.doi.org/10.1109/TVCG.2015.2467434</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</si>
  <si>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</si>
  <si>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Jan Byska;Mathieu Le Muzic;M. Eduard Gröller;Ivan Viola;Barbora Kozlíková</t>
  </si>
  <si>
    <t>Jan Byška;Mathieu Le Muzic;M. Eduard Gröller;Ivan Viola;Barbora Kozlíková</t>
  </si>
  <si>
    <t>Masaryk University, Czech Republic;TU Wien, Austria;TU Wien, Austria;TU Wien, Austria;Masaryk University, Czech Republic</t>
  </si>
  <si>
    <t>10.1109/VISUAL.2002.1183754;10.1109/TVCG.2009.136;10.1109/TVCG.2011.259;10.1109/VISUAL.2001.964540</t>
  </si>
  <si>
    <t>Protein, tunnel, molecular dynamics, aggregation, interaction</t>
  </si>
  <si>
    <t>Glyph-Based Comparative Visualization for Diffusion Tensor Fields</t>
  </si>
  <si>
    <t>10.1109/TVCG.2015.2467435</t>
  </si>
  <si>
    <t>http://dx.doi.org/10.1109/TVCG.2015.2467435</t>
  </si>
  <si>
    <t>Exploratorium, San Francisco, CA, USA|c|;;;</t>
  </si>
  <si>
    <t>http://dx.doi.org/10.1109/TVCG.2012.245</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</si>
  <si>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</si>
  <si>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Changgong Zhang;Thomas Schultz 0001;Kai Lawonn;Elmar Eisemann;Anna Vilanova</t>
  </si>
  <si>
    <t>Changgong Zhang;Thomas Schultz;Kai Lawonn;Elmar Eisemann;Anna Vilanova</t>
  </si>
  <si>
    <t>Computer Graphics and Visualization Group at Delft University of Technology;Visualization and Medical Image Analysis Group at University of Bonn;Visualization Group at University of Magdeburg;Computer Graphics and Visualization Group at Delft University of Technology;Computer Graphics and Visualization Group at Delft University of Technology</t>
  </si>
  <si>
    <t>10.1109/TVCG.2015.2467031;10.1109/TVCG.2006.134;10.1109/TVCG.2010.134;10.1109/VISUAL.1998.745294;10.1109/VAST.2014.7042491;10.1109/TVCG.2010.199</t>
  </si>
  <si>
    <t>Glyph Design, Comparative Visualization, Diffusion Tensor Field</t>
  </si>
  <si>
    <t>Distribution Driven Extraction and Tracking of Features for Time-varying Data Analysis</t>
  </si>
  <si>
    <t>10.1109/TVCG.2015.2467436</t>
  </si>
  <si>
    <t>http://dx.doi.org/10.1109/TVCG.2015.2467436</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</si>
  <si>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</si>
  <si>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Monash Univ., Melbourne, VIC, Australia|c|;;;</t>
  </si>
  <si>
    <t>Soumya Dutta;Han-Wei Shen</t>
  </si>
  <si>
    <t>GRAVITY group;GRAVITY group</t>
  </si>
  <si>
    <t>10.1109/TVCG.2007.70599;10.1109/VISUAL.1993.398877;10.1109/VISUAL.2004.107;10.1109/TVCG.2011.246;10.1109/TVCG.2007.70615;10.1109/VISUAL.2003.1250374;10.1109/TVCG.2013.152;10.1109/TVCG.2014.2346423;10.1109/TVCG.2007.70579;10.1109/VISUAL.1996.567807;10.1109/VISUAL.1998.745288;10.1109/TVCG.2008.163;10.1109/TVCG.2008.140</t>
  </si>
  <si>
    <t>Gaussian mixture model (GMM), Incremental learning, Feature extraction and tracking, Time-varying data analysis</t>
  </si>
  <si>
    <t>http://dx.doi.org/10.1109/TVCG.2012.248</t>
  </si>
  <si>
    <t>NeuroBlocks - Visual Tracking of Segmentation and Proofreading for Large Connectomics Projects</t>
  </si>
  <si>
    <t>10.1109/TVCG.2015.2467441</t>
  </si>
  <si>
    <t>http://dx.doi.org/10.1109/TVCG.2015.2467441</t>
  </si>
  <si>
    <t>Interdiscipl. Center for Sci. Comput. (IWR), Heidelberg Univ., Heidelberg, Germany|c|;;</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</si>
  <si>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</si>
  <si>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Ali K. Al-Awami;Johanna Beyer;Daniel Haehn;Narayanan Kasthuri;Jeff Lichtman;Hanspeter Pfister;Markus Hadwiger</t>
  </si>
  <si>
    <t>Ali K. Ai-Awami;Johanna Beyer;Daniel Haehn;Narayanan Kasthuri;Jeff W. Lichtman;Hanspeter Pfister;Markus Hadwiger</t>
  </si>
  <si>
    <t>King Abdullah University of Science and Technology (KAUST);School of Engineering and Applied Sciences;School of Engineering and Applied Sciences;School of Medicine;Center for Brain Science;School of Engineering and Applied Sciences;King Abdullah University of Science and Technology (KAUST)</t>
  </si>
  <si>
    <t>http://dx.doi.org/10.1109/TVCG.2012.249</t>
  </si>
  <si>
    <t>10.1109/TVCG.2014.2346312;10.1109/VISUAL.2005.1532788;10.1109/TVCG.2013.142;10.1109/TVCG.2009.121;10.1109/TVCG.2012.240;10.1109/TVCG.2014.2346371;10.1109/TVCG.2013.174;10.1109/TVCG.2014.2346249;10.1109/TVCG.2007.70584</t>
  </si>
  <si>
    <t>Neuroscience, Segmentation, Proofreading, Data and Provenance Tracking</t>
  </si>
  <si>
    <t>Diderot: a Domain-Specific Language for Portable Parallel Scientific Visualization and Image Analysis</t>
  </si>
  <si>
    <t>10.1109/TVCG.2015.2467449</t>
  </si>
  <si>
    <t>http://dx.doi.org/10.1109/TVCG.2015.2467449</t>
  </si>
  <si>
    <t>Univ. of Leipzig, Leipzig, Germany|c|;;</t>
  </si>
  <si>
    <t>http://dx.doi.org/10.1109/TVCG.2012.250</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</si>
  <si>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</si>
  <si>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Gordon L. Kindlmann;Charisee Chiw;Nicholas Seltzer;Lamont Samuels;John H. Reppy</t>
  </si>
  <si>
    <t>Gordon Kindlmann;Charisee Chiw;Nicholas Seltzer;Lamont Samuels;John Reppy</t>
  </si>
  <si>
    <t>Department of Computer Science, University of Chicago;Department of Computer Science, University of Chicago;Department of Computer Science, University of Chicago;Department of Computer Science, University of Chicago;Department of Computer Science, University of Chicago</t>
  </si>
  <si>
    <t>10.1109/TVCG.2009.174;10.1109/TVCG.2011.185;10.1109/VISUAL.2005.1532856;10.1109/TVCG.2014.2346322;10.1109/TVCG.2012.240;10.1109/VISUAL.2003.1250414;10.1109/VISUAL.1999.809896;10.1109/TVCG.2007.70534;10.1109/TVCG.2014.2346318;10.1109/VISUAL.1998.745290;10.1109/TVCG.2008.148;10.1109/TVCG.2008.163</t>
  </si>
  <si>
    <t>Domain specific language, portable parallel programming, scientific visualization, tensor fields</t>
  </si>
  <si>
    <t>Visualization and Analysis of Rotating Stall for Transonic Jet Engine Simulation</t>
  </si>
  <si>
    <t>10.1109/TVCG.2015.2467952</t>
  </si>
  <si>
    <t>http://dx.doi.org/10.1109/TVCG.2015.2467952</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</si>
  <si>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</si>
  <si>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Chun-Ming Chen;Soumya Dutta;Xiaotong Liu;Gregory Heinlein;Han-Wei Shen;Jen-Ping Chen</t>
  </si>
  <si>
    <t>The Department of Computer Science and Engineering, The Ohio State University;The Department of Computer Science and Engineering, The Ohio State University;The Department of Computer Science and Engineering, The Ohio State University;The Department of Mechanical and Aerospace Engineering, The Ohio State University;The Department of Computer Science and Engineering, The Ohio State University;The Department of Mechanical and Aerospace Engineering, The Ohio State University</t>
  </si>
  <si>
    <t>10.1109/VISUAL.1991.175794;10.1109/TVCG.2007.70599;10.1109/VISUAL.2000.885739;10.1109/TVCG.2013.122;10.1109/TVCG.2013.189;10.1109/VISUAL.2004.128;10.1109/VISUAL.2005.1532830;10.1109/TVCG.2014.2346265</t>
  </si>
  <si>
    <t>Turbine flow visualization, vortex extraction, anomaly detection, juxtaposition, brushing and linking, time series</t>
  </si>
  <si>
    <t>Isosurface Visualization of Data with Nonparametric Models for Uncertainty</t>
  </si>
  <si>
    <t>10.1109/TVCG.2015.2467958</t>
  </si>
  <si>
    <t>http://dx.doi.org/10.1109/TVCG.2015.2467958</t>
  </si>
  <si>
    <t>http://dx.doi.org/10.1109/TVCG.2012.251</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</si>
  <si>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</si>
  <si>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Tushar Athawale;Elham Sakhaee;Alireza Entezari</t>
  </si>
  <si>
    <t>Department of Computer and Information Science and Engineering, University of Florida;Department of Computer and Information Science and Engineering, University of Florida;Department of Computer and Information Science and Engineering, University of Florida</t>
  </si>
  <si>
    <t>10.1109/TVCG.2013.208;10.1109/VISUAL.2002.1183769;10.1109/TVCG.2013.152;10.1109/TVCG.2007.70518;10.1109/TVCG.2012.249;10.1109/TVCG.2013.143</t>
  </si>
  <si>
    <t>Uncertainty quantification, linear interpolation, isosurface extraction, marching cubes, nonparametric statistics</t>
  </si>
  <si>
    <t>Occlusion-free Blood Flow Animation with Wall Thickness Visualization</t>
  </si>
  <si>
    <t>10.1109/TVCG.2015.2467961</t>
  </si>
  <si>
    <t>http://dx.doi.org/10.1109/TVCG.2015.2467961</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</si>
  <si>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</si>
  <si>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http://dx.doi.org/10.1109/TVCG.2012.252</t>
  </si>
  <si>
    <t>Kai Lawonn;Sylvia Glaßer;Anna Vilanova;Bernhard Preim;Tobias Isenberg 0001</t>
  </si>
  <si>
    <t>Kai Lawonn;Sylvia Glaßer;Anna Vilanova;Bernhard Preim;Tobias Isenberg</t>
  </si>
  <si>
    <t>University of Magdeburg, Germany;University of Magdeburg, Germany;TU Delft, Netherlands;University of Magdeburg, Germany;Inria, France</t>
  </si>
  <si>
    <t>10.1109/TVCG.2009.138;10.1109/TVCG.2011.243;10.1109/TVCG.2014.2346406;10.1109/TVCG.2010.153;10.1109/TVCG.2011.215;10.1109/VISUAL.2004.48</t>
  </si>
  <si>
    <t>Medical visualization, aneurysms, blood flow, wall thickness, illustrative visualization</t>
  </si>
  <si>
    <t>Effectiveness of Structured Textures on Dynamically Changing Terrain-like Surfaces</t>
  </si>
  <si>
    <t>10.1109/TVCG.2015.2467962</t>
  </si>
  <si>
    <t>http://dx.doi.org/10.1109/TVCG.2015.2467962</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</si>
  <si>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</si>
  <si>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Thomas Butkiewicz;Andrew H. Stevens</t>
  </si>
  <si>
    <t>The Center for Coastal and Ocean Mapping;The Center for Coastal and Ocean Mapping</t>
  </si>
  <si>
    <t>Structured textures, terrain, deformation, dynamic surfaces</t>
  </si>
  <si>
    <t>Anisotropic Ambient Volume Shading</t>
  </si>
  <si>
    <t>10.1109/TVCG.2015.2467963</t>
  </si>
  <si>
    <t>http://dx.doi.org/10.1109/TVCG.2015.2467963</t>
  </si>
  <si>
    <t>Marian D̦rk;Nathalie Henry Riche;Gonzalo Ramos;Susan T. Dumais</t>
  </si>
  <si>
    <t>http://dx.doi.org/10.1109/TVCG.2012.253</t>
  </si>
  <si>
    <t>http://dx.doi.org/10.1109/TVCG.2012.254</t>
  </si>
  <si>
    <t>Bilal Alsallakh;Wolfgang Aigner;Silvia Miksch;M. Eduard Gr̦ller</t>
  </si>
  <si>
    <t>http://dx.doi.org/10.1109/TVCG.2012.255</t>
  </si>
  <si>
    <t>Univ. of British Columbia, Vancouver, BC, Canada|c|;;;</t>
  </si>
  <si>
    <t>http://dx.doi.org/10.1109/TVCG.2012.256</t>
  </si>
  <si>
    <t>http://dx.doi.org/10.1109/TVCG.2012.258</t>
  </si>
  <si>
    <t>http://dx.doi.org/10.1109/TVCG.2012.259</t>
  </si>
  <si>
    <t>Thomas H̦llt;Wolfgang Freiler;Fritz Gschwantner;Helmut Doleisch;Gabor Heinemann;Markus Hadwiger</t>
  </si>
  <si>
    <t>King Adbullah Univ. of Sci. &amp; Technol., Thuwal, Saudi Arabia|c|;;;;;</t>
  </si>
  <si>
    <t>http://dx.doi.org/10.1109/TVCG.2012.260</t>
  </si>
  <si>
    <t>http://dx.doi.org/10.1109/TVCG.2012.261</t>
  </si>
  <si>
    <t>Hrvoje Ribicic;J�_rgen Waser;Roman Gurbat;Bernhard Sadransky;M. Eduard Gr̦ller</t>
  </si>
  <si>
    <t>VRVis Vienna, Vienna, Austria|c|;;;;</t>
  </si>
  <si>
    <t>http://dx.doi.org/10.1109/TVCG.2012.262</t>
  </si>
  <si>
    <t>giCentre, City Univ. London, London, UK|c|;;;;;</t>
  </si>
  <si>
    <t>http://dx.doi.org/10.1109/TVCG.2012.263</t>
  </si>
  <si>
    <t>http://dx.doi.org/10.1109/TVCG.2012.264</t>
  </si>
  <si>
    <t>Purdue Univ. in West Lafayette, West Lafayette, IN, USA|c|;;;;</t>
  </si>
  <si>
    <t>http://dx.doi.org/10.1109/TVCG.2012.265</t>
  </si>
  <si>
    <t>http://dx.doi.org/10.1109/TVCG.2012.267</t>
  </si>
  <si>
    <t>State Key Lab. of CAD&amp;amp;CG, Zhejiang Univ., Hangzhou, China|c|;;;;;</t>
  </si>
  <si>
    <t>http://dx.doi.org/10.1109/TVCG.2012.269</t>
  </si>
  <si>
    <t>Samer S. Barakat;Markus R�_tten;Xavier Tricoche</t>
  </si>
  <si>
    <t>http://dx.doi.org/10.1109/TVCG.2012.271</t>
  </si>
  <si>
    <t>Dept. of Comput. Sci., Univ. of Oxford, Oxford, UK|c|;;;;</t>
  </si>
  <si>
    <t>http://dx.doi.org/10.1109/TVCG.2012.272</t>
  </si>
  <si>
    <t>http://dx.doi.org/10.1109/TVCG.2012.273</t>
  </si>
  <si>
    <t>Vienna Univ. of Technol., Vienna, Austria|c|;;</t>
  </si>
  <si>
    <t>http://dx.doi.org/10.1109/TVCG.2012.274</t>
  </si>
  <si>
    <t>Marc Treib;Kai B�_rger;Florian Reichl;Charles Meneveau;Alexander S. Szalay;R�_diger Westermann</t>
  </si>
  <si>
    <t>Tech. Univ. Munchen, Munich, Germany|c|;;;;;</t>
  </si>
  <si>
    <t>http://dx.doi.org/10.1109/TVCG.2012.275</t>
  </si>
  <si>
    <t>http://dx.doi.org/10.1109/TVCG.2012.276</t>
  </si>
  <si>
    <t>http://dx.doi.org/10.1109/TVCG.2012.277</t>
  </si>
  <si>
    <t>Inst. for Visualization &amp; Interactive Syst., Univ. Stuttgart, Stuttgart, Germany|c|;;;</t>
  </si>
  <si>
    <t>http://dx.doi.org/10.1109/TVCG.2012.278</t>
  </si>
  <si>
    <t>Lawrence Berkeley Nat. Lab., Berkeley, CA, USA|c|;;;;;;;;;;;;;</t>
  </si>
  <si>
    <t>http://dx.doi.org/10.1109/TVCG.2012.279</t>
  </si>
  <si>
    <t>http://dx.doi.org/10.1109/TVCG.2012.280</t>
  </si>
  <si>
    <t>Univ. of Kaiserslautern, Kaiserslautern, Germany|c|;;;;;;</t>
  </si>
  <si>
    <t>http://dx.doi.org/10.1109/TVCG.2012.281</t>
  </si>
  <si>
    <t>Inst. fur Computergraphik, Tech. Univ. Braunschweig, Braunschweig, Germany|c|;;;;;;</t>
  </si>
  <si>
    <t>http://dx.doi.org/10.1109/TVCG.2012.282</t>
  </si>
  <si>
    <t>Sebastian Grottel;Philipp Beck;Christoph M�_ller 0001;Guido Reina;Johannes Roth;Hans-Rainer Trebin;Thomas Ertl</t>
  </si>
  <si>
    <t>http://dx.doi.org/10.1109/TVCG.2012.283</t>
  </si>
  <si>
    <t>Simon Schr̦der;John A. Peterson;Harald Obermaier;Louise H. Kellogg;Kenneth I. Joy;Hans Hagen</t>
  </si>
  <si>
    <t>Comput. Graphics &amp; HCI Group, Univ. of Kaiserslautern, Kaiserslautern, Germany|c|;;;;;</t>
  </si>
  <si>
    <t>http://dx.doi.org/10.1109/TVCG.2012.284</t>
  </si>
  <si>
    <t>http://dx.doi.org/10.1109/TVCG.2012.285</t>
  </si>
  <si>
    <t>http://dx.doi.org/10.1109/TVCG.2012.286</t>
  </si>
  <si>
    <t>http://dx.doi.org/10.1109/TVCG.2012.287</t>
  </si>
  <si>
    <t>Sch. of Comput., Univ. of Leeds, Leeds, UK|c|;;;;;</t>
  </si>
  <si>
    <t>http://dx.doi.org/10.1109/TVCG.2012.288</t>
  </si>
  <si>
    <t>Univ. of Maryland, Baltimore County (UMBC), Baltimore, MD, USA|c|;;</t>
  </si>
  <si>
    <t>http://dx.doi.org/10.1109/TVCG.2012.291</t>
  </si>
  <si>
    <t>When and where is an idea dispersed? Social media, like Twitter, has been increasingly used for exchanging information, opinions and emotions about events that are happening across the world. Here we propose a novel visualization design, ̢��_x0081_�Whisper̢����,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</si>
  <si>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http://dx.doi.org/10.1109/TVCG.2012.292</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</si>
  <si>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(̢��_x0081_�what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</si>
  <si>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Zuse Inst. Berlin (ZIB), Berlin, Germany|c|;;;</t>
  </si>
  <si>
    <t>http://dx.doi.org/10.1109/VAST.2012.6400484</t>
  </si>
  <si>
    <t>http://dx.doi.org/10.1109/VAST.2012.6400485</t>
  </si>
  <si>
    <t>http://dx.doi.org/10.1109/VAST.2012.6400486</t>
  </si>
  <si>
    <t>Dept. of Comput. Sci., Tufts Univ., Medford, MA, USA|c|;;;</t>
  </si>
  <si>
    <t>http://dx.doi.org/10.1109/VAST.2012.6400487</t>
  </si>
  <si>
    <t>http://dx.doi.org/10.1109/VAST.2012.6400488</t>
  </si>
  <si>
    <t>Andrada Tatu;Fabian Maass;Ines F�_rber;Enrico Bertini;Tobias Schreck;Thomas Seidl 0001;Daniel A. Keim</t>
  </si>
  <si>
    <t>http://dx.doi.org/10.1109/VAST.2012.6400489</t>
  </si>
  <si>
    <t>http://dx.doi.org/10.1109/VAST.2012.6400490</t>
  </si>
  <si>
    <t>http://dx.doi.org/10.1109/VAST.2012.6400491</t>
  </si>
  <si>
    <t>Purdue Univ., West Lafayette, IN, USA|c|;;;;;</t>
  </si>
  <si>
    <t>http://dx.doi.org/10.1109/VAST.2012.6400492</t>
  </si>
  <si>
    <t>Benjamin H̦ferlin;Rudolf Netzel;Markus H̦ferlin;Daniel Weiskopf;Gunther Heidemann</t>
  </si>
  <si>
    <t>http://dx.doi.org/10.1109/VAST.2012.6400493</t>
  </si>
  <si>
    <t>Sch. of Comput. Sci. &amp;amp; Center for Spatial Anal., Univ. of Oklahoma, Norman, OK, USA|c|;</t>
  </si>
  <si>
    <t>http://dx.doi.org/10.1109/VAST.2012.6400494</t>
  </si>
  <si>
    <t>http://dx.doi.org/10.1109/VAST.2012.6400530</t>
  </si>
  <si>
    <t>http://dx.doi.org/10.1109/VAST.2012.6400531</t>
  </si>
  <si>
    <t>Inst. of Software, Beijing, China|c|;;;</t>
  </si>
  <si>
    <t>http://dx.doi.org/10.1109/VAST.2012.6400532</t>
  </si>
  <si>
    <t>Dept. of Electr. &amp;amp; Comput. Eng., Rutgers Univ., Piscataway, NJ, USA|c|;;</t>
  </si>
  <si>
    <t>http://dx.doi.org/10.1109/VAST.2012.6400533</t>
  </si>
  <si>
    <t>http://dx.doi.org/10.1109/VAST.2012.6400534</t>
  </si>
  <si>
    <t>Tobias Schreck;Lyubka Sharalieva;Franz Wanner;J�_rgen Bernard;Tobias Ruppert;Tatiana von Landesberger;Benjamin Bustos</t>
  </si>
  <si>
    <t>http://dx.doi.org/10.1109/VAST.2012.6400535</t>
  </si>
  <si>
    <t>http://dx.doi.org/10.1109/VAST.2012.6400536</t>
  </si>
  <si>
    <t>http://dx.doi.org/10.1109/VAST.2012.6400537</t>
  </si>
  <si>
    <t>http://dx.doi.org/10.1109/VAST.2012.6400538</t>
  </si>
  <si>
    <t>http://dx.doi.org/10.1109/VAST.2012.6400539</t>
  </si>
  <si>
    <t>http://dx.doi.org/10.1109/VAST.2012.6400540</t>
  </si>
  <si>
    <t>UNC-Charlotte, Charlotte, NC, USA|c|;;</t>
  </si>
  <si>
    <t>http://dx.doi.org/10.1109/VAST.2012.6400541</t>
  </si>
  <si>
    <t>Ming C. Hao;Manish Marwah;Sebastian Mittelst�_dt;Halld�_r Janetzko;Daniel A. Keim;Umeshwar Dayal;Cullen Bash;Carlos J. Felix;Chandrakant D. Patel;Meichun Hsu;Yuan Chen</t>
  </si>
  <si>
    <t>Hewlett-Packard Labs., Palo Alto, CA, USA|c|;;;;;;;;;;</t>
  </si>
  <si>
    <t>http://dx.doi.org/10.1109/VAST.2012.6400542</t>
  </si>
  <si>
    <t>Dept. of Comput. Sci., Brown Univ., Providence, RI, USA|c|;;</t>
  </si>
  <si>
    <t>http://dx.doi.org/10.1109/VAST.2012.6400543</t>
  </si>
  <si>
    <t>We introduce translational science, a research discipline from medicine, and show how adapting it for visual analytics can improve the design and evaluation of visual analytics interfaces. Translational science ̢��_x0081_�translates̢���� knowledge from the lab to the real-world to ̢��_x0081_�ground truth̢���� by incorporating a 3 phase program of research. Phase 1 &amp; 2 include protocols for research in the lab and field and Phase 3 focuses on dissemination and documentation. We discuss these phases and how they may be applied to visual analytics research.</t>
  </si>
  <si>
    <t>Sch. of Interactive Arts + Sci., Simon Fraser Univ., Surrey, BC, Canada|c|;</t>
  </si>
  <si>
    <t>http://dx.doi.org/10.1109/VAST.2012.6400544</t>
  </si>
  <si>
    <t>http://dx.doi.org/10.1109/VAST.2012.6400545</t>
  </si>
  <si>
    <t>http://dx.doi.org/10.1109/VAST.2012.6400546</t>
  </si>
  <si>
    <t>Cindy Chamberland;Fran̤ois Vachon;Jean-Fran̤ois Gagnon;Simon P. Banbury;S̩bastien Tremblay</t>
  </si>
  <si>
    <t>Univ. Laval, Quebec City, QC, Canada|c|;;;;</t>
  </si>
  <si>
    <t>http://dx.doi.org/10.1109/VAST.2012.6400547</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</si>
  <si>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</si>
  <si>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Marco Ament;Carsten Dachsbacher</t>
  </si>
  <si>
    <t>Karlsruhe Institute of Technology, Germany;Karlsruhe Institute of Technology, Germany</t>
  </si>
  <si>
    <t>10.1109/TVCG.2014.2346333;10.1109/TVCG.2013.129;10.1109/TVCG.2014.2346411;10.1109/TVCG.2012.232;10.1109/VISUAL.1999.809886;10.1109/VISUAL.2003.1250414;10.1109/TVCG.2011.161;10.1109/VISUAL.2005.1532772;10.1109/VISUAL.1994.346331;10.1109/VISUAL.2002.1183771;10.1109/TVCG.2011.198;10.1109/VISUAL.2004.5;10.1109/TVCG.2012.267;10.1109/VISUAL.1996.567777</t>
  </si>
  <si>
    <t>Direct volume rendering, volume illumination, anisotropic shading</t>
  </si>
  <si>
    <t>Mining Graphs for Understanding Time-Varying Volumetric Data</t>
  </si>
  <si>
    <t>10.1109/TVCG.2015.2468031</t>
  </si>
  <si>
    <t>http://dx.doi.org/10.1109/TVCG.2015.2468031</t>
  </si>
  <si>
    <t>Nadya A. Calder�_n;Bernhard E. Riecke;Brian D. Fisher</t>
  </si>
  <si>
    <t>http://dx.doi.org/10.1109/VAST.2012.6400548</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</si>
  <si>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</si>
  <si>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Yi Gu;Chaoli Wang;Tom Peterka;Robert Jacob;Seung Hyun Kim</t>
  </si>
  <si>
    <t>Department Computer Science and Engineering, University of Notre Dame, Notre Dame, IN;Department Computer Science and Engineering, University of Notre Dame, Notre Dame, IN;Division of Mathematics and Computer Science, Argonne National Laboratory, Argonne, IL;Division of Mathematics and Computer Science, Argonne National Laboratory, Argonne, IL;Department of Mechanical and Aerospace Engineering, The Ohio State University, Columbus, OH</t>
  </si>
  <si>
    <t>10.1109/TVCG.2009.122;10.1109/TVCG.2013.151;10.1109/TVCG.2011.246;10.1109/TVCG.2008.116;10.1109/VISUAL.1999.809871;10.1109/TVCG.2006.165;10.1109/TVCG.2009.165;10.1109/TVCG.2006.159</t>
  </si>
  <si>
    <t>Time-varying data visualization, graph simplification, community detection, visual recommendation</t>
  </si>
  <si>
    <t>Gaze Stripes: Image-Based Visualization of Eye Tracking Data</t>
  </si>
  <si>
    <t>10.1109/TVCG.2015.2468091</t>
  </si>
  <si>
    <t>http://dx.doi.org/10.1109/TVCG.2015.2468091</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</si>
  <si>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</si>
  <si>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Kuno Kurzhals;Marcel Hlawatsch;Florian Heimerl;Michael Burch;Thomas Ertl;Daniel Weiskopf</t>
  </si>
  <si>
    <t>University of Stuttgart;University of Stuttgart;University of Stuttgart;University of Stuttgart;University of Stuttgart;University of Stuttgart</t>
  </si>
  <si>
    <t>Sch. of Med., Lab. of Neuro Imaging, UCLA, Los Angeles, CA, USA|c|;;;</t>
  </si>
  <si>
    <t>10.1109/TVCG.2011.232;10.1109/TVCG.2012.276;10.1109/INFVIS.2002.1173156;10.1109/TVCG.2013.194;10.1109/TVCG.2008.125</t>
  </si>
  <si>
    <t>Eye tracking, time-dependent data, spatio-temporal visualization</t>
  </si>
  <si>
    <t>http://dx.doi.org/10.1109/VAST.2012.6400549</t>
  </si>
  <si>
    <t>Effective Visualization of Temporal Ensembles</t>
  </si>
  <si>
    <t>10.1109/TVCG.2015.2468093</t>
  </si>
  <si>
    <t>http://dx.doi.org/10.1109/TVCG.2015.2468093</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</si>
  <si>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</si>
  <si>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Lihua Hao;Christopher G. Healey;Steffen A. Bass</t>
  </si>
  <si>
    <t>NC State University;NC State University;Duke University</t>
  </si>
  <si>
    <t>10.1109/TVCG.2014.2346448;10.1109/VISUAL.2005.1532839;10.1109/VISUAL.2005.1532838;10.1109/TVCG.2014.2346751;10.1109/TVCG.2009.155;10.1109/TVCG.2014.2346455;10.1109/TVCG.2010.181;10.1109/TVCG.2013.143</t>
  </si>
  <si>
    <t>Ensemble visualization</t>
  </si>
  <si>
    <t>TargetVue: Visual Analysis of Anomalous User Behaviors in Online Communication Systems</t>
  </si>
  <si>
    <t>10.1109/TVCG.2015.2467196</t>
  </si>
  <si>
    <t>Michael Behrisch;James Davey;Tobias Schreck;Daniel A. Keim;J̦rn Kohlhammer</t>
  </si>
  <si>
    <t>http://dx.doi.org/10.1109/TVCG.2015.2467196</t>
  </si>
  <si>
    <t>http://dx.doi.org/10.1109/VAST.2012.6400550</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</si>
  <si>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</si>
  <si>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Nan Cao;Conglei Shi;Wan-Yi Sabrina Lin;Jie Lu;Yu-Ru Lin;Ching-Yung Lin</t>
  </si>
  <si>
    <t>Nan Cao;Conglei Shi;Sabrina Lin;Jie Lu;Yu-Ru Lin;Ching-Yung Lin</t>
  </si>
  <si>
    <t>IBM T. J. Watson Research Center;IBM T. J. Watson Research Center;IBM T. J. Watson Research Center;IBM T. J. Watson Research Center;University of Pissburg;IBM T. J. Watson Research Center</t>
  </si>
  <si>
    <t>10.1109/TVCG.2012.291;10.1109/TVCG.2006.170;10.1109/VISUAL.2002.1183816;10.1109/TVCG.2014.2346922</t>
  </si>
  <si>
    <t>Anomaly Detection, Social Media, Visual Analysis</t>
  </si>
  <si>
    <t>TimeLineCurator: Interactive Authoring of Visual Timelines from Unstructured Text</t>
  </si>
  <si>
    <t>10.1109/TVCG.2015.2467531</t>
  </si>
  <si>
    <t>http://dx.doi.org/10.1109/TVCG.2015.2467531</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</si>
  <si>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scheme1,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</si>
  <si>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City Univ. London, London, UK|c|;;</t>
  </si>
  <si>
    <t>http://dx.doi.org/10.1109/VAST.2012.6400551</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</si>
  <si>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</si>
  <si>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Johanna Fulda;Matthew Brehmer;Tamara Munzner</t>
  </si>
  <si>
    <t>Johanna Fulda;Matthew Brehmel;Tamara Munzner</t>
  </si>
  <si>
    <t>University of Munich (LMU);University of British Columbia;University of British Columbia</t>
  </si>
  <si>
    <t>10.1109/VAST.2014.7042493;10.1109/TVCG.2011.185;10.1109/TVCG.2014.2346431;10.1109/TVCG.2013.124;10.1109/VAST.2012.6400557;10.1109/VAST.2011.6102461;10.1109/VAST.2012.6400485;10.1109/TVCG.2013.162;10.1109/TVCG.2013.214;10.1109/TVCG.2012.224;10.1109/TVCG.2014.2346291;10.1109/TVCG.2012.213;10.1109/VAST.2007.4389006;10.1109/TVCG.2012.212;10.1109/VAST.2012.6400530;10.1109/TVCG.2007.70577</t>
  </si>
  <si>
    <t>System, timelines, authoring environment, time-oriented data, journalism</t>
  </si>
  <si>
    <t>Characterizing Provenance in Visualization and Data Analysis: An Organizational Framework of Provenance Types and Purposes</t>
  </si>
  <si>
    <t>10.1109/TVCG.2015.2467551</t>
  </si>
  <si>
    <t>http://dx.doi.org/10.1109/TVCG.2015.2467551</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</si>
  <si>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̢��_x0081_�what-if̢���� analysis and visually explore what can happen if you adopt a given solution before having to actually implement it.</t>
  </si>
  <si>
    <t>Sapienza Univ. of Roma, Rome, Italy|c|;;;;</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</si>
  <si>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</si>
  <si>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http://dx.doi.org/10.1109/VAST.2012.6400552</t>
  </si>
  <si>
    <t>Eric D. Ragan;Alex Endert;Jibonananda Sanyal;Jian Chen</t>
  </si>
  <si>
    <t>Texas A&amp;M University;Georgia Tech;Oak Ridge National Laboratory;University of Maryland, Baltimore County</t>
  </si>
  <si>
    <t>10.1109/INFVIS.2005.1532136;10.1109/VISUAL.2005.1532788;10.1109/TVCG.2013.155;10.1109/VISUAL.1993.398857;10.1109/VAST.2012.6400486;10.1109/TVCG.2014.2346575;10.1109/VAST.2010.5652932;10.1109/VAST.2008.4677365;10.1109/TVCG.2008.137;10.1109/TVCG.2013.126;10.1109/VAST.2009.5333020;10.1109/VAST.2010.5653598;10.1109/TVCG.2012.271;10.1109/TVCG.2014.2346573;10.1109/VAST.2008.4677366;10.1109/TVCG.2013.130;10.1109/TVCG.2010.181;10.1109/TVCG.2010.179;10.1109/VISUAL.1990.146375</t>
  </si>
  <si>
    <t>Provenance, Analytic provenance, Visual analytics, Framework, Visualization, Conceptual model</t>
  </si>
  <si>
    <t>The Data Context Map: Fusing Data and Attributes into a Unified Display</t>
  </si>
  <si>
    <t>10.1109/TVCG.2015.2467552</t>
  </si>
  <si>
    <t>http://dx.doi.org/10.1109/TVCG.2015.2467552</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</si>
  <si>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</si>
  <si>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Shenghui Cheng;Klaus Mueller</t>
  </si>
  <si>
    <t>Visual Analytics and Imaging Laboratory, Computer Science Department, Stony Brook University and SUNY, Korea;Visual Analytics and Imaging Laboratory, Computer Science Department, Stony Brook University and SUNY, Korea</t>
  </si>
  <si>
    <t>10.1109/TVCG.2013.146;10.1109/VAST.2009.5332629;10.1109/VISUAL.1997.663916;10.1109/VISUAL.1990.146402;10.1109/TVCG.2011.220;10.1109/INFVIS.1997.636793;10.1109/TVCG.2010.207</t>
  </si>
  <si>
    <t>High Dimensional Data, Low-Dimensional Embedding, Visual Analytics, Decision Make, Tradeoffs</t>
  </si>
  <si>
    <t>Temporal MDS Plots for Analysis of Multivariate Data</t>
  </si>
  <si>
    <t>10.1109/TVCG.2015.2467553</t>
  </si>
  <si>
    <t>http://dx.doi.org/10.1109/TVCG.2015.2467553</t>
  </si>
  <si>
    <t>http://dx.doi.org/10.1109/VAST.2012.6400553</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</si>
  <si>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</si>
  <si>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Dominik Jäckle;Fabian Fischer 0001;Tobias Schreck;Daniel A. Keim</t>
  </si>
  <si>
    <t>Dominik Jäckle;Fabian Fischer;Tobias Schreck;Daniel A. Keim</t>
  </si>
  <si>
    <t>University of Konstanz, Germany;University of Konstanz, Germany;Graz University of Technology, Austria;University of Konstanz, Germany</t>
  </si>
  <si>
    <t>10.1109/VAST.2009.5332593;10.1109/VISUAL.1990.146402;10.1109/VISUAL.1995.485140;10.1109/VISUAL.1990.146386;10.1109/TVCG.2007.70592;10.1109/VAST.2009.5332628</t>
  </si>
  <si>
    <t>Multivariate Data, Time Series, Data Reduction, Multidimensional Scaling</t>
  </si>
  <si>
    <t>An Uncertainty-Aware Approach for Exploratory Microblog Retrieval</t>
  </si>
  <si>
    <t>10.1109/TVCG.2015.2467554</t>
  </si>
  <si>
    <t>http://dx.doi.org/10.1109/TVCG.2015.2467554</t>
  </si>
  <si>
    <t>Tech. Univ. Darmstadt, Darmstadt, Germany|c|;;;;</t>
  </si>
  <si>
    <t>http://dx.doi.org/10.1109/VAST.2012.6400554</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</si>
  <si>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</si>
  <si>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Mengchen Liu;Shixia Liu;Xizhou Zhu;Qinying Liao;Furu Wei;Shimei Pan</t>
  </si>
  <si>
    <t>Tsinghua University;Tsinghua University;USTC;Microsoft;Microsoft;University of Maryland, Baltimore County</t>
  </si>
  <si>
    <t>10.1109/TVCG.2013.186;10.1109/TVCG.2012.291;10.1109/VAST.2009.5332611;10.1109/TVCG.2013.223;10.1109/TVCG.2011.233;10.1109/VAST.2014.7042494;10.1109/VISUAL.1996.568116;10.1109/INFVIS.2005.1532150;10.1109/VAST.2010.5652931;10.1109/TVCG.2011.197;10.1109/TVCG.2014.2346919;10.1109/TVCG.2013.232;10.1109/TVCG.2011.202;10.1109/TVCG.2014.2346920;10.1109/TVCG.2010.183;10.1109/TVCG.2012.285;10.1109/TVCG.2013.221;10.1109/TVCG.2014.2346922</t>
  </si>
  <si>
    <t>microblog data, mutual reinforcement model, uncertainty modeling, uncertainty visualization, uncertainty propagation</t>
  </si>
  <si>
    <t>VisOHC: Designing Visual Analytics for Online Health Communities</t>
  </si>
  <si>
    <t>10.1109/TVCG.2015.2467555</t>
  </si>
  <si>
    <t>http://dx.doi.org/10.1109/TVCG.2015.2467555</t>
  </si>
  <si>
    <t>Leishi Zhang;Andreas Stoffel;Michael Behrisch;Sebastian Mittelst�_dt;Tobias Schreck;Ren̩ Pompl;Stefan Weber 0004;Holger Last;Daniel A. Keim</t>
  </si>
  <si>
    <t>Univ. of Konstanz, Konstanz, Germany|c|;;;;;;;;</t>
  </si>
  <si>
    <t>http://dx.doi.org/10.1109/VAST.2012.6400555</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</si>
  <si>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</si>
  <si>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Bum Chul Kwon;Sung-Hee Kim;Sukwon Lee;Jaegul Choo;Jina Huh;Ji Soo Yi</t>
  </si>
  <si>
    <t>University of Konstanz;University of British Columbia;Purdue University;Korea University;Michigan State University;Purdue University</t>
  </si>
  <si>
    <t>10.1109/TVCG.2014.2346433;10.1109/VAST.2011.6102441;10.1109/TVCG.2014.2346292;10.1109/INFVIS.2003.1249028;10.1109/TVCG.2010.175;10.1109/VAST.2014.7042494;10.1109/TVCG.2014.2346331;10.1109/VAST.2009.5333919;10.1109/TVCG.2012.213;10.1109/TVCG.2009.171;10.1109/TVCG.2009.187;10.1109/TVCG.2013.221;10.1109/VAST.2012.6400554;10.1109/VAST.2014.7042496;10.1109/TVCG.2008.171</t>
  </si>
  <si>
    <t>Online health communities, visual analytics, conversation analysis, thread visualization, healthcare, design study</t>
  </si>
  <si>
    <t>The Role of Uncertainty, Awareness, and Trust in Visual Analytics</t>
  </si>
  <si>
    <t>10.1109/TVCG.2015.2467591</t>
  </si>
  <si>
    <t>http://dx.doi.org/10.1109/TVCG.2015.2467591</t>
  </si>
  <si>
    <t>Gabriel Mistelbauer;Hamed Bouzari;R�_diger Schernthaner;Ivan Baclija;Arnold K̦chl;Stefan Bruckner;Milos Sr��mek;M. Eduard Gr̦ller</t>
  </si>
  <si>
    <t>Vienna Univ. of Technol., Vienna, Austria|c|;;;;;;;</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</si>
  <si>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</si>
  <si>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Dominik Sacha;Hansi Senaratne;Bum Chul Kwon;Geoffrey P. Ellis;Daniel A. Keim</t>
  </si>
  <si>
    <t>Dominik Sacha;Hansi Senaratne;Bum Chul Kwon;Geoffrey Ellis;Daniel A. Keim</t>
  </si>
  <si>
    <t>Data Analysis and Visualisation Group;Data Analysis and Visualisation Group;Data Analysis and Visualisation Group;Data Analysis and Visualisation Group;Data Analysis and Visualisation Group</t>
  </si>
  <si>
    <t>http://dx.doi.org/10.1109/VAST.2012.6400556</t>
  </si>
  <si>
    <t>http://dx.doi.org/10.1109/VAST.2012.6400557</t>
  </si>
  <si>
    <t>http://dx.doi.org/10.1109/VAST.2012.6400558</t>
  </si>
  <si>
    <t>Pennsylvania State Univ., University Park, PA, USA|c|;;;</t>
  </si>
  <si>
    <t>http://dx.doi.org/10.1109/VAST.2012.6400559</t>
  </si>
  <si>
    <t>Virginia Tech, Blacksburg, VA, USA|c|;</t>
  </si>
  <si>
    <t>http://dx.doi.org/10.1109/VAST.2012.6400560</t>
  </si>
  <si>
    <t>Dept. of Comput. Sci., Virginia Tech, Blacksburg, VA, USA|c|;;</t>
  </si>
  <si>
    <t>http://dx.doi.org/10.1109/TVCG.2013.119</t>
  </si>
  <si>
    <t>http://dx.doi.org/10.1109/TVCG.2013.120</t>
  </si>
  <si>
    <t>Hans-J̦rg Schulz;Thomas Nocke;Magnus Heitzler;Heidrun Schumann</t>
  </si>
  <si>
    <t>Univ. of Rostock, Rostock, Germany|c|;;;</t>
  </si>
  <si>
    <t>http://dx.doi.org/10.1109/TVCG.2013.121</t>
  </si>
  <si>
    <t>Univ. of Minnesota, Minneapolis, MN, USA|c|;;;;</t>
  </si>
  <si>
    <t>http://dx.doi.org/10.1109/TVCG.2013.122</t>
  </si>
  <si>
    <t>Johannes Kehrer;Harald Piringer;Wolfgang Berger;M. Eduard Gr̦ller</t>
  </si>
  <si>
    <t>http://dx.doi.org/10.1109/TVCG.2013.123</t>
  </si>
  <si>
    <t>Univ. of California, Davis, Davis, CA, USA|c|;;</t>
  </si>
  <si>
    <t>http://dx.doi.org/10.1109/TVCG.2013.124</t>
  </si>
  <si>
    <t>http://dx.doi.org/10.1109/TVCG.2013.125</t>
  </si>
  <si>
    <t>Thomas M�_hlbacher;Harald Piringer</t>
  </si>
  <si>
    <t>http://dx.doi.org/10.1109/TVCG.2013.126</t>
  </si>
  <si>
    <t>Tobias Isenberg 0001;Petra Isenberg;Jian Chen;Michael Sedlmair;Torsten M̦ller</t>
  </si>
  <si>
    <t>INRIA, France|c|;;;;</t>
  </si>
  <si>
    <t>http://dx.doi.org/10.1109/TVCG.2013.127</t>
  </si>
  <si>
    <t>Stony Brook Univ., Stony Brook, NY, USA|c|;</t>
  </si>
  <si>
    <t>http://dx.doi.org/10.1109/TVCG.2013.128</t>
  </si>
  <si>
    <t>Comput. Sci. Dept., Purdue Univ., West Lafayette, IN, USA|c|;</t>
  </si>
  <si>
    <t>http://dx.doi.org/10.1109/TVCG.2013.129</t>
  </si>
  <si>
    <t>Univ. of Stuttgart, Stuttgart, Germany|c|;;</t>
  </si>
  <si>
    <t>http://dx.doi.org/10.1109/TVCG.2013.130</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</si>
  <si>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 delineate), but exhibited a large amount of variation across participants due to consideration of broader user goals (procure, predict, &amp; prescribe) and interaction operands (space-alone, attributes-in-space, &amp; space-in-time; elementary &amp; general). The operator sort suggested five enabling operators (import, export, save, edit, &amp; annotate) and twelve work operators (reexpress, arrange, sequence, resymbolize, overlay, pan, zoom, reproject, search, filter, retrieve, &amp; calculate). This taxonomy offers an empirically-derived and ecologically-valid structure to inform future research and design on interaction.</t>
  </si>
  <si>
    <t>Univ. of Wisconsin-Madison, Madison, WI, USA|c|</t>
  </si>
  <si>
    <t>http://dx.doi.org/10.1109/TVCG.2013.131</t>
  </si>
  <si>
    <t>Dept. of Comput. Sci. &amp; Eng., Polytech. Inst. of New York Univ., New York, NY, USA|c|;;</t>
  </si>
  <si>
    <t>http://dx.doi.org/10.1109/TVCG.2013.132</t>
  </si>
  <si>
    <t>Middlesex Univ., London, UK|c|;;;;;;;;</t>
  </si>
  <si>
    <t>http://dx.doi.org/10.1109/TVCG.2013.133</t>
  </si>
  <si>
    <t>Gravity Group, Ohio State Univ., Columbus, OH, USA|c|;;;</t>
  </si>
  <si>
    <t>http://dx.doi.org/10.1109/TVCG.2013.134</t>
  </si>
  <si>
    <t>Inria &amp; Univ. Paris Sud, Paris, France|c|;</t>
  </si>
  <si>
    <t>http://dx.doi.org/10.1109/TVCG.2013.135</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</si>
  <si>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O(n2)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</si>
  <si>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http://dx.doi.org/10.1109/TVCG.2013.137</t>
  </si>
  <si>
    <t>Comput. Sci. &amp; Artificial Intell. Lab. (CSAIL), MIT, Cambridge, MA, USA|c|;;</t>
  </si>
  <si>
    <t>http://dx.doi.org/10.1109/TVCG.2013.138</t>
  </si>
  <si>
    <t>http://dx.doi.org/10.1109/TVCG.2013.139</t>
  </si>
  <si>
    <t>Stony Brook Univ., Stony Brook, NY, USA|c|;;;;</t>
  </si>
  <si>
    <t>http://dx.doi.org/10.1109/TVCG.2013.140</t>
  </si>
  <si>
    <t>http://dx.doi.org/10.1109/TVCG.2013.141</t>
  </si>
  <si>
    <t>Univ. of Kaiserslautern, Kaiserslautern, Germany|c|;;;</t>
  </si>
  <si>
    <t>http://dx.doi.org/10.1109/TVCG.2013.142</t>
  </si>
  <si>
    <t>King Abdullah Univ. of Sci. &amp; Technol. (KAUST), Thuwal, Saudi Arabia|c|;;;;;</t>
  </si>
  <si>
    <t>http://dx.doi.org/10.1109/TVCG.2013.143</t>
  </si>
  <si>
    <t>http://dx.doi.org/10.1109/TVCG.2013.144</t>
  </si>
  <si>
    <t>Key Lab. of Machine Perception, Peking Univ., Beijing, China|c|;;;</t>
  </si>
  <si>
    <t>http://dx.doi.org/10.1109/TVCG.2013.145</t>
  </si>
  <si>
    <t>giCentre, City Univ. London, London, UK|c|;;;;;;;;</t>
  </si>
  <si>
    <t>http://dx.doi.org/10.1109/TVCG.2013.146</t>
  </si>
  <si>
    <t>IBM France Center for Adv. Studies, Univ. of Groningen, Groningen, France|c|;;;</t>
  </si>
  <si>
    <t>http://dx.doi.org/10.1109/TVCG.2013.147</t>
  </si>
  <si>
    <t>Univ. of Minnesota, Minneapolis, MN, USA|c|;;;</t>
  </si>
  <si>
    <t>http://dx.doi.org/10.1109/TVCG.2013.148</t>
  </si>
  <si>
    <t>http://dx.doi.org/10.1109/TVCG.2013.149</t>
  </si>
  <si>
    <t>S̩bastien Rufiange;Michael J. McGuffin</t>
  </si>
  <si>
    <t>http://dx.doi.org/10.1109/TVCG.2013.150</t>
  </si>
  <si>
    <t>Key Lab. of Machine Perception (Minist. of Educ.) &amp; Sch. of EECS, Peking Univ., Beijing, China|c|;;;</t>
  </si>
  <si>
    <t>http://dx.doi.org/10.1109/TVCG.2013.151</t>
  </si>
  <si>
    <t>10.1109/TVCG.2014.2346575;10.1109/VISUAL.2000.885679;10.1109/VAST.2008.4677385;10.1109/VAST.2009.5332611;10.1109/TVCG.2012.260;10.1109/VAST.2011.6102473;10.1109/VAST.2009.5333020;10.1109/VAST.2011.6102435;10.1109/TVCG.2012.279;10.1109/TVCG.2014.2346481;10.1109/VAST.2006.261416</t>
  </si>
  <si>
    <t>Visual Analytics, Knowledge Generation, Uncertainty Measures and Propagation, Trust Building, Human Factors</t>
  </si>
  <si>
    <t>Visually Exploring Transportation Schedules</t>
  </si>
  <si>
    <t>10.1109/TVCG.2015.2467592</t>
  </si>
  <si>
    <t>http://dx.doi.org/10.1109/TVCG.2015.2467592</t>
  </si>
  <si>
    <t>http://dx.doi.org/10.1109/TVCG.2013.152</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</si>
  <si>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</si>
  <si>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Cesar Palomo;Zhan Guo;Cláudio T. Silva;Juliana Freire</t>
  </si>
  <si>
    <t>New York University;New York University;New York University;New York University</t>
  </si>
  <si>
    <t>10.1109/INFVIS.2004.68;10.1109/TVCG.2014.2346449;10.1109/TVCG.2007.70535;10.1109/TVCG.2011.176;10.1109/TVCG.2013.226;10.1109/VISUAL.1999.809866;10.1109/TVCG.2008.137;10.1109/TVCG.2009.131;10.1109/INFVIS.2005.1532138;10.1109/TVCG.2011.179;10.1109/TVCG.2006.170;10.1109/INFVIS.2003.1249005</t>
  </si>
  <si>
    <t>Transportation, schedules, kernel density estimation, visual exploration</t>
  </si>
  <si>
    <t>http://dx.doi.org/10.1109/TVCG.2013.153</t>
  </si>
  <si>
    <t>SensePath: Understanding the Sensemaking Process Through Analytic Provenance</t>
  </si>
  <si>
    <t>10.1109/TVCG.2015.2467611</t>
  </si>
  <si>
    <t>http://dx.doi.org/10.1109/TVCG.2015.2467611</t>
  </si>
  <si>
    <t>Univ. of Vienna, Vienna, Austria|c|;;</t>
  </si>
  <si>
    <t>http://dx.doi.org/10.1109/TVCG.2013.154</t>
  </si>
  <si>
    <t>Harvard Univ., Cambridge, MA, USA|c|;;;;;;;</t>
  </si>
  <si>
    <t>http://dx.doi.org/10.1109/TVCG.2013.155</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</si>
  <si>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</si>
  <si>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Phong H. Nguyen;Kai Xu 0003;Ashley Wheat;B. L. William Wong;Simon Attfield;Bob Fields</t>
  </si>
  <si>
    <t>Phong H. Nguyen;Kai Xu;Ashley Wheat;B.L. William Wong;Simon Attfield;Bob Fields</t>
  </si>
  <si>
    <t>Middlesex University;Middlesex University;Middlesex University;Middlesex University;Middlesex University;Middlesex University</t>
  </si>
  <si>
    <t>10.1109/VISUAL.2005.1532788;10.1109/TVCG.2011.185;10.1109/TVCG.2014.2346575;10.1109/VAST.2008.4677365;10.1109/TVCG.2008.137;10.1109/VAST.2009.5333020;10.1109/TVCG.2013.132</t>
  </si>
  <si>
    <t>Sensemaking, analytic provenance, transcription, coding, qualitative research, timeline visualization</t>
  </si>
  <si>
    <t>Sch. of Eng. &amp; Appl. Sci., Harvard Univ., Cambridge, MA, USA|c|;;;;;;</t>
  </si>
  <si>
    <t>Visual Analytics for Development and Evaluation of Order Selection Criteria for Autoregressive Processes</t>
  </si>
  <si>
    <t>10.1109/TVCG.2015.2467612</t>
  </si>
  <si>
    <t>http://dx.doi.org/10.1109/TVCG.2015.2467612</t>
  </si>
  <si>
    <t>http://dx.doi.org/10.1109/TVCG.2013.156</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</si>
  <si>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</si>
  <si>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Thomas Löwe;Emmy-Charlotte Förster;Georgia Albuquerque;Jens-Peter Kreiss;Marcus A. Magnor</t>
  </si>
  <si>
    <t>Thomas Löwe;Emmy-Charlotte Förster;Georgia Albuquerque;Jens-Peter Kreiss;Marcus Magnor</t>
  </si>
  <si>
    <t>Computer Graphics Lab, Germany;Computer Graphics Lab, Germany;Computer Graphics Lab, Germany;Institut für Mathematische Stochastik, Germany;Computer Graphics Lab, Germany</t>
  </si>
  <si>
    <t>http://dx.doi.org/10.1109/TVCG.2013.157</t>
  </si>
  <si>
    <t>Visual analytics, time series analysis, order selection</t>
  </si>
  <si>
    <t>A Case Study Using Visualization Interaction Logs and Insight Metrics to Understand How Analysts Arrive at Insights</t>
  </si>
  <si>
    <t>10.1109/TVCG.2015.2467613</t>
  </si>
  <si>
    <t>http://dx.doi.org/10.1109/TVCG.2015.2467613</t>
  </si>
  <si>
    <t>Dept. of Comput. Sci., Univ. of Wisconsin - Madison, Madison, WI, USA|c|</t>
  </si>
  <si>
    <t>http://dx.doi.org/10.1109/TVCG.2013.158</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</si>
  <si>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</si>
  <si>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Hua Guo;Steven R. Gomez;Caroline Ziemkiewicz;David H. Laidlaw</t>
  </si>
  <si>
    <t>Brown University;Brown University;Aptima Inc.;Brown University</t>
  </si>
  <si>
    <t>10.1109/INFVIS.2005.1532136;10.1109/TVCG.2014.2346575;10.1109/VAST.2014.7042482;10.1109/VAST.2008.4677365;10.1109/TVCG.2008.137;10.1109/VAST.2009.5333878;10.1109/TVCG.2014.2346452;10.1109/TVCG.2012.221;10.1109/TVCG.2007.70515</t>
  </si>
  <si>
    <t>Evaluation, visual analytics, interaction, intelligence analysis, insight-based evaluation</t>
  </si>
  <si>
    <t>InterAxis: Steering Scatterplot Axes via Observation-Level Interaction</t>
  </si>
  <si>
    <t>10.1109/TVCG.2015.2467615</t>
  </si>
  <si>
    <t>http://dx.doi.org/10.1109/TVCG.2015.2467615</t>
  </si>
  <si>
    <t>J̼lius Parulek;Andrea Brambilla</t>
  </si>
  <si>
    <t>Dept. ofInformatics, Univ. of Bergen, Bergen, Norway|c|;</t>
  </si>
  <si>
    <t>http://dx.doi.org/10.1109/TVCG.2013.159</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</si>
  <si>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</si>
  <si>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Hannah Kim;Jaegul Choo;Haesun Park;Alex Endert</t>
  </si>
  <si>
    <t>Georgia Institute of Technology;Korea University;Georgia Institute of Technology;Georgia Institute of Technology</t>
  </si>
  <si>
    <t>10.1109/TVCG.2011.185;10.1109/VAST.2012.6400486;10.1109/TVCG.2013.212;10.1109/VAST.2010.5652443;10.1109/TVCG.2011.201;10.1109/TVCG.2008.153;10.1109/VAST.2011.6102449;10.1109/TVCG.2013.157;10.1109/TVCG.2014.2346250;10.1109/VISUAL.1990.146386;10.1109/TVCG.2011.178;10.1109/TVCG.2013.167</t>
  </si>
  <si>
    <t>Scatterplots, user interaction, model steering</t>
  </si>
  <si>
    <t>Zuse Inst. Berlin, Berlin, Germany|c|;;;;</t>
  </si>
  <si>
    <t>Task-Driven Comparison of Topic Models</t>
  </si>
  <si>
    <t>10.1109/TVCG.2015.2467618</t>
  </si>
  <si>
    <t>http://dx.doi.org/10.1109/TVCG.2015.2467618</t>
  </si>
  <si>
    <t>http://dx.doi.org/10.1109/TVCG.2013.160</t>
  </si>
  <si>
    <t>Jean-Fran̤ois Im;Michael J. McGuffin;Rock Leung</t>
  </si>
  <si>
    <t>Ecole de Technol. Super., Montreal, QC, Canada|c|;;</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</si>
  <si>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</si>
  <si>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Eric C. Alexander;Michael Gleicher</t>
  </si>
  <si>
    <t>Eric Alexander;Michael Gleicher</t>
  </si>
  <si>
    <t>10.1109/TVCG.2011.232;10.1109/VAST.2014.7042493;10.1109/TVCG.2013.212;10.1109/TVCG.2011.239;10.1109/TVCG.2012.260;10.1109/INFVIS.2000.885098;10.1109/TVCG.2014.2346578;10.1109/TVCG.2013.221</t>
  </si>
  <si>
    <t>http://dx.doi.org/10.1109/TVCG.2013.161</t>
  </si>
  <si>
    <t>Interactive Visual Discovering of Movement Patterns from Sparsely Sampled Geo-tagged Social Media Data</t>
  </si>
  <si>
    <t>10.1109/TVCG.2015.2467619</t>
  </si>
  <si>
    <t>http://dx.doi.org/10.1109/TVCG.2015.2467619</t>
  </si>
  <si>
    <t>Dept. of Comput. Sci., Univ. of Pittsburgh, Pittsburgh, PA, USA|c|;;;;;;;</t>
  </si>
  <si>
    <t>http://dx.doi.org/10.1109/TVCG.2013.162</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</si>
  <si>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</si>
  <si>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Siming Chen;Xiaoru Yuan;Zhenhuang Wang;Cong Guo;Jie Liang;Zuchao Wang;Xiaolong Zhang 0001;Jiawan Zhang</t>
  </si>
  <si>
    <t>Siming Chen;Xiaoru Yuan;Zhenhuang Wang;Cong Guo;Jie Liang;Zuchao Wang;Xiaolong Luke Zhang;Jiawan Zhang</t>
  </si>
  <si>
    <t>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University;College of Information Sciences and Technology, Pennsylvania State University;School of Computer Science and Technology, and School of Computer Software, Tianjin University</t>
  </si>
  <si>
    <t>10.1109/VAST.2009.5332584;10.1109/VAST.2008.4677356;10.1109/TVCG.2009.182;10.1109/TVCG.2011.185;10.1109/TVCG.2012.291;10.1109/TVCG.2009.143;10.1109/INFVIS.2004.27;10.1109/INFVIS.2005.1532150;10.1109/TVCG.2012.265;10.1109/TVCG.2014.2346746;10.1109/TVCG.2014.2346922</t>
  </si>
  <si>
    <t>Spatial temporal visual analytics, Geo-tagged social media, Sparsely sampling, Uncertainty, Movement</t>
  </si>
  <si>
    <t>Interactive Visual Profiling of Musicians</t>
  </si>
  <si>
    <t>10.1109/TVCG.2015.2467620</t>
  </si>
  <si>
    <t>http://dx.doi.org/10.1109/TVCG.2015.2467620</t>
  </si>
  <si>
    <t>http://dx.doi.org/10.1109/TVCG.2013.163</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</si>
  <si>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</si>
  <si>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Stefan Jänicke;Josef Focht;Gerik Scheuermann</t>
  </si>
  <si>
    <t>Image and Signal Processing Group, Germany;Museum of Musical Instruments, Germany;Image and Signal Processing Group, Germany</t>
  </si>
  <si>
    <t>10.1109/VAST.2011.6102454;10.1109/TVCG.2010.159;10.1109/TVCG.2014.2346431;10.1109/TVCG.2007.70617;10.1109/VAST.2009.5333443;10.1109/TVCG.2014.2346433;10.1109/TVCG.2008.175;10.1109/TVCG.2012.252;10.1109/VAST.2012.6400485;10.1109/INFVIS.2005.1532126;10.1109/TVCG.2012.277;10.1109/VAST.2012.6400491;10.1109/VAST.2007.4389004;10.1109/TVCG.2014.2346677;10.1109/TVCG.2009.111;10.1109/TVCG.2006.122;10.1109/VAST.2010.5652931;10.1109/VAST.2009.5333023;10.1109/VAST.2007.4389006;10.1109/VAST.2009.5333248;10.1109/VAST.2008.4677370;10.1109/VAST.2010.5652520</t>
  </si>
  <si>
    <t>visual analytics, profiling system, musicians database visualization, digital humanities, musicology</t>
  </si>
  <si>
    <t>CiteRivers: Visual Analytics of Citation Patterns</t>
  </si>
  <si>
    <t>10.1109/TVCG.2015.2467621</t>
  </si>
  <si>
    <t>http://dx.doi.org/10.1109/TVCG.2015.2467621</t>
  </si>
  <si>
    <t>Inria, France;;;;</t>
  </si>
  <si>
    <t>http://dx.doi.org/10.1109/TVCG.2013.164</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</si>
  <si>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</si>
  <si>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Florian Heimerl;Qi Han;Steffen Koch;Thomas Ertl</t>
  </si>
  <si>
    <t>Institute for Visualization and Interactive Systems (VIS);Institute for Visualization and Interactive Systems (VIS);Institute for Visualization and Interactive Systems (VIS);Institute for Visualization and Interactive Systems (VIS)</t>
  </si>
  <si>
    <t>10.1109/INFVIS.2004.77;10.1109/TVCG.2015.2467757;10.1109/TVCG.2008.166;10.1109/TVCG.2013.212;10.1109/VAST.2009.5333443;10.1109/TVCG.2011.239;10.1109/TVCG.2012.252;10.1109/TVCG.2013.162;10.1109/TVCG.2012.277;10.1109/INFVIS.2004.45;10.1109/INFVIS.2005.1532150;10.1109/TVCG.2009.162;10.1109/TVCG.2009.171;10.1109/INFVIS.2005.1532122;10.1109/INFVIS.1995.528686;10.1109/TVCG.2014.2346920;10.1109/TVCG.2009.202</t>
  </si>
  <si>
    <t>scientific literature, visual document analysis, visual citation analysis, streamgraph, clustering</t>
  </si>
  <si>
    <t>Supporting Iterative Cohort Construction with Visual Temporal Queries</t>
  </si>
  <si>
    <t>10.1109/TVCG.2015.2467622</t>
  </si>
  <si>
    <t>http://dx.doi.org/10.1109/TVCG.2015.2467622</t>
  </si>
  <si>
    <t>Wesley Willett;Shiry Ginosar;Avital Steinitz;Bj̦rn Hartmann;Maneesh Agrawala</t>
  </si>
  <si>
    <t>INRIA, Sophia-Antipolis, France|c|;;;;</t>
  </si>
  <si>
    <t>http://dx.doi.org/10.1109/TVCG.2013.166</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</si>
  <si>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</si>
  <si>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Josua Krause;Adam Perer;Harry Stavropoulos</t>
  </si>
  <si>
    <t>NYU;IBM T.J. Watson Research Center;IBM T.J. Watson Research Center</t>
  </si>
  <si>
    <t>10.1109/TVCG.2011.185;10.1109/VAST.2007.4389013;10.1109/VAST.2006.261421;10.1109/TVCG.2014.2346682;10.1109/VAST.2010.5652890;10.1109/TVCG.2014.2346482;10.1109/TVCG.2013.200;10.1109/TVCG.2013.206;10.1109/TVCG.2009.117;10.1109/INFVIS.2001.963273;10.1109/TVCG.2012.225;10.1109/TVCG.2013.167</t>
  </si>
  <si>
    <t>Visual temporal queries, cohort definition, electronic medical records, information visualization</t>
  </si>
  <si>
    <t>Mikkel R��nne Jakobsen;Yonas Sahlemariam Haile;S��ren Knudsen;Kasper Hornb�_k</t>
  </si>
  <si>
    <t>Univ. of Copenhagen, Copenhagen, Denmark|c|;;;</t>
  </si>
  <si>
    <t>http://dx.doi.org/10.1109/TVCG.2013.167</t>
  </si>
  <si>
    <t>PhenoBlocks: Phenotype Comparison Visualizations</t>
  </si>
  <si>
    <t>10.1109/TVCG.2015.2467733</t>
  </si>
  <si>
    <t>http://dx.doi.org/10.1109/TVCG.2015.2467733</t>
  </si>
  <si>
    <t>http://dx.doi.org/10.1109/TVCG.2013.168</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</si>
  <si>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</si>
  <si>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Michael Glueck;Peter Hamilton;Fanny Chevalier;Simon Breslav;Azam Khan;Daniel J. Wigdor;Michael Brudno</t>
  </si>
  <si>
    <t>Michael Glueck;Peter Hamilton;Fanny Chevalier;Simon Breslav;Azam Khan;Daniel Wigdor;Michael Brudno</t>
  </si>
  <si>
    <t>Autodesk Research;University of Toronto;INRIA;Autodesk Research;Autodesk Research;University of Toronto;University of Toronto</t>
  </si>
  <si>
    <t>10.1109/VAST.2011.6102439;10.1109/TVCG.2013.214;10.1109/TVCG.2013.231;10.1109/VAST.2011.6102438;10.1109/TVCG.2008.121;10.1109/TVCG.2009.167;10.1109/TVCG.2009.116;10.1109/INFVIS.2000.885091;10.1109/TVCG.2007.70529;10.1109/INFVIS.2003.1249030;10.1109/TVCG.2012.226</t>
  </si>
  <si>
    <t>Clinical diagnosis, differential hierarchy comparison, ontology, genomics, phenomics, phenotype</t>
  </si>
  <si>
    <t>Visual Analysis and Dissemination of Scientific Literature Collections with SurVis</t>
  </si>
  <si>
    <t>10.1109/TVCG.2015.2467757</t>
  </si>
  <si>
    <t>http://dx.doi.org/10.1109/TVCG.2015.2467757</t>
  </si>
  <si>
    <t>Dept. of Comput. Sci., Univ. of Manitoba, Winnipeg, MB, Canada|c|;</t>
  </si>
  <si>
    <t>http://dx.doi.org/10.1109/TVCG.2013.169</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</si>
  <si>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</si>
  <si>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Fabian Beck 0001;Sebastian Koch;Daniel Weiskopf</t>
  </si>
  <si>
    <t>Fabian Beck;Sebastian Koch;Daniel Weiskopf</t>
  </si>
  <si>
    <t>VISUS, University of Stuttgart, Germany;VISUS, University of Stuttgart, Germany;VISUS, University of Stuttgart, Germany</t>
  </si>
  <si>
    <t>10.1109/TVCG.2011.169;10.1109/TVCG.2012.252;10.1109/TVCG.2015.2467621;10.1109/VAST.2009.5333564;10.1109/TVCG.2010.194;10.1109/VAST.2007.4389006;10.1109/TVCG.2013.167</t>
  </si>
  <si>
    <t>Visual analytics of documents, bibliographic data, dissemination, literature browser</t>
  </si>
  <si>
    <t>TrajGraph: A Graph-Based Visual Analytics Approach to Studying Urban Network Centralities Using Taxi Trajectory Data</t>
  </si>
  <si>
    <t>10.1109/TVCG.2015.2467771</t>
  </si>
  <si>
    <t>http://dx.doi.org/10.1109/TVCG.2015.2467771</t>
  </si>
  <si>
    <t>Dept. of Comput. Graphics, FAU Erlangen, Erlangen, Germany|c|;;;</t>
  </si>
  <si>
    <t>http://dx.doi.org/10.1109/TVCG.2013.170</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</si>
  <si>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</si>
  <si>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Xiaoke Huang;Ye Zhao;Chao Ma;Jing Yang;Xinyue Ye;Chong Zhang</t>
  </si>
  <si>
    <t>Department of Computer Science, Kent State University;Department of Computer Science, Kent State University;Department of Computer Science, Kent State University;Department of Computer Science, University of North Carolina at Charlotte;Department of Geography, Kent State University;Department of Computer Science, University of North Carolina at Charlotte</t>
  </si>
  <si>
    <t>10.1109/VAST.2009.5332593;10.1109/TVCG.2013.226;10.1109/TVCG.2009.145;10.1109/VAST.2011.6102455;10.1109/TVCG.2006.122;10.1109/TVCG.2012.265;10.1109/TVCG.2013.228;10.1109/TVCG.2014.2346746</t>
  </si>
  <si>
    <t>Graph based visual analytics, Centrality, Taxi trajectories, Urban network, Transportation assessment</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</si>
  <si>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 rformance and to discuss differences between the two experimental approaches.</t>
  </si>
  <si>
    <t>Mikkel R��nne Jakobsen;Kasper Hornb�_k</t>
  </si>
  <si>
    <t>BiSet: Semantic Edge Bundling with Biclusters for Sensemaking</t>
  </si>
  <si>
    <t>Univ. of Copenhagen, Copenhagen, Denmark|c|;</t>
  </si>
  <si>
    <t>10.1109/TVCG.2015.2467813</t>
  </si>
  <si>
    <t>http://dx.doi.org/10.1109/TVCG.2015.2467813</t>
  </si>
  <si>
    <t>http://dx.doi.org/10.1109/TVCG.2013.172</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</si>
  <si>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</si>
  <si>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Maoyuan Sun;Peng Mi;Chris North;Naren Ramakrishnan</t>
  </si>
  <si>
    <t>Department of Computer Science, Discovery Analytics Center;Department of Computer Science, Discovery Analytics Center;Department of Computer Science, Discovery Analytics Center;Department of Computer Science, Discovery Analytics Center</t>
  </si>
  <si>
    <t>10.1109/TVCG.2007.70521;10.1109/TVCG.2009.122;10.1109/TVCG.2008.135;10.1109/TVCG.2012.252;10.1109/TVCG.2012.260;10.1109/INFVIS.2004.1;10.1109/TVCG.2014.2346260;10.1109/TVCG.2007.70582;10.1109/TVCG.2006.147;10.1109/TVCG.2011.233;10.1109/VAST.2009.5333878;10.1109/TVCG.2011.250;10.1109/TVCG.2010.138;10.1109/TVCG.2014.2346752;10.1109/TVCG.2010.210;10.1109/TVCG.2011.183;10.1109/TVCG.2014.2346665</t>
  </si>
  <si>
    <t>Bicluster, coordinated relationship, semantic edge bundling</t>
  </si>
  <si>
    <t>Univ. of California, Davis, Davis, CA, USA|c|;</t>
  </si>
  <si>
    <t>VA2: A Visual Analytics Approach for Evaluating Visual Analytics Applications</t>
  </si>
  <si>
    <t>10.1109/TVCG.2015.2467871</t>
  </si>
  <si>
    <t>http://dx.doi.org/10.1109/TVCG.2013.173</t>
  </si>
  <si>
    <t>http://dx.doi.org/10.1109/TVCG.2015.2467871</t>
  </si>
  <si>
    <t>Johannes Kepler Univ. Linz, Linz, Austria|c|;;;;</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</si>
  <si>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</si>
  <si>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Tanja Blascheck;Markus John;Kuno Kurzhals;Steffen Koch;Thomas Ertl</t>
  </si>
  <si>
    <t>Institute for Visualization and Interactive Systems (VIS), Germany;Institute for Visualization and Interactive Systems (VIS), Germany;Visualization Research Center, Germany;Institute for Visualization and Interactive Systems (VIS), Germany;Institute for Visualization and Interactive Systems (VIS), Germany</t>
  </si>
  <si>
    <t>10.1109/TVCG.2012.276;10.1109/TVCG.2013.124;10.1109/VAST.2008.4677361;10.1109/VAST.2009.5333878;10.1109/TVCG.2014.2346677;10.1109/VAST.2010.5653598;10.1109/TVCG.2012.273;10.1109/VISUAL.2005.1532837</t>
  </si>
  <si>
    <t>visual analytics, qualitative evaluation, thinking aloud, interaction logs, eye tracking, time series data</t>
  </si>
  <si>
    <t>http://dx.doi.org/10.1109/TVCG.2013.174</t>
  </si>
  <si>
    <t>The Visual Causality Analyst: An Interactive Interface for Causal Reasoning</t>
  </si>
  <si>
    <t>10.1109/TVCG.2015.2467931</t>
  </si>
  <si>
    <t>http://dx.doi.org/10.1109/TVCG.2015.2467931</t>
  </si>
  <si>
    <t>SCI Inst., Univ. of Utah, Salt Lake City, UT, USA|c|;;;;</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</si>
  <si>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</si>
  <si>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http://dx.doi.org/10.1109/TVCG.2013.177</t>
  </si>
  <si>
    <t>Jun Wang;Klaus Mueller</t>
  </si>
  <si>
    <t>Computer Science Department, Visual Analytics and Imaging Lab, Stony Brook, NY;Computer Science Department, Visual Analytics and Imaging Lab, Stony Brook, NY</t>
  </si>
  <si>
    <t>10.1109/INFVIS.2003.1249025;10.1109/TVCG.2007.70528;10.1109/TVCG.2012.225;10.1109/VAST.2007.4388999</t>
  </si>
  <si>
    <t>Visual knowledge discovery, Causality, Hypothesis testing, Visual evidence, High-dimensional data</t>
  </si>
  <si>
    <t>VEEVVIE: Visual Explorer for Empirical Visualization, VR and Interaction Experiments</t>
  </si>
  <si>
    <t>10.1109/TVCG.2015.2467954</t>
  </si>
  <si>
    <t>http://dx.doi.org/10.1109/TVCG.2015.2467954</t>
  </si>
  <si>
    <t>Andreas Reh;Christian Gusenbauer;Johann Kastner;M. Eduard Gr̦ller;Christoph Heinzl</t>
  </si>
  <si>
    <t>Univ. of Appl. Sci. Upper Austria, Wels, Austria|c|;;;;</t>
  </si>
  <si>
    <t>http://dx.doi.org/10.1109/TVCG.2013.178</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</si>
  <si>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</si>
  <si>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Charilaos Papadopoulos;Ievgeniia Gutenko;Arie E. Kaufman</t>
  </si>
  <si>
    <t>C. Papadopoulos;I. Gutenko;A. E. Kaufman</t>
  </si>
  <si>
    <t>Dept. of Computer Science, Stony Brook University, Stony Brook, NY;Dept. of Computer Science, Stony Brook University, Stony Brook, NY;Dept. of Computer Science, Stony Brook University, Stony Brook, NY</t>
  </si>
  <si>
    <t>10.1109/TVCG.2012.276;10.1109/TVCG.2012.251;10.1109/TVCG.2014.2346591;10.1109/TVCG.2010.157;10.1109/TVCG.2014.2346311;10.1109/INFVIS.2000.885086;10.1109/INFVIS.2004.12</t>
  </si>
  <si>
    <t>Visual Analytics, Evaluation, User Studies, Ontology, Experiments, Interaction, Virtual Reality, Visualization</t>
  </si>
  <si>
    <t>VAiRoma: A Visual Analytics System for Making Sense of Places, Times, and Events in Roman History</t>
  </si>
  <si>
    <t>10.1109/TVCG.2015.2467971</t>
  </si>
  <si>
    <t>http://dx.doi.org/10.1109/TVCG.2015.2467971</t>
  </si>
  <si>
    <t>J�_rgen Bernard;Nils Wilhelm;Bj̦rn Kr�_ger;Thorsten May;Tobias Schreck;J̦rn Kohlhammer</t>
  </si>
  <si>
    <t>Fraunhofer Inst. for Comput. Graphics Res. Darmstadt, Darmstadt, Germany|c|;;;;;</t>
  </si>
  <si>
    <t>http://dx.doi.org/10.1109/TVCG.2013.179</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</si>
  <si>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</si>
  <si>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Isaac Cho;Wenwen Dou;Xiaoyu Wang;Eric Sauda;William Ribarsky</t>
  </si>
  <si>
    <t>Isaac Cho;Wewnen Dou;Derek Xiaoyu Wang;Eric Sauda;William Ribarsky</t>
  </si>
  <si>
    <t>10.1109/VAST.2014.7042493;10.1109/VAST.2007.4389012;10.1109/TVCG.2014.2346431;10.1109/TVCG.2007.70617;10.1109/TVCG.2008.178;10.1109/VAST.2010.5652885;10.1109/TVCG.2011.239;10.1109/VAST.2012.6400485;10.1109/TVCG.2013.162;10.1109/INFVIS.2000.885098;10.1109/TVCG.2011.179;10.1109/TVCG.2014.2346481;10.1109/INFVIS.2000.885091</t>
  </si>
  <si>
    <t>Visual Analytics, Text Analytics, Wikipedia</t>
  </si>
  <si>
    <t>Exploring Evolving Media Discourse Through Event Cueing</t>
  </si>
  <si>
    <t>10.1109/TVCG.2015.2467991</t>
  </si>
  <si>
    <t>http://dx.doi.org/10.1109/TVCG.2015.2467991</t>
  </si>
  <si>
    <t>http://dx.doi.org/10.1109/TVCG.2013.180</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</si>
  <si>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</si>
  <si>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Yafeng Lu;Michael Steptoe;Sarah Burke;Hong Wang;Jiun-Yi Tsai;Hasan Davulcu;Douglas Montgomery;Steven R. Corman;Ross Maciejewski</t>
  </si>
  <si>
    <t>Arizona State University;Arizona State University;Arizona State University;Arizona State University;Arizona State University;Arizona State University;Arizona State University;Arizona State University;Arizona State University</t>
  </si>
  <si>
    <t>10.1109/TVCG.2013.222;10.1109/VAST.2011.6102488;10.1109/VAST.2012.6400557;10.1109/VAST.2012.6400485;10.1109/TVCG.2013.162;10.1109/VAST.2008.4677364;10.1109/TVCG.2014.2346682;10.1109/VAST.2014.7042484;10.1109/TVCG.2011.179;10.1109/VAST.2014.7042494;10.1109/VAST.2012.6400491;10.1109/VAST.2009.5333919;10.1109/INFVIS.1999.801851;10.1109/TVCG.2012.225;10.1109/TVCG.2014.2346913</t>
  </si>
  <si>
    <t>Media Analysis, Time Series Analysis, Event Detection</t>
  </si>
  <si>
    <t>LiteVis: Integrated Visualization for Simulation-Based Decision Support in Lighting Design</t>
  </si>
  <si>
    <t>10.1109/TVCG.2015.2468011</t>
  </si>
  <si>
    <t>http://dx.doi.org/10.1109/TVCG.2015.2468011</t>
  </si>
  <si>
    <t>Paper Title</t>
  </si>
  <si>
    <t>Paper DOI</t>
  </si>
  <si>
    <t>First page</t>
  </si>
  <si>
    <t>Last page</t>
  </si>
  <si>
    <t>Panel, Keynote, Captstone, Demo, Poster, ...</t>
  </si>
  <si>
    <t>http://dx.doi.org/10.1109/TVCG.2013.181</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</si>
  <si>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</si>
  <si>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Johannes Sorger;Thomas Ortner;Christian Luksch;Michael Schwärzler;M. Eduard Gröller;Harald Piringer</t>
  </si>
  <si>
    <t>Johannes Sorger;Thomas Ortner;Christian Luksch;Michael Schwärzler;Eduard Gröller;Harald Piringer</t>
  </si>
  <si>
    <t>VRVis Research Center;VRVis Research Center;VRVis Research Center;VRVis Research Center;TU Wien;VRVis Research Center</t>
  </si>
  <si>
    <t>10.1109/TVCG.2014.2346626;10.1109/TVCG.2011.185;10.1109/TVCG.2010.190;10.1109/TVCG.2013.147;10.1109/INFVIS.2003.1249032;10.1109/TVCG.2013.173;10.1109/TVCG.2009.110;10.1109/TVCG.2014.2346321</t>
  </si>
  <si>
    <t>Integrating Spatial and Non-Spatial Data Visualization, Visualization in Physical Sciences and Engineering, Coordinated and Multiple Views, Visual Knowledge Discovery</t>
  </si>
  <si>
    <t>Reducing Snapshots to Points: A Visual Analytics Approach to Dynamic Network Exploration</t>
  </si>
  <si>
    <t>10.1109/TVCG.2015.2468078</t>
  </si>
  <si>
    <t>http://dx.doi.org/10.1109/TVCG.2015.2468078</t>
  </si>
  <si>
    <t>Paper type: C=conference paper, J = journal paper, M=miscellaneous (capstone, keynote, VAST challenge, panel, poster, ...)</t>
  </si>
  <si>
    <t>Univ. of Bonn, Bonn, Germany|c|;</t>
  </si>
  <si>
    <t>Author Names</t>
  </si>
  <si>
    <t>First Author Affiliation</t>
  </si>
  <si>
    <t>http://dx.doi.org/10.1109/TVCG.2013.182</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</si>
  <si>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</si>
  <si>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Stef van den Elzen;Danny Holten;Jorik Blaas;Jarke J. van Wijk</t>
  </si>
  <si>
    <t>Author IDs</t>
  </si>
  <si>
    <t>Deduped author names</t>
  </si>
  <si>
    <t>Eindhoven University of Technology;SynerScope B. V.;SynerScope B. V.;Eindhoven University of Technology</t>
  </si>
  <si>
    <t>References</t>
  </si>
  <si>
    <t>10.1109/TVCG.2011.226;10.1109/INFVIS.2004.18;10.1109/TVCG.2013.198;10.1109/TVCG.2006.147;10.1109/TVCG.2006.193;10.1109/TVCG.2008.125;10.1109/TVCG.2011.178;10.1109/INFVIS.1999.801851</t>
  </si>
  <si>
    <t>Dynamic Networks, Exploration, Dimensionality Reduction</t>
  </si>
  <si>
    <t>MobilityGraphs: Visual Analysis of Mass Mobility Dynamics via Spatio-Temporal Graphs and Clustering</t>
  </si>
  <si>
    <t>10.1109/TVCG.2015.2468111</t>
  </si>
  <si>
    <t>http://dx.doi.org/10.1109/TVCG.2015.2468111</t>
  </si>
  <si>
    <t>Author Keywords</t>
  </si>
  <si>
    <t>IEEE XPLORE Article Number (deprecated)</t>
  </si>
  <si>
    <t>IEEE Xplore Number Guessed (deprecated)</t>
  </si>
  <si>
    <t>References (deprecated)</t>
  </si>
  <si>
    <t>http://dx.doi.org/10.1109/TVCG.2013.183</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</si>
  <si>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</si>
  <si>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Tatiana von Landesberger;Felix Brodkorb;Philipp Roskosch;Natalia V. Andrienko;Gennady L. Andrienko;Andreas Kerren</t>
  </si>
  <si>
    <t>Tatiana von Landesberger;Felix Brodkorb;Philipp Roskosch;Natalia Andrienko;Gennady Andrienko;Andreas Kerren</t>
  </si>
  <si>
    <t>Technical University of Darmstadt, Germany;Technical University of Darmstadt, Germany;Technical University of Darmstadt, Germany;Fraunhofer IAIS, Bonn, Germany;Fraunhofer IAIS, Bonn, Germany;Fraunhofer IAIS, Bonn, Germany</t>
  </si>
  <si>
    <t>10.1109/TVCG.2011.202;10.1109/TVCG.2011.226;10.1109/TVCG.2011.233;10.1109/INFVIS.2004.18;10.1109/TVCG.2009.143;10.1109/TVCG.2014.2346271;10.1109/TVCG.2008.125;10.1109/TVCG.2014.2346441;10.1109/INFVIS.1999.801851;10.1109/VAST.2012.6400553;10.1109/VAST.2009.5333893;10.1109/INFVIS.2005.1532150</t>
  </si>
  <si>
    <t>Visual analytics, movement data, networks, graphs, temporal aggregation, spatial aggregation, flows, clustering</t>
  </si>
  <si>
    <t>egoSlider: Visual Analysis of Egocentric Network Evolution</t>
  </si>
  <si>
    <t>10.1109/TVCG.2015.2468151</t>
  </si>
  <si>
    <t>http://dx.doi.org/10.1109/TVCG.2015.2468151</t>
  </si>
  <si>
    <t>Dept. of Comput. Sci., Univ. of Wisconsin - Madison, Madison, WI, USA|c|;;;</t>
  </si>
  <si>
    <t>http://dx.doi.org/10.1109/TVCG.2013.184</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</si>
  <si>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</si>
  <si>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Rubio-Sanchez, M.;Raya, L.;Diaz, F.;Sanchez, A.</t>
  </si>
  <si>
    <t>Yanhong Wu;Naveen Pitipornvivat;Jian Zhao;Sixiao Yang;Guowei Huang;Huamin Qu</t>
  </si>
  <si>
    <t>Hong Kong University of Science and Technology;Hong Kong University of Science and Technology;Autodesk Research;Huawei Technologies Co. Ltd.;Huawei Technologies Co. Ltd.;Hong Kong University of Science and Technology</t>
  </si>
  <si>
    <t>10.1109/TVCG.2011.169;10.1109/TVCG.2011.226;10.1109/TVCG.2006.147;10.1109/TVCG.2013.149</t>
  </si>
  <si>
    <t>Egocentric network, dynamic graph, network visualization, glyph-based design, visual analytics</t>
  </si>
  <si>
    <t>5652433;729568;663916;6634131;6875998;4658161</t>
  </si>
  <si>
    <t>3D Regression Heat Map Analysis of Population Study Data</t>
  </si>
  <si>
    <t>http://dx.doi.org/10.1109/TVCG.2013.186</t>
  </si>
  <si>
    <t>10.1109/TVCG.2015.2468291</t>
  </si>
  <si>
    <t>http://dx.doi.org/10.1109/TVCG.2015.2468291</t>
  </si>
  <si>
    <t>Harald Bosch;Dennis Thom;Florian Heimerl;Edwin Puttmann;Steffen Koch;Robert Kr�_ger;Michael W̦rner 0001;Thomas Ertl</t>
  </si>
  <si>
    <t>Visualization &amp; Interactive Syst., Univ. of Stuttgart, Stuttgart, Germany|c|;;;;;;;</t>
  </si>
  <si>
    <t>Setlur, V.;Stone, M.C.</t>
  </si>
  <si>
    <t>http://dx.doi.org/10.1109/TVCG.2013.187</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</si>
  <si>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</si>
  <si>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Paul Klemm;Kai Lawonn;Sylvia Glaßer;Uli Niemann;Katrin Hegenscheid;Henry Völzke;Bernhard Preim</t>
  </si>
  <si>
    <t>Otto-von-Guericke University Magdeburg, Germany;Otto-von-Guericke University Magdeburg, Germany;Otto-von-Guericke University Magdeburg, Germany;Otto-von-Guericke University Magdeburg, Germany;Ernst-Moritz-Arndt University Greifswald, Germany;Ernst-Moritz-Arndt University Greifswald, Germany;Otto-von-Guericke University Magdeburg, Germany</t>
  </si>
  <si>
    <t>10.1109/TVCG.2011.229;10.1109/TVCG.2011.185;10.1109/VAST.2009.5333431;10.1109/TVCG.2013.160;10.1109/TVCG.2014.2346591;10.1109/TVCG.2013.161;10.1109/TVCG.2013.125;10.1109/TVCG.2014.2346321</t>
  </si>
  <si>
    <t>Interactive Visual Analysis, Regression Analysis, Heat Map, Epidemiology, Breast Cancer, Hepatic Steatosis</t>
  </si>
  <si>
    <t>MotionFlow: Visual Abstraction and Aggregation of Sequential Patterns in Human Motion Tracking Data</t>
  </si>
  <si>
    <t>10.1109/TVCG.2015.2468292</t>
  </si>
  <si>
    <t>http://dx.doi.org/10.1109/TVCG.2015.2468292</t>
  </si>
  <si>
    <t>Physical visualizations, or data physicalizations, encode data in attributes of physical shapes. Despite a considerable body of work on visual variables, ΓÇ£physical variablesΓÇ¥ remain poorly understood. One of them is physical size. A difficulty for solid elements is that ΓÇ£sizeΓÇ¥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</si>
  <si>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Jansen, Y.;Hornbaek, K.</t>
  </si>
  <si>
    <t>Inst. fur Inf., Univ. Wurzburg, Wurzburg, Germany|c|;;;</t>
  </si>
  <si>
    <t>6327257;6634103;6327283;6634126;4376134;6888482;6876021</t>
  </si>
  <si>
    <t>http://dx.doi.org/10.1109/TVCG.2013.188</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</si>
  <si>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</si>
  <si>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Sujin Jang;Niklas Elmqvist;Karthik Ramani</t>
  </si>
  <si>
    <t>Purdue University, West Lafayette, IN, USA;University of Maryland, College Park, MD, USA;Purdue University, West Lafayette, IN, USA</t>
  </si>
  <si>
    <t>10.1109/TVCG.2013.178;10.1109/TVCG.2009.181;10.1109/TVCG.2011.239;10.1109/TVCG.2014.2346682;10.1109/TVCG.2012.258;10.1109/TVCG.2013.196;10.1109/TVCG.2013.200;10.1109/TVCG.2006.192;10.1109/INFVIS.2005.1532152;10.1109/TVCG.2013.181;10.1109/TVCG.2010.149;10.1109/VISUAL.2002.1183778;10.1109/TVCG.2008.172;10.1109/TVCG.2012.225;10.1109/TVCG.2014.2346920</t>
  </si>
  <si>
    <t>Human motion visualization, interactive clustering, motion tracking data, expert reviews, user study</t>
  </si>
  <si>
    <t>Wavelet-based visualization of time-varying data on graphs</t>
  </si>
  <si>
    <t>10.1109/VAST.2015.7347624</t>
  </si>
  <si>
    <t>http://dx.doi.org/10.1109/VAST.2015.7347624</t>
  </si>
  <si>
    <t>Simonetto, P.;Archambault, D.;Scheidegger, C.</t>
  </si>
  <si>
    <t>Simonetto, P.;Archambault, D.;Scheidegger, C.E.</t>
  </si>
  <si>
    <t>http://dx.doi.org/10.1109/TVCG.2013.189</t>
  </si>
  <si>
    <t>6064991;6634104;5290706;6876017;5613447</t>
  </si>
  <si>
    <t>Benjamin K̦hler 0001;Rocco Gasteiger;Uta Preim;Holger Theisel;Matthias Gutberlet;Bernhard Preim</t>
  </si>
  <si>
    <t>Byrne, L.;Angus, D.;Wiles, J.</t>
  </si>
  <si>
    <t>6634103;5613455;1532122;6064988;4376133;5613452;1382903;6327280;4658138</t>
  </si>
  <si>
    <t>http://dx.doi.org/10.1109/TVCG.2013.190</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</si>
  <si>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</si>
  <si>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Paola Valdivia;Fabio Dias;Fabiano Petronetto;Cláudio T. Silva;Luis Gustavo Nonato</t>
  </si>
  <si>
    <t>Paola Valdivia;Fabio Dias;Fabiano Petronetto;Cláudio T. Silva;L. G. Nonato</t>
  </si>
  <si>
    <t>University of São Paulo, Brazil;University of São Paulo, Brazil;UFES, Brazil;New York University, USA;University of São Paulo, Brazil</t>
  </si>
  <si>
    <t>10.1109/VAST.2008.4677356;10.1109/TVCG.2014.2346449;10.1109/TVCG.2013.226;10.1109/INFVIS.2000.885098;10.1109/TVCG.2013.228</t>
  </si>
  <si>
    <t>Yalcin, M.A.;Elmqvist, N.;Bederson, B.B.</t>
  </si>
  <si>
    <t>Time-varying data, graph wavelets, stacked graph visualization</t>
  </si>
  <si>
    <t>Univ. of Maryland, College Park, MD, USA|c|;;</t>
  </si>
  <si>
    <t>6064991;6634104;6064996;5290706;4376143;4658148;1382886;4376146;4658145;6876017;5613447;6876026</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</si>
  <si>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SketchPadND,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SketchPadND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</si>
  <si>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Mixed-initiative visual analytics using task-driven recommendations</t>
  </si>
  <si>
    <t>10.1109/VAST.2015.7347625</t>
  </si>
  <si>
    <t>http://dx.doi.org/10.1109/VAST.2015.7347625</t>
  </si>
  <si>
    <t>http://dx.doi.org/10.1109/TVCG.2013.191</t>
  </si>
  <si>
    <t>Yong Wang;Qiaomu Shen;Archambault, D.;Zhiguang Zhou;Min Zhu;Sixiao Yang;Huamin Qu</t>
  </si>
  <si>
    <t>4015416;4015425;6327253;5332628;4658147;6327250</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</si>
  <si>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</si>
  <si>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Kristin A. Cook;Nick Cramer;David J. Israel;Michael Wolverton;Joe Bruce;Russ Burtner;Alex Endert</t>
  </si>
  <si>
    <t>Kristin Cook;Nick Cramer;David Israel;Michael Wolverton;Joe Bruce;Russ Burtner;Alex Endert</t>
  </si>
  <si>
    <t>Pacific Northwest National Laboratory, USA;Pacific Northwest National Laboratory, USA;SRI International, USA;SRI International, USA;Pacific Northwest National Laboratory, USA;Pacific Northwest National Laboratory, USA;Georgia Institute of Technology, USA</t>
  </si>
  <si>
    <t>10.1109/VAST.2012.6400486;10.1109/VAST.2011.6102438;10.1109/VAST.2012.6400559;10.1109/TVCG.2014.2346573;10.1109/VAST.2014.7042492;10.1109/TVCG.2008.174;10.1109/TVCG.2013.225</t>
  </si>
  <si>
    <t>mixed-initiative visual analytics, task modeling, recommender systems, sensemaking</t>
  </si>
  <si>
    <t>http://dx.doi.org/10.1109/TVCG.2013.192</t>
  </si>
  <si>
    <t>Integrating predictive analytics into a spatiotemporal epidemic simulation</t>
  </si>
  <si>
    <t>Anand, A.;Talbot, J.</t>
  </si>
  <si>
    <t>10.1109/VAST.2015.7347626</t>
  </si>
  <si>
    <t>http://dx.doi.org/10.1109/VAST.2015.7347626</t>
  </si>
  <si>
    <t>5652433;729568;6064985;4015421;5613439;5290704;1249006;4376133;4035766;885086;5332628;5613434;1532142</t>
  </si>
  <si>
    <t>INRIA, Univ. Paris-Sud, Paris, France|c|;;</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</si>
  <si>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ΓÇ£at-a-glanceΓÇ¥ are also capable of effectively conveying the message of the visualization. Thus, a memorable visualization is often also an effective one.</t>
  </si>
  <si>
    <t>Borkin, M.A.;Bylinskii, Z.;Nam Wook Kim;Bainbridge, C.M.;Yeh, C.S.;Borkin, D.;Pfister, H.;Oliva, A.</t>
  </si>
  <si>
    <t>http://dx.doi.org/10.1109/TVCG.2013.193</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</si>
  <si>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</si>
  <si>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Borkin, M.;Bylinskii, Z.;Nam Wook Kim;Bainbridge, C.M.;Yeh, C.S.;Borkin, D.;Pfister, H.;Oliva, A.</t>
  </si>
  <si>
    <t>Chris Bryan;Xue Wu;Susan M. Mniszewski;Kwan-Liu Ma</t>
  </si>
  <si>
    <t>Chris Bryan;Xue Wu;Susan Mniszewski;Kwan-Liu Ma</t>
  </si>
  <si>
    <t>VIDi @ U.C. Davis, USA;VIDi @ U.C. Davis, USA;Los Alamos National Lab, USA;VIDi @ U.C. Davis, USA</t>
  </si>
  <si>
    <t>6327282;6634103;6065011;6327245;6064986;6634103;6327247;5653598;6327253;6327280</t>
  </si>
  <si>
    <t>10.1109/VAST.2011.6102457;10.1109/INFVIS.1998.729563;10.1109/TVCG.2014.2346926;10.1109/TVCG.2013.125;10.1109/TVCG.2010.181;10.1109/TVCG.2014.2346321;10.1109/TVCG.2011.248;10.1109/TVCG.2012.190</t>
  </si>
  <si>
    <t>Predictive Modeling, Visual Analytics, Epidemic Visualization, Spatial-Temporal Systems</t>
  </si>
  <si>
    <t>Collaborative visual analysis with RCloud</t>
  </si>
  <si>
    <t>10.1109/VAST.2015.7347627</t>
  </si>
  <si>
    <t>http://dx.doi.org/10.1109/VAST.2015.7347627</t>
  </si>
  <si>
    <t>http://dx.doi.org/10.1109/TVCG.2013.194</t>
  </si>
  <si>
    <t>Models of human perception - including perceptual ΓÇ£lawsΓÇ¥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</si>
  <si>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</si>
  <si>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Kay, M.;Heer, J.</t>
  </si>
  <si>
    <t>Stephen C. North;Carlos Eduardo Scheidegger;Simon Urbanek;Gordon Woodhull</t>
  </si>
  <si>
    <t>Stephen North;Carlos Scheidegger;Simon Urbanek;Gordon Woodhull</t>
  </si>
  <si>
    <t>Infovisible, USA;University of Arizona, USA;AT&amp;T Labs, USA;AT&amp;T Labs, USA</t>
  </si>
  <si>
    <t>10.1109/TVCG.2011.185;10.1109/VAST.2007.4389011;10.1109/TVCG.2012.219;10.1109/TVCG.2009.195;10.1109/TVCG.2007.70577</t>
  </si>
  <si>
    <t>visual analytics process, provenance, collaboration, visualization, computer-supported cooperative work</t>
  </si>
  <si>
    <t>Visualization Res. Center (VISUS), Univ. of Stuttgart, Stuttgart, Germany|c|;</t>
  </si>
  <si>
    <t>http://dx.doi.org/10.1109/TVCG.2013.196</t>
  </si>
  <si>
    <t>Johansson, J.;Forsell, C.</t>
  </si>
  <si>
    <t>Norrkoping Visualization Center C, Linkoping Univ., Linkoping, Sweden|c|;</t>
  </si>
  <si>
    <t>6875958;6064997;809866;6875978;1173157;6634108;1532138;5290704;1382895;1382884;6065022;663867</t>
  </si>
  <si>
    <t>http://dx.doi.org/10.1109/TVCG.2013.197</t>
  </si>
  <si>
    <t>Strobelt, H.;Oelke, D.;Bum Chul Kwon;Schreck, T.;Pfister, H.</t>
  </si>
  <si>
    <t>6327290;4389004;6875959;4376133;6064990;5290723;6102453;528686</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</si>
  <si>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 linking caused substantial interference. These findings suggest promise for the idea of exploiting natural brushing actions to provide awareness in collaborative work.</t>
  </si>
  <si>
    <t>http://dx.doi.org/10.1109/TVCG.2013.198</t>
  </si>
  <si>
    <t>Yoghourdjian, V.;Dwyer, T.;Gange, G.;Kieffer, S.;Klein, K.;Marriott, K.</t>
  </si>
  <si>
    <t>4658137;6634098;4015435;5290700;1249009;7192690;6327253</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</si>
  <si>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ΓÇ£human-centredΓÇ¥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</si>
  <si>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Kieffer, S.;Dwyer, T.;Marriott, K.;Wybrow, M.</t>
  </si>
  <si>
    <t>4015416;6327251;6634098;4015435;5290700;4658145;4015425;6327253;4658147</t>
  </si>
  <si>
    <t>http://dx.doi.org/10.1109/TVCG.2013.200</t>
  </si>
  <si>
    <t>How do People Make Sense of Unfamiliar Visualizations?: A Grounded Model of Novice&amp;#x0027;s Information Visualization Sensemaking</t>
  </si>
  <si>
    <t>Sukwon Lee;Sung-Hee Kim;Ya-Hsin Hung;Lam, H.;Youn-ah Kang;Ji Soo Yi</t>
  </si>
  <si>
    <t>Sch. of Ind. Eng., Purdue Univ., West Lafayette, IN, USA|c|;;;;;</t>
  </si>
  <si>
    <t>Univ. of Maryland, College Park, MD, USA|c|;;;;</t>
  </si>
  <si>
    <t>6634103;6875906;5613431;6102435;6876022;5613437;6875967;5613452;4376144</t>
  </si>
  <si>
    <t>http://dx.doi.org/10.1109/TVCG.2013.205</t>
  </si>
  <si>
    <t>Ottley, A.;Peck, E.M.;Harrison, L.T.;Afergan, D.;Ziemkiewicz, C.;Taylor, H.A.;Han, P.K.J.;Chang, R.</t>
  </si>
  <si>
    <t>Ottley, A.;Peck, E.M.;Harrison, L.;Afergan, D.;Ziemkiewicz, C.;Taylor, H.A.;Han, P.K.J.;Chang, R.</t>
  </si>
  <si>
    <t>6875913;5653587;6064988;6634182;6327259;5613452;1532836</t>
  </si>
  <si>
    <t>Brehmer, M.;Ng, J.;Tate, K.;Munzner, T.</t>
  </si>
  <si>
    <t>6064996;6634168;4658136;6634166;6634146;5613429;4376151;6065017;6876000;6875995;5290695;6065016;6327248;801851;1532122</t>
  </si>
  <si>
    <t>Albo, Y.;Lanir, J.;Bak, P.;Rafaeli, S.</t>
  </si>
  <si>
    <t>Univ. of Haifa, Haifa, Israel|c|;;;</t>
  </si>
  <si>
    <t>5613430;4658146</t>
  </si>
  <si>
    <t>Middlebury Coll., USA|c|;</t>
  </si>
  <si>
    <t>http://dx.doi.org/10.1109/TVCG.2013.206</t>
  </si>
  <si>
    <t>Lehmann, D.J.;Theisel, H.</t>
  </si>
  <si>
    <t>Univ. of Magdeburg, Magdeburg, Germany|c|;</t>
  </si>
  <si>
    <t>5652433;6102437;6064985;663916;6065024;6634131;5613468;4035766;1532142</t>
  </si>
  <si>
    <t>Inst. of Software Technol. &amp; Interactive Syst., Vienna Univ. of Technol., Vienna, Austria|c|;;;;</t>
  </si>
  <si>
    <t>http://dx.doi.org/10.1109/TVCG.2013.207</t>
  </si>
  <si>
    <t>Raidou, R.G.;Eisemann, M.;Breeuwer, M.;Eisemann, E.;Vilanova, A.</t>
  </si>
  <si>
    <t>729568;1382894;4015422;4376143;1532141;809866;6065025;6875978;1173157;1532138;5290704;485139;4015444;1382895;346302;1249008;567800;1249015;5290705</t>
  </si>
  <si>
    <t>Dept. of Comput. Sci., Swansea Univ., Swansea, UK|c|;;;;;;</t>
  </si>
  <si>
    <t>http://dx.doi.org/10.1109/TVCG.2013.208</t>
  </si>
  <si>
    <t>McCurdy, N.;Lein, J.;Coles, K.;Meyer, M.</t>
  </si>
  <si>
    <t>6064991;5290706;5333443;4658140;6065003;1532126;6327248;4389006;5290726;5290722;1173155;4658133;528686</t>
  </si>
  <si>
    <t>Stahnke, J.;Dörk, M.;Müller, B.;Thom, A.</t>
  </si>
  <si>
    <t>6634124;6064988;5652392;146402;5290704;6327255;6876023;6634128;5290709;346302;4376132;1382891;528686</t>
  </si>
  <si>
    <t>Dept. of Comput. &amp; Inf. Sci. &amp; Eng., Univ. of Florida, Gainesville, FL, USA|c|;</t>
  </si>
  <si>
    <t>http://dx.doi.org/10.1109/TVCG.2013.209</t>
  </si>
  <si>
    <t>Satyanarayan, A.;Russell, R.;Hoffswell, J.;Heer, J.</t>
  </si>
  <si>
    <t>480821;5290720;6064996;5613453;6875985;6634137;5613437;567746_1;885086;1382904;7192728;4376144</t>
  </si>
  <si>
    <t>http://dx.doi.org/10.1109/TVCG.2013.210</t>
  </si>
  <si>
    <t>Cohé, A.;Liutkus, B.;Bailly, G.;Eagan, J.;Lecolinet, E.</t>
  </si>
  <si>
    <t>1382906;6327253;1249008</t>
  </si>
  <si>
    <t>Four considerations for supporting visual analysis in display ecologies</t>
  </si>
  <si>
    <t>10.1109/VAST.2015.7347628</t>
  </si>
  <si>
    <t>http://dx.doi.org/10.1109/VAST.2015.7347628</t>
  </si>
  <si>
    <t>Univ. of Toronto &amp; OCAD Univ., Toronto, ON, Canada|c|;;</t>
  </si>
  <si>
    <t>Roberts, J.C.;Headleand, C.;Ritsos, P.D.</t>
  </si>
  <si>
    <t>5613460;885092;4015439;346304;6876000;5290695;6327248;1382903;6327281;4376144;4658138</t>
  </si>
  <si>
    <t>http://dx.doi.org/10.1109/TVCG.2013.211</t>
  </si>
  <si>
    <t>VanderPlas, S.;Hofmann, H.</t>
  </si>
  <si>
    <t>6327249;6876021;5613434</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</si>
  <si>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</si>
  <si>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Haeyong Chung;Chris North;Sarang Joshi;Jian Chen</t>
  </si>
  <si>
    <t>University of Alabama Huntsville, USA;Virginia Tech, USA;Virginia Tech, USA;University of Maryland Baltimore County, USA</t>
  </si>
  <si>
    <t>Supporting activity recognition by visual analytics</t>
  </si>
  <si>
    <t>10.1109/VAST.2015.7347629</t>
  </si>
  <si>
    <t>http://dx.doi.org/10.1109/VAST.2015.7347629</t>
  </si>
  <si>
    <t>http://dx.doi.org/10.1109/TVCG.2013.212</t>
  </si>
  <si>
    <t>Hinrichs, U.;Forlini, S.;Moynihan, B.</t>
  </si>
  <si>
    <t>SACHI Group, Univ. of St. Andrews, St. Andrews, UK|c|;;</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</si>
  <si>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</si>
  <si>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Martin Röhlig;Martin Luboschik;Frank Krüger 0001;Thomas Kirste;Heidrun Schumann;Markus Bögl;Bilal Alsallakh;Silvia Miksch</t>
  </si>
  <si>
    <t>Martin Röhlig;Martin Luboschik;Frank Krüger;Thomas Kirste;Heidrun Schumann;Markus Bögl;Bilal Alsallakh;Silvia Miksch</t>
  </si>
  <si>
    <t>University of Rostock, Germany;University of Rostock, Germany;University of Rostock, Germany;University of Rostock, Germany;University of Rostock, Germany;Vienna University of Technology, Austria;Vienna University of Technology, Austria;Vienna University of Technology, Austria</t>
  </si>
  <si>
    <t>6327285;6875900;4658131;4658128;4376134;6327248;4389006;5290726;4376131;5290722;4658133;4677370</t>
  </si>
  <si>
    <t>10.1109/TVCG.2014.2346454;10.1109/TVCG.2011.253;10.1109/TVCG.2014.2346321;10.1109/TVCG.2011.248;10.1109/TVCG.2009.187;10.1109/VAST.2009.5332595</t>
  </si>
  <si>
    <t>iVizTRANS: Interactive visual learning for home and work place detection from massive public transportation data</t>
  </si>
  <si>
    <t>10.1109/VAST.2015.7347630</t>
  </si>
  <si>
    <t>http://dx.doi.org/10.1109/VAST.2015.7347630</t>
  </si>
  <si>
    <t>http://dx.doi.org/10.1109/TVCG.2013.213</t>
  </si>
  <si>
    <t>Boy, J.;Eveillard, L.;Detienne, F.;Fekete, J.-D.</t>
  </si>
  <si>
    <t>Boy, J.;Eveillard, L.;Detienne, F.;Fekete, J.</t>
  </si>
  <si>
    <t>6875906;6634126;5613452;1532122</t>
  </si>
  <si>
    <t>Johanna Schmidt;M. Eduard Gr̦ller;Stefan Bruckner</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</si>
  <si>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</si>
  <si>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Liang Yu;Wei Wu;Xiaohui Li;Guangxia Li;Wee Siong Ng;See-Kiong Ng;Zhongwen Huang;Anushiya Arunan;Hui Min Watt</t>
  </si>
  <si>
    <t>Institute for Infocomm Research, Singapore;Institute for Infocomm Research, Singapore;Institute for Infocomm Research, Singapore;Institute for Infocomm Research, Singapore;Institute for Infocomm Research, Singapore;Institute for Infocomm Research, Singapore;Urban Redevelopment Authority, Singapore;Urban Redevelopment Authority, Singapore;Urban Redevelopment Authority, Singapore</t>
  </si>
  <si>
    <t>10.1109/INFVIS.2004.27;10.1109/INFVIS.2002.1173155</t>
  </si>
  <si>
    <t>Smart card data, origin-destination (OD), spatiotemporal visualization, clustering, machine learning</t>
  </si>
  <si>
    <t>http://dx.doi.org/10.1109/TVCG.2013.214</t>
  </si>
  <si>
    <t>DemographicVis: Analyzing demographic information based on user generated content</t>
  </si>
  <si>
    <t>10.1109/VAST.2015.7347631</t>
  </si>
  <si>
    <t>http://dx.doi.org/10.1109/VAST.2015.7347631</t>
  </si>
  <si>
    <t>Bach, B.;Conglei Shi;Heulot, N.;Madhyastha, T.;Grabowski, T.;Dragicevic, P.</t>
  </si>
  <si>
    <t>Microsoft Res.-Inria Joint Centre, USA|c|;;;;;</t>
  </si>
  <si>
    <t>6064991;4376143;1382886;6875930;6634087;1173155</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</si>
  <si>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</si>
  <si>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Wenwen Dou;Isaac Cho;Omar ElTayeby;Jaegul Choo;Xiaoyu Wang;William Ribarsky</t>
  </si>
  <si>
    <t>http://dx.doi.org/10.1109/TVCG.2013.215</t>
  </si>
  <si>
    <t>UNC Charlotte, USA;UNC Charlotte, USA;UNC Charlotte, USA;Korea University, South Korea;Taste Analytics, USA;UNC Charlotte, USA</t>
  </si>
  <si>
    <t>Walker, J.;Borgo, R.;Jones, M.W.</t>
  </si>
  <si>
    <t>10.1109/VAST.2014.7042493;10.1109/TVCG.2013.212;10.1109/TVCG.2014.2346433;10.1109/VAST.2011.6102461;10.1109/TVCG.2014.2346920</t>
  </si>
  <si>
    <t>Visual Text Analysis, User Interface, Social Media, Demographic Analysis</t>
  </si>
  <si>
    <t>5290701;6875940;1532148;6065014;5613429;5613426;801860;6065009</t>
  </si>
  <si>
    <t>EgoNetCloud: Event-based egocentric dynamic network visualization</t>
  </si>
  <si>
    <t>10.1109/VAST.2015.7347632</t>
  </si>
  <si>
    <t>http://dx.doi.org/10.1109/VAST.2015.7347632</t>
  </si>
  <si>
    <t>Thomas Auzinger;Gabriel Mistelbauer;Ivan Baclija;R�_diger Schernthaner;Arnold K̦chl;Michael Wimmer;M. Eduard Gr̦ller;Stefan Bruckner</t>
  </si>
  <si>
    <t>Loorak, M.H.;Perin, C.;Kamal, N.;Hill, M.;Carpendale, S.</t>
  </si>
  <si>
    <t>Dept. of Comput. Sci., Univ. of Calgary, Calgary, AB, Canada|c|;;;;</t>
  </si>
  <si>
    <t>1532136;4035762;6875996;6634100;6875988;1532152;5290711;6327272;4376144</t>
  </si>
  <si>
    <t>http://dx.doi.org/10.1109/TVCG.2013.219</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</si>
  <si>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</si>
  <si>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Qingsong Liu;Yifan Hu;Lei Shi;Xinzhu Mu;Yutao Zhang;Jie Tang 0001</t>
  </si>
  <si>
    <t>Qingsong Liu;Yifan Hu;Lei Shi;Xinzhu Mu;Yutao Zhang;Jie Tang</t>
  </si>
  <si>
    <t>SKLCS, Institute of Software, Chinese Academy of Sciences, China;Yahoo Labs, New York, USA;SKLCS, Institute of Software, Chinese Academy of Sciences, China;Academy of Art and Design, Tsinghua University, China;Department of Computer Science and Technology, Tsinghua University, China;Department of Computer Science and Technology, Tsinghua University, China</t>
  </si>
  <si>
    <t>10.1109/TVCG.2010.159;10.1109/TVCG.2011.226;10.1109/TVCG.2011.213</t>
  </si>
  <si>
    <t>FPSSeer: Visual analysis of game frame rate data</t>
  </si>
  <si>
    <t>10.1109/VAST.2015.7347633</t>
  </si>
  <si>
    <t>http://dx.doi.org/10.1109/VAST.2015.7347633</t>
  </si>
  <si>
    <t>Strobelt, H.;Alsallakh, B.;Botros, J.;Peterson, B.;Borowsky, M.;Pfister, H.;Lex, A.</t>
  </si>
  <si>
    <t>Sch. of Comput. Software &amp; Inf. Technol., Tianjin Univ., Tianjin, China|c|;;;;</t>
  </si>
  <si>
    <t>6634170;6634091;6876017</t>
  </si>
  <si>
    <t>http://dx.doi.org/10.1109/TVCG.2013.220</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</si>
  <si>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</si>
  <si>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Quan Li;Peng Xu;Huamin Qu</t>
  </si>
  <si>
    <t>NetEase Games, NetEase, Inc., Hong Kong University of Science and Technology, China;NetEase Games, NetEase, Inc., China;Hong Kong University of Science and Technology, China</t>
  </si>
  <si>
    <t>10.1109/TVCG.2008.166;10.1109/INFVIS.2000.885098;10.1109/TVCG.2011.202;10.1109/TVCG.2014.2346445;10.1109/INFVIS.2001.963273</t>
  </si>
  <si>
    <t>frame rate data, game performance evaluation, visual analytics</t>
  </si>
  <si>
    <t>Gschwandtner, T.;Bögl, M.;Federico, P.;Miksch, S.</t>
  </si>
  <si>
    <t>6875915;6327255;1173145;5290731</t>
  </si>
  <si>
    <t>Comparative visual analysis of vector field ensembles</t>
  </si>
  <si>
    <t>10.1109/VAST.2015.7347634</t>
  </si>
  <si>
    <t>http://dx.doi.org/10.1109/VAST.2015.7347634</t>
  </si>
  <si>
    <t>Akashic Labs. LLC, USA|c|;</t>
  </si>
  <si>
    <t>http://dx.doi.org/10.1109/TVCG.2013.221</t>
  </si>
  <si>
    <t>Thudt, A.;Baur, D.;Huron, S.;Carpendale, S.</t>
  </si>
  <si>
    <t>5613450;4376134;6888482;1382897</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</si>
  <si>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</si>
  <si>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Mihaela Jarema;Ismail Demir;Johannes Kehrer;Rüdiger Westermann</t>
  </si>
  <si>
    <t>Technische Universität München, Germany;Technische Universität München, Germany;Technische Universität München, Germany;Technische Universität München, Germany</t>
  </si>
  <si>
    <t>10.1109/TVCG.2014.2346626;10.1109/TVCG.2010.190;10.1109/VAST.2009.5332611;10.1109/TVCG.2006.160;10.1109/TVCG.2013.141;10.1109/TVCG.2013.177;10.1109/TVCG.2010.199;10.1109/TVCG.2014.2346321</t>
  </si>
  <si>
    <t>Uncertainty Visualization, Vector Field Data, Coordinated and Multiple Views, Glyph-based Techniques</t>
  </si>
  <si>
    <t>Interactive visual steering of hierarchical simulation ensembles</t>
  </si>
  <si>
    <t>Hong Kong Univ. of Sci. &amp; Technol., Hong Kong, China|c|;;;;;;</t>
  </si>
  <si>
    <t>10.1109/VAST.2015.7347635</t>
  </si>
  <si>
    <t>http://dx.doi.org/10.1109/VAST.2015.7347635</t>
  </si>
  <si>
    <t>http://dx.doi.org/10.1109/TVCG.2013.222</t>
  </si>
  <si>
    <t>Scheepens, R.;Hurter, C.;van de Wetering, H.;van Wijk, J.J.</t>
  </si>
  <si>
    <t>Dept. of Math. &amp; Comput. Sci., Eindhoven Univ. of Technol., Eindhoven, Netherlands|c|;;;</t>
  </si>
  <si>
    <t>6064996;6064975;809905;745294</t>
  </si>
  <si>
    <t>Markus B̦gl;Wolfgang Aigner;Peter Filzmoser;Tim Lammarsch;Silvia Miksch;Alexander Rind</t>
  </si>
  <si>
    <t>Vienna Univ. of Technol., Vienna, Austria|c|;;;;;</t>
  </si>
  <si>
    <t>Multi-level simulation models, i.e., models where different components are simulated using sub-models of varying levels of complexity, belong to the current state-of-the-art in simulation. The existing analysis practice for multi-level simulation results is to manually compare results from different levels of complexity, amounting to a very tedious and error-prone, trial-and-error exploration process. In this paper, we introduce hierarchical visual steering, a new approach to the exploration and design of complex systems. Hierarchical visual steering makes it possible to explore and analyze hierarchical simulation ensembles at different levels of complexity. At each level, we deal with a dynamic simulation ensemble - the ensemble grows during the exploration process. There is at least one such ensemble per simulation level, resulting in a collection of dynamic ensembles, analyzed simultaneously. The key challenge is to map the multi-dimensional parameter space of one ensemble to the multi-dimensional parameter space of another ensemble (from another level). In order to support the interactive visual analysis of such complex data we propose a novel approach to interactive and semi-automatic parameter space segmentation and comparison. The approach combines a novel interaction technique and automatic, computational methods - clustering, concave hull computation, and concave polygon overlapping - to support the analysts in the cross-ensemble parameter space mapping. In addition to the novel parameter space segmentation we also deploy coordinated multiple views with standard plots. We describe the abstract analysis tasks, identified during a case study, i.e., the design of a variable valve actuation system of a car engine. The study is conducted in cooperation with experts from the automotive industry. Very positive feedback indicates the usefulness and efficiency of the newly proposed approach.</t>
  </si>
  <si>
    <t>Rainer Splechtna;Kresimir Matkovic;Denis Gracanin;Mario Jelovic;Helwig Hauser</t>
  </si>
  <si>
    <t>Rainer Splechtna;Krešimir Matković;Denis Gračanin;Mario Jelović;Helwig Hauser</t>
  </si>
  <si>
    <t>VRVis Research Center in Vienna, Austria;VRVis Research Center in Vienna, Austria;Virginia Tech, Blacksburg, VA, USA;AVL-AST Zagreb, Croatia;University of Bergen, Norway</t>
  </si>
  <si>
    <t>10.1109/TVCG.2008.145;10.1109/TVCG.2014.2346744;10.1109/TVCG.2014.2346321;10.1109/VAST.2009.5333081;10.1109/TVCG.2010.223</t>
  </si>
  <si>
    <t>Interactive Visual Analysis, Simulation-Ensemble Steering, Multi-resolution simulation</t>
  </si>
  <si>
    <t>http://dx.doi.org/10.1109/TVCG.2013.223</t>
  </si>
  <si>
    <t>Goodwin, S.;Dykes, J.;Slingsby, A.;Turkay, C.</t>
  </si>
  <si>
    <t>Urbane: A 3D framework to support data driven decision making in urban development</t>
  </si>
  <si>
    <t>10.1109/VAST.2015.7347636</t>
  </si>
  <si>
    <t>4376135;6634166;4376146;6876047;6102448;6634169;6876043;5290702;6065022;6327268;6875987</t>
  </si>
  <si>
    <t>http://dx.doi.org/10.1109/VAST.2015.7347636</t>
  </si>
  <si>
    <t>Sch. of Electr. &amp; Comput. Eng., Purdue Univ., West Lafayette, IN, USA|c|;;;;</t>
  </si>
  <si>
    <t>Quinan, P.S.;Meyer, M.</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</si>
  <si>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</si>
  <si>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Nivan Ferreira;Marcos Lage;Harish Doraiswamy;Huy T. Vo;Luc Wilson;Heidi Werner;Muchan Park;Cláudio T. Silva</t>
  </si>
  <si>
    <t>146361;1183788;6065017;5613483;6327248;6634129</t>
  </si>
  <si>
    <t>Nivan Ferreira;Marcos Lage;Harish Doraiswamy;Huy Vo;Luc Wilson;Heidi Werner;Muchan Park;Cláudio Silva</t>
  </si>
  <si>
    <t>http://dx.doi.org/10.1109/TVCG.2013.224</t>
  </si>
  <si>
    <t>New York University, USA;Universidade Federal Fluminense, Brazil;New York University, USA;New York University, USA;Kohn Pedersen Fox Associates PC, USA;Kohn Pedersen Fox Associates PC, USA;Kohn Pedersen Fox Associates PC, USA;New York University, USA</t>
  </si>
  <si>
    <t>10.1109/VAST.2008.4677356;10.1109/TVCG.2014.2346446;10.1109/TVCG.2007.70574;10.1109/TVCG.2013.226;10.1109/TVCG.2007.70523;10.1109/TVCG.2013.228;10.1109/TVCG.2014.2346893;10.1109/TVCG.2014.2346898</t>
  </si>
  <si>
    <t>FeatureInsight: Visual support for error-driven feature ideation in text classification</t>
  </si>
  <si>
    <t>10.1109/VAST.2015.7347637</t>
  </si>
  <si>
    <t>http://dx.doi.org/10.1109/VAST.2015.7347637</t>
  </si>
  <si>
    <t>Wongsuphasawat, K.;Moritz, D.;Anand, A.;Mackinlay, J.;Howe, B.;Heer, J.</t>
  </si>
  <si>
    <t>Eli Packer;Peter Bak;Mikko Nikkil�_;Valentin Polishchuk;Harold J. Ship</t>
  </si>
  <si>
    <t>6875927;5290720;6064996;4376133;6876042;885086</t>
  </si>
  <si>
    <t>IBM Res. Haifa Lab., Haifa, Israel|c|;;;;</t>
  </si>
  <si>
    <t>http://dx.doi.org/10.1109/TVCG.2013.225</t>
  </si>
  <si>
    <t>http://dx.doi.org/10.1109/TVCG.2013.226</t>
  </si>
  <si>
    <t>T. Chitiboi;M. Neugebauer;S. Schnell;M. Markl;L. Linsen</t>
  </si>
  <si>
    <t>FraunhoferMEVIS, Jacobs University Bremen|c|;;;;</t>
  </si>
  <si>
    <t>Chitiboi, T.;Neugebauer, M.;Schnell, S.;Markl, M., Linsen, L.</t>
  </si>
  <si>
    <t>Nivan Ferreira;Jorge Poco;Huy T. Vo;Juliana Freire;Cl��udio T. Silva</t>
  </si>
  <si>
    <t>http://dx.doi.org/10.1109/TVCG.2013.227</t>
  </si>
  <si>
    <t>R. Liu;H. Guo;X. Yuan</t>
  </si>
  <si>
    <t>Key Laboratory of Machine Perception (Ministry of Education), and School of EECS, Peking University|c|;;</t>
  </si>
  <si>
    <t>Liu, R.;Guo, H.;Xiaoru Yuan</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</si>
  <si>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</si>
  <si>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Michael Brooks;Saleema Amershi;Bongshin Lee;Steven M. Drucker;Ashish Kapoor;Patrice Y. Simard</t>
  </si>
  <si>
    <t>Michael Brooks;Saleema Amershi;Bongshin Lee;Steven M. Drucker;Ashish Kapoor;Patrice Simard</t>
  </si>
  <si>
    <t>University of Washington, USA;Microsoft Research, USA;Microsoft Research, USA;Microsoft Research, USA;Microsoft Research, USA;Microsoft Research, USA</t>
  </si>
  <si>
    <t>Visual scalability of spatial ensemble uncertainty</t>
  </si>
  <si>
    <t>10.1109/VAST.2015.7347671</t>
  </si>
  <si>
    <t>http://dx.doi.org/10.1109/VAST.2015.7347671</t>
  </si>
  <si>
    <t>B. Laha;D. A. Bowman;D. H. Laidlaw;J. J. Socha</t>
  </si>
  <si>
    <t>Stanford University|c|;;;</t>
  </si>
  <si>
    <t>Laha, B.;Bowman, D.A.;Laidlaw, D.H.;Socha, J.J.</t>
  </si>
  <si>
    <t>http://dx.doi.org/10.1109/TVCG.2013.228</t>
  </si>
  <si>
    <t>1382902;6634168;6327218;5290732;6634181;6634156;6876043;1382903</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</si>
  <si>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</si>
  <si>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Sujan Anreddy;Song Zhang 0004;Andrew Mercer 0001;Jamie Dyer;J. Edward Swan</t>
  </si>
  <si>
    <t>Sujan Anreddy;Song Zhang;Andrew Mercer;Jamie Dyer;J. Edward Swan</t>
  </si>
  <si>
    <t>Mississippi State University, USA;Mississippi State University, USA;Mississippi State University, USA;Mississippi State University, USA;Mississippi State University, USA</t>
  </si>
  <si>
    <t>M. A. Livingston;J. W. Decker;Z. Ai</t>
  </si>
  <si>
    <t>Livingston, M.A.;Decker, J.W.;Ai, Z.</t>
  </si>
  <si>
    <t>Visually and statistically guided imputation of missing values in univariate seasonal time series</t>
  </si>
  <si>
    <t>10.1109/VAST.2015.7347672</t>
  </si>
  <si>
    <t>Key Lab. of Machine Perception, Peking Univ., Beijing, China|c|;;;;</t>
  </si>
  <si>
    <t>http://dx.doi.org/10.1109/VAST.2015.7347672</t>
  </si>
  <si>
    <t>http://dx.doi.org/10.1109/TVCG.2013.229</t>
  </si>
  <si>
    <t>H. Liao;Y. Wu;L. Chen;T. M. Hamill;Y. Wang;K. Dai;H. Zhang;W. Chen</t>
  </si>
  <si>
    <t>School of Software, Tsinghua National Laboratory for Information Science and Technology, Tsinghua University|c|;;;;;;;</t>
  </si>
  <si>
    <t>Liao, H.;Wu, Y.;Chen, L.;Hamill, T.M.;Wang, Y.;Dai, K.;Zhang, H.;Chen, W.</t>
  </si>
  <si>
    <t>6634109;6634123;6634188;5290751;4658178;6876041;5613483;346298;6634129</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</si>
  <si>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</si>
  <si>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Markus Bögl;Peter Filzmoser;Theresia Gschwandtner;Silvia Miksch;Wolfgang Aigner;Alexander Rind;Tim Lammarsch</t>
  </si>
  <si>
    <t>M. Bögl;P. Filzmoser;T. Gschwandtner;S. Miksch;W. Aigner;A. Rind;T. Lammarsch</t>
  </si>
  <si>
    <t>Vienna University of Technology, Austria;Vienna University of Technology, Austria;Vienna University of Technology, Austria;Vienna University of Technology, Austria;St. Pölten University of Applied Sciences, Germany;St. Pölten University of Applied Sciences, Germany;MODUL University Vienna, Austria</t>
  </si>
  <si>
    <t>Myoungsu Cho;Bo Hyoung Kim;Hee-Joon Bae;Jinwook Seo</t>
  </si>
  <si>
    <t>Colorado Sch. of Mines, Golden, CO, USA|c|;</t>
  </si>
  <si>
    <t>StreamVisND: Visualizing relationships in streaming multivariate data</t>
  </si>
  <si>
    <t>10.1109/VAST.2015.7347673</t>
  </si>
  <si>
    <t>http://dx.doi.org/10.1109/VAST.2015.7347673</t>
  </si>
  <si>
    <t>In streaming acquisitions the data changes over time. ThemeRiver and line charts are common methods to display data over time. However, these methods can only show the values of the variables (or attributes) but not the relationships among them over time. We propose a framework we call StreamVis&amp;lt;sup&amp;gt;ND&amp;lt;/sup&amp;gt; that can display these types of streaming data relations. It first slices the data stream into different time slices, then it visualizes each slice with a sequence of multivariate 2D data layouts, and finally it flattens this series of displays into a parallel coordinate type display. Our framework is fully interactive and lends itself well to real-time displays.</t>
  </si>
  <si>
    <t>Shenghui Cheng;Yue Wang;Dan Zhang;Zhifang Jiang;Klaus Mueller</t>
  </si>
  <si>
    <t>Visual Analytics and Imaging Lab, Computer Science Department, Stony Brook University and SUNY Korea;Department of Computer Science, Shandong University, China;Visual Analytics and Imaging Lab, Computer Science Department, Stony Brook University and SUNY Korea;Department of Computer Science, Shandong University, China;Visual Analytics and Imaging Lab, Computer Science Department, Stony Brook University and SUNY Korea</t>
  </si>
  <si>
    <t>A software developer's guide to informal evaluation of Visual Analytics environments using VAST Challenge information</t>
  </si>
  <si>
    <t>10.1109/VAST.2015.7347674</t>
  </si>
  <si>
    <t>http://dx.doi.org/10.1109/VAST.2015.7347674</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</si>
  <si>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</si>
  <si>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Kristin A. Cook;Jean Scholtz;Mark A. Whiting</t>
  </si>
  <si>
    <t>Pacific Northwest National Laboratory, USA;Pacific Northwest National Laboratory, USA;Pacific Northwest National Laboratory, USA</t>
  </si>
  <si>
    <t>HTMVS: Visualizing hierarchical topics and their evolution</t>
  </si>
  <si>
    <t>10.1109/VAST.2015.7347675</t>
  </si>
  <si>
    <t>http://dx.doi.org/10.1109/VAST.2015.7347675</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</si>
  <si>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</si>
  <si>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Haoling Dong;Siliang Tang;Si Li;Fei Wu 0001;Yueting Zhuang</t>
  </si>
  <si>
    <t>Haoling Dong;Siliang Tang;Si Li;Fei Wu;Yueting Zhuang</t>
  </si>
  <si>
    <t>College of Computer Science, Zhejiang University, Hangzhou, China;College of Computer Science, Zhejiang University, Hangzhou, China;College of Computer Science, Zhejiang University, Hangzhou, China;College of Computer Science, Zhejiang University, Hangzhou, China;College of Computer Science, Zhejiang University, Hangzhou, China</t>
  </si>
  <si>
    <t>Interactive semi-automatic categorization for spinel group minerals</t>
  </si>
  <si>
    <t>10.1109/VAST.2015.7347676</t>
  </si>
  <si>
    <t>http://dx.doi.org/10.1109/VAST.2015.7347676</t>
  </si>
  <si>
    <t>http://dx.doi.org/10.1109/TVCG.2013.230</t>
  </si>
  <si>
    <t>Spinel group minerals are excellent indicators of geological environments (tectonic settings). In 2001, Barnes and Roeder defined a set of contours corresponding to compositional fields for spinel group minerals. Geologists typically use this contours to estimate the tectonic environment where a particular spinel composition could have been formed. This task is prone to errors and requires tedious manual comparison of overlapping diagrams. We introduce a semi-automatic, interactive detection of tectonic settings for an arbitrary dataset based on the Barnes and Roeder contours. The new approach integrates the mentioned contours and includes a novel interaction called contour brush. The new methodology is integrated in the Spinel Explorer system and it improves the scientist's workflow significantly.</t>
  </si>
  <si>
    <t>Maria Luján Ganuza;Maria Florencia Gargiulo;Gabriela Ferracutti;Silvia Mabel Castro;Ernesto A. Bjerg;M. Eduard Gröller;Kresimir Matkovic</t>
  </si>
  <si>
    <t>María Luján Ganuza;Florencia Gargiulo;Gabriela Ferracutti;Silvia Castro;Ernesto Bjerg;Eduard Gröller;Krešimir Matković</t>
  </si>
  <si>
    <t>VyGLab, UNS, USA;INGEOSUR CONICET, Argentina;INGEOSUR CONICET, Argentina;VyGLab, UNS, USA;INGEOSUR CONICET, Argentina;TU Wien, Austria;VRVis, Austria</t>
  </si>
  <si>
    <t>A System for visual exploration of caution spots from vehicle recorder data</t>
  </si>
  <si>
    <t>10.1109/VAST.2015.7347677</t>
  </si>
  <si>
    <t>http://dx.doi.org/10.1109/VAST.2015.7347677</t>
  </si>
  <si>
    <t>Dept. of Comput. Sci., Wayne State Univ., Detroit, MI, USA|c|;</t>
  </si>
  <si>
    <t>http://dx.doi.org/10.1109/TVCG.2013.231</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</si>
  <si>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</si>
  <si>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Masahiko Itoh;Daisaku Yokoyama;Masashi Toyoda;Masaru Kitsuregawa</t>
  </si>
  <si>
    <t>The University of Tokyo, and National Institute of Information and Communications Technology, Japan;The University of Tokyo, Japan;The University of Tokyo, Japan;National Institute of Informatics, and The University of Tokyo, Japan</t>
  </si>
  <si>
    <t>Visual Analytics for fraud detection and monitoring</t>
  </si>
  <si>
    <t>10.1109/VAST.2015.7347678</t>
  </si>
  <si>
    <t>http://dx.doi.org/10.1109/VAST.2015.7347678</t>
  </si>
  <si>
    <t>John Alexis Guerra G�_mez;Michael L. Pack;Catherine Plaisant;Ben Shneiderman</t>
  </si>
  <si>
    <t>Dept. of Comput. Sci., Univ. of Maryland, College Park, MD, USA|c|;;;</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</si>
  <si>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</si>
  <si>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Roger A. Leite;Theresia Gschwandtner;Silvia Miksch;Erich Gstrein;Johannes Kuntner</t>
  </si>
  <si>
    <t>Vienna University of Technology, Austria;Vienna University of Technology, Austria;Vienna University of Technology, Austria;Erste Group IT, USA;Erste Group IT, USA</t>
  </si>
  <si>
    <t>http://dx.doi.org/10.1109/TVCG.2013.232</t>
  </si>
  <si>
    <t>Visual analysis of route choice behaviour based on GPS trajectories</t>
  </si>
  <si>
    <t>10.1109/VAST.2015.7347679</t>
  </si>
  <si>
    <t>http://dx.doi.org/10.1109/VAST.2015.7347679</t>
  </si>
  <si>
    <t>VISUS, Univ. of Stuttgart, Stuttgart, Germany|c|;;</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</si>
  <si>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</si>
  <si>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Min Lu;Chufan Lai;Tangzhi Ye;Jie Liang;Xiaoru Yuan</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</si>
  <si>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t>
  </si>
  <si>
    <t>http://dx.doi.org/10.1109/TVCG.2013.233</t>
  </si>
  <si>
    <t>Using visualization and analysis with efficient dimension Reduction to determine underlying factors in hospital inpatient procedure costs</t>
  </si>
  <si>
    <t>10.1109/VAST.2015.7347680</t>
  </si>
  <si>
    <t>http://dx.doi.org/10.1109/VAST.2015.7347680</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</si>
  <si>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</si>
  <si>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Miriam Perkins;Yanlai Chen</t>
  </si>
  <si>
    <t>University of Massachusetts Lowell, USA;University of Massachusetts Dartmouth, USA</t>
  </si>
  <si>
    <t>Topicks: Visualizing complex topic models for user comprehension</t>
  </si>
  <si>
    <t>10.1109/VAST.2015.7347681</t>
  </si>
  <si>
    <t>http://dx.doi.org/10.1109/VAST.2015.7347681</t>
  </si>
  <si>
    <t>Hermann, M.;Schunke, A.C.;Schultz, T.;Klein, R.</t>
  </si>
  <si>
    <t>Inst. fur Inf. II, Univ. Bonn, Bonn, Germany|c|;;;</t>
  </si>
  <si>
    <t>4015467;1183754;6876009;6876018;4015468</t>
  </si>
  <si>
    <t>http://dx.doi.org/10.1109/TVCG.2013.234</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</si>
  <si>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</si>
  <si>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Jessica Peter;Steve James Szigeti;Ana Jofre;Sara Diamond</t>
  </si>
  <si>
    <t>Jessica Peter;Steve Szigeti;Ana Jofre;Sara Diamond</t>
  </si>
  <si>
    <t>OCAD University, Canada;OCAD University, Canada;OCAD University, Canada;OCAD University, Canada</t>
  </si>
  <si>
    <t>TimeStitch: Interactive multi-focus cohort discovery and comparison</t>
  </si>
  <si>
    <t>10.1109/VAST.2015.7347682</t>
  </si>
  <si>
    <t>http://dx.doi.org/10.1109/VAST.2015.7347682</t>
  </si>
  <si>
    <t>Weiss, K.;Lindstrom, P.</t>
  </si>
  <si>
    <t>5613492;663860;1183810;6064949;568127;5290779</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</si>
  <si>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</si>
  <si>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Peter J. Polack Jr.;Shang-Tse Chen;Minsuk Kahng;Moushumi Sharmin;Duen Horng Chau</t>
  </si>
  <si>
    <t>S. Houde;S. Bonde;D. H. Laidlaw</t>
  </si>
  <si>
    <t>Brown University|c|;;</t>
  </si>
  <si>
    <t>Peter J. Polack;Shang-Tse Chen;Minsuk Kahng;Moushumi Sharmin;Duen Horng Chau</t>
  </si>
  <si>
    <t>Houde, S.;Bonde, S.;Laidlaw, D.H.</t>
  </si>
  <si>
    <t>Georgia Tech., USA;Georgia Tech., USA;Georgia Tech., USA;University of Memphis., USA;Georgia Tech., USA</t>
  </si>
  <si>
    <t>Tell me what do you see: Detecting perceptually-separable visual patterns via clustering of image-space features in visualizations</t>
  </si>
  <si>
    <t>10.1109/VAST.2015.7347683</t>
  </si>
  <si>
    <t>http://dx.doi.org/10.1109/VAST.2015.7347683</t>
  </si>
  <si>
    <t>Hendrik Strobelt &amp; Hanspeter Pfister, Harvard Univ., Cambridge, MA, USA|c|;;;;</t>
  </si>
  <si>
    <t>Byska, J.;Le Muzic, M.;Gröller, M.E.;Viola, I.;Kozlikova, B.</t>
  </si>
  <si>
    <t>Masaryk Univ., Brno, Czech Republic|c|;;;;</t>
  </si>
  <si>
    <t>Byska, J.;Le Muzic, M.;Groller, E.;Viola, I.;Kozlikova, B.</t>
  </si>
  <si>
    <t>1183754;5290734;6064966;964540</t>
  </si>
  <si>
    <t>Visualization helps users infer structures and relationships in the data by encoding information as visual features that can be processed by the human visual-perceptual system. However, users would typically need to expend significant effort to scan and analyze a large number of views before they can begin to recognize relationships in a visualization. We propose a technique to partially automate the process of analyzing visualizations. By deriving and analyzing image-space features from visualizations, we can detect perceptually-separable patterns in the information space. We summarize these patterns with a tree-based meta-visualization and present it to the user to aid exploration. We illustrate this technique with an example scenario involving the analysis of census data.</t>
  </si>
  <si>
    <t>Khairi Reda;Alberto Gonzalez;Jason Leigh;Michael E. Papka</t>
  </si>
  <si>
    <t>Khairi Reda;Alberto González;Jason Leigh;Michael E. Papka</t>
  </si>
  <si>
    <t>Argonne National Laboratory, USA;University of Hawai'i at Mānoa, USA;University of Hawai'i at Mānoa, USA;Argonne National Laboratory, USA</t>
  </si>
  <si>
    <t>Sequencing of categorical time series</t>
  </si>
  <si>
    <t>10.1109/VAST.2015.7347684</t>
  </si>
  <si>
    <t>http://dx.doi.org/10.1109/VAST.2015.7347684</t>
  </si>
  <si>
    <t>Ament, M.;Dachsbacher, C.</t>
  </si>
  <si>
    <t>Karlsruhe Inst. of Technol., Karlsruhe, Germany|c|;</t>
  </si>
  <si>
    <t>6875905;6634150;6875910;6327241;809886;1250414;6064955;1532772;346331;1183771;6064942;1372186;6327242;567777</t>
  </si>
  <si>
    <t>Georgia Tech, Atlanta, GA, USA|c|;;;</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</si>
  <si>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</si>
  <si>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Christian Richter;Martin Luboschik;Martin Röhlig;Heidrun Schumann</t>
  </si>
  <si>
    <t>University of Rostock, Germany;University of Rostock, Germany;University of Rostock, Germany;University of Rostock, Germany</t>
  </si>
  <si>
    <t>Visual Pruner: Visually guided cohort selection for observational studies</t>
  </si>
  <si>
    <t>10.1109/VAST.2015.7347685</t>
  </si>
  <si>
    <t>6634187;4376167;4658163;4376165;485139;4015447;6400488;6065027;4389000</t>
  </si>
  <si>
    <t>http://dx.doi.org/10.1109/VAST.2015.7347685</t>
  </si>
  <si>
    <t>Inst. of Technol., Univ. of Ontario, Toronto, ON, Canada|c|;</t>
  </si>
  <si>
    <t>S. Park;H. Seo;S. Cha;J. Noh</t>
  </si>
  <si>
    <t>KAIST|c|;;;</t>
  </si>
  <si>
    <t>Park, S.;Seo, H.;Cha, S.;Noh, J.</t>
  </si>
  <si>
    <t>1183793;885685;809883</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</si>
  <si>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</si>
  <si>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Lauren R. Samuels;Robert A. Greevy</t>
  </si>
  <si>
    <t>Department of Biostatistics, Vanderbilt University School of Medicine, USA;Department of Biostatistics, Vanderbilt University School of Medicine, USA</t>
  </si>
  <si>
    <t>uRank: Visual analytics approach for search result exploration</t>
  </si>
  <si>
    <t>10.1109/VAST.2015.7347686</t>
  </si>
  <si>
    <t>http://dx.doi.org/10.1109/VAST.2015.7347686</t>
  </si>
  <si>
    <t>J. P. Leidig;S. Dharmapuri</t>
  </si>
  <si>
    <t>School of Computing and Information Systems, Grand Valley State University|c|;</t>
  </si>
  <si>
    <t>Leidig, J.P.;Dharmapuri, S.</t>
  </si>
  <si>
    <t>Manuel Rubio-S��nchez;Alberto S��nchez 0001</t>
  </si>
  <si>
    <t>URJC, Fuenlabrada, Spain|c|;</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</si>
  <si>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</si>
  <si>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Cecilia di Sciascio;Vedran Sabol;Eduardo E. Veas</t>
  </si>
  <si>
    <t>Cecilia di Sciascio;Vedran Sabol;Eduardo Veas</t>
  </si>
  <si>
    <t>Know-Center GmbH, Graz, Austria;Know-Center GmbH, Graz, Austria;Know-Center GmbH, Graz, Austria</t>
  </si>
  <si>
    <t>Evolution inspector: Interactive visual analysis for evolutionary molecular design</t>
  </si>
  <si>
    <t>10.1109/VAST.2015.7347687</t>
  </si>
  <si>
    <t>http://dx.doi.org/10.1109/VAST.2015.7347687</t>
  </si>
  <si>
    <t>Lingyun Yu;Efstathiou, K.;Isenberg, P.;Isenberg, T.</t>
  </si>
  <si>
    <t>Hangzhou Dianzi Univ., Hangzhou, China|c|;;;</t>
  </si>
  <si>
    <t>4658123;809932;6634108;6327228;559216;6327229;5613504</t>
  </si>
  <si>
    <t>Oeltze-Jafra, S.;Cebral, J.R.;Janiga, G.;Preim, B.</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</si>
  <si>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</si>
  <si>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Veronika Soltészová;Marco Foscato;Sondre H. Eliasson;Vidar R. Jensen</t>
  </si>
  <si>
    <t>Veronika Solteszova;Marco Foscato;Sondre H. Eliasson;Vidar R. Jensen</t>
  </si>
  <si>
    <t>Christian Michelsen Research, Bergen, Norway;Department of Chemistry, University of Bergen, Norway;Department of Chemistry, University of Bergen, Norway;Department of Chemistry, University of Bergen, Norway</t>
  </si>
  <si>
    <t>Trending pool: Visual analytics for trending event compositions for time-series categorical log data</t>
  </si>
  <si>
    <t>10.1109/VAST.2015.7347688</t>
  </si>
  <si>
    <t>http://dx.doi.org/10.1109/VAST.2015.7347688</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</si>
  <si>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</si>
  <si>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Yi-Chih Tsai;Liang-Chi Hsieh;Wen-Feng Cheng;Yin-Hsi Kuo;Winston H. Hsu;Wen-Chin Chen</t>
  </si>
  <si>
    <t>Yi-Chih Tsai;Liang-Chi Hsieh;Wen-Feng Cheng;Yin-Hsi Kuo;Winston Hsu;Wen-Chin Chen</t>
  </si>
  <si>
    <t>National Taiwan University, Taipei, Taiwan;National Taiwan University, Taipei, Taiwan;National Taiwan University, Taipei, Taiwan;National Taiwan University, Taipei, Taiwan;National Taiwan University, Taipei, Taiwan;National Taiwan University, Taipei, Taiwan</t>
  </si>
  <si>
    <t>Visual data quality analysis for taxi GPS data</t>
  </si>
  <si>
    <t>10.1109/VAST.2015.7347689</t>
  </si>
  <si>
    <t>http://dx.doi.org/10.1109/VAST.2015.7347689</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</si>
  <si>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</si>
  <si>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Zuchao Wang;Xiaoru Yuan;Tangzhi Ye;Youfeng Hao;Siming Chen;Jie Liang;Qiusheng Li;Haiyang Wang;Yadong Wu</t>
  </si>
  <si>
    <t>Zuchao Wang;Xiaoru Yuan;Tangzhi Ye;Youfeng hao;Siming Chen;Jie Liangk;Qiusheng Li;Haiyang Wang;Yadong Wu</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</si>
  <si>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China;School of Computer Science and Technology, Southwest University of Science and Technology, China;School of Computer Science and Technology, Southwest University of Science and Technology, China;School of Computer Science and Technology, Southwest University of Science and Technology, China</t>
  </si>
  <si>
    <t>2016</t>
  </si>
  <si>
    <t>PowerSet: A Comprehensive Visualization of Set Intersections</t>
  </si>
  <si>
    <t>10.1109/TVCG.2016.2598496</t>
  </si>
  <si>
    <t>http://dx.doi.org/10.1109/TVCG.2016.2598496</t>
  </si>
  <si>
    <t>5290742;6327222;6877722;4015452;1183789;6634153;1372179;4015451;1532830;1532859</t>
  </si>
  <si>
    <t>N. Abedzadeh</t>
  </si>
  <si>
    <t>Mississippi State University|c|</t>
  </si>
  <si>
    <t>I. Wald;A. Knoll;G. P. Johnson;W. Usher;V. Pascucci;M. E. Papka</t>
  </si>
  <si>
    <t>Intel Corporation|c|;;;;;</t>
  </si>
  <si>
    <t>Wald, I.;Knoll, A.;Johnson, G.P.;Usher, W.;Pascucci, V.;Papka, M.E.</t>
  </si>
  <si>
    <t>5613495;5290736;6327210</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</si>
  <si>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</si>
  <si>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Kindlmann, G.;Chiw, C.;Seltzer, N.;Samuels, L.;Reppy, J.</t>
  </si>
  <si>
    <t>Bilal Alsallakh;Liu Ren</t>
  </si>
  <si>
    <t>BOSCH Research;BOSCH Research</t>
  </si>
  <si>
    <t>10.1109/TVCG.2014.2346248;10.1109/TVCG.2015.2467051;10.1109/TVCG.2006.142;10.1109/INFVIS.2001.963283;10.1109/TVCG.2010.186;10.1109/VISUAL.1991.175815;10.1109/TVCG.2012.233;10.1109/VISUAL.1993.398863;10.1109/TVCG.2011.227;10.1109/TVCG.2009.122;10.1109/TVCG.2014.2346249;10.1109/TVCG.2012.205;10.1109/TVCG.2008.144;10.1109/TVCG.2011.185;10.1109/TVCG.2013.184;10.1109/TVCG.2011.186</t>
  </si>
  <si>
    <t>scalability;Set visualization;treemaps;interaction</t>
  </si>
  <si>
    <t>5290720;6064996;1532856;6875916;6327233;1250414;809896;4376190;6876040;745290;4658184;4658155</t>
  </si>
  <si>
    <t>Investigating the Use of a Dynamic Physical Bar Chart for Data Exploration and Presentation</t>
  </si>
  <si>
    <t>10.1109/TVCG.2016.2598498</t>
  </si>
  <si>
    <t>http://dx.doi.org/10.1109/TVCG.2016.2598498</t>
  </si>
  <si>
    <t>Dutta, S.;Han-Wei Shen</t>
  </si>
  <si>
    <t>4376176;398877;1372214;6064965;4376165;1250374;6634159;6875975;4376210;567807;745288;4658155;4658174</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</si>
  <si>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“views”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</si>
  <si>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Faisal Taher;Yvonne Jansen;Jonathan Woodruff;John Hardy;Kasper Hornbæk;Jason Alexander</t>
  </si>
  <si>
    <t>Lancaster University;University of Copenhagen;Lancaster University;Lancaster University;University of Copenhagen;Lancaster University</t>
  </si>
  <si>
    <t>10.1109/TVCG.2014.2346292;10.1109/TVCG.2014.2352953;10.1109/TVCG.2013.124</t>
  </si>
  <si>
    <t>Shape-changing displays;physicalization;physical visualization;bar charts;user behaviour;data presentation</t>
  </si>
  <si>
    <t>Lihua Hao;Healey, C.G.;Bass, S.A.</t>
  </si>
  <si>
    <t>Lihua Hao;Healey, C.;Bass, S.A.</t>
  </si>
  <si>
    <t>booc.io: An Education System with Hierarchical Concept Maps and Dynamic Non-linear Learning Plans</t>
  </si>
  <si>
    <t>10.1109/TVCG.2016.2598518</t>
  </si>
  <si>
    <t>6875990;1532839;1532838;6876007;5290748;6875964;5613483;6634129</t>
  </si>
  <si>
    <t>http://dx.doi.org/10.1109/TVCG.2016.2598518</t>
  </si>
  <si>
    <t>Butkiewicz, T.;Stevens, A.H.</t>
  </si>
  <si>
    <t>Center for Coastal &amp; Ocean Mapping, Univ. of New Hampshire, Durham, NH, USA|c|;</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</si>
  <si>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</si>
  <si>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Michail Schwab;Hendrik Strobelt;James Tompkin;Colin Fredericks;Connor Huff;Dana Higgins;Anton Strezhnev;Mayya Komisarchik;Gary King;Hanspeter Pfister</t>
  </si>
  <si>
    <t>Harvard Paulson SEAS;Harvard Paulson SEAS;Harvard Paulson SEAS;HarvardX;Harvard Institute for Quantitative Social Sciences;Harvard Institute for Quantitative Social Sciences;Harvard Institute for Quantitative Social Sciences;Harvard Institute for Quantitative Social Sciences;Harvard Institute for Quantitative Social Sciences;Harvard Paulson SEAS</t>
  </si>
  <si>
    <t>;10.1109/TVCG.2006.147</t>
  </si>
  <si>
    <t>education;Hierarchies;information visualization</t>
  </si>
  <si>
    <t>Quantifying the Visual Impact of Classification Boundaries in Choropleth Maps</t>
  </si>
  <si>
    <t>10.1109/TVCG.2016.2598541</t>
  </si>
  <si>
    <t>http://dx.doi.org/10.1109/TVCG.2016.2598541</t>
  </si>
  <si>
    <t>Matvienko,V.;Krüger,J.</t>
  </si>
  <si>
    <t>Saarland University|c|;</t>
  </si>
  <si>
    <t>Matvienko, V.;Kruger, J.</t>
  </si>
  <si>
    <t>1532853;4376173;4015421;346313;567784;964505;5290732;809892;1250362;1532781</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</si>
  <si>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t>
  </si>
  <si>
    <t>Yifan Zhang;Ross Maciejewski</t>
  </si>
  <si>
    <t>Arizona State University;Arizona State University</t>
  </si>
  <si>
    <t>Hanqi Guo;Phillips, C.L.;Peterka, T.;Karpeyev, D.;Glatz, A.</t>
  </si>
  <si>
    <t>10.1109/VAST.2009.5332584;10.1109/TVCG.2012.233;10.1109/TVCG.2011.197</t>
  </si>
  <si>
    <t>Math. &amp; Comput. Sci. Div., Argonne Nat. Lab., Argonne, IL, USA|c|;;;;</t>
  </si>
  <si>
    <t>Choropleth;Classification;Visualization;Geodemographics;Geovisualization</t>
  </si>
  <si>
    <t>346327;1532795;6064972;809896;568137;745288;1372197;6327274;1532851;4376212</t>
  </si>
  <si>
    <t>Small Multiples with Gaps</t>
  </si>
  <si>
    <t>10.1109/TVCG.2016.2598542</t>
  </si>
  <si>
    <t>http://dx.doi.org/10.1109/TVCG.2016.2598542</t>
  </si>
  <si>
    <t>V. Zobel;M. Stommel;G. Scheuermann</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</si>
  <si>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</si>
  <si>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Leipzig University|c|;;</t>
  </si>
  <si>
    <t>Wouter Meulemans;Jason Dykes;Aidan Slingsby;Cagatay Turkay;Jo Wood</t>
  </si>
  <si>
    <t>Zobel, V.;Stommel, M.;Scheuermann, G.</t>
  </si>
  <si>
    <t>giCentre, City University, London;giCentre, City University, London;giCentre, City University, London;giCentre, City University, London;giCentre, City University, London</t>
  </si>
  <si>
    <t>10.1109/TVCG.2014.2346276;10.1109/TVCG.2011.174;10.1109/TVCG.2016.2598862;10.1109/TVCG.2008.165</t>
  </si>
  <si>
    <t>346326;5290754;485141;5613502;1372212</t>
  </si>
  <si>
    <t>Geographic visualization;small multiples;whitespace;design space;metrics;optimization</t>
  </si>
  <si>
    <t>Exploring the Possibilities of Embedding Heterogeneous Data Attributes in Familiar Visualizations</t>
  </si>
  <si>
    <t>10.1109/TVCG.2016.2598586</t>
  </si>
  <si>
    <t>http://dx.doi.org/10.1109/TVCG.2016.2598586</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</si>
  <si>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</si>
  <si>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Kurzhals, K.;Hlawatsch, M.;Heimerl, F.;Burch, M.;Ertl, T.;Weiskopf, D.</t>
  </si>
  <si>
    <t>Mona Hosseinkhani Loorak;Charles Perin;Christopher Collins;Sheelagh Carpendale</t>
  </si>
  <si>
    <t>Department of Computer Science, University of Calgary;Department of Computer Science, University of Calgary;University of Ontario;Department of Computer Science, University of Calgary</t>
  </si>
  <si>
    <t>10.1109/TVCG.2014.2346248;10.1109/TVCG.2014.2346260;10.1109/INFVIS.2005.1532151;10.1109/INFVIS.2005.1532129;10.1109/TVCG.2007.70582;10.1109/TVCG.2009.179;10.1109/INFVIS.2003.1249016;10.1109/TVCG.2010.205;10.1109/TVCG.2013.227;10.1109/TVCG.2013.210;10.1109/TVCG.2011.201;10.1109/TVCG.2015.2467325;10.1109/TVCG.2009.122;10.1109/TVCG.2014.2346279;10.1109/TVCG.2013.192;10.1109/TVCG.2013.167;10.1109/VISUAL.1990.146386;10.1109/TVCG.2011.185;10.1109/TVCG.2011.186</t>
  </si>
  <si>
    <t>6065006;6327295;1173156;6634139;4658146</t>
  </si>
  <si>
    <t>Multi-dimensional data;Hybrid visualization</t>
  </si>
  <si>
    <t>Screenit: Visual Analysis of Cellular Screens</t>
  </si>
  <si>
    <t>10.1109/TVCG.2016.2598587</t>
  </si>
  <si>
    <t>http://dx.doi.org/10.1109/TVCG.2016.2598587</t>
  </si>
  <si>
    <t>Changgong Zhang;Schultz, T.;Lawonn, K.;Eisemann, E.;Vilanova, A.</t>
  </si>
  <si>
    <t>7192624;4015499;5613480;745294;7042491;5613502</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</si>
  <si>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</si>
  <si>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Kasper Dinkla;Hendrik Strobelt;Bryan Genest;Stephan Reiling;Mark Borowsky;Hanspeter Pfister</t>
  </si>
  <si>
    <t>Harvard University;Harvard University;Novartis Institute of BioMedical Research;Novartis Institute of BioMedical Research;Novartis Institute of BioMedical Research;Harvard University</t>
  </si>
  <si>
    <t>10.1109/VAST.2012.6400492;10.1109/TVCG.2014.2346752;10.1109/TVCG.2015.2466971;10.1109/TVCG.2011.253;10.1109/VAST.2010.5652443;10.1109/TVCG.2012.213;10.1109/TVCG.2014.2346578;10.1109/TVCG.2013.173;10.1109/VAST.2011.6102453;10.1109/TVCG.2014.2346482</t>
  </si>
  <si>
    <t>High-content screening;visual analysis;feature selection;image classification;biology;multivariate;hierarchy</t>
  </si>
  <si>
    <t>PROACT: Iterative Design of a Patient-Centered Visualization for Effective Prostate Cancer Health Risk Communication</t>
  </si>
  <si>
    <t>10.1109/TVCG.2016.2598588</t>
  </si>
  <si>
    <t>http://dx.doi.org/10.1109/TVCG.2016.2598588</t>
  </si>
  <si>
    <t>J. Zhang;H. Guo;X. Yuan</t>
  </si>
  <si>
    <t>Zhang, J.;Guo, H.;Xiaoru Yuan</t>
  </si>
  <si>
    <t>Woodring, J.;Petersen, M.;Schmeisser, A.;Patchett, J.;Ahrens, J.;Hagen, H.</t>
  </si>
  <si>
    <t>Los Alamos Nat. Lab., Los Alamos, NM, USA|c|;;;;;</t>
  </si>
  <si>
    <t>4658165;1532830;5613497;6064973</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</si>
  <si>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</si>
  <si>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Anzu Hakone;Lane Harrison;Alvitta Ottley;Nathan Winters;Caitlin Gutheil;Paul K. J. Han;Remco Chang</t>
  </si>
  <si>
    <t>Tufts University;Worcester Polytechnic Institute;Tufts University;Tufts University;Maine Medical Center;Maine Medical Center;Tufts University</t>
  </si>
  <si>
    <t>10.1109/TVCG.2012.225;10.1109/TVCG.2013.200;10.1109/TVCG.2014.2346984;10.1109/TVCG.2015.2467758;10.1109/TVCG.2012.219;10.1109/TVCG.2014.2346682</t>
  </si>
  <si>
    <t>Design studies;task and requirement analysis;presentation;production;and dissemination;medical visualization</t>
  </si>
  <si>
    <t>WeightLifter: Visual Weight Space Exploration for Multi-Criteria Decision Making</t>
  </si>
  <si>
    <t>10.1109/TVCG.2016.2598589</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</si>
  <si>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R3-&gt;R2.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</si>
  <si>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http://dx.doi.org/10.1109/TVCG.2016.2598589</t>
  </si>
  <si>
    <t>Sakurai, D.;Saeki, O.;Carr, H.;Hsiang-Yun Wu;Yamamoto, T.;Duke, D.;Takahashi, S.</t>
  </si>
  <si>
    <t>Univ. of Tokyo &amp; Japan Atomic Energy Agency, Kashiwa, Japan|c|;;;;;;</t>
  </si>
  <si>
    <t>4658159;663875;6327207;5613467;6875963;5613469;1183774;4658165;5290728;4376169</t>
  </si>
  <si>
    <t>A common strategy in Multi-Criteria Decision Making (MCDM) is to rank alternative solutions by weighted summary scores. Weights, however, are often abstract to the decision maker and can only be set by vague intuition. While previous work supports a point-wise exploration of weight spaces, we argue that MCDM can benefit from a regional and global visual analysis of weight spaces. Our main contribution is WeightLifter, a novel interactive visualization technique for weight-based MCDM that facilitates the exploration of weight spaces with up to ten criteria. Our technique enables users to better understand the sensitivity of a decision to changes of weights, to efficiently localize weight regions where a given solution ranks high, and to filter out solutions which do not rank high enough for any plausible combination of weights. We provide a comprehensive requirement analysis for weight-based MCDM and describe an interactive workflow that meets these requirements. For evaluation, we describe a usage scenario of WeightLifter in automotive engineering and report qualitative feedback from users of a deployed version as well as preliminary feedback from decision makers in multiple domains. This feedback confirms that WeightLifter increases both the efficiency of weight-based MCDM and the awareness of uncertainty in the ultimate decisions.</t>
  </si>
  <si>
    <t>Gyulassy, A.;Knoll, A.;Chun Lau;Bei Wang</t>
  </si>
  <si>
    <t>Stephan Pajer;Marc Streit;Thomas Torsney-Weir;Florian Spechtenhauser;Torsten Möller;Harald Piringer</t>
  </si>
  <si>
    <t>VRVis Research Center;University Linz;University of Vienna;VRVis Research Center;University of Vienna;VRVis Research Center</t>
  </si>
  <si>
    <t>10.1109/TVCG.2015.2468011;10.1109/TVCG.2013.147;10.1109/VAST.2015.7347686;10.1109/VISUAL.1993.398859;10.1109/TVCG.2008.145;10.1109/VAST.2011.6102457;10.1109/TVCG.2011.253;10.1109/TVCG.2014.2346321;10.1109/TVCG.2010.190;10.1109/TVCG.2009.110;10.1109/VAST.2010.5652460;10.1109/TVCG.2013.173;10.1109/TVCG.2011.248;10.1109/TVCG.2009.111</t>
  </si>
  <si>
    <t>1532795;6064947;6875922;1532839;6064966</t>
  </si>
  <si>
    <t>Visual analysis;decision making;multi-objective optimization;interactive ranking;rank sensitivity</t>
  </si>
  <si>
    <t>Visualizing Social Media Content with SentenTree</t>
  </si>
  <si>
    <t>10.1109/TVCG.2016.2598590</t>
  </si>
  <si>
    <t>http://dx.doi.org/10.1109/TVCG.2016.2598590</t>
  </si>
  <si>
    <t>Jonsson, D.;Falk, M.;Ynnerman, A.</t>
  </si>
  <si>
    <t>4658153;6064975;568112;6327240;5613470;6064940;4015460;6064959</t>
  </si>
  <si>
    <t>We introduce SentenTree, a novel technique for visualizing the content of unstructured social media text. SentenTree displays frequent sentence patterns abstracted from a corpus of social media posts. The technique employs design ideas from word clouds and the Word Tree, but overcomes a number of limitations of both those visualizations. SentenTree displays a node-link diagram where nodes are words and links indicate word co-occurrence within the same sentence. The spatial arrangement of nodes gives cues to the syntactic ordering of words while the size of nodes gives cues to their frequency of occurrence. SentenTree can help people gain a rapid understanding of key concepts and opinions in a large social media text collection. It is implemented as a lightweight application that runs in the browser.</t>
  </si>
  <si>
    <t>Mengdie Hu;Krist Wongsuphasawat;John T. Stasko</t>
  </si>
  <si>
    <t>Mengdie Hu;Krist Wongsuphasawat;John Stasko</t>
  </si>
  <si>
    <t>Georgia Institute of Technology;Twitter Inc.;Georgia Institute of Technology</t>
  </si>
  <si>
    <t>10.1109/TVCG.2009.171;10.1109/TVCG.2008.172;10.1109/VAST.2009.5333443;10.1109/INFVIS.1995.528686;10.1109/TVCG.2010.154;10.1109/VAST.2012.6400485;10.1109/TVCG.2011.179;10.1109/TVCG.2010.194;10.1109/TVCG.2013.221;10.1109/TVCG.2006.156;10.1109/TVCG.2009.165;10.1109/VAST.2011.6102488;10.1109/TVCG.2014.2346920;10.1109/TVCG.2015.2467991;10.1109/TVCG.2011.239</t>
  </si>
  <si>
    <t>text visualization;social media;natural language processing;word cloud;Twitter</t>
  </si>
  <si>
    <t>E. Sund&amp;#65533;&amp;#65533;n;P. Steneteg;S. Kottravel;D. J&amp;#65533;&amp;#65533;nsson;R. Englund;M. Falk;T. Ropinski</t>
  </si>
  <si>
    <t>Linkoping University|c|;;;;;;</t>
  </si>
  <si>
    <t>Sunden, E.;Steneteg, P.;Kottravel, S.;Jonsson, D.;Englund, R.;Falk, M.;Ropinski, T.</t>
  </si>
  <si>
    <t>Optimizing Hierarchical Visualizations with the Minimum Description Length Principle</t>
  </si>
  <si>
    <t>10.1109/TVCG.2016.2598591</t>
  </si>
  <si>
    <t>http://dx.doi.org/10.1109/TVCG.2016.2598591</t>
  </si>
  <si>
    <t>Athawale, T.;Sakhaee, E.;Entezari, A.</t>
  </si>
  <si>
    <t>Dept. of Comput. &amp; Inf. Sci. &amp; Eng., Univ. of Florida, Gainesville, FL, USA|c|;;</t>
  </si>
  <si>
    <t>6634171;1183769;6634159;4376198;6327235;6634129</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</si>
  <si>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</si>
  <si>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Rafael Veras;Christopher Collins</t>
  </si>
  <si>
    <t>University of OntarioInstitute of Technology;University of OntarioInstitute of Technology</t>
  </si>
  <si>
    <t>10.1109/TVCG.2006.120;10.1109/TVCG.2007.70535;10.1109/INFVIS.1998.729557;10.1109/TVCG.2006.184;10.1109/TVCG.2012.233;10.1109/TVCG.2006.161</t>
  </si>
  <si>
    <t>antichain;Hierarchy data;data aggregation;multiscale visualization;tree cut</t>
  </si>
  <si>
    <t>Visplause: Visual Data Quality Assessment of Many Time Series Using Plausibility Checks</t>
  </si>
  <si>
    <t>10.1109/TVCG.2016.2598592</t>
  </si>
  <si>
    <t>http://dx.doi.org/10.1109/TVCG.2016.2598592</t>
  </si>
  <si>
    <t>Labschütz, M.;Bruckner, S.;Gröller, M.E.;Hadwiger, M.;Rautek, P.</t>
  </si>
  <si>
    <t>Labschütz, M.;Bruckner, S.;Groller, E.;Hadwiger, M.;Rautek, P.</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</si>
  <si>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</si>
  <si>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Clemens Arbesser;Florian Spechtenhauser;Thomas Mühlbacher;Harald Piringer</t>
  </si>
  <si>
    <t>Yi Gu;Chaoli Wang;Peterka, T.;Jacob, R.;Seung Hyun Kim</t>
  </si>
  <si>
    <t>VrVis Research Center, Vienna, Austria;VrVis Research Center, Vienna, Austria;VrVis Research Center, Vienna, Austria;VrVis Research Center, Vienna, Austria</t>
  </si>
  <si>
    <t>Dept. Comput. Sci. &amp; Eng., Univ. of Notre Dame, Notre Dame, IN, USA|c|;;;;</t>
  </si>
  <si>
    <t>10.1109/TVCG.2014.2346248;10.1109/TVCG.2012.213;10.1109/TVCG.2012.256;10.1109/TVCG.2014.2346260;10.1109/VAST.2011.6102458;10.1109/TVCG.2009.110;10.1109/TVCG.2015.2466971</t>
  </si>
  <si>
    <t>Data Quality Assessment;High-Dimensional Data;Hierarchical Aggregation;Linked Views</t>
  </si>
  <si>
    <t>5290706;6634098;6064965;4658163;809871;4015447;5290726;4015461</t>
  </si>
  <si>
    <t>The Attraction Effect in Information Visualization</t>
  </si>
  <si>
    <t>10.1109/TVCG.2016.2598594</t>
  </si>
  <si>
    <t>http://dx.doi.org/10.1109/TVCG.2016.2598594</t>
  </si>
  <si>
    <t>Zhongjie Wang;Seidel, H.-P.;Weinkauf, T.</t>
  </si>
  <si>
    <t>MPI for Inf., Saarbrucken, Germany|c|;;</t>
  </si>
  <si>
    <t>1250372;5290760;4015447;4376210;6875976;6064967</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</si>
  <si>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</si>
  <si>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Evanthia Dimara;Anastasia Bezerianos;Pierre Dragicevic</t>
  </si>
  <si>
    <t>Inria and Universit&amp;#x00E9; Paris-Saclay;Inria, Univ Paris-Sud &amp;#x0026; CNRS (LRI)Universit&amp;#x00E9; Paris-Saclay;Inria and Universit&amp;#x00E9; Paris-Saclay</t>
  </si>
  <si>
    <t>10.1109/TVCG.2008.153;10.1109/TVCG.2014.2346984;10.1109/VAST.2008.4677363;10.1109/TVCG.2014.2346298;10.1109/TVCG.2012.199;10.1109/TVCG.2010.174;10.1109/VAST.2009.5333920</t>
  </si>
  <si>
    <t>cognitive bias;Information visualization;decision-making;decoy effect;attraction effect;asymmetric dominance effect</t>
  </si>
  <si>
    <t>Embedded Data Representations</t>
  </si>
  <si>
    <t>10.1109/TVCG.2016.2598608</t>
  </si>
  <si>
    <t>http://dx.doi.org/10.1109/TVCG.2016.2598608</t>
  </si>
  <si>
    <t>M. I. Jubair;U. Alim;N. Roeber;J. Clyne;A. Mahdavi-Amiri;F. Samavati</t>
  </si>
  <si>
    <t>University of Calgary|c|;;;;;</t>
  </si>
  <si>
    <t>Jubair, M.I.;Alim, U.;Roeber, N.;Clyne, J.;Mahdavi-Amiri, A.;Samavati, F.</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</si>
  <si>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</si>
  <si>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Wesley Willett;Yvonne Jansen;Pierre Dragicevic</t>
  </si>
  <si>
    <t>University of Calgary;University of Copenhagen;Inria</t>
  </si>
  <si>
    <t>10.1109/TVCG.2013.134;10.1109/INFVIS.1998.729560</t>
  </si>
  <si>
    <t>augmented reality;Information visualization;data physicalization;ambient displays;ubiquitous computing</t>
  </si>
  <si>
    <t>Iterating between Tools to Create and Edit Visualizations</t>
  </si>
  <si>
    <t>10.1109/TVCG.2016.2598609</t>
  </si>
  <si>
    <t>http://dx.doi.org/10.1109/TVCG.2016.2598609</t>
  </si>
  <si>
    <t>Al-Awami, A.K.;Beyer, J.;Haehn, D.;Kasthuri, N.;Lichtman, J.W.;Pfister, H.;Hadwiger, M.</t>
  </si>
  <si>
    <t>Al-Awami, A.;Beyer, J.;Haehn, D.;Kasthuri, N.;Lichtman, J.;Pfister, H.;Hadwiger, M.</t>
  </si>
  <si>
    <t>6875935;1532788;6634132;5290766;6327233;6875931;6634144;6876026;4376187</t>
  </si>
  <si>
    <t>A common workflow for visualization designers begins with a generative tool, like D3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</si>
  <si>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Alex Bigelow;Steven M. Drucker;Danyel Fisher;Miriah D. Meyer</t>
  </si>
  <si>
    <t>Alex Bigelow;Steven Drucker;Danyel Fisher;Miriah Meyer</t>
  </si>
  <si>
    <t>University of Utah;Microsoft Research;Microsoft Research;University of Utah</t>
  </si>
  <si>
    <t>10.1109/TVCG.2014.2346292;10.1109/TVCG.2015.2467191;10.1109/TVCG.2014.2346291;10.1109/TVCG.2015.2467091;10.1109/INFVIS.2004.12;10.1109/TVCG.2011.209;10.1109/TVCG.2007.70584;10.1109/TVCG.2011.185</t>
  </si>
  <si>
    <t>illustration;Visualization;iteration</t>
  </si>
  <si>
    <t>Surprise! Bayesian Weighting for De-Biasing Thematic Maps</t>
  </si>
  <si>
    <t>10.1109/TVCG.2016.2598618</t>
  </si>
  <si>
    <t>http://dx.doi.org/10.1109/TVCG.2016.2598618</t>
  </si>
  <si>
    <t>Lawonn, K.;Glaßer, S.;Vilanova, A.;Preim, B.;Isenberg, T.</t>
  </si>
  <si>
    <t>Univ. of Magdeburg, Magdeburg, Germany|c|;;;;</t>
  </si>
  <si>
    <t>5290742;6064983;6877722;5613474;6064980;1372190</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</si>
  <si>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spatia-temporal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</si>
  <si>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Michael Correll;Jeffrey Heer</t>
  </si>
  <si>
    <t>10.1109/TVCG.2014.2346248;10.1109/TVCG.2007.70561;10.1109/TVCG.2014.2346594;10.1109/TVCG.2014.2346325;10.1109/TVCG.2011.179;10.1109/TVCG.2014.2346298;10.1109/TVCG.2012.199;10.1109/INFVIS.2001.963274;10.1109/TVCG.2015.2467758;10.1109/TVCG.2013.184</t>
  </si>
  <si>
    <t>Thematic Maps;Bayesian Surprise;Event Visualization;Spatia-temporal data</t>
  </si>
  <si>
    <t>A. Bock;M. Marcinkowski;J. Kilby;C. Emmart;A. Ynnerman</t>
  </si>
  <si>
    <t>Link&amp;#65533;&amp;#65533;ping University|c|;;;;</t>
  </si>
  <si>
    <t>Bock, A.;Marcinkowsk, M.i;Kilby, J.;Emmart, C.;Ynnerman, A.</t>
  </si>
  <si>
    <t>Multi-Granular Trend Detection for Time-Series Analysis</t>
  </si>
  <si>
    <t>10.1109/TVCG.2016.2598619</t>
  </si>
  <si>
    <t>http://dx.doi.org/10.1109/TVCG.2016.2598619</t>
  </si>
  <si>
    <t>O. H. Nagoor;M. Hadwiger;M. Srinivasan</t>
  </si>
  <si>
    <t>KAUST|c|;;</t>
  </si>
  <si>
    <t>Nagoor, O.H.;Hadwiger, M.;Srinivasan, M.</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</si>
  <si>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 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</si>
  <si>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Arthur van Goethem;Frank Staals;Maarten Löffler;Jason Dykes;Bettina Speckmann</t>
  </si>
  <si>
    <t>Goethem Arthur Van;Frank Staals;Maarten Löffler;Jason Dykes;Bettina Speckmann</t>
  </si>
  <si>
    <t>TU, Eindhoven;MADALGO, Aarhus University;Utrecht University;City University, London;TU, Eindhoven</t>
  </si>
  <si>
    <t>10.1109/TVCG.2015.2467204;10.1109/TVCG.2010.181;10.1109/TVCG.2006.147;10.1109/TVCG.2014.2346448;10.1109/TVCG.2007.70558;10.1109/TVCG.2008.166;10.1109/TVCG.2008.125;10.1109/TVCG.2014.2346455</t>
  </si>
  <si>
    <t>Interactive Exploration;Trend Detection;Time Series</t>
  </si>
  <si>
    <t>Data-Driven Guides: Supporting Expressive Design for Information Graphics</t>
  </si>
  <si>
    <t>10.1109/TVCG.2016.2598620</t>
  </si>
  <si>
    <t>http://dx.doi.org/10.1109/TVCG.2016.2598620</t>
  </si>
  <si>
    <t>Marino, J.;Kaufman, A.</t>
  </si>
  <si>
    <t>6064970;964540;6065015;6877722;964538;1372206;1183754;1250353;6064963;4015442</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</si>
  <si>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</si>
  <si>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Nam Wook Kim;Eston Schweickart;Zhicheng Liu;Mira Dontcheva;Wilmot Li;Jovan Popovic;Hanspeter Pfister</t>
  </si>
  <si>
    <t>John A. Paulson School of Engineering and Applied SciencesHarvard University;Computer Science department, Cornell University;Adobe Research;Adobe Research;Adobe Research;Adobe Research;John A. Paulson School of Engineering and Applied SciencesHarvard University</t>
  </si>
  <si>
    <t>10.1109/TVCG.2014.2346292;10.1109/INFVIS.1996.559212;10.1109/TVCG.2011.175;10.1109/TVCG.2016.2598609;10.1109/TVCG.2013.234;10.1109/INFVIS.2004.64;10.1109/TVCG.2012.197;10.1109/INFVIS.2000.885086;10.1109/INFVIS.2000.885093;10.1109/TVCG.2014.2346979;10.1109/TVCG.2014.2346320;10.1109/TVCG.2014.2346291;10.1109/TVCG.2015.2467732;10.1109/INFVIS.2004.12;10.1109/TVCG.2013.191;10.1109/TVCG.2011.251;10.1109/TVCG.2010.144;10.1109/TVCG.2011.185;10.1109/TVCG.2007.70577</t>
  </si>
  <si>
    <t>Information graphics;visualization;design tools;2D graphics</t>
  </si>
  <si>
    <t>M. Elshehaly;D. Gra&amp;#65533;&amp;#65533;anin;M. Gad;J. Wang;H. G. Elmongui</t>
  </si>
  <si>
    <t>Virginia Tech|c|;;;;</t>
  </si>
  <si>
    <t>Elshehaly, M.;Gracanin, D.;Gad, M.;Wang, J.;Elmongui, H.G.</t>
  </si>
  <si>
    <t>Hashedcubes: Simple, Low Memory, Real-Time Visual Exploration of Big Data</t>
  </si>
  <si>
    <t>10.1109/TVCG.2016.2598624</t>
  </si>
  <si>
    <t>http://dx.doi.org/10.1109/TVCG.2016.2598624</t>
  </si>
  <si>
    <t>Skanberg, R.;Vazquez, P.-P.;Guallar, V.;Ropinski, T.</t>
  </si>
  <si>
    <t>4376193;5290730;4376194;6327210;5290753;6876051;4015487</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</si>
  <si>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</si>
  <si>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Cicero Augusto de Lara Pahins;Sean A. Stephens;Carlos Eduardo Scheidegger;João Luiz Dihl Comba</t>
  </si>
  <si>
    <t>Cícero A. L. Pahins;Sean A. Stephens;Carlos Scheidegger;João L. D. Comba</t>
  </si>
  <si>
    <t>Instituto de InformáticaUFRGS;University of Arizona;University of Arizona;Instituto de InformáticaUFRGS</t>
  </si>
  <si>
    <t>10.1109/TVCG.2013.179;10.1109/TVCG.2014.2346452;10.1109/TVCG.2014.2346574;10.1109/TVCG.2015.2467771</t>
  </si>
  <si>
    <t>Scalability;data cube;multidimensional data;interactive exploration</t>
  </si>
  <si>
    <t>Authoring Data-Driven Videos with DataClips</t>
  </si>
  <si>
    <t>10.1109/TVCG.2016.2598647</t>
  </si>
  <si>
    <t>http://dx.doi.org/10.1109/TVCG.2016.2598647</t>
  </si>
  <si>
    <t>C. S. Z. Berge;D. Declara;C. Hennersperger;M. Baust;N. Navab</t>
  </si>
  <si>
    <t>Berge, C.S.Z.;Declara, D.;Hennersperger, C.;Baust, M.;Navab, N.</t>
  </si>
  <si>
    <t>964550;4015499;4376198;6327255;5290731</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</si>
  <si>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</si>
  <si>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Fereshteh Amini;Nathalie Henry Riche;Bongshin Lee;Andrés Monroy-Hernández;Pourang Irani</t>
  </si>
  <si>
    <t>Fereshteh Amini;Nathalie Henry Riche;Bongshin Lee;Andres Monroy-Hernandez;Pourang Irani</t>
  </si>
  <si>
    <t>University of Manitoba, Canada;Microsoft;Microsoft;Microsoft;University of Manitoba, Canada</t>
  </si>
  <si>
    <t>10.1109/TVCG.2007.70539;10.1109/TVCG.2008.137;10.1109/VAST.2007.4388992;10.1109/TVCG.2013.234;10.1109/TVCG.2013.119;10.1109/TVCG.2011.255;10.1109/TVCG.2010.179;10.1109/VAST.2012.6400487</t>
  </si>
  <si>
    <t>data video;narrative visualization;data storytelling;authoring tools;visualization systems</t>
  </si>
  <si>
    <t>Kappe, C.P.;Schutz, L.;Gunther, S.;Hufnagel, L.;Lemke, S.;Leitte, H.</t>
  </si>
  <si>
    <t>IWR, Heidelberg Univ., Heidelberg, Germany|c|;;;;;</t>
  </si>
  <si>
    <t>cite2vec: Citation-Driven Document Exploration via Word Embeddings</t>
  </si>
  <si>
    <t>10.1109/TVCG.2016.2598667</t>
  </si>
  <si>
    <t>http://dx.doi.org/10.1109/TVCG.2016.2598667</t>
  </si>
  <si>
    <t>5613499;567784;5290738;1250364;663898;1250363</t>
  </si>
  <si>
    <t>Gunther, T.;Schulze, M.;Theisel, H.</t>
  </si>
  <si>
    <t>6875993;1183789;6875965;6064972;6634153;809917;809896;745296;1532851;4376212;5613462</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</si>
  <si>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phrase/document compositions and document:phrase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</si>
  <si>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Matthew Berger;Katherine McDonough;Lee M. Seversky</t>
  </si>
  <si>
    <t>Air Force Research Laboratory;Northeastern University;Air Force Research Laboratory</t>
  </si>
  <si>
    <t>10.1109/TVCG.2014.2346431;10.1109/VAST.2011.6102461;10.1109/TVCG.2011.220;10.1109/TVCG.2015.2467451;10.1109/TVCG.2010.207;10.1109/TVCG.2014.2346978;10.1109/TVCG.2015.2467757;10.1109/VAST.2009.5333428;10.1109/TVCG.2013.212;10.1109/TVCG.2015.2467621;10.1109/VAST.2014.7042493;10.1109/TVCG.2013.162;10.1109/TVCG.2009.202;10.1109/TVCG.2008.138</t>
  </si>
  <si>
    <t>word embeddings;document visualization</t>
  </si>
  <si>
    <t>Gaussian Cubes: Real-Time Modeling for Visual Exploration of Large Multidimensional Datasets</t>
  </si>
  <si>
    <t>10.1109/TVCG.2016.2598694</t>
  </si>
  <si>
    <t>http://dx.doi.org/10.1109/TVCG.2016.2598694</t>
  </si>
  <si>
    <t>Ferstl, F.;Bürger, K.;Westermann, R.</t>
  </si>
  <si>
    <t>4376173;885715;809863;6634122;4376198;6875964;1532779;5613483;809865;6634129</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</si>
  <si>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</si>
  <si>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Zhe Wang;Nivan Ferreira;Youhao Wei;Aarthy Sankari Bhaskar;Carlos Eduardo Scheidegger</t>
  </si>
  <si>
    <t>Zhe Wang;Nivan Ferreira;Youhao Wei;Aarthy Sankari Bhaskar;Carlos Scheidegger</t>
  </si>
  <si>
    <t>University of Arizona;Universidade Federal de Pernambuco;University of Arizona;University of Arizona;University of Arizona</t>
  </si>
  <si>
    <t>10.1109/VAST.2008.4677357;10.1109/INFVIS.2000.885086;10.1109/TVCG.2013.179;10.1109/TVCG.2014.2346452;10.1109/TVCG.2009.129;10.1109/TVCG.2013.141;10.1109/TVCG.2014.2346325;10.1109/VAST.2012.6400490</t>
  </si>
  <si>
    <t>data cubes;Data modeling;dimensionality reduction;interactive visualization</t>
  </si>
  <si>
    <t>Visualization by Demonstration: An Interaction Paradigm for Visual Data Exploration</t>
  </si>
  <si>
    <t>10.1109/TVCG.2016.2598839</t>
  </si>
  <si>
    <t>http://dx.doi.org/10.1109/TVCG.2016.2598839</t>
  </si>
  <si>
    <t>Wenchao Wu;Jiayi Xu;Haipeng Zeng;Yixian Zheng;Huamin Qu;Bing Ni;Mingxuan Yuan;Ni, L.M.</t>
  </si>
  <si>
    <t>5652478;6634194;6876012;6634127;6065025;6634146;6875983;6102455;885091;6875974;6327262;6634174;7042490;6876013</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</si>
  <si>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</si>
  <si>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J. Poco;H. Doraiswamy;M. Talbert;J. Morisette;C. T. Silva</t>
  </si>
  <si>
    <t>New York University|c|;;;;</t>
  </si>
  <si>
    <t>Bahador Saket;Hannah Kim;Eli T. Brown;Alex Endert</t>
  </si>
  <si>
    <t>Poco, J.;Doraiswamy, H.;Talbert, M.;Morisette, J.;Silva, C.T.</t>
  </si>
  <si>
    <t>Georgia Institute of Technology;Georgia Institute of Technology;DePaul University;Georgia Institute of Technology</t>
  </si>
  <si>
    <t>10.1109/TVCG.2014.2346292;10.1109/TVCG.2015.2467191;10.1109/TVCG.2007.70594;10.1109/VAST.2011.6102449;10.1109/TVCG.2007.70515;10.1109/TVCG.2014.2346250;10.1109/TVCG.2012.275;10.1109/TVCG.2015.2467153;10.1109/TVCG.2013.191;10.1109/TVCG.2011.251;10.1109/TVCG.2011.185;10.1109/TVCG.2014.2346291;10.1109/VAST.2012.6400486</t>
  </si>
  <si>
    <t>Visual Data Exploration;Visualization by Demonstration;Visualization Tools</t>
  </si>
  <si>
    <t>6064947;5613467;4658193;5290748;6634169;4658165;6064967;6634095;6875976;6064952;4376169</t>
  </si>
  <si>
    <t>Map LineUps: Effects of spatial structure on graphical inference</t>
  </si>
  <si>
    <t>10.1109/TVCG.2016.2598862</t>
  </si>
  <si>
    <t>http://dx.doi.org/10.1109/TVCG.2016.2598862</t>
  </si>
  <si>
    <t>A. Bock;A. Pembroke;M. L. Mays;L. Rastaetter;T. Ropinski;A. Ynnerman</t>
  </si>
  <si>
    <t>Linkoping University|c|;;;;;</t>
  </si>
  <si>
    <t>Bock, A.;Pembroke, A.;Mays, M.L.;Rastaetter, L.;Ropinski, T.;Ynnerman, A.</t>
  </si>
  <si>
    <t>5613488;5613483;6634129</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</si>
  <si>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&amp;amp;amp; Heer (2015) for correlation visualization. Importantly, they provide an empirical basis for an improved construction of visual line-ups for maps and the development of theory to inform geospatial tests of graphical inference.</t>
  </si>
  <si>
    <t>Roger Beecham;Jason Dykes;Wouter Meulemans;Aidan Slingsby;Cagatay Turkay;Jo Wood</t>
  </si>
  <si>
    <t>giCentre, City University London;giCentre, City University London;giCentre, City University London;giCentre, City University London;giCentre, City University London;giCentre, City University London</t>
  </si>
  <si>
    <t>10.1109/TVCG.2015.2467671;10.1109/TVCG.2015.2469125;10.1109/TVCG.2014.2346979;10.1109/TVCG.2010.161</t>
  </si>
  <si>
    <t>Graphical inference;spatial autocorrelation;just noticeable difference;geovisualization;statistical significance</t>
  </si>
  <si>
    <t>Evaluation of Graph Sampling: A Visualization Perspective</t>
  </si>
  <si>
    <t>10.1109/TVCG.2016.2598867</t>
  </si>
  <si>
    <t>Chun-Ming Chen;Dutta, S.;Xiaotong Liu;Heinlein, G.;Han-Wei Shen;Jen-Ping Chen</t>
  </si>
  <si>
    <t>http://dx.doi.org/10.1109/TVCG.2016.2598867</t>
  </si>
  <si>
    <t>Dept. of Comput. Sci. &amp; Eng., Ohio State Univ., Columbus, OH, USA|c|;;;;;</t>
  </si>
  <si>
    <t>175794;4376176;885739;6634111;6634153;1372195;1532830;6875987</t>
  </si>
  <si>
    <t>Visualization-by-Sketching: An Artist&amp;#x0027;s Interface for Creating Multivariate Time-Varying Data Visualizations</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</si>
  <si>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ΓÇ£underΓÇ¥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ΓÇ£in the creative zoneΓÇ¥ as they work.</t>
  </si>
  <si>
    <t>Schroeder, D.;Keefe, D.F.</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</si>
  <si>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</si>
  <si>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Yanhong Wu;Nan Cao;Daniel W. Archambault;Qiaomu Shen;Huamin Qu;Weiwei Cui</t>
  </si>
  <si>
    <t>4677356;5290701;6634168;6065021;4658123;6634127;6875983;1173157;5290707;5613429;963286;6065019;6327262;6875972</t>
  </si>
  <si>
    <t>Yanhong Wu;Nan Cao;Daniel Archambault;Qiaomu Shen;Huamin Qu;Weiwei Cui</t>
  </si>
  <si>
    <t>Hong Kong University of Science and Technology;New York University, Shanghai;Swansea University;Hong Kong University of Science and Technology;Hong Kong University of Science and Technology;Microsoft Research Asia</t>
  </si>
  <si>
    <t>10.1109/TVCG.2015.2468151;10.1109/VISUAL.2005.1532819;10.1109/TVCG.2008.151;10.1109/TVCG.2006.147;10.1109/TVCG.2006.120;10.1109/INFVIS.2004.1;10.1109/TVCG.2007.70535;10.1109/TVCG.2008.135;10.1109/TVCG.2012.238;10.1109/TVCG.2013.232</t>
  </si>
  <si>
    <t>Graph visualization;graph sampling;empirical evaluation</t>
  </si>
  <si>
    <t>Temporal Summary Images: An Approach to Narrative Visualization via Interactive Annotation Generation and Placement</t>
  </si>
  <si>
    <t>10.1109/TVCG.2016.2598876</t>
  </si>
  <si>
    <t>http://dx.doi.org/10.1109/TVCG.2016.2598876</t>
  </si>
  <si>
    <t>C. Ware;A. H. Stevens</t>
  </si>
  <si>
    <t>University of New Hampshire|c|;</t>
  </si>
  <si>
    <t>Ware, C.;Stevens, A.H.</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</si>
  <si>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(POls).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</si>
  <si>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Chris Bryan;Kwan-Liu Ma;Jonathan Woodring</t>
  </si>
  <si>
    <t>University of California, Davis;University of California, Davis;Los Alamos National Laboratory</t>
  </si>
  <si>
    <t>10.1109/TVCG.2008.166;10.1109/TVCG.2007.70594;10.1109/TVCG.2011.255;10.1109/TVCG.2010.179;10.1109/VAST.2010.5652890;10.1109/TVCG.2012.229;10.1109/TVCG.2012.212;10.1109/TVCG.2011.195;10.1109/VAST.2012.6400487</t>
  </si>
  <si>
    <t>Narrative visualization;storytelling;annotations;comic strip visualization;time-varying data</t>
  </si>
  <si>
    <t>Many-to-Many Geographically-Embedded Flow Visualisation: An Evaluation</t>
  </si>
  <si>
    <t>10.1109/TVCG.2016.2598885</t>
  </si>
  <si>
    <t>http://dx.doi.org/10.1109/TVCG.2016.2598885</t>
  </si>
  <si>
    <t>M. Goldau;A. Reichenbach;M. Hlawitschka</t>
  </si>
  <si>
    <t>Goldau, M.;Reichenbach, A.;Hlawitschka, M.</t>
  </si>
  <si>
    <t>Abbasloo, A.;Wiens, V.;Hermann, M.;Schultz, T.</t>
  </si>
  <si>
    <t>Univ. of Bonn, Bonn, Germany|c|;;;</t>
  </si>
  <si>
    <t>5290759;5290754;1532773;4015482;4015499;5613502;4658185;4376179;7192722</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</si>
  <si>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</si>
  <si>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Yalong Yang;Tim Dwyer;Sarah Goodwin;Kim Marriott</t>
  </si>
  <si>
    <t>Monash University, Data61, CSIRO, Victoria;Monash University;Monash University;Monash University, Data61, CSIRO, Victoria</t>
  </si>
  <si>
    <t>10.1109/INFVIS.2004.1;10.1109/TVCG.2011.202;10.1109/TVCG.2014.2346441;10.1109/TVCG.2008.165;10.1109/INFVIS.2005.1532150</t>
  </si>
  <si>
    <t>Flow Maps;Matrix Visualisation;Cartographic Information Visualisation</t>
  </si>
  <si>
    <t>An Evaluation of Visual Search Support in Maps</t>
  </si>
  <si>
    <t>10.1109/TVCG.2016.2598898</t>
  </si>
  <si>
    <t>http://dx.doi.org/10.1109/TVCG.2016.2598898</t>
  </si>
  <si>
    <t>Klemm, P.; Lawonn, K.; Glaßer, S.;Niemann, U.;Hegenscheid,K.;Völzke,H.;Preim,B.</t>
  </si>
  <si>
    <t>Otto-von-Guericke Univ. Magdeburg, Magdeburg, Germany</t>
  </si>
  <si>
    <t>Klemm, P.;Lawonn, K.;Glaßer, S.;Niemann, U.;Hegenscheid, K.;Völzke, H.;Preim, B.</t>
  </si>
  <si>
    <t>6064985;6064996;5333431;6634192;6876009;6634119;6634169;6876043</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</si>
  <si>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</si>
  <si>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Rudolf Netzel;Marcel Hlawatsch;Michael Burch;Sanjeev Balakrishnan;Hansjörg Schmauder;Daniel Weiskopf</t>
  </si>
  <si>
    <t>VISUS, University of Stuttgart;VISUS, University of Stuttgart;VISUS, University of Stuttgart;VISUS, University of Stuttgart;VISUS, University of Stuttgart;VISUS, University of Stuttgart</t>
  </si>
  <si>
    <t>10.1109/TVCG.2014.2346420;10.1109/TVCG.2010.191</t>
  </si>
  <si>
    <t>Visual search;laboratory study;eye tracking;map visualization</t>
  </si>
  <si>
    <t>Hua Guo;Gomez, S.R.;Ziemkiewicz, C.;Laidlaw, D.H.</t>
  </si>
  <si>
    <t>Colorgorical: Creating discriminable and preferable color palettes for information visualization</t>
  </si>
  <si>
    <t>10.1109/TVCG.2016.2598918</t>
  </si>
  <si>
    <t>1532136;6875913;7042482;4677365;4658129;5333878;6876022;6327280;4376144</t>
  </si>
  <si>
    <t>http://dx.doi.org/10.1109/TVCG.2016.2598918</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</si>
  <si>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</si>
  <si>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Connor Gramazio;David H. Laidlaw;Karen B. Schloss</t>
  </si>
  <si>
    <t>Connor C. Gramazio;David H. Laidlaw;Karen B. Schloss</t>
  </si>
  <si>
    <t>Dept. of Computer Science at Brown University;Dept. of Computer Science at Brown University;Dept. of Cognitive, Linguistic, and Psychological Sciences at Brown University</t>
  </si>
  <si>
    <t>10.1109/VISUAL.1996.568118;10.1109/TVCG.2014.2346978;10.1109/TVCG.2015.2467471;10.1109/TVCG.2014.2346983;10.1109/TVCG.2012.233</t>
  </si>
  <si>
    <t>Aesthetics in Visualization;Color Perception;Metrics &amp; Benchmarks;Visual Design;Visualization</t>
  </si>
  <si>
    <t>Probabilistic Graph Layout for Uncertain Network Visualization</t>
  </si>
  <si>
    <t>10.1109/TVCG.2016.2598919</t>
  </si>
  <si>
    <t>http://dx.doi.org/10.1109/TVCG.2016.2598919</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</si>
  <si>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</si>
  <si>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Christoph Schulz;Arlind Nocaj;Jochen Görtler;Oliver Deussen;Ulrik Brandes;Daniel Weiskopf</t>
  </si>
  <si>
    <t>Christoph Schulz;Arlind Nocaj;Jochen Goertler;Oliver Deussen;Ulrik Brandes;Daniel Weiskopf</t>
  </si>
  <si>
    <t>VISUSUniversity of Stuttgart;University of Konstanz;University of Konstanz;University of Konstanz;University of Konstanz;VISUSUniversity of Stuttgart</t>
  </si>
  <si>
    <t>10.1109/TVCG.2006.147;10.1109/TVCG.2010.176;10.1109/TVCG.2009.150;10.1109/TVCG.2009.127;10.1109/TVCG.2015.2467691;10.1109/TVCG.2015.2467591;10.1109/VAST.2009.5332611;10.1109/TVCG.2009.122;10.1109/TVCG.2013.232</t>
  </si>
  <si>
    <t>Uncertainty visualization;graph layout;graph visualization;edge bundling;Monte Carlo method</t>
  </si>
  <si>
    <t>Cook, K.A.;Scholtz, J.;Whiting, M.A.</t>
  </si>
  <si>
    <t>Cook, K.A.;Scholtz, J.;Whiting, M.</t>
  </si>
  <si>
    <t>Itoh, M.;Yokoyama, D.;Toyoda, M.;Kitsuregawa, M.</t>
  </si>
  <si>
    <t>6634195;6327271;5332611;6634091;6065003;7042494;568116;1532150;5652931;6065022;6875992;6634179;6065021;6876032;5613449;6327258;6634134;6876013</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</si>
  <si>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ΓÇ£in-betweenΓÇ¥,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</si>
  <si>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Maoyuan Sun;Peng Mi;North, C.;Ramakrishnan, N.</t>
  </si>
  <si>
    <t>4376140;5290706;4658140;6327277;6327294;1382886;6875920;4376154;4015425;6065003;5333878;6064995;5613440;6875994;5613447;6064990;6875974</t>
  </si>
  <si>
    <t>Dept. of Comput. Sci., City Univ. London, London, UK|c|;;;;</t>
  </si>
  <si>
    <t>Ragan, E.D.;Endert, A.;Sanyal, J.;Jian Chen</t>
  </si>
  <si>
    <t>1532136;1532788;6634189;398857;6400486;6875913;5652932;4677365;4658129;6634108;5333020;5653598;6327266;6875986;4677366;6634181;5613483;5613452;146375</t>
  </si>
  <si>
    <t>Heimerl, F.;Qi Han;Koch, S.</t>
  </si>
  <si>
    <t>1382937;7192633;4658136;6634167;5333443;6065008;6327277;6634160;6327290;1382934;1532150;5290713;5290722;1532122;528686;6876032;5290724</t>
  </si>
  <si>
    <t>Dept. of Geogr., Univ. of South Carolina, Columbia, WA, USA|c|;</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</si>
  <si>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C1-continuous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</si>
  <si>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North, S.;Scheidegger, C.;Urbanek, S.;Woodhull, G.</t>
  </si>
  <si>
    <t>Infovisible, USA|c|;;;</t>
  </si>
  <si>
    <t>North, S.C.;Scheidegger, C.E.;Urbanek, S.;Woodhull, G.</t>
  </si>
  <si>
    <t>6064996;4389011;6327298;5290771;4376131</t>
  </si>
  <si>
    <t>Inst. of Math. &amp; Comput. Sci., Sao Carlos, Brazil|c|;;;;</t>
  </si>
  <si>
    <t>Jarema, M.;Demir, I.;Kehrer, J.;Westermann, R.</t>
  </si>
  <si>
    <t>Tech. Univ. Munchen, Mu&amp;#x0308;nchen, Germany|c|;;;</t>
  </si>
  <si>
    <t>6875958;5613488;5332611;4015417;6634122;6634106;5613502;6876043</t>
  </si>
  <si>
    <t>Wenwen Dou;Cho, I.;ElTayeby, O.;Jaegul Choo;Xiaoyu Wang;Ribarsky, W.</t>
  </si>
  <si>
    <t>UNC, Charlotte, NC, USA|c|;;;;;</t>
  </si>
  <si>
    <t>7042493;6634167;6875938;6102461;6876032</t>
  </si>
  <si>
    <t>SKLCS, Inst. of Software, Beijing, China|c|;;;;;</t>
  </si>
  <si>
    <t>5613445;6065001;6065000</t>
  </si>
  <si>
    <t>Yanhong Wu;Pitipornvivat, N.;Jian Zhao;Sixiao Yang;Guowei Huang;Huamin Qu</t>
  </si>
  <si>
    <t>6064994;6065001;4015425;6634116</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</si>
  <si>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</si>
  <si>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INRIA, Sophia-Antipolis, France|c|;;</t>
  </si>
  <si>
    <t>Solteszova, V.;Foscato, M.;Eliasson, S.H.;Jensen, V.R.</t>
  </si>
  <si>
    <t>Christian Michelsen Res., Bergen, Norway|c|;;;</t>
  </si>
  <si>
    <t>Donghao Ren;Tobias H̦llerer;Xiaoru Yuan</t>
  </si>
  <si>
    <t>Dept. of Comput. Sci., Univ. of California, Santa Barbara, Santa Barbara, CA, USA|c|;;</t>
  </si>
  <si>
    <t>Yafeng Lu;Steptoe, M.;Burke, S.;Hong Wang;Jiun-Yi Tsai;Davulcu, H.;Montgomery, D.;Corman, S.R.;Maciejewski, R.</t>
  </si>
  <si>
    <t>6634112;6102488;6400557;6400485;6634160;4677364;6875996;7042484;6065010;7042494;6400491;5333919;801851;6327272;6876015</t>
  </si>
  <si>
    <t>IRI, Inria, Orsay, France|c|;;</t>
  </si>
  <si>
    <t>Brooks, M.;Amershi, S.;Bongshin Lee;Drucker, S.M.;Kapoor, A.;Simard, P.</t>
  </si>
  <si>
    <t>Univ. of Washington, Seattle, WA, USA|c|;;;;;</t>
  </si>
  <si>
    <t>Brooks, M.;Amershi, S.;Bongshin Lee;Drucker, S.;Kapoor, A.;Simard, P.</t>
  </si>
  <si>
    <t>Haeyong Chung;North, C.;Joshi, S.;Jian Chen</t>
  </si>
  <si>
    <t>Univ. of Alabama Huntsville, Huntsville, AL, USA|c|;;;</t>
  </si>
  <si>
    <t>Haeyong Chung;North, C.;Joshi, S.H.;Jian Chen</t>
  </si>
  <si>
    <t>VLAT: Development of a Visualization Literacy Assessment Test</t>
  </si>
  <si>
    <t>10.1109/TVCG.2016.2598920</t>
  </si>
  <si>
    <t>http://dx.doi.org/10.1109/TVCG.2016.2598920</t>
  </si>
  <si>
    <t>The Information Visualization community has begun to pay attention to visualization literacy; however, researchers still lack instruments for measuring the visualization literacy of users. In order to address this gap, we systematically developed a visualization literacy assessment test (VLAT), especially for non-expert users in data visualization, by following the established procedure of test development in Psychological and Educational Measurement: (1) Test Blueprint Construction, (2) Test Item Generation, (3) Content Validity Evaluation, (4) Test Tryout and Item Analysis, (5) Test Item Selection, and (6) Reliability Evaluation. The VLAT consists of 12 data visualizations and 53 multiple-choice test items that cover eight data visualization tasks. The test items in the VLAT were evaluated with respect to their essentialness by five domain experts in Information Visualization and Visual Analytics (average content validity ratio = 0.66). The VLAT was also tried out on a sample of 191 test takers and showed high reliability (reliability coefficient omega = 0.76). In addition, we demonstrated the relationship between users' visualization literacy and aptitude for learning an unfamiliar visualization and showed that they had a fairly high positive relationship (correlation coefficient = 0.64). Finally, we discuss evidence for the validity of the VLAT and potential research areas that are related to the instrument.</t>
  </si>
  <si>
    <t>NetEase Games, NetEase, Inc., Hong Kong Univ. of Sci. &amp; Technol., Hong Kong, China|c|;;</t>
  </si>
  <si>
    <t>Sukwon Lee;Sung-Hee Kim;Bum Chul Kwon</t>
  </si>
  <si>
    <t>School of Industrial Engineering, Purdue University, West Lafayette, IN, USA;Samsung Electronics Co., Ltd., Seoul, South Korea;IBM T.J. Watson Research Center, Yorktown Heights, NY, USA</t>
  </si>
  <si>
    <t>4658136;885098;6065021;6876044;963273</t>
  </si>
  <si>
    <t>10.1109/TVCG.2014.2346419;10.1109/TVCG.2014.2346481;10.1109/TVCG.2014.2346984;10.1109/VISUAL.1991.175815;10.1109/TVCG.2007.70515;10.1109/TVCG.2015.2467195;10.1109/VAST.2011.6102435;10.1109/INFVIS.2005.1532136;10.1109/TVCG.2013.124;10.1109/TVCG.2015.2467201</t>
  </si>
  <si>
    <t>Visualization Literacy;Assessment Test;Instrument;Measurement;Aptitude;Education</t>
  </si>
  <si>
    <t>Towards Unambiguous Edge Bundling: Investigating Confluent Drawings for Network Visualization</t>
  </si>
  <si>
    <t>10.1109/TVCG.2016.2598958</t>
  </si>
  <si>
    <t>http://dx.doi.org/10.1109/TVCG.2016.2598958</t>
  </si>
  <si>
    <t>Coll. of Comput. Sci., Zhejiang Univ., Hangzhou, China|c|;;;;</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</si>
  <si>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</si>
  <si>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Benjamin Bach;Nathalie Henry Riche;Christophe Hurter;Kim Marriott;Tim Dwyer</t>
  </si>
  <si>
    <t>Microsoft Research-Inria Joint Centre, France;Microsoft Research, WA, USA;ENAC, Toulouse, France;Monash University, Melbourne, Australia;Monash University, Melbourne, Australia</t>
  </si>
  <si>
    <t>10.1109/TVCG.2006.120;10.1109/TVCG.2006.147;10.1109/TVCG.2011.233;10.1109/TVCG.2011.190;10.1109/INFVIS.2003.1249008;10.1109/TVCG.2012.208;10.1109/TVCG.2006.160;10.1109/TVCG.2013.151;10.1109/INFVIS.2005.1532150</t>
  </si>
  <si>
    <t>bundling;Network visualization;edge compression;confluent;power graph</t>
  </si>
  <si>
    <t>Vega-Lite: A Grammar of Interactive Graphics</t>
  </si>
  <si>
    <t>10.1109/TVCG.2016.2599030</t>
  </si>
  <si>
    <t>http://dx.doi.org/10.1109/TVCG.2016.2599030</t>
  </si>
  <si>
    <t>We present Vega-Lite, a high-level grammar that enables rapid specification of interactive data visualizations. Vega-Lite combines a traditional grammar of graphics, providing visual encoding rules and a composition algebra for layered and multi-view displays, with a novel grammar of interaction. Users specify interactive semantics by composing selections. In Vega-Lite, a selection is an abstraction that defines input event processing, points of interest, and a predicate function for inclusion testing. Selections parameterize visual encodings by serving as input data, defining scale extents, or by driving conditional logic. The Vega-Lite compiler automatically synthesizes requisite data flow and event handling logic, which users can override for further customization. In contrast to existing reactive specifications, Vega-Lite selections decompose an interaction design into concise, enumerable semantic units. We evaluate Vega-Lite through a range of examples, demonstrating succinct specification of both customized interaction methods and common techniques such as panning, zooming, and linked selection.</t>
  </si>
  <si>
    <t>Bryan, C.;Xue Wu;Mniszewski, S.;Kwan-Liu Ma</t>
  </si>
  <si>
    <t>VIDi @ U.C. Davis, Davis, CA, USA|c|;;;</t>
  </si>
  <si>
    <t>Arvind Satyanarayan;Dominik Moritz;Kanit Wongsuphasawat;Jeffrey Heer</t>
  </si>
  <si>
    <t>10.1109/TVCG.2015.2467091;10.1109/TVCG.2009.174;10.1109/TVCG.2015.2467191;10.1109/TVCG.2014.2346260;10.1109/INFVIS.2000.885086;10.1109/TVCG.2007.70515;10.1109/TVCG.2011.185</t>
  </si>
  <si>
    <t>6102457;729566;6875970;6634169;5613483;6876043;6064952;6327226</t>
  </si>
  <si>
    <t>Information visualization;interaction;systems;toolkits;declarative specification</t>
  </si>
  <si>
    <t>HindSight: Encouraging Exploration through Direct Encoding of Personal Interaction History</t>
  </si>
  <si>
    <t>10.1109/TVCG.2016.2599058</t>
  </si>
  <si>
    <t>http://dx.doi.org/10.1109/TVCG.2016.2599058</t>
  </si>
  <si>
    <t>Lujan Ganuza, M.;Gargiulo, F.;Ferracutti, G.;Castro, S.;Bjerg, E.;Groller, E.;Matkovic, K.</t>
  </si>
  <si>
    <t>VyGLab, UNS, Bahia Blanca, Argentina|c|;;;;;;</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</si>
  <si>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</si>
  <si>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Mi Feng;Cheng Deng;Evan M. Peck;Lane Harrison</t>
  </si>
  <si>
    <t>Worcester Polytechnic Institute;Worcester Polytechnic Institute;Bucknell University;Worcester Polytechnic Institute</t>
  </si>
  <si>
    <t>10.1109/VISUAL.2002.1183791;10.1109/VISUAL.2005.1532788;10.1109/TVCG.2014.2346452;10.1109/TVCG.2008.137;10.1109/TVCG.2014.2346424;10.1109/TVCG.2007.70589;10.1109/TVCG.2008.109</t>
  </si>
  <si>
    <t>History;Visualization;Interaction</t>
  </si>
  <si>
    <t>Evaluating the Impact of Binning 2D Scalar Fields</t>
  </si>
  <si>
    <t>10.1109/TVCG.2016.2599106</t>
  </si>
  <si>
    <t>http://dx.doi.org/10.1109/TVCG.2016.2599106</t>
  </si>
  <si>
    <t>Siming Chen;Xiaoru Yuan;Zhenhuang Wang;Cong Guo;Jie Liang;Zuchao Wang;Xiaolong Zhang;Jiawan Zhang</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</si>
  <si>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</si>
  <si>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Lace M. K. Padilla;P. Samuel Quinan;Miriah D. Meyer;Sarah H. Creem-Regehr</t>
  </si>
  <si>
    <t>Lace Padilla;P. Samuel Quinan;Miriah Meyer;Sarah H. Creem-Regehr</t>
  </si>
  <si>
    <t>Department of Psychology, University of Utah;University of UtahSchool of Computing;University of UtahSchool of Computing;Department of Psychology, University of Utah</t>
  </si>
  <si>
    <t>5332584;4677356;5290694;6064996;6327271;5290710;1382887;1532150;6327262;6876014;6876013</t>
  </si>
  <si>
    <t>10.1109/TVCG.2011.175;10.1109/TVCG.2015.2467754;10.1109/VISUAL.1999.809932;10.1109/VISUAL.1996.568118;10.1109/VISUAL.1995.480803;10.1109/TVCG.2013.124</t>
  </si>
  <si>
    <t>Geographic/Geospatial Visualization;Qualitative Evaluation;Color Perception;Perceptual Cognition</t>
  </si>
  <si>
    <t>Immersive Collaborative Analysis of Network Connectivity: CAVE-style or Head-Mounted Display?</t>
  </si>
  <si>
    <t>10.1109/TVCG.2016.2599107</t>
  </si>
  <si>
    <t>http://dx.doi.org/10.1109/TVCG.2016.2599107</t>
  </si>
  <si>
    <t>Jänicke, S.;Focht, J.;Scheuermann, G.</t>
  </si>
  <si>
    <t>Image &amp; Signal Process. Group, Leipzig Univ., Leipzig, Germany|c|;;</t>
  </si>
  <si>
    <t>6102454;5613445;6875900;4376141;5333443;6875938;4658131;6327277;6400485;1532126;6327290;6400491;4389004;6875959;5290695;4015419;5652931;5333023;4389006;5333248;4677370;5652520</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</si>
  <si>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</si>
  <si>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Maxime Cordeil;Tim Dwyer;Karsten Klein 0001;Bireswar Laha;Kim Marriott;Bruce H. Thomas</t>
  </si>
  <si>
    <t>Maxime Cordeil;Tim Dwyer;Karsten Klein;Bireswar Laha;Kim Marriott;Bruce H. Thomas</t>
  </si>
  <si>
    <t>Monash University;Monash University;Monash University;Stanford University, USA;Monash University;University of South Australia</t>
  </si>
  <si>
    <t>10.1109/VISUAL.2001.964545;10.1109/TVCG.2014.2346573;10.1109/VAST.2007.4389011;10.1109/TVCG.2006.156;10.1109/TVCG.2011.234</t>
  </si>
  <si>
    <t>3D Network;Oculus Rift;CAVE;Immersive Analytics;Collaboration</t>
  </si>
  <si>
    <t>VizItCards: A Card-Based Toolkit for Infovis Design Education</t>
  </si>
  <si>
    <t>10.1109/TVCG.2016.2599338</t>
  </si>
  <si>
    <t>http://dx.doi.org/10.1109/TVCG.2016.2599338</t>
  </si>
  <si>
    <t>Splechtna, R.;Matkovic, K.;Gracanin, D.;Jelovic, M.;Hauser, H.</t>
  </si>
  <si>
    <t>VRVis Res. Center in Vienna, Vienna, Austria|c|;;;;</t>
  </si>
  <si>
    <t>4658193;6876045;6876043;5333081;5613487</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</si>
  <si>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</si>
  <si>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Shiqing He;Eytan Adar</t>
  </si>
  <si>
    <t>School of Information at the University of Michigan;School of Information at the University of Michigan</t>
  </si>
  <si>
    <t>10.1109/TVCG.2015.2467271;10.1109/TVCG.2012.213;10.1109/VAST.2009.5333245;10.1109/TVCG.2014.2346331;10.1109/INFVIS.1996.559229;10.1109/TVCG.2007.70515;10.1109/TVCG.2013.184;10.1109/TVCG.2009.111</t>
  </si>
  <si>
    <t>information visualization education;peer learning;toolkit;card;design workshop</t>
  </si>
  <si>
    <t>Hannah Kim;Jaegul Choo;Haesun Park;Endert, A.</t>
  </si>
  <si>
    <t>6064996;6400486;6634167;5652443;6064997;4658123;6102449;6634124;6875985;146386;6065027;6634163</t>
  </si>
  <si>
    <t>Correlated Photon Mapping for Interactive Global Illumination of Time-Varying Volumetric Data</t>
  </si>
  <si>
    <t>10.1109/TVCG.2016.2598430</t>
  </si>
  <si>
    <t>http://dx.doi.org/10.1109/TVCG.2016.2598430</t>
  </si>
  <si>
    <t>Yu Liang;Wei Wu;Xiaohui Li;Guangxia Li;Wee Siong Ng;See-Kiong Ng;Zhongwen Huang;Arunan, A.;Hui Min Watt</t>
  </si>
  <si>
    <t>Inst. for Infocomm Res., Singapore, Singapore|c|;;;;;;;;</t>
  </si>
  <si>
    <t>1382887;1173155</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</si>
  <si>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</si>
  <si>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Daniel Jönsson;Anders Ynnerman</t>
  </si>
  <si>
    <t>Linköping University, Nörrköping, Sweden;Linköping University, Nörrköping, Sweden</t>
  </si>
  <si>
    <t>10.1109/TVCG.2011.161;10.1109/TVCG.2014.2346333;10.1109/TVCG.2012.232;10.1109/TVCG.2007.70518;10.1109/TVCG.2011.198;10.1109/TVCG.2011.211</t>
  </si>
  <si>
    <t>Volume rendering;photon mapping;global illumination;participating media</t>
  </si>
  <si>
    <t>Hairy Slices: Evaluating the Perceptual Effectiveness of Cutting Plane Glyphs for 3D Vector Fields</t>
  </si>
  <si>
    <t>10.1109/TVCG.2016.2598448</t>
  </si>
  <si>
    <t>http://dx.doi.org/10.1109/TVCG.2016.2598448</t>
  </si>
  <si>
    <t>Sorger, J.;Ortner, T.;Luksch, C.;Schwärzler, M.;Gröller, E.;Piringer, H.</t>
  </si>
  <si>
    <t>Sorger, J.;Ortner, T.;Luksch, C.;Schwärzler, M.;Groller, E.;Piringer, H.</t>
  </si>
  <si>
    <t>6875958;6064996;5613488;6634138;1249032;6634146;5290719;6876043</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</si>
  <si>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</si>
  <si>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Andrew H. Stevens;Thomas Butkiewicz;Colin Ware</t>
  </si>
  <si>
    <t>The Center for Coastal and Ocean MappingThe University of New Hampshire;The Center for Coastal and Ocean MappingThe University of New Hampshire;The Center for Coastal and Ocean MappingThe University of New Hampshire</t>
  </si>
  <si>
    <t>10.1109/VISUAL.1996.568139;10.1109/TVCG.2009.126;10.1109/VISUAL.2005.1532859;10.1109/VISUAL.2004.59;10.1109/VISUAL.1991.175792;10.1109/TVCG.2012.216;10.1109/VISUAL.1999.809918;10.1109/VISUAL.1998.745317;10.1109/VISUAL.2005.1532772;10.1109/TVCG.2009.138;10.1109/VISUAL.1990.146360;10.1109/VISUAL.1996.567777</t>
  </si>
  <si>
    <t>Flow visualization;3D vector fields;Cutting planes;Glyphs;Perception;Evaluation;Human factors</t>
  </si>
  <si>
    <t>Cook, K.;Cramer, N.;Israel, D.;Wolverton, M.;Bruce, J.;Burtner, R.;Endert, A.</t>
  </si>
  <si>
    <t>Urban Pulse: Capturing the Rhythm of Cities</t>
  </si>
  <si>
    <t>Pacific Northwest Nat. Lab., Richland, WA, USA|c|;;;;;;</t>
  </si>
  <si>
    <t>10.1109/TVCG.2016.2598585</t>
  </si>
  <si>
    <t>Cook, K.A.;Cramer, N.;Israel, D.;Wolverton, M.;Bruce, J.;Burtner, R.;Endert, A.</t>
  </si>
  <si>
    <t>http://dx.doi.org/10.1109/TVCG.2016.2598585</t>
  </si>
  <si>
    <t>6400486;6102438;6400559;6875986;7042492;4658192;6634198</t>
  </si>
  <si>
    <t>von Landesberger, T.;Brodkorb, F.;Roskosch, P.;Andrienko, N.;Andrienko, G.;Kerren, A.</t>
  </si>
  <si>
    <t>Tech. Univ. of Darmstadt, Darmstadt, Germany|c|;;;;;</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</si>
  <si>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</si>
  <si>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6065021;6065001;6065003;1382908;5290710;6875983;4658146;6875972;801851;6400553;5333893;1532150</t>
  </si>
  <si>
    <t>Fábio Miranda;Harish Doraiswamy;Marcos Lage;Kai Zhao;Bruno Gonçalves;Luc Wilson;Mondrian Hsieh;Cláudio T. Silva</t>
  </si>
  <si>
    <t>Fabio Miranda;Harish Doraiswamy;Marcos Lage;Kai Zhao;Bruno Gonçalves;Luc Wilson;Mondrian Hsieh;Cláudio T. Silva</t>
  </si>
  <si>
    <t>New York University;New York University;Universidade Federal Fluminense;New York University;New York University;Kohn Pedersen Fox Associates PC;Kohn Pedersen Fox Associates PC;New York University</t>
  </si>
  <si>
    <t>10.1109/TVCG.2015.2467592;10.1109/VAST.2015.7347636;10.1109/TVCG.2014.2346898;10.1109/TVCG.2013.226;10.1109/TVCG.2013.228;10.1109/TVCG.2015.2467619;10.1109/TVCG.2015.2467194;10.1109/VAST.2015.7347630;10.1109/TVCG.2011.181;10.1109/TVCG.2013.131;10.1109/TVCG.2015.2468111;10.1109/TVCG.2014.2346449</t>
  </si>
  <si>
    <t>Topology-based techniques;urban data;visual exploration</t>
  </si>
  <si>
    <t>Comparing Cross-Sections and 3D Renderings for Surface Matching Tasks Using Physical Ground Truths</t>
  </si>
  <si>
    <t>10.1109/TVCG.2016.2598602</t>
  </si>
  <si>
    <t>http://dx.doi.org/10.1109/TVCG.2016.2598602</t>
  </si>
  <si>
    <t>Sujin Jang;Elmqvist, N.;Ramani, K.</t>
  </si>
  <si>
    <t>Purdue Univ. in West LafayetteWest Lafayette, West Lafayette, IN, USA|c|;;</t>
  </si>
  <si>
    <t>6634102;5290701;6065008;6875996;6327289;6634164;6634100;4015418;1532152;6634089;5613432;1183778;4658133;6327272;6876032</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</si>
  <si>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</si>
  <si>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Andreas J. Lind;Stefan Bruckner</t>
  </si>
  <si>
    <t>University of Bergen, Norway;University of Bergen, Norway</t>
  </si>
  <si>
    <t>10.1109/TVCG.2007.70569;10.1109/TVCG.2011.161;10.1109/TVCG.2013.121;10.1109/TVCG.2008.108;10.1109/VISUAL.2005.1532856;10.1109/SciVis.2015.7429485;10.1109/TVCG.2007.70542</t>
  </si>
  <si>
    <t>Human-Computer Interaction;Quantitative Evaluation and Volume Visualization</t>
  </si>
  <si>
    <t>Glueck, M.;Hamilton, P.;Chevalier, F.;Breslav, S.;Khan, A.;Wigdor, D.;Brudno, M.</t>
  </si>
  <si>
    <t>6102439;6634170;6634101;6102438;4658127;5290692;5290690;885091;4376152;1249030;6327270</t>
  </si>
  <si>
    <t>Visualization and Extraction of Carvings for Heritage Conservation</t>
  </si>
  <si>
    <t>10.1109/TVCG.2016.2598603</t>
  </si>
  <si>
    <t>http://dx.doi.org/10.1109/TVCG.2016.2598603</t>
  </si>
  <si>
    <t>van den Elzen, S.;Holten, D.;Blaas, J.;van Wijk, J.J.</t>
  </si>
  <si>
    <t>6065001;1382908;6634085;4015425;4015433;4658146;6065027;801851</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</si>
  <si>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</si>
  <si>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Kai Lawonn;Erik Trostmann;Bernhard Preim;Klaus Hildebrandt</t>
  </si>
  <si>
    <t>University of Koblenz-Landau, Germany;Fraunhofer Institute for Factory Operation and Automation IFF, Germany;University of Magdeburg, Germany;Delft University of Technology, The Netherlands</t>
  </si>
  <si>
    <t>10.1109/TVCG.2007.70538;10.1109/TVCG.2012.248</t>
  </si>
  <si>
    <t>feature filtering;Feature extraction;heritage preservation;Frangi filter;surface analysis</t>
  </si>
  <si>
    <t>Nguyen, P.H.;Kai Xu;Wheat, A.;Wong, B.L.W.;Attfield, S.;Fields, B.</t>
  </si>
  <si>
    <t>In Situ Distribution Guided Analysis and Visualization of Transonic Jet Engine Simulations</t>
  </si>
  <si>
    <t>10.1109/TVCG.2016.2598604</t>
  </si>
  <si>
    <t>http://dx.doi.org/10.1109/TVCG.2016.2598604</t>
  </si>
  <si>
    <t>1532788;6064996;6875913;4677365;4658129;5333020;6634110</t>
  </si>
  <si>
    <t>Richter, C.;Luboschik, M.;Rohlig, M.;Schumann, H.</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</si>
  <si>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</si>
  <si>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Soumya Dutta;Chun-Ming Chen;Gregory Heinlein;Han-Wei Shen;Jen-Ping Chen</t>
  </si>
  <si>
    <t>The Department of Computer Science and Engineering, GRAVITY research group, The Ohio State University;The Department of Computer Science and Engineering, GRAVITY research group, The Ohio State University;The Department of Mechanical and Aerospace Engineering, The Ohio State University;The Department of Computer Science and Engineering, GRAVITY research group, The Ohio State University;The Department of Mechanical and Aerospace Engineering, The Ohio State University</t>
  </si>
  <si>
    <t>10.1109/TVCG.2008.140;10.1109/TVCG.2013.152;10.1109/TVCG.2015.2467436;10.1109/TVCG.2007.70615;10.1109/TVCG.2015.2467952;10.1109/TVCG.2015.2467958;10.1109/TVCG.2015.2467411</t>
  </si>
  <si>
    <t>In situ analysis;rotating stall analysis;Gaussian mixture model;incremental distribution modeling;feature analysis;high performance computing;collaborative development</t>
  </si>
  <si>
    <t>Synteny Explorer: An Interactive Visualization Application for Teaching Genome Evolution</t>
  </si>
  <si>
    <t>10.1109/TVCG.2016.2598789</t>
  </si>
  <si>
    <t>http://dx.doi.org/10.1109/TVCG.2016.2598789</t>
  </si>
  <si>
    <t>Shenghui Cheng;Yue Wang;Dan Zhang;Zhifang Jiang;Mueller, K.</t>
  </si>
  <si>
    <t>Rapid advances in biology demand new tools for more active research dissemination and engaged teaching. This paper presents 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</si>
  <si>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Chris Bryan;Gregory Guterman;Kwan-Liu Ma;Harris Lewin;Denis Larkin;Jaebum Kim;Jian Ma 0004;Marta Farre</t>
  </si>
  <si>
    <t>Chris Bryan;Gregory Guterman;Kwan-Liu Ma;Harris Lewin;Denis Larkin;Jaebum Kim;Jian Ma;Marta Farré</t>
  </si>
  <si>
    <t>University of California, Davis;University of California, Davis;University of California, Davis;University of California, Davis;Royal Veterinary College, University of London;Konkuk University, Seoul;Carnegie Mellon University;Royal Veterinary College, University of London</t>
  </si>
  <si>
    <t>Rohlig, M.;Luboschik, M.;Kruger, F.;Kirste, T.;Schumann, H.;Bogl, M.;Alsallakh, B.;Miksch, S.</t>
  </si>
  <si>
    <t>Univ. of Rostock, Rostock, Germany|c|;;;;;;;</t>
  </si>
  <si>
    <t>;10.1109/TVCG.2007.70539;10.1109/TVCG.2012.272;10.1109/TVCG.2010.163;10.1109/TVCG.2009.167;10.1109/TVCG.2011.232;10.1109/TVCG.2010.137;10.1109/TVCG.2013.214</t>
  </si>
  <si>
    <t>Bioinformatic visualization;education;learning;genome evolution;chromosome;user study</t>
  </si>
  <si>
    <t>Visualizing Shape Deformations with Variation of Geometric Spectrum</t>
  </si>
  <si>
    <t>6875942;6065007;6876043;6064952;5290711;5332595</t>
  </si>
  <si>
    <t>10.1109/TVCG.2016.2598790</t>
  </si>
  <si>
    <t>http://dx.doi.org/10.1109/TVCG.2016.2598790</t>
  </si>
  <si>
    <t>Krause, J.;Perer, A.;Stavropoulos, H.</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</si>
  <si>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e.g., non-rigid Iterative Closest Point (ICP) and voxel-based method. These experiments demonstrate the advantages of our method.</t>
  </si>
  <si>
    <t>Jiaxi Hu;Hajar Hamidian;Zichun Zhong;Jing Hua</t>
  </si>
  <si>
    <t>Wayne State University;Wayne State University;Wayne State University;Wayne State University</t>
  </si>
  <si>
    <t>10.1109/TVCG.2009.159;10.1109/TVCG.2015.2467198;10.1109/TVCG.2011.171</t>
  </si>
  <si>
    <t>Geometry-based Technique;Spectral Analysis;Biomedical Visualization</t>
  </si>
  <si>
    <t>6064996;4389013;4035762;6875996;5652890;6876047;6634100;6634096;5290698;963273;6327272;6634163</t>
  </si>
  <si>
    <t>Corresponding Supine and Prone Colon Visualization Using Eigenfunction Analysis and Fold Modeling</t>
  </si>
  <si>
    <t>10.1109/TVCG.2016.2598791</t>
  </si>
  <si>
    <t>http://dx.doi.org/10.1109/TVCG.2016.2598791</t>
  </si>
  <si>
    <t>Nan Cao;Conglei Shi;Lin, S.;Jie Lu;Yu-Ru Lin;Ching-Yung Lin</t>
  </si>
  <si>
    <t>6327271;4015444;1183816;6876013</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</si>
  <si>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</si>
  <si>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Saad Nadeem;Joseph Marino;Xianfeng Gu;Arie E. Kaufman</t>
  </si>
  <si>
    <t>Saad Nadeem;Joseph Marino;Xianfeng Gu;Arie Kaufman</t>
  </si>
  <si>
    <t>Computer Science Department, Stony Brook University, Stony Brook, NY;Computer Science Department, Stony Brook University, Stony Brook, NY;Computer Science Department, Stony Brook University, Stony Brook, NY;Computer Science Department, Stony Brook University, Stony Brook, NY</t>
  </si>
  <si>
    <t>10.1109/TVCG.2006.112;10.1109/TVCG.2010.200;10.1109/VISUAL.2001.964540;10.1109/TVCG.2006.158;10.1109/TVCG.2013.139;10.1109/TVCG.2015.2467413;10.1109/TVCG.2011.182;10.1109/VISUAL.2005.1532806</t>
  </si>
  <si>
    <t>Medical visualization;colon registration;geometry-based techniques;mathematical foundations for visualization</t>
  </si>
  <si>
    <t>Combined Visualization of Vessel Deformation and Hemodynamics in Cerebral Aneurysms</t>
  </si>
  <si>
    <t>10.1109/TVCG.2016.2598795</t>
  </si>
  <si>
    <t>http://dx.doi.org/10.1109/TVCG.2016.2598795</t>
  </si>
  <si>
    <t>Alexander, E.;Gleicher, M.</t>
  </si>
  <si>
    <t>Univ. of Wisconsin-Madison, Madison, WI, USA|c|;</t>
  </si>
  <si>
    <t>6065006;7042493;6634167;6065008;6327294;885098;6875995;6634134</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</si>
  <si>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</si>
  <si>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Monique Meuschke;Samuel Voß;Oliver Beuing;Bernhard Preim;Kai Lawonn</t>
  </si>
  <si>
    <t>Monique Meuschke;Samuel Voss;Oliver Beuing;Bernhard Preim;Kai Lawonn</t>
  </si>
  <si>
    <t>University of Magdeburg, Germany;University of Magdeburg, Germany;University of Magdeburg, Germany;University of Magdeburg, Germany;University of Koblenz-Landau, Germany</t>
  </si>
  <si>
    <t>10.1109/TVCG.2011.215;10.1109/TVCG.2011.243;10.1109/TVCG.2014.2346406;10.1109/TVCG.2010.153;10.1109/TVCG.2015.2467961;10.1109/TVCG.2013.189;10.1109/TVCG.2012.202</t>
  </si>
  <si>
    <t>Medical visualizations;aneurysms;blood flow;wall thickness;wall deformation;projections</t>
  </si>
  <si>
    <t>Reda, K.;Gonzalez, A.;Leigh, J.;Papka, M.E.</t>
  </si>
  <si>
    <t>Argonne Nat. Lab., Argonne, IL, USA|c|;;;</t>
  </si>
  <si>
    <t>Molecular Surface Maps</t>
  </si>
  <si>
    <t>10.1109/TVCG.2016.2598824</t>
  </si>
  <si>
    <t>http://dx.doi.org/10.1109/TVCG.2016.2598824</t>
  </si>
  <si>
    <t>Jäckle, D.;Fischer, F.;Schreck, T.;Keim, D.A.</t>
  </si>
  <si>
    <t>5332593;146402;485140;146386;4376142;5332628</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</si>
  <si>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</si>
  <si>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Michael Krone;Florian Friess;Katrin Scharnowski;Guido Reina;Silvia Fademrecht;Tobias Kulschewski;Jürgen Pleiss;Thomas Ertl</t>
  </si>
  <si>
    <t>Michael Krone;Florian Frieß;Katrin Scharnowski;Guido Reina;Silvia Fademrecht;Tobias Kulschewski;Jürgen Pleiss;Thomas Ertl</t>
  </si>
  <si>
    <t>Visualization Research Center (VISUS), University of Stuttgart, Germany;Visualization Research Center (VISUS), University of Stuttgart, Germany;Visualization Research Center (VISUS), University of Stuttgart, Germany;Visualization Research Center (VISUS), University of Stuttgart, Germany;Institute of Technical Biochemistry (ITB), University of Stuttgart, Germany;Institute of Technical Biochemistry (ITB), University of Stuttgart, Germany;Institute of Technical Biochemistry (ITB), University of Stuttgart, Germany;Visualization Research Center (VISUS), University of Stuttgart, Germany</t>
  </si>
  <si>
    <t>10.1109/TVCG.2013.194;10.1109/VISUAL.2003.1250384;10.1109/TVCG.2015.2467413</t>
  </si>
  <si>
    <t>Shenghui Cheng;Mueller, K.</t>
  </si>
  <si>
    <t>Molecular Visualization;Maps;Cartography;Data Aggregation;Dimensionality Reduction;Space-time Cube</t>
  </si>
  <si>
    <t>6634184;5332629;663916;146402;6065024;636793;5613468</t>
  </si>
  <si>
    <t>Physics-Based Visual Characterization of Molecular Interaction Forces</t>
  </si>
  <si>
    <t>10.1109/TVCG.2016.2598825</t>
  </si>
  <si>
    <t>http://dx.doi.org/10.1109/TVCG.2016.2598825</t>
  </si>
  <si>
    <t>Sacha, D.;Senaratne, H.;Bum Chul Kwon;Ellis, G.;Keim, D.A.</t>
  </si>
  <si>
    <t>6875913;885679;4677385;5332611;6327294;6102473;5333020;6102435;6327255;6875967;4035759</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</si>
  <si>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</si>
  <si>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Pedro Hermosilla;Jorge Estrada;Victor Guallar;Timo Ropinski;Alvar Vinacua;Pere-Pau Vázquez</t>
  </si>
  <si>
    <t>Pedro Hermosilla;Jorge Estrada;Victor Guallar;Timo Ropinski;Àlvar Vinacua;Pere-Pau Vázquez</t>
  </si>
  <si>
    <t>ViRVIG Group, Barcelona Supercomputing Center;Barcelona Supercomputing Center;Barcelona Supercomputing Center;Visual Computing Group, Ulm University;ViRVIG Group, UPC, Barcelona;ViRVIG Group, UPC, Barcelona</t>
  </si>
  <si>
    <t>10.1109/TVCG.2009.168;10.1109/TVCG.2012.282;10.1109/TVCG.2015.2467293;10.1109/TVCG.2007.70578;10.1109/TVCG.2006.115;10.1109/TVCG.2007.70517;10.1109/TVCG.2014.2346403;10.1109/TVCG.2009.157</t>
  </si>
  <si>
    <t>Molecular visualization;binding analysis</t>
  </si>
  <si>
    <t>PelVis: Atlas-based Surgical Planning for Oncological Pelvic Surgery</t>
  </si>
  <si>
    <t>10.1109/TVCG.2016.2598826</t>
  </si>
  <si>
    <t>Jun Wang;Mueller, K.</t>
  </si>
  <si>
    <t>Comput. Sci. Dept., Stony Brook Univ., Stony Brook, NY, USA|c|;</t>
  </si>
  <si>
    <t>http://dx.doi.org/10.1109/TVCG.2016.2598826</t>
  </si>
  <si>
    <t>1249025;4376148;6327272;4388999</t>
  </si>
  <si>
    <t>Fulda, J.;Brehmer, M.;Munzner, T.</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</si>
  <si>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</si>
  <si>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Noeska N. Smit;Kai Lawonn;Annelot Kraima;Marco DeRuiter;Hessam Sokooti;Stefan Bruckner;Elmar Eisemann;Anna Vilanova</t>
  </si>
  <si>
    <t>Noeska Smit;Kai Lawonn;Annelot Kraima;Marco DeRuiter;Hessam Sokooti;Stefan Bruckner;Elmar Eisemann;Anna Vilanova</t>
  </si>
  <si>
    <t>Delft University of TechnologyUniversity of Bergen;University of Koblenz, Landau;Leiden University Medical Center;Leiden University Medical Center;Leiden University Medical Center;University of Bergen;Delft University of Technology;Delft University of Technology</t>
  </si>
  <si>
    <t>10.1109/TVCG.2008.180;10.1109/VISUAL.2002.1183769;10.1109/TVCG.2011.207;10.1109/TVCG.2015.2467961;10.1109/TVCG.2011.189;10.1109/TVCG.2013.143;10.1109/VISUAL.2003.1250400</t>
  </si>
  <si>
    <t>7042493;6064996;6875900;6634168;6400557;6102461;6400485;6634160;6634170;6327293;6876042;6327248;4389006;6327274;6400530;4376131</t>
  </si>
  <si>
    <t>Atlas;surgical planning;medical visualization</t>
  </si>
  <si>
    <t>Visualization as Seen through its Research Paper Keywords</t>
  </si>
  <si>
    <t>10.1109/TVCG.2016.2598827</t>
  </si>
  <si>
    <t>http://dx.doi.org/10.1109/TVCG.2016.2598827</t>
  </si>
  <si>
    <t>Polack, P.J.;Shang-Tse Chen;Minsuk Kahng;Sharmin, M.;Duen Horng Chau</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</si>
  <si>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</si>
  <si>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Petra Isenberg;Tobias Isenberg 0001;Michael Sedlmair;Jian Chen;Torsten Möller</t>
  </si>
  <si>
    <t>Petra Isenberg;Tobias Isenberg;Michael Sedlmair;Jian Chen;Torsten Möller</t>
  </si>
  <si>
    <t>Inria, France;Inria, France;University of Vienna, Austria;University of Maryland, Baltimore County, USA;University of Vienna, Austria</t>
  </si>
  <si>
    <t>10.1109/TVCG.2012.195;10.1109/TVCG.2012.213;10.1109/INFVIS.2000.885092;10.1109/TVCG.2011.229;10.1109/TVCG.2008.109;10.1109/TVCG.2007.70515;10.1109/TVCG.2013.126</t>
  </si>
  <si>
    <t>data analysis;research themes;research topics;taxonomy;visualization history;theory</t>
  </si>
  <si>
    <t>Decal-Maps: Real-Time Layering of Decals on Surfaces for Multivariate Visualization</t>
  </si>
  <si>
    <t>10.1109/TVCG.2016.2598866</t>
  </si>
  <si>
    <t>http://dx.doi.org/10.1109/TVCG.2016.2598866</t>
  </si>
  <si>
    <t>Peter, J.;Szigeti, S.;Jofre, A.;Diamond, S.</t>
  </si>
  <si>
    <t>OCAD Univ., Canada|c|;;;</t>
  </si>
  <si>
    <t>Xiaoke Huang;Ye Zhao;Jing Yang;Chong Zhang;Chao Ma;Xinyue Ye</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</si>
  <si>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</si>
  <si>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Allan Rocha;Usman R. Alim;Julio Daniel Silva;Mario Costa Sousa</t>
  </si>
  <si>
    <t>5332593;6634127;5290707;6102455;4015419;6327262;6634174;6876014</t>
  </si>
  <si>
    <t>Allan Rocha;Usman Alim;Julio Daniel Silva;Mario Costa Sousa</t>
  </si>
  <si>
    <t>University of Calgary;University of Calgary;University of Calgary;University of Calgary</t>
  </si>
  <si>
    <t>10.1109/VISUAL.1991.175811;10.1109/TVCG.2010.181;10.1109/TVCG.2011.243;10.1109/VISUAL.1998.745294;10.1109/TVCG.2015.2467153;10.1109/VISUAL.2003.1250362;10.1109/VISUAL.1999.809905;10.1109/TVCG.2011.170</t>
  </si>
  <si>
    <t>Multivariate;Visualization;Real-time;Decal;Surface;Layering;Design</t>
  </si>
  <si>
    <t>Time-Hierarchical Clustering and Visualization of Weather Forecast Ensembles</t>
  </si>
  <si>
    <t>10.1109/TVCG.2016.2598868</t>
  </si>
  <si>
    <t>http://dx.doi.org/10.1109/TVCG.2016.2598868</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</si>
  <si>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ΓÇ£trending poolΓÇ¥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</si>
  <si>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Yi-Chih Tsai;Liang-Chi Hsieh;Wen-Feng Cheng;Yin-Hsi Kuo;Hsu, W.;Wen-Chin Chen</t>
  </si>
  <si>
    <t>Nat. Taiwan Univ., Taipei, Taiwan|c|;;;;;</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</si>
  <si>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</si>
  <si>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Florian Ferstl;Mathias Kanzler;Marc Rautenhaus;Rüdiger Westermann</t>
  </si>
  <si>
    <t>Technical University of Munich;Technical University of Munich;Technical University of Munich;Technical University of Munich</t>
  </si>
  <si>
    <t>10.1109/TVCG.2015.2467204;10.1109/TVCG.2010.181;10.1109/INFVIS.1999.801851;10.1109/TVCG.2015.2467754;10.1109/TVCG.2013.143;10.1109/TVCG.2013.141;10.1109/TVCG.2011.203;10.1109/TVCG.2014.2346332;10.1109/TVCG.2006.168</t>
  </si>
  <si>
    <t>Ensemble visualization;uncertainty visualization;meteorological visualization;iso-contours;time-varying data;clustering</t>
  </si>
  <si>
    <t>di Sciascio, C.;Sabol, V.;Veas, E.</t>
  </si>
  <si>
    <t>Know-Center GmbH, Graz, Austria|c|;;</t>
  </si>
  <si>
    <t>Visualization of Time-Varying Weather Ensembles across Multiple Resolutions</t>
  </si>
  <si>
    <t>10.1109/TVCG.2016.2598869</t>
  </si>
  <si>
    <t>http://dx.doi.org/10.1109/TVCG.2016.2598869</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</si>
  <si>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</si>
  <si>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Ferreira, N.;Lage, M.;Doraiswamy, H.;Huy Vo;Wilson, L.;Werner, H.;Park, M.;Silva, C.</t>
  </si>
  <si>
    <t>Ayan Biswas;Guang Lin;Xiaotong Liu;Han-Wei Shen</t>
  </si>
  <si>
    <t>New York Univ., New York, NY, USA|c|;;;;;;;</t>
  </si>
  <si>
    <t>Ferreira, N.;Lage, M.;Doraiswamy, H.;Vo, H.T.;Wilson, L.;Werner, H.;Park, M.;Silva, C.T.</t>
  </si>
  <si>
    <t>GRAVITY group, The Ohio State University;Purdue University;GRAVITY group, The Ohio State University;GRAVITY group, The Ohio State University</t>
  </si>
  <si>
    <t>10.1109/TVCG.2015.2467204;10.1109/TVCG.2010.181;10.1109/SciVis.2015.7429487;10.1109/TVCG.2013.138;10.1109/TVCG.2015.2468093;10.1109/TVCG.2013.143;10.1109/TVCG.2014.2346448;10.1109/VAST.2015.7347634;10.1109/TVCG.2012.249;10.1109/TVCG.2014.2346455;10.1109/TVCG.2013.144</t>
  </si>
  <si>
    <t>4677356;6875954;4376137;6634127;4376168;6634174;6876029;6876008</t>
  </si>
  <si>
    <t>Ensemble;time-varying;multi-resolution;sensitivity analysis</t>
  </si>
  <si>
    <t>A Fractional Cartesian Composition Model for Semi-Spatial Comparative Visualization Design</t>
  </si>
  <si>
    <t>10.1109/TVCG.2016.2598870</t>
  </si>
  <si>
    <t>http://dx.doi.org/10.1109/TVCG.2016.2598870</t>
  </si>
  <si>
    <t>Perkins, M.;Yanlai Chen</t>
  </si>
  <si>
    <t>Univ. of Massachusetts Lowell, Lowell, MA, USA|c|;</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</si>
  <si>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</si>
  <si>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Ivan Kolesár;Stefan Bruckner;Ivan Viola;Helwig Hauser</t>
  </si>
  <si>
    <t>Department of Informatics, University of Bergen, Norway;Department of Informatics, University of Bergen, Norway;TU Wien, Austria;Department of Informatics, University of Bergen, Norway</t>
  </si>
  <si>
    <t>10.1109/TVCG.2014.2346591;10.1109/TVCG.2008.180;10.1109/TVCG.2009.153;10.1109/TVCG.2007.70550;10.1109/VISUAL.2003.1250401;10.1109/TVCG.2006.164;10.1109/TVCG.2013.120;10.1109/TVCG.2009.136;10.1109/TVCG.2014.2346325;10.1109/TVCG.2014.2346321;10.1109/TVCG.2011.227;10.1109/VISUAL.2005.1532781;10.1109/TVCG.2011.235;10.1109/VISUAL.2003.1250353;10.1109/TVCG.2009.111</t>
  </si>
  <si>
    <t>Visualization Models;Integrating Spatial and Non-Spatial Data Visualization;Design Methodologies</t>
  </si>
  <si>
    <t>Glyphs for General Second-Order 2D and 3D Tensors</t>
  </si>
  <si>
    <t>10.1109/TVCG.2016.2598998</t>
  </si>
  <si>
    <t>http://dx.doi.org/10.1109/TVCG.2016.2598998</t>
  </si>
  <si>
    <t>Blascheck, T.;John, M.;Kurzhals, K.;Koch, S.;Ertl, T.</t>
  </si>
  <si>
    <t>Inst. for Visualization &amp; Interactive Syst., Univ. of Stuttgart, Stuttgart, Germany|c|;;;;</t>
  </si>
  <si>
    <t>6327295;6634168;4677361;5333878;6875959;5653598;6327297;1532837</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</si>
  <si>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</si>
  <si>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Tim Gerrits;Christian Rössl;Holger Theisel</t>
  </si>
  <si>
    <t>Visual Computing group at the University of Magdeburg, Germany;Visual Computing group at the University of Magdeburg, Germany;Visual Computing group at the University of Magdeburg, Germany</t>
  </si>
  <si>
    <t>10.1109/TVCG.2014.2346325;10.1109/TVCG.2010.199;10.1109/VISUAL.1991.175773;10.1109/VISUAL.2004.115;10.1109/VISUAL.2003.1250376;10.1109/VISUAL.1993.398849;10.1109/TVCG.2009.184</t>
  </si>
  <si>
    <t>Glyph-based Techniques;Tensor Field Data;Flow Visualization</t>
  </si>
  <si>
    <t>Backward Finite-Time Lyapunov Exponents in Inertial Flows</t>
  </si>
  <si>
    <t>10.1109/TVCG.2016.2599016</t>
  </si>
  <si>
    <t>http://dx.doi.org/10.1109/TVCG.2016.2599016</t>
  </si>
  <si>
    <t>Cho, I.;Wewnen Dou;Wang, D.X.;Sauda, E.;Ribarsky, W.</t>
  </si>
  <si>
    <t>7042493;4389012;6875900;4376141;4658132;5652885;6065008;6400485;6634160;885098;6065010;6875967;885091</t>
  </si>
  <si>
    <t>Papadopoulos, C.;Gutenko, I.;Kaufman, A.E.</t>
  </si>
  <si>
    <t>Dept. of Comput. Sci., Stony Brook Univ., Stony Brook, NY, USA|c|;;</t>
  </si>
  <si>
    <t>Papadopoulos, C.;Gutenko, I.;Kaufman, A.</t>
  </si>
  <si>
    <t>6327295;6327257;6876009;5613504;6876050;885086;1382904</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</si>
  <si>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</si>
  <si>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Visual Computing Group, University of Magdeburg;Visual Computing Group, University of Magdeburg</t>
  </si>
  <si>
    <t>10.1109/TVCG.2007.70551;10.1109/TVCG.2007.70554;10.1109/TVCG.2010.198;10.1109/TVCG.2014.2346415;10.1109/TVCG.2013.128</t>
  </si>
  <si>
    <t>Inertial particles;finite-time Lyapunov exponents;backward integration;preferential particle settling</t>
  </si>
  <si>
    <t>Jacobi Fiber Surfaces for Bivariate Reeb Space Computation</t>
  </si>
  <si>
    <t>10.1109/TVCG.2016.2599017</t>
  </si>
  <si>
    <t>http://dx.doi.org/10.1109/TVCG.2016.2599017</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</si>
  <si>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</si>
  <si>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Dept. of Comput. Sci., Univ. of Wisconsin-Madison, Madison, WI, USA|c|;</t>
  </si>
  <si>
    <t>Max Planck Inst. for Inf., Saarbrucken, Germany|c|;;;;</t>
  </si>
  <si>
    <t>6875938;6102441;6875946;1249028;5613458;7042494;6876000;5333919;6327248;5290722;5290711;6634134;6400554;7042496;4658138</t>
  </si>
  <si>
    <t>Beck, F.;Koch, S.;Weiskopf, D.</t>
  </si>
  <si>
    <t>6064994;6327277;7192685;5333564;5613457;4389006;6634163</t>
  </si>
  <si>
    <t>Min Lu;Chufan Lai;Ye Tangzhi;Jie Liang;Xiaoru Yuan</t>
  </si>
  <si>
    <t>Löwe, T.;Förster, E.-C.;Albuquerque, G.;Kreiss, J.-P.;Magnor, M.</t>
  </si>
  <si>
    <t>Comput. Graphics Lab., Tech. Univ. Braunschweig, Braunschweig, Germany|c|;;;;</t>
  </si>
  <si>
    <t>Leite, R.A.;Gschwandtner, T.;Miksch, S.;Gstrein, E.;Kuntner, J.</t>
  </si>
  <si>
    <t>Vienna Univ. of Technol., Vienna, Austria|c|;;;;</t>
  </si>
  <si>
    <t>Zuchao Wang;Xiaoru Yuan;Ye Tangzhi;Youfeng hao;Siming Chen;Jie Liangk;Qiusheng Li;Haiyang Wang;Yadong Wu</t>
  </si>
  <si>
    <t>Key Lab. of Machine Perception, Peking Univ., Beijing, China|c|;;;;;;;;</t>
  </si>
  <si>
    <t>Observational studies are a widely used and challenging class of studies. A key challenge is selecting a study cohort from the available data, or ΓÇ£pruningΓÇ¥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</si>
  <si>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Samuels, L.R.;Greevy, R.A.</t>
  </si>
  <si>
    <t>Sch. of Med., Dept. of Biostat., Vanderbilt Univ., Nashville, TN, USA|c|;</t>
  </si>
  <si>
    <t>Anreddy, S.;Song Zhang;Mercer, A.;Dyer, J.;Swan, J.E.</t>
  </si>
  <si>
    <t>Mississippi State Univ., Starkville, MS, USA|c|;;;;</t>
  </si>
  <si>
    <t>Bogl, M.;Filzmoser, P.;Gschwandtner, T.;Miksch, S.;Aigner, W.;Rind, A.;Lammarsch, T.</t>
  </si>
  <si>
    <t>Vienna Univ. of Technol., Vienna, Austria|c|;;;;;;</t>
  </si>
  <si>
    <t>Palomo, C.;Zhan Guo;Silva, C.T.;Freire, J.</t>
  </si>
  <si>
    <t>1382894;6876004;4376143;6065004;6634127;809866;4658129;5290770;1532138;6065010;4015444;1249005</t>
  </si>
  <si>
    <t>Valdivia, P.;Dias, F.;Petronetto, F.;Silva, C.T.;Nonato, L.G.</t>
  </si>
  <si>
    <t>4677356;6876004;6634127;885098;6634174</t>
  </si>
  <si>
    <t>Boy, J.;Rensink, R.A.;Bertini, E.;Fekete, J.-D.</t>
  </si>
  <si>
    <t>EnsadLab, Telecom ParisTech, Paris, France|c|;;;</t>
  </si>
  <si>
    <t>Boy, J.;Rensink, R.A.;Bertini, E.;Fekete, J.</t>
  </si>
  <si>
    <t>Stusak, S.;Tabard, A.;Sauka, F.;Khot, R.A.;Butz, A.</t>
  </si>
  <si>
    <t>Univ. of Munich, Munich, Germany|c|;;;;</t>
  </si>
  <si>
    <t>4376134;1249031;6634126</t>
  </si>
  <si>
    <t>Kindlmann, G.;Scheidegger, C.</t>
  </si>
  <si>
    <t>Univ. of Chicago, Chicago, IL, USA|c|;</t>
  </si>
  <si>
    <t>Kindlmann, G.;Scheidegger, C.E.</t>
  </si>
  <si>
    <t>6634146;801860;5613460;5613502;568118;6634168;5290761;5290695;4376133;6634182;1249005;1382903;567784;6634108;4658127;6327249;5613434</t>
  </si>
  <si>
    <t>Turkay, C.;Slingsby, A.;Hauser, H.;Wood, J.;Dykes, J.</t>
  </si>
  <si>
    <t>6634146;6065027;6634127;6065022;4376135;4658126;1382904;6327268;4376137;4677350;4658146;6634111</t>
  </si>
  <si>
    <t>Rubio-Sanchez, M.;Sanchez, A.</t>
  </si>
  <si>
    <t>5613430;6634131;146402;663916</t>
  </si>
  <si>
    <t>Isaacs, K.E.;Bremer, P.-T.;Jusufi, I.;Gamblin, T.;Bhatele, A.;Schulz, M.;Hamann, B.</t>
  </si>
  <si>
    <t>Univ. of California, Davis, Davis, CA, USA|c|;;;;;;</t>
  </si>
  <si>
    <t>6327252;5290721;6064945;6634100</t>
  </si>
  <si>
    <t>Netzel, R.;Burch, M.;Weiskopf, D.</t>
  </si>
  <si>
    <t>1382886;6065011;6065001</t>
  </si>
  <si>
    <t>Huron, S.;Jansen, Y.;Carpendale, S.</t>
  </si>
  <si>
    <t>5290712;6064996;6634152;4376131;1382905;6065018;663890;6327284;6634126;5613431;4376134;6327259</t>
  </si>
  <si>
    <t>McKenna, S.;Mazur, D.;Agutter, J.;Meyer, M.</t>
  </si>
  <si>
    <t>6327248;6065017;5290695;6634108;6634166</t>
  </si>
  <si>
    <t>Kondo, B.;Collins, C.</t>
  </si>
  <si>
    <t>6634138;6327275;6327294;4658131;6400486;6327262;6634116;1532136;6064996;4658146;6065009</t>
  </si>
  <si>
    <t>Gratzl, S.;Gehlenborg, N.;Lex, A.;Pfister, H.;Streit, M.</t>
  </si>
  <si>
    <t>5290705;5613440;146402;6327256;6064995;1532788;6634146;6064990;6634192;6064997;4015424;1532152;1382895;4376140</t>
  </si>
  <si>
    <t>van der Corput, P.;van Wijk, J.J.</t>
  </si>
  <si>
    <t>Correll, M.;Gleicher, M.</t>
  </si>
  <si>
    <t>6327283;6327259;6327281;6064986;6327255</t>
  </si>
  <si>
    <t>Goffin, P.;Willett, W.;Fekete, J.-D.;Isenberg, P.</t>
  </si>
  <si>
    <t>Goffin, P.;Willett, W.;Fekete, J.;Isenberg, P.</t>
  </si>
  <si>
    <t>6634087;4015420;6327267;6064996;4376132;6064990;6634156;5613457;1532144</t>
  </si>
  <si>
    <t>Bar charts are one of the most common visualization types. In a classic graphical perception paper, Cleveland &amp;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 McGill's ranking of various bar chart configurations, we provide additional insight into the bar chart reading task and the sources of participants' errors. We use our results to propose new hypotheses on the perception of bar charts.</t>
  </si>
  <si>
    <t>Talbot, J.;Setlur, V.;Anand, A.</t>
  </si>
  <si>
    <t>Tableau Res., USA|c|;;</t>
  </si>
  <si>
    <t>Stolper, C.D.;Kahng, M.;Zhiyuan Lin;Foerster, F.;Goel, A.;Stasko, J.;Duen Horng Chau</t>
  </si>
  <si>
    <t>4658129;6102441;5613453;4658140;4376154;6102440;1173155;4015425;5613448;636793;6065003;6064996;4015424;5290699;6634087</t>
  </si>
  <si>
    <t>Microsoft Res., Redmond, WA, USA|c|;;;</t>
  </si>
  <si>
    <t>6634164;5290699;7042494;5290695;6065008;6876032;6327274;6634134;6327272;6634160;6634100</t>
  </si>
  <si>
    <t>Donghao Ren;Hollerer, T.;Xiaoru Yuan</t>
  </si>
  <si>
    <t>1382904;5613453;5290705;5290720;1532788;6064996;4376131;1382905;5613455;6634113;636792;6064997;6064975;6327284;636761</t>
  </si>
  <si>
    <t>Demiralp, C.D.;Bernstein, M.S.;Heer, J.</t>
  </si>
  <si>
    <t>Stanford Univ., Stanford, CA, USA|c|;;</t>
  </si>
  <si>
    <t>Demiralp, C.;Bernstein, M.S.;Heer, J.</t>
  </si>
  <si>
    <t>5613436;4015420;4376133;6064993;4376151;4658146;5613441;4376146</t>
  </si>
  <si>
    <t>6634100;6327248;5290698;6327272</t>
  </si>
  <si>
    <t>Palmas, G.;Bachynskyi, M.;Oulasvirta, A.;Seidel, H.-P.;Weinkauf, T.</t>
  </si>
  <si>
    <t>5290752;6327248;6327275;885086;346302;1382904</t>
  </si>
  <si>
    <t>Wood, J.;Beecham, R.;Dykes, J.</t>
  </si>
  <si>
    <t>6327285;6327281;6327248;6064986;6634126;5613452;6634110;1382903;6065017;6634166;4658128</t>
  </si>
  <si>
    <t>King Abdullah Univ. of Sci. &amp; Technol., Thuwal, Saudi Arabia|c|;;;;;;</t>
  </si>
  <si>
    <t>van den Elzen, S.;van Wijk, J.J.</t>
  </si>
  <si>
    <t>Dept. of Mathematic &amp; Comput. Sci., Eindhoven Univ. of Technol., Eindhoven, Netherlands|c|;</t>
  </si>
  <si>
    <t>485139;1249008;4015419;5290707;6634091;4389013;346302;4376132;4658123;5290699;4015424;4015425</t>
  </si>
  <si>
    <t>Al-Awami, A.;Beyer, J.;Strobelt, H.;Kasthuri, N.;Lichtman, J.W.;Pfister, H.;Hadwiger, M.</t>
  </si>
  <si>
    <t>Al-Awami, A.;Beyer, J.;Strobelt, H.;Kasthuri, N.;Lichtman, J.;Pfister, H.;Hadwiger, M.</t>
  </si>
  <si>
    <t>6634132;6327233;6875931;5290766;6102439;5290699;6065015;1183754;6634190</t>
  </si>
  <si>
    <t>Dept. of Comput.-Aided Med. Procedures, Tech. Univ. Munchen, Mu&amp;#x0308;nchen, Germany|c|;;;</t>
  </si>
  <si>
    <t>Duarte, F.S.L.G.;Sikansi, F.;Fatore, F.M.;Fadel, S.G.;Paulovich, F.V.</t>
  </si>
  <si>
    <t>885091;1532145;4376129;5290702;4376152;175815;4658149</t>
  </si>
  <si>
    <t>Peter Rautek;Stefan Bruckner;M. Eduard Gr̦ller;Markus Hadwiger</t>
  </si>
  <si>
    <t>KAUST, Thuwal, Saudi Arabia|c|;;;</t>
  </si>
  <si>
    <t>Saket, B.;Simonetto, P.;Kobourov, S.;Borner, K.</t>
  </si>
  <si>
    <t>Univ. of Arizona, Tucson, AZ, USA|c|;;;</t>
  </si>
  <si>
    <t>1249011;6064991;4658147;528686;4376149;5290706;6634178;6634168</t>
  </si>
  <si>
    <t>Sadana, R.;Major, T.;Dove, A.;Stasko, J.</t>
  </si>
  <si>
    <t>Univ. of Stuttgart, Stuttgart, Germany|c|;;;</t>
  </si>
  <si>
    <t>5613447;5290706;6064996;4658148;6064991;6634104</t>
  </si>
  <si>
    <t>Borgo, R.;Dearden, J.;Jones, M.W.</t>
  </si>
  <si>
    <t>6634178;6327269;1382903;6327282;1532136;6065014;5613441;6634103</t>
  </si>
  <si>
    <t>5290710;4658140;4015425;4015433;6065021;1532150;6065019;1532819</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</si>
  <si>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ÔÇ£in the wildÔÇØ, and we report on six case studies where Overview was voluntarily used by self-initiated journalists to produce published stories. We find that the frequently-used language of ÔÇ£exploringÔÇØ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</si>
  <si>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Brehmer, M.;Ingram, S.;Stray, J.;Munzner, T.</t>
  </si>
  <si>
    <t>5290709;1382900;6327293;6327248;6327294;5290725;6634160;6634128;5290715;6634168;6065008;5652940;6065017</t>
  </si>
  <si>
    <t>Zgraggen, E.;Zeleznik, R.;Drucker, S.M.</t>
  </si>
  <si>
    <t>Zgraggen, E.;Zeleznik, R.;Drucker, S.</t>
  </si>
  <si>
    <t>885086;5290713;5613431;6065018;6634113;6327284;4389013;6634155;4376140;4658129;1532136;4376133;6327275</t>
  </si>
  <si>
    <t>Michael Sedlmair;Christoph Heinzl;Stefan Bruckner;Harald Piringer;Torsten M̦ller</t>
  </si>
  <si>
    <t>Univ. of Vienna, Vienna, Austria|c|;;;;</t>
  </si>
  <si>
    <t>Harrison, L.;Fumeng Yang;Franconeri, S.;Chang, R.</t>
  </si>
  <si>
    <t>Tufts Univ., Medford, MA, USA|c|;;;</t>
  </si>
  <si>
    <t>6634178;5290695;4376133</t>
  </si>
  <si>
    <t>Bae, J.;Watson, B.</t>
  </si>
  <si>
    <t>5613438;1249005</t>
  </si>
  <si>
    <t>We present Bertifier, a web app for rapidly creating tabular visualizations from spreadsheets. Bertifier draws from Jacques Bertin's matrix analysis method, whose goal was to ÔÇ£simplify without destroyingÔÇØ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</si>
  <si>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Perin, C.;Dragicevic, P.;Fekete, J.-D.</t>
  </si>
  <si>
    <t>Perin, C.;Dragicevic, P.;Fekete, J.</t>
  </si>
  <si>
    <t>4015417;6875946;6875973</t>
  </si>
  <si>
    <t>Ronell Sicat;Jens H. Kr�_ger;Torsten M̦ller;Markus Hadwiger</t>
  </si>
  <si>
    <t>van Goethem, A.;Reimer, A.;Speckmann, B.;Wood, J.</t>
  </si>
  <si>
    <t>King Abdullah Univ. of Sci. &amp; Technol. (KAUST), Thuwal, Saudi Arabia|c|;;;</t>
  </si>
  <si>
    <t>Polk, T.;Jing Yang;Yueqi Hu;Ye Zhao</t>
  </si>
  <si>
    <t>Univ. of North Carolina at Charlotte, Charlotte, NC, USA|c|;;;</t>
  </si>
  <si>
    <t>6327288;6634087;964541_07;559229;1173148</t>
  </si>
  <si>
    <t>Zhicheng Liu;Heer, J.</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</si>
  <si>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 s.</t>
  </si>
  <si>
    <t>Fuchs, J.;Isenberg, P.;Bezerianos, A.;Fischer, F.;Bertini, E.</t>
  </si>
  <si>
    <t>Univ. of Konstanz, Konstanz, Germany|c|;;;;</t>
  </si>
  <si>
    <t>6327283;4658168;6064957;1382895</t>
  </si>
  <si>
    <t>Chevalier, F.;Dragicevic, P.;Franconeri, S.</t>
  </si>
  <si>
    <t>Inria, Sophia-Antipolis, France|c|;;</t>
  </si>
  <si>
    <t>6327259;801854;1173148;4658123;4376146</t>
  </si>
  <si>
    <t>Pandey, A.V.;Manivannan, A.;Nov, O.;Satterthwaite, M.;Bertini, E.</t>
  </si>
  <si>
    <t>New York Univ., New York, NY, USA|c|;;;;</t>
  </si>
  <si>
    <t>6327259;6327280;6327282;6065015;6634103</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</si>
  <si>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(ÔÇ£pop-outÔÇØ),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</si>
  <si>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Gramazio, C.C.;Schloss, K.B.;Laidlaw, D.H.</t>
  </si>
  <si>
    <t>Gramazio, C.;Schloss, K.B.;Laidlaw, D.H.</t>
  </si>
  <si>
    <t>6327245;6327267;6064996;4389009;6634178;6064986;6634120;4015437;5613436;568118;6327283;6634121;6634103</t>
  </si>
  <si>
    <t>Tennekes, M.;de Jonge, E.</t>
  </si>
  <si>
    <t>6065011;885091;1173151</t>
  </si>
  <si>
    <t>Lex, A.;Gehlenborg, N.;Strobelt, H.;Vuillemot, R.;Pfister, H.</t>
  </si>
  <si>
    <t>4658148;6634104;6064991;5613447;5290706;6064996;6064990</t>
  </si>
  <si>
    <t>Sedlmair, M.;Heinzl, C.;Bruckner, S.;Piringer, H.;Moller, T.</t>
  </si>
  <si>
    <t>528680;5613437;4658193;6327298;5290748;5613487;6327293;6327248;5613488;1532136;398859;5333431;4376186;6634132;5652392;1532142;6634181;6634138;6634168;6327226;5290695;6064985;6634124;6634169;6102450;1532788;6634108;6064952;5613489;5290759;6102457;6634156;6065007</t>
  </si>
  <si>
    <t>We discuss how ÔÇ£mix effectsÔÇØ can surprise users of visualizations and potentially lead them to incorrect conclusions. This statistical issue (also known as ÔÇ£omitted variable biasÔÇØ or, in extreme cases, as ÔÇ£Simpson's paradoxÔÇØ)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ÔÇ£comet chart,ÔÇØ that is meant to ameliorate some of these issues.</t>
  </si>
  <si>
    <t>Armstrong, Z.;Wattenberg, M.</t>
  </si>
  <si>
    <t>6327248;4376131</t>
  </si>
  <si>
    <t>Washington Univ. in St. Louis, St. Louis, MO, USA|c|;;;</t>
  </si>
  <si>
    <t>1183786;1532851;809896</t>
  </si>
  <si>
    <t>Kretschmer, J.;Soza, G.;Tietjen, C.;Suehling, M.;Preim, B.;Stamminger, M.</t>
  </si>
  <si>
    <t>Dept. of Comput. Graphics, FAU Erlangen, Erlangen, Germany|c|;;;;;</t>
  </si>
  <si>
    <t>1250353;6634141;964540;4376196;1183754;1250351</t>
  </si>
  <si>
    <t>Karlsruhe Inst. of Technol., Karlsruhe, Germany|c|;;;</t>
  </si>
  <si>
    <t>5290737;6064941;663898;6634188;6634133;4376175</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</si>
  <si>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ÔÇ£orientation stageÔÇØ is a short but intensive flicker stimulus to attract the attention to elements of interest. Subsequently, the intensive flicker is reduced to a minimally disturbing luminance oscillation (ÔÇ£engagement stageÔÇØ)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</si>
  <si>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Waldner, M.;Le Muzic, M.;Bernhard, M.;Purgathofer, W.;Viola, I.</t>
  </si>
  <si>
    <t>5290763;480802;1532838;5613452;6064990;4015448</t>
  </si>
  <si>
    <t>Stefan Lindholm;Daniel J̦nsson;Charles D. Hansen;Anders Ynnerman</t>
  </si>
  <si>
    <t>Dept. of Sci. &amp; Technol., Linkoping Univ., Linko&amp;#x0308;ping, Sweden|c|;;;</t>
  </si>
  <si>
    <t>Lindholm, S.;Jonsson, D.;Hansen, C.;Ynnerman, A.</t>
  </si>
  <si>
    <t>4376198;4658152;1250386;1532807;745311;1250387</t>
  </si>
  <si>
    <t>Gunther, D.;Boto, R.A.;Contreras-Garcia, J.;Piquemal, J.-P.;Tierny, J.</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</si>
  <si>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</si>
  <si>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Inst. Mines-Telecom, Telecom ParisTech, Paris, France|c|;;;;</t>
  </si>
  <si>
    <t>5290727;1372235;1250376;4658183;5290753;6064966;4376193;6634161</t>
  </si>
  <si>
    <t>Arietta, S.M.;Efros, A.A.;Ramamoorthi, R.;Agrawala, M.</t>
  </si>
  <si>
    <t>EECS Dept., Univ. of California, Berkeley, Berkeley, CA, USA|c|;;;</t>
  </si>
  <si>
    <t>Glaber, S.;Lawonn, K.;Hoffmann, T.;Skalej, M.;Preim, B.</t>
  </si>
  <si>
    <t>Dept. for Simulation &amp; Graphics, Univ. of Magdeburg, Magdeburg, Germany|c|;;;;</t>
  </si>
  <si>
    <t>6327222;4376196;480795;6064982</t>
  </si>
  <si>
    <t>David G�_nther;Roberto ́lvarez Boto;Juila Contreras-Garcia;Jean-Philip Piquemal;Julien Tierny</t>
  </si>
  <si>
    <t>Gyulassy, A.;Gunther, D.;Levine, J.A.;Tierny, J.;Pascucci, V.</t>
  </si>
  <si>
    <t>6064972;4658183;4376171;4015464;6327204;6327205;1532839</t>
  </si>
  <si>
    <t>Mirzargar, M.;Whitaker, R.T.;Kirby, R.M.</t>
  </si>
  <si>
    <t>6634129;1183769;568116;568105;6634122;5613500;6634108;5613483</t>
  </si>
  <si>
    <t>Huettenberger, L.;Heine, C.;Garth, C.</t>
  </si>
  <si>
    <t>Tech. Univ. Kaiserslautern, Kaiserslautern, Denmark|c|;;</t>
  </si>
  <si>
    <t>6327204;1532839;5290764;1183774;885716;4658183</t>
  </si>
  <si>
    <t>Jan Kretschmer;Grzegorz Soza;Christian Tietjen;Michael S�_hling;Bernhard Preim;Marc Stamminger</t>
  </si>
  <si>
    <t>Haehn, D.;Knowles-Barley, S.;Roberts, M.;Beyer, J.;Kasthuri, N.;Lichtman, J.W.;Pfister, H.</t>
  </si>
  <si>
    <t>Haehn, D.;Knowles-Barley, S.;Roberts, M.;Beyer, J.;Kasthuri, N.;Lichtman, J.;Pfister, H.</t>
  </si>
  <si>
    <t>6634132;6327233</t>
  </si>
  <si>
    <t>Machado, G.;Sadlo, F.;Muller, T.;Ertl, T.</t>
  </si>
  <si>
    <t>175773;235211;1250376</t>
  </si>
  <si>
    <t>Sylvia Gla��er;Kai Lawonn;Thomas Hoffmann;Martin Skalej;Bernhard Preim</t>
  </si>
  <si>
    <t>Gunther, D.;Jacobson, A.;Reininghaus, J.;Seidel, H.-P.;Sorkine-Hornung, O.;Weinkauf, T.</t>
  </si>
  <si>
    <t>Inst. Mines-Telecom, Paris, France|c|;;;;;</t>
  </si>
  <si>
    <t>6327204;964507</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</si>
  <si>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</si>
  <si>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Julien Tierny;Hamish A. Carr</t>
  </si>
  <si>
    <t>Julien Tierny;Hamish Carr</t>
  </si>
  <si>
    <t>Sorbonne Universites, UPMC UnivParis06, CNRS, LIP6 UMR 7606, France;University of Leeds</t>
  </si>
  <si>
    <t>10.1109/TVCG.2009.163;10.1109/TVCG.2007.70603;10.1109/TVCG.2006.186;10.1109/TVCG.2010.146;10.1109/TVCG.2006.165;10.1109/VISUAL.2004.96;10.1109/TVCG.2015.2467432;10.1109/TVCG.2008.116;10.1109/TVCG.2008.119;10.1109/TVCG.2014.2346332;10.1109/TVCG.2008.110</t>
  </si>
  <si>
    <t>Topological data analysis;multivariate data;data segmentation</t>
  </si>
  <si>
    <t>Topological Analysis of Inertial Dynamics</t>
  </si>
  <si>
    <t>10.1109/TVCG.2016.2599018</t>
  </si>
  <si>
    <t>http://dx.doi.org/10.1109/TVCG.2016.2599018</t>
  </si>
  <si>
    <t>Current compression schemes for floating-point data commonly take fixed-precision values and compress them to a variable-length bit stream, complicating memory management and random access. We present a fixed-rate, near-lossless compression scheme that maps small blocks of 4d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</si>
  <si>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Center for Appl. Sci. Comput., Lawrence Livermore Nat. Lab., Livermore, CA, USA|c|</t>
  </si>
  <si>
    <t>4015488;964531;4015464;964541_06;1250385;6327205;4376192;6327234;568138</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</si>
  <si>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</si>
  <si>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Antoni Sagristà;Stefan Jordan;Andreas Just;Fabio Dias;Luis Gustavo Nonato;Filip Sadlo</t>
  </si>
  <si>
    <t>Heidelberg University, Germany;Heidelberg University, Germany;ZAH, Heidelberg University, Germany;Universidade de Såo Paulo, Såo Carlos, Brazil;Universidade de Såo Paulo, Såo Carlos, Brazil;Heidelberg University, Germany</t>
  </si>
  <si>
    <t>10.1109/VISUAL.1993.398859;10.1109/TVCG.2014.2346415;10.1109/VISUAL.1990.146386</t>
  </si>
  <si>
    <t>Visualization of inertial dynamics;N-body systems;magnetism;acceleration</t>
  </si>
  <si>
    <t>Direct Multifield Volume Ray Casting of Fiber Surfaces</t>
  </si>
  <si>
    <t>Minist. of Educ., Peking Univ., Beijing, China|c|;;;;;</t>
  </si>
  <si>
    <t>10.1109/TVCG.2016.2599040</t>
  </si>
  <si>
    <t>http://dx.doi.org/10.1109/TVCG.2016.2599040</t>
  </si>
  <si>
    <t>4658160;5613461;6065008;4015447;4658163;4015446;5613488;6064965;4658166;5290758;5613498;6634187</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</si>
  <si>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</si>
  <si>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Frey, S.;Sadlo, F.;Kwan-Liu Ma;Ertl, T.</t>
  </si>
  <si>
    <t>Kui Wu 0003;Aaron Knoll;Benjamin J. Isaac;Hamish A. Carr;Valerio Pascucci</t>
  </si>
  <si>
    <t>Kui Wu;Aaron Knoll;Benjamin J Isaac;Hamish Carr;Valerio Pascucci</t>
  </si>
  <si>
    <t>University of Utah;SCI InstituteUniversity of UtahArgonne National Laboratory;ICSE, University of Utah;School of ComputingUniversity of Leeds;SCI InstituteUniversity of Utah</t>
  </si>
  <si>
    <t>10.1109/VISUAL.2003.1250414;10.1109/VISUAL.2004.89;10.1109/TVCG.2009.185;10.1109/TVCG.2009.204;10.1109/VISUAL.2003.1250384;10.1109/VISUAL.1998.745713;10.1109/TVCG.2006.157;10.1109/TVCG.2010.145;10.1109/TVCG.2015.2467433;10.1109/VISUAL.2003.1250412;10.1109/VISUAL.1998.745300;10.1109/TVCG.2008.119;10.1109/VISUAL.2004.52</t>
  </si>
  <si>
    <t>346321;6634108;885702;5290731</t>
  </si>
  <si>
    <t>Volume Rendering;Isosurface;Multidimensional Data</t>
  </si>
  <si>
    <t>OSPRay - A CPU Ray Tracing Framework for Scientific Visualization</t>
  </si>
  <si>
    <t>10.1109/TVCG.2016.2599041</t>
  </si>
  <si>
    <t>http://dx.doi.org/10.1109/TVCG.2016.2599041</t>
  </si>
  <si>
    <t>Lindow, N.;Baum, D.;Hege, H.-C.</t>
  </si>
  <si>
    <t>5290753;6064966;6634161</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</si>
  <si>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</si>
  <si>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Ingo Wald;Gregory P. Johnson;Jefferson Amstutz;Carson Brownlee;Aaron Knoll;J. Jeffers;J. Gunther;Paul A. Navrátil</t>
  </si>
  <si>
    <t>I Wald;GP Johnson;J Amstutz;C Brownlee;A Knoll;J Jeffers;J Günther;P Navratil</t>
  </si>
  <si>
    <t>Intel Corp;Intel Corp;Intel Corp;Intel Corp;SCI InsituteUniversity of Utah;Intel Corp;Intel Corp;Texas Advanced Computing Center</t>
  </si>
  <si>
    <t>10.1109/SciVis.2015.7429492;10.1109/TVCG.2010.173;10.1109/TVCG.2015.2467963</t>
  </si>
  <si>
    <t>Progressive Direct Volume-to-Volume Transformation</t>
  </si>
  <si>
    <t>10.1109/TVCG.2016.2599042</t>
  </si>
  <si>
    <t>http://dx.doi.org/10.1109/TVCG.2016.2599042</t>
  </si>
  <si>
    <t>Ament, M.;Sadlo, F.;Dachsbacher, C.;Weiskopf, D.</t>
  </si>
  <si>
    <t>6634193;6634150;6064977;1250394;6327241;6064955;6064942;1183764</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</si>
  <si>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</si>
  <si>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Demir, I.;Dick, C.;Westermann, R.</t>
  </si>
  <si>
    <t>Steffen Frey;Thomas Ertl</t>
  </si>
  <si>
    <t>Comput. Graphics &amp; Visualization Group, Tech. Univ. Munchen, Garching, Germany|c|;;</t>
  </si>
  <si>
    <t>University of Stuttgart;University of Stuttgart</t>
  </si>
  <si>
    <t>10.1109/TVCG.2008.140;10.1109/TVCG.2012.284;10.1109/VISUAL.1994.346333;10.1109/TVCG.2008.143;10.1109/TVCG.2009.200;10.1109/VISUAL.2002.1183809</t>
  </si>
  <si>
    <t>Volume transformation;Volume visualization;progressive;automatic;parallel;time-varying data;streaming data</t>
  </si>
  <si>
    <t>6634129;885739;4015461;4658178;4376198;5613483;5290755;1173157;809921</t>
  </si>
  <si>
    <t>A Versatile and Efficient GPU Data Structure for Spatial Indexing</t>
  </si>
  <si>
    <t>10.1109/TVCG.2016.2599043</t>
  </si>
  <si>
    <t>http://dx.doi.org/10.1109/TVCG.2016.2599043</t>
  </si>
  <si>
    <t>Thomas, D.M.;Natarajan, V.</t>
  </si>
  <si>
    <t>6634132;809869;4015483;6064967;4658165;6064960;6634095</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</si>
  <si>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</si>
  <si>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Jens Schneider;Peter Rautek</t>
  </si>
  <si>
    <t>Visual Computing Center(VCC)King Abdullah University of Science and Technology (KAUST);Visual Computing Center(VCC)King Abdullah University of Science and Technology (KAUST)</t>
  </si>
  <si>
    <t>GPU-based Data Structures;Binary Index Trees;Sparse Data</t>
  </si>
  <si>
    <t>GlyphLens: View-Dependent Occlusion Management in the Interactive Glyph Visualization</t>
  </si>
  <si>
    <t>10.1109/TVCG.2016.2599049</t>
  </si>
  <si>
    <t>http://dx.doi.org/10.1109/TVCG.2016.2599049</t>
  </si>
  <si>
    <t>Schulte zu Berge, C.;Baust, M.;Kapoor, A.;Navab, N.</t>
  </si>
  <si>
    <t>4015460;4015450;6634153;1250413;964539</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</si>
  <si>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</si>
  <si>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Xin Tong;Cheng Li;Han-Wei Shen</t>
  </si>
  <si>
    <t>10.1109/TVCG.2013.121;10.1109/INFVIS.1996.559215;10.1109/TVCG.2010.199;10.1109/TVCG.2010.127;10.1109/VISUAL.2003.1250400;10.1109/VISUAL.1993.398849;10.1109/TVCG.2015.2467202;10.1109/TVCG.2006.167;10.1109/TVCG.2010.157</t>
  </si>
  <si>
    <t>View-dependent visualization;focus + context techniques;manipulation and deformation;glyph-based techniques;human-computer interaction</t>
  </si>
  <si>
    <t>Vol²velle: Printable Interactive Volume Visualization</t>
  </si>
  <si>
    <t>Sicat, R.;Kruger, J.;Moller, T.;Hadwiger, M.</t>
  </si>
  <si>
    <t>4015488;6327233;809908</t>
  </si>
  <si>
    <t>10.1109/TVCG.2016.2599211</t>
  </si>
  <si>
    <t>http://dx.doi.org/10.1109/TVCG.2016.2599211</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</si>
  <si>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</si>
  <si>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Born, S.;Sundermann, S.H.;Russ, C.;Hopf, R.;Ruiz, C.E.;Falk, V.;Gessat, M.</t>
  </si>
  <si>
    <t>Univ. of Zurich, Zurich, Switzerland|c|;;;;;;</t>
  </si>
  <si>
    <t>5290768;4376196;964540;6064970;6634145;1250353</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</si>
  <si>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</si>
  <si>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Sergej Stoppel;Stefan Bruckner</t>
  </si>
  <si>
    <t>10.1109/TVCG.2014.2346292;10.1109/TVCG.2013.121;10.1109/TVCG.2013.134;10.1109/TVCG.2006.140;10.1109/TVCG.2006.148;10.1109/VISUAL.1999.809871;10.1109/TVCG.2015.2467294;10.1109/VISUAL.2005.1532856;10.1109/TVCG.2014.2352953;10.1109/TVCG.2007.70584</t>
  </si>
  <si>
    <t>Illustrative Visualization;Physical Visualization;Interaction;Volume Visualization</t>
  </si>
  <si>
    <t>Categorical Colormap Optimization with Visualization Case Studies</t>
  </si>
  <si>
    <t>10.1109/TVCG.2016.2599214</t>
  </si>
  <si>
    <t>http://dx.doi.org/10.1109/TVCG.2016.2599214</t>
  </si>
  <si>
    <t>Sauer, F.;Hongfeng Yu;Kwan-Liu Ma</t>
  </si>
  <si>
    <t>663930;567807;4376176;1250374;146391;745288</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</si>
  <si>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</si>
  <si>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Hui Fang;Simon J. Walton;E. Delahaye;J. Harris;D. A. Storchak;Min Chen 0001</t>
  </si>
  <si>
    <t>H. Fang;S. Walton;E. Delahaye;J. Harris;D. A. Storchak;M. Chen</t>
  </si>
  <si>
    <t>University of Oxford and International Seismological Centre;University of Oxford, UK;International Seismological Centre, UK;International Seismological Centre, UK;International Seismological Centre, UK;University of Oxford, UK</t>
  </si>
  <si>
    <t>10.1109/VISUAL.1996.568118;10.1109/TVCG.2014.2346978;10.1109/TVCG.2008.112;10.1109/VISUAL.1995.480803;10.1109/TVCG.2010.150;10.1109/VISUAL.2002.1183788;10.1109/TVCG.2008.118</t>
  </si>
  <si>
    <t>London tube map;Color;categorical colormap;optimization;seismological data visualization</t>
  </si>
  <si>
    <t>Schroeder, D.;Korsakov, F.;Knipe, C.M.-P.;Thorson, L.;Ellingson, A.M.;Nuckley, D.;Carlis, J.V.;Keefe, D.F.</t>
  </si>
  <si>
    <t>Univ. of Minnesota, Minneapolis, MN, USA|c|;;;;;;;</t>
  </si>
  <si>
    <t>6634102;5290752;6102454;5613487;964541_07;4376198;5332593;1532857</t>
  </si>
  <si>
    <t>Hybrid Tactile/Tangible Interaction for 3D Data Exploration</t>
  </si>
  <si>
    <t>10.1109/TVCG.2016.2599217</t>
  </si>
  <si>
    <t>http://dx.doi.org/10.1109/TVCG.2016.2599217</t>
  </si>
  <si>
    <t>Doraiswamy, H.;Ferreira, N.;Damoulas, T.;Freire, J.;Silva, C.T.</t>
  </si>
  <si>
    <t>6634181;4376137;4677356;1372235;6634137;4015464;4677354;6634127;6634174;6400557;6102454;6634109</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</si>
  <si>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</si>
  <si>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Lonni Besançon;Paul Issartel;Mehdi Ammi;Tobias Isenberg 0001</t>
  </si>
  <si>
    <t>Lonni Besançon;Paul Issartel;Mehdi Ammi;Tobias Isenberg</t>
  </si>
  <si>
    <t>Inria Saclay, Univ. Paris Saclay, France;Univ. Paris Saclay, France;Limsi/CNRS, France;Inria, France</t>
  </si>
  <si>
    <t>10.1109/TVCG.2013.121;10.1109/TVCG.2010.164;10.1109/VISUAL.2004.47;10.1109/TVCG.2007.70515;10.1109/TVCG.2010.157;10.1109/VISUAL.2005.1532846;10.1109/TVCG.2011.224;10.1109/TVCG.2013.124;10.1109/TVCG.2015.2467202;10.1109/TVCG.2012.292;10.1109/TVCG.2013.126;10.1109/TVCG.2012.217</t>
  </si>
  <si>
    <t>3D data visualization;Interaction;tactile input;tangible input</t>
  </si>
  <si>
    <t>A Visual Analytics Approach for Understanding Reasons behind Snowballing and Comeback in MOBA Games</t>
  </si>
  <si>
    <t>10.1109/TVCG.2016.2598415</t>
  </si>
  <si>
    <t>http://dx.doi.org/10.1109/TVCG.2016.2598415</t>
  </si>
  <si>
    <t>Rautek, P.;Bruckner, S.;Groller, E.;Hadwiger, M.</t>
  </si>
  <si>
    <t>1532792;235219;5290720;6875916;1372194;6064996;1532788;235202;4658164</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</si>
  <si>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</si>
  <si>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Quan Li;Peng Xu;Yeukyin Chan;Yun Wang;Zhipeng Wang;Huamin Qu;Xiaojuan Ma</t>
  </si>
  <si>
    <t>Quan Li;Peng Xu;Yeuk Yin Chan;Yun Wang;Zhipeng Wang;Huamin Qu;Xiaojuan Ma</t>
  </si>
  <si>
    <t>Hong Kong University of Science and Technology;NetEase, Inc.;Hong Kong University of Science and Technology;Hong Kong University of Science and Technology;China Academy of Art;Hong Kong University of Science and Technology;Hong Kong University of Science and Technology</t>
  </si>
  <si>
    <t>10.1109/TVCG.2014.2346445;10.1109/VISUAL.2004.120;10.1109/VAST.2015.7347633;10.1109/VAST.2014.7042477;10.1109/VAST.2014.7042478;10.1109/TVCG.2013.192;10.1109/TVCG.2012.263</t>
  </si>
  <si>
    <t>Game play data visualization;visual knowledge discovery;visual knowledge representation;and game reconstruction</t>
  </si>
  <si>
    <t>Bista, S.;Jiachen Zhuo;Gullapalli, R.P.;Varshney, A.</t>
  </si>
  <si>
    <t>SemanticTraj: A New Approach to Interacting with Massive Taxi Trajectories</t>
  </si>
  <si>
    <t>Univ. of Maryland, College Park, MD, USA|c|;;;</t>
  </si>
  <si>
    <t>10.1109/TVCG.2016.2598416</t>
  </si>
  <si>
    <t>http://dx.doi.org/10.1109/TVCG.2016.2598416</t>
  </si>
  <si>
    <t>6634193;4376179;5613502;6327240;809886;1372208;4658153;1372209;1372186;6064942;4658184</t>
  </si>
  <si>
    <t>Eindhoven Univ. of Technol., Eindhoven, Netherlands|c|</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</si>
  <si>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</si>
  <si>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Shamal Al-Dohuki;Yingyu Wu;Farah Kamw;Jing Yang;Xin Li;Ye Zhao;Xinyue Ye;Wei Chen 0001;Chao Ma;Fei Wang 0016</t>
  </si>
  <si>
    <t>Shamal Al-Dohuki;Yingyu Wu;Farah Kamw;Jing Yang;Xin Li;Ye Zhao;Xinyue Ye;Wei Chen;Chao Ma;Fei Wang</t>
  </si>
  <si>
    <t>Kent State University;Kent State University;Kent State University;UNC Charlotte;China Petroleum University;Kent State University;Kent State University;Zhejiang University;Kent State University;Zhejiang University</t>
  </si>
  <si>
    <t>10.1109/TVCG.2015.2467732;10.1109/TVCG.2013.226;10.1109/VAST.2014.7042486;10.1109/VAST.2011.6102455;10.1109/TVCG.2014.2346746;10.1109/TVCG.2013.228;10.1109/VAST.2010.5652885</t>
  </si>
  <si>
    <t>Taxi Trajectories;Taxi Document;Textualization;Name Query;Semantic Interaction;Text Search Engine</t>
  </si>
  <si>
    <t>SmartAdP: Visual Analytics of Large-scale Taxi Trajectories for Selecting Billboard Locations</t>
  </si>
  <si>
    <t>10.1109/TVCG.2016.2598432</t>
  </si>
  <si>
    <t>http://dx.doi.org/10.1109/TVCG.2016.2598432</t>
  </si>
  <si>
    <t>Pervasive Technol. Inst., Indiana Univ., Bloomington, IN, USA|c|;;</t>
  </si>
  <si>
    <t>6327209;1532804;1532843;5613471;1532833;4376203</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</si>
  <si>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</si>
  <si>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Dongyu Liu;Di Weng;Yuhong Li;Jie Bao 0003;Yu Zheng 0004;Huamin Qu;Yingcai Wu</t>
  </si>
  <si>
    <t>Dongyu Liu;Di Weng;Yuhong Li;Jie Bao;Yu Zheng;Huamin Qu;Yingcai Wu</t>
  </si>
  <si>
    <t>Zhejiang UniversityHong Kong University of Science and Technology;State Key Lab of CAD &amp; CGZhejiang University;University of Macau;Microsoft Research, Beijing, China;Microsoft Research, Beijing, China;Hong Kong University of Science and Technology;State Key Lab of CAD &amp; CGZhejiang University</t>
  </si>
  <si>
    <t>10.1109/TVCG.2013.122;10.1109/TVCG.2015.2467051;10.1109/TVCG.2013.226;10.1109/VAST.2011.6102455;10.1109/TVCG.2013.228;10.1109/TVCG.2015.2467112;10.1109/TVCG.2012.265;10.1109/TVCG.2010.183;10.1109/TVCG.2014.2346912;10.1109/TVCG.2007.70521;10.1109/TVCG.2015.2467771;10.1109/TVCG.2013.173;10.1109/TVCG.2011.181;10.1109/TVCG.2009.111</t>
  </si>
  <si>
    <t>optimal billboard locations;taxi trajectory;visual analytics;comparative analysis</t>
  </si>
  <si>
    <t>Hyungsuk Choi;Woohyuk Choi;Tran Minh Quan;Hildebrand, D.G.C.;Pfister, H.;Won-Ki Jeong</t>
  </si>
  <si>
    <t>Jiaxi Hu;Zou, G.J.;Jing Hua</t>
  </si>
  <si>
    <t>Dept. of Comput. Sci., Wayne State Univ., Detroit, MI, USA|c|;;</t>
  </si>
  <si>
    <t>4658186;1372206;1183795;6064964</t>
  </si>
  <si>
    <t>Gunther, T.;Theisel, H.</t>
  </si>
  <si>
    <t>1532851;4376212;5613462;809896;745296</t>
  </si>
  <si>
    <t>Jian Zhao;Nan Cao;Zhen Wen;Yale Song;Yu-Ru Lin;Collins, C.</t>
  </si>
  <si>
    <t>Univ. of Toronto, Toronto, ON, Canada|c|;;;;;</t>
  </si>
  <si>
    <t>6102456;6327271;6400557;6065010;6065008;6327270;6634152;6400485;5652922;5613451;6634134;6634160</t>
  </si>
  <si>
    <t>Maoyuan Sun;North, C.;Ramakrishnan, N.</t>
  </si>
  <si>
    <t>4015425;5290704;1532126;5613440;146402;6064995;4015417;5290706;809866;4035752;1382886;6102449;6634163;4015444;4376154</t>
  </si>
  <si>
    <t>Crnovrsanin, T.;Muelder, C.;Kwan-Liu Ma</t>
  </si>
  <si>
    <t>VIDi @ U. C. Davis|c|;;</t>
  </si>
  <si>
    <t>6327252;5332596;1532138;745302;5332593</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</si>
  <si>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(&gt; 30GB) show that our system performs well for on-demand transport assessment and reasoning.</t>
  </si>
  <si>
    <t>State Key Lab of CAD&amp;CG, Zhejiang University|c|;;;;;;;;</t>
  </si>
  <si>
    <t>6102458;6634127;6634174;6634137;6102455;6634187</t>
  </si>
  <si>
    <t>Gomez, S.R.;Hua Guo;Ziemkiewicz, C.;Laidlaw, D.H.</t>
  </si>
  <si>
    <t>6327245;4376141;6634168;5613456;6634108;1532136;5290702;6064996;5613428;6634156</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</si>
  <si>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</si>
  <si>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Nunes, M.;Rowland, B.;Schlachter, M.;Ken, S.;Matkovic, K.;Laprie, A.;Buhler, k.</t>
  </si>
  <si>
    <t>VRVis Research Center, Vienna, Austria|c|;;;;;;</t>
  </si>
  <si>
    <t>4376166;6634151;5613435</t>
  </si>
  <si>
    <t>Sungahn Ko;Afzal, S.;Walton, S.;Yang Yang;Junghoon Chae;Malik, A.;Yun Jang;Min Chen;Ebert, D.</t>
  </si>
  <si>
    <t>Purdue University|c|;;;;;;;;</t>
  </si>
  <si>
    <t>Sungahn Ko;Afzal, S.;Walton, S.;Yang Yang;Junghoon Chae;Malik, A.;Yun Jang;Chen, M.;Ebert, D.S.</t>
  </si>
  <si>
    <t>6400554;5613433;4376154;6065002;6102440;5290710;801851;4015424;4389013</t>
  </si>
  <si>
    <t>Dietrich, C.;Koop, D.;Huy T. Vo;Silva, C.T.</t>
  </si>
  <si>
    <t>Dietrich, C.;Koop, D.;Vo, H.T.;Silva, C.T.</t>
  </si>
  <si>
    <t>6327288;6634087;6327272;964541_07</t>
  </si>
  <si>
    <t>Wenchao Wu;Yixian Zheng;Huamin Qu;Wei Chen;Groller, E.;Lionel Ni</t>
  </si>
  <si>
    <t>6634092;1382887;963273;6065008;4658136;1532149;6634107;6327262;4376143;4658146;4376139</t>
  </si>
  <si>
    <t>Partl, C.;Lex, A.;Streit, M.;Strobelt, H.;Wassermann, A.-M.;Pfister, H.;Schmalstieg, D.</t>
  </si>
  <si>
    <t>Graz Univ. of Technol., Graz, Austria|c|;;;;;;</t>
  </si>
  <si>
    <t>Partl, C.;Lex, A.;Streit, M.;Strobelt, H.;Wassermann, A.M.;Pfister, H.;Schmalstieg, D.</t>
  </si>
  <si>
    <t>6634163;6327248;6327277;4389006;4015424;6634091</t>
  </si>
  <si>
    <t>Beham, M.;Herzner, W.;Groller, M.E.;Kehrer, J.</t>
  </si>
  <si>
    <t>Austrian Inst. of Technol., Vienna Univ. of Technol., Vienna, Austria|c|;;;</t>
  </si>
  <si>
    <t>Beham, M.;Herzner, W.;Groller, E.;Kehrer, J.</t>
  </si>
  <si>
    <t>6634138;6634107;5613440;5290748;1532856;5613488;4015425;398859;809866;4376186</t>
  </si>
  <si>
    <t>Gotz, D.;Stavropoulos, H.</t>
  </si>
  <si>
    <t>Univ. of North Carolina at Chapel Hill, Chapel Hill, NC, USA|c|;</t>
  </si>
  <si>
    <t>6634096;6327272;6065010;885097;5332595;5652890;5290698;4035762;6634100</t>
  </si>
  <si>
    <t>Madhavan, K.;Elmqvist, N.;Vorvoreanu, M.;Xin Chen;Yuetling Wong;Hanjun Xian;Zhihua Dong;Johri, A.</t>
  </si>
  <si>
    <t>Purdue Univ., West Lafayette, IN, USA|c|;;;;;;;</t>
  </si>
  <si>
    <t>4376134;6065005;5613437;6327279;5290717;6634091;963283;6327248;4677361</t>
  </si>
  <si>
    <t>Cooperation and competition (jointly called ÔÇ£coopetitionÔÇØ)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ÔÇ£topic leadersÔÇØ)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</si>
  <si>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Guodao Sun;Yingcai Wu;Shixia Liu;Tai-Quan Peng;Zhu, J.J.H.;Ronghua Liang</t>
  </si>
  <si>
    <t>5652931;6327271;4658136;6065008;6327273;6876032;6634134;6634164;6634160</t>
  </si>
  <si>
    <t>Janetzko, H.;Sacha, D.;Stein, M.;Schreck, T.;Deussen, O.;Keim, D.</t>
  </si>
  <si>
    <t>University of Konstanz|c|;;;;;</t>
  </si>
  <si>
    <t>Janetzko, H.;Sacha, D.;Stein, M.;Schreck, T.;Deussen, O.;Keim, D.A.</t>
  </si>
  <si>
    <t>6327288;4677350;4376136;6634174;6634194;6634165;6634195</t>
  </si>
  <si>
    <t>Behrisch, M.;Korkmaz, F.;Lin Shao;Schreck, T.</t>
  </si>
  <si>
    <t>Universit&amp;#x00E4;t Konstanz, Germany|c|;;;</t>
  </si>
  <si>
    <t>1532142;6327290;5613439;6400486;4389001;6634192;6400488</t>
  </si>
  <si>
    <t>Brown, E.T.;Ottley, A.;Zhao, H.;Quan Lin;Souvenir, R.;Endert, A.;Chang, R.</t>
  </si>
  <si>
    <t>Tufts Univ., Medford, MA, USA|c|;;;;;;</t>
  </si>
  <si>
    <t>6327275;5653587;5333020;6400486;1532788;6327295;4035754;4677352</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</si>
  <si>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ÔÇ£discoverage,ÔÇØ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</si>
  <si>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Isaacs, E.;Damico, K.;Ahern, S.;Bart, E.;Singhal, M.</t>
  </si>
  <si>
    <t>Tobias G�_nther;Holger Theisel</t>
  </si>
  <si>
    <t>5333443;4677365;4389006;963287;4376132;4035752;4376131</t>
  </si>
  <si>
    <t>Bowen Yu;Doraiswamy, H.;Xi Chen;Miraldi, E.;Arrieta-Ortiz, M.L.;Hafemeister, C.;Madar, A.;Bonneau, R.;Silva, C.T.</t>
  </si>
  <si>
    <t>Sch. of Eng., NYU Polytech., New York, NY, USA|c|;;;;;;;;</t>
  </si>
  <si>
    <t>4658137;5290693;6064996;5290692</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</si>
  <si>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</si>
  <si>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Accorsi, P.;Fabregue, M.;Sallaberry, A.;Cernesson, F.;Lalande, N.;Braud, A.;Bringay, S.;Le Ber, F.;Poncelet, P.;Teisseire, M.</t>
  </si>
  <si>
    <t>LIRMM, Univ. Montpellier 2, Montpellier, France|c|;;;;;;;;;</t>
  </si>
  <si>
    <t>568146;885097</t>
  </si>
  <si>
    <t>Krause, J.;Perer, A.;Bertini, E.</t>
  </si>
  <si>
    <t>1382893;5332586;1532142;6064985;6102448;1249015;6065027;6102453;6634169;5290704;5652443</t>
  </si>
  <si>
    <t>Yafeng Lu; Kruger, R.;Thom, D.;Feng Wang;Koch, S.;Ertl, T.;Maciejewski, R.</t>
  </si>
  <si>
    <t>Arizona State Univ., Tempe, AZ, USA|c|;;;;;;</t>
  </si>
  <si>
    <t>Yafeng Lu;Kruger, R.;Thom, D.;Feng Wang;Koch, S.;Ertl, T.;Maciejewski, R.</t>
  </si>
  <si>
    <t>6400557;6064996;6400486;6634160;6634134;6102456;6327271;6634169;1382902;6102448;5652443;1382892</t>
  </si>
  <si>
    <t>Visual Analysis of MOOC Forums with iForum</t>
  </si>
  <si>
    <t>10.1109/TVCG.2016.2598444</t>
  </si>
  <si>
    <t>http://dx.doi.org/10.1109/TVCG.2016.2598444</t>
  </si>
  <si>
    <t>Klemm, P.;Oeltze-Jafra, S.;Lawonn, K.;Hegenscheid, K.;Volzke, H.;Preim, B.</t>
  </si>
  <si>
    <t>Otto-von-Guericke Univ. Magdeburg, Magdeburg, Germany|c|;;;;;</t>
  </si>
  <si>
    <t>6634192;6064996;885739;6064951;4376166</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</si>
  <si>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</si>
  <si>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Siwei Fu;Jian Zhao;Weiwei Cui;Huamin Qu</t>
  </si>
  <si>
    <t>Sacha, D.;Stoffel, A.;Stoffel, F.;Bum Chul Kwon;Ellis, G.;Keim, D.A.</t>
  </si>
  <si>
    <t>Data Anal. &amp; Visualization Group, Univ. of Konstanz, Konstanz, Germany|c|;;;;;</t>
  </si>
  <si>
    <t>1532781;6634168;5333023;6064985;4658124;4677361;4677365;5652879;6327297;4677358;4658127;4389006;6102435;6634156</t>
  </si>
  <si>
    <t>Hong Kong University of Science and Technology;Autodesk Research;Microsoft Research;Hong Kong University of Science and Technology</t>
  </si>
  <si>
    <t>10.1109/TVCG.2006.147;10.1109/TVCG.2007.70535;10.1109/INFVIS.2003.1249028;10.1109/TVCG.2015.2467555</t>
  </si>
  <si>
    <t>Discussion forum;MOOC;temporal visualization;visual analytics</t>
  </si>
  <si>
    <t>TopicLens: Efficient Multi-Level Visual Topic Exploration of Large-Scale Document Collections</t>
  </si>
  <si>
    <t>10.1109/TVCG.2016.2598445</t>
  </si>
  <si>
    <t>http://dx.doi.org/10.1109/TVCG.2016.2598445</t>
  </si>
  <si>
    <t>5652931;5290722;4389008;6327273;559227;6327274;5613451;6327272;6065008;6400494;1532150;4658136</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</si>
  <si>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</si>
  <si>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Minjeong Kim;Kyeongpil Kang;Deok Gun Park;Jaegul Choo;Niklas Elmqvist</t>
  </si>
  <si>
    <t>Minjeong Kim;Kyeongpil Kang;Deokgun Park;Jaegul Choo;Niklas Elmqvist</t>
  </si>
  <si>
    <t>Korea University;Korea University;University of Maryland, College Park, MD, USA;Korea University;University of Maryland, College Park, MD, USA</t>
  </si>
  <si>
    <t>10.1109/INFVIS.2003.1249014;10.1109/TVCG.2013.212;10.1109/INFVIS.2003.1249008;10.1109/INFVIS.2004.43;10.1109/TVCG.2014.2346574;10.1109/TVCG.2011.239;10.1109/TVCG.2010.154;10.1109/VAST.2014.7042494</t>
  </si>
  <si>
    <t>topic modeling;nonnegative matrix factorization;t-distributed stochastic neighbor embedding;magic lens;text analytics</t>
  </si>
  <si>
    <t>AxiSketcher: Interactive Nonlinear Axis Mapping of Visualizations through User Drawings</t>
  </si>
  <si>
    <t>10.1109/TVCG.2016.2598446</t>
  </si>
  <si>
    <t>Bradel, L.;North, C.;House, l.;Leman, S.</t>
  </si>
  <si>
    <t>http://dx.doi.org/10.1109/TVCG.2016.2598446</t>
  </si>
  <si>
    <t>6102449;6634115;6400559;6400486;528686;4389006</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</si>
  <si>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</si>
  <si>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Muhlbacher, T.;Piringer, H.;Gratzl, S.;Sedlmair, M.;Streit, M.</t>
  </si>
  <si>
    <t>Bum Chul Kwon;Hannah Kim;Emily Wall;Jaegul Choo;Haesun Park;Alex Endert</t>
  </si>
  <si>
    <t>IBM T.J. Watson Research Center, Yorktown Heights, NY, USA;Georgia Institute of Technology, Atlanta, GA, USA;Georgia Institute of Technology, Atlanta, GA, USA;Korea University, Seoul, South Korea;Georgia Institute of Technology, Atlanta, GA, USA;Georgia Institute of Technology, Atlanta, GA, USA</t>
  </si>
  <si>
    <t>10.1109/INFVIS.2004.60;10.1109/TVCG.2013.190;10.1109/TVCG.2015.2467615;10.1109/TVCG.2013.188;10.1109/TVCG.2014.2346481;10.1109/VAST.2011.6102449;10.1109/TVCG.2012.262;10.1109/TVCG.2015.2467591;10.1109/VAST.2010.5652443;10.1109/TVCG.2011.261;10.1109/TVCG.2013.191;10.1109/TVCG.2013.212;10.1109/TVCG.2013.167;10.1109/VAST.2012.6400486</t>
  </si>
  <si>
    <t>6400486;4388999;6102449;4376144;5290697;6876043;4677350;4015496;6634167;6634169;1173145;5290719;1382891;6102453;6327292;1249014;6064985</t>
  </si>
  <si>
    <t>axis mapping;interactive model steering;sketch;axis visualization;human-centered visual analytics</t>
  </si>
  <si>
    <t>TextTile: An Interactive Visualization Tool for Seamless Exploratory Analysis of Structured Data and Unstructured Text</t>
  </si>
  <si>
    <t>10.1109/TVCG.2016.2598447</t>
  </si>
  <si>
    <t>http://dx.doi.org/10.1109/TVCG.2016.2598447</t>
  </si>
  <si>
    <t>Microsoft Res., Redmond, WA, USA|c|;;;;</t>
  </si>
  <si>
    <t>6065008;6634160;6634134;6875938;1532152;6327271;4035748;5613451;6634164;6875992;5613449;5333919</t>
  </si>
  <si>
    <t>We describe TextTile, a data visualization tool for investigation of datasets and questions that require seamless and flexible analysis of structured data and unstructured text. TextTile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</si>
  <si>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Cristian Felix;Anshul Vikram Pandey;Enrico Bertini</t>
  </si>
  <si>
    <t>New York University;New York University;New York University</t>
  </si>
  <si>
    <t>10.1109/TVCG.2011.176;10.1109/INFVIS.2000.885098;10.1109/VAST.2012.6400485;10.1109/VAST.2009.5333443;10.1109/TVCG.2015.2467191;10.1109/TVCG.2009.128;10.1109/INFVIS.2000.885086;10.1109/TVCG.2010.183;10.1109/TVCG.2014.2346919</t>
  </si>
  <si>
    <t>Exploratory Text Analysis;Knowledge Discovery;Text Visualization</t>
  </si>
  <si>
    <t>Toward Theoretical Techniques for Measuring the Use of Human Effort in Visual Analytic Systems</t>
  </si>
  <si>
    <t>10.1109/TVCG.2016.2598460</t>
  </si>
  <si>
    <t>http://dx.doi.org/10.1109/TVCG.2016.2598460</t>
  </si>
  <si>
    <t>Jian Zhao;Liang Gou;Fei Wang;Zhou, M.X.</t>
  </si>
  <si>
    <t>6065008;6400485;5613451;6064996;5613449</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</si>
  <si>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</si>
  <si>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R. Jordan Crouser;Lyndsey Franklin;Alex Endert;Kristin A. Cook</t>
  </si>
  <si>
    <t>Malik, A.;Maciejewski, R.;Towers, S.;McCullough, S.;Ebert, D.S.</t>
  </si>
  <si>
    <t>R. Jordan Crouser;Lyndsey Franklin;Alex Endert;Kris Cook</t>
  </si>
  <si>
    <t>Smith College;Smith College;Smith College;Smith College</t>
  </si>
  <si>
    <t>10.1109/VAST.2011.6102467;10.1109/VAST.2010.5652910;10.1109/VAST.2011.6102438;10.1109/TVCG.2012.195;10.1109/VAST.2015.7347625;10.1109/VAST.2007.4389009;10.1109/VAST.2011.6102449;10.1109/VAST.2012.6400486</t>
  </si>
  <si>
    <t>Theoretical models;human oracle;visual analytics;mixed initiative systems;semantic interaction;sensemaking</t>
  </si>
  <si>
    <t>6634169;6634096;6400491;4389006;6634100</t>
  </si>
  <si>
    <t>AnaFe: Visual Analytics of Image-derived Temporal Features Focusing on the Spleen</t>
  </si>
  <si>
    <t>10.1109/TVCG.2016.2598463</t>
  </si>
  <si>
    <t>http://dx.doi.org/10.1109/TVCG.2016.2598463</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</si>
  <si>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</si>
  <si>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Stolper, C.D.;Perer, A.;Gotz, D.</t>
  </si>
  <si>
    <t>Ievgeniia Gutenko;Konstantin Dmitriev;Arie E. Kaufman;Matthew Barish</t>
  </si>
  <si>
    <t>Ievgeniia Gutenko;Konstantin Dmitriev;Arie E. Kaufman;Matthew A. Barish</t>
  </si>
  <si>
    <t>Computer Science Department, Stony Brook University, NY;Computer Science Department, Stony Brook University, NY;Computer Science Department, Stony Brook University, NY;Computer Science Department, Stony Brook University, NY</t>
  </si>
  <si>
    <t>10.1109/TVCG.2014.2346591;10.1109/TVCG.2009.152;10.1109/TVCG.2015.2467622;10.1109/TVCG.2014.2346682;10.1109/TVCG.2012.225;10.1109/VISUAL.2000.885739;10.1109/TVCG.2013.200;10.1109/VAST.2006.261421</t>
  </si>
  <si>
    <t>Visual Knowledge Discovery;Temporal Feature Analysis;Radiomics;Spleen;Abdominal Imaging</t>
  </si>
  <si>
    <t>4035762;6634152;5290711;6065010;1532133;6327272;6634137;885097;6634100</t>
  </si>
  <si>
    <t>NameClarifier: A Visual Analytics System for Author Name Disambiguation</t>
  </si>
  <si>
    <t>10.1109/TVCG.2016.2598465</t>
  </si>
  <si>
    <t>http://dx.doi.org/10.1109/TVCG.2016.2598465</t>
  </si>
  <si>
    <t>Konev, A.;Waser, J.;Sadransky, B.;Cornel, D.;Perdigao, R.A.P.;Horvath, Z.;Groller, M.E.</t>
  </si>
  <si>
    <t>Konev, A.;Waser, J.;Sadransky, B.;Cornel, D.;Perdigao, R.A.P.;Horvath, Z.;Groller, E.</t>
  </si>
  <si>
    <t>1173149;885727;5613488;6064952;5613487;4658193</t>
  </si>
  <si>
    <t>Alexander, E.;Kohlmann, J.;Valenza, R.;Witmore, M.;Gleicher, M.</t>
  </si>
  <si>
    <t>Dept. of Comput. Sci., Univ. of Wisconsin-Madison, Madison, WI, USA|c|;;;;</t>
  </si>
  <si>
    <t>6102449;885098;729570;6065008;6065024;6400486;6102461;6634124;6634160;4389006;4389004</t>
  </si>
  <si>
    <t>Mahyar, N.;Tory, M.</t>
  </si>
  <si>
    <t>Univ. of Victoria, Victoria, BC, Canada|c|;</t>
  </si>
  <si>
    <t>Bahador Saket;Paolo Simonetto;Stephen G. Kobourov;Katy B̦rner</t>
  </si>
  <si>
    <t>5333245;4035757;4677358;6634130;6102438;5333878;4035747;4389011;4389006;6102447</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</si>
  <si>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 ent workflow only. Very positive feedback from geologists confirms the usefulness of the Spinel Explorer.</t>
  </si>
  <si>
    <t>Lujan Ganuza, M.;Ferracutti, G.;Gargiulo, M.F.;Castro, S.M.;Bjerg, E.;Groller, E.;Matkovic, K.</t>
  </si>
  <si>
    <t>VyGLab Res. Lab., Univ. Nac. del Sur, Bahia Blanca, Argentina|c|;;;;;;</t>
  </si>
  <si>
    <t>Lujan Ganuza, M.;Ferracutti, G.;Gargiulo, M.F.;Castro, S.;Bjerg, E.;Groller, E.;Matkovic, K.</t>
  </si>
  <si>
    <t>885086;5290748;485139</t>
  </si>
  <si>
    <t>Shixia Liu;Xiting Wang;Jianfei Chen;Jun Zhu;Baining Guo</t>
  </si>
  <si>
    <t>6102461;6065008;5290695;5613456;6102439;4015433;6327258;6634134;6634160;6327255;5613449;6875938;4376140;6634197;6634167;4376154;6634179;5613451;6875992</t>
  </si>
  <si>
    <t>Zahlka, J.;Worring, M.</t>
  </si>
  <si>
    <t>University of Amsterdam|c|;</t>
  </si>
  <si>
    <t>4035765;4389003;1532136;5613466;4376144;4376134;6634090</t>
  </si>
  <si>
    <t>Tuan Nhon Dang;Wilkinson, L.</t>
  </si>
  <si>
    <t>Dept. of Comput. Sci., Univ. of Illinois at Chicago, Chicago, IL, USA|c|;</t>
  </si>
  <si>
    <t>4015420;1532142;6634178;6064993;4035766;5613439;6102437;4389006</t>
  </si>
  <si>
    <t>Wongsuphasawat, K.;Lin, J.</t>
  </si>
  <si>
    <t>Twitter, Inc.|c|;</t>
  </si>
  <si>
    <t>885091;5290698;636718;4389008;559227;6327272;4376152;6400494;6634101;1382905;175815;6634100;4035762;6064996</t>
  </si>
  <si>
    <t>Cong Xie;Wei Chen;Xinxin Huang;Yueqi Hu;Barlowe, S.;Jing Yang</t>
  </si>
  <si>
    <t>State Key Lab. of CAD&amp;CG, Zhejiang Univ., Hangzhou, China|c|;;;;;</t>
  </si>
  <si>
    <t>5290717;4389009;6327274;528685;6400494;5613429;5290708</t>
  </si>
  <si>
    <t>Koch, S.;John, M.;Worner, M.;Muller, A.;Ertl, T.</t>
  </si>
  <si>
    <t>Inst. of Visualization &amp; Interactive Syst., Univ. of Stuttgart, Stuttgart, Germany|c|;;;;</t>
  </si>
  <si>
    <t>5652926;4658133;6400485;6634115;4376131;6400486;6327290;5290726;6634160;528686;5333248;6327294;4389006;5333919;4389004</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</si>
  <si>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</si>
  <si>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Sungahn Ko;Jieqiong Zhao;Jing Xia;Afzal, S.;Xiaoyu Wang;Abram, G.;Elmqvist, N.;Kne, L.;Van Riper, D.;Gaither, K.;Kennedy, S.;Tolone, W.;Ribarsky, W.;Ebert, D.S.</t>
  </si>
  <si>
    <t>Purdue Univ. in West Lafayette, West Lafayette, IN, USA|c|;;;;;;;;;;;;;</t>
  </si>
  <si>
    <t>;;;;;;;;;;;;;</t>
  </si>
  <si>
    <t>Qiaomu Shen;Tongshuang Wu;Haiyan Yang;Yanhong Wu;Huamin Qu;Weiwei Cui</t>
  </si>
  <si>
    <t>885098;6064950;6327294;4376134;5613487;6634184;5613486;6102460;6102457</t>
  </si>
  <si>
    <t>Hong Kong University of Science and Technology;Hong Kong University of Science and Technology;Hong Kong University of Science and Technology;Hong Kong University of Science and Technology;Hong Kong University of Science and Technology;Microsoft Research</t>
  </si>
  <si>
    <t>10.1109/TVCG.2012.252;10.1109/TVCG.2011.188;10.1109/VAST.2006.261429</t>
  </si>
  <si>
    <t>Name disambiguation;analytical reasoning</t>
  </si>
  <si>
    <t>Visualizing Dimension Coverage to Support Exploratory Analysis</t>
  </si>
  <si>
    <t>10.1109/TVCG.2016.2598466</t>
  </si>
  <si>
    <t>http://dx.doi.org/10.1109/TVCG.2016.2598466</t>
  </si>
  <si>
    <t>Sch. of Comput. Sci. &amp; Technol., Tianjin Univ., Tianjin, China|c|;;</t>
  </si>
  <si>
    <t>6400491;5613457;885098;4376168;5290745;5613449;6400553;5613424;5290751</t>
  </si>
  <si>
    <t>State Key Lab. of CAD&amp;CG, Zhejiang Univ., Hangzhou, China|c|;;;;;;;</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</si>
  <si>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(e.g., what are the trends of Sales and Profit for different Regions?). We propose representing analysis history from the angle of dimension coverage (i.e., which data dimensions have been investigated and in which combinations). We use scented widgets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</si>
  <si>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Ali Sarvghad;Melanie Tory;Narges Mahyar</t>
  </si>
  <si>
    <t>6634155;4658159;745301;4658154;5613442;4015436;4376150;6634151;1382898;5652460;5290758;5290706;6065019;6327254;5613435;6634167;6064975;4658123;6634120</t>
  </si>
  <si>
    <t>University of Victoria;Tableau Research;University of British Columbia</t>
  </si>
  <si>
    <t>10.1109/TVCG.2015.2467191;10.1109/TVCG.2006.120;10.1109/INFVIS.1999.801862;10.1109/INFVIS.2000.885086;10.1109/VISUAL.2005.1532788;10.1109/TVCG.2014.2346452;10.1109/VAST.2009.5333020;10.1109/INFVIS.2001.963289;10.1109/TVCG.2008.137;10.1109/TVCG.2015.2467611;10.1109/VISUAL.1993.398857;10.1109/TVCG.2007.70589;10.1109/TVCG.2013.167;10.1109/TVCG.2008.109</t>
  </si>
  <si>
    <t>Dimension coverage;Tabular data;History;Empirical laboratory study;Exploratory data analysis;Scented widgets</t>
  </si>
  <si>
    <t>Magnostics: Image-Based Search of Interesting Matrix Views for Guided Network Exploration</t>
  </si>
  <si>
    <t>10.1109/TVCG.2016.2598467</t>
  </si>
  <si>
    <t>http://dx.doi.org/10.1109/TVCG.2016.2598467</t>
  </si>
  <si>
    <t>Lenz, O.;Keul, F.;Bremm, S.;Hamacher, K.;von Landesberger, T.</t>
  </si>
  <si>
    <t>GRIS, TU Darmstadt|c|;;;;</t>
  </si>
  <si>
    <t>6634198;6102439;5333893;5290692;4376140;5290706;4376152</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</si>
  <si>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</si>
  <si>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Michael Behrisch;Benjamin Bach;Michael Blumenschein;Michael Delz;Laura von Rüden;Jean-Daniel Fekete;Tobias Schreck</t>
  </si>
  <si>
    <t>Michael Behrisch;Benjamin Bach;Michael Hund;Michael Delz;Laura Von Rüden;Jean-Daniel Fekete;Tobias Schreck</t>
  </si>
  <si>
    <t>University of Konstanz, Germany;Microsoft Research-Inria Joint Centre, Saclay, France;University of Konstanz, Germany;University of Konstanz, Germany;Capgemini, RWTH Aachen University;Inria, Saclay, France;Graz University of Technology, Austria</t>
  </si>
  <si>
    <t>10.1109/VAST.2012.6400488;10.1109/INFVIS.2004.15;10.1109/VAST.2014.7042480;10.1109/VAST.2010.5652433;10.1109/TVCG.2010.184;10.1109/VAST.2006.261423;10.1109/TVCG.2007.70582;10.1109/TVCG.2007.70535;10.1109/TVCG.2011.229;10.1109/VAST.2010.5652392;10.1109/INFVIS.2005.1532142;10.1109/INFVIS.2004.3</t>
  </si>
  <si>
    <t>Matrix Visualization;Visual Quality Measures;Quality Metrics;Feature Detection/Selection;Relational Data</t>
  </si>
  <si>
    <t>Characterizing Guidance in Visual Analytics</t>
  </si>
  <si>
    <t>10.1109/TVCG.2016.2598468</t>
  </si>
  <si>
    <t>Jiawan Zhang;Yanli, E.;Jing Ma;Yahui Zhao;Binghan Xu;Liting Sun;Jinyan Chen;Xiaoru Yuan</t>
  </si>
  <si>
    <t>Sch. of Comput. Sci. &amp; Technol., Tianjin Univ., Tianjin, China|c|;;;;;;;</t>
  </si>
  <si>
    <t>http://dx.doi.org/10.1109/TVCG.2016.2598468</t>
  </si>
  <si>
    <t>6400557;6400556;6634174;5290695;4677356;6327271;6634110;6634127;6102455;6102460;5290706</t>
  </si>
  <si>
    <t>Kothur, P.;Sips, M.;Dobslaw, H.;Dransch, D.</t>
  </si>
  <si>
    <t>GFZ German Res. Centre for Geosci., Potsdam, Germany|c|;;;</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</si>
  <si>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</si>
  <si>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Davide Ceneda;Theresia Gschwandtner;Thorsten May;Silvia Miksch;Hans-Jörg Schulz;Marc Streit;Christian Tominski</t>
  </si>
  <si>
    <t>Vienna University of Technology, Austria;Vienna University of Technology, Austria;Fraunhofer IGD, Darmstadt, Germany;Vienna University of Technology, Austria;University of Rostock, Germany;Johannes Kepler University, Linz, Austria;University of Rostock, Germany</t>
  </si>
  <si>
    <t>6327226;6327206;4658178</t>
  </si>
  <si>
    <t>10.1109/VISUAL.2000.885678;10.1109/TVCG.2015.2467191;10.1109/VISUAL.1990.146375;10.1109/TVCG.2014.2346260;10.1109/TVCG.2014.2346481;10.1109/INFVIS.2004.2;10.1109/TVCG.2013.120;10.1109/VISUAL.1997.663889;10.1109/TVCG.2015.2467691;10.1109/VISUAL.2002.1183803;10.1109/TVCG.2007.70589;10.1109/TVCG.2008.174;10.1109/TVCG.2014.2346482</t>
  </si>
  <si>
    <t>Visual analytics;guidance model;assistance;user support</t>
  </si>
  <si>
    <t>PhenoStacks: Cross-Sectional Cohort Phenotype Comparison Visualizations</t>
  </si>
  <si>
    <t>10.1109/TVCG.2016.2598469</t>
  </si>
  <si>
    <t>http://dx.doi.org/10.1109/TVCG.2016.2598469</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</si>
  <si>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nai╠êve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ÔÇ£bestÔÇØ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</si>
  <si>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Matkovic, K.;Gracanin, D.;Splechtna, R.;Jelovic, M.;Stehno, B.;Hauser, H.;Purgathofer, W.</t>
  </si>
  <si>
    <t>VRVis Res. Center, Vienna, Austria|c|;;;;;;</t>
  </si>
  <si>
    <t>5613487;6327232;4658193;5290719;5613486</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</si>
  <si>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</si>
  <si>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Michael Glueck;Alina Gvozdik;Fanny Chevalier;Azam Khan;Michael Brudno;Daniel J. Wigdor</t>
  </si>
  <si>
    <t>Michael Glueck;Alina Gvozdik;Fanny Chevalier;Azam Khan;Michael Brudno;Daniel Wigdor</t>
  </si>
  <si>
    <t>Autodesk ResearchUniversity of Toronto;University of Toronto;Inria;Autodesk Research;Hospital for Sick Children, University of Toronto, Toronto;University of Toronto</t>
  </si>
  <si>
    <t>10.1109/TVCG.2014.2346248;10.1109/TVCG.2011.185;10.1109/TVCG.2014.2346279;10.1109/TVCG.2009.167;10.1109/TVCG.2013.124;10.1109/TVCG.2015.2467622;10.1109/TVCG.2015.2467733;10.1109/TVCG.2009.116</t>
  </si>
  <si>
    <t>Cross-sectional cohort analysis;Phenotypes;Human Phenotype Ontology (HPO)</t>
  </si>
  <si>
    <t>Zuchao Wang;Tangzhi Ye;Min Lu;Xiaoru Yuan;Huamin Qu;Yuan, J.;Qianliang Wu</t>
  </si>
  <si>
    <t>Peking Univ., Beijing, China|c|;;;;;;</t>
  </si>
  <si>
    <t>6400556;1382887;4677356;1532151;6102458;6065001;6634174;6634194;5332584;6634127;6102454;6102455;5290694;6327262</t>
  </si>
  <si>
    <t>Designing Progressive and Interactive Analytics Processes for High-Dimensional Data Analysis</t>
  </si>
  <si>
    <t>10.1109/TVCG.2016.2598470</t>
  </si>
  <si>
    <t>http://dx.doi.org/10.1109/TVCG.2016.2598470</t>
  </si>
  <si>
    <t>Alsallakh, B.;Hanbury, A.;Hauser, H.;Miksch, S.;Rauber, A.</t>
  </si>
  <si>
    <t>885740;5652398;5332628;6327290;6400486;6634104;6327291;6102448;6102453;6400492;5652443</t>
  </si>
  <si>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</si>
  <si>
    <t>Cagatay Turkay;Erdem Kaya;Selim Balcisoy;Helwig Hauser</t>
  </si>
  <si>
    <t>City University, London, UK;Sabanci University, Turkey;Sabanci University, Turkey;University of Bergen, Norway</t>
  </si>
  <si>
    <t>10.1109/TVCG.2007.70539;10.1109/VAST.2008.4677361;10.1109/TVCG.2008.153;10.1109/TVCG.2014.2346481;10.1109/TVCG.2014.2346574;10.1109/TVCG.2007.70515;10.1109/TVCG.2012.213;10.1109/TVCG.2013.125;10.1109/TVCG.2012.256;10.1109/VAST.2008.4677357;10.1109/TVCG.2015.2467613;10.1109/TVCG.2014.2346265;10.1109/TVCG.2011.178;10.1109/INFVIS.2005.1532136;10.1109/INFVIS.1996.559223;10.1109/TVCG.2011.229;10.1109/TVCG.2008.125</t>
  </si>
  <si>
    <t>Progressive analytics;high dimensional data;iterative refinement;visual analytics</t>
  </si>
  <si>
    <t>A Grammar-based Approach for Modeling User Interactions and Generating Suggestions During the Data Exploration Process</t>
  </si>
  <si>
    <t>10.1109/TVCG.2016.2598471</t>
  </si>
  <si>
    <t>http://dx.doi.org/10.1109/TVCG.2016.2598471</t>
  </si>
  <si>
    <t>Poco, J.;Dasgupta, A.;Yaxing Wei;Hargrove, W.;Schwalm, C.R.;Huntzinger, D.N.;Cook, R.;Bertini, E.;Silva, C.T.</t>
  </si>
  <si>
    <t>New York Univ., New York, NY, USA|c|;;;;;;;;</t>
  </si>
  <si>
    <t>4658178;6327268;1532821;6634124;6400486;6634115;6634158;4677350;6634156</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</si>
  <si>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</si>
  <si>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Filip Dabek;Jesus J. Caban</t>
  </si>
  <si>
    <t>Filip Dabek;Jesus J Caban</t>
  </si>
  <si>
    <t>National Intrepid Center of Excellence, Walter Reed National Military Medical Center, Bethesda, MD;National Intrepid Center of Excellence, Walter Reed National Military Medical Center, Bethesda, MD</t>
  </si>
  <si>
    <t>10.1109/TVCG.2014.2346575;10.1109/TVCG.2015.2467613;10.1109/VAST.2010.5650854;10.1109/TVCG.2015.2467871;10.1109/VISUAL.2005.1532788;10.1109/TVCG.2012.219;10.1109/VAST.2009.5333020;10.1109/VAST.2006.261436;10.1109/TVCG.2015.2467611;10.1109/TVCG.2015.2467551;10.1109/VAST.2008.4677365;10.1109/TVCG.2007.70589</t>
  </si>
  <si>
    <t>Wei Zeng;Chi-Wing Fu;Arisona, S.M.;Erath, A.;Huamin Qu</t>
  </si>
  <si>
    <t>Machine Learning;Visual Analytics;User Interactions;Analytic Provenance</t>
  </si>
  <si>
    <t>Nanyang Technol. Univ., Singapore, Singapore|c|;;;;</t>
  </si>
  <si>
    <t>963273;6065021;6065020;5290710;6327262;6634174;6634127;6102455;1532150</t>
  </si>
  <si>
    <t>Blockwise Human Brain Network Visual Comparison Using NodeTrix Representation</t>
  </si>
  <si>
    <t>10.1109/TVCG.2016.2598472</t>
  </si>
  <si>
    <t>http://dx.doi.org/10.1109/TVCG.2016.2598472</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</si>
  <si>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defne areas of interest for closer inspection."</t>
  </si>
  <si>
    <t>Landstorfer, J.;Herrmann, I.;Stange, J.-E.;Dork, M.;Wettach, R.</t>
  </si>
  <si>
    <t>Department of Design at the University of Applied Sciences Potsdam, Germany|c|;;;;</t>
  </si>
  <si>
    <t>4015417;1532134;175795;4035754;5290695;528685</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</si>
  <si>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</si>
  <si>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Xinsong Yang;Lei Shi;Madelaine Daianu;Hanghang Tong;Qingsong Liu;Paul M. Thompson</t>
  </si>
  <si>
    <t>Xinsong Yang;Lei Shi;Madelaine Daianu;Hanghang Tong;Qingsong Liu;Paul Thompson</t>
  </si>
  <si>
    <t>Chinese Academy of Sciences, SKLCSInstitute of Software;Chinese Academy of Sciences, SKLCSInstitute of Software;Imaging Genetics CenterMark &amp;#x0026; Mary Stevens Institute for Neuroimaging &amp;#x0026; InformaticsUniversity of Southern California;School of Computing, Informatics and Decision Systems EngineeringArizona State University;Chinese Academy of Sciences, SKLCSInstitute of Software;Imaging Genetics CenterMark &amp;#x0026; Mary Stevens Institute for Neuroimaging &amp;#x0026; InformaticsUniversity of Southern California</t>
  </si>
  <si>
    <t>10.1109/TVCG.2014.2346312;10.1109/VISUAL.2005.1532773;10.1109/TVCG.2007.70582</t>
  </si>
  <si>
    <t>Brain Network;Visual Comparison;Hybrid Representation</t>
  </si>
  <si>
    <t>A Visual Analytics Approach for Categorical Joint Distribution Reconstruction from Marginal Projections</t>
  </si>
  <si>
    <t>10.1109/TVCG.2016.2598479</t>
  </si>
  <si>
    <t>http://dx.doi.org/10.1109/TVCG.2016.2598479</t>
  </si>
  <si>
    <t>Schmidt, J.;Preiner, R.;Auzinger, T.;Wimmer, T.;Groller, E.;Bruckner S.</t>
  </si>
  <si>
    <t>Schmidt, J.;Preiner, R.;Auzinger, T.;Wimmer, T.;Groller, E.;Bruckner, S.</t>
  </si>
  <si>
    <t>1173157;146402;6634107;1183790</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</si>
  <si>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</si>
  <si>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Cong Xie;Wen Zhong;Klaus Mueller</t>
  </si>
  <si>
    <t>10.1109/TVCG.2010.181;10.1109/TVCG.2013.190;10.1109/VAST.2009.5332586;10.1109/TVCG.2015.2467552;10.1109/VAST.2009.5332611;10.1109/TVCG.2010.183;10.1109/TVCG.2011.248</t>
  </si>
  <si>
    <t>Parallel Coordinates;Joint Distribution Reconstruction;Solution Space;High-dimensional Data;Multivariate Data</t>
  </si>
  <si>
    <t>Hullman, J.;Drucker, S.;Riche, N.H.;Bongshin Lee;Fisher, D.;Adar, E.</t>
  </si>
  <si>
    <t>Visual Interaction with Dimensionality Reduction: A Structured Literature Analysis</t>
  </si>
  <si>
    <t>10.1109/TVCG.2016.2598495</t>
  </si>
  <si>
    <t>http://dx.doi.org/10.1109/TVCG.2016.2598495</t>
  </si>
  <si>
    <t>1532788;4376131;4376133;5613452;4658129;6064988;4376187;4376146;885086</t>
  </si>
  <si>
    <t>Schulz, H.-J.;Nocke, T.;Heitzler, M.;Schumann, H.</t>
  </si>
  <si>
    <t>Schulz, H.;Nocke, T.;Heitzler, M.;Schumann, H.</t>
  </si>
  <si>
    <t>559213;1532136;4376144;146372;6327265;235203;1382903;4677365;559211;1382902;636792;885093;885092;146375</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</si>
  <si>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</si>
  <si>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Dominik Sacha;Leishi Zhang;Michael Sedlmair;John A. Lee;Jaakko Peltonen;Daniel Weiskopf;Stephen C. North;Daniel A. Keim</t>
  </si>
  <si>
    <t>University of Konstanz, Germany;Middlesex University, UK;University of Vienna, Austria;SSS, IREC, MIRO, Université catholique de LouvainUCLBelgian F.R.S.-FNRS.;Helsinki Institute for Information Technology HIIT, Aalto University, University of Tampere, Finland;University of Konstanz, Germany;Infovisible LLC, Oldwick, U.S.A.;VISUS, University of Stuttgart, Germany</t>
  </si>
  <si>
    <t>10.1109/TVCG.2012.195;10.1109/TVCG.2009.153;10.1109/VAST.2012.6400486;10.1109/TVCG.2014.2346481;10.1109/VAST.2011.6102449;10.1109/TVCG.2007.70515;10.1109/VAST.2008.4677350;10.1109/VAST.2009.5332629;10.1109/VAST.2010.5652443;10.1109/VAST.2014.7042492;10.1109/TVCG.2015.2467132;10.1109/TVCG.2015.2467553;10.1109/TVCG.2014.2346321;10.1109/TVCG.2013.153;10.1109/VAST.2010.5652484;10.1109/TVCG.2006.156;10.1109/TVCG.2015.2467717;10.1109/TVCG.2011.229;10.1109/TVCG.2013.124;10.1109/VAST.2010.5652392;10.1109/TVCG.2013.126</t>
  </si>
  <si>
    <t>Interactive visualization;machine learning;visual analytics;dimensionality reduction</t>
  </si>
  <si>
    <t>Kehrer, J.;Piringer, H.;Berger, W.;Groller, E.</t>
  </si>
  <si>
    <t>VisFlow - Web-based Visualization Framework for Tabular Data with a Subset Flow Model</t>
  </si>
  <si>
    <t>10.1109/TVCG.2016.2598497</t>
  </si>
  <si>
    <t>http://dx.doi.org/10.1109/TVCG.2016.2598497</t>
  </si>
  <si>
    <t>5613440;4376133;1532821;6634169;6065027;6102439;4658146;885086;6327278;4376140</t>
  </si>
  <si>
    <t>Brehmer, M.;Munzner, T.</t>
  </si>
  <si>
    <t>4376134;6327298;559213;6327248;6327297;1532136;5613437;4376146;1173148;4376144;6327275;5290695;4658124;235203;1382903;4677365;6102438;4658127;4658129;729560;1382902;6327277;146375</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</si>
  <si>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VisFlow,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(i.e. groups of table rows) of some original input table, so that rendering properties can be assigned to the subset unambiguously for tracking and comparison. VisFlow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</si>
  <si>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Bowen Yu;Cláudio T. Silva</t>
  </si>
  <si>
    <t>New York University;New York University</t>
  </si>
  <si>
    <t>10.1109/TVCG.2009.195;10.1109/INFVIS.2004.12;10.1109/VAST.2011.6102440;10.1109/INFVIS.1998.729560;10.1109/TVCG.2014.2346260;10.1109/INFVIS.2005.1532136;10.1109/TVCG.2011.225;10.1109/INFVIS.2003.1249013;10.1109/VISUAL.2005.1532788;10.1109/TVCG.2014.2346753;10.1109/TVCG.2011.185;10.1109/TVCG.2014.2346291</t>
  </si>
  <si>
    <t>Visualization framework;data flow;subset flow model;tabular data</t>
  </si>
  <si>
    <t>Annotation Graphs: A Graph-Based Visualization for Meta-Analysis of Data Based on User-Authored Annotations</t>
  </si>
  <si>
    <t>10.1109/TVCG.2016.2598543</t>
  </si>
  <si>
    <t>559213;4376144;146375;729560;1532136;5653599;885092</t>
  </si>
  <si>
    <t>http://dx.doi.org/10.1109/TVCG.2016.2598543</t>
  </si>
  <si>
    <t>Jansen, Y.;Dragicevic, P.</t>
  </si>
  <si>
    <t>5613437;1532781;4376131;1532136;6327257;4376144;6327275;4015439;5290713;1249008;729560;146375</t>
  </si>
  <si>
    <t>Bakke, E.;Karger, D.R.;Miller, R.C.</t>
  </si>
  <si>
    <t>6102445;1382886;528693;4376133;175815;1532129;636761</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</si>
  <si>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</si>
  <si>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Jian Zhao;Michael Glueck;Simon Breslav;Fanny Chevalier;Azam Khan</t>
  </si>
  <si>
    <t>Autodesk Research;Autodesk Research;Autodesk Research;INRIA;Autodesk Research</t>
  </si>
  <si>
    <t>10.1109/VAST.2009.5333878;10.1109/TVCG.2015.2467871;10.1109/VAST.2009.5333023;10.1109/VAST.2011.6102447;10.1109/TVCG.2008.137;10.1109/TVCG.2014.2346573;10.1109/VAST.2008.4677365;10.1109/TVCG.2013.124;10.1109/TVCG.2007.70577;10.1109/VAST.2010.5652879</t>
  </si>
  <si>
    <t>Externalization user-authored annotation;exploratory sequential data analysis;graph-based visualization</t>
  </si>
  <si>
    <t>Hofmann, H.;Vendettuoli, M.</t>
  </si>
  <si>
    <t>885091;1532128;5613436;6064996;5290702</t>
  </si>
  <si>
    <t>Familiarity Vs Trust: A Comparative Study of Domain Scientists' Trust in Visual Analytics and Conventional Analysis Methods</t>
  </si>
  <si>
    <t>10.1109/TVCG.2016.2598544</t>
  </si>
  <si>
    <t>http://dx.doi.org/10.1109/TVCG.2016.2598544</t>
  </si>
  <si>
    <t>Goodwin, S.;Dykes, J.;Jones, S.;Dillingham, I.;Dove, G.;Duffy, A.;Kachkaev, A.;Slingsby, A.;Wood, J.</t>
  </si>
  <si>
    <t>5613425;6327248;6065016;4376146;801851;6065017</t>
  </si>
  <si>
    <t>Rufiange, S.;McGuffin, M.J.</t>
  </si>
  <si>
    <t>6400552;6064994;1532151;6065001;1173155;6065000;4658145;4376154;1173148;1532129;1173160;4376146</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</si>
  <si>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</si>
  <si>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Aritra Dasgupta;Joon-Yong Lee;Ryan Wilson;Robert A. Lafrance;Nick Cramer;Kristin A. Cook;Samuel H. Payne</t>
  </si>
  <si>
    <t>Aritra Dasgupta;Joon-Yong Lee;Ryan Wilson;Robert A. Lafrance;Nick Cramer;Kristin Cook;Samuel Payne</t>
  </si>
  <si>
    <t>Pacific Northwest National Laboratory;Pacific Northwest National Laboratory;Pacific Northwest National Laboratory;Pacific Northwest National Laboratory;Pacific Northwest National Laboratory;Pacific Northwest National Laboratory;Pacific Northwest National Laboratory</t>
  </si>
  <si>
    <t>10.1109/TVCG.2015.2467591;10.1109/VAST.2015.7347625;10.1109/TVCG.2012.224;10.1109/INFVIS.2005.1532136;10.1109/VAST.2006.261416;10.1109/TVCG.2013.124;10.1109/TVCG.2013.120</t>
  </si>
  <si>
    <t>trust;transparency;familiarity;uncertainty;biological data analysis</t>
  </si>
  <si>
    <t>What do Constraint Programming Users Want to See? Exploring the Role of Visualisation in Profiling of Models and Search</t>
  </si>
  <si>
    <t>10.1109/TVCG.2016.2598545</t>
  </si>
  <si>
    <t>http://dx.doi.org/10.1109/TVCG.2016.2598545</t>
  </si>
  <si>
    <t>1532142;5290705;5613440;1249015;146402;6400488;663866;485140;5613439;5290702;4035763;809866;1382891;1382892;1382893;5290704;4658123;1173151</t>
  </si>
  <si>
    <t>Dwyer, T.;Riche, N.H.;Marriott, K.;Mears, C.</t>
  </si>
  <si>
    <t>5290726;6065003;4015416;1382906</t>
  </si>
  <si>
    <t>Sedlmair, M.;Munzner, T.;Tory, M.</t>
  </si>
  <si>
    <t>5290709;6064985;4376149;1532142;636793;5652392;6400490;4658124;5332628</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</si>
  <si>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</si>
  <si>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Sarah Goodwin;Christopher Mears;Tim Dwyer;Maria Garcia de la Banda;Guido Tack;Mark Wallace 0001</t>
  </si>
  <si>
    <t>Sarah Goodwin;Christopher Mears;Tim Dwyer;Maria Garcia de la Banda;Guido Tack;Mark Wallace</t>
  </si>
  <si>
    <t>Adaptive Visualisation LabMonash University;Faculty of Information Technology, Monash University;Adaptive Visualisation LabMonash University;Faculty of Information Technology, Monash University;Faculty of Information Technology, Monash University;Faculty of Information Technology, Monash University</t>
  </si>
  <si>
    <t>10.1109/TVCG.2013.145;10.1109/TVCG.2014.2346321;10.1109/TVCG.2015.2467751;10.1109/INFVIS.2004.70;10.1109/TVCG.2014.2346578;10.1109/TVCG.2013.151;10.1109/TVCG.2015.2467851;10.1109/INFVIS.2000.885103</t>
  </si>
  <si>
    <t>visual analytics;user-centred design;profiling;constraint programming;tree visualisations</t>
  </si>
  <si>
    <t>ViDX: Visual Diagnostics of Assembly Line Performance in Smart Factories</t>
  </si>
  <si>
    <t>10.1109/TVCG.2016.2598664</t>
  </si>
  <si>
    <t>http://dx.doi.org/10.1109/TVCG.2016.2598664</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</si>
  <si>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ViDX.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</si>
  <si>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Panpan Xu;Honghui Mei;Liu Ren;Wei Chen 0001</t>
  </si>
  <si>
    <t>Panpan Xu;Honghui Mei;Liu Ren;Wei Chen</t>
  </si>
  <si>
    <t>Bosch Research North America;Zhejiang University;Bosch Research North America;Zhejiang University</t>
  </si>
  <si>
    <t>Lex, A.;Partl, C.;Kalkofen, D.;Streit, M.;Gratzl, S.;Wassermann, A.M.;Schmalstieg, D.;Pfister, H.</t>
  </si>
  <si>
    <t>10.1109/TVCG.2014.2346454;10.1109/TVCG.2015.2467592;10.1109/TVCG.2006.170;10.1109/TVCG.2015.2467622;10.1109/TVCG.2014.2346682;10.1109/TVCG.2012.225;10.1109/TVCG.2013.200;10.1109/INFVIS.2002.1173149;10.1109/TVCG.2011.185</t>
  </si>
  <si>
    <t>Temporal Data;Marey's Graph;Visual Analytics;Manufacturing;Smart Factory;Connected Industry;Industry 4.0</t>
  </si>
  <si>
    <t>5333443;6064995;6065000;5290706;6064990;885087</t>
  </si>
  <si>
    <t>Visual Analytics for Mobile Eye Tracking</t>
  </si>
  <si>
    <t>10.1109/TVCG.2016.2598695</t>
  </si>
  <si>
    <t>http://dx.doi.org/10.1109/TVCG.2016.2598695</t>
  </si>
  <si>
    <t>Borkin, M.A.;Yeh, C.S.;Boyd, M.;Macko, P.;Gajos, K.Z.;Seltzer, M.;Pfister, H.</t>
  </si>
  <si>
    <t>Borkin, M.;Yeh, C.S.;Boyd, M.;Macko, P.;Gajos, K.;Seltzer, M.;Pfister, H.</t>
  </si>
  <si>
    <t>4015433;1532136;4015416;5290692;1382906;1382886;1532788;6065012;1532134</t>
  </si>
  <si>
    <t>Im, J.-F.;McGuffin, M.J.;Leung, R.</t>
  </si>
  <si>
    <t>1532142;4376168;5290705;5332586;4376133;146386;6064996;5613448;6064990;398859;6064997;5613431;885086;4376140;1382895;4658123;175796</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</si>
  <si>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</si>
  <si>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Kuno Kurzhals;Marcel Hlawatsch;Christof Seeger;Daniel Weiskopf</t>
  </si>
  <si>
    <t>University of Stuttgart;University of Stuttgart;Stuttgart Media University;University of Stuttgart</t>
  </si>
  <si>
    <t>10.1109/TVCG.2010.149;10.1109/TVCG.2015.2468091;10.1109/VAST.2006.261433;10.1109/TVCG.2009.111</t>
  </si>
  <si>
    <t>Eye tracking;visual analytics;video visualization</t>
  </si>
  <si>
    <t>Isenberg, P.;Dragicevic, P.;Willett, W.;Bezerianos, A.;Fekete, J.-D.</t>
  </si>
  <si>
    <t>GazeDx: Interactive Visual Analytics Framework for Comparative Gaze Analysis with Volumetric Medical Images</t>
  </si>
  <si>
    <t>Isenberg, P.;Dragicevic, P.;Willett, W.;Bezerianos, A.;Fekete, J.</t>
  </si>
  <si>
    <t>6327257;6327261;4015437;4376154;963288;4376151;1532131</t>
  </si>
  <si>
    <t>10.1109/TVCG.2016.2598796</t>
  </si>
  <si>
    <t>http://dx.doi.org/10.1109/TVCG.2016.2598796</t>
  </si>
  <si>
    <t>Jakobsen, M.R.;Sahlemariam Haile, Y.;Knudsen, S.;Hornbaek, K.</t>
  </si>
  <si>
    <t>4015437;6327275;6327257;4376131;1532136</t>
  </si>
  <si>
    <t>Jakobsen, M.R.;Hornbaek, K.</t>
  </si>
  <si>
    <t>4015437;4015436</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</si>
  <si>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</si>
  <si>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Hyunjoo Song;Jeongjin Lee;Tae Jung Kim;Kyoung Ho Lee;Bo Hyoung Kim;Jinwook Seo</t>
  </si>
  <si>
    <t>Hyunjoo Song;Jeongjin Lee;Tae Jung Kim;Kyoung Ho Lee;Bohyoung Kim;Jinwook Seo</t>
  </si>
  <si>
    <t>Seoul National University;Soongsil University;Samsung Medical Center;Bundang Hospital, Seoul National University;Hankuk University of Foreign Studies;Seoul National University</t>
  </si>
  <si>
    <t>10.1109/VAST.2011.6102435;10.1109/TVCG.2010.149</t>
  </si>
  <si>
    <t>Eye tracking;gaze visualization;gaze pattern comparison;volumetric medical images;context-embedded interactive scatterplot;interactive temporal chart</t>
  </si>
  <si>
    <t>Gratzl, S.;Lex, A.;Gehlenborg, N.;Pfister, H.;Streit, M.</t>
  </si>
  <si>
    <t>Patterns and Sequences: Interactive Exploration of Clickstreams to Understand Common Visitor Paths</t>
  </si>
  <si>
    <t>10.1109/TVCG.2016.2598797</t>
  </si>
  <si>
    <t>http://dx.doi.org/10.1109/TVCG.2016.2598797</t>
  </si>
  <si>
    <t>6327273;4658136;568118;4658150;4376146</t>
  </si>
  <si>
    <t>Lins, L.;Klosowski, J.T.;Scheidegger, C.</t>
  </si>
  <si>
    <t>Lins, L.;Klosowski, J.T.;Scheidegger, C.E.</t>
  </si>
  <si>
    <t>4015421;1173141;5290718;4677357;4376133;1173156;146386;6064996</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</si>
  <si>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</si>
  <si>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Zhicheng Liu;Yang Wang;Mira Dontcheva;Matthew Hoffman;Seth Walker;Alan Wilson 0004</t>
  </si>
  <si>
    <t>Zhicheng Liu;Yang Wang;Mira Dontcheva;Matthew Hoffman;Seth Walker;Alan Wilson</t>
  </si>
  <si>
    <t>Adobe Research;University of California, Davis;Adobe Research;Adobe Research;Adobe Research;Adobe Systems Inc.</t>
  </si>
  <si>
    <t>10.1109/VAST.2010.5652910;10.1109/VAST.2010.5652926;10.1109/TVCG.2013.225;10.1109/TVCG.2013.200;10.1109/INFVIS.2005.1532152;10.1109/INFVIS.2000.885091;10.1109/TVCG.2014.2346574;10.1109/VAST.2007.4389008;10.1109/TVCG.2011.185;10.1109/VAST.2014.7042487;10.1109/TVCG.2015.2467622;10.1109/VAST.2012.6400494</t>
  </si>
  <si>
    <t>event sequences;Clickstream Data;sequence mining;visual analytics</t>
  </si>
  <si>
    <t>Squares: Supporting Interactive Performance Analysis for Multiclass Classifiers</t>
  </si>
  <si>
    <t>10.1109/TVCG.2016.2598828</t>
  </si>
  <si>
    <t>Gleicher, M.;Correll, M.;Nothelfer, C.;Franconeri, S.</t>
  </si>
  <si>
    <t>http://dx.doi.org/10.1109/TVCG.2016.2598828</t>
  </si>
  <si>
    <t>Alsallakh, B.;Aigner, W.;Miksch, S.;Hauser, H.</t>
  </si>
  <si>
    <t>4015417;5290706;4658148;6064991;1382886;5613447;6327291;1173157</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</si>
  <si>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</si>
  <si>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Donghao Ren;Saleema Amershi;Bongshin Lee;Jina Suh;Jason D. Williams</t>
  </si>
  <si>
    <t>Fink, M.;Haunert, J.-H.;Spoerhase, J.;Wolff, A.</t>
  </si>
  <si>
    <t>University of California, Santa Barbara;Microsoft Research;Microsoft Research;Microsoft Research;Microsoft Research</t>
  </si>
  <si>
    <t>10.1109/VISUAL.2000.885740;10.1109/VAST.2010.5652443;10.1109/TVCG.2012.277;10.1109/TVCG.2014.2346660;10.1109/VAST.2011.6102453;10.1109/TVCG.2011.185</t>
  </si>
  <si>
    <t>Performance analysis;classification;usable machine learning</t>
  </si>
  <si>
    <t>4015420;6327267;6064993</t>
  </si>
  <si>
    <t>An Analysis of Machine- and Human-Analytics in Classification</t>
  </si>
  <si>
    <t>10.1109/TVCG.2016.2598829</t>
  </si>
  <si>
    <t>http://dx.doi.org/10.1109/TVCG.2016.2598829</t>
  </si>
  <si>
    <t>Bongshin Lee;Kazi, R.H.;Smith, G.</t>
  </si>
  <si>
    <t>4376131;6327281;5613452;6327284;4658129;4388992</t>
  </si>
  <si>
    <t>Perin, C.;Vuillemot, R.;Fekete, J.-D.</t>
  </si>
  <si>
    <t>Perin, C.;Vuillemot, R.;Fekete, J.</t>
  </si>
  <si>
    <t>4376154;6064994;6064996;6327288</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</si>
  <si>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</si>
  <si>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Gary K. L. Tam;Vivek Kothari;Min Chen</t>
  </si>
  <si>
    <t>Swansea University;University of Oxford;University of Oxford</t>
  </si>
  <si>
    <t>10.1109/VAST.2010.5652467;10.1109/TVCG.2015.2467615;10.1109/VAST.2012.6400492;10.1109/TVCG.2013.207;10.1109/TVCG.2015.2467552;10.1109/TVCG.2015.2467612;10.1109/VAST.2010.5652398;10.1109/TVCG.2010.132;10.1109/TVCG.2014.2346660;10.1109/VAST.2015.7347629;10.1109/VAST.2011.6102453;10.1109/VAST.2011.6102448</t>
  </si>
  <si>
    <t>information theory;Visual analytics;classification;decision tree;model;facial expression;visualization image</t>
  </si>
  <si>
    <t>6327273;6064988;5613452;6065001;4677364;6327274;6634134;6327272;4035762;5333437;6065008</t>
  </si>
  <si>
    <t>Multi-Resolution Climate Ensemble Parameter Analysis with Nested Parallel Coordinates Plots</t>
  </si>
  <si>
    <t>10.1109/TVCG.2016.2598830</t>
  </si>
  <si>
    <t>http://dx.doi.org/10.1109/TVCG.2016.2598830</t>
  </si>
  <si>
    <t>Basole, R.C.;Clear, T.;Mengdie Hu;Mehrotra, H.;Stasko, J.</t>
  </si>
  <si>
    <t>4015417;1532134;1249027;1532126;6327248;4015419;5652530;4015424</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</si>
  <si>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</si>
  <si>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Junpeng Wang;Xiaotong Liu;Han-Wei Shen;Guang Lin</t>
  </si>
  <si>
    <t>The Ohio State University;The Ohio State University;The Ohio State University;Purdue University</t>
  </si>
  <si>
    <t>10.1109/TVCG.2010.181;10.1109/TVCG.2008.153;10.1109/INFVIS.1998.729559;10.1109/TVCG.2012.237;10.1109/INFVIS.2004.68;10.1109/TVCG.2014.2346755;10.1109/SciVis.2015.7429487;10.1109/VISUAL.1999.809866;10.1109/TVCG.2013.122;10.1109/INFVIS.2004.15;10.1109/TVCG.2015.2467431;10.1109/TVCG.2015.2468093;10.1109/TVCG.2010.184;10.1109/TVCG.2014.2346321</t>
  </si>
  <si>
    <t>Parallel coordinates plots;parameter analysis;multi-resolution climate ensembles</t>
  </si>
  <si>
    <t>Towards Better Analysis of Deep Convolutional Neural Networks</t>
  </si>
  <si>
    <t>10.1109/TVCG.2016.2598831</t>
  </si>
  <si>
    <t>http://dx.doi.org/10.1109/TVCG.2016.2598831</t>
  </si>
  <si>
    <t>Chevalier, F.;Vuillemot, R.;Gali, G.</t>
  </si>
  <si>
    <t>Ferstay, J.A.;Nielsen, C.B.;Munzner, T.</t>
  </si>
  <si>
    <t>5290695;4658124;6327248;6064996;1249023;5290690;5290692;6065017</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</si>
  <si>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</si>
  <si>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Mengchen Liu;Jiaxin Shi;Zhen Li;Chongxuan Li;Jun Zhu 0001;Shixia Liu</t>
  </si>
  <si>
    <t>Mengchen Liu;Jiaxin Shi;Zhen Li;Chongxuan Li;Jun Zhu;Shixia Liu</t>
  </si>
  <si>
    <t>School of Software and TNListTsinghua University;Dept. of Comp. Sci. &amp;#x0026; Tech., State Key Lab of Intell. Tech. &amp;#x0026; Sys.TNList LabCBICR Center;School of Software and TNListTsinghua University;Dept. of Comp. Sci. &amp;#x0026; Tech., State Key Lab of Intell. Tech. &amp;#x0026; Sys.TNList LabCBICR Center;School of Software and TNListTsinghua University;School of Software and TNListTsinghua University</t>
  </si>
  <si>
    <t>10.1109/TVCG.2015.2468151;10.1109/TVCG.2015.2467554;10.1109/TVCG.2015.2467813;10.1109/TVCG.2010.132;10.1109/TVCG.2008.135;10.1109/TVCG.2014.2346919;10.1109/TVCG.2011.239;10.1109/VISUAL.1991.175815;10.1109/VISUAL.2005.1532820;10.1109/TVCG.2007.70582;10.1109/TVCG.2014.2346433</t>
  </si>
  <si>
    <t>Deep convolutional neural networks;rectangle packing;matrix reordering;edge bundling;biclustering</t>
  </si>
  <si>
    <t>Maguire, E.;Rocca-Serra, P.;Sansone, S.-A.;Davies, J.;Min Chen</t>
  </si>
  <si>
    <t>Maguire, E.;Rocca-Serra, P.;Sansone, S.-A.;Davies, J.;Chen, M.</t>
  </si>
  <si>
    <t>Visualizing the Hidden Activity of Artificial Neural Networks</t>
  </si>
  <si>
    <t>4376187;1382904;4015425;5290771;6327266;567746_1;4658192;4015424</t>
  </si>
  <si>
    <t>10.1109/TVCG.2016.2598838</t>
  </si>
  <si>
    <t>http://dx.doi.org/10.1109/TVCG.2016.2598838</t>
  </si>
  <si>
    <t>Huron, S.;Vuillemot, R.;Fekete, J.-D.</t>
  </si>
  <si>
    <t>Huron, S.;Vuillemot, R.;Fekete, J.</t>
  </si>
  <si>
    <t>6400552;6327271;6065010;1249014;6064996;4658136;4658138;1382896;4376146</t>
  </si>
  <si>
    <t>Taimouri, V.;Jing Hua</t>
  </si>
  <si>
    <t>4015471;1249025;5290729;1382896</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</si>
  <si>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</si>
  <si>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Paulo E. Rauber;Samuel G. Fadel;Alexandre X. Falcão;Alexandru Telea</t>
  </si>
  <si>
    <t>Paulo E. Rauber;Samuel G. Fadel;Alexandre X. Falcão;Alexandru C. Telea</t>
  </si>
  <si>
    <t>University of GroningenUniversity of Campinas;University of São Paulo;University of Campinas;University of Groningen</t>
  </si>
  <si>
    <t>10.1109/TVCG.2011.178;10.1109/TVCG.2011.220;10.1109/TVCG.2013.150;10.1109/TVCG.2014.2346578;10.1109/TVCG.2008.125;10.1109/TVCG.2015.2467553</t>
  </si>
  <si>
    <t>Artificial neural networks;dimensionality reduction;algorithm understanding</t>
  </si>
  <si>
    <t>Guerra-Gomez, J.;Pack, M.L.;Plaisant, C.;Shneiderman, B.</t>
  </si>
  <si>
    <t>VisMatchmaker: Cooperation of the User and the Computer in Centralized Matching Adjustment</t>
  </si>
  <si>
    <t>10.1109/TVCG.2016.2599378</t>
  </si>
  <si>
    <t>http://dx.doi.org/10.1109/TVCG.2016.2599378</t>
  </si>
  <si>
    <t>6102439;4015425;6064996;175815;4376153;1173150;4035741;1173148;1249026;4376152</t>
  </si>
  <si>
    <t>Vehlow, C.;Reinhardt, T.;Weiskopf, D.</t>
  </si>
  <si>
    <t>398872;1532126;6064991;5613447;5290706;1382909;5290741</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</si>
  <si>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</si>
  <si>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Po-Ming Law;Wenchao Wu;Yixian Zheng;Huamin Qu</t>
  </si>
  <si>
    <t>Hong Kong University of Science and Technology;Hong Kong University of Science and Technology;Hong Kong University of Science and Technology;Hong Kong University of Science and Technology</t>
  </si>
  <si>
    <t>10.1109/INFVIS.2004.1;10.1109/TVCG.2006.122;10.1109/TVCG.2014.2346249;10.1109/TVCG.2014.2346441;10.1109/VAST.2011.6102453</t>
  </si>
  <si>
    <t>Centralized matching;matching visualization;interaction techniques;visual analytics</t>
  </si>
  <si>
    <t>Sambasivan, R.R.;Shafer, I.;Mazurek, M.L.;Ganger, G.R.</t>
  </si>
  <si>
    <t>5652910;4658146;4376146;6102442</t>
  </si>
  <si>
    <t>Supporting visual exploration for multiple users in large display environments</t>
  </si>
  <si>
    <t>10.1109/VAST.2016.7883506</t>
  </si>
  <si>
    <t>http://dx.doi.org/10.1109/VAST.2016.7883506</t>
  </si>
  <si>
    <t>Borkin, M.A.;Vo, A.A.;Bylinskii, Z.;Isola, P.;Sunkavalli, S.;Oliva, A.;Pfister, H.</t>
  </si>
  <si>
    <t>Borkin, M.;Vo, A.A.;Bylinskii, Z.;Isola, P.;Sunkavalli, S.;Oliva, A.;Pfister, H.</t>
  </si>
  <si>
    <t>6327280;1382903;6327282;6327253;6064986</t>
  </si>
  <si>
    <t>Jackson, B.;Tung Yuen Lau;Schroeder, D.;Toussaint, K.C.;Keefe, D.F.</t>
  </si>
  <si>
    <t>We present a design space exploration of interaction techniques for supporting multiple collaborators exploring data on a shared large display. Our proposed solution is based on users controlling individual lenses using both explicit gestures as well as proxemics: the spatial relations between people and physical artifacts such as their distance, orientation, and movement. We discuss different design considerations for implicit and explicit interactions through the lens, and evaluate the user experience to find a balance between the implicit and explicit interaction styles. Our findings indicate that users favor implicit interaction through proxemics for navigation and collaboration, but prefer using explicit mid-air gestures to perform actions that are perceived to be direct, such as terminating a lens composition. Based on these results, we propose a hybrid technique utilizing both proxemics and mid-air gestures, along with examples applying this technique to other datasets. Finally, we performed a usability evaluation of the hybrid technique and observed user performance improvements in the presence of both implicit and explicit interaction styles.</t>
  </si>
  <si>
    <t>Sriram Karthik Badam;Fereshteh Amini;Niklas Elmqvist;Pourang Irani</t>
  </si>
  <si>
    <t>5290742;1532846;1183753;663912</t>
  </si>
  <si>
    <t>University of Maryland, College Park, USA;University of Manitoba, Winnipeg, Canada;University of Maryland, College Park, USA;University of Manitoba, Winnipeg, Canada</t>
  </si>
  <si>
    <t>10.1109/TVCG.2013.166;10.1109/TVCG.2009.162;10.1109/TVCG.2013.163;10.1109/TVCG.2011.185</t>
  </si>
  <si>
    <t>DocuCompass: Effective exploration of document landscapes</t>
  </si>
  <si>
    <t>10.1109/VAST.2016.7883507</t>
  </si>
  <si>
    <t>http://dx.doi.org/10.1109/VAST.2016.7883507</t>
  </si>
  <si>
    <t>4015449;4015467;5290762;1249004;1532834;6327228;1532787;1532833;964517</t>
  </si>
  <si>
    <t>Isenberg, T.;Isenberg, P.;Jian Chen;Sedlmair, M.;Moller, T.</t>
  </si>
  <si>
    <t>5290766;1532781;4015488;6064940;5613502;5613487;6327248;5613480;5290733;6065005;5290695;6064943;6327215;6327228;4658185;5290692;6327216</t>
  </si>
  <si>
    <t>Papadopoulos, C.;Kaufman, A.E.</t>
  </si>
  <si>
    <t>The creation of interactive visualization to analyze text documents has gained an impressive momentum in recent years. This is not surprising in the light of massive and still increasing amounts of available digitized texts. Websites, social media, news wire, and digital libraries are just few examples of the diverse text sources whose visual analysis and exploration offers new opportunities to effectively mine and manage the information and knowledge hidden within them. A popular visualization method for large text collections is to represent each document by a glyph in 2D space. These landscapes can be the result of optimizing pairwise distances in 2D to represent document similarities, or they are provided directly as meta data, such as geo-locations. For well-defined information needs, suitable interaction methods are available for these spatializations. However, free exploration and navigation on a level of abstraction between a labeled document spatialization and reading single documents is largely unsupported. As a result, vital foraging steps for task-tailored actions, such as selecting subgroups of documents for detailed inspection, or subsequent sense-making steps are hampered. To fill in this gap, we propose DocuCompass, a focus+context approach based on the lens metaphor. It comprises multiple methods to characterize local groups of documents, and to efficiently guide exploration based on users' requirements. DocuCompass thus allows for effective interactive exploration of document landscapes without disrupting the mental map of users by changing the layout itself. We discuss the suitability of multiple navigation and characterization methods for different spatializations and texts. Finally, we provide insights generated through user feedback and discuss the effectiveness of our approach.</t>
  </si>
  <si>
    <t>Florian Heimerl;Markus John;Qi Han;Steffen Koch;Thomas Ertl</t>
  </si>
  <si>
    <t>Papadopoulos, C.;Kaufman, A.</t>
  </si>
  <si>
    <t>10.1109/INFVIS.1995.528686;10.1109/VAST.2009.5333443;10.1109/TVCG.2012.277;10.1109/VAST.2007.4389006;10.1109/VAST.2011.6102449;10.1109/TVCG.2013.186;10.1109/VAST.2012.6400487;10.1109/TVCG.2014.2346433;10.1109/TVCG.2008.152;10.1109/TVCG.2013.212;10.1109/TVCG.2013.162;10.1109/TVCG.2015.2467717;10.1109/VAST.2011.6102488;10.1109/VAST.2011.6102456</t>
  </si>
  <si>
    <t>6064936;1382906</t>
  </si>
  <si>
    <t>C2A: Crowd consensus analytics for virtual colonoscopy</t>
  </si>
  <si>
    <t>10.1109/VAST.2016.7883508</t>
  </si>
  <si>
    <t>http://dx.doi.org/10.1109/VAST.2016.7883508</t>
  </si>
  <si>
    <t>Barakat, S.S.;Tricoche, X.</t>
  </si>
  <si>
    <t>5290738;4658156;4376174;4376175</t>
  </si>
  <si>
    <t>Ament, M.;Sadlo, F.;Weiskopf, D.</t>
  </si>
  <si>
    <t>6064977;4376160;1250394;885683;5613490;1372209;1250406;5613492;6327241;6064955;6064942;1183764;1532803;5290775</t>
  </si>
  <si>
    <t>We present a medical crowdsourcing visual analytics platform called C&lt;sup&gt;2&lt;/sup&gt;A to visualize, classify and filter crowdsourced clinical data. More specifically, C&lt;sup&gt;2&lt;/sup&gt;A is used to build consensus on a clinical diagnosis by visualizing crowd responses and filtering out anomalous activity. Crowdsourcing medical applications have recently shown promise where the non-expert users (the crowd) were able to achieve accuracy similar to the medical experts. This has the potential to reduce interpretation/reading time and possibly improve accuracy by building a consensus on the findings beforehand and letting the medical experts make the final diagnosis. In this paper, we focus on a virtual colonoscopy (VC) application with the clinical technicians as our target users, and the radiologists acting as consultants and classifying segments as benign or malignant. In particular, C&lt;sup&gt;2&lt;/sup&gt;A is used to analyze and explore crowd responses on video segments, created from fly-throughs in the virtual colon. C&lt;sup&gt;2&lt;/sup&gt;A provides several interactive visualization components to build crowd consensus on video segments, to detect anomalies in the crowd data and in the VC video segments, and finally, to improve the non-expert user's work quality and performance by A/B testing for the optimal crowdsourcing platform and application-specific parameters. Case studies and domain experts feedback demonstrate the effectiveness of our framework in improving workers' output quality, the potential to reduce the radiologists' interpretation time, and hence, the potential to improve the traditional clinical workflow by marking the majority of the video segments as benign based on the crowd consensus.</t>
  </si>
  <si>
    <t>Ji Hwan Park;Saad Nadeem;Seyedkoosha Mirhosseini;Arie E. Kaufman</t>
  </si>
  <si>
    <t>Doraiswamy, H.;Natarajan, V.;Nanjundiah, R.S.</t>
  </si>
  <si>
    <t>Ji Hwan Park;Saad Nadeem;Seyedkoosha Mirhosseini;Arie Kaufman</t>
  </si>
  <si>
    <t>Stony Brook University, United States of America;Stony Brook University, United States of America;Stony Brook University, United States of America;Stony Brook University, United States of America</t>
  </si>
  <si>
    <t>10.1109/TVCG.2015.2467196;10.1109/TVCG.2006.112;10.1109/TVCG.2009.171;10.1109/TVCG.2006.158;10.1109/VAST.2015.7347631;10.1109/TVCG.2013.164;10.1109/TVCG.2015.2467555</t>
  </si>
  <si>
    <t>4376167;4015464;1250383</t>
  </si>
  <si>
    <t>The DataSpace for HIV vaccine studies</t>
  </si>
  <si>
    <t>10.1109/VAST.2016.7883509</t>
  </si>
  <si>
    <t>http://dx.doi.org/10.1109/VAST.2016.7883509</t>
  </si>
  <si>
    <t>The DataSpace for HIV vaccine studies is a discovery tool available on the web to hundreds of investigators. We designed it to help them better understand activity in the field and explore new ideas latent in completed research. The DataSpace harmonizes immunoassay results and study metadata so that a broader research community can pursue more flexible discovery than the typical centrally planned analyses. Insights from human-centered design and beta evaluation suggest strong potential for visual analytics that may also apply to other efforts in open science. The contribution of this paper is to elucidate key domain challenges and demonstrate an application that addresses them. We made several changes to familiar visualizations to support key tasks such as identifying and filtering to a cohort of interest, making meaningful comparisons of time series data from multiple studies that have different plans, and preserving analytic context when making data transformations and comparisons that would normally exclude some data.</t>
  </si>
  <si>
    <t>David McColgin;Paul Hoover;Mark Igra</t>
  </si>
  <si>
    <t>LabKey Software, United States of America;LabKey Software, United States of America;LabKey Software, United States of America</t>
  </si>
  <si>
    <t>D-Map: Visual Analysis of Ego-centric Information Diffusion Patterns in Social Media</t>
  </si>
  <si>
    <t>10.1109/VAST.2016.7883510</t>
  </si>
  <si>
    <t>http://dx.doi.org/10.1109/VAST.2016.7883510</t>
  </si>
  <si>
    <t>Biswas, A.;Dutta, S.;Han-Wei Shen;Woodring, J.</t>
  </si>
  <si>
    <t>5613460;5290764;146402;5613461;4015449;4658163;5613439;1382895;4658188;4658174;4389000;6064997;485139;1532833;5613459;663875;1183785</t>
  </si>
  <si>
    <t>Xin Zhao;Zhengyu Su;Gu, X.D.;Kaufman, A.;Jian Sun;Jie Gao;Feng Luo</t>
  </si>
  <si>
    <t>Xin Zhao;Zhengyu Su;Gu, X.;Kaufman, A.;Jian Sun;Jie Gao;Feng Luo</t>
  </si>
  <si>
    <t>Popular social media platforms could rapidly propagate vital information over social networks among a significant number of people. In this work we present D-Map (Diffusion Map), a novel visualization method to support exploration and analysis of social behaviors during such information diffusion and propagation on typical social media through a map metaphor. In D-Map, users who participated in reposting (i.e., resending a message initially posted by others) one central user's posts (i.e., a series of original tweets) are collected and mapped to a hexagonal grid based on their behavior similarities and in chronological order of the repostings. With additional interaction and linking, D-Map is capable of providing visual portraits of the influential users and describing their social behaviors. A comprehensive visual analysis system is developed to support interactive exploration with D-Map. We evaluate our work with real world social media data and find interesting patterns among users. Key players, important information diffusion paths, and interactions among social communities can be identified.</t>
  </si>
  <si>
    <t>Siming Chen;Shuai Chen;Zhenhuang Wang;Jie Liang;Xiaoru Yuan;Nan Cao;Yadong Wu</t>
  </si>
  <si>
    <t>Key Laboratory of Machine Perception (Ministry of Education), Peking University, China;Key Laboratory of Machine Perception (Ministry of Education), Peking University, China;Key Laboratory of Machine Perception (Ministry of Education), Peking University, China;Faculty of Engineer and Information Technology, The University of Technology, Sydney, Australia;Key Laboratory of Machine Perception (Ministry of Education), Peking University, China;New York University, Shanghai, China;Southwest University of Science and Technology, China</t>
  </si>
  <si>
    <t>10.1109/TVCG.2015.2467196;10.1109/TVCG.2014.2346922;10.1109/TVCG.2012.291;10.1109/TVCG.2010.154;10.1109/TVCG.2007.70582;10.1109/TVCG.2014.2346433;10.1109/INFVIS.2005.1532126;10.1109/TVCG.2013.221;10.1109/TVCG.2014.2346919;10.1109/TVCG.2014.2346920;10.1109/TVCG.2011.185;10.1109/TVCG.2014.2346277</t>
  </si>
  <si>
    <t>Gosink, L.;Bensema, K.;Pulsipher, T.;Obermaier, H.;Henry, M.;Childs, H.;Joy, K.I.</t>
  </si>
  <si>
    <t>How ideas flow across multiple social groups</t>
  </si>
  <si>
    <t>10.1109/VAST.2016.7883511</t>
  </si>
  <si>
    <t>1183769;1532853;568116;5613476;5613483</t>
  </si>
  <si>
    <t>http://dx.doi.org/10.1109/VAST.2016.7883511</t>
  </si>
  <si>
    <t>Gurijala, K.C.;Rui Shi;Wei Zeng;Xianfeng Gu;Kaufman, A.</t>
  </si>
  <si>
    <t>964540;4015440;964540;5613475</t>
  </si>
  <si>
    <t>Tracking how correlated ideas flow within and across multiple social groups facilitates the understanding of the transfer of information, opinions, and thoughts on social media. In this paper, we present IdeaFlow, a visual analytics system for analyzing the lead-lag changes within and across pre-defined social groups regarding a specific set of correlated ideas, each of which is described by a set of words. To model idea flows accurately, we develop a random-walk-based correlation model and integrate it with Bayesian conditional cointegration and a tensor-based technique. To convey complex lead-lag relationships over time, IdeaFlow combines the strengths of a bubble tree, a flow map, and a timeline. In particular, we develop a Voronoi-treemap-based bubble tree to help users get an overview of a set of ideas quickly. A correlated-clustering-based layout algorithm is used to simultaneously generate multiple flow maps with less ambiguity. We also introduce a focus+context timeline to explore huge amounts of temporal data at different levels of time granularity. Quantitative evaluation and case studies demonstrate the accuracy and effectiveness of IdeaFlow.</t>
  </si>
  <si>
    <t>Xiting Wang;Shixia Liu;Yang Chen;Tai-Quan Peng;Jing Su;Jing Yang;Baining Guo</t>
  </si>
  <si>
    <t>School of Software, Tsinghua University, China;School of Software, Tsinghua University, China;School of Software, Tsinghua University, China;Michigan State University, United States of America;Tsinghua University, China;UNCC, United States of America;Microsoft Research, United States of America</t>
  </si>
  <si>
    <t>10.1109/VAST.2011.6102461;10.1109/VAST.2010.5652931;10.1109/TVCG.2015.2467554;10.1109/TVCG.2014.2346433;10.1109/TVCG.2015.2467992;10.1109/TVCG.2015.2467691;10.1109/TVCG.2011.202;10.1109/VAST.2012.6400485;10.1109/TVCG.2013.196;10.1109/TVCG.2015.2467757;10.1109/TVCG.2012.212;10.1109/TVCG.2010.129;10.1109/TVCG.2013.162;10.1109/TVCG.2013.221;10.1109/TVCG.2014.2346919;10.1109/INFVIS.2005.1532152;10.1109/TVCG.2014.2346920;10.1109/TVCG.2015.2467991;10.1109/TVCG.2011.239;10.1109/INFVIS.2005.1532150;10.1109/TVCG.2009.111;10.1109/INFVIS.2005.1532128</t>
  </si>
  <si>
    <t>EventAction: Visual analytics for temporal event sequence recommendation</t>
  </si>
  <si>
    <t>10.1109/VAST.2016.7883512</t>
  </si>
  <si>
    <t>http://dx.doi.org/10.1109/VAST.2016.7883512</t>
  </si>
  <si>
    <t>Recommender systems are being widely used to assist people in making decisions, for example, recommending films to watch or books to buy. Despite its ubiquity, the problem of presenting the recommendations of temporal event sequences has not been studied. We propose EventAction, which to our knowledge, is the first attempt at a prescriptive analytics interface designed to present and explain recommendations of temporal event sequences. EventAction provides a visual analytics approach to (1) identify similar records, (2) explore potential outcomes, (3) review recommended temporal event sequences that might help achieve the users' goals, and (4) interactively assist users as they define a personalized action plan associated with a probability of success. Following the design study framework, we designed and deployed EventAction in the context of student advising and reported on the evaluation with a student review manager and three graduate students.</t>
  </si>
  <si>
    <t>Fan Du;Catherine Plaisant;Neil Spring;Ben Shneiderman</t>
  </si>
  <si>
    <t>University of Maryland, United States of America;University of Maryland, United States of America;University of Maryland, United States of America;University of Maryland, United States of America</t>
  </si>
  <si>
    <t>10.1109/TVCG.2009.187;10.1109/TVCG.2012.225;10.1109/TVCG.2012.213;10.1109/TVCG.2015.2467622;10.1109/TVCG.2014.2346682</t>
  </si>
  <si>
    <t>SocialBrands: Visual analysis of public perceptions of brands on social media</t>
  </si>
  <si>
    <t>10.1109/VAST.2016.7883513</t>
  </si>
  <si>
    <t>http://dx.doi.org/10.1109/VAST.2016.7883513</t>
  </si>
  <si>
    <t>Hummel, M.;Obermaier, H.;Garth, C.;Joy, K.I.</t>
  </si>
  <si>
    <t>6064958;568116;5613488;5613483;4376175</t>
  </si>
  <si>
    <t>Beyer, J.;Al-Awami, A.;Kasthuri, N.;Lichtman, J.W.;Pfister, H.;Hadwiger, M.</t>
  </si>
  <si>
    <t>Public perceptions of a brand is critical to its performance. While social media has demonstrated a huge potential to shape public perceptions of brands, existing tools are not intuitive and explanatory for domain users to use as they fail to provide a comprehensive analysis framework for perceptions of brands. In this paper, we present SocialBrands, a novel visual analysis tool for brand managers to understand public perceptions of brands on social media. Social-Brands leverages brand personality framework in marketing literature and social computing approaches to compute the personality of brands from three driving factors (user imagery, employee imagery, and official announcement) on social media, and construct an evidence network explaining the association between brand personality and driving factors. These computational results are then integrated with new interactive visualizations to help brand managers understand personality traits and their driving factors. We demonstrate the usefulness and effectiveness of SocialBrands through a series of user studies with brand managers in an enterprise context. Design lessons are also derived from our studies.</t>
  </si>
  <si>
    <t>Beyer, J.;Al-Awami, A.;Kasthuri, N.;Lichtman, J.;Pfister, H.;Hadwiger, M.</t>
  </si>
  <si>
    <t>Xiaotong Liu;Anbang Xu;Liang Gou;Haibin Liu;Rama Akkiraju;Han-Wei Shen</t>
  </si>
  <si>
    <t>885086;1532792;5290767;6327233;4015489;485139;4376204;5290765;5290766</t>
  </si>
  <si>
    <t>Ohio State University, United States of America;IBM Research, United States of America;Visa Research, United States of America;IBM Research, United States of America;IBM Research, United States of America;Ohio State University, United States of America</t>
  </si>
  <si>
    <t>10.1109/TVCG.2014.2346922;10.1109/VAST.2014.7042496;10.1109/TVCG.2013.227;10.1109/TVCG.2012.291;10.1109/TVCG.2010.129;10.1109/TVCG.2013.221;10.1109/INFVIS.2000.885091;10.1109/TVCG.2011.183</t>
  </si>
  <si>
    <t>Whitaker, R.T.;Mirzargar, M.;Kirby, R.M.</t>
  </si>
  <si>
    <t>DimScanner: A Relation-based Visual Exploration Approach Towards Data Dimension Inspection</t>
  </si>
  <si>
    <t>10.1109/VAST.2016.7883514</t>
  </si>
  <si>
    <t>http://dx.doi.org/10.1109/VAST.2016.7883514</t>
  </si>
  <si>
    <t>1183769;568105;1532807;5613483</t>
  </si>
  <si>
    <t>1532853;6064941;6064958;4015453;5613488;5613483;568116;4376175</t>
  </si>
  <si>
    <t>Coffey, D.;Chi-Lun Lin;Erdman, A.G.;Keefe, D.F.</t>
  </si>
  <si>
    <t>Exploring multi-dimensional datasets can be cumbersome if data analysts have little knowledge about the data. Various dimension relation inspection tools and dimension exploration tools have been proposed for efficient data examining and understanding. However, the needed workload varies largely with respect to data complexity and user expertise, which can only be reduced with rich background knowledge over the data. In this paper we address the workload challenge with a data structuring and exploration scheme that affords dimension relation detection and that serves as the background knowledge for further investigation. We contribute a novel data structuring scheme that leverages an information-theoretic view structuring algorithm to uncover information-aware relations among different data views, and thereby discloses redundancy and other relation patterns among dimensions. The integrated system, DimScanner, empowers analysts with rich user controls and assistance widgets to interactively detect the relations of multi-dimensional data.</t>
  </si>
  <si>
    <t>Jing Xia;Wei Chen 0001;Yumeng Hou;Wanqi Hu;Xinxin Huang;David S. Ebert</t>
  </si>
  <si>
    <t>6327230;5613487;5613488;6064952;885734;5613486;4376186</t>
  </si>
  <si>
    <t>Jing Xia;Wei Chen;Yumeng Hou;Wanqi Hu;Xinxin Huang;David S. Ebertk</t>
  </si>
  <si>
    <t>State Key Lab of CAD&amp;amp;CG, Zhejiang University, China;State Key Lab of CAD&amp;amp;CG, Zhejiang University, China;State Key Lab of CAD&amp;amp;CG, Zhejiang University, China;State Key Lab of CAD&amp;amp;CG, Zhejiang University, China;State Key Lab of CAD&amp;amp;CG, Zhejiang University, China;Purdue University, United States of America</t>
  </si>
  <si>
    <t>10.1109/TVCG.2015.2467191;10.1109/TVCG.2009.153;10.1109/INFVIS.1998.729559;10.1109/VAST.2009.5332628;10.1109/TVCG.2010.184;10.1109/VAST.2010.5652450;10.1109/VAST.2006.261423;10.1109/TVCG.2013.160;10.1109/TVCG.2013.150;10.1109/TVCG.2011.229;10.1109/INFVIS.2005.1532142;10.1109/INFVIS.2004.3</t>
  </si>
  <si>
    <t>1372207;5290764;6064967;4658165;6064947;4376171;6327208;4015464</t>
  </si>
  <si>
    <t>809910;5613461;6064965;964516;6064942;5290751</t>
  </si>
  <si>
    <t>Froese, M.-E.;Tory, M.;Evans, G.-W.;Shrikhande, K.</t>
  </si>
  <si>
    <t>1532836;1250396</t>
  </si>
  <si>
    <t>Parulek, J.;Brambilla, A.</t>
  </si>
  <si>
    <t>5290753;1250414;4015487</t>
  </si>
  <si>
    <t>Ehlke, M.;Ramm, H.;Lamecker, H.;Hege, H.-C.;Zachow, S.</t>
  </si>
  <si>
    <t>1532809;1532815;4015501;1250384</t>
  </si>
  <si>
    <t>Maries, A.;Mays, N.;Hunt, M.O.;Wong, K.F.;Layton, W.;Boudreau, R.;Rosano, C.;Marai, G.E.</t>
  </si>
  <si>
    <t>5290760;885739;4035756;5290695;5613427;5290731;175815;5613429</t>
  </si>
  <si>
    <t>Kretschmer, J.;Godenschwager, C.;Preim, B.;Stamminger, M.</t>
  </si>
  <si>
    <t>964538;346339</t>
  </si>
  <si>
    <t>1532812;1372208;6064942;6327242;1183785</t>
  </si>
  <si>
    <t>Rungta, A.;Summa, B.;Demir, D.;Bremer, P.-T.;Pascucci, V.</t>
  </si>
  <si>
    <t>Reh, A.;Gusenbauer, C.;Kastner, J.;Groller, M.E.;Heinzl, C.</t>
  </si>
  <si>
    <t>Reh, A.;Gusenbauer, C.;Kastner, J.;Groller, E.;Heinzl, C.</t>
  </si>
  <si>
    <t>6327240;809871;5290766;6327238;6064952;1532807;5613488;5613489;398859;663875</t>
  </si>
  <si>
    <t>Khlebnikov, R.;Kainz, B.;Steinberger, M.;Schmalstieg, D.</t>
  </si>
  <si>
    <t>146373;1250412;4015502;1532807;4376150;6327216;1250362</t>
  </si>
  <si>
    <t>Kohler, B.;Gasteiger, R.;Preim, U.;Theisel, H.;Gutberlet, M.;Preim, B.</t>
  </si>
  <si>
    <t>6064971;809869;5613474;809896;6064983;4376212;1372213;5613472</t>
  </si>
  <si>
    <t>Athawale, T.;Entezari, A.</t>
  </si>
  <si>
    <t>1532853;4376179;175782;4376198;6327235;346331;568116;5290733;6064958</t>
  </si>
  <si>
    <t>Auzinger, T.;Mistelbauer, G.;Baclija, I.;Schernthaner, R.;Kochl, A.;Wimmer, M.;Groller, M.E.;Bruckner, S.</t>
  </si>
  <si>
    <t>Auzinger, T.;Mistelbauer, G.;Baclija, I.;Schernthaner, R.;Kochl, A.;Wimmer, M.;Groller, E.;Bruckner, S.</t>
  </si>
  <si>
    <t>5290742;1372221;1250353;1250400;4015449;5290734;1183754;6064947;1250351;4015452;964555</t>
  </si>
  <si>
    <t>Szymczak, A.;Sipeki, L.</t>
  </si>
  <si>
    <t>6065003;4658140;6327205;885716</t>
  </si>
  <si>
    <t>Muhlbacher, T.;Piringer, H.</t>
  </si>
  <si>
    <t>6327298;5290702;398859;6400486;6102453;5333431;5613467;6327265;5332628;146402;6102450;4677368;5652460;6064952;1532142;4388999;1382902;5290719;6102448;1382892</t>
  </si>
  <si>
    <t>Walker, R.;Slingsby, A.;Dykes, J.;Kai Xu;Wood, J.;Nguyen, P.H.;Stephens, D.;Wong, B.L.W.;Yongjun Zheng</t>
  </si>
  <si>
    <t>6327277;5613425;4388992;4015432;4035748;5613456;6327248;885086;4376131;5290695;4677366;4677365;4388992;5290702;5332611;5613449;5333919;6065017;5290723;4658131</t>
  </si>
  <si>
    <t>Broeksema, B.;Baudel, T.;Telea, A.;Crisafulli, P.</t>
  </si>
  <si>
    <t>175815;6102463;5652398;4677361;4677363;6064996;6102457</t>
  </si>
  <si>
    <t>6400487;6400486;6327290;1532142;1382893;6327268;5652392;6400490;6065024;729568;6102448;5290704</t>
  </si>
  <si>
    <t>Wenwen Dou;Li Yu;Xiaoyu Wang;Zhiqiang Ma;Ribarsky, W.</t>
  </si>
  <si>
    <t>5652931;6400557;6065008;6102461;6400485</t>
  </si>
  <si>
    <t>Willett, W.;Ginosar, S.;Steinitz, A.;Hartmann, B.;Agrawala, M.</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</si>
  <si>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</si>
  <si>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Jian Zhao;Collins, C.;Chevalier, F.;Balakrishnan, R.</t>
  </si>
  <si>
    <t>4658129;6102440;6065000;5613456;4035752;1532136;5613448;6327277;4015424;885086</t>
  </si>
  <si>
    <t>Meghdadi, A.H.;Irani, P.</t>
  </si>
  <si>
    <t>1382887;6327214;1250401</t>
  </si>
  <si>
    <t>Bernard, J.;Wilhelm, N.;Kruger, B.;May, T.;Schreck, T.;Kohlhammer, J.</t>
  </si>
  <si>
    <t>David G�_nther;Alec Jacobson;Jan Reininghaus;Hans-Peter Seidel;Olga Sorkine-Hornung;Tino Weinkauf</t>
  </si>
  <si>
    <t>809865;4677350;4015416;6065019;6065026</t>
  </si>
  <si>
    <t>Schultz, T.;Kindlmann, G.L.</t>
  </si>
  <si>
    <t>Schultz, T.;Kindlmann, G.</t>
  </si>
  <si>
    <t>1532820;5652926;885740;6400488;5290760;5290758;5290756;5613502;5290745;6064952;6065007</t>
  </si>
  <si>
    <t>Bosch, H.;Thom, D.;Heimerl, F.;Puttmann, E.;Koch, S.;Kruger, R.;Worner, M.;Ertl, T.</t>
  </si>
  <si>
    <t>1532781;6400492;6400557;6327271;6327290;6400485;4389013;4389006;6102456;4658131</t>
  </si>
  <si>
    <t>Xinran Hu;Bradel, L.;Maiti, D.;House, L.;North, C.;Leman, S.</t>
  </si>
  <si>
    <t>6102449;528686;6327294;6400486;4677358</t>
  </si>
  <si>
    <t>Attila Gyulassy;David G�_nther;Joshua A. Levine;Julien Tierny;Valerio Pascucci</t>
  </si>
  <si>
    <t>Bing Wang;Ruchikachorn, P.;Mueller, K.</t>
  </si>
  <si>
    <t>6064998;6400489</t>
  </si>
  <si>
    <t>Andrienko, N.;Andrienko, G.;Barrett, L.;Dostie, M.;Henzi, P.</t>
  </si>
  <si>
    <t>1532142;1382887</t>
  </si>
  <si>
    <t>Kurzhals, K.;Weiskopf, D.</t>
  </si>
  <si>
    <t>5613432;6065011;6327295;4015469</t>
  </si>
  <si>
    <t>Hajizadeh, A.H.;Tory, M.;Leung, R.</t>
  </si>
  <si>
    <t>6065016;4376134;6064996;5652880;1249020;4389011;6102447</t>
  </si>
  <si>
    <t>Hadlak, S.;Schumann, H.;Cap, C.H.;Wollenberg, T.</t>
  </si>
  <si>
    <t>1532151;5652530;1382908;6065001;6065000;4015433;6400493;801851;4376152;1173160</t>
  </si>
  <si>
    <t>Monroe, M.;Rongjian Lan;Hanseung Lee;Plaisant, C.;Shneiderman, B.</t>
  </si>
  <si>
    <t>5290698;6327248;5652890</t>
  </si>
  <si>
    <t>Andrews, C.;North, C.</t>
  </si>
  <si>
    <t>6400559;4677358;5333878</t>
  </si>
  <si>
    <t>Rind, A.;Lammarsch, T.;Aigner, W.;Alsallakh, B.;Miksch, S.</t>
  </si>
  <si>
    <t>5290720;1382904;6102446;4035745;885086;5613453;4015439;1382905;6634112;1173155;6064996;5613455;636792</t>
  </si>
  <si>
    <t>Legg, P.A.;Chung, D.H.S.;Parry, M.L.;Bown, R.;Jones, M.W.;Griffiths, I.W.;Min Chen</t>
  </si>
  <si>
    <t>Legg, P.A.;Chung, D.H.S.;Parry, M.L.;Bown, R.;Jones, M.W.;Griffiths, I.W.;Chen, M.</t>
  </si>
  <si>
    <t>4015422;1250401;5332628;5613439;4389001;4658160;729568;4015469;6064937</t>
  </si>
  <si>
    <t>Kodagoda, N.;Attfield, S.;Wong, B.L.W.;Rooney, C.;Choudhury, S.</t>
  </si>
  <si>
    <t>5333020;4389006;6327277</t>
  </si>
  <si>
    <t>Gustavo Mello Machado;Filip Sadlo;Thomas M�_ller 0005;Thomas Ertl</t>
  </si>
  <si>
    <t>Jaegul Choo;Changhyun Lee;Reddy, C.K.;Park, H.</t>
  </si>
  <si>
    <t>Jaegul Choo;Changhyun Lee;Reddy, C.K.;Haesun Park</t>
  </si>
  <si>
    <t xml:space="preserve">Latent Dirichlet allocation, nonnegative matrix factorization, topic modeling, visual analytics, interactive clustering, text analytics
</t>
  </si>
  <si>
    <t>6327289;5332629;6065008;6102461;6400485;4388999;4389006;4658134;5652443</t>
  </si>
  <si>
    <t>Schmidt, J.;Groller, M.E.;Bruckner, S.</t>
  </si>
  <si>
    <t>Schmidt, J.;Groller, E.;Bruckner, S.</t>
  </si>
  <si>
    <t>4376187;4376150;6400555;5613488;809871;809873;6064952;1183790</t>
  </si>
  <si>
    <t>Jiawan Zhang;Kai Kang;Dajian Liu;Ye Yuan;Yanli, E.</t>
  </si>
  <si>
    <t>6065008;1382886;4658161;1532138;4015425;6327286;4389013;4658123;885098</t>
  </si>
  <si>
    <t>Shadoan, R.;Weaver, C.</t>
  </si>
  <si>
    <t>4015417;1382904;6102440;4389006;4015424;5652520</t>
  </si>
  <si>
    <t>Panpan Xu;Yingcai Wu;Enxun Wei;Tai-Quan Peng;Shixia Liu;Zhu, J.J.H.;Huamin Qu</t>
  </si>
  <si>
    <t>4658136;6065008;6327273;6327272;5333437;5613457;6327271;5652931;6634164;963273;6327274;5652922;5613451;801851</t>
  </si>
  <si>
    <t>Bogl, M.;Aigner, W.;Filzmoser, P.;Lammarsch, T.;Miksch, S.;Rind, A.</t>
  </si>
  <si>
    <t>6634096;6327248;4376146</t>
  </si>
  <si>
    <t>Ghani, S.;Bum Chul Kwon;Seungyoon Lee;Ji Soo Yi;Elmqvist, N.</t>
  </si>
  <si>
    <t>6065012;6102440;6327248;6064997;4389006;4376140;1532142;146402;4376143;1173155;4035747;4015424;6065017</t>
  </si>
  <si>
    <t>Packer, E.;Bak, P.;Nikkila, M.;Polishchuk, V.;Ship, H.J.</t>
  </si>
  <si>
    <t>6102449;1249015;6400486;5290706;5652443;6064991</t>
  </si>
  <si>
    <t>Ferreira, N.;Poco, J.;Vo, H.T.;Freire, J.;Silva, C.T.</t>
  </si>
  <si>
    <t>1382904;4677356;6102454;4376143;5652467;1532150;4677370;885086</t>
  </si>
  <si>
    <t>Zuchao Wang;Min Lu;Xiaoru Yuan;Junping Zhang;van de Wetering, H.</t>
  </si>
  <si>
    <t>663866;6102454;5290707;6400556;1382887;4677356;6065021;6400553;6327262;6065019;5332593;4658146;6102455</t>
  </si>
  <si>
    <t>Kai Xu;Rooney, C.;Passmore, P.;Dong-Han Ham;Nguyen, P.H.</t>
  </si>
  <si>
    <t>38489059400;38488869200;38180787500;38489463400;38490354300</t>
  </si>
  <si>
    <t>6065003;1173155;4015425;1532136;1532131;1249008;4015424</t>
  </si>
  <si>
    <t>Ismail Demir;Christian Dick;R�_diger Westermann</t>
  </si>
  <si>
    <t>6065023;5613425;885095</t>
  </si>
  <si>
    <t>Fink, M.;Haunert, J.-H.;Schulz, A.;Spoerhase, J.;Wolff, A.</t>
  </si>
  <si>
    <t>38490470100;38017278900;38489531200;38489875600;37398094700</t>
  </si>
  <si>
    <t>6065023;5613424;6064990;885087</t>
  </si>
  <si>
    <t>Comparing slopes is a fundamental graph reading task and the aspect ratio chosen for a plot influences how easy these comparisons are to make. According to Banking to 45Â°, a classic design guideline first proposed and studied by Cleveland et al., aspect ratios that center slopes around 45Â°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45Â°. In the second experiment, we explore a novel hypothesis raised by our model: that visible baselines can substantially mitigate errors made in slope judgments. We conclude with an application of our model to aspect ratio selection.</t>
  </si>
  <si>
    <t>Talbot, J.;Gerth, J.;Hanrahan, P.</t>
  </si>
  <si>
    <t>37604514900;37840462500;37349803800</t>
  </si>
  <si>
    <t>Harish Doraiswamy;Nivan Ferreira;Theodoros Damoulas;Juliana Freire;Cl��udio T. Silva</t>
  </si>
  <si>
    <t>4015420;6064993</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</si>
  <si>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â€œdivided attentionâ€_x009d_,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</si>
  <si>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Borgo, R.;Abdul-Rahman, A.;Mohamed, F.;Grant, P.W.;Reppa, I.;Floridi, L.;Min Chen</t>
  </si>
  <si>
    <t>37591074800;38489317800;38489907300;37267321300;38489814200;38490006300;38273288300</t>
  </si>
  <si>
    <t>Borgo, R.;Abdul-Rahman, A.;Mohamed, F.;Grant, P.W.;Reppa, I.;Floridi, L.;Chen, M.</t>
  </si>
  <si>
    <t>5613460;568118;4658138;6064986</t>
  </si>
  <si>
    <t>Micallef, L.;Dragicevic, P.;Fekete, J.</t>
  </si>
  <si>
    <t>38490161300;37590932700;37407972900</t>
  </si>
  <si>
    <t>5613447;5290706</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</si>
  <si>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â€œnaturalâ€_x009d_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â€œnatural,â€_x009d_ interaction techniques for InfoVis.</t>
  </si>
  <si>
    <t>Bongshin Lee;Isenberg, P.;Riche, N.H.;Carpendale, S.</t>
  </si>
  <si>
    <t>37293389400;37591317800;37590950700;37285000100</t>
  </si>
  <si>
    <t>5613431;4376144;4658127;5290713;5613450;4376154;1532122;729560;4376145</t>
  </si>
  <si>
    <t>Baudel, T.;Broeksema, B.</t>
  </si>
  <si>
    <t>175815;4015439;146386;4015431;6064987;729560;5613436;4658149;5290702</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</si>
  <si>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â€œthe discovery of an ordered concept appears as the ultimate point in logical simplification since it permits reducing to a single instant the assimilation of series which previously required many instants of studyâ€_x009d_.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</si>
  <si>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Pilhofer, A.;Gribov, A.;Unwin, A.</t>
  </si>
  <si>
    <t>38489815800;37326693200;38489067600</t>
  </si>
  <si>
    <t>5613439;5613440</t>
  </si>
  <si>
    <t>Dinkla, K.;Westenberg, M.A.;van Wijk, J.J.</t>
  </si>
  <si>
    <t>38489573400;38185191700;37267249200</t>
  </si>
  <si>
    <t>6064992;4015417;4376154;1382886;1532126;1382907;4015425;4658145;4376153;1382884;4015435;5613445;1249030</t>
  </si>
  <si>
    <t>Storyline visualization is a technique used to depict the temporal dynamics of social interactions. This visualization technique was first introduced as a hand-drawn illustration in XKCD's â€œMovie Narrative Chartsâ€_x009d_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</si>
  <si>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Tanahashi, Y.;Kwan-Liu Ma</t>
  </si>
  <si>
    <t>38490419400;38490054000</t>
  </si>
  <si>
    <t>4658136;4658140;6065002;6065008;4015433;4376143;1249008;4658146;1173160</t>
  </si>
  <si>
    <t>Sedlmair, M.;Meyer, M.;Munzner, T.</t>
  </si>
  <si>
    <t>37590945600;37564728700;37349490300</t>
  </si>
  <si>
    <t>801869;559226;4658137;5290752;5613450;1532136;5613426;6102443;6065005;4389008;5290690;6065015;5290702;1249023;5290692;5290695;6065017</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</si>
  <si>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â€œchalk talksâ€_x009d_.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</si>
  <si>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Gomez, S.R.;Jianu, R.;Ziemkiewicz, C.;Hua Guo;Laidlaw, D.H.</t>
  </si>
  <si>
    <t>38489539100;37887934300;37548028800;38489241200;37275712600</t>
  </si>
  <si>
    <t>6065018;5613437;5613452;6064988</t>
  </si>
  <si>
    <t>Sung-Hee Kim;Zhihua Dong;Hanjun Xian;Upatising, B.;Ji Soo Yi</t>
  </si>
  <si>
    <t>38489894700;38489279100;37399307600;38489813800;38238292000</t>
  </si>
  <si>
    <t>146402;6065011;4677363;5613432;6064990;5333920</t>
  </si>
  <si>
    <t>Boukhelifa, N.;Bezerianos, A.;Isenberg, T.;Fekete, J.</t>
  </si>
  <si>
    <t>1532853;235199;4376197;5290731;5332611;4035764;6327281;4376132;885679</t>
  </si>
  <si>
    <t>Vande Moere, A.;Tomitsch, M.;Wimmer, C.;Christoph, B.;Grechenig, T.</t>
  </si>
  <si>
    <t>37567251200;37946592500;38489562800;;37266011000</t>
  </si>
  <si>
    <t>4376134;4376131;5290706</t>
  </si>
  <si>
    <t>Wongsuphasawat, K.;Gotz, D.</t>
  </si>
  <si>
    <t>37670523200;37601397400</t>
  </si>
  <si>
    <t>5290701;6102453;4015418;1532150;5332595;5290698;1532152;4035762</t>
  </si>
  <si>
    <t>Jian Zhao;Chevalier, F.;Collins, C.;Balakrishnan, R.</t>
  </si>
  <si>
    <t>38024987300;37395495900;38490026700;37394495600</t>
  </si>
  <si>
    <t>6102439;4376152;5290706;801869;1249030</t>
  </si>
  <si>
    <t>Kong, N.;Agrawala, M.</t>
  </si>
  <si>
    <t>37599492800;37282718200</t>
  </si>
  <si>
    <t>6064957;175820;5290706;6064990</t>
  </si>
  <si>
    <t>Hofmann, H.;Follett, L.;Majumder, M.;Cook, D.</t>
  </si>
  <si>
    <t>37592793000;38489858600;38489014500;37358631700</t>
  </si>
  <si>
    <t>5290695;5613434</t>
  </si>
  <si>
    <t>Haroz, S.;Whitney, D.</t>
  </si>
  <si>
    <t>37697696900;38489136700</t>
  </si>
  <si>
    <t>963274;568118;5613436;1532838</t>
  </si>
  <si>
    <t>37403856700;38490517900;37403239700;38489293500</t>
  </si>
  <si>
    <t>4658147;1532130;5290700;4376155</t>
  </si>
  <si>
    <t>Tominski, C.;Forsell, C.;Johansson, J.</t>
  </si>
  <si>
    <t>37283236000;37546939800;37273045500</t>
  </si>
  <si>
    <t>4658124;4376145;6064997;4376144;4376150;5290697;1173157;6065028;4376154;4658123</t>
  </si>
  <si>
    <t>Zinsmaier, M.;Brandes, U.;Deussen, O.;Strobelt, H.</t>
  </si>
  <si>
    <t>38489526500;37550836200;37266781000;38108845300</t>
  </si>
  <si>
    <t>1532150;4015416;6065003;4658140;4015436;4015425;5613456;1382906</t>
  </si>
  <si>
    <t>Ma, J.;Liao, I.;Kwan-Liu Ma;Frazier, J.</t>
  </si>
  <si>
    <t>38489269900;38241310900;38490053400;38233965200</t>
  </si>
  <si>
    <t>4658128;6064986;1382897</t>
  </si>
  <si>
    <t>Silvia Born;Simon H. S�_ndermann;Christoph Russ;Raoul Hopf;Carlos E. Ruiz;Volkmar Falk;Michael Gessat</t>
  </si>
  <si>
    <t>Marriott, K.;Purchase, H.;Wybrow, M.;Goncu, C.</t>
  </si>
  <si>
    <t>37354163600;37329672500;37867777700;38490359600</t>
  </si>
  <si>
    <t>4658147;5290700</t>
  </si>
  <si>
    <t>Nocaj, A.;Brandes, U.</t>
  </si>
  <si>
    <t>1532128;636718;4015425;5613456;5290712</t>
  </si>
  <si>
    <t>Bezerianos, A.;Isenberg, P.</t>
  </si>
  <si>
    <t>37413699200;37591317800</t>
  </si>
  <si>
    <t>6065014;4015437</t>
  </si>
  <si>
    <t>Dork, M.;Riche, N.H.;Ramos, G.;Dumais, S.</t>
  </si>
  <si>
    <t>37590950400;37590950700;38030407700;37871035200</t>
  </si>
  <si>
    <t>5333443;5613456;4035752;4389006;4677370;4376146;4658131</t>
  </si>
  <si>
    <t>38019494400;37391623900;37406039100;37999118700;37279188600;37272637300</t>
  </si>
  <si>
    <t>4658136;5652931;5613426;5652530;885098;1532148;6065010;4376143;4658174;5613451;4658150;5290711;801851;1532122;485140;5613457;6065008;5613429;6065009;5290708</t>
  </si>
  <si>
    <t>Sedlmair, M.;Frank, A.;Munzner, T.;Butz, A.</t>
  </si>
  <si>
    <t>37590945600;38490124000;37349490300;37299644000</t>
  </si>
  <si>
    <t>4015417;1382904;6102443;4376154;5290695;5290690;801869;4658145;4658137;1532126;6327248;1249030;4035752</t>
  </si>
  <si>
    <t>Turkay, C.;Lundervold, A.;Lundervold, A.J.;Hauser, H.</t>
  </si>
  <si>
    <t>37567685600;37373564100;38489275800;37274158800</t>
  </si>
  <si>
    <t>Turkay, C.;Lundervold, A.;Lundervold, A.;Hauser, H.</t>
  </si>
  <si>
    <t>5290745;1532142;6102449;885086;346302;4658163;6065027;4376166;809866;1382891;1382892;5290704</t>
  </si>
  <si>
    <t>Wood, J.;Isenberg, P.;Isenberg, T.;Dykes, J.;Boukhelifa, N.;Slingsby, A.</t>
  </si>
  <si>
    <t>37399045100;37591317800;37297057400;37605079900;37325862800;37590960700</t>
  </si>
  <si>
    <t>5613436;6064986;6327283;6065018;6065017;6064988</t>
  </si>
  <si>
    <t>Pileggi, H.;Stolper, C.D.;Boyle, J.M.;Stasko, J.T.</t>
  </si>
  <si>
    <t>38488862800;38490190000;38490191800;37267736900</t>
  </si>
  <si>
    <t>Pileggi, H.;Stolper, C.D.;Boyle, J.M.;Stasko, J.</t>
  </si>
  <si>
    <t>5613452;4376130;636793;6064996;4376131;559229</t>
  </si>
  <si>
    <t>Afzal, S.;Maciejewski, R.;Yun Jang;Elmqvist, N.;Ebert, D.S.</t>
  </si>
  <si>
    <t>37601862300;37396008400;37557344300;37295438200;37282598900</t>
  </si>
  <si>
    <t>5652931;5613425;5613458;528686;663912;885694;1532131;1173144;4658149;5613457;5290722;885095</t>
  </si>
  <si>
    <t>Tominski, C.;Schumann, H.;Andrienko, G.;Andrienko, N.</t>
  </si>
  <si>
    <t>37283236000;37283240400;37283047100;37283047700</t>
  </si>
  <si>
    <t>5613442;6102455;5332593;480803;1382887;1532144;6102454</t>
  </si>
  <si>
    <t>38489729700;38489532000;38489722500;37320294300;38489316600</t>
  </si>
  <si>
    <t>4015499;6327282;5613460;485141;729570</t>
  </si>
  <si>
    <t>Block, F.;Horn, M.S.;Phillips, B.C.;Diamond, J.;Evans, E.M.;Chia Shen</t>
  </si>
  <si>
    <t>37884160900;38490270400;38490599200;38489620500;38490437100;38490180100</t>
  </si>
  <si>
    <t>963285;636718;5290695;4376146;1173153;4658128;1173148;4376134</t>
  </si>
  <si>
    <t>Walny, J.;Bongshin Lee;Johns, P.;Riche, N.H.;Carpendale, S.</t>
  </si>
  <si>
    <t>38016653500;37293389400;38489632600;37590950700;37285000100</t>
  </si>
  <si>
    <t>6327281;5290720;6065018;4376145;5613431</t>
  </si>
  <si>
    <t>MacEachren, A.M.;Roth, R.E.;O'Brien, J.;Li, B.;Swingley, D.;Gahegan, M.</t>
  </si>
  <si>
    <t>37374699000;38489149900;38490350000;38490350500;38489925400;38490482800</t>
  </si>
  <si>
    <t>235199;6065022;5290731</t>
  </si>
  <si>
    <t>38489887500;38468805500;37275869400</t>
  </si>
  <si>
    <t>4658129;6065027;1382890;1173145;398857;5332611;5613449;5290731;6065022;5613435</t>
  </si>
  <si>
    <t>Landge, A.G.;Levine, J.A.;Bhatele, A.;Isaacs, K.E.;Gamblin, T.;Schulz, M.;Langer, S.H.;Bremer, P.-T.;Pascucci, V.</t>
  </si>
  <si>
    <t>38490116900;37853884500;37572974300;38490580100;37892085700;37290317700;37297252300;37564112000;37284312600</t>
  </si>
  <si>
    <t>Landge, A.G.;Levine, J.A.;Bhatele, A.;Isaacs, K.E.;Gamblin, T.;Schulz, M.;Langer, S.;Bremer, P.-T.;Pascucci, V.</t>
  </si>
  <si>
    <t>5290721;1382906</t>
  </si>
  <si>
    <t>Trimm, D.;Rheingans, P.;desJardins, M.</t>
  </si>
  <si>
    <t>38490236900;37282292000;37552291200</t>
  </si>
  <si>
    <t>Thomas M�_hlbacher;Harald Piringer;Samuel Gratzl;Michael Sedlmair;Marc Streit</t>
  </si>
  <si>
    <t>1532140;4376150;5290770</t>
  </si>
  <si>
    <t>When and where is an idea dispersed? Social media, like Twitter, has been increasingly used for exchanging information, opinions and emotions about events that are happening across the world. Here we propose a novel visualization design, â€œWhisperâ€_x009d_,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</si>
  <si>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Nan Cao;Yu-Ru Lin;Xiaohua Sun;Lazer, D.;Shixia Liu;Huamin Qu</t>
  </si>
  <si>
    <t>37604309600;37598450200;38488930200;38489726300;37406039100;37272637300</t>
  </si>
  <si>
    <t>5290722;4015425;885098;4015427;4376143;5613451;4658146;6065026</t>
  </si>
  <si>
    <t>X</t>
  </si>
  <si>
    <t>Takle, J.;Silver, D.;Heitmann, K.</t>
  </si>
  <si>
    <t>Malik, A.;Maciejewski, R.;Elmqvist, N.;Yun Jang;Ebert, D.S.;Huang, W.</t>
  </si>
  <si>
    <t>1532148;6065010;5613426;801851;801851;4389006;4376146;5613429;6065009</t>
  </si>
  <si>
    <t>Kehrer, J.;Boubela, R.N.;Filzmoser, P.;Piringer, H.</t>
  </si>
  <si>
    <t>SenseMap: Supporting browser-based online sensemaking through analytic provenance</t>
  </si>
  <si>
    <t>10.1109/VAST.2016.7883515</t>
  </si>
  <si>
    <t>Sips, M.;Kothur, P.;Unger, A.;Hege, H.-C.;Dransch, D.</t>
  </si>
  <si>
    <t>http://dx.doi.org/10.1109/VAST.2016.7883515</t>
  </si>
  <si>
    <t>37827860500;38490165500;37628385900;37282272000;38490186800</t>
  </si>
  <si>
    <t>963273;528685</t>
  </si>
  <si>
    <t>Beecham, R.;Wood, J.;Bowerman, A.</t>
  </si>
  <si>
    <t>Piringer, H.;Buchetics, M.;Benedik, R.</t>
  </si>
  <si>
    <t>1173149;1532134;6102456;4376188;4376140;4376136;1382887;528685;4658139;4388994;4388998;4677353</t>
  </si>
  <si>
    <t>Sensemaking is described as the process in which people collect, organize and create representations of information, all centered around some problem they need to understand. People often get lost when solving complicated tasks using big datasets over long periods of exploration and analysis. They may forget what they have done, are unaware of where they are in the context of the overall task, and are unsure where to continue. In this paper, we introduce a tool, SenseMap, to address these issues in the context of browser-based online sensemaking. We conducted a semi-structured interview with nine participants to explore their behaviors in online sensemaking with existing browser functionality. A simplified sensemaking model based on Pirolli and Card's model is derived to better represent the behaviors we found: users iteratively collect information sources relevant to the task, curate them in a way that makes sense, and finally communicate their findings to others. SenseMap automatically captures provenance of user sensemaking actions and provides multi-linked views to visualize the collected information and enable users to curate and communicate their findings. To explore how SenseMap is used, we conducted a user study in a naturalistic work setting with five participants completing the same sensemaking task related to their daily work activities. All participants found the visual representation and interaction of the tool intuitive to use. Three of them engaged with the tool and produced successful outcomes. It helped them to organize information sources, to quickly find and navigate to the sources they wanted, and to effectively communicate their findings.</t>
  </si>
  <si>
    <t>Phong H. Nguyen;Kai Xu 0003;Andy Bardill;Betul Salman;Kate Herd;B. L. William Wong</t>
  </si>
  <si>
    <t>Phong H. Nguyen;Kai Xu;Andy Bardill;Betul Salman;Kate Herd;B.L. William Wong</t>
  </si>
  <si>
    <t>Middlesex University, London, UK;Middlesex University, London, UK;Middlesex University, London, UK;Middlesex University, London, UK;Middlesex University, London, UK;Middlesex University, London, UK</t>
  </si>
  <si>
    <t>10.1109/TVCG.2008.137;10.1109/TVCG.2015.2467611;10.1109/VAST.2008.4677365;10.1109/TVCG.2013.132;10.1109/VISUAL.2005.1532788;10.1109/TVCG.2013.124;10.1109/TVCG.2011.185</t>
  </si>
  <si>
    <t>PorosityAnalyzer: Visual Analysis and Evaluation of Segmentation Pipelines to Determine the Porosity in Fiber-Reinforced Polymers</t>
  </si>
  <si>
    <t>10.1109/VAST.2016.7883516</t>
  </si>
  <si>
    <t>http://dx.doi.org/10.1109/VAST.2016.7883516</t>
  </si>
  <si>
    <t>Ahmed, Z.;Weaver, C.</t>
  </si>
  <si>
    <t>4376144;1382904;5332629;4677357;6065026;346302;729568;4388999</t>
  </si>
  <si>
    <t>Visual Analytics is â€œthe science of analytical reasoning facilitated by visual interactive interfacesâ€_x009d_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</si>
  <si>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Crouser, R.J.;Chang, R.</t>
  </si>
  <si>
    <t>38229914800;37592409400</t>
  </si>
  <si>
    <t>5652398;6102461;5290745;5652910;5652484;5332584;5652885;5333564;5652392;5332586;6102451;5333023;5333020;5332628;6064956;6064959;6064936;5652443;5653598;6102447</t>
  </si>
  <si>
    <t>In this paper we present PorosityAnalyzer, a novel tool for detailed evaluation and visual analysis of pore segmentation pipelines to determine the porosity in fiber-reinforced polymers (FRPs). The presented tool consists of two modules: the computation module and the analysis module. The computation module enables a convenient setup and execution of distributed off-line-computations on industrial 3D X-ray computed tomography datasets. It allows the user to assemble individual segmentation pipelines in the form of single pipeline steps, and to specify the parameter ranges as well as the sampling of the parameter-space of each pipeline segment. The result of a single segmentation run consists of the input parameters, the calculated 3D binary-segmentation mask, the resulting porosity value, and other derived results (e.g., segmentation pipeline run-time). The analysis module presents the data at different levels of detail by drill-down filtering in order to determine accurate and robust segmentation pipelines. Overview visualizations allow to initially compare and evaluate the segmentation pipelines. With a scatter plot matrix (SPLOM), the segmentation pipelines are examined in more detail based on their input and output parameters. Individual segmentation-pipeline runs are selected in the SPLOM and visually examined and compared in 2D slice views and 3D renderings by using aggregated segmentation masks and statistical contour renderings. PorosityAnalyzer has been thoroughly evaluated with the help of twelve domain experts. Two case studies demonstrate the applicability of our proposed concepts and visualization techniques, and show that our tool helps domain experts to gain new insights and improve their workflow efficiency.</t>
  </si>
  <si>
    <t>Johannes Weissenböck;Artem Amirkhanov;M. Eduard Gröller;Johann Kastner;Christoph Heinzl</t>
  </si>
  <si>
    <t>Johannes Weissenböck;Artem Amirkhanov;Eduard Gröller;Johann Kastner;Christoph Heinzl</t>
  </si>
  <si>
    <t>University of Applied Sciences, Upper Austria, Wels, Austria;University of Applied Sciences, Upper Austria, Wels, Austria;TU Wien, Vienna, Austria;University of Applied Sciences, Upper Austria, Wels, Austria;University of Applied Sciences, Upper Austria, Wels, Austria</t>
  </si>
  <si>
    <t>10.1109/TVCG.2013.147;10.1109/TVCG.2008.153;10.1109/VISUAL.1993.398859;10.1109/TVCG.2012.200;10.1109/TVCG.2011.253;10.1109/TVCG.2014.2346321;10.1109/TVCG.2013.177;10.1109/TVCG.2011.248</t>
  </si>
  <si>
    <t>DropoutSeer: Visualizing learning patterns in Massive Open Online Courses for dropout reasoning and prediction</t>
  </si>
  <si>
    <t>10.1109/VAST.2016.7883517</t>
  </si>
  <si>
    <t>http://dx.doi.org/10.1109/VAST.2016.7883517</t>
  </si>
  <si>
    <t>4658127;4677362;1382887;4677358;4015437;4388992;5652880;6102449;4389006;6102438;5333878</t>
  </si>
  <si>
    <t>Calderon, N.A.;Riecke, B.E.;Fisher, B.</t>
  </si>
  <si>
    <t>Brown, E.T.;Jingjing Liu;Brodley, C.E.;Chang, R.</t>
  </si>
  <si>
    <t>Aiming at massive participation and open access education, Massive Open Online Courses (MOOCs) have attracted millions of learners over the past few years. However, the high dropout rate of learners is considered to be one of the most crucial factors that may hinder the development of MOOCs. To tackle this problem, statistical models have been developed to predict dropout behavior based on learner activity logs. Although predictive models can foresee the dropout behavior, it is still difficult for users to understand the reasons behind the predicted results and further design interventions to prevent dropout. In addition, with a better understanding of dropout, researchers in the area of predictive modeling in turn can improve the models. In this paper, we introduce DropoutSeer, a visual analytics system which not only helps instructors and education experts understand the reasons for dropout, but also allows researchers to identify crucial features which can further improve the performance of the models. Both the heterogeneous data extracted from three different kinds of learner activity logs (i.e., clickstream, forum posts and assignment records) and the predicted results are visualized in the proposed system. Case studies and expert interviews have been conducted to demonstrate the usefulness and effectiveness of DropoutSeer.</t>
  </si>
  <si>
    <t>Yuanzhe Chen;Qing Chen;Mingqian Zhao;Sebastien Boyer;Kalyan Veeramachaneni;Huamin Qu</t>
  </si>
  <si>
    <t>146402;6102449;4388999;5332584;6102448;4677352;5652443</t>
  </si>
  <si>
    <t>Hong Kong University of Science and Technology, China;Hong Kong University of Science and Technology, China;Hong Kong University of Science and Technology, China;Massachusetts Institute of Technology, United States of America;Massachusetts Institute of Technology, United States of America;Hong Kong University of Science and Technology, China</t>
  </si>
  <si>
    <t>10.1109/INFVIS.1999.801851;10.1109/TVCG.2015.2468151;10.1109/INFVIS.2000.885098;10.1109/VAST.2010.5652931;10.1109/TVCG.2010.129;10.1109/VAST.2012.6400557;10.1109/INFVIS.2001.963273;10.1109/TVCG.2013.221;10.1109/TVCG.2007.70515;10.1109/TVCG.2011.239</t>
  </si>
  <si>
    <t>Shape Grammar Extraction for Efficient Query-by-Sketch Pattern Matching in Long Time Series</t>
  </si>
  <si>
    <t>10.1109/VAST.2016.7883518</t>
  </si>
  <si>
    <t>http://dx.doi.org/10.1109/VAST.2016.7883518</t>
  </si>
  <si>
    <t>Kandel, S.;Paepcke, A.;Hellerstein, J.M.;Heer, J.</t>
  </si>
  <si>
    <t>38490119500;37282105600;38183421000;37550791300</t>
  </si>
  <si>
    <t>4658129;4677365;6102438;1532136;5652880;5333878;4389011;6102435</t>
  </si>
  <si>
    <t>Youn-ah Kang;Stasko, J.</t>
  </si>
  <si>
    <t>4677362;4035759;1382884;6102438;6400559;4389006;5333878</t>
  </si>
  <si>
    <t>Hao, M.;Marwah, M.;Mittelstadt, S.;Janetzko, H.;Keim, D.;Dayal, U.;Bash, C.;Felix, C.;Patel, C.;Hsu, M.;Chen, Y.</t>
  </si>
  <si>
    <t>Long time-series, involving thousands or even millions of time steps, are common in many application domains but remain very difficult to explore interactively. Often the analytical task in such data is to identify specific patterns, but this is a very complex and computationally difficult problem and so focusing the search in order to only identify interesting patterns is a common solution. We propose an efficient method for exploring user-sketched patterns, incorporating the domain expert's knowledge, in time series data through a shape grammar based approach. The shape grammar is extracted from the time series by considering the data as a combination of basic elementary shapes positioned across different amplitudes. We represent these basic shapes using a ratio value, perform binning on ratio values and apply a symbolic approximation. Our proposed method for pattern matching is amplitude-, scale- and translation-invariant and, since the pattern search and pattern constraint relaxation happen at the symbolic level, is very efficient permitting its use in a real-time/online system. We demonstrate the effectiveness of our method in a case study on stock market data although it is applicable to any numeric time series data.</t>
  </si>
  <si>
    <t>;;;;;;;;;;</t>
  </si>
  <si>
    <t>Hao, M.C.;Marwah, M.;Mittelstadt, S.;Janetzko, H.;Keim, D.A.;Dayal, U.;Bash, C.;Felix, C.;Patel, C.;Hsu, M.;Chen, Y.</t>
  </si>
  <si>
    <t>Prithiviraj K. Muthumanickam;Katerina Vrotsou;Matthew D. Cooper;Jimmy Johansson</t>
  </si>
  <si>
    <t>Prithiviraj K. Muthumanickam;Katerina Vrotsou;Matthew Cooper;Jimmy Johansson</t>
  </si>
  <si>
    <t>Link&amp;#x00F6;ping University, Sweden;Link&amp;#x00F6;ping University, Sweden;Link&amp;#x00F6;ping University, Sweden;Link&amp;#x00F6;ping University, Sweden</t>
  </si>
  <si>
    <t>10.1109/TVCG.2008.184;10.1109/VAST.2010.5652530;10.1109/TVCG.2009.200;10.1109/TVCG.2010.137</t>
  </si>
  <si>
    <t>The semantics of sketch: Flexibility in visual query systems for time series data</t>
  </si>
  <si>
    <t>10.1109/VAST.2016.7883519</t>
  </si>
  <si>
    <t>http://dx.doi.org/10.1109/VAST.2016.7883519</t>
  </si>
  <si>
    <t>Harrison, L.;Chang, R.;Aidong Lu</t>
  </si>
  <si>
    <t>Bowman, I.;Joshi, S.H.;Greer, V.;Van Horn, J.D.</t>
  </si>
  <si>
    <t>Portes dos Santos Amorim, E.;Brazil, E.V.;Daniels, J.;Joia, P.;Nonato, L.G.;Sousa, M.C.</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</si>
  <si>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“invariants”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</si>
  <si>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University of Washington, United States of America;University of Wisconsin-Madison, United States of America</t>
  </si>
  <si>
    <t>10.1109/TVCG.2014.2346455;10.1109/INFVIS.2005.1532144;10.1109/TVCG.2013.191;10.1109/TVCG.2012.204;10.1109/TVCG.2014.2346452;10.1109/TVCG.2010.162</t>
  </si>
  <si>
    <t>1532138;4658163;5613467;5290725;6065024;809866;4015444;885086;1382895;4658123;1173159;1249015;146402;567787;5613498;4376155;5613468;1173161</t>
  </si>
  <si>
    <t>Visual analysis and coding of data-rich user behavior</t>
  </si>
  <si>
    <t>10.1109/VAST.2016.7883520</t>
  </si>
  <si>
    <t>http://dx.doi.org/10.1109/VAST.2016.7883520</t>
  </si>
  <si>
    <t>Hua Guo;Tran, D.;Laidlaw, D.H.</t>
  </si>
  <si>
    <t>Information retrieval failure analysis: Visual analytics as a support for interactive &amp;#x201C;what-if&amp;#x201D; investigation</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</si>
  <si>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â€œwhat-ifâ€_x009d_ analysis and visually explore what can happen if you adopt a given solution before having to actually implement it.</t>
  </si>
  <si>
    <t>Angelini, M.;Ferro, N.;Granato, G.;Santucci, G.;Silvello, G.</t>
  </si>
  <si>
    <t>Paul Klemm;Steffen Oeltze-Jafra;Kai Lawonn;Katrin Hegenscheid;Henry V̦lzke;Bernhard Preim</t>
  </si>
  <si>
    <t>Hoferlin, B.;Netzel, R.;Hoferlin, M.;Weiskopf, D.;Heidemann, G.</t>
  </si>
  <si>
    <t>5652398;6327290</t>
  </si>
  <si>
    <t>1249015;1532142;1382892;6065024;1382895;729568;4035766;5290704;5652885;5332628;6064985</t>
  </si>
  <si>
    <t>Wenwen Dou;Xiaoyu Wang;Skau, D.;Ribarsky, W.;Zhou, M.X.</t>
  </si>
  <si>
    <t>6102456;5652931;6065010;6065008;6102461;6064996;5613452;4389006;885098</t>
  </si>
  <si>
    <t>Vadlapudi, R.;Siahbani, M.;Sarkar, A.;Dill, J.</t>
  </si>
  <si>
    <t>Michael Beham;Wolfgang Herzner;M. Eduard Gr̦ller;Johannes Kehrer</t>
  </si>
  <si>
    <t>Behrisch, M.;Davey, J.;Schreck, T.;Keim, D.;Kohlhammer, J.</t>
  </si>
  <si>
    <t>Behrisch, M.;Davey, J.;Schreck, T.;Keim, D.A.;Kohlhammer, J.</t>
  </si>
  <si>
    <t>Gramazio, C.;Chang, R.</t>
  </si>
  <si>
    <t>Ottley, A.;Crouser, R.J.;Ziemkiewicz, C.;Chang, R.</t>
  </si>
  <si>
    <t>Alsallakh, B.;Aigner, W.;Miksch, S.;Groller, M.E.</t>
  </si>
  <si>
    <t>38242873200;37267339500;37282584500;37282552200</t>
  </si>
  <si>
    <t>Alsallakh, B.;Aigner, W.;Miksch, S.;Groller, E.</t>
  </si>
  <si>
    <t>1532139;1532819;1173156;1249016;1173157</t>
  </si>
  <si>
    <t>Jankowska, M.;Keselj, V.;Milios, E.</t>
  </si>
  <si>
    <t>5333443;4389004</t>
  </si>
  <si>
    <t>Hossain, M.S.;Ojili, P.K.R.;Grimm, C.;Muller, R.;Watson, L.T.;Ramakrishnan, N.</t>
  </si>
  <si>
    <t>38242697300;38488976900;37323515100;38489368300;37273212300;37273204200</t>
  </si>
  <si>
    <t>5332584;4388999;4677350;729568;5332629</t>
  </si>
  <si>
    <t>Endert, A.;Fiaux, P.;North, C.</t>
  </si>
  <si>
    <t>37681759500;38489240900;37419565900</t>
  </si>
  <si>
    <t>Steffen Koch;Markus John;Michael W̦rner 0001;Andreas M�_ller 0012;Thomas Ertl</t>
  </si>
  <si>
    <t>528686;6400559;6102449;6102438;4389006</t>
  </si>
  <si>
    <t>Mistelbauer, G.;Bouzari, H.;Schernthaner, R.;Baclija, I.;Kochl, A.;Bruckner, S.;Sramek, M.;Groller, M.E.</t>
  </si>
  <si>
    <t>Mistelbauer, G.;Bouzari, H.;Schernthaner, R.;Baclija, I.;Kochl, A.;Bruckner, S.;Sramek, M.;Groller, E.</t>
  </si>
  <si>
    <t>1250400;4015449;4376185;4376159;1183754;1532856;6064990;1532818;4015460</t>
  </si>
  <si>
    <t>Liang Gou;Xiaolong Zhang;Airong Luo;Anderson, P.F.</t>
  </si>
  <si>
    <t>801853;6065012;1532126;1532788;4376154;4015418;5333020;6102440;4035752;1382890;4658129;4015424;4015417;4677365;4015425;4389006</t>
  </si>
  <si>
    <t>Junghoon Chae;Thom, D.;Bosch, H.;Yun Jang;Maciejewski, R.;Ebert, D.S.;Ertl, T.</t>
  </si>
  <si>
    <t>6102456;6102461;4658131</t>
  </si>
  <si>
    <t>Tatu, A.;Maas, F.;Farber, I.;Bertini, E.;Schreck, T.;Seidl, T.;Keim, D.</t>
  </si>
  <si>
    <t>Tatu, A.;Maas, F.;Farber, I.;Bertini, E.;Schreck, T.;Seidl, T.;Keim, D.A.</t>
  </si>
  <si>
    <t>1532142;5613440;5652392;1382893;5652450;6102439;6065026;1382892;5290704</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</si>
  <si>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</si>
  <si>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Butler, P.;Chakraborty, P.;Ramakrishan, N.</t>
  </si>
  <si>
    <t>Olislagers, F.;Worring, M.</t>
  </si>
  <si>
    <t>Pohl, M.;Smuc, M.;Mayr, E.</t>
  </si>
  <si>
    <t>37560816000;37646291700;37624360500</t>
  </si>
  <si>
    <t>4658127;4376144;5653598;4677361;6102445</t>
  </si>
  <si>
    <t>Chamberland, C.;Vachon, F.;Gagnon, J.;Banbury, S.;Tremblay, S.</t>
  </si>
  <si>
    <t>We introduce translational science, a research discipline from medicine, and show how adapting it for visual analytics can improve the design and evaluation of visual analytics interfaces. Translational science â€œtranslatesâ€_x009d_ knowledge from the lab to the real-world to â€œground truthâ€_x009d_ by incorporating a 3 phase program of research. Phase 1 &amp; 2 include protocols for research in the lab and field and Phase 3 focuses on dissemination and documentation. We discuss these phases and how they may be applied to visual analytics research.</t>
  </si>
  <si>
    <t>Green, T.M.;Fisher, B.</t>
  </si>
  <si>
    <t>Kachkaev, A.;Wood, J.</t>
  </si>
  <si>
    <t>Leishi Zhang;Stoffel, A.;Behrisch, M.;Mittelstadt, S.;Schreck, T.;Pompl, R.;Weber, S.;Last, H.;Keim, D.</t>
  </si>
  <si>
    <t>Leishi Zhang;Stoffel, A.;Behrisch, M.;Mittelstadt, S.;Schreck, T.;Pompl, R.;Weber, S.;Last, H.;Keim, D.A.</t>
  </si>
  <si>
    <t>1382904;1382905;885098</t>
  </si>
  <si>
    <t>Andrienko, G.;Andrienko, N.;Burch, M.;Weiskopf, D.</t>
  </si>
  <si>
    <t>37283047100;37283047700;37586953400;37268045000</t>
  </si>
  <si>
    <t>5332593;6065011;1532150</t>
  </si>
  <si>
    <t>von Landesberger, T.;Bremm, S.;Andrienko, N.;Andrienko, G.;Tekusova, M.</t>
  </si>
  <si>
    <t>6065005;5290698;5290701;885098;5613440;5652530;1382887;1532152;963281;4658149;5290704</t>
  </si>
  <si>
    <t>Heimerl, F.;Koch, S.;Bosch, H.;Ertl, T.</t>
  </si>
  <si>
    <t>38490630000;37593029700;37683989300;37268023800</t>
  </si>
  <si>
    <t>6102449;6102453;4389006;6400492</t>
  </si>
  <si>
    <t>Jishang Wei;Zeqian Shen;Sundaresan, N.;Kwan-Liu Ma</t>
  </si>
  <si>
    <t>1532145;4389008;6102462;175815</t>
  </si>
  <si>
    <t>Schreck, T.;Sharalieva, L.;Wanner, F.;Bernard, J.;Ruppert, T.;von Landesberger, T.;Bustos, B.</t>
  </si>
  <si>
    <t>Anand, A.;Wilkinson, L.;Tuan Nhon Dang</t>
  </si>
  <si>
    <t>5652433;6065027;6102437;4389006;5652392;1532142;5332629</t>
  </si>
  <si>
    <t>Investigating user behavior involves abstracting low-level events to higher-level concepts. This requires an analyst to study individual user activities, assign codes which categorize behavior, and develop a consistent classification scheme. To better support this reasoning process of an analyst, we suggest a novel visual analytics approach which integrates rich user data including transcripts, videos, eye movement data, and interaction logs. Word-sized visualizations embedded into a tabular representation provide a space-efficient and detailed overview of user activities. An analyst assigns codes, grouped into code categories, as part of an interactive process. Filtering and searching helps to select specific activities and focus an analysis. A comparison visualization summarizes results of coding and reveals relationships between codes. Editing features support efficient assignment, refinement, and aggregation of codes. We demonstrate the practical applicability and usefulness of our approach in a case study and describe expert feedback.</t>
  </si>
  <si>
    <t>Tanja Blascheck;Fabian Beck 0001;Sebastian Baltes;Thomas Ertl;Daniel Weiskopf</t>
  </si>
  <si>
    <t>Tanja Blascheck;Fabian Beck;Sebastian Baltes;Thomas Ertl;Daniel Weiskopf</t>
  </si>
  <si>
    <t>University of Stuttgart, Germany;University of Stuttgart, Germany;University of Trier, Germany;University of Stuttgart, Germany;University of Stuttgart, Germany</t>
  </si>
  <si>
    <t>10.1109/VAST.2009.5333443;10.1109/VISUAL.1990.146402;10.1109/TVCG.2011.226;10.1109/TVCG.2014.2346452;10.1109/TVCG.2008.137;10.1109/TVCG.2015.2467611;10.1109/TVCG.2015.2467757;10.1109/TVCG.2010.194;10.1109/TVCG.2014.2346677;10.1109/VAST.2008.4677365;10.1109/TVCG.2013.124</t>
  </si>
  <si>
    <t>2017</t>
  </si>
  <si>
    <t>Goodwin, S.;Dykes, J.</t>
  </si>
  <si>
    <t>Itoh, M.;Toyoda, M.;Kamijo, T.;Kitsuregawa, M.</t>
  </si>
  <si>
    <t>What Would a Graph Look Like in this Layout? A Machine Learning Approach to Large Graph Visualization</t>
  </si>
  <si>
    <t>10.1109/TVCG.2017.2743858</t>
  </si>
  <si>
    <t>http://dx.doi.org/10.1109/TVCG.2017.2743858</t>
  </si>
  <si>
    <t>Cottam, J.A.;Lumsdaine, A.;Weaver, C.</t>
  </si>
  <si>
    <t>5290717;1382896;4376146;4658146;885092</t>
  </si>
  <si>
    <t>Kuhne, L.;Giesen, J.;Zhiyuan Zhang;Sungsoo Ha;Mueller, K.</t>
  </si>
  <si>
    <t>38489403700;37325999500;38025124400;38021621900;37273119700</t>
  </si>
  <si>
    <t>478</t>
  </si>
  <si>
    <t>488</t>
  </si>
  <si>
    <t>5290739;4658198;4376150;6327215;1250362</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</si>
  <si>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</si>
  <si>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Oh-Hyun Kwon;Tarik Crnovrsanin;Kwan-Liu Ma</t>
  </si>
  <si>
    <t>10.1109/TVCG.2016.2598467;10.1109/TVCG.2007.70580;10.1109/TVCG.2015.2467451;10.1109/INFVIS.2002.1173159;10.1109/TVCG.2008.158;10.1109/TVCG.2008.155;10.1109/TVCG.2016.2598867</t>
  </si>
  <si>
    <t>Graph visualization,graph layout,aesthetics,machine learning,graph kernel,graphlet</t>
  </si>
  <si>
    <t>Kaehler, R.;Hahn, O.;Abel, T.</t>
  </si>
  <si>
    <t>37550810200;38489890700;37955451000</t>
  </si>
  <si>
    <t>5613495;1250390;1372176;4015486;1250404;6064976;5290736;964512;1250404</t>
  </si>
  <si>
    <t>MyBrush: Brushing and Linking with Personal Agency</t>
  </si>
  <si>
    <t>10.1109/TVCG.2017.2743859</t>
  </si>
  <si>
    <t>http://dx.doi.org/10.1109/TVCG.2017.2743859</t>
  </si>
  <si>
    <t>Solteszova, V.;Turkay, C.;Price, M.C.;Viola, I.</t>
  </si>
  <si>
    <t>38489116100;37567685600;38489546000;37282726800</t>
  </si>
  <si>
    <t>Unger, A.;Schulte, S.;Klemann, V.;Dransch, D.</t>
  </si>
  <si>
    <t>37628385900;38489773300;38490271000;38490186800</t>
  </si>
  <si>
    <t>5613482;5652895;6064952;4658193;6064950;5613487;5613486;5613488;398859;5613483;4658178</t>
  </si>
  <si>
    <t>605</t>
  </si>
  <si>
    <t>615</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</si>
  <si>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</si>
  <si>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Philipp Koytek;Charles Perin;Jo Vermeulen;Elisabeth André;Sheelagh Carpendale</t>
  </si>
  <si>
    <t>University of CalgaryAugsburg University;City, University of LondonUniversity of Calgary;University of Calgary;Augsburg University;University of Calgary</t>
  </si>
  <si>
    <t>10.1109/TVCG.2011.185;10.1109/VISUAL.1991.175794;10.1109/INFVIS.2003.1249024;10.1109/TVCG.2011.201;10.1109/TVCG.2007.70521;10.1109/VAST.2009.5333443;10.1109/TVCG.2008.153;10.1109/INFVIS.2004.64;10.1109/INFVIS.1999.801858;10.1109/TVCG.2014.2346260;10.1109/VISUAL.2000.885739;10.1109/INFVIS.2002.1173157;10.1109/VAST.2007.4389011;10.1109/TVCG.2006.147;10.1109/TVCG.2008.116;10.1109/TVCG.2013.154;10.1109/TVCG.2010.138;10.1109/VISUAL.1995.485139;10.1109/TVCG.2011.183;10.1109/TVCG.2009.162;10.1109/VISUAL.1994.346302;10.1109/INFVIS.2004.12;10.1109/VISUAL.1996.567800</t>
  </si>
  <si>
    <t>Brushing,linking,personal agency,coordinated multiple views,interaction,design space,information visualization</t>
  </si>
  <si>
    <t>Fout, N.;Kwan-Liu Ma</t>
  </si>
  <si>
    <t>Imagining Replications: Graphical Prediction &amp; Discrete Visualizations Improve Recall &amp; Estimation of Effect Uncertainty</t>
  </si>
  <si>
    <t>37945247900;37275869400</t>
  </si>
  <si>
    <t>10.1109/TVCG.2017.2743898</t>
  </si>
  <si>
    <t>568138;4015488;346332</t>
  </si>
  <si>
    <t>Reich, W.;Scheuermann, G.</t>
  </si>
  <si>
    <t>38489040200;37282574800</t>
  </si>
  <si>
    <t>Ushizima, D.;Morozov, D.;Weber, G.H.;Bianchi, A.G.C.;Sethian, J.A.;Bethel, E.W.</t>
  </si>
  <si>
    <t>37393897000;38488906200;37411444100;38490099700;38345723900;38198872100</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</si>
  <si>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nai���̻ve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�����best������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</si>
  <si>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5613501;4376171;1532795</t>
  </si>
  <si>
    <t>Gasteiger, R.;Lehmann, D.J.;van Pelt, R.;Janiga, G.;Beuing, O.;Vilanova, A.;Theisel, H.;Preim, B.</t>
  </si>
  <si>
    <t>38017015100;37601992200;37390973400;37833255000;38017002900;37282551500;37266875400;37424645300</t>
  </si>
  <si>
    <t>6064980;6064968;6064983;5290742;5613474;5613472</t>
  </si>
  <si>
    <t>Lathen, G.;Lindholm, S.;Lenz, R.;Persson, A.;Borga, M.</t>
  </si>
  <si>
    <t>38187724100;37591265100;37270605100;37604521200;37294429200</t>
  </si>
  <si>
    <t>1250414;5290764;964516;568112;4658153;5613470;4658181</t>
  </si>
  <si>
    <t>Bock, A.;Sunden, E.;Bingchen Liu;Wunsche, B.;Ropinski, T.</t>
  </si>
  <si>
    <t>38489536800;38243026500;38489425700;37571592800;37295281400</t>
  </si>
  <si>
    <t>745310;1372224;6064943;4015501</t>
  </si>
  <si>
    <t>Gyulassy, A.;Bremer, P.;Pascucci, V.</t>
  </si>
  <si>
    <t>37870001700;37564112000;37284312600</t>
  </si>
  <si>
    <t>Gyulassy, A.;Bremer, P.-T.;Pascucci, V.</t>
  </si>
  <si>
    <t>6064972;4658183;4376171;6064945;1532839;4015464</t>
  </si>
  <si>
    <t>Gurijala, K.C.;Lei Wang;Kaufman, A.</t>
  </si>
  <si>
    <t>38490235700;38240962400;37268052800</t>
  </si>
  <si>
    <t>6064960;1532817</t>
  </si>
  <si>
    <t>Obermaier, H.;Joy, K.I.</t>
  </si>
  <si>
    <t>38228357000;37267811400</t>
  </si>
  <si>
    <t>4658155;5613472;6064961;4015499;4658156;235211;4376175;1372188;5290738;5613473;5290737;4376174</t>
  </si>
  <si>
    <t>Patrick K̦thur;Mike Sips;Henryk Dobslaw;Doris Dransch</t>
  </si>
  <si>
    <t>Jian Chen;Haipeng Cai;Auchus, A.P.;Laidlaw, D.H.</t>
  </si>
  <si>
    <t>38489588600;38490505100;38489087400;37275712600</t>
  </si>
  <si>
    <t>5290732;885694;1250414;5290695;5290742;4015473</t>
  </si>
  <si>
    <t>37593898200;37390025000;37591317800;37297057400</t>
  </si>
  <si>
    <t>5613504;6327228;4658123</t>
  </si>
  <si>
    <t>Nelson, B.;Liu, E.;Kirby, R.M.;Haimes, R.</t>
  </si>
  <si>
    <t>37557887400;38490364600;37275716100;37282898700</t>
  </si>
  <si>
    <t>1532776;175837;1372224;4015486;6064943</t>
  </si>
  <si>
    <t>Hoferlin, M.;Kurzhals, K.;Hoferlin, B.;Heidemann, G.;Weiskopf, D.</t>
  </si>
  <si>
    <t>37680797500;38489885500;37571601300;37266102100;37268045000</t>
  </si>
  <si>
    <t>4376200;4376141;4658146;4376146;4015469</t>
  </si>
  <si>
    <t>Bowen Yu;Harish Doraiswamy;Xi Chen;Emily R. Miraldi;Mario Luis Arrieta-Ortiz;Christoph Hafemeister;Aviv Madar;Richard Bonneau;Cl��udio T. Silva</t>
  </si>
  <si>
    <t>Livingston, M.A.;Decker, J.W.;Zhuming Ai</t>
  </si>
  <si>
    <t>37300434300;37681593700;37330342700</t>
  </si>
  <si>
    <t>6064969;5290732;745292;146387;4376150;146386;175795;745294;1250362</t>
  </si>
  <si>
    <t>4376198;5613493;1532807;5332611</t>
  </si>
  <si>
    <t>Maria Luj��n Ganuza;Gabriela Ferracutti;Maria Florencia Gargiulo;Silvia Mabel Castro;Ernesto A. Bjerg;M. Eduard Gr̦ller;Kresimir Matkovic</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</si>
  <si>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 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</si>
  <si>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Tierny, J.;Pascucci, V.</t>
  </si>
  <si>
    <t>37298870300;37284312600</t>
  </si>
  <si>
    <t>4658183;5290727;1372235;6064947</t>
  </si>
  <si>
    <t>Cheuk Yiu Ip;Varshney, A.;JaJa, J.</t>
  </si>
  <si>
    <t>37586231900;37282560200;37276261200</t>
  </si>
  <si>
    <t>5613460;5290763;809932;1532795;1250370;5613476;4658153;6064952;6064956;4015448;6064936;4376207;5290751;4015460</t>
  </si>
  <si>
    <t>http://dx.doi.org/10.1109/TVCG.2017.2743898</t>
  </si>
  <si>
    <t>Jonsson, D.;Kronander, J.;Ropinski, T.;Ynnerman, A.</t>
  </si>
  <si>
    <t>38228659100;38230927900;37295281400;37284192000</t>
  </si>
  <si>
    <t>446</t>
  </si>
  <si>
    <t>456</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</si>
  <si>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â€œDisguiseâ€_x009d_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</si>
  <si>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Ahmed, N.;Ziyi Zheng;Mueller, K.</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</si>
  <si>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</si>
  <si>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38021380500;37599599100;37273119700</t>
  </si>
  <si>
    <t>Jessica Hullman;Matthew Kay;Yea-Seul Kim;Samana Shrestha</t>
  </si>
  <si>
    <t>University of Washington;University of Michigan;University of Washington;Vassar College</t>
  </si>
  <si>
    <t>5290740;6064959;5290762;1532781;6327217;4658198;5290739</t>
  </si>
  <si>
    <t>Graphical prediction,interactive uncertainty visualization,replication crisis,probability distribution</t>
  </si>
  <si>
    <t>Assessing the Graphical Perception of Time and Speed on 2D+Time Trajectories</t>
  </si>
  <si>
    <t>10.1109/TVCG.2017.2743918</t>
  </si>
  <si>
    <t>http://dx.doi.org/10.1109/TVCG.2017.2743918</t>
  </si>
  <si>
    <t>Westerteiger, R.;Compton, T.;Bernadin, T.;Cowgill, E.;Gwinner, K.;Hamann, B.;Gerndt, A.;Hagen, H.</t>
  </si>
  <si>
    <t>38108787400;38489370900;;38489757700;37846171100;37282068700;37938209100;37282578800</t>
  </si>
  <si>
    <t>698</t>
  </si>
  <si>
    <t>708</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</si>
  <si>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</si>
  <si>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Hadwiger, M.;Beyer, J.;Won-Ki Jeong;Pfister, H.</t>
  </si>
  <si>
    <t>Charles Perin;Tiffany Wun;Richard Pusch;Sheelagh Carpendale</t>
  </si>
  <si>
    <t>37394809600;37409575800;38490133400;37275698100</t>
  </si>
  <si>
    <t>City, University of LondonUniversity of Calgary;University of Calgary;University of Calgary;University of Calgary</t>
  </si>
  <si>
    <t>10.1109/INFVIS.2005.1532136;10.1109/TVCG.2015.2467851;10.1109/TVCG.2012.251;10.1109/TVCG.2012.220;10.1109/TVCG.2014.2346424;10.1109/TVCG.2014.2346298;10.1109/TVCG.2016.2598594;10.1109/TVCG.2015.2467752;10.1109/TVCG.2015.2467951;10.1109/TVCG.2015.2467951;10.1109/VAST.2008.4677355;10.1109/TVCG.2014.2346250;10.1109/TVCG.2012.229;10.1109/TVCG.2009.126;10.1109/TVCG.2007.70594;10.1109/TVCG.2014.2346279;10.1109/TVCG.2013.192;10.1109/TVCG.2009.114;10.1109/TVCG.2014.2346320;10.1109/TVCG.2012.265</t>
  </si>
  <si>
    <t>809908;1250384;5290773</t>
  </si>
  <si>
    <t>Trajectory visualization,visual encoding,movement data,graphical perception,quantitative evaluation</t>
  </si>
  <si>
    <t>Data Visualization Saliency Model: A Tool for Evaluating Abstract Data Visualizations</t>
  </si>
  <si>
    <t>10.1109/TVCG.2017.2743939</t>
  </si>
  <si>
    <t>http://dx.doi.org/10.1109/TVCG.2017.2743939</t>
  </si>
  <si>
    <t>38490442700;38490274900;38489766500;38490597900</t>
  </si>
  <si>
    <t>1532804;1532843;4376203</t>
  </si>
  <si>
    <t>Schindler, B.;Fuchs, R.;Barp, S.;Waser, J.;Pobitzer, A.;Carnecky, R.;Matkovic, K.;Peikert, R.</t>
  </si>
  <si>
    <t>38102461400;38099765400;38489598400;38111592300;38233238000;38233238600;;37282541100</t>
  </si>
  <si>
    <t>563</t>
  </si>
  <si>
    <t>573</t>
  </si>
  <si>
    <t>4376175;5613487;4376174;5613496;1532813</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</si>
  <si>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</si>
  <si>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Laura E. Matzen;Michael J. Haass;Kristin Divis;Zhiyuan Wang;Andrew T. Wilson</t>
  </si>
  <si>
    <t>Laura E. Matzen;Michael J. Haass;Kristin M. Divis;Zhiyuan Wang;Andrew T. Wilson</t>
  </si>
  <si>
    <t>Sandia National Laboratories;Sandia National Laboratories;Sandia National Laboratories;University of Illinois, Urbana-Champaign;Sandia National Laboratories</t>
  </si>
  <si>
    <t>Visual saliency,evaluation,eye tracking</t>
  </si>
  <si>
    <t>Bubble Treemaps for Uncertainty Visualization</t>
  </si>
  <si>
    <t>10.1109/TVCG.2017.2743959</t>
  </si>
  <si>
    <t>http://dx.doi.org/10.1109/TVCG.2017.2743959</t>
  </si>
  <si>
    <t>Rieck, B.;Mara, H.;Leitte, H.</t>
  </si>
  <si>
    <t>38489062800;37298496400;38488927600</t>
  </si>
  <si>
    <t>146373;1532839;4376169;1183774</t>
  </si>
  <si>
    <t>Schlegel, S.;Korn, N.;Scheuermann, G.</t>
  </si>
  <si>
    <t>38490141400;38489846500;37282574800</t>
  </si>
  <si>
    <t>4376197;6064958;1532807</t>
  </si>
  <si>
    <t>Hollt, T.;Freiler, W.;Gschwantner, F.;Doleisch, H.;Heinemann, G.;Hadwiger, M.</t>
  </si>
  <si>
    <t>37846851700;38017008700;37846849900;37546620400;37846848900;37394809600</t>
  </si>
  <si>
    <t>5290734;4015467;1532802;1250400</t>
  </si>
  <si>
    <t>719</t>
  </si>
  <si>
    <t>Ribicic, H.;Waser, J.;Gurbat, R.;Sadransky, B.;Groller, M.E.</t>
  </si>
  <si>
    <t>38229386600;38111592300;38489417000;38490409700;37282552200</t>
  </si>
  <si>
    <t>Ribicic, H.;Waser, J.;Gurbat, R.;Sadransky, B.;Groller, E.</t>
  </si>
  <si>
    <t>5613487;6064950;5613487;5613503;6102457</t>
  </si>
  <si>
    <t>Yubo Tao;Hai Lin;Feng Dong;Chao Wang;Clapworthy, G.;Hujun Bao</t>
  </si>
  <si>
    <t>4015471;6064959;1372208;1532834;1532833;1250395;1183785</t>
  </si>
  <si>
    <t>Barakat, S.S.;Rutten, M.;Tricoche, X.</t>
  </si>
  <si>
    <t>38328697800;37437412100;37282575100</t>
  </si>
  <si>
    <t>4376165;4376168;4015447;4376167;4658163;4376167;4658174;485139;5290756;4658184</t>
  </si>
  <si>
    <t>Treib, M.;Burger, K.;Reichl, F.;Meneveau, C.;Szalay, A.;Westermann, R.</t>
  </si>
  <si>
    <t>38490343400;37587634700;38490078000;37591319300;37294404700;37444424000</t>
  </si>
  <si>
    <t>1183757;964541_06;4015488;1532808;1250384;964531;1372217;1250385</t>
  </si>
  <si>
    <t>Meyer, J.;Bethel, E.W.;Horsman, J.L.;Hubbard, S.S.;Krishnan, H.;Romosan, A.;Keating, E.H.;Monroe, L.;Strelitz, R.;Moore, P.;Taylor, G.;Torkian, B.;Johnson, T.C.;Gorton, I.</t>
  </si>
  <si>
    <t>38490041400;38198872100;37937460100;37975586200;38489112000;37442417700;37860980800;37930840900;38488975000;38489021100;38489471300;38490632600;38488916700;37270267800</t>
  </si>
  <si>
    <t>Engel, D.;Greff, K.;Garth, C.;Bein, K.;Wexler, A.;Hamann, B.;Hagen, H.</t>
  </si>
  <si>
    <t>38489527100;38489177000;37282573700;38490554500;38227083700;37282068700;37282578800</t>
  </si>
  <si>
    <t>1382894;1382895;1532138;4658163;885734;1249015;5613487;1532850;1173157;4658123</t>
  </si>
  <si>
    <t>Wenger, S.;Ament, M.;Guthe, S.;Lorenz, D.;Tillmann, A.;Weiskopf, D.;Magnor, M.</t>
  </si>
  <si>
    <t>37409205100;37393968500;37728224400;37410118300;38489508600;37268045000;37273816400</t>
  </si>
  <si>
    <t>1532803;1372183;346331</t>
  </si>
  <si>
    <t>Grottel, S.;Beck, P.;Muller, C.;Reina, G.;Roth, J.;Trebin, H.-R.;Ertl, T.</t>
  </si>
  <si>
    <t>37590934100;38489110000;37665809300;37287276500;38489822300;38490641500;37268023800</t>
  </si>
  <si>
    <t>4015464;1532781;809886</t>
  </si>
  <si>
    <t>Schroder, S.;Peterson, J.A.;Obermaier, H.;Kellogg, L.H.;Joy, K.I.;Hagen, H.</t>
  </si>
  <si>
    <t>38489665700;38488843200;38228357000;38489193200;37267811400;37282578800</t>
  </si>
  <si>
    <t>Frey, S.;Sadlo, F.;Ertl, T.</t>
  </si>
  <si>
    <t>37553894500;37282541900;37268023800</t>
  </si>
  <si>
    <t>4658178;4015451;4015447;5613467;5613484;5613487;5290745;4658174;5613443;5290749;6064968;5290751</t>
  </si>
  <si>
    <t>728</t>
  </si>
  <si>
    <t>Duke, D.;Carr, H.;Knoll, A.;Schunck, N.;Hai Ah Nam;Staszczak, A.</t>
  </si>
  <si>
    <t>37282576200;37282624500;37692671900;38489803900;37410378500;38489287300</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</si>
  <si>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S&amp;amp;P 500 index, and the US consumer expenditure survey.</t>
  </si>
  <si>
    <t>Jochen Görtler;Christoph Schulz;Daniel Weiskopf;Oliver Deussen</t>
  </si>
  <si>
    <t>University of Konstanz;VISUSUniversity of Stuttgart;VISUSUniversity of Stuttgart;University of Konstanz</t>
  </si>
  <si>
    <t>10.1109/TVCG.2012.220;10.1109/TVCG.2009.122;10.1109/VAST.2009.5332611;10.1109/TVCG.2014.2346298;10.1109/TVCG.2015.2467752;10.1109/VISUAL.1991.175815;10.1109/TVCG.2013.180;10.1109/TVCG.2012.279;10.1109/TVCG.2010.210;10.1109/TVCG.2016.2598919;10.1109/TVCG.2015.2467992;10.1109/TVCG.2013.232</t>
  </si>
  <si>
    <t>Uncertainty visualization,hierarchy visualization,treemaps,tree layout,circle packing,contours</t>
  </si>
  <si>
    <t>Structuring Visualization Mock-Ups at the Graphical Level by Dividing the Display Space</t>
  </si>
  <si>
    <t>10.1109/TVCG.2017.2743998</t>
  </si>
  <si>
    <t>http://dx.doi.org/10.1109/TVCG.2017.2743998</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</si>
  <si>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(â€œwhat you see is what you pickâ€_x009d_)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</si>
  <si>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Wiebel, A.;Vos, F.M.;Foerster, D.;Hege, H.-C.</t>
  </si>
  <si>
    <t>37565763400;37271678400;38489178700;37282272000</t>
  </si>
  <si>
    <t>6327229;745337;1250384;4376185;1532833;5290766</t>
  </si>
  <si>
    <t>424</t>
  </si>
  <si>
    <t>434</t>
  </si>
  <si>
    <t>Isenberg, P.;Bezerianos, A.;Dragicevic, P.;Fekete, J.</t>
  </si>
  <si>
    <t>37591317800;37413699200;37590932700;37407972900</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</si>
  <si>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</si>
  <si>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Romain Vuillemot;Jeremy Boy</t>
  </si>
  <si>
    <t>LIRIS, Univ Lyon, &amp;#x00C9;cole Centrale de Lyon, CNRS, UMR5205, France;UN Global Pulse</t>
  </si>
  <si>
    <t>729558;5290720;4376131</t>
  </si>
  <si>
    <t>10.1109/TVCG.2011.185;10.1109/INFVIS.1997.636761;10.1109/TVCG.2010.197;10.1109/TVCG.2008.153;10.1109/TVCG.2013.187;10.1109/TVCG.2013.227;10.1109/TVCG.2013.160;10.1109/TVCG.2013.134;10.1109/VISUAL.1991.175815;10.1109/TVCG.2016.2598620;10.1109/TVCG.2012.229;10.1109/TVCG.2013.191;10.1109/TVCG.2014.2346248;10.1109/TVCG.2014.2346291;10.1109/TVCG.2015.2467271;10.1109/TVCG.2016.2599030;10.1109/TVCG.2006.166;10.1109/INFVIS.2000.885086;10.1109/VISUAL.1993.398859;10.1109/TVCG.2015.2467191</t>
  </si>
  <si>
    <t>Design Methodologies,Rapid Prototyping,Graphic Design,Mock-Ups,Toolkit Design</t>
  </si>
  <si>
    <t>Nonlinear Dot Plots</t>
  </si>
  <si>
    <t>10.1109/TVCG.2017.2744018</t>
  </si>
  <si>
    <t>http://dx.doi.org/10.1109/TVCG.2017.2744018</t>
  </si>
  <si>
    <t>Dasgupta, A.;Kosara, R.</t>
  </si>
  <si>
    <t>37593202500;37282563400</t>
  </si>
  <si>
    <t>146402;1532138;5613439;809866;4015444</t>
  </si>
  <si>
    <t>Zhao Geng;ZhenMin Peng;Laramee, R.S.;Roberts, J.C.;Walker, R.</t>
  </si>
  <si>
    <t>38031256500;38024566900;37267247900;37278794800;37596627100</t>
  </si>
  <si>
    <t>1173157;1382894;4015422;4376143;809866;559216;146402;5613439;1532138;4015444;4658160</t>
  </si>
  <si>
    <t>Brandes, U.;Nick, B.</t>
  </si>
  <si>
    <t>37550836200;38016272500</t>
  </si>
  <si>
    <t>4015420;4376154;5290690;4015419;5613497</t>
  </si>
  <si>
    <t>Wood, J.;Badawood, D.;Dykes, J.;Slingsby, A.</t>
  </si>
  <si>
    <t>37399045100;38017330600;37605079900;37590960700</t>
  </si>
  <si>
    <t>5290702;4658149;5613434</t>
  </si>
  <si>
    <t>Hullman, J.;Adar, E.;Shah, P.</t>
  </si>
  <si>
    <t>616</t>
  </si>
  <si>
    <t>625</t>
  </si>
  <si>
    <t>38016234500;37331417100;38018860000</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</si>
  <si>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</si>
  <si>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528688;4658146;4376146;5613437;963279;5290695</t>
  </si>
  <si>
    <t>Nils Rodrigues;Daniel Weiskopf</t>
  </si>
  <si>
    <t>VISUS, University of Stuttgart, Germany;VISUS, University of Stuttgart, Germany</t>
  </si>
  <si>
    <t>10.1109/TVCG.2016.2598592;10.1109/TVCG.2014.2346428;10.1109/TVCG.2010.197;10.1109/TVCG.2011.160;10.1109/TVCG.2009.127</t>
  </si>
  <si>
    <t>Nonlinear dot plot,statistical graphics,sweep algorithm,layout</t>
  </si>
  <si>
    <t>VisTiles: Coordinating and Combining Co-located Mobile Devices for Visual Data Exploration</t>
  </si>
  <si>
    <t>10.1109/TVCG.2017.2744019</t>
  </si>
  <si>
    <t>http://dx.doi.org/10.1109/TVCG.2017.2744019</t>
  </si>
  <si>
    <t>Ferreira, N.;Lins, L.;Fink, D.;Kelling, S.;Wood, C.;Freire, J.;Silva, C.</t>
  </si>
  <si>
    <t>38018628600;37682897900;37410464700;37667188400;38029052800;37283149600;37275249200</t>
  </si>
  <si>
    <t>Ferreira, N.;Lins, L.;Fink, D.;Kelling, S.;Wood, C.;Freire, J.;Silva, C.T.</t>
  </si>
  <si>
    <t>964510;146361;5613457;5613441;4376138;4658123</t>
  </si>
  <si>
    <t>Turkay, C.;Filzmoser, P.;Hauser H.</t>
  </si>
  <si>
    <t>37567685600;38017354300;37274158800</t>
  </si>
  <si>
    <t>Turkay, C.;Filzmoser, P.;Hauser, H.</t>
  </si>
  <si>
    <t>626</t>
  </si>
  <si>
    <t>885086;346302;4658163;5290745;485139;5332611;1382891;1382892;5333431</t>
  </si>
  <si>
    <t>636</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</si>
  <si>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</si>
  <si>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Ricardo Langner;Tom Horak;Raimund Dachselt</t>
  </si>
  <si>
    <t>Interactive Media Lab, Technische Universität Dresden, Germany;Interactive Media Lab, Technische Universität Dresden, Germany;Interactive Media Lab, Technische Universität Dresden, Germany</t>
  </si>
  <si>
    <t>10.1109/VAST.2015.7347628;10.1109/TVCG.2007.70568;10.1109/TVCG.2012.204;10.1109/TVCG.2016.2598586;10.1109/TVCG.2014.2346573;10.1109/TVCG.2009.162;10.1109/TVCG.2012.237;10.1109/TVCG.2007.70515</t>
  </si>
  <si>
    <t>Mobile devices,coordinated &amp; multiple views,multi-display environment,cross-device interaction</t>
  </si>
  <si>
    <t>Visualizing Nonlinear Narratives with Story Curves</t>
  </si>
  <si>
    <t>10.1109/TVCG.2017.2744118</t>
  </si>
  <si>
    <t>http://dx.doi.org/10.1109/TVCG.2017.2744118</t>
  </si>
  <si>
    <t>Krstajic, M.;Bertini, E.;Keim, D.A.</t>
  </si>
  <si>
    <t>38228240900;37283307700;37283138700</t>
  </si>
  <si>
    <t>5613426;4035748;1532133;1249028;4376146</t>
  </si>
  <si>
    <t>Scheepens, R.;Willems, N.;van de Wetering, H.;Andrienko, G.;Andrienko, N.;van Wijk, J.J.</t>
  </si>
  <si>
    <t>37846960800;37846959300;37294473300;37283047100;37283047700;37267249200</t>
  </si>
  <si>
    <t>4015439;4677356;4376138;5652478;4388992;5652467;5332593</t>
  </si>
  <si>
    <t>595</t>
  </si>
  <si>
    <t>604</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</si>
  <si>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</si>
  <si>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Nam Wook Kim;Benjamin Bach;Hyejin Im;Sasha Schriber;Markus H. Gross;Hanspeter Pfister</t>
  </si>
  <si>
    <t>Nam Wook Kim;Benjamin Bach;Hyejin Im;Sasha Schriber;Markus Gross;Hanspeter Pfister</t>
  </si>
  <si>
    <t>John A. Paulson School of Engineering and Applied SciencesHarvard University;John A. Paulson School of Engineering and Applied SciencesHarvard University;Independent scholar;Disney Research, Z&amp;#x00FC;rich;Disney Research, Z&amp;#x00FC;rich;John A. Paulson School of Engineering and Applied SciencesHarvard University</t>
  </si>
  <si>
    <t>10.1109/TVCG.2016.2598920;10.1109/TVCG.2013.196;10.1109/TVCG.2015.2467811;10.1109/TVCG.2009.167;10.1109/TVCG.2012.212;10.1109/TVCG.2015.2468151</t>
  </si>
  <si>
    <t>Nonlinear narrative,storytelling,visualization</t>
  </si>
  <si>
    <t>Steinberger, M.;Waldner, M.;Streit, M.;Lex, A.;Schmalstieg, D.</t>
  </si>
  <si>
    <t>38017759700;37844773200;37403918900;37395933400;37297103800</t>
  </si>
  <si>
    <t>Priming and Anchoring Effects in Visualization</t>
  </si>
  <si>
    <t>10.1109/TVCG.2017.2744138</t>
  </si>
  <si>
    <t>http://dx.doi.org/10.1109/TVCG.2017.2744138</t>
  </si>
  <si>
    <t>5613440;963286;4015425;5290706;485139;5613438;4015424;4376140</t>
  </si>
  <si>
    <t>D&amp;#x0B3; Data-Driven Documents</t>
  </si>
  <si>
    <t>Bostock, M.;Ogievetsky, V.;Heer, J.</t>
  </si>
  <si>
    <t>37591067400;38016292400;37550791300</t>
  </si>
  <si>
    <t>885091;885098;5613453;5290720;1382904;4015439;1532122;4658136;1382905;4376146</t>
  </si>
  <si>
    <t>584</t>
  </si>
  <si>
    <t>Alper, B.;Riche, N.H.;Ramos, G.;Czerwinski, Mary</t>
  </si>
  <si>
    <t>38030020400;37590950700;38030407700;37563799500</t>
  </si>
  <si>
    <t>Alper, B.;Riche, N.H.;Ramos, G.;Czerwinski, M.</t>
  </si>
  <si>
    <t>594</t>
  </si>
  <si>
    <t xml:space="preserve">Set visualization, clustering, faceted data visualization, graph visualization
</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</si>
  <si>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 under certain circumstances -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</si>
  <si>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4658148;5613447;5290706;1532126</t>
  </si>
  <si>
    <t>André Calero Valdez;Martina Ziefle;Michael Sedlmair</t>
  </si>
  <si>
    <t>RWTH Aachen University;RWTH Aachen University;University of Vienna</t>
  </si>
  <si>
    <t>10.1109/TVCG.2014.2346297;10.1109/TVCG.2011.229;10.1109/TVCG.2013.183;10.1109/VAST.2010.5653587;10.1109/TVCG.2012.233;10.1109/TVCG.2014.2346979;10.1109/TVCG.2015.2467671;10.1109/TVCG.2014.2346325;10.1109/TVCG.2007.70594;10.1109/TVCG.2012.199;10.1109/TVCG.2013.153;10.1109/TVCG.2012.196;10.1109/INFVIS.2005.1532142</t>
  </si>
  <si>
    <t>Perception,Anchoring,Bias,Scatterplots,Visualization,MTurk Study</t>
  </si>
  <si>
    <t>Juhee Bae;Watson, B.</t>
  </si>
  <si>
    <t>37595934400;</t>
  </si>
  <si>
    <t>5613445;1382886;4376154</t>
  </si>
  <si>
    <t>Jorge Poco;Aritra Dasgupta;Yaxing Wei;William W. Hargrove;Christopher R. Schwalm;Deborah N. Huntzinger;Robert B. Cook;Enrico Bertini;Cl��udio T. Silva</t>
  </si>
  <si>
    <t>Nan Cao;Gotz, D.;Jimeng Sun;Huamin Qu</t>
  </si>
  <si>
    <t>37604309600;37601397400;37281417100;37272637300</t>
  </si>
  <si>
    <t>1532128;4015425;5290705;485141;4376154;146402;5332628;963283;729568;5613443;809866;4658123;4658149;5290704</t>
  </si>
  <si>
    <t>Selassie, D.;Heller, B.;Heer, J.</t>
  </si>
  <si>
    <t>38017434000;38027228800;37550791300</t>
  </si>
  <si>
    <t>1249008;4658140;4376154;4376143;4015425</t>
  </si>
  <si>
    <t>Wei Zeng;Chi-Wing Fu;Stefan M�_ller Arisona;Alexander Erath;Huamin Qu</t>
  </si>
  <si>
    <t>Haunert, J.-H.;Sering, L.</t>
  </si>
  <si>
    <t>Univ. of Würzburg, Würzburg, Germany|c|;</t>
  </si>
  <si>
    <t>38017278900;38017279300</t>
  </si>
  <si>
    <t>4658197;1382906</t>
  </si>
  <si>
    <t>Borkin, M.;Gajos, K.;Peters, A.;Mitsouras, D.;Melchionna, S.;Rybicki, F.;Feldman, C.;Pfister, H.</t>
  </si>
  <si>
    <t>38017334100;38017335100;38348003300;37294083800;37422034400;37294079000;37300850800;37275698100</t>
  </si>
  <si>
    <t>5290768;1183788;1183754;964510;1372221;4015442;1532136;5290732;964538;5290732;235201;568118;885731;4376196;4376149</t>
  </si>
  <si>
    <t>Burch, M.;Konevtsova, N.;Heinrich, J.;Hoeferlin, M.;Weiskopf, D.</t>
  </si>
  <si>
    <t>37586953400;38017426500;37665271000;;38470313100</t>
  </si>
  <si>
    <t>5613430;1382885</t>
  </si>
  <si>
    <t>Jian Zhao;Chevalier, F.;Pietriga, E.;Balakrishnan, R.</t>
  </si>
  <si>
    <t>38024987300;37395495900;37563810700;37394495600</t>
  </si>
  <si>
    <t>5613429;801851;4389007;963273;1532148;4376151;5613426</t>
  </si>
  <si>
    <t>Rodgers, J.;Bartram, L.</t>
  </si>
  <si>
    <t>37399764800;37353447100</t>
  </si>
  <si>
    <t>4376134;1249031</t>
  </si>
  <si>
    <t>Slingsby, A.;Dykes, J.;Wood, J.</t>
  </si>
  <si>
    <t>37590960700;37605079900;37399045100</t>
  </si>
  <si>
    <t>559216;5613425;4376137;5613436;809866;4658149;4015427;4376144;1382904</t>
  </si>
  <si>
    <t>Claessen, J.H.T.;van Wijk, J.J.</t>
  </si>
  <si>
    <t>38016239600;37267249200</t>
  </si>
  <si>
    <t>1532142;1532136;1173157;4015422;5613448;4015444;4376140;175790;4658123</t>
  </si>
  <si>
    <t>Buchin, K.;Speckmann, B.;Verbeek, K.</t>
  </si>
  <si>
    <t>37402703700;37591266000;37591265900</t>
  </si>
  <si>
    <t>5290710;4658140;1532150;559226;4015425</t>
  </si>
  <si>
    <t>LSTMVis: A Tool for Visual Analysis of Hidden State Dynamics in Recurrent Neural Networks</t>
  </si>
  <si>
    <t>10.1109/TVCG.2017.2744158</t>
  </si>
  <si>
    <t>37407536000;38019484900</t>
  </si>
  <si>
    <t>http://dx.doi.org/10.1109/TVCG.2017.2744158</t>
  </si>
  <si>
    <t>636786;559214;4658197;729558;1532818</t>
  </si>
  <si>
    <t>Lloyd, D.;Dykes, J.</t>
  </si>
  <si>
    <t>38030446400;37605079900</t>
  </si>
  <si>
    <t>5613425;5290720</t>
  </si>
  <si>
    <t>Paiva, J.G.;Florian, L.;Pedrini, H.;Telles, G.P.;Minghim, R.</t>
  </si>
  <si>
    <t>38017782400;;37294758000;38181127500;37371567600</t>
  </si>
  <si>
    <t>801855;5290725;4389002;4658134;567787;5613468;5613498;1173148</t>
  </si>
  <si>
    <t>Hadlak, S.;Schulz, H.;Schumann, H.</t>
  </si>
  <si>
    <t>37396082800;37408482600;37283240400</t>
  </si>
  <si>
    <t>5290697;4658125;1382908;4376154;885087;1382906;1173153;1173160;1532151;1249006;4376152;4015424</t>
  </si>
  <si>
    <t>667</t>
  </si>
  <si>
    <t>676</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</si>
  <si>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</si>
  <si>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Hendrik Strobelt;Sebastian Gehrmann;Hanspeter Pfister;Alexander M. Rush</t>
  </si>
  <si>
    <t>Joia, P.;Paulovich, F.V.;Coimbra, D.;Cuminato, J.A.;Nonato, L.G.</t>
  </si>
  <si>
    <t>38017343000;37590969400;38017342500;38017346900;37590974800</t>
  </si>
  <si>
    <t>567787;5290725;4376155;1173159;5613468;5613498;1173161</t>
  </si>
  <si>
    <t>Hurter, C.;Telea, A.;Ersoy, O.</t>
  </si>
  <si>
    <t>38017336200;37268047100;37672044200</t>
  </si>
  <si>
    <t>6065003;4658140;4015425;1532150;1382906;1249008</t>
  </si>
  <si>
    <t>Burch, M.;Vehlow, C.;Beck, F.;Diehl, S.;Weiskopf, D.</t>
  </si>
  <si>
    <t>37586953400;38017348600;37586060300;37275546500;38470313100</t>
  </si>
  <si>
    <t>5290717;4658160;146402;5613435;1532138;4015425;5290770;801866;1173160;1382894</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</si>
  <si>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</si>
  <si>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Wickham, H.;Hofmann, H.</t>
  </si>
  <si>
    <t>37591246300;37592793000</t>
  </si>
  <si>
    <t>4376133;4015431;1173141;885091;146386;5613436;1532128;1532142;5613430;5290702;1532145</t>
  </si>
  <si>
    <t>Bertini, E.;Tatu, A.;Keim, D.</t>
  </si>
  <si>
    <t>37283307700;37590724000;37283138700</t>
  </si>
  <si>
    <t>Bertini, E.;Tatu, A.;Keim, D.A.</t>
  </si>
  <si>
    <t>1532145;5652433;4035766;5613439;5613452;1382895;4015421;4376144;1532142;146402;1249006;146386;4015422;1382903;5332628;1249015;5652450;4376143;729568;885092;1382892;5290704;636794</t>
  </si>
  <si>
    <t>Albers, D.;Dewey, C.;Gleicher, M.</t>
  </si>
  <si>
    <t>38019392100;37994248400;37282585700</t>
  </si>
  <si>
    <t>4376150;1173156;5290702;5290692</t>
  </si>
  <si>
    <t>Ersoy, O.;Hurter, C.;Paulovich, F.V.;Cantareiro, G.;Telea, A.</t>
  </si>
  <si>
    <t>37672044200;38017336200;37590969400;;37268047100</t>
  </si>
  <si>
    <t>4658140;4015425;4376143;4015416;1532150;1249030</t>
  </si>
  <si>
    <t>Alper, B.;Hollerer, T.;Kuchera-Morin, J.;Forbes, A.</t>
  </si>
  <si>
    <t>38030020400;37265602700;37568193500;38029040000</t>
  </si>
  <si>
    <t>801869;4376140;1173160</t>
  </si>
  <si>
    <t>Albuquerque, G.;Lowe, T.;Magnor, M.</t>
  </si>
  <si>
    <t>37603943800;38028705600;37273816400</t>
  </si>
  <si>
    <t>1532142;346302;5652433;5332628;1382895;4658123</t>
  </si>
  <si>
    <t>Artem Konev;J�_rgen Waser;Bernhard Sadransky;Daniel Cornel;Rui A. P. Perdig̣o;Zsolt Horv��th;M. Eduard Gr̦ller</t>
  </si>
  <si>
    <t>37391623900;37406039100;38024441100;38019494400;37407140300;38023993900;37272637300;37394723000</t>
  </si>
  <si>
    <t>5652931;5333443;4015435;5290722;4658136;5613451;4677364;1532122;5333437;1532152</t>
  </si>
  <si>
    <t>Liang Gou;Xiaolong Zhang</t>
  </si>
  <si>
    <t>38018817100;37537459400</t>
  </si>
  <si>
    <t>1382886;1249011;1249030;1173151;5290692;4015418;4658140;4015416;885091;4015424;4376140;4015425</t>
  </si>
  <si>
    <t>��agatay Demiralp;Michael S. Bernstein;Jeffrey Heer</t>
  </si>
  <si>
    <t>Lex, A.;Schulz, H.;Streit, M.;Partl, C.;Schmalstieg, D.</t>
  </si>
  <si>
    <t>37395933400;37408482600;37403918900;37591066400;37297103800</t>
  </si>
  <si>
    <t>1532129;5613440;4015416;4376154;1249006;4015425;5290692;5613443;4015424</t>
  </si>
  <si>
    <t>Walny, J.;Carpendale, S.;Riche, N.H.;Venolia, G.;Fawcett, P.</t>
  </si>
  <si>
    <t>38016653500;37285000100;37590950700;37312523900;38017515000</t>
  </si>
  <si>
    <t>5613453;5613452;4015435;4376143;4658147;1382902;1173148;175815;5613431</t>
  </si>
  <si>
    <t>Pretorius, A.J.;Bray, M.-A.P.;Carpenter, A.E.;Ruddle, R.A.</t>
  </si>
  <si>
    <t>38488127500;38287976800;38261206900;37282918500</t>
  </si>
  <si>
    <t>1382885;1532788;175815;809871;885678;963290</t>
  </si>
  <si>
    <t>Hullman, J.;Diakopoulos, N.</t>
  </si>
  <si>
    <t>38016234500;37591165700</t>
  </si>
  <si>
    <t>5613452;4376131;5613437;5290695</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</si>
  <si>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</si>
  <si>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 xml:space="preserve">X
</t>
  </si>
  <si>
    <t>Itoh, M.;Yoshinaga, N.;Toyoda, M.;Kitsuregawa, M.</t>
  </si>
  <si>
    <t>37534010200;37598015400;37328454400;37283954000</t>
  </si>
  <si>
    <t>A state transition approach to understanding users&amp;#39; interactions</t>
  </si>
  <si>
    <t>Dong Hyun Jeong;Soo-Yeon Ji;Ribarsky, W.;Chang, R.</t>
  </si>
  <si>
    <t>Harvard SEAS;Harvard SEAS;Harvard SEAS;Harvard SEAS</t>
  </si>
  <si>
    <t>10.1109/TVCG.2016.2598831;10.1109/TVCG.2016.2598838;10.1109/VISUAL.2005.1532820</t>
  </si>
  <si>
    <t>Visualization,Machine Learning,Recurrent Neural Networks,LSTM</t>
  </si>
  <si>
    <t>Scatterplots: Tasks, Data, and Designs</t>
  </si>
  <si>
    <t>10.1109/TVCG.2017.2744184</t>
  </si>
  <si>
    <t>http://dx.doi.org/10.1109/TVCG.2017.2744184</t>
  </si>
  <si>
    <t>37400451800;37399189900;37300425000;37592409400</t>
  </si>
  <si>
    <t>402</t>
  </si>
  <si>
    <t>412</t>
  </si>
  <si>
    <t>Xiaoyu Wang;Wenwen Dou;Butkiewicz, T.;Bier, E.A.;Ribarsky, W.</t>
  </si>
  <si>
    <t>37601069300;37606064200;37591215700;37282252000;37300425000</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</si>
  <si>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</si>
  <si>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4677362;5333020;4658129;4035759;4389009;5290723;4677361;5290695;1532781;4677352;4658124;4376144;4677360;4677365;5333564</t>
  </si>
  <si>
    <t>Alper Sarikaya;Michael Gleicher</t>
  </si>
  <si>
    <t>University of Wisconsin&amp;#x2014;Madison;University of Wisconsin&amp;#x2014;Madison</t>
  </si>
  <si>
    <t>10.1109/TVCG.2015.2467618;10.1109/INFVIS.2005.1532136;10.1109/TVCG.2008.119;10.1109/TVCG.2011.229;10.1109/TVCG.2011.185;10.1109/TVCG.2013.124;10.1109/VAST.2012.6400486;10.1109/VAST.2010.5652460;10.1109/TVCG.2014.2346594;10.1109/TVCG.2009.122;10.1109/TVCG.2006.161;10.1109/TVCG.2007.70535;10.1109/INFVIS.2002.1173156;10.1109/TVCG.2013.187;10.1109/TVCG.2013.183;10.1109/TVCG.2014.2346983;10.1109/TVCG.2006.163;10.1109/VAST.2016.7883507;10.1109/TVCG.2011.223;10.1109/TVCG.2015.2467615;10.1109/VAST.2009.5333895;10.1109/TVCG.2013.182;10.1109/TVCG.2013.130;10.1109/TVCG.2016.2598839;10.1109/TVCG.2013.120;10.1109/TVCG.2013.153;10.1109/TVCG.2011.167;10.1109/TVCG.2007.70596;10.1109/TVCG.2010.197;10.1109/INFVIS.2005.1532142;10.1109/TVCG.2013.150;10.1109/TVCG.2010.174</t>
  </si>
  <si>
    <t>Scatterplots,task taxonomies,study of designs</t>
  </si>
  <si>
    <t>Keeping Multiple Views Consistent: Constraints, Validations, and Exceptions in Visualization Authoring</t>
  </si>
  <si>
    <t>10.1109/TVCG.2017.2744198</t>
  </si>
  <si>
    <t>http://dx.doi.org/10.1109/TVCG.2017.2744198</t>
  </si>
  <si>
    <t>Malik, A.;Maciejewski, R.;Maule, B.;Ebert, D.S.</t>
  </si>
  <si>
    <t>37397435000;37396008400;38233566600;37282598900</t>
  </si>
  <si>
    <t>398870;5652398;5333920;4677363;801851;4389006;5332611</t>
  </si>
  <si>
    <t>Kulkarni, I.;Mistry, S.Y.;Cummings, B.;Gopi, M.</t>
  </si>
  <si>
    <t>38019808500;38232233400;37374779700;37271691400</t>
  </si>
  <si>
    <t>468</t>
  </si>
  <si>
    <t>5290766;5333895</t>
  </si>
  <si>
    <t>477</t>
  </si>
  <si>
    <t>An integrated visualization on network events VAST 2011 mini challenge #2 award: &amp;#x201C;Outstanding integrated overview display&amp;#x201D;</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</si>
  <si>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</si>
  <si>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Zening Qu;Jessica Hullman</t>
  </si>
  <si>
    <t>10.1109/TVCG.2009.174;10.1109/TVCG.2011.185;10.1109/TVCG.2013.119;10.1109/TVCG.2014.2346325;10.1109/TVCG.2007.70594;10.1109/TVCG.2016.2599030;10.1109/INFVIS.2000.885086;10.1109/TVCG.2012.275;10.1109/TVCG.2015.2467191</t>
  </si>
  <si>
    <t>Visualization Design,Qualitative Study,Evaluation</t>
  </si>
  <si>
    <t>Considerations for Visualizing Comparison</t>
  </si>
  <si>
    <t>10.1109/TVCG.2017.2744199</t>
  </si>
  <si>
    <t>http://dx.doi.org/10.1109/TVCG.2017.2744199</t>
  </si>
  <si>
    <t>413</t>
  </si>
  <si>
    <t>423</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</si>
  <si>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comparison-a target set of items that are related and an action the user wants to perform on that relationship-are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</si>
  <si>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10.1109/TVCG.2011.232;10.1109/TVCG.2015.2467618;10.1109/TVCG.2013.124;10.1109/VAST.2012.6400486;10.1109/TVCG.2014.2346298;10.1109/TVCG.2007.70535;10.1109/TVCG.2015.2467204;10.1109/TVCG.2012.284;10.1109/TVCG.2014.2346426;10.1109/TVCG.2013.183;10.1109/TVCG.2006.147;10.1109/TVCG.2007.70615;10.1109/VAST.2015.7347634;10.1109/TVCG.2010.162;10.1109/TVCG.2013.122;10.1109/TVCG.2010.177;10.1109/TVCG.2011.194;10.1109/TVCG.2009.167;10.1109/TVCG.2014.2346578;10.1109/TVCG.2009.111;10.1109/TVCG.2013.213;10.1109/VAST.2014.7042491;10.1109/TVCG.2013.120;10.1109/TVCG.2009.128;10.1109/TVCG.2012.237;10.1109/VISUAL.1990.146375;10.1109/TVCG.2008.165</t>
  </si>
  <si>
    <t>Information Visualization,Comparison,Taxonomies,Visualization Models,Task Analysis</t>
  </si>
  <si>
    <t>iTTVis: Interactive Visualization of Table Tennis Data</t>
  </si>
  <si>
    <t>10.1109/TVCG.2017.2744218</t>
  </si>
  <si>
    <t>http://dx.doi.org/10.1109/TVCG.2017.2744218</t>
  </si>
  <si>
    <t>Weijia Xu;Esteva, M.;Suyog Dutt Jain;Varun Jain</t>
  </si>
  <si>
    <t>37833781800;38031284100;38236526000;38238537900</t>
  </si>
  <si>
    <t>885091;4658133;5290712;4389006;1382905;5652931;801860</t>
  </si>
  <si>
    <t>Analyst&amp;#39;s workspace: Protecting vastopolis</t>
  </si>
  <si>
    <t>709</t>
  </si>
  <si>
    <t>718</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</si>
  <si>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</si>
  <si>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Yingcai Wu;Ji Lan;Xinhuan Shu;Chenyang Ji;Kejian Zhao;Jiachen Wang;Hui Zhang</t>
  </si>
  <si>
    <t>State Key Lab of CAD &amp;#x0026; CGZhejiang University;State Key Lab of CAD &amp;#x0026; CGZhejiang University;State Key Lab of CAD &amp;#x0026; CGZhejiang University;State Key Lab of CAD &amp;#x0026; CGZhejiang University;State Key Lab of CAD &amp;#x0026; CGZhejiang University;State Key Lab of CAD &amp;#x0026; CGZhejiang University;Department of Physical EducationCollege of EducationZhejiang University</t>
  </si>
  <si>
    <t>10.1109/VAST.2014.7042478;10.1109/VAST.2014.7042477;10.1109/INFVIS.1996.559229;10.1109/TVCG.2011.208;10.1109/TVCG.2013.192;10.1109/TVCG.2012.263;10.1109/TVCG.2014.2346445;10.1109/TVCG.2012.213</t>
  </si>
  <si>
    <t>Sports visualization,visual knowledge discovery,sports analytics,visual knowledge representation</t>
  </si>
  <si>
    <t>Andrews, C.;Hossain, M.S.;Gad, S.;Ramakrishnan, N.;North, C.</t>
  </si>
  <si>
    <t>Blinded with Science or Informed by Charts? A Replication Study</t>
  </si>
  <si>
    <t>10.1109/TVCG.2017.2744298</t>
  </si>
  <si>
    <t>37587847300;38242697300;38237673700;37273204200;37419565900</t>
  </si>
  <si>
    <t>http://dx.doi.org/10.1109/TVCG.2017.2744298</t>
  </si>
  <si>
    <t>Harrison, L.;Wenwen Dou;Aidong Lu;Ribarsky, W.;Xiaoyu Wang</t>
  </si>
  <si>
    <t>37546111900;37606064200;37545504600;37300425000;37601069300</t>
  </si>
  <si>
    <t>781</t>
  </si>
  <si>
    <t>790</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</si>
  <si>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(&lt;inline-formula&gt;&lt;tex-math notation="LaTeX"&gt;$\mathrm{N}=623$&lt;/tex-math&gt;&lt;alternatives&gt;&lt;inline-graphic xlink:href="24tvcg01-dragicevic-2744298-ieq-1-source.tif" xmlns:xlink="http://www.w3.org/1999/xlink"/&gt;&lt;/alternatives&gt;&lt;/inline-formula&gt;), the chart's contribution to understanding was clearly larger than its contribution to persuasion.</t>
  </si>
  <si>
    <t>Pierre Dragicevic;Yvonne Jansen</t>
  </si>
  <si>
    <t>Inria;Sorbonne UniversitésUPMC Univ Paris 6CNRSISIR</t>
  </si>
  <si>
    <t>10.1109/TVCG.2014.2346984;10.1109/TVCG.2016.2598594;10.1109/TVCG.2014.2346435;10.1109/TVCG.2012.199;10.1109/TVCG.2014.2346419;10.1109/TVCG.2015.2467717</t>
  </si>
  <si>
    <t>Replication study,persuasion,charts,data comprehension,methodology</t>
  </si>
  <si>
    <t>CyteGuide: Visual Guidance for Hierarchical Single-Cell Analysis</t>
  </si>
  <si>
    <t>10.1109/TVCG.2017.2744318</t>
  </si>
  <si>
    <t>http://dx.doi.org/10.1109/TVCG.2017.2744318</t>
  </si>
  <si>
    <t>Icke, I.;Rosenberg, A.</t>
  </si>
  <si>
    <t>38233506100;38236481600</t>
  </si>
  <si>
    <t>38233594700;37267249200</t>
  </si>
  <si>
    <t>4658136;963292;963290</t>
  </si>
  <si>
    <t>739</t>
  </si>
  <si>
    <t>748</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</si>
  <si>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</si>
  <si>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Thomas Höllt;Nicola Pezzotti;Vincent van Unen;Frits Koning;Boudewijn P. F. Lelieveldt;Anna Vilanova</t>
  </si>
  <si>
    <t>Thomas Höllt;Nicola Pezzotti;Vincent van Unen;Frits Koning;Boudewijn P.F. Lelieveldt;Anna Vilanova</t>
  </si>
  <si>
    <t>Computer Graphics and Visualization Group, Delft University of Technology, The Netherlands;Computer Graphics and Visualization Group, Delft University of Technology, The Netherlands;Department of Immunohematology and Blood Transfusion, Leiden University Medical Center, The Netherlands;Department of Immunohematology and Blood Transfusion, Leiden University Medical Center, The Netherlands;Department of Radiology, Division of Image Processing, Leiden University Medical Center, The Netherlands;Computer Graphics and Visualization Group, Delft University of Technology, The Netherlands</t>
  </si>
  <si>
    <t>10.1109/TVCG.2007.70540;10.1109/TVCG.2011.185;10.1109/VISUAL.1991.175815;10.1109/TVCG.2014.2346578;10.1109/TVCG.2008.138;10.1109/INFVIS.2001.963283;10.1109/INFVIS.2000.885091;10.1109/TVCG.2014.2346574;10.1109/TVCG.2016.2598470;10.1109/INFVIS.1999.801860;10.1109/TVCG.2006.200</t>
  </si>
  <si>
    <t>Hierarchical Data,HSNE,Single-Cell Analysis,Visual Guidance</t>
  </si>
  <si>
    <t>Bridging from Goals to Tasks with Design Study Analysis Reports</t>
  </si>
  <si>
    <t>10.1109/TVCG.2017.2744319</t>
  </si>
  <si>
    <t>http://dx.doi.org/10.1109/TVCG.2017.2744319</t>
  </si>
  <si>
    <t>;37267736900</t>
  </si>
  <si>
    <t xml:space="preserve"> Intelligence analysis, qualitatvie user study </t>
  </si>
  <si>
    <t>4677362;235203;4677358;5290695;4389006</t>
  </si>
  <si>
    <t>City sentinel - VAST 2011 mini challenge 1 award: &amp;#x201C;Outstanding integration of computational and visual methods&amp;#x201D;</t>
  </si>
  <si>
    <t>435</t>
  </si>
  <si>
    <t>445</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</si>
  <si>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</si>
  <si>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Heidi Lam;Melanie Tory;Tamara Munzner</t>
  </si>
  <si>
    <t>Tableau Research;Tableau Research;University of British Columbia</t>
  </si>
  <si>
    <t>10.1109/TVCG.2014.2346312;10.1109/INFVIS.2005.1532136;10.1109/TVCG.2013.124;10.1109/TVCG.2011.176;10.1109/TVCG.2013.214;10.1109/VAST.2008.4677365;10.1109/TVCG.2010.164;10.1109/TVCG.2014.2346456;10.1109/TVCG.2013.126;10.1109/TVCG.2010.193;10.1109/TVCG.2012.286;10.1109/TVCG.2013.154;10.1109/TVCG.2009.180;10.1109/TVCG.2014.2346573;10.1109/TVCG.2015.2467811;10.1109/TVCG.2010.137;10.1109/TVCG.2009.111;10.1109/TVCG.2009.116;10.1109/TVCG.2014.2346311;10.1109/TVCG.2013.192;10.1109/TVCG.2012.263;10.1109/TVCG.2014.2346445;10.1109/TVCG.2011.253;10.1109/TVCG.2015.2467754;10.1109/TVCG.2013.130;10.1109/TVCG.2013.120;10.1109/TVCG.2014.2346321;10.1109/TVCG.2015.2467911;10.1109/VISUAL.1990.146375;10.1109/TVCG.2011.174;10.1109/TVCG.2012.226</t>
  </si>
  <si>
    <t>Framework,Data Analysis,Analysis Goals,Design Studies,Open Coding,Task Classifications</t>
  </si>
  <si>
    <t>Banfi, N.;Dudas, L.;Fekete, Z.;Gobolos-Szabo, J.;Lukacs, A.;Nagy, A.;Szabo, A.;Szabo, Z.;Szucs, G.</t>
  </si>
  <si>
    <t>Extracting and Retargeting Color Mappings from Bitmap Images of Visualizations</t>
  </si>
  <si>
    <t>38233559000;38242805600;37681667500;38233559600;37682650700;38235266600;38242541600;38242778300;38232133700</t>
  </si>
  <si>
    <t>10.1109/TVCG.2017.2744320</t>
  </si>
  <si>
    <t>http://dx.doi.org/10.1109/TVCG.2017.2744320</t>
  </si>
  <si>
    <t>637</t>
  </si>
  <si>
    <t>646</t>
  </si>
  <si>
    <t>ap Cenydd, L.;Walker, R.;Pop, S.;Miles, H.;Hughes, C.;Teahan, W.;Roberts, J.C.</t>
  </si>
  <si>
    <t>37589811000;37596627100;37588391300;38235916900;38170583200;37282659000;37278794800</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</si>
  <si>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</si>
  <si>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Jorge Poco;Angela Mayhua;Jeffrey Heer</t>
  </si>
  <si>
    <t>University of Washington;Universidad Católica San Pablo;University of Washington</t>
  </si>
  <si>
    <t>10.1109/TVCG.2011.192;10.1109/TVCG.2011.185;10.1109/TVCG.2016.2598918;10.1109/TVCG.2012.229</t>
  </si>
  <si>
    <t>Visualization,color,chart understanding,information extraction,redesign,computer vision</t>
  </si>
  <si>
    <t>Functional Decomposition for Bundled Simplification of Trail Sets</t>
  </si>
  <si>
    <t>10.1109/TVCG.2017.2744338</t>
  </si>
  <si>
    <t>http://dx.doi.org/10.1109/TVCG.2017.2744338</t>
  </si>
  <si>
    <t>Visual analytics, â€œthe science of analytical reasoning facilitated by visual interactive interfacesâ€_x009d_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</si>
  <si>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Bauer, J.;Thelen, S.;Ebert, A.</t>
  </si>
  <si>
    <t>38238582800;37646534700;37282550400</t>
  </si>
  <si>
    <t>500</t>
  </si>
  <si>
    <t>510</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</si>
  <si>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</si>
  <si>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Crouser, R.J.;Freeman, J.G.;Chang, R.</t>
  </si>
  <si>
    <t>38229914800;38239232000;38236988200</t>
  </si>
  <si>
    <t>Piringer, H.;Buchetics, M.</t>
  </si>
  <si>
    <t>37282562500;38233558900</t>
  </si>
  <si>
    <t>Christophe Hurter;Stéphane Puechmorel;Florence Nicol;Alexandru Telea</t>
  </si>
  <si>
    <t>ENAC;ENAC;ENAC;University of Groningen</t>
  </si>
  <si>
    <t>10.1109/TVCG.2013.124;10.1109/TVCG.2011.202;10.1109/TVCG.2008.135;10.1109/TVCG.2011.233;10.1109/TVCG.2009.138;10.1109/VAST.2008.4677380;10.1109/VISUAL.2004.32;10.1109/TVCG.2006.147;10.1109/TVCG.2011.223;10.1109/VISUAL.2005.1532832;10.1109/VISUAL.2005.1532779;10.1109/INFVIS.2005.1532150;10.1109/TVCG.2011.181;10.1109/TVCG.2011.190</t>
  </si>
  <si>
    <t>path visualization,trajectory visualization,edge bundles,functional decomposition,path generation,streamlines</t>
  </si>
  <si>
    <t>Skeleton-Based Scagnostics</t>
  </si>
  <si>
    <t>10.1109/TVCG.2017.2744339</t>
  </si>
  <si>
    <t>http://dx.doi.org/10.1109/TVCG.2017.2744339</t>
  </si>
  <si>
    <t>Jingjing Liu;Brown, E.T.;Chang, R.</t>
  </si>
  <si>
    <t>38239756300;38237586900;38236983500</t>
  </si>
  <si>
    <t>542</t>
  </si>
  <si>
    <t>552</t>
  </si>
  <si>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</si>
  <si>
    <t>José Matute;Alexandru Telea;Lars Linsen</t>
  </si>
  <si>
    <t>José Matute;Alexandru C. Telea;Lars Linsen</t>
  </si>
  <si>
    <t>Institute of Computer Science, Westfälische Wilhelms-Universität Münster, Germany;Johann Bernoulli Institute for Mathematics and Computer Science, University of Groningen, Groningen, The Netherlands;Institute of Computer Science, Westfälische Wilhelms-Universität Münster, Germany</t>
  </si>
  <si>
    <t>10.1109/VAST.2011.6102437;10.1109/TVCG.2011.233;10.1109/TVCG.2010.213;10.1109/TVCG.2011.223;10.1109/TVCG.2011.220;10.1109/VAST.2008.4677367;10.1109/VAST.2009.5332628</t>
  </si>
  <si>
    <t>Multidimensional Data (primary keyword),High-Dimensional Data</t>
  </si>
  <si>
    <t>Modeling Color Difference for Visualization Design</t>
  </si>
  <si>
    <t>10.1109/TVCG.2017.2744359</t>
  </si>
  <si>
    <t>http://dx.doi.org/10.1109/TVCG.2017.2744359</t>
  </si>
  <si>
    <t>Andrienko, G.;Andrienko, N.;Hurter, C.;Rinzivillo, S.;Wrobel, S.</t>
  </si>
  <si>
    <t>37283047100;37283047700;38017336200;37670571400;37668062300</t>
  </si>
  <si>
    <t xml:space="preserve">movement, trajectories, spatio-temporal data, spatial 
events, spatial clustering, spatio-temporal clustering
</t>
  </si>
  <si>
    <t>5332593;5290707</t>
  </si>
  <si>
    <t>392</t>
  </si>
  <si>
    <t>401</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</si>
  <si>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</si>
  <si>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Danielle Albers Szafir</t>
  </si>
  <si>
    <t>University of Colorado</t>
  </si>
  <si>
    <t>10.1109/VISUAL.1995.480803;10.1109/TVCG.2011.185;10.1109/TVCG.2010.154;10.1109/TVCG.2014.2346978;10.1109/TVCG.2016.2598918;10.1109/VISUAL.1996.568118;10.1109/TVCG.2011.194;10.1109/TVCG.2012.279;10.1109/TVCG.2016.2599106;10.1109/TVCG.2016.2599030;10.1109/TVCG.2008.118</t>
  </si>
  <si>
    <t>Color Perception,Graphical Perception,Color Models,Crowdsourcing</t>
  </si>
  <si>
    <t>Open vs. Closed Shapes: New Perceptual Categories?</t>
  </si>
  <si>
    <t>10.1109/TVCG.2017.2745086</t>
  </si>
  <si>
    <t>http://dx.doi.org/10.1109/TVCG.2017.2745086</t>
  </si>
  <si>
    <t>Sharara, H.;Sopan, A.;Namata, G.;Getoor, L.;Singh, L.</t>
  </si>
  <si>
    <t>37714206000;37546693400;38072149500;37829614900;37691176100</t>
  </si>
  <si>
    <t>4015419;5652398;5652910;4035746;5652443;4376154</t>
  </si>
  <si>
    <t>574</t>
  </si>
  <si>
    <t>583</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</si>
  <si>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</si>
  <si>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David Burlinson;Kalpathi R. Subramanian;Paula Goolkasian</t>
  </si>
  <si>
    <t>David Burlinson;Kalpathi Subramanian;Paula Goolkasian</t>
  </si>
  <si>
    <t>Department of Computer Science, The University of North Carolina, Charlotte;Department of Computer Science, The University of North Carolina, Charlotte;Department of Psychology, The University of North Carolina, Charlotte</t>
  </si>
  <si>
    <t>10.1109/TVCG.2014.2346978;10.1109/TVCG.2013.183</t>
  </si>
  <si>
    <t>scatterplot,visualization design,perceptual category,open shape,closed shape</t>
  </si>
  <si>
    <t>CasCADe: A Novel 4D Visualization System for Virtual Construction Planning</t>
  </si>
  <si>
    <t>10.1109/TVCG.2017.2745105</t>
  </si>
  <si>
    <t>http://dx.doi.org/10.1109/TVCG.2017.2745105</t>
  </si>
  <si>
    <t>For the VAST 2011 Network Security Mini-Challenge, we adopted geovisual analytic methods and applied them in the field of network security. We used the GeoViz Toolkit [1] to represent cyber security events, by fabricating a simple â€œgeographyâ€_x009d_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</si>
  <si>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Giacobe, N.A.;Sen Xu</t>
  </si>
  <si>
    <t>37595223800;38235993300</t>
  </si>
  <si>
    <t>May, T.;Bannach, A.;Davey, J.;Ruppert, T.;Kohlhammer, J.</t>
  </si>
  <si>
    <t>37603783600;38233628300;37603822500;37593423500;37449689200</t>
  </si>
  <si>
    <t>5652392;1249006;5290704;4658123</t>
  </si>
  <si>
    <t>Simon Stusak;Aur̩lien Tabard;Franziska Sauka;Rohit Ashok Khot;Andreas Butz</t>
  </si>
  <si>
    <t>Jan Zah��lka;Marcel Worring</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</si>
  <si>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â€œlocus of control,â€_x009d_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</si>
  <si>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Ziemkiewicz, C.;Crouser, R.J.;Yauilla, A.R.;Su, S.L.;Ribarsky, W.;Chang, R.</t>
  </si>
  <si>
    <t>37548028800;38229914800;38233580400;38240721700;37300425000;37592409400</t>
  </si>
  <si>
    <t>5653587;4658138;4658127</t>
  </si>
  <si>
    <t>Interactive data analysis with nSpace2&amp;#x00AE;</t>
  </si>
  <si>
    <t>Canfield, C.M.;Sheffield, D.</t>
  </si>
  <si>
    <t>38236119900;38082608400</t>
  </si>
  <si>
    <t>Migut, M.A.;van Gemert, J.C.;Worring, M.</t>
  </si>
  <si>
    <t>37589528300;37340470100;37267865600</t>
  </si>
  <si>
    <t>Migut, M.;van Gemert, J.C.;Worring, M.</t>
  </si>
  <si>
    <t>dissimilarity based classication, dissimilarity based
visualization, prototypes, interactive visualization, visual analytics</t>
  </si>
  <si>
    <t>4376144;5290720;5290745;5652398;346302;729568;885086</t>
  </si>
  <si>
    <t>Bremm, S.;von Landesberger, T.;Hess, M.;Schreck, T.;Weil, P.;Hamacherk, K.</t>
  </si>
  <si>
    <t>37586274500;37586276100;38236436100;37282557600;38242125000;37844908000</t>
  </si>
  <si>
    <t>4658125;5290691;5333893;4376152</t>
  </si>
  <si>
    <t>Halld�_r Janetzko;Dominik Sacha;Manuel Stein;Tobias Schreck;Daniel A. Keim;Oliver Deussen</t>
  </si>
  <si>
    <t>Braunstein, E.;Gorg, C.;Zhicheng Liu;Stasko, J.</t>
  </si>
  <si>
    <t>38235560700;38263959200;37592993600;37267736900</t>
  </si>
  <si>
    <t>Carlos A. Dietrich;David Koop;Huy T. Vo;Cl��udio T. Silva</t>
  </si>
  <si>
    <t>Peca, I.;Zhi, H.;Vrotsou, K.;Andrienko, N.;Andrienko, G.</t>
  </si>
  <si>
    <t>38233565500;38242822400;37939017400;37283047700;37283047100</t>
  </si>
  <si>
    <t>Boone, K.;Swing, E.</t>
  </si>
  <si>
    <t>38239847300;37374975000</t>
  </si>
  <si>
    <t>Chen, Y.V.;Qian, Z.C.;Li Zhang</t>
  </si>
  <si>
    <t>38241087200;38238364000;38240128900</t>
  </si>
  <si>
    <t>Chen, Y.;Qian, Z.C.;Li Zhang</t>
  </si>
  <si>
    <t>Zhicheng Liu;Navathe, S.B.;Stasko, J.T.</t>
  </si>
  <si>
    <t>37592993600;37284924800;37267736900</t>
  </si>
  <si>
    <t>Zhicheng Liu;Navathe, S.B.;Stasko, J.</t>
  </si>
  <si>
    <t>4015419;5613437;4376154;4015424;5652520;885086;4389006</t>
  </si>
  <si>
    <t>Miguel Nunes;Benjamin Rowland;Matthias Schlachter;Sol̩akh̩na Ken;Kresimir Matkovic;Anne Laprie;Katja B�_hler</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</si>
  <si>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â€œobservationâ€_x009d_)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</si>
  <si>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Endert, A.;Chao Han;Maiti, D.;House, L.;Leman, S.;North, C.</t>
  </si>
  <si>
    <t>37681759500;38238038000;38232394400;38241765600;38236156800;37419565900</t>
  </si>
  <si>
    <t>This article describes â€œObviousâ€_x009d_: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</si>
  <si>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Fekete, J.;Hemery, P.;Baudel, T.;Wood, J.</t>
  </si>
  <si>
    <t>37407972900;38072289200;38233516200;37399045100</t>
  </si>
  <si>
    <t>1382904;5290752;5290720;4015439;5613445;1382905;729560;1173148</t>
  </si>
  <si>
    <t>Heer, J.;Perer, A.</t>
  </si>
  <si>
    <t>37550791300;37294938400</t>
  </si>
  <si>
    <t xml:space="preserve">Social network analysis, data management, data transformation, graphs, visualization, end-user programming
</t>
  </si>
  <si>
    <t>5613453;5290720;4015439;4376154;4015424;4035752;885086</t>
  </si>
  <si>
    <t>Wenwen Dou;Xiaoyu Wang;Chang, R.;Ribarsky, W.</t>
  </si>
  <si>
    <t>37606064200;38241251900;37592409400;37300425000</t>
  </si>
  <si>
    <t>5652931;5333428;5613439;5652940;5290725;885098</t>
  </si>
  <si>
    <t>Albuquerque, G.;Eisemann, M.;Magnor, M.</t>
  </si>
  <si>
    <t>37603943800;37546817000;37273816400</t>
  </si>
  <si>
    <t>1532142;5652433;4035766;5332628;5613439;5290704</t>
  </si>
  <si>
    <t>Rothenberger, S.D.;Wenskovitch, J.E.;Marai, G.E.</t>
  </si>
  <si>
    <t>37317865100;38233577000;37937697100</t>
  </si>
  <si>
    <t>687</t>
  </si>
  <si>
    <t>697</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</si>
  <si>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&amp;amp;amp;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</si>
  <si>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Paulo Ivson;Daniel Nascimento;Waldemar Celes Filho;Simone D. J. Barbosa</t>
  </si>
  <si>
    <t>Paulo Ivson;Daniel Nascimento;Waldemar Celes;Simone DJ Barbosa</t>
  </si>
  <si>
    <t>Tecgraf InstitutePUC-Rio;Tecgraf InstitutePUC-Rio;Tecgraf InstitutePUC-Rio;Informatics DepartmentPUC-Rio</t>
  </si>
  <si>
    <t>10.1109/VISUAL.1995.480803;10.1109/TVCG.2006.140;10.1109/TVCG.2007.70574;10.1109/TVCG.2007.70535;10.1109/VISUAL.1997.663876;10.1109/VISUAL.1996.568118;10.1109/TVCG.2007.70539;10.1109/TVCG.2013.126;10.1109/TVCG.2009.152;10.1109/TVCG.2012.213;10.1109/TVCG.2006.115;10.1109/TVCG.2012.265;10.1109/TVCG.2016.2599041;10.1109/TVCG.2007.70570;10.1109/TVCG.2007.70515</t>
  </si>
  <si>
    <t>Visualization in physical sciences and engineering,design studies,integrating spatial and non-spatial data visualization,task and requirements analysis</t>
  </si>
  <si>
    <t>Zhenyu Guo;Ward, M.O.;Rundensteiner, E.A.;Ruiz, C.</t>
  </si>
  <si>
    <t>37668783300;37268441700;37279217900;37413757400</t>
  </si>
  <si>
    <t>1532821;4677368;5652460;5332611;1382893;5333431</t>
  </si>
  <si>
    <t>Conceptual and Methodological Issues in Evaluating Multidimensional Visualizations for Decision Support</t>
  </si>
  <si>
    <t>10.1109/TVCG.2017.2745138</t>
  </si>
  <si>
    <t>http://dx.doi.org/10.1109/TVCG.2017.2745138</t>
  </si>
  <si>
    <t>749</t>
  </si>
  <si>
    <t>759</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</si>
  <si>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</si>
  <si>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Pinaud, B.;Dubois, J.;Melancon, G.</t>
  </si>
  <si>
    <t>37396011000;38269861900;37283186100</t>
  </si>
  <si>
    <t>Inria, France;Univ. Paris-Sud, CNRS, Inria, Universit&amp;#x00E9; Paris-Saclay, France;Inria, France</t>
  </si>
  <si>
    <t>10.1109/VAST.2011.6102457;10.1109/INFVIS.2005.1532136;10.1109/INFVIS.2004.10;10.1109/TVCG.2015.2467552;10.1109/TVCG.2016.2598594;10.1109/TVCG.2008.153;10.1109/INFVIS.2004.64;10.1109/VISUAL.1999.809866;10.1109/TVCG.2013.173;10.1109/TVCG.2014.2346979;10.1109/TVCG.2006.160;10.1109/TVCG.2013.160;10.1109/TVCG.2015.2466992;10.1109/TVCG.2015.2467671;10.1109/TVCG.2016.2598589;10.1109/TVCG.2014.2346279;10.1109/VAST.2009.5333920;10.1109/TVCG.2015.2468011;10.1109/TVCG.2014.2346320;10.1109/TVCG.2010.205;10.1109/VISUAL.1997.663867;10.1109/INFVIS.2003.1249015</t>
  </si>
  <si>
    <t>decision making,multidimensional visualization,parallel coordinates,scatterplot matrix,tabular visualization,evaluation</t>
  </si>
  <si>
    <t>Bowman, I.;Joshi, S.H.;Van Horn, J.D.</t>
  </si>
  <si>
    <t>37603001800;37288595800;38266955400</t>
  </si>
  <si>
    <t>Stable Treemaps via Local Moves</t>
  </si>
  <si>
    <t>10.1109/TVCG.2017.2745140</t>
  </si>
  <si>
    <t>http://dx.doi.org/10.1109/TVCG.2017.2745140</t>
  </si>
  <si>
    <t>Cottam, J.A.;Lumsdaine, A.</t>
  </si>
  <si>
    <t>37546825800;</t>
  </si>
  <si>
    <t>Shi, L.;Qi Liao;Yuan He;Rui Li;Striegel, A.;Zhong Su</t>
  </si>
  <si>
    <t>37287511900;37543450800;37398853200;38240137400;37298955400;37588016000</t>
  </si>
  <si>
    <t>5290694;5333880;1532126;1382886;5652910</t>
  </si>
  <si>
    <t>Bosch, H.;Thom, D.;Worner, M.;Koch, S.;Puttmann, E.;Jackle, D.;Ertl, T.</t>
  </si>
  <si>
    <t>37683989300;38233559700;37667957300;37593029700;38233561200;38233561600;37268023800</t>
  </si>
  <si>
    <t>729</t>
  </si>
  <si>
    <t>738</t>
  </si>
  <si>
    <t>MacEachren, A.M.;Jaiswal, A.;Robinson, A.C.;Pezanowski, S.;Savelyev, A.;Mitra, P.;Zhang, X.;Blanford, J.</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</si>
  <si>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</si>
  <si>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37374699000;37966902300;37829187900;38233564100;38237834200;37286730000;38239991000;38242393000</t>
  </si>
  <si>
    <t>Max Sondag;Bettina Speckmann;Kevin Verbeek</t>
  </si>
  <si>
    <t>MacEachren, A.M.;Jaiswal, A.R.;Robinson, A.;Pezanowski, S.;Savelyev, A.;Mitra, P.;Zhang, X.;Blanford, J.</t>
  </si>
  <si>
    <t>10.1109/INFVIS.2001.963283;10.1109/TVCG.2007.70529;10.1109/INFVIS.2005.1532145</t>
  </si>
  <si>
    <t>Treemap,Stability,Local Moves</t>
  </si>
  <si>
    <t>5652478;4388994;5613451;1532134;5652922</t>
  </si>
  <si>
    <t>Visual Exploration of Semantic Relationships in Neural Word Embeddings</t>
  </si>
  <si>
    <t>10.1109/TVCG.2017.2745141</t>
  </si>
  <si>
    <t>http://dx.doi.org/10.1109/TVCG.2017.2745141</t>
  </si>
  <si>
    <t>Yang Chen;Alsakran, J.;Barlowe, S.;Jing Yang;Ye Zhao</t>
  </si>
  <si>
    <t>37600587200;37846905500;37591128900;37292632600;37277701200</t>
  </si>
  <si>
    <t>4376134;5333023;4376131;5652879;4677358;5652932;4389011;4677365;4015424;5652885</t>
  </si>
  <si>
    <t>553</t>
  </si>
  <si>
    <t>562</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</si>
  <si>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</si>
  <si>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Shusen Liu;Peer-Timo Bremer;Jayaraman J. Thiagarajan;Vivek Srikumar;Bei Wang;Yarden Livnat;Valerio Pascucci</t>
  </si>
  <si>
    <t>Lawrence Livermore National Laboratory;Lawrence Livermore National Laboratory;Lawrence Livermore National Laboratory;School of ComputingUniversity of Utah;SCI InstituteUniversity of Utah;SCI InstituteUniversity of Utah;SCI InstituteUniversity of Utah</t>
  </si>
  <si>
    <t>10.1109/TVCG.2011.185;10.1109/VISUAL.1990.146402;10.1109/TVCG.2013.196</t>
  </si>
  <si>
    <t>Natural Language Processing,Word Embedding,High-Dimensional Data</t>
  </si>
  <si>
    <t>Orko: Facilitating Multimodal Interaction for Visual Exploration and Analysis of Networks</t>
  </si>
  <si>
    <t>10.1109/TVCG.2017.2745219</t>
  </si>
  <si>
    <t>http://dx.doi.org/10.1109/TVCG.2017.2745219</t>
  </si>
  <si>
    <t>Johannes Landstorfer;Ivo Herrmann;Jan-Erik Stange;Marian D̦rk;Reto Wettach</t>
  </si>
  <si>
    <t>511</t>
  </si>
  <si>
    <t>521</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</si>
  <si>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</si>
  <si>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Arjun Srinivasan;John T. Stasko</t>
  </si>
  <si>
    <t>Arjun Srinivasan;John Stasko</t>
  </si>
  <si>
    <t>10.1109/INFVIS.2005.1532136;10.1109/TVCG.2011.185;10.1109/TVCG.2013.124;10.1109/TVCG.2010.164;10.1109/TVCG.2012.204;10.1109/TVCG.2009.108</t>
  </si>
  <si>
    <t>Multimodal interaction,network visualization,natural language input,direct manipulation,multitouch input</t>
  </si>
  <si>
    <t>Data Through Others' Eyes: The Impact of Visualizing Others' Expectations on Visualization Interpretation</t>
  </si>
  <si>
    <t>10.1109/TVCG.2017.2745240</t>
  </si>
  <si>
    <t>http://dx.doi.org/10.1109/TVCG.2017.2745240</t>
  </si>
  <si>
    <t>Gomez, J.A.G.;Buck-Coleman, A.;Plaisant, C.;Shneiderman, B.</t>
  </si>
  <si>
    <t>38237955600;38233542700;37283026800;37283016400</t>
  </si>
  <si>
    <t>37548165700;37560536200;37606167900</t>
  </si>
  <si>
    <t>760</t>
  </si>
  <si>
    <t>769</t>
  </si>
  <si>
    <t>He Liu;Yuan Gao;Lu Lu;Siyuan Liu;Huamin Qu;Ni, L.M.</t>
  </si>
  <si>
    <t>;;38240091500;;37272637300;38236797100</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</si>
  <si>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</si>
  <si>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1382887;4677356;4658126;4376138;4376137;4015427;5332593;4376139;5290707;5613424</t>
  </si>
  <si>
    <t>Yea-Seul Kim;Katharina Reinecke;Jessica Hullman</t>
  </si>
  <si>
    <t>University of Washington;University of Washington;University of Washington</t>
  </si>
  <si>
    <t>10.1109/VAST.2007.4389011;10.1109/INFVIS.2005.1532126;10.1109/TVCG.2011.255;10.1109/TVCG.2014.2346419;10.1109/TVCG.2007.70577;10.1109/INFVIS.2005.1532122;10.1109/TVCG.2007.70589</t>
  </si>
  <si>
    <t>Social influence,Social visualization,Data interpretation</t>
  </si>
  <si>
    <t>Exploring Multivariate Event Sequences Using Rules, Aggregations, and Selections</t>
  </si>
  <si>
    <t>10.1109/TVCG.2017.2745278</t>
  </si>
  <si>
    <t>http://dx.doi.org/10.1109/TVCG.2017.2745278</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</si>
  <si>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â€œvisual analytic roadblocksâ€_x009d_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</si>
  <si>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Bum chul Kwon;Fisher, B.;Ji Soo Yi</t>
  </si>
  <si>
    <t>38235486800;37267458000;38238292000</t>
  </si>
  <si>
    <t>Bum Chul Kwon;Fisher, B.;Ji Soo Yi</t>
  </si>
  <si>
    <t xml:space="preserve">Visual analytics, investigative analysis, cognitive model, framework, roadblock, qualitative experiment
</t>
  </si>
  <si>
    <t>1382902;4389006;5613431;5333878;5613452;4658127;1382884;4376144;5613437;4035759;4658138;4658124;4376143;4677361;4376132;4376133</t>
  </si>
  <si>
    <t>532</t>
  </si>
  <si>
    <t>541</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</si>
  <si>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</si>
  <si>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Bram C. M. Cappers;Jarke J. van Wijk</t>
  </si>
  <si>
    <t>Bram C.M. Cappers;Jarke J. van Wijk</t>
  </si>
  <si>
    <t>10.1109/TVCG.2013.124;10.1109/VAST.2006.261421;10.1109/TVCG.2014.2346682;10.1109/TVCG.2015.2467622;10.1109/VAST.2007.4389008;10.1109/TVCG.2016.2598797;10.1109/TVCG.2013.200;10.1109/TVCG.2012.225</t>
  </si>
  <si>
    <t>Event Visualization,Multivariate Events,Regular Expressions,Sequence Alignment,Interaction</t>
  </si>
  <si>
    <t>Dillingham, I.;Dykes, J.;Wood, J.</t>
  </si>
  <si>
    <t>38233564700;37605079900;37399045100</t>
  </si>
  <si>
    <t>TACO: Visualizing Changes in Tables Over Time</t>
  </si>
  <si>
    <t>10.1109/TVCG.2017.2745298</t>
  </si>
  <si>
    <t>http://dx.doi.org/10.1109/TVCG.2017.2745298</t>
  </si>
  <si>
    <t>Afzal, S.;Maciejewski, R.;Ebert, D.S.</t>
  </si>
  <si>
    <t>38482841300;37396008400;37282598900</t>
  </si>
  <si>
    <t>4658129;4376133;398857;5333020;5613487;5613488;5613450;5290711;5613486;4035741;885086</t>
  </si>
  <si>
    <t>677</t>
  </si>
  <si>
    <t>686</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</si>
  <si>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</si>
  <si>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Christina Stoiber;Holger Stitz;Reem Hourieh;Florian Grassinger;Wolfgang Aigner;Marc Streit</t>
  </si>
  <si>
    <t>Christina Niederer;Holger Stitz;Reem Hourieh;Florian Grassinger;Wolfgang Aigner;Marc Streit</t>
  </si>
  <si>
    <t>St. Pölten University of Applied Sciences, Austria;Johannes Kepler University, Linz, Austria;Johannes Kepler University, Linz, Austria;St. Pölten University of Applied Sciences, Austria;TU Wien, Austria;Johannes Kepler University, Linz, Austria</t>
  </si>
  <si>
    <t>10.1109/TVCG.2012.233;10.1109/TVCG.2010.138;10.1109/TVCG.2013.213;10.1109/TVCG.2012.237</t>
  </si>
  <si>
    <t>Table comparison,matrix,difference visualization</t>
  </si>
  <si>
    <t>EdWordle: Consistency-Preserving Word Cloud Editing</t>
  </si>
  <si>
    <t>10.1109/TVCG.2017.2745859</t>
  </si>
  <si>
    <t>http://dx.doi.org/10.1109/TVCG.2017.2745859</t>
  </si>
  <si>
    <t>Bertini, E.;Buchmuller, J.;Fischer, F.;Huber, S.;Lindemeier, T.;Maass, F.;Mansmann, F.;Ramm, T.;Regenscheit, M.;Rohrdantz, C.;Scheible, C.;Schreck, T.;Sellien, S.;Stoffel, F.;Tautzenberger, M.;Zieker, M.;Keim, D.A.</t>
  </si>
  <si>
    <t>37283307700;38233607000;38242836400;38242146100;38233610100;38233609600;37392086200;38233608600;38233605200;37601356700;38233604500;37282557600;38233604000;38233603600;38233606900;38233606500;37283138700</t>
  </si>
  <si>
    <t>647</t>
  </si>
  <si>
    <t>656</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</si>
  <si>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</si>
  <si>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Yunhai Wang;Xiaowei Chu;Chen Bao;Lifeng Zhu;Oliver Deussen;Baoquan Chen;Michael Sedlmair</t>
  </si>
  <si>
    <t>Shandong University;Shandong University;Shandong University;Southeast University;Konstanz University, VCC SIAT, China;Shandong University;University of Vienna, Austria</t>
  </si>
  <si>
    <t>10.1109/TVCG.2016.2598609;10.1109/TVCG.2011.201;10.1109/VAST.2009.5333443;10.1109/TVCG.2015.2467531;10.1109/TVCG.2014.2346292;10.1109/TVCG.2010.175;10.1109/TVCG.2010.194;10.1109/TVCG.2009.171</t>
  </si>
  <si>
    <t>Wordle,consistency,text visualization</t>
  </si>
  <si>
    <t>The Explanatory Visualization Framework: An Active Learning Framework for Teaching Creative Computing Using Explanatory Visualizations</t>
  </si>
  <si>
    <t>10.1109/TVCG.2017.2745878</t>
  </si>
  <si>
    <t>http://dx.doi.org/10.1109/TVCG.2017.2745878</t>
  </si>
  <si>
    <t>Ming Hao;Rohrdantz, C.;Janetzko, H.;Dayal, U.;Keim, D.A.;Haug, L.;Mei-Chun Hsu</t>
  </si>
  <si>
    <t>37274264300;37601356700;37594026300;37275646700;37283138700;37681663300;38237585200</t>
  </si>
  <si>
    <t>791</t>
  </si>
  <si>
    <t>801</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</si>
  <si>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</si>
  <si>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Jonathan C. Roberts;Panagiotis D. Ritsos;James R. Jackson;Christopher James Headleand</t>
  </si>
  <si>
    <t>Jonathan C. Roberts;Panagiotis D. Ritsos;James R. Jackson;Christopher Headleand</t>
  </si>
  <si>
    <t>Bangor University;Bangor University;Bangor University;University of Lincoln</t>
  </si>
  <si>
    <t>Perer, A.;Guy, I.;Uziel, E.;Ronen, I.;Jacovi, M.</t>
  </si>
  <si>
    <t>10.1109/TVCG.2014.2346984;10.1109/TVCG.2016.2599338;10.1109/TVCG.2011.255;10.1109/TVCG.2014.2346331;10.1109/TVCG.2009.111;10.1109/TVCG.2015.2467271;10.1109/TVCG.2012.213;10.1109/TVCG.2010.179</t>
  </si>
  <si>
    <t>37294938400;37826398500;38233626100;38232518800;37990793800</t>
  </si>
  <si>
    <t>Explanatory visualization,Information Visualization,Teaching visualization,Learning Support</t>
  </si>
  <si>
    <t xml:space="preserve"> information discovery, social networks, social data mining, social visualization</t>
  </si>
  <si>
    <t>4015419;4376154;4035752;1532126;4015424</t>
  </si>
  <si>
    <t>Revisiting Stress Majorization as a Unified Framework for Interactive Constrained Graph Visualization</t>
  </si>
  <si>
    <t>10.1109/TVCG.2017.2745919</t>
  </si>
  <si>
    <t>http://dx.doi.org/10.1109/TVCG.2017.2745919</t>
  </si>
  <si>
    <t>Lemieux, V.;Endicott-Popovsky, B.;Eckler, K.;Dang, T.;Jansen, A.</t>
  </si>
  <si>
    <t>38233540100;38198370000;38242758000;38242773100;37990064400</t>
  </si>
  <si>
    <t>489</t>
  </si>
  <si>
    <t>499</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</si>
  <si>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 an approach which previous methods cannot support.</t>
  </si>
  <si>
    <t>Yunhai Wang;Yanyan Wang;Yinqi Sun;Lifeng Zhu;Kecheng Lu;Chi-Wing Fu;Michael Sedlmair;Oliver Deussen;Baoquan Chen</t>
  </si>
  <si>
    <t>Shandong University;Shandong University;Shandong University;Southeast University;Shandong University;VRHIT SIATChinese University of Hong Kong;University of Vienna, Austria;Konstanz University, VCC SIAT, China;Shandong University</t>
  </si>
  <si>
    <t>10.1109/INFVIS.2005.1532130;10.1109/TVCG.2006.156;10.1109/TVCG.2009.109;10.1109/TVCG.2008.130;10.1109/INFVIS.2004.66;10.1109/TVCG.2009.108;10.1109/TVCG.2012.236</t>
  </si>
  <si>
    <t>Graph visualization,stress majorization,constraints</t>
  </si>
  <si>
    <t>The Hologram in My Hand: How Effective is Interactive Exploration of 3D Visualizations in Immersive Tangible Augmented Reality?</t>
  </si>
  <si>
    <t>10.1109/TVCG.2017.2745941</t>
  </si>
  <si>
    <t>http://dx.doi.org/10.1109/TVCG.2017.2745941</t>
  </si>
  <si>
    <t>Reininghaus, J.;Kotava, N.;Gunther, D.;Kasten, J.;Hagen, H.;Hotz, I.</t>
  </si>
  <si>
    <t>37590998600;;;38028453100;37282578800;37282721800</t>
  </si>
  <si>
    <t>4658183;4658153;4376171;5290756;4015464</t>
  </si>
  <si>
    <t>Lindemann, F.;Ropinski, T.</t>
  </si>
  <si>
    <t>38017009000;38471794200</t>
  </si>
  <si>
    <t>4658196;1183761;5290740;6064977;1250394;1183764</t>
  </si>
  <si>
    <t>Williams, S.;Petersen, M.;Bremer, P.-T.;Hecht, M.;Pascucci, V.;Ahrens, J.;Hlawitschka, M.;Hamann, B.</t>
  </si>
  <si>
    <t>37534471500;38028525800;37564112000;38028545000;37284312600;37282713700;37403333700;37282068700</t>
  </si>
  <si>
    <t>346327;4658165;398877</t>
  </si>
  <si>
    <t>38024756400;37279188600;37271755400</t>
  </si>
  <si>
    <t>4658198;5290740;4658199;5290739;1532833;5290741</t>
  </si>
  <si>
    <t>Pierre Accorsi;Nathalie Lalande;Micka��l Fabr̬gue;Agn̬s Braud;Pascal Poncelet;Arnaud Sallaberry;Sandra Bringay;Maguelonne Teisseire;Flavie Cernesson;Florence Le Ber</t>
  </si>
  <si>
    <t>Pietroni, N.;Massimiliano, C.;Cignoni, P.;Scopigno, R.</t>
  </si>
  <si>
    <t>37680454000;;37265783400;37270887900</t>
  </si>
  <si>
    <t>Giusti, A.;Taddei, P.;Corani, G.;Gambardella, L.;Magli, C.;Gianaroli, L.</t>
  </si>
  <si>
    <t>37839568400;37591225000;37972936000;37270036000;37988921000;37972814500</t>
  </si>
  <si>
    <t>146378;568136</t>
  </si>
  <si>
    <t>Guoning Chen;Palke, D.;Zhongzang Lin;Yeh, H.;Vincent, P.;Laramee, R.S.;Zhang, E.</t>
  </si>
  <si>
    <t>37596533600;38016286200;37897252000;37889942300;38024282800;37267247900;37398562200</t>
  </si>
  <si>
    <t>1250379;5613502;1372212;398849;1532773;1532770;4015499;1532850;4015453;1532841;1250363;745295;1372188;745294;1532832;809905;885690;346326</t>
  </si>
  <si>
    <t>Wenchao Wu;Yixian Zheng;Huamin Qu;Wei Chen 0001;M. Eduard Gr̦ller;Lionel M. Ni</t>
  </si>
  <si>
    <t>Johanna Schmidt;Reinhold Preiner;Thomas Auzinger;Michael Wimmer;M. Eduard Gr̦ller;Stefan Bruckner</t>
  </si>
  <si>
    <t>37301933100;38006143400;37276603700;37285799200</t>
  </si>
  <si>
    <t>4658186;5290729;4015499;1372206;1183795;964553</t>
  </si>
  <si>
    <t>Yafeng Lu;Robert Kr�_ger;Dennis Thom;Feng Wang 0012;Steffen Koch;Thomas Ertl;Ross Maciejewski</t>
  </si>
  <si>
    <t>Ruiz, M.;Bardera, A.;Boada, I.;Viola, I.;Feixas, M.;Sbert, M.</t>
  </si>
  <si>
    <t>38017257300;38260088500;38265928900;37282726800;38263173100;38260648800</t>
  </si>
  <si>
    <t>5613460;4015471;4015461;5613461;4015449;1250414;4376185;5290764;568112;4658174;1532834;1183785;4015460</t>
  </si>
  <si>
    <t>Bei Wang;Summa, B.;Pascucci, V.;Vejdemo-Johansson, M.</t>
  </si>
  <si>
    <t>38025846900;38017036500;37284312600;38017034400</t>
  </si>
  <si>
    <t>5613467;5290728;4376169;5613465;5652940</t>
  </si>
  <si>
    <t>Marino, J.;Wei Zeng;Xianfeng Gu;Kaufman, A.</t>
  </si>
  <si>
    <t>37605959300;38231202300;38183364800;37268052800</t>
  </si>
  <si>
    <t>4015440;5613475;964540</t>
  </si>
  <si>
    <t>Khlebnikov, R.;Kainz, B.;Muehl, J.;Schmalstieg, D.</t>
  </si>
  <si>
    <t>37590719600;37680676000;37590720800;37297103800</t>
  </si>
  <si>
    <t>Dick, C.;Burgkart, R.;Westermann, R.</t>
  </si>
  <si>
    <t>38013954900;37281609100;37444424000</t>
  </si>
  <si>
    <t>1183752;5290754</t>
  </si>
  <si>
    <t>Jorge Poco;Harish Doraiswamy;Marian Talbert;Jeffrey T. Morisette;Cl��udio T. Silva</t>
  </si>
  <si>
    <t>Livingston, M.A.;Decker, J.W.</t>
  </si>
  <si>
    <t>37619718800;</t>
  </si>
  <si>
    <t>5290732;745292;146387;146386;4376150;175795;809905;1250362;745294;1250362</t>
  </si>
  <si>
    <t>Schlegel, P.;Makhinya, M.;Pajarola, R.</t>
  </si>
  <si>
    <t>38026738000;37695663200;37282193800</t>
  </si>
  <si>
    <t>4376160;1183764;1250384</t>
  </si>
  <si>
    <t>Bennett, J.C.;Krishnamoorthy, V.;Shusen Liu;Grout, R.W.;Hawkes, E.R.;Chen, J.H.;Shepherd, J.;Pascucci, V.;Bremer, P.-T.</t>
  </si>
  <si>
    <t>37551867600;38028168700;38025553600;37394659000;37299142500;37293022400;38020418600;37284312600;37564112000</t>
  </si>
  <si>
    <t>1372235;1250386;4376171;4015464;663875</t>
  </si>
  <si>
    <t>37601992200;37266875400</t>
  </si>
  <si>
    <t>4658159;5613469;745284;5290770;809896</t>
  </si>
  <si>
    <t>Hlawatsch, M.;Leube, P.;Nowak, W.;Weiskopf, D.</t>
  </si>
  <si>
    <t>37546168600;38017000700;38018564200;37268045000</t>
  </si>
  <si>
    <t>1532853;398849;963273;1250402;568139;1532857;175792;480819;568116;5290694</t>
  </si>
  <si>
    <t>Lipsa, D.R.;Laramee, R.S.;Cox, S.J.;Davies, I.T.</t>
  </si>
  <si>
    <t>38017004200;37267247900;38016817800;38021331800</t>
  </si>
  <si>
    <t>4658169;4658178</t>
  </si>
  <si>
    <t>Nelson, B.;Haimes, R.;Kirby, R.M.</t>
  </si>
  <si>
    <t>37557887400;37282898700;37275716100</t>
  </si>
  <si>
    <t>1532776;1372224;4015486</t>
  </si>
  <si>
    <t>Rieder, C.;Kroeger, T.;Schumann, C.;Hahn, H.K.</t>
  </si>
  <si>
    <t>38017035400;;38028801700;38020362400</t>
  </si>
  <si>
    <t>5613476;745311;885694</t>
  </si>
  <si>
    <t>Victor Matvienko;Jens H. Kr�_ger</t>
  </si>
  <si>
    <t>Parry, M.L.;Legg, P.A.;Chung, D.H.S.;Griffiths, I.W.;Chen, M.</t>
  </si>
  <si>
    <t>38030607100;38026705600;38022083900;38017014600;37677874500</t>
  </si>
  <si>
    <t>4658139;1382887;1250401;4376188;4015469</t>
  </si>
  <si>
    <t>Sunden, E.;Ynnerman, A.;Ropinski, T.</t>
  </si>
  <si>
    <t>38243026500;37284192000;38471794200</t>
  </si>
  <si>
    <t>6064955;1183761;1250394;1183764;4376189;1250384;5290774</t>
  </si>
  <si>
    <t>Suter, S.K.;Iglesias Guitian, J.A.;Marton, F.;Agus, M.;Elsener, A.;Zollikofer, C.P.E.;Gopi, M.;Gobbetti, E.;Pajarola, R.</t>
  </si>
  <si>
    <t>38017011900;38017011700;37550808100;37991435500;38017012300;38017013500;37271691400;37346861300;37282193800</t>
  </si>
  <si>
    <t>1183757;663900;4376192;745311;4015441;1250385</t>
  </si>
  <si>
    <t>van Pelt, R.;Olivan Bescos, J.;Breeuwer, M.;Clough, R.E.;Groller, M.E.;ter Haar Romeny, B.;Vilanova, A.</t>
  </si>
  <si>
    <t>37390973400;37591606800;37374875300;37603313200;37282552200;;37282551500</t>
  </si>
  <si>
    <t>van Pelt, R.;Olivan Bescos, J.;Breeuwer, M.;Clough, R.E.;Groller, E.;ter Haar Romenij, B.;Vilanova, A.</t>
  </si>
  <si>
    <t>398849;5290737;5613472;5613474;4376185;4658156;5290742;1532847;5613473;1532857</t>
  </si>
  <si>
    <t>Muigg, P.;Hadwiger, M.;Doleisch, H.;Groller, E.</t>
  </si>
  <si>
    <t>37546620600;37394809600;37546620400;37284271200</t>
  </si>
  <si>
    <t>1532796;4015496;4376191;1250390;964514;4015486;1532850;964511;809908</t>
  </si>
  <si>
    <t>Oeltze, S.;Freiler, W.;Hillert, R.;Doleisch, H.;Preim, B.;Schubert, W.</t>
  </si>
  <si>
    <t>37424645600;38017008700;38017009300;37546620400;37424645300;37410289200</t>
  </si>
  <si>
    <t>5333911;4015489;4015425;4376166;5290692</t>
  </si>
  <si>
    <t>Ziyi Zheng;Ahmed, N.;Mueller, K.</t>
  </si>
  <si>
    <t>37599599100;38021380500;37273119700</t>
  </si>
  <si>
    <t>5290746;4376185;4658153;4658191;5613489;5290740;1532833;1532818;4015450;5290763;5290762;1250414;1532834</t>
  </si>
  <si>
    <t>Nouanesengsy, B.;Teng-Yok Lee;Han-Wei Shen</t>
  </si>
  <si>
    <t>37570501300;37403060100;37279493500</t>
  </si>
  <si>
    <t>Lundstrom, C.;Rydell, T.;Forsell, C.;Persson, A.;Ynnerman, A.</t>
  </si>
  <si>
    <t>37284209100;38017009700;37546939800;37604521200;37284192000</t>
  </si>
  <si>
    <t>5613504;5652880;4015441</t>
  </si>
  <si>
    <t>Waser, J.;Ribicic, H.;Fuchs, R.;Hirsch, C.;Schindler, B.;Bloschl, G.;Groller, M.E.</t>
  </si>
  <si>
    <t>38111592300;38229386600;38099765400;37408064900;38102461400;38229402400;37282552200</t>
  </si>
  <si>
    <t>Waser, J.;Ribicic, H.;Fuchs, R.;Hirsch, C.;Schindler, B.;Bloschl, G.;Groller, E.</t>
  </si>
  <si>
    <t>5613487;4376187;1173149;5613489;1382904;1532795;5290771;1532143;5613488;5613487</t>
  </si>
  <si>
    <t>Mathias Goldau;Andr̩ Reichenbach;Mario Hlawitschka</t>
  </si>
  <si>
    <t>Mohammad Imrul Jubair;Usman R. Alim;Niklas R̦ber;John P. Clyne;Ali Mahdavi-Amiri;Faramarz F. Samavati</t>
  </si>
  <si>
    <t>Amirkhanov, A.;Heinzl, C.;Reiter, M.;Kastner, J.;Groller, E.</t>
  </si>
  <si>
    <t>37590979900;37400391300;37593834800;37947609000;37284271200</t>
  </si>
  <si>
    <t>4658169;1250418</t>
  </si>
  <si>
    <t>Mirzargar, M.;Entezari, A.</t>
  </si>
  <si>
    <t>37978593500;37268675600</t>
  </si>
  <si>
    <t>4658171;1372174;4376189;964498;1532810;663848;346331</t>
  </si>
  <si>
    <t>Cheuk Yiu Ip;Varshney, A.</t>
  </si>
  <si>
    <t>37586231900;37282560200</t>
  </si>
  <si>
    <t>5613460;4376209;4376165;4015449;1250401;4015448;1532833</t>
  </si>
  <si>
    <t>Erik Sund̩n;Peter Steneteg;Sathish Kottravel;Daniel J̦nsson;Rickard Englund;Martin Falk;Timo Ropinski</t>
  </si>
  <si>
    <t>Angelelli, P.;Hauser, H.</t>
  </si>
  <si>
    <t>37889160600;37274158800</t>
  </si>
  <si>
    <t>5290768;5613501;568137;1250353;5613474;964540;5290734</t>
  </si>
  <si>
    <t>37982882900;37278509300</t>
  </si>
  <si>
    <t>4658165;5290764;4376169</t>
  </si>
  <si>
    <t>Bartram, L.;Cheung, B.;Stone, M.C.</t>
  </si>
  <si>
    <t>37353447100;38027547900;37376130500</t>
  </si>
  <si>
    <t>4376199;4015474</t>
  </si>
  <si>
    <t>Gasteiger, R.;Neugebauer, M.;Beuing, O.;Preim, B.</t>
  </si>
  <si>
    <t>38017015100;38030357700;38017002900;37424645300</t>
  </si>
  <si>
    <t>5613473;5290742;5613474;4015450;5290732;1532818</t>
  </si>
  <si>
    <t>Correa, C.;Lindstrom, P.;Bremer, P.-T.</t>
  </si>
  <si>
    <t>37282925900;37269320000;37564112000</t>
  </si>
  <si>
    <t>1183772;4376172;4376169;1250376;5290727;4658183;5613467;1532839;4015464</t>
  </si>
  <si>
    <t>Correa, C.;Lindstrom, P.</t>
  </si>
  <si>
    <t>37282925900;37269320000</t>
  </si>
  <si>
    <t>1532839;5613467;6064947;5652940;809932</t>
  </si>
  <si>
    <t>38021343000;37405886900</t>
  </si>
  <si>
    <t>4658159;346321;4035742;809871;4015447;1250401;4658163;5613488;1250402;480809;4658174;964531;5290749</t>
  </si>
  <si>
    <t>Torsney-Weir, T.;Saad, A.;Moller, T.;Hege, H.-C.;Weber, B.;Verbavatz, J.;Bergner, S.</t>
  </si>
  <si>
    <t>38229404800;37405565700;37275858700;37282272000;38002090200;38229406100;37418878100</t>
  </si>
  <si>
    <t>4376187;4658159;5613487;5613488;346302;5613441;398859;809871;6065007;885678</t>
  </si>
  <si>
    <t>Kasten, J.;Reininghaus, J.;Hotz, I.;Hege, H.-C.</t>
  </si>
  <si>
    <t>38028453100;37590998600;37282721800;37282272000</t>
  </si>
  <si>
    <t>1532830;1372214;4658165;1183821;4015452</t>
  </si>
  <si>
    <t>Moran, P.J.;Ellsworth, D.</t>
  </si>
  <si>
    <t>37264891100;37282594500</t>
  </si>
  <si>
    <t>175782;5290780;1183820</t>
  </si>
  <si>
    <t>Tricoche, X.;Garth, C.;Sanderson, A.</t>
  </si>
  <si>
    <t>37282575100;37282573700;37283733200</t>
  </si>
  <si>
    <t>1532839;1250376;1372214;885716;4376169;5613484;1532770;1183786;346326</t>
  </si>
  <si>
    <t>Haidacher, M.;Bruckner, S.;Groller, E.</t>
  </si>
  <si>
    <t>37403983600;37265895700;37284271200</t>
  </si>
  <si>
    <t>5613460;4015490;5613461;4015449;4376182;4658188;5613459</t>
  </si>
  <si>
    <t>38017029700;38182750200;37282272000</t>
  </si>
  <si>
    <t>5613501;4015487;5290753</t>
  </si>
  <si>
    <t>Aur̩lie Coh̩;Bastien Liutkus;Gilles Bailly;James R. Eagan;Eric Lecolinet</t>
  </si>
  <si>
    <t>Koehler, C.;Wischgoll, T.;Haibo Dong;Gaston, Z.</t>
  </si>
  <si>
    <t>37665393300;37282584400;38026590900;38017003700</t>
  </si>
  <si>
    <t>1183789;1532830;4376209;1532831;4658155;5613499;1532848;1532850;5613500;885690;5613462;1372196;745296;4376173;5290738;4658156;4015451;1183821;4376212;5613473;4015452</t>
  </si>
  <si>
    <t>37595201300;38027433600;37403856700</t>
  </si>
  <si>
    <t>5613492;745319;4658154;1250414;4376159;568112;5290762;4658153;1250386;1250413;885694;1532856;663875;4015460</t>
  </si>
  <si>
    <t>Mehmet Adil Yal̤in;Niklas Elmqvist;Benjamin B. Bederson</t>
  </si>
  <si>
    <t>Dork, M.;Gruen, D.;Williamson, C.;Carpendale, S.</t>
  </si>
  <si>
    <t>37590950400;37603901200;37276124700;38268267300</t>
  </si>
  <si>
    <t>5333443;4376134;4658136;4658131;1532133;1249028;4677364;5333437</t>
  </si>
  <si>
    <t>Talbot, J.;Lin, S.;Hanrahan, P.</t>
  </si>
  <si>
    <t>37604514900;37594968800;37349803800</t>
  </si>
  <si>
    <t>Forbes, A.G.;Hollerer, T.;Legrady, G.</t>
  </si>
  <si>
    <t>38180697500;37265602700;37590949900</t>
  </si>
  <si>
    <t>Forbes, A.;Hollerer, T.;Legrady, G.</t>
  </si>
  <si>
    <t>1382905;567746_1;636761;5290695</t>
  </si>
  <si>
    <t>Lex, A.;Streit, M.;Partl, C.;Kashofer, K.;Schmalstieg, D.</t>
  </si>
  <si>
    <t>37395933400;37403918900;37591066400;37591065600;37297103800</t>
  </si>
  <si>
    <t>568118;146402;4015425;4376153;4376152;5290692;885086</t>
  </si>
  <si>
    <t>Heer, J.;Bostock, M.</t>
  </si>
  <si>
    <t>37550791300;37591067400</t>
  </si>
  <si>
    <t>5290720;4015439;1382904;4376131;5290702;235219;5290718;5290719;4376146;1382905;885086</t>
  </si>
  <si>
    <t>Hoi Ying Tsang;Tory, M.;Swindells, C.</t>
  </si>
  <si>
    <t>37605057400;37275861300;37267462600</t>
  </si>
  <si>
    <t>5290698;5290701;4658133</t>
  </si>
  <si>
    <t>Borgo, R.;Proctor, K.;Chen, M.;Janicke, H.;Murray, T.;Thornton, I.M.</t>
  </si>
  <si>
    <t>37591074800;37591072200;37280982800;37393638200;37274098800;37591073500</t>
  </si>
  <si>
    <t>Borgo, R.;Proctor, K.;Chen, M.;Jänicke, H.;Murray, T.;Thornton, I.M.</t>
  </si>
  <si>
    <t>Nan Cao;Jimeng Sun;Yu-Ru Lin;Gotz, D.;Shixia Liu;Huamin Qu</t>
  </si>
  <si>
    <t>37604309600;37281417100;37598450200;37601397400;37406039100;37272637300</t>
  </si>
  <si>
    <t>4015419;5333443;885098;5290725;4658140;4658133;5290723;5290722;1532126;4015432;4015425;745302;5290726;528686;4015423</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</si>
  <si>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</si>
  <si>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Bezerianos, A.;Dragicevic, P.;Fekete, J.;Juhee Bae;Watson, B.</t>
  </si>
  <si>
    <t>37413699200;37590932700;37407972900;37595934400;37356872100</t>
  </si>
  <si>
    <t>1173156;1532124</t>
  </si>
  <si>
    <t>Wickham, H.;Cook, D.;Hofmann, H.;Buja, Andreas</t>
  </si>
  <si>
    <t>37591246300;37358631700;37592793000;37591245700</t>
  </si>
  <si>
    <t>Wickham, H.;Cook, D.;Hofmann, H.;Buja, A.</t>
  </si>
  <si>
    <t>Javed, W.;McDonnel, B.;Elmqvist, N.</t>
  </si>
  <si>
    <t>37399152800;37590945700;37295438200</t>
  </si>
  <si>
    <t>4658136;4376151;4376143;801851;4658146;1532144</t>
  </si>
  <si>
    <t>O'Brien, T.M.;Ritz, A.M.;Raphael, B.J.;Laidlaw, D.H.</t>
  </si>
  <si>
    <t>37587217600;37591075900;37271723100;37275712600</t>
  </si>
  <si>
    <t>5290720;5290692</t>
  </si>
  <si>
    <t>Grammel, Lars;Tory, M.;Storey, M.</t>
  </si>
  <si>
    <t>37322138200;37275861300;37268043300</t>
  </si>
  <si>
    <t>Grammel, L.;Tory, M.;Storey, M.</t>
  </si>
  <si>
    <t>4376144;4015420;4376134;5333878;4658124;4035745;4376131;4677358;4677365;4376143;1532136;729560;4376133;885086;963289;885092;4658129</t>
  </si>
  <si>
    <t>Ziemkiewicz, C.;Kosara, R.</t>
  </si>
  <si>
    <t>37548028800;37282563400</t>
  </si>
  <si>
    <t>37587908000;37293389400;37594632900;37422552700</t>
  </si>
  <si>
    <t>Koh, K.;Bongshin Lee;Bohyoung Kim;Jinwook Seo</t>
  </si>
  <si>
    <t>4376134;4376144;5290722;5333443;1249031</t>
  </si>
  <si>
    <t>Feng, D.;Kwock, L.;Yueh Lee;Taylor, R.M.</t>
  </si>
  <si>
    <t>37593630400;37590983500;37600714800;38183525100</t>
  </si>
  <si>
    <t>4658159;963286;4658166;5290705;1173145;5290770;809866;5290731;4015444;1382892;346302;4658123;5290765</t>
  </si>
  <si>
    <t>457</t>
  </si>
  <si>
    <t>467</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</si>
  <si>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</si>
  <si>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Benjamin Bach;Ronell Sicat;Johanna Beyer;Maxime Cordeil;Hanspeter Pfister</t>
  </si>
  <si>
    <t>Harvard University;Harvard University;Harvard University;Monash University;Harvard University</t>
  </si>
  <si>
    <t>10.1109/TVCG.2011.234;10.1109/TVCG.2012.216;10.1109/TVCG.2016.2599107;10.1109/TVCG.2008.153;10.1109/TVCG.2013.121;10.1109/TVCG.2013.134;10.1109/TVCG.2015.2467202</t>
  </si>
  <si>
    <t>Augmented Reality,3D Interaction,User Study,Immersive Displays</t>
  </si>
  <si>
    <t>Active Reading of Visualizations</t>
  </si>
  <si>
    <t>10.1109/TVCG.2017.2745958</t>
  </si>
  <si>
    <t>http://dx.doi.org/10.1109/TVCG.2017.2745958</t>
  </si>
  <si>
    <t>770</t>
  </si>
  <si>
    <t>780</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</si>
  <si>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</si>
  <si>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Jagoda Walny;Samuel Huron;Charles Perin;Tiffany Wun;Richard Pusch;Sheelagh Carpendale</t>
  </si>
  <si>
    <t>University of Calgary;University of Calgary;University of Calgary;University of Calgary;University of Calgary;University of Calgary</t>
  </si>
  <si>
    <t>10.1109/INFVIS.2005.1532136;10.1109/TVCG.2011.185;10.1109/TVCG.2015.2467201;10.1109/TVCG.2014.2346984;10.1109/TVCG.2016.2598594;10.1109/INFVIS.2004.1;10.1109/TVCG.2014.2346435;10.1109/TVCG.2010.164;10.1109/TVCG.2008.141;10.1109/TVCG.2015.2467452;10.1109/TVCG.2015.2467671;10.1109/TVCG.2015.2467195;10.1109/TVCG.2014.2346573;10.1109/TVCG.2015.2467811;10.1109/TVCG.2014.2346422;10.1109/TVCG.2010.179;10.1109/TVCG.2013.164;10.1109/TVCG.2012.189</t>
  </si>
  <si>
    <t>active reading of visualizations,active reading,information visualization,spectrum of physical engagement</t>
  </si>
  <si>
    <t>HiPiler: Visual Exploration of Large Genome Interaction Matrices with Interactive Small Multiples</t>
  </si>
  <si>
    <t>10.1109/TVCG.2017.2745978</t>
  </si>
  <si>
    <t>http://dx.doi.org/10.1109/TVCG.2017.2745978</t>
  </si>
  <si>
    <t>522</t>
  </si>
  <si>
    <t>531</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</si>
  <si>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</si>
  <si>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Fritz Lekschas;Benjamin Bach;Peter Kerpedjiev;Nils Gehlenborg;Hanspeter Pfister</t>
  </si>
  <si>
    <t>Harvard University;Harvard University;Harvard Medical School;Harvard Medical School;Harvard University</t>
  </si>
  <si>
    <t>10.1109/TVCG.2015.2467851;10.1109/TVCG.2016.2598467;10.1109/TVCG.2012.208;10.1109/TVCG.2007.70582;10.1109/VAST.2009.5333893</t>
  </si>
  <si>
    <t>Interactive Small Multiples,Matrix Comparison,Biomedical Visualization,Genomics</t>
  </si>
  <si>
    <t>Taking Word Clouds Apart: An Empirical Investigation of the Design Space for Keyword Summaries</t>
  </si>
  <si>
    <t>10.1109/TVCG.2017.2746018</t>
  </si>
  <si>
    <t>http://dx.doi.org/10.1109/TVCG.2017.2746018</t>
  </si>
  <si>
    <t>657</t>
  </si>
  <si>
    <t>666</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</si>
  <si>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</si>
  <si>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Cristian Felix;Steven Franconeri;Enrico Bertini</t>
  </si>
  <si>
    <t>New York University;Northwestern University;New York University</t>
  </si>
  <si>
    <t>10.1109/VAST.2009.5333443;10.1109/TVCG.2016.2598447;10.1109/TVCG.2011.176;10.1109/TVCG.2010.194;10.1109/TVCG.2009.165;10.1109/TVCG.2009.171</t>
  </si>
  <si>
    <t>Word Clouds,Tag Clouds,Text Visualization,Keyword Summaries</t>
  </si>
  <si>
    <t>The Topology ToolKit</t>
  </si>
  <si>
    <t>10.1109/TVCG.2017.2743938</t>
  </si>
  <si>
    <t>http://dx.doi.org/10.1109/TVCG.2017.2743938</t>
  </si>
  <si>
    <t>Tobias G�_nther;Maik Schulze;Holger Theisel</t>
  </si>
  <si>
    <t>832</t>
  </si>
  <si>
    <t>842</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</si>
  <si>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</si>
  <si>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Julien Tierny;Guillaume Favelier;Joshua A. Levine;Charles Gueunet;Michael Michaux</t>
  </si>
  <si>
    <t>Sorbonne Universites, UPMC Univ Paris 06, CNRS, LIP6 UMR 7606, France;Sorbonne Universites, UPMC Univ Paris 06, CNRS, LIP6 UMR 7606, France;University of Arizona, USA;Sorbonne Universites, UPMC Univ Paris 06, CNRS, LIP6 UMR 7606, France;Sorbonne Universites, UPMC Univ Paris 06, CNRS, LIP6 UMR 7606, France</t>
  </si>
  <si>
    <t>10.1109/TVCG.2008.119;10.1109/VISUAL.2005.1532788;10.1109/VISUAL.2004.96;10.1109/TVCG.2014.2346322;10.1109/TVCG.2010.213;10.1109/TVCG.2014.2346403;10.1109/TVCG.2008.110;10.1109/TVCG.2012.209;10.1109/TVCG.2014.2346434;10.1109/TVCG.2015.2467432;10.1109/TVCG.2007.70603;10.1109/TVCG.2015.2467449;10.1109/TVCG.2006.186;10.1109/TVCG.2014.2346318;10.1109/TVCG.2014.2346332;10.1109/TVCG.2016.2599017;10.1109/TVCG.2009.163;10.1109/TVCG.2012.228</t>
  </si>
  <si>
    <t>Topological data analysis,scalar data,data segmentation,feature extraction,bivariate data,uncertain data</t>
  </si>
  <si>
    <t>Globe Browsing: Contextualized Spatio-Temporal Planetary Surface Visualization</t>
  </si>
  <si>
    <t>10.1109/TVCG.2017.2743958</t>
  </si>
  <si>
    <t>http://dx.doi.org/10.1109/TVCG.2017.2743958</t>
  </si>
  <si>
    <t>Jeremy Boy;Louis Eveillard;Fran̤oise D̩tienne;Jean-Daniel Fekete</t>
  </si>
  <si>
    <t>802</t>
  </si>
  <si>
    <t>811</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</si>
  <si>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</si>
  <si>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Karl Bladin;Emil Axelsson;Erik Broberg;Carter Emmart;Patric Ljung;Alexander Bock;Anders Ynnerman</t>
  </si>
  <si>
    <t>Link&amp;#x00F6;ping University;Link&amp;#x00F6;ping University;Link&amp;#x00F6;ping University;American Museum of Natural History;Link&amp;#x00F6;ping University;New York UniversityLink&amp;#x00F6;ping University;Link&amp;#x00F6;ping University</t>
  </si>
  <si>
    <t>10.1109/SciVis.2015.7429503;10.1109/VISUAL.2003.1250366;10.1109/VISUAL.1997.663860</t>
  </si>
  <si>
    <t>Astronomical visualization,globe rendering,public dissemination,science communication,space mission visualization</t>
  </si>
  <si>
    <t>The Good, the Bad, and the Ugly: A Theoretical Framework for the Assessment of Continuous Colormaps</t>
  </si>
  <si>
    <t>10.1109/TVCG.2017.2743978</t>
  </si>
  <si>
    <t>http://dx.doi.org/10.1109/TVCG.2017.2743978</t>
  </si>
  <si>
    <t>923</t>
  </si>
  <si>
    <t>933</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</si>
  <si>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</si>
  <si>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Roxana Bujack;Terece L. Turton;Francesca Samsel;Colin Ware;David H. Rogers;James P. Ahrens</t>
  </si>
  <si>
    <t>Roxana Bujack;Terece L. Turton;Francesca Samsel;Colin Ware;David H. Rogers;James Ahrens</t>
  </si>
  <si>
    <t>Los Alamos National Laboratory;University of Texas, Austin;University of Texas, Austin;University of New Hampshire;Los Alamos National Laboratory;Los Alamos National Laboratory</t>
  </si>
  <si>
    <t>10.1109/VISUAL.1995.480803;10.1109/TVCG.2014.2346978;10.1109/TVCG.2016.2599214;10.1109/VISUAL.2002.1183788;10.1109/TVCG.2014.2346325;10.1109/TVCG.2016.2599106;10.1109/VISUAL.1990.146383;10.1109/VISUAL.1990.146372;10.1109/VISUAL.2001.964510</t>
  </si>
  <si>
    <t>colormap,survey,taxonomy,order,uniformity,discriminative power,smoothness,monotonicity,linearity,speed</t>
  </si>
  <si>
    <t>Screen-Space Normal Distribution Function Caching for Consistent Multi-Resolution Rendering of Large Particle Data</t>
  </si>
  <si>
    <t>10.1109/TVCG.2017.2743979</t>
  </si>
  <si>
    <t>http://dx.doi.org/10.1109/TVCG.2017.2743979</t>
  </si>
  <si>
    <t>944</t>
  </si>
  <si>
    <t>953</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</si>
  <si>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</si>
  <si>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Mohamed Ibrahim;Patrick Wickenhauser;Peter Rautek;Guido Reina;Markus Hadwiger</t>
  </si>
  <si>
    <t>Mohamed Ibrahim;Patrick Wickenhäuser;Peter Rautek;Guido Reina;Markus Hadwiger</t>
  </si>
  <si>
    <t>King Abdullah University of Science and Technology (KAUST), Saudi Arabia;Visualization Research Center (VISUS), University of Stuttgart, Germany;King Abdullah University of Science and Technology (KAUST), Saudi Arabia;Visualization Research Center (VISUS), University of Stuttgart, Germany;King Abdullah University of Science and Technology (KAUST), Saudi Arabia</t>
  </si>
  <si>
    <t>10.1109/VISUAL.2004.103;10.1109/TVCG.2009.142;10.1109/VISUAL.2003.1250404;10.1109/TVCG.2014.2346324;10.1109/TVCG.2010.215;10.1109/TVCG.2016.2599041;10.1109/SciVis.2015.7429492</t>
  </si>
  <si>
    <t>Multiresolution Techniques,Point-Based Data,Glyph-based Techniques,Scalability Issues,Molecular Visualization</t>
  </si>
  <si>
    <t>TopoAngler: Interactive Topology-Based Extraction of Fishes</t>
  </si>
  <si>
    <t>10.1109/TVCG.2017.2743980</t>
  </si>
  <si>
    <t>http://dx.doi.org/10.1109/TVCG.2017.2743980</t>
  </si>
  <si>
    <t>812</t>
  </si>
  <si>
    <t>821</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</si>
  <si>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human-in-the-Ioop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</si>
  <si>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Alexander Bock;Harish Doraiswamy;Adam Summers;Cláudio T. Silva</t>
  </si>
  <si>
    <t>Alexander Bock;Harish Doraiswamy;Adam Summers;Cláudio Silva</t>
  </si>
  <si>
    <t>New York University;New York University;University of Washington;New York University</t>
  </si>
  <si>
    <t>10.1109/VISUAL.2004.96;10.1109/TVCG.2007.70565;10.1109/TVCG.2014.2346449;10.1109/TVCG.2009.178;10.1109/TVCG.2006.186;10.1109/TVCG.2014.2346351;10.1109/TVCG.2016.2598585;10.1109/TVCG.2009.111;10.1109/TVCG.2010.208</t>
  </si>
  <si>
    <t>Computational topology,join trees,branch decomposition,hierarchical segmentation,interaction,visualization system</t>
  </si>
  <si>
    <t>Multiscale Visualization and Scale-Adaptive Modification of DNA Nanostructures</t>
  </si>
  <si>
    <t>10.1109/TVCG.2017.2743981</t>
  </si>
  <si>
    <t>http://dx.doi.org/10.1109/TVCG.2017.2743981</t>
  </si>
  <si>
    <t>1014</t>
  </si>
  <si>
    <t>1024</t>
  </si>
  <si>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</si>
  <si>
    <t>Haichao Miao;Elisa De Llano;Johannes Sorger;Yasaman Ahmadi;Tadija Kekic;Tobias Isenberg 0001;M. Eduard Gröller;Ivan Barisic;Ivan Viola</t>
  </si>
  <si>
    <t>Haichao Miao;Elisa De Llano;Johannes Sorger;Yasaman Ahmadi;Tadija Kekic;Tobias Isenberg;M. Eduard Gröller;Ivan Barišić;Ivan Viola</t>
  </si>
  <si>
    <t>TU Wien, Austria;Austrian Institute of Technology;TU Wien, Austria;Austrian Institute of Technology;Austrian Institute of Technology;Université Paris-Saclay, France;TU Wien, Austria;Austrian Institute of Technology;TU Wien, Austria</t>
  </si>
  <si>
    <t>10.1109/VISUAL.2004.103;10.1109/TVCG.2007.70578;10.1109/TVCG.2009.168;10.1109/TVCG.2013.126;10.1109/TVCG.2009.111</t>
  </si>
  <si>
    <t>Nano,nanotechnology,assembly,multiscale,abstraction,DNA,origami,scale-adaptive modification</t>
  </si>
  <si>
    <t>Robust Detection and Visualization of Jet-Stream Core Lines in Atmospheric Flow</t>
  </si>
  <si>
    <t>10.1109/TVCG.2017.2743989</t>
  </si>
  <si>
    <t>http://dx.doi.org/10.1109/TVCG.2017.2743989</t>
  </si>
  <si>
    <t>893</t>
  </si>
  <si>
    <t>902</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</si>
  <si>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 -a team of visualization scientists and meteorologists-propose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</si>
  <si>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Michael Kern;Tim Hewson;Filip Sadlo;Rüdiger Westermann;Marc Rautenhaus</t>
  </si>
  <si>
    <t>Computer Graphics &amp; Visualization Group, Technische Universität, München, Garching, Germany;European Centre for Medium-Range Weather Forecasts, Reading, UK;Visual Computing Group, Heidelberg University, Heidelberg, Germany;Computer Graphics &amp; Visualization Group, Technische Universität, München, Garching, Germany;Computer Graphics &amp; Visualization Group, Technische Universität, München, Garching, Germany</t>
  </si>
  <si>
    <t>Meteorology,weather forecast,jet-stream,feature detection</t>
  </si>
  <si>
    <t>Interactive Design and Visualization of Branched Covering Spaces</t>
  </si>
  <si>
    <t>10.1109/TVCG.2017.2744038</t>
  </si>
  <si>
    <t>http://dx.doi.org/10.1109/TVCG.2017.2744038</t>
  </si>
  <si>
    <t>843</t>
  </si>
  <si>
    <t>852</t>
  </si>
  <si>
    <t>Branched covering spaces are a mathematical concept which originates from complex analysis and topology and has applications in tensor field topology and geometry remeshing. Given a manifold surface and an&lt;inline-formula&gt;&lt;tex-math notation="LaTeX"&gt;$N$&lt;/tex-math&gt;&lt;alternatives&gt;&lt;inline-graphic xlink:href="24tvcg01-zhang-2744038-ieq-1-source.tif" xmlns:xlink="http://www.w3.org/1999/xlink"/&gt;&lt;/alternatives&gt;&lt;/inline-formula&gt;-way rotational symmetry field, a branched covering space is a manifold surface that has an&lt;inline-formula&gt;&lt;tex-math notation="LaTeX"&gt;$N$&lt;/tex-math&gt;&lt;alternatives&gt;&lt;inline-graphic xlink:href="24tvcg01-zhang-2744038-ieq-2-source.tif" xmlns:xlink="http://www.w3.org/1999/xlink"/&gt;&lt;/alternatives&gt;&lt;/inline-formula&gt;-to-1 map to the original surface except at the&lt;italic&gt;ramification points&lt;/italic&gt;,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the&lt;italic&gt;Riemann-Hurwitz formula&lt;/italic&gt;which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</si>
  <si>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Lawrence Roy;Prashant Kumar;Sanaz Golbabaei;Yue Zhang 0009;Eugene Zhang</t>
  </si>
  <si>
    <t>Lawrence Roy;Prashant Kumar;Sanaz Golbabaei;Yue Zhang;Eugene Zhang</t>
  </si>
  <si>
    <t>Roy Family Homeschool;Oregon State University;Oregon State University;Oregon State University;Oregon State University</t>
  </si>
  <si>
    <t>Tensor field topology,math visualization,branched covering spaces visualization,rotational symmetries,ramification points</t>
  </si>
  <si>
    <t>On the Treatment of Field Quantities and Elemental Continuity in FEM Solutions</t>
  </si>
  <si>
    <t>10.1109/TVCG.2017.2744058</t>
  </si>
  <si>
    <t>http://dx.doi.org/10.1109/TVCG.2017.2744058</t>
  </si>
  <si>
    <t>903</t>
  </si>
  <si>
    <t>912</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</si>
  <si>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only&lt;inline-formula&gt;&lt;tex-math notation="LaTeX"&gt;$C^{0}$&lt;/tex-math&gt;&lt;alternatives&gt;&lt;inline-graphic xlink:href="24tvcg01-jallepalli-2744058-ieq-1-source.tif" xmlns:xlink="http://www.w3.org/1999/xlink"/&gt;&lt;/alternatives&gt;&lt;/inline-formula&gt;continuous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</si>
  <si>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Ashok Jallepalli;Julia Docampo-Sánchez;Jennifer K. Ryan;Robert Haimes;Robert Michael Kirby</t>
  </si>
  <si>
    <t>Ashok Jallepalli;Julia Docampo-Sánchez;Jennifer K. Ryan;Robert Haimes;Robert M. Kirby</t>
  </si>
  <si>
    <t>SCI InstituteUniversity of Utah;School of MathematicsUniversity of East Anglia;School of MathematicsUniversity of East Anglia;Department of AeronauticsMIT;SCI InstituteUniversity of Utah</t>
  </si>
  <si>
    <t>10.1109/VISUAL.2004.65;10.1109/TVCG.2011.206;10.1109/TVCG.2012.218</t>
  </si>
  <si>
    <t>Flow Visualization,discontinuous Galerkin (dG) methods,continuous Galerkin (cG) methods,finite element methods (FEM),finite volume methods,filtering techniques,Scalar Field Data,Irregular and Unstructured Grids,Extraction of Surfaces((Isosurfaces)</t>
  </si>
  <si>
    <t>Dynamic Load Balancing Based on Constrained K-D Tree Decomposition for Parallel Particle Tracing</t>
  </si>
  <si>
    <t>10.1109/TVCG.2017.2744059</t>
  </si>
  <si>
    <t>http://dx.doi.org/10.1109/TVCG.2017.2744059</t>
  </si>
  <si>
    <t>Steffen Oeltze-Jafra;Juan R. Cebral;G��bor Janiga;Bernhard Preim</t>
  </si>
  <si>
    <t>954</t>
  </si>
  <si>
    <t>963</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</si>
  <si>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</si>
  <si>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Jiang Zhang;Hanqi Guo;Fan Hong;Xiaoru Yuan;Tom Peterka</t>
  </si>
  <si>
    <t>Ministry of EducationKey Laboratory of Machine PerceptionSchool of EECSPeking University;Mathematics and Computer Science Division, Argonne National Laboratory, Lemont, IL, USA;Ministry of EducationKey Laboratory of Machine PerceptionSchool of EECSPeking University;Ministry of EducationKey Laboratory of Machine PerceptionSchool of EECSPeking University;Mathematics and Computer Science Division, Argonne National Laboratory, Lemont, IL, USA</t>
  </si>
  <si>
    <t>10.1109/TVCG.2013.128;10.1109/TVCG.2007.70551;10.1109/TVCG.2013.144;10.1109/TVCG.2011.219;10.1109/VISUAL.1997.663898;10.1109/TVCG.2017.2744059</t>
  </si>
  <si>
    <t>Parallel particle tracing,dynamic load balancing,k-d trees,performance analysis</t>
  </si>
  <si>
    <t>An Intelligent System Approach for Probabilistic Volume Rendering Using Hierarchical 3D Convolutional Sparse Coding</t>
  </si>
  <si>
    <t>10.1109/TVCG.2017.2744078</t>
  </si>
  <si>
    <t>http://dx.doi.org/10.1109/TVCG.2017.2744078</t>
  </si>
  <si>
    <t>964</t>
  </si>
  <si>
    <t>973</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</si>
  <si>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</si>
  <si>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Tran Minh Quan;Junyoung Choi;Haejin Jeong;Won-Ki Jeong</t>
  </si>
  <si>
    <t>Ulsan Nat'l Inst. of Science and Technology (UNIST);Ulsan Nat'l Inst. of Science and Technology (UNIST);Ulsan Nat'l Inst. of Science and Technology (UNIST);Ulsan Nat'l Inst. of Science and Technology (UNIST)</t>
  </si>
  <si>
    <t>10.1109/TVCG.2008.162;10.1109/TVCG.2011.261;10.1109/TVCG.2012.231</t>
  </si>
  <si>
    <t>Volume Rendering,Machine Learning,Hierarchically Convolutional Sparse Coding</t>
  </si>
  <si>
    <t>A Virtual Reality Visualization Tool for Neuron Tracing</t>
  </si>
  <si>
    <t>10.1109/TVCG.2017.2744079</t>
  </si>
  <si>
    <t>http://dx.doi.org/10.1109/TVCG.2017.2744079</t>
  </si>
  <si>
    <t>Florian Ferstl;Kai B�_rger;R�_diger Westermann</t>
  </si>
  <si>
    <t>994</t>
  </si>
  <si>
    <t>1003</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</si>
  <si>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</si>
  <si>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Will Usher;Pavol Klacansky;Frederick Federer;Peer-Timo Bremer;Aaron Knoll;Jeff Yarch;Alessandra Angelucci;Valerio Pascucci</t>
  </si>
  <si>
    <t>SCI Institute, University of Utah, USA;SCI Institute, University of Utah, USA;Moran Eye Institute, University of Utah, USA;Lawrence Livermore National Laboratory, USA;SCI Institute, University of Utah, USA;Moran Eye Institute, University of Utah, USA;Moran Eye Institute, University of Utah, USA;SCI Institute, University of Utah, USA</t>
  </si>
  <si>
    <t>10.1109/TVCG.2009.204;10.1109/TVCG.2012.213</t>
  </si>
  <si>
    <t>Virtual reality,interaction design,design studies</t>
  </si>
  <si>
    <t>Uncertainty Visualization Using Copula-Based Analysis in Mixed Distribution Models</t>
  </si>
  <si>
    <t>10.1109/TVCG.2017.2744099</t>
  </si>
  <si>
    <t>http://dx.doi.org/10.1109/TVCG.2017.2744099</t>
  </si>
  <si>
    <t>934</t>
  </si>
  <si>
    <t>943</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</si>
  <si>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</si>
  <si>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Subhashis Hazarika;Ayan Biswas;Han-Wei Shen</t>
  </si>
  <si>
    <t>Department of Computer Science and EngineeringGRAVITY research groupThe Ohio State University;Los Alamos National Laboratory;Department of Computer Science and EngineeringGRAVITY research groupThe Ohio State University</t>
  </si>
  <si>
    <t>10.1109/TVCG.2013.208;10.1109/TVCG.2015.2467958;10.1109/TVCG.2016.2598604;10.1109/TVCG.2015.2467436;10.1109/TVCG.2012.249;10.1109/TVCG.2013.143</t>
  </si>
  <si>
    <t>Uncertainty visualization,probability distribution,probabilistic feature,statistical modeling,copula</t>
  </si>
  <si>
    <t>StreetVizor: Visual Exploration of Human-Scale Urban Forms Based on Street Views</t>
  </si>
  <si>
    <t>10.1109/TVCG.2017.2744159</t>
  </si>
  <si>
    <t>http://dx.doi.org/10.1109/TVCG.2017.2744159</t>
  </si>
  <si>
    <t>1004</t>
  </si>
  <si>
    <t>1013</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</si>
  <si>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AOI Explorer for the visual comparison of spatial distributions and quantitative measurements in two areas-of-interest (AOIs)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</si>
  <si>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Qiaomu Shen;Wei Zeng;Yu Ye;Stefan Müller Arisona;Simon Schubiger-Banz;Remo Aslak Burkhard;Huamin Qu</t>
  </si>
  <si>
    <t>Qiaomu Shen;Wei Zeng;Yu Ye;Stefan Müller Arisona;Simon Schubiger;Remo Burkhard;Huamin Qu</t>
  </si>
  <si>
    <t>Hong Kong University of Science and Technology;Future Cities LaboratoryETH Zurich;Tongji University;University of Applied Sciences and Arts Northwestern Switzerland FHNW;University of Applied Sciences and Arts Northwestern Switzerland FHNW;Future Cities LaboratoryETH Zurich;Hong Kong University of Science and Technology</t>
  </si>
  <si>
    <t>10.1109/TVCG.2014.2346446;10.1109/TVCG.2008.166;10.1109/TVCG.2014.2346594;10.1109/TVCG.2015.2467619;10.1109/TVCG.2011.176;10.1109/TVCG.2013.226;10.1109/VISUAL.1999.809866;10.1109/TVCG.2015.2467199;10.1109/TVCG.2013.179;10.1109/TVCG.2016.2598432;10.1109/TVCG.2007.70523;10.1109/TVCG.2011.181;10.1109/TVCG.2014.2346265;10.1109/TVCG.2016.2598694;10.1109/TVCG.2013.228;10.1109/TVCG.2013.221;10.1109/TVCG.2016.2598472</t>
  </si>
  <si>
    <t>Urban forms,human scale,street view,visual analytics</t>
  </si>
  <si>
    <t>SparseLeap: Efficient Empty Space Skipping for Large-Scale Volume Rendering</t>
  </si>
  <si>
    <t>10.1109/TVCG.2017.2744238</t>
  </si>
  <si>
    <t>http://dx.doi.org/10.1109/TVCG.2017.2744238</t>
  </si>
  <si>
    <t>974</t>
  </si>
  <si>
    <t>983</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</si>
  <si>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</si>
  <si>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Markus Hadwiger;Ali K. Al-Awami;Johanna Beyer;Marco Agus;Hanspeter Pfister</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</si>
  <si>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Arabia;John A. Paulson School of Engineering and Applied Sciences, Harvard University, Cambridge, MA, USA</t>
  </si>
  <si>
    <t>10.1109/VISUAL.1992.235231;10.1109/TVCG.2013.142;10.1109/TVCG.2012.240;10.1109/TVCG.2009.161;10.1109/VISUAL.2005.1532793;10.1109/VISUAL.2005.1532799;10.1109/VISUAL.2003.1250384;10.1109/TVCG.2015.2467331;10.1109/VISUAL.2004.63;10.1109/VISUAL.1999.809908;10.1109/VISUAL.2003.1250388;10.1109/TVCG.2006.197;10.1109/TVCG.2007.70532;10.1109/VISUAL.1995.480792;10.1109/VISUAL.1990.146377;10.1109/VISUAL.2002.1183775;10.1109/VISUAL.1999.809911;10.1109/VISUAL.2001.964521</t>
  </si>
  <si>
    <t>Empty Space Skipping,Volume Rendering,Segmented Volume Data,Hybrid Image/Object-Order Approaches</t>
  </si>
  <si>
    <t>Instant Construction and Visualization of Crowded Biological Environments</t>
  </si>
  <si>
    <t>10.1109/TVCG.2017.2744258</t>
  </si>
  <si>
    <t>http://dx.doi.org/10.1109/TVCG.2017.2744258</t>
  </si>
  <si>
    <t>862</t>
  </si>
  <si>
    <t>872</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</si>
  <si>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</si>
  <si>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Tobias Klein;Ludovic Autin;Barbora Kozlíková;David S. Goodsell;Arthur J. Olson;M. Eduard Gröller;Ivan Viola</t>
  </si>
  <si>
    <t>Tobias Klein;Ludovic Autin;Barbora Kozlíková;David S. Goodsell;Arthur Olson;M. Eduard Gröller;Ivan Viola</t>
  </si>
  <si>
    <t>TU Wien, Austria;The Scripps Research Institute, California, USA;Masaryk University, Brno, Czech Republic;The Scripps Research Institute, California, USA;The Scripps Research Institute, California, USA;TU Wien, VRVis Research Center, Austria;TU Wien, Austria</t>
  </si>
  <si>
    <t>Interactive modeling,population,biological data,interactive visualization</t>
  </si>
  <si>
    <t>Abstractocyte: A Visual Tool for Exploring Nanoscale Astroglial Cells</t>
  </si>
  <si>
    <t>10.1109/TVCG.2017.2744278</t>
  </si>
  <si>
    <t>http://dx.doi.org/10.1109/TVCG.2017.2744278</t>
  </si>
  <si>
    <t>853</t>
  </si>
  <si>
    <t>861</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</si>
  <si>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</si>
  <si>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Haneen Mohammed;Ali K. Al-Awami;Johanna Beyer;Corrado Calì;Pierre J. Magistretti;Hanspeter Pfister;Markus Hadwiger</t>
  </si>
  <si>
    <t>Haneen Mohammed;Ali K. Al-Awami;Johanna Beyer;Corrado Cali;Pierre Magistretti;Hanspeter Pfister;Markus Hadwiger</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</si>
  <si>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t>
  </si>
  <si>
    <t>10.1109/TVCG.2015.2467441;10.1109/TVCG.2014.2346312;10.1109/TVCG.2013.142;10.1109/TVCG.2009.121;10.1109/TVCG.2008.153;10.1109/TVCG.2007.70539;10.1109/TVCG.2016.2598472</t>
  </si>
  <si>
    <t>Connectomics,Neuroscience,Data Abstraction,Interactive 3D Visualization</t>
  </si>
  <si>
    <t>Decision Graph Embedding for High-Resolution Manometry Diagnosis</t>
  </si>
  <si>
    <t>10.1109/TVCG.2017.2744299</t>
  </si>
  <si>
    <t>http://dx.doi.org/10.1109/TVCG.2017.2744299</t>
  </si>
  <si>
    <t>873</t>
  </si>
  <si>
    <t>882</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</si>
  <si>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</si>
  <si>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Julian Kreiser;Alexander Hann;Eugen Zizer;Timo Ropinski</t>
  </si>
  <si>
    <t>Visual Computing GroupUlm University;Department of Internal Medicine IUlm University;Department of Internal Medicine IUlm University;Visual Computing GroupUlm University</t>
  </si>
  <si>
    <t>10.1109/INFVIS.2001.963292;10.1109/TVCG.2013.122;10.1109/INFVIS.2003.1249006</t>
  </si>
  <si>
    <t>Small multiples,manometry,chicago classification</t>
  </si>
  <si>
    <t>Clique Community Persistence: A Topological Visual Analysis Approach for Complex Networks</t>
  </si>
  <si>
    <t>10.1109/TVCG.2017.2744321</t>
  </si>
  <si>
    <t>http://dx.doi.org/10.1109/TVCG.2017.2744321</t>
  </si>
  <si>
    <t>Robin Skanberg;Pere-Pau V��zquez;Victor Guallar;Timo Ropinski</t>
  </si>
  <si>
    <t>822</t>
  </si>
  <si>
    <t>831</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</si>
  <si>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</si>
  <si>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Bastian Rieck;Ulderico Fugacci;Jonas Lukasczyk;Heike Leitte</t>
  </si>
  <si>
    <t>TU Kaiserslautern;TU Kaiserslautern;TU Kaiserslautern;TU Kaiserslautern</t>
  </si>
  <si>
    <t>10.1109/INFVIS.2004.66;10.1109/TVCG.2008.151</t>
  </si>
  <si>
    <t>Persistent homology,topological persistence,cliques,complex networks,visual analysis</t>
  </si>
  <si>
    <t>Interactive Dynamic Volume Illumination with Refraction and Caustics</t>
  </si>
  <si>
    <t>10.1109/TVCG.2017.2744438</t>
  </si>
  <si>
    <t>http://dx.doi.org/10.1109/TVCG.2017.2744438</t>
  </si>
  <si>
    <t>984</t>
  </si>
  <si>
    <t>993</t>
  </si>
  <si>
    <t>In recent years, significant progress has been made in developing high-quality interactive methods for realistic volume illumination. However, refraction - despite being an important aspect of light propagation in participating media -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</si>
  <si>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Jens G. Magnus;Stefan Bruckner</t>
  </si>
  <si>
    <t>10.1109/TVCG.2014.2346333;10.1109/TVCG.2013.129;10.1109/TVCG.2011.161;10.1109/TVCG.2011.198;10.1109/TVCG.2011.211</t>
  </si>
  <si>
    <t>Interactive volume rendering,illumination,refraction,shadows,caustics</t>
  </si>
  <si>
    <t>Activity-Centered Domain Characterization for Problem-Driven Scientific Visualization</t>
  </si>
  <si>
    <t>10.1109/TVCG.2017.2744459</t>
  </si>
  <si>
    <t>http://dx.doi.org/10.1109/TVCG.2017.2744459</t>
  </si>
  <si>
    <t>Daniel J̦nsson;Martin Falk;Anders Ynnerman</t>
  </si>
  <si>
    <t>913</t>
  </si>
  <si>
    <t>922</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</si>
  <si>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 and its evaluation -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</si>
  <si>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G. Elisabeta Marai</t>
  </si>
  <si>
    <t>Electronic Visualization Laboratory, University of Illinois, Chicago</t>
  </si>
  <si>
    <t>10.1109/TVCG.2013.124;10.1109/TVCG.2013.145;10.1109/TVCG.2011.209;10.1109/TVCG.2013.161;10.1109/TVCG.2014.2346331;10.1109/TVCG.2009.111;10.1109/TVCG.2013.120;10.1109/TVCG.2012.213;10.1109/VISUAL.1992.235203;10.1109/INFVIS.2004.59;10.1109/VISUAL.2005.1532781;10.1109/TVCG.2014.2346323</t>
  </si>
  <si>
    <t>Design studies,Tasks and requirements analysis,Visualization models,Domain characterization,Activity-centered design,Functional specifications</t>
  </si>
  <si>
    <t>BASTet: Shareable and Reproducible Analysis and Visualization of Mass Spectrometry Imaging Data via OpenMSI</t>
  </si>
  <si>
    <t>10.1109/TVCG.2017.2744479</t>
  </si>
  <si>
    <t>http://dx.doi.org/10.1109/TVCG.2017.2744479</t>
  </si>
  <si>
    <t>1025</t>
  </si>
  <si>
    <t>1035</t>
  </si>
  <si>
    <t>Mass spectrometry imaging (MSI) is a transformative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(BASTet), a novel framework for shareable and reproducible data analysis that supports standardized data and analysis interfaces, integrated data storage, data provenance, workflow management, and a broad set of integrated tools. Based on BASTet, we describe the extension of the OpenMSI mass spectrometry imaging science gateway to enable web-based sharing, reuse, analysis, and visualization of data analyses and derived data products. We demonstrate the application of BASTet and OpenMSI in practice to identify and compare characteristic substructures in the mouse brain based on their chemical composition measured via MSI.</t>
  </si>
  <si>
    <t>Oliver Rübel;Benjamin P. Bowen</t>
  </si>
  <si>
    <t>Computational Research DivisionLawrence Berkeley National Laboratory (LBNL);Environmental Genomics &amp; Systems Biology DivisionLBNL</t>
  </si>
  <si>
    <t>10.1109/VISUAL.2005.1532788;10.1109/TVCG.2011.185;10.1109/TVCG.2015.2467091</t>
  </si>
  <si>
    <t>Mass spectrometry imaging,Data provenance,Visualization,Data management,Analysis Workflows,Data sharing</t>
  </si>
  <si>
    <t>Visualization Multi-Pipeline for Communicating Biology</t>
  </si>
  <si>
    <t>10.1109/TVCG.2017.2744518</t>
  </si>
  <si>
    <t>http://dx.doi.org/10.1109/TVCG.2017.2744518</t>
  </si>
  <si>
    <t>Zhicheng Liu;Stasko, J.T.</t>
  </si>
  <si>
    <t>37592993600;37267736900</t>
  </si>
  <si>
    <t>Zhicheng Liu;Stasko, J.</t>
  </si>
  <si>
    <t>5290711;4658147;963289;5290700;4376144;5290708;4658124;4658138;4658127;4677365</t>
  </si>
  <si>
    <t>Meyer, M.;Munzner, T.;DePace, A.;Pfister, H.</t>
  </si>
  <si>
    <t>37564728700;37349490300;37590943800;37275698100</t>
  </si>
  <si>
    <t>4015439;4376151;4376132;5290692</t>
  </si>
  <si>
    <t>Data visualization is regularly promoted for its ability to reveal stories within data, yet these ÔÇ£data storiesÔÇØ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</si>
  <si>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Segel, E.;Heer, J.</t>
  </si>
  <si>
    <t>37590964100;37550791300</t>
  </si>
  <si>
    <t>4376131;4376146;4658129;4388992</t>
  </si>
  <si>
    <t>Manuel Rubio-S��nchez;Laura Raya;Francisco Diaz;Alberto S��nchez 0001</t>
  </si>
  <si>
    <t>Speckmann, B.;Verbeek, K.</t>
  </si>
  <si>
    <t>37591266000;37591265900</t>
  </si>
  <si>
    <t>1382888;4658149</t>
  </si>
  <si>
    <t>Yingcai Wu;Furu Wei;Shixia Liu;Au, N.;Weiwei Cui;Hong Zhou;Huamin Qu</t>
  </si>
  <si>
    <t>37407308300;37396839900;37406039100;37590967500;37391623900;37405368200;37272637300</t>
  </si>
  <si>
    <t>4035748;5290722;5332611;4658130;5333919;1173151</t>
  </si>
  <si>
    <t>1532142;4015422;146402;4035766;5332628;1532136;729568;636793</t>
  </si>
  <si>
    <t>Matthias Labschutz;Stefan Bruckner;M. Eduard Gr̦ller;Markus Hadwiger;Peter Rautek</t>
  </si>
  <si>
    <t>Tuttle, C.;Nonato, L.G.;Silva, C.T.</t>
  </si>
  <si>
    <t>37605477900;37590974800;37275249200</t>
  </si>
  <si>
    <t>4658143;4658145;1532124;1249004;175815;1173152;1173148;636718</t>
  </si>
  <si>
    <t>Kong, N.;Heer, J.;Agrawala, M.</t>
  </si>
  <si>
    <t>37599492800;37550791300;37282718200</t>
  </si>
  <si>
    <t>885091;1532145;1382885;1532144;4376151;963283;963290;4658138;801860;1173153</t>
  </si>
  <si>
    <t>Dykes, J.;Wood, J.;Slingsby, A.</t>
  </si>
  <si>
    <t>37605079900;37399045100;37590960700</t>
  </si>
  <si>
    <t>Jonathan Woodring;Mark Petersen;Andre Schmei��er;John Patchett;James P. Ahrens;Hans Hagen</t>
  </si>
  <si>
    <t>4376139;4658149;4376146;4015427;885095;4376132;5290702</t>
  </si>
  <si>
    <t>Bongshin Lee;Riche, N.H.;Karlson, A.K.;Carpendale, S.</t>
  </si>
  <si>
    <t>37293389400;37590950700;37590950600;37285000100</t>
  </si>
  <si>
    <t>Bongshin Lee;Riche, N.H.;Karlson, A.;Carpendale, S.</t>
  </si>
  <si>
    <t>5290722;1532122;4376132</t>
  </si>
  <si>
    <t>Tuan Nhon Dang;Wilkinson, L.;Anand, A.</t>
  </si>
  <si>
    <t>38480805100;37560536200;</t>
  </si>
  <si>
    <t>1532139;1532138;5290770;528685;175815;1532122;1382894;885098</t>
  </si>
  <si>
    <t>Viau, C.;McGuffin, M.J.;Chiricota, Y.;Jurisica, I.</t>
  </si>
  <si>
    <t>37590930300;37403234300;37282997400;37353445900</t>
  </si>
  <si>
    <t>5290697;1532142;4376168;5290705;5332586;1532141;4015436;1382901;4376140;1249011;4658123</t>
  </si>
  <si>
    <t>Baur, D.;Seiffert, F.;Sedlmair, M.;Boring, S.</t>
  </si>
  <si>
    <t>37590949400;37590946700;37590945600;37299647500</t>
  </si>
  <si>
    <t>4658136;4376134;963273;1173155;801851;4035762</t>
  </si>
  <si>
    <t>Diehl, S.;Beck, F.;Burch, M.</t>
  </si>
  <si>
    <t>37275546500;37586060300;37586953400</t>
  </si>
  <si>
    <t>1382885;963291;663916;963291</t>
  </si>
  <si>
    <t>Riche, N.H.;Dwyer, T.</t>
  </si>
  <si>
    <t>37590950700;38359965100</t>
  </si>
  <si>
    <t>4658148;4376154;1532126;4658145;5290706;4015435;4015416;4658142;4015424;398863;4658123</t>
  </si>
  <si>
    <t>Pham, T.;Hess, R.;Ju, C.;Zhang, E.;Metoyer, R.</t>
  </si>
  <si>
    <t>37589653500;37592340500;37593037400;37398562200;37375030300</t>
  </si>
  <si>
    <t>146402;146386;1382895;636793;1173157;175815;809866;1382894</t>
  </si>
  <si>
    <t>Jänicke, S.;Heine, C.;Hellmuth, M.;Stadler, P.F.;Scheuermann, G.</t>
  </si>
  <si>
    <t>38243241100;37410427900;37590949800;37271818100;</t>
  </si>
  <si>
    <t>JÃ¤nicke, S.;Heine, C.;Hellmuth, M.;Stadler, P.F.;Scheuermann, G.</t>
  </si>
  <si>
    <t>Fisher, D.;Drucker, Steven M.;Fernandez, R.;Ruble, S.</t>
  </si>
  <si>
    <t>37542391000;37585786500;37603822300;37591246900</t>
  </si>
  <si>
    <t>Fisher, D.;Drucker, S.;Fernandez, R.;Ruble, S.</t>
  </si>
  <si>
    <t>1382904;5290715;4658131;5290720;4376131;885086</t>
  </si>
  <si>
    <t>Mahyar, N.;Sarvghad, A.;Tory, M.</t>
  </si>
  <si>
    <t>37591344800;37591344300;37275861300</t>
  </si>
  <si>
    <t xml:space="preserve">note taking, recording, collaboration, tabletop, wall display, history, provenance 
</t>
  </si>
  <si>
    <t>4658129;4677358;4376145;5333020;4677365;5333023;4376131</t>
  </si>
  <si>
    <t>Dong Hyun Jeong;Suma, E.;Butkiewicz, T.;Ribarsky, W.;Chang, R.</t>
  </si>
  <si>
    <t>37400451800;37297278600;37591215700;37300425000;37592409400</t>
  </si>
  <si>
    <t>Jan Byska;Mathieu Le Muzic;M. Eduard Gr̦ller;Ivan Viola;Barbora Kozl�_kov��</t>
  </si>
  <si>
    <t>Ruppert, T.;Kohlhammer, J.</t>
  </si>
  <si>
    <t>37593423500;37449689200</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</si>
  <si>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ÔÇ£change togetherÔÇØ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 - 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</si>
  <si>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Garg, S.;Ramakrishnan, I.V.;Mueller, K.</t>
  </si>
  <si>
    <t>37592970300;37284911300;37273119700</t>
  </si>
  <si>
    <t>Garg, S.;Ramakrishnan, I.;Mueller, K.</t>
  </si>
  <si>
    <t xml:space="preserve">Visual Knowledge Discovery, Visual Knowledge Representation, Data Clustering, Human-Computer Interaction 
</t>
  </si>
  <si>
    <t>4677352;4677350;5332584;4388990;5333428;4376142</t>
  </si>
  <si>
    <t>Talbot, J.;Hanrahan, P.</t>
  </si>
  <si>
    <t>37604514900;37349803800</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</si>
  <si>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</si>
  <si>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883</t>
  </si>
  <si>
    <t>892</t>
  </si>
  <si>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multi-GPU setups, makes our system useful for efficient public dissemination of biological discoveries.</t>
  </si>
  <si>
    <t>Peter Mindek;David Kouril;Johannes Sorger;Daniel Toloudis;Blair Lyons;Graham Johnson;M. Eduard Gröller;Ivan Viola</t>
  </si>
  <si>
    <t>Peter Mindek;David Kouřil;Johannes Sorger;Daniel Toloudis;Blair Lyons;Graham Johnson;M. Eduard Gröller;Ivan Viola</t>
  </si>
  <si>
    <t>TU Wien;TU Wien;TU Wien;Allen Institute for Cell Science;Allen Institute for Cell Science;Allen Institute for Cell Science;TU Wien;TU Wien</t>
  </si>
  <si>
    <t>10.1109/VISUAL.2005.1532856;10.1109/VISUAL.2000.885729</t>
  </si>
  <si>
    <t>Biological visualization,remote rendering,public dissemination</t>
  </si>
  <si>
    <t>The Interactive Visualization Gap in Initial Exploratory Data Analysis</t>
  </si>
  <si>
    <t>10.1109/TVCG.2017.2743990</t>
  </si>
  <si>
    <t>http://dx.doi.org/10.1109/TVCG.2017.2743990</t>
  </si>
  <si>
    <t>278</t>
  </si>
  <si>
    <t>287</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</si>
  <si>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</si>
  <si>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Andrea Batch;Niklas Elmqvist</t>
  </si>
  <si>
    <t>College Park, University of Maryland, MD, USA;College Park, University of Maryland, MD, USA</t>
  </si>
  <si>
    <t>10.1109/TVCG.2011.185;10.1109/TVCG.2013.124;10.1109/TVCG.2008.166;10.1109/TVCG.2016.2598545;10.1109/TVCG.2012.219;10.1109/TVCG.2014.2346747;10.1109/TVCG.2014.2346578;10.1109/TVCG.2016.2599030;10.1109/TVCG.2014.2346321;10.1109/INFVIS.2000.885086;10.1109/TVCG.2009.171</t>
  </si>
  <si>
    <t>Data science,visualization,visual analytics,contextual inquiry,semi-structured interviews</t>
  </si>
  <si>
    <t>How Do Ancestral Traits Shape Family Trees Over Generations?</t>
  </si>
  <si>
    <t>10.1109/TVCG.2017.2744080</t>
  </si>
  <si>
    <t>http://dx.doi.org/10.1109/TVCG.2017.2744080</t>
  </si>
  <si>
    <t>205</t>
  </si>
  <si>
    <t>214</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</si>
  <si>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</si>
  <si>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Siwei Fu;Hao Dong;Weiwei Cui;Jian Zhao;Huamin Qu</t>
  </si>
  <si>
    <t>Hong Kong University of Science and Technology;Princeton University;Microsoft Research;FX Palo Alto Laboratory;Hong Kong University of Science and Technology</t>
  </si>
  <si>
    <t>10.1109/INFVIS.2002.1173150;10.1109/TVCG.2010.159;10.1109/VAST.2006.261450;10.1109/TVCG.2014.2346433;10.1109/TVCG.2014.2346276;10.1109/TVCG.2007.70556;10.1109/INFVIS.2005.1532124;10.1109/TVCG.2013.200;10.1109/INFVIS.2005.1532152;10.1109/TVCG.2012.213;10.1109/TVCG.2012.226</t>
  </si>
  <si>
    <t>Quantitative social science,Design study,Multiple tree visualization,Sankey diagram</t>
  </si>
  <si>
    <t>LDSScanner: Exploratory Analysis of Low-Dimensional Structures in High-Dimensional Datasets</t>
  </si>
  <si>
    <t>10.1109/TVCG.2017.2744098</t>
  </si>
  <si>
    <t>http://dx.doi.org/10.1109/TVCG.2017.2744098</t>
  </si>
  <si>
    <t>236</t>
  </si>
  <si>
    <t>245</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</si>
  <si>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the&lt;inline-formula&gt;&lt;tex-math notation="LaTeX"&gt;$x$&lt;/tex-math&gt;&lt;alternatives&gt;&lt;inline-graphic xlink:href="24tvcg01-xia-2744098-ieq-1-source.tif" xmlns:xlink="http://www.w3.org/1999/xlink"/&gt;&lt;/alternatives&gt;&lt;/inline-formula&gt;axis and&lt;inline-formula&gt;&lt;tex-math notation="LaTeX"&gt;$y$&lt;/tex-math&gt;&lt;alternatives&gt;&lt;inline-graphic xlink:href="24tvcg01-xia-2744098-ieq-2-source.tif" xmlns:xlink="http://www.w3.org/1999/xlink"/&gt;&lt;/alternatives&gt;&lt;/inline-formula&gt;axis using 1D multidimensional scaling, respectively. Unlike traditional dimensionality reduction methods that preserve various kinds of distances among points, the LTSD-GD view presents the distribution of pointwise LTS (&lt;inline-formula&gt;&lt;tex-math notation="LaTeX"&gt;$x$&lt;/tex-math&gt;&lt;alternatives&gt;&lt;inline-graphic xlink:href="24tvcg01-xia-2744098-ieq-3-source.tif" xmlns:xlink="http://www.w3.org/1999/xlink"/&gt;&lt;/alternatives&gt;&lt;/inline-formula&gt;axis) and the variation of LTS in structures (the combination of&lt;inline-formula&gt;&lt;tex-math notation="LaTeX"&gt;$x$&lt;/tex-math&gt;&lt;alternatives&gt;&lt;inline-graphic xlink:href="24tvcg01-xia-2744098-ieq-4-source.tif" xmlns:xlink="http://www.w3.org/1999/xlink"/&gt;&lt;/alternatives&gt;&lt;/inline-formula&gt;axis and&lt;inline-formula&gt;&lt;tex-math notation="LaTeX"&gt;$y$&lt;/tex-math&gt;&lt;alternatives&gt;&lt;inline-graphic xlink:href="24tvcg01-xia-2744098-ieq-5-source.tif" xmlns:xlink="http://www.w3.org/1999/xlink"/&gt;&lt;/alternatives&gt;&lt;/inline-formula&gt;axis). We design and implement a suite of visual tools for navigating and reasoning about intrinsic structures of a high-dimensional dataset. Three case studies verify the effectiveness of our approach.</t>
  </si>
  <si>
    <t>Jiazhi Xia;Fenjin Ye;Wei Chen 0001;Yusi Wang;Weifeng Chen 0002;Yuxin Ma;Anthony K. H. Tung</t>
  </si>
  <si>
    <t>Jiazhi Xia;Fenjin Ye;Wei Chen;Yusi Wang;Weifeng Chen;Yuxin Ma;Anthony K.H. Tung</t>
  </si>
  <si>
    <t>Central South University;Central South University;Zhejiang University;Central South University;Zhejiang University of Finance &amp; Economics;Zhejiang University;National University of Singapore</t>
  </si>
  <si>
    <t>10.1109/TVCG.2011.229;10.1109/VAST.2010.5652450;10.1109/VISUAL.1997.663916;10.1109/TVCG.2013.160;10.1109/VAST.2010.5652392;10.1109/VISUAL.1990.146402;10.1109/INFVIS.2003.1249013;10.1109/TVCG.2015.2467324;10.1109/TVCG.2016.2598495;10.1109/TVCG.2016.2598466;10.1109/INFVIS.2004.3;10.1109/TVCG.2015.2467717;10.1109/VAST.2009.5332628;10.1109/VAST.2012.6400488;10.1109/TVCG.2015.2467191;10.1109/VAST.2016.7883514;10.1109/TVCG.2013.150</t>
  </si>
  <si>
    <t>High-dimensional data,low-dimensional structure,subspace,manifold,visual exploration</t>
  </si>
  <si>
    <t>Clustering Trajectories by Relevant Parts for Air Traffic Analysis</t>
  </si>
  <si>
    <t>10.1109/TVCG.2017.2744322</t>
  </si>
  <si>
    <t>http://dx.doi.org/10.1109/TVCG.2017.2744322</t>
  </si>
  <si>
    <t>34</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</si>
  <si>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</si>
  <si>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Gennady L. Andrienko;Natalia V. Andrienko;Georg Fuchs;Jose Manuel Cordero Garcia</t>
  </si>
  <si>
    <t>Gennady Andrienko;Natalia Andrienko;Georg Fuchs;Jose Manuel Cordero Garcia</t>
  </si>
  <si>
    <t>Fraunhofer IAIS, City University, London;Fraunhofer IAIS, City University, London;Fraunhofer Institute IAIS;CRIDA (Reference Center for Research, Development and Innovation in ATM)</t>
  </si>
  <si>
    <t>10.1109/VAST.2009.5332584;10.1109/TVCG.2013.193;10.1109/TVCG.2011.233;10.1109/TVCG.2015.2468292;10.1109/VAST.2008.4677350</t>
  </si>
  <si>
    <t>Visual analytics,movement data analysis,trajectory clustering,air traffic</t>
  </si>
  <si>
    <t>DeepEyes: Progressive Visual Analytics for Designing Deep Neural Networks</t>
  </si>
  <si>
    <t>10.1109/TVCG.2017.2744358</t>
  </si>
  <si>
    <t>http://dx.doi.org/10.1109/TVCG.2017.2744358</t>
  </si>
  <si>
    <t>98</t>
  </si>
  <si>
    <t>108</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</si>
  <si>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</si>
  <si>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Nicola Pezzotti;Thomas Höllt;Jan C. van Gemert;Boudewijn P. F. Lelieveldt;Elmar Eisemann;Anna Vilanova</t>
  </si>
  <si>
    <t>Nicola Pezzotti;Thomas Höllt;Jan Van Gemert;Boudewijn P.F. Lelieveldt;Elmar Eisemann;Anna Vilanova</t>
  </si>
  <si>
    <t>Intelligent Systems department, Delft University of Technology, Delft, The Netherlands;Intelligent Systems department, Delft University of Technology, Delft, The Netherlands;Intelligent Systems department, Delft University of Technology, Delft, The Netherlands;Department of Radiology, Division of Image Processing, Leiden University Medical Center, Leiden, The Netherlands;Intelligent Systems department, Delft University of Technology, Delft, The Netherlands;Intelligent Systems department, Delft University of Technology, Delft, The Netherlands</t>
  </si>
  <si>
    <t>10.1109/TVCG.2016.2598468;10.1109/TVCG.2014.2346578;10.1109/TVCG.2016.2598838;10.1109/TVCG.2014.2346574;10.1109/TVCG.2016.2598470</t>
  </si>
  <si>
    <t>Progressive visual analytics,deep neural networks,machine learning</t>
  </si>
  <si>
    <t>Visual Diagnosis of Tree Boosting Methods</t>
  </si>
  <si>
    <t>10.1109/TVCG.2017.2744378</t>
  </si>
  <si>
    <t>http://dx.doi.org/10.1109/TVCG.2017.2744378</t>
  </si>
  <si>
    <t>163</t>
  </si>
  <si>
    <t>173</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</si>
  <si>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</si>
  <si>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Shixia Liu;Jiannan Xiao;Junlin Liu;Xiting Wang;Jing Wu;Jun Zhu 0001</t>
  </si>
  <si>
    <t>Shixia Liu;Jiannan Xiao;Junlin Liu;Xiting Wang;Jing Wu;Jun Zhu</t>
  </si>
  <si>
    <t>Tsinghua University and National Engineering Lab for Big Data Software;Tsinghua University and National Engineering Lab for Big Data Software;Tsinghua University and National Engineering Lab for Big Data Software;Microsoft Research;Cardiff University;Tsinghua University and National Engineering Lab for Big Data Software</t>
  </si>
  <si>
    <t>10.1109/TVCG.2014.2346660;10.1109/VAST.2010.5652443;10.1109/TVCG.2012.277;10.1109/VAST.2012.6400492;10.1109/TVCG.2016.2598831;10.1109/TVCG.2016.2598838;10.1109/TVCG.2016.2598828;10.1109/VISUAL.2000.885740;10.1109/VISUAL.2005.1532820;10.1109/VAST.2011.6102453</t>
  </si>
  <si>
    <t>tree boosting,model analysis,temporal confusion matrix,tree visualization</t>
  </si>
  <si>
    <t>Understanding the Relationship Between Interactive Optimisation and Visual Analytics in the Context of Prostate Brachytherapy</t>
  </si>
  <si>
    <t>10.1109/TVCG.2017.2744418</t>
  </si>
  <si>
    <t>http://dx.doi.org/10.1109/TVCG.2017.2744418</t>
  </si>
  <si>
    <t>319</t>
  </si>
  <si>
    <t>329</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</si>
  <si>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</si>
  <si>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Jie Liu;Tim Dwyer;Kim Marriott;Jeremy Millar;Annette Haworth</t>
  </si>
  <si>
    <t>Monash University and Data61;Monash University;Monash University and Data61;Monash University and Alfred Health;University of Sydney</t>
  </si>
  <si>
    <t>10.1109/TVCG.2009.170;10.1109/TVCG.2010.190;10.1109/TVCG.2013.147;10.1109/TVCG.2016.2598545;10.1109/VAST.2014.7042481;10.1109/TVCG.2014.2346321;10.1109/TVCG.2011.248</t>
  </si>
  <si>
    <t>Visual analytics,interactive optimisation,interactive systems and tools,prostate brachytherapy</t>
  </si>
  <si>
    <t>Voila: Visual Anomaly Detection and Monitoring with Streaming Spatiotemporal Data</t>
  </si>
  <si>
    <t>10.1109/TVCG.2017.2744419</t>
  </si>
  <si>
    <t>http://dx.doi.org/10.1109/TVCG.2017.2744419</t>
  </si>
  <si>
    <t>23</t>
  </si>
  <si>
    <t>33</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</si>
  <si>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</si>
  <si>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Nan Cao;Chaoguang Lin;Qiuhan Zhu;Yu-Ru Lin;Xian Teng;Xidao Wen</t>
  </si>
  <si>
    <t>Intelligent Big Data Visualization (iDVx) LabTongji University;Intelligent Big Data Visualization (iDVx) LabTongji University;Intelligent Big Data Visualization (iDVx) LabTongji University;University of Pittsburgh;University of Pittsburgh;University of Pittsburgh</t>
  </si>
  <si>
    <t>10.1109/TVCG.2015.2467196;10.1109/VAST.2012.6400557;10.1109/TVCG.2013.226;10.1109/VAST.2011.6102438;10.1109/VAST.2010.5652467;10.1109/TVCG.2016.2598432;10.1109/TVCG.2016.2598829;10.1109/TVCG.2015.2467194;10.1109/TVCG.2014.2346922</t>
  </si>
  <si>
    <t>Anomaly Detection,Visual Analysis</t>
  </si>
  <si>
    <t>BiDots: Visual Exploration of Weighted Biclusters</t>
  </si>
  <si>
    <t>10.1109/TVCG.2017.2744458</t>
  </si>
  <si>
    <t>http://dx.doi.org/10.1109/TVCG.2017.2744458</t>
  </si>
  <si>
    <t>Dominik J�_ckle;Fabian Fischer 0001;Tobias Schreck;Daniel A. Keim</t>
  </si>
  <si>
    <t>195</t>
  </si>
  <si>
    <t>204</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</si>
  <si>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 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</si>
  <si>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Jian Zhao;Maoyuan Sun;Francine Chen;Patrick Chiu</t>
  </si>
  <si>
    <t>FX Palo Alto Laboratory;University of Massachusetts, Dartmouth;FX Palo Alto Laboratory;FX Palo Alto Laboratory</t>
  </si>
  <si>
    <t>10.1109/TVCG.2012.252;10.1109/TVCG.2008.153;10.1109/TVCG.2013.223;10.1109/TVCG.2007.70582;10.1109/VISUAL.1990.146402;10.1109/TVCG.2011.250;10.1109/TVCG.2010.138;10.1109/TVCG.2016.2598831;10.1109/TVCG.2014.2346752;10.1109/VAST.2007.4389006;10.1109/TVCG.2015.2467813;10.1109/TVCG.2014.2346665;10.1109/TVCG.2013.167</t>
  </si>
  <si>
    <t>Biclustering,coordinated relationship analysis,visual analytics</t>
  </si>
  <si>
    <t>ConceptVector: Text Visual Analytics via Interactive Lexicon Building Using Word Embedding</t>
  </si>
  <si>
    <t>10.1109/TVCG.2017.2744478</t>
  </si>
  <si>
    <t>http://dx.doi.org/10.1109/TVCG.2017.2744478</t>
  </si>
  <si>
    <t>361</t>
  </si>
  <si>
    <t>370</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</si>
  <si>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</si>
  <si>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Deok Gun Park;Seungyeon Kim;Jurim Lee;Jaegul Choo;Nicholas Diakopoulos;Niklas Elmqvist</t>
  </si>
  <si>
    <t>Deokgun Park;Seungyeon Kim;Jurim Lee;Jaegul Choo;Nicholas Diakopoulos;Niklas Elmqvist</t>
  </si>
  <si>
    <t>University of Maryland, College Park, MD, USA;Google Inc., Mountain View, CA, USA;Korea University, Seoul, Republic of Korea;Korea University, Seoul, Republic of Korea;Northwestern University, Evanston, IL, USA;University of Maryland, College Park, MD, USA</t>
  </si>
  <si>
    <t>10.1109/TVCG.2016.2598667;10.1109/TVCG.2013.212;10.1109/TVCG.2011.239;10.1109/VAST.2011.6102461;10.1109/TVCG.2016.2598446;10.1109/TVCG.2015.2467555</t>
  </si>
  <si>
    <t>Text analytics,visual analytics,word embedding,text summarization,text classification,concepts</t>
  </si>
  <si>
    <t>Do Convolutional Neural Networks Learn Class Hierarchy?</t>
  </si>
  <si>
    <t>10.1109/TVCG.2017.2744683</t>
  </si>
  <si>
    <t>http://dx.doi.org/10.1109/TVCG.2017.2744683</t>
  </si>
  <si>
    <t>152</t>
  </si>
  <si>
    <t>162</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</si>
  <si>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</si>
  <si>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Bilal Alsallakh;Amin Jourabloo;Mao Ye;Xiaoming Liu 0002;Liu Ren</t>
  </si>
  <si>
    <t>Alsallakh Bilal;Amin Jourabloo;Mao Ye;Xiaoming Liu;Liu Ren</t>
  </si>
  <si>
    <t>Bosch Research North AmericaPalo Alto, CA;Michigan State University;Bosch Research North AmericaPalo Alto, CA;Michigan State University;Bosch Research North AmericaPalo Alto, CA</t>
  </si>
  <si>
    <t>10.1109/TVCG.2014.2346660;10.1109/VAST.2015.7347637;10.1109/TVCG.2016.2598831;10.1109/TVCG.2016.2598838;10.1109/TVCG.2016.2598828;10.1109/TVCG.2017.2744158;10.1109/VISUAL.2005.1532820;10.1109/VAST.2011.6102453</t>
  </si>
  <si>
    <t>Convolutional Neural Networks,deep learning,image classification,large-scale classification,confusion matrix</t>
  </si>
  <si>
    <t>Applying Pragmatics Principles for Interaction with Visual Analytics</t>
  </si>
  <si>
    <t>10.1109/TVCG.2017.2744684</t>
  </si>
  <si>
    <t>http://dx.doi.org/10.1109/TVCG.2017.2744684</t>
  </si>
  <si>
    <t>309</t>
  </si>
  <si>
    <t>318</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</si>
  <si>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</si>
  <si>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Enamul Hoque;Vidya Setlur;Melanie Tory;Isaac Dykeman</t>
  </si>
  <si>
    <t>Stanford University;Tableau Research;Tableau Research;Rice University</t>
  </si>
  <si>
    <t>10.1109/TVCG.2014.2346435;10.1109/TVCG.2010.164;10.1109/TVCG.2007.70594;10.1109/INFVIS.2005.1532146</t>
  </si>
  <si>
    <t>natural language,interaction,language pragmatics,visual analytics,ambiguity,feedback</t>
  </si>
  <si>
    <t>Visualizing Big Data Outliers Through Distributed Aggregation</t>
  </si>
  <si>
    <t>10.1109/TVCG.2017.2744685</t>
  </si>
  <si>
    <t>http://dx.doi.org/10.1109/TVCG.2017.2744685</t>
  </si>
  <si>
    <t>256</t>
  </si>
  <si>
    <t>266</t>
  </si>
  <si>
    <t>Visualizing outliers in massive datasets requires statistical pre-processing in order to reduce the scale of the problem to a size amenable to rendering systems like D3, Plotly or analytic systems like R or SAS. This paper presents a new algorithm, called&lt;monospace&gt;hdoutliers&lt;/monospace&gt;, for detecting multidimensional outliers. It is unique for a) dealing with a mixture of categorical and continuous variables, b) dealing with big-p (many columns of data), c) dealing with big-&lt;inline-formula&gt;&lt;tex-math notation="LaTeX"&gt;$n$&lt;/tex-math&gt;&lt;alternatives&gt;&lt;inline-graphic xlink:href="24tvcg01-wilkinson-2744685-ieq-1-source.tif" xmlns:xlink="http://www.w3.org/1999/xlink"/&gt;&lt;/alternatives&gt;&lt;/inline-formula&gt;(many rows of data), d) dealing with outliers that mask other outliers, and e) dealing consistently with unidimensional and multidimensional datasets. Unlike ad hoc methods found in many machine learning papers,&lt;monospace&gt;hdoutliers&lt;/monospace&gt;is based on a distributional model that allows outliers to be tagged with a probability. This critical feature reduces the likelihood of false discoveries.</t>
  </si>
  <si>
    <t>Leland Wilkinson</t>
  </si>
  <si>
    <t>H2O.aiUIC</t>
  </si>
  <si>
    <t>10.1109/INFVIS.2004.68;10.1109/TVCG.2010.197;10.1109/TVCG.2014.2346572;10.1109/INFVIS.2005.1532138;10.1109/VAST.2012.6400487;10.1109/TVCG.2006.170;10.1109/INFVIS.2003.1249016;10.1109/INFVIS.2005.1532142</t>
  </si>
  <si>
    <t>Outliers,Anomalies</t>
  </si>
  <si>
    <t>Understanding a Sequence of Sequences: Visual Exploration of Categorical States in Lake Sediment Cores</t>
  </si>
  <si>
    <t>10.1109/TVCG.2017.2744686</t>
  </si>
  <si>
    <t>http://dx.doi.org/10.1109/TVCG.2017.2744686</t>
  </si>
  <si>
    <t>66</t>
  </si>
  <si>
    <t>76</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</si>
  <si>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</si>
  <si>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Andrea Unger;Nadine Drager;Mike Sips;Dirk J. Lehmann</t>
  </si>
  <si>
    <t>Andrea Unger;Nadine Dräger;Mike Sips;Dirk J. Lehmann</t>
  </si>
  <si>
    <t>GFZ German Research Centre for Geosciences;GFZ German Research Centre for Geosciences;GFZ German Research Centre for Geosciences;University of Magdeburg</t>
  </si>
  <si>
    <t>10.1109/TVCG.2011.232;10.1109/VISUAL.1997.663916;10.1109/TVCG.2013.182;10.1109/TVCG.2013.200;10.1109/TVCG.2011.212;10.1109/TVCG.2009.117;10.1109/TVCG.2015.2467751;10.1109/VAST.2009.5332595</t>
  </si>
  <si>
    <t>Visualization in Earth Science,Time Series Data,Categorical Data,Design Study</t>
  </si>
  <si>
    <t>ActiVis: Visual Exploration of Industry-Scale Deep Neural Network Models</t>
  </si>
  <si>
    <t>10.1109/TVCG.2017.2744718</t>
  </si>
  <si>
    <t>http://dx.doi.org/10.1109/TVCG.2017.2744718</t>
  </si>
  <si>
    <t>88</t>
  </si>
  <si>
    <t>97</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</si>
  <si>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instance-and subset-level. ActiVis has been deployed on Facebook's machine learning platform. We present case studies with Facebook researchers and engineers, and usage scenarios of how ActiVis may work with different models.</t>
  </si>
  <si>
    <t>Minsuk Kahng;Pierre Y. Andrews;Aditya Kalro;Duen Horng Chau</t>
  </si>
  <si>
    <t>Minsuk Kahng;Pierre Y. Andrews;Aditya Kalro;Duen Horng (Polo) Chau</t>
  </si>
  <si>
    <t>Georgia Institute of Technology;Facebook;Facebook;Georgia Institute of Technology</t>
  </si>
  <si>
    <t>10.1109/VAST.2015.7347637;10.1109/VAST.2010.5652443;10.1109/TVCG.2013.157;10.1109/TVCG.2014.2346482;10.1109/TVCG.2015.2467622;10.1109/TVCG.2016.2598831;10.1109/TVCG.2016.2598838;10.1109/TVCG.2016.2598828;10.1109/VISUAL.2005.1532820;10.1109/VAST.2011.6102453</t>
  </si>
  <si>
    <t>Visual analytics,deep learning,machine learning,information visualization</t>
  </si>
  <si>
    <t>SkyLens: Visual Analysis of Skyline on Multi-Dimensional Data</t>
  </si>
  <si>
    <t>10.1109/TVCG.2017.2744738</t>
  </si>
  <si>
    <t>http://dx.doi.org/10.1109/TVCG.2017.2744738</t>
  </si>
  <si>
    <t>246</t>
  </si>
  <si>
    <t>255</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</si>
  <si>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</si>
  <si>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Xun Zhao;Yanhong Wu;Weiwei Cui;Xinnan Du;Yuan Chen;Yong Wang 0021;Dik Lun Lee;Huamin Qu</t>
  </si>
  <si>
    <t>Xun Zhao;Yanhong Wu;Weiwei Cui;Xinnan Du;Yuan Chen;Yong Wang;Dik Lun Lee;Huamin Qu</t>
  </si>
  <si>
    <t>Hong Kong University of Science and Technology;Hong Kong University of Science and Technology;Microsoft Research Asia;Hong Kong University of Science and Technology;Hong Kong University of Science and Technology;Hong Kong University of Science and Technology;Hong Kong University of Science and Technology;Hong Kong University of Science and Technology</t>
  </si>
  <si>
    <t>10.1109/TVCG.2013.173;10.1109/TVCG.2016.2598432;10.1109/TVCG.2016.2598589;10.1109/TVCG.2015.2468011</t>
  </si>
  <si>
    <t>Skyline query,skyline visualization,multi-dimensional data,visual analytics,multi-criteria decision making</t>
  </si>
  <si>
    <t>EVA: Visual Analytics to Identify Fraudulent Events</t>
  </si>
  <si>
    <t>10.1109/TVCG.2017.2744758</t>
  </si>
  <si>
    <t>http://dx.doi.org/10.1109/TVCG.2017.2744758</t>
  </si>
  <si>
    <t>330</t>
  </si>
  <si>
    <t>339</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</si>
  <si>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</si>
  <si>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Roger A. Leite;Theresia Gschwandtner;Silvia Miksch;Simone Kriglstein;Margit Pohl;Erich Gstrein;Johannes Kuntner</t>
  </si>
  <si>
    <t>Vienna University of Technology;Vienna University of Technology;Vienna University of Technology;Faculty of Computer Science, University of Vienna, Austria;Vienna University of Technology;Erste Group IT International, Austria;Erste Group IT International, Austria</t>
  </si>
  <si>
    <t>10.1109/VAST.2007.4389009;10.1109/TVCG.2013.126;10.1109/VAST.2015.7347678;10.1109/TVCG.2013.200;10.1109/TVCG.2009.111;10.1109/TVCG.2012.273</t>
  </si>
  <si>
    <t>Visual Knowledge Discovery,Time Series Data,Business and Finance Visualization,Financial Fraud Detection</t>
  </si>
  <si>
    <t>SOMFlow: Guided Exploratory Cluster Analysis with Self-Organizing Maps and Analytic Provenance</t>
  </si>
  <si>
    <t>10.1109/TVCG.2017.2744805</t>
  </si>
  <si>
    <t>http://dx.doi.org/10.1109/TVCG.2017.2744805</t>
  </si>
  <si>
    <t>120</t>
  </si>
  <si>
    <t>130</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</si>
  <si>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</si>
  <si>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Dominik Sacha;Matthias Kraus;Jürgen Bernard;Michael Behrisch;Tobias Schreck;Yuki Asano;Daniel A. Keim</t>
  </si>
  <si>
    <t>University of Konstanz, Germany;University of Konstanz, Germany;TU Darmstadt, Germany;University of Konstanz, Germany;Graz University of Technology;University of Tübingen;University of Konstanz, Germany</t>
  </si>
  <si>
    <t>10.1109/VAST.2009.5332584;10.1109/VAST.2014.7042480;10.1109/TVCG.2013.178;10.1109/TVCG.2011.229;10.1109/TVCG.2011.188;10.1109/TVCG.2016.2598468;10.1109/VAST.2010.5652443;10.1109/VAST.2015.7347625;10.1109/VAST.2007.4389013;10.1109/TVCG.2014.2346260;10.1109/TVCG.2007.70582;10.1109/VAST.2007.4388999;10.1109/TVCG.2014.2346481;10.1109/TVCG.2016.2598495;10.1109/VAST.2011.6102453</t>
  </si>
  <si>
    <t>Visual Analytics,Interaction,Visual Cluster Analysis,Quality Metrics,Guidance,Self-Organizing Maps,Time Series</t>
  </si>
  <si>
    <t>Comparing Visual-Interactive Labeling with Active Learning: An Experimental Study</t>
  </si>
  <si>
    <t>10.1109/TVCG.2017.2744818</t>
  </si>
  <si>
    <t>http://dx.doi.org/10.1109/TVCG.2017.2744818</t>
  </si>
  <si>
    <t>Cesar Palomo;Zhan Guo;Cl��udio T. Silva;Juliana Freire</t>
  </si>
  <si>
    <t>Green, T.M.;Maciejewski, R.;DiPaola, S.</t>
  </si>
  <si>
    <t>37403562900;37396008400;37326092700</t>
  </si>
  <si>
    <t xml:space="preserve">artificial intelligence, cognition, intent discernment, volume rendering
</t>
  </si>
  <si>
    <t>Isenberg, P.;Fisher, D.;Morris, M.R.;Inkpen, K.;Czerwinski, Mary</t>
  </si>
  <si>
    <t>37591317800;37542391000;37600344900;37562971500;37563799500</t>
  </si>
  <si>
    <t>Isenberg, P.;Fisher, D.;Morris, M.R.;Inkpen, K.;Czerwinski, M.</t>
  </si>
  <si>
    <t>4035757;4389006;4035758;4376131;4677358;4376145</t>
  </si>
  <si>
    <t>37591746700;37578164900;37600013700</t>
  </si>
  <si>
    <t>Yang Chen;Barlowe, S.;Jing Yang</t>
  </si>
  <si>
    <t>37600587200;37591128900;37292632600</t>
  </si>
  <si>
    <t>146375;1532136;4376134;4677365;4376131;5290723</t>
  </si>
  <si>
    <t>Thomas L̦we;Emmy-Charlotte F̦rster;Georgia Albuquerque;Jens-Peter Kreiss;Marcus A. Magnor</t>
  </si>
  <si>
    <t>Bernard, J.;von Landesberger, T.;Bremm, S.;Schreck, T.</t>
  </si>
  <si>
    <t>37606179600;37586276100;37586274500;37282557600</t>
  </si>
  <si>
    <t>May, T.;Davey, J.;Kohlhammer, J.</t>
  </si>
  <si>
    <t>37603783600;37603822500;37449689200</t>
  </si>
  <si>
    <t>Wenwen Dou;Ziemkiewicz, C.;Harrison, L.;Dong Hyun Jeong;Ryan, R.;Ribarsky, W.;Xiaoyu Wang;Chang, R.</t>
  </si>
  <si>
    <t>37606064200;37548028800;37546111900;37400451800;37603814100;37300425000;37601069300;37592409400</t>
  </si>
  <si>
    <t>4376144;4658127</t>
  </si>
  <si>
    <t>Godwin, J.A.;Kilgore, R.M.</t>
  </si>
  <si>
    <t>37593027200;37603789200</t>
  </si>
  <si>
    <t>Monson, E.E.;Guangliang Chen;Brady, R.;Maggioni, M.</t>
  </si>
  <si>
    <t>37597529800;37403718100;38179702200;37395814700</t>
  </si>
  <si>
    <t>Diakopoulos, N.;Naaman, M.;Kivran-Swaine, F.</t>
  </si>
  <si>
    <t>37591165700;38359768900;38276630800</t>
  </si>
  <si>
    <t xml:space="preserve">Computational Journalism, Computer Assisted Reporting, Social Media, Sensemaking
</t>
  </si>
  <si>
    <t>5333437;5333443;5333878;4677364</t>
  </si>
  <si>
    <t>Ingram, S.;Munzner, T.;Irvine, V.;Tory, M.;Bergner, S.;Möller, T.</t>
  </si>
  <si>
    <t>37587716200;37349490300;37589529600;37275861300;37418878100;37275858700</t>
  </si>
  <si>
    <t>Ingram, S.;Munzner, T.;Irvine, V.;Tory, M.;Bergner, S.;MÃ¶ller, T.</t>
  </si>
  <si>
    <t>1249013;346302;4015439;1249015;5290704;1382893</t>
  </si>
  <si>
    <t>Andrienko, G.;Andrienko, N.;Mladenov, M.;Mock, M.;Politz, C.</t>
  </si>
  <si>
    <t>37283047100;37283047700;37545515700;37279597900;37589346900</t>
  </si>
  <si>
    <t xml:space="preserve">event detection, spatio-temporal data, time series analysis, scalable visualization, geovisualization 
</t>
  </si>
  <si>
    <t>801851;4376136</t>
  </si>
  <si>
    <t>Joorabchi, M.E.;Ji-Dong Yim;Shaw, C.D.</t>
  </si>
  <si>
    <t>37598481900;37605674700;37358198200</t>
  </si>
  <si>
    <t>Joorabchi, M.E.;Ji-Dong Yim;Shaw, C.</t>
  </si>
  <si>
    <t>Gutman, M.;Eosco, G.;Zappa, M.;Weaver, C.</t>
  </si>
  <si>
    <t>37587979100;37594341400;37594207000;37564883300</t>
  </si>
  <si>
    <t xml:space="preserve">Collaboration, coordinated multiple views, instant messaging, emergency response, hazardous weather 
</t>
  </si>
  <si>
    <t>Joorabchi, M.E.;Ji-Dong Yim;Joorabchi, M.E.;Shaw, C.D.</t>
  </si>
  <si>
    <t>37598481900;37605674700;37598482000;37358198200</t>
  </si>
  <si>
    <t>Joorabchi, M.E.;Ji-Dong Yim;Joorabchi, M.E.;Shaw, C.</t>
  </si>
  <si>
    <t>Ferdosi, B.J.;Buddelmeijer, H.;Trager, S.;Wilkinson, M.H.F.;Roerdink, J.B.T.M.</t>
  </si>
  <si>
    <t>37589434200;37589433700;37589433500;37279238300;37279298200</t>
  </si>
  <si>
    <t>Ferdosi, B.J.;Buddelmeijer, H.;Trager, S.;Wilkinson, M.H.F.;Roerdink, J.B.T.</t>
  </si>
  <si>
    <t>Yu-Hsuan Chan;Correa, C.;Kwan-Liu Ma</t>
  </si>
  <si>
    <t>37593323300;37282925900;37275869400</t>
  </si>
  <si>
    <t xml:space="preserve">Uncertainty, Data Transformations, Principal Component Analysis, Model fitting
</t>
  </si>
  <si>
    <t>4658159;4677368;5332611;4389000;4015424;4658123</t>
  </si>
  <si>
    <t>Tomaszewski, B.;MacEachren, A.M.</t>
  </si>
  <si>
    <t>37591184300;37374699000</t>
  </si>
  <si>
    <t xml:space="preserve">context, foraging, sensemaking, mapping, text analysis, geographic information retrieval 
</t>
  </si>
  <si>
    <t>Stefan J�_nicke;Josef Focht;Gerik Scheuermann</t>
  </si>
  <si>
    <t>298</t>
  </si>
  <si>
    <t>308</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</si>
  <si>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</si>
  <si>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Jürgen Bernard;Marco Hutter;Matthias Zeppelzauer;Dieter W. Fellner;Michael Sedlmair</t>
  </si>
  <si>
    <t>Jürgen Bernard;Marco Hutter;Matthias Zeppelzauer;Dieter Fellner;Michael Sedlmair</t>
  </si>
  <si>
    <t>Technische Universität Darmstadt, Darmstadt, Germany;Technische Universität Darmstadt, Darmstadt, Germany;St. Pölten University of Applied Sciences, St. Pölten, Austria;Fraunhofer IGD, Darmstadt, Germany;University of Vienna, Vienna, Austria</t>
  </si>
  <si>
    <t>10.1109/VAST.2014.7042480;10.1109/VAST.2012.6400486;10.1109/TVCG.2012.277;10.1109/VAST.2012.6400492;10.1109/VAST.2010.5652392;10.1109/TVCG.2014.2346482;10.1109/TVCG.2016.2598589;10.1109/TVCG.2016.2598495;10.1109/TVCG.2013.153;10.1109/TVCG.2015.2467717</t>
  </si>
  <si>
    <t>Labeling,Visual-Interactive Labeling,Information Visualization,Visual Analytics,Active Learning,Machine Learning,Classification,Evaluation,Experiment,Dimensionality Reduction</t>
  </si>
  <si>
    <t>Graphiti: Interactive Specification of Attribute-Based Edges for Network Modeling and Visualization</t>
  </si>
  <si>
    <t>10.1109/TVCG.2017.2744843</t>
  </si>
  <si>
    <t>http://dx.doi.org/10.1109/TVCG.2017.2744843</t>
  </si>
  <si>
    <t>226</t>
  </si>
  <si>
    <t>235</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</si>
  <si>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</si>
  <si>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Arjun Srinivasan;Hyunwoo Park;Alex Endert;Rahul C. Basole</t>
  </si>
  <si>
    <t>Georgia Institute of Technology;The Ohio State University;Georgia Institute of Technology;Georgia Institute of Technology</t>
  </si>
  <si>
    <t>10.1109/VAST.2006.261429;10.1109/TVCG.2011.185;10.1109/VAST.2011.6102441;10.1109/VAST.2006.261426;10.1109/TVCG.2009.151;10.1109/TVCG.2006.122;10.1109/TVCG.2016.2598839;10.1109/TVCG.2006.166;10.1109/TVCG.2009.108;10.1109/VAST.2010.5652520</t>
  </si>
  <si>
    <t>Network modeling,visual analytics,user interaction</t>
  </si>
  <si>
    <t>Visualizing Dataflow Graphs of Deep Learning Models in TensorFlow</t>
  </si>
  <si>
    <t>10.1109/TVCG.2017.2744878</t>
  </si>
  <si>
    <t>http://dx.doi.org/10.1109/TVCG.2017.2744878</t>
  </si>
  <si>
    <t>1</t>
  </si>
  <si>
    <t>12</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</si>
  <si>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</si>
  <si>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Kanit Wongsuphasawat;Daniel Smilkov;James Wexler;Jimbo Wilson;Dan Mané;Doug Fritz;Dilip Krishnan;Fernanda B. Viégas;Martin Wattenberg</t>
  </si>
  <si>
    <t>Kanit Wongsuphasawat;Daniel Smilkov;James Wexler;Jimbo Wilson;Dandelion Mané;Doug Fritz;Dilip Krishnan;Fernanda B. Viégas;Martin Wattenberg</t>
  </si>
  <si>
    <t>Paul G. Allen School of Computer Science &amp; EngineeringUniversity of Washington;Google Research;Google Research;Google Research;Google Research;Google Research;Google Research;Google Research;Google Research</t>
  </si>
  <si>
    <t>10.1109/INFVIS.2005.1532130;10.1109/TVCG.2006.156;10.1109/INFVIS.2004.66;10.1109/TVCG.2015.2467451;10.1109/TVCG.2016.2598831;10.1109/VISUAL.2005.1532820;10.1109/INFVIS.2004.43;10.1109/TVCG.2015.2467251</t>
  </si>
  <si>
    <t>Neural Network,Graph Visualization,Dataflow Graph,Clustered Graph</t>
  </si>
  <si>
    <t>VIGOR: Interactive Visual Exploration of Graph Query Results</t>
  </si>
  <si>
    <t>10.1109/TVCG.2017.2744898</t>
  </si>
  <si>
    <t>http://dx.doi.org/10.1109/TVCG.2017.2744898</t>
  </si>
  <si>
    <t>215</t>
  </si>
  <si>
    <t>225</t>
  </si>
  <si>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</si>
  <si>
    <t>Robert Pienta;Fred Hohman;Alex Endert;Acar Tamersoy;Kevin A. Roundy;Christopher Gates 0002;Shamkant B. Navathe;Duen Horng Chau</t>
  </si>
  <si>
    <t>Robert Pienta;Fred Hohman;Alex Endert;Acar Tamersoy;Kevin Roundy;Chris Gates;Shamkant Navathe;Duen Horng Chau</t>
  </si>
  <si>
    <t>10.1109/TVCG.2015.2467717;10.1109/TVCG.2015.2468078</t>
  </si>
  <si>
    <t>graph querying,subgraph results,query result visualization</t>
  </si>
  <si>
    <t>Analyzing the Training Processes of Deep Generative Models</t>
  </si>
  <si>
    <t>10.1109/TVCG.2017.2744938</t>
  </si>
  <si>
    <t>http://dx.doi.org/10.1109/TVCG.2017.2744938</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</si>
  <si>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</si>
  <si>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77</t>
  </si>
  <si>
    <t>87</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</si>
  <si>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</si>
  <si>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Mengchen Liu;Jiaxin Shi;Kelei Cao;Jun Zhu 0001;Shixia Liu</t>
  </si>
  <si>
    <t>Mengchen Liu;Jiaxin Shi;Kelei Cao;Jun Zhu;Shixia Liu</t>
  </si>
  <si>
    <t>Tsinghua UniversityNational Engineering Lab for Big Data Software;Tsinghua University;Tsinghua UniversityNational Engineering Lab for Big Data Software;Tsinghua University;Tsinghua UniversityNational Engineering Lab for Big Data Software</t>
  </si>
  <si>
    <t>10.1109/TVCG.2016.2598496;10.1109/TVCG.2014.2346594;10.1109/TVCG.2010.131;10.1109/TVCG.2011.239;10.1109/TVCG.2016.2598831;10.1109/TVCG.2016.2598797;10.1109/TVCG.2016.2598838;10.1109/TVCG.2016.2598829;10.1109/VISUAL.2005.1532820;10.1109/VAST.2016.7883511;10.1109/TVCG.2016.2598664</t>
  </si>
  <si>
    <t>deep learning,deep generative models,blue noise sampling,credit assignment</t>
  </si>
  <si>
    <t>Podium: Ranking Data Using Mixed-Initiative Visual Analytics</t>
  </si>
  <si>
    <t>10.1109/TVCG.2017.2745078</t>
  </si>
  <si>
    <t>http://dx.doi.org/10.1109/TVCG.2017.2745078</t>
  </si>
  <si>
    <t>288</t>
  </si>
  <si>
    <t>297</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</si>
  <si>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</si>
  <si>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Emily Wall;Subhajit Das;Ravish Chawla;Bharath Kalidindi;Eli T. Brown;Alex Endert</t>
  </si>
  <si>
    <t>Georgia Institute of Technology, Atlanta, GA, USA;Georgia Institute of Technology, Atlanta, GA, USA;Georgia Institute of Technology, Atlanta, GA, USA;Georgia Institute of Technology, Atlanta, GA, USA;DePaul University, Chicago, IL, USA;Georgia Institute of Technology, Atlanta, GA, USA</t>
  </si>
  <si>
    <t>10.1109/INFVIS.2005.1532136;10.1109/VAST.2012.6400486;10.1109/TVCG.2014.2346575;10.1109/VAST.2015.7347625;10.1109/TVCG.2016.2598594;10.1109/VAST.2011.6102449;10.1109/TVCG.2013.173;10.1109/TVCG.2015.2467615;10.1109/TVCG.2016.2598446;10.1109/TVCG.2015.2467551;10.1109/TVCG.2016.2598839;10.1109/TVCG.2012.253;10.1109/VAST.2017.8585669</t>
  </si>
  <si>
    <t>Mixed-initiative visual analytics,multi-attribute ranking,user interaction</t>
  </si>
  <si>
    <t>Progressive Learning of Topic Modeling Parameters: A Visual Analytics Framework</t>
  </si>
  <si>
    <t>10.1109/TVCG.2017.2745080</t>
  </si>
  <si>
    <t>http://dx.doi.org/10.1109/TVCG.2017.2745080</t>
  </si>
  <si>
    <t>Julian Stahnke;Marian D̦rk;Boris M�_ller;Andreas Thom</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</si>
  <si>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</si>
  <si>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Theresia Gschwandtner;Markus B̦gl;Paolo Federico 0001;Silvia Miksch</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</si>
  <si>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</si>
  <si>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</si>
  <si>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Yvonne Jansen;Kasper Hornb�_k</t>
  </si>
  <si>
    <t>Kai Lawonn;Sylvia Gla��er;Anna Vilanova;Bernhard Preim;Tobias Isenberg 0001</t>
  </si>
  <si>
    <t>382</t>
  </si>
  <si>
    <t>391</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</si>
  <si>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</si>
  <si>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Mennatallah El-Assady;Rita Sevastjanova;Fabian Sperrle;Daniel A. Keim;Christopher Collins</t>
  </si>
  <si>
    <t>Mennatallah El-Assady;Rita Sevastjanova;Fabian Sperrle;Daniel Keim;Christopher Collins</t>
  </si>
  <si>
    <t>University of Konstanz, Germany;University of Konstanz, Germany;University of Konstanz, Germany;University of Konstanz, Germany;University of Ontario Institute of Technology, Canada</t>
  </si>
  <si>
    <t>10.1109/TVCG.2015.2467618;10.1109/VAST.2014.7042493;10.1109/TVCG.2013.212;10.1109/VAST.2009.5333443;10.1109/TVCG.2011.239;10.1109/TVCG.2014.2346433;10.1109/TVCG.2010.129;10.1109/VAST.2011.6102461;10.1109/TVCG.2013.162;10.1109/TVCG.2013.126;10.1109/TVCG.2014.2346321</t>
  </si>
  <si>
    <t>Topic Model Configuration,Reinforcement Learning,Feature Detection and Tracking,Iterative Optimization</t>
  </si>
  <si>
    <t>Sequence Synopsis: Optimize Visual Summary of Temporal Event Data</t>
  </si>
  <si>
    <t>10.1109/TVCG.2017.2745083</t>
  </si>
  <si>
    <t>http://dx.doi.org/10.1109/TVCG.2017.2745083</t>
  </si>
  <si>
    <t>45</t>
  </si>
  <si>
    <t>55</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</si>
  <si>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</si>
  <si>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Yuanzhe Chen;Panpan Xu;Liu Ren</t>
  </si>
  <si>
    <t>Hong Kong University of Science and Technology;Bosch Research North America, Palo Alto, CA;Bosch Research North America, Palo Alto, CA</t>
  </si>
  <si>
    <t>10.1109/VAST.2016.7883512;10.1109/TVCG.2013.214;10.1109/TVCG.2014.2346682;10.1109/TVCG.2015.2467622;10.1109/TVCG.2011.179;10.1109/TVCG.2016.2598797;10.1109/TVCG.2015.2467991;10.1109/TVCG.2013.200;10.1109/VAST.2015.7347682;10.1109/INFVIS.2000.885091;10.1109/TVCG.2016.2598591;10.1109/TVCG.2016.2598591;10.1109/TVCG.2009.117;10.1109/TVCG.2009.187;10.1109/VAST.2012.6400494;10.1109/TVCG.2012.225;10.1109/VAST.2009.5332595;10.1109/TVCG.2013.167</t>
  </si>
  <si>
    <t>Time Series Data,Data Transformation and Representation,Visual Knowledge Representation,Visual Analytics</t>
  </si>
  <si>
    <t>Clustervision: Visual Supervision of Unsupervised Clustering</t>
  </si>
  <si>
    <t>10.1109/TVCG.2017.2745085</t>
  </si>
  <si>
    <t>http://dx.doi.org/10.1109/TVCG.2017.2745085</t>
  </si>
  <si>
    <t>142</t>
  </si>
  <si>
    <t>151</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</si>
  <si>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</si>
  <si>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Bum Chul Kwon;Ben Eysenbach;Janu Verma;Kenney Ng;Christopher deFilippi;Walter F. Stewart;Adam Perer</t>
  </si>
  <si>
    <t>Bum Chul Kwon;Ben Eysenbach;Janu Verma;Kenney Ng;Christopher De Filippi;Walter F. Stewart;Adam Perer</t>
  </si>
  <si>
    <t>IBM T.J. Watson Research Center, NY, USA;Massachusetts Institute of Technology, Cambridge, MA, USA;IBM T.J. Watson Research Center, NY, USA;IBM T.J. Watson Research Center, NY, USA;Inova Heart and Vascular Institute, Fairfax, VA, USA;Sutter Health Research, Walnut Creek, California, USA;IBM T.J. Watson Research Center, NY, USA</t>
  </si>
  <si>
    <t>10.1109/TVCG.2011.188;10.1109/TVCG.2014.2346321;10.1109/TVCG.2015.2467717</t>
  </si>
  <si>
    <t>Unsupervised Clustering,Visual Analytics,Quality Metrics,Interactive Visual Clustering</t>
  </si>
  <si>
    <t>PhenoLines: Phenotype Comparison Visualizations for Disease Subtyping via Topic Models</t>
  </si>
  <si>
    <t>10.1109/TVCG.2017.2745118</t>
  </si>
  <si>
    <t>http://dx.doi.org/10.1109/TVCG.2017.2745118</t>
  </si>
  <si>
    <t>371</t>
  </si>
  <si>
    <t>381</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</si>
  <si>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subtypes-each with its own temporally evolving prevalence and co-occurrence of phenotypes-without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</si>
  <si>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Michael Glueck;Mahdi Pakdaman Naeini;Finale Doshi-Velez;Fanny Chevalier;Azam Khan;Daniel J. Wigdor;Michael Brudno</t>
  </si>
  <si>
    <t>Michael Glueck;Mahdi Pakdaman Naeini;Finale Doshi-Velez;Fanny Chevalier;Azam Khan;Daniel Wigdor;Michael Brudno</t>
  </si>
  <si>
    <t>Autodesk Research and University, Toronto;Harvard University;Harvard University;Inria;Autodesk Research;University of Toronto;Hospital for Sick ChildrenUniversity of Toronto</t>
  </si>
  <si>
    <t>10.1109/TVCG.2011.185;10.1109/TVCG.2013.124;10.1109/TVCG.2009.140;10.1109/TVCG.2011.239;10.1109/TVCG.2014.2346433;10.1109/VAST.2011.6102461;10.1109/TVCG.2013.162;10.1109/TVCG.2016.2598469;10.1109/TVCG.2015.2467733;10.1109/TVCG.2015.2467622;10.1109/VAST.2014.7042494;10.1109/TVCG.2009.111;10.1109/TVCG.2012.213;10.1109/TVCG.2016.2598591</t>
  </si>
  <si>
    <t>Developmental disorder,Human Phenotype Ontology (HPO),Phenotypes,Topic models,Topology simplification</t>
  </si>
  <si>
    <t>A Utility-Aware Visual Approach for Anonymizing Multi-Attribute Tabular Data</t>
  </si>
  <si>
    <t>10.1109/TVCG.2017.2745139</t>
  </si>
  <si>
    <t>http://dx.doi.org/10.1109/TVCG.2017.2745139</t>
  </si>
  <si>
    <t>Johannes Sorger;Thomas Ortner;Christian Luksch;Michael Schw�_rzler;M. Eduard Gr̦ller;Harald Piringer</t>
  </si>
  <si>
    <t>351</t>
  </si>
  <si>
    <t>360</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</si>
  <si>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</si>
  <si>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Xu-Meng Wang;Jia-Kai Chou;Wei Chen 0001;Huihua Guan;Wenlong Chen;Tianyi Lao;Kwan-Liu Ma</t>
  </si>
  <si>
    <t>Xumeng Wang;Jia-Kai Chou;Wei Chen;Huihua Guan;Wenlong Chen;Tianyi Lao;Kwan-Liu Ma</t>
  </si>
  <si>
    <t>Zhejiang University;University of California, Davis;Zhejiang University;Zhejiang University;Zhejiang University;Zhejiang University;University of California, Davis</t>
  </si>
  <si>
    <t>10.1109/TVCG.2011.163;10.1109/TVCG.2015.2467671</t>
  </si>
  <si>
    <t>Privacy preserving visualization,utility aware anonymization,syntactic anonymity,differential privacy</t>
  </si>
  <si>
    <t>TreePOD: Sensitivity-Aware Selection of Pareto-Optimal Decision Trees</t>
  </si>
  <si>
    <t>10.1109/TVCG.2017.2745158</t>
  </si>
  <si>
    <t>http://dx.doi.org/10.1109/TVCG.2017.2745158</t>
  </si>
  <si>
    <t>174</t>
  </si>
  <si>
    <t>183</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</si>
  <si>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</si>
  <si>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Thomas Mühlbacher;Lorenz Linhardt;Torsten Möller;Harald Piringer</t>
  </si>
  <si>
    <t>VRVis Research Center;ETH Zurich;University of Vienna;VRVis Research Center</t>
  </si>
  <si>
    <t>10.1109/VAST.2011.6102457;10.1109/TVCG.2010.190;10.1109/TVCG.2008.145;10.1109/TVCG.2014.2346578;10.1109/TVCG.2016.2598589;10.1109/TVCG.2009.110;10.1109/TVCG.2014.2346321;10.1109/TVCG.2010.130;10.1109/TVCG.2011.248;10.1109/VAST.2011.6102453</t>
  </si>
  <si>
    <t>Model selection,classification trees,visual parameter search,sensitivity analysis,Pareto optimality</t>
  </si>
  <si>
    <t>Visualizing Confidence in Cluster-Based Ensemble Weather Forecast Analyses</t>
  </si>
  <si>
    <t>10.1109/TVCG.2017.2745178</t>
  </si>
  <si>
    <t>http://dx.doi.org/10.1109/TVCG.2017.2745178</t>
  </si>
  <si>
    <t>109</t>
  </si>
  <si>
    <t>119</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</si>
  <si>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</si>
  <si>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Alexander Kumpf;Bianca Tost;Marlene Baumgart;Michael Riemer;Rüdiger Westermann;Marc Rautenhaus</t>
  </si>
  <si>
    <t>Computer Graphics &amp; Visualization Group, Technische Universität München, Garching, Germany;Computer Graphics &amp; Visualization Group, Technische Universität München, Garching, Germany;Institute of Atmospheric Physics, Johannes Gutenberg Universität Mainz, Mainz, Germany;Institute of Atmospheric Physics, Johannes Gutenberg Universität Mainz, Mainz, Germany;Computer Graphics &amp; Visualization Group, Technische Universität München, Garching, Germany;Computer Graphics &amp; Visualization Group, Technische Universität München, Garching, Germany</t>
  </si>
  <si>
    <t>10.1109/TVCG.2014.2346626;10.1109/TVCG.2010.190;10.1109/TVCG.2006.168;10.1109/TVCG.2015.2467204;10.1109/TVCG.2016.2598868;10.1109/VISUAL.1999.809866;10.1109/INFVIS.2002.1173157;10.1109/TVCG.2013.141;10.1109/TVCG.2010.138;10.1109/TVCG.2006.170;10.1109/TVCG.2012.207;10.1109/TVCG.2013.177;10.1109/TVCG.2014.2346332;10.1109/TVCG.2013.143</t>
  </si>
  <si>
    <t>Uncertainty visualization,ensemble visualization,clustering,meteorology</t>
  </si>
  <si>
    <t>Beyond Tasks: An Activity Typology for Visual Analytics</t>
  </si>
  <si>
    <t>10.1109/TVCG.2017.2745180</t>
  </si>
  <si>
    <t>http://dx.doi.org/10.1109/TVCG.2017.2745180</t>
  </si>
  <si>
    <t>267</t>
  </si>
  <si>
    <t>277</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</si>
  <si>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 a framework for modelling human activities that has been influential in the field of Human-Computer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</si>
  <si>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Darren Edge;Nathalie Henry Riche;Jonathan Larson;Christopher White</t>
  </si>
  <si>
    <t>Microsoft Research;Microsoft Research;Microsoft Research;Microsoft Research</t>
  </si>
  <si>
    <t>10.1109/INFVIS.2005.1532136;10.1109/VAST.2008.4677362;10.1109/TVCG.2013.124;10.1109/VAST.2006.261439;10.1109/TVCG.2016.2598468;10.1109/INFVIS.2000.885092;10.1109/VAST.2006.261430;10.1109/VAST.2008.4677365;10.1109/VAST.2007.4389011;10.1109/VAST.2011.6102438;10.1109/VAST.2010.5653598;10.1109/TVCG.2014.2346573;10.1109/VAST.2008.4677366;10.1109/TVCG.2015.2467551;10.1109/TVCG.2012.213;10.1109/VAST.2007.4389006;10.1109/TVCG.2009.162;10.1109/TVCG.2007.70577;10.1109/TVCG.2016.2598543</t>
  </si>
  <si>
    <t>Activity theory,visual analytics,activity-centered design,literature review,human-computer interaction</t>
  </si>
  <si>
    <t>Bring It to the Pitch: Combining Video and Movement Data to Enhance Team Sport Analysis</t>
  </si>
  <si>
    <t>10.1109/TVCG.2017.2745181</t>
  </si>
  <si>
    <t>http://dx.doi.org/10.1109/TVCG.2017.2745181</t>
  </si>
  <si>
    <t>13</t>
  </si>
  <si>
    <t>22</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</si>
  <si>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</si>
  <si>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Manuel Stein;Halldór Janetzko;Andreas Lamprecht;Thorsten Breitkreutz;Philipp Zimmermann;Bastian Goldlücke;Tobias Schreck;Gennady L. Andrienko;Michael Grossniklaus;Daniel A. Keim</t>
  </si>
  <si>
    <t>Manuel Stein;Halldor Janetzko;Andreas Lamprecht;Thorsten Breitkreutz;Philipp Zimmermann;Bastian Goldlücke;Tobias Schreck;Gennady Andrienko;Michael Grossniklaus;Daniel A. Keim</t>
  </si>
  <si>
    <t>University of Konstanz;University of Zürich;University of Konstanz;University of Konstanz;University of Konstanz;University of Konstanz;Graz University of Technology;Fraunhofer IAIS, Germany;University of Konstanz;University of Konstanz</t>
  </si>
  <si>
    <t>10.1109/TVCG.2007.70521;10.1109/VISUAL.2003.1250401;10.1109/TVCG.2013.207;10.1109/TVCG.2012.263;10.1109/TVCG.2014.2346445;10.1109/VAST.2014.7042477</t>
  </si>
  <si>
    <t>visual analytics,sport analytics,immersive analytics</t>
  </si>
  <si>
    <t>Towards a Systematic Combination of Dimension Reduction and Clustering in Visual Analytics</t>
  </si>
  <si>
    <t>10.1109/TVCG.2017.2745258</t>
  </si>
  <si>
    <t>http://dx.doi.org/10.1109/TVCG.2017.2745258</t>
  </si>
  <si>
    <t>131</t>
  </si>
  <si>
    <t>141</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</si>
  <si>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</si>
  <si>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John E. Wenskovitch;Ian Crandell;Naren Ramakrishnan;Leanna House;Scotland Leman;Chris North</t>
  </si>
  <si>
    <t>John Wenskovitch;Ian Crandell;Naren Ramakrishnan;Leanna House;Scotland Leman;Chris North</t>
  </si>
  <si>
    <t>Virginia Tech Department of Computer Science;Virginia Tech Department of Statistics;Virginia Tech Department of Computer Science;Virginia Tech Department of Statistics;Virginia Tech Department of Statistics;Virginia Tech Department of Computer Science</t>
  </si>
  <si>
    <t>10.1109/TVCG.2006.120;10.1109/TVCG.2011.186;10.1109/INFVIS.2005.1532136;10.1109/VAST.2014.7042492;10.1109/TVCG.2013.124;10.1109/VAST.2012.6400486;10.1109/TVCG.2014.2346594;10.1109/VAST.2009.5332629;10.1109/TVCG.2013.212;10.1109/TVCG.2009.122;10.1109/TVCG.2006.156;10.1109/VAST.2011.6102449;10.1109/INFVIS.2005.1532126;10.1109/TVCG.2013.188;10.1109/VAST.2012.6400487;10.1109/VAST.2007.4388999;10.1109/TVCG.2014.2346422;10.1109/TVCG.2011.178;10.1109/TVCG.2007.70515</t>
  </si>
  <si>
    <t>Dimension reduction,clustering,algorithms,visual analytics</t>
  </si>
  <si>
    <t>Supporting Handoff in Asynchronous Collaborative Sensemaking Using Knowledge-Transfer Graphs</t>
  </si>
  <si>
    <t>10.1109/TVCG.2017.2745279</t>
  </si>
  <si>
    <t>http://dx.doi.org/10.1109/TVCG.2017.2745279</t>
  </si>
  <si>
    <t>340</t>
  </si>
  <si>
    <t>350</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</si>
  <si>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</si>
  <si>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Jian Zhao;Michael Glueck;Petra Isenberg;Fanny Chevalier;Azam Khan</t>
  </si>
  <si>
    <t>FX Palo Alto Laboratory;Autodesk Research;Inria;Inria;Autodesk Research</t>
  </si>
  <si>
    <t>10.1109/VAST.2007.4389009;10.1109/VAST.2011.6102447;10.1109/VAST.2010.5652932;10.1109/VAST.2006.261420;10.1109/VAST.2007.4389011;10.1109/TVCG.2008.137;10.1109/TVCG.2007.70568;10.1109/VAST.2009.5333020;10.1109/VAST.2009.5333878;10.1109/VAST.2011.6102438;10.1109/VAST.2006.261415;10.1109/TVCG.2014.2346573;10.1109/TVCG.2015.2467551;10.1109/VAST.2008.4677358;10.1109/TVCG.2016.2598466;10.1109/VAST.2007.4389006;10.1109/TVCG.2007.70577;10.1109/TVCG.2007.70589;10.1109/TVCG.2016.2598543</t>
  </si>
  <si>
    <t>Collaboration,sensemaking,handoff,handover,structured externalizations,interactive visual analysis</t>
  </si>
  <si>
    <t>Dynamic Influence Networks for Rule-Based Models</t>
  </si>
  <si>
    <t>10.1109/TVCG.2017.2745280</t>
  </si>
  <si>
    <t>http://dx.doi.org/10.1109/TVCG.2017.2745280</t>
  </si>
  <si>
    <t>Lipford, H.R.;Stukes, F.;Wenwen Dou;Hawkins, M.E.;Chang, R.</t>
  </si>
  <si>
    <t>184</t>
  </si>
  <si>
    <t>37601288800;37601289000;37606064200;37601287300;37592409400</t>
  </si>
  <si>
    <t>194</t>
  </si>
  <si>
    <t>We introduce the Dynamic Influence Network (DIN), a novel visual analytics technique for representing and analyzing rule-based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</si>
  <si>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Angus Graeme Forbes;Andrew Burks;Kristine Lee;Xing Li;Pierre Boutillier;Jean Krivine;Walter Fontana</t>
  </si>
  <si>
    <t>Angus G. Forbes;Andrew Burks;Kristine Lee;Xing Li;Pierre Boutillier;Jean Krivine;Walter Fontana</t>
  </si>
  <si>
    <t>University of California, Santa Cruz;University of Illinois, Chicago;University of Illinois, Chicago;University of Illinois, Chicago;Harvard Medical School;Universit&amp;#x00E9; Paris Diderot;Harvard Medical School</t>
  </si>
  <si>
    <t>10.1109/TVCG.2011.185;10.1109/TVCG.2010.126;10.1109/TVCG.2013.198;10.1109/TVCG.2007.70528;10.1109/TVCG.2013.154;10.1109/TVCG.2012.189</t>
  </si>
  <si>
    <t>Dynamic networks,biological data visualization,rule-based modeling,protein-protein interaction networks</t>
  </si>
  <si>
    <t>4658129;4388992;4677365;4677360;4389009</t>
  </si>
  <si>
    <t>EventThread: Visual Summarization and Stage Analysis of Event Sequence Data</t>
  </si>
  <si>
    <t>10.1109/TVCG.2017.2745320</t>
  </si>
  <si>
    <t>http://dx.doi.org/10.1109/TVCG.2017.2745320</t>
  </si>
  <si>
    <t>56</t>
  </si>
  <si>
    <t>Albuquerque, G.;Eisemann, M.;Lehmann, D.J.;Theisel, H.;Magnor, M.</t>
  </si>
  <si>
    <t>65</t>
  </si>
  <si>
    <t>37603943800;37546817000;37601992200;37266875400;37273816400</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</si>
  <si>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</si>
  <si>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Shunan Guo;Ke Xu;Rongwen Zhao;David Gotz;Hongyuan Zha;Nan Cao</t>
  </si>
  <si>
    <t>East China Normal University;Hong Kong University of Science and Technology;iDV&lt;sup&gt;x&lt;/sup&gt; LabTongji University;University of North Carolina, Chapel Hill;East China Normal University;iDV&lt;sup&gt;x&lt;/sup&gt; LabTongji University</t>
  </si>
  <si>
    <t>10.1109/TVCG.2011.188;10.1109/TVCG.2014.2346682;10.1109/INFVIS.2003.1249017;10.1109/TVCG.2011.179;10.1109/TVCG.2013.200</t>
  </si>
  <si>
    <t>1532145;1532142;663916;4035766;5332628;4658161</t>
  </si>
  <si>
    <t>Visual Knowledge Representation,Visual Knowledge Discovery,Data Clustering,Time Series Data,Illustrative Visualization</t>
  </si>
  <si>
    <t>Jing Jin;Szekely, P.</t>
  </si>
  <si>
    <t>37600357600;37591247400</t>
  </si>
  <si>
    <t>CRICTO: Supporting Sensemaking through Crowdsourced Information Schematization</t>
  </si>
  <si>
    <t>10.1109/VAST.2017.8585484</t>
  </si>
  <si>
    <t>4035762;4035754</t>
  </si>
  <si>
    <t>http://dx.doi.org/10.1109/VAST.2017.8585484</t>
  </si>
  <si>
    <t>Berger, W.;Piringer, H.</t>
  </si>
  <si>
    <t>37546977900;37282562500</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</si>
  <si>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</si>
  <si>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Haeyong Chung;Sai Prashanth Dasari;Santhosh Nandhakumar;Christopher Andrews</t>
  </si>
  <si>
    <t>University of Alabama in Huntsville;University of Alabama in Huntsville;University of Alabama in Huntsville;Middlebury College</t>
  </si>
  <si>
    <t>10.1109/VAST.2007.4389006;10.1109/TVCG.2013.164;10.1109/TVCG.2007.70577;10.1109/VAST.2009.5333878;10.1109/VAST.2008.4677362;10.1109/TVCG.2014.2346573;10.1109/VAST.2006.261439;10.1109/VAST.2010.5652932;10.1109/VAST.2007.4389011</t>
  </si>
  <si>
    <t>Visual text analytics,sensemaking,crowdsourcing</t>
  </si>
  <si>
    <t>37602784600;37599320600;37592890600;37277119500</t>
  </si>
  <si>
    <t>The y of it Matters, Even for Storyline Visualization</t>
  </si>
  <si>
    <t>5332629;1249015;1382891;5290704</t>
  </si>
  <si>
    <t>10.1109/VAST.2017.8585487</t>
  </si>
  <si>
    <t>http://dx.doi.org/10.1109/VAST.2017.8585487</t>
  </si>
  <si>
    <t>Joshi, S.H.;Bowman, I.;Van Horn, J.D.</t>
  </si>
  <si>
    <t>37288595800;37603001800;37589311500</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</si>
  <si>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 &amp;lt;; .05)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</si>
  <si>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Dustin Arendt;Meg Pirrung</t>
  </si>
  <si>
    <t>Pacific Northwest National Laboratory;Pacific Northwest National Laboratory</t>
  </si>
  <si>
    <t>10.1109/VAST.2009.5332593;10.1109/TVCG.2014.2346433;10.1109/TVCG.2013.196;10.1109/TVCG.2013.221;10.1109/TVCG.2012.212;10.1109/TVCG.2015.2468151</t>
  </si>
  <si>
    <t>Storyline visualization,layout algorithms,interaction context,geospatial analysis,VAST Challenge</t>
  </si>
  <si>
    <t>The Role of Explicit Knowledge: A Conceptual Model of Knowledge-Assisted Visual Analytics</t>
  </si>
  <si>
    <t>10.1109/VAST.2017.8585498</t>
  </si>
  <si>
    <t>http://dx.doi.org/10.1109/VAST.2017.8585498</t>
  </si>
  <si>
    <t>4658129;4015419;4035749;1382904;4015439;1173158;346302;729560;4376154;4376133;4389006;1532129;1382905</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</si>
  <si>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</si>
  <si>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Paolo Federico 0001;Markus Wagner 0008;Alexander Rind;Albert Amor-Amoros;Silvia Miksch;Wolfgang Aigner</t>
  </si>
  <si>
    <t>Paolo Federico;Markus Wagner;Alexander Rind;Albert Amor-Amorós;Silvia Miksch;Wolfgang Aigner</t>
  </si>
  <si>
    <t>TU Wien, Austria;St. Poelten University of Applied Sciences, Austria and TU Wien, Austria;St. Poelten University of Applied Sciences, Austria and TU Wien, Austria;TU Wien, Austria;TU Wien, Austria;TU Wien, Austria</t>
  </si>
  <si>
    <t>10.1109/TVCG.2013.146;10.1109/TVCG.2014.2346575;10.1109/INFVIS.1997.636792;10.1109/TVCG.2016.2598468;10.1109/INFVIS.2000.885092;10.1109/INFVIS.1998.729560;10.1109/TVCG.2016.2598460;10.1109/TVCG.2016.2598471;10.1109/VAST.2008.4677352;10.1109/TVCG.2008.109;10.1109/VAST.2012.6400555;10.1109/VAST.2010.5654451;10.1109/TVCG.2014.2346481;10.1109/TVCG.2016.2598839;10.1109/VAST.2007.4389021;10.1109/TVCG.2014.2346574;10.1109/TVCG.2016.2598829;10.1109/VISUAL.2005.1532781</t>
  </si>
  <si>
    <t>Automated analysis,tacit knowledge,explicit knowledge,visual analytics,information visualization,theory and model</t>
  </si>
  <si>
    <t>Interactive Visual Alignment of Medieval Text Versions</t>
  </si>
  <si>
    <t>10.1109/VAST.2017.8585505</t>
  </si>
  <si>
    <t>http://dx.doi.org/10.1109/VAST.2017.8585505</t>
  </si>
  <si>
    <t>Textual criticism consists of the identification and analysis of variant readings among different versions of a text. Being a relatively simple task for modern languages, the collation of medieval text traditions ranges from the complex to the virtually impossible depending on the degree of instability of textual transmission. We present a visual analytics environment that supports computationally aligning such complex textual differences typical of orally inflected medieval poetry. For the purpose of analyzing alignment, we provide interactive visualizations for different text hierarchy levels, specifically, a meso reading view to support investigating repetition and variance at the line level across text segments. In addition to outlining important aspects of our interdisciplinary collaboration, we emphasize the utility of the proposed system by various usage scenarios in medieval French literature.</t>
  </si>
  <si>
    <t>Stefan Jänicke;David Joseph Wrisley</t>
  </si>
  <si>
    <t>Image and Signal Processing Group, Institute for Computer Science, Leipzig University, Germany;Digital Humanities, New York University Abu Dhabi, United Arab Emirates</t>
  </si>
  <si>
    <t>10.1109/VAST.2014.7042493;10.1109/TVCG.2014.2346431;10.1109/VAST.2009.5333443;10.1109/VAST.2007.4389004;10.1109/VAST.2009.5333564;10.1109/VAST.2009.5333248</t>
  </si>
  <si>
    <t>Visualizing Real-Time Strategy Games: The Example of StarCraft II</t>
  </si>
  <si>
    <t>10.1109/VAST.2017.8585594</t>
  </si>
  <si>
    <t>http://dx.doi.org/10.1109/VAST.2017.8585594</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</si>
  <si>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</si>
  <si>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Yen-Ting Kuan;Yu-Shuen Wang;Jung-Hong Chuang</t>
  </si>
  <si>
    <t>National Chiao Tung University;National Chiao Tung University;National Chiao Tung University</t>
  </si>
  <si>
    <t>real-time strategy games,StarCraft,game visualization,trajectories</t>
  </si>
  <si>
    <t>Pattern Trails: Visual Analysis of Pattern Transitions in Subspaces</t>
  </si>
  <si>
    <t>10.1109/VAST.2017.8585613</t>
  </si>
  <si>
    <t>http://dx.doi.org/10.1109/VAST.2017.8585613</t>
  </si>
  <si>
    <t>Subspace analysis methods have gained interest for identifying patterns in subspaces of high-dimensional data. Existing techniques allow to visualize and compare patterns in subspaces. However, many subspace analysis methods produce an abundant amount of patterns, which often remain redundant and are difficult to relate. Creating effective layouts for comparison of subspace patterns remains challenging. We introduce Pattern Trails, a novel approach for visually ordering and comparing subspace patterns. Central to our approach is the notion of pattern transitions as an interpretable structure imposed to order and compare patterns between subspaces. The basic idea is to visualize projections of subspaces side-by-side, and indicate changes between adjacent patterns in the subspaces by a linked representation, hence introducing pattern transitions. Our contributions comprise a systematization for how pairs of subspace patterns can be compared, and how changes can be interpreted in terms of pattern transitions. We also contribute a technique for visual subspace analysis based on a data-driven similarity measure between subspace representations. This measure is useful to order the patterns, and interactively group subspaces to reduce redundancy. We demonstrate the usefulness of our approach by application to several use cases, indicating that data can be meaningfully ordered and interpreted in terms of pattern transitions.</t>
  </si>
  <si>
    <t>Dominik Jäckle;Michael Blumenschein;Michael Behrisch;Daniel A. Keim;Tobias Schreck</t>
  </si>
  <si>
    <t>Dominik Jäckle;Michael Hund;Michael Behrisch;Daniel A. Keim;Tobias Schreck</t>
  </si>
  <si>
    <t>University of Konstanz;University of Konstanz;University of Konstanz;University of Konstanz;TU Graz</t>
  </si>
  <si>
    <t>10.1109/VAST.2012.6400490;10.1109/TVCG.2011.188;10.1109/TVCG.2015.2467552;10.1109/TVCG.2010.184;10.1109/INFVIS.2005.1532141;10.1109/TVCG.2013.173;10.1109/VAST.2010.5652392;10.1109/VISUAL.1990.146402;10.1109/VISUAL.1995.485140;10.1109/TVCG.2014.2346482;10.1109/TVCG.2015.2467132;10.1109/TVCG.2014.2346481;10.1109/TVCG.2016.2598495;10.1109/TVCG.2013.153;10.1109/TVCG.2015.2467717;10.1109/VAST.2012.6400488;10.1109/TVCG.2011.178;10.1109/VISUAL.1995.485139;10.1109/TVCG.2009.179;10.1109/TVCG.2013.150</t>
  </si>
  <si>
    <t>E-Map: A Visual Analytics Approach for Exploring Significant Event Evolutions in Social Media</t>
  </si>
  <si>
    <t>10.1109/VAST.2017.8585638</t>
  </si>
  <si>
    <t>http://dx.doi.org/10.1109/VAST.2017.8585638</t>
  </si>
  <si>
    <t>Significant events are often discussed and spread through social media, involving many people. Reposting activities and opinions expressed in social media offer good opportunities to understand the evolution of events. However, the dynamics of reposting activities and the diversity of user comments pose challenges to understand event-related social media data. We propose E-Map, a visual analytics approach that uses map-like visualization tools to help multi-faceted analysis of social media data on a significant event and in-depth understanding of the development of the event. E-Map transforms extracted keywords, messages, and reposting behaviors into map features such as cities, towns, and rivers to build a structured and semantic space for users to explore. It also visualizes complex posting and reposting behaviors as simple trajectories and connections that can be easily followed. By supporting multi-level spatial temporal exploration, E-Map helps to reveal the patterns of event development and key players in an event, disclosing the ways they shape and affect the development of the event. Two cases analysing real-world events confirm the capacities of E-Map in facilitating the analysis of event evolution with social media data.</t>
  </si>
  <si>
    <t>Siming Chen;Shuai Chen;Lijing Lin;Xiaoru Yuan;Jie Liang;Xiaolong Zhang 0001</t>
  </si>
  <si>
    <t>Siming Chen;Shuai Chen;Lijing Lin;Xiaoru Yuan;Jie Liang;Xiaolong Zhang</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</si>
  <si>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China;Faculty of Engineer and Information Technology, The University of Technology, Sydney, Australia;College of Information Sciences and Technology, Pennsylvania State University, USA</t>
  </si>
  <si>
    <t>10.1109/VAST.2008.4677356;10.1109/TVCG.2013.186;10.1109/TVCG.2011.185;10.1109/TVCG.2012.291;10.1109/VAST.2012.6400557;10.1109/VAST.2016.7883510;10.1109/TVCG.2015.2467619;10.1109/TVCG.2014.2346433;10.1109/TVCG.2010.129;10.1109/VAST.2012.6400485;10.1109/TVCG.2013.162;10.1109/INFVIS.2005.1532126;10.1109/TVCG.2007.70582;10.1109/TVCG.2016.2598590;10.1109/TVCG.2015.2467554;10.1109/VAST.2015.7347632;10.1109/TVCG.2013.196;10.1109/VAST.2011.6102456;10.1109/TVCG.2016.2598919;10.1109/TVCG.2009.171;10.1109/VAST.2016.7883511;10.1109/TVCG.2015.2467691;10.1109/TVCG.2014.2346920;10.1109/TVCG.2013.221;10.1109/TVCG.2014.2346922;10.1109/VAST.2014.7042496</t>
  </si>
  <si>
    <t>Social Media,Event Analysis,Map-like Visual Metaphor,Spatial Temporal Visual Analytics</t>
  </si>
  <si>
    <t>A Visual Analytics System for Optimizing Communications in Massively Parallel Applications</t>
  </si>
  <si>
    <t>10.1109/VAST.2017.8585646</t>
  </si>
  <si>
    <t>http://dx.doi.org/10.1109/VAST.2017.8585646</t>
  </si>
  <si>
    <t>Current and future supercomputers have tens of thousands of compute nodes interconnected with high-dimensional networks and complex network topologies for improved performance. Application developers are required to write scalable parallel programs in order to achieve high throughput on these machines. Application performance is largely determined by efficient inter-process communication. A common way to analyze and optimize performance is through profiling parallel codes to identify communication bottlenecks. However, understanding gigabytes of profiled at a is not a trivial task. In this paper, we present a visual analytics system for identifying the scalability bottlenecks and improving the communication efficiency of massively parallel applications. Visualization methods used in this system are designed to comprehend large-scale and varied communication patterns on thousands of nodes in complex networks such as the 5D torus and the dragonfly. We also present efficient rerouting and remapping algorithms that can be coupled with our interactive visual analytics design for performance optimization. We demonstrate the utility of our system with several case studies using three benchmark applications on two leading supercomputers. The mapping suggestion from our system led to 38% improvement in hop-bytes for Mini AMR application on 4,096 MPI processes.</t>
  </si>
  <si>
    <t>Takanori Fujiwara;Preeti Malakar;Khairi Reda;Venkatram Vishwanath;Michael E. Papka;Kwan-Liu Ma</t>
  </si>
  <si>
    <t>University of California, Davis;Argonne National Laboratory;Indiana University-Purdue University Indianapolis;Argonne National Laboratory;Argonne National Laboratory, Northern Illinois University;University of California, Davis</t>
  </si>
  <si>
    <t>10.1109/INFVIS.2004.1;10.1109/TVCG.2012.286;10.1109/TVCG.2014.2346441</t>
  </si>
  <si>
    <t>Supercomputing,parallel communications,performance analysis,visual analytics,communication visualization</t>
  </si>
  <si>
    <t>Visual Causality Analysis Made Practical</t>
  </si>
  <si>
    <t>10.1109/VAST.2017.8585647</t>
  </si>
  <si>
    <t>http://dx.doi.org/10.1109/VAST.2017.8585647</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</si>
  <si>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</si>
  <si>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Visual Analytics and Imaging Lab, Stony Brook University;Visual Analytics and Imaging Lab, Stony Brook University</t>
  </si>
  <si>
    <t>10.1109/TVCG.2015.2467931;10.1109/TVCG.2012.225;10.1109/TVCG.2013.200;10.1109/TVCG.2016.2598797;10.1109/TVCG.2016.2598919;10.1109/TVCG.2016.2598543;10.1109/TVCG.2015.2467691</t>
  </si>
  <si>
    <t>Visual knowledge discovery,Causality,Hypothesis testing,Visual evidence,High-dimensional data</t>
  </si>
  <si>
    <t>CrystalBall: A Visual Analytic System for Future Event Discovery and Analysis from Social Media Data</t>
  </si>
  <si>
    <t>10.1109/VAST.2017.8585658</t>
  </si>
  <si>
    <t>http://dx.doi.org/10.1109/VAST.2017.8585658</t>
  </si>
  <si>
    <t>Social media data bear valuable insights regarding events that occur around the world. Events are inherently temporal and spatial. Existing visual text analysis systems have focused on detecting and analyzing past and ongoing events. Few have leveraged social media information to look for events that may occur in the future. In this paper, we present an interactive visual analytic system, CrystalBall, that automatically identifies and ranks future events from Twitter streams. CrystalBall integrates new methods to discover events with interactive visualizations that permit sensemaking of the identified future events. Our computational methods integrate seven different measures to identify and characterize future events, leveraging information regarding time, location, social networks, and the informativeness of the messages. A visual interface is tightly coupled with the computational methods to present a concise summary of the possible future events. A novel connection graph and glyphs are designed to visualize the characteristics of the future events. To demonstrate the efficacy of CrystalBall in identifying future events and supporting interactive analysis, we present multiple case studies and validation studies on analyzing events derived from Twitter data.</t>
  </si>
  <si>
    <t>Isaac Cho;Ryan Wesslen;Svitlana Volkova;William Ribarsky;Wenwen Dou</t>
  </si>
  <si>
    <t>University of North Carolina at Charlotte;University of North Carolina at Charlotte;Pacific Northwest National Laboratory;University of North Carolina at Charlotte;University of North Carolina at Charlotte</t>
  </si>
  <si>
    <t>Social media analysis,Event detection and analysis,visual analytics</t>
  </si>
  <si>
    <t>The Anchoring Effect in Decision-Making with Visual Analytics</t>
  </si>
  <si>
    <t>10.1109/VAST.2017.8585665</t>
  </si>
  <si>
    <t>http://dx.doi.org/10.1109/VAST.2017.8585665</t>
  </si>
  <si>
    <t>Paul Klemm;Kai Lawonn;Sylvia Gla��er;Uli Niemann;Katrin Hegenscheid;Henry V̦lzke;Bernhard Preim</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</si>
  <si>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t>
  </si>
  <si>
    <t>Isaac Cho;Ryan Wesslen;Alireza Karduni;Sashank Santhanam;Samira Shaikh;Wenwen Dou</t>
  </si>
  <si>
    <t>University of North Carolina at Charlotte;University of North Carolina at Charlotte;University of North Carolina at Charlotte;University of North Carolina at Charlotte;University of North Carolina at Charlotte;University of North Carolina at Charlotte</t>
  </si>
  <si>
    <t>10.1109/TVCG.2015.2467971;10.1109/VAST.2017.8585658;10.1109/TVCG.2016.2598594;10.1109/VAST.2011.6102491;10.1109/TVCG.2009.152;10.1109/TVCG.2015.2467591</t>
  </si>
  <si>
    <t>Visual Analytics,Anchoring Effect,Sense Making,Cognitive Bias,Interaction Log Analysis</t>
  </si>
  <si>
    <t>Warning, Bias May Occur: A Proposed Approach to Detecting Cognitive Bias in Interactive Visual Analytics</t>
  </si>
  <si>
    <t>10.1109/VAST.2017.8585669</t>
  </si>
  <si>
    <t>http://dx.doi.org/10.1109/VAST.2017.8585669</t>
  </si>
  <si>
    <t>Visual analytic tools combine the complementary strengths of humans and machines in human-in-the-loop systems. Humans provide invaluable domain expertise and sensemaking capabilities to this discourse with analytic models; however, little consideration has yet been given to the ways inherent human biases might shape the visual analytic process. In this paper, we establish a conceptual framework for considering bias assessment through human-in-the-loop systems and lay the theoretical foundations for bias measurement. We propose six preliminary metrics to systematically detect and quantify bias from user interactions and demonstrate how the metrics might be implemented in an existing visual analytic system, InterAxis. We discuss how our proposed metrics could be used by visual analytic systems to mitigate the negative effects of cognitive biases by making users aware of biased processes throughout their analyses.</t>
  </si>
  <si>
    <t>Emily Wall;Leslie M. Blaha;Lyndsey Franklin;Alex Endert</t>
  </si>
  <si>
    <t>Georgia Tech;Pacific Northwest National Laboratory;Pacific Northwest National Laboratory;Georgia Tech</t>
  </si>
  <si>
    <t>10.1109/VAST.2012.6400486;10.1109/TVCG.2014.2346575;10.1109/VAST.2015.7347625;10.1109/TVCG.2016.2598594;10.1109/VAST.2011.6102449;10.1109/TVCG.2016.2599058;10.1109/VAST.2008.4677365;10.1109/VAST.2008.4677361;10.1109/VISUAL.2000.885678;10.1109/TVCG.2015.2467615;10.1109/TVCG.2016.2598446;10.1109/TVCG.2012.273;10.1109/TVCG.2015.2467551;10.1109/TVCG.2015.2467591;10.1109/TVCG.2014.2346481;10.1109/TVCG.2016.2598466;10.1109/TVCG.2017.2745078;10.1109/TVCG.2007.70589;10.1109/TVCG.2007.70515</t>
  </si>
  <si>
    <t>cognitive bias,visual analytics,human-in-the-loop,mixed initiative,user interaction,H.5.0 [Information Systems]: Human-Computer Interaction-General</t>
  </si>
  <si>
    <t>A Workflow for Visual Diagnostics of Binary Classifiers using Instance-Level Explanations</t>
  </si>
  <si>
    <t>10.1109/VAST.2017.8585720</t>
  </si>
  <si>
    <t>http://dx.doi.org/10.1109/VAST.2017.8585720</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</si>
  <si>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</si>
  <si>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Josua Krause;Aritra Dasgupta;Jordan Swartz;Yindalon Aphinyanagphongs;Enrico Bertini</t>
  </si>
  <si>
    <t>Josua Krause;Aritra Dasgupta;Jordan Swartz;Yindalon Aphinyanaphongs;Enrico Bertini</t>
  </si>
  <si>
    <t>NYU Tandon School of Engineering;Pacific Northwest National Laboratory;NYU School of Medicine;NYU School of Medicine;NYU Tandon School of Engineering</t>
  </si>
  <si>
    <t>10.1109/TVCG.2014.2346660;10.1109/TVCG.2016.2598544;10.1109/TVCG.2014.2346482;10.1109/TVCG.2016.2598828;10.1109/TVCG.2016.2598829</t>
  </si>
  <si>
    <t>Machine Learning,Interpretation,Visual Analytics</t>
  </si>
  <si>
    <t>Understanding Hidden Memories of Recurrent Neural Networks</t>
  </si>
  <si>
    <t>10.1109/VAST.2017.8585721</t>
  </si>
  <si>
    <t>http://dx.doi.org/10.1109/VAST.2017.8585721</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</si>
  <si>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</si>
  <si>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Yao Ming;Shaozu Cao;Ruixiang Zhang;Zhen Li;Yuanzhe Chen;Yangqiu Song;Huamin Qu</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</si>
  <si>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</si>
  <si>
    <t>10.1109/VAST.2015.7347637;10.1109/VAST.2010.5652443;10.1109/TVCG.2012.252;10.1109/TVCG.2016.2598831;10.1109/TVCG.2011.212;10.1109/TVCG.2016.2598838;10.1109/TVCG.2016.2598838;10.1109/TVCG.2016.2598828;10.1109/TVCG.2016.2598465;10.1109/TVCG.2014.2346665</t>
  </si>
  <si>
    <t>recurrent neural networks,visual analytics,understanding neural model,co-clustering</t>
  </si>
  <si>
    <t>QSAnglyzer: Visual Analytics for Prismatic Analysis of Question Answering System Evaluations</t>
  </si>
  <si>
    <t>10.1109/VAST.2017.8585733</t>
  </si>
  <si>
    <t>http://dx.doi.org/10.1109/VAST.2017.8585733</t>
  </si>
  <si>
    <t>Paola Valdivia;Fabio Dias;Fabiano Petronetto;Cl��udio T. Silva;Luis Gustavo Nonato</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</si>
  <si>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&amp;lt;; 0.01) and more accurately (p &amp;lt;; 0.05), and are quick to gain new insight. We discuss how prismatic analysis and QSAnglyzer scaffold evaluation analysis, and provide directions for future research.</t>
  </si>
  <si>
    <t>Nan-Chen Chen;Been Kim</t>
  </si>
  <si>
    <t>University of Washington;Allen Institute for Artificial Intelligence</t>
  </si>
  <si>
    <t>10.1109/VAST.2015.7347637;10.1109/INFVIS.2000.885091;10.1109/VAST.2012.6400488</t>
  </si>
  <si>
    <t>visual analytics,visualization,interactive visualization,question answering,multi-experiment analysis,visual comparison,visual exploration,prismatic analysis,H.5.2 [Information Interfaces and Presentation]: User Interfaces—</t>
  </si>
  <si>
    <t>Design Exposition with Literate Visualization</t>
  </si>
  <si>
    <t>10.1109/TVCG.2018.2864836</t>
  </si>
  <si>
    <t>http://dx.doi.org/10.1109/TVCG.2018.2864836</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</si>
  <si>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</si>
  <si>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Jo Wood;Alexander Kachkaev;Jason Dykes</t>
  </si>
  <si>
    <t>giCentreCity University of London;giCentreCity University of London;giCentreCity University of London</t>
  </si>
  <si>
    <t>10.1109/TVCG.2013.145;10.1109/TVCG.2014.2346325;10.1109/TVCG.2017.2744319;10.1109/TVCG.2011.209;10.1109/TVCG.2014.2346331;10.1109/TVCG.2016.2598542;10.1109/TVCG.2009.111;10.1109/TVCG.2015.2467271;10.1109/TVCG.2016.2599030;10.1109/TVCG.2012.213;10.1109/TVCG.2014.2346323</t>
  </si>
  <si>
    <t>storytelling,design,literate programming,theory</t>
  </si>
  <si>
    <t>Face to Face: Evaluating Visual Comparison</t>
  </si>
  <si>
    <t>10.1109/TVCG.2018.2864884</t>
  </si>
  <si>
    <t>http://dx.doi.org/10.1109/TVCG.2018.2864884</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</si>
  <si>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</si>
  <si>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Brian D. Ondov;Nicole Jardine;Niklas Elmqvist;Steven Franconeri</t>
  </si>
  <si>
    <t>Brian Ondov;Nicole Jardine;Niklas Elmqvist;Steven Franconeri</t>
  </si>
  <si>
    <t>National Institutes of Health, MD, USA;Northwestern University, Evanston, IL, USA;University of Maryland, College Park, MD, USA;Northwestern University, Evanston, IL, USA</t>
  </si>
  <si>
    <t>10.1109/TVCG.2017.2744359;10.1109/INFVIS.2005.1532136;10.1109/TVCG.2011.185;10.1109/TVCG.2015.2466971;10.1109/TVCG.2014.2346424;10.1109/TVCG.2017.2744199;10.1109/TVCG.2014.2346979;10.1109/TVCG.2007.70539;10.1109/TVCG.2010.162;10.1109/TVCG.2017.2744198;10.1109/TVCG.2008.125;10.1109/TVCG.2017.2745140;10.1109/INFVIS.2000.885091</t>
  </si>
  <si>
    <t>Graphical perception,visual perception,visual comparison,crowdsourced evaluation</t>
  </si>
  <si>
    <t>In Pursuit of Error: A Survey of Uncertainty Visualization Evaluation</t>
  </si>
  <si>
    <t>10.1109/TVCG.2018.2864889</t>
  </si>
  <si>
    <t>http://dx.doi.org/10.1109/TVCG.2018.2864889</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</si>
  <si>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</si>
  <si>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Jessica Hullman;Xiaoli Qiao;Michael Correll;Alex Kale;Matthew Kay</t>
  </si>
  <si>
    <t>Northwestern University;University of Washington;Tableau Software;University of Washington;University of Michigan</t>
  </si>
  <si>
    <t>10.1109/TVCG.2015.2467752;10.1109/TVCG.2017.2743898;10.1109/TVCG.2013.126;10.1109/TVCG.2007.70530;10.1109/TVCG.2007.70518;10.1109/TVCG.2009.111</t>
  </si>
  <si>
    <t>Uncertainty visualization,user study,subjective confidence,probability distribution</t>
  </si>
  <si>
    <t>iStoryline: Effective Convergence to Hand-drawn Storylines</t>
  </si>
  <si>
    <t>10.1109/TVCG.2018.2864899</t>
  </si>
  <si>
    <t>http://dx.doi.org/10.1109/TVCG.2018.2864899</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</si>
  <si>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</si>
  <si>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Tan Tang;Sadia Rubab;Jiewen Lai;Weiwei Cui;Lingyun Yu;Yingcai Wu</t>
  </si>
  <si>
    <t>State Key Lab of CAD&amp;CGZhejiang UniversityAlibaba-Zhejiang UniversityJoint Institute of Frontier Technologies;State Key Lab of CAD&amp;CGZhejiang UniversityAlibaba-Zhejiang UniversityJoint Institute of Frontier Technologies;State Key Lab of CAD&amp;CGZhejiang UniversityAlibaba-Zhejiang UniversityJoint Institute of Frontier Technologies;Microsoft Research;Bernoulli Institute, University of Groningen, Netherlands;State Key Lab of CAD&amp;CGZhejiang UniversityAlibaba-Zhejiang UniversityJoint Institute of Frontier Technologies</t>
  </si>
  <si>
    <t>10.1109/TVCG.2016.2598647;10.1109/VAST.2017.8585487;10.1109/TVCG.2017.2743990;10.1109/TVCG.2009.109;10.1109/TVCG.2015.2467531;10.1109/TVCG.2015.2467451;10.1109/TVCG.2016.2598620;10.1109/TVCG.2013.191;10.1109/TVCG.2016.2598831;10.1109/TVCG.2013.196;10.1109/TVCG.2014.2346291;10.1109/TVCG.2017.2745878;10.1109/TVCG.2012.212;10.1109/TVCG.2014.2346913</t>
  </si>
  <si>
    <t>Hand-drawn illustrations,automatic layout,design space,interactions,optimization</t>
  </si>
  <si>
    <t>What Do We Talk About When We Talk About Dashboards?</t>
  </si>
  <si>
    <t>10.1109/TVCG.2018.2864903</t>
  </si>
  <si>
    <t>http://dx.doi.org/10.1109/TVCG.2018.2864903</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</si>
  <si>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</si>
  <si>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Alper Sarikaya;Michael Correll;Lyn Bartram;Melanie Tory;Danyel Fisher</t>
  </si>
  <si>
    <t>Microsoft Corporation;Tableau Research;Simon Fraser University;Tableau Research;Honeycomb.io</t>
  </si>
  <si>
    <t>10.1109/TVCG.2013.124;10.1109/TVCG.2017.2744198;10.1109/TVCG.2013.120</t>
  </si>
  <si>
    <t>Dashboards,literature review,survey,design space,open coding</t>
  </si>
  <si>
    <t>Looks Good To Me: Visualizations As Sanity Checks</t>
  </si>
  <si>
    <t>10.1109/TVCG.2018.2864907</t>
  </si>
  <si>
    <t>http://dx.doi.org/10.1109/TVCG.2018.2864907</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</si>
  <si>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</si>
  <si>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Michael Correll;Mingwei Li;Gordon L. Kindlmann;Carlos Eduardo Scheidegger</t>
  </si>
  <si>
    <t>Michael Correll;Mingwei Li;Gordon Kindlmann;Carlos Scheidegger</t>
  </si>
  <si>
    <t>Tableau Research;University of Arizona;University of Chicago;University of Arizona</t>
  </si>
  <si>
    <t>10.1109/TVCG.2016.2598862;10.1109/TVCG.2011.185;10.1109/TVCG.2014.2346298;10.1109/VAST.2016.7883519;10.1109/TVCG.2016.2598618;10.1109/TVCG.2014.2346978;10.1109/TVCG.2014.2346979;10.1109/TVCG.2012.230;10.1109/TVCG.2014.2346325;10.1109/TVCG.2016.2599030;10.1109/TVCG.2017.2744359;10.1109/TVCG.2015.2469125;10.1109/TVCG.2010.161;10.1109/TVCG.2015.2467191</t>
  </si>
  <si>
    <t>Graphical perception,data quality,univariate visualizations</t>
  </si>
  <si>
    <t>Hypothetical Outcome Plots Help Untrained Observers Judge Trends in Ambiguous Data</t>
  </si>
  <si>
    <t>10.1109/TVCG.2018.2864909</t>
  </si>
  <si>
    <t>http://dx.doi.org/10.1109/TVCG.2018.2864909</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</si>
  <si>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</si>
  <si>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Alex Kale;Francis Nguyen;Matthew Kay;Jessica Hullman</t>
  </si>
  <si>
    <t>University of Washington;University of Washington;University of Michigan;Northwestern University</t>
  </si>
  <si>
    <t>10.1109/TVCG.2017.2743898;10.1109/TVCG.2007.70518;10.1109/TVCG.2017.2744359</t>
  </si>
  <si>
    <t>uncertainty visualization,hypothetical outcome plots,psychometric functions</t>
  </si>
  <si>
    <t>Structure-aware Fisheye Views for Efficient Large Graph Exploration</t>
  </si>
  <si>
    <t>10.1109/TVCG.2018.2864911</t>
  </si>
  <si>
    <t>http://dx.doi.org/10.1109/TVCG.2018.2864911</t>
  </si>
  <si>
    <t>Zhicheng Liu;Bongshin Lee;Kandula, S.;Mahajan, R.</t>
  </si>
  <si>
    <t>37592993600;37293389400;37591286400;37603074200</t>
  </si>
  <si>
    <t>4015419;4376129;5333878;4389006;4035746</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</si>
  <si>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</si>
  <si>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Yunhai Wang;Yanyan Wang;Haifeng Zhang;Yinqi Sun;Chi-Wing Fu;Michael Sedlmair;Baoquan Chen;Oliver Deussen</t>
  </si>
  <si>
    <t>Shandong University;Shandong University;Shandong University;Shandong University;Chinese University of Hong Kong;VISUSUniversity of Stuttgart;Peking University;Konstanz University, Germany</t>
  </si>
  <si>
    <t>10.1109/TVCG.2015.2467035;10.1109/INFVIS.2005.1532130;10.1109/TVCG.2006.156;10.1109/TVCG.2008.130;10.1109/INFVIS.2004.66;10.1109/TVCG.2011.223;10.1109/TVCG.2009.108;10.1109/TVCG.2007.70577;10.1109/TVCG.2017.2745919;10.1109/INFVIS.2003.1249008;10.1109/TVCG.2012.189</t>
  </si>
  <si>
    <t>Graph Visualization,Focus-Context Technique,Structure-aware Zoom,Graph Layout Technique</t>
  </si>
  <si>
    <t>Optimizing Color Assignment for Perception of Class Separability in Multiclass Scatterplots</t>
  </si>
  <si>
    <t>10.1109/TVCG.2018.2864912</t>
  </si>
  <si>
    <t>http://dx.doi.org/10.1109/TVCG.2018.2864912</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</si>
  <si>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</si>
  <si>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Yunhai Wang;Xin Chen;Tong Ge;Chen Bao;Michael Sedlmair;Chi-Wing Fu;Oliver Deussen;Baoquan Chen</t>
  </si>
  <si>
    <t>Shandong University;Shandong University;Shandong University;Shandong University;VISUS, University of Stuttgart, Germany;Chinese University, Hong Kong;Konstanz University, Germany;Peking University</t>
  </si>
  <si>
    <t>10.1109/VISUAL.1995.480803;10.1109/TVCG.2016.2599214;10.1109/TVCG.2013.183;10.1109/TVCG.2016.2598918;10.1109/VISUAL.1996.568118;10.1109/TVCG.2017.2744184;10.1109/TVCG.2013.153;10.1109/TVCG.2015.2467471;10.1109/TVCG.2017.2744359;10.1109/VAST.2009.5332628;10.1109/TVCG.2008.118</t>
  </si>
  <si>
    <t>Color perception,visual design,scatterplots</t>
  </si>
  <si>
    <t>A Framework for Externalizing Implicit Error Using Visualization</t>
  </si>
  <si>
    <t>10.1109/TVCG.2018.2864913</t>
  </si>
  <si>
    <t>http://dx.doi.org/10.1109/TVCG.2018.2864913</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</si>
  <si>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</si>
  <si>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Nina McCurdy;Julie Gerdes;Miriah D. Meyer</t>
  </si>
  <si>
    <t>Nina Mccurdy;Julie Gerdes;Miriah Meyer</t>
  </si>
  <si>
    <t>University of UtahSchool of Computing;Texas Tech UniversityCollege of Arts … Sciences;University of UtahSchool of Computing</t>
  </si>
  <si>
    <t>10.1109/VAST.2011.6102457;10.1109/VAST.2010.5652885;10.1109/TVCG.2017.2743898;10.1109/TVCG.2017.2745240;10.1109/INFVIS.2005.1532134;10.1109/TVCG.2015.2467551;10.1109/VISUAL.2005.1532781;10.1109/TVCG.2007.70577;10.1109/TVCG.2013.132;10.1109/TVCG.2007.70589;10.1109/TVCG.2016.2598543</t>
  </si>
  <si>
    <t>implicit error,knowledge externalization,design study</t>
  </si>
  <si>
    <t>Where's My Data? Evaluating Visualizations with Missing Data</t>
  </si>
  <si>
    <t>10.1109/TVCG.2018.2864914</t>
  </si>
  <si>
    <t>http://dx.doi.org/10.1109/TVCG.2018.2864914</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</si>
  <si>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</si>
  <si>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Hayeong Song;Danielle Albers Szafir</t>
  </si>
  <si>
    <t>University of Colorado;University of Colorado</t>
  </si>
  <si>
    <t>10.1109/TVCG.2016.2598592;10.1109/VAST.2015.7347672;10.1109/TVCG.2011.185;10.1109/TVCG.2012.220;10.1109/TVCG.2014.2346298;10.1109/VISUAL.1999.809916;10.1109/TVCG.2013.183;10.1109/TVCG.2015.2467752;10.1109/TVCG.2015.2467951;10.1109/TVCG.2012.279;10.1109/TVCG.2015.2467591;10.1109/TVCG.2012.256;10.1109/VISUAL.1994.346317;10.1109/TVCG.2012.262;10.1109/VAST.2006.261424</t>
  </si>
  <si>
    <t>Information Visualization,Graphical Perception,Time Series Data,Data Wrangling,Imputation</t>
  </si>
  <si>
    <t>Embedded Merge &amp; Split: Visual Adjustment of Data Grouping</t>
  </si>
  <si>
    <t>10.1109/TVCG.2018.2865075</t>
  </si>
  <si>
    <t>http://dx.doi.org/10.1109/TVCG.2018.2865075</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</si>
  <si>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</si>
  <si>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Ali Sarvghad;Bahador Saket;Alex Endert;Nadir Weibel</t>
  </si>
  <si>
    <t>University of California, San Diego;Georgia Institute of Technology;Georgia Institute of Technology;University of California, San Diego</t>
  </si>
  <si>
    <t>10.1109/VAST.2012.6400486;10.1109/TVCG.2015.2467615;10.1109/TVCG.2008.109;10.1109/TVCG.2016.2598839</t>
  </si>
  <si>
    <t>Data Visualization,Direct Manipulation,Embedded Merge &amp; Split,Data Grouping,Embedded Interaction</t>
  </si>
  <si>
    <t>IDMVis: Temporal Event Sequence Visualization for Type 1 Diabetes Treatment Decision Support</t>
  </si>
  <si>
    <t>10.1109/TVCG.2018.2865076</t>
  </si>
  <si>
    <t>http://dx.doi.org/10.1109/TVCG.2018.2865076</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</si>
  <si>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</si>
  <si>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Yixuan Zhang;Kartik Chanana;Cody Dunne</t>
  </si>
  <si>
    <t>Northeastern University;Northeastern University;Northeastern University</t>
  </si>
  <si>
    <t>10.1109/INFVIS.2005.1532136;10.1109/TVCG.2013.124;10.1109/TVCG.2017.2744319;10.1109/TVCG.2009.111;10.1109/TVCG.2012.213;10.1109/VISUAL.1992.235203</t>
  </si>
  <si>
    <t>Design study,task analysis,event sequence visualization,time series data,qualitative evaluation,health applications</t>
  </si>
  <si>
    <t>Comparing Similarity Perception in Time Series Visualizations</t>
  </si>
  <si>
    <t>10.1109/TVCG.2018.2865077</t>
  </si>
  <si>
    <t>http://dx.doi.org/10.1109/TVCG.2018.2865077</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</si>
  <si>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</si>
  <si>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Anna Gogolou;Theophanis Tsandilas;Themis Palpanas;Anastasia Bezerianos</t>
  </si>
  <si>
    <t>Inria, Univ. Paris-Sud, Univ. Paris-Saclay, France;Inria, Univ. Paris-Sud, CNRS, Univ. Paris-Saclay, France;Univ. Paris-Descartes, France;Inria, Univ. Paris-Sud, CNRS, Univ. Paris-Saclay, France</t>
  </si>
  <si>
    <t>10.1109/TVCG.2011.232;10.1109/VAST.2007.4389007;10.1109/TVCG.2008.166;10.1109/VAST.2016.7883519;10.1109/TVCG.2010.162;10.1109/VAST.2016.7883518;10.1109/INFVIS.2005.1532144;10.1109/TVCG.2012.196;10.1109/INFVIS.1999.801851;10.1109/INFVIS.2001.963273;10.1109/TVCG.2011.195</t>
  </si>
  <si>
    <t>Time series,similarity perception,automatic similarity search,line charts,horizon graphs,colorfields,evaluation</t>
  </si>
  <si>
    <t>Patterns and Pace: Quantifying Diverse Exploration Behavior with Visualizations on the Web</t>
  </si>
  <si>
    <t>10.1109/TVCG.2018.2865117</t>
  </si>
  <si>
    <t>http://dx.doi.org/10.1109/TVCG.2018.2865117</t>
  </si>
  <si>
    <t>Andrienko, G.;Andrienko, N.</t>
  </si>
  <si>
    <t>37283047100;37283047700</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</si>
  <si>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</si>
  <si>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Mi Feng;Evan M. Peck;Lane Harrison</t>
  </si>
  <si>
    <t>Mi Feng;Evan Peck;Lane Harrison</t>
  </si>
  <si>
    <t>Worcester Polytechnic Institute;Bucknell University;Worcester Polytechnic Institute</t>
  </si>
  <si>
    <t>10.1109/TVCG.2011.229;10.1109/TVCG.2015.2467871;10.1109/TVCG.2015.2467201;10.1109/TVCG.2014.2346575;10.1109/VAST.2007.4389009;10.1109/TVCG.2016.2599058;10.1109/TVCG.2015.2467613;10.1109/TVCG.2008.137;10.1109/VAST.2007.4389008;10.1109/TVCG.2014.2346452;10.1109/TVCG.2016.2598797;10.1109/TVCG.2013.200;10.1109/TVCG.2016.2598466;10.1109/VAST.2017.8585669;10.1109/TVCG.2017.2745958;10.1109/TVCG.2007.70515</t>
  </si>
  <si>
    <t>Interaction,Visualization,Quantitative Evaluation</t>
  </si>
  <si>
    <t>Shape-preserving Star Coordinates</t>
  </si>
  <si>
    <t>10.1109/TVCG.2018.2865118</t>
  </si>
  <si>
    <t>http://dx.doi.org/10.1109/TVCG.2018.2865118</t>
  </si>
  <si>
    <t>Nafari, M.;Weaver, C.</t>
  </si>
  <si>
    <t>37593329400;37564883300</t>
  </si>
  <si>
    <t xml:space="preserve">Coordinated multiple views, cross-filtered queries, interaction states, natural language generation, visual provenance
</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</si>
  <si>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</si>
  <si>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ProDV &amp;#x2014; A case study in delivering visual analytics</t>
  </si>
  <si>
    <t>Vladimir Molchanov;Lars Linsen</t>
  </si>
  <si>
    <t>Westfälische Wilhelms-Universität Münster, Germany;Westfälische Wilhelms-Universität Münster, Germany</t>
  </si>
  <si>
    <t>10.1109/TVCG.2010.209;10.1109/TVCG.2013.182;10.1109/TVCG.2015.2467132;10.1109/TVCG.2015.2467324;10.1109/TVCG.2014.2346258</t>
  </si>
  <si>
    <t>Star coordinates,multidimensional data projection,multivariate data visualization</t>
  </si>
  <si>
    <t>Martin R̦hlig;Martin Luboschik;Frank Kr�_ger 0001;Thomas Kirste;Heidrun Schumann;Markus B̦gl;Bilal Alsallakh;Silvia Miksch</t>
  </si>
  <si>
    <t>Elastic Documents: Coupling Text and Tables through Contextual Visualizations for Enhanced Document Reading</t>
  </si>
  <si>
    <t>10.1109/TVCG.2018.2865119</t>
  </si>
  <si>
    <t>http://dx.doi.org/10.1109/TVCG.2018.2865119</t>
  </si>
  <si>
    <t>Overby, D.;Keyser, J.;Wall, J.</t>
  </si>
  <si>
    <t>37586886600;37282588300;38225331100</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</si>
  <si>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</si>
  <si>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Sriram Karthik Badam;Zhicheng Liu;Niklas Elmqvist</t>
  </si>
  <si>
    <t>University of Maryland, College Park, MD, USA;Adobe Research, Seattle, WA, USA;University of Maryland, College Park, MD, USA</t>
  </si>
  <si>
    <t>10.1109/TVCG.2011.185;10.1109/TVCG.2016.2598594;10.1109/TVCG.2014.2346435;10.1109/TVCG.2011.255;10.1109/TVCG.2007.70594;10.1109/TVCG.2014.2346279;10.1109/INFVIS.2000.885091;10.1109/TVCG.2009.139;10.1109/TVCG.2009.165;10.1109/TVCG.2009.171</t>
  </si>
  <si>
    <t>Document reading,contextual visualizations,visual aids,comprehension,summarization</t>
  </si>
  <si>
    <t>SRVis: Towards Better Spatial Integration in Ranking Visualization</t>
  </si>
  <si>
    <t>10.1109/TVCG.2018.2865126</t>
  </si>
  <si>
    <t>http://dx.doi.org/10.1109/TVCG.2018.2865126</t>
  </si>
  <si>
    <t>Boukhelifa, N.;Chevalier, F.;Fekete, J.</t>
  </si>
  <si>
    <t>37325862800;37395495900;37407972900</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</si>
  <si>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</si>
  <si>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Di Weng;Ran Chen;Zikun Deng;Feiran Wu;Jingmin Chen;Yingcai Wu</t>
  </si>
  <si>
    <t>State Key Lab of CAD &amp; CGZhejiang UniversityAlibaba-Zhejiang University JointInstitute of Frontier Technologies;State Key Lab of CAD &amp; CGZhejiang UniversityAlibaba-Zhejiang University JointInstitute of Frontier Technologies;State Key Lab of CAD &amp; CGZhejiang UniversityAlibaba-Zhejiang University JointInstitute of Frontier Technologies;Alibaba Group, Hangzhou, China;Alibaba Group, Hangzhou, China;State Key Lab of CAD &amp; CGZhejiang UniversityAlibaba-Zhejiang University JointInstitute of Frontier Technologies</t>
  </si>
  <si>
    <t>10.1109/TVCG.2016.2598416;10.1109/TVCG.2013.193;10.1109/TVCG.2011.185;10.1109/TVCG.2008.166;10.1109/TVCG.2014.2346594;10.1109/TVCG.2013.173;10.1109/TVCG.2015.2467771;10.1109/TVCG.2008.181;10.1109/TVCG.2016.2598432;10.1109/TVCG.2018.2865018;10.1109/VAST.2011.6102455;10.1109/TVCG.2016.2598831;10.1109/TVCG.2016.2598585;10.1109/TVCG.2009.111;10.1109/TVCG.2015.2467112;10.1109/TVCG.2012.253;10.1109/TVCG.2015.2467717;10.1109/TVCG.2017.2745078;10.1109/TVCG.2014.2346913</t>
  </si>
  <si>
    <t>37403562900;37267458000</t>
  </si>
  <si>
    <t>Spatial ranking,visualization</t>
  </si>
  <si>
    <t xml:space="preserve">visual analytics, cognition and perception theory, embodied cognition, visualization taxonomies and models 
</t>
  </si>
  <si>
    <t>Evaluating ‘Graphical Perception’ with CNNs</t>
  </si>
  <si>
    <t>10.1109/TVCG.2018.2865138</t>
  </si>
  <si>
    <t>http://dx.doi.org/10.1109/TVCG.2018.2865138</t>
  </si>
  <si>
    <t>Oesterling, P.;Scheuermann, G.;Teresniak, S.;Heyer, G.;Koch, S.;Ertl, T.;Weber, G.H.</t>
  </si>
  <si>
    <t>37403135200;37282574800;37591211600;37591211200;37593029700;37268023800;37411444100</t>
  </si>
  <si>
    <t>5333564;4376169;146402;528686;5332629;5290728</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</si>
  <si>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</si>
  <si>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Daniel Haehn;James Tompkin;Hanspeter Pfister</t>
  </si>
  <si>
    <t>Harvard University;Brown University;Harvard University</t>
  </si>
  <si>
    <t>10.1109/TVCG.2014.2346979;10.1109/TVCG.2014.2346320</t>
  </si>
  <si>
    <t>Machine Perception,Graphical Perception,Deep Learning,Convolutional Neural Networks</t>
  </si>
  <si>
    <t>Structure-Based Suggestive Exploration: A New Approach for Effective Exploration of Large Networks</t>
  </si>
  <si>
    <t>10.1109/TVCG.2018.2865139</t>
  </si>
  <si>
    <t>http://dx.doi.org/10.1109/TVCG.2018.2865139</t>
  </si>
  <si>
    <t>Shi, L.;Furu Wei;Shixia Liu;Li Tan;Xiaoxiao Lian;Zhou, M.X.</t>
  </si>
  <si>
    <t>37287511900;37396839900;37406039100;37597343100;37604004300;37399569300</t>
  </si>
  <si>
    <t>5333443;4389005;4658133;5290722;4658136;5290726;1173155;801866;4389006;1532122;885097</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</si>
  <si>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</si>
  <si>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Wei Chen 0001;Fangzhou Guo;Dongming Han;Jacheng Pan;Xiaotao Nie;Jiazhi Xia;Xiaolong Zhang</t>
  </si>
  <si>
    <t>Wei Chen;Fangzhou Guo;Dongming Han;Jacheng Pan;Xiaotao Nie;Jiazhi Xia;Xiaolong Zhang</t>
  </si>
  <si>
    <t>State Key Lab of CAD and CGZhejiang University;State Key Lab of CAD and CGZhejiang University;State Key Lab of CAD and CGZhejiang University;State Key Lab of CAD and CGZhejiang University;State Key Lab of CAD and CGZhejiang University;Central South University;Pennsylvania State University</t>
  </si>
  <si>
    <t>10.1109/TVCG.2006.120;10.1109/TVCG.2016.2598958;10.1109/INFVIS.2004.1;10.1109/INFVIS.2005.1532126;10.1109/TVCG.2007.70582;10.1109/TVCG.2006.147;10.1109/TVCG.2008.151;10.1109/TVCG.2017.2743858;10.1109/VAST.2014.7042485;10.1109/TVCG.2017.2744938;10.1109/TVCG.2016.2598831;10.1109/TVCG.2017.2744898;10.1109/TVCG.2017.2745219;10.1109/TVCG.2015.2468078;10.1109/TVCG.2009.108;10.1109/VAST.2009.5333893;10.1109/TVCG.2013.167</t>
  </si>
  <si>
    <t>Large Network Exploration,Structure-Based Exploration,Suggestive Exploration</t>
  </si>
  <si>
    <t>A Declarative Rendering Model for Multiclass Density Maps</t>
  </si>
  <si>
    <t>10.1109/TVCG.2018.2865141</t>
  </si>
  <si>
    <t>http://dx.doi.org/10.1109/TVCG.2018.2865141</t>
  </si>
  <si>
    <t>Hao, M.C.;Marwah, M.;Janetzko, H.;Keim, D.A.;Dayal, U.;Sharma, R.;Patnaik, D.;Ramakrishnan, N.</t>
  </si>
  <si>
    <t>37274264300;37419093700;37594026300;37283138700;38319938800;37276219200;37593035500;37273204200</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</si>
  <si>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model-a simple yet expressive JSON grammar associated with visual semantics-that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</si>
  <si>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Jaemin Jo;Frédéric Vernier;Pierre Dragicevic;Jean-Daniel Fekete</t>
  </si>
  <si>
    <t>Seoul National University, Republic of Korea;LIMSICNRSUniv. Paris-SudUniversité Paris-Saclay;Inria;Inria</t>
  </si>
  <si>
    <t>10.1109/TVCG.2011.185;10.1109/INFVIS.2002.1173156;10.1109/TVCG.2017.2744199;10.1109/TVCG.2007.70623;10.1109/TVCG.2013.179;10.1109/TVCG.2013.130;10.1109/TVCG.2017.2744184;10.1109/TVCG.2016.2599030;10.1109/TVCG.2011.197;10.1109/VISUAL.1993.398863;10.1109/TVCG.2009.175</t>
  </si>
  <si>
    <t>Scalability,multiclass scatterplots,density maps,aggregation,declarative specification,visualization grammar</t>
  </si>
  <si>
    <t>Glanceable Visualization: Studies of Data Comparison Performance on Smartwatches</t>
  </si>
  <si>
    <t>10.1109/TVCG.2018.2865142</t>
  </si>
  <si>
    <t>http://dx.doi.org/10.1109/TVCG.2018.2865142</t>
  </si>
  <si>
    <t>Migut, M.;Worring, M.</t>
  </si>
  <si>
    <t>37589528300;37267865600</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</si>
  <si>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&amp;lt;;300 ms for the bar chart, &amp;lt;;220 ms for the donut chart, and in &amp;lt;; 1780 ms for the radial bar chart. Thresholds in the second study per chart type were on average 1.14-1.35× higher than in the first study. Our results show that bar and donut charts should be preferred on smartwatch displays when quick data comparisons are necessary.</t>
  </si>
  <si>
    <t>Tanja Blascheck;Lonni Besançon;Anastasia Bezerianos;Bongshin Lee;Petra Isenberg</t>
  </si>
  <si>
    <t>4376144;1532139;5332628;729568;5290745;885086;4376140;4677369;346302;4658123</t>
  </si>
  <si>
    <t>Inria;Université Paris Saclay;Université Paris SudInriaCNRSUniversité Paris Saclay;Microsoft Research;Inria</t>
  </si>
  <si>
    <t>10.1109/TVCG.2014.2346435;10.1109/TVCG.2012.233;10.1109/TVCG.2010.162;10.1109/TVCG.2013.192;10.1109/INFVIS.2005.1532144;10.1109/TVCG.2012.196;10.1109/TVCG.2014.2346320;10.1109/TVCG.2007.70589</t>
  </si>
  <si>
    <t>Glanceable visualization,smartwatch,perception,quantitative evaluation,data comparison</t>
  </si>
  <si>
    <t>Vistrates: A Component Model for Ubiquitous Analytics</t>
  </si>
  <si>
    <t>10.1109/TVCG.2018.2865144</t>
  </si>
  <si>
    <t>http://dx.doi.org/10.1109/TVCG.2018.2865144</t>
  </si>
  <si>
    <t>Ziegler, H.;Jenny, M.;Gruse, T.;Keim, D.A.</t>
  </si>
  <si>
    <t>37606028000;37589560900;37589560700;37283138700</t>
  </si>
  <si>
    <t xml:space="preserve">Visual Analytics, financial Information Visualization, Time Series Data, Time Series Clustering, Explorative Analysis
</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</si>
  <si>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</si>
  <si>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Sriram Karthik Badam;Andreas Mathisen;Roman Rädle;Clemens Nylandsted Klokmose;Niklas Elmqvist</t>
  </si>
  <si>
    <t>Mihaela Jarema;Ismail Demir;Johannes Kehrer;R�_diger Westermann</t>
  </si>
  <si>
    <t>Sriram Karthik Badam;Andreas Mathisen;Roman Rädle;Clemens N. Klokmose;Niklas Elmqvist</t>
  </si>
  <si>
    <t>963273;636789;963288;801851;1249027</t>
  </si>
  <si>
    <t>University of Maryland, College Park, MD, USA;Aarhus University, Aarhus, Denmark;Aarhus University, Aarhus, Denmark;Aarhus University, Aarhus, Denmark;University of Maryland, College Park, MD, USA</t>
  </si>
  <si>
    <t>10.1109/TVCG.2016.2598647;10.1109/TVCG.2017.2743990;10.1109/TVCG.2009.174;10.1109/TVCG.2011.185;10.1109/TVCG.2017.2745278;10.1109/INFVIS.2000.885092;10.1109/TVCG.2013.197;10.1109/VAST.2007.4389011;10.1109/TVCG.2008.137;10.1109/TVCG.2017.2744019;10.1109/TVCG.2012.204;10.1109/TVCG.2013.191;10.1109/TVCG.2014.2346573;10.1109/TVCG.2013.200;10.1109/TVCG.2014.2346291;10.1109/TVCG.2016.2599030;10.1109/TVCG.2014.2346574;10.1109/INFVIS.2000.885086;10.1109/TVCG.2009.162;10.1109/TVCG.2007.70577;10.1109/TVCG.2007.70589</t>
  </si>
  <si>
    <t>Components,literate computing,development,exploration,dissemination,collaboration,heterogeneous devices</t>
  </si>
  <si>
    <t>Augmenting Visualizations with Interactive Data Facts to Facilitate Interpretation and Communication</t>
  </si>
  <si>
    <t>10.1109/TVCG.2018.2865145</t>
  </si>
  <si>
    <t>http://dx.doi.org/10.1109/TVCG.2018.2865145</t>
  </si>
  <si>
    <t>Oelke, D.;Spretke, D.;Stoffel, A.;Keim, D.A.</t>
  </si>
  <si>
    <t>37591207400;37601354600;37592880100;37283138700</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</si>
  <si>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</si>
  <si>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Arjun Srinivasan;Steven M. Drucker;Alex Endert;John T. Stasko</t>
  </si>
  <si>
    <t>Arjun Srinivasan;Steven M. Drucker;Alex Endert;John Stasko</t>
  </si>
  <si>
    <t>Georgia Institute of Technology;Microsoft Research;Georgia Institute of Technology;Georgia Institute of Technology</t>
  </si>
  <si>
    <t>10.1109/INFVIS.2005.1532136;10.1109/TVCG.2013.124;10.1109/TVCG.2010.164;10.1109/TVCG.2013.119;10.1109/TVCG.2012.229;10.1109/TVCG.2007.70594;10.1109/VISUAL.1992.235203;10.1109/TVCG.2017.2744843;10.1109/TVCG.2017.2745219;10.1109/VISUAL.1990.146375;10.1109/TVCG.2015.2467191</t>
  </si>
  <si>
    <t>Natural Language Generation,Mixed-initiative Interaction,Visualization Recommendation,Data-driven Communication</t>
  </si>
  <si>
    <t>A Heuristic Approach to Value-Driven Evaluation of Visualizations</t>
  </si>
  <si>
    <t>10.1109/TVCG.2018.2865146</t>
  </si>
  <si>
    <t>http://dx.doi.org/10.1109/TVCG.2018.2865146</t>
  </si>
  <si>
    <t>Mokhtari, M.;Boivin, E.;Laurendeau, D.;Girardin, M.</t>
  </si>
  <si>
    <t>37593942300;37283610000;37269074000;37593467200</t>
  </si>
  <si>
    <t xml:space="preserve">Information visualization, 2D1/2 animation, line &amp; surface graph animation, interaction, synchronization 
</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</si>
  <si>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</si>
  <si>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Emily Wall;Meeshu Agnihotri;Laura E. Matzen;Kristin Divis;Michael J. Haass;Alex Endert;John T. Stasko</t>
  </si>
  <si>
    <t>Emily Wall;Meeshu Agnihotri;Laura Matzen;Kristin Divis;Michael Haass;Alex Endert;John Stasko</t>
  </si>
  <si>
    <t>Georgia Institute of Technology, Atlanta, GA, USA;Georgia Institute of Technology, Atlanta, GA, USA;Sandia National Laboratories, Albuquerque, NM, USA;Sandia National Laboratories, Albuquerque, NM, USA;Sandia National Laboratories, Albuquerque, NM, USA;Georgia Institute of Technology, Atlanta, GA, USA;Georgia Institute of Technology, Atlanta, GA, USA</t>
  </si>
  <si>
    <t>10.1109/INFVIS.2001.963289;10.1109/VISUAL.2003.1250401</t>
  </si>
  <si>
    <t>Visualization evaluation,heuristics,value of visualization</t>
  </si>
  <si>
    <t>Mapping Color to Meaning in Colormap Data Visualizations</t>
  </si>
  <si>
    <t>10.1109/TVCG.2018.2865147</t>
  </si>
  <si>
    <t>http://dx.doi.org/10.1109/TVCG.2018.2865147</t>
  </si>
  <si>
    <t>Dudzic, S.;Godwin, J.A.;Kilgore, R.M.</t>
  </si>
  <si>
    <t>37586314000;37593027200;37603789200</t>
  </si>
  <si>
    <t xml:space="preserve">temporal relationships, temporal visualization </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</si>
  <si>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</si>
  <si>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Karen B. Schloss;Connor Gramazio;Allison T. Silverman;Madeline L. Parker;Audrey S. Wang</t>
  </si>
  <si>
    <t>Karen B. Schloss;Connor C. Gramazio;Allison T. Silverman;Madeline L. Parker;Audrey S. Wang</t>
  </si>
  <si>
    <t>Department of Psychology and Wisconsin Institute for DiscoveryUniversity of Wisconsin-Madison;Department of Computer ScienceBrown University;School of Public HealthBrown University;Department of Psychology and Wisconsin Institute for DiscoveryUniversity of Wisconsin-Madison;Department of Applied and Computational MathematicsCalifornia Institute of Technology</t>
  </si>
  <si>
    <t>10.1109/TVCG.2017.2743978;10.1109/TVCG.2016.2598918;10.1109/TVCG.2010.162;10.1109/TVCG.2007.70583;10.1109/TVCG.2017.2744359</t>
  </si>
  <si>
    <t>Visual Reasoning,Visual Communication,Colormaps,Color Perception,Visual Encoding,Visual Design</t>
  </si>
  <si>
    <t>Juniper: A Tree+Table Approach to Multivariate Graph Visualization</t>
  </si>
  <si>
    <t>10.1109/TVCG.2018.2865149</t>
  </si>
  <si>
    <t>http://dx.doi.org/10.1109/TVCG.2018.2865149</t>
  </si>
  <si>
    <t>Hoeber, O.;Wilson, G.;Harding, S.;Enguehard, R.;Devillers, R.</t>
  </si>
  <si>
    <t>37565349100;37595914500;37266745700;37591138200;37570903200</t>
  </si>
  <si>
    <t>Analyzing large, multivariate graphs is an important problem in many domains, yet such graphs are challenging to visualize. In this paper, we introduce a novel, scalable, tree-table multivariate graph visualization technique, which makes many tasks related to multivariate graph analysis easier to achieve. The core principle we follow is to selectively query for nodes or subgraphs of interest and visualize these subgraphs as a spanning tree of the graph. The tree is laid out linearly, which enables us to juxtapose the nodes with a table visualization where diverse attributes can be shown. We also use this table as an adjacency matrix, so that the resulting technique is a hybrid node-link/adjacency matrix technique. We implement this concept in Juniper and complement it with a set of interaction techniques that enable analysts to dynamically grow, restructure, and aggregate the tree, as well as change the layout or show paths between nodes. We demonstrate the utility of our tool in usage scenarios for different multivariate networks: a bipartite network of scholars, papers, and citation metrics and a multitype network of story characters, places, books, etc.</t>
  </si>
  <si>
    <t>Carolina Nobre;Marc Streit;Alexander Lex</t>
  </si>
  <si>
    <t>Nivan Ferreira;Marcos Lage;Harish Doraiswamy;Huy T. Vo;Luc Wilson;Heidi Werner;Muchan Park;Cl��udio T. Silva</t>
  </si>
  <si>
    <t>University of Utah;Johannes Kepler University, Linz;University of Utah</t>
  </si>
  <si>
    <t>Haeyong Chung;Seungwon Yang;Massjouni, N.;Andrews, C.;Kanna, R.;North, C.</t>
  </si>
  <si>
    <t>37597408500;37598427300;37591135300;37587847300;37591136300;37419565900</t>
  </si>
  <si>
    <t>5290715;4389006;5333245;4677362;4376131;4677366</t>
  </si>
  <si>
    <t>Jian Cui;Rosen, P.;Popescu, V.;Hoffmann, C.</t>
  </si>
  <si>
    <t>37593526600;37398611400;38263883000;38261061100</t>
  </si>
  <si>
    <t>4658162;1372240;4015467;4015475;1249008;4015450</t>
  </si>
  <si>
    <t>Roman, P.;Lazarov, M.;Majumder, A.</t>
  </si>
  <si>
    <t>37605184700;37541336800;38477161700</t>
  </si>
  <si>
    <t>4015470;4376163;1183793;5290744</t>
  </si>
  <si>
    <t>37598369700;37403060100;37279493500</t>
  </si>
  <si>
    <t>4658159;4376173;4376165;4015449;4015453;1532832;1532831;4658174;885690;1532833;4376210;1183785</t>
  </si>
  <si>
    <t>Chen, M.;Jänicke, H.</t>
  </si>
  <si>
    <t>37280982800;</t>
  </si>
  <si>
    <t>Chen, M.;JÃ¤nicke, H.</t>
  </si>
  <si>
    <t>4376165;1532781;4015449;559213;1532834;885096;4376144;4015461;1382903;4376143;4658174;4658127;636792;1532833;885092;146375;1183785</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</si>
  <si>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Poincare╠ü map of the sampled fieldlines in a Poincare╠ü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</si>
  <si>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Sanderson, A.;Guoning Chen;Tricoche, X.;Pugmire, D.;Kruger, S.;Breslau, J.</t>
  </si>
  <si>
    <t>37283733200;37596533600;37282575100;37394779900;37411319500;37591115800</t>
  </si>
  <si>
    <t>1532842;964507;1250376;663858</t>
  </si>
  <si>
    <t>Kok, P.;Baiker, M.;Hendriks, E.A.;Post, F.H.;Dijkstra, J.;Lowik, C.W.G.M.;Lelieveldt, B.P.F.;Botha, C.P.</t>
  </si>
  <si>
    <t>37604050900;37294120400;37270169100;37295045800;37294125100;37294126000;37294130400;37373834100</t>
  </si>
  <si>
    <t>5290768;1183754;1250400;4015467;4658165</t>
  </si>
  <si>
    <t>Brivio, P.;Tarini, M.;Cignoni, P.</t>
  </si>
  <si>
    <t>37586785100;37591264000;37265783400</t>
  </si>
  <si>
    <t>Bendich, P.;Edelsbrunner, H.;Kerber, M.</t>
  </si>
  <si>
    <t>37590978100;37282291100;37605935300</t>
  </si>
  <si>
    <t>Markus B̦gl;Peter Filzmoser;Theresia Gschwandtner;Silvia Miksch;Wolfgang Aigner;Alexander Rind;Tim Lammarsch</t>
  </si>
  <si>
    <t>Ament, M.;Weiskopf, D.;Carr, H.</t>
  </si>
  <si>
    <t>37393968500;37268045000;37282624500</t>
  </si>
  <si>
    <t>745713;663886;1372176;480789;1183762;5290780;4015502;4658152;885683;1532808;4658188;1250384;5290775;480807</t>
  </si>
  <si>
    <t>Discontinuities in Continuous Scatter Plots</t>
  </si>
  <si>
    <t>4015490;4658159;809896;1532851;5290770</t>
  </si>
  <si>
    <t>Hosssain, Z.;Moller, T.</t>
  </si>
  <si>
    <t>;37275858700</t>
  </si>
  <si>
    <t>1183766;1250414;1372235;964516</t>
  </si>
  <si>
    <t>Fraedrich, R.;Auer, S.;Westermann, R.</t>
  </si>
  <si>
    <t>Comput. Graphics &amp; Visualization Group, Tech. Univ. at Munchen, München, Germany|c|;;</t>
  </si>
  <si>
    <t>37590979700;37411079300;37444424000</t>
  </si>
  <si>
    <t>1250404;4658172;235223;1250404;1250384;4376206;5290736;4376164;1372217</t>
  </si>
  <si>
    <t>Karpenko, O.;Li, W.;Mitra, N.;Agrawala, M.</t>
  </si>
  <si>
    <t>37603800800;37597594400;37591261000;37282718200</t>
  </si>
  <si>
    <t>4015467;1250400;1532856</t>
  </si>
  <si>
    <t>Saad, A.;Hamarneh, G.;Moller, T.</t>
  </si>
  <si>
    <t>37405565700;37294023500;37275858700</t>
  </si>
  <si>
    <t>Maria Luj��n Ganuza;Maria Florencia Gargiulo;Gabriela Ferracutti;Silvia Mabel Castro;Ernesto A. Bjerg;M. Eduard Gr̦ller;Kresimir Matkovic</t>
  </si>
  <si>
    <t>5290762;1532807;1250414;4376198</t>
  </si>
  <si>
    <t>37390973400;37591606800;37374875300;37603313200;37284271200;;37282551500</t>
  </si>
  <si>
    <t>4015467;5290742</t>
  </si>
  <si>
    <t>Byeonghun Lee;Jihye Yun;Jinwook Seo;Byonghyo Shim;Yeong Gil Shin;Bohyoung Kim</t>
  </si>
  <si>
    <t>37600709600;37599808200;37422552700;37277951300;37366743500;37594632900</t>
  </si>
  <si>
    <t>346331;1372173;1532810;5290775;1250384</t>
  </si>
  <si>
    <t>Garth, C.;Joy, K.I.</t>
  </si>
  <si>
    <t>37282573700;37267811400</t>
  </si>
  <si>
    <t>4658155;4658156;1532795;5290737</t>
  </si>
  <si>
    <t>Lingyun Yu;Svetachov, P.;Isenberg, P.;Everts, M.H.;Isenberg, T.</t>
  </si>
  <si>
    <t>37593898200;37591151000;37591317800;37591149600;37297057400</t>
  </si>
  <si>
    <t>1532778;4376144;1372220</t>
  </si>
  <si>
    <t>Alim, U.;Moller, T.;Condat, L.</t>
  </si>
  <si>
    <t>37402559800;37275858700;37294569700</t>
  </si>
  <si>
    <t>964498;346331;663848;1372174</t>
  </si>
  <si>
    <t>Born, S.;Wiebel, A.;Friedrich, J.;Scheuermann, G.;Bartz, D.</t>
  </si>
  <si>
    <t>37590924500;37565763400;37587961900;37282574800;37448237300</t>
  </si>
  <si>
    <t>146395;5290738;4376157;1532857;809905;4658156;5290742;964506;1532858;1532855;4658177;1372196;1250376</t>
  </si>
  <si>
    <t>Won-Ki Jeong;Schneider, J.;Turney, S.G.;Faulkner-Jones, B.E.;Meyer, D.;Westermann, R.;Reid, R.C.;Lichtman, J.;Pfister, H.</t>
  </si>
  <si>
    <t>37268212100;37560044500;37591057300;37592056800;37605382600;37444424000;37391007300;37294231800;37275698100</t>
  </si>
  <si>
    <t>346321;1183757;964541_06;4376192;480809;964531;480812;1250385</t>
  </si>
  <si>
    <t>Ferstl, F.;Burger, K.;Theisel, H.;Westermann, R.</t>
  </si>
  <si>
    <t>Comput. Graphics &amp; Visualization group, Tech. Univ. Munchen, München, Germany|c|;;;</t>
  </si>
  <si>
    <t>37606419000;37587634700;37266875400;37444424000</t>
  </si>
  <si>
    <t>5290738;4376209;235211;4658156;964506;4376174;398875;5290756;5290737;4015480;4376175;4658155;1532780</t>
  </si>
  <si>
    <t>Daniels II, J.;Anderson, E.W.;Nonato, L.G.;Silva, C.T.</t>
  </si>
  <si>
    <t>37602531100;37592852700;37590974800;37275249200</t>
  </si>
  <si>
    <t>5290742;398846;4376210;175794;745333;235211;4658163;5290738;809917;663910;745296;175771;885690;885689</t>
  </si>
  <si>
    <t>Matkovic, K.;Gracanin, D.;Jelovic, M.;Ammer, A.;Lez, A.;Hauser, H.</t>
  </si>
  <si>
    <t>38220979200;37272650400;38230314200;38230294200;38227888900;37274158800</t>
  </si>
  <si>
    <t>5290748;1173149;528685;1173157</t>
  </si>
  <si>
    <t>Seon Joo Kim;Shaojie Zhuo;Fanbo Deng;Chi-Wing Fu;Brown, M.S.</t>
  </si>
  <si>
    <t>37598033500;37531677100;37589876300;37336329800;37277811200</t>
  </si>
  <si>
    <t>4658178;4658167;4658158;4015476;485155;4658175</t>
  </si>
  <si>
    <t>Hummel, M.;Garth, C.;Hamann, B.;Hagen, H.;Joy, K.I.</t>
  </si>
  <si>
    <t>37587428300;37282573700;37282068700;37282578800;37267811400</t>
  </si>
  <si>
    <t>4015450;1250414;4658156;235211;5290738;398875;964506;885694;4658155;5290737</t>
  </si>
  <si>
    <t>Sanyal, J.;Song Zhang;Dyer, J.;Mercer, A.;Amburn, P.;Moorhead, R.J.</t>
  </si>
  <si>
    <t>37567906800;37277708500;37408980300;37590976900;37411386700;37282559500</t>
  </si>
  <si>
    <t>5290731;1173145</t>
  </si>
  <si>
    <t>A (3D) scalar grid is a regular n1 × n2 × n3 grid of vertices where each vertex v is associated with some scalar value sv. Applying trilinear interpolation, the scalar grid determines a scalar function g where g(v) = sv for each grid vertex v. An isosurface with isovalue σ is a triangular mesh which approximates the level set g-1 (σ).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</si>
  <si>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Khoury, M.;Wenger, R.</t>
  </si>
  <si>
    <t>37604590700;37284274100</t>
  </si>
  <si>
    <t>4015490;4658188;1372234;568103;964515;175782;663875</t>
  </si>
  <si>
    <t>Guetat, A.;Ancel, A.;Marchesin, S.;Dischler, J.-M.</t>
  </si>
  <si>
    <t>37590980200;37590983400;37284319100;37284320600</t>
  </si>
  <si>
    <t>885683;885694;146391;5290780</t>
  </si>
  <si>
    <t>Law, A.J.;Aliaga, Daniel G.;Majumder, A.</t>
  </si>
  <si>
    <t>37593749400;37270561900;37408075400</t>
  </si>
  <si>
    <t>Law, A.J.;Aliaga, D.;Majumder, A.</t>
  </si>
  <si>
    <t>5290744;1183793;4015470;4376163;885684</t>
  </si>
  <si>
    <t>Bruckner, S.;Moller, T.</t>
  </si>
  <si>
    <t>37265895700;37275858700</t>
  </si>
  <si>
    <t>235222;809871;1250401;4015446;1250402;729568;5290749;4389013;398859;5290704;4376186;4035762</t>
  </si>
  <si>
    <t>Xiaoru Yuan;He Xiao;Hanqi Guo;Peihong Guo;Kendall, W.;Huang, J.;Yongxian Zhang</t>
  </si>
  <si>
    <t>37403856700;;37595201300;37411096400;37585370900;37281262900;37599086100</t>
  </si>
  <si>
    <t>5290705;1250412;146402;1183814;4658177;4658164</t>
  </si>
  <si>
    <t>Lindholm, S.;Ljung, P.;Lundstrom, C.;Persson, A.;Ynnerman, A.</t>
  </si>
  <si>
    <t>Christian Richter;Martin Luboschik;Martin R̦hlig;Heidrun Schumann</t>
  </si>
  <si>
    <t>37591265100;37284208400;37284209100;37604521200;37284192000</t>
  </si>
  <si>
    <t>5290763;5290764;4658169;1250412;4376159;964516;5290762;4658153;1250413;809932;4015460</t>
  </si>
  <si>
    <t>Müller, T.;Grottel, S.;Weiskopf, D.</t>
  </si>
  <si>
    <t>;37590934100;38470313100</t>
  </si>
  <si>
    <t>MÃ¼ller, T.;Grottel, S.;Weiskopf, D.</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</si>
  <si>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</si>
  <si>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Weinkauf, T.;Theisel, H.</t>
  </si>
  <si>
    <t>38265445400;37266875400</t>
  </si>
  <si>
    <t>4376209;1532851;4376212;5290737;4376174;1372213;4658156;5290738;1532832;809896;235211;4658155;4376175</t>
  </si>
  <si>
    <t>38264158700;38265362700</t>
  </si>
  <si>
    <t>809905;4015499;745294;4015482;175773;5290754;4015498;5290756;5613473;398849;1250414;346326;663929;1183797;1250376;1532774;1372188;4015487</t>
  </si>
  <si>
    <t>Wei Zeng;Marino, J.;Chaitanya Gurijala, K.;Xianfeng Gu;Kaufman, A.</t>
  </si>
  <si>
    <t>37393948000;37605959300;37590931000;37276603700;37268052800</t>
  </si>
  <si>
    <t>1532806;4015440;1372206;4015443</t>
  </si>
  <si>
    <t>Tateosian, L.;Mitasova, H.;Harmon, B.;Fogleman, B.;Weaver, K.;Harmon, R.</t>
  </si>
  <si>
    <t>Veronika Solt̩szov��;Marco Foscato;Sondre H. Eliasson;Vidar R. Jensen</t>
  </si>
  <si>
    <t>37550412000;37564680200;37603853300;37589580700;37603897600;37425778300</t>
  </si>
  <si>
    <t>Paulovich, F.V.;Silva, C.T.;Nonato, L.G.</t>
  </si>
  <si>
    <t>37590969400;37275249200;37590974800</t>
  </si>
  <si>
    <t>1173159;567787;4658134;5290770;1382891;4376155;4658123;1173161</t>
  </si>
  <si>
    <t>Prassni, J.-S.;Ropinski, T.;Hinrichs, K.</t>
  </si>
  <si>
    <t>37591258700;37295281400;37267218300</t>
  </si>
  <si>
    <t>1532855;1250370;5290762;4376198;1532807;1250369</t>
  </si>
  <si>
    <t>Ziyi Zheng;Wei Xu;Mueller, K.</t>
  </si>
  <si>
    <t>37599599100;37597172500;37273119700</t>
  </si>
  <si>
    <t>809908;175805;5290733;4015500;346331;1372173;5290780</t>
  </si>
  <si>
    <t>Marchesin, S.;Cheng-Kai Chen;Ho, C.;Kwan-Liu Ma</t>
  </si>
  <si>
    <t>37284319100;37406743400;37599717800;37275869400</t>
  </si>
  <si>
    <t>1532831;4376173;346312;1183789;4015453;885690;745295;1532832;1532834;5290761</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</si>
  <si>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</si>
  <si>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Gerber, S.;Bremer, P.;Pascucci, V.;Whitaker, R.</t>
  </si>
  <si>
    <t>37390992900;38266672800;37284312600;37267322600</t>
  </si>
  <si>
    <t>Gerber, S.;Bremer, P.-T.;Pascucci, V.;Whitaker, R.T.</t>
  </si>
  <si>
    <t>1372235;4376171;4015464;4376172;4376169;1532839</t>
  </si>
  <si>
    <t>Amirkhanov, A.;Heinzl, C.;Reiter, M.;Groller, E.</t>
  </si>
  <si>
    <t>37590979900;37400391300;37593834800;37284271200</t>
  </si>
  <si>
    <t>4015449;1532834;1532833</t>
  </si>
  <si>
    <t>Tikhonova, A.;Correa, C.;Kwan-Liu Ma</t>
  </si>
  <si>
    <t>37404049100;37282925900;37275869400</t>
  </si>
  <si>
    <t>4376159;568112;1183758</t>
  </si>
  <si>
    <t>Jones, C.;Kwan-Liu Ma</t>
  </si>
  <si>
    <t>37598134900;37275869400</t>
  </si>
  <si>
    <t>5290734;1532850;5290707;4658152</t>
  </si>
  <si>
    <t>Zhang, N.;Xiangmin Zhou;Yunhe Shen;Sweet, R.</t>
  </si>
  <si>
    <t>37273740800;37599791400;37592889500;37587454000</t>
  </si>
  <si>
    <t>1250358;1250360</t>
  </si>
  <si>
    <t>10.1109/TVCG.2011.247;10.1109/INFVIS.2005.1532126;10.1109/TVCG.2007.70582;10.1109/TVCG.2006.147;10.1109/INFVIS.2003.1249009;10.1109/VISUAL.1991.175815;10.1109/TVCG.2014.2346248;10.1109/TVCG.2017.2744898;10.1109/INFVIS.2000.885091;10.1109/TVCG.2015.2468078;10.1109/TVCG.2014.2346441;10.1109/TVCG.2009.108;10.1109/TVCG.2016.2598885;10.1109/INFVIS.2001.963279</t>
  </si>
  <si>
    <t>Multivariate graphs,networks,tree-based graph visualization,adjacency matrix,spanning trees,visualization</t>
  </si>
  <si>
    <t>Waser, J.;Fuchs, R.;Ribicic, H.;Schindler, B.;Bloschl, G.;Groller, M.E.</t>
  </si>
  <si>
    <t>38111592300;38099765400;38229386600;38102461400;38229402400;37282552200</t>
  </si>
  <si>
    <t>Waser, J.;Fuchs, R.;Ribicic, H.;Schindler, B.;Bloschl, G.;Groller, E.</t>
  </si>
  <si>
    <t>1173149;1382904;809871;1532143;5290745;398857;4658193;4376146;745289</t>
  </si>
  <si>
    <t>Graphicle: Exploring Units, Networks, and Context in a Blended Visualization Approach</t>
  </si>
  <si>
    <t>10.1109/TVCG.2018.2865151</t>
  </si>
  <si>
    <t>http://dx.doi.org/10.1109/TVCG.2018.2865151</t>
  </si>
  <si>
    <t>van Ham, F.;Perer, A.</t>
  </si>
  <si>
    <t>37326291000;37294938400</t>
  </si>
  <si>
    <t>4015419;1382906;1382909;4015424;4015425</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</si>
  <si>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</si>
  <si>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Timothy Major;Rahul C. Basole</t>
  </si>
  <si>
    <t>10.1109/TVCG.2012.252;10.1109/INFVIS.2005.1532126;10.1109/TVCG.2007.70539;10.1109/TVCG.2007.70582;10.1109/TVCG.2014.2346292;10.1109/TVCG.2013.227;10.1109/TVCG.2006.166;10.1109/TVCG.2014.2346441;10.1109/TVCG.2009.108;10.1109/INFVIS.2003.1249004;10.1109/TVCG.2010.205;10.1109/TVCG.2007.70589;10.1109/VAST.2009.5333880;10.1109/TVCG.2013.167</t>
  </si>
  <si>
    <t>Unit visualization,network visualization,context</t>
  </si>
  <si>
    <t>DXR: A Toolkit for Building Immersive Data Visualizations</t>
  </si>
  <si>
    <t>10.1109/TVCG.2018.2865152</t>
  </si>
  <si>
    <t>http://dx.doi.org/10.1109/TVCG.2018.2865152</t>
  </si>
  <si>
    <t>Dwyer, T.;Bongshin Lee;Fisher, D.;Quinn, K.I.;Isenberg, P.;Robertson, G.;North, C.</t>
  </si>
  <si>
    <t>37326161000;37293389400;37542391000;38108819900;37591317800;37448060300;37419565900</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</si>
  <si>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&amp;#x201C;What were the taxi trips starting from Main Street and ending at Wall Street in the morning?&amp;#x201D; or &amp;#x201C;Where are the taxis arriving at the Art Museum at noon typically coming from?&amp;#x201D;, tedious and time consuming interactions are usually needed since the numeric GPS points of trajectories are not directly linked to the keywords such as &amp;#x201C;Main Street&amp;#x201D;, &amp;#x201C;Wall Street&amp;#x201D;, and &amp;#x201C;Art Museum&amp;#x201D;.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</si>
  <si>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Piringer, H.;Tominski, C.;Muigg, P.;Berger, W.</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</si>
  <si>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</si>
  <si>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37282562500;37283236000;37546620600;37546977900</t>
  </si>
  <si>
    <t>Ronell Sicat;Jiabao Li;Junyoung Choi;Maxime Cordeil;Won-Ki Jeong;Benjamin Bach;Hanspeter Pfister</t>
  </si>
  <si>
    <t>Harvard Visual Computing Group;Harvard Graduate School of Design;Ulsan National Institute of Science and Technology;Immersive Analytics LabMonash University;Ulsan National Institute of Science and Technology;School of InformaticsEdinburgh University;Harvard Visual Computing Group</t>
  </si>
  <si>
    <t>10.1109/TVCG.2017.2745941;10.1109/TVCG.2016.2598609;10.1109/TVCG.2009.174;10.1109/TVCG.2011.185;10.1109/TVCG.2014.2346322;10.1109/TVCG.2016.2599107;10.1109/INFVIS.2004.64;10.1109/TVCG.2010.144;10.1109/TVCG.2016.2598620;10.1109/TVCG.2015.2467449;10.1109/TVCG.2014.2346318;10.1109/TVCG.2016.2599030;10.1109/TVCG.2015.2467091;10.1109/TVCG.2017.2744079;10.1109/TVCG.2016.2598608</t>
  </si>
  <si>
    <t>809891;4015422;636790;4015496;1382904;1173156;4376147;4015439;4015444;1382905;885092;4677357</t>
  </si>
  <si>
    <t>Augmented Reality,Virtual Reality,Immersive Visualization,Immersive Analytics,Visualization Toolkit</t>
  </si>
  <si>
    <t>Charticulator: Interactive Construction of Bespoke Chart Layouts</t>
  </si>
  <si>
    <t>10.1109/TVCG.2018.2865158</t>
  </si>
  <si>
    <t>http://dx.doi.org/10.1109/TVCG.2018.2865158</t>
  </si>
  <si>
    <t>4389008;1532136;4658137;4015417;745289;4376144;4658124;235203;1382903;1532124;729560;1382902;4658146;636792;1532150;146375</t>
  </si>
  <si>
    <t>Nielsen, C.B.;Jackman, S.D.;Birol, I.;Jones, S.J.M.</t>
  </si>
  <si>
    <t>Daniel J̦nsson;Anders Ynnerman</t>
  </si>
  <si>
    <t>38112559500;38108815200;37278695500;37570599800</t>
  </si>
  <si>
    <t>Link̦ping University, N̦rrk̦ping, Sweden;Link̦ping University, N̦rrk̦ping, Sweden</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</si>
  <si>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https://charticulator.com.</t>
  </si>
  <si>
    <t>Donghao Ren;Bongshin Lee;Matthew Brehmer</t>
  </si>
  <si>
    <t>University of California, Santa Barbara;Microsoft Research;Microsoft Research</t>
  </si>
  <si>
    <t>10.1109/TVCG.2016.2598609;10.1109/TVCG.2015.2467732;10.1109/TVCG.2009.174;10.1109/TVCG.2011.185;10.1109/TVCG.2006.147;10.1109/TVCG.2016.2598620;10.1109/TVCG.2014.2346291;10.1109/TVCG.2016.2599030;10.1109/TVCG.2015.2467091;10.1109/INFVIS.2000.885086;10.1109/TVCG.2015.2467191</t>
  </si>
  <si>
    <t>Interactive visualization authoring,Chart layout design,Glyph design,Constraint-based design,Reusable chart layout</t>
  </si>
  <si>
    <t>Dynamic Composite Data Physicalization Using Wheeled Micro-Robots</t>
  </si>
  <si>
    <t>10.1109/TVCG.2018.2865159</t>
  </si>
  <si>
    <t>http://dx.doi.org/10.1109/TVCG.2018.2865159</t>
  </si>
  <si>
    <t>Vrotsou, K.;Johansson, J.;Cooper, M.</t>
  </si>
  <si>
    <t>37939017400;37273045500;37268765000</t>
  </si>
  <si>
    <t>4015418;4035762</t>
  </si>
  <si>
    <t>Collins, C.;Penn, G.;Carpendale, S.</t>
  </si>
  <si>
    <t>37669874100;37830217600;37285000100</t>
  </si>
  <si>
    <t>4015419;1532150;4658142;4658148;1532126;4376140;4658123</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</si>
  <si>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</si>
  <si>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Mathieu Le Goc;Charles Perin;Sean Follmer;Jean-Daniel Fekete;Pierre Dragicevic</t>
  </si>
  <si>
    <t>Stanford University, USA;University of Victoria, Canada;Stanford University, USA;INRIA, Saclay, France;INRIA, Saclay, France</t>
  </si>
  <si>
    <t>10.1109/TVCG.2014.2346984;10.1109/TVCG.2014.2346424;10.1109/TVCG.2008.153;10.1109/TVCG.2007.70539;10.1109/TVCG.2014.2346292;10.1109/TVCG.2013.227;10.1109/TVCG.2013.134;10.1109/TVCG.2014.2346250;10.1109/TVCG.2017.2743859;10.1109/TVCG.2016.2598920;10.1109/TVCG.2012.199;10.1109/TVCG.2014.2346279;10.1109/TVCG.2007.70541;10.1109/TVCG.2016.2598498</t>
  </si>
  <si>
    <t>information visualization,data physicalization,tangible user interfaces</t>
  </si>
  <si>
    <t>Ogawa, M.;Kwan-Liu Ma</t>
  </si>
  <si>
    <t>FiberClay: Sculpting Three Dimensional Trajectories to Reveal Structural Insights</t>
  </si>
  <si>
    <t>10.1109/TVCG.2018.2865191</t>
  </si>
  <si>
    <t>37287357700;37275869400</t>
  </si>
  <si>
    <t>http://dx.doi.org/10.1109/TVCG.2018.2865191</t>
  </si>
  <si>
    <t>4376134;4658133;1532125;1382896;1532122</t>
  </si>
  <si>
    <t>Tory, M.;Swindells, C.;Dreezer, R.</t>
  </si>
  <si>
    <t>37275861300;37267462600;38108876200</t>
  </si>
  <si>
    <t>1382900;1173146;4376149;1382891;963291;528686;963291;963274</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</si>
  <si>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</si>
  <si>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Christophe Hurter;Nathalie Henry Riche;Steven M. Drucker;Maxime Cordeil;Richard Alligier;Romain Vuillemot</t>
  </si>
  <si>
    <t>4376144;1249006;146386;4658146;4376146;1183791</t>
  </si>
  <si>
    <t>ENAC, The French Civil Aviation University, Toulouse University, France;Microsoft Research;Microsoft Research;Monash University;ENAC, The French Civil Aviation University, Toulouse University, France;Univ Lyon, École Centrale de Lyon, CNRS UMR52 05, LIRIS, France</t>
  </si>
  <si>
    <t>10.1109/TVCG.2016.2599217;10.1109/TVCG.2011.192;10.1109/VISUAL.1991.175794;10.1109/TVCG.2008.153;10.1109/TVCG.2011.233;10.1109/TVCG.2013.226;10.1109/TVCG.2017.2744338;10.1109/TVCG.2009.145;10.1109/INFVIS.2004.27;10.1109/TVCG.2011.224;10.1109/TVCG.2015.2467112;10.1109/TVCG.2013.153;10.1109/TVCG.2012.265;10.1109/TVCG.2017.2744079;10.1109/TVCG.2012.217</t>
  </si>
  <si>
    <t>Immersive Analytics,3D Visualization,Dynamic Queries,Bimanual Interaction,Multidimensional Data</t>
  </si>
  <si>
    <t>Origin-Destination Flow Maps in Immersive Environments</t>
  </si>
  <si>
    <t>10.1109/TVCG.2018.2865192</t>
  </si>
  <si>
    <t>http://dx.doi.org/10.1109/TVCG.2018.2865192</t>
  </si>
  <si>
    <t>4035744;963287;1249024;4376131;485139;4376133;559216;4389006;4677370;4658123</t>
  </si>
  <si>
    <t>Jin Chen;MacEachren, A.M.;Peuquet, D.J.</t>
  </si>
  <si>
    <t>37859000800;37374699000;37830095400</t>
  </si>
  <si>
    <t>Jin Chen;MacEachren, A.M.;Peuquet, D.</t>
  </si>
  <si>
    <t>4015421;4376143;1382907</t>
  </si>
  <si>
    <t>Immersive virtual- 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call&lt;i&gt;MapsLink&lt;/i&gt;, involving a pair of linked flat maps. We find that participants took significantly more time with MapsLink than other flow maps while the 3D globe with raised flows was the fastest, most accurate, and most preferred method. Our work suggests that&lt;i&gt;careful&lt;/i&gt;use of the third spatial dimension can resolve visual clutter in complex flow maps.</t>
  </si>
  <si>
    <t>Yalong Yang;Tim Dwyer;Bernhard Jenny;Kim Marriott;Maxime Cordeil;Haohui Chen</t>
  </si>
  <si>
    <t>Monash University;Monash University;Monash University;Monash University;Monash University;Data61, CSIRO, Australia</t>
  </si>
  <si>
    <t>10.1109/TVCG.2016.2598958;10.1109/TVCG.2011.202;10.1109/TVCG.2007.70521;10.1109/INFVIS.1995.528697;10.1109/INFVIS.1996.559226;10.1109/INFVIS.2005.1532150;10.1109/TVCG.2011.181;10.1109/TVCG.2014.2346441;10.1109/INFVIS.2003.1249008;10.1109/TVCG.2016.2598885</t>
  </si>
  <si>
    <t>Origin-destination,Flow Map,Virtual Reality,Cartographic Information Visualisation,Immersive Analytics</t>
  </si>
  <si>
    <t>Strobelt, H.;Oelke, D.;Rohrdantz, C.;Stoffel, A.;Keim, D.A.;Deussen, O.</t>
  </si>
  <si>
    <t>Visualizing Uncertain Tropical Cyclone Predictions using Representative Samples from Ensembles of Forecast Tracks</t>
  </si>
  <si>
    <t>38108845300;37591207400;37601356700;37592880100;37283138700;37266781000</t>
  </si>
  <si>
    <t>10.1109/TVCG.2018.2865193</t>
  </si>
  <si>
    <t>http://dx.doi.org/10.1109/TVCG.2018.2865193</t>
  </si>
  <si>
    <t>37965966100;37900114200;37290589700;37285799200</t>
  </si>
  <si>
    <t>809866;4658134</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</si>
  <si>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</si>
  <si>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Le Liu;Lace M. K. Padilla;Sarah H. Creem-Regehr;Donald H. House</t>
  </si>
  <si>
    <t>Le Liu;Lace Padilla;Sarah H. Creem-Regehr;Donald H. House</t>
  </si>
  <si>
    <t>Magic Weaver Inc., Santa Clara, CA;Department of Psychology, Northwestern University, Evanston, IL;Department of Psychology, University of Utah, Salt Lake City, UT;School of Computing, Clemson University, Clemson, SC</t>
  </si>
  <si>
    <t>10.1109/TVCG.2017.2743898;10.1109/TVCG.2010.181</t>
  </si>
  <si>
    <t>uncertainty visualization,hurricane forecasts,ensemble visualization,ensemble sampling,implicit uncertainty</t>
  </si>
  <si>
    <t>4658140;4015425;4015422;1532150</t>
  </si>
  <si>
    <t>DimReader: Axis lines that explain non-linear projections</t>
  </si>
  <si>
    <t>10.1109/TVCG.2018.2865194</t>
  </si>
  <si>
    <t>http://dx.doi.org/10.1109/TVCG.2018.2865194</t>
  </si>
  <si>
    <t>Hurter, C.;Tissoires, B.;Conversy, S.</t>
  </si>
  <si>
    <t>38017336200;38108818800;38017080200</t>
  </si>
  <si>
    <t>885086;485139;346302;4658123;1382905</t>
  </si>
  <si>
    <t>Non-linear dimensionality reduction (NDR)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</si>
  <si>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Rebecca Faust;David Glickenstein;Carlos Eduardo Scheidegger</t>
  </si>
  <si>
    <t>Bohyoung Kim;Bongshin Lee;Knoblach, S.;Hoffman, E.;Jinwook Seo</t>
  </si>
  <si>
    <t>Rebecca Faust;David Glickenstein;Carlos Scheidegger</t>
  </si>
  <si>
    <t>37594632900;37293389400;38108809200;37272368200;37422552700</t>
  </si>
  <si>
    <t>10.1109/TVCG.2014.2346984;10.1109/TVCG.2014.2346431;10.1109/TVCG.2013.124;10.1109/VISUAL.1996.567787;10.1109/VAST.2010.5652460;10.1109/TVCG.2015.2467552;10.1109/VAST.2011.6102449;10.1109/TVCG.2013.157;10.1109/TVCG.2011.220;10.1109/TVCG.2014.2346325;10.1109/INFVIS.2002.1173161;10.1109/TVCG.2016.2598495;10.1109/TVCG.2013.153;10.1109/TVCG.2015.2467717</t>
  </si>
  <si>
    <t>Non-linear dimensionality reduction,auto-differentiation</t>
  </si>
  <si>
    <t>NLIZE: A Perturbation-Driven Visual Interrogation Tool for Analyzing and Interpreting Natural Language Inference Models</t>
  </si>
  <si>
    <t>10.1109/TVCG.2018.2865230</t>
  </si>
  <si>
    <t>http://dx.doi.org/10.1109/TVCG.2018.2865230</t>
  </si>
  <si>
    <t>4376131;729560;4658133;4015439;4677366;4658131;4389011;346302</t>
  </si>
  <si>
    <t>McGuffin, M.J.;Jurisica, I.</t>
  </si>
  <si>
    <t>37403234300;37353445900</t>
  </si>
  <si>
    <t>1532124;559216</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</si>
  <si>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</si>
  <si>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Shusen Liu;Zhimin Li;Tao Li;Vivek Srikumar;Valerio Pascucci;Peer-Timo Bremer</t>
  </si>
  <si>
    <t>Lawrence Livermore National Laboratory;SCI InstituteUniversity of Utah;School of ComputingUniversity of Utah;School of ComputingUniversity of Utah;SCI InstituteUniversity of Utah;Lawrence Livermore National Laboratory</t>
  </si>
  <si>
    <t>10.1109/TVCG.2017.2744683;10.1109/TVCG.2017.2744718;10.1109/TVCG.2017.2744938;10.1109/TVCG.2016.2598831;10.1109/TVCG.2017.2745141;10.1109/TVCG.2017.2744358;10.1109/TVCG.2017.2744158;10.1109/VISUAL.2005.1532820;10.1109/TVCG.2017.2744878</t>
  </si>
  <si>
    <t>Natural Language Processing,Interpretable Machine Learning,Natural Language Inference,Attention Visualization</t>
  </si>
  <si>
    <t>SmartCues: A Multitouch Query Approach for Details-on-Demand through Dynamically Computed Overlays</t>
  </si>
  <si>
    <t>10.1109/TVCG.2018.2865231</t>
  </si>
  <si>
    <t>http://dx.doi.org/10.1109/TVCG.2018.2865231</t>
  </si>
  <si>
    <t>Johansson, S.;Johansson, J.</t>
  </si>
  <si>
    <t>37924876400;37273045500</t>
  </si>
  <si>
    <t>1532142;1249015;729568;4015421;1382891;1382892;1382893;4658134;1382895</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</si>
  <si>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</si>
  <si>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Hariharan Subramonyam;Eytan Adar</t>
  </si>
  <si>
    <t>School of InformationUniversity of Michigan;School of InformationUniversity of Michigan</t>
  </si>
  <si>
    <t>Tobiasz, M.;Isenberg, P.;Carpendale, S.</t>
  </si>
  <si>
    <t>37680420900;37591317800;37285000100</t>
  </si>
  <si>
    <t>10.1109/INFVIS.1995.528688;10.1109/INFVIS.2005.1532136;10.1109/TVCG.2013.124;10.1109/TVCG.2006.187;10.1109/VAST.2010.5652885;10.1109/TVCG.2013.119;10.1109/VAST.2012.6400487;10.1109/TVCG.2014.2346250;10.1109/TVCG.2012.229;10.1109/TVCG.2008.109;10.1109/TVCG.2012.204;10.1109/TVCG.2010.179;10.1109/TVCG.2017.2745958;10.1109/TVCG.2007.70515</t>
  </si>
  <si>
    <t>Graphical overlays,details-on-demand,graph comprehension</t>
  </si>
  <si>
    <t>1382904;729560;4035758;4389011;1532143;4035757;4376145</t>
  </si>
  <si>
    <t>Narvis: Authoring Narrative Slideshows for Introducing Data Visualization Designs</t>
  </si>
  <si>
    <t>10.1109/TVCG.2018.2865232</t>
  </si>
  <si>
    <t>http://dx.doi.org/10.1109/TVCG.2018.2865232</t>
  </si>
  <si>
    <t>van Ham, F.;Wattenberg, M.;Viegas, F.B.</t>
  </si>
  <si>
    <t>37326291000;37550759700;37681355300</t>
  </si>
  <si>
    <t>4658133;1532781;4376131</t>
  </si>
  <si>
    <t>Meyer, M.;Munzner, T.;Pfister, H.</t>
  </si>
  <si>
    <t>37564728700;37349490300;37275698100</t>
  </si>
  <si>
    <t>Visual designs can be complex in modern data visualization systems, which poses special challenges for explaining them to the non-experts. However, few if any presentation tools are tailored for this purpose. In this study, we present Narvis, a slideshow authoring tool designed for introducing data visualizations to non-experts. Narvis targets two types of end users: teachers, experts in data visualization who produce tutorials for explaining a data visualization, and students, non-experts who try to understand visualization designs through tutorials. We present an analysis of requirements through close discussions with the two types of end users. The resulting considerations guide the design and implementation of Narvis. Additionally, to help teachers better organize their introduction slideshows, we specify a data visualization as a hierarchical combination of components, which are automatically detected and extracted by Narvis. The teachers craft an introduction slideshow through first organizing these components, and then explaining them sequentially. A series of templates are provided for adding annotations and animations to improve efficiency during the authoring process. We evaluate Narvis through a qualitative analysis of the authoring experience, and a preliminary evaluation of the generated slideshows.</t>
  </si>
  <si>
    <t>Qianwen Wang;Zhen Li;Siwei Fu;Weiwei Cui;Huamin Qu</t>
  </si>
  <si>
    <t>1532134;4015425</t>
  </si>
  <si>
    <t>Hong Kong University of Science and Technology;Hong Kong University of Science and Technology;Hong Kong University of Science and Technology;Microsoft Research Asia;Hong Kong University of Science and Technology</t>
  </si>
  <si>
    <t>10.1109/TVCG.2016.2598647;10.1109/TVCG.2009.174;10.1109/TVCG.2016.2598876;10.1109/TVCG.2015.2467196;10.1109/TVCG.2011.239;10.1109/VAST.2007.4388992;10.1109/TVCG.2015.2467531;10.1109/TVCG.2007.70539;10.1109/TVCG.2013.119;10.1109/TVCG.2013.191;10.1109/TVCG.2010.183</t>
  </si>
  <si>
    <t>Education,Narrative Visualization,Authoring Tools</t>
  </si>
  <si>
    <t>Mitigating the Attraction Effect with Visualizations</t>
  </si>
  <si>
    <t>Viegas, F.B.;Wattenberg, M.;Feinberg, J.</t>
  </si>
  <si>
    <t>10.1109/TVCG.2018.2865233</t>
  </si>
  <si>
    <t>http://dx.doi.org/10.1109/TVCG.2018.2865233</t>
  </si>
  <si>
    <t>37681355300;37550759700;38102505300</t>
  </si>
  <si>
    <t>1532122;4376131</t>
  </si>
  <si>
    <t>Bostock, M.;Heer, J.</t>
  </si>
  <si>
    <t>37591067400;37550791300</t>
  </si>
  <si>
    <t>809864;1382904;4015439;4376131;729560;4389011;4658136;1382905;885086;4388996</t>
  </si>
  <si>
    <t>Clarkson, E.;Desai, K.;Foley, J.D.</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</si>
  <si>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</si>
  <si>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37296656400;38101559100;37286177900</t>
  </si>
  <si>
    <t>Evanthia Dimara;Gilles Bailly;Anastasia Bezerianos;Steven Franconeri</t>
  </si>
  <si>
    <t>ISIR;ISIR;Univ. Paris-Sud &amp; CNRS (LRI)Inria;Northwestern Univ.</t>
  </si>
  <si>
    <t>10.1109/INFVIS.2005.1532136;10.1109/VAST.2017.8585665;10.1109/INFVIS.1996.559213;10.1109/TVCG.2016.2598594;10.1109/TVCG.2017.2745138;10.1109/TVCG.2013.173;10.1109/VAST.2010.5652880;10.1109/TVCG.2012.199;10.1109/TVCG.2015.2467758;10.1109/TVCG.2016.2598589;10.1109/VISUAL.1992.235203;10.1109/TVCG.2017.2744138;10.1109/VAST.2017.8585669;10.1109/VISUAL.1990.146375;10.1109/TVCG.2010.161;10.1109/TVCG.2007.70515</t>
  </si>
  <si>
    <t>Decision making,cognitive bias,bias alleviation,bias mitigation,debiasing,information visualization,attraction effect</t>
  </si>
  <si>
    <t>175815;4015432;528686</t>
  </si>
  <si>
    <t>Visualizing Ranges over Time on Mobile Phones: A Task-Based Crowdsourced Evaluation</t>
  </si>
  <si>
    <t>10.1109/TVCG.2018.2865234</t>
  </si>
  <si>
    <t>http://dx.doi.org/10.1109/TVCG.2018.2865234</t>
  </si>
  <si>
    <t>37403856700;37411096400;37397293900;37405368200;37272637300</t>
  </si>
  <si>
    <t>4658159;1532139;663867;146402;1532141;663916;4015422;663866;567800;1532138;1249015;567787;729568;1249008;1173157;809866;1249023;4015444;1382894;1382895;4658123</t>
  </si>
  <si>
    <t>Zhicheng Liu;Stasko, J.;Sullivan, T.</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</si>
  <si>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</si>
  <si>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37592993600;37267736900;38106606100</t>
  </si>
  <si>
    <t>Matthew Brehmer;Bongshin Lee;Petra Isenberg;Eun Kyoung Choe</t>
  </si>
  <si>
    <t>Microsoft Research;Microsoft Research;Inria;The University of Maryland, College Park</t>
  </si>
  <si>
    <t>10.1109/TVCG.2011.185;10.1109/TVCG.2013.124;10.1109/TVCG.2010.209;10.1109/TVCG.2010.162;10.1109/VAST.2007.4388994</t>
  </si>
  <si>
    <t>Evaluation,graphical perception,mobile phones,range visualization,crowdsourcing</t>
  </si>
  <si>
    <t>4389009;1532139;175815;235181;4015432;636793;4658127;4389006</t>
  </si>
  <si>
    <t>Michael Behrisch;Benjamin Bach;Michael Blumenschein;Michael Delz;Laura von R�_den;Jean-Daniel Fekete;Tobias Schreck</t>
  </si>
  <si>
    <t>Multiple Coordinated Views at Large Displays for Multiple Users: Empirical Findings on User Behavior, Movements, and Distances</t>
  </si>
  <si>
    <t>10.1109/TVCG.2018.2865235</t>
  </si>
  <si>
    <t>http://dx.doi.org/10.1109/TVCG.2018.2865235</t>
  </si>
  <si>
    <t>Blaas, J.;Botha, C.P.;Grundy, E.;Jones, M.;Laramee, R.S.;Post, F.H.</t>
  </si>
  <si>
    <t>37550793100;37373834100;38110391600;37335785800;37267247900;37295045800</t>
  </si>
  <si>
    <t>Blaas, J.;Botha, C.P.;Grundy, E.;Jones, M.W.;Laramee, R.S.;Post, F.H.</t>
  </si>
  <si>
    <t>528685;4658147;4658140;4015418;963281;963281;4015425</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</si>
  <si>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and-depending on user goals-is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</si>
  <si>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Ricardo Langner;Ulrike Kister;Raimund Dachselt</t>
  </si>
  <si>
    <t>10.1109/VAST.2016.7883506;10.1109/TVCG.2012.251;10.1109/VAST.2010.5652880;10.1109/TVCG.2013.166;10.1109/TVCG.2013.134;10.1109/TVCG.2017.2743859;10.1109/TVCG.2017.2744019;10.1109/TVCG.2012.204;10.1109/TVCG.2017.2744198;10.1109/TVCG.2017.2745219;10.1109/TVCG.2009.162;10.1109/TVCG.2012.237;10.1109/TVCG.2012.275;10.1109/INFVIS.1996.559216;10.1109/TVCG.2006.184</t>
  </si>
  <si>
    <t>Multiple coordinated views,wall-sized displays,mobile devices,distant interaction,physical navigation,user behavior,user movements,multi-user,collaborative data analysis</t>
  </si>
  <si>
    <t>Bak, P.;Mansmann, F.;Janetzko, H.;Keim, D.A.</t>
  </si>
  <si>
    <t>Information Olfactation: Harnessing Scent to Convey Data</t>
  </si>
  <si>
    <t>10.1109/TVCG.2018.2865237</t>
  </si>
  <si>
    <t>37392085400;37392086200;37594026300;37283138700</t>
  </si>
  <si>
    <t>http://dx.doi.org/10.1109/TVCG.2018.2865237</t>
  </si>
  <si>
    <t>1382887;485140;1532144;4015426;4376136;4376143;801851;4015427</t>
  </si>
  <si>
    <t>Douma, M.;Ligierko, G.;Ancuta, O.;Gritsai, P.;Liu, S.</t>
  </si>
  <si>
    <t>38108824400;38108821200;38108821300;38108819800;38107258600</t>
  </si>
  <si>
    <t>963279;4658138;1249009;1382905</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</si>
  <si>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viScent: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</si>
  <si>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Biswaksen Patnaik;Andrea Batch;Niklas Elmqvist</t>
  </si>
  <si>
    <t>University of Maryland, College Park, MD, USA;University of Maryland, College Park, MD, USA;University of Maryland, College Park, MD, USA</t>
  </si>
  <si>
    <t>Davide Ceneda;Theresia Gschwandtner;Thorsten May;Silvia Miksch;Hans-J̦rg Schulz;Marc Streit;Christian Tominski</t>
  </si>
  <si>
    <t>Olfaction,smell,scent,olfactory display,immersive analytics,immersion</t>
  </si>
  <si>
    <t>Formalizing Visualization Design Knowledge as Constraints: Actionable and Extensible Models in Draco</t>
  </si>
  <si>
    <t>10.1109/TVCG.2018.2865240</t>
  </si>
  <si>
    <t>Wang, T.D.;Plaisant, C.;Shneiderman, B.;Spring, N.;Roseman, D.;Marchand, G.;Mukherjee, V.;Smith, M.</t>
  </si>
  <si>
    <t>http://dx.doi.org/10.1109/TVCG.2018.2865240</t>
  </si>
  <si>
    <t>38006054000;37283026800;;38180636700;38113224400;38113939800;38111007700;37654306800</t>
  </si>
  <si>
    <t>1532122;4389008</t>
  </si>
  <si>
    <t>Bresciani, S.;Eppler, M.J.</t>
  </si>
  <si>
    <t>37546982400;38473544100</t>
  </si>
  <si>
    <t>4677358;4376145;4658146;4658144</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</si>
  <si>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</si>
  <si>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Dominik Moritz;Chenglong Wang;Greg L. Nelson;Halden Lin;Adam M. Smith;Bill Howe;Jeffrey Heer</t>
  </si>
  <si>
    <t>University of Washington;University of Washington;University of Washington;University of Washington;University of California Santa Cruz;University of Washington;University of Washington</t>
  </si>
  <si>
    <t>10.1109/INFVIS.2005.1532136;10.1109/TVCG.2014.2346984;10.1109/TVCG.2013.183;10.1109/TVCG.2014.2346979;10.1109/TVCG.2007.70594;10.1109/TVCG.2017.2744320;10.1109/TVCG.2017.2744198;10.1109/TVCG.2017.2744198;10.1109/TVCG.2016.2599030;10.1109/TVCG.2017.2744359;10.1109/TVCG.2015.2467191</t>
  </si>
  <si>
    <t>Automated Visualization Design,Perceptual Effectiveness,Constraints,Knowledge Bases,Answer Set Programming</t>
  </si>
  <si>
    <t>A Framework for Creative Visualization-Opportunities Workshops</t>
  </si>
  <si>
    <t>10.1109/TVCG.2018.2865241</t>
  </si>
  <si>
    <t>http://dx.doi.org/10.1109/TVCG.2018.2865241</t>
  </si>
  <si>
    <t>McDonnel, B.;Elmqvist, N.</t>
  </si>
  <si>
    <t>37590945700;37295438200</t>
  </si>
  <si>
    <t>1382904;1372194;1173156;4389013;4376155;729560;636792</t>
  </si>
  <si>
    <t>Muelder, C.;Gygi, F.;Kwan-Liu Ma</t>
  </si>
  <si>
    <t>37299311900;37399379400;37275869400</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</si>
  <si>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</si>
  <si>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Ethan Kerzner;Sarah Goodwin;Jason Dykes;Sara Jones;Miriah D. Meyer</t>
  </si>
  <si>
    <t>Ethan Kerzner;Sarah Goodwin;Jason Dykes;Sara Jones;Miriah Meyer</t>
  </si>
  <si>
    <t>1532138;1173155;1382889</t>
  </si>
  <si>
    <t>University of Utah;Royal Melbourne Institute of TechnologyMonash University;City, University of London;City, University of London;University of Utah</t>
  </si>
  <si>
    <t>10.1109/TVCG.2010.191;10.1109/TVCG.2013.145;10.1109/TVCG.2016.2598545;10.1109/TVCG.2016.2599338;10.1109/TVCG.2011.209;10.1109/TVCG.2017.2744459;10.1109/TVCG.2014.2346331;10.1109/TVCG.2009.111;10.1109/TVCG.2015.2467271;10.1109/TVCG.2016.2599030;10.1109/TVCG.2012.213;10.1109/TVCG.2013.132;10.1109/TVCG.2015.2467191</t>
  </si>
  <si>
    <t>User-centered visualization design,design studies,creativity workshops,critically reflective practice</t>
  </si>
  <si>
    <t>At a Glance: Pixel Approximate Entropy as a Measure of Line Chart Complexity</t>
  </si>
  <si>
    <t>10.1109/TVCG.2018.2865264</t>
  </si>
  <si>
    <t>http://dx.doi.org/10.1109/TVCG.2018.2865264</t>
  </si>
  <si>
    <t>Crampes, M.;de Oliveira-Kumar, J.;Ranwez, S.;Villerd, J.</t>
  </si>
  <si>
    <t>38108840900;38108840700;38108835500;37697469600</t>
  </si>
  <si>
    <t>Chinese Academy of Sciences, SKLCSInstitute of Software;Chinese Academy of Sciences, SKLCSInstitute of Software;Imaging Genetics CenterMark &amp; Mary Stevens Institute for Neuroimaging &amp; InformaticsUniversity of Southern California;School of Computing, Informatics and Decision Systems EngineeringArizona State University;Chinese Academy of Sciences, SKLCSInstitute of Software;Imaging Genetics CenterMark &amp; Mary Stevens Institute for Neuroimaging &amp; InformaticsUniversity of Southern California</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</si>
  <si>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&amp;#x201C;human in the loop&amp;#x201D; process model provides a general lens for the evaluation of visual interactive DR systems. We apply the proposed model to study and classify several systems previously described in the literature, and to derive future research opportunities.</t>
  </si>
  <si>
    <t>University of Konstanz, Germany;Middlesex University, UK;University of Vienna, Austria;SSS, IREC, MIRO, Universit��� catholique de LouvainUCLBelgian F.R.S.-FNRS.;Helsinki Institute for Information Technology HIIT, Aalto University, University of Tampere, Finland;University of Konstanz, Germany;Infovisible LLC, Oldwick, U.S.A.;VISUS, University of Stuttgart, Germany</t>
  </si>
  <si>
    <t>Bowen Yu;Cl��udio T. Silva</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</si>
  <si>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&amp;#x201C;views&amp;#x201D;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</si>
  <si>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Faisal Taher;Yvonne Jansen;Jonathan Woodruff;John Hardy;Kasper Hornb�_k;Jason Alexander</t>
  </si>
  <si>
    <t>Jian Zhang;Chen, C.;Jiexun Li</t>
  </si>
  <si>
    <t>38108288000;37280749300;37676324000</t>
  </si>
  <si>
    <t>885091;4658133;4658140;4658127;1382909;4658142;175815</t>
  </si>
  <si>
    <t>Correa, C.;Yu-Hsuan Chan;Kwan-Liu Ma</t>
  </si>
  <si>
    <t>37282925900;37593323300;37275869400</t>
  </si>
  <si>
    <t>4677368;4389000</t>
  </si>
  <si>
    <t>Pak Chung Wong;Mackey, P.;Cook, K.A.;Rohrer, R.M.;Foote, H.;Whiting, M.A.</t>
  </si>
  <si>
    <t>37280665600;37550755900;37564931700;37682743100;37372586800;37357067600</t>
  </si>
  <si>
    <t>Pak Chung Wong;Mackey, P.;Cook, K.A.;Rohrer, R.M.;Foote, H.;Whiting, M.</t>
  </si>
  <si>
    <t>4389006;1382909;1382906;4376154</t>
  </si>
  <si>
    <t>Decker, J.;Godwin, A.;Livingston, M.A.;Royle, D.</t>
  </si>
  <si>
    <t>37681593700;37593027200;37300434300;37678970200</t>
  </si>
  <si>
    <t>Decker, J.W.;Godwin, A.;Livingston, M.A.;Royle, D.</t>
  </si>
  <si>
    <t>Yi Han;Stuntebeck, E.P.;Stasko, J.T.;Abowd, G.D.</t>
  </si>
  <si>
    <t>37677711000;37670091600;37267736900;38261901100</t>
  </si>
  <si>
    <t>Yi Han;Stuntebeck, E.P.;Stasko, J.;Abowd, G.</t>
  </si>
  <si>
    <t xml:space="preserve">
</t>
  </si>
  <si>
    <t>Andrienko, G.;Andrienko, N.;Bak, P.;Kisilevich, S.;Keim, D.</t>
  </si>
  <si>
    <t>37283047100;37283047700;37392085400;37392087800;37283138700</t>
  </si>
  <si>
    <t>Andrienko, G.;Andrienko, N.;Bak, P.;Kisilevich, S.;Keim, D.A.</t>
  </si>
  <si>
    <t>Yiwen Sun;Leigh, J.;Johnson, A.;Chau, D.</t>
  </si>
  <si>
    <t>37633211900;37284238900;37270146700;37682410500</t>
  </si>
  <si>
    <t>Vadapalli, S.;Karlapalem, K.</t>
  </si>
  <si>
    <t>37681354900;37281960300</t>
  </si>
  <si>
    <t>Kadivar, N.;Chen, V.;Dunsmuir, D.;Lee, E.;Qian, C.;Dill, J.;Shaw, C.;Woodbury, R.</t>
  </si>
  <si>
    <t>37681588600;38182637400;37601085600;37596074400;37595662900;38349149300;37358198200;38181028300</t>
  </si>
  <si>
    <t>1532136;4677362;4388992;4658129;4389006;4677365;1382890;4389002;4376144;4389001</t>
  </si>
  <si>
    <t>Tatu, A.;Albuquerque, G.;Eisemann, M.;Schneidewind, J.;Theisel, H.;Magnor, M.;Keim, D.</t>
  </si>
  <si>
    <t>37590724000;37603943800;37546817000;37669961800;37266875400;37273816400;37283138700</t>
  </si>
  <si>
    <t>Tatu, A.;Albuquerque, G.;Eisemann, M.;Schneidewind, J.;Theisel, H.;Magnor, M.;Keim, D.A.</t>
  </si>
  <si>
    <t>1532142;729568;1249017;346302;4035766</t>
  </si>
  <si>
    <t>Muller-Birn, C.;Birn, L.</t>
  </si>
  <si>
    <t>Dong Hyun Jeong;Green, T.M.;Ribarsky, W.;Chang, R.</t>
  </si>
  <si>
    <t>37400451800;37403562900;37300425000;37592409400</t>
  </si>
  <si>
    <t>Shrinivasan, Y.B.;Gotz, D.;Jie Lu</t>
  </si>
  <si>
    <t>37681468200;37601397400;37674897500</t>
  </si>
  <si>
    <t>4677362;4389006;4389011;4035749;4677365</t>
  </si>
  <si>
    <t>Rose, S.;Butner, S.;Cowley, W.;Gregory, M.;Walker, J.</t>
  </si>
  <si>
    <t>37434158300;38179762500;37672002300;37285562300;37671797700</t>
  </si>
  <si>
    <t>885098;1532133</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</si>
  <si>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&amp;#x201C;urban pulse&amp;#x201D;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</si>
  <si>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Allen, D.;Tsai-Ching Lu;Huber, D.</t>
  </si>
  <si>
    <t>F��bio Miranda;Harish Doraiswamy;Marcos Lage;Kai Zhao;Bruno Gon̤alves;Luc Wilson;Mondrian Hsieh;Cl��udio T. Silva</t>
  </si>
  <si>
    <t>Youn-ah Kang;Gorg, C.;Stasko, J.</t>
  </si>
  <si>
    <t>37673524700;37428446300;37267736900</t>
  </si>
  <si>
    <t>4677362;4677360;4035759;4389006;4677358</t>
  </si>
  <si>
    <t>Wongsuphasawat, K.;Shneiderman, B.</t>
  </si>
  <si>
    <t>37670523200;</t>
  </si>
  <si>
    <t>Rudolph, S.;Savikhin, A.;Ebert, D.S.</t>
  </si>
  <si>
    <t>37396006000;37681662800;38472156400</t>
  </si>
  <si>
    <t>885098;636789;4376134;963273;4376132;4376131;4677363;1249027</t>
  </si>
  <si>
    <t>Ho Van Quan;Astrom, T.;Jern, M.</t>
  </si>
  <si>
    <t>;37669906900;37283245900</t>
  </si>
  <si>
    <t>Steed, C.A.;Swan, J.E.;Jankun-Kelly, T.J.;Fitzpatrick, P.J.</t>
  </si>
  <si>
    <t>37396434400;37295140400;37399870300;37267202400</t>
  </si>
  <si>
    <t>4376168;1532138;4035743;1382894;485139;1173157;809866;4015444</t>
  </si>
  <si>
    <t>Bosch, H.;Heinrich, J.;Muller, C.;Hoferlin, B.;Reina, G.;Hoferlin, M.;Worner, M.;Koch, S.</t>
  </si>
  <si>
    <t>Stephan Pajer;Marc Streit;Thomas Torsney-Weir;Florian Spechtenhauser;Torsten M̦ller;Harald Piringer</t>
  </si>
  <si>
    <t>Bak, P.;Rohrdantz, C.;Leifert, S.;Granacher, C.;Koch, S.;Butscher, S.;Jungk, P.;Keim, D.A.</t>
  </si>
  <si>
    <t>Tarkkanen, S.;Miettinen, K.;Hakanen, J.</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</si>
  <si>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</si>
  <si>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Gabriel Ryan;Abigail Mosca;Remco Chang;Eugene Wu 0002</t>
  </si>
  <si>
    <t>Gabriel Ryan;Abigail Mosca;Remco Chang;Eugene Wu</t>
  </si>
  <si>
    <t>37681626500;37546691200;37681627000</t>
  </si>
  <si>
    <t>Columbia University;Tufts University;Tufts University;Columbia University</t>
  </si>
  <si>
    <t>10.1109/TVCG.2011.229;10.1109/TVCG.2013.133;10.1109/TVCG.2010.131;10.1109/TVCG.2010.184;10.1109/VAST.2010.5653598;10.1109/TVCG.2007.70594;10.1109/INFVIS.2004.15;10.1109/VAST.2006.261423;10.1109/TVCG.2008.140;10.1109/TVCG.2010.161;10.1109/INFVIS.2005.1532142</t>
  </si>
  <si>
    <t>Visualization,Graphical Perception,Entropy,At-a-glance</t>
  </si>
  <si>
    <t>Temporal Treemaps: Static Visualization of Evolving Trees</t>
  </si>
  <si>
    <t>10.1109/TVCG.2018.2865265</t>
  </si>
  <si>
    <t>http://dx.doi.org/10.1109/TVCG.2018.2865265</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</si>
  <si>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</si>
  <si>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Wiebke Köpp;Tino Weinkauf</t>
  </si>
  <si>
    <t>KTH Royal Institute of Technology, Stockholm, Sweden;KTH Royal Institute of Technology, Stockholm, Sweden</t>
  </si>
  <si>
    <t>10.1109/INFVIS.2005.1532128;10.1109/TVCG.2011.226;10.1109/TVCG.2008.166;10.1109/TVCG.2014.2346433;10.1109/TVCG.2017.2743959;10.1109/VISUAL.1991.175815;10.1109/TVCG.2013.196;10.1109/INFVIS.2001.963283;10.1109/TVCG.2017.2745140;10.1109/TVCG.2007.70529;10.1109/INFVIS.1999.801860;10.1109/TVCG.2008.163</t>
  </si>
  <si>
    <t>Treemaps,Temporal trees</t>
  </si>
  <si>
    <t>Image-Based Aspect Ratio Selection</t>
  </si>
  <si>
    <t>10.1109/TVCG.2018.2865266</t>
  </si>
  <si>
    <t>http://dx.doi.org/10.1109/TVCG.2018.2865266</t>
  </si>
  <si>
    <t>Andrienko, G.;Andrienko, N.;Rinzivillo, S.;Nanni, M.;Pedreschi, D.;Giannotti, F.</t>
  </si>
  <si>
    <t>37283047100;37283047700;37670571400;37669195900;37394413600;37268539100</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</si>
  <si>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</si>
  <si>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Yunhai Wang;Zeyu Wang 0005;Chi-Wing Fu;Hansjörg Schmauder;Oliver Deussen;Daniel Weiskopf</t>
  </si>
  <si>
    <t>Yunhai Wang;Zeyu Wang;Chi-Wing Fu;Hansjörq Schmauder;Oliver Deussen;Daniel Weiskopf</t>
  </si>
  <si>
    <t>Shandong University;SIAT, Shenzhen VisuCA Key Lab, China;Chinese University of Hong Kong;VISUS, University of Stuttgart, Germany;Konstanz University, Germany;VISUS, University of Stuttgart, Germany</t>
  </si>
  <si>
    <t>10.1109/TVCG.2008.119;10.1109/TVCG.2006.168;10.1109/TVCG.2013.187;10.1109/TVCG.2009.131;10.1109/TVCG.2010.146;10.1109/TVCG.2017.2744184;10.1109/TVCG.2006.168;10.1109/TVCG.2011.167;10.1109/TVCG.2012.196;10.1109/VAST.2009.5332628;10.1109/INFVIS.2005.1532142</t>
  </si>
  <si>
    <t>Aspect ratio,image-based method,Federer's co-area formula,density field,anisotropic kernel density estimation</t>
  </si>
  <si>
    <t>Persistence Atlas for Critical Point Variability in Ensembles</t>
  </si>
  <si>
    <t>10.1109/TVCG.2018.2864432</t>
  </si>
  <si>
    <t>http://dx.doi.org/10.1109/TVCG.2018.2864432</t>
  </si>
  <si>
    <t>Clemens Arbesser;Florian Spechtenhauser;Thomas M�_hlbacher;Harald Piringer</t>
  </si>
  <si>
    <t>4677356;4388999</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</si>
  <si>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</si>
  <si>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Guillaume Favelier;Noura Faraj;Brian Summa;Julien Tierny</t>
  </si>
  <si>
    <t>Sorbonne UniversitéCNRS (LIP6);Tulane University;Tulane University;Sorbonne UniversitéCNRS (LIP6)</t>
  </si>
  <si>
    <t>10.1109/TVCG.2013.208;10.1109/TVCG.2015.2467958;10.1109/TVCG.2015.2467204;10.1109/TVCG.2014.2346403;10.1109/TVCG.2008.110;10.1109/TVCG.2015.2467432;10.1109/TVCG.2013.141;10.1109/TVCG.2011.249;10.1109/TVCG.2006.186;10.1109/TVCG.2014.2346455;10.1109/TVCG.2015.2467754;10.1109/TVCG.2010.181;10.1109/VISUAL.1999.809897;10.1109/TVCG.2012.249;10.1109/TVCG.2014.2346332;10.1109/TVCG.2013.143</t>
  </si>
  <si>
    <t>Topological data analysis,scalar data,ensemble data</t>
  </si>
  <si>
    <t>Koch, S.;Bosch, H.;Giereth, M.;Ertl, T.</t>
  </si>
  <si>
    <t>37593029700;37683989300;37681276000;37268023800</t>
  </si>
  <si>
    <t>Labels on Levels: Labeling of Multi-Scale Multi-Instance and Crowded 3D Biological Environments</t>
  </si>
  <si>
    <t>10.1109/TVCG.2018.2864491</t>
  </si>
  <si>
    <t>http://dx.doi.org/10.1109/TVCG.2018.2864491</t>
  </si>
  <si>
    <t>Inria and Universit̩ Paris-Saclay;Inria, Univ Paris-Sud &amp; CNRS (LRI)Universit̩ Paris-Saclay;Inria and Universit's Paris-Saclay</t>
  </si>
  <si>
    <t>885086;4389009;4389006</t>
  </si>
  <si>
    <t>Crossno, P.J.;Dunlavy, D.M.;Shead, T.M.</t>
  </si>
  <si>
    <t>37282576500;37673263800;37681611000</t>
  </si>
  <si>
    <t>Crossno, P.;Dunlavy, D.M.;Shead, T.</t>
  </si>
  <si>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characteristics-multi-scale and multi-instance-are abundant, along with the fact that these scenes are extraordinarily dense.</t>
  </si>
  <si>
    <t>David Kouril;Ladislav Cmolík;Barbora Kozlíková;Hslanc-Yun Wu;Graham Johnson;David S. Goodsell;Arthur J. Olson;M. Eduard Gröller;Ivan Viola</t>
  </si>
  <si>
    <t>David Kouřil;Ladislav Čmolík;Barbora Kozlíková;Hslanc-Yun Wu;Graham Johnson;David S. Goodsell;Arthur Olson;M. Eduard Gröller;Ivan Viola</t>
  </si>
  <si>
    <t>TU Wien;Faculty of Electrical Engineering, Czech Technical University, Prague;Masaryk University;TU Wien;Allen Institute for Cell Science;The Scripps Research Institute;The Scripps Research Institute;TU Wien;TU Wien</t>
  </si>
  <si>
    <t>10.1109/TVCG.2006.136;10.1109/TVCG.2008.168;10.1109/TVCG.2017.2744518</t>
  </si>
  <si>
    <t>labeling,multi-scale data,multi-instance data</t>
  </si>
  <si>
    <t>Deadeye: A Novel Preattentive Visualization Technique Based on Dichoptic Presentation</t>
  </si>
  <si>
    <t>10.1109/TVCG.2018.2864498</t>
  </si>
  <si>
    <t>http://dx.doi.org/10.1109/TVCG.2018.2864498</t>
  </si>
  <si>
    <t>Kincaid, R.;Dejgaard, K.</t>
  </si>
  <si>
    <t>37587984100;37681886500</t>
  </si>
  <si>
    <t>1532827;1532828;4389006</t>
  </si>
  <si>
    <t>Preattentive visual features such as hue or flickering can effectively draw attention to an object of interest -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</si>
  <si>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Andrey Krekhov;Jens H. Krüger</t>
  </si>
  <si>
    <t>Andrey Krekhov;Jens Krüger</t>
  </si>
  <si>
    <t>Center of Visual Data Analysis and Computer Graphics (COVIDAG)University of Duisburg-Essen;Center of Visual Data Analysis and Computer Graphics (COVIDAG)University of Duisburg-Essen</t>
  </si>
  <si>
    <t>10.1109/TVCG.2011.234;10.1109/VISUAL.2005.1532838;10.1109/TVCG.2014.2346352</t>
  </si>
  <si>
    <t>Popout,preattentive vision,comparative visualization,dichoptic presentation</t>
  </si>
  <si>
    <t>Probabilistic Asymptotic Decider for Topological Ambiguity Resolution in Level-Set Extraction for Uncertain 2D Data</t>
  </si>
  <si>
    <t>10.1109/TVCG.2018.2864505</t>
  </si>
  <si>
    <t>http://dx.doi.org/10.1109/TVCG.2018.2864505</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</si>
  <si>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</si>
  <si>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Tushar Athawale;Christopher R. Johnson 0001</t>
  </si>
  <si>
    <t>Tushar Athawale;Chris R. Johnson</t>
  </si>
  <si>
    <t>Scientific Computing &amp; Imaging (SCI) InstituteUniversity of Utah;Scientific Computing &amp; Imaging (SCI) InstituteUniversity of Utah</t>
  </si>
  <si>
    <t>10.1109/TVCG.2013.208;10.1109/TVCG.2015.2467958;10.1109/VISUAL.2002.1183769;10.1109/TVCG.2017.2744099;10.1109/TVCG.2011.203;10.1109/TVCG.2007.70518;10.1109/VISUAL.1991.175782;10.1109/TVCG.2013.143</t>
  </si>
  <si>
    <t>Isocontour visualization,topological uncertainty,marching squares,asymptotic decider,bilinear interpolation,probabilistic computation</t>
  </si>
  <si>
    <t>Visualization of Bubble Formation in Porous Media</t>
  </si>
  <si>
    <t>10.1109/TVCG.2018.2864506</t>
  </si>
  <si>
    <t>http://dx.doi.org/10.1109/TVCG.2018.2864506</t>
  </si>
  <si>
    <t>We present a visualization approach for the analysis of CO&lt;sub&gt;2&lt;/sub&gt;bubble-induced attenuation in porous rock formations. As a basis for this, we introduce customized techniques to extract CO&lt;sub&gt;2&lt;/sub&gt;bubbles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CO&lt;sub&gt;2&lt;/sub&gt;.</t>
  </si>
  <si>
    <t>Hui Zhang 0027;Steffen Frey;Holger Steeb;David Uribe;Thomas Ertl;Wenping Wang</t>
  </si>
  <si>
    <t>Hui Zhang;Steffen Frey;Holger Steeb;David Uribe;Thomas Ertl;Wenping Wang</t>
  </si>
  <si>
    <t>Department of Computer ScienceThe University of Hong Kong;Visualization Research CenterUniversity of Stuttgart;Institute of Applied MechanicsUniversity of Stuttgart;Institute of Applied MechanicsUniversity of Stuttgart;Visualization Research CenterUniversity of Stuttgart;Department of Computer ScienceThe University of Hong Kong</t>
  </si>
  <si>
    <t>10.1109/VISUAL.2005.1532788;10.1109/TVCG.2007.70603;10.1109/TVCG.2006.124;10.1109/TVCG.2014.2346351;10.1109/TVCG.2013.177;10.1109/TVCG.2012.200;10.1109/VISUAL.2004.48</t>
  </si>
  <si>
    <t>3D volume rendering,bubble visualization,porous media</t>
  </si>
  <si>
    <t>Interactive Visualization of RNA and DNA Structures</t>
  </si>
  <si>
    <t>10.1109/TVCG.2018.2864507</t>
  </si>
  <si>
    <t>http://dx.doi.org/10.1109/TVCG.2018.2864507</t>
  </si>
  <si>
    <t>Zhenyu Guo;Ward, M.O.;Rundensteiner, E.A.</t>
  </si>
  <si>
    <t>37668783300;37268441700;37279217900</t>
  </si>
  <si>
    <t>4677350;4389000;4677363;4388999;146402;4677352;4677368</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</si>
  <si>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</si>
  <si>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Norbert Lindow;Daniel Baum;Morgan Leborgne;Hans-Christian Hege</t>
  </si>
  <si>
    <t>Zuse Institute, Berlin;Zuse Institute, Berlin;Zuse Institute, Berlin;Zuse Institute, Berlin</t>
  </si>
  <si>
    <t>Ribonucleic acids,DNA,RNA,secondary &amp; tertiary structures,interactive rendering,ray casting,brushing &amp; linking</t>
  </si>
  <si>
    <t>Hao Zhou;Shaverdian, A.A.;Jagadish, H.V.;Michailidis, G.</t>
  </si>
  <si>
    <t>Gaia Sky: Navigating the Gaia Catalog</t>
  </si>
  <si>
    <t>10.1109/TVCG.2018.2864508</t>
  </si>
  <si>
    <t>http://dx.doi.org/10.1109/TVCG.2018.2864508</t>
  </si>
  <si>
    <t>Wright, B.;Payne, J.;Steckman, M.;Stevson, S.</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</si>
  <si>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</si>
  <si>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Antoni Sagristà;Stefan Jordan;Thomas Müller 0005;Filip Sadlo</t>
  </si>
  <si>
    <t>Antoni Sagristà;Stefan Jordan;Thomas Müller;Filip Sadlo</t>
  </si>
  <si>
    <t>Heidelberg University;Heidelberg University;Max Planck Institute for Astronomy;Heidelberg University</t>
  </si>
  <si>
    <t>Astronomy visualization,3D Universe software,star catalog rendering,Gaia mission</t>
  </si>
  <si>
    <t>Visual Analysis of Aneurysm Data using Statistical Graphics</t>
  </si>
  <si>
    <t>10.1109/TVCG.2018.2864509</t>
  </si>
  <si>
    <t>http://dx.doi.org/10.1109/TVCG.2018.2864509</t>
  </si>
  <si>
    <t>Collins, C.;Viegas, F.B.;Wattenberg, M.</t>
  </si>
  <si>
    <t>37669874100;37681355300;37550759700</t>
  </si>
  <si>
    <t>Arthur van Goethem;Frank Staals;Maarten L̦ffler;Jason Dykes;Bettina Speckmann</t>
  </si>
  <si>
    <t>528686;4376132;4658131;4658133;4389006;4015424</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</si>
  <si>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</si>
  <si>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Monique Meuschke;Tobias Günther;Philipp Berg;Ralph Wickenhofer;Bernhard Preim;Kai Lawonn</t>
  </si>
  <si>
    <t>Monique Meuschke;Tobias Günther;Philipp Berg;Ralph Wickenhöfer;Bernhard Preim;Kai Lawonn</t>
  </si>
  <si>
    <t>University of Magdeburg, Germany;ETH Zürich, Switzerland;University of Magdeburg, Germany;Heart of Jesus Hospital, Germany;University of Magdeburg, Germany;University of Koblenz-Landau, Germany</t>
  </si>
  <si>
    <t>10.1109/TVCG.2011.235;10.1109/TVCG.2014.2346406;10.1109/VISUAL.2000.885739;10.1109/TVCG.2013.139;10.1109/TVCG.2016.2598795;10.1109/TVCG.2016.2598866;10.1109/TVCG.2010.153</t>
  </si>
  <si>
    <t>Medical visualizations,aneurysms,blood flow,parametrization</t>
  </si>
  <si>
    <t>Dynamic Volume Lines: Visual Comparison of 3D Volumes through Space-filling Curves</t>
  </si>
  <si>
    <t>10.1109/TVCG.2018.2864510</t>
  </si>
  <si>
    <t>http://dx.doi.org/10.1109/TVCG.2018.2864510</t>
  </si>
  <si>
    <t>Hao, M.C.;Janetzko, H.;Sharma, R.K.;Dayal, U.;Keim, D.A.;Castellanos, M.</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</si>
  <si>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</si>
  <si>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Johannes Weissenböck;Bernhard Fröhler;M. Eduard Gröller;Johann Kastner;Christoph Heinzl</t>
  </si>
  <si>
    <t>37274264300;37594026300;37276219200;38319940200;37283138700;37270303500</t>
  </si>
  <si>
    <t>Cicero Augusto de Lara Pahins;Sean A. Stephens;Carlos Eduardo Scheidegger;Jọo Luiz Dihl Comba</t>
  </si>
  <si>
    <t>Johannes Weissenböck;Bernhard Fröhler;Eduard Gröller;Johann Kastner;Christoph Heinzl</t>
  </si>
  <si>
    <t>Instituto de Inform����ticaUFRGS;University of Arizona;University of Arizona;Instituto de Inform����ticaUFRGS</t>
  </si>
  <si>
    <t>University of Applied Sciences Upper Austria, Wels, Austria;University of Applied Sciences Upper Austria, Wels, Austria;TU Wien, Vienna, Austria;University of Applied Sciences Upper Austria, Wels, Austria;University of Applied Sciences Upper Austria, Wels, Austria</t>
  </si>
  <si>
    <t>10.1109/TVCG.2014.2346448;10.1109/VAST.2015.7347634;10.1109/TVCG.2009.155;10.1109/TVCG.2014.2346455;10.1109/VISUAL.2005.1532847;10.1109/TVCG.2013.213;10.1109/VAST.2014.7042491;10.1109/TVCG.2014.2346321;10.1109/VAST.2016.7883516;10.1109/TVCG.2013.143</t>
  </si>
  <si>
    <t>Ensemble data,comparative visualization,visual analysis,Hilbert curve,nonlinear scaling,X-ray computed tomography</t>
  </si>
  <si>
    <t>Hao, M.C.;Janetzko, H.;Sharma, R.;Dayal, U.;Keim, D.A.;Castellanos, M.</t>
  </si>
  <si>
    <t>37670411800;37280094700;37668467300;37656059500;37553445200;37274248100</t>
  </si>
  <si>
    <t>Endert, A.;Andrews, C.;Fink, G.A.;North, C.</t>
  </si>
  <si>
    <t>Crnovrsanin, T.;Muelder, C.;Correa, C.;Kwan-Liu Ma</t>
  </si>
  <si>
    <t>37597152500;37299311900;37282925900;37275869400</t>
  </si>
  <si>
    <t>1382887;146402;4376136;4376135</t>
  </si>
  <si>
    <t>VinhTuan Thai;Handschuh, S.</t>
  </si>
  <si>
    <t>37667058500;37661704100</t>
  </si>
  <si>
    <t>Simonetto, P.;Koenig, P.-Y.;Zaidi, F.;Archambault, D.;Gilbert, F.;Trung-Tien Phan-Quang;Mathiaut, M.;Lambert, A.;DuBois, J.;Sicre, R.;Brulin, M.;Vieux, R.;Melancon, G.</t>
  </si>
  <si>
    <t>;;;;;;;;;;;;</t>
  </si>
  <si>
    <t>Dietzsch, J.;Heinrich, J.;Nieselt, K.;Bartz, D.</t>
  </si>
  <si>
    <t>37662554400;37665271000;37681805000;37448237300</t>
  </si>
  <si>
    <t>1532828;1382894;1372232;4015422;4015444;1532138</t>
  </si>
  <si>
    <t>Jaegul Choo;Fujimoto, E.;Hanseung Lee;Walteros, P.R.</t>
  </si>
  <si>
    <t>Jaegul Choo;Bohn, S.;Haesun Park</t>
  </si>
  <si>
    <t>37602784600;37648561300;37277119500</t>
  </si>
  <si>
    <t>Firefly: Virtual Illumination Drones for Interactive Visualization</t>
  </si>
  <si>
    <t>10.1109/TVCG.2018.2864656</t>
  </si>
  <si>
    <t>http://dx.doi.org/10.1109/TVCG.2018.2864656</t>
  </si>
  <si>
    <t>Nouanesengsy, B.;Sang-Cheol Seok;Han-Wei Shen;Vieland, V.J.</t>
  </si>
  <si>
    <t>37570501300;37667195400;37279493500;37681642300</t>
  </si>
  <si>
    <t>Grinstein, G.;Scholtz, J.;Whiting, M.;Plaisant, C.</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</si>
  <si>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</si>
  <si>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Sergej Stoppel;Magnus Paulson Erga;Stefan Bruckner</t>
  </si>
  <si>
    <t>University of Bergen, Norway;University of Bergen, Norway;University of Bergen, Norway</t>
  </si>
  <si>
    <t>10.1109/TVCG.2012.203;10.1109/TVCG.2013.156;10.1109/VISUAL.2002.1183785;10.1109/VISUAL.2003.1250395;10.1109/VISUAL.2004.62;10.1109/TVCG.2011.173;10.1109/TVCG.2013.172</t>
  </si>
  <si>
    <t>Dynamic lighting design,lighting drones</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</si>
  <si>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&amp;#x201C;clips&amp;#x201D;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</si>
  <si>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Fereshteh Amini;Nathalie Henry Riche;Bongshin Lee;Andr̩s Monroy-Hern��ndez;Pourang Irani</t>
  </si>
  <si>
    <t>Interactive obstruction-free lensing for volumetric data visualization</t>
  </si>
  <si>
    <t>10.1109/TVCG.2018.2864690</t>
  </si>
  <si>
    <t>http://dx.doi.org/10.1109/TVCG.2018.2864690</t>
  </si>
  <si>
    <t>Agrawal, S.;Sravanthi, K.;Vadapalli, S.;Karlapalem, K.</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</si>
  <si>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</si>
  <si>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Michael Traoré;Christophe Hurter;Alexandru Telea</t>
  </si>
  <si>
    <t>Whiting, M.A.;North, C.;Endert, A.;Scholtz, J.;Haack, J.;Varley, C.;Thomas, J.</t>
  </si>
  <si>
    <t>ENACFrench Civil Aviation University;ENACFrench Civil Aviation University;Institute Johan BernoulliUniversity of Groningen</t>
  </si>
  <si>
    <t>37357067600;37419565900;37681759500;37268671300;37267550400;37678660700;37273308900</t>
  </si>
  <si>
    <t>10.1109/TVCG.2006.140;10.1109/TVCG.2006.144;10.1109/TVCG.2007.70565;10.1109/TVCG.2010.127;10.1109/TVCG.2009.138;10.1109/VISUAL.2004.32;10.1109/TVCG.2011.223;10.1109/TVCG.2010.193;10.1109/TVCG.2006.124;10.1109/VISUAL.2003.1250400;10.1109/VISUAL.1999.809865;10.1109/TVCG.2012.265;10.1109/TVCG.2016.2599049;10.1109/VISUAL.2005.1532818</t>
  </si>
  <si>
    <t>Whiting, M.;North, C.;Endert, A.;Scholtz, J.;Haack, J.;Varley, C.;Thomas, J.</t>
  </si>
  <si>
    <t>Interaction techniques,focus + context,volume visualization,volume rendering,raycasting</t>
  </si>
  <si>
    <t>Robust and Fast Extraction of 3D Symmetric Tensor Field Topology</t>
  </si>
  <si>
    <t>10.1109/TVCG.2018.2864768</t>
  </si>
  <si>
    <t>http://dx.doi.org/10.1109/TVCG.2018.2864768</t>
  </si>
  <si>
    <t>Jones, C.;Ogawa, M.;Shearer, J.;Tikhonova, A.;Kwan-Liu Ma</t>
  </si>
  <si>
    <t>37598134900;37287357700;38181769500;37404049100;</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</si>
  <si>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surfaces.&amp;lt;;/p&amp;gt; &amp;lt;;p&amp;gt;In this paper, we provide theoretical analysis on the geometric and topological structures of degenerate curves and neutral surfaces of 3D linear tensor fields. These structures lead to parameterizations for degenerate curves and neutral surfaces that can not only provide more robust extraction of these features but also incur less computational cost.&amp;lt;;/p&amp;gt; &amp;lt;;p&amp;gt;We demonstrate the benefits of our approach by applying our degenerate curve and neutral surface detection techniques to solid mechanics simulation data sets.</t>
  </si>
  <si>
    <t>Lawrence Roy;Prashant Kumar;Yue Zhang 0009;Eugene Zhang</t>
  </si>
  <si>
    <t>Lawrence Roy;Prashant Kumar;Yue Zhang;Eugene Zhang</t>
  </si>
  <si>
    <t>Oregon State University;Oregon State University;Oregon State University;Oregon State University</t>
  </si>
  <si>
    <t>Liebig, T.;Noppens, O.;von Henke, F.</t>
  </si>
  <si>
    <t>10.1109/TVCG.2009.184;10.1109/VISUAL.1994.346326;10.1109/TVCG.2008.148;10.1109/VISUAL.2000.885716;10.1109/VISUAL.2004.105;10.1109/VISUAL.2005.1532841</t>
  </si>
  <si>
    <t>Tensor field visualization,3D symmetric tensor fields,tensor field topology,traceless tensors,degenerate curve extraction,neutral surface extraction</t>
  </si>
  <si>
    <t>CoDDA: A Flexible Copula-based Distribution Driven Analysis Framework for Large-Scale Multivariate Data</t>
  </si>
  <si>
    <t>10.1109/TVCG.2018.2864801</t>
  </si>
  <si>
    <t>http://dx.doi.org/10.1109/TVCG.2018.2864801</t>
  </si>
  <si>
    <t>von Landesberger, T.;Gorner, M.;Schreck, T.</t>
  </si>
  <si>
    <t>37586276100;37683615400;37282557600</t>
  </si>
  <si>
    <t>4015433;4658140;1249011;4015425</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</si>
  <si>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</si>
  <si>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Subhashis Hazarika;Soumya Dutta;Han-Wei Shen;Jen-Ping Chen</t>
  </si>
  <si>
    <t>The Department of Computer Science and EngineeringGRAVITY research groupThe Ohio State University;The Department of Computer Science and EngineeringGRAVITY research groupThe Ohio State University;The Department of Computer Science and EngineeringGRAVITY research groupThe Ohio State University;The Department of Mechanical and Aerospace EngineeringThe Ohio State University</t>
  </si>
  <si>
    <t>Dadzie, A.-S.;Petrelli, D.</t>
  </si>
  <si>
    <t>10.1109/TVCG.2015.2467958;10.1109/TVCG.2007.70519;10.1109/TVCG.2015.2467952;10.1109/TVCG.2016.2598604;10.1109/TVCG.2015.2467436;10.1109/TVCG.2015.2467204;10.1109/TVCG.2017.2744099;10.1109/TVCG.2007.70615;10.1109/VAST.2015.7347634;10.1109/TVCG.2006.165;10.1109/TVCG.2015.2467411</t>
  </si>
  <si>
    <t>37681297400;37681293700</t>
  </si>
  <si>
    <t>In situ processing,Distribution-based,Multivariate,Query-driven,Copula</t>
  </si>
  <si>
    <t>Interactive 3D Visual Analysis of Atmospheric Fronts</t>
  </si>
  <si>
    <t>10.1109/TVCG.2018.2864806</t>
  </si>
  <si>
    <t>http://dx.doi.org/10.1109/TVCG.2018.2864806</t>
  </si>
  <si>
    <t>Oelke, D.;Ming Hao;Rohrdantz, C.;Keim, D.A.;Dayal, U.;Haug, L.;Janetzko, H.</t>
  </si>
  <si>
    <t>37591207400;37274264300;37601356700;37283138700;37275646700;37681663300;37594026300</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</si>
  <si>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 -a team of visualization scientists and meteorologists-propose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</si>
  <si>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Michael Kern;Tim Hewson;Andreas Schatler;Rüdiger Westermann;Marc Rautenhaus</t>
  </si>
  <si>
    <t>Michael Kern;Tim Hewson;Andreas Schätler;Rüdiger Westermann;Marc Rautenhaus</t>
  </si>
  <si>
    <t>Computer Graphics &amp; Visualization Group, Technische Universität München, Garching, Germany;European Centre for Medium-Range Weather Forecasts, Reading, UK;Deutsches Zentrum für Luft- und Raumfahrt (DLR), Germany;Computer Graphics &amp; Visualization Group, Technische Universität München, Garching, Germany;Computer Graphics &amp; Visualization Group, Technische Universität München, Garching, Germany</t>
  </si>
  <si>
    <t>10.1109/TVCG.2017.2743989;10.1109/TVCG.2007.70554</t>
  </si>
  <si>
    <t>Meteorology,Atmospheric Fronts,Feature Detection</t>
  </si>
  <si>
    <t>Wood, J.;Slingsby, A.;Khalili-Shavarini, N.;Dykes, J.;Mountain, D.</t>
  </si>
  <si>
    <t>Exploring Time-Varying Multivariate Volume Data Using Matrix of Isosurface Similarity Maps</t>
  </si>
  <si>
    <t>10.1109/TVCG.2018.2864808</t>
  </si>
  <si>
    <t>http://dx.doi.org/10.1109/TVCG.2018.2864808</t>
  </si>
  <si>
    <t>Erdos, D.;Fekete, Z.;Lukacs, A.</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</si>
  <si>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</si>
  <si>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Jun Tao;Martin Imre;Chaoli Wang;Nitesh V. Chawla;Hanqi Guo;Gokhan Sever;Seung Hyun Kim</t>
  </si>
  <si>
    <t>Jun Tao;Martin Imre;Chaoli Wang;Nitesh V. Chawla;Hanqi Guo;Gökhan Sever;Seung Hyun Kim</t>
  </si>
  <si>
    <t>University of Notre Dame;University of Notre Dame;University of Notre Dame;University of Notre Dame;Argonne National Laboratory;Argonne National Laboratory;The Ohio State University</t>
  </si>
  <si>
    <t>10.1109/TVCG.2013.133;10.1109/TVCG.2012.284;10.1109/TVCG.2008.184;10.1109/TVCG.2011.246;10.1109/TVCG.2011.258;10.1109/TVCG.2008.116;10.1109/VISUAL.2005.1532857;10.1109/TVCG.2009.136;10.1109/TVCG.2015.2467431;10.1109/TVCG.2006.165;10.1109/TVCG.2013.213;10.1109/TVCG.2008.143;10.1109/VISUAL.1999.809910;10.1109/VISUAL.2005.1532792;10.1109/TVCG.2008.140;10.1109/TVCG.2006.164;10.1109/VISUAL.2003.1250402</t>
  </si>
  <si>
    <t>Time-varying multivariate data visualization,isosurface,similarity map,visual interface,path recommendation</t>
  </si>
  <si>
    <t>Vuillemot, R.;Clement, T.;Plaisant, C.;Kumar, A.</t>
  </si>
  <si>
    <t>37681739300;37299421200;37283026800;37676118300</t>
  </si>
  <si>
    <t>Recirculation Surfaces for Flow Visualization</t>
  </si>
  <si>
    <t>10.1109/TVCG.2018.2864813</t>
  </si>
  <si>
    <t>http://dx.doi.org/10.1109/TVCG.2018.2864813</t>
  </si>
  <si>
    <t>4658133;4376131;4677359;4389004;4389006</t>
  </si>
  <si>
    <t>Dornburg, C.C.;Matzen, L.E.;Bauer, T.L.;McNamara, L.A.</t>
  </si>
  <si>
    <t>37681577100;37681577000;37665492000;37681575600</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</si>
  <si>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</si>
  <si>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Thomas Wilde;Christian Rossi;Holger Theisel</t>
  </si>
  <si>
    <t>Thomas Wilde;Christian Rössi;Holger Theisel</t>
  </si>
  <si>
    <t>Visual Computing groupUniversity of Magdeburg;Visual Computing groupUniversity of Magdeburg;Visual Computing groupUniversity of Magdeburg</t>
  </si>
  <si>
    <t>10.1109/VISUAL.2004.107;10.1109/TVCG.2009.177;10.1109/VISUAL.2004.59;10.1109/VISUAL.2002.1183786;10.1109/TVCG.2008.163</t>
  </si>
  <si>
    <t>Flow visualization,recirculation,unsteady flow</t>
  </si>
  <si>
    <t>An Interactive Framework for Visualization of Weather Forecast Ensembles</t>
  </si>
  <si>
    <t>10.1109/TVCG.2018.2864815</t>
  </si>
  <si>
    <t>http://dx.doi.org/10.1109/TVCG.2018.2864815</t>
  </si>
  <si>
    <t>Wei Chen;Zi'ang Ding;Song Zhang;MacKay-Brandt, A.;Correia, S.;Huamin Qu;Crow, J.A.;Tate, D.F.;Zhicheng Yan;Qunsheng Peng</t>
  </si>
  <si>
    <t>37279188600;38104793000;37277708500;38108827300;37629889400;37272637300;38108843800;37642222600;38103982100;37272758500</t>
  </si>
  <si>
    <t>4376179;5290760;1532777;1250413;1532778;1532779;1532772;1250379;1372220</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</si>
  <si>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</si>
  <si>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Bo Ma 0002;Alireza Entezari</t>
  </si>
  <si>
    <t>Bo Ma;Alireza Entezari</t>
  </si>
  <si>
    <t>Machado, Gustavo M.;Oliveira, M.M.;Fernandes, Leandro A.F.</t>
  </si>
  <si>
    <t>10.1109/TVCG.2013.208;10.1109/TVCG.2015.2467958;10.1109/TVCG.2016.2598869;10.1109/TVCG.2014.2346448;10.1109/TVCG.2015.2467204;10.1109/TVCG.2016.2598868;10.1109/TVCG.2015.2468093;10.1109/TVCG.2017.2745178;10.1109/TVCG.2015.2467754;10.1109/TVCG.2010.181;10.1109/TVCG.2014.2346332;10.1109/TVCG.2016.2598830;10.1109/TVCG.2013.143</t>
  </si>
  <si>
    <t>Spaghetti plots,ensemble visualization,uncertainty visualization,high-density clustering,ensemble forecasting</t>
  </si>
  <si>
    <t>38221364200;37554064200;37349793000</t>
  </si>
  <si>
    <t>Machado, G.;Oliveira, M.M.;Fernandes, L.A.F.</t>
  </si>
  <si>
    <t>Interactive Visualization of 3D Histopathology in Native Resolution</t>
  </si>
  <si>
    <t>568118;480803;4658199</t>
  </si>
  <si>
    <t>10.1109/TVCG.2018.2864816</t>
  </si>
  <si>
    <t>http://dx.doi.org/10.1109/TVCG.2018.2864816</t>
  </si>
  <si>
    <t>Sanyal, J.;Song Zhang;Bhattacharya, G.;Amburn, P.;Moorhead, R.J.</t>
  </si>
  <si>
    <t>37567906800;37277708500;38100000900;37411386700;37282559500</t>
  </si>
  <si>
    <t>4376198;568105;885679;1173145;1382903;4376197</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</si>
  <si>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</si>
  <si>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Martin Falk;Anders Ynnerman;Darren Treanor;Claes Lundström</t>
  </si>
  <si>
    <t>Department of Science and Technology, Linköping University, Sweden;Department of Science and Technology, Linköping University, Sweden;Leeds Teaching Hospitals NHS Trust, United Kingdom;The Center for Medical Image Science and Visualization (CMIV), Linköping University, Sweden</t>
  </si>
  <si>
    <t>10.1109/TVCG.2009.150;10.1109/VISUAL.2002.1183757;10.1109/TVCG.2012.240</t>
  </si>
  <si>
    <t>Histology,Pathology,Volume Rendering,Expert Evaluation</t>
  </si>
  <si>
    <t>Visual Analysis of Spatia-temporal Relations of Pairwise Attributes in Unsteady Flow</t>
  </si>
  <si>
    <t>10.1109/TVCG.2018.2864817</t>
  </si>
  <si>
    <t>http://dx.doi.org/10.1109/TVCG.2018.2864817</t>
  </si>
  <si>
    <t>Fritz, L.;Hadwiger, M.;Geier, G.;Pittino, G.;Groller, E.</t>
  </si>
  <si>
    <t>37865385300;37394809600;37869963700;38108759900;37284271200</t>
  </si>
  <si>
    <t>4658169;1250418;4658153;964519;1250384;4376171</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</si>
  <si>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</si>
  <si>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Marzieh Berenjkoub;Rodolfo Ostilla Monico;Robert S. Laramee;Guoning Chen</t>
  </si>
  <si>
    <t>Yong Wan;Otsuna, H.;Chi-Bin Chien;Hansen, C.</t>
  </si>
  <si>
    <t>University of Houston;University of Houston;Swansea University;University of Houston</t>
  </si>
  <si>
    <t>38107194500;38108840400;38104240500;37266777200</t>
  </si>
  <si>
    <t>10.1109/TVCG.2010.131;10.1109/VISUAL.2004.99;10.1109/TVCG.2010.198;10.1109/TVCG.2015.2467200;10.1109/TVCG.2009.200;10.1109/TVCG.2010.131;10.1109/TVCG.2013.133;10.1109/TVCG.2011.249</t>
  </si>
  <si>
    <t>Unsteady flow,correlation study,mutual information</t>
  </si>
  <si>
    <t>809887;4015460</t>
  </si>
  <si>
    <t>Hexahedral Mesh Structure Visualization and Evaluation</t>
  </si>
  <si>
    <t>10.1109/TVCG.2018.2864827</t>
  </si>
  <si>
    <t>http://dx.doi.org/10.1109/TVCG.2018.2864827</t>
  </si>
  <si>
    <t>Takahashi, S.;Fujishiro, I.;Okada, M.</t>
  </si>
  <si>
    <t>37280401000;37282596600;37280787900</t>
  </si>
  <si>
    <t>1183772;4376169;1372235;1183774;663875</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</si>
  <si>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</si>
  <si>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Kaoji Xu;Guoning Chen</t>
  </si>
  <si>
    <t>Monique Meuschke;Samuel Vo��;Oliver Beuing;Bernhard Preim;Kai Lawonn</t>
  </si>
  <si>
    <t>University of Houston;University of Houston</t>
  </si>
  <si>
    <t>hexahedral mesh,base complex,sheet decomposition,complexity analysis</t>
  </si>
  <si>
    <t>Objective Vortex Corelines of Finite-sized Objects in Fluid Flows</t>
  </si>
  <si>
    <t>10.1109/TVCG.2018.2864828</t>
  </si>
  <si>
    <t>http://dx.doi.org/10.1109/TVCG.2018.2864828</t>
  </si>
  <si>
    <t>Jianlong Zhou;Takatsuka, M.</t>
  </si>
  <si>
    <t>38024156000;37449304500</t>
  </si>
  <si>
    <t>745319;4658198;809932;1250414;1372235;4376159;4658153;964519;1250413;663875;4015460</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</si>
  <si>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</si>
  <si>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Computer Graphics LaboratoryETH Zürich;Visual Computing GroupUniversity of Magdeburg</t>
  </si>
  <si>
    <t>10.1109/VISUAL.1991.175773;10.1109/TVCG.2015.2467200;10.1109/TVCG.2014.2346415;10.1109/TVCG.2016.2599016;10.1109/VISUAL.1997.663910;10.1109/VISUAL.1999.809896;10.1109/VISUAL.1998.745296;10.1109/TVCG.2016.2599018;10.1109/VISUAL.2005.1532851;10.1109/TVCG.2007.70545</t>
  </si>
  <si>
    <t>Vortex extraction,inertial particles,objectivity,vortex coreline</t>
  </si>
  <si>
    <t>Time-Dependent Flow seen through Approximate Observer Killing Fields</t>
  </si>
  <si>
    <t>10.1109/TVCG.2018.2864839</t>
  </si>
  <si>
    <t>http://dx.doi.org/10.1109/TVCG.2018.2864839</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</si>
  <si>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</si>
  <si>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Markus Hadwiger;Matej Mlejnek;Thomas Theußl;Peter Rautek</t>
  </si>
  <si>
    <t>King Abdullah University of Science and Technology (KAUST), Visual Computing Center, Saudi Arabia;King Abdullah University of Science and Technology (KAUST), Visual Computing Center, Saudi Arabia;King Abdullah University of Science and Technology (KAUST), Core Labs, Saudi Arabia;King Abdullah University of Science and Technology (KAUST), Visual Computing Center, Saudi Arabia</t>
  </si>
  <si>
    <t>10.1109/TVCG.2015.2467200;10.1109/VISUAL.1999.809896;10.1109/VISUAL.1997.663898;10.1109/TVCG.2008.163;10.1109/TVCG.2007.70545;10.1109/TVCG.2010.198;10.1109/TVCG.2007.70557</t>
  </si>
  <si>
    <t>Flow visualization,observer frames of reference,Killing vector fields,infinitesimal isometries,Lie derivatives,objectivity</t>
  </si>
  <si>
    <t>A Declarative Grammar of Flexible Volume Visualization Pipelines</t>
  </si>
  <si>
    <t>10.1109/TVCG.2018.2864841</t>
  </si>
  <si>
    <t>http://dx.doi.org/10.1109/TVCG.2018.2864841</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</si>
  <si>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</si>
  <si>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Min Shih;Charles Rozhon;Kwan-Liu Ma</t>
  </si>
  <si>
    <t>10.1109/VISUAL.2005.1532788;10.1109/TVCG.2009.174;10.1109/TVCG.2011.185;10.1109/TVCG.2007.70555;10.1109/TVCG.2014.2346322;10.1109/TVCG.2009.189;10.1109/TVCG.2015.2467449;10.1109/VISUAL.1992.235219;10.1109/VISUAL.2004.95;10.1109/TVCG.2007.70534;10.1109/TVCG.2014.2346318;10.1109/TVCG.2016.2599030;10.1109/TVCG.2015.2467091;10.1109/SciVis.2015.7429514;10.1109/TVCG.2016.2599041</t>
  </si>
  <si>
    <t>Volume visualization,direct volume rendering,declarative specification,multivariate/multimodal volume data,animation</t>
  </si>
  <si>
    <t>DT-MRI Streamsurfaces Revisited</t>
  </si>
  <si>
    <t>10.1109/TVCG.2018.2864845</t>
  </si>
  <si>
    <t>http://dx.doi.org/10.1109/TVCG.2018.2864845</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</si>
  <si>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approach to streamsurface visualization that reduces visual artifacts, and is shown to more fully sample the extent of streamsurfaces.</t>
  </si>
  <si>
    <t>Michael Ankele;Thomas Schultz 0001</t>
  </si>
  <si>
    <t>Michael Ankele;Thomas Schultz</t>
  </si>
  <si>
    <t>University of Bonn;University of Bonn</t>
  </si>
  <si>
    <t>10.1109/TVCG.2007.70551;10.1109/VISUAL.1992.235211;10.1109/TVCG.2007.70554;10.1109/TVCG.2007.70602;10.1109/TVCG.2008.148</t>
  </si>
  <si>
    <t>Diffusion Tensor MRI,streamsurfaces,Frobenius theorem,Lie bracket</t>
  </si>
  <si>
    <t>Tensor Field Visualization using Fiber Surfaces of Invariant Space</t>
  </si>
  <si>
    <t>10.1109/TVCG.2018.2864846</t>
  </si>
  <si>
    <t>http://dx.doi.org/10.1109/TVCG.2018.2864846</t>
  </si>
  <si>
    <t>Michael Krone;Florian Friess;Katrin Scharnowski;Guido Reina;Silvia Fademrecht;Tobias Kulschewski;J�_rgen Pleiss;Thomas Ertl</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</si>
  <si>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</si>
  <si>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Felix Raith;Christian Blecha;Thomas Nagel;Francesco Parisio;Olaf Kolditz;Fabian Günther;Markus Stommel;Gerik Scheuermann</t>
  </si>
  <si>
    <t>Institute of Computer Science, Leipzig University, Leipzig, Germany;Institute of Computer Science, Leipzig University, Leipzig, Germany;Department of Environmental Informatics, Helmholtz Center for Environmental Research, Leipzig, Germany;Department of Environmental Informatics, Helmholtz Center for Environmental Research, Leipzig, Germany;Department of Environmental Informatics, Helmholtz Center for Environmental Research, Leipzig, Germany;Faculty for Mechanical Engineering, TU Dortmund University, Dortmund;Faculty for Mechanical Engineering, TU Dortmund University, Dortmund;Institute of Computer Science, Leipzig University, Leipzig, Germany</t>
  </si>
  <si>
    <t>visualization,tensor field,invariants,fiber surface,interaction</t>
  </si>
  <si>
    <t>Culling for Extreme-Scale Segmentation Volumes: A Hybrid Deterministic and Probabilistic Approach</t>
  </si>
  <si>
    <t>10.1109/TVCG.2018.2864847</t>
  </si>
  <si>
    <t>http://dx.doi.org/10.1109/TVCG.2018.2864847</t>
  </si>
  <si>
    <t>Pedro Hermosilla;Jorge Estrada;Victor Guallar;Timo Ropinski;Alvar Vinacua;Pere-Pau V��zquez</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</si>
  <si>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as&lt;i&gt;culling&lt;/i&gt;.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novel&lt;i&gt;query-adaptive&lt;/i&gt;culling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</si>
  <si>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Johanna Beyer;Haneen Mohammed;Marco Agus;Ali K. Al-Awami;Hanspeter Pfister;Markus Hadwiger</t>
  </si>
  <si>
    <t>Harvard University, Cambridge, MA, USA;Harvard UniversityKAUST;King Abdullah University of Science and Technology (KAUST), Saudi Arabia;KAUST, Saudi Aramco, Dhahran, Saudi Arabia;Harvard University, Cambridge, MA, USA;King Abdullah University of Science and Technology (KAUST), Saudi Arabia</t>
  </si>
  <si>
    <t>10.1109/VISUAL.1992.235231;10.1109/TVCG.2013.142;10.1109/TVCG.2009.121;10.1109/VISUAL.2003.1250386;10.1109/TVCG.2012.240;10.1109/VISUAL.2003.1250384;10.1109/VISUAL.1999.809908;10.1109/VISUAL.1995.480792;10.1109/VISUAL.2005.1532792;10.1109/VISUAL.1990.146377;10.1109/VISUAL.2001.964521</t>
  </si>
  <si>
    <t>Hierarchical Culling,Segmented Volume Data,Bloom Filter,Volume Rendering,Spatial Queries</t>
  </si>
  <si>
    <t>Shared-Memory Parallel Computation of Morse-Smale Complexes with Improved Accuracy</t>
  </si>
  <si>
    <t>10.1109/TVCG.2018.2864848</t>
  </si>
  <si>
    <t>http://dx.doi.org/10.1109/TVCG.2018.2864848</t>
  </si>
  <si>
    <t>Petra Isenberg;Tobias Isenberg 0001;Michael Sedlmair;Jian Chen;Torsten M̦ller</t>
  </si>
  <si>
    <t>Bruckner, S.;Solteszova, V.;Groller, E.;Hladuvka, J.;Buhler, K.;Yu, J.Y.;Dickson, B.J.</t>
  </si>
  <si>
    <t>37265895700;;37284271200;38108878100;37267821300;38105995800;38100422000</t>
  </si>
  <si>
    <t>1372221;146378;1250412;4015478;485139;568136;4015489;4677354</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</si>
  <si>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</si>
  <si>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SCI InstituteUniversity of Utah;Lawrence Livermore National Lab;SCI InstituteUniversity of Utah</t>
  </si>
  <si>
    <t>10.1109/TVCG.2012.209;10.1109/TVCG.2008.110;10.1109/TVCG.2007.70603;10.1109/TVCG.2014.2346434;10.1109/TVCG.2015.2467432;10.1109/VISUAL.2005.1532839;10.1109/TVCG.2011.249;10.1109/TVCG.2015.2467449;10.1109/TVCG.2006.186</t>
  </si>
  <si>
    <t>Morse complex,Parallel Computation,Topology,Accurate Geometry</t>
  </si>
  <si>
    <t>Details-First, Show Context, Overview Last: Supporting Exploration of Viscous Fingers in Large-Scale Ensemble Simulations</t>
  </si>
  <si>
    <t>10.1109/TVCG.2018.2864849</t>
  </si>
  <si>
    <t>http://dx.doi.org/10.1109/TVCG.2018.2864849</t>
  </si>
  <si>
    <t>Sajadi, B.;Lazarov, M.;Gopi, M.;Majumder, A.</t>
  </si>
  <si>
    <t>37391937200;37541336800;37271691400;37408075400</t>
  </si>
  <si>
    <t>964508;1183793;885684;809883;4376163;4015470</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</si>
  <si>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</si>
  <si>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Timothy Luciani;Andrew Burks;Cassiano Sugiyama;Jonathan Komperda;G. Elisabeta Marai</t>
  </si>
  <si>
    <t>Electronic Visualization Laboratory, University of Illinois, Chicago;Electronic Visualization Laboratory, University of Illinois, Chicago;Favo Urban Agriculture, Brazil;Department of Mechanical &amp; Industrial Engineering, University of Illinois, Chicago;Electronic Visualization Laboratory, University of Illinois, Chicago</t>
  </si>
  <si>
    <t>10.1109/TVCG.2007.70599;10.1109/TVCG.2014.2346448;10.1109/TVCG.2015.2466838;10.1109/TVCG.2015.2468093;10.1109/TVCG.2009.141;10.1109/TVCG.2011.209;10.1109/TVCG.2017.2744459;10.1109/TVCG.2013.161;10.1109/TVCG.2014.2346744;10.1109/VAST.2006.261451;10.1109/TVCG.2009.111;10.1109/TVCG.2012.213;10.1109/TVCG.2009.108;10.1109/TVCG.2008.140</t>
  </si>
  <si>
    <t>theory,visualization design,details-first model,discourse paper,computational fluid dynamics</t>
  </si>
  <si>
    <t>CPU Isosurface Ray Tracing of Adaptive Mesh Refinement Data</t>
  </si>
  <si>
    <t>10.1109/TVCG.2018.2864850</t>
  </si>
  <si>
    <t>http://dx.doi.org/10.1109/TVCG.2018.2864850</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</si>
  <si>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&amp;#x201C;bag of features&amp;#x201D;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</si>
  <si>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Demiralp, C.;Hughes, J.F.;Laidlaw, D.H.</t>
  </si>
  <si>
    <t>38201834500;38246811200;37275712600</t>
  </si>
  <si>
    <t>346338;398867</t>
  </si>
  <si>
    <t>Forsberg, A.;Jian Chen;Laidlaw, D.H.</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</si>
  <si>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strategy-the octant method-which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</si>
  <si>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Feng Wang;Ingo Wald;Qi Wu;Will Usher;Chris R. Johnson</t>
  </si>
  <si>
    <t>37612088000;38107662400;37275712600</t>
  </si>
  <si>
    <t>Scientific Computing and Imaging Institute, University of Utah, Salt Lake City, UT;Intel Corporation;Scientific Computing and Imaging Institute, University of Utah, Salt Lake City, UT;Scientific Computing and Imaging Institute, University of Utah, Salt Lake City, UT;Scientific Computing and Imaging Institute, University of Utah, Salt Lake City, UT</t>
  </si>
  <si>
    <t>10.1109/TVCG.2008.157;10.1109/TVCG.2009.149;10.1109/TVCG.2011.252;10.1109/VISUAL.2002.1183820;10.1109/VISUAL.1998.745713;10.1109/TVCG.2007.70566;10.1109/TVCG.2016.2599041</t>
  </si>
  <si>
    <t>AMR,Isosurface,Ray tracing,Reconstruction strategy,OSPRay</t>
  </si>
  <si>
    <t>567777;1532831;1372179;1532772</t>
  </si>
  <si>
    <t>Visualization of Large Molecular Trajectories</t>
  </si>
  <si>
    <t>10.1109/TVCG.2018.2864851</t>
  </si>
  <si>
    <t>http://dx.doi.org/10.1109/TVCG.2018.2864851</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</si>
  <si>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</si>
  <si>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David Duran;Pedro Hermosilla;Timo Ropinski;Barbora Kozlíková;Alvar Vinacua;Pere-Pau Vázquez</t>
  </si>
  <si>
    <t>Heinrich, J.;Weiskopf, D.</t>
  </si>
  <si>
    <t>David Duran;Pedro Hermosilla;Timo Ropinski;Barbora Kozlíková;Álvar Vinacua;Pere-Pau Vázquez</t>
  </si>
  <si>
    <t>ViRVIG Group, UPC, Barcelona;Visual Computing GroupU. Ulm.;Visual Computing GroupU. Ulm.;Masaryk University;ViRVIG Group, UPC, Barcelona;ViRVIG Group, UPC, Barcelona</t>
  </si>
  <si>
    <t>37665271000;37268045000</t>
  </si>
  <si>
    <t>10.1109/TVCG.2015.2467434;10.1109/VISUAL.2005.1532792;10.1109/TVCG.2016.2598825;10.1109/TVCG.2016.2598797;10.1109/TVCG.2014.2346574;10.1109/TVCG.2012.225</t>
  </si>
  <si>
    <t>Molecular visualization,simulation inspection,long trajectories</t>
  </si>
  <si>
    <t>4015490;4658159;4658160;1532139;5290705;4015422;146402;1532138;4658188;1173157;809866;4015444;1382894</t>
  </si>
  <si>
    <t>Visualization of Neuronal Structures in Wide-Field Microscopy Brain Images</t>
  </si>
  <si>
    <t>10.1109/TVCG.2018.2864852</t>
  </si>
  <si>
    <t>http://dx.doi.org/10.1109/TVCG.2018.2864852</t>
  </si>
  <si>
    <t>Lampe, O.D.;Correa, C.;Kwan-Liu Ma;Hauser, H.</t>
  </si>
  <si>
    <t>School of Software and TNListTsinghua University;Dept. of Comp. Sci. &amp; Tech., State Key Lab of Intell. Tech. &amp; Sys.TNList LabCBICR Center;School of Software and TNListTsinghua University;Dept. of Comp. Sci. &amp; Tech., State Key Lab of Intell. Tech. &amp; Sys.TNList LabCBICR Center;School of Software and TNListTsinghua University;School of Software and TNListTsinghua University</t>
  </si>
  <si>
    <t>37842366200;37282925900;37275869400;37274158800</t>
  </si>
  <si>
    <t>4015466;1183754;964540;235194;1250353</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</si>
  <si>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</si>
  <si>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Saeed Boorboor;Shreeraj Jadhav;Mala Ananth;David Talmage;Lorna Role;Arie E. Kaufman</t>
  </si>
  <si>
    <t>Saeed Boorboor;Shreeraj Jadhav;Mala Ananth;David Talmage;Lorna Role;Arie Kaufman</t>
  </si>
  <si>
    <t>Department of Computer ScienceStony Brook University;Department of Computer ScienceStony Brook University;Department of Neurobiology &amp; behaviorStony Brook University;Department of Neurobiology &amp; behaviorStony Brook University;Department of Neurobiology &amp; behaviorStony Brook University;Department of Computer ScienceStony Brook University</t>
  </si>
  <si>
    <t>10.1109/TVCG.2014.2346312;10.1109/TVCG.2013.142;10.1109/TVCG.2012.203;10.1109/TVCG.2017.2744079;10.1109/TVCG.2009.118;10.1109/TVCG.2016.2598472</t>
  </si>
  <si>
    <t>Wide-field microscopy,volume visualization,neuron visualization,neuroscience</t>
  </si>
  <si>
    <t>Banks, D.C.;Beason, K.</t>
  </si>
  <si>
    <t>A Study of the Trade-off Between Reducing Precision and Reducing Resolution for Data Analysis and Visualization</t>
  </si>
  <si>
    <t>37356983700;37831150000</t>
  </si>
  <si>
    <t>10.1109/TVCG.2018.2864853</t>
  </si>
  <si>
    <t>http://dx.doi.org/10.1109/TVCG.2018.2864853</t>
  </si>
  <si>
    <t>4658196;885692;1250394</t>
  </si>
  <si>
    <t>Paulo E. Rauber;Samuel G. Fadel;Alexandre X. Falc̣o;Alexandru Telea</t>
  </si>
  <si>
    <t>University of GroningenUniversity of Campinas;University of S���o Paulo;University of Campinas;University of Groningen</t>
  </si>
  <si>
    <t>Everts, M.H.;Bekker, H.;Roerdink, J.B.T.M.;Isenberg, T.</t>
  </si>
  <si>
    <t>37591149600;38105196000;37279298200;37297057400</t>
  </si>
  <si>
    <t>Everts, M.H.;Bekker, H.;Roerdink, J.B.T.;Isenberg, T.</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</si>
  <si>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</si>
  <si>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Duong Hoang;Pavol Klacansky;Harsh Bhatia;Peer-Timo Bremer;Peter Lindstrom;Valerio Pascucci</t>
  </si>
  <si>
    <t>SCI Institute, University of Utah, USA;SCI Institute, University of Utah, USA;Lawrence Livemore National Laboratory, USA;Lawrence Livemore National Laboratory, USA;Lawrence Livemore National Laboratory, USA;SCI Institute, University of Utah, USA</t>
  </si>
  <si>
    <t>885694;4376178;4015442;885696;1532778;4015487;1532859;4015478;1532858;4376160;567777;1372190</t>
  </si>
  <si>
    <t>10.1109/TVCG.2009.194;10.1109/TVCG.2007.70516;10.1109/VISUAL.2002.1183757;10.1109/TVCG.2012.240;10.1109/VISUAL.1999.809908;10.1109/TVCG.2014.2346458;10.1109/TVCG.2006.143;10.1109/VISUAL.2004.51;10.1109/VISUAL.2003.1250385;10.1109/TVCG.2011.214;10.1109/TVCG.2012.274;10.1109/TVCG.2015.2467412</t>
  </si>
  <si>
    <t>data compression,bit ordering,multi-resolution,data analysis</t>
  </si>
  <si>
    <t>iForest: Interpreting Random Forests via Visual Analytics</t>
  </si>
  <si>
    <t>10.1109/TVCG.2018.2864475</t>
  </si>
  <si>
    <t>http://dx.doi.org/10.1109/TVCG.2018.2864475</t>
  </si>
  <si>
    <t>Jianu, R.;Demiralp, C.;Laidlaw, D.H.</t>
  </si>
  <si>
    <t>37887934300;38201834500;37275712600</t>
  </si>
  <si>
    <t>885739;175794;567787;1372220;5290758;346302;1532779</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</si>
  <si>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</si>
  <si>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Xun Zhao;Yanhong Wu;Dik Lun Lee;Weiwei Cui</t>
  </si>
  <si>
    <t>Hong Kong University of Science and Technology;Visa Research;Hong Kong University of Science and Technology;Microsoft Research Asia</t>
  </si>
  <si>
    <t>10.1109/TVCG.2017.2744378;10.1109/TVCG.2017.2745158;10.1109/VAST.2011.6102453</t>
  </si>
  <si>
    <t>Interpretable Machine Learning,Random Forests,Random Forest Visualization,Visual Analytics</t>
  </si>
  <si>
    <t>Clustrophile 2: Guided Visual Clustering Analysis</t>
  </si>
  <si>
    <t>10.1109/TVCG.2018.2864477</t>
  </si>
  <si>
    <t>http://dx.doi.org/10.1109/TVCG.2018.2864477</t>
  </si>
  <si>
    <t>Fraedrich, R.;Schneider, J.;Westermann, R.</t>
  </si>
  <si>
    <t>37590979700;37560044500;37444424000</t>
  </si>
  <si>
    <t>1250404;1183824;1250404;1532795;1250385;4015458;4376197;663888;4376206;1372192;4015476</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</si>
  <si>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&amp;amp; Heer (2015) for correlation visualization. Importantly, they provide an empirical basis for an improved construction of visual line-ups for maps and the development of theory to inform geospatial tests of graphical inference.</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</si>
  <si>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</si>
  <si>
    <t>Marco Cavallo;Çagatay Demiralp</t>
  </si>
  <si>
    <t>Marco Cavallo;Çağatay Demiralp</t>
  </si>
  <si>
    <t>IBM Research;MIT CSAIL &amp; Fitnescity Labs</t>
  </si>
  <si>
    <t>10.1109/TVCG.2011.188;10.1109/TVCG.2013.119;10.1109/TVCG.2012.219;10.1109/TVCG.2017.2745085;10.1109/TVCG.2010.138;10.1109/VAST.2007.4388999;10.1109/TVCG.2012.207;10.1109/TVCG.2017.2744805;10.1109/VAST.2008.4677350;10.1109/INFVIS.2004.3;10.1109/TVCG.2015.2467191</t>
  </si>
  <si>
    <t>Clustering tour,Guided data analysis,Unsupervised learning,Exploratory data analysis,Interactive clustering analysis,Interpretability,Explainability,Visual data exploration recommendation,Dimensionality reduction,What-if analysis,Clustrophile</t>
  </si>
  <si>
    <t>37272637300;38107231200;37391623900;37407308300;37401176900</t>
  </si>
  <si>
    <t>Manifold: A Model-Agnostic Framework for Interpretation and Diagnosis of Machine Learning Models</t>
  </si>
  <si>
    <t>4658162;4015420;4015475;729558;4658197</t>
  </si>
  <si>
    <t>10.1109/TVCG.2018.2864499</t>
  </si>
  <si>
    <t>http://dx.doi.org/10.1109/TVCG.2018.2864499</t>
  </si>
  <si>
    <t>Chu, A.;Chi-Wing Fu;Hanson, A.J.;Pheng-Ann Heng</t>
  </si>
  <si>
    <t>38098709300;37336329800;37333439100;37283077400</t>
  </si>
  <si>
    <t>346318;885704;235222;1532804;4376203;346324;398869</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</si>
  <si>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</si>
  <si>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Jiawei Zhang;Yang Wang;Piero Molino;Lezhi Li;David S. Ebert</t>
  </si>
  <si>
    <t>Purdue University;Uber Technologies, Inc;Uber AI Labs;Uber Technologies, Inc;Purdue University</t>
  </si>
  <si>
    <t>10.1109/TVCG.2014.2346660;10.1109/VAST.2015.7347637;10.1109/TVCG.2014.2346594;10.1109/TVCG.2013.212;10.1109/TVCG.2017.2744718;10.1109/TVCG.2017.2744938;10.1109/TVCG.2017.2744378;10.1109/TVCG.2013.125;10.1109/TVCG.2014.2346578;10.1109/TVCG.2009.111;10.1109/TVCG.2016.2598838;10.1109/TVCG.2016.2598828;10.1109/INFVIS.2000.885086;10.1109/TVCG.2017.2744158;10.1109/TVCG.2016.2598829;10.1109/TVCG.2017.2744878</t>
  </si>
  <si>
    <t>Interactive machine learning,performance analysis,model comparison,model debugging</t>
  </si>
  <si>
    <t>GAN Lab: Understanding Complex Deep Generative Models using Interactive Visual Experimentation</t>
  </si>
  <si>
    <t>10.1109/TVCG.2018.2864500</t>
  </si>
  <si>
    <t>http://dx.doi.org/10.1109/TVCG.2018.2864500</t>
  </si>
  <si>
    <t>Marchesin, S.;de Verdiere, G.C.</t>
  </si>
  <si>
    <t>37284319100;38108878200</t>
  </si>
  <si>
    <t>885683;1372176;1532793;4658195;1250384;4658152</t>
  </si>
  <si>
    <t>Chuang, J.;Weiskopf, D.;Moller, T.</t>
  </si>
  <si>
    <t>38100482200;37268045000;37275858700</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</si>
  <si>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</si>
  <si>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568118;4658198;4015473</t>
  </si>
  <si>
    <t>Minsuk Kahng;Nikhil Thorat;Duen Horng Chau;Fernanda B. Viégas;Martin Wattenberg</t>
  </si>
  <si>
    <t>Minsuk Kahng;Nikhil Thorat;Duen Horng (Polo) Chau;Fernanda B. Viégas;Martin Wattenberg</t>
  </si>
  <si>
    <t>Georgia Institute of Technology;Google Brain;Georgia Institute of Technology;Google Brain;Google Brain</t>
  </si>
  <si>
    <t>10.1109/TVCG.2008.119;10.1109/TVCG.2017.2744683;10.1109/TVCG.2017.2744718;10.1109/TVCG.2017.2744938;10.1109/TVCG.2016.2598831;10.1109/TVCG.2010.177;10.1109/VAST.2017.8585721;10.1109/TVCG.2017.2744358;10.1109/TVCG.2017.2744158;10.1109/TVCG.2017.2744878</t>
  </si>
  <si>
    <t>Deep learning,information visualization,visual analytics,generative adversarial networks,machine learning,interactive experimentation,explorable explanations</t>
  </si>
  <si>
    <t>Visual Abstraction of Large Scale Geospatial Origin-Destination Movement Data</t>
  </si>
  <si>
    <t>10.1109/TVCG.2018.2864503</t>
  </si>
  <si>
    <t>http://dx.doi.org/10.1109/TVCG.2018.2864503</t>
  </si>
  <si>
    <t>Keefe, Daniel F.;Ewert, M.;Ribarsky, W.;Chang, R.</t>
  </si>
  <si>
    <t>37267356000;38108838100;37300425000;37592409400</t>
  </si>
  <si>
    <t>Keefe, D.F.;Ewert, M.;Ribarsky, W.;Chang, R.</t>
  </si>
  <si>
    <t>4658146;4376166;4658124</t>
  </si>
  <si>
    <t>A variety of human movement datasets are represented in an Origin-Destination(OD)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</si>
  <si>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Zhiguang Zhou;Linhao Meng;Cheng Tang;Ying Zhao 0001;Zhiyong Guo;Miaoxin Hu;Wei Chen</t>
  </si>
  <si>
    <t>Zhiguang Zhou;Linhao Meng;Cheng Tang;Ying Zhao;Zhiyong Guo;Miaoxin Hu;Wei Chen</t>
  </si>
  <si>
    <t>School of InformationZhejiang University of Finance and Economics;State Key Lab of CAD &amp; CGZhejiang University;Information SchoolZhejiang Sci-tech University;Central South University;School of InformationZhejiang University of Finance and Economics;School of InformationZhejiang University of Finance and Economics;State Key Lab of CAD &amp; CGZhejiang University</t>
  </si>
  <si>
    <t>10.1109/TVCG.2017.2744322;10.1109/TVCG.2016.2598667;10.1109/TVCG.2011.202;10.1109/TVCG.2014.2346594;10.1109/TVCG.2008.135;10.1109/TVCG.2011.233;10.1109/TVCG.2013.226;10.1109/TVCG.2009.143;10.1109/TVCG.2014.2346271;10.1109/TVCG.2016.2598432;10.1109/TVCG.2013.196;10.1109/INFVIS.2005.1532150;10.1109/TVCG.2015.2467691;10.1109/TVCG.2014.2346746;10.1109/TVCG.2016.2598885</t>
  </si>
  <si>
    <t>Burger, K.;Ferstl, F.;Theisel, H.;Westermann, R.</t>
  </si>
  <si>
    <t>Visual abstraction,human mobility,origin-destination,flow map,representation learning</t>
  </si>
  <si>
    <t>;37606419000;37266875400;37444424000</t>
  </si>
  <si>
    <t>DQNViz: A Visual Analytics Approach to Understand Deep Q-Networks</t>
  </si>
  <si>
    <t>Florian Ferstl;Mathias Kanzler;Marc Rautenhaus;R�_diger Westermann</t>
  </si>
  <si>
    <t>10.1109/TVCG.2018.2864504</t>
  </si>
  <si>
    <t>235211;964506;4658156;398875;4658155</t>
  </si>
  <si>
    <t>http://dx.doi.org/10.1109/TVCG.2018.2864504</t>
  </si>
  <si>
    <t>Matkovic, K.;Gracanin, D.;Klarin, B.;Hauser, H.</t>
  </si>
  <si>
    <t>38220979200;37272650400;38246833000;37274158800</t>
  </si>
  <si>
    <t>663867;4658193;963273;4015444</t>
  </si>
  <si>
    <t>Deep Q-Network (DQN),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</si>
  <si>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Junpeng Wang;Liang Gou;Han-Wei Shen;Hao Yang</t>
  </si>
  <si>
    <t>The Ohio State University;Visa Research;The Ohio State University;Visa Research</t>
  </si>
  <si>
    <t>10.1109/TVCG.2017.2744683;10.1109/TVCG.2014.2346682;10.1109/TVCG.2017.2745320;10.1109/TVCG.2017.2744718;10.1109/TVCG.2011.179;10.1109/TVCG.2017.2744938;10.1109/TVCG.2016.2598831;10.1109/VAST.2017.8585721;10.1109/TVCG.2013.200;10.1109/TVCG.2017.2744358;10.1109/TVCG.2017.2744158</t>
  </si>
  <si>
    <t>Deep Q-Network (DQN),reinforcement learning,model interpretation,visual analytics</t>
  </si>
  <si>
    <t>Duet: Helping Data Analysis Novices Conduct Pairwise Comparisons by Minimal Specification</t>
  </si>
  <si>
    <t>10.1109/TVCG.2018.2864526</t>
  </si>
  <si>
    <t>http://dx.doi.org/10.1109/TVCG.2018.2864526</t>
  </si>
  <si>
    <t>Yingcai Wu;Ka-Kei Chung;Huamin Qu;Xiaoru Yuan;Cheung, S.C.</t>
  </si>
  <si>
    <t>37407308300;37406959900;37272637300;37403856700;37275216500</t>
  </si>
  <si>
    <t>4658160;146402;4376143;1532141;567800;1382890</t>
  </si>
  <si>
    <t>Krone, M.;Bidmon, K.;Ertl, T.</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</si>
  <si>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</si>
  <si>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Po-Ming Law;Rahul C. Basole;Yanhong Wu</t>
  </si>
  <si>
    <t>37885145500;37282594900;37268023800</t>
  </si>
  <si>
    <t>Georgia Institute of Technology;Georgia Institute of Technology;Visa Research</t>
  </si>
  <si>
    <t>10.1109/TVCG.2011.188;10.1109/TVCG.2016.2598468;10.1109/VAST.2011.6102435;10.1109/TVCG.2017.2744199;10.1109/TVCG.2010.164;10.1109/TVCG.2017.2744684;10.1109/TVCG.2008.109;10.1109/TVCG.2015.2467195;10.1109/TVCG.2017.2745219;10.1109/TVCG.2015.2467191</t>
  </si>
  <si>
    <t>Pairwise comparison,novices,data analysis,automatic insight generation</t>
  </si>
  <si>
    <t>Visual Analytics for Topic Model Optimization based on User-Steerable Speculative Execution</t>
  </si>
  <si>
    <t>10.1109/TVCG.2018.2864769</t>
  </si>
  <si>
    <t>http://dx.doi.org/10.1109/TVCG.2018.2864769</t>
  </si>
  <si>
    <t>1372203;4015487</t>
  </si>
  <si>
    <t>Ivan Koles��r;Stefan Bruckner;Ivan Viola;Helwig Hauser</t>
  </si>
  <si>
    <t>Yun Jang;Varetto, U.</t>
  </si>
  <si>
    <t>38105784000;38108878900</t>
  </si>
  <si>
    <t>4376195;4376194;1250384;1183780;4015463;1532811;885694;1372231;4376193;4015465;1372233;4015487;1532858;1372203</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</si>
  <si>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human-in-the-Ioop process targets maximum improvement for minimum feedback and has proven to be effective in three independent studies that confirm topic model quality improvements.</t>
  </si>
  <si>
    <t>Mennatallah El-Assady;Fabian Sperrle;Oliver Deussen;Daniel A. Keim;Christopher Collins</t>
  </si>
  <si>
    <t>Mennatallah El-Assady;Fabian Sperrle;Oliver Deussen;Daniel Keim;Christopher Collins</t>
  </si>
  <si>
    <t>10.1109/VAST.2014.7042493;10.1109/VAST.2011.6102461;10.1109/TVCG.2013.162;10.1109/TVCG.2017.2745080;10.1109/TVCG.2017.2744199;10.1109/TVCG.2017.2743959;10.1109/TVCG.2013.231;10.1109/TVCG.2013.212;10.1109/TVCG.2016.2598445;10.1109/TVCG.2014.2346578;10.1109/TVCG.2013.232</t>
  </si>
  <si>
    <t>User-Steerable Topic Modeling,Speculative Execution,Mixed-Initiative Visual Analytics,Explainable Machine Learning</t>
  </si>
  <si>
    <t>Analysis of Flight Variability: a Systematic Approach</t>
  </si>
  <si>
    <t>10.1109/TVCG.2018.2864811</t>
  </si>
  <si>
    <t>http://dx.doi.org/10.1109/TVCG.2018.2864811</t>
  </si>
  <si>
    <t>37301933100;37285799200;37868989800;37276603700;37290589700</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</si>
  <si>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</si>
  <si>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Natalia V. Andrienko;Gennady L. Andrienko;Jose Manuel Cordero Garcia;David Scarlatti</t>
  </si>
  <si>
    <t>Natalia Andrienko;Gennady Andrienko;Jose Manuel Cordero Garcia;David Scarlatti</t>
  </si>
  <si>
    <t>Fraunhofer IAISCity, University of London;Fraunhofer IAISCity, University of London;CRIDA (Reference Center for Research, Development and Innovation in ATM);Boeing Research &amp; Development Europe</t>
  </si>
  <si>
    <t>10.1109/VAST.2008.4677356;10.1109/VAST.2010.5653580;10.1109/TVCG.2017.2744322;10.1109/TVCG.2013.193;10.1109/TVCG.2015.2467851;10.1109/TVCG.2011.233;10.1109/TVCG.2012.265;10.1109/TVCG.2015.2468078</t>
  </si>
  <si>
    <t>Visual analytics,movement data,flight trajectories</t>
  </si>
  <si>
    <t>RuleMatrix: Visualizing and Understanding Classifiers with Rules</t>
  </si>
  <si>
    <t>38107165200;37288235400</t>
  </si>
  <si>
    <t>10.1109/TVCG.2018.2864812</t>
  </si>
  <si>
    <t>http://dx.doi.org/10.1109/TVCG.2018.2864812</t>
  </si>
  <si>
    <t>1250375;745299;663895;745300;1250373</t>
  </si>
  <si>
    <t>Hughes, D.M.;Ik Soo Lim</t>
  </si>
  <si>
    <t>37955669800;37965223800</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</si>
  <si>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</si>
  <si>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Yao Ming;Huamin Qu;Enrico Bertini</t>
  </si>
  <si>
    <t>University of Science and Technology;University of Science and Technology;New York University</t>
  </si>
  <si>
    <t>10.1109/TVCG.2017.2744683;10.1109/TVCG.2017.2744718;10.1109/VAST.2017.8585720;10.1109/TVCG.2016.2598831;10.1109/VAST.2017.8585721;10.1109/TVCG.2017.2744358;10.1109/TVCG.2016.2598838;10.1109/TVCG.2016.2598828;10.1109/TVCG.2017.2744158;10.1109/VISUAL.2005.1532820;10.1109/VAST.2011.6102453;10.1109/TVCG.2017.2744878</t>
  </si>
  <si>
    <t>explainable machine learning,rule visualization,visual analytics</t>
  </si>
  <si>
    <t>Tierny, J.;Gyulassy, A.;Simon, E.;Pascucci, V.</t>
  </si>
  <si>
    <t>BitExTract: Interactive Visualization for Extracting Bitcoin Exchange Intelligence</t>
  </si>
  <si>
    <t>37298870300;37870001700;38113906300;37284312600</t>
  </si>
  <si>
    <t>10.1109/TVCG.2018.2864814</t>
  </si>
  <si>
    <t>http://dx.doi.org/10.1109/TVCG.2018.2864814</t>
  </si>
  <si>
    <t>1372235;4376169;663875</t>
  </si>
  <si>
    <t>Smelyanskiy, M.;Holmes, D.;Chhugani, J.;Larson, A.;Carmean, D.M.;Hanson, D.;Dubey, P.;Augustine, K.;Daehyun Kim;Kyker, A.;Lee, V.W.;Nguyen, A.D.;Seiler, L.;Robb, R.</t>
  </si>
  <si>
    <t>37424579200;38184286900;37275779800;38015434600;38326852500;38029200000;37356156800;38102439900;38184117800;38108825700;37390972100;37342421900;37371064600;38261977400</t>
  </si>
  <si>
    <t>1250384;745309</t>
  </si>
  <si>
    <t>Rudolf Netzel;Marcel Hlawatsch;Michael Burch;Sanjeev Balakrishnan;Hansj̦rg Schmauder;Daniel Weiskopf</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</si>
  <si>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</si>
  <si>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Xuanwu Yue;Xinhuan Shu;Xinyu Zhu;Xinnan Du;Zheqing Yu;Dimitrios Papadopoulos;Siyuan Liu</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</si>
  <si>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Technology;Penn State University</t>
  </si>
  <si>
    <t>10.1109/TVCG.2008.117;10.1109/TVCG.2011.169;10.1109/VAST.2007.4389009;10.1109/TVCG.2009.180;10.1109/TVCG.2014.2346913</t>
  </si>
  <si>
    <t>Bitcoin exchange,transaction data,comparative analysis,visual analytics,FinTech</t>
  </si>
  <si>
    <t>Sajadi, B.;Majumder, A.</t>
  </si>
  <si>
    <t>37391937200;38477161700</t>
  </si>
  <si>
    <t>EnsembleLens: Ensemble-based Visual Exploration of Anomaly Detection Algorithms with Multidimensional Data</t>
  </si>
  <si>
    <t>10.1109/TVCG.2018.2864825</t>
  </si>
  <si>
    <t>http://dx.doi.org/10.1109/TVCG.2018.2864825</t>
  </si>
  <si>
    <t>964508;1183793;809883;5290744;4376163</t>
  </si>
  <si>
    <t>Cipriano, G.;Phillips, G.N.;Gleicher, M.</t>
  </si>
  <si>
    <t>37882969500;37604175600;37282585700</t>
  </si>
  <si>
    <t>1250414;1183787;1183785</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</si>
  <si>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</si>
  <si>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Ke Xu;Meng Xia;Xing Mu;Yun Wang;Nan Cao</t>
  </si>
  <si>
    <t>Hong Kong University of Science and Technology;Hong Kong University of Science and Technology;Hong Kong University of Science and Technology;Hong Kong University of Science and Technology;iDVxLabTongji University</t>
  </si>
  <si>
    <t>10.1109/SciVis.2015.7429487;10.1109/TVCG.2017.2744419;10.1109/TVCG.2014.2346448;10.1109/TVCG.2015.2468093;10.1109/VISUAL.1990.146402;10.1109/TVCG.2017.2745178;10.1109/TVCG.2010.181;10.1109/TVCG.2016.2598830;10.1109/TVCG.2014.2346922</t>
  </si>
  <si>
    <t>Algorithm Evaluation,Ensemble Analysis,Anomaly Detection,Visual Analysis,Multidimensional Data</t>
  </si>
  <si>
    <t>VIBR: Visualizing Bipartite Relations at Scale with the Minimum Description Length Principle</t>
  </si>
  <si>
    <t>10.1109/TVCG.2018.2864826</t>
  </si>
  <si>
    <t>http://dx.doi.org/10.1109/TVCG.2018.2864826</t>
  </si>
  <si>
    <t>Ropinski, T.;Hermann, S.;Reich, R.;Schafers, M.;Hinrichs, K.</t>
  </si>
  <si>
    <t>37295281400;38113668500;38099511600;38101001700;37267218300</t>
  </si>
  <si>
    <t>1250353;235203;4376185;1372221;1250384;964538;4376204;1183754;1250396</t>
  </si>
  <si>
    <t>Brecheisen, R.;Vilanova, A.;Platel, B.;ter Haar Romeny, B.</t>
  </si>
  <si>
    <t>38108879500;37282551500;37428377700;38180036400</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</si>
  <si>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</si>
  <si>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Brecheisen, R.;Vilanova, A.;Platel, B.;ter Haar Romenij, B.</t>
  </si>
  <si>
    <t>Gromit Yeuk-Yin Chan;Panpan Xu;Zeng Dai;Liu Ren</t>
  </si>
  <si>
    <t>New York University;Bosch Research North America, Sunnyvale;Bosch Research North America, Sunnyvale;Bosch Research North America, Sunnyvale</t>
  </si>
  <si>
    <t>4658169;1532853;4376198;1532778;1532779;568116;809894;1372220;964552</t>
  </si>
  <si>
    <t>10.1109/TVCG.2010.154;10.1109/TVCG.2012.252;10.1109/TVCG.2013.223;10.1109/INFVIS.2004.1;10.1109/TVCG.2016.2598831;10.1109/TVCG.2009.111;10.1109/TVCG.2014.2346279;10.1109/TVCG.2006.166;10.1109/VAST.2007.4389006;10.1109/TVCG.2015.2467813;10.1109/TVCG.2014.2346665;10.1109/TVCG.2016.2598591</t>
  </si>
  <si>
    <t>Bipartite Graph,Visual Summarization,Minimum Description Length,Information Theory</t>
  </si>
  <si>
    <t>Christoph Schulz;Arlind Nocaj;Jochen G̦rtler;Oliver Deussen;Ulrik Brandes;Daniel Weiskopf</t>
  </si>
  <si>
    <t>VIS4ML: An Ontology for Visual Analytics Assisted Machine Learning</t>
  </si>
  <si>
    <t>10.1109/TVCG.2018.2864838</t>
  </si>
  <si>
    <t>http://dx.doi.org/10.1109/TVCG.2018.2864838</t>
  </si>
  <si>
    <t>37401176900;37407308300;37306814700;37279188600;37272637300</t>
  </si>
  <si>
    <t>745319;885694;4658198;1250414;4376159;1372208;4658153;4015473;4658191;4015460</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</si>
  <si>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</si>
  <si>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Dominik Sacha;Matthias Kraus;Daniel A. Keim;Min Chen</t>
  </si>
  <si>
    <t>University of Konstanz;University of Konstanz;University of Konstanz;University of Oxford</t>
  </si>
  <si>
    <t>10.1109/TVCG.2017.2744683;10.1109/VISUAL.2004.10;10.1109/VAST.2008.4677361;10.1109/TVCG.2017.2744718;10.1109/TVCG.2017.2745178;10.1109/TVCG.2017.2745085;10.1109/TVCG.2017.2744938;10.1109/TVCG.2016.2598831;10.1109/TVCG.2017.2744378;10.1109/TVCG.2017.2745158;10.1109/TVCG.2017.2744358;10.1109/TVCG.2016.2598838;10.1109/TVCG.2016.2598828;10.1109/TVCG.2017.2744805;10.1109/TVCG.2014.2346481;10.1109/TVCG.2016.2598495;10.1109/TVCG.2017.2744158;10.1109/TVCG.2016.2598829;10.1109/VISUAL.2005.1532781;10.1109/TVCG.2016.2598830;10.1109/TVCG.2017.2744878</t>
  </si>
  <si>
    <t>Visual Analytics,Visualization,Machine Learning,Human-Computer Interaction,Ontology,VIS4ML</t>
  </si>
  <si>
    <t>Schindler, B.;Fuchs, R.;Biddiscombe, J.;Peikert, R.</t>
  </si>
  <si>
    <t>An Interactive Method to Improve Crowdsourced Annotations</t>
  </si>
  <si>
    <t>10.1109/TVCG.2018.2864843</t>
  </si>
  <si>
    <t>38102461400;38099765400;37948935700;37282541100</t>
  </si>
  <si>
    <t>http://dx.doi.org/10.1109/TVCG.2018.2864843</t>
  </si>
  <si>
    <t>809896;4376173;1532851;745296;1372179;4376212;4658172</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</si>
  <si>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</si>
  <si>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Shixia Liu;Changjian Chen;Yafeng Lu;Fang-Xin Ou-Yang;Bin Wang</t>
  </si>
  <si>
    <t>Shixia Liu;Changjian Chen;Yafeng Lu;Fangxin Ouyang;Bin Wang</t>
  </si>
  <si>
    <t>School of SoftwareTsinghua University;School of SoftwareTsinghua University;Arizona State University;School of SoftwareTsinghua University;School of SoftwareTsinghua University</t>
  </si>
  <si>
    <t>10.1109/TVCG.2016.2598592;10.1109/VAST.2014.7042480;10.1109/TVCG.2017.2744818;10.1109/VAST.2016.7883520;10.1109/TVCG.2011.202;10.1109/TVCG.2014.2346594;10.1109/TVCG.2013.212;10.1109/TVCG.2011.239;10.1109/TVCG.2012.277;10.1109/VAST.2012.6400492;10.1109/TVCG.2016.2598445;10.1109/TVCG.2015.2467622;10.1109/TVCG.2015.2467554;10.1109/TVCG.2017.2744938;10.1109/TVCG.2016.2598831;10.1109/TVCG.2017.2744378;10.1109/VAST.2016.7883508;10.1109/TVCG.2009.139;10.1109/TVCG.2016.2598829;10.1109/TVCG.2017.2745078;10.1109/VAST.2014.7042494;10.1109/TVCG.2017.2744685;10.1109/TVCG.2013.164;10.1109/VAST.2016.7883514</t>
  </si>
  <si>
    <t>Crowdsourcing,learning-from-crowds,interactive visualization,focus + context</t>
  </si>
  <si>
    <t>A Visual Analytics Framework for Spatiotemporal Trade Network Analysis</t>
  </si>
  <si>
    <t>480803;745292;4376150;885679;663874;146383</t>
  </si>
  <si>
    <t>10.1109/TVCG.2018.2864844</t>
  </si>
  <si>
    <t>http://dx.doi.org/10.1109/TVCG.2018.2864844</t>
  </si>
  <si>
    <t>Kindlmann, G.L.;Estepar, R.S.J.;Smith, S.M.;Westin, C.-F.</t>
  </si>
  <si>
    <t>37282742400;37829931900;38183671700;37294318400</t>
  </si>
  <si>
    <t>Kindlmann, G.;Estepar, R.S.J.;Smith, S.;Westin, C.-F.</t>
  </si>
  <si>
    <t>4658173;398880;4376205;4658184;663930;4658166;809896</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</si>
  <si>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</si>
  <si>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Hong Wang;Yafeng Lu;Shade T. Shutters;Michael Steptoe;Feng Wang 0012;Steven Landis;Ross Maciejewski</t>
  </si>
  <si>
    <t>Hong Wang;Yafeng Lu;Shade T. Shutters;Michael Steptoe;Feng Wang;Steven Landis;Ross Maciejewski</t>
  </si>
  <si>
    <t>Arizona State University;Arizona State University;Arizona State University;Arizona State University;GE Global Research;University of Nevada;Arizona State University</t>
  </si>
  <si>
    <t>10.1109/VAST.2008.4677356;10.1109/TVCG.2011.202;10.1109/VAST.2012.6400557;10.1109/TVCG.2008.135;10.1109/VAST.2012.6400485;10.1109/TVCG.2014.2346682;10.1109/TVCG.2009.143;10.1109/TVCG.2014.2346271;10.1109/TVCG.2015.2467991;10.1109/VAST.2012.6400491;10.1109/INFVIS.1996.559226;10.1109/INFVIS.2005.1532150;10.1109/TVCG.2016.2598885</t>
  </si>
  <si>
    <t>Global trade network,anomaly detection,visual analytics</t>
  </si>
  <si>
    <t>Visual Progression Analysis of Event Sequence Data</t>
  </si>
  <si>
    <t>10.1109/TVCG.2018.2864885</t>
  </si>
  <si>
    <t>http://dx.doi.org/10.1109/TVCG.2018.2864885</t>
  </si>
  <si>
    <t>Jeong, W.-K.;Beyer, J.;Hadwiger, M.;Vazquez, A.;Pfister, H.;Whitaker, R.T.</t>
  </si>
  <si>
    <t>Tim Gerrits;Christian R̦ssl;Holger Theisel</t>
  </si>
  <si>
    <t>37268212100;37409575800;37394809600;38104293600;37275698100;37267322600</t>
  </si>
  <si>
    <t>4658151;1250357;4658182;809912;4376178</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</si>
  <si>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ET&lt;sup&gt;2&lt;/sup&gt;, which interactively illustrates the results of the stage analysis algorithm to help reveal evolution patterns across stages. Finally, we report three forms of evaluation for ET&lt;sup&gt;2&lt;/sup&gt;: (1) case studies with two real-world datasets, (2) interviews with domain expert users, and (3) a performance evaluation on the progression analysis algorithm and the visualization design.</t>
  </si>
  <si>
    <t>Shunan Guo;Zhuochen Jin;David Gotz;Fan Du;Hongyuan Zha;Nan Cao</t>
  </si>
  <si>
    <t>East China Normal University;iDVX labTongji University;University of North Carolina, Chapel Hill;University of Maryland;East China Normal University;iDVX labTongji University</t>
  </si>
  <si>
    <t>10.1109/TVCG.2011.188;10.1109/TVCG.2017.2745278;10.1109/TVCG.2017.2745083;10.1109/VAST.2016.7883512;10.1109/TVCG.2014.2346682;10.1109/TVCG.2017.2745320;10.1109/TVCG.2014.2346574;10.1109/TVCG.2009.187;10.1109/TVCG.2014.2346913</t>
  </si>
  <si>
    <t>Progression Analysis,Visual Analysis,Event Sequence Data</t>
  </si>
  <si>
    <t>MAQUI: Interweaving Queries and Pattern Mining for Recursive Event Sequence Exploration</t>
  </si>
  <si>
    <t>10.1109/TVCG.2018.2864886</t>
  </si>
  <si>
    <t>http://dx.doi.org/10.1109/TVCG.2018.2864886</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</si>
  <si>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</si>
  <si>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Po-Ming Law;Zhicheng Liu;Sana Malik;Rahul C. Basole</t>
  </si>
  <si>
    <t>Georgia Institute of Technology;Adobe Research;Adobe Research;Georgia Institute of Technology</t>
  </si>
  <si>
    <t>10.1109/TVCG.2017.2745278;10.1109/TVCG.2017.2745083;10.1109/VAST.2016.7883512;10.1109/VAST.2006.261421;10.1109/TVCG.2017.2744199;10.1109/TVCG.2014.2346682;10.1109/TVCG.2015.2467622;10.1109/TVCG.2014.2346452;10.1109/TVCG.2016.2598797;10.1109/TVCG.2013.200;10.1109/VAST.2015.7347682;10.1109/TVCG.2014.2346574;10.1109/TVCG.2009.117;10.1109/VAST.2009.5332595</t>
  </si>
  <si>
    <t>Sequential pattern mining,temporal query,event sequence exploration</t>
  </si>
  <si>
    <t>InkPlanner: Supporting Prewriting via Intelligent Visual Diagramming</t>
  </si>
  <si>
    <t>10.1109/TVCG.2018.2864887</t>
  </si>
  <si>
    <t>http://dx.doi.org/10.1109/TVCG.2018.2864887</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</si>
  <si>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</si>
  <si>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Zhicong Lu;Mingming Fan 0001;Yun Wang;Jian Zhao;Michelle Annett;Daniel J. Wigdor</t>
  </si>
  <si>
    <t>Zhicong Lu;Mingming Fan;Yun Wang;Jian Zhao;Michelle Annett;Daniel Wigdor</t>
  </si>
  <si>
    <t>University of Toronto;University of Toronto;Hong Kong University of Science and Technology;FX Palo Alto Laboratory;MishMashMakers;University of Toronto</t>
  </si>
  <si>
    <t>Writing,prewriting,diagraming,content and structure recommendation,pen and touch interfaces</t>
  </si>
  <si>
    <t>Visual Analysis of the Temporal Evolution of Ensemble Forecast Sensitivities</t>
  </si>
  <si>
    <t>10.1109/TVCG.2018.2864901</t>
  </si>
  <si>
    <t>http://dx.doi.org/10.1109/TVCG.2018.2864901</t>
  </si>
  <si>
    <t>Antoni Sagrist��;Stefan Jordan;Andreas Just;Fabio Dias;Luis Gustavo Nonato;Filip Sadlo</t>
  </si>
  <si>
    <t>Heidelberg University, Germany;Heidelberg University, Germany;ZAH, Heidelberg University, Germany;Universidade de S���o Paulo, S���o Carlos, Brazil;Universidade de S���o Paulo, S���o Carlos, Brazil;Heidelberg University, Germany</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</si>
  <si>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 a team of visualization scientists and meteorologists -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</si>
  <si>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Alexander Kumpf;Marc Rautenhaus;Michael Riemer;Rüdiger Westermann</t>
  </si>
  <si>
    <t>Computer Graphics &amp; Visualization Group, Technische Universitiit München, Garching, Germany;Computer Graphics &amp; Visualization Group, Technische Universitiit München, Garching, Germany;Universität Hamburg, Regional Computing Center, Hamburg, Germany;Computer Graphics &amp; Visualization Group, Technische Universitiit München, Garching, Germany</t>
  </si>
  <si>
    <t>10.1109/TVCG.2013.131;10.1109/VISUAL.2004.46;10.1109/TVCG.2017.2743989;10.1109/TVCG.2017.2745178;10.1109/TVCG.2006.165</t>
  </si>
  <si>
    <t>Correlation,clustering,tracking,ensemble visualization</t>
  </si>
  <si>
    <t>Doccurate: A Curation-Based Approach for Clinical Text Visualization</t>
  </si>
  <si>
    <t>10.1109/TVCG.2018.2864905</t>
  </si>
  <si>
    <t>http://dx.doi.org/10.1109/TVCG.2018.2864905</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</si>
  <si>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</si>
  <si>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Nicole Sultanum;Devin Singh;Michael Brudno;Fanny Chevalier</t>
  </si>
  <si>
    <t>Hospital for Sick Children;Hospital for Sick Children;University of Toronto;University of Toronto</t>
  </si>
  <si>
    <t>10.1109/VAST.2012.6400485;10.1109/TVCG.2015.2467531;10.1109/TVCG.2017.2745118;10.1109/INFVIS.2000.885098;10.1109/TVCG.2017.2744478;10.1109/TVCG.2015.2467591</t>
  </si>
  <si>
    <t>Visual Curation,Clinical Text,Text Visualization,Medical Narrative</t>
  </si>
  <si>
    <t>TPFlow: Progressive Partition and Multidimensional Pattern Extraction for Large-Scale Spatio-Temporal Data Analysis</t>
  </si>
  <si>
    <t>10.1109/TVCG.2018.2865018</t>
  </si>
  <si>
    <t>http://dx.doi.org/10.1109/TVCG.2018.2865018</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</si>
  <si>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</si>
  <si>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Dongyu Liu;Panpan Xu;Liu Ren</t>
  </si>
  <si>
    <t>Hong Kong University of Science and Technology;Bosch Research North America, Sunnyvale, CA;Bosch Research North America, Sunnyvale, CA</t>
  </si>
  <si>
    <t>10.1109/TVCG.2016.2598862;10.1109/TVCG.2017.2744419;10.1109/TVCG.2006.161;10.1109/TVCG.2014.2346449;10.1109/TVCG.2013.226;10.1109/TVCG.2013.179;10.1109/TVCG.2016.2598432;10.1109/TVCG.2016.2598831;10.1109/TVCG.2016.2598624;10.1109/TVCG.2017.2744805;10.1109/TVCG.2015.2467112;10.1109/TVCG.2014.2346574;10.1109/INFVIS.2003.1249018;10.1109/INFVIS.1999.801851;10.1109/TVCG.2015.2468111;10.1109/TVCG.2018.2865126;10.1109/TVCG.2007.70515</t>
  </si>
  <si>
    <t>Spatio-temporal data,tensor decomposition,interactive exploration,automatic pattern discoveries</t>
  </si>
  <si>
    <t>Evaluating Multi-Dimensional Visualizations for Understanding Fuzzy Clusters</t>
  </si>
  <si>
    <t>10.1109/TVCG.2018.2865020</t>
  </si>
  <si>
    <t>http://dx.doi.org/10.1109/TVCG.2018.2865020</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</si>
  <si>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</si>
  <si>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Ying Zhao 0001;Feng Luo;Minghui Chen;Yingchao Wang;Jiazhi Xia;Fangfang Zhou;Yunhai Wang;Yi Chen 0007;Wei Chen</t>
  </si>
  <si>
    <t>Ying Zhao;Feng Luo;Minghui Chen;Yingchao Wang;Jiazhi Xia;Fangfang Zhou;Yunhai Wang;Yi Chen;Wei Chen</t>
  </si>
  <si>
    <t>Central South University;Central South University;Central South University;Central South University;Central South University;Central South University;Shandong University;Beijing TechnologyBusiness University;State Key Lab of CAD &amp; CGZhejiang University</t>
  </si>
  <si>
    <t>10.1109/INFVIS.2005.1532136;10.1109/INFVIS.1998.729559;10.1109/TVCG.2017.2745138;10.1109/VAST.2010.5652450;10.1109/VISUAL.1997.663916;10.1109/TVCG.2009.153;10.1109/TVCG.2016.2598831;10.1109/INFVIS.2004.15;10.1109/TVCG.2017.2744198;10.1109/TVCG.2015.2467324;10.1109/TVCG.2013.153;10.1109/TVCG.2008.173;10.1109/VISUAL.1990.146375;10.1109/TVCG.2017.2744098;10.1109/TVCG.2016.2598479;10.1109/INFVIS.2003.1249015</t>
  </si>
  <si>
    <t>Evaluation,multi-dimensional visualization,fuzzy clustering,parallel coordinate plot,scatterplot matrix,principal component analysis,radviz</t>
  </si>
  <si>
    <t>GraphProtector: A Visual Interface for Employing and Assessing Multiple Privacy Preserving Graph Algorithms</t>
  </si>
  <si>
    <t>10.1109/TVCG.2018.2865021</t>
  </si>
  <si>
    <t>http://dx.doi.org/10.1109/TVCG.2018.2865021</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</si>
  <si>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 tector, we report several case studies and feedback collected from interviews with expert users in various scenarios.</t>
  </si>
  <si>
    <t>Ingo Wald;Gregory P. Johnson;Jefferson Amstutz;Carson Brownlee;Aaron Knoll;J. Jeffers;J. Gunther;Paul A. Navr��til</t>
  </si>
  <si>
    <t>Xu-Meng Wang;Wei Chen 0001;Jia-Kai Chou;Chris Bryan;Huihua Guan;Wenlong Chen;Rusheng Pan;Kwan-Liu Ma</t>
  </si>
  <si>
    <t>Xumeng Wang;Wei Chen;Jia-Kai Chou;Chris Bryan;Huihua Guan;Wenlong Chen;Rusheng Pan;Kwan-Liu Ma</t>
  </si>
  <si>
    <t>Zhejiang University;Zhejiang University;University of California, Davis;University of California, Davis;Zhejiang UniversityAlibaba Group;Zhejiang University;Zhejiang University;University of California, Davis</t>
  </si>
  <si>
    <t>10.1109/TVCG.2011.163;10.1109/TVCG.2017.2745139;10.1109/TVCG.2014.2346920</t>
  </si>
  <si>
    <t>Graph privacy,k-anonymity,structural features,privacy preservation</t>
  </si>
  <si>
    <t>VIS Author Profiles: Interactive Descriptions of Publication Records Combining Text and Visualization</t>
  </si>
  <si>
    <t>10.1109/TVCG.2018.2865022</t>
  </si>
  <si>
    <t>http://dx.doi.org/10.1109/TVCG.2018.2865022</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</si>
  <si>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</si>
  <si>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Shahid Latif;Fabian G. Beck</t>
  </si>
  <si>
    <t>Shahid Latif;Fabian Beck</t>
  </si>
  <si>
    <t>Paluno, University of Duisburg, Essen, Germany;Paluno, University of Duisburg, Essen, Germany</t>
  </si>
  <si>
    <t>10.1109/TVCG.2015.2467757;10.1109/TVCG.2012.252;10.1109/TVCG.2014.2346435;10.1109/TVCG.2007.70582;10.1109/VAST.2015.7347632;10.1109/TVCG.2015.2468151;10.1109/TVCG.2013.167</t>
  </si>
  <si>
    <t>Natural language generation,document visualization,interactive documents,sparklines,digital libraries</t>
  </si>
  <si>
    <t>Lessons Learned Developing a Visual Analytics Solution for Investigative Analysis of Scamming Activities</t>
  </si>
  <si>
    <t>10.1109/TVCG.2018.2865023</t>
  </si>
  <si>
    <t>http://dx.doi.org/10.1109/TVCG.2018.2865023</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</si>
  <si>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</si>
  <si>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Jay Koven;Cristian Felix;Hossein Siadati;Markus Jakobsson;Enrico Bertini</t>
  </si>
  <si>
    <t>NYU Tandon School of Engineering;NYU Tandon School of Engineering;NYU Tandon School of Engineering;Amber Solutions Inc.;NYU Tandon School of Engineering</t>
  </si>
  <si>
    <t>10.1109/VAST.2007.4389011;10.1109/VAST.2010.5652968;10.1109/INFVIS.2003.1249028;10.1109/TVCG.2009.111;10.1109/TVCG.2014.2346481;10.1109/TVCG.2012.213</t>
  </si>
  <si>
    <t>Visual Analytics,Email Investigation,Email Forensics</t>
  </si>
  <si>
    <t>Dick, C.;Georgii, J.;Burgkart, R.;Westermann, R.</t>
  </si>
  <si>
    <t>38013954900;37828702100;37281609100;37444424000</t>
  </si>
  <si>
    <t>KnowledgePearls: Provenance-Based Visualization Retrieval</t>
  </si>
  <si>
    <t>1532780;4015450;1250379;1372188;745294;4376178;1183797;346326;1532771;1183798;346326;1183799;4015480;745316</t>
  </si>
  <si>
    <t>10.1109/TVCG.2018.2865024</t>
  </si>
  <si>
    <t>http://dx.doi.org/10.1109/TVCG.2018.2865024</t>
  </si>
  <si>
    <t>Physical and digital objects often leave markers of our use. Website links turn purple after we visit them, for example, showing us information we have yet to explore. These &amp;#x201C;footprints&amp;#x201D;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</si>
  <si>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Maciejewski, R.;Insoo Woo;Wei Chen;Ebert, D.S.</t>
  </si>
  <si>
    <t>37396008400;37661530700;37279188600;37282598900</t>
  </si>
  <si>
    <t>4658159;745319;1250414;1250371;1532807;4658153;964519;1250413;1532858;4015460</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</si>
  <si>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</si>
  <si>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Holger Stitz;Samuel Gratzl;Harald Piringer;Thomas Zichner;Marc Streit</t>
  </si>
  <si>
    <t>Johannes Kepler University, Linz, Austria;Johannes Kepler University, Linz, Austria;VRVis Research Center, Austria;Boehringer Ingelheim RCV GmbH &amp; Co KG, Austria;Johannes Kepler University, Linz, Austria</t>
  </si>
  <si>
    <t>10.1109/VISUAL.2005.1532788;10.1109/TVCG.2011.229;10.1109/TVCG.2013.155;10.1109/TVCG.2009.176;10.1109/VAST.2008.4677365;10.1109/INFVIS.2004.2;10.1109/TVCG.2012.271;10.1109/TVCG.2016.2598589;10.1109/TVCG.2017.2744320;10.1109/TVCG.2015.2467551;10.1109/TVCG.2016.2599030;10.1109/TVCG.2015.2467091;10.1109/TVCG.2006.142;10.1109/TVCG.2017.2745219;10.1109/INFVIS.2000.885086;10.1109/INFVIS.2005.1532142</t>
  </si>
  <si>
    <t>Visualization provenance,interaction provenance,retrieval</t>
  </si>
  <si>
    <t>An Information-Theoretic Approach to the Cost-benefit Analysis of Visualization in Virtual Environments</t>
  </si>
  <si>
    <t>10.1109/TVCG.2018.2865025</t>
  </si>
  <si>
    <t>http://dx.doi.org/10.1109/TVCG.2018.2865025</t>
  </si>
  <si>
    <t>Weiss, K.;De Floriani, L.</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</si>
  <si>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</si>
  <si>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37411163000;</t>
  </si>
  <si>
    <t>Min Chen;Kelly P. Gaither;Nigel W. John;Brian McCann</t>
  </si>
  <si>
    <t>Min Chen;Kelly Gaither;Nigel W. John;Brian Mccann</t>
  </si>
  <si>
    <t>University of Oxford, UK;University of Texas, Austin, USA;University of Chester, UK;University of Texas, Austin, USA</t>
  </si>
  <si>
    <t>10.1109/TVCG.2010.131;10.1109/TVCG.2008.142;10.1109/TVCG.2011.231;10.1109/TVCG.2014.2346325;10.1109/TVCG.2013.127;10.1109/TVCG.2016.2598829;10.1109/INFVIS.2004.59;10.1109/VISUAL.2005.1532781;10.1109/TVCG.2010.131;10.1109/TVCG.2006.184</t>
  </si>
  <si>
    <t>1183810;885681;885703;663860;663869</t>
  </si>
  <si>
    <t>Theory of visualization,virtual environments,four levels of visualization,virtual reality,augmented reality,mixed reality,cost-benefit analysis,information theory,cognitive sciences,visualization applications,immersive analytics</t>
  </si>
  <si>
    <t>A Visual Analytics Framework for the Detection of Anomalous Call Stack Trees in High Performance Computing Applications</t>
  </si>
  <si>
    <t>10.1109/TVCG.2018.2865026</t>
  </si>
  <si>
    <t>http://dx.doi.org/10.1109/TVCG.2018.2865026</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</si>
  <si>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</si>
  <si>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Cong Xie;Wei Xu;Klaus Mueller</t>
  </si>
  <si>
    <t>Department of Computer ScienceStony Brook University;Computational Science InitiativeBrookhaven National Laboratory;Department of Computer ScienceStony Brook University</t>
  </si>
  <si>
    <t>10.1109/TVCG.2015.2467552;10.1109/TVCG.2012.277;10.1109/VAST.2016.7883514;10.1109/TVCG.2016.2598664</t>
  </si>
  <si>
    <t>Call Stack,Performance Visualization,Representation Learning,Active Learning,Anomaly Detection</t>
  </si>
  <si>
    <t>RetainVis: Visual Analytics with Interpretable and Interactive Recurrent Neural Networks on Electronic Medical Records</t>
  </si>
  <si>
    <t>10.1109/TVCG.2018.2865027</t>
  </si>
  <si>
    <t>http://dx.doi.org/10.1109/TVCG.2018.2865027</t>
  </si>
  <si>
    <t>velle: Printable Interactive Volume Visualization</t>
  </si>
  <si>
    <t>Correa, C.;Kwan-Liu Ma</t>
  </si>
  <si>
    <t>37282925900;37275869400</t>
  </si>
  <si>
    <t>1250414;809932;4658153;964519;1372209;1250413;4015487;663875;4015460</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</si>
  <si>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</si>
  <si>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Bum Chul Kwon;Min-Je Choi;Joanne Taery Kim;Edward Choi;Young Bin Kim;Soonwook Kwon;Jimeng Sun;Jaegul Choo</t>
  </si>
  <si>
    <t>IBM T.J. Watson Research CenterKorea University;Georgia Institute of Technology;Georgia Institute of Technology;Chung-Ang University;IBM T.J. Watson Research CenterKorea University;Catholic University, Daegu;IBM T.J. Watson Research CenterKorea University;Georgia Institute of Technology</t>
  </si>
  <si>
    <t>10.1109/TVCG.2013.212;10.1109/TVCG.2017.2745080;10.1109/TVCG.2012.277;10.1109/TVCG.2017.2744718;10.1109/TVCG.2017.2745085;10.1109/TVCG.2016.2598446;10.1109/TVCG.2015.2467555;10.1109/TVCG.2016.2598831;10.1109/VAST.2017.8585721;10.1109/TVCG.2017.2744358;10.1109/TVCG.2016.2598838;10.1109/TVCG.2012.213;10.1109/TVCG.2017.2744158;10.1109/TVCG.2017.2744878</t>
  </si>
  <si>
    <t>Interactive Artificial Intelligence,XAI (Explainable Artificial Intelligence),Interpretable Deep Learning,Healthcare</t>
  </si>
  <si>
    <t>Krishnan, H.;Garth, C.;Joy, K.I.</t>
  </si>
  <si>
    <t>Vulnus: Visual Vulnerability Analysis for Network Security</t>
  </si>
  <si>
    <t>10.1109/TVCG.2018.2865028</t>
  </si>
  <si>
    <t>37866882400;37282573700;37267811400</t>
  </si>
  <si>
    <t>http://dx.doi.org/10.1109/TVCG.2018.2865028</t>
  </si>
  <si>
    <t>4376209;235211;398875;964506;4658155;885688;4658156</t>
  </si>
  <si>
    <t>Vulnerabilities represent one of the main weaknesses of IT systems and the availability of consolidated official data, like CVE (Common Vulnerabilities and Exposures), allows for using them to compute the paths an attacker is likely to follow. However, even if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</si>
  <si>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Marco Angelini;Graziano Blasilli;Tiziana Catarci;Simone Lenti;Giuseppe Santucci</t>
  </si>
  <si>
    <t>University of Rome “La Sapienza”;University of Rome “La Sapienza”;University of Rome “La Sapienza”;University of Rome “La Sapienza”;University of Rome “La Sapienza”</t>
  </si>
  <si>
    <t>10.1109/TVCG.2007.70540;10.1109/TVCG.2007.70522;10.1109/INFVIS.2001.963283</t>
  </si>
  <si>
    <t>Visual Analytics,Network security,Vulnerability analysis,CVE,CVSS,Attack Graph,Vulnerability triage and management</t>
  </si>
  <si>
    <t>Situ: Identifying and Explaining Suspicious Behavior in Networks</t>
  </si>
  <si>
    <t>10.1109/TVCG.2018.2865029</t>
  </si>
  <si>
    <t>http://dx.doi.org/10.1109/TVCG.2018.2865029</t>
  </si>
  <si>
    <t>Etiene, T.;Scheidegger, C.;Nonato, L.G.;Kirby, R.M.;Silva, C.T.</t>
  </si>
  <si>
    <t>37829389700;37550809300;37590974800;37275716100;37275249200</t>
  </si>
  <si>
    <t>Etiene, T.;Scheidegger, C.E.;Nonato, L.G.;Kirby, R.M.;Silva, C.T.</t>
  </si>
  <si>
    <t>4015483;346331</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</si>
  <si>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</si>
  <si>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John R. Goodall;Eric D. Ragan;Chad A. Steed;Joel W. Reed;G. David Richardson;Kelly M. T. Huffer;Robert A. Bridges;Jason A. Laska</t>
  </si>
  <si>
    <t>John R. Goodall;Eric D. Ragan;Chad A. Steed;Joel W. Reed;G. David Richardson;Kelly M.T. Huffer;Robert A. Bridges;Jason A. Laska</t>
  </si>
  <si>
    <t>Oak Ridge National Laboratory;University of Florida;Oak Ridge National Laboratory;Oak Ridge National Laboratory;Oak Ridge National Laboratory;Oak Ridge National Laboratory;Oak Ridge National Laboratory;Oak Ridge National Laboratory</t>
  </si>
  <si>
    <t>Network security,situational awareness,privacy and security,streaming data,machine learning,visualization</t>
  </si>
  <si>
    <t>Enhancing Web-based Analytics Applications through Provenance</t>
  </si>
  <si>
    <t>10.1109/TVCG.2018.2865039</t>
  </si>
  <si>
    <t>http://dx.doi.org/10.1109/TVCG.2018.2865039</t>
  </si>
  <si>
    <t>Lonni Besan̤on;Paul Issartel;Mehdi Ammi;Tobias Isenberg 0001</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</si>
  <si>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</si>
  <si>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Akhilesh Camisetty;Chaitanya Chandurkar;Maoyuan Sun;David Koop</t>
  </si>
  <si>
    <t>UMass Dartmouth;UMass Dartmouth;UMass Dartmouth;UMass Dartmouth</t>
  </si>
  <si>
    <t>10.1109/VISUAL.1993.398857;10.1109/VAST.2011.6102447;10.1109/VAST.2010.5652932;10.1109/TVCG.2016.2598471;10.1109/TVCG.2016.2599058;10.1109/VAST.2008.4677365;10.1109/TVCG.2013.197;10.1109/VAST.2007.4389011;10.1109/VISUAL.1999.809871;10.1109/TVCG.2014.2346573;10.1109/TVCG.2015.2467551;10.1109/TVCG.2015.2467191;10.1109/TVCG.2017.2745279</t>
  </si>
  <si>
    <t>Collaboration,provenance,streaming data,history,web</t>
  </si>
  <si>
    <t>Futzing and Moseying: Interviews with Professional Data Analysts on Exploration Practices</t>
  </si>
  <si>
    <t>10.1109/TVCG.2018.2865040</t>
  </si>
  <si>
    <t>http://dx.doi.org/10.1109/TVCG.2018.2865040</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</si>
  <si>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</si>
  <si>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Sara Alspaugh;Nava Zokaei;Andrea Liu;Cindy Jin;Marti A. Hearst</t>
  </si>
  <si>
    <t>UC, Berkeley;UC, Berkeley;UC, Berkeley;UC, Berkeley;UC, Berkeley</t>
  </si>
  <si>
    <t>10.1109/VAST.2008.4677365;10.1109/INFVIS.1997.636793;10.1109/TVCG.2012.219;10.1109/VAST.2011.6102438;10.1109/TVCG.2006.122;10.1109/TVCG.2015.2467191</t>
  </si>
  <si>
    <t>EDA,exploratory data analysis,interview study,visual analytics tools</t>
  </si>
  <si>
    <t>ForVizor: Visualizing Spatio-Temporal Team Formations in Soccer</t>
  </si>
  <si>
    <t>10.1109/TVCG.2018.2865041</t>
  </si>
  <si>
    <t>http://dx.doi.org/10.1109/TVCG.2018.2865041</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</si>
  <si>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ForVizor, domain experts conduct formation analysis of two games. Analysis results with insights and useful feedback are summarized in two case studies.</t>
  </si>
  <si>
    <t>Yingcai Wu;Xiao Xie;Jiachen Wang;Dazhen Deng;Hongye Liang;Hui Zhang;Shoubin Cheng;Wei Chen 0001</t>
  </si>
  <si>
    <t>Yingcai Wu;Xiao Xie;Jiachen Wang;Dazhen Deng;Hongye Liang;Hui Zhang;Shoubin Cheng;Wei Chen</t>
  </si>
  <si>
    <t>State Key Lab of CAD&amp;CGZhejiang University;State Key Lab of CAD&amp;CGZhejiang University;State Key Lab of CAD&amp;CGZhejiang University;State Key Lab of CAD&amp;CGZhejiang University;State Key Lab of CAD&amp;CGZhejiang University;Department of Sport ScienceZhejiang University;Department of Sport ScienceZhejiang University;State Key Lab of CAD&amp;CGZhejiang University</t>
  </si>
  <si>
    <t>10.1109/VAST.2008.4677356;10.1109/TVCG.2011.239;10.1109/TVCG.2014.2346433;10.1109/VAST.2014.7042477;10.1109/TVCG.2018.2865018;10.1109/TVCG.2016.2598831;10.1109/TVCG.2013.192;10.1109/TVCG.2014.2346445;10.1109/TVCG.2017.2745181;10.1109/TVCG.2017.2744218</t>
  </si>
  <si>
    <t>Soccer data,formation analysis,spatio-temporal visualization</t>
  </si>
  <si>
    <t>Identification of Temporally Varying Areas of Interest in Long-Duration Eye-Tracking Data Sets</t>
  </si>
  <si>
    <t>10.1109/TVCG.2018.2865042</t>
  </si>
  <si>
    <t>http://dx.doi.org/10.1109/TVCG.2018.2865042</t>
  </si>
  <si>
    <t>Santos, E.;Lins, L.;Ahrens, J.;Freire, J.;Silva, C.T.</t>
  </si>
  <si>
    <t>37393080600;37682897900;37282713700;37283149600;37275249200</t>
  </si>
  <si>
    <t>Eye-tracking has become an invaluable tool for the analysis of working practices in many technological fields of activity. Typically studies focus on short tasks and use static expected areas of interest (AoI) in the display to explore subjects' behaviour, making the analyst's task quite straightforward. In long-duration studies, where the observations may last several hours over a complete work session, the AoIs may change over time in response to altering workload, emergencies or other variables making the analysis more difficult. This work puts forward a novel method to automatically identify spatial AoIs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</si>
  <si>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Prithiviraj K. Muthumanickam;Katerina Vrotsou;Aida Nordman;Jimmy Johansson;Matthew D. Cooper</t>
  </si>
  <si>
    <t>Prithiviraj K. Muthumanickam;Katerina Vrotsou;Aida Nordman;Jimmy Johansson;Matthew Cooper</t>
  </si>
  <si>
    <t>10.1109/TVCG.2012.276;10.1109/TVCG.2015.2468091;10.1109/TVCG.2016.2598695;10.1109/TVCG.2013.194;10.1109/TVCG.2017.2743939;10.1109/TVCG.2009.117</t>
  </si>
  <si>
    <t>Eye-tracking data,areas of interest,clustering,minimum spanning tree,temporal data,spatio-temporal data</t>
  </si>
  <si>
    <t>RegressionExplorer: Interactive Exploration of Logistic Regression Models with Subgroup Analysis</t>
  </si>
  <si>
    <t>10.1109/TVCG.2018.2865043</t>
  </si>
  <si>
    <t>http://dx.doi.org/10.1109/TVCG.2018.2865043</t>
  </si>
  <si>
    <t>We present RegressionExplorer,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</si>
  <si>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Dennis Dingen;Marcel van 't Veer;Patrick Houthuizen;Eveline H. J. Mestrom;Hendrikus H. M. Korsten;Arthur R. A. Bouwman;Jarke J. van Wijk</t>
  </si>
  <si>
    <t>Dennis Dingen;Marcel van't Veer;Patrick Houthuizen;Eveline H. J. Mestrom;Erik H.H.M. Korsten;Arthur R.A. Bouwman;Jarke van Wijk</t>
  </si>
  <si>
    <t>Eindhoven University of Technology;Catharina Hospital Eindhoven;Catharina Hospital Eindhoven;Catharina Hospital Eindhoven;Catharina Hospital Eindhoven;Catharina Hospital Eindhoven;University of Technology</t>
  </si>
  <si>
    <t>10.1109/VAST.2017.8585720;10.1109/TVCG.2015.2467325;10.1109/TVCG.2013.125;10.1109/VAST.2011.6102453;10.1109/TVCG.2015.2467931</t>
  </si>
  <si>
    <t>Visual analytics,Predictive visual analytics,Exploratory data analysis,Multivariate statistics,Regression analysis,Variable selection,Subgroup analysis</t>
  </si>
  <si>
    <t>Seq2Seq-Vis: A Visual Debugging Tool for Sequence-to-Sequence Models</t>
  </si>
  <si>
    <t>10.1109/TVCG.2018.2865044</t>
  </si>
  <si>
    <t>http://dx.doi.org/10.1109/TVCG.2018.2865044</t>
  </si>
  <si>
    <t>4376187;1532795;4376131</t>
  </si>
  <si>
    <t>Janicke, H.;Bottinger, M.;Mikolajewicz, U.;Scheuermann, G.</t>
  </si>
  <si>
    <t>37393638200;37869987100;38108879000;37282574800</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</si>
  <si>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</si>
  <si>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Jänicke, H.;Bottinger, M.;Mikolajewicz, U.;Scheuermann, G.</t>
  </si>
  <si>
    <t>Hendrik Strobelt;Sebastian Gehrmann;Michael Behrisch;Adam Perer;Hanspeter Pfister;Alexander M. Rush</t>
  </si>
  <si>
    <t>IBM ReseatchMIT-IBM Watson AI Lab.;Harvard NLP group;Hatvatd Visual Computing group;IBM ReseatchMIT-IBM Watson AI Lab.;Hatvatd Visual Computing group;Harvard NLP group</t>
  </si>
  <si>
    <t>10.1109/TVCG.2017.2744718;10.1109/TVCG.2017.2744478;10.1109/TVCG.2017.2744158</t>
  </si>
  <si>
    <t>4658163;1250383;663871</t>
  </si>
  <si>
    <t>Explainable AI,Visual Debugging,Visual Analytics,Machine Learning,Deep Learning,NLP</t>
  </si>
  <si>
    <t>SIRIUS: Dual, Symmetric, Interactive Dimension Reductions</t>
  </si>
  <si>
    <t>10.1109/TVCG.2018.2865047</t>
  </si>
  <si>
    <t>http://dx.doi.org/10.1109/TVCG.2018.2865047</t>
  </si>
  <si>
    <t>Zachow, S.;Muigg, P.;Hildebrandt, T.;Doleisch, H.;Hege, H.-C.</t>
  </si>
  <si>
    <t>37681640300;37546620600;38192658400;37546620400;37282272000</t>
  </si>
  <si>
    <t>4658178;4376191;1250390;885739;146402;1532788;4015444</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</si>
  <si>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</si>
  <si>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Michelle Dowling;John E. Wenskovitch;J. T. Fry;Scotland Leman;Leanna House;Chris North</t>
  </si>
  <si>
    <t>Michelle Dowling;John Wenskovitch;J.T. Fry;Scotland Leman;Leanna House;Chris North</t>
  </si>
  <si>
    <t>Virginia Tech Department of Computer Science;Virginia Tech Department of Computer Science;Virginia Tech Department of Statistics;Virginia Tech Department of Statistics;Virginia Tech Department of Statistics;Virginia Tech Department of Computer Science</t>
  </si>
  <si>
    <t>10.1109/VAST.2012.6400493;10.1109/INFVIS.2005.1532136;10.1109/VAST.2014.7042492;10.1109/VAST.2012.6400486;10.1109/TVCG.2015.2467552;10.1109/VAST.2010.5652443;10.1109/TVCG.2012.260;10.1109/VAST.2011.6102449;10.1109/TVCG.2011.220;10.1109/TVCG.2016.2598445;10.1109/TVCG.2016.2598446;10.1109/INFVIS.2003.1249020;10.1109/TVCG.2008.173;10.1109/TVCG.2011.178;10.1109/TVCG.2012.256;10.1109/TVCG.2016.2598479;10.1109/TVCG.2013.150</t>
  </si>
  <si>
    <t>Fuchs, R.;Waser, J.;Groller, M.E.</t>
  </si>
  <si>
    <t>Dimension reduction,semantic interaction,exploratory data analysis,observation projection,attribute projection</t>
  </si>
  <si>
    <t>38099765400;38111592300;37282552200</t>
  </si>
  <si>
    <t>Fuchs, R.;Waser, J.;Groller, E.</t>
  </si>
  <si>
    <t>MotionRugs: Visualizing Collective Trends in Space and Time</t>
  </si>
  <si>
    <t>10.1109/TVCG.2018.2865049</t>
  </si>
  <si>
    <t>4376165;4658178;4389001;4389000</t>
  </si>
  <si>
    <t>http://dx.doi.org/10.1109/TVCG.2018.2865049</t>
  </si>
  <si>
    <t>37403060100;37279493500</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</si>
  <si>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</si>
  <si>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Juri Buchmüller;Dominik Jäckle;Eren Cakmak;Ulrik Brandes;Daniel A. Keim</t>
  </si>
  <si>
    <t>University of Konstanz, Germany;University of Konstanz, Germany;University of Konstanz, Germany;ETH Zurich, Switzerland;University of Konstanz, Germany</t>
  </si>
  <si>
    <t>10.1109/TVCG.2013.193;10.1109/TVCG.2011.226;10.1109/VAST.2009.5332593;10.1109/TVCG.2009.145;10.1109/VAST.2014.7042477;10.1109/TVCG.2006.193;10.1109/TVCG.2013.192;10.1109/TVCG.2008.125;10.1109/TVCG.2012.265</t>
  </si>
  <si>
    <t>4658160;809864;1372194;1250402;4376167;636793;4658174;4035762</t>
  </si>
  <si>
    <t>Spatio-Temporal Visualization,Spatial Abstraction,Spatial Index Structures,Collective Movement</t>
  </si>
  <si>
    <t>Drag and Track: A Direct Manipulation Interface for Contextualizing Data Instances within a Continuous Parameter Space</t>
  </si>
  <si>
    <t>10.1109/TVCG.2018.2865051</t>
  </si>
  <si>
    <t>http://dx.doi.org/10.1109/TVCG.2018.2865051</t>
  </si>
  <si>
    <t>Wei Chen;Zhicheng Yan;Song Zhang;Crow, J.A.;Ebert, D.S.;McLaughlin, R.M.;Mullins, K.B.;Cooper, R.;Zi'ang Ding;Jun Liao</t>
  </si>
  <si>
    <t>37279188600;38103982100;37277708500;38108843800;38472155800;38109676900;38108596500;37398897600;37833873400;38101476700</t>
  </si>
  <si>
    <t>4015466;1532856;4015499;1532777;1250425;1532854;885694</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</si>
  <si>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</si>
  <si>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Daniel Orban;Daniel F. Keefe;Ayan Biswas;James P. Ahrens;David H. Rogers</t>
  </si>
  <si>
    <t>Daniel Orban;Daniel F. Keefe;Ayan Biswas;James Ahrens;David Rogers</t>
  </si>
  <si>
    <t>University of Minnesota, USA;University of Minnesota, USA;Los Alamos National Labs;Los Alamos National Labs;Los Alamos National Labs</t>
  </si>
  <si>
    <t>Knoll, A.;Hijazi, Y.;Westerteiger, R.;Schott, M.;Hansen, C.;Hagen, H.</t>
  </si>
  <si>
    <t>10.1109/TVCG.2013.133;10.1109/TVCG.2016.2598869;10.1109/VAST.2012.6400486;10.1109/TVCG.2010.190;10.1109/TVCG.2013.147;10.1109/VAST.2012.6400489;10.1109/TVCG.2015.2467436;10.1109/TVCG.2012.260;10.1109/VAST.2011.6102449;10.1109/TVCG.2015.2467204;10.1109/TVCG.2013.141;10.1109/TVCG.2017.2745178;10.1109/TVCG.2014.2346455;10.1109/TVCG.2016.2598589;10.1109/TVCG.2016.2598495;10.1109/TVCG.2016.2598839;10.1109/TVCG.2014.2346321;10.1109/TVCG.2011.248;10.1109/TVCG.2016.2598830</t>
  </si>
  <si>
    <t>37692671900;37544121300;38108787400;38099955600;37266777200;37282578800</t>
  </si>
  <si>
    <t>Visual Parameter Space Analysis,Ensemble Visualization,Semantic Interaction,Direct Manipulation,Shock Physics</t>
  </si>
  <si>
    <t>346320;1250384;1250412;745713;4015486;885683;4015483;964490;1372230;745300</t>
  </si>
  <si>
    <t>963289;1249020;1532151;1382899;4015436;1382884;4376144;4015416;1532133;1382900;1532126;4035752;346302;4376132;1532132;729560;4376151</t>
  </si>
  <si>
    <t>37875062100;37279493500</t>
  </si>
  <si>
    <t>885091;963278;1532148;1173156;559214;729558;1532132;1382906;1173151</t>
  </si>
  <si>
    <t>Barsky, A.;Munzner, T.;Gardy, J.;Kincaid, R.</t>
  </si>
  <si>
    <t>37869962900;37349490300;37869963200;37587984100</t>
  </si>
  <si>
    <t>1532151;4015435;4015424</t>
  </si>
  <si>
    <t>Zhicheng Liu;Nersessian, N.J.;Stasko, J.T.</t>
  </si>
  <si>
    <t>37592993600;37412991300;37267736900</t>
  </si>
  <si>
    <t>Zhicheng Liu;Nersessian, N.J.;Stasko, J.</t>
  </si>
  <si>
    <t>4376144;4376131;4389006;885092</t>
  </si>
  <si>
    <t>Robertson, G.;Fernandez, R.;Fisher, D.;Bongshin Lee;Stasko, J.</t>
  </si>
  <si>
    <t>37448060300;37603822300;37542391000;37293389400;37267736900</t>
  </si>
  <si>
    <t>801854;4376146</t>
  </si>
  <si>
    <t>Hinrichs, U.;Schmidt, H.;Carpendale, S.</t>
  </si>
  <si>
    <t>37869968000;37874733000;37285000100</t>
  </si>
  <si>
    <t>4376134;1382897;1249031;1532122;4376145</t>
  </si>
  <si>
    <t>Zhen Wen;Zhou, M.X.</t>
  </si>
  <si>
    <t>37548307800;37399569300</t>
  </si>
  <si>
    <t>1532136;1382885;4015421;885092;1249015;146375;4376131</t>
  </si>
  <si>
    <t>Dwyer, T.;Marriott, K.;Schreiber, F.;Stuckey, P.;Woodward, M.;Wybrow, M.</t>
  </si>
  <si>
    <t>37326161000;37354163600;37867195800;37372661500;37872168500;37867777700</t>
  </si>
  <si>
    <t>1173159;4015419;4015435;1532126;1382909;4015434;1173148;1382906;801854</t>
  </si>
  <si>
    <t>37391623900;37405368200;37272637300;37280665600;37293190400</t>
  </si>
  <si>
    <t>4376143;4376155;1382909;1249008;1532150;1382906;1532138;4015425</t>
  </si>
  <si>
    <t>State Key Lab of CAD&amp;CG, Zhejiang University, China;State Key Lab of CAD&amp;CG, Zhejiang University, China;State Key Lab of CAD&amp;CG, Zhejiang University, China;State Key Lab of CAD&amp;CG, Zhejiang University, China;State Key Lab of CAD&amp;CG, Zhejiang University, China;Purdue University, United States of America</t>
  </si>
  <si>
    <t>Heer, J.;Mackinlay, J.;Stolte, C.;Agrawala, M.</t>
  </si>
  <si>
    <t>37550791300;37372036700;37442008700;37282718200</t>
  </si>
  <si>
    <t>885086;398857;809871;1382890;480801;4376133;4388992</t>
  </si>
  <si>
    <t>Paulovich, F.V.;Minghim, R.</t>
  </si>
  <si>
    <t>37590969400;37371567600</t>
  </si>
  <si>
    <t>809866;175815;4389002;567787</t>
  </si>
  <si>
    <t>Henry, N.;Bezerianos, A.;Fekete, J.</t>
  </si>
  <si>
    <t>;37413699200;37407972900</t>
  </si>
  <si>
    <t>4376154;4015417;4035752;4015416;636792;4015425;1249011</t>
  </si>
  <si>
    <t>Freiler, W.;Matkovic, K.;Hauser, H.</t>
  </si>
  <si>
    <t>38017008700;38220979200;37274158800</t>
  </si>
  <si>
    <t>Johannes Weissenb̦ck;Artem Amirkhanov;M. Eduard Gr̦ller;Johann Kastner;Christoph Heinzl</t>
  </si>
  <si>
    <t>801860;146402;963288;1249016;4389006;1532139;175815</t>
  </si>
  <si>
    <t>Butkiewicz, T.;Wenwen Dou;Wartell, Z.;Ribarsky, W.;Chang, R.</t>
  </si>
  <si>
    <t>37591215700;37606064200;37297344900;37300425000;37592409400</t>
  </si>
  <si>
    <t>885102;4376137</t>
  </si>
  <si>
    <t>Yuntao Jia;Hoberock, J.;Garland, M.;Hart, J.C.</t>
  </si>
  <si>
    <t>37532721900;37869982300;37272036400;37301161800</t>
  </si>
  <si>
    <t>1532819;4015433;1249011</t>
  </si>
  <si>
    <t>Luboschik, M.;Schumann, H.;Cords, H.</t>
  </si>
  <si>
    <t>37869995900;37283240400;37869995100</t>
  </si>
  <si>
    <t>4015429;4015429;1532856</t>
  </si>
  <si>
    <t>van Ham, F.;Rogowitz, B.</t>
  </si>
  <si>
    <t>37882135400;37332114400</t>
  </si>
  <si>
    <t>Link̦ping University, Sweden;Link̦ping University, Sweden;Link̦ping University, Sweden;Link̦ping University, Sweden</t>
  </si>
  <si>
    <t>1382886;4376131</t>
  </si>
  <si>
    <t>Muelder, C.;Kwan-Liu Ma</t>
  </si>
  <si>
    <t>37299311900;37275869400</t>
  </si>
  <si>
    <t>1173159;1532145;1532126;1382906;4376155</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</si>
  <si>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&amp;#x201C;invariants&amp;#x201D;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</si>
  <si>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Elmqvist, N.;Dragicevic, P.;Fekete, J.</t>
  </si>
  <si>
    <t>37295438200;37590932700;37407972900</t>
  </si>
  <si>
    <t>4376144;4389013;4376131;146386;4035743;1532136;346302;729568;485139;1249016;885086;1382892;1382905;4376146;1382895</t>
  </si>
  <si>
    <t>Wood, J.;Dykes, J.</t>
  </si>
  <si>
    <t>37399045100;37605079900</t>
  </si>
  <si>
    <t>963283;963290;4376129;4376152</t>
  </si>
  <si>
    <t>Byron, L.;Wattenberg, M.</t>
  </si>
  <si>
    <t>37868017200;37550759700</t>
  </si>
  <si>
    <t>4015420;1532122;4376131;885098</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</si>
  <si>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</si>
  <si>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1382885;1173153;1382905;963290</t>
  </si>
  <si>
    <t>Wattenberg, M.;Viegas, F.B.</t>
  </si>
  <si>
    <t>37550759700;</t>
  </si>
  <si>
    <t>Philipp Koytek;Charles Perin;Jo Vermeulen;Elisabeth Andr̩;Sheelagh Carpendale</t>
  </si>
  <si>
    <t>1173155;4389006;4376131;1173148</t>
  </si>
  <si>
    <t>Dork, M.;Carpendale, S.;Collins, C.;Williamson, C.</t>
  </si>
  <si>
    <t>;37285000100;37669874100;37276124700</t>
  </si>
  <si>
    <t>4376138;4376132;4376131;398863;1532122;567610</t>
  </si>
  <si>
    <t>Chan, B.;Wu, L.;Talbot, J.;Cammarano, M.;Hanrahan, P.</t>
  </si>
  <si>
    <t>37876908500;37877444800;37604514900;37870000300;37349803800</t>
  </si>
  <si>
    <t>4376141;4376131;4389010</t>
  </si>
  <si>
    <t>Kidwell, P.;Lebanon, G.;Cleveland, W.S.</t>
  </si>
  <si>
    <t>37865597100;37427770800;37282344300</t>
  </si>
  <si>
    <t>Romero, M.;Summet, J.;Stasko, J.;Abowd, G.</t>
  </si>
  <si>
    <t>37878399300;37300431800;37267736900;37297994200</t>
  </si>
  <si>
    <t>1250401;4376136</t>
  </si>
  <si>
    <t>Draper, G.;Riesenfeld, R.F.</t>
  </si>
  <si>
    <t>37869715500;37448812400</t>
  </si>
  <si>
    <t>4376187;559210;1532134;963279;146402;4376141;4035756;729555;963287;885086;4376146;4389013;885091;4376131;4015425</t>
  </si>
  <si>
    <t>Giereth, M.;Bosch, H.;Ertl, T.</t>
  </si>
  <si>
    <t>37681276000;37683989300;37268023800</t>
  </si>
  <si>
    <t>Savikhin, A.;Maciejewski, R.;Ebert, D.S.</t>
  </si>
  <si>
    <t>37681662800;37396008400;38472157100</t>
  </si>
  <si>
    <t>Jochen G̦rtler;Christoph Schulz;Daniel Weiskopf;Oliver Deussen</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</si>
  <si>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</si>
  <si>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Correa, C.D.;Crnovrsanin, T.;Muelder, C.;Zeqian Shen;Armstrong, R.;Shearer, J.;Kwan-Liu Ma</t>
  </si>
  <si>
    <t>Correa, C.;Crnovrsanin, T.;Muelder, C.;Zeqian Shen;Armstrong, R.;Shearer, J.;Kwan-Liu Ma</t>
  </si>
  <si>
    <t>Cell phone mini challenge award: Social network accuracy&amp;#x2014; exploring temporal communication in mobile call graphs</t>
  </si>
  <si>
    <t>Farrugia, M.;Quigley, A.</t>
  </si>
  <si>
    <t>Mohamed Ibrahim;Patrick Wickenh�_user;Peter Rautek;Guido Reina;Markus Hadwiger</t>
  </si>
  <si>
    <t>Gotz, D.;Zhou, M.X.</t>
  </si>
  <si>
    <t>Alexander Bock;Harish Doraiswamy;Adam Summers;Cl��udio T. Silva</t>
  </si>
  <si>
    <t>37601397400;37399569300</t>
  </si>
  <si>
    <t>Alexander Bock;Harish Doraiswamy;Adam Summers;Cl��udio Silva</t>
  </si>
  <si>
    <t>1382890;559213;4376131;1532788;4388992;1532136;729560;1382902;4035747;885092;146375;1183791</t>
  </si>
  <si>
    <t>Robinson, A.C.</t>
  </si>
  <si>
    <t>4389011;4376133;4376145</t>
  </si>
  <si>
    <t>Haichao Miao;Elisa De Llano;Johannes Sorger;Yasaman Ahmadi;Tadija Kekic;Tobias Isenberg 0001;M. Eduard Gr̦ller;Ivan Barisic;Ivan Viola</t>
  </si>
  <si>
    <t>Haichao Miao;Elisa De Llano;Johannes Sorger;Yasaman Ahmadi;Tadija Kekic;Tobias Isenberg;M. Eduard Gr̦ller;Ivan Bari��i��;Ivan Viola</t>
  </si>
  <si>
    <t>TU Wien, Austria;Austrian Institute of Technology;TU Wien, Austria;Austrian Institute of Technology;Austrian Institute of Technology;Universit̩ Paris-Saclay, France;TU Wien, Austria;Austrian Institute of Technology;TU Wien, Austria</t>
  </si>
  <si>
    <t>Michael Kern;Tim Hewson;Filip Sadlo;R�_diger Westermann;Marc Rautenhaus</t>
  </si>
  <si>
    <t>Computer Graphics &amp; Visualization Group, Technische Universit�_t, M�_nchen, Garching, Germany;European Centre for Medium-Range Weather Forecasts, Reading, UK;Visual Computing Group, Heidelberg University, Heidelberg, Germany;Computer Graphics &amp; Visualization Group, Technische Universit�_t, M�_nchen, Garching, Germany;Computer Graphics &amp; Visualization Group, Technische Universit�_t, M�_nchen, Garching, Germany</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</si>
  <si>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</si>
  <si>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Kapler, T.;Eccles, R.;Harper, R.;Wright, W.</t>
  </si>
  <si>
    <t>37704437500;37425695700;37594531000;37654961400</t>
  </si>
  <si>
    <t>4035741;963281;1382887;1173160</t>
  </si>
  <si>
    <t>Valle, M.;Oganov, Artem R.</t>
  </si>
  <si>
    <t>37866298300;37570687200</t>
  </si>
  <si>
    <t>Valle, M.;Oganov, A.R.</t>
  </si>
  <si>
    <t>Bier, E.A.;Card, S.K.;Bodnar, J.W.</t>
  </si>
  <si>
    <t>37282252000;37444594200;37830251400</t>
  </si>
  <si>
    <t>4035744;4389006</t>
  </si>
  <si>
    <t>Jae-wook Ahn;Brusilovsky, P.</t>
  </si>
  <si>
    <t>37290862300;37265243700</t>
  </si>
  <si>
    <t>Interactive Media Lab, Technische Universit�_t Dresden, Germany;Interactive Media Lab, Technische Universit�_t Dresden, Germany;Interactive Media Lab, Technische Universit�_t Dresden, Germany</t>
  </si>
  <si>
    <t>Ashok Jallepalli;Julia Docampo-S��nchez;Jennifer K. Ryan;Robert Haimes;Robert Michael Kirby</t>
  </si>
  <si>
    <t>Ashok Jallepalli;Julia Docampo-S��nchez;Jennifer K. Ryan;Robert Haimes;Robert M. Kirby</t>
  </si>
  <si>
    <t>Andrienko, N.;Andrienko, G.</t>
  </si>
  <si>
    <t>Bouvier, D.J.;Oates, B.</t>
  </si>
  <si>
    <t>Simeone, A.L.;Paolo, B.</t>
  </si>
  <si>
    <t>Dong Hyun Jeong;Wenwen Dou;Lipford, H.R.;Stukes, F.;Chang, R.;Ribarsky, W.</t>
  </si>
  <si>
    <t>37400451800;37606064200;37601288800;37601289000;37592409400;37300425000</t>
  </si>
  <si>
    <t>Reddy, C.K.;Pokharkar, S.;Tin Kam Ho</t>
  </si>
  <si>
    <t>;37871721600;37331517300</t>
  </si>
  <si>
    <t>Chien, L.;Tat, A.;Proulx, P.;Khamisa, A.;Wright, W.</t>
  </si>
  <si>
    <t>Pellegrino, D.;Chi-Chun Pan;Robinson, A.;Stryker, M.;Junyan Luo;Weaver, C.;Mitra, P.;Chaomei Chen;Turton, I.;MacEachren, A.</t>
  </si>
  <si>
    <t>Pellegrino, D.;Chi-Chun Pan;Robinson, A.;Stryker, M.;Junyan Luo;Weaver, C.;Mitra, P.;Chaomei Chen;Turton, I.;MacEachren, A.M.</t>
  </si>
  <si>
    <t>Payne, J.;Solomon, J.;Sankar, R.;McGrew, B.</t>
  </si>
  <si>
    <t>Montemayor, J.;Diehl, C.;Pekala, M.;Patrone, D.</t>
  </si>
  <si>
    <t>37295585500;37331563200;37270659700;37871719400</t>
  </si>
  <si>
    <t>Andrysco, N.;Benes, B.;Gurney, K.</t>
  </si>
  <si>
    <t>37660812000;37282737400;37297987800</t>
  </si>
  <si>
    <t>Godwin, A.;Chang, R.;Kosara, R.;Ribarsky, W.</t>
  </si>
  <si>
    <t>37593027200;37592409400;37282563400;37300425000</t>
  </si>
  <si>
    <t>Sye-Min Chan;Ling Xiao;Gerth, J.;Hanrahan, P.</t>
  </si>
  <si>
    <t>37881321800;37836526900;37840462500;37349803800</t>
  </si>
  <si>
    <t>4035755;4388998</t>
  </si>
  <si>
    <t>Holland, B.;Kuchy, L.;Dalton, J.</t>
  </si>
  <si>
    <t>Andr̩ Calero Valdez;Martina Ziefle;Michael Sedlmair</t>
  </si>
  <si>
    <t>Miklin, R.;Lipic, T.;Konyha, Z.;Beric, M.;Freiler, W.;Matkovic, K.;Gracanin, D.</t>
  </si>
  <si>
    <t>Garg, S.;Nam, J.E.;Ramakrishnan, I.V.;Mueller, K.</t>
  </si>
  <si>
    <t>37592970300;;37874636200;37273119700</t>
  </si>
  <si>
    <t>Garg, S.;Nam, J.E.;Ramakrishnan, I.;Mueller, K.</t>
  </si>
  <si>
    <t>4035755;4388999;4388998;4389003;4389000;4035765;4035754;4388992;4376186;146402;146386</t>
  </si>
  <si>
    <t>4015439;4035745;1249024;885086;346302;729560;4376133;4389006</t>
  </si>
  <si>
    <t>Barlowe, S.;Tianyi Zhang;Yujie Liu;Jing Yang;Jacobs, D.</t>
  </si>
  <si>
    <t>37591128900;37875136000;37537604400;37292632600;37883522400</t>
  </si>
  <si>
    <t>Qiaomu Shen;Wei Zeng;Yu Ye;Stefan M�_ller Arisona;Simon Schubiger-Banz;Remo Aslak Burkhard;Huamin Qu</t>
  </si>
  <si>
    <t>Qiaomu Shen;Wei Zeng;Yu Ye;Stefan M�_ller Arisona;Simon Schubiger;Remo Burkhard;Huamin Qu</t>
  </si>
  <si>
    <t>1532142;1382902;485140;485139;1382892;1382893</t>
  </si>
  <si>
    <t>Fisher, D.;Hoff, A.;Robertson, G.;Hurst, M.</t>
  </si>
  <si>
    <t>37542391000;37867220900;37448060300;37884821400</t>
  </si>
  <si>
    <t xml:space="preserve">blogs, events, trends, time series, topic detection and tracking
</t>
  </si>
  <si>
    <t>1532122;801851</t>
  </si>
  <si>
    <t>Shrinivasan, Y.B.;van Wijk, J.J.</t>
  </si>
  <si>
    <t>37681468200;37267249200</t>
  </si>
  <si>
    <t>Pike, W.A.;Bruce, J.;Baddeley, B.;Best, D.;Franklin, L.;May, R.;Rice, D.M.;Riensche, R.;Younkin, K.</t>
  </si>
  <si>
    <t>38330085300;37686679000;37295089300;37872380700;37867848700;37352747200;37866654000;37295087900;37697482300</t>
  </si>
  <si>
    <t>4376131;4015432;4388996;1532133;398874;4389006;4388991</t>
  </si>
  <si>
    <t>Maciejewski, R.;Rudolph, S.;Hafen, R.;Abusalah, A.;Yakout, M.;Ouzzani, M.;Cleveland, W.S.;Grannis, S.J.;Wade, M.;Ebert, D.S.</t>
  </si>
  <si>
    <t>37396008400;37396006000;37396008600;37872486500;38337088800;38365116100;37282344300;37646590100;37867664300;38472157000</t>
  </si>
  <si>
    <t>963294;4388991;729566;485139;4388993</t>
  </si>
  <si>
    <t>Aragon, C.R.;Poon, S.S.;Aldering, G.S.;Thomas, R.C.;Quimby, R.</t>
  </si>
  <si>
    <t>37564069800;37868031100;37871736600;37874439800;37867573100</t>
  </si>
  <si>
    <t>Aragon, C.R.;Poon, S.;Aldering, G.S.;Thomas, R.C.;Quimby, R.</t>
  </si>
  <si>
    <t>4388997;4388998;4388993;4035759;4388991;4388996;4388994;4035751;4015458;1382887</t>
  </si>
  <si>
    <t>Grinstein, G.;Plaisant, C.;Laskowski, S.;O'Connell, T.;Scholtz, J.;Whiting, M.</t>
  </si>
  <si>
    <t>Ye Zhao;Alsakran, J.;Xinlei Zhao</t>
  </si>
  <si>
    <t>37277701200;37846905500;37880820400</t>
  </si>
  <si>
    <t>Gerhardt, F.J.;Meyer, J.</t>
  </si>
  <si>
    <t>37645639800;37279771900</t>
  </si>
  <si>
    <t>Gerhardt, F.;Meyer, J.</t>
  </si>
  <si>
    <t>Green, T.M.;Ribarsky, W.;Fisher, B.</t>
  </si>
  <si>
    <t>37403562900;37300425000;37267458000</t>
  </si>
  <si>
    <t>1532781;4035765;4376137;4389006;4389005;4389009;528686</t>
  </si>
  <si>
    <t>Schreck, T.;Bernard, J.;Tekusova, T.;Kohlhammer, J.</t>
  </si>
  <si>
    <t>37282557600;37606179600;37872455800;37449689200</t>
  </si>
  <si>
    <t>Oelke, D.;Bak, P.;Keim, D.A.;Last, M.;Danon, G.</t>
  </si>
  <si>
    <t>37591207400;37392085400;37283138700;37270862400;37872415700</t>
  </si>
  <si>
    <t>398863;528686;4389004</t>
  </si>
  <si>
    <t>Chen Yu;Yiwen Zhong;Smith, T.;Park, I.;Weixia Huang</t>
  </si>
  <si>
    <t>37404663400;37876145600;37872609000;37872999700;37874639400</t>
  </si>
  <si>
    <t xml:space="preserve">visual data mining, multimedia data
</t>
  </si>
  <si>
    <t>963273;801851</t>
  </si>
  <si>
    <t>Weigle, C.;Banks, D.C.</t>
  </si>
  <si>
    <t>37282585600;37356983700</t>
  </si>
  <si>
    <t>4015478;1250395</t>
  </si>
  <si>
    <t>Gyulassy, A.;Bremer, P.-T.;Hamann, B.;Pascucci, V.</t>
  </si>
  <si>
    <t>37870001700;37564112000;37282068700;37284312600</t>
  </si>
  <si>
    <t>1532839;745329;1372235;4376172;745312;885680;885703;4015464</t>
  </si>
  <si>
    <t>Chandak, A.;Lauterbach, C.;Taylor, M.;Zhimin Ren;Manocha, D.</t>
  </si>
  <si>
    <t>37883391100;37606258500;37874722500;37401362100;37267825600</t>
  </si>
  <si>
    <t>4376202;4015479;1532790</t>
  </si>
  <si>
    <t>Kuhn, G.R.;Oliveira, M.M.;Fernandes, Leandro A.F.</t>
  </si>
  <si>
    <t>37882399100;37554064200;37349793000</t>
  </si>
  <si>
    <t>Kuhn, G.R.;Oliveira, M.M.;Fernandes, L.A.F.</t>
  </si>
  <si>
    <t>Minho Kim;Entezari, A.;Peters, J.</t>
  </si>
  <si>
    <t>37878688900;37268675600;37288759800</t>
  </si>
  <si>
    <t>Tobias Klein;Ludovic Autin;Barbora Kozl�_kov��;David S. Goodsell;Arthur J. Olson;M. Eduard Gr̦ller;Ivan Viola</t>
  </si>
  <si>
    <t>Tobias Klein;Ludovic Autin;Barbora Kozl�_kov��;David S. Goodsell;Arthur Olson;M. Eduard Gr̦ller;Ivan Viola</t>
  </si>
  <si>
    <t>Haneen Mohammed;Ali K. Al-Awami;Johanna Beyer;Corrado Cal��;Pierre J. Magistretti;Hanspeter Pfister;Markus Hadwiger</t>
  </si>
  <si>
    <t>346331;4376189;964498;398851;1532811;1532810;1372174</t>
  </si>
  <si>
    <t>Janicke, H.;Bottinger, M.;Scheuermann, G.</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</si>
  <si>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(&lt;inline-formula&gt;&lt;tex-math notation="LaTeX"&gt;$\mathrm{N}=623$&lt;/tex-math&gt;&lt;alternatives&gt;&lt;inline-graphic xlink:href="24tvcg01-dragicevic-2744298-ieq-1-source.tif" xmlns:xlink="http://www.w3.org/1999/xlink"/&gt;&lt;/alternatives&gt;&lt;/inline-formula&gt;), the chart's contribution to understanding was clearly larger than its contribution to persuasion.</t>
  </si>
  <si>
    <t>;;37282574800</t>
  </si>
  <si>
    <t>Jänicke, H.;Bottinger, M.;Scheuermann, G.</t>
  </si>
  <si>
    <t>Inria;Sorbonne Universit̩sUPMC Univ Paris 6CNRSISIR</t>
  </si>
  <si>
    <t>1249024;1173157;485139;801858;567800;1372196;745289</t>
  </si>
  <si>
    <t>Lujin Wang;Giesen, J.;McDonnell, K.T.;Zolliker, P.;Mueller, K.</t>
  </si>
  <si>
    <t>37280763200;37325999500;37882660300;37680882500;37273119700</t>
  </si>
  <si>
    <t>398874;568118;4376200;4015448;964510</t>
  </si>
  <si>
    <t>Bachthaler, S.;Weiskopf, D.</t>
  </si>
  <si>
    <t>37869985900;37268045000</t>
  </si>
  <si>
    <t>4015490;4658188</t>
  </si>
  <si>
    <t>Burger, K.;Kruger, J.;Westermann, R.</t>
  </si>
  <si>
    <t>;;37444424000</t>
  </si>
  <si>
    <t>4015450;568110;1250384;1183762;1183777;4376160;1250381;885694;1372190;1532856;568108</t>
  </si>
  <si>
    <t>Dietrich, C.A.;Scheidegger, C.E.;Comba, J.L.D.;Nedel, L.P.;Silva, C.T.</t>
  </si>
  <si>
    <t>Thomas H̦llt;Nicola Pezzotti;Vincent van Unen;Frits Koning;Boudewijn P. F. Lelieveldt;Anna Vilanova</t>
  </si>
  <si>
    <t>37867422200;37550809300;37267034700;37329407400;37275249200</t>
  </si>
  <si>
    <t>Thomas H̦llt;Nicola Pezzotti;Vincent van Unen;Frits Koning;Boudewijn P.F. Lelieveldt;Anna Vilanova</t>
  </si>
  <si>
    <t>Dietrich, C.;Scheidegger, C.E.;Comba, J.L.D.;Nedel, L.P.;Silva, C.T.</t>
  </si>
  <si>
    <t>4015490;885704;346308;1372234;1250355;4015483;1183808;4376205</t>
  </si>
  <si>
    <t>Joshi, A.;Xiaoning Qian;Dione, D.P.;Bulsara, K.;Breuer, C.;Sinusas, A.J.;Papademetris, X.</t>
  </si>
  <si>
    <t>37278517400;37398059300;37326190800;37869716400;38181319900;37267968800;37294174000</t>
  </si>
  <si>
    <t>4015442;885694;4376160;1250353</t>
  </si>
  <si>
    <t>Degener, P.;Schnabel, R.;Schwartz, C.;Klein, R.</t>
  </si>
  <si>
    <t>37870005900;37867979100;37719871100;37271619700</t>
  </si>
  <si>
    <t>Yi Wang;Bowman, Doug;Krum, D.;Coalho, E.;Smith-Jackson, T.;Bailey, D.;Peck, S.;Anand, S.;Kennedy, T.;Abdrazakov, Y.</t>
  </si>
  <si>
    <t>37601156200;37282977600;37391946800;;37869683100;37871634800;37876923500;37884773500;37877319800;37869681100</t>
  </si>
  <si>
    <t>Yi Wang;Bowman, D.A.;Krum, D.;Coalho, E.;Smith-Jackson, T.;Bailey, D.;Peck, S.;Anand, S.;Kennedy, T.;Abdrazakov, Y.</t>
  </si>
  <si>
    <t>4376136;4376188;1250400</t>
  </si>
  <si>
    <t>Schultz, T.;Seidel, H.-P.</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</si>
  <si>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</si>
  <si>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37606352800;37271851300</t>
  </si>
  <si>
    <t>University of Washington;Universidad Cat�_lica San Pablo;University of Washington</t>
  </si>
  <si>
    <t>Blaas, J.;Botha, C.P.;Post, F.H.</t>
  </si>
  <si>
    <t>37550793100;37373834100;37295045800</t>
  </si>
  <si>
    <t>809866;4015444;1532138;1382894;346302;885739</t>
  </si>
  <si>
    <t>Christophe Hurter;St̩phane Puechmorel;Florence Nicol;Alexandru Telea</t>
  </si>
  <si>
    <t>Jos̩ Matute;Alexandru Telea;Lars Linsen</t>
  </si>
  <si>
    <t>Jos̩ Matute;Alexandru C. Telea;Lars Linsen</t>
  </si>
  <si>
    <t>Institute of Computer Science, Westf�_lische Wilhelms-Universit�_t M�_nster, Germany;Johann Bernoulli Institute for Mathematics and Computer Science, University of Groningen, Groningen, The Netherlands;Institute of Computer Science, Westf�_lische Wilhelms-Universit�_t M�_nster, Germany</t>
  </si>
  <si>
    <t>37407536000;37277268400;37324166000</t>
  </si>
  <si>
    <t>636786;1372190;559215;1250400;559214;729558;1532818</t>
  </si>
  <si>
    <t>Garth, C.;Krishnan, H.;Tricoche, X.;Tricoche, X.;Joy, K.I.</t>
  </si>
  <si>
    <t>37282573700;37866882400;;37282575100;37267811400</t>
  </si>
  <si>
    <t>Nicola Pezzotti;Thomas H̦llt;Jan C. van Gemert;Boudewijn P. F. Lelieveldt;Elmar Eisemann;Anna Vilanova</t>
  </si>
  <si>
    <t>Nicola Pezzotti;Thomas H̦llt;Jan Van Gemert;Boudewijn P.F. Lelieveldt;Elmar Eisemann;Anna Vilanova</t>
  </si>
  <si>
    <t>398875;964506;1372234;235211;235226</t>
  </si>
  <si>
    <t>37285799200;37868989800;37290589700;37276603700;37276553900</t>
  </si>
  <si>
    <t>Meyer-Spradow, J.;Stegger, L.;Doring, C.;Ropinski, T.;Hinrichs, K.</t>
  </si>
  <si>
    <t>37869986400;37273031400;;37295281400;37267218300</t>
  </si>
  <si>
    <t>1250425;4015499;4376196;745294</t>
  </si>
  <si>
    <t>Kehrer, J.;Ladstadter, F.;Muigg, P.;Doleisch, H.;Steiner, A.;Hauser, H.</t>
  </si>
  <si>
    <t>37546620000;;37546620600;37546620400;37884365600;37274158800</t>
  </si>
  <si>
    <t>1532138;346302;1532850;4015444</t>
  </si>
  <si>
    <t>37405886900;37401024100;37275869400</t>
  </si>
  <si>
    <t>480809;1250402;4376165;4015449;964531;346321;809910;1372190</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</si>
  <si>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</si>
  <si>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Hentschel, B.;Tedjo, I.;Probst, M.;Wolter, M.;Behr, M.;Bischof, C.;Kuhlen, T.</t>
  </si>
  <si>
    <t>37680074400;37870001300;37867688300;37666649000;37865964700;37330529700;37391845800</t>
  </si>
  <si>
    <t>1372217;175771;1372188;1183798;398849;4015499;4015482;175781;567777</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</si>
  <si>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</si>
  <si>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Schneider, D.;Wiebel, A.;Carr, H.;Hlawitschka, M.;Scheuermann, G.</t>
  </si>
  <si>
    <t>37869538100;37565763400;37282624500;37403333700;37282574800</t>
  </si>
  <si>
    <t>4015446;964519;1372214;4376165;1532830;4015447;1372235;1250374;4376167;1532848;663875;1532835</t>
  </si>
  <si>
    <t>Matkovic, K.;Gracanin, D.;Jelovic, M.;Hauser, H.</t>
  </si>
  <si>
    <t>38188281400;37272650400;38188282900;37274158800</t>
  </si>
  <si>
    <t>1382904;745289;1532821;1532143;1250417;1532850</t>
  </si>
  <si>
    <t>Johnson, G.P.;Calo, V.M.;Gaither, K.P.</t>
  </si>
  <si>
    <t>37269399700;37282574300;37282571800</t>
  </si>
  <si>
    <t>Johnson, G.P.;Calo, V.;Gaither, K.</t>
  </si>
  <si>
    <t>1532792;398850;1532794;175818;1372217</t>
  </si>
  <si>
    <t>Hadwiger, M.;Laura, F.;Rezk-Salama, C.;Hollt, T.;Geier, G.;Pabel, T.</t>
  </si>
  <si>
    <t>37394809600;;37404228800;;37869963700;37869964100</t>
  </si>
  <si>
    <t>1250418;964519;663875;964516</t>
  </si>
  <si>
    <t>Tricoche, X.;Kindlmann, G.;Westin, C.-F.</t>
  </si>
  <si>
    <t>37282575100;37282742400;37294318400</t>
  </si>
  <si>
    <t>1372212;4376179;809896;175773;346326;346326;146359;4376174</t>
  </si>
  <si>
    <t>Joshi, A.;Scheinost, D.;Vives, K.P.;Spencer, D.D.;Staib, L.H.;Papademetris, X.</t>
  </si>
  <si>
    <t>37278517400;37869717400;37294407100;37290937600;37284143200;37294174000</t>
  </si>
  <si>
    <t>885694;1183762</t>
  </si>
  <si>
    <t>Oliver R�_bel;Benjamin P. Bowen</t>
  </si>
  <si>
    <t>Peter Mindek;David Kouril;Johannes Sorger;Daniel Toloudis;Blair Lyons;Graham Johnson;M. Eduard Gr̦ller;Ivan Viola</t>
  </si>
  <si>
    <t>Peter Mindek;David Kou��il;Johannes Sorger;Daniel Toloudis;Blair Lyons;Graham Johnson;M. Eduard Gr̦ller;Ivan Viola</t>
  </si>
  <si>
    <t>Meyer, M.;Whitaker, R.;Kirby, R.M.;Ledergerber, C.;Pfister, H.</t>
  </si>
  <si>
    <t>37564728700;37267322600;37275716100;37869733800;37275698100</t>
  </si>
  <si>
    <t>Meyer, M.;Whitaker, R.T.;Kirby, R.M.;Ledergerber, C.;Pfister, H.</t>
  </si>
  <si>
    <t>1183808;4376205;663930;4376170;4376183;4015483;663887</t>
  </si>
  <si>
    <t>Gosink, L.J.;Anderson, J.C.;Bethel, E.W.;Joy, K.I.</t>
  </si>
  <si>
    <t>Gosink, L.;Anderson, J.C.;Bethel, E.W.;Joy, K.I.</t>
  </si>
  <si>
    <t>885704;1532792;4035755;1183820;1250402;4376167;398869;1532793</t>
  </si>
  <si>
    <t>37401176900;37272637300;37406959900;37306814700;37407308300</t>
  </si>
  <si>
    <t>4376187;4376144;4015466;809871;4376143;4376185;885694;1249009;4376160;1532835;1532788;4376159;1532834;1532856;4376170;1532833</t>
  </si>
  <si>
    <t>Scheidegger, C.E.;Schreiner, J.M.;Duffy, B.;Carr, H.;Silva, C.T.</t>
  </si>
  <si>
    <t>Scheidegger, C.E.;Schreiner, J.;Duffy, B.;Carr, H.;Silva, C.T.</t>
  </si>
  <si>
    <t>4015490;4658159;964519;964515;663875;964516</t>
  </si>
  <si>
    <t>Andrea Unger;Nadine Dr�_ger;Mike Sips;Dirk J. Lehmann</t>
  </si>
  <si>
    <t>Kruger, A.;Kubisch, C.;Preim, B.;Preim, B.</t>
  </si>
  <si>
    <t>;37869714800;37424645300;37866137400</t>
  </si>
  <si>
    <t>1250370;1250384;1372237</t>
  </si>
  <si>
    <t>Author Affiliation</t>
  </si>
  <si>
    <t>Experimental: OCRd Author Affiliations</t>
  </si>
  <si>
    <t>Dominik Sacha;Matthias Kraus;J�_rgen Bernard;Michael Behrisch;Tobias Schreck;Yuki Asano;Daniel A. Keim</t>
  </si>
  <si>
    <t>University of Konstanz, Germany;University of Konstanz, Germany;TU Darmstadt, Germany;University of Konstanz, Germany;Graz University of Technology;University of T�_bingen;University of Konstanz, Germany</t>
  </si>
  <si>
    <t>J�_rgen Bernard;Marco Hutter;Matthias Zeppelzauer;Dieter W. Fellner;Michael Sedlmair</t>
  </si>
  <si>
    <t>J�_rgen Bernard;Marco Hutter;Matthias Zeppelzauer;Dieter Fellner;Michael Sedlmair</t>
  </si>
  <si>
    <t>Technische Universit�_t Darmstadt, Darmstadt, Germany;Technische Universit�_t Darmstadt, Darmstadt, Germany;St. P̦lten University of Applied Sciences, St. P̦lten, Austria;Fraunhofer IGD, Darmstadt, Germany;University of Vienna, Vienna, Austria</t>
  </si>
  <si>
    <t>Stanford University Stanford##Stanford University Stanford</t>
  </si>
  <si>
    <t>Kanit Wongsuphasawat;Daniel Smilkov;James Wexler;Jimbo Wilson;Dan Man̩;Doug Fritz;Dilip Krishnan;Fernanda B. Vi̩gas;Martin Wattenberg</t>
  </si>
  <si>
    <t>Kanit Wongsuphasawat;Daniel Smilkov;James Wexler;Jimbo Wilson;Dandelion Man̩;Doug Fritz;Dilip Krishnan;Fernanda B. Vi̩gas;Martin Wattenberg</t>
  </si>
  <si>
    <t>Sterling Federal Systems Inc##Sterling Federal Systems Inc##Sterling Federal Systems Inc##Sterling Federal Systems Inc##Sterling Federal Systems Inc##Sterling Federal Systems Inc</t>
  </si>
  <si>
    <t>1250414;809932;885694;964519;1372209;1250413;480812;1250369;1532817</t>
  </si>
  <si>
    <t>University of Wisconsin -Madison##University of Wisconsin -Madison</t>
  </si>
  <si>
    <t>von Funck, W.;Weinkauf, T.;Theisel, H.;Seidel, H.-P.</t>
  </si>
  <si>
    <t>37869714300;37282635100;37266875400;37271851300</t>
  </si>
  <si>
    <t>485141;398846;235211;964506;398877</t>
  </si>
  <si>
    <t>Rosenthal, P.;Linsen, L.</t>
  </si>
  <si>
    <t>37643113600;37266826500</t>
  </si>
  <si>
    <t>1183773;1250357</t>
  </si>
  <si>
    <t>Linsen, L.;Van Long, T.;Rosenthal, P.;Rosswog, S.</t>
  </si>
  <si>
    <t>37266826500;;37643113600;37869996100</t>
  </si>
  <si>
    <t>4376165;4015446;4376166;4015447;4376206</t>
  </si>
  <si>
    <t>Cipriano, G.;Gleicher, M.</t>
  </si>
  <si>
    <t>37882969500;37282585700</t>
  </si>
  <si>
    <t>Arizona State University Tempe##Arizona State University Tempe</t>
  </si>
  <si>
    <t>Caban, J.J.;Rheingans, P.</t>
  </si>
  <si>
    <t>37541275000;37282292000</t>
  </si>
  <si>
    <t>964519;1250413;1250414</t>
  </si>
  <si>
    <t>Patel, D.;Giertsen, C.;Thurmond, J.;Gjelberg, J.;Groller, E.</t>
  </si>
  <si>
    <t>37402844200;37884872900;37869961500;37869959900;</t>
  </si>
  <si>
    <t>809905;1532802;175811</t>
  </si>
  <si>
    <t>University of Maryland College Park</t>
  </si>
  <si>
    <t>Sharko, J.;Grinstein, G.;Marx, K.A.</t>
  </si>
  <si>
    <t>37869996300;37360588500;37606703800</t>
  </si>
  <si>
    <t>Sharko, J.;Grinstein, G.;Marx, K.</t>
  </si>
  <si>
    <t>1382895;663916;729568</t>
  </si>
  <si>
    <t>Koop, D.;Scheidegger, C.E.;Callahan, S.P.;Freire, J.;Silva, C.T.</t>
  </si>
  <si>
    <t>4376187;4376131;1532834;1532833;1532788;1532795</t>
  </si>
  <si>
    <t>Zhou, K.;Zhang, E.;Bittner, J.;Wonka, P.</t>
  </si>
  <si>
    <t>37873595500;37398562200;37739087200;37304396700</t>
  </si>
  <si>
    <t>Visiting the G&amp;#x0F6;del Universe</t>
  </si>
  <si>
    <t>Grave, F.;Buser, M.</t>
  </si>
  <si>
    <t>37565762400;37869988300</t>
  </si>
  <si>
    <t>4015458;1532803;4376197</t>
  </si>
  <si>
    <t>State University of New York at Stony Brook Stony Brook##State University of New York at Stony Brook Stony Brook</t>
  </si>
  <si>
    <t>Mayerich, D.M.;Abbott, L.;Keyser, J.</t>
  </si>
  <si>
    <t>37282589200;37884259000;37282588300</t>
  </si>
  <si>
    <t>Mayerich, D.;Abbott, L..;Keyser, J.</t>
  </si>
  <si>
    <t>1532859;663917;4015478;4376178</t>
  </si>
  <si>
    <t>Termeer, M.;Bescos, J.O.;Breeuwer, M.;Vilanova, A.;Gerritsen, F.;Groller, M.E.;Nagel, E.</t>
  </si>
  <si>
    <t>37869997400;;37374875300;37282551500;37374887400;;37866652600</t>
  </si>
  <si>
    <t>Termeer, M.;Bescos, J.O.;Breeuwer, M.;Vilanova, A.;Gerritsen, F.;Groller, E.;Nagel, E.</t>
  </si>
  <si>
    <t>4376196;1183754</t>
  </si>
  <si>
    <t>Hongwei Li;Chi-Wing Fu;Hanson, A.J.</t>
  </si>
  <si>
    <t>Monash University</t>
  </si>
  <si>
    <t>37881121400;37336329800;37333439100</t>
  </si>
  <si>
    <t>1250404;4015476;485155;4015458;235222;1183824;4376197;1250401;1532803;1372183;4376206</t>
  </si>
  <si>
    <t>Soni, B.;Thompson, D.;Machiraju, R.</t>
  </si>
  <si>
    <t>37866648000;38181602100;37269516700</t>
  </si>
  <si>
    <t>4376175;4376174</t>
  </si>
  <si>
    <t>Glatter, M.;Huang, J.;Ahern, S.;Daniel, J.;Aidong Lu</t>
  </si>
  <si>
    <t>37828700000;37281262900;37410066100;37672397100;37545504600</t>
  </si>
  <si>
    <t>1250402;4376164;4015494;1372194;4376167;964519;1532792</t>
  </si>
  <si>
    <t>Rensselaer Design Research Center Rensselaer Polytechnic Institute Troy##Rensselaer Design Research Center Rensselaer Polytechnic Institute Troy##Rensselaer Design Research Center Rensselaer Polytechnic Institute Troy</t>
  </si>
  <si>
    <t>Ledergerber, C.;Guennebaud, G.;Meyer, M.;Bacher, M.;Pfister, H.</t>
  </si>
  <si>
    <t>37869733800;37869737100;37564728700;;37275698100</t>
  </si>
  <si>
    <t>398853;885683;4015500;964490;1250414;346331;1250390</t>
  </si>
  <si>
    <t>Ellis, G.;Dix, A.</t>
  </si>
  <si>
    <t>37283380700;37283381700</t>
  </si>
  <si>
    <t>1249018;885092;4015422;1532819;1249008;809866;885091;745301;636789;1173156;1249019;636792;528685;1382895;4015444</t>
  </si>
  <si>
    <t>Tan, D.S.;Smith, G.;Bongshin Lee;Robertson, G.G.</t>
  </si>
  <si>
    <t>37955052000;37960251500;37293389400;37448060300</t>
  </si>
  <si>
    <t>Tan, D.S.;Smith, G.;Bongshin Lee;Robertson, G.</t>
  </si>
  <si>
    <t>1173148;1173158;636718;4035741</t>
  </si>
  <si>
    <t>Carnegie Mellon University Pittsburgh##lon University</t>
  </si>
  <si>
    <t>Heer, J.;Robertson, G.G.</t>
  </si>
  <si>
    <t>37550791300;37448060300</t>
  </si>
  <si>
    <t>Heer, J.;Robertson, G.</t>
  </si>
  <si>
    <t>801854;963279;1173148</t>
  </si>
  <si>
    <t>Blanch, R.;Lecolinet, E.</t>
  </si>
  <si>
    <t>37945254300;</t>
  </si>
  <si>
    <t>1382899;1532128;1532129;1173156;1382907;801860;4015431;1173148;1532132</t>
  </si>
  <si>
    <t>Pousman, Z.;Stasko, J.T.;Mateas, M.</t>
  </si>
  <si>
    <t>37945316800;37267736900;37329261300</t>
  </si>
  <si>
    <t>Pousman, Z.;Stasko, J.;Mateas, M.</t>
  </si>
  <si>
    <t>AT&amp;T Bell Laboratories Murray Hill##AT&amp;T Bell Laboratories Murray Hill##AT&amp;T Bell Laboratories Murray Hill##AT&amp;T Bell Laboratories Murray Hill</t>
  </si>
  <si>
    <t>1532126;1382897;1249031;1382903;146375</t>
  </si>
  <si>
    <t>Graham, M.;Kennedy, J.</t>
  </si>
  <si>
    <t>37739295500;37334180100</t>
  </si>
  <si>
    <t>1532129;1173148;1173153;885091;175815;1382885;1532152</t>
  </si>
  <si>
    <t>Dykes, J.;Brunsdon, C.</t>
  </si>
  <si>
    <t>37605079900;37945380100</t>
  </si>
  <si>
    <t>Applications Indiana University##Applications Indiana University##Applications Indiana University</t>
  </si>
  <si>
    <t>1532122;4015428</t>
  </si>
  <si>
    <t>Isenberg, P.;Carpendale, S.</t>
  </si>
  <si>
    <t>;37285000100</t>
  </si>
  <si>
    <t>885091;4015437</t>
  </si>
  <si>
    <t>IBM Thomas J. Watson Research Center##IBM Thomas J. Watson Research Center##IBM Thomas J. Watson Research Center</t>
  </si>
  <si>
    <t>Wood, J.;Dykes, J.;Slingsby, A.;Clarke, K.</t>
  </si>
  <si>
    <t>37399045100;37605079900;37590960700;37548107100</t>
  </si>
  <si>
    <t>528686;1382904</t>
  </si>
  <si>
    <t>Remco Chang;Wessel, G.;Kosara, R.;Sauda, E.;Ribarsky, W.</t>
  </si>
  <si>
    <t>37592409400;37948880500;37282563400;37945352600;37300425000</t>
  </si>
  <si>
    <t>Chang, R.;Wessel, G.;Kosara, R.;Sauda, E.;Ribarsky, W.</t>
  </si>
  <si>
    <t>1382904;146402;1532149</t>
  </si>
  <si>
    <t>Viegas, F.B.;Wattenberg, M.;van Ham, F.;Kriss, J.;McKeon, M.</t>
  </si>
  <si>
    <t>37681355300;37550759700;37326291000;37830149600;37542455400</t>
  </si>
  <si>
    <t>1532122;175820;1249007</t>
  </si>
  <si>
    <t>Frishman, Y.;Tal, A.</t>
  </si>
  <si>
    <t>37646534300;37337567000</t>
  </si>
  <si>
    <t>Henry, N.;Fekete, J.;McGuffin, M.J.</t>
  </si>
  <si>
    <t>37839948300;37407972900;37403234300</t>
  </si>
  <si>
    <t>4015417;4035752;1532126;1382907;4015433;1532129;4015424;4015425;1382905;1249011</t>
  </si>
  <si>
    <t>Lam, H.;Munzner, T.;Kincaid, R.</t>
  </si>
  <si>
    <t>37873130000;37349490300;37587984100</t>
  </si>
  <si>
    <t>1532136;1532838;1382903;146375</t>
  </si>
  <si>
    <t>Willett, W.;Heer, J.;Agrawala, M.</t>
  </si>
  <si>
    <t>37945380800;37550791300;37282718200</t>
  </si>
  <si>
    <t>Thomas M�_hlbacher;Lorenz Linhardt;Torsten M̦ller;Harald Piringer</t>
  </si>
  <si>
    <t>Yi Mao;Dillon, J.V.;Lebanon, G.</t>
  </si>
  <si>
    <t>37957484800;37954686000;37427770800</t>
  </si>
  <si>
    <t>398863;745302;963287;963273;885097</t>
  </si>
  <si>
    <t>Mackinlay, J.;Hanrahan, P.;Stolte, C.</t>
  </si>
  <si>
    <t>37372036700;37349803800;37442008700</t>
  </si>
  <si>
    <t>Tory, M.;Sprague, D.W.;Fuqu Wu;Wing Yan So;Munzner, T.</t>
  </si>
  <si>
    <t>37275861300;37568763300;37956239000;37952248400;37349490300</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</si>
  <si>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</si>
  <si>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1382891;1382900;1173146;528686</t>
  </si>
  <si>
    <t>Alexander Kumpf;Bianca Tost;Marlene Baumgart;Michael Riemer;R�_diger Westermann;Marc Rautenhaus</t>
  </si>
  <si>
    <t>Computer Graphics &amp; Visualization Group, Technische Universit�_t M�_nchen, Garching, Germany;Computer Graphics &amp; Visualization Group, Technische Universit�_t M�_nchen, Garching, Germany;Institute of Atmospheric Physics, Johannes Gutenberg Universit�_t Mainz, Mainz, Germany;Institute of Atmospheric Physics, Johannes Gutenberg Universit�_t Mainz, Mainz, Germany;Computer Graphics &amp; Visualization Group, Technische Universit�_t M�_nchen, Garching, Germany;Computer Graphics &amp; Visualization Group, Technische Universit�_t M�_nchen, Garching, Germany</t>
  </si>
  <si>
    <t>University of Colorado##University of Colorado</t>
  </si>
  <si>
    <t>Ji Soo Yi;Youn ah Kang;Stasko, J.T.;Jacko, J.A.</t>
  </si>
  <si>
    <t>Ji Soo Yi;Youn-ah Kang;Stasko, J.;Jacko, J.A.</t>
  </si>
  <si>
    <t>346302;1532136;559213;175794;1532126;885091;801860;885086</t>
  </si>
  <si>
    <t>Collins, C.;Carpendale, S.</t>
  </si>
  <si>
    <t>1250400;146402;4015424;175815;1249008;963279;4015425</t>
  </si>
  <si>
    <t>Mansmann, F.;Keim, D.A.;North, S.C.;Rexroad, B.;Sheleheda, D.</t>
  </si>
  <si>
    <t>37392086200;;;;</t>
  </si>
  <si>
    <t>4035756;1173156;1382888;175815</t>
  </si>
  <si>
    <t>Cammarano, M.;Xin Dong;Bryan Chan;Klingner, J.;Talbot, J.;Halevy, A.;Hanrahan, P.</t>
  </si>
  <si>
    <t>885086;346302;559210</t>
  </si>
  <si>
    <t>Manuel Stein;Halld�_r Janetzko;Andreas Lamprecht;Thorsten Breitkreutz;Philipp Zimmermann;Bastian Goldl�_cke;Tobias Schreck;Gennady L. Andrienko;Michael Grossniklaus;Daniel A. Keim</t>
  </si>
  <si>
    <t>Manuel Stein;Halldor Janetzko;Andreas Lamprecht;Thorsten Breitkreutz;Philipp Zimmermann;Bastian Goldl�_cke;Tobias Schreck;Gennady Andrienko;Michael Grossniklaus;Daniel A. Keim</t>
  </si>
  <si>
    <t>University of Konstanz;University of Z�_rich;University of Konstanz;University of Konstanz;University of Konstanz;University of Konstanz;Graz University of Technology;Fraunhofer IAIS, Germany;University of Konstanz;University of Konstanz</t>
  </si>
  <si>
    <t>Kadaba, N.R.;Irani, P.P.;Leboe, J.</t>
  </si>
  <si>
    <t>37567251500;;</t>
  </si>
  <si>
    <t>Kadaba, N.R.;Irani, P.;Leboe, J.</t>
  </si>
  <si>
    <t>The University of Texas at Austin Austin##The University of Texas at Austin Austin##The University of Texas at Austin</t>
  </si>
  <si>
    <t>37875062100;</t>
  </si>
  <si>
    <t>801860;1532145;4015431;175815</t>
  </si>
  <si>
    <t>Ivanov, Y.A.;Wren, C.R.;Sorokin, A.;Kaur, I.</t>
  </si>
  <si>
    <t>1382887;1532122</t>
  </si>
  <si>
    <t>Hagh-Shenas, H.;Sunghee Kim;Interrante, V.;Healey, C.</t>
  </si>
  <si>
    <t>1532140;1250362;809905;1532137</t>
  </si>
  <si>
    <t>Janoos, F.;Singh, S.;Irfanoglu, O.;Machiraju, R.;Parent, R.</t>
  </si>
  <si>
    <t>37294440400;37966484200;37827945300;37269516700;37324916700</t>
  </si>
  <si>
    <t>Woodbury Rd. Woodbury</t>
  </si>
  <si>
    <t>Di Yang;Rundensteiner, E.A.;Ward, M.O.</t>
  </si>
  <si>
    <t>37966748000;37279217900;37268441700</t>
  </si>
  <si>
    <t>346302;4035758;1382893;636793;4035747</t>
  </si>
  <si>
    <t>Hangzai Luo;Jianping Fan;Jing Yang;Ribarsky, W.;Satoh, S.</t>
  </si>
  <si>
    <t>37275772500;37271216800;37292632600;37300425000;37266330000</t>
  </si>
  <si>
    <t>729555;4015428;528686;885098;4035750</t>
  </si>
  <si>
    <t>Tesone, D.R.;Goodall, J.R.</t>
  </si>
  <si>
    <t>SAR at National SDace Science Data Center NASA/Goddarh Space Flight Center Greenbelt</t>
  </si>
  <si>
    <t>37708756000;37550746600</t>
  </si>
  <si>
    <t>4035755;1532792;1382902</t>
  </si>
  <si>
    <t>Hyunmo Kang;Getoor, L.;Singh, L.</t>
  </si>
  <si>
    <t>37291403000;37829614900;37691176100</t>
  </si>
  <si>
    <t>Universitat Kaiserslautern FB-Informatik##Universitat Kaiserslautern FB-Informatik##Universitat Kaiserslautern FB-Informatik</t>
  </si>
  <si>
    <t>Eun Ju Nam;Han, Y.;Mueller, K.;Zelenyuk, A.;Imre, D.</t>
  </si>
  <si>
    <t>37944542400;37836058500;37273119700;37945190700;37947994000</t>
  </si>
  <si>
    <t>663916;1382895;801859;1382894;146402</t>
  </si>
  <si>
    <t>Elmqvist, N.;Stasko, J.;Tsigas, P.</t>
  </si>
  <si>
    <t>37295438200;37267736900;37295439000</t>
  </si>
  <si>
    <t>885086;146386;175815;1249026;4035757;1532139;4035764;4035743;1532136;636793;4035763;4035747;1249016;809866;146375</t>
  </si>
  <si>
    <t>Heer, J.;Agrawala, M.</t>
  </si>
  <si>
    <t>37550791300;37282718200</t>
  </si>
  <si>
    <t>175820;4015439;4015427;4035757</t>
  </si>
  <si>
    <t>The Ohio State University##The Ohio State University</t>
  </si>
  <si>
    <t>Chi-Chun Pan;Mitra, P.</t>
  </si>
  <si>
    <t>37880213000;37286730000</t>
  </si>
  <si>
    <t>Ha, D.;Kim, M.;Wade, A.;Chao, W.O.;Ho, K.;Kaastra, L.;Fisher, B.;Dill, J.</t>
  </si>
  <si>
    <t>37958326000;37962435000;38181511600;37955194300;37959707800;37946773000;37267458000;37278563100</t>
  </si>
  <si>
    <t>Ha, D.;Kim, M.;Wade, A.;Chao, W.;Ho, K.;Kaastra, L.;Fisher, B.;Dill, J.</t>
  </si>
  <si>
    <t>Shaw, C.D.;Dasch, G.A.;Eremeeva, M.E.</t>
  </si>
  <si>
    <t>37358198200;37945288700;37945292000</t>
  </si>
  <si>
    <t>Shaw, C.;Dasch, G.A.;Eremeeva, M.E.</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</si>
  <si>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</si>
  <si>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St. P̦lten University of Applied Sciences, Austria;Johannes Kepler University, Linz, Austria;Johannes Kepler University, Linz, Austria;St. P̦lten University of Applied Sciences, Austria;TU Wien, Austria;Johannes Kepler University, Linz, Austria</t>
  </si>
  <si>
    <t>Few, Stephen</t>
  </si>
  <si>
    <t>University of Saskatchewan Saskatoon##Johns Hopkins University Baltimore</t>
  </si>
  <si>
    <t>Microsimulations Research</t>
  </si>
  <si>
    <t>Temple University##Temple University##Temple University##Temple University</t>
  </si>
  <si>
    <t>Crossno, P.;Wylie, B.;Wilson, A.;Greenfield, J.;Stanton, E.;Shead, T.;Ice, L.;Moreland, K.;Baumes, J.;Geveci, B.</t>
  </si>
  <si>
    <t>37282576500;38180014300;37554778300;37944468900;37931637200;37681611000;37570533600;37284250900;37698159600;37282729500</t>
  </si>
  <si>
    <t>Hao, M.C.;Dayal, U.;Keim, D.A.;Morent, D.;Schneidewind, J.</t>
  </si>
  <si>
    <t>37274264300;37275646700;37283138700;37563668400;37669961800</t>
  </si>
  <si>
    <t>4015431;729568;146402;885086;346302</t>
  </si>
  <si>
    <t>Gorg, C.;Zhicheng Liu;Parekh, N.;Singhal, K.;Stasko, J.</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</si>
  <si>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</si>
  <si>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37428446300;37592993600;37949736600;37968367000;37267736900</t>
  </si>
  <si>
    <t>Stasko, J.;Gorg, C.;Zhicheng Liu;Singhal, K.</t>
  </si>
  <si>
    <t>37267736900;37428446300;37592993600;37968367000</t>
  </si>
  <si>
    <t>528686;1382887;4035749</t>
  </si>
  <si>
    <t>Maciejewski, R.;Tyner, B.;Yun Jang;Cheng Zheng;Nehme, R.R.V.;Ebert, D.S.;Cleveland, W.S.;Ouzzani, M.;Grannis, S.J.;Glickman, L.T.</t>
  </si>
  <si>
    <t>37396008400;37945189900;37557344300;37959894600;37397099000;38472157300;37282344300;38365116400;37646590100;37945190400</t>
  </si>
  <si>
    <t>Institut Franqais du Pktrole 1##</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</si>
  <si>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</si>
  <si>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Keim, D.A.;Oelke, D.</t>
  </si>
  <si>
    <t>37283138700;37591207400</t>
  </si>
  <si>
    <t>Princeton University Princeton##Princeton University Princeton##Princeton University Princeton</t>
  </si>
  <si>
    <t>Ghoniem, M.;Dongning Luo;Jing Yang;Ribarsky, W.</t>
  </si>
  <si>
    <t>37688563600;37545990500;37292632600;37300425000</t>
  </si>
  <si>
    <t>4035750;4035765;568118;729568;801858;1532122</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</si>
  <si>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(${p}\lt.05$)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</si>
  <si>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Thomas, J.;Keim, D.;Kielman, Joe;Rosenblum, Larry</t>
  </si>
  <si>
    <t>37273308900;37283138700;37829627200;37371985200</t>
  </si>
  <si>
    <t>Thomas, J.;Keim, D.A.;Kielman, J.;Rosenblum, L.</t>
  </si>
  <si>
    <t>Cuadros, A.M.;Paulovich, F.V.;Minghim, R.;Telles, G.P.</t>
  </si>
  <si>
    <t>37946651100;37590969400;37371567600;38181127500</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</si>
  <si>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</si>
  <si>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Paolo Federico;Markus Wagner;Alexander Rind;Albert Amor-Amor�_s;Silvia Miksch;Wolfgang Aigner</t>
  </si>
  <si>
    <t>528686;567787</t>
  </si>
  <si>
    <t>Lam, H.;Russell, D.;Tang, D.;Munzner, T.</t>
  </si>
  <si>
    <t>37873130000;37562313000;37652594600;37349490300</t>
  </si>
  <si>
    <t>729565;1249006;1382890;559227</t>
  </si>
  <si>
    <t>Jae Choi;Sang-joon Lee;Gigitashvilli, S.;Wilson, J.</t>
  </si>
  <si>
    <t>37964473000;37966125200;37946376100;37958923500</t>
  </si>
  <si>
    <t>Chien, L.;Tat, A.;Wright, W.</t>
  </si>
  <si>
    <t>37721458000;37326091400;37654961400</t>
  </si>
  <si>
    <t>Stefan J�_nicke;David Joseph Wrisley</t>
  </si>
  <si>
    <t>University of Florida Gainesville##University of Florida Gainesville</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</si>
  <si>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</si>
  <si>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University of Utah Salt Lake City##University of Utah Salt Lake City</t>
  </si>
  <si>
    <t>Dominik J�_ckle;Michael Blumenschein;Michael Behrisch;Daniel A. Keim;Tobias Schreck</t>
  </si>
  <si>
    <t>Dominik J�_ckle;Michael Hund;Michael Behrisch;Daniel A. Keim;Tobias Schreck</t>
  </si>
  <si>
    <t>Arizona State University Tempe</t>
  </si>
  <si>
    <t>Bertini, E.;Hertzog, P.;Lalanne, D.</t>
  </si>
  <si>
    <t>37283307700;37948939200;37589762800</t>
  </si>
  <si>
    <t>963273;963279;1249020</t>
  </si>
  <si>
    <t>Wavefront Technologies##Wavefront Technologies##Wavefront Technologies##Wavefront Technologies</t>
  </si>
  <si>
    <t>Eccles, R.;Kapler, T.;Harper, R.;Wright, W.</t>
  </si>
  <si>
    <t>37425695700;37704437500;37594531000;37654961400</t>
  </si>
  <si>
    <t>1382887;4035754</t>
  </si>
  <si>
    <t>Aragon, C.R.;Bailey, S.J.;Poon, S.;Runge, K.J.;Thomas, R.C.</t>
  </si>
  <si>
    <t>37564069800;37272122100;38476551100;37948511900;37874439800</t>
  </si>
  <si>
    <t>Chi-Chun Pan;Jaiswal, A.R.;Junyan Luo;Robinson, A.</t>
  </si>
  <si>
    <t>37880213000;37966902300;37878910400;37829187900</t>
  </si>
  <si>
    <t>NASA-Ames Research Center##NASA-Ames Research Center</t>
  </si>
  <si>
    <t>Eick, S.G.;Eick, M.A.;Fugitt, J.;Horst, B.;Khailo, M.;Lankenau, R.A.</t>
  </si>
  <si>
    <t>37282570100;37295267800;37295269700;37945812500;37945319800;37295269900</t>
  </si>
  <si>
    <t>Chao, W.;Ha, D.;Ho, K.;Kaastra, L.;Kim, M.;Wade, A.;Fisher, B.</t>
  </si>
  <si>
    <t>37955194300;37958326000;37959707800;37946773000;37962435000;38181511600;38356306400</t>
  </si>
  <si>
    <t>University of British Columbia &amp;#x00026; Simon Fraser University - The Bricolage</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</si>
  <si>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</si>
  <si>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Chao, W.;Ha, D.;Ho, K.;Kaastra, L.;Minjung Kim;Wade, A.</t>
  </si>
  <si>
    <t>Suh, B.;Chi, Ed H.;Pendleton, B.A.;Kittur, A.</t>
  </si>
  <si>
    <t>37823184000;37448030800;37830268500;37946538100</t>
  </si>
  <si>
    <t>Suh, B.;Chi, E.H.;Pendleton, B.A.;Kittur, A.</t>
  </si>
  <si>
    <t>4015419;1532126</t>
  </si>
  <si>
    <t>Chien, L.;Tat, A.;Kapler, T.;Enns, P.;Kuan, W.;Wright, W.</t>
  </si>
  <si>
    <t>37721458000;37326091400;37704437500;37946706100;37968125800;37654961400</t>
  </si>
  <si>
    <t>38470495900;38260687100;37837224000;37948663500;37268671300;37357067600</t>
  </si>
  <si>
    <t>Schwendiman, L.;McLean, J.;Larson, J.</t>
  </si>
  <si>
    <t>37946768100;37957250200;37970751200</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</si>
  <si>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bias.Index Terms: K.6.1 [Management of Computing and Information Systems]: Project and People Management-Life Cycle, K.7.m [The Computing Profession]: Miscellaneous-Ethics</t>
  </si>
  <si>
    <t>Chi-Chun Pan;Jaiswal, A.R.;Junyan Luo;Robinson, A.;Mitra, P.;MacEachren, A.M.;Turton, I.</t>
  </si>
  <si>
    <t>37880213000;37966902300;37878910400;37829187900;37286730000;;37872420000</t>
  </si>
  <si>
    <t>Auvil, L.;Llora, X.;Searsmith, Duane;Searsmith, Kelly</t>
  </si>
  <si>
    <t>IBM Scientific Center &amp;####IBM Scientific Center &amp;##Wilshire Boulevard University of Southern California Los Angeles</t>
  </si>
  <si>
    <t>37296761400;37565890900;37426811400;37946702100</t>
  </si>
  <si>
    <t>Auvil, L.;Llora, X.;Searsmith, D.;Searsmith, K.</t>
  </si>
  <si>
    <t>Auvil, L.;Llora, Xavier;Searsmith, Duane;Searsmith, Kelly</t>
  </si>
  <si>
    <t>Universitat Kaiserslaut-ern</t>
  </si>
  <si>
    <t>Brandes, U.;Lerner, J.</t>
  </si>
  <si>
    <t>37550836200;37552262100</t>
  </si>
  <si>
    <t>Ahmed, A.;Xiaoyan Fu;Seok-Hee Hong;Quan Hoang Nguyen;Kai Xu</t>
  </si>
  <si>
    <t>37288875000;37288138500;37291728000;37961817500;37273812200</t>
  </si>
  <si>
    <t>Boeing Computer Services Seattle</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</si>
  <si>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</si>
  <si>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Andrienko, G.;Andrienko, N.;Bartling, U.</t>
  </si>
  <si>
    <t>37283047100;37283047700;37945217400</t>
  </si>
  <si>
    <t>Washington University School of Medicine</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</si>
  <si>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</si>
  <si>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SungYe Kim;Yun Jang;Mellema, A.;Ebert, D.S.;Collins, T.</t>
  </si>
  <si>
    <t>37404975800;37557344300;37945218200;38472156900;37549519600</t>
  </si>
  <si>
    <t>;37592993600;37949736600;37968367000;37267736900</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</si>
  <si>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\lt 0.01)$ and more accurately $(p \lt 0.05)$, and are quick to gain new insight. We discuss how prismatic analysis and QSAnglyzer scaffold evaluation analysis, and provide directions for future research.</t>
  </si>
  <si>
    <t>visual analytics,visualization,interactive visualization,question answering,multi-experiment analysis,visual comparison,visual exploration,prismatic analysis,H.5.2 [Information Interfaces and Presentation]: User Interfaces���</t>
  </si>
  <si>
    <t>Chang, R.;Ghoniem, M.;Kosara, R.;Ribarsky, W.;Jing Yang;Suma, E.;Ziemkiewicz, C.;Kern, D.;Sudjianto, A.</t>
  </si>
  <si>
    <t>37592409400;37688563600;37282563400;37300425000;37292632600;37297278600;37548028800;37960273700;37967877700</t>
  </si>
  <si>
    <t>801851;528686;4015417;1382907</t>
  </si>
  <si>
    <t>Plate, J.;Holtkaemper, T.;Froehlich, B.</t>
  </si>
  <si>
    <t>This paper presents a new approach for the visualization and analysis of the spatial variability of features of interest represented by critical points in ensemble data. Our framework, called&lt;italic&gt;Persistence Atlas&lt;/italic&gt;,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of&lt;italic&gt;Persistence Map&lt;/italic&gt;,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</si>
  <si>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37442670800;;37282977500</t>
  </si>
  <si>
    <t>1250406;1250384;1183762</t>
  </si>
  <si>
    <t>Research Computing Services 120 Hinds Hall Syracuse University Syracuse##Research Computing Services 120 Hinds Hall Syracuse University Syracuse##Research Computing Services 120 Hinds Hall Syracuse University Syracuse</t>
  </si>
  <si>
    <t>Sorbonne Universit̩CNRS (LIP6);Tulane University;Tulane University;Sorbonne Universit̩CNRS (LIP6)</t>
  </si>
  <si>
    <t>Damera-Venkata, N.;Chang, N.L.;DiCarlo, J.M.</t>
  </si>
  <si>
    <t>;37596623500;</t>
  </si>
  <si>
    <t>37629748900;37532431100;37271188400;37282337400;37276603700;37276553900</t>
  </si>
  <si>
    <t>10.1109/VISUAL.2003.1250414;10.1109/VISUAL.2000.885694;10.1109/VISUAL.2002.1183777;10.1109/TVCG.2010.166;10.1109/VISUAL.2005.1532856;10.1109/VISUAL.1995.480795</t>
  </si>
  <si>
    <t>1250414;885694;1183777;5613473;1532856;480795</t>
  </si>
  <si>
    <t>Giesen, J.;Mueller, K.;Schuberth, E.;Lujin Wang;Zolliker, P.</t>
  </si>
  <si>
    <t>37325999500;37273119700;37703642700;37280763200;37680882500</t>
  </si>
  <si>
    <t>Precision Visuals, Inc</t>
  </si>
  <si>
    <t>4015471;1532834;4015448;1250412;1532149;4015502</t>
  </si>
  <si>
    <t>Dillard, S.E.;Bingert, J.F.;Thoma, D.;Hamann, B.</t>
  </si>
  <si>
    <t>37945275200;37377270300;;37282068700</t>
  </si>
  <si>
    <t>Marco Cavallo;��agatay Demiralp</t>
  </si>
  <si>
    <t>Marco Cavallo;��a��atay Demiralp</t>
  </si>
  <si>
    <t>885706;1532823;663887</t>
  </si>
  <si>
    <t>Johns Hopkins University##Johns Hopkins University##Johns Hopkins University##Johns Hopkins University##Johns Hopkins University</t>
  </si>
  <si>
    <t>Yi Wang;Krum, D.M.;Coelho, E.M.;Bowman, D.A.</t>
  </si>
  <si>
    <t>37601156200;37391946800;37875473700;37282977600</t>
  </si>
  <si>
    <t>Yi Wang;Krum, D.;Coelho, E.M.;Bowman, D.A.</t>
  </si>
  <si>
    <t>1250396;4015469;1250401;1250400;1532836;1532782</t>
  </si>
  <si>
    <t>David Kouril;Ladislav Cmol�_k;Barbora Kozl�_kov��;Hslanc-Yun Wu;Graham Johnson;David S. Goodsell;Arthur J. Olson;M. Eduard Gr̦ller;Ivan Viola</t>
  </si>
  <si>
    <t>David Kou��il;Ladislav ��mol�_k;Barbora Kozl�_kov��;Hslanc-Yun Wu;Graham Johnson;David S. Goodsell;Arthur Olson;M. Eduard Gr̦ller;Ivan Viola</t>
  </si>
  <si>
    <t>Weinkauf, T.;Sahner, J.;Theisel, H.;Hege, H.-C.</t>
  </si>
  <si>
    <t>37282635100;37565764600;37266875400;37282272000</t>
  </si>
  <si>
    <t>809896;1532851;745296</t>
  </si>
  <si>
    <t>University of New##University of New</t>
  </si>
  <si>
    <t>Andrey Krekhov;Jens H. Kr�_ger</t>
  </si>
  <si>
    <t>Andrey Krekhov;Jens Kr�_ger</t>
  </si>
  <si>
    <t>Termeer, M.;Bescos, J.O.;Breeuwer, M.;Vilanova, A.;Gerritsen, F.;Groller, M.E.</t>
  </si>
  <si>
    <t>37869997400;;37374875300;37282551500;37374887400;</t>
  </si>
  <si>
    <t>Termeer, M.;Bescos, J.O.;Breeuwer, M.;Vilanova, A.;Gerritsen, F.;Groller, E.</t>
  </si>
  <si>
    <t>1250386;1183754;4015449;1372221</t>
  </si>
  <si>
    <t>Garth, C.;Gerhardt, F.;Tricoche, X.;Hagen, H.</t>
  </si>
  <si>
    <t>37282573700;37645639800;37282575100;</t>
  </si>
  <si>
    <t>Rutgers University Piscataway##Rutgers University Piscataway</t>
  </si>
  <si>
    <t>Gyulassy, A.;Natarajan, V.;Pascucci, V.;Hamann, B.</t>
  </si>
  <si>
    <t>37870001700;37278509300;37284312600;37282068700</t>
  </si>
  <si>
    <t>1372235;885680;745329;745312;1532839;885703</t>
  </si>
  <si>
    <t>Jalba, A.C.;Roerdink, J.B.T.</t>
  </si>
  <si>
    <t>37279264300;37279298200</t>
  </si>
  <si>
    <t>Minsuk Kahng;Nikhil Thorat;Duen Horng Chau;Fernanda B. Vi̩gas;Martin Wattenberg</t>
  </si>
  <si>
    <t>Minsuk Kahng;Nikhil Thorat;Duen Horng (Polo) Chau;Fernanda B. Vi̩gas;Martin Wattenberg</t>
  </si>
  <si>
    <t>Sadlo, F.;Peikert, R.</t>
  </si>
  <si>
    <t>37282541900;37282541100</t>
  </si>
  <si>
    <t>809896;1372213</t>
  </si>
  <si>
    <t>Bruckner, S.;Groller, M.E.</t>
  </si>
  <si>
    <t>38485349900;</t>
  </si>
  <si>
    <t>Bruckner, S.;Groller, E.</t>
  </si>
  <si>
    <t>1250414;4015450;885694;663912;1250394;4015442;1372209;175805;4015472</t>
  </si>
  <si>
    <t>Wiebel, A.;Tricoche, X.;Schneider, D.;Janicke, H.;Scheuermann, G.</t>
  </si>
  <si>
    <t>37565763400;37282575100;37869538100;;37282574800</t>
  </si>
  <si>
    <t>Wiebel, A.;Tricoche, X.;Schneider, D.;Jänicke, H.;Scheuermann, G.</t>
  </si>
  <si>
    <t>1372214;4015497;4015451;146359;1532851;809896</t>
  </si>
  <si>
    <t>Bair, A.;House, D.</t>
  </si>
  <si>
    <t>37565577300;37284216700</t>
  </si>
  <si>
    <t>1532782;4015473;964505;1249022;4015474</t>
  </si>
  <si>
    <t>Beyer, J.;Hadwiger, M.;Wolfsberger, S.;Buhler, K.</t>
  </si>
  <si>
    <t>37409575800;37394809600;37282642600;</t>
  </si>
  <si>
    <t>1250384;745311;1250386;1372237</t>
  </si>
  <si>
    <t>Correa, C.D.;Silver, D.;Min Chen</t>
  </si>
  <si>
    <t>37282925900;37274132700;37280982800</t>
  </si>
  <si>
    <t>Correa, C.;Silver, D.;Chen, M.</t>
  </si>
  <si>
    <t>University of Colorado Colorado Springs##University of Colorado Colorado Springs</t>
  </si>
  <si>
    <t>885696;4015466;1250400;4015449;1250401;1382903;1183777;4015467;964519;1372190;885694;1532856;1532818</t>
  </si>
  <si>
    <t>Wald, I.;Friedrich, H.;Knoll, A.;Hansen, C.D.</t>
  </si>
  <si>
    <t>37282958300;37412440500;37692671900;37266777200</t>
  </si>
  <si>
    <t>Wald, I.;Friedrich, H.;Knoll, A.;Hansen, C.</t>
  </si>
  <si>
    <t>1532796;4015496;1250390;4015501;1250384;745713;745300</t>
  </si>
  <si>
    <t>Computer Sciences Corporation1 C. Levit</t>
  </si>
  <si>
    <t>Lauterbach, C.;Chandak, A.;Manocha, D.</t>
  </si>
  <si>
    <t>37606258500;37883391100;37267825600</t>
  </si>
  <si>
    <t>4015479;1532790</t>
  </si>
  <si>
    <t>Oeltze, S.;Doleisch, H.;Hauser, H.;Muigg, P.;Preim, B.</t>
  </si>
  <si>
    <t>37424645600;37546620400;37274158800;37546620600;37424645300</t>
  </si>
  <si>
    <t>Jeong, W.-K.;Fletcher, P.T.;Ran Tao;Whitaker, R.T.</t>
  </si>
  <si>
    <t>37268212100;37266394000;37958455500;37267322600</t>
  </si>
  <si>
    <t>Samsung Advanced Institute of Technology####Samsung Advanced Institute of Technology######University of Washington Seattle</t>
  </si>
  <si>
    <t>1250358;1250357</t>
  </si>
  <si>
    <t>Kniss, J.;Hunt, W.;Potter, K.;Sen, P.</t>
  </si>
  <si>
    <t>37324263400;;37665456000;37401656800</t>
  </si>
  <si>
    <t>1532839;1532807</t>
  </si>
  <si>
    <t>Feng Qiu;Fang Xu;Zhe Fan;Neophytos, N.;Kaufman, A.;Mueller, K.</t>
  </si>
  <si>
    <t>37416126400;37275296400;37273608100;37945247700;37268052800;37273119700</t>
  </si>
  <si>
    <t>Antoni Sagrist��;Stefan Jordan;Thomas M�_ller 0005;Filip Sadlo</t>
  </si>
  <si>
    <t>Thinking Machines Corporation##Thinking Machines Corporation</t>
  </si>
  <si>
    <t>Antoni Sagrist��;Stefan Jordan;Thomas M�_ller;Filip Sadlo</t>
  </si>
  <si>
    <t>1372174;964498;1250384;1532811</t>
  </si>
  <si>
    <t>Michel, F.;Deines, E.;Hering-Bertram, M.;Garth, C.;Hagen, H.</t>
  </si>
  <si>
    <t>37838754300;37282727900;;37282573700;37282578800</t>
  </si>
  <si>
    <t>Kohlmann, P.;Bruckner, S.;Kanitsar, A.;Kanitsar, A.</t>
  </si>
  <si>
    <t>37623778100;37265895700;37282727500;</t>
  </si>
  <si>
    <t>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t>
  </si>
  <si>
    <t>1532834;4015449;1532833</t>
  </si>
  <si>
    <t>398882;1183769;1532822;1183780;1372208;4015487</t>
  </si>
  <si>
    <t>Schlemmer, M.;Heringer, M.;Morr, F.;Hotz, I.;Bertram, M.-H.;Garth, C.;Kollmann, W.;Hamann, B.;Hagen, H.</t>
  </si>
  <si>
    <t>37946182500;37945209200;37945208900;37282721800;37282067000;37282573700;37722986700;37282068700;37282578800</t>
  </si>
  <si>
    <t>Schlemmer, M.;Heringer, M.;Morr, F.;Hotz, I.;Bertam, M.;Garth, C.;Kollmann, W.;Hamann, B.;Hagen, H.</t>
  </si>
  <si>
    <t>1372207;809873;1532858;1250372</t>
  </si>
  <si>
    <t>Swanson Analysis Systems, Inc. Houston</t>
  </si>
  <si>
    <t>Janicke, H.;Wiebel, A.;Scheuermann, G.;Kollmann, W.</t>
  </si>
  <si>
    <t>Jänicke, H.;Wiebel, A.;Scheuermann, G.;Kollmann, W.</t>
  </si>
  <si>
    <t>809865;1250372;4015447;809905;4015473;1250383</t>
  </si>
  <si>
    <t>Monique Meuschke;Tobias G�_nther;Philipp Berg;Ralph Wickenhofer;Bernhard Preim;Kai Lawonn</t>
  </si>
  <si>
    <t>Monique Meuschke;Tobias G�_nther;Philipp Berg;Ralph Wickenh̦fer;Bernhard Preim;Kai Lawonn</t>
  </si>
  <si>
    <t>University of Magdeburg, Germany;ETH Z�_rich, Switzerland;University of Magdeburg, Germany;Heart of Jesus Hospital, Germany;University of Magdeburg, Germany;University of Koblenz-Landau, Germany</t>
  </si>
  <si>
    <t>Smith, R.C.;Pawlicki, R.;Kokai, I.R.;Finger, J.;Vetter, T.</t>
  </si>
  <si>
    <t>37280035100;37282920800;;37956948500;37281818300</t>
  </si>
  <si>
    <t>IBM European Visualization Centre IBM UIi Scientific Centre Winchester##IBM European Visualization Centre IBM UIi Scientific Centre Winchester##IBM European Visualization Centre IBM UIi Scientific Centre Winchester##IBM European Visualization Centre IBM UIi Scientific Centre Winchester</t>
  </si>
  <si>
    <t>Scheidegger, C.E.;Vo, H.T.;Koop, D.;Freire, J.;Silva, C.T.</t>
  </si>
  <si>
    <t>37550809300;37549893300;37647314800;37283149600;37275249200</t>
  </si>
  <si>
    <t>1532781;1382890;1372192;1532788;1532795</t>
  </si>
  <si>
    <t>Johannes Weissenb̦ck;Bernhard Fr̦hler;M. Eduard Gr̦ller;Johann Kastner;Christoph Heinzl</t>
  </si>
  <si>
    <t>Johannes Weissenb̦ck;Bernhard Fr̦hler;Eduard Gr̦ller;Johann Kastner;Christoph Heinzl</t>
  </si>
  <si>
    <t>Sung-Eui Yoon;Lindstrom, P.</t>
  </si>
  <si>
    <t>;37269320000</t>
  </si>
  <si>
    <t>1183796;4015488;1532800;4015484;964532</t>
  </si>
  <si>
    <t>Bhasker, E.;Juang, R.;Majumder, A.</t>
  </si>
  <si>
    <t>37828782600;37927188200;37408075400</t>
  </si>
  <si>
    <t>964508;4015470;885685;1183793;885684;809883</t>
  </si>
  <si>
    <t>University of Washington######</t>
  </si>
  <si>
    <t>Muigg, P.;Hadwiger, M.;Doleisch, H.;Hauser, H.</t>
  </si>
  <si>
    <t>37546620600;37394809600;37546620400;37274158800</t>
  </si>
  <si>
    <t>4015496;1250390;4015450;964514;4015449;4015501;4015486;885683;1250384;964512;809908</t>
  </si>
  <si>
    <t>Fuller, A.R.;Zawadzki, R.J.;Choi, S.;Wiley, D.F.;Werner, J.S.;Hamann, B.</t>
  </si>
  <si>
    <t>37953777500;37945292600;37964205700;37282066500;37950733300;37282068700</t>
  </si>
  <si>
    <t>964519;1250413</t>
  </si>
  <si>
    <t>Rautek, P.;Bruckner, S.;Groller, E.</t>
  </si>
  <si>
    <t>37828701300;37265895700;37284271200</t>
  </si>
  <si>
    <t>1372194;1532792;1532807;1250414;1372209;1532856;4015446;4015460</t>
  </si>
  <si>
    <t>Michael Traor̩;Christophe Hurter;Alexandru Telea</t>
  </si>
  <si>
    <t>T. J. Watson Res. Ctr. MIT Yorktown Heights##T. J. Watson Res. Ctr. MIT Yorktown Heights##T. J. Watson Res. Ctr. MIT Yorktown Heights##T. J. Watson Res. Ctr. MIT Yorktown Heights##T. J. Watson Res. Ctr. MIT Yorktown Heights##T. J. Watson Res. Ctr. MIT Yorktown Heights</t>
  </si>
  <si>
    <t>Hui Zhang;Hanson, A.J.</t>
  </si>
  <si>
    <t>37559775500;37333439100</t>
  </si>
  <si>
    <t>568120;1532804</t>
  </si>
  <si>
    <t>Yuan Chen;Cohen, J.D.;Krolik, J.H.</t>
  </si>
  <si>
    <t>37965943900;37275763600;37955208400</t>
  </si>
  <si>
    <t>1532831;1532832;1372198;964530;4015453;885690</t>
  </si>
  <si>
    <t>William E. Lorensen;Boris Yamron</t>
  </si>
  <si>
    <t>General Electric Company Corporate Research and Development Schenectady##General Electric Company Corporate Research and Development Schenectady</t>
  </si>
  <si>
    <t>McGraw, T.;Nadar, M.</t>
  </si>
  <si>
    <t>37294450700;37294453300</t>
  </si>
  <si>
    <t>1532780;4015499;1250384;745294;809886;1532779;1532777;809904;4015480</t>
  </si>
  <si>
    <t>Heinzl, C.;Kastner, J.;Groller, E.</t>
  </si>
  <si>
    <t>37400391300;37947609000;</t>
  </si>
  <si>
    <t>1250418;964519</t>
  </si>
  <si>
    <t>Caban, J.J.;Joshi, A.;Rheingans, P.</t>
  </si>
  <si>
    <t>;37278517400;37282292000</t>
  </si>
  <si>
    <t>1250374;885694;745288;567807</t>
  </si>
  <si>
    <t>IBM Watson Research Ceder##IBM Watson Research Ceder</t>
  </si>
  <si>
    <t>Niski, K.;Cohen, J.D.</t>
  </si>
  <si>
    <t>Biddiscombe, J.;Geveci, B.;Martin, K.;Moreland, K.;Thompson, D.</t>
  </si>
  <si>
    <t>37948935700;37282729500;37436263300;37284250900;37265831900</t>
  </si>
  <si>
    <t>San Diego State University</t>
  </si>
  <si>
    <t>1532793;235219;1532795;175794;1372217;885092;480821</t>
  </si>
  <si>
    <t>Michael Kern;Tim Hewson;Andreas Schatler;R�_diger Westermann;Marc Rautenhaus</t>
  </si>
  <si>
    <t>Michael Kern;Tim Hewson;Andreas Sch�_tler;R�_diger Westermann;Marc Rautenhaus</t>
  </si>
  <si>
    <t>Computer Graphics &amp; Visualization Group, Technische Universit�_t M�_nchen, Garching, Germany;European Centre for Medium-Range Weather Forecasts, Reading, UK;Deutsches Zentrum f�_r Luft- und Raumfahrt (DLR), Germany;Computer Graphics &amp; Visualization Group, Technische Universit�_t M�_nchen, Garching, Germany;Computer Graphics &amp; Visualization Group, Technische Universit�_t M�_nchen, Garching, Germany</t>
  </si>
  <si>
    <t>Weber, G.H.;Bremer, P.-T.;Pascucci, V.</t>
  </si>
  <si>
    <t>37411444100;;</t>
  </si>
  <si>
    <t>1372235;745303;235215;809932;1382888;663860;663875;1173159;1183772;1532839;1250376</t>
  </si>
  <si>
    <t>SOO Phillips Rd##SOO Phillips Rd</t>
  </si>
  <si>
    <t>Schultz, T.;Theisel, H.;Seidel, H.-P.</t>
  </si>
  <si>
    <t>37606352800;37266875400;37271851300</t>
  </si>
  <si>
    <t>809894;1532777;1532841;346326;1532778;346326</t>
  </si>
  <si>
    <t>Jun Tao;Martin Imre;Chaoli Wang;Nitesh V. Chawla;Hanqi Guo;G̦khan Sever;Seung Hyun Kim</t>
  </si>
  <si>
    <t>Gyulassy, A.G.;Duchaineau, M.A.;Vijay Natarajan;Pascucci, V.;Bringa, E.M.;Higginbotham, A.;Hamann, B.</t>
  </si>
  <si>
    <t>37870001700;37267813100;37278509300;;37320622500;37848485600;37282068700</t>
  </si>
  <si>
    <t>Gyulassy, A.;Duchaineau, M.;Vijay Natarajan;Pascucci, V.;Bringa, E.M.;Higginbotham, A.;Hamann, B.</t>
  </si>
  <si>
    <t>U. of Washington Morristown##U. of Washington Morristown##U. of Washington Morristown##U. of Washington Morristown</t>
  </si>
  <si>
    <t>1532839;1532783;1250356;1372235;885680;885703</t>
  </si>
  <si>
    <t>Meyer, M.;Kirby, R.M.;Whitaker, R.</t>
  </si>
  <si>
    <t>37564728700;37275716100;37267322600</t>
  </si>
  <si>
    <t>Meyer, M.;Kirby, R.M.;Whitaker, R.T.</t>
  </si>
  <si>
    <t>1183766;1250414;1250363;4015483;1183808;885705</t>
  </si>
  <si>
    <t>University of Lowell Lowell</t>
  </si>
  <si>
    <t>1183757;964541_06;1372194;398845;1250357;480812;1250385</t>
  </si>
  <si>
    <t>Lampe, O.D.;Viola, I.;Reuter, N.;Hauser, H.</t>
  </si>
  <si>
    <t>1532859;559215;885733;4015487</t>
  </si>
  <si>
    <t>Lundstrom, C.;Ljung, P.;Persson, A.;Ynnerman, A.</t>
  </si>
  <si>
    <t>1532807;235199;1250414</t>
  </si>
  <si>
    <t>Gosink, L.J.;Anderson, J.C.;Wes Bethel, E.;Joy, K.I.</t>
  </si>
  <si>
    <t>Gosink, L.;Anderson, J.C.;Wes Bethel, E.;Joy, K.I.</t>
  </si>
  <si>
    <t>Worcester Polytechnic Inst. Worcester</t>
  </si>
  <si>
    <t>1372207;1532792;809866;4015447;1250362</t>
  </si>
  <si>
    <t>Thomas Wilde;Christian R̦ssi;Holger Theisel</t>
  </si>
  <si>
    <t>Barth, W.L.;Burns, C.A.</t>
  </si>
  <si>
    <t>37943750000;</t>
  </si>
  <si>
    <t>The MITRE Corporation McLean</t>
  </si>
  <si>
    <t>Huamin Qu;Wing-Yi Chan;Anbang Xu;Kai-Lun Chung;Kai-Hon Lau;Ping Guo</t>
  </si>
  <si>
    <t>885745;146402;885736;1249015;4015447</t>
  </si>
  <si>
    <t>Grottel, S.;Reina, G.;Vrabec, J.;Ertl, T.</t>
  </si>
  <si>
    <t>Tulane University##LCS</t>
  </si>
  <si>
    <t>1250404;1183811;4015487;1372203;4015464;1250404</t>
  </si>
  <si>
    <t>Navratil, P.A.;Johnson, J.L.;Bromm, V.</t>
  </si>
  <si>
    <t>1372230;1372228</t>
  </si>
  <si>
    <t>Hongwei Li;Chi-Wing Fu;Yinggang Li;Hanson, A.J.</t>
  </si>
  <si>
    <t>37881121400;;37835045200;</t>
  </si>
  <si>
    <t>885679;1183769;1250404;1532807;4015476;4015458;1372187;1532853;568116;1183824;568105;1173145;1532803;1372183</t>
  </si>
  <si>
    <t>London University##London University##London University##London University##London University##London University</t>
  </si>
  <si>
    <t>Petrovic, V.;Fallon, J.;Kuester, F.</t>
  </si>
  <si>
    <t>1183799;1532859;1372220;4015480;1250368;4015478;567777</t>
  </si>
  <si>
    <t>Abello, J.;van Ham, F.;Neeraj Krishnan</t>
  </si>
  <si>
    <t>;;37823691100</t>
  </si>
  <si>
    <t>1382907;1532127;1382906;636718;1382909</t>
  </si>
  <si>
    <t>Perer, A.;Shneiderman, B.</t>
  </si>
  <si>
    <t>37294938400;37283016400</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</si>
  <si>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</si>
  <si>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Martin Falk;Anders Ynnerman;Darren Treanor;Claes Lundstr̦m</t>
  </si>
  <si>
    <t>1249011;1382909;1382886;4035752;636718;1382906;1532126</t>
  </si>
  <si>
    <t>Department of Science and Technology, Link̦ping University, Sweden;Department of Science and Technology, Link̦ping University, Sweden;Leeds Teaching Hospitals NHS Trust, United Kingdom;The Center for Medical Image Science and Visualization (CMIV), Link̦ping University, Sweden</t>
  </si>
  <si>
    <t>Bottger, J.;Balzer, M.;Deussen, O.</t>
  </si>
  <si>
    <t>37691047700;37282568100;37266781000</t>
  </si>
  <si>
    <t>636786;1532128;559214</t>
  </si>
  <si>
    <t>Been, K.;Daiches, E.;Yap, C.</t>
  </si>
  <si>
    <t>37298478100;37827862300;38467585700</t>
  </si>
  <si>
    <t>State University of New York at Stony Brook Stony Brook##State University of New York at Stony Brook Stony Brook##State University of New York at Stony Brook Stony Brook</t>
  </si>
  <si>
    <t xml:space="preserve">Sampling, random sampling, lens, clutter, occlusion, density reduction, overplotting, information visualisation, parallel coordinates
</t>
  </si>
  <si>
    <t>1372186;1532819;1382905;809866;1382895</t>
  </si>
  <si>
    <t>National University of Singapore Kent Ridge##National University of Singapore Kent Ridge</t>
  </si>
  <si>
    <t>Smith, G.;Czerwinski, M.;Meyers, B.Robbins.;Robertson, G.;Tan, D.S.</t>
  </si>
  <si>
    <t>729555;885086;1173156;528685;175815</t>
  </si>
  <si>
    <t>1382886;1249008;1532150;1249030;1532129;636718;1173152</t>
  </si>
  <si>
    <t>Buring, T.;Gerken, J.;Reiterer, H.</t>
  </si>
  <si>
    <t>37326161000;37414256700;37354163600</t>
  </si>
  <si>
    <t>University of Lowell Lowell##University of Lowell Lowell##University of Lowell Lowell</t>
  </si>
  <si>
    <t>Henry, N.;Fekete, J.</t>
  </si>
  <si>
    <t>37839948300;37407972900</t>
  </si>
  <si>
    <t>Cui, Q.;Ward, M.O.;Rundensteiner, E.A.;Yang, J.</t>
  </si>
  <si>
    <t>37841616400;37268441700;37279217900;37292632600</t>
  </si>
  <si>
    <t>Cui, Q.;Ward, M.O.;Rundensteiner, E.A.;Jing Yang</t>
  </si>
  <si>
    <t>1382900;1532819;1382895;485139;885088</t>
  </si>
  <si>
    <t>University of Illinois at Urbana-Champaign Urbana##University of Illinois at Urbana-Champaign Urbana##University of Illinois at Urbana-Champaign Urbana</t>
  </si>
  <si>
    <t>Shneiderman, B.;Aris, A.</t>
  </si>
  <si>
    <t>37283016400;37561646300</t>
  </si>
  <si>
    <t>1382886;1532124;1532126</t>
  </si>
  <si>
    <t>Lawrence Livermore National Laboratory Livermore##Lawrence Livermore National Laboratory Livermore</t>
  </si>
  <si>
    <t>Archambault, D.;Munzner, T.;Auber, D.</t>
  </si>
  <si>
    <t>37396011500;37349490300;</t>
  </si>
  <si>
    <t>Computer Graphics LaboratoryETH Z�_rich;Visual Computing GroupUniversity of Magdeburg</t>
  </si>
  <si>
    <t>729560;1173141;1249007;885086;1382904;1382905</t>
  </si>
  <si>
    <t>University of Stuttgart Computer Center##University of Stuttgart Computer Center##University of Stuttgart Computer Center</t>
  </si>
  <si>
    <t>Mehler, A.;Bao, Y.;Li, X.;Wang, Y.;Skiena, S.</t>
  </si>
  <si>
    <t>37839290200;37828493400;37539506500;37311551500;37390017300</t>
  </si>
  <si>
    <t>Yost, B.;North, C.</t>
  </si>
  <si>
    <t>37550898300;37419565900</t>
  </si>
  <si>
    <t>Cortese, P.F.;Di Battista, G.;Moneta, A.;Patrignani, M.;Pizzonia, M.</t>
  </si>
  <si>
    <t>;;37827870000;37267060000;37294504700</t>
  </si>
  <si>
    <t>1382908;963279;1173160</t>
  </si>
  <si>
    <t>User Interaction with Scatterplots on Small Screens - A Comparative Evaluation of Geometric-Semantic Zoom and fisheye Distortion</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</si>
  <si>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</si>
  <si>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</si>
  <si>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Virginia Tech., VA|c|;</t>
  </si>
  <si>
    <t>;37827874500</t>
  </si>
  <si>
    <t>Laboratory University of Maryland##Laboratory University of Maryland##Laboratory University of Maryland</t>
  </si>
  <si>
    <t>801854;1173156</t>
  </si>
  <si>
    <t>Pretorius, A.J.;van Wijk, J.J.</t>
  </si>
  <si>
    <t>;37267249200</t>
  </si>
  <si>
    <t>1173153;1173155;175796;1183778;1249028</t>
  </si>
  <si>
    <t>Markus Hadwiger;Matej Mlejnek;Thomas Theu��l;Peter Rautek</t>
  </si>
  <si>
    <t>AT&amp;T Bell Laboratories Murray Hill</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</si>
  <si>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</si>
  <si>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;37272036400;</t>
  </si>
  <si>
    <t>1382909;1382906</t>
  </si>
  <si>
    <t>Heine, C.;Scheuermann, G.;Flamm, C.;Hofacker, I.L.;Stadler, P.F.</t>
  </si>
  <si>
    <t>37410427900;37282574800;37827878900;37271796900;37271818100</t>
  </si>
  <si>
    <t>Panse, C.;Sips, M.;Keim, D.A.;North, S.C.</t>
  </si>
  <si>
    <t>37282557300;37827860500;37283138700;37372818600</t>
  </si>
  <si>
    <t>745303;1382888;1250410</t>
  </si>
  <si>
    <t>Vliegen, R.;van Wijk, J.J.;van der Linden, E.-J.</t>
  </si>
  <si>
    <t>37827870300;37267249200;</t>
  </si>
  <si>
    <t>1532781;963290;175815;1532125;801859</t>
  </si>
  <si>
    <t>Dorling, D.;Barford, A.;Newman, M.</t>
  </si>
  <si>
    <t>37827878600;37827879900;37840240600</t>
  </si>
  <si>
    <t>Harvard University##Harvard University##Harvard University</t>
  </si>
  <si>
    <t>Fails, J.A.;Karlson, A.;Shahamat, L.;Shneiderman, B.</t>
  </si>
  <si>
    <t>37830130000;38266509300;37565888100;</t>
  </si>
  <si>
    <t>Temporal query, information visualization, user
interface</t>
  </si>
  <si>
    <t>Bethel, E.W.;Campbell, S.;Dart, E.;Stockinger, K.;Kesheng Wu</t>
  </si>
  <si>
    <t>;37551989600;37829631700;37283413300;37278663800</t>
  </si>
  <si>
    <t>query-driven visualization, network security, data
mining, visual analytics</t>
  </si>
  <si>
    <t>809930;1532792</t>
  </si>
  <si>
    <t>Proulx, P.;Tandon, S.;Bodnar, A.;Schroh, D.;Harper, R.;Wright, W.</t>
  </si>
  <si>
    <t>37604342500;37823346300;37830130500;37704437400;37594531000;37654961400</t>
  </si>
  <si>
    <t>visual analytics, information visualization, human
information interaction, sense making, geo-spatial information
systems, temporal analysis, user centered design</t>
  </si>
  <si>
    <t>visualization, analytic environments,
metrics</t>
  </si>
  <si>
    <t>146375;1382902;636794</t>
  </si>
  <si>
    <t>Felix Raith;Christian Blecha;Thomas Nagel;Francesco Parisio;Olaf Kolditz;Fabian G�_nther;Markus Stommel;Gerik Scheuermann</t>
  </si>
  <si>
    <t>Visual analytics, Spatial information organization, Indirect
human computer interaction, Indirect collaboration, Agents,
Sense-making</t>
  </si>
  <si>
    <t>Bilgic, M.;Licamele, L.;Getoor, L.;Shneiderman, B.</t>
  </si>
  <si>
    <t>37831461700;37829618300;37829614900;</t>
  </si>
  <si>
    <t>Data cleaning and integration, user interfaces, visual
analytics, visual data mining</t>
  </si>
  <si>
    <t>Ling Xiao;Gerth, J.;Hanrahan, P.</t>
  </si>
  <si>
    <t>37836526900;37840462500;37349803800</t>
  </si>
  <si>
    <t>Xie Zaixian;Huang Shiping;Ward, M.O.;Rundensteiner, E.A.</t>
  </si>
  <si>
    <t>37829093300;37557769100;37268441700;37279217900</t>
  </si>
  <si>
    <t>Uncertainty visualization, multivariate visualization,
data quality</t>
  </si>
  <si>
    <t>885679;1173145;485139;1382902</t>
  </si>
  <si>
    <t>37275772500;37271216800;37292632600;37300425000;37823835000</t>
  </si>
  <si>
    <t>729555;1249019;175815</t>
  </si>
  <si>
    <t>Pak Chung Wong;Chin, G.;Foote, H.;Mackey, P.;Thomas, J.</t>
  </si>
  <si>
    <t>37280665600;37284824700;37372586800;37550755900;37273308900</t>
  </si>
  <si>
    <t>1249014;1532131</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</si>
  <si>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</si>
  <si>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Gotz, D.;Zhou, M.X.;Aggarwal, V.</t>
  </si>
  <si>
    <t>37601397400;37399569300;37567125300</t>
  </si>
  <si>
    <t>Visual Analytics, Intelligence analysis, Problem solving
environments, Visual Knowledge Discovery</t>
  </si>
  <si>
    <t>1532146;1532136;963287;559210</t>
  </si>
  <si>
    <t>Pattath, A.;Bue, B.;Yun Jang;Ebert, D.;Xuan Zhong;Aulf, A.;Coyle, E.</t>
  </si>
  <si>
    <t>37296890200;37296901100;37557344300;38472156500;37290193000;;37273340400</t>
  </si>
  <si>
    <t>Pattath, A.;Bue, B.;Yun Jang;Ebert, D.S.;Xuan Zhong;Aulf, A.;Coyle, E.</t>
  </si>
  <si>
    <t>1382887;964541_07;1532135;1532131;885097</t>
  </si>
  <si>
    <t>37538916500;37545504600</t>
  </si>
  <si>
    <t>Interactive Detection, Wormhole Attacks, Visualization
on Network Security, Wireless Networks, Topology Visualization</t>
  </si>
  <si>
    <t>567787;1532819;1173161;1382891</t>
  </si>
  <si>
    <t>Keim, D.A.;Mansmann, F.;Schneidewind, J.;Schreck, T.</t>
  </si>
  <si>
    <t>David Duran;Pedro Hermosilla;Timo Ropinski;Barbora Kozl�_kov��;Alvar Vinacua;Pere-Pau V��zquez</t>
  </si>
  <si>
    <t>David Duran;Pedro Hermosilla;Timo Ropinski;Barbora Kozl�_kov��;́lvar Vinacua;Pere-Pau V��zquez</t>
  </si>
  <si>
    <t>37283138700;37392086200;37669961800;37282557600</t>
  </si>
  <si>
    <t>Visual Analytics, Network Traffic Monitoring, Information
Visualization and Geography-based Solutions</t>
  </si>
  <si>
    <t>885091;729567</t>
  </si>
  <si>
    <t>Hyunmo Kang;Plaisant, C.;Bongshin Lee;Bederson, B.B.</t>
  </si>
  <si>
    <t>37291403000;37283026800;37293389400;37279760100</t>
  </si>
  <si>
    <t>Human-Computer Interaction, information
visualization, network visualization, content-actor network data,
iterative query refinement, incremental data exploration, user
interfaces, digital library, piccolo</t>
  </si>
  <si>
    <t>1382886;559210;1532136</t>
  </si>
  <si>
    <t>Schneidewind, J.;Sips, M.;Keim, D.A.</t>
  </si>
  <si>
    <t>37669961800;37827860500;37283138700</t>
  </si>
  <si>
    <t>Visual Data Exploration, Visualization technique,
Visual Analytics</t>
  </si>
  <si>
    <t>1532145;1532142;1532782;1532781;885092</t>
  </si>
  <si>
    <t>Chi, Ed H.;Lichan Hong;Heiser, J.;Card, S.K.</t>
  </si>
  <si>
    <t>37448030800;37347459100;37837705900;37444594200</t>
  </si>
  <si>
    <t>Chi, E.H.;Lichan Hong;Heiser, J.;Card, S.K.</t>
  </si>
  <si>
    <t>Jing Yang;Jianping Fan;Hubball, D.;Yuli Gao;Hangzai Luo;Ribarsky, W.;Ward, M.</t>
  </si>
  <si>
    <t>37292632600;37271216800;37300421500;37404899900;37275772500;37300425000;37268441700</t>
  </si>
  <si>
    <t>Jing Yang;Jianping Fan;Hubball, D.;Yuli Gao;Hangzai Luo;Ribarsky, W.;Ward, M.O.</t>
  </si>
  <si>
    <t>Image retrieval, image layout, semantic image classification,
multi-dimensional visualization, visual analytics</t>
  </si>
  <si>
    <t>801855;528686;1249009;485140;1382893</t>
  </si>
  <si>
    <t>Card, S.K.;Suh, B.;Pendleton, B.A.;Heer, J.;Bodnar, J.W.</t>
  </si>
  <si>
    <t>37444594200;37823184000;37830268500;37550791300;37830251400</t>
  </si>
  <si>
    <t>1249010;175815</t>
  </si>
  <si>
    <t>Brennan, S.E.;Mueller, K.;Zelinsky, G.;Ramakrishnan, I.;Warren, D.S.;Kaufman, A.</t>
  </si>
  <si>
    <t>37840264500;37273119700;37418690100;37284911300;37344836300;37268052800</t>
  </si>
  <si>
    <t>Data exploration, OLAP, visualization, parallel
coordinates</t>
  </si>
  <si>
    <t>1173157;1532139</t>
  </si>
  <si>
    <t>Grinstein, G.;O'Connell, T.;Laskowski, S.;Plaisant, C.;Scholtz, J.;Whiting, M.</t>
  </si>
  <si>
    <t>37360588500;37825268500;37837224000;37283026800;37268671300;37357067600</t>
  </si>
  <si>
    <t>Chen, C.;Ibekwe-SanJuan, F.;SanJuan, E.;Weaver, C.</t>
  </si>
  <si>
    <t>37280749300;;37840812000;37564883300</t>
  </si>
  <si>
    <t>Visual Analytics, Intelligence analysis, Problemsolving
environments, Visual Knowledge Discovery</t>
  </si>
  <si>
    <t>Weaver, C.;Fyfe, D.;Robinson, A.;Holdsworth, D.;Peuquet, D.;MacEachren, A.M.</t>
  </si>
  <si>
    <t>37564883300;37830097900;37829187900;37838441900;37830095400;37374699000</t>
  </si>
  <si>
    <t>Geovisualization, exploratory visualization, historical
geography, coordinated multiple views, travel pattern analysis</t>
  </si>
  <si>
    <t>1382904;1173155;1382905</t>
  </si>
  <si>
    <t>Infovis, parallel coordinates, multiple linked views,
exploratory analysis</t>
  </si>
  <si>
    <t>Mehta, S.;Parthasarathy, S.;Machiraju, R.</t>
  </si>
  <si>
    <t>37275792500;37269057900;37269516700</t>
  </si>
  <si>
    <t>Knowledge Discovery, Scientific Analytics, Trajectory
Analysis, Feature Extraction, Spatio-temporal Predicates, Visual
Analytics</t>
  </si>
  <si>
    <t>Eick, S.G.;Mauger, J.;Ratner, A.</t>
  </si>
  <si>
    <t>37282570100;37838214600;37662038500</t>
  </si>
  <si>
    <t>AJAX, thin-client, SVG, ROC curves, confusion
matrices, document categorization</t>
  </si>
  <si>
    <t>Georgii, J.;Westermann, R.</t>
  </si>
  <si>
    <t>37828702100;37444424000</t>
  </si>
  <si>
    <t>1250390;663853;885683;1250384;964512;567606</t>
  </si>
  <si>
    <t>Nguyen, T.N.;Zhang, J.</t>
  </si>
  <si>
    <t>37280728200;37836748400</t>
  </si>
  <si>
    <t>Nguyen, T.;Zhang, J.</t>
  </si>
  <si>
    <t>528691;963287;528692;729565;801864;885099</t>
  </si>
  <si>
    <t>Hong, W.;Feng Qiu;Kaufman, A.</t>
  </si>
  <si>
    <t>Alexander Kumpf;Marc Rautenhaus;Michael Riemer;R�_diger Westermann</t>
  </si>
  <si>
    <t>37277099300;37416126400;37268052800</t>
  </si>
  <si>
    <t>Computer Graphics &amp; Visualization Group, Technische Universitiit M�_nchen, Garching, Germany;Computer Graphics &amp; Visualization Group, Technische Universitiit M�_nchen, Garching, Germany;Universit�_t Hamburg, Regional Computing Center, Hamburg, Germany;Computer Graphics &amp; Visualization Group, Technische Universitiit M�_nchen, Garching, Germany</t>
  </si>
  <si>
    <t>964540;1372236;235231;1250384</t>
  </si>
  <si>
    <t>Bergner, S.;Moller, T.;Weiskopf, D.;Muraki, D.J.</t>
  </si>
  <si>
    <t>37418878100;37275858700;38470313000;37836983300</t>
  </si>
  <si>
    <t>1250388;1532812;1250412;398852;885683;964519;1250384;809908</t>
  </si>
  <si>
    <t>Li, L.W.F.;Li, F.W.B.;Lau, R.W.H.</t>
  </si>
  <si>
    <t>37835889100;37400967400;37271835000</t>
  </si>
  <si>
    <t>663890;663896</t>
  </si>
  <si>
    <t>University of UtahSchool of Computing;Texas Tech UniversityCollege of Arts ��_ Sciences;University of UtahSchool of Computing</t>
  </si>
  <si>
    <t>Tarini, M.;Cignoni, P.;Montani, C.</t>
  </si>
  <si>
    <t>37591264000;37265783400;37265786500</t>
  </si>
  <si>
    <t>885694;1250394</t>
  </si>
  <si>
    <t>Liu, Z.;Moorhead, R.J.;Groner, J.</t>
  </si>
  <si>
    <t>37671605200;37282559500;37828782100</t>
  </si>
  <si>
    <t>885690;745295;1532831;1532832</t>
  </si>
  <si>
    <t>Song, Y.;Ye, J.;Svakhine, N.;Lasher-Trapp, S.;Baldwin, M.;Ebert, D.S.</t>
  </si>
  <si>
    <t>37560039000;;37565760800;;;37282598900</t>
  </si>
  <si>
    <t>885745;1250390;745330;235215;568112;1250383;146361</t>
  </si>
  <si>
    <t>Burakiewicz, W.;van Liere, R.</t>
  </si>
  <si>
    <t>37828783300;</t>
  </si>
  <si>
    <t>964552;1372223;885733;885734</t>
  </si>
  <si>
    <t>Rutten, M.;Chong, M.S.</t>
  </si>
  <si>
    <t>37437412100;37824731300</t>
  </si>
  <si>
    <t>1250379;663858;1372213;1372188;1372196;346326;398849</t>
  </si>
  <si>
    <t>Bhasker, E.S.;Sinha, P.;Majumder, A.</t>
  </si>
  <si>
    <t>37828782600;37827510800;37408075400</t>
  </si>
  <si>
    <t>Bhasker, E.;Sinha, P.;Majumder, A.</t>
  </si>
  <si>
    <t>1183793;885685;885684;809883;964508</t>
  </si>
  <si>
    <t>Rautek, P.;Viola, I.;Groller, E.</t>
  </si>
  <si>
    <t>37828701300;37282726800;37284271200</t>
  </si>
  <si>
    <t>1532856;1372190;1532857;1532835</t>
  </si>
  <si>
    <t>Kruger, J.;Schneider, J.;Westermann, R.</t>
  </si>
  <si>
    <t>37548560500;37560044500;37444424000</t>
  </si>
  <si>
    <t>885694;1250400;568110;1183762;1183777;809882;885694;1372190;1250384;1532856;1532818</t>
  </si>
  <si>
    <t>Deines, E.;Bertram, M.;Mohring, J.;Jegorovs, J.;Michel, F.;Hagen, H.;Nielson, G.M.</t>
  </si>
  <si>
    <t>37282727900;37282067000;37543023400;37550794800;37838754300;37282578800;37283754100</t>
  </si>
  <si>
    <t>University of Rome ���La Sapienza�۝;University of Rome ���La Sapienza�۝;University of Rome ���La Sapienza�۝;University of Rome ���La Sapienza�۝;University of Rome ���La Sapienza�۝</t>
  </si>
  <si>
    <t>Slack, J.;Munzner, T.</t>
  </si>
  <si>
    <t>37561415800;37349490300</t>
  </si>
  <si>
    <t>636786;1532127;1173156;1532127;1183791</t>
  </si>
  <si>
    <t>Indiana University Bloomington##Indiana University Bloomington</t>
  </si>
  <si>
    <t>Ellsworth, D.;Green, B.;Henze, C.;Moran, P.;Sandstrom, T.</t>
  </si>
  <si>
    <t>37282594500;37273679700;37373380100;37264891100;37837582600</t>
  </si>
  <si>
    <t>Ellsworth, D.;Green, B.;Henze, C.;Moran, P.J.;Sandstrom, T.</t>
  </si>
  <si>
    <t>Mehta, K.;Jankun-Kelly, T.J.</t>
  </si>
  <si>
    <t>38272355300;38275083200</t>
  </si>
  <si>
    <t>10.1109/TVCG.2006.181;10.1109/TVCG.2006.182;10.1109/VISUAL.1997.663894;10.1109/VISUAL.2004.23;10.1109/TVCG.2010.212;10.1109/VISUAL.2001.964507</t>
  </si>
  <si>
    <t>4015482;4015498;663894;1372231;5613500;964507</t>
  </si>
  <si>
    <t>Kindlmann, G.;Westin, C.-F.</t>
  </si>
  <si>
    <t>37282742400;37294318400</t>
  </si>
  <si>
    <t>1372187;745294;1372188;1183797;485141;809905;1250379</t>
  </si>
  <si>
    <t>Castanie, L.;Mion, C.;Cavin, X.;Levy, B.</t>
  </si>
  <si>
    <t>37565750700;37550851600;37442790400;37554667100</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</si>
  <si>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</si>
  <si>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1532794;663888;1532785;1532802</t>
  </si>
  <si>
    <t>37840642900;37279493500</t>
  </si>
  <si>
    <t>1250414;567807;809893;1249004;1532834;1532857;1532833;1183785;1250402</t>
  </si>
  <si>
    <t>Kersten, M.A.;Stewart, A.J.;Troje, N.;Ellis, R.</t>
  </si>
  <si>
    <t>37829586000;37591698700;37828778600;37850225600</t>
  </si>
  <si>
    <t>37265895700;37284271200</t>
  </si>
  <si>
    <t>1250400;1532783;1532856;1532807;1250384;559215;1372221;1532817</t>
  </si>
  <si>
    <t>Entezari, A.;Möller, T.</t>
  </si>
  <si>
    <t>37268675600;37275858700</t>
  </si>
  <si>
    <t>Entezari, A.;MÃ¶ller, T.</t>
  </si>
  <si>
    <t>346331;398851;1532811;1372174;663848</t>
  </si>
  <si>
    <t>Link̦ping University;Link̦ping University;Link̦ping University;Link̦ping University;Link̦ping University</t>
  </si>
  <si>
    <t>Lindstrom, P.;Isenburg, M.</t>
  </si>
  <si>
    <t>37269320000;37281897600</t>
  </si>
  <si>
    <t>809867;885711;1183768;568138</t>
  </si>
  <si>
    <t>1250400;885694</t>
  </si>
  <si>
    <t>Duke, D.;Wallace, M.;Borgo, R.;Runciman, C.</t>
  </si>
  <si>
    <t>37282576200;37827249700;37591074800;37377709700</t>
  </si>
  <si>
    <t>346311;809864;398880;809891;1532800;663888</t>
  </si>
  <si>
    <t>Ljung, P.;Winskog, C.;Persson, A.;Lundstrom, C.;Ynnerman, A.</t>
  </si>
  <si>
    <t>37284208400;37828700500;37604521200;37284209100;37284192000</t>
  </si>
  <si>
    <t>1183757;1250384;1532794;1250391;1532799;809908</t>
  </si>
  <si>
    <t>Salama, C.R.;Keller, M.;Kohlmann, P.</t>
  </si>
  <si>
    <t>37840859800;37589324500;37623778100</t>
  </si>
  <si>
    <t>1250384;1250413;1183764;745319;964519;1250412;568112;663875</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</si>
  <si>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</si>
  <si>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Juri Buchm�_ller;Dominik J�_ckle;Eren Cakmak;Ulrik Brandes;Daniel A. Keim</t>
  </si>
  <si>
    <t>Schreiner, J.;Scheiclegger, C.E.;Silva, C.T.</t>
  </si>
  <si>
    <t>37840129300;;37275249200</t>
  </si>
  <si>
    <t>Schreiner, J.;Scheidegger, C.E.;Silva, C.T.</t>
  </si>
  <si>
    <t>175782;885705;663930;1250414;1372230</t>
  </si>
  <si>
    <t>Wei Qiao;McLennan, M.;Kennell, R.;Ebert, D.S.;Klimeck, G.</t>
  </si>
  <si>
    <t>37282552800;37393469800;37393471900;37282598900;37270404800</t>
  </si>
  <si>
    <t>1183758;1250377;1532795;235211;1532811;1250361;885683;1532794;1532793;346315;885689</t>
  </si>
  <si>
    <t>Merhof, D.;Sonntag, M.;Enders, F.;Nimsky, C.;Hastreiter, P.;Greiner, G.</t>
  </si>
  <si>
    <t>38266637000;37824387300;37550815500;37550816800;37373297800;37372696400</t>
  </si>
  <si>
    <t>1532859;1532772;1183799;1532773;1532778;567777;1532779;1372220</t>
  </si>
  <si>
    <t>Viola, I.;Feixas, M.;Sbert, M.;Groller, M.E.</t>
  </si>
  <si>
    <t>37282726800;37426689600;37396572900;37282552200</t>
  </si>
  <si>
    <t>Viola, I.;Feixas, M.;Sbert, M.;Groller, E.</t>
  </si>
  <si>
    <t>1532856;1532834;963286;1532833</t>
  </si>
  <si>
    <t>Zhang, H.;Kaufman, A.</t>
  </si>
  <si>
    <t>37280794900;37268052800</t>
  </si>
  <si>
    <t>745713;1372228;568121;1372230;745300</t>
  </si>
  <si>
    <t>Zhou, Y.;Garland, M.</t>
  </si>
  <si>
    <t>37273640900;37272036400</t>
  </si>
  <si>
    <t>1250406;1532796;1532776;1532809;1250404;1183757;1183771;1372224;1250390;809867;1372181;1250384;885683;1183778;1532808;1250389;480790;1372226;1532801</t>
  </si>
  <si>
    <t>Miller, J.;Quammen, C.W.;Fleenor, M.C.</t>
  </si>
  <si>
    <t>37830883100;37828726400;37828722500</t>
  </si>
  <si>
    <t>235181;1183824;1250404</t>
  </si>
  <si>
    <t>Shi, Q.;JaJa, J.</t>
  </si>
  <si>
    <t>37333454000;37276261200</t>
  </si>
  <si>
    <t>745713;175780;745299;568121;809910;1183810;745298;809879;1372230;745300;1250373</t>
  </si>
  <si>
    <t>Zhao, L.;Botha, C.P.;Bescos, J.O.;Truyen, R.;Vos, F.M.;Post, F.H.</t>
  </si>
  <si>
    <t>37834977900;37373834100;37591606800;37394318300;37271678400;37295045800</t>
  </si>
  <si>
    <t>1532832;885690;1183789;480795</t>
  </si>
  <si>
    <t>37559027700;37279493500</t>
  </si>
  <si>
    <t>809871;809908;964519;480812;1532781;1532833;963283;1532834;1183757;663869;1183791;235230;663875</t>
  </si>
  <si>
    <t>Yoon, S.-E.;Lindstrom, P.</t>
  </si>
  <si>
    <t>1372189;1250408;964533;568125;1532800;1183794</t>
  </si>
  <si>
    <t>Woodring, J.;Shen, H.-W.</t>
  </si>
  <si>
    <t>37542815100;37279493500</t>
  </si>
  <si>
    <t>Woodring, J.;Han-Wei Shen</t>
  </si>
  <si>
    <t>398869;1532856;1372194;885694;1250402;235222</t>
  </si>
  <si>
    <t>Sauber, N.;Theisel, H.;Seidel, H.-P.</t>
  </si>
  <si>
    <t>37550815800;37266875400;37271851300</t>
  </si>
  <si>
    <t>809865;1372207;1372239;809905;1250362</t>
  </si>
  <si>
    <t>Takahashi, S.;Yoshida, K.;Nishita, T.;Shimada, K.</t>
  </si>
  <si>
    <t>37280401000;37826572100;37324632500;37267968100</t>
  </si>
  <si>
    <t>636786;1532818</t>
  </si>
  <si>
    <t>Carr, H.;Duffy, B.;Denby, B.</t>
  </si>
  <si>
    <t>37282624500;;</t>
  </si>
  <si>
    <t>346334;964519;346331;175782;964515;964516;663875</t>
  </si>
  <si>
    <t>Minsu Ahn;Guskov, I.;Seungyong Lee</t>
  </si>
  <si>
    <t>37588185500;37326465500;37281130900</t>
  </si>
  <si>
    <t>964541_08;1250408;1532800;745282;964532</t>
  </si>
  <si>
    <t>Novotny, M.;Hauser, H.</t>
  </si>
  <si>
    <t>37823192400;37274158800</t>
  </si>
  <si>
    <t>636793;809866;1173156;567800;1532138;146402</t>
  </si>
  <si>
    <t>Callahan, S.P.;Bavoil, L.;Pascucci, V.;Silva, C.T.</t>
  </si>
  <si>
    <t>37426872800;37565304300;38262213600;37275249200</t>
  </si>
  <si>
    <t>1532796;745713;1250390;1372227;1532793</t>
  </si>
  <si>
    <t>Ritter, F.;Hansen, C.;Dicken, V.;Konrad, O.;Preim, B.;Peitgen, H.-O.</t>
  </si>
  <si>
    <t>37645939800;37824134900;37828698600;37828698700;37424645300;37442956900</t>
  </si>
  <si>
    <t>1532782;1532859;1250394;1532835;964538;1249022;1532855</t>
  </si>
  <si>
    <t>Li, W.-C.;Vallet, B.;Ray, N.;Levy, B.</t>
  </si>
  <si>
    <t>37558024300;37828763300;37831619000;37554667100</t>
  </si>
  <si>
    <t>10.1109/VISUAL.2005.1532776;10.1109/VISUAL.1994.346313;10.1109/VISUAL.2003.1250363;10.1109/VISUAL.2005.1532842;10.1109/VISUAL.1999.809892;10.1109/VISUAL.1999.809897;10.1109/TVCG.2010.166;10.1109/VISUAL.2000.885716;10.1109/VISUAL.2003.1250364</t>
  </si>
  <si>
    <t>1532776;346313;1250363;1532842;809892;809897;5613473;885716;1250364</t>
  </si>
  <si>
    <t>Youngmin Kim;Varshney, A.</t>
  </si>
  <si>
    <t>37836140000;37282560200</t>
  </si>
  <si>
    <t>1250414;1250412;885694;1183777;1372209;885696</t>
  </si>
  <si>
    <t>Glatter, M.;Mollenhour, C.;Huang, J.;Gao, J.</t>
  </si>
  <si>
    <t>37828700000;37828698800;37281262900;37279695300</t>
  </si>
  <si>
    <t>1532792;1532794;809910;568121;1250412;964519;745311;885698</t>
  </si>
  <si>
    <t>Li, Y.;Chi-Wing Fu;Hanson, A.J.</t>
  </si>
  <si>
    <t>37835045200;37336329800;37333439100</t>
  </si>
  <si>
    <t>Acevedo, D.;Laidlaw, D.H.</t>
  </si>
  <si>
    <t>;37275712600</t>
  </si>
  <si>
    <t>10.1109/TVCG.2009.126;10.1109/INFVIS.1997.636792;10.1109/INFVIS.2000.885092</t>
  </si>
  <si>
    <t>5290732;636792;885092</t>
  </si>
  <si>
    <t>Jankun-Kelly, T.J.;Ketan Mehta</t>
  </si>
  <si>
    <t>4015463;1532770;1532773;4015498</t>
  </si>
  <si>
    <t>Slavin, V.A.;Pelcovits, R.;Loriot, G.;Callan-Jones, A.;Laidlaw, D.H.</t>
  </si>
  <si>
    <t>37282588800;37282588000;37282584100;37282583700;37275712600</t>
  </si>
  <si>
    <t>745294;1372231</t>
  </si>
  <si>
    <t>Bair, A.S.;House, D.H.;Ware, C.</t>
  </si>
  <si>
    <t>37565577300;37284216700;37265850800</t>
  </si>
  <si>
    <t>Bair, A.;House, D.;Ware, C.</t>
  </si>
  <si>
    <t>1532782;1249022</t>
  </si>
  <si>
    <t>Laney, D.;Bremer, P.-T.;Mascarenhas, A.;Miller, P.;Pascucci, V.</t>
  </si>
  <si>
    <t>37281901900;37564112000;37284319900;;37284312600</t>
  </si>
  <si>
    <t>1250376;1183772;1532842;885716;1372235;1250408;1372214;809907;745288;1532839</t>
  </si>
  <si>
    <t>Waters, K.W.;Co, C.S.;Joy, K.I.</t>
  </si>
  <si>
    <t>37823091200;37828723800;37267811400</t>
  </si>
  <si>
    <t>568121;745298;1372230;1372228;663895;809879</t>
  </si>
  <si>
    <t>Sreng, J.;Lecuyer, A.;Megard, C.;Andriot, C.</t>
  </si>
  <si>
    <t>37828724200;37295204100;37828726000;37297749600</t>
  </si>
  <si>
    <t>964526;885692</t>
  </si>
  <si>
    <t>Chen, M.;Hashim, R.R.;Botchen, R.P.;Weiskopf, D.;Ertl, T.;Thornton, I.M.</t>
  </si>
  <si>
    <t>37280982800;37829295700;37565744300;38470313000;38356649100;37591073500</t>
  </si>
  <si>
    <t>1250401;175792;480819</t>
  </si>
  <si>
    <t>Westf�_lische Wilhelms-Universit�_t M�_nster, Germany;Westf�_lische Wilhelms-Universit�_t M�_nster, Germany</t>
  </si>
  <si>
    <t>de Leeuw, W.;Verschure, P.J.;van Liere, R.</t>
  </si>
  <si>
    <t>;37340174000;</t>
  </si>
  <si>
    <t>745319;146378;885735;885678;1532788;568136</t>
  </si>
  <si>
    <t>Melek, Z.;Mayerich, D.;Yuksel, C.;Keyser, J.</t>
  </si>
  <si>
    <t>37284004900;38267901600;37828699700;37282588300</t>
  </si>
  <si>
    <t>1532859;1250399;1532780</t>
  </si>
  <si>
    <t>Sadlo, F.;Peikert, R.;Sick, M.</t>
  </si>
  <si>
    <t>37282541900;37282541100;37828727500</t>
  </si>
  <si>
    <t>567807;809896;1372195</t>
  </si>
  <si>
    <t>Jankun-Kelly, M.;Jiang, M.;Thompson, D.;Raghu Machiraju</t>
  </si>
  <si>
    <t>;37826582200;;37269516700</t>
  </si>
  <si>
    <t>Jankun-Kelly, M.;Jiang, M.;Thompson, D.;Machiraju, R.</t>
  </si>
  <si>
    <t>663894;1183789;1532830;745296;745288;809896</t>
  </si>
  <si>
    <t>963283;1173152</t>
  </si>
  <si>
    <t>CSIRO Division of Information Technology GPO</t>
  </si>
  <si>
    <t>Evaluating ���Graphical Perception�۪ with CNNs</t>
  </si>
  <si>
    <t>Zotti, G.;Groller, M.E.</t>
  </si>
  <si>
    <t>37560924800;37282552200</t>
  </si>
  <si>
    <t>Zotti, G.;Groller, E.</t>
  </si>
  <si>
    <t>Allendoerfer, K.;Aluker, S.;Panjwani, G.;Proctor, J.;Sturtz, D.;Vukovic, M.;Chen, C.</t>
  </si>
  <si>
    <t>37550734100;37550734900;37550735400;37560563600;37550735800;37555142200;37280749300</t>
  </si>
  <si>
    <t>NASA Ames Chemistry##NASA Ames Chemistry##NASA Ames Chemistry</t>
  </si>
  <si>
    <t>Kang Shi;Irani, P.;Li, B.</t>
  </si>
  <si>
    <t>37555057000;37283481700;37559018700</t>
  </si>
  <si>
    <t>885091;1382899</t>
  </si>
  <si>
    <t>Johns Hopkins University Laurel</t>
  </si>
  <si>
    <t>Fanea, E.;Carpendale, S.;Isenberg, T.</t>
  </si>
  <si>
    <t>37550785900;37285000100;37297057400</t>
  </si>
  <si>
    <t>485139;1249024;1249008;1173157;1382893;1249015;1382895;1382894;809866;1173151;346302;663866;146402</t>
  </si>
  <si>
    <t>Zhen Wen;Zhou, M.X.;Aggarwal, V.</t>
  </si>
  <si>
    <t>37548307800;37399569300;37567125300</t>
  </si>
  <si>
    <t>885091;885093;636718</t>
  </si>
  <si>
    <t>Intelligent Light</t>
  </si>
  <si>
    <t>1382897;885098</t>
  </si>
  <si>
    <t>Jaemin Jo;Fr̩d̩ric Vernier;Pierre Dragicevic;Jean-Daniel Fekete</t>
  </si>
  <si>
    <t>Seoul National University, Republic of Korea;LIMSICNRSUniv. Paris-SudUniversit̩ Paris-Saclay;Inria;Inria</t>
  </si>
  <si>
    <t>Dwyer, T.;Koren, Y.</t>
  </si>
  <si>
    <t>University of California##University of California##University of California##University of California##University of California##University of California</t>
  </si>
  <si>
    <t>37326161000;37414256700</t>
  </si>
  <si>
    <t>Pak Chung Wong;Mackey, P.;Perrine, K.;Eagan, J.;Foote, H.;Thomas, J.</t>
  </si>
  <si>
    <t>37280665600;37550755900;37550754400;37550755100;37372586800;37273308900</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</si>
  <si>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&amp;lt;;300 ms for the bar chart, &amp;lt;;220 ms for the donut chart, and in &amp;lt;; 1780 ms for the radial bar chart. Thresholds in the second study per chart type were on average 1.14-1.35�� higher than in the first study. Our results show that bar and donut charts should be preferred on smartwatch displays when quick data comparisons are necessary.</t>
  </si>
  <si>
    <t>Tanja Blascheck;Lonni Besan̤on;Anastasia Bezerianos;Bongshin Lee;Petra Isenberg</t>
  </si>
  <si>
    <t>Shengdong Zhao;McGuffin, M.J.;Chignell, M.H.</t>
  </si>
  <si>
    <t>Inria;Universit̩ Paris Saclay;Universit̩ Paris SudInriaCNRSUniversit̩ Paris Saclay;Microsoft Research;Inria</t>
  </si>
  <si>
    <t>Technology Applications, Inc</t>
  </si>
  <si>
    <t>37560414100;37403234300;37388674500</t>
  </si>
  <si>
    <t>885091;1173148</t>
  </si>
  <si>
    <t>Doantam Phan;Ling Xiao;Yeh, R.;Hanrahan, P.</t>
  </si>
  <si>
    <t>528697;559226</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</si>
  <si>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</si>
  <si>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Sriram Karthik Badam;Andreas Mathisen;Roman R�_dle;Clemens Nylandsted Klokmose;Niklas Elmqvist</t>
  </si>
  <si>
    <t>Sriram Karthik Badam;Andreas Mathisen;Roman R�_dle;Clemens N. Klokmose;Niklas Elmqvist</t>
  </si>
  <si>
    <t>Wilkinson, L.;Anand, A.;Grossman, R.</t>
  </si>
  <si>
    <t>37560536200;37548165700;37270222000</t>
  </si>
  <si>
    <t>1249006;1382892;1382895</t>
  </si>
  <si>
    <t>Brandes, U.;Fleischer, D.;Lerner, J.</t>
  </si>
  <si>
    <t>37550836200;37561234600;37552262100</t>
  </si>
  <si>
    <t>Massachusetts Institute of Technology##Massachusetts Institute of Technology</t>
  </si>
  <si>
    <t>Hao, M.C.;Dayal, U.;Keim, D.A.;Schreck, T.</t>
  </si>
  <si>
    <t>37274264300;37275646700;37283138700;37282557600</t>
  </si>
  <si>
    <t>801867;801851;485140;801860;885086</t>
  </si>
  <si>
    <t>Riehmann, P.;Hanfler, M.;Froehlich, B.</t>
  </si>
  <si>
    <t>37550728300;37550731200;37282977500</t>
  </si>
  <si>
    <t>398870;559226</t>
  </si>
  <si>
    <t>McGuffin, M.J.;Balakrishnan, R.</t>
  </si>
  <si>
    <t>37403234300;37394495600</t>
  </si>
  <si>
    <t>1382899;636718;175815;1173148</t>
  </si>
  <si>
    <t>Amar, R.;Eagan, J.;Stasko, J.</t>
  </si>
  <si>
    <t>37418696100;37550755100;37267736900</t>
  </si>
  <si>
    <t>146375;729560;885092;1382884;963289</t>
  </si>
  <si>
    <t>Chlan, E.B.;Rheingans, P.</t>
  </si>
  <si>
    <t>37550762600;37282292000</t>
  </si>
  <si>
    <t>528691;568111;809866;885677</t>
  </si>
  <si>
    <t>CAIP Rutgers University Rut gers University Piscataway##CAIP Rutgers University Rut gers University Piscataway</t>
  </si>
  <si>
    <t>Bendix, F.;Kosara, R.;Hauser, H.</t>
  </si>
  <si>
    <t>37550751300;37282563400;37274158800</t>
  </si>
  <si>
    <t>146386;146402;1249016;1173157</t>
  </si>
  <si>
    <t>Slack, J.;Hildebrand, K.;Munzner, T.</t>
  </si>
  <si>
    <t>37561415800;37565728600;37349490300</t>
  </si>
  <si>
    <t>1173156;1382905</t>
  </si>
  <si>
    <t>U.S. EPA Scientific Visualization Center NASA Marshall Space Flight Center Florida State University University of Wisconsin at Madison IBM T J. Watson Research Center</t>
  </si>
  <si>
    <t>Johansson, J.;Ljung, P.;Jern, M.;Cooper, M.</t>
  </si>
  <si>
    <t>37273045500;37284208400;37283245900;37268765000</t>
  </si>
  <si>
    <t>146402;809866;1382894</t>
  </si>
  <si>
    <t>Forsell, C.;Seipel, S.;Lind, M.</t>
  </si>
  <si>
    <t>;37567225900;37561614400</t>
  </si>
  <si>
    <t>Poonam Shanbhag;Rheingans, P.;desJardins, M.</t>
  </si>
  <si>
    <t>37550761800;37282292000;37552291200</t>
  </si>
  <si>
    <t>963273;963274</t>
  </si>
  <si>
    <t>Lommerse, G.;Nossin, F.;Voinea, L.;Telea, A.</t>
  </si>
  <si>
    <t>37550821300;37550820700;37267197100;37268047100</t>
  </si>
  <si>
    <t>801860;964541_09</t>
  </si>
  <si>
    <t>University of Utah##University of Utah##University of Utah##University of Utah##University of Utah##University of Utah##University of Utah</t>
  </si>
  <si>
    <t>Shneiderman, B.;Rao, R.;Andrews, K.;Ahlberg, C.;Brodbeck, D.;Jewitt, T.;Mackinlay, J.</t>
  </si>
  <si>
    <t>Hetzler, E.G.;Crow, V.L.;Payne, D.A.;Turner, A.E.</t>
  </si>
  <si>
    <t>37266114100;37352143800;37276713300;37266113100</t>
  </si>
  <si>
    <t>Hetzler, E.;Crow, V.;Payne, D.A.;Turner, A.</t>
  </si>
  <si>
    <t>963274;1173160;1249014;801853</t>
  </si>
  <si>
    <t>The City University of New York######IBM T.J. Watson Research Center</t>
  </si>
  <si>
    <t>Saito, T.;Miyamura, H.N.;Yamamoto, M.;Saito, H.;Hoshiya, Y.;Kaseda, T.</t>
  </si>
  <si>
    <t>37289526000;37550723900;37558894100;37554270200;37550743700;37550743200</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</si>
  <si>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</si>
  <si>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Rutherford Appleton Laboratory Chilton</t>
  </si>
  <si>
    <t>Livnat, Y.;Agutter, J.;Shaun Moon;Foresti, S.</t>
  </si>
  <si>
    <t>37282553200;37442679500;37553253600;37354354100</t>
  </si>
  <si>
    <t>Saraiya, P.;Lee, P.;North, C.</t>
  </si>
  <si>
    <t>37419557200;37555373200;37419565900</t>
  </si>
  <si>
    <t>1382886;559226;1249009</t>
  </si>
  <si>
    <t>Har var d-Smi t hsonian Cent er for Astrophysics Cambridge##Har var d-Smi t hsonian Cent er for Astrophysics Cambridge##Har var d-Smi t hsonian Cent er for Astrophysics Cambridge##Har var d-Smi t hsonian Cent er for Astrophysics Cambridge</t>
  </si>
  <si>
    <t>ENAC, The French Civil Aviation University, Toulouse University, France;Microsoft Research;Microsoft Research;Monash University;ENAC, The French Civil Aviation University, Toulouse University, France;Univ Lyon, ��cole Centrale de Lyon, CNRS UMR52 05, LIRIS, France</t>
  </si>
  <si>
    <t>1173141;1382904;1382905;559213;636792;1173142;885092;1173163</t>
  </si>
  <si>
    <t>Heer, J.;Boyd, D.</t>
  </si>
  <si>
    <t>37550791300;37390972800</t>
  </si>
  <si>
    <t>Balzer, M.;Deussen, O.</t>
  </si>
  <si>
    <t>37282568100;37266781000</t>
  </si>
  <si>
    <t>1382900;963283;175815;1372178;235217;801860</t>
  </si>
  <si>
    <t>Zheng, X.;Pang, A.</t>
  </si>
  <si>
    <t>37274785100;37267352000</t>
  </si>
  <si>
    <t>663929;745291;346326;346326;1372188;745294;809886</t>
  </si>
  <si>
    <t>Childs, H.;Brugger, E.;Bonnell, K.;Meredith, J.;Miller, M.;Whitlock, B.;Max, N.</t>
  </si>
  <si>
    <t>37411882800;37550795800;37550791600;37346846400;37558142500;37393104100;37267387800</t>
  </si>
  <si>
    <t>567746_1;146416;480821;175794;663895</t>
  </si>
  <si>
    <t>Takahashi, S.;Fujishiro, I.;Takeshima, Y.;Nishita, T.</t>
  </si>
  <si>
    <t>37280401000;37282596600;;37267968100</t>
  </si>
  <si>
    <t>480789;1372235;1183774;1532833;663875;1183785</t>
  </si>
  <si>
    <t>Konieczny, J.;Shimizu, C.;Meyer, G.;Colucci, D.</t>
  </si>
  <si>
    <t>37566814000;37565717100;37567312900;37548566400</t>
  </si>
  <si>
    <t>964508;1250351</t>
  </si>
  <si>
    <t>Allard, J.;Raffin, B.</t>
  </si>
  <si>
    <t>37552214500;37298514300</t>
  </si>
  <si>
    <t>480821;1183812</t>
  </si>
  <si>
    <t>Cignoni, P.;Ganovelli, F.;Gobbetti, E.;Marton, F.;Ponchio, F.;Scopigno, R.</t>
  </si>
  <si>
    <t>37265783400;;37346861300;37550808100;37265788700;37270887900</t>
  </si>
  <si>
    <t>663860;1183783;745282;567600;1183796;1372189</t>
  </si>
  <si>
    <t>James T. Kaba;J. Matey;Gordon Stoll;Herb Taylor;Pat Hanrahan</t>
  </si>
  <si>
    <t>Princeton University##Princeton University##Princeton University##Princeton University##Princeton University</t>
  </si>
  <si>
    <t>Bekins, D.;Aliaga, Daniel G.</t>
  </si>
  <si>
    <t>37550938300;37270561900</t>
  </si>
  <si>
    <t>Bekins, D.;Aliaga, D.</t>
  </si>
  <si>
    <t>Hughes Training, Inc. West Covina##Hughes Training, Inc. West Covina</t>
  </si>
  <si>
    <t>Cavin, X.;Mion, C.;Filbois, A.</t>
  </si>
  <si>
    <t>;37550851600;37550881400</t>
  </si>
  <si>
    <t>Cornea, N.D.;Silver, D.;Min, P.</t>
  </si>
  <si>
    <t>37300353800;37274132700;37283058900</t>
  </si>
  <si>
    <t>1372184;1372221;1183754;346327;809912;1250353;964517</t>
  </si>
  <si>
    <t>Correa, C.;Silver, D.</t>
  </si>
  <si>
    <t>37282925900;37274132700</t>
  </si>
  <si>
    <t>1250388;1183820;1183777;1250386;1372190;964517</t>
  </si>
  <si>
    <t>Linsen, L.;Locherbach, J.;Berth, M.;Bernhardt, J.;Becher, D.</t>
  </si>
  <si>
    <t>37266826500;37565747300;37373626700;37565923700;37548257400</t>
  </si>
  <si>
    <t>Lawrence Livermore National Laboratory##Lawrence Livermore National Laboratory</t>
  </si>
  <si>
    <t>Gao, J.;Huang, J.;Johnson, C.R.;Atchley, S.</t>
  </si>
  <si>
    <t>1183758;1183757;809910;745300;1372191;1372192;809879</t>
  </si>
  <si>
    <t>Stanford University Stanford</t>
  </si>
  <si>
    <t>963282;1382906;1173148;1249011</t>
  </si>
  <si>
    <t>Moberts, B.;Vilanova, A.;van Wijk, J.J.</t>
  </si>
  <si>
    <t>37550878500;37282551500;37267249200</t>
  </si>
  <si>
    <t>Wiley, D.F.;Amenta, N.;Alcantara, D.A.;Ghosh, D.;Kil, Y.J.;Delson, E.;Harcourt-Smith, W.;Rohlf, F.J.;St John, K.;Hamann, B.</t>
  </si>
  <si>
    <t>37282066500;37565128700;37565732300;37554971300;37565729100;37565729600;37565729800;38180785200;37565723600;37282068700</t>
  </si>
  <si>
    <t>Digital Equipment Corporation Maynard</t>
  </si>
  <si>
    <t>Lu, A.;Ebert, D.S.</t>
  </si>
  <si>
    <t>;37282598900</t>
  </si>
  <si>
    <t>1372182;885694;1250386;809905</t>
  </si>
  <si>
    <t>Klein, T.;Strengert, M.;Stegmaier, S.;Ertl, T.</t>
  </si>
  <si>
    <t>37267810600;37295481500;37267809900;37268023800</t>
  </si>
  <si>
    <t>1183764;398852;964521;1250388;1183775;1250390;1183776;1250384;1372175</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</si>
  <si>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</si>
  <si>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Wilson, A.;Brannon, R.</t>
  </si>
  <si>
    <t>37554778300;37282577100</t>
  </si>
  <si>
    <t>745316;235193;1183799;346326;809894;885690;398849</t>
  </si>
  <si>
    <t>Columbia University New York##Columbia University New York</t>
  </si>
  <si>
    <t>Weinkauf, T.;Theisel, H.;Kuangyu Shi;Hege, H.-C.;Seidel, H.-P.</t>
  </si>
  <si>
    <t>37282635100;37266875400;37555056800;37282272000;37271851300</t>
  </si>
  <si>
    <t>809907;1183786;885714;175773;885716;964507;1250376</t>
  </si>
  <si>
    <t>Wiebke K̦pp;Tino Weinkauf</t>
  </si>
  <si>
    <t>Theisel, H.;Sahner, J.;Weinkauf, T.;Hege, H.-C.;Seidel, H.-P.</t>
  </si>
  <si>
    <t>;37565764600;37282635100;37282272000;37271851300</t>
  </si>
  <si>
    <t>Center for Computerized Legal Research Pace University White Plains</t>
  </si>
  <si>
    <t>1372213;346327;809896;235211;398875;964506;745290;745296</t>
  </si>
  <si>
    <t>Tory, M.;Atkins, M.S.;Kirkpatrick, A.E.;Nicolaou, Marios;Guang-Zhong Yang</t>
  </si>
  <si>
    <t>37275861300;37342920100;37283034900;37565721800;37276270800</t>
  </si>
  <si>
    <t>Tory, M.;Atkins, M.S.;Kirkpatrick, A.E.;Nicolaou, M.;Guang-Zhong Yang</t>
  </si>
  <si>
    <t>1250396;663914</t>
  </si>
  <si>
    <t>Yunhai Wang;Zeyu Wang 0005;Chi-Wing Fu;Hansj̦rg Schmauder;Oliver Deussen;Daniel Weiskopf</t>
  </si>
  <si>
    <t>Yunhai Wang;Zeyu Wang;Chi-Wing Fu;Hansj̦rq Schmauder;Oliver Deussen;Daniel Weiskopf</t>
  </si>
  <si>
    <t>unkown1</t>
  </si>
  <si>
    <t>Wiebel, A.;Scheuermann, G.</t>
  </si>
  <si>
    <t>37565763400;37282574800</t>
  </si>
  <si>
    <t>964541_04;485146;1372214;235211;398848;1372196;398850;1250372;568121;1372213</t>
  </si>
  <si>
    <t>unkown2</t>
  </si>
  <si>
    <t>Mebarki, A.;Alliez, P.;Devillers, O.</t>
  </si>
  <si>
    <t>37564918200;37449235700;37390088800</t>
  </si>
  <si>
    <t>University of New Hampshire##University of New Hampshire##University of New Hampshire##University of New Hampshire</t>
  </si>
  <si>
    <t>Blaas, J.;Botha, C.P.;Peters, B.;Vos, F.M.;Post, F.H.</t>
  </si>
  <si>
    <t>37550793100;37373834100;37562170500;37271678400;37295045800</t>
  </si>
  <si>
    <t>809894;1372220</t>
  </si>
  <si>
    <t>Schlosser, G.;Hesser, J.;Zeilfelder, F.;Rossl, C.;Nurnberger, G.;Seidel, H.-P.;Männer, R.</t>
  </si>
  <si>
    <t>37565780200;37418709500;37565780500;37266876100;37565779800;37271851300;37275555400</t>
  </si>
  <si>
    <t>Schlosser, G.;Hesser, J.;Zeilfelder, F.;Rossl, C.;Nurnberger, G.;Seidel, H.-P.;MÃ¤nner, R.</t>
  </si>
  <si>
    <t>unkown3</t>
  </si>
  <si>
    <t>745713;964513;346331;146391</t>
  </si>
  <si>
    <t>University of North Carolina Chapel Hill</t>
  </si>
  <si>
    <t>Schroeder, W.J.;Bertel, F.;Malaterre, M.;Thompson, D.;Pebay, P.P.;O'Bara, R.;Saurabh Tendulkar</t>
  </si>
  <si>
    <t>37282730100;37550806200;37282730300;37265831900;37297733900;37550806900;37550808200</t>
  </si>
  <si>
    <t>663886;1372199;175818;480821</t>
  </si>
  <si>
    <t>de Corral, J.;Pfister, H.</t>
  </si>
  <si>
    <t>37565717200;37275698100</t>
  </si>
  <si>
    <t>567600;745282;663860</t>
  </si>
  <si>
    <t>Laney, D.;Callahan, S.P.;Max, N.;Silva, C.T.;Langer, S.;Frank, R.</t>
  </si>
  <si>
    <t>37281901900;37426872800;37267387800;37275249200;37297252300;37550100100</t>
  </si>
  <si>
    <t>885683;1372176;1250390</t>
  </si>
  <si>
    <t>Lawrence Livermore National Laboratory##Lawrence Livermore National Laboratory##Lawrence Livermore National Laboratory</t>
  </si>
  <si>
    <t>Xiaoru Yuan;Nguyen, M.Z.;Baoquan Chen;Porter, D.H.</t>
  </si>
  <si>
    <t>37403856700;37565615300;37559619200;37561423700</t>
  </si>
  <si>
    <t>636718;809908</t>
  </si>
  <si>
    <t>Vega-Higuera, F.;Hastreiter, P.;Fahlbusch, R.;Greiner, G.</t>
  </si>
  <si>
    <t>37399573300;37373297800;37565729700;37372696400</t>
  </si>
  <si>
    <t>1372181;663882;1250384;567608;1250404;964519;1250388;964490;809909;1250386</t>
  </si>
  <si>
    <t>unkown4</t>
  </si>
  <si>
    <t>unkown5</t>
  </si>
  <si>
    <t>Hlawitschka, M.;Scheuermann, G.</t>
  </si>
  <si>
    <t>37403333700;37282574800</t>
  </si>
  <si>
    <t>1372212;235193;885716;1183797;346326</t>
  </si>
  <si>
    <t>unkown6</t>
  </si>
  <si>
    <t>unkown7</t>
  </si>
  <si>
    <t>Mallo, O.;Peikert, R.;Sigg, C.;Sadlo, F.</t>
  </si>
  <si>
    <t>37550865700;37282541100;37565783800;37282541900</t>
  </si>
  <si>
    <t>1372186;1250378;1183797;567777;663912</t>
  </si>
  <si>
    <t>Svakhine, N.A.;Yun Jang;Ebert, D.;Gaither, K.</t>
  </si>
  <si>
    <t>37565760800;37557344300;37282598900;37282571800</t>
  </si>
  <si>
    <t>Svakhine, N.;Yun Jang;Ebert, D.S.;Gaither, K.</t>
  </si>
  <si>
    <t>485141;398846;1250378;567777;663912;1250361;809905;885694;885689;1532857;885696;398877</t>
  </si>
  <si>
    <t>Joshi, A.;Rheingans, P.</t>
  </si>
  <si>
    <t>37278517400;37282292000</t>
  </si>
  <si>
    <t>964541_06;809910;346321;567807;809879;1532858;1183777;885694;1250386</t>
  </si>
  <si>
    <t>Fischer, J.;Bartz, D.;Strasser, W.</t>
  </si>
  <si>
    <t>37551595300;37448237300;</t>
  </si>
  <si>
    <t>1183777;885694;1250387;885723;1372190</t>
  </si>
  <si>
    <t>IBM T . J . Watson Research Center</t>
  </si>
  <si>
    <t>Callahan, S.P.;Comba, J.L.D.;Shirley, P.;Silva, C.T.</t>
  </si>
  <si>
    <t>37426872800;37267034700;37266808400;37275249200</t>
  </si>
  <si>
    <t>1372227;809908;745283;1372176;1250390;1183778;745329;1183767;885711</t>
  </si>
  <si>
    <t>Matkovic, K.;Jelovic, M.;Juric, J.;Konyha, Z.;Gracanin, D.</t>
  </si>
  <si>
    <t>38220979200;38230314200;38229560400;38190845700;37272650400</t>
  </si>
  <si>
    <t>636793;885739;146402</t>
  </si>
  <si>
    <t>37282332900;37559438200</t>
  </si>
  <si>
    <t>1372225;964490;809916;1183823</t>
  </si>
  <si>
    <t>Anderson, J.C.;Bennett, J.C.;Joy, K.I.</t>
  </si>
  <si>
    <t>37403588300;38182158600;37267811400</t>
  </si>
  <si>
    <t>346331;175782</t>
  </si>
  <si>
    <t>Hanson, A.J.;Hui Zhang</t>
  </si>
  <si>
    <t>37333439100;37559775500</t>
  </si>
  <si>
    <t>University of New Mexico Albuquerque##University of New Mexico Albuquerque</t>
  </si>
  <si>
    <t>House, D.;Bair, A.;Ware, C.</t>
  </si>
  <si>
    <t>37284216700;37565577300;37265850800</t>
  </si>
  <si>
    <t>10.1109/TVCG.2009.126;10.1109/VISUAL.1996.568113;10.1109/VISUAL.1996.567784</t>
  </si>
  <si>
    <t>5290732;568112;567784</t>
  </si>
  <si>
    <t>Bhaniramka, P.;Robert, P.C.D.;Eilemann, S.</t>
  </si>
  <si>
    <t>37284272700;37561217000;37550837300</t>
  </si>
  <si>
    <t>Universitiit Munchen Leopoldstr</t>
  </si>
  <si>
    <t>Tzeng, F.-Y.;Kwan-Liu Ma</t>
  </si>
  <si>
    <t>37425953500;37275869400</t>
  </si>
  <si>
    <t>1173157;809866</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</si>
  <si>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λ2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</si>
  <si>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Stegmaier, S.;Rist, U.;Ertl, T.</t>
  </si>
  <si>
    <t>37267809900;37397347800;37268023800</t>
  </si>
  <si>
    <t>146359;745297;346327;1372197;745288;745296</t>
  </si>
  <si>
    <t>University of Massachusetts##University of Massachusetts##University of Massachusetts</t>
  </si>
  <si>
    <t>Weiskopf, D.;Schramm, F.;Erlebacher, G.;Ertl, T.</t>
  </si>
  <si>
    <t>37268045000;37566348200;37324424400;37268023800</t>
  </si>
  <si>
    <t>1250377;1250363;1250361;885689;1250402;1250364</t>
  </si>
  <si>
    <t>Bertram, M.;Deines, E.;Mohring, J.;Jegorovs, J.;Hagen, H.</t>
  </si>
  <si>
    <t>37282067000;37282727900;37543023400;37550794800;38262394500</t>
  </si>
  <si>
    <t>Lawrence Livennore National Laboratory Livermore##Lawrence Livennore National Laboratory Livermore##Lawrence Livennore National Laboratory Livermore</t>
  </si>
  <si>
    <t>1372173;1372174;964498;663848;346331;964499</t>
  </si>
  <si>
    <t>Mlejnek, M.;Ermest, P.;Vilanova, A.;van der Rijt, R.;van den Bosch, H.;Gerritsen, F.;Groller, M.E.</t>
  </si>
  <si>
    <t>;37565764000;37282551500;37316072100;37566263900;37374887400;37282552200</t>
  </si>
  <si>
    <t>Mlejnek, M.;Ermest, P.;Vilanova, A.;van der Rijt, R.;van den Bosch, H.;Gerritsen, F.;Groller, E.</t>
  </si>
  <si>
    <t>885733;398849;1183752;1372238</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</si>
  <si>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╬Á-sampling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</si>
  <si>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Cheng, H.-L.;Shi, X.</t>
  </si>
  <si>
    <t>37280211200;37275305400</t>
  </si>
  <si>
    <t>Naval Research Laboratory####</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</si>
  <si>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_x0093_interesting_x0094_ data can be defined by compound Boolean range queries of the form (temperature &gt; 1000) AND (70 &lt; pressure &lt; 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_x0093_bitmap indexing._x0094_ Our implementation, which we call _x0093_DEX_x0094_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</si>
  <si>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Stockinger, K.;Shalf, J.;Kesheng Wu;Bethel, E.W.</t>
  </si>
  <si>
    <t>37283413300;37281789600;37278663800;37395481100</t>
  </si>
  <si>
    <t>809864;1372194;745299;568121</t>
  </si>
  <si>
    <t>Wang, J.;Oliveira, M.M.;Kaufman, A.E.</t>
  </si>
  <si>
    <t>37280545800;37554064200;37268052800</t>
  </si>
  <si>
    <t>Wang, J.;Oliveira, M.M.;Kaufman, A.</t>
  </si>
  <si>
    <t>964489;964528</t>
  </si>
  <si>
    <t>IBM Japan Ltd</t>
  </si>
  <si>
    <t>Magnor, M.A.;Hildebrand, K.;Lintu, A.;Hanson, A.J.</t>
  </si>
  <si>
    <t>37273816400;37565728600;37565729200;37333439100</t>
  </si>
  <si>
    <t>Magnor, M.;Hildebrand, K.;Lintu, A.;Hanson, A.J.</t>
  </si>
  <si>
    <t>1250384;1372183</t>
  </si>
  <si>
    <t>AT&amp;T Bell Laboratories Murray Hill##AT&amp;T Bell Laboratories Murray Hill</t>
  </si>
  <si>
    <t>Sadowsky, O.;Cohen, J.D.;Taylor, R.H.</t>
  </si>
  <si>
    <t>37541583800;37275763600;37277162900</t>
  </si>
  <si>
    <t>885683;1372176</t>
  </si>
  <si>
    <t>885683;885694;346331</t>
  </si>
  <si>
    <t>University of Wisconsin-Madison##University of Wisconsin-Madison##University of Wisconsin-Madison</t>
  </si>
  <si>
    <t>Williams, J.L.;Hiromoto, R.E.</t>
  </si>
  <si>
    <t>37558107200;37398872700</t>
  </si>
  <si>
    <t>Kniss, J.M.;Van Uitert, R.;Stephens, A.;Li, G.-S.;Tasdizen, T.;Hansen, C.</t>
  </si>
  <si>
    <t>37324263400;37266085500;37567174900;37558766900;37265762400;37266777200</t>
  </si>
  <si>
    <t>Kniss, J.;Van Uitert, R.;Stephens, A.;Li, G.-S.;Tasdizen, T.;Hansen, C.</t>
  </si>
  <si>
    <t>1250386;745311;1372190;663875</t>
  </si>
  <si>
    <t>Xiaolin Wu;Yonggang Fang</t>
  </si>
  <si>
    <t>University of Western Ontario London</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</si>
  <si>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 map of 3D critical points. Next, we use Poisson seeding to populate the empty regions. Finally, we filter the streamlines based on their geometric and spatial properties. Altogether, this multi-step strategy reduces clutter and yet captures the important 3D flow features.</t>
  </si>
  <si>
    <t>Xiangong Ye;Kao, D.;Pang, A.</t>
  </si>
  <si>
    <t>37553759000;37339406400;37267352000</t>
  </si>
  <si>
    <t>885690;567777;885688;809865;175771;1250376</t>
  </si>
  <si>
    <t>Laboratory University of Maryland##Laboratory University of Maryland</t>
  </si>
  <si>
    <t>University Hospital Eppendorf##University Hospital Eppendorf##University Hospital Eppendorf##University Hospital Eppendorf##University Hospital Eppendorf##University Hospital Eppendorf##University Hospital Eppendorf</t>
  </si>
  <si>
    <t>IBM T. J. Watson Research Center##IBM T. J. Watson Research Center##IBM T. J. Watson Research Center##IBM T. J. Watson Research Center##IBM T. J. Watson Research Center##IBM T. J. Watson Research Center</t>
  </si>
  <si>
    <t>Keyword</t>
  </si>
  <si>
    <t>Frequency</t>
  </si>
  <si>
    <t>Low-level merged into another keyword</t>
  </si>
  <si>
    <t>Low-level Fixes (spelling, plural/singular, abbreviations; x data vis/analysis -&gt; vis/analysis; x vis/analysis -&gt; x vis/analysis; x data -&gt; x data)</t>
  </si>
  <si>
    <t>problem cases</t>
  </si>
  <si>
    <t>Semantically merged</t>
  </si>
  <si>
    <t>Semantically replaced Keyword</t>
  </si>
  <si>
    <t>CERN CH-1211</t>
  </si>
  <si>
    <t>Discussion points for semantic replacement</t>
  </si>
  <si>
    <t>Higher-level Keyword</t>
  </si>
  <si>
    <t>probably wrong</t>
  </si>
  <si>
    <t>no such entry exists elsewhere, but this could be a spelling fix</t>
  </si>
  <si>
    <t>do not fill in these lines since another keyword exists elsewhere, so the replacement should only happen there</t>
  </si>
  <si>
    <t>University of Auckland Private Bag##University of Auckland Private Bag</t>
  </si>
  <si>
    <t>964489;885721;1183770;1250408;1532800;1183771</t>
  </si>
  <si>
    <t>2d graphics</t>
  </si>
  <si>
    <t>Isenburg, M.;Lindstrom, P.</t>
  </si>
  <si>
    <t>37281897600;37269320000</t>
  </si>
  <si>
    <t>1173159;663895;964532;1250408</t>
  </si>
  <si>
    <t>Nilsson, O.;Breen, D.;Museth, K.</t>
  </si>
  <si>
    <t>37548260500;37349884100;37284192900</t>
  </si>
  <si>
    <t>567812;1183773;745281;480820</t>
  </si>
  <si>
    <t>University of Utah Salt Lake City</t>
  </si>
  <si>
    <t>Huang, A.;Roy, D.;Franaszek, M.;Summers, R.M.</t>
  </si>
  <si>
    <t>37555625100;37554808100;;37272385900</t>
  </si>
  <si>
    <t>1183808;964540</t>
  </si>
  <si>
    <t>University of Illinois at Urbana</t>
  </si>
  <si>
    <t>Botchen, R.P.;Weiskopf, D.;Ertl, T.</t>
  </si>
  <si>
    <t>2d projection</t>
  </si>
  <si>
    <t>3d interaction</t>
  </si>
  <si>
    <t>Interaction</t>
  </si>
  <si>
    <t>37565744300;37268045000;37268023800</t>
  </si>
  <si>
    <t>3d navigation and exploration</t>
  </si>
  <si>
    <t>567784;885689;568116</t>
  </si>
  <si>
    <t>3d vector field data</t>
  </si>
  <si>
    <t>3d vector fields</t>
  </si>
  <si>
    <t>3d vector field visualization</t>
  </si>
  <si>
    <t>Technische Hochschule Darmstadt##Technische Hochschule Darmstadt</t>
  </si>
  <si>
    <t>Kondratieva, P.;Kruger, J.;Westermann, R.</t>
  </si>
  <si>
    <t>37550873700;37548560500;37566001200</t>
  </si>
  <si>
    <t>809886;1183799;235193;809894;745294</t>
  </si>
  <si>
    <t>3d virtual environment</t>
  </si>
  <si>
    <t>virtual environments</t>
  </si>
  <si>
    <t>Lujin Wang;Ye Zhao;Mueller, K.;Kaufman, A.</t>
  </si>
  <si>
    <t>37280763200;37277701200;37273119700;37268052800</t>
  </si>
  <si>
    <t>636786;559215;559214;964552;1250386;1250384;1372190;1250400;885697</t>
  </si>
  <si>
    <t>Marshburn, D.;Weigle, C.;Wilde, B.G.;Taylor, R.M.;Desai, K.;Fisher, J.K.;Cribb, J.;O'Brien, E.T.;Superfine, R.</t>
  </si>
  <si>
    <t>37565765400;37282585600;37317839500;38183525100;37305546200;37307858300;37320590500;37320588200;37271669900</t>
  </si>
  <si>
    <t>663923;568110;568136</t>
  </si>
  <si>
    <t>3d visualization</t>
  </si>
  <si>
    <t>3d x-ray computed tomography</t>
  </si>
  <si>
    <t>4d mri blood-flow</t>
  </si>
  <si>
    <t>4d pc-mri</t>
  </si>
  <si>
    <t>aasymmetric tensor fields</t>
  </si>
  <si>
    <t>asymmetric tensor fields</t>
  </si>
  <si>
    <t>aberration of light</t>
  </si>
  <si>
    <t>ablation zone visualization</t>
  </si>
  <si>
    <t>accessibility</t>
  </si>
  <si>
    <t>active learning</t>
  </si>
  <si>
    <t>active processing</t>
  </si>
  <si>
    <t>175815;1382885;964505;1250354;963285;801851</t>
  </si>
  <si>
    <t>adaptive fast-forward</t>
  </si>
  <si>
    <t>adaptive mesh refinement</t>
  </si>
  <si>
    <t>adaptive refinement</t>
  </si>
  <si>
    <t>Hall, M.;Betts, A.;Cox, D.;Pointer, D.;Kindratenko, V.</t>
  </si>
  <si>
    <t>37553725000;37562414000;37556794500;37550805000;37297042900</t>
  </si>
  <si>
    <t>adjacency matrix</t>
  </si>
  <si>
    <t>Zheng, X.;Parlett, B.;Pang, A.</t>
  </si>
  <si>
    <t>Lawrence Livermore National Laboratory Livermore##Lawrence Livermore National Laboratory Livermore##Lawrence Livermore National Laboratory Livermore</t>
  </si>
  <si>
    <t>37274785100;37419557300;37267352000</t>
  </si>
  <si>
    <t>advanced illumination</t>
  </si>
  <si>
    <t>aesthetics</t>
  </si>
  <si>
    <t>1372212;809894;346326;1372196;1250376</t>
  </si>
  <si>
    <t>agenda-setting</t>
  </si>
  <si>
    <t>aggregate visualization</t>
  </si>
  <si>
    <t>Gyulassy, A.;Vijay Natarajan</t>
  </si>
  <si>
    <t>809907;885680;1372235;964507</t>
  </si>
  <si>
    <t>Hans-Heino Ehricke;G. Daiber;Wolfgang Straßer</t>
  </si>
  <si>
    <t>aggregation</t>
  </si>
  <si>
    <t>Garner, C.;Miao Jin;Xianfeng Gu;Hong Qin</t>
  </si>
  <si>
    <t>alleviating occlusions</t>
  </si>
  <si>
    <t>;37279448300;38183364800;37276553900</t>
  </si>
  <si>
    <t>alternative clustering</t>
  </si>
  <si>
    <t>Velez, M.C.;Silver, D.;Tremaine, M.</t>
  </si>
  <si>
    <t>ambient occlusion</t>
  </si>
  <si>
    <t>37562536700;37274132700;37424321800</t>
  </si>
  <si>
    <t>ambient scattering</t>
  </si>
  <si>
    <t>1249022;1250396</t>
  </si>
  <si>
    <t>ambient visualization</t>
  </si>
  <si>
    <t>amr</t>
  </si>
  <si>
    <t>Bordoloi, U.D.;Han-Wei Shen</t>
  </si>
  <si>
    <t>37561558700;37279493500</t>
  </si>
  <si>
    <t>amr data</t>
  </si>
  <si>
    <t>885694;1250386;1532834;964516</t>
  </si>
  <si>
    <t>analysis</t>
  </si>
  <si>
    <t>analysis process</t>
  </si>
  <si>
    <t>Buchholz, H.;Dollner, J.</t>
  </si>
  <si>
    <t>analytic reasoning</t>
  </si>
  <si>
    <t>37563807000;37449516200</t>
  </si>
  <si>
    <t>745322;1372200;885699</t>
  </si>
  <si>
    <t>and raster maps</t>
  </si>
  <si>
    <t>University of Technology##University of Technology</t>
  </si>
  <si>
    <t>aneurysm</t>
  </si>
  <si>
    <t>angular histogram</t>
  </si>
  <si>
    <t>animal behavior</t>
  </si>
  <si>
    <t>Bavoil, L.;Callahan, S.P.;Crossno, P.J.;Freire, J.;Scheidegger, C.E.;Silva, C.T.;Vo, H.T.</t>
  </si>
  <si>
    <t>37565304300;37426872800;37282576500;37283149600;37550809300;37275249200;37549893300</t>
  </si>
  <si>
    <t>Bavoil, L.;Callahan, S.P.;Crossno, P.;Freire, J.;Scheidegger, C.E.;Silva, C.T.;Vo, H.T.</t>
  </si>
  <si>
    <t>745299;1382890;1372192;1183791</t>
  </si>
  <si>
    <t>animation</t>
  </si>
  <si>
    <t>Delft University of Technology##Delft University of Technology</t>
  </si>
  <si>
    <t>anisotropic diffusion</t>
  </si>
  <si>
    <t>annotation</t>
  </si>
  <si>
    <t>Laramee, R.S.;Garth, C.;Doleisch, H.;Schneider, J.;Hauser, H.;Hagen, H.</t>
  </si>
  <si>
    <t>37267247900;37282573700;37546620400;37281085800;37274158800;37282578800</t>
  </si>
  <si>
    <t>anomalous trichromacy</t>
  </si>
  <si>
    <t>809895;235211;663910;568137;1372214;1372196;745333;1183821;1250376;1183822;1372179;1372195</t>
  </si>
  <si>
    <t>anomaly detection</t>
  </si>
  <si>
    <t>ant colony optimization</t>
  </si>
  <si>
    <t>Weiskopf, D.;Borchers, M.;Ertl, T.;Falk, M.;Fechtig, O.;Frank, R.;Grave, F.;King, A.;Kraus, U.;Muller, T.;Nollert, H.-P.;Mendez, I.R.;Ruder, H.;Schafhitzel, T.;Schar, S.;Zahn, C.;Zatloukal, M.</t>
  </si>
  <si>
    <t>applications of visualization</t>
  </si>
  <si>
    <t>37268045000;37565763300;37268023800;37565763500;37565762900;37550100200;37565762400;37553710600;37560948000;37557887000;37565758900;37563213000;37565759500;37300293200;37565757900;37567000200;37565756800</t>
  </si>
  <si>
    <t>Digital Equipment Corporation</t>
  </si>
  <si>
    <t>885709;885728;885694;1250366;1372183</t>
  </si>
  <si>
    <t>applied perception</t>
  </si>
  <si>
    <t>van Wijk, J.J.;Cohen, A.M.</t>
  </si>
  <si>
    <t>37267249200;37549373300</t>
  </si>
  <si>
    <t>Kaehler, R.;Prohaska, S.;Hutanu, A.;Hege, H.-C.</t>
  </si>
  <si>
    <t>approximation</t>
  </si>
  <si>
    <t>37550810200;37282634700;37284778600;37282272000</t>
  </si>
  <si>
    <t>approximations</t>
  </si>
  <si>
    <t>1183820;1372216;1183824</t>
  </si>
  <si>
    <t>Enders, F.;Sauber, N.;Merhof, D.;Hastreiter, P.;Nimsky, C.;Stamminger, M.</t>
  </si>
  <si>
    <t>37550815500;37550815800;37397398200;37373297800;37550816800;37373910900</t>
  </si>
  <si>
    <t>964524;809894;809886;964549;1372220;964519;175771</t>
  </si>
  <si>
    <t>University of California##University of California</t>
  </si>
  <si>
    <t>archival analysis</t>
  </si>
  <si>
    <t>Stoll, C.;Gumhold, S.;Seidel, H.-P.</t>
  </si>
  <si>
    <t>37294992500;37565742800;37271851300</t>
  </si>
  <si>
    <t>1372186;567777;745317</t>
  </si>
  <si>
    <t>area-preservation mapping</t>
  </si>
  <si>
    <t>area-preserving maps</t>
  </si>
  <si>
    <t>area-preserving surface parameterization</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</si>
  <si>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 and velocity must differ by at least 0.43┬░ of subtended visual angle. We conclude with an overview of how we are applying our results to real-world data, and then discuss future work we plan to pursue.</t>
  </si>
  <si>
    <t>Huber, D.E.;Healey, Christopher G.</t>
  </si>
  <si>
    <t>38185294800;37298406100</t>
  </si>
  <si>
    <t>Huber, D.E.;Healey, C.</t>
  </si>
  <si>
    <t>articulated planar reformation</t>
  </si>
  <si>
    <t>aspect ratio</t>
  </si>
  <si>
    <t>aspect ratio selection</t>
  </si>
  <si>
    <t>Weigle, C.;Taylor, R.M.</t>
  </si>
  <si>
    <t>37282585600;38183525100</t>
  </si>
  <si>
    <t>568118;568111;1249022;885723</t>
  </si>
  <si>
    <t>astronomical data</t>
  </si>
  <si>
    <t>astronomical visualization</t>
  </si>
  <si>
    <t>astrophysics</t>
  </si>
  <si>
    <t>Neeman, A.;Jeremic, B.;Pang, A.</t>
  </si>
  <si>
    <t>37426637700;37282726600;37267352000</t>
  </si>
  <si>
    <t>745294;809886</t>
  </si>
  <si>
    <t>asynchronous collaboration</t>
  </si>
  <si>
    <t>University of California Berkeley##University of California Berkeley##University of California Berkeley##University of California Berkeley##University of California Berkeley##University of California Berkeley</t>
  </si>
  <si>
    <t>attention</t>
  </si>
  <si>
    <t>attentionally ambient visualization</t>
  </si>
  <si>
    <t>Cantarella, J.;Piatek, M.;Rawdon, E.</t>
  </si>
  <si>
    <t>37565757600;37565756700;37565755600</t>
  </si>
  <si>
    <t>attribute curves</t>
  </si>
  <si>
    <t>attribute extraction</t>
  </si>
  <si>
    <t>Wei Qiao;Ebert, D.S.;Entezari, A.;Korkusinski, M.;Klimeck, G.</t>
  </si>
  <si>
    <t>attribute filtering</t>
  </si>
  <si>
    <t>37282552800;37282598900;37268675600;37396865100;37270404800</t>
  </si>
  <si>
    <t>1250414;1372176;1372194;1372174;885683;964498</t>
  </si>
  <si>
    <t>attribute relationship graphs</t>
  </si>
  <si>
    <t>attribute-driven layout</t>
  </si>
  <si>
    <t>Staubli, O.;Sigg, C.;Peikert, R.;Gubler, D.;Gross, Markus</t>
  </si>
  <si>
    <t>augmented timeline</t>
  </si>
  <si>
    <t>37565784300;37565783800;37282541100;37565771500;37275694700</t>
  </si>
  <si>
    <t>Staubli, O.;Sigg, C.;Peikert, R.;Gubler, D.;Gross, M.</t>
  </si>
  <si>
    <t>885683;1250390;398846;1372176;1250384;1250385</t>
  </si>
  <si>
    <t>autism</t>
  </si>
  <si>
    <t>automated cartography</t>
  </si>
  <si>
    <t>School of Computer S t u d i e s University of Leeds Leeds</t>
  </si>
  <si>
    <t>Castanie, L.;Levy, B.;Bosquet, F.</t>
  </si>
  <si>
    <t>37565750700;37554667100;37442790800</t>
  </si>
  <si>
    <t>automated presentation</t>
  </si>
  <si>
    <t>1372239;663878;1532785;1250384;885683;809908;1183757;809889</t>
  </si>
  <si>
    <t>automatic layout algorithms</t>
  </si>
  <si>
    <t>automatic lighting design</t>
  </si>
  <si>
    <t>automotive</t>
  </si>
  <si>
    <t>885694;1183777;1372208;1250384;1372190;1372209</t>
  </si>
  <si>
    <t>awareness</t>
  </si>
  <si>
    <t>axis labeling</t>
  </si>
  <si>
    <t>Ghoniem, M.;Fekete, J.;Castagliola, P.</t>
  </si>
  <si>
    <t>backchannel</t>
  </si>
  <si>
    <t>37928384500;37407972900;37939616200</t>
  </si>
  <si>
    <t>band depth</t>
  </si>
  <si>
    <t>banking to 45 degrees</t>
  </si>
  <si>
    <t>bar chart</t>
  </si>
  <si>
    <t>Kreuseler, M.;Nocke, T.;Schumann, H.</t>
  </si>
  <si>
    <t>37938665500;37567262900;</t>
  </si>
  <si>
    <t>729560;1183791;885676;1249009;809871</t>
  </si>
  <si>
    <t>base rate fallacy</t>
  </si>
  <si>
    <t>bayesian reasoning</t>
  </si>
  <si>
    <t>Amar, R.;Stasko, J.</t>
  </si>
  <si>
    <t>37418696100;37267736900</t>
  </si>
  <si>
    <t>528686;1249032;1249030;963289;1249029;146375</t>
  </si>
  <si>
    <t>bias</t>
  </si>
  <si>
    <t>bioinformatics</t>
  </si>
  <si>
    <t>bioinformatics visualization</t>
  </si>
  <si>
    <t>Seo, J.;Shneiderman, B.</t>
  </si>
  <si>
    <t>37934431900;37283016400</t>
  </si>
  <si>
    <t>Jinwook Seo;Shneiderman, B.</t>
  </si>
  <si>
    <t>biological data</t>
  </si>
  <si>
    <t>346302;146402;1249015;729568</t>
  </si>
  <si>
    <t>biological networks</t>
  </si>
  <si>
    <t>University of Illinois at Urbana-Champaign##University of Illinois at Urbana-Champaign</t>
  </si>
  <si>
    <t>biomechanics</t>
  </si>
  <si>
    <t>White, H.D.;Lin, X.;Buzydlowski, J.</t>
  </si>
  <si>
    <t>37445830400;37418232000;37442288800</t>
  </si>
  <si>
    <t>biomedical and medical visualization</t>
  </si>
  <si>
    <t>biomedical image processing</t>
  </si>
  <si>
    <t>biomedical visualization</t>
  </si>
  <si>
    <t>biomolecular data</t>
  </si>
  <si>
    <t>Saraiya, P.;North, C.;Duca, K.</t>
  </si>
  <si>
    <t>37419557200;37419565900;37419559500</t>
  </si>
  <si>
    <t>bivariate maps</t>
  </si>
  <si>
    <t>Edinburgh Parallel Computing Centre University of Edinburgh Edinburgh##Edinburgh Parallel Computing Centre University of Edinburgh Edinburgh##Edinburgh Parallel Computing Centre University of Edinburgh Edinburgh</t>
  </si>
  <si>
    <t>black-and-white rendering</t>
  </si>
  <si>
    <t>Darling, E.;Newbern, C.;Kalghatgi, N.;Burgman, A.;Recktenwald, K.</t>
  </si>
  <si>
    <t>bookmarks</t>
  </si>
  <si>
    <t>37929365500;;37939677000;37939677700;37939678100</t>
  </si>
  <si>
    <t>boolean query</t>
  </si>
  <si>
    <t>Gainant, G.;Auber, D.</t>
  </si>
  <si>
    <t>37938693800;38470850300</t>
  </si>
  <si>
    <t>box spline</t>
  </si>
  <si>
    <t>boxplots</t>
  </si>
  <si>
    <t>braided graphs</t>
  </si>
  <si>
    <t>Viegas, F.B.;Perry, E.;Howe, E.;Donath, J.</t>
  </si>
  <si>
    <t>37681355300;37928946300;37938416400;37323990900</t>
  </si>
  <si>
    <t>brushing</t>
  </si>
  <si>
    <t>brushing and linking</t>
  </si>
  <si>
    <t>Berry, L.;Munzner, T.</t>
  </si>
  <si>
    <t>bubble-scale simulation</t>
  </si>
  <si>
    <t>37940355500;37349490300</t>
  </si>
  <si>
    <t>business ecosystems</t>
  </si>
  <si>
    <t>cad</t>
  </si>
  <si>
    <t>calendars</t>
  </si>
  <si>
    <t>1173141;885086</t>
  </si>
  <si>
    <t>calibration</t>
  </si>
  <si>
    <t>camera model</t>
  </si>
  <si>
    <t>Roth, S.</t>
  </si>
  <si>
    <t>camera motion planning</t>
  </si>
  <si>
    <t>University of Munich Leopoldstr##University of Munich Leopoldstr##University of Munich Leopoldstr</t>
  </si>
  <si>
    <t>carbon fiber reinforced polymers</t>
  </si>
  <si>
    <t>cardiac blood flow</t>
  </si>
  <si>
    <t>cartography</t>
  </si>
  <si>
    <t>case study</t>
  </si>
  <si>
    <t>casual information visualization</t>
  </si>
  <si>
    <t>casual infovis</t>
  </si>
  <si>
    <t>categorical data</t>
  </si>
  <si>
    <t>cell imaging</t>
  </si>
  <si>
    <t>cell location</t>
  </si>
  <si>
    <t>centerline-based modeling</t>
  </si>
  <si>
    <t>cerebral aneurysm</t>
  </si>
  <si>
    <t>cfd</t>
  </si>
  <si>
    <t>change detection</t>
  </si>
  <si>
    <t>change management</t>
  </si>
  <si>
    <t>chaos</t>
  </si>
  <si>
    <t>circular coordinates</t>
  </si>
  <si>
    <t>classification</t>
  </si>
  <si>
    <t>climate impact research</t>
  </si>
  <si>
    <t>climate study</t>
  </si>
  <si>
    <t>climate variability change visualization</t>
  </si>
  <si>
    <t>cloud clusters</t>
  </si>
  <si>
    <t>cluster comparison</t>
  </si>
  <si>
    <t>cluster glyph</t>
  </si>
  <si>
    <t>clustered data</t>
  </si>
  <si>
    <t>clustering</t>
  </si>
  <si>
    <t>clustering high-dimensional data</t>
  </si>
  <si>
    <t>co-citation</t>
  </si>
  <si>
    <t>co-located work</t>
  </si>
  <si>
    <t>coast guard</t>
  </si>
  <si>
    <t>cognition</t>
  </si>
  <si>
    <t>cognition and perception theory</t>
  </si>
  <si>
    <t>cognition theory</t>
  </si>
  <si>
    <t>cognitive  model</t>
  </si>
  <si>
    <t>cognitive efficiency</t>
  </si>
  <si>
    <t>cognitive theory</t>
  </si>
  <si>
    <t>collaboration</t>
  </si>
  <si>
    <t>collaborative and distributed visualization</t>
  </si>
  <si>
    <t>collaborative learning</t>
  </si>
  <si>
    <t>collaborative visualization</t>
  </si>
  <si>
    <t>collective movement</t>
  </si>
  <si>
    <t>colon flattening</t>
  </si>
  <si>
    <t>color</t>
  </si>
  <si>
    <t>color blending</t>
  </si>
  <si>
    <t>color calibration</t>
  </si>
  <si>
    <t>color perception</t>
  </si>
  <si>
    <t>coloring</t>
  </si>
  <si>
    <t>colormapping</t>
  </si>
  <si>
    <t>comparative analysis</t>
  </si>
  <si>
    <t>comparative visualization</t>
  </si>
  <si>
    <t>comparison</t>
  </si>
  <si>
    <t>compound graph</t>
  </si>
  <si>
    <t>compound graphs</t>
  </si>
  <si>
    <t>computational aesthetics</t>
  </si>
  <si>
    <t>computational journalism</t>
  </si>
  <si>
    <t>Applications</t>
  </si>
  <si>
    <t>computational linguisitics</t>
  </si>
  <si>
    <t>computational topology</t>
  </si>
  <si>
    <t>computed tomography</t>
  </si>
  <si>
    <t>computer assisted reporting</t>
  </si>
  <si>
    <t>computerassisted multivariate data exploration</t>
  </si>
  <si>
    <t>concrete scale</t>
  </si>
  <si>
    <t>conditional distribution</t>
  </si>
  <si>
    <t>confined magnetic fusion</t>
  </si>
  <si>
    <t>confocal microscopy</t>
  </si>
  <si>
    <t>conformal mapping</t>
  </si>
  <si>
    <t>conjunctive normal form</t>
  </si>
  <si>
    <t>connected morphological operators</t>
  </si>
  <si>
    <t>connectedness</t>
  </si>
  <si>
    <t>connectome</t>
  </si>
  <si>
    <t>connectomics</t>
  </si>
  <si>
    <t>connotation</t>
  </si>
  <si>
    <t>constrained clustering</t>
  </si>
  <si>
    <t>contagion</t>
  </si>
  <si>
    <t>content extraction</t>
  </si>
  <si>
    <t>context</t>
  </si>
  <si>
    <t>context of use</t>
  </si>
  <si>
    <t>contiguity constraints</t>
  </si>
  <si>
    <t>contingency table analysis</t>
  </si>
  <si>
    <t>continuous interaction</t>
  </si>
  <si>
    <t>Oracle Corporation</t>
  </si>
  <si>
    <t>continuum mechanics</t>
  </si>
  <si>
    <t>contour tree</t>
  </si>
  <si>
    <t>contour trees</t>
  </si>
  <si>
    <t>contours</t>
  </si>
  <si>
    <t>controlled laboratory user study</t>
  </si>
  <si>
    <t>controlled-volume vaporization</t>
  </si>
  <si>
    <t>convection</t>
  </si>
  <si>
    <t>Michigan State University##Michigan State University</t>
  </si>
  <si>
    <t>coordinated &amp; multiple views</t>
  </si>
  <si>
    <t>coordinated linked views</t>
  </si>
  <si>
    <t>coordinated multiple views</t>
  </si>
  <si>
    <t>coordinated views</t>
  </si>
  <si>
    <t>coordination</t>
  </si>
  <si>
    <t>corpus visualization</t>
  </si>
  <si>
    <t>correlation</t>
  </si>
  <si>
    <t>correlation analysis</t>
  </si>
  <si>
    <t>correlative analysis</t>
  </si>
  <si>
    <t>cosmology</t>
  </si>
  <si>
    <t>crease features</t>
  </si>
  <si>
    <t>creativity techniques</t>
  </si>
  <si>
    <t>crisis management</t>
  </si>
  <si>
    <t>critical event</t>
  </si>
  <si>
    <t>crowd sourcing</t>
  </si>
  <si>
    <t>crowdsourcing</t>
  </si>
  <si>
    <t>cultural heritage</t>
  </si>
  <si>
    <t>curse of dimensionality</t>
  </si>
  <si>
    <t>curvature</t>
  </si>
  <si>
    <t>curve interpolation</t>
  </si>
  <si>
    <t>curve-centric-reformation</t>
  </si>
  <si>
    <t>curved edges</t>
  </si>
  <si>
    <t>curved rays</t>
  </si>
  <si>
    <t>cut surface extraction</t>
  </si>
  <si>
    <t>cut-surface extraction</t>
  </si>
  <si>
    <t>cut-plane extraction</t>
  </si>
  <si>
    <t>dark matter</t>
  </si>
  <si>
    <t>dashboards</t>
  </si>
  <si>
    <t>data</t>
  </si>
  <si>
    <t>data abstraction quality metrics</t>
  </si>
  <si>
    <t>data acquisition and management</t>
  </si>
  <si>
    <t>data aggregation</t>
  </si>
  <si>
    <t>data analysis</t>
  </si>
  <si>
    <t>T. J . Watson Research Ctr</t>
  </si>
  <si>
    <t>data clustering</t>
  </si>
  <si>
    <t>data compression</t>
  </si>
  <si>
    <t>data cube</t>
  </si>
  <si>
    <t>data curation</t>
  </si>
  <si>
    <t>data editing</t>
  </si>
  <si>
    <t>Lawrence Livermore National Laboratory Livermore</t>
  </si>
  <si>
    <t>data exploration</t>
  </si>
  <si>
    <t>data filtering</t>
  </si>
  <si>
    <t>data management</t>
  </si>
  <si>
    <t>data mining</t>
  </si>
  <si>
    <t>data partitioning</t>
  </si>
  <si>
    <t>data plots</t>
  </si>
  <si>
    <t>data presentation</t>
  </si>
  <si>
    <t>data reformation</t>
  </si>
  <si>
    <t>data registration</t>
  </si>
  <si>
    <t>data storytelling</t>
  </si>
  <si>
    <t>storytelling</t>
  </si>
  <si>
    <t>data stream</t>
  </si>
  <si>
    <t>data streaming</t>
  </si>
  <si>
    <t>TI: not sure that this replacement is a low-level one</t>
  </si>
  <si>
    <t>data structures</t>
  </si>
  <si>
    <t>data transformation</t>
  </si>
  <si>
    <t>data transformation and representation</t>
  </si>
  <si>
    <t>data transformations</t>
  </si>
  <si>
    <t>data visualization</t>
  </si>
  <si>
    <t>visualization</t>
  </si>
  <si>
    <t>data-flow</t>
  </si>
  <si>
    <t>dataflow</t>
  </si>
  <si>
    <t>University of Utah Salt Lake City##NASA Langley Research Center Hampton</t>
  </si>
  <si>
    <t>dataframe mode</t>
  </si>
  <si>
    <t>de-noising</t>
  </si>
  <si>
    <t>decision boundary visualization</t>
  </si>
  <si>
    <t>decision making</t>
  </si>
  <si>
    <t>decision support systems</t>
  </si>
  <si>
    <t>declarative languages</t>
  </si>
  <si>
    <t>deferred interaction</t>
  </si>
  <si>
    <t>Lawrence Livemore National Laboratory Livermore##</t>
  </si>
  <si>
    <t>deformation</t>
  </si>
  <si>
    <t>degradation</t>
  </si>
  <si>
    <t>degree of interest</t>
  </si>
  <si>
    <t>delaunay triangulation</t>
  </si>
  <si>
    <t>democracy</t>
  </si>
  <si>
    <t>dendrogram</t>
  </si>
  <si>
    <t>General Electric Company Corporate Research and Development Schenectady</t>
  </si>
  <si>
    <t>denotation</t>
  </si>
  <si>
    <t>dense line data</t>
  </si>
  <si>
    <t>dense pixel displays</t>
  </si>
  <si>
    <t>density-based visualization</t>
  </si>
  <si>
    <t>depth of field</t>
  </si>
  <si>
    <t>derivative</t>
  </si>
  <si>
    <t>descriptors</t>
  </si>
  <si>
    <t>Australian National University Canberra##Australian National University Canberra</t>
  </si>
  <si>
    <t>design</t>
  </si>
  <si>
    <t>design considerations</t>
  </si>
  <si>
    <t>design guidelines</t>
  </si>
  <si>
    <t>design methodologies</t>
  </si>
  <si>
    <t>design methods</t>
  </si>
  <si>
    <t>design space</t>
  </si>
  <si>
    <t>design studies</t>
  </si>
  <si>
    <t>design study</t>
  </si>
  <si>
    <t>University of California##University of California##University of California##University of California</t>
  </si>
  <si>
    <t>design theory</t>
  </si>
  <si>
    <t>desirable difficulites</t>
  </si>
  <si>
    <t>diagram recall</t>
  </si>
  <si>
    <t>diagrams</t>
  </si>
  <si>
    <t>diamonds</t>
  </si>
  <si>
    <t>dichromacy</t>
  </si>
  <si>
    <t>difference map</t>
  </si>
  <si>
    <t>CSIRO Division of Information Technology GPO##CSIRO Division of Information Technology GPO</t>
  </si>
  <si>
    <t>differential forms</t>
  </si>
  <si>
    <t>diffusion tensor image</t>
  </si>
  <si>
    <t>diffusion tensor imaging</t>
  </si>
  <si>
    <t>diffusion tensor mri</t>
  </si>
  <si>
    <t>digimap service</t>
  </si>
  <si>
    <t>University of North Carolina at Chapel Hill Chapel Hill##University of North Carolina at Chapel Hill Chapel Hill</t>
  </si>
  <si>
    <t>digital collections</t>
  </si>
  <si>
    <t>digital humanities</t>
  </si>
  <si>
    <t>digital library</t>
  </si>
  <si>
    <t>digital repository</t>
  </si>
  <si>
    <t>digitally reconstructed radiographs</t>
  </si>
  <si>
    <t>dimension reduction</t>
  </si>
  <si>
    <t>dimensionality reduction</t>
  </si>
  <si>
    <t>dimensional stacking</t>
  </si>
  <si>
    <t>Illinois Institute of Technology Chicago</t>
  </si>
  <si>
    <t>direct manipulation</t>
  </si>
  <si>
    <t>direct volume rendering</t>
  </si>
  <si>
    <t>direct-touch interaction</t>
  </si>
  <si>
    <t>touch interaction</t>
  </si>
  <si>
    <t>directed graphs</t>
  </si>
  <si>
    <t>direction visualization</t>
  </si>
  <si>
    <t>discontinuity</t>
  </si>
  <si>
    <t>University of Washington</t>
  </si>
  <si>
    <t>discontinuous galerkin</t>
  </si>
  <si>
    <t>discourse structure</t>
  </si>
  <si>
    <t>discrete morse theory</t>
  </si>
  <si>
    <t>discrete wavelet transform</t>
  </si>
  <si>
    <t>display characteristics</t>
  </si>
  <si>
    <t>display optimization</t>
  </si>
  <si>
    <t>dissimilarity based classication</t>
  </si>
  <si>
    <t>dissimilarity based visualization</t>
  </si>
  <si>
    <t>distance</t>
  </si>
  <si>
    <t>distance field</t>
  </si>
  <si>
    <t>distance fields</t>
  </si>
  <si>
    <t>distance visualization</t>
  </si>
  <si>
    <t>distributed algorithms</t>
  </si>
  <si>
    <t>distributed cognition</t>
  </si>
  <si>
    <t>distributed systems</t>
  </si>
  <si>
    <t>distributed visualization</t>
  </si>
  <si>
    <t>distributed volume reconstruction</t>
  </si>
  <si>
    <t>diversity</t>
  </si>
  <si>
    <t>dna sequence</t>
  </si>
  <si>
    <t>document collection browsing</t>
  </si>
  <si>
    <t>document processing and analysis</t>
  </si>
  <si>
    <t>document visualization</t>
  </si>
  <si>
    <t>domain specific languages</t>
  </si>
  <si>
    <t>doppler effect</t>
  </si>
  <si>
    <t>dot plots</t>
  </si>
  <si>
    <t>GeoVisual Systems Ltd##GeoVisual Systems Ltd##GeoVisual Systems Ltd##GeoVisual Systems Ltd</t>
  </si>
  <si>
    <t>dti</t>
  </si>
  <si>
    <t>dti fiber tracts</t>
  </si>
  <si>
    <t>dual meshes</t>
  </si>
  <si>
    <t>dual-scale charts</t>
  </si>
  <si>
    <t>dynamic areas of interest</t>
  </si>
  <si>
    <t>German Aerospace Research Establishment##German Aerospace Research Establishment</t>
  </si>
  <si>
    <t>dynamic data</t>
  </si>
  <si>
    <t>dynamic graph data</t>
  </si>
  <si>
    <t>dynamic graph layout</t>
  </si>
  <si>
    <t>dynamic graph visualization</t>
  </si>
  <si>
    <t>Boeing Computer Services Research and Technology##Boeing Computer Services Research and Technology</t>
  </si>
  <si>
    <t>dynamic networks</t>
  </si>
  <si>
    <t>dynamic query</t>
  </si>
  <si>
    <t>dynamic visualization</t>
  </si>
  <si>
    <t>dynamical systems</t>
  </si>
  <si>
    <t>earth mantle</t>
  </si>
  <si>
    <t>earth science visualization</t>
  </si>
  <si>
    <t>economic decision-making</t>
  </si>
  <si>
    <t>edge aggregation</t>
  </si>
  <si>
    <t>edge bundles</t>
  </si>
  <si>
    <t>edge bundling</t>
  </si>
  <si>
    <t>JOANNEUM RESEARCH Institute for Information Systems##JOANNEUM RESEARCH Institute for Information Systems</t>
  </si>
  <si>
    <t>edge features</t>
  </si>
  <si>
    <t>editing</t>
  </si>
  <si>
    <t>education</t>
  </si>
  <si>
    <t>educational visualization</t>
  </si>
  <si>
    <t>efficiency of displays</t>
  </si>
  <si>
    <t>el nino</t>
  </si>
  <si>
    <t>election</t>
  </si>
  <si>
    <t>electronic heath records</t>
  </si>
  <si>
    <t>electronic signal</t>
  </si>
  <si>
    <t>embedding</t>
  </si>
  <si>
    <t>embodied cognition</t>
  </si>
  <si>
    <t>embodiment</t>
  </si>
  <si>
    <t>CERN Inst .f. Experiment alphysik d. Univ. Niels Bohr Institute##CERN Inst .f. Experiment alphysik d. Univ. Niels Bohr Institute##CERN Inst .f. Experiment alphysik d. Univ. Niels Bohr Institute</t>
  </si>
  <si>
    <t>embodiment large</t>
  </si>
  <si>
    <t>IBM Thomas J. Watson Research Center</t>
  </si>
  <si>
    <t>Fujitsu America, Inc</t>
  </si>
  <si>
    <t>emergency/disaster management</t>
  </si>
  <si>
    <t>empirical study</t>
  </si>
  <si>
    <t>NSF Engineering Research Center for Computational Field Simulation Mississippi State University Mississippi State##NSF Engineering Research Center for Computational Field Simulation Mississippi State University Mississippi State##NSF Engineering Research Center for Computational Field Simulation Mississippi State University Mississippi State</t>
  </si>
  <si>
    <t>William E. Lorensen;Harvey E. Cline;C. Nafis;D. Altobelli;L. Gleason</t>
  </si>
  <si>
    <t>General Electric Company Corporate Research and Development Schenectady##General Electric Company Corporate Research and Development Schenectady##General Electric Company Corporate Research and Development Schenectady</t>
  </si>
  <si>
    <t>end-user programming</t>
  </si>
  <si>
    <t>energy consumption</t>
  </si>
  <si>
    <t>engagement</t>
  </si>
  <si>
    <t>ensemble</t>
  </si>
  <si>
    <t>ensemble analysis</t>
  </si>
  <si>
    <t>ensemble simulation steering</t>
  </si>
  <si>
    <t>ensemble visualization</t>
  </si>
  <si>
    <t>enterprise</t>
  </si>
  <si>
    <t>entropy</t>
  </si>
  <si>
    <t>environmental management</t>
  </si>
  <si>
    <t>enzo</t>
  </si>
  <si>
    <t>CNUCE CNR##CNUCE CNR##CNUCE CNR</t>
  </si>
  <si>
    <t>error ellipsoids</t>
  </si>
  <si>
    <t>euler diagrams</t>
  </si>
  <si>
    <t>evaluation</t>
  </si>
  <si>
    <t>evaluation / methodology</t>
  </si>
  <si>
    <t>event detection</t>
  </si>
  <si>
    <t>event sequences</t>
  </si>
  <si>
    <t>event-based data</t>
  </si>
  <si>
    <t>S.-Petersburg State University##Russian Scientific Center "Kurchatov Institute"</t>
  </si>
  <si>
    <t>events</t>
  </si>
  <si>
    <t>evolution</t>
  </si>
  <si>
    <t>exemplar</t>
  </si>
  <si>
    <t>experiment</t>
  </si>
  <si>
    <t>experimental method</t>
  </si>
  <si>
    <t>experimentation</t>
  </si>
  <si>
    <t>exploded view diagrams</t>
  </si>
  <si>
    <t>exploded views</t>
  </si>
  <si>
    <t>exploration</t>
  </si>
  <si>
    <t>explorative analysis</t>
  </si>
  <si>
    <t>exploratory analysis</t>
  </si>
  <si>
    <t>exploratory</t>
  </si>
  <si>
    <t>exploratory data analysis</t>
  </si>
  <si>
    <t>exploratory search</t>
  </si>
  <si>
    <t>exploratory visualization</t>
  </si>
  <si>
    <t>exponential extinction</t>
  </si>
  <si>
    <t>extremum graph</t>
  </si>
  <si>
    <t>eye tracking</t>
  </si>
  <si>
    <t>eye-tracking</t>
  </si>
  <si>
    <t>faceted browsing</t>
  </si>
  <si>
    <t>faceted data visualization</t>
  </si>
  <si>
    <t>family of surfaces</t>
  </si>
  <si>
    <t>fault simulation</t>
  </si>
  <si>
    <t>feature classification</t>
  </si>
  <si>
    <t>feature extraction</t>
  </si>
  <si>
    <t>feature identification and characterization</t>
  </si>
  <si>
    <t>feature selection</t>
  </si>
  <si>
    <t>feature space</t>
  </si>
  <si>
    <t>features</t>
  </si>
  <si>
    <t>fiber clustering</t>
  </si>
  <si>
    <t>fiber tracking</t>
  </si>
  <si>
    <t>fibers</t>
  </si>
  <si>
    <t>field line advection</t>
  </si>
  <si>
    <t>field study</t>
  </si>
  <si>
    <t>filter construction</t>
  </si>
  <si>
    <t>filtered back-projection</t>
  </si>
  <si>
    <t>financial information visualization</t>
  </si>
  <si>
    <t>finite element visualization</t>
  </si>
  <si>
    <t>fish-eye view</t>
  </si>
  <si>
    <t>flexibilty-usability tradeoff</t>
  </si>
  <si>
    <t>floating-point compression</t>
  </si>
  <si>
    <t>flood management</t>
  </si>
  <si>
    <t>flow field</t>
  </si>
  <si>
    <t>flow field visualization</t>
  </si>
  <si>
    <t>flow map</t>
  </si>
  <si>
    <t>flow maps</t>
  </si>
  <si>
    <t>flow mapping</t>
  </si>
  <si>
    <t>flow visualization</t>
  </si>
  <si>
    <t>flowing seed points</t>
  </si>
  <si>
    <t>fluctuation diagrams</t>
  </si>
  <si>
    <t>fluid flow simulation</t>
  </si>
  <si>
    <t>fluorescence microscopy</t>
  </si>
  <si>
    <t>focus and context</t>
  </si>
  <si>
    <t>focus+context</t>
  </si>
  <si>
    <t>focus stacks</t>
  </si>
  <si>
    <t>focus-and-context</t>
  </si>
  <si>
    <t>NIST Gaithersburg##NIST Gaithersburg##NIST Gaithersburg##NIST Gaithersburg</t>
  </si>
  <si>
    <t>University of Washington Seattle##University of Washington Seattle</t>
  </si>
  <si>
    <t>Peng, W.;Ward, M.O.;Rundensteiner, E.A.</t>
  </si>
  <si>
    <t>37929204000;37268441700;37279217900</t>
  </si>
  <si>
    <t>1249015;567800;146386;729568;809866;559215;885086</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</si>
  <si>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user┬Æs data. Ultimately, a lookmark is a time-saving tool that automates the recreation of a complex view of the data.</t>
  </si>
  <si>
    <t>Stanton, E.T.;Kegelmeyer, W.P.</t>
  </si>
  <si>
    <t>37931637200;37354205800</t>
  </si>
  <si>
    <t>Stanton, E.;Kegelmeyer, W.P.</t>
  </si>
  <si>
    <t>Tsutsumi, F.;Itoh, N.;Onoda, T.</t>
  </si>
  <si>
    <t>37265724400;37941386400;37296759400</t>
  </si>
  <si>
    <t>Granitzer, M.;Kienreich, W.;Sabol, V.;Andrews, K.;Klieber, W.</t>
  </si>
  <si>
    <t>37394939100;37546982800;37549965800;37340122200;37549964500</t>
  </si>
  <si>
    <t>567787;636718</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</si>
  <si>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NASA┬Æs Mars Exploration Rover missions are being made available through the EventScope framework to museums, classrooms, and the public at large.</t>
  </si>
  <si>
    <t>Myers, E.;Coppin, P.;Wagner, M.;Fischer, K.;Luisa Lu;McCloskey, W.R.;Seneker, D.</t>
  </si>
  <si>
    <t>37284999600;37392048900;37287846900;37929364700;37934704500;37938687100;37938687400</t>
  </si>
  <si>
    <t>McGuffin, M.J.;Davison, G.;Balakrishnan, R.</t>
  </si>
  <si>
    <t>37403234300;37939943900;37394495600</t>
  </si>
  <si>
    <t>1173148;1173152</t>
  </si>
  <si>
    <t>Keim, D.A.;Barro, H.;Panse, C.;Schneidewind, J.;Sips, M.</t>
  </si>
  <si>
    <t>37283138700;37939647200;37282557300;37669961800;37827860500</t>
  </si>
  <si>
    <t>Delest, M.;Munzner, T.;Auber, D.;Domenger, J.</t>
  </si>
  <si>
    <t>Universit&amp;#233; de Bordeaux I|c|;;;</t>
  </si>
  <si>
    <t>37282997000;37349490300;38470850300;37295426700</t>
  </si>
  <si>
    <t>Voinea, L.;Telea, A.;van Wijk, J.J.</t>
  </si>
  <si>
    <t>37267197100;37268047100;</t>
  </si>
  <si>
    <t>801853;801860;801852;963279;801859;1173149</t>
  </si>
  <si>
    <t>Mandic, M.;Kerne, A.</t>
  </si>
  <si>
    <t>37925992500;37282210400</t>
  </si>
  <si>
    <t>Kapler, T.;Wright, W.</t>
  </si>
  <si>
    <t>37704437500;37654961400</t>
  </si>
  <si>
    <t>Pin Ren;Watson, B.</t>
  </si>
  <si>
    <t>37564433400;37356872100</t>
  </si>
  <si>
    <t>Cluxton, D.;Eick, S.G.;Jie Yun</t>
  </si>
  <si>
    <t>37939601800;37282570100;37934965500</t>
  </si>
  <si>
    <t>Pak Chung Wong;Hetzler, B.;Posse, C.;Whiting, M.;Havre, S.;Cramer, N.;Shah, A.;Singhal, M.;Turner, A.;Thomas, J.</t>
  </si>
  <si>
    <t>;37374614800;37295085900;37357067600;37282588900;37941944900;37654414100;37271719400;;37273308900</t>
  </si>
  <si>
    <t>Pak Chung Wong;Hetzler, E.;Posse, C.;Whiting, M.;Havre, S.;Cramer, N.;Shah, A.;Singhal, M.;Turner, A.;Thomas, J.</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</si>
  <si>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it┬Æs weaknesses.</t>
  </si>
  <si>
    <t>Tyman, J.;Gruetzmacher, G.P.;Stasko, J.</t>
  </si>
  <si>
    <t>37938488400;37938489000;37267736900</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</si>
  <si>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Charlotte┬Æs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</si>
  <si>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Foster, J.;Subramanian, K.;Herring, R.;Gail Ahn</t>
  </si>
  <si>
    <t>37927235100;38185263800;37328688300;37330910300</t>
  </si>
  <si>
    <t>Foster, J.;Subramanian, K.R.;Herring, R.;Gail Ahn</t>
  </si>
  <si>
    <t>Hao, M.C.;Keim, D.A.;Dayal, U.;Schneidewind, J.</t>
  </si>
  <si>
    <t>37274264300;37283138700;37275646700;37669961800</t>
  </si>
  <si>
    <t>Johansson, J.;Ljung, P.;Lindgren, D.;Cooper, M.</t>
  </si>
  <si>
    <t>37273045500;37284208400;37282558300;37268765000</t>
  </si>
  <si>
    <t>van Ham, F.;van Wijk, J.J.</t>
  </si>
  <si>
    <t>37326291000;37267249200</t>
  </si>
  <si>
    <t>636718;528686;885677;1249011</t>
  </si>
  <si>
    <t>Card, S.</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</si>
  <si>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Pajek┬Æs SVG output feature. A complementary web page with all the raw data, details of the analyses, and high resolution images of all figures is available online at http://iv.slis.indiana.edu/ref/iv04contest/.</t>
  </si>
  <si>
    <t>Ke, W.;Borner, K.;Viswanath, L.</t>
  </si>
  <si>
    <t>37285509900;;37939700500</t>
  </si>
  <si>
    <t>Abello, J.;van Ham, F.</t>
  </si>
  <si>
    <t>37662339600;</t>
  </si>
  <si>
    <t>Chiricota, Y.;Jourdan, F.;Melancon, G.</t>
  </si>
  <si>
    <t>37282997400;37283172300;37283186100</t>
  </si>
  <si>
    <t>485139;801858;636791;1249005;1249011;885090</t>
  </si>
  <si>
    <t>Tzu-Wei Hsu;Inman, L.;McColgin, D.;Stamper, K.</t>
  </si>
  <si>
    <t>37931098300;37941007700;37938647900;37925993600</t>
  </si>
  <si>
    <t>Kobourov, S.G.;Wampler, K.</t>
  </si>
  <si>
    <t>37398749700;37550247700</t>
  </si>
  <si>
    <t>Kobourov, S.;Wampler, K.</t>
  </si>
  <si>
    <t>636718;1173159</t>
  </si>
  <si>
    <t>37412023800;37275869400</t>
  </si>
  <si>
    <t>Gossett, N.;Baoquan Chen</t>
  </si>
  <si>
    <t>37938665000;37559619200</t>
  </si>
  <si>
    <t>PhylloTrees: Harnessing Nature&amp;#146;s Phyllotactic Patterns for Tree Layout</t>
  </si>
  <si>
    <t>focus+context techniques</t>
  </si>
  <si>
    <t>focus+context visualization</t>
  </si>
  <si>
    <t>We explore the use of nature┬Æs phyllotactic patterns to inform the layout of hierarchical data. These naturally occurring patterns provide a non-overlapping, optimal packing when the total number of nodes is not known a priori. We present a family of expandable tree layouts based on these patterns.</t>
  </si>
  <si>
    <t>Carpendale, S.;Agarawala, A.</t>
  </si>
  <si>
    <t>37285000100;37938481400</t>
  </si>
  <si>
    <t>foraging</t>
  </si>
  <si>
    <t>University of North Carolina##University of North Carolina##University of North Carolina##University of North Carolina##University of North Carolina##University of North Carolina##University of North Carolina##University of North Carolina</t>
  </si>
  <si>
    <t>force directed layout</t>
  </si>
  <si>
    <t>formal concept analysis</t>
  </si>
  <si>
    <t>four-dimensional visualization</t>
  </si>
  <si>
    <t>fp-tree</t>
  </si>
  <si>
    <t>Heilmann, R.;Keim, D.A.;Panse, C.;Sips, M.</t>
  </si>
  <si>
    <t>37943636700;37283138700;37282557300;37827860500</t>
  </si>
  <si>
    <t>745303;175815;1173144</t>
  </si>
  <si>
    <t>fractal dimension</t>
  </si>
  <si>
    <t>Simon Fraser University##Simon Fraser University##Simon Fraser University</t>
  </si>
  <si>
    <t>framework</t>
  </si>
  <si>
    <t>frameworks</t>
  </si>
  <si>
    <t>Lu, D.;Dietrich, L.</t>
  </si>
  <si>
    <t>37930339400;37938072800</t>
  </si>
  <si>
    <t>framing effects</t>
  </si>
  <si>
    <t>frequency error kernel</t>
  </si>
  <si>
    <t>fuzzy clustering</t>
  </si>
  <si>
    <t>Tory, M.;Moller, T.</t>
  </si>
  <si>
    <t>37275861300;37275858700</t>
  </si>
  <si>
    <t>NSF Engineering Research Center for Computational Field Simulation##NSF Engineering Research Center for Computational Field Simulation##NSF Engineering Research Center for Computational Field Simulation</t>
  </si>
  <si>
    <t>fuzzy logic</t>
  </si>
  <si>
    <t>146375;885092;636792;801856</t>
  </si>
  <si>
    <t>galois sub-hierarchy</t>
  </si>
  <si>
    <t>gaussian process</t>
  </si>
  <si>
    <t>gaussian process model</t>
  </si>
  <si>
    <t>Williams, M.;Munzner, T.</t>
  </si>
  <si>
    <t>37926388300;37349490300</t>
  </si>
  <si>
    <t>1173150;1249013;963275;1173159;1173161;567787;528686;1249012</t>
  </si>
  <si>
    <t>gender differences</t>
  </si>
  <si>
    <t>gene expression</t>
  </si>
  <si>
    <t>Albrecht-Buehler, C.;Watson, B.;Shamma, D.A.</t>
  </si>
  <si>
    <t>37938688600;37356872100;37938687600</t>
  </si>
  <si>
    <t>gene expression experiments</t>
  </si>
  <si>
    <t>gene expression profiling</t>
  </si>
  <si>
    <t>gene regulation</t>
  </si>
  <si>
    <t>1249008;885086;1173156;528688;1173148</t>
  </si>
  <si>
    <t>genealogy</t>
  </si>
  <si>
    <t>genealogy visualization</t>
  </si>
  <si>
    <t>Technical University of Budapest</t>
  </si>
  <si>
    <t>This research demonstrates how principles of self-organization and behavior simulation can be used to represent dynamic data evolutions by extending the concept of information flocking, originally introduced by Proctor &amp;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</si>
  <si>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generalized singular value decomposition</t>
  </si>
  <si>
    <t>genetic algorithm</t>
  </si>
  <si>
    <t>genetic variants</t>
  </si>
  <si>
    <t>Gansner, E.;Koren, Y.;North, S.</t>
  </si>
  <si>
    <t>37299368000;37414256700;37372818600</t>
  </si>
  <si>
    <t>Gansner, E.;Koren, Y.;North, S.C.</t>
  </si>
  <si>
    <t>genome assembly</t>
  </si>
  <si>
    <t>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t>
  </si>
  <si>
    <t>geodemographics</t>
  </si>
  <si>
    <t>636718;1249011</t>
  </si>
  <si>
    <t>geographic information retrieval</t>
  </si>
  <si>
    <t>geographic visualization</t>
  </si>
  <si>
    <t>geographic/geospatial visualization</t>
  </si>
  <si>
    <t>Groth, D.P.;Murphy, B.W.</t>
  </si>
  <si>
    <t>37283182000;37926551500</t>
  </si>
  <si>
    <t>geographical information systems</t>
  </si>
  <si>
    <t>geometric algorithms</t>
  </si>
  <si>
    <t>Artero, A.O.;de Oliveira, M.C.F.;Levkowitz, H.</t>
  </si>
  <si>
    <t>geometric flow</t>
  </si>
  <si>
    <t>37267050100;;37282753300</t>
  </si>
  <si>
    <t>geometry tensors</t>
  </si>
  <si>
    <t>geometry-based technique</t>
  </si>
  <si>
    <t>geometry-based techniques</t>
  </si>
  <si>
    <t>Bongshin Lee;Czerwinski, Mary;Robertson, G.;Bederson, B.B.</t>
  </si>
  <si>
    <t>37293389400;37563799500;37448060300;37279760100</t>
  </si>
  <si>
    <t>Bongshin Lee;Czerwinski, M.;Robertson, G.;Bederson, B.B.</t>
  </si>
  <si>
    <t>175815;1173148;963285;801860;963289;963290;1173153</t>
  </si>
  <si>
    <t>The George Washington University Washington##The George Washington University Washington</t>
  </si>
  <si>
    <t>geophysics</t>
  </si>
  <si>
    <t>geospatial data sets</t>
  </si>
  <si>
    <t>geovisual analytics</t>
  </si>
  <si>
    <t>geovisualization</t>
  </si>
  <si>
    <t>University of Wisconsin -Madison##University of Wisconsin -Madison##University of Wisconsin -Madison</t>
  </si>
  <si>
    <t>gesture-based interaction</t>
  </si>
  <si>
    <t>gigapixel display</t>
  </si>
  <si>
    <t>gigapixel viewer</t>
  </si>
  <si>
    <t>gigapixel visualization</t>
  </si>
  <si>
    <t>global illumination</t>
  </si>
  <si>
    <t>glyph</t>
  </si>
  <si>
    <t>glyphs</t>
  </si>
  <si>
    <t>glyph design</t>
  </si>
  <si>
    <t>glyph generation</t>
  </si>
  <si>
    <t>glyph packing</t>
  </si>
  <si>
    <t>glyph-based techniques</t>
  </si>
  <si>
    <t>glyph-based visualization</t>
  </si>
  <si>
    <t>Jing Yang;Anilkumar Patro;Huang Shiping;Nishant Mehta;Ward, M.O.;Rundensteiner, E.A.</t>
  </si>
  <si>
    <t>goal-oriented design</t>
  </si>
  <si>
    <t>37292632600;37932988400;37557769100;37554158700;37268441700;37279217900</t>
  </si>
  <si>
    <t>governance</t>
  </si>
  <si>
    <t>729568;1249015;346302;1249014;528686;485140</t>
  </si>
  <si>
    <t>gpgpu</t>
  </si>
  <si>
    <t>Hardware</t>
  </si>
  <si>
    <t>gpu</t>
  </si>
  <si>
    <t>Intelligence analysts receive thousands of facts from a variety of sources. In addition to the bare details of the fact ÔÇö a particular person, for example ÔÇö each fact may have provenance, reliability, weight, and other attributes. Each fact may also be associated with other facts, e.g. that one person met another at a particular location. The analyst┬Æs task is to examine a huge collection of such loosely-structured facts, and try to "connect the dots" to perceive the underlying and unknown causes ÔÇö and their possible future courses. We have designed and implemented a Java platform called VIM to support intelligence analysts in their work.</t>
  </si>
  <si>
    <t>gpu acceleration</t>
  </si>
  <si>
    <t>Keahey, T.A.;Cox, K.C.</t>
  </si>
  <si>
    <t>38180025700;37927697700</t>
  </si>
  <si>
    <t>Krishnaswamy, P.;Eick, S.G.;Grossman, R.L.</t>
  </si>
  <si>
    <t>37936804400;37282570100;37270222000</t>
  </si>
  <si>
    <t>Krishnaswamy, P.;Eick, S.G.;Grossman, R.</t>
  </si>
  <si>
    <t>Mohammadi-Aragh, M.J.;Jankun-Kelly, T.J.</t>
  </si>
  <si>
    <t>37295682800;37399870300</t>
  </si>
  <si>
    <t>I.E.I. -Consiglio Nazionale delle Ricerche##Studi Superiori Sardegna (CRSI)##CNUCE -Consiglio Nazionale delle Ricerche</t>
  </si>
  <si>
    <t>gpu ray tracing</t>
  </si>
  <si>
    <t>gpu ray-tracing</t>
  </si>
  <si>
    <t>gpu ray-casting</t>
  </si>
  <si>
    <t>JC: Raycasting involves creating a ray and calculating what it hits. Raytracing involves creating a ray and tracing its path as it reflects/refracts through the scene so that you can determine what light might arrive at its source from the other direction.</t>
  </si>
  <si>
    <t>Cambridge Research Lab Digital Equipment Corporation One Kendall Sq</t>
  </si>
  <si>
    <t>Diep, E.;Jacob, R.J.K.</t>
  </si>
  <si>
    <t>37939704200;37273754900</t>
  </si>
  <si>
    <t>Diep, E.;Jacob, R.</t>
  </si>
  <si>
    <t>gpu resampling</t>
  </si>
  <si>
    <t>Surendran, D.;Levy, S.</t>
  </si>
  <si>
    <t>gpu technique</t>
  </si>
  <si>
    <t>Fluent Inc. Centerra Resource Park Lebanon##Fluent Inc. Centerra Resource Park Lebanon##Fluent Inc. Centerra Resource Park Lebanon</t>
  </si>
  <si>
    <t>gpu techniques</t>
  </si>
  <si>
    <t>gpu-acceleration</t>
  </si>
  <si>
    <t>gpu-based ray-casting</t>
  </si>
  <si>
    <t>gpu-based root-finding</t>
  </si>
  <si>
    <t>gpu root finding</t>
  </si>
  <si>
    <t>Computer Sciences Corporation</t>
  </si>
  <si>
    <t>gpu-based visualization</t>
  </si>
  <si>
    <t>gpu/cuda</t>
  </si>
  <si>
    <t>gpus</t>
  </si>
  <si>
    <t>gradient</t>
  </si>
  <si>
    <t>37939591100;37928834000</t>
  </si>
  <si>
    <t>gradient-free shading</t>
  </si>
  <si>
    <t>graph</t>
  </si>
  <si>
    <t>graphs</t>
  </si>
  <si>
    <t>graph analytics</t>
  </si>
  <si>
    <t>Ahmed, A.;Dwyer, T.;Murray, C.;Le Song;Ying Xin Wu</t>
  </si>
  <si>
    <t>37288875000;37326161000;37553339300;37554043900;37293511300</t>
  </si>
  <si>
    <t>graph bundling</t>
  </si>
  <si>
    <t>graph comprehension</t>
  </si>
  <si>
    <t>graph drawing</t>
  </si>
  <si>
    <t>Bustos, B.;Keim, D.A.;Panse, C.;Schreck, T.</t>
  </si>
  <si>
    <t>37283138400;37283138700;37282557300;37282557600</t>
  </si>
  <si>
    <t>graph labeling</t>
  </si>
  <si>
    <t>graph layout</t>
  </si>
  <si>
    <t>graph layouts</t>
  </si>
  <si>
    <t>graph partitioning</t>
  </si>
  <si>
    <t>graph products</t>
  </si>
  <si>
    <t>graph query language</t>
  </si>
  <si>
    <t>graph search</t>
  </si>
  <si>
    <t>University of Maryland Baltimore County##The Ohio State University##The Ohio State University</t>
  </si>
  <si>
    <t>graph similarity</t>
  </si>
  <si>
    <t>graph splatting</t>
  </si>
  <si>
    <t>graph visualization</t>
  </si>
  <si>
    <t>graph-drawing aesthetics</t>
  </si>
  <si>
    <t>graph/network data</t>
  </si>
  <si>
    <t>graphic composition</t>
  </si>
  <si>
    <t>Stegmaier, S.;Ertl, T.</t>
  </si>
  <si>
    <t>37267809900;37268023800</t>
  </si>
  <si>
    <t>graphical perception</t>
  </si>
  <si>
    <t>1250361;745288;1250384;809934;745296</t>
  </si>
  <si>
    <t>graphics architecture</t>
  </si>
  <si>
    <t>graphics hardware</t>
  </si>
  <si>
    <t>Hwa, L.M.;Duchaineau, M.A.;Joy, K.I.</t>
  </si>
  <si>
    <t>37282563100;37267813100;37267811400</t>
  </si>
  <si>
    <t>Hwa, L.M.;Duchaineau, M.;Joy, K.I.</t>
  </si>
  <si>
    <t>grids</t>
  </si>
  <si>
    <t>964533;663860;1183783;745282;745280;885699;480813;1250366</t>
  </si>
  <si>
    <t>group work</t>
  </si>
  <si>
    <t>gto</t>
  </si>
  <si>
    <t>gaussian type orbital</t>
  </si>
  <si>
    <t>Schussman, G.;Kwan-Liu Ma</t>
  </si>
  <si>
    <t>guided interaction</t>
  </si>
  <si>
    <t>37283639900;37275869400</t>
  </si>
  <si>
    <t>guided visualization</t>
  </si>
  <si>
    <t>guidelines</t>
  </si>
  <si>
    <t>h-tree</t>
  </si>
  <si>
    <t>Sibley, P.G.;Taubin, Gabriel</t>
  </si>
  <si>
    <t>hammock plots</t>
  </si>
  <si>
    <t>37282608500;37282608000</t>
  </si>
  <si>
    <t>Sibley, P.G.;Taubin, G.</t>
  </si>
  <si>
    <t>hand-drawn</t>
  </si>
  <si>
    <t>harmonic color</t>
  </si>
  <si>
    <t>Gillet, A.;Sanner, M.;Stoffler, D.;Goodsell, D.;Olson, Arthur</t>
  </si>
  <si>
    <t>37282625300;37282613800;37282612900;37282613100;37283384700</t>
  </si>
  <si>
    <t>Gillet, A.;Sanner, M.;Stoffler, D.;Goodsell, D.;Olson, A.</t>
  </si>
  <si>
    <t>hasse diagram</t>
  </si>
  <si>
    <t>hci</t>
  </si>
  <si>
    <t>human-computer interaction</t>
  </si>
  <si>
    <t>Mancas, M.;Gosselin, B.;Macq, B.</t>
  </si>
  <si>
    <t>heat diffusion</t>
  </si>
  <si>
    <t>37282588200;;37276857300</t>
  </si>
  <si>
    <t>hemodynamic</t>
  </si>
  <si>
    <t>hemodynamics</t>
  </si>
  <si>
    <t>Recent activity within the UK National e-Science Programme has identified a need to establish an ontology for visualization. Motivation for this includes defining web and grid services for visualization (the ┬æsemantic grid┬Æ),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</si>
  <si>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heuristic-based spatial clustering</t>
  </si>
  <si>
    <t>Duke, D.J.;Brodlie, K.W.;Duce, D.A.</t>
  </si>
  <si>
    <t>37282576200;37271754900;37266247700</t>
  </si>
  <si>
    <t>Duke, D.;Brodlie, K.;Duce, D.</t>
  </si>
  <si>
    <t>hierarchical</t>
  </si>
  <si>
    <t>hierarchical clustering</t>
  </si>
  <si>
    <t>Gleicher, M.;Brunet, T.;Nowak, E.;Osten, L.;McElwee, M.;Tanty, K.;Gepner, A.;Lahvis, G.</t>
  </si>
  <si>
    <t>37282585700;37282584600;37268470700;37282580800;37282579400;37282581800;37282581200;37282581400</t>
  </si>
  <si>
    <t>hierarchical clusters</t>
  </si>
  <si>
    <t>hierarchical dirichlet process</t>
  </si>
  <si>
    <t>hierarchical representation</t>
  </si>
  <si>
    <t>hierarchical topic representation</t>
  </si>
  <si>
    <t>37267188300;37281384800</t>
  </si>
  <si>
    <t>809865;480817</t>
  </si>
  <si>
    <t>hierarchical visualization</t>
  </si>
  <si>
    <t>hierarchy visualization</t>
  </si>
  <si>
    <t>hierarchy</t>
  </si>
  <si>
    <t>Rong Xu;Solihin, W.;Zhiyong Huang</t>
  </si>
  <si>
    <t>37267217400;37282575800;37275469600</t>
  </si>
  <si>
    <t>hierarchy data</t>
  </si>
  <si>
    <t>hierarchy of diamonds</t>
  </si>
  <si>
    <t>Schroeder, W.J.;Geveci, B.;Malaterre, M.</t>
  </si>
  <si>
    <t>37282730100;37282729500;37282730300</t>
  </si>
  <si>
    <t>high dimensional data</t>
  </si>
  <si>
    <t>high-dimensional data</t>
  </si>
  <si>
    <t>568127;663869;663886</t>
  </si>
  <si>
    <t>high quality</t>
  </si>
  <si>
    <t>McCormick, B.H.;Doddapaneni, P.;Mayerich, D.;Melek, Z.;Keyser, J.</t>
  </si>
  <si>
    <t>37282587100;37282586700;37282589200;37284004900;37282588300</t>
  </si>
  <si>
    <t>high-dimensional data analysis</t>
  </si>
  <si>
    <t>high-dimensional data visualization</t>
  </si>
  <si>
    <t>University of Paderborn</t>
  </si>
  <si>
    <t>high-dimensional displays</t>
  </si>
  <si>
    <t>Magnor, M.;Kindlmann, G.;Duric, N.;Hansen, C.</t>
  </si>
  <si>
    <t>37273816400;38265363000;37282741400;37266777200</t>
  </si>
  <si>
    <t>high-dimensional embeddings</t>
  </si>
  <si>
    <t>high-dimensional spaces</t>
  </si>
  <si>
    <t>Ehret, J.;Ebert, A.;Schuchardt, L.;Steinmetz, H.;Hagen, H.</t>
  </si>
  <si>
    <t>37282572400;37282550400;37282549400;37282548300;38304702600</t>
  </si>
  <si>
    <t>high-dimensional visualization</t>
  </si>
  <si>
    <t>high-order finite elements</t>
  </si>
  <si>
    <t>Hagen, H.;Steinebach, G.;Munchhofen, M.;Scheler, I.;Ruby, M.;Wadle, M.</t>
  </si>
  <si>
    <t>37282578800;;37282565300;37282565700;37282566200;37282567700</t>
  </si>
  <si>
    <t>Hughes STX Corporation##Hughes STX Corporation##Hughes STX Corporation</t>
  </si>
  <si>
    <t>Bahmutov, G.;Popescu, V.;Sacks, E.</t>
  </si>
  <si>
    <t>37282562700;37272425500;37282563500</t>
  </si>
  <si>
    <t>Mehta, S.;Hazzard, K.;Machiraju, R.;Parthasarathy, S.;Wilkins, J.</t>
  </si>
  <si>
    <t>37275792500;37282600600;37269516700;37269057900;37282601500</t>
  </si>
  <si>
    <t>Kirk L. Duffin;William A. Barrett</t>
  </si>
  <si>
    <t>480793;1183753</t>
  </si>
  <si>
    <t>Brigham Young University##Brigham Young University</t>
  </si>
  <si>
    <t>Feng Qiu;Ye Zhao;Zhe Fan;Xiaoming Wei;Lorenz, H.;Jianning Wang;Yoakum-Stover, S.;Kaufman, A.;Mueller, K.</t>
  </si>
  <si>
    <t>37416126400;38323417000;38301445800;38314018100;38297258200;38335413400;38284745400;37268052800;37273119700</t>
  </si>
  <si>
    <t>high-performance computing</t>
  </si>
  <si>
    <t>1250382;1183764;1183779;398877</t>
  </si>
  <si>
    <t>high-performance visualization</t>
  </si>
  <si>
    <t>high-resolution display</t>
  </si>
  <si>
    <t>high-resolution displays</t>
  </si>
  <si>
    <t>Sanderson, A.;Johnson, C.R.;Kirby, R.M.</t>
  </si>
  <si>
    <t>37283733200;37276931400;37275716100</t>
  </si>
  <si>
    <t>809865;480817;485141;885688;567784;235211;235225;5290732;567777;1250357;809904;809905;175789;663897</t>
  </si>
  <si>
    <t>high-resolution microscopy</t>
  </si>
  <si>
    <t>high-throughput imaging</t>
  </si>
  <si>
    <t>higher-order conjunctive queries</t>
  </si>
  <si>
    <t>highlighting</t>
  </si>
  <si>
    <t>history</t>
  </si>
  <si>
    <t>Slovak Academy of Sciences</t>
  </si>
  <si>
    <t>horizon graphs</t>
  </si>
  <si>
    <t>hotbox</t>
  </si>
  <si>
    <t>html5 canvas</t>
  </si>
  <si>
    <t>hue preservation</t>
  </si>
  <si>
    <t>human complexity</t>
  </si>
  <si>
    <t>human computation</t>
  </si>
  <si>
    <t>human computer interaction</t>
  </si>
  <si>
    <t>human factors</t>
  </si>
  <si>
    <t>human terrain analysis</t>
  </si>
  <si>
    <t>Song Zhang;Laidlaw, D.H.</t>
  </si>
  <si>
    <t>37277708500;37275712600</t>
  </si>
  <si>
    <t>hybrid images</t>
  </si>
  <si>
    <t>hybrid visualization</t>
  </si>
  <si>
    <t>Zhang, N.;Hong, W.;Kaufman, A.</t>
  </si>
  <si>
    <t>hyperspectral visualization</t>
  </si>
  <si>
    <t>37273740800;37277099300;37268052800</t>
  </si>
  <si>
    <t>346308;964541_08;1250356;1250360;1183810;568127;885703</t>
  </si>
  <si>
    <t>hyperstreamline placement</t>
  </si>
  <si>
    <t>hypothesis testing</t>
  </si>
  <si>
    <t>icons</t>
  </si>
  <si>
    <t>illumination</t>
  </si>
  <si>
    <t>1183807;175782</t>
  </si>
  <si>
    <t>illustrative rendering</t>
  </si>
  <si>
    <t>illustrative visualization</t>
  </si>
  <si>
    <t>JC: if rendering == visualization, then image-based rendering = image-based visualization = image-based??</t>
  </si>
  <si>
    <t>illustrative rendering and visualization</t>
  </si>
  <si>
    <t>von Rymon-Lipinski, B.;Hanssen, N.;Jansen, T.;Ritter, L.;Keeve, E.</t>
  </si>
  <si>
    <t>;37282577400;37282572600;37282572200;37282573400</t>
  </si>
  <si>
    <t>175780;964489;568121;480806</t>
  </si>
  <si>
    <t>image analysis</t>
  </si>
  <si>
    <t>image classification</t>
  </si>
  <si>
    <t>image compositing</t>
  </si>
  <si>
    <t>image enhancement</t>
  </si>
  <si>
    <t>image fusion</t>
  </si>
  <si>
    <t>image processing</t>
  </si>
  <si>
    <t>image recoloring</t>
  </si>
  <si>
    <t>image registration</t>
  </si>
  <si>
    <t>Akers, D.;Sherbondy, A.;Mackenzie, R.;Dougherty, R.;Wandell, B.</t>
  </si>
  <si>
    <t>image saliency</t>
  </si>
  <si>
    <t>37268691800;37282594600;37282587800;37270627100;37282587400</t>
  </si>
  <si>
    <t>809894;809886;1183799</t>
  </si>
  <si>
    <t>image segmentation</t>
  </si>
  <si>
    <t>image set comparison</t>
  </si>
  <si>
    <t>Hang Yu;Chang, E.-C.;Zhiyong Huang;Zhijian Zheng</t>
  </si>
  <si>
    <t>37275011600;37274693600;37275469600;37280345200</t>
  </si>
  <si>
    <t>image-based</t>
  </si>
  <si>
    <t>image-based information visualization</t>
  </si>
  <si>
    <t>image-based rendering</t>
  </si>
  <si>
    <t>impingement zone</t>
  </si>
  <si>
    <t>Griebel, M.;Preusser, T.;Rumpf, M.;Schweitzer, M.A.;Telea, A.</t>
  </si>
  <si>
    <t>37282573500;37282573000;37268036500;37282574100;37268047100</t>
  </si>
  <si>
    <t>implant planning</t>
  </si>
  <si>
    <t>809865;1250372;1250377;1250363;809863</t>
  </si>
  <si>
    <t>implicit surface rendering</t>
  </si>
  <si>
    <t>implicit surfaces</t>
  </si>
  <si>
    <t>incremental visualization</t>
  </si>
  <si>
    <t>indexation</t>
  </si>
  <si>
    <t>Wischgoll, T.;Moritz, E.;Meyer, J.</t>
  </si>
  <si>
    <t>37282584400;37267820900;37279771900</t>
  </si>
  <si>
    <t>Santilli, K.;Bemis, K.;Silver, D.;Dastur, J.;Rona, P.</t>
  </si>
  <si>
    <t>37282733800;37282733100;37274132700;37410745700;37282733200</t>
  </si>
  <si>
    <t>885737;1250383;745347</t>
  </si>
  <si>
    <t>IBM Thomas J. Watson Research Center Yorktown Heights##IBM Thomas J. Watson Research Center Yorktown Heights##IBM Thomas J. Watson Research Center Yorktown Heights</t>
  </si>
  <si>
    <t>Lujin Wang;Mueller, K.</t>
  </si>
  <si>
    <t>37280763200;37273119700</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</si>
  <si>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</si>
  <si>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individual differences</t>
  </si>
  <si>
    <t>inflow jet</t>
  </si>
  <si>
    <t>Otaduy, M.A.;Jain, N.;Sud, A.;Lin, M.C.</t>
  </si>
  <si>
    <t>37282557800;37282557100;37282556700;37278387400</t>
  </si>
  <si>
    <t>informal learning environments</t>
  </si>
  <si>
    <t>informal science education</t>
  </si>
  <si>
    <t>Wei Chen;Liu Ren;Zwicker, M.;Pfister, H.</t>
  </si>
  <si>
    <t>37279188600;37266117500;37282240200;37275698100</t>
  </si>
  <si>
    <t>398877;663882;1250403;745309;567608;809909;480797;964490;885698</t>
  </si>
  <si>
    <t>information art</t>
  </si>
  <si>
    <t>Princeton University##Princeton University</t>
  </si>
  <si>
    <t>information diffusion</t>
  </si>
  <si>
    <t>information discovery</t>
  </si>
  <si>
    <t>information interfaces and presentation</t>
  </si>
  <si>
    <t>information interfaces and representation</t>
  </si>
  <si>
    <t>information propagation</t>
  </si>
  <si>
    <t>information retrieval</t>
  </si>
  <si>
    <t>Jen, D.;Parente, P.;Robbins, J.;Weigle, C.;Taylor, R.M.;Burette, A.;Weinberg, R.</t>
  </si>
  <si>
    <t>37282583900;37282583400;37282583100;37282585600;38183525100;37282585200;37282585000</t>
  </si>
  <si>
    <t>964519;568133;885735</t>
  </si>
  <si>
    <t>information seeking</t>
  </si>
  <si>
    <t>information theory</t>
  </si>
  <si>
    <t>information visualization</t>
  </si>
  <si>
    <t>information visualization architecture</t>
  </si>
  <si>
    <t>Schkolne, S.;Ishii, H.;Schroder, P.</t>
  </si>
  <si>
    <t>37282570500;37277282100;37282570000</t>
  </si>
  <si>
    <t>information-guided exploration</t>
  </si>
  <si>
    <t>informational divergence</t>
  </si>
  <si>
    <t>informative art</t>
  </si>
  <si>
    <t>Viola, I.;Kanitsar, A.;Groller, M.E.</t>
  </si>
  <si>
    <t>37282726800;37282727500;37282552200</t>
  </si>
  <si>
    <t>Viola, I.;Kanitsar, A.;Groller, E.</t>
  </si>
  <si>
    <t>1250406;559215;568110;885694;964519;885697;885696</t>
  </si>
  <si>
    <t>infovis</t>
  </si>
  <si>
    <t>inhomogeneous data</t>
  </si>
  <si>
    <t>insect flight</t>
  </si>
  <si>
    <t>Roman, A.;Garg, G.;Levoy, M.</t>
  </si>
  <si>
    <t>37284564500;37282568400;37282931600</t>
  </si>
  <si>
    <t>insight</t>
  </si>
  <si>
    <t>insight management</t>
  </si>
  <si>
    <t>Prohaska, S.;Hutanu, A.;Kahler, R.;Hege, H.-C.</t>
  </si>
  <si>
    <t>37282634700;37284778600;37282637000;37282636900</t>
  </si>
  <si>
    <t>insight-based evaluation</t>
  </si>
  <si>
    <t>885729;1183758;1183757;809891;1183764;809908;663888</t>
  </si>
  <si>
    <t>integral histograms</t>
  </si>
  <si>
    <t>integral surfaces</t>
  </si>
  <si>
    <t>Livnat, Y.;Tricoche, X.</t>
  </si>
  <si>
    <t>integrated applications</t>
  </si>
  <si>
    <t>37282553200;37282575100</t>
  </si>
  <si>
    <t>integrated visualization system</t>
  </si>
  <si>
    <t>integrating spatial and non-spatial data visualization</t>
  </si>
  <si>
    <t>745713;745299;663895;480806;568123;1183810;175780;745300;346334</t>
  </si>
  <si>
    <t>intellectual structure</t>
  </si>
  <si>
    <t>Wyatt, E.C.;O'Leary, P.</t>
  </si>
  <si>
    <t>37265657600;37282553800</t>
  </si>
  <si>
    <t>intelligence analysis</t>
  </si>
  <si>
    <t>interaction</t>
  </si>
  <si>
    <t>Urness, T.;Interrante, V.;Longmire, E.;Marusic, Ivan;Ganapathisubramani, B.</t>
  </si>
  <si>
    <t>37282639600;37282637800;37282625600;37282626600;37282627400</t>
  </si>
  <si>
    <t>Urness, T.;Interrante, V.;Longmire, E.;Marusic, I.;Ganapathisubramani, B.</t>
  </si>
  <si>
    <t>interaction design</t>
  </si>
  <si>
    <t>interaction model</t>
  </si>
  <si>
    <t>Ellsworth, D.;Green, B.;Moran, P.</t>
  </si>
  <si>
    <t>37282594500;37273679700;37264891100</t>
  </si>
  <si>
    <t>Ellsworth, D.;Green, B.;Moran, P.J.</t>
  </si>
  <si>
    <t>interaction primitives</t>
  </si>
  <si>
    <t>1250375;745299;663888;1250420;346311;745343;480821</t>
  </si>
  <si>
    <t>interaction techniques</t>
  </si>
  <si>
    <t>interactive</t>
  </si>
  <si>
    <t>Mlejnek, M.;Vilanova, A.;Groller, M.E.</t>
  </si>
  <si>
    <t>37266257200;37282551500;37282552200</t>
  </si>
  <si>
    <t>Mlejnek, M.;Vilanova, A.;Groller, E.</t>
  </si>
  <si>
    <t>1183795;1183754;964540</t>
  </si>
  <si>
    <t>interactive classification</t>
  </si>
  <si>
    <t>interactive clustering</t>
  </si>
  <si>
    <t>Takeshima, Y.;Takahashi, S.;Fujishiro, I.;Nielson, G.M.</t>
  </si>
  <si>
    <t>37282600100;37280401000;37282596600;37283754100</t>
  </si>
  <si>
    <t>interactive exploration</t>
  </si>
  <si>
    <t>interactive graph drawing</t>
  </si>
  <si>
    <t>interactive illumination</t>
  </si>
  <si>
    <t>interactive inspection</t>
  </si>
  <si>
    <t>Rose, D.;Bidmon, K.;Ertl, T.</t>
  </si>
  <si>
    <t>37277264800;37282594900;37268023800</t>
  </si>
  <si>
    <t>interactive maps</t>
  </si>
  <si>
    <t>interactive recurrence analysis</t>
  </si>
  <si>
    <t>interactive visual analysis</t>
  </si>
  <si>
    <t>Laramee, R.S.;Weiskopf, D.;Schneider, J.;Hauser, H.</t>
  </si>
  <si>
    <t>37267247900;37268045000;37281085800;37274158800</t>
  </si>
  <si>
    <t>interactive visual analysis of scientific data</t>
  </si>
  <si>
    <t>809918;809895;885690;1250363;1250377;1250361;1250364</t>
  </si>
  <si>
    <t>JointViewer &amp;#8212; An Interactive System for Exploring Orthopedic Data</t>
  </si>
  <si>
    <t>interactive visual clustering</t>
  </si>
  <si>
    <t>Marai, G.E.;Demiralp, C.;Andrews, S.;Laidlaw, D.H.</t>
  </si>
  <si>
    <t>37937697100;38201834500;38247147100;37275712600</t>
  </si>
  <si>
    <t>interactive visual exploration</t>
  </si>
  <si>
    <t>interactive visualization</t>
  </si>
  <si>
    <t>interactive volume rendering</t>
  </si>
  <si>
    <t>interactive volume visualization</t>
  </si>
  <si>
    <t>Lee, C.H.;Hao, X.;Varshney, A.</t>
  </si>
  <si>
    <t>37280411700;37285087600;37282560200</t>
  </si>
  <si>
    <t>interactivity</t>
  </si>
  <si>
    <t>1250394;1250392;1250395;1183785</t>
  </si>
  <si>
    <t>interactome</t>
  </si>
  <si>
    <t>interface design</t>
  </si>
  <si>
    <t>Lakare, S.;Kaufman, A.</t>
  </si>
  <si>
    <t>37282740200;37268052800</t>
  </si>
  <si>
    <t>interpolation</t>
  </si>
  <si>
    <t>398852;809914;146377;745713;1183775</t>
  </si>
  <si>
    <t>interpretation</t>
  </si>
  <si>
    <t>interval volume</t>
  </si>
  <si>
    <t>Lum, E.B.;Kwan-Liu Ma</t>
  </si>
  <si>
    <t>invariant manifolds</t>
  </si>
  <si>
    <t>37282576300;37275869400</t>
  </si>
  <si>
    <t>964519;885697;146391;809886</t>
  </si>
  <si>
    <t>investigative analysis</t>
  </si>
  <si>
    <t>isosurface</t>
  </si>
  <si>
    <t>isosurfaces</t>
  </si>
  <si>
    <t>Entezari, A.;Dyer, R.;Moller, T.</t>
  </si>
  <si>
    <t>37268675600;37282718000;37275858700</t>
  </si>
  <si>
    <t>isosurface extraction</t>
  </si>
  <si>
    <t>398851;964498;663848;346331;964499</t>
  </si>
  <si>
    <t>iterative exploration</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</si>
  <si>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users┬Æ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</si>
  <si>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Duke, D.J.</t>
  </si>
  <si>
    <t>joint distribution</t>
  </si>
  <si>
    <t>journalism</t>
  </si>
  <si>
    <t>just-in-time descriptive analytics</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</si>
  <si>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</si>
  <si>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Xiaohong Bao;Pajarola, R.;Shafae, M.</t>
  </si>
  <si>
    <t>37272616700;37282193800;37282589400</t>
  </si>
  <si>
    <t>k-means</t>
  </si>
  <si>
    <t>k-order a-(alpha)-shapes</t>
  </si>
  <si>
    <t>kernel density estimation</t>
  </si>
  <si>
    <t>knot theory</t>
  </si>
  <si>
    <t>knowledge discovery</t>
  </si>
  <si>
    <t>Edelsbrunner, H.;Harer, J.;Natarajan, V.;Pascucci, V.</t>
  </si>
  <si>
    <t>37282291100;37282591400;37278509300;37284312600</t>
  </si>
  <si>
    <t>knowledge sharing</t>
  </si>
  <si>
    <t>knowledge-assisted visualization</t>
  </si>
  <si>
    <t>kullback-leibler distance</t>
  </si>
  <si>
    <t>label placement</t>
  </si>
  <si>
    <t>37282332900;37276454300;37276909600</t>
  </si>
  <si>
    <t>laboratory studies</t>
  </si>
  <si>
    <t>809908;485144;1183767;885680;885682;885680;964490;398877;235228;745309;809909</t>
  </si>
  <si>
    <t>lagrangian</t>
  </si>
  <si>
    <t>lagrangian flow visualization</t>
  </si>
  <si>
    <t>landscape visualization</t>
  </si>
  <si>
    <t>Li, A.;Mueller, K.;Ernst, T.</t>
  </si>
  <si>
    <t>37274039300;37273119700;37268272100</t>
  </si>
  <si>
    <t>laplacian matrix</t>
  </si>
  <si>
    <t>large</t>
  </si>
  <si>
    <t>large and high-resolution displays</t>
  </si>
  <si>
    <t>large displays</t>
  </si>
  <si>
    <t>Melek, Z.;Keyser, J.</t>
  </si>
  <si>
    <t>37284004900;37282588300</t>
  </si>
  <si>
    <t>large categorical data</t>
  </si>
  <si>
    <t>large data system</t>
  </si>
  <si>
    <t>large tree visualizations</t>
  </si>
  <si>
    <t>La Cruz, A.;Straka, M.;Kochl, A.;Sramek, M.;Groller, E.;Fleischmann, D.</t>
  </si>
  <si>
    <t>37282579200;37282584800;37282581900;37282555700;37284271200;37282581000</t>
  </si>
  <si>
    <t>large-scale document visualization</t>
  </si>
  <si>
    <t>large-scale microarray</t>
  </si>
  <si>
    <t>laser bph simulator</t>
  </si>
  <si>
    <t>1183788;1250362;1250361;663874</t>
  </si>
  <si>
    <t>latent dirichlet allocation</t>
  </si>
  <si>
    <t>lattice</t>
  </si>
  <si>
    <t>layer</t>
  </si>
  <si>
    <t>Yuan Chen;Cohen, J.;Subodh Kumar</t>
  </si>
  <si>
    <t>37281026700;37275763600;37277183300</t>
  </si>
  <si>
    <t>Yuan Chen;Cohen, J.D.;Subodh Kumar</t>
  </si>
  <si>
    <t>layer perception</t>
  </si>
  <si>
    <t>layered graphs</t>
  </si>
  <si>
    <t>Miao Jin;Yalin Wang;Shing-Tung Yau;Gu, X.</t>
  </si>
  <si>
    <t>37279448300;37281424800;37272109300;37276603700</t>
  </si>
  <si>
    <t>layout</t>
  </si>
  <si>
    <t>layout algorithm</t>
  </si>
  <si>
    <t>layout management</t>
  </si>
  <si>
    <t>Rhyne, T.;Hibbard, B.;Johnson, C.;Chen, C.;Eick, S.</t>
  </si>
  <si>
    <t>37282569700;37270681400;37276931400;37280749300;37282570100</t>
  </si>
  <si>
    <t>Rhyne, T.M.;Hibbard, B.;Johnson, C.R.;Chen, C.;Eick, S.G.</t>
  </si>
  <si>
    <t>ld analysis</t>
  </si>
  <si>
    <t>left ventricle diagnosis</t>
  </si>
  <si>
    <t>legal citation networks</t>
  </si>
  <si>
    <t>Gaither, K.;Ebert, D.;Gaither, K.;Geisler, B.;Laidlaw, D.</t>
  </si>
  <si>
    <t>;38472155100;;37282550800;38280762700</t>
  </si>
  <si>
    <t>legend</t>
  </si>
  <si>
    <t>Gaither, K.;Ebert, D.S.;Gaither, K.;Geisler, B.;Laidlaw, D.H.</t>
  </si>
  <si>
    <t>legibility</t>
  </si>
  <si>
    <t>lens</t>
  </si>
  <si>
    <t>lens distortion</t>
  </si>
  <si>
    <t>Johnson, G.;Ebert, D.;Hansen, C.;Kirk, D.;Mark, B.;Pfister, H.</t>
  </si>
  <si>
    <t>37269399700;38472155200;37266777200;37267504500;37280282700;37275698100</t>
  </si>
  <si>
    <t>Johnson, G.P.;Ebert, D.S.;Hansen, C.;Kirk, D.;Mark, B.;Pfister, H.</t>
  </si>
  <si>
    <t>level set</t>
  </si>
  <si>
    <t>level sets</t>
  </si>
  <si>
    <t>Genetti, J.D.;Bailey, M.J.;Genetti, J.D.;Laidlaw, D.H.;Moorhead, R.J.;Whitaker, R.T.</t>
  </si>
  <si>
    <t>level-of-detail</t>
  </si>
  <si>
    <t>;37280473500;;37275712600;37282559500;38181775000</t>
  </si>
  <si>
    <t>Genetti, J.D.;Bailey, M.;Genetti, J.D.;Laidlaw, D.H.;Moorhead, R.J.;Whitaker, R.T.</t>
  </si>
  <si>
    <t>lie advection</t>
  </si>
  <si>
    <t>lifelogging</t>
  </si>
  <si>
    <t>light transport</t>
  </si>
  <si>
    <t>Hotz, I.;Feng, L.;Hagen, H.;Hamann, B.;Joy, Kenneth;Jeremic, B.</t>
  </si>
  <si>
    <t>lighting design</t>
  </si>
  <si>
    <t>37282721800;37277530100;37282578800;37282068700;37267811400;37282726600</t>
  </si>
  <si>
    <t>Hotz, I.;Feng, L.;Hagen, H.;Hamann, B.;Joy, K.I.;Jeremic, B.</t>
  </si>
  <si>
    <t>745316;809894;398849;1183798;346326;1183782;1183799;1250379</t>
  </si>
  <si>
    <t>lighting similarity</t>
  </si>
  <si>
    <t>lighting stability</t>
  </si>
  <si>
    <t>limitations</t>
  </si>
  <si>
    <t>Zhou, Y.;Garland, M.;Haber, R.</t>
  </si>
  <si>
    <t>37273640900;37272036400;37271377200</t>
  </si>
  <si>
    <t>line field</t>
  </si>
  <si>
    <t>885704;146361;1250354;1250384;1250386</t>
  </si>
  <si>
    <t>line graphs</t>
  </si>
  <si>
    <t>line predicates</t>
  </si>
  <si>
    <t>linear discriminant analysis</t>
  </si>
  <si>
    <t>Havre, S.L.;Singhal, M.;Payne, D.A.;Webb-Robertson, B.-J.M.</t>
  </si>
  <si>
    <t>37282588900;37271719400;37276713300;37282584300</t>
  </si>
  <si>
    <t>Havre, S.;Singhal, M.;Payne, D.A.;Webb-Robertson, B.-J.M.</t>
  </si>
  <si>
    <t>linear interpolation</t>
  </si>
  <si>
    <t>lines</t>
  </si>
  <si>
    <t>Kraus, M.;Wei Qiao;Ebert, D.S.</t>
  </si>
  <si>
    <t>38367958800;37282552800;38472155300</t>
  </si>
  <si>
    <t>885683;1250390;964514;1250384</t>
  </si>
  <si>
    <t>Yoon, S.-E.;Salomon, B.;Gayle, Russell;Manocha, D.</t>
  </si>
  <si>
    <t>37279394100;37271825900;37282704500;37267825600</t>
  </si>
  <si>
    <t>Yoon, S.-E.;Salomon, B.;Gayle, R.;Manocha, D.</t>
  </si>
  <si>
    <t>1183760;1250366;964541_08;1183796;745282;964534;1250368;964502</t>
  </si>
  <si>
    <t>1183766;1250358;1372234;1183782;567602;1183808;1250398;1250359</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</si>
  <si>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320├ù240 images. We expect that on the newest generation of graphics hardware our tool could run in real time for the standard VGA format.</t>
  </si>
  <si>
    <t>Strzodka, R.;Garbe, C.</t>
  </si>
  <si>
    <t>37282542600;37282542100</t>
  </si>
  <si>
    <t>809934;1250361;1250401;1250357</t>
  </si>
  <si>
    <t>We present a novel method to encode four data channels in a volumetric data set, and render it at interactive frame rates with maximum intensity projection (MIP) using textured polygons. The first three channels are stored in the volume texture┬Æs red, green, and blue components. The fourth channel is stored in the alpha channel. To achieve real-time rendering speed we are using a pixel shader.</t>
  </si>
  <si>
    <t>Schulze, J.P.;Rice, A.</t>
  </si>
  <si>
    <t>38470435200;37282594800</t>
  </si>
  <si>
    <t>Xue, D.;Zhang, C.;Crawfis, R.</t>
  </si>
  <si>
    <t>37284272300;37274216600;37282755400</t>
  </si>
  <si>
    <t>964519;398846;885688;175789;1250364;235211;567777;885704;809909;1250376;1250377;398875;1250378;809892</t>
  </si>
  <si>
    <t>Brasher, M.;Haimes, R.</t>
  </si>
  <si>
    <t>37282899400;37282898700</t>
  </si>
  <si>
    <t>lineups</t>
  </si>
  <si>
    <t>Kim, Y.;Machiraju, R.;Thompson, D.</t>
  </si>
  <si>
    <t>37280939900;37269516700;38181602100</t>
  </si>
  <si>
    <t>linewidth illusion</t>
  </si>
  <si>
    <t>McCormick, P.S.;Inman, J.;Ahrens, J.;Hansen, C.;Roth, G.</t>
  </si>
  <si>
    <t>37282708700;37282707800;37282713700;37266777200;37269487100</t>
  </si>
  <si>
    <t>McCormick, P.;Inman, J.;Ahrens, J.;Hansen, C.;Roth, G.</t>
  </si>
  <si>
    <t>linkage analysis</t>
  </si>
  <si>
    <t>480821;809864;964519;1250357</t>
  </si>
  <si>
    <t>linkage disequilibrium</t>
  </si>
  <si>
    <t>linked views</t>
  </si>
  <si>
    <t>listening history</t>
  </si>
  <si>
    <t>live monitoring</t>
  </si>
  <si>
    <t>local pattern visualizations</t>
  </si>
  <si>
    <t>Carr, H.;Snoeyink, J.;van de Panne, Michiel</t>
  </si>
  <si>
    <t>37282624500;37282623700;37283212000</t>
  </si>
  <si>
    <t>Carr, H.;Snoeyink, J.;van de Panne, M.</t>
  </si>
  <si>
    <t>long-term memory</t>
  </si>
  <si>
    <t>964499;1183774</t>
  </si>
  <si>
    <t>Neubauer, A.;Mroz, L.;Wolfsberger, S.;Wegenkittl, R.;Forster, M.-T.;Buhler, K.</t>
  </si>
  <si>
    <t>37270727300;37282641800;37282642600;37267822600;37282643000;37267821300</t>
  </si>
  <si>
    <t>885732;885702;885673</t>
  </si>
  <si>
    <t>longest edge bisection</t>
  </si>
  <si>
    <t>lossless compression</t>
  </si>
  <si>
    <t>lung ct</t>
  </si>
  <si>
    <t>Theisel, H.;Weinkauf, T.;Hege, H.-C.;Seidel, H.-P.</t>
  </si>
  <si>
    <t>37266875400;37282635100;37282272000;37271851300</t>
  </si>
  <si>
    <t>m&amp;m measure</t>
  </si>
  <si>
    <t>809907;885714;398849;175773;567777;885716;964507;1250376</t>
  </si>
  <si>
    <t>machine learning</t>
  </si>
  <si>
    <t>macros</t>
  </si>
  <si>
    <t>Xie, H.;McDonnell, K.T.;Hong Qin</t>
  </si>
  <si>
    <t>;37282564700;37276553900</t>
  </si>
  <si>
    <t>magic lenses</t>
  </si>
  <si>
    <t>magnetic field visualization</t>
  </si>
  <si>
    <t>Museth, K.;Lombeyda, S.</t>
  </si>
  <si>
    <t>37284192900;37282622600</t>
  </si>
  <si>
    <t>885703;745329;885680;663869</t>
  </si>
  <si>
    <t>manifold learning</t>
  </si>
  <si>
    <t>many-core computing</t>
  </si>
  <si>
    <t>mapping</t>
  </si>
  <si>
    <t>Bajaj, C.;Djeu, P.;Siddavanahalli, V.;Thane, A.</t>
  </si>
  <si>
    <t>37282899200;37282578400;37282577700;37282571600</t>
  </si>
  <si>
    <t>Bajaj, C.L.;Djeu, P.;Siddavanahalli, V.;Thane, A.</t>
  </si>
  <si>
    <t>398882;745320</t>
  </si>
  <si>
    <t>marching cubes</t>
  </si>
  <si>
    <t>market research</t>
  </si>
  <si>
    <t>marking menus</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</si>
  <si>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</si>
  <si>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Straka, M.;Cervenansky, M.;La Cruz, A.;Kochl, A.;Sramek, M.;Groller, E.;Fleischmann, D.</t>
  </si>
  <si>
    <t>37282584800;37282580100;37282579200;37282581900;37268028700;38471588900;37282581000</t>
  </si>
  <si>
    <t>mass spectrometry</t>
  </si>
  <si>
    <t>964538;1183754;964555</t>
  </si>
  <si>
    <t>mass spectrometry data</t>
  </si>
  <si>
    <t>math visualization</t>
  </si>
  <si>
    <t>mathematical visualization</t>
  </si>
  <si>
    <t>mathematical foundations for visualization</t>
  </si>
  <si>
    <t>745316;809894;398849;1250379;1183798;346326;809905;745294;809886</t>
  </si>
  <si>
    <t>matrix</t>
  </si>
  <si>
    <t>Sun, L.;Batra, R.K.;Xiaolei Shi;Hesselink, Lambertus</t>
  </si>
  <si>
    <t>37273265200;37282555600;37275304600;37274095200</t>
  </si>
  <si>
    <t>Sun, L.;Batra, R.;Xiaolei Shi;Hesselink, L.</t>
  </si>
  <si>
    <t>matrix based depiction</t>
  </si>
  <si>
    <t>matrix factorization</t>
  </si>
  <si>
    <t>mechanical turk</t>
  </si>
  <si>
    <t>Garth, C.;Tricoche, X.;Scheuermann, G.</t>
  </si>
  <si>
    <t>37282573700;37282575100;37282574800</t>
  </si>
  <si>
    <t>1250376;1183786;175773;663910</t>
  </si>
  <si>
    <t>medial surface</t>
  </si>
  <si>
    <t>medical imaging</t>
  </si>
  <si>
    <t>medical simulation</t>
  </si>
  <si>
    <t>Westenberg, M.A.;Ertl, T.</t>
  </si>
  <si>
    <t>37282586000;37268023800</t>
  </si>
  <si>
    <t>medical visualization</t>
  </si>
  <si>
    <t>memorability</t>
  </si>
  <si>
    <t>memory</t>
  </si>
  <si>
    <t>Hao, M.C.;Keim, D.A.;Dayal, U.</t>
  </si>
  <si>
    <t>mental map</t>
  </si>
  <si>
    <t>37274264300;37283138700;37275646700</t>
  </si>
  <si>
    <t>mental model</t>
  </si>
  <si>
    <t>merging</t>
  </si>
  <si>
    <t>Gao, J.;Han-Wei Shen;Huang, J.;Kohl, J.A.</t>
  </si>
  <si>
    <t>37279695300;37279493500;37281262900;37282739200</t>
  </si>
  <si>
    <t>mesh deformation</t>
  </si>
  <si>
    <t>346321;745713;964541_06;809910;809879;398869;964531;1183757;1250374;745300;885698;1250402</t>
  </si>
  <si>
    <t>mesh parameterization</t>
  </si>
  <si>
    <t>Hagen, H.;Disch, A.;Ehret, J.;Klein, R.;Kohn, S.;Zeckzer, D.;Munchhofen, M.</t>
  </si>
  <si>
    <t>37282578800;37282577900;37282572400;37271619500;37282573300;37282574500;</t>
  </si>
  <si>
    <t>meta-flow</t>
  </si>
  <si>
    <t>meta-visualization</t>
  </si>
  <si>
    <t>Brodlie, K.;Duce, D.;Gallop, J.;Sagar, M.;Walton, J.;Wood, J.</t>
  </si>
  <si>
    <t>37271754900;37266247700;37282725300;37282729800;37282730800;37273103500</t>
  </si>
  <si>
    <t>metal-artifact reduction</t>
  </si>
  <si>
    <t>Tricoche, X.;Garth, C.;Kindlmann, G.;Deines, E.;Scheuermann, G.;Ruetten, M.;Hansen, C.</t>
  </si>
  <si>
    <t>37282575100;37282573700;37282742400;37282727900;37282574800;37282728900;37266777200</t>
  </si>
  <si>
    <t>964519;745296;175773;663910;809896;1250414;1250376;964489;398875;175789;346314</t>
  </si>
  <si>
    <t>metaphor</t>
  </si>
  <si>
    <t>metaphors</t>
  </si>
  <si>
    <t>Saunders, P.C.;Garrick, S.C.;Interrante, V.</t>
  </si>
  <si>
    <t>37283796900;37282609600;37282637800</t>
  </si>
  <si>
    <t>methodology</t>
  </si>
  <si>
    <t>methodology design</t>
  </si>
  <si>
    <t>metric tensor</t>
  </si>
  <si>
    <t>Crossno, P.;Rogers, D.H.;Brannon, R.M.;Coblentz, D.</t>
  </si>
  <si>
    <t>metrics</t>
  </si>
  <si>
    <t>37282576500;37265693000;37282577100;37282576400</t>
  </si>
  <si>
    <t>Crossno, P.;Rogers, D.H.;Brannon, R.;Coblentz, D.</t>
  </si>
  <si>
    <t>663929;235193;745294;398849;485141;809894;809905;1183819;1183797;663857;346326</t>
  </si>
  <si>
    <t>metro map</t>
  </si>
  <si>
    <t>microarray data</t>
  </si>
  <si>
    <t>microblog analysis</t>
  </si>
  <si>
    <t>microblogging</t>
  </si>
  <si>
    <t>Song Zhang;Laidlaw, D.;Simon, J.;Brown, M.;Miller, D.</t>
  </si>
  <si>
    <t>37277708500;37275712600;37269861400;37277811400;37277087200</t>
  </si>
  <si>
    <t>Song Zhang;Laidlaw, D.H.;Simon, J.;Brown, M.S.;Miller, D.</t>
  </si>
  <si>
    <t>microscopy</t>
  </si>
  <si>
    <t>microscopy visualization</t>
  </si>
  <si>
    <t>mobile and ubiquitous visualization</t>
  </si>
  <si>
    <t>Slavin, V.A.;Laidlaw, D.H.;Pelcovits, R.;Song Zhang;Loriot, G.;Callan-Jones, A.</t>
  </si>
  <si>
    <t>38272352000;38280764700;38357208200;38302946100;38322533900;38364691900</t>
  </si>
  <si>
    <t>mobjects</t>
  </si>
  <si>
    <t>model building</t>
  </si>
  <si>
    <t>Hueso, E.;Pivkin, I.;Swartz, S.;Laidlaw, D.H.;Karniadakis, G.;Breuer, K.</t>
  </si>
  <si>
    <t>37282607500;37282606200;37282605500;37275712600;37282605200;37282604600</t>
  </si>
  <si>
    <t>model comparison</t>
  </si>
  <si>
    <t>model fitting</t>
  </si>
  <si>
    <t>model selection</t>
  </si>
  <si>
    <t>model space visualization</t>
  </si>
  <si>
    <t>model validation</t>
  </si>
  <si>
    <t>model validation and analysis</t>
  </si>
  <si>
    <t>Hoobler, N.;Humphreys, G.;Agrawala, M.</t>
  </si>
  <si>
    <t>37282720500;37282717500;37282718200</t>
  </si>
  <si>
    <t>model-based reasoning</t>
  </si>
  <si>
    <t>Robbins, K.A.;Robinson, M.;Senseman, D.M.</t>
  </si>
  <si>
    <t>37282602100;37266279000;37282602800</t>
  </si>
  <si>
    <t>models</t>
  </si>
  <si>
    <t>964541_04;146402;885686</t>
  </si>
  <si>
    <t>models of color vision</t>
  </si>
  <si>
    <t>Crawford, D.;Kwan-Liu Ma;Min-Yu Huang;Klasky, S.;Ethier, S.</t>
  </si>
  <si>
    <t>modular decomposition</t>
  </si>
  <si>
    <t>37266518200;37275869400;37273548600;38474760800;37282568500</t>
  </si>
  <si>
    <t>964541_06;1250402;1250385</t>
  </si>
  <si>
    <t>molecular imaging</t>
  </si>
  <si>
    <t>molecular visualization</t>
  </si>
  <si>
    <t>Guzman, D.;Reyes, R.;Vega, K.;Gaither, K.;Wyatt, R.</t>
  </si>
  <si>
    <t>monge-brenier theory</t>
  </si>
  <si>
    <t>37282578300;37284097700;37282577800;37282571800;37282573600</t>
  </si>
  <si>
    <t>morse connection graph</t>
  </si>
  <si>
    <t>Reyes, R.;Hodges, W.;Gaither, K.</t>
  </si>
  <si>
    <t>38472275800;37282552900;37282571800</t>
  </si>
  <si>
    <t>morse decomposition</t>
  </si>
  <si>
    <t>morse theory</t>
  </si>
  <si>
    <t>Johnson, G.P.;Gaither, K.;Calo, V.</t>
  </si>
  <si>
    <t>37269399700;37282571800;37282574300</t>
  </si>
  <si>
    <t>morse-smale complex</t>
  </si>
  <si>
    <t>Vol-a-Tile &amp;#8212; A Tool for Interactive Exploration of Large Volumetric Data on Scalable Tiled Displays</t>
  </si>
  <si>
    <t>mosaic plot</t>
  </si>
  <si>
    <t>mosaic plots</t>
  </si>
  <si>
    <t>Schwarz, N.;Venkataraman, S.;Luc Renambot;Krishnaprasad, N.;Vishwanath, V.;Leigh, J.;Johnson, A.;Kent, G.;Nayak, A.</t>
  </si>
  <si>
    <t>motif detection</t>
  </si>
  <si>
    <t>37282604200;37284273800;37282610900;37282610600;37282610100;;37270146700;37282331300;37270550600</t>
  </si>
  <si>
    <t>motion</t>
  </si>
  <si>
    <t>motion capture data</t>
  </si>
  <si>
    <t>motion-compensated heat map</t>
  </si>
  <si>
    <t>1250398;1250414;1250399;885721</t>
  </si>
  <si>
    <t>movement</t>
  </si>
  <si>
    <t>movement data</t>
  </si>
  <si>
    <t>movement patterns</t>
  </si>
  <si>
    <t>Sadlo, F.;Peikert, R.;Parkinson, E.</t>
  </si>
  <si>
    <t>37282541900;37282541100;37282542200</t>
  </si>
  <si>
    <t>mpi profiling</t>
  </si>
  <si>
    <t>1250372;567807;745317;235211;885690;745295;346327;964506;809896;809907;1183789</t>
  </si>
  <si>
    <t>muller-lyer illusion</t>
  </si>
  <si>
    <t>multi-attribute</t>
  </si>
  <si>
    <t>Wattenberg, M.;Fisher, D.</t>
  </si>
  <si>
    <t>37550759700;37737355700</t>
  </si>
  <si>
    <t>multi-dimensional</t>
  </si>
  <si>
    <t>multi-dimensional data visualization</t>
  </si>
  <si>
    <t>multi-dimensional visualization</t>
  </si>
  <si>
    <t>multi-dimensional space</t>
  </si>
  <si>
    <t>Ross, G.;Chalmers, M.</t>
  </si>
  <si>
    <t>37282731400;37283487400</t>
  </si>
  <si>
    <t>1249012;567787</t>
  </si>
  <si>
    <t>multi-dimensional transfer functions</t>
  </si>
  <si>
    <t>multi-facet data visualization</t>
  </si>
  <si>
    <t>multi-facet visualization</t>
  </si>
  <si>
    <t>Summers, K.L.;Goldsmith, T.E.;Kubica, S.;Caudell, T.P.</t>
  </si>
  <si>
    <t>multi-faceted</t>
  </si>
  <si>
    <t>38026709000;38202832700;;37297193300</t>
  </si>
  <si>
    <t>multi-field visualization</t>
  </si>
  <si>
    <t>multi-focus+context</t>
  </si>
  <si>
    <t>multi-layer</t>
  </si>
  <si>
    <t>multi-material components</t>
  </si>
  <si>
    <t>multi-projector displays</t>
  </si>
  <si>
    <t>multi-relational graph</t>
  </si>
  <si>
    <t>multi-scale</t>
  </si>
  <si>
    <t>multi-scale map</t>
  </si>
  <si>
    <t>multi-scale navigation</t>
  </si>
  <si>
    <t>multi-threading</t>
  </si>
  <si>
    <t>We present BARD (biological arc diagrams), a visualization tool for biological sequence analysis. The development of BARD began with the application of Wattenberg's arc diagrams [Wattenberg 2002] to results from sequence analysis programs, such as BLAST [Altschul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</si>
  <si>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Spell R.;Brady R.;Dietrich F.</t>
  </si>
  <si>
    <t>Spell, R.;Brady, R.;Dietrich, F.</t>
  </si>
  <si>
    <t>multi-timepoint</t>
  </si>
  <si>
    <t>multi-touch</t>
  </si>
  <si>
    <t>multi-touch interaction</t>
  </si>
  <si>
    <t>multi-user interaction</t>
  </si>
  <si>
    <t>multi-valued attributes</t>
  </si>
  <si>
    <t>multi-variate data</t>
  </si>
  <si>
    <t>multi-variate data visualization</t>
  </si>
  <si>
    <t>multi-variate visualization</t>
  </si>
  <si>
    <t>multi-volume rendering</t>
  </si>
  <si>
    <t>multidimensional data</t>
  </si>
  <si>
    <t>multi-dimensional data</t>
  </si>
  <si>
    <t>multidimensional multivariate data</t>
  </si>
  <si>
    <t>multi-dimensional multi-variate data</t>
  </si>
  <si>
    <t>multidimensional projection</t>
  </si>
  <si>
    <t>multidimensional projections</t>
  </si>
  <si>
    <t>multi-dimensional projection</t>
  </si>
  <si>
    <t>multidimensional scaling</t>
  </si>
  <si>
    <t>multi-dimensional scaling</t>
  </si>
  <si>
    <t>multidimensional visualization</t>
  </si>
  <si>
    <t>multifactorial</t>
  </si>
  <si>
    <t>multifield</t>
  </si>
  <si>
    <t>multifields</t>
  </si>
  <si>
    <t>multiform visualization</t>
  </si>
  <si>
    <t>multimedia visualization</t>
  </si>
  <si>
    <t>multimodal data</t>
  </si>
  <si>
    <t>multimodal graphs</t>
  </si>
  <si>
    <t>Skog, T.;Ljungblad, S.;Holmquist, L.E.</t>
  </si>
  <si>
    <t>38202116700;37296143000;37296141000</t>
  </si>
  <si>
    <t>multipath cpr</t>
  </si>
  <si>
    <t>multiperspective visualization</t>
  </si>
  <si>
    <t>Elmqvist, N.;Tsigas, P.</t>
  </si>
  <si>
    <t>37295438200;37295439000</t>
  </si>
  <si>
    <t>multiple attributes</t>
  </si>
  <si>
    <t>multiple competing hypotheses</t>
  </si>
  <si>
    <t>multiple coordinated views</t>
  </si>
  <si>
    <t>multiple line graphs</t>
  </si>
  <si>
    <t>multiple views</t>
  </si>
  <si>
    <t>multiresolution models</t>
  </si>
  <si>
    <t>multiresolution rendering</t>
  </si>
  <si>
    <t>multiscale</t>
  </si>
  <si>
    <t>multiscale analysis</t>
  </si>
  <si>
    <t>485139;1173157;885092;346302;559216</t>
  </si>
  <si>
    <t>multi-scale analysis</t>
  </si>
  <si>
    <t>multiscale and cross-scale</t>
  </si>
  <si>
    <t>multi-scale and cross-scale</t>
  </si>
  <si>
    <t>multiscale visualization</t>
  </si>
  <si>
    <t>multi-scale visualization</t>
  </si>
  <si>
    <t>Derthick, M.;Christel, M.G.;Hauptmann, A.G.;Wactlar, H.D.</t>
  </si>
  <si>
    <t>37444609500;37284685200;38478161300;37279681600</t>
  </si>
  <si>
    <t>multivalued images</t>
  </si>
  <si>
    <t>multivariate data</t>
  </si>
  <si>
    <t>multivariate data analysis</t>
  </si>
  <si>
    <t>multi-variate analysis</t>
  </si>
  <si>
    <t>multivariate linear model construction</t>
  </si>
  <si>
    <t>multi-variate linear model construction</t>
  </si>
  <si>
    <t>Kim, S.;Hagh-Shenas, H.;Interrante, V.</t>
  </si>
  <si>
    <t>37963203000;38201808500;37282637800</t>
  </si>
  <si>
    <t>multivariate statistics</t>
  </si>
  <si>
    <t>multi-variate statistics</t>
  </si>
  <si>
    <t>multivariate time series</t>
  </si>
  <si>
    <t>multi-variate time series</t>
  </si>
  <si>
    <t>multivariate uncertainty</t>
  </si>
  <si>
    <t>multi-variate uncertainty</t>
  </si>
  <si>
    <t>unvertainty visualization</t>
  </si>
  <si>
    <t>Craig, P.;Kennedy, J.</t>
  </si>
  <si>
    <t>37325492100;37334180100</t>
  </si>
  <si>
    <t>multivariate visualization</t>
  </si>
  <si>
    <t>muscle</t>
  </si>
  <si>
    <t>music</t>
  </si>
  <si>
    <t>Tang, D.;Stolte, C.;Bosche, R.</t>
  </si>
  <si>
    <t>n-body simulations</t>
  </si>
  <si>
    <t>37652594600;37442008700;37446738400</t>
  </si>
  <si>
    <t>559213;1173156;480801;729560;1173141;885086;235219</t>
  </si>
  <si>
    <t>n-d navigation</t>
  </si>
  <si>
    <t>narrative structure</t>
  </si>
  <si>
    <t>narrative visualization</t>
  </si>
  <si>
    <t>narratives</t>
  </si>
  <si>
    <t>natural interaction</t>
  </si>
  <si>
    <t>natural language processing</t>
  </si>
  <si>
    <t>navigation</t>
  </si>
  <si>
    <t>necklace maps</t>
  </si>
  <si>
    <t>neighborhood graphs</t>
  </si>
  <si>
    <t>neighborhood meta-data</t>
  </si>
  <si>
    <t>nested relations</t>
  </si>
  <si>
    <t>network</t>
  </si>
  <si>
    <t>networks</t>
  </si>
  <si>
    <t>network and tree</t>
  </si>
  <si>
    <t>Glaser, D. C.;Tan, R.;Canny, J.;Do, Ellen Yi-Luen</t>
  </si>
  <si>
    <t>Glaser, D. C.;Tan, R.;Canny, J.;Do, E.Y.</t>
  </si>
  <si>
    <t>network diagnosis</t>
  </si>
  <si>
    <t>network diagrams</t>
  </si>
  <si>
    <t>network exploration</t>
  </si>
  <si>
    <t>network layout</t>
  </si>
  <si>
    <t>network traffic visualization</t>
  </si>
  <si>
    <t>network visualization</t>
  </si>
  <si>
    <t>neurobiology</t>
  </si>
  <si>
    <t>Come11 University##Come11 University</t>
  </si>
  <si>
    <t>neuroscience</t>
  </si>
  <si>
    <t>nice numbers</t>
  </si>
  <si>
    <t>node similarity</t>
  </si>
  <si>
    <t>node-link diagram</t>
  </si>
  <si>
    <t>Pak Chung Wong;Foote, H.;Adams, D.;Cowley, W.;Thomas, J.</t>
  </si>
  <si>
    <t>node-link diagrams</t>
  </si>
  <si>
    <t>38193849400;37372586800;38022952100;37672002300;37273308900</t>
  </si>
  <si>
    <t>567787;663866;1173161;528686;801855</t>
  </si>
  <si>
    <t>NSF Engineering Research Center for Computational Field Simulation##NSF Engineering Research Center for Computational Field Simulation</t>
  </si>
  <si>
    <t>Wong, N.;Carpendale, S.;Greenberg, S.</t>
  </si>
  <si>
    <t>38198657400;38268267400;37352792200</t>
  </si>
  <si>
    <t>636786;559214</t>
  </si>
  <si>
    <t>node-link layout</t>
  </si>
  <si>
    <t>Qing Li;North, C.</t>
  </si>
  <si>
    <t>38199879300;37419565900</t>
  </si>
  <si>
    <t>State University of New York at Stony Brook Stony Brook##</t>
  </si>
  <si>
    <t>nominal axis</t>
  </si>
  <si>
    <t>non-destructive testing</t>
  </si>
  <si>
    <t>non-photorealistic rendering</t>
  </si>
  <si>
    <t>nonnegative matrix factorization</t>
  </si>
  <si>
    <t>normalized cut</t>
  </si>
  <si>
    <t>notation</t>
  </si>
  <si>
    <t>notational system</t>
  </si>
  <si>
    <t>note taking</t>
  </si>
  <si>
    <t>novices</t>
  </si>
  <si>
    <t>npr</t>
  </si>
  <si>
    <t>nui (natural user interface)</t>
  </si>
  <si>
    <t>null hypotheses</t>
  </si>
  <si>
    <t>numerical ensembles</t>
  </si>
  <si>
    <t>oac</t>
  </si>
  <si>
    <t>observation-level interaction</t>
  </si>
  <si>
    <t>observational study</t>
  </si>
  <si>
    <t>oct-trees</t>
  </si>
  <si>
    <t>octilinear layout</t>
  </si>
  <si>
    <t>online study</t>
  </si>
  <si>
    <t>online web mapping</t>
  </si>
  <si>
    <t>opengl</t>
  </si>
  <si>
    <t>opinion visualization</t>
  </si>
  <si>
    <t>optimal transport map</t>
  </si>
  <si>
    <t>optimization</t>
  </si>
  <si>
    <t>order optimization</t>
  </si>
  <si>
    <t>order statistics</t>
  </si>
  <si>
    <t>organic information visualization</t>
  </si>
  <si>
    <t>orientation</t>
  </si>
  <si>
    <t>orientation resolution</t>
  </si>
  <si>
    <t>ornithology</t>
  </si>
  <si>
    <t>orthogonal centroid method</t>
  </si>
  <si>
    <t>orthographic projection</t>
  </si>
  <si>
    <t>out-of-core methods</t>
  </si>
  <si>
    <t>outflow</t>
  </si>
  <si>
    <t>MacEachren, A.;Xiping, D.;Hardisty, F.;Diansheng Guo;Lengerich, G.</t>
  </si>
  <si>
    <t>37374699000;;37945504200;38197945800;38202682500</t>
  </si>
  <si>
    <t>MacEachren, A.M.;Xiping, D.;Hardisty, F.;Diansheng Guo;Lengerich, G.</t>
  </si>
  <si>
    <t>overlapping community visualization</t>
  </si>
  <si>
    <t>175815;729568</t>
  </si>
  <si>
    <t>overlapping sets</t>
  </si>
  <si>
    <t>overlays</t>
  </si>
  <si>
    <t>paper-reference matrix</t>
  </si>
  <si>
    <t>Csallner, C.;Handte, M.;Lehmann, O.;Stasko, J.</t>
  </si>
  <si>
    <t>parallel computing</t>
  </si>
  <si>
    <t>37540651600;38467650200;38197720100;37267736900</t>
  </si>
  <si>
    <t>parallel coordinate plots</t>
  </si>
  <si>
    <t>1173156;235217</t>
  </si>
  <si>
    <t>parallel coordinates</t>
  </si>
  <si>
    <t>parallel coordinates plot</t>
  </si>
  <si>
    <t>parallel processing</t>
  </si>
  <si>
    <t>parallel reconstruction</t>
  </si>
  <si>
    <t>parallel rendering</t>
  </si>
  <si>
    <t>parallel sets</t>
  </si>
  <si>
    <t>parallel worlds</t>
  </si>
  <si>
    <t>Purdue University West Lafayette##Purdue University West Lafayette</t>
  </si>
  <si>
    <t>parameter exploration</t>
  </si>
  <si>
    <t>parameter sensitivity</t>
  </si>
  <si>
    <t>parameter space</t>
  </si>
  <si>
    <t>parameter space analysis</t>
  </si>
  <si>
    <t>parameter study</t>
  </si>
  <si>
    <t>participating media</t>
  </si>
  <si>
    <t>participatory culture</t>
  </si>
  <si>
    <t>participatory visualization</t>
  </si>
  <si>
    <t>Dept. of Electrical Engineering Technion -Israel Institute of Technology Haifa 32000</t>
  </si>
  <si>
    <t>particle systems</t>
  </si>
  <si>
    <t>particle visualization</t>
  </si>
  <si>
    <t>patent retrieval</t>
  </si>
  <si>
    <t>pathway visualization</t>
  </si>
  <si>
    <t>pde</t>
  </si>
  <si>
    <t>pedigree</t>
  </si>
  <si>
    <t>pen and touch</t>
  </si>
  <si>
    <t>perception</t>
  </si>
  <si>
    <t>perception theory</t>
  </si>
  <si>
    <t>perceptual cognition</t>
  </si>
  <si>
    <t>perceptual study</t>
  </si>
  <si>
    <t>perceptual theories</t>
  </si>
  <si>
    <t>perceptual transparency</t>
  </si>
  <si>
    <t>performance analysis</t>
  </si>
  <si>
    <t>periodic magnetic fieldlines</t>
  </si>
  <si>
    <t>peripheral vision</t>
  </si>
  <si>
    <t>permutation tests</t>
  </si>
  <si>
    <t>persistence</t>
  </si>
  <si>
    <t>persistence diagrams</t>
  </si>
  <si>
    <t>persistent data structure</t>
  </si>
  <si>
    <t>persistent homology</t>
  </si>
  <si>
    <t>personal finance</t>
  </si>
  <si>
    <t>petascale volume analysis</t>
  </si>
  <si>
    <t>petascale volume exploration</t>
  </si>
  <si>
    <t>Munzner, T.;North, S.</t>
  </si>
  <si>
    <t>Munzner, T.;North, S.C.</t>
  </si>
  <si>
    <t>phase-contrast cine mri</t>
  </si>
  <si>
    <t>phong shading</t>
  </si>
  <si>
    <t>photon mapping</t>
  </si>
  <si>
    <t>photos</t>
  </si>
  <si>
    <t>physical navigation</t>
  </si>
  <si>
    <t>physical simulation</t>
  </si>
  <si>
    <t>physical visualization</t>
  </si>
  <si>
    <t>physically-based illumination</t>
  </si>
  <si>
    <t>picking</t>
  </si>
  <si>
    <t>pixel-based visualization</t>
  </si>
  <si>
    <t>plant roots</t>
  </si>
  <si>
    <t>plaque growth</t>
  </si>
  <si>
    <t>poincare map</t>
  </si>
  <si>
    <t>poincare transformation</t>
  </si>
  <si>
    <t>point-based data</t>
  </si>
  <si>
    <t>point-based visualizations</t>
  </si>
  <si>
    <t>polyhedral grids</t>
  </si>
  <si>
    <t>porosity</t>
  </si>
  <si>
    <t>post-wimp</t>
  </si>
  <si>
    <t>posterior probability of linkage</t>
  </si>
  <si>
    <t>power comparison</t>
  </si>
  <si>
    <t>power graph analysis</t>
  </si>
  <si>
    <t>ppl</t>
  </si>
  <si>
    <t>ppld</t>
  </si>
  <si>
    <t>pre-integration</t>
  </si>
  <si>
    <t>predictive analysis</t>
  </si>
  <si>
    <t>preintegrated light transport</t>
  </si>
  <si>
    <t>preintegration</t>
  </si>
  <si>
    <t>An algorithm is presented for the visualisation of multidimensional abstract data, building on a hybrid model introduced at InfoVis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from O(N v N) to O(N 5 4 ).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</si>
  <si>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Morrison, A.;Chalmers, M.</t>
  </si>
  <si>
    <t>presentations</t>
  </si>
  <si>
    <t>1173150;1173159;567787;1173161</t>
  </si>
  <si>
    <t>preview</t>
  </si>
  <si>
    <t>principal component analysis</t>
  </si>
  <si>
    <t>principal components analysis</t>
  </si>
  <si>
    <t>principal curvatures</t>
  </si>
  <si>
    <t>privacy</t>
  </si>
  <si>
    <t>probabilistic judgment</t>
  </si>
  <si>
    <t>probabilistic segmentation</t>
  </si>
  <si>
    <t>probing</t>
  </si>
  <si>
    <t>problem diagnosis</t>
  </si>
  <si>
    <t>problem solving</t>
  </si>
  <si>
    <t>problem solving environment</t>
  </si>
  <si>
    <t>program analysis</t>
  </si>
  <si>
    <t>programming with example</t>
  </si>
  <si>
    <t>projected graph layouts</t>
  </si>
  <si>
    <t>projection methods</t>
  </si>
  <si>
    <t>proportional symbol maps</t>
  </si>
  <si>
    <t>protein interaction</t>
  </si>
  <si>
    <t>proteomics</t>
  </si>
  <si>
    <t>prototypes</t>
  </si>
  <si>
    <t>provenance</t>
  </si>
  <si>
    <t>provenance data</t>
  </si>
  <si>
    <t>proxemics</t>
  </si>
  <si>
    <t>proximity</t>
  </si>
  <si>
    <t>psychophysics</t>
  </si>
  <si>
    <t>qtons</t>
  </si>
  <si>
    <t>quadratic programming</t>
  </si>
  <si>
    <t>qualitative analysis</t>
  </si>
  <si>
    <t>qualitative evaluation</t>
  </si>
  <si>
    <t>qualitative experiment</t>
  </si>
  <si>
    <t>qualitatvie user study</t>
  </si>
  <si>
    <t>quality metrics</t>
  </si>
  <si>
    <t>Howard Hughes Medical Institute Stony Brook##University of New York at Stony Brook State University of New York at Stony Brook</t>
  </si>
  <si>
    <t>quantitative empirical study</t>
  </si>
  <si>
    <t>quantitative evaluation</t>
  </si>
  <si>
    <t>quantitative experiment</t>
  </si>
  <si>
    <t>quantitative study</t>
  </si>
  <si>
    <t>quantitative texton sequence</t>
  </si>
  <si>
    <t>quantum chemistry</t>
  </si>
  <si>
    <t>quasi interpolation</t>
  </si>
  <si>
    <t>query algebra</t>
  </si>
  <si>
    <t>query construction</t>
  </si>
  <si>
    <t>query processing</t>
  </si>
  <si>
    <t>radial menu</t>
  </si>
  <si>
    <t>radial menus</t>
  </si>
  <si>
    <t>radial ray-casting</t>
  </si>
  <si>
    <t>radial tree layout</t>
  </si>
  <si>
    <t>radial visualization</t>
  </si>
  <si>
    <t>radiofrequency ablation</t>
  </si>
  <si>
    <t>random projections</t>
  </si>
  <si>
    <t>random walker</t>
  </si>
  <si>
    <t>ranking</t>
  </si>
  <si>
    <t>ranking change</t>
  </si>
  <si>
    <t>ranking visualization</t>
  </si>
  <si>
    <t>rate-of-deformation tensors</t>
  </si>
  <si>
    <t>Trutschl, M.;Grinstein, G.;Cvek, U.</t>
  </si>
  <si>
    <t>ray casting</t>
  </si>
  <si>
    <t>37546988100;37360588500;37546985400</t>
  </si>
  <si>
    <t>ray differentials</t>
  </si>
  <si>
    <t>ray-casting</t>
  </si>
  <si>
    <t>raytracing</t>
  </si>
  <si>
    <t>real projective plane</t>
  </si>
  <si>
    <t>real time</t>
  </si>
  <si>
    <t>reality deck</t>
  </si>
  <si>
    <t>reasoning</t>
  </si>
  <si>
    <t>reasoning process</t>
  </si>
  <si>
    <t>reconstruction</t>
  </si>
  <si>
    <t>recording</t>
  </si>
  <si>
    <t>rectangular area</t>
  </si>
  <si>
    <t>Jing Yang;Wei Peng;Ward, M.O.;Rundensteiner, E.A.</t>
  </si>
  <si>
    <t>recurrent patterns</t>
  </si>
  <si>
    <t>;37929204000;37268441700;37279217900</t>
  </si>
  <si>
    <t>reeb graph</t>
  </si>
  <si>
    <t>146386;146402;729568;346302;885086;485140;1173151</t>
  </si>
  <si>
    <t>reformation</t>
  </si>
  <si>
    <t>registration</t>
  </si>
  <si>
    <t>Rosario, G.E.;Rundensteiner, E.A.;Brown, D.C.;Ward, M.O.</t>
  </si>
  <si>
    <t>38202898100;37279217900;38183230000;37268441700</t>
  </si>
  <si>
    <t>regression</t>
  </si>
  <si>
    <t>146386;146402;729568;346302</t>
  </si>
  <si>
    <t>regularization</t>
  </si>
  <si>
    <t>reorderable matrix</t>
  </si>
  <si>
    <t>requirements</t>
  </si>
  <si>
    <t>residue flow</t>
  </si>
  <si>
    <t>rfid visualization</t>
  </si>
  <si>
    <t>rhetoric</t>
  </si>
  <si>
    <t>ridge and valley detection</t>
  </si>
  <si>
    <t>riemannian manifolds</t>
  </si>
  <si>
    <t>risk assessment</t>
  </si>
  <si>
    <t>roadblock</t>
  </si>
  <si>
    <t>robustness</t>
  </si>
  <si>
    <t>rose tree</t>
  </si>
  <si>
    <t>routing</t>
  </si>
  <si>
    <t>saliency</t>
  </si>
  <si>
    <t>sampling</t>
  </si>
  <si>
    <t>scalability</t>
  </si>
  <si>
    <t>scalability issues</t>
  </si>
  <si>
    <t>scalable visualization</t>
  </si>
  <si>
    <t>scalar data</t>
  </si>
  <si>
    <t>scalar field design</t>
  </si>
  <si>
    <t>scalar field symmetry</t>
  </si>
  <si>
    <t>scalar field topology</t>
  </si>
  <si>
    <t>scalar field visualization</t>
  </si>
  <si>
    <t>scalar fields</t>
  </si>
  <si>
    <t>University of California##University of California##University of California##University of California##University of California</t>
  </si>
  <si>
    <t>scale cognition</t>
  </si>
  <si>
    <t>scale space</t>
  </si>
  <si>
    <t>scale-free</t>
  </si>
  <si>
    <t>scale-invariant opacity</t>
  </si>
  <si>
    <t>scale-space</t>
  </si>
  <si>
    <t>scatter plot</t>
  </si>
  <si>
    <t>scatter plots</t>
  </si>
  <si>
    <t>Jankun-Kelly, T.J.;Kwan-Liu Ma</t>
  </si>
  <si>
    <t>38198374100;37275869400</t>
  </si>
  <si>
    <t>885091;636718;559214;963279;1173151</t>
  </si>
  <si>
    <t>scatter/gather clustering</t>
  </si>
  <si>
    <t>scattered data interpolation</t>
  </si>
  <si>
    <t>scatterplot</t>
  </si>
  <si>
    <t>scatterplot matrix</t>
  </si>
  <si>
    <t>scatterplots</t>
  </si>
  <si>
    <t>scenario-based design</t>
  </si>
  <si>
    <t>scene perception</t>
  </si>
  <si>
    <t>schematic maps</t>
  </si>
  <si>
    <t>science museums</t>
  </si>
  <si>
    <t>science of interaction</t>
  </si>
  <si>
    <t>Many networks under study in Information Visualization are "small world" networks. These networks first appeared in the study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</si>
  <si>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scientific visualization</t>
  </si>
  <si>
    <t>Aubert, D.;Chiricota Y.;Jourdan F.;Melançon, G.</t>
  </si>
  <si>
    <t>Aubert, D.;Chiricota, Y.;Jourdan, F.;MelanÃ§on, G.</t>
  </si>
  <si>
    <t>scoring</t>
  </si>
  <si>
    <t>screen design</t>
  </si>
  <si>
    <t>sea level indicators</t>
  </si>
  <si>
    <t>seam carving</t>
  </si>
  <si>
    <t>search engine</t>
  </si>
  <si>
    <t>search results</t>
  </si>
  <si>
    <t>search ui</t>
  </si>
  <si>
    <t>search visualization</t>
  </si>
  <si>
    <t>van Wijk, J.J.;Nuij, W.A.A.</t>
  </si>
  <si>
    <t>searchlight effect</t>
  </si>
  <si>
    <t>37267249200;38201799400</t>
  </si>
  <si>
    <t>segmentation</t>
  </si>
  <si>
    <t>seismic data</t>
  </si>
  <si>
    <t>seismic interpretation</t>
  </si>
  <si>
    <t>seismic visualization</t>
  </si>
  <si>
    <t>selective refinement</t>
  </si>
  <si>
    <t>self-organizing network</t>
  </si>
  <si>
    <t>semantic graph layout</t>
  </si>
  <si>
    <t>1173155;963290</t>
  </si>
  <si>
    <t>semantic lenses</t>
  </si>
  <si>
    <t>semantic net</t>
  </si>
  <si>
    <t>semiotics</t>
  </si>
  <si>
    <t>sense-making</t>
  </si>
  <si>
    <t>sensemaking</t>
  </si>
  <si>
    <t>1173141;1249004;175815</t>
  </si>
  <si>
    <t>sensitivity analysis</t>
  </si>
  <si>
    <t>sequence identification</t>
  </si>
  <si>
    <t>seriation</t>
  </si>
  <si>
    <t>set visualization</t>
  </si>
  <si>
    <t>set-cover problem</t>
  </si>
  <si>
    <t>set-typed data</t>
  </si>
  <si>
    <t>shader programming</t>
  </si>
  <si>
    <t>shading</t>
  </si>
  <si>
    <t>shadows</t>
  </si>
  <si>
    <t>shape matching</t>
  </si>
  <si>
    <t>shape space</t>
  </si>
  <si>
    <t>shape-based volume analysis</t>
  </si>
  <si>
    <t>shape-preserving mapping</t>
  </si>
  <si>
    <t>signal processing</t>
  </si>
  <si>
    <t>silhouettes</t>
  </si>
  <si>
    <t>similan</t>
  </si>
  <si>
    <t>similarity analysis</t>
  </si>
  <si>
    <t>similarity measure</t>
  </si>
  <si>
    <t>Imperial College of Science, Technology and Medicine London##Imperial College of Science, Technology and Medicine London##Imperial College of Science, Technology and Medicine London##Imperial College of Science, Technology and Medicine London</t>
  </si>
  <si>
    <t>similarity search</t>
  </si>
  <si>
    <t>similarity trees</t>
  </si>
  <si>
    <t>simplification</t>
  </si>
  <si>
    <t>simulation</t>
  </si>
  <si>
    <t>simulation of color vision deficiency</t>
  </si>
  <si>
    <t>simulation steering</t>
  </si>
  <si>
    <t>University of Toronto##University of Toronto##University of Toronto</t>
  </si>
  <si>
    <t>situational awareness</t>
  </si>
  <si>
    <t>sketch</t>
  </si>
  <si>
    <t>sketch-based steering</t>
  </si>
  <si>
    <t>Visible Decisions Inc. Toronto</t>
  </si>
  <si>
    <t>sketching</t>
  </si>
  <si>
    <t>sketching input</t>
  </si>
  <si>
    <t>slope perception</t>
  </si>
  <si>
    <t>Technische Universitst Braunschweig##Technische Universitst Braunschweig</t>
  </si>
  <si>
    <t>small animal imaging</t>
  </si>
  <si>
    <t>small multiples</t>
  </si>
  <si>
    <t>small-multiple displays</t>
  </si>
  <si>
    <t>smart home</t>
  </si>
  <si>
    <t>smoothed particle hydrodynamics</t>
  </si>
  <si>
    <t>social data analysis</t>
  </si>
  <si>
    <t>social data mining</t>
  </si>
  <si>
    <t>social media</t>
  </si>
  <si>
    <t>social media analytics</t>
  </si>
  <si>
    <t>social media monitoring</t>
  </si>
  <si>
    <t>Carnegie Mellon University Pittsburgh##Carnegie Mellon University Pittsburgh##Carnegie Mellon University Pittsburgh##Carnegie Mellon University Pittsburgh</t>
  </si>
  <si>
    <t>social media visuaization</t>
  </si>
  <si>
    <t>social network</t>
  </si>
  <si>
    <t>social networks</t>
  </si>
  <si>
    <t>social network analysis</t>
  </si>
  <si>
    <t>social photos</t>
  </si>
  <si>
    <t>Usability Center College of Computing Georgia Institute of Technology##Usability Center College of Computing Georgia Institute of Technology</t>
  </si>
  <si>
    <t>social software</t>
  </si>
  <si>
    <t>social visualization</t>
  </si>
  <si>
    <t>socialnetsense</t>
  </si>
  <si>
    <t>software development history and evolution</t>
  </si>
  <si>
    <t>software evolution</t>
  </si>
  <si>
    <t>software infrastructure</t>
  </si>
  <si>
    <t>software psychology</t>
  </si>
  <si>
    <t>software visualization</t>
  </si>
  <si>
    <t>Boeing Information and Support Services##Boeing Information and Support Services</t>
  </si>
  <si>
    <t>solid texture synthesis</t>
  </si>
  <si>
    <t>space</t>
  </si>
  <si>
    <t>space-time cube</t>
  </si>
  <si>
    <t>sparse sampling</t>
  </si>
  <si>
    <t>sparsely sampled data</t>
  </si>
  <si>
    <t>spatial  events</t>
  </si>
  <si>
    <t>spatial ability</t>
  </si>
  <si>
    <t>spatial clustering</t>
  </si>
  <si>
    <t>spatial comprehension</t>
  </si>
  <si>
    <t>spatial conditioning</t>
  </si>
  <si>
    <t>spatial data</t>
  </si>
  <si>
    <t>We present a novel family of data-driven linear transformations, aimed at visualizing multivariate data in a low-dimensional space in a way that optimally preserves the structure of the data. The well-studied PCA and Fisher's LDA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intra-structure. All this makes our technique very flexible and powerful, and lets us cope with kinds of data that other techniques fail to describe properly.</t>
  </si>
  <si>
    <t>Koren Y.;Carmel L.</t>
  </si>
  <si>
    <t>spatial interaction</t>
  </si>
  <si>
    <t>Koren, Y.;Carmel, L.</t>
  </si>
  <si>
    <t>1173159;963275;1173161</t>
  </si>
  <si>
    <t>spatial layout</t>
  </si>
  <si>
    <t>spatial selection</t>
  </si>
  <si>
    <t>spatio-temporal analysis</t>
  </si>
  <si>
    <t>spatio-temporal clustering</t>
  </si>
  <si>
    <t>spatio-temporal data</t>
  </si>
  <si>
    <t>Brodbeck, D.;Girardin, L.</t>
  </si>
  <si>
    <t>37611663700;38202075100</t>
  </si>
  <si>
    <t>spatio-temporal queries; urban data; taxi movement data; visual exploration</t>
  </si>
  <si>
    <t>175815;146402;963274;963285</t>
  </si>
  <si>
    <t>spatio-temporal visualization</t>
  </si>
  <si>
    <t>spatiotemporal clustering</t>
  </si>
  <si>
    <t>spatiotemporal patterns</t>
  </si>
  <si>
    <t>Chen, C.;Morris, S.</t>
  </si>
  <si>
    <t>37280749300;37734723200</t>
  </si>
  <si>
    <t>spatiotemporal visualization</t>
  </si>
  <si>
    <t>963285;1173160;809927</t>
  </si>
  <si>
    <t>special relativity</t>
  </si>
  <si>
    <t>species distribution models</t>
  </si>
  <si>
    <t>Telea, A.;van Wijk, J.J.</t>
  </si>
  <si>
    <t>37268047100;37267249200</t>
  </si>
  <si>
    <t>spectral clustering</t>
  </si>
  <si>
    <t>809892;663897</t>
  </si>
  <si>
    <t>spectral/hp elements</t>
  </si>
  <si>
    <t>Ikits, M.;Brederson, J.D.;Hansen, C.D.;Johnson, C.R.</t>
  </si>
  <si>
    <t>37426872100;38198607400;37266777200;37276931400</t>
  </si>
  <si>
    <t>spiral trees</t>
  </si>
  <si>
    <t>Ikits, M.;Brederson, J.D.;Hansen, C.;Johnson, C.R.</t>
  </si>
  <si>
    <t>964545;885686;568108</t>
  </si>
  <si>
    <t>split tree</t>
  </si>
  <si>
    <t>sport analytics</t>
  </si>
  <si>
    <t>Huamin Qu;Kaufman, A.;Ran Shao;Kumar, A.</t>
  </si>
  <si>
    <t>37272637300;37268052800;37284278600;38200498200</t>
  </si>
  <si>
    <t>964541_01;809869;745312;885680;964491;885702</t>
  </si>
  <si>
    <t>squarified and pivot variations)</t>
  </si>
  <si>
    <t>stacked bar charts</t>
  </si>
  <si>
    <t>Welsh, T.;Mueller, K.</t>
  </si>
  <si>
    <t>stacked graphs</t>
  </si>
  <si>
    <t>37738942000;37273119700</t>
  </si>
  <si>
    <t>1183770;964498;1183776;964541_01;964491;1183757</t>
  </si>
  <si>
    <t>state diagram</t>
  </si>
  <si>
    <t>state transition</t>
  </si>
  <si>
    <t>state transitions</t>
  </si>
  <si>
    <t>Bremer, P.-T.;Edelsbrunner, H.;Hamann, B.;Pascucci, V.</t>
  </si>
  <si>
    <t>37564112000;37282291100;37282068700;37284312600</t>
  </si>
  <si>
    <t>745314;885703</t>
  </si>
  <si>
    <t>state-transition-based algorithm</t>
  </si>
  <si>
    <t>states</t>
  </si>
  <si>
    <t>Tzeng, F.-Y.;Lum, E.B.;Kwan-Liu Ma</t>
  </si>
  <si>
    <t>37425953500;37282576300;37275869400</t>
  </si>
  <si>
    <t>745319;964519;809932;663875;568112</t>
  </si>
  <si>
    <t>statistical analysis</t>
  </si>
  <si>
    <t>statistical data analysis</t>
  </si>
  <si>
    <t>statistical models</t>
  </si>
  <si>
    <t>statistical shape and intensity models</t>
  </si>
  <si>
    <t>statistical visualization</t>
  </si>
  <si>
    <t>statistics</t>
  </si>
  <si>
    <t>stem cell segmentation</t>
  </si>
  <si>
    <t>stereo displays</t>
  </si>
  <si>
    <t>stereoscopic and monoscopic viewing</t>
  </si>
  <si>
    <t>SSKKII Chalmers University of Technology##SSKKII Chalmers University of Technology</t>
  </si>
  <si>
    <t>stitching cells</t>
  </si>
  <si>
    <t>stopping criteria</t>
  </si>
  <si>
    <t>story-telling visualization</t>
  </si>
  <si>
    <t>storyline visualization</t>
  </si>
  <si>
    <t>storylines</t>
  </si>
  <si>
    <t>strategic analysis</t>
  </si>
  <si>
    <t>streak lines</t>
  </si>
  <si>
    <t>streak surface generation</t>
  </si>
  <si>
    <t>streak surfaces</t>
  </si>
  <si>
    <t>stream surfaces</t>
  </si>
  <si>
    <t>streaming technique</t>
  </si>
  <si>
    <t>streamline generation</t>
  </si>
  <si>
    <t>streamlines</t>
  </si>
  <si>
    <t>stress model</t>
  </si>
  <si>
    <t>University of Waterloo##University of Waterloo</t>
  </si>
  <si>
    <t>stress tensor fields</t>
  </si>
  <si>
    <t>stress tensors</t>
  </si>
  <si>
    <t>strip</t>
  </si>
  <si>
    <t>structural dissimilarity</t>
  </si>
  <si>
    <t>student performance analysis</t>
  </si>
  <si>
    <t>AT&amp;T Bell Laboratories##University of Houston</t>
  </si>
  <si>
    <t>style</t>
  </si>
  <si>
    <t>stylized rendering</t>
  </si>
  <si>
    <t>sub-dimensional space</t>
  </si>
  <si>
    <t>subdtw</t>
  </si>
  <si>
    <t>subsets</t>
  </si>
  <si>
    <t>University of Birmingham##{R.J.Hendley</t>
  </si>
  <si>
    <t>subspace</t>
  </si>
  <si>
    <t>subspace finding</t>
  </si>
  <si>
    <t>supergraph clustering</t>
  </si>
  <si>
    <t>support vector machines</t>
  </si>
  <si>
    <t>surface approximation</t>
  </si>
  <si>
    <t>Graz University of Technology</t>
  </si>
  <si>
    <t>surface characterization</t>
  </si>
  <si>
    <t>surface evolver</t>
  </si>
  <si>
    <t>surface extraction</t>
  </si>
  <si>
    <t>surface flattening</t>
  </si>
  <si>
    <t>The MITRE Corporation Bedford##The MITRE Corporation Bedford##The MITRE Corporation Bedford</t>
  </si>
  <si>
    <t>surface modeling</t>
  </si>
  <si>
    <t>surface similarity</t>
  </si>
  <si>
    <t>surface slant</t>
  </si>
  <si>
    <t>surface structures</t>
  </si>
  <si>
    <t>surface visualization</t>
  </si>
  <si>
    <t>surveillance video</t>
  </si>
  <si>
    <t>sustainability</t>
  </si>
  <si>
    <t>Weiskopf, D.;Erlebacher, G.;Ertl, T.</t>
  </si>
  <si>
    <t>symmetry</t>
  </si>
  <si>
    <t>38470313400;37324424400;38356649500</t>
  </si>
  <si>
    <t>964541_04;809906</t>
  </si>
  <si>
    <t>symmetry detection</t>
  </si>
  <si>
    <t>synchronous situated collaboration</t>
  </si>
  <si>
    <t>synteny</t>
  </si>
  <si>
    <t>synthetic data</t>
  </si>
  <si>
    <t>synthetic data generation</t>
  </si>
  <si>
    <t>systematic review</t>
  </si>
  <si>
    <t>tables &amp; tree layouts</t>
  </si>
  <si>
    <t>tabletop</t>
  </si>
  <si>
    <t>tabletop display</t>
  </si>
  <si>
    <t>tabular data</t>
  </si>
  <si>
    <t>Soon Tee Teoh;Kwan-Liu Ma;Wu, S.F.</t>
  </si>
  <si>
    <t>37412023800;37275869400;37281058700</t>
  </si>
  <si>
    <t>tag cloud</t>
  </si>
  <si>
    <t>tag clouds</t>
  </si>
  <si>
    <t>tag-cloud</t>
  </si>
  <si>
    <t>tangible interaction</t>
  </si>
  <si>
    <t>Ellsworth, D.;Moran, P.J.</t>
  </si>
  <si>
    <t>37282594500;37264891100</t>
  </si>
  <si>
    <t>tangible user interface</t>
  </si>
  <si>
    <t>809910;745299;663888;663895;346311;809879;809891;745298;235219;346304;175818;480821</t>
  </si>
  <si>
    <t>task and requirements analysis</t>
  </si>
  <si>
    <t>task taxonomy</t>
  </si>
  <si>
    <t>taxonomies</t>
  </si>
  <si>
    <t>taxonomy</t>
  </si>
  <si>
    <t>Kruger, J.;Westermann, R.</t>
  </si>
  <si>
    <t>37548560500;37444424000</t>
  </si>
  <si>
    <t>809889;663880;398852;1183764</t>
  </si>
  <si>
    <t>temporal categorical data visualization</t>
  </si>
  <si>
    <t>temporal categorical records</t>
  </si>
  <si>
    <t>Honigmann, D.;Ruisz, J.;Haider, C.</t>
  </si>
  <si>
    <t>temporal data</t>
  </si>
  <si>
    <t>37326165100;38198925300;38197646400</t>
  </si>
  <si>
    <t>663875;568112</t>
  </si>
  <si>
    <t>temporal event sequences</t>
  </si>
  <si>
    <t>temporal query</t>
  </si>
  <si>
    <t>Kanitsar, A.;Wegenkittl, R.;Fleischmann, D.;Groller, M.E.</t>
  </si>
  <si>
    <t>37282727500;37267822600;37282581000;37282552200</t>
  </si>
  <si>
    <t>Kanitsar, A.;Wegenkittl, R.;Fleischmann, D.;Groller, E.</t>
  </si>
  <si>
    <t>1183754;964555;964538</t>
  </si>
  <si>
    <t>temporal trajectories</t>
  </si>
  <si>
    <t>temporal volume rendering</t>
  </si>
  <si>
    <t>tensor field</t>
  </si>
  <si>
    <t>tensor glyphs</t>
  </si>
  <si>
    <t>tensor reconstruction</t>
  </si>
  <si>
    <t>U.S. EPA Scientific Visualization Center##U.S. EPA Scientific Visualization Center</t>
  </si>
  <si>
    <t>terrain rendering</t>
  </si>
  <si>
    <t>terrain visualization</t>
  </si>
  <si>
    <t>test and measurement</t>
  </si>
  <si>
    <t>The University of Melbourne##The University of Melbourne##The University of Melbourne</t>
  </si>
  <si>
    <t>tetrahedral grids</t>
  </si>
  <si>
    <t>text</t>
  </si>
  <si>
    <t>text analysis</t>
  </si>
  <si>
    <t>The MITREC Corporation##The MITREC Corporation##The MITREC Corporation##The MITREC Corporation##The MITREC Corporation##The MITREC Corporation</t>
  </si>
  <si>
    <t>text analytics</t>
  </si>
  <si>
    <t>text and document data</t>
  </si>
  <si>
    <t>text classification</t>
  </si>
  <si>
    <t>text mining</t>
  </si>
  <si>
    <t>text visualization</t>
  </si>
  <si>
    <t>texton</t>
  </si>
  <si>
    <t>texture</t>
  </si>
  <si>
    <t>texture compression</t>
  </si>
  <si>
    <t>texture perception</t>
  </si>
  <si>
    <t>themeriver</t>
  </si>
  <si>
    <t>University of Toronto Toronto</t>
  </si>
  <si>
    <t>theory</t>
  </si>
  <si>
    <t>theory of visualization</t>
  </si>
  <si>
    <t>tiled displays</t>
  </si>
  <si>
    <t>Toronto Western Hospital##Toronto Western Hospital##Toronto Western Hospital</t>
  </si>
  <si>
    <t>time</t>
  </si>
  <si>
    <t>time and streak surfaces</t>
  </si>
  <si>
    <t>time series</t>
  </si>
  <si>
    <t>time series analysis</t>
  </si>
  <si>
    <t>time series clustering</t>
  </si>
  <si>
    <t>Jang, J.;Ribarsky, W.;Shaw, C.;Wonka, P.</t>
  </si>
  <si>
    <t>38197765400;37300425000;37358198200;37304396700</t>
  </si>
  <si>
    <t>time series data</t>
  </si>
  <si>
    <t>745342;809869;745312;809924;1183760</t>
  </si>
  <si>
    <t>time-dependent data</t>
  </si>
  <si>
    <t>time-dependent fields</t>
  </si>
  <si>
    <t>time-dependent flow fields</t>
  </si>
  <si>
    <t>time-dependent visualizations</t>
  </si>
  <si>
    <t>Guo-Shi Li;Bordoloi, U.D.;Han-Wei Shen</t>
  </si>
  <si>
    <t>38200539100;38481208600;37279493500</t>
  </si>
  <si>
    <t>time-dependent volume data</t>
  </si>
  <si>
    <t>567784;398846;398877;235211;567777;663912</t>
  </si>
  <si>
    <t>time-series data</t>
  </si>
  <si>
    <t>time-varying</t>
  </si>
  <si>
    <t>time-varying data</t>
  </si>
  <si>
    <t>Ebling, J.;Scheuermann, G.</t>
  </si>
  <si>
    <t>37425394400;37282574800</t>
  </si>
  <si>
    <t>time-varying data visualization</t>
  </si>
  <si>
    <t>time-varying fields</t>
  </si>
  <si>
    <t>time-varying volumes</t>
  </si>
  <si>
    <t>timeline visualization</t>
  </si>
  <si>
    <t>timelines</t>
  </si>
  <si>
    <t>885716;663858</t>
  </si>
  <si>
    <t>tone mapping</t>
  </si>
  <si>
    <t>toolkit design</t>
  </si>
  <si>
    <t>toolkits</t>
  </si>
  <si>
    <t>topic competition</t>
  </si>
  <si>
    <t>topic evolution</t>
  </si>
  <si>
    <t>topic modeling</t>
  </si>
  <si>
    <t>Schneider, J.;Westermann, R.</t>
  </si>
  <si>
    <t>topolayout</t>
  </si>
  <si>
    <t>37560044500;37444424000</t>
  </si>
  <si>
    <t>809910;1183757;964541_06;1183771;1183764;964519</t>
  </si>
  <si>
    <t>topological analysis</t>
  </si>
  <si>
    <t>topological data analysis</t>
  </si>
  <si>
    <t>topological methods</t>
  </si>
  <si>
    <t>topological noise</t>
  </si>
  <si>
    <t>Akers, D.;Losasso, F.;Klingner, J.;Agrawala, M.;Rick, J.;Hanrahan, P.</t>
  </si>
  <si>
    <t>37268691800;38125927600;37945252000;37282718200;37692531400;37349803800</t>
  </si>
  <si>
    <t>topological persistence</t>
  </si>
  <si>
    <t>topological simplification</t>
  </si>
  <si>
    <t>Banks, D.C.;Linton, S.</t>
  </si>
  <si>
    <t>topological spine</t>
  </si>
  <si>
    <t>37356983700;37646706300</t>
  </si>
  <si>
    <t>State University of New York at Stony Brook University of North Carolina at Chapel Hill Stony Brook##########</t>
  </si>
  <si>
    <t>885704;663886;568103;568121;480806;175780;663887;964564</t>
  </si>
  <si>
    <t>topology</t>
  </si>
  <si>
    <t>topology-based techniques</t>
  </si>
  <si>
    <t>Kindlmann, G.;Whitaker, R.;Tasdizen, T.;Moller, T.</t>
  </si>
  <si>
    <t>37282742400;37267322600;37265762400;37275858700</t>
  </si>
  <si>
    <t>Kindlmann, G.;Whitaker, R.T.;Tasdizen, T.;Moller, T.</t>
  </si>
  <si>
    <t>toponomics</t>
  </si>
  <si>
    <t>885696;1183766;480795;885694;346331;1183777</t>
  </si>
  <si>
    <t>tracer concentration</t>
  </si>
  <si>
    <t>University of Minnesota##University of Minnesota##University of Minnesota##University of Minnesota##University of Minnesota##University of Minnesota</t>
  </si>
  <si>
    <t>tracking</t>
  </si>
  <si>
    <t>Machiraju, R.;Johnson, C.R.;Yoo, T.;Crawfis, R.;Ebert, D.;Stredney, D.</t>
  </si>
  <si>
    <t>traffic jam propagation</t>
  </si>
  <si>
    <t>37269516700;38199536300;38199089200;37284273900;38202925600;37329502700</t>
  </si>
  <si>
    <t>Machiraju, R.;Johnson, C.R.;Yoo, T.S.;Crawfis, R.;Ebert, D.S.;Stredney, D.</t>
  </si>
  <si>
    <t>traffic optimization</t>
  </si>
  <si>
    <t>University of North Carolina at Chapel Hill##University of North Carolina at Chapel Hill##University of North Carolina at Chapel Hill</t>
  </si>
  <si>
    <t>traffic routing</t>
  </si>
  <si>
    <t>Urness, T.;Interrante, V.;Marusic, Ivan;Longmire, E.;Ganapathisubramani, B.</t>
  </si>
  <si>
    <t>37282639600;37282637800;37282626600;37282625600;37282627400</t>
  </si>
  <si>
    <t>traffic visualization</t>
  </si>
  <si>
    <t>Urness, T.;Interrante, V.;Marusic, I.;Longmire, E.;Ganapathisubramani, B.</t>
  </si>
  <si>
    <t>809905;663897;568118;1183788;567784;745294;745292</t>
  </si>
  <si>
    <t>training</t>
  </si>
  <si>
    <t>trajectories</t>
  </si>
  <si>
    <t>Li, W.;Mueller, K.;Kaufman, A.</t>
  </si>
  <si>
    <t>trajectory analysis</t>
  </si>
  <si>
    <t>38200194400;37273119700;37268052800</t>
  </si>
  <si>
    <t>235231;964519;1250384;809908;1183776</t>
  </si>
  <si>
    <t>trajectory attribute data</t>
  </si>
  <si>
    <t>Sogang University Seoul##Sogang University Seoul</t>
  </si>
  <si>
    <t>Saroul, L.;Gerlach, S.;Herch, R.D.</t>
  </si>
  <si>
    <t>;37415825900;</t>
  </si>
  <si>
    <t>Szymczak, A.;Vanderhyde, J.</t>
  </si>
  <si>
    <t>transaction analysis</t>
  </si>
  <si>
    <t>37330183900;38198915600</t>
  </si>
  <si>
    <t>1183774;885703;885704</t>
  </si>
  <si>
    <t>transfer function</t>
  </si>
  <si>
    <t>University of Zurich##University of Zurich</t>
  </si>
  <si>
    <t>transfer function design</t>
  </si>
  <si>
    <t>transfer functions</t>
  </si>
  <si>
    <t>transition relationship</t>
  </si>
  <si>
    <t>Usability Center##Tech Research Institute</t>
  </si>
  <si>
    <t>Sherbondy, A.;Houston, M.;Napel, S.</t>
  </si>
  <si>
    <t>37282594600;37563167000;37328954600</t>
  </si>
  <si>
    <t>treatment planning</t>
  </si>
  <si>
    <t>tree</t>
  </si>
  <si>
    <t>tree comparison</t>
  </si>
  <si>
    <t>The MITRB Corporation Bedford##University of Massachusetts Lowell Lowell</t>
  </si>
  <si>
    <t>Varadhan, G.;Shankar Krishnan;Kim, Y.J.;Manocha, D.</t>
  </si>
  <si>
    <t>tree visualization</t>
  </si>
  <si>
    <t>37267825100;37275776600;38185529300;37267825600</t>
  </si>
  <si>
    <t>964518;568127</t>
  </si>
  <si>
    <t>treemap</t>
  </si>
  <si>
    <t>treemaps</t>
  </si>
  <si>
    <t>treemaps (slice and dice</t>
  </si>
  <si>
    <t>University of East Anglia School of Information Systems Norwich##University of East Anglia School of Information Systems Norwich</t>
  </si>
  <si>
    <t>treenetviz</t>
  </si>
  <si>
    <t>trees and network visualization</t>
  </si>
  <si>
    <t>trellis displays</t>
  </si>
  <si>
    <t>trend sequence</t>
  </si>
  <si>
    <t>trend sequence clustering</t>
  </si>
  <si>
    <t>trend visualization</t>
  </si>
  <si>
    <t>Indiana University##Indiana University</t>
  </si>
  <si>
    <t>tubes</t>
  </si>
  <si>
    <t>twitter</t>
  </si>
  <si>
    <t>809869;745312;964519;663875</t>
  </si>
  <si>
    <t>typology</t>
  </si>
  <si>
    <t>ETH-Ziirich##ETH-Ziirich##ETH-Ziirich</t>
  </si>
  <si>
    <t>uncertain graphs</t>
  </si>
  <si>
    <t>Kniss, J.;Premoze, S.;Ikits, M.;Lefohn, A.;Hansen, C.;Praun, E.</t>
  </si>
  <si>
    <t>37324263400;38149547900;37426872100;38198885000;37266777200;37266873200</t>
  </si>
  <si>
    <t>809889;885683;964521</t>
  </si>
  <si>
    <t>uncertainty</t>
  </si>
  <si>
    <t>uncertainty categories</t>
  </si>
  <si>
    <t>uncertainty fusion</t>
  </si>
  <si>
    <t>1183766;1183762;809934</t>
  </si>
  <si>
    <t>uncertainty propagation</t>
  </si>
  <si>
    <t>uncertainty quantification</t>
  </si>
  <si>
    <t>Ochanomizu University University of Tsukuba Tokyo 112##</t>
  </si>
  <si>
    <t>Weiler, Manfred;Kraus, M.;Merz, M.;Ertl, T.</t>
  </si>
  <si>
    <t>37268043100;37284293000;38140167100;37268023800</t>
  </si>
  <si>
    <t>Weiler, M.;Kraus, M.;Merz, M.;Ertl, T.</t>
  </si>
  <si>
    <t>uncertainty visualization</t>
  </si>
  <si>
    <t>Zhukov, L.;Barr, A.H.</t>
  </si>
  <si>
    <t>37266085200;37360174300</t>
  </si>
  <si>
    <t>Seoul National University</t>
  </si>
  <si>
    <t>Zhukov, L.;Barr, A.</t>
  </si>
  <si>
    <t>1183799;567777</t>
  </si>
  <si>
    <t>unsteady flow</t>
  </si>
  <si>
    <t>unsteady flow visualization</t>
  </si>
  <si>
    <t>Co, C.S.;Heckel, B.;Hagen, H.;Hamann, B.;Joy, K.I.</t>
  </si>
  <si>
    <t>37828723800;37350243300;37282578800;37282068700;37267811400</t>
  </si>
  <si>
    <t>unstructured grids</t>
  </si>
  <si>
    <t>Visualization and Media Systems Design German National Research Center for Computer Science Sankt Augustin</t>
  </si>
  <si>
    <t>964541_08;745329;809863;568127;1183771</t>
  </si>
  <si>
    <t>user / machine systems</t>
  </si>
  <si>
    <t>user evaluation</t>
  </si>
  <si>
    <t>Hopf, M.;Ertl, T.</t>
  </si>
  <si>
    <t>37427327200;37268023800</t>
  </si>
  <si>
    <t>663882;1183820;809909;964490;964489;1183771</t>
  </si>
  <si>
    <t>WSI I GRIS t University of Tiibingen</t>
  </si>
  <si>
    <t>user experience</t>
  </si>
  <si>
    <t>user interaction</t>
  </si>
  <si>
    <t>Woodring, J.;Chaoli Wang;Han-Wei Shen</t>
  </si>
  <si>
    <t>37542815100;38200676700;37279493500</t>
  </si>
  <si>
    <t>user interactions</t>
  </si>
  <si>
    <t>964519;398869;235222</t>
  </si>
  <si>
    <t>University of New Hampshire Durham##University of New Hampshire Durham</t>
  </si>
  <si>
    <t>user interface</t>
  </si>
  <si>
    <t>user interfaces</t>
  </si>
  <si>
    <t>Hadwiger, M.;Berger, C.;Hauser, H.</t>
  </si>
  <si>
    <t>37394809600;38197400800;37274158800</t>
  </si>
  <si>
    <t>user studies</t>
  </si>
  <si>
    <t>745311;1250384;1183777;885694</t>
  </si>
  <si>
    <t>user study</t>
  </si>
  <si>
    <t>University of Regina Regina</t>
  </si>
  <si>
    <t>Plesniak, W.;Halle, M.;Pieper, S.D.;Wells, W.;Jakab, M.;Meier, D.S.;Benton, S.A.;Guttmann, R.G.;Kikinis, R.</t>
  </si>
  <si>
    <t>37868928800;38320157400;37424578200;38349463500;38202666300;38196814800;37371177100;37963994600;38319729000</t>
  </si>
  <si>
    <t>user tracking</t>
  </si>
  <si>
    <t>user-centered design</t>
  </si>
  <si>
    <t>user-generated layout</t>
  </si>
  <si>
    <t>Bartz, D.;Mayer, D.;Fischer, J.;Ley, S.;del Rio, A.;Thust, S.;Heussel, C.P.;Kauczor, H.-U.;Strasser, W.</t>
  </si>
  <si>
    <t>v&amp;v</t>
  </si>
  <si>
    <t>37448237300;38197124100;37551595300;38068879800;38202852500;38198928900;37945387300;37945386700;</t>
  </si>
  <si>
    <t>validation</t>
  </si>
  <si>
    <t>The University of Nottingham Nottingham##The University of Nottingham Nottingham</t>
  </si>
  <si>
    <t>variable ordering</t>
  </si>
  <si>
    <t>variance</t>
  </si>
  <si>
    <t>1183797;1183799;663912;809886</t>
  </si>
  <si>
    <t>vascular visualization</t>
  </si>
  <si>
    <t>vector field</t>
  </si>
  <si>
    <t>vector fields</t>
  </si>
  <si>
    <t>Turk, G.;van Wijk, J. J.;Moorhead, R.</t>
  </si>
  <si>
    <t>Turk, G.;van Wijk, J.J.;Moorhead, R.J.</t>
  </si>
  <si>
    <t>vector field data</t>
  </si>
  <si>
    <t>vector field topology</t>
  </si>
  <si>
    <t>vector field visualization</t>
  </si>
  <si>
    <t>1183805;480817;1250377;885689;809896;964541_04;480795</t>
  </si>
  <si>
    <t>velocity gradient</t>
  </si>
  <si>
    <t>verifiable visualization</t>
  </si>
  <si>
    <t>Laramee, R.S.;Jobard, B.;Hauser, H.</t>
  </si>
  <si>
    <t>37267247900;37267249300;37274158800</t>
  </si>
  <si>
    <t>964541_04;346313;480817</t>
  </si>
  <si>
    <t>verification</t>
  </si>
  <si>
    <t>very large scale images</t>
  </si>
  <si>
    <t>Rhyne, T.;Tory, M.;Munzner, T.;Ward, M.;Johnson, C.;Laidlaw, D.H.</t>
  </si>
  <si>
    <t>37282569700;37275861300;37349490300;38197247500;38199532300;37275712600</t>
  </si>
  <si>
    <t>Rhyne, T.M.;Tory, M.;Munzner, T.;Ward, M.O.;Johnson, C.R.;Laidlaw, D.H.</t>
  </si>
  <si>
    <t>vessel flattening</t>
  </si>
  <si>
    <t>vessel visualization</t>
  </si>
  <si>
    <t>video browsing and exploration</t>
  </si>
  <si>
    <t>Konyha, Z.;Matkovic, K.;Hauser, H.</t>
  </si>
  <si>
    <t>38190845700;38188281400;37274158800</t>
  </si>
  <si>
    <t>video summarization</t>
  </si>
  <si>
    <t>University of Massachusetts at Amherst##University of Massachusetts at Amherst</t>
  </si>
  <si>
    <t>398849;485141</t>
  </si>
  <si>
    <t>video visual analytics</t>
  </si>
  <si>
    <t>video visualization</t>
  </si>
  <si>
    <t>Lefohn, A.E.;Kniss, J.M.;Hansen, C.D.;Whitaker, R.T.</t>
  </si>
  <si>
    <t>38198885000;37324263400;37266777200;37267322600</t>
  </si>
  <si>
    <t>Lefohn, A.;Kniss, J.;Hansen, C.;Whitaker, R.T.</t>
  </si>
  <si>
    <t>view dependent</t>
  </si>
  <si>
    <t>1183766;1250412;1250369</t>
  </si>
  <si>
    <t>view-dependent</t>
  </si>
  <si>
    <t>view suggestion</t>
  </si>
  <si>
    <t>Kreylos, O.;Max, N.L.;Hamann, B.;Crivelli, S.N.;Bethel, E.W.</t>
  </si>
  <si>
    <t>37726031300;37267387800;37282068700;37565737200;38198872100</t>
  </si>
  <si>
    <t>Kreylos, O.;Max, N.;Hamann, B.;Crivelli, S.N.;Bethel, E.W.</t>
  </si>
  <si>
    <t>view-dependent filtering</t>
  </si>
  <si>
    <t>view-dependent visualization</t>
  </si>
  <si>
    <t>Yoon, S.-E.;Salomon, B.;Manocha, D.</t>
  </si>
  <si>
    <t>virtual colonoscopy</t>
  </si>
  <si>
    <t>37279394100;37271825900;37267825600</t>
  </si>
  <si>
    <t>1183760;964534;1183796</t>
  </si>
  <si>
    <t>virtual environment</t>
  </si>
  <si>
    <t>virtual reality</t>
  </si>
  <si>
    <t>visual abstraction</t>
  </si>
  <si>
    <t>University of Alabama at Birmingham 115A Campbell Hall##University of Alabama at Birmingham 115A Campbell Hall</t>
  </si>
  <si>
    <t>visual acuity</t>
  </si>
  <si>
    <t>visual aggregation</t>
  </si>
  <si>
    <t>Isenburg, M.;Lindstrom, P.;Gumhold, S.;Snoeyink, J.</t>
  </si>
  <si>
    <t>37281897600;37269320000;37565742800;37282623700</t>
  </si>
  <si>
    <t>visual analysis</t>
  </si>
  <si>
    <t>964502;964541_08;568125;745282;964532;1183765</t>
  </si>
  <si>
    <t>visual analytics</t>
  </si>
  <si>
    <t>IBM Thomas J. Watson Research Center Post Office##IBM Thomas J. Watson Research Center Post Office</t>
  </si>
  <si>
    <t>Halle, M.;Meng, J.</t>
  </si>
  <si>
    <t>37436452900;38203084400</t>
  </si>
  <si>
    <t>visual anaytics</t>
  </si>
  <si>
    <t>visual comparison</t>
  </si>
  <si>
    <t>visual data mining</t>
  </si>
  <si>
    <t>University of Munich Leopoldstr. llB##University of Munich Leopoldstr. llB##University of Munich Leopoldstr. llB</t>
  </si>
  <si>
    <t>visual design</t>
  </si>
  <si>
    <t>235203;663914</t>
  </si>
  <si>
    <t>visual document analysis</t>
  </si>
  <si>
    <t>visual effects</t>
  </si>
  <si>
    <t>Delft University of Technology##Delft University of Technology##Delft University of Technology##Delft University of Technology##Delft University of Technology</t>
  </si>
  <si>
    <t>Csebfalvi, B.;Szirmay-Kalos, L.</t>
  </si>
  <si>
    <t>37284317200;38198907700</t>
  </si>
  <si>
    <t>1183757;964490;1183777</t>
  </si>
  <si>
    <t>visual embellishments</t>
  </si>
  <si>
    <t>visual encoding</t>
  </si>
  <si>
    <t>State University of New York at Stony Brook Stony Brook##State University of New York at Stony Brook Stony Brook##State University of New York at Stony Brook Stony Brook##State University of New York at Stony Brook Stony Brook##State University of New York at Stony Brook Stony Brook</t>
  </si>
  <si>
    <t>480806;745299;663895;568121;1250373;663888;745298</t>
  </si>
  <si>
    <t>visual encodings of numerical error metrics</t>
  </si>
  <si>
    <t>visual evidence</t>
  </si>
  <si>
    <t>visual exploration</t>
  </si>
  <si>
    <t>visual features</t>
  </si>
  <si>
    <t>This paper addresses the problem of surface reconstruction of highly noisy point clouds. The surfaces to be reconstructed are assumed to be 2-manifolds of piecewise C1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</si>
  <si>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Hui Xie;Wang, J.;Jing Hua;Hong Qin;Kaufman, A.</t>
  </si>
  <si>
    <t>38198809000;37280545800;38197026500;38199415900;37268052800</t>
  </si>
  <si>
    <t>visual history</t>
  </si>
  <si>
    <t>visual inference</t>
  </si>
  <si>
    <t>visual interaction</t>
  </si>
  <si>
    <t>visual isomorph</t>
  </si>
  <si>
    <t>visual knolwedge discovery and representation</t>
  </si>
  <si>
    <t>37265783400;37265786900;37346861300;37550808100;37265788700;37270887900</t>
  </si>
  <si>
    <t>visual knowledge discovery and representation</t>
  </si>
  <si>
    <t>663860;1183783;663902;745282;885699;1183800;567600;745280;809902;568126</t>
  </si>
  <si>
    <t>visual knowledge discovery</t>
  </si>
  <si>
    <t>visual knowledge representation</t>
  </si>
  <si>
    <t>Computer Sciences Corporation##Computer Sciences Corporation</t>
  </si>
  <si>
    <t>visual links</t>
  </si>
  <si>
    <t>Popescu, V.;Hoffmann, C.;Kilic, S.;Sozen, M.;Meador, S.</t>
  </si>
  <si>
    <t>37272425500;37359029500;38196945000;38197908500;37442441900</t>
  </si>
  <si>
    <t>visual mapping</t>
  </si>
  <si>
    <t>visual memory</t>
  </si>
  <si>
    <t>visual notation</t>
  </si>
  <si>
    <t>Albert, R.;Syroid, N.;Zhang, Y.;Agutter, J.;Drews, F.;Strayer, D.;Hutchinson, G.;Westenskow, Dwayne</t>
  </si>
  <si>
    <t>38202614000;37725245800;38200661900;37442679500;37281841200;37726237200;37430681500;37293901500</t>
  </si>
  <si>
    <t>Albert, R.;Syroid, N.;Zhang, Y.;Agutter, J.;Drews, F.;Strayer, D.;Hutchinson, G.;Westenskow, D.</t>
  </si>
  <si>
    <t>visual opinion analysis</t>
  </si>
  <si>
    <t>visual optimization</t>
  </si>
  <si>
    <t>Ming Wan;McNeely, W.A.</t>
  </si>
  <si>
    <t>visual queries</t>
  </si>
  <si>
    <t>38198168300;37619958500</t>
  </si>
  <si>
    <t>Simon Fraser University##Simon Fraser University##Simon Fraser University##Simon Fraser University</t>
  </si>
  <si>
    <t>visual query language</t>
  </si>
  <si>
    <t>visual search</t>
  </si>
  <si>
    <t>In this paper we present a generic method for incremental mesh adaptation based on hierarchy of semi-regular meshes. Our method supports any refinement rule mapping vertices onto vertices such as 1-to-4 split or ÔêÜ3-subdivision.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</si>
  <si>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Volkov, V.;Ling Li</t>
  </si>
  <si>
    <t>38198208400;38200968100</t>
  </si>
  <si>
    <t>visual sentiment analysis</t>
  </si>
  <si>
    <t>Simon Fraser University Burnaby</t>
  </si>
  <si>
    <t>1183796;885705;663860;964533;568126;745282</t>
  </si>
  <si>
    <t>IWSP</t>
  </si>
  <si>
    <t>885714;809874;745284;745291;809907;235211;398875;964506;885716;964507</t>
  </si>
  <si>
    <t>visual summary</t>
  </si>
  <si>
    <t>visual task design</t>
  </si>
  <si>
    <t>Tam, R.;Heidrich, W.</t>
  </si>
  <si>
    <t>visual testing</t>
  </si>
  <si>
    <t>visual text analysis</t>
  </si>
  <si>
    <t>visual to parametric interaction</t>
  </si>
  <si>
    <t>visual variables</t>
  </si>
  <si>
    <t>Boeing Information and Support Services, Research and Technology</t>
  </si>
  <si>
    <t>38181846100;37269011000</t>
  </si>
  <si>
    <t>visualization and graphics applications</t>
  </si>
  <si>
    <t>visualization composition</t>
  </si>
  <si>
    <t>Sigg, C.;Peikert, R.;Gross, Markus</t>
  </si>
  <si>
    <t>37565783800;37282541100;37275694700</t>
  </si>
  <si>
    <t>visualization construction</t>
  </si>
  <si>
    <t>Sigg, C.;Peikert, R.;Gross, M.</t>
  </si>
  <si>
    <t>964518;964517</t>
  </si>
  <si>
    <t>visualization environments</t>
  </si>
  <si>
    <t>visualization in physical sciences and engineering</t>
  </si>
  <si>
    <t>visualization interface</t>
  </si>
  <si>
    <t>The Ohio State University##The Ohio State University##The Ohio State University##The Ohio State University</t>
  </si>
  <si>
    <t>745299;663895;568121;175780;480806</t>
  </si>
  <si>
    <t>visualization models</t>
  </si>
  <si>
    <t>visualization of control</t>
  </si>
  <si>
    <t>visualization of risk</t>
  </si>
  <si>
    <t>Jaech, J.;North, S.;Peery, M.;Schroeder, W.;Thomas, J.</t>
  </si>
  <si>
    <t>Jaech, J.;North, S.C.;Peery, M.;Schroeder, W.J.;Thomas, J.</t>
  </si>
  <si>
    <t>visualization recommendation</t>
  </si>
  <si>
    <t>visualization system</t>
  </si>
  <si>
    <t>visualization systems</t>
  </si>
  <si>
    <t>visualization system and toolkit design</t>
  </si>
  <si>
    <t>McGuffin, M.J.;Tancau, L.;Balakrishnan, R.</t>
  </si>
  <si>
    <t>37403234300;38198912900;37394495600</t>
  </si>
  <si>
    <t>visualization taxonomies and models</t>
  </si>
  <si>
    <t>visualization taxonomy</t>
  </si>
  <si>
    <t>visualization technique</t>
  </si>
  <si>
    <t>1183761;1183764</t>
  </si>
  <si>
    <t>visualized decision making</t>
  </si>
  <si>
    <t>Macquarie University Sydney##Macquarie University Sydney</t>
  </si>
  <si>
    <t>visualizing uncertainty</t>
  </si>
  <si>
    <t>Daniel, G.;Chen, M.</t>
  </si>
  <si>
    <t>38201565200;37280982800</t>
  </si>
  <si>
    <t>volume classification</t>
  </si>
  <si>
    <t>volume compositing</t>
  </si>
  <si>
    <t>Tarini, M.;Cignoni, P.;Scopigno, R.</t>
  </si>
  <si>
    <t>37591264000;37265783400;37270887900</t>
  </si>
  <si>
    <t>volume compression</t>
  </si>
  <si>
    <t>1183784;745285</t>
  </si>
  <si>
    <t>volume csg</t>
  </si>
  <si>
    <t>volume deformation</t>
  </si>
  <si>
    <t>Gao, J.;Huang, J.;Han-Wei Shen;Kohl, J.A.</t>
  </si>
  <si>
    <t>37279695300;37281262900;37279493500;37430506600</t>
  </si>
  <si>
    <t>volume distortion camera</t>
  </si>
  <si>
    <t>1183757;1183784;745713;964519;745300;964515;885698</t>
  </si>
  <si>
    <t>volume exploration</t>
  </si>
  <si>
    <t>A. E. Mynett;I. Ari Sadarjoen;A. J. S. Hin</t>
  </si>
  <si>
    <t>Delft University of Technology University of Groningen##Delft University of Technology University of Groningen##Delft University of Technology University of Groningen</t>
  </si>
  <si>
    <t>volume gradient operator</t>
  </si>
  <si>
    <t>volume illumination</t>
  </si>
  <si>
    <t>volume modeling</t>
  </si>
  <si>
    <t>volume rendering</t>
  </si>
  <si>
    <t>volume segmentation</t>
  </si>
  <si>
    <t>EPA Scientific Visualization Laboratory Research Triangle Park##EPA Scientific Visualization Laboratory Research Triangle Park</t>
  </si>
  <si>
    <t>volume shading</t>
  </si>
  <si>
    <t>volume visualization</t>
  </si>
  <si>
    <t>volumetric data</t>
  </si>
  <si>
    <t>volumetric illumination</t>
  </si>
  <si>
    <t>voronoi spline</t>
  </si>
  <si>
    <t>Wright, J.;Burleigh, S.;Maruya, M.;Maxwell, S.;Pischel, R.</t>
  </si>
  <si>
    <t>37270871700;37297068800;38203097900;37392500700;38198673300</t>
  </si>
  <si>
    <t>University Iof California</t>
  </si>
  <si>
    <t>voronoi treemaps</t>
  </si>
  <si>
    <t>vortex core lines</t>
  </si>
  <si>
    <t>vortex extraction</t>
  </si>
  <si>
    <t>Persoon, M.P.;Serlie, I.W.O.;Post, F.H.;Truyen, R.;Vos, F.M.</t>
  </si>
  <si>
    <t>38198910100;37394315500;37295045800;37394318300;37271678400</t>
  </si>
  <si>
    <t>Visualization Laboratory University of Maryland College Park</t>
  </si>
  <si>
    <t>vortex regions</t>
  </si>
  <si>
    <t>vortex visualization</t>
  </si>
  <si>
    <t>voting</t>
  </si>
  <si>
    <t>Adams, P.;Dommermuth, D.</t>
  </si>
  <si>
    <t>37297590400;37299300400</t>
  </si>
  <si>
    <t>809891;885704;1183821;663869</t>
  </si>
  <si>
    <t>voxel arrays</t>
  </si>
  <si>
    <t>wall display</t>
  </si>
  <si>
    <t>wall displays</t>
  </si>
  <si>
    <t>We develop a new approach to reconstruct non-discrete models from gridded volume samples. As a model, we use quadratic trivariate super splines on a uniform tetrahedral partition ╬ö. The approximating splines are determined in a natural and completely symmetric way by averaging local data samples, such that appropriate smoothness conditions are automatically satisfied. On each tetra-hedron of ╬ö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</si>
  <si>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Rossl, C.;Zeilfelder, F.;Nurnberger, G.;Seidel, H.-P.</t>
  </si>
  <si>
    <t>38345841600;38280511600;37565779800;37271851300</t>
  </si>
  <si>
    <t>745713;663907;567602;346331;964530;964499</t>
  </si>
  <si>
    <t>MAYA Design Group, Inc##Carnegie Mellon University</t>
  </si>
  <si>
    <t>wall paintings</t>
  </si>
  <si>
    <t>Gresh, D.L.;Kelton, E.I.</t>
  </si>
  <si>
    <t>37378534100;38198667500</t>
  </si>
  <si>
    <t>885086;1183817</t>
  </si>
  <si>
    <t>wall-displays</t>
  </si>
  <si>
    <t>wavelet analysis</t>
  </si>
  <si>
    <t>Huang, R.;Kwan-Liu Ma;McCormick, P.;Ward, W.</t>
  </si>
  <si>
    <t>37288597500;37275869400;37282708700;38203215500</t>
  </si>
  <si>
    <t>waveletsat</t>
  </si>
  <si>
    <t>x - check if this is a data error</t>
  </si>
  <si>
    <t>Columbia University##Columbia University</t>
  </si>
  <si>
    <t>weather and climate simulations</t>
  </si>
  <si>
    <t>weather ensemble</t>
  </si>
  <si>
    <t>Jimenez, W.H.;Correa, W.T.;Silva, C.T.;Baptista, A.M.</t>
  </si>
  <si>
    <t>web</t>
  </si>
  <si>
    <t>38139545800;38152504300;37275249200;37371354900</t>
  </si>
  <si>
    <t>world wide web</t>
  </si>
  <si>
    <t>809865;809908</t>
  </si>
  <si>
    <t>web cartography</t>
  </si>
  <si>
    <t>web map projection</t>
  </si>
  <si>
    <t>Riley, K.;Ebert, D.;Hansen, C.;Levit, J.</t>
  </si>
  <si>
    <t>37552979700;37282598900;37266777200;37550576700</t>
  </si>
  <si>
    <t>Riley, K.;Ebert, D.S.;Hansen, C.;Levit, J.</t>
  </si>
  <si>
    <t>Guangfeng Ji;Han-Wei Shen;Wenger, R.</t>
  </si>
  <si>
    <t>38202947500;37279493500;37284274100</t>
  </si>
  <si>
    <t>885704;745288;568103;1183774;567807;885703;480789;663886</t>
  </si>
  <si>
    <t>Ye Zhao;Wei, X.;Zhe Fan;Kaufman, A.;Hong Qin</t>
  </si>
  <si>
    <t>38199778800;37279025800;38198269200;37268052800;38199417100</t>
  </si>
  <si>
    <t>1183779;398879</t>
  </si>
  <si>
    <t>Grinstein, G.;Kobsa, A.;Plaisant, C.;Stasko, J.T.</t>
  </si>
  <si>
    <t>Grinstein, G.;Kobsa, A.;Plaisant, C.;Stasko, J.</t>
  </si>
  <si>
    <t>web mapping</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</si>
  <si>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O(N2) spring model as a benchmark when evaluating our technique, comparing layout quality and run times using data sets of synthetic and real data. Our algorithm runs in O(N√N)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</si>
  <si>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Morrison, A.;Ross, G.;Chalmers, M.</t>
  </si>
  <si>
    <t>37264873500;37282731400;37283487400</t>
  </si>
  <si>
    <t>University of Waterloo Waterloo##University of Waterloo Waterloo</t>
  </si>
  <si>
    <t>37267169300;37273547300</t>
  </si>
  <si>
    <t>729564;175815</t>
  </si>
  <si>
    <t>Koren, Y.;Carmel, L.;Harel, D.</t>
  </si>
  <si>
    <t>37414256700;38144155300;37266021800</t>
  </si>
  <si>
    <t>Hauser, H.;Ledermann, F.;Doleisch, H.</t>
  </si>
  <si>
    <t>37274158800;37689207700;37546620400</t>
  </si>
  <si>
    <t>559216;885739;346302;485139;146402</t>
  </si>
  <si>
    <t>Carnegie Mellon University Pittsburgh##Carnegie Mellon University Pittsburgh</t>
  </si>
  <si>
    <t>528685;398883</t>
  </si>
  <si>
    <t>web mercator</t>
  </si>
  <si>
    <t>whiteboard</t>
  </si>
  <si>
    <t>whiteboards</t>
  </si>
  <si>
    <t>963283;963290;801860;175815</t>
  </si>
  <si>
    <t>wikis</t>
  </si>
  <si>
    <t>Zhou, M.X.;Min Chen;Ying Feng</t>
  </si>
  <si>
    <t>wizard of oz</t>
  </si>
  <si>
    <t>37399569300;38151550800;38102799300</t>
  </si>
  <si>
    <t>Zhou, M.X.;Chen, M.;Ying Feng</t>
  </si>
  <si>
    <t>workflow visualization</t>
  </si>
  <si>
    <t>working memory</t>
  </si>
  <si>
    <t>Amenta, N.;Klingner, J.</t>
  </si>
  <si>
    <t>37565128700;37945252000</t>
  </si>
  <si>
    <t>M. Sheelagh T. Carpendale;David J. Cowperthwaite;F. David Fracchia</t>
  </si>
  <si>
    <t>workspace awareness</t>
  </si>
  <si>
    <t>wysiwyg</t>
  </si>
  <si>
    <t>zoomable grid</t>
  </si>
  <si>
    <t>zooming</t>
  </si>
  <si>
    <t>567787;398870</t>
  </si>
  <si>
    <t>zooming and navigation techniques</t>
  </si>
  <si>
    <t>NEC USA Inc##NEC USA Inc##NEC USA Inc</t>
  </si>
  <si>
    <t>Keim, D.A.;North, S.C.;Panse, C.;Schneidewind, J.</t>
  </si>
  <si>
    <t>37283138700;37372818600;37282557300;37669961800</t>
  </si>
  <si>
    <t>U. of Maryland Baltimore County##U. of Maryland Baltimore County##U. of Maryland Baltimore County##U. of Maryland Baltimore County##U. of Maryland Baltimore County</t>
  </si>
  <si>
    <t>745301;745303</t>
  </si>
  <si>
    <t>Nowell, L.;Schulman, R.;Hix, D.</t>
  </si>
  <si>
    <t>37725426400;37974832100;37295140000</t>
  </si>
  <si>
    <t>Fekete, J.;Plaisant, C.</t>
  </si>
  <si>
    <t>37407972900;37283026800</t>
  </si>
  <si>
    <t>963274;175815;963279;528685;567746_2</t>
  </si>
  <si>
    <t>Jing Yang;Ward, M.O.;Rundensteiner, E.A.</t>
  </si>
  <si>
    <t>37292632600;37268441700;37279217900</t>
  </si>
  <si>
    <t>963290;963285;636718;801858;528689;963283;175815;885091;801860;963284;809866;963281;729567</t>
  </si>
  <si>
    <t>Conklin, N.;Prabhakar, S.;North, C.</t>
  </si>
  <si>
    <t>38137891600;38150082500;37419565900</t>
  </si>
  <si>
    <t>885086;636761;559210</t>
  </si>
  <si>
    <t>Stolte, C.;Tang, D.;Hanrahan, P.</t>
  </si>
  <si>
    <t>37442008700;38003180800;37349803800</t>
  </si>
  <si>
    <t>Lucent Technologies##Oregon State University Corvallis</t>
  </si>
  <si>
    <t>University of N e w Hampshire##University of N e w Hampshire##University of N e w Hampshire</t>
  </si>
  <si>
    <t>Matkovic, K.;Hauser, H.;Sainitzer, R.;Groller, M.E.</t>
  </si>
  <si>
    <t>38220979200;37274158800;38221553100;37282552200</t>
  </si>
  <si>
    <t>Matkovic, K.;Hauser, H.;Sainitzer, R.;Groller, E.</t>
  </si>
  <si>
    <t>729558;963286</t>
  </si>
  <si>
    <t>Plaisant, C.;Grosjean, J.;Bederson, B.B.</t>
  </si>
  <si>
    <t>37283026800;37279773300;37279760100</t>
  </si>
  <si>
    <t>Lind, M.;Bingham, G.P.;Forser, C.</t>
  </si>
  <si>
    <t>37561614400;38136880400;</t>
  </si>
  <si>
    <t>Keahey, T.A.;Eick, S.G.</t>
  </si>
  <si>
    <t>38180025700;37282570100</t>
  </si>
  <si>
    <t>Brandes, U.;Corman, S.R.</t>
  </si>
  <si>
    <t>37550836200;38014884900</t>
  </si>
  <si>
    <t>North, C.;Conklin, N.;Saini, V.</t>
  </si>
  <si>
    <t>37419565900;38137891600;38152592400</t>
  </si>
  <si>
    <t>Stanford University * Ipsilon + NLANR Xerox PARC##Stanford University * Ipsilon + NLANR Xerox PARC##Stanford University * Ipsilon + NLANR Xerox PARC##Stanford University * Ipsilon + NLANR Xerox PARC</t>
  </si>
  <si>
    <t>528688;636788</t>
  </si>
  <si>
    <t>Thiagarajan, P.R.;Gao, G.R.</t>
  </si>
  <si>
    <t>38153582400;37334741200</t>
  </si>
  <si>
    <t>745322;963278</t>
  </si>
  <si>
    <t>Olston, C.;Mackinlay, J.</t>
  </si>
  <si>
    <t>37371920000;37372036700</t>
  </si>
  <si>
    <t>346317;885679;801858</t>
  </si>
  <si>
    <t>Bauer, D.;Peikert, R.;Sato, M.;Sick, M.</t>
  </si>
  <si>
    <t>38149335100;37282541100;37732410200;37828727500</t>
  </si>
  <si>
    <t>346327;964541_04</t>
  </si>
  <si>
    <t>Stoev, S.L.;Strasser, W.</t>
  </si>
  <si>
    <t>37730629300;</t>
  </si>
  <si>
    <t>HNC Software, Inc##HNC Software, Inc</t>
  </si>
  <si>
    <t>Gerstner, T.;Meetschen, D.;Crewel, S.;Griebel, M.;Simmer, C.</t>
  </si>
  <si>
    <t>38015261400;38149815100;;37282573500;37351750500</t>
  </si>
  <si>
    <t>480800;663869;885745</t>
  </si>
  <si>
    <t>Stegmaier, S.;Rose, D.;Ertl, T.</t>
  </si>
  <si>
    <t>37267809900;37277264800;37268023800</t>
  </si>
  <si>
    <t>Jankun-Kelly, T.J.;Kwan-Liu Ma;Gertz, M.</t>
  </si>
  <si>
    <t>38275083200;38298685400;38300018900</t>
  </si>
  <si>
    <t>1183816;729560;809871;480821;398857;235203;480801;346304</t>
  </si>
  <si>
    <t>Garland, M.;Shaffer, E.</t>
  </si>
  <si>
    <t>37272036400;37446940600</t>
  </si>
  <si>
    <t>964502;964541_08;745282;745314</t>
  </si>
  <si>
    <t>Many direct volume rendering algorithms have been proposed during the last decade to render 2563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</si>
  <si>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Mora, B.;Jessel, J.-P.;Caubet, R.</t>
  </si>
  <si>
    <t>37332752000;37391562600;37621345600</t>
  </si>
  <si>
    <t>964498;964521;809889;745309;885698;809911;809909;346331;480792</t>
  </si>
  <si>
    <t>Jayaraman, S.;North, C.</t>
  </si>
  <si>
    <t>38153606700;37419565900</t>
  </si>
  <si>
    <t>636793;528688;398859;729558</t>
  </si>
  <si>
    <t>Nielson, G.M.;Huang, A.;Sylvester, S.</t>
  </si>
  <si>
    <t>37283754100;38147203400;38149703800</t>
  </si>
  <si>
    <t>Mississippi State University Mississippi State##Mississippi State University Mississippi State</t>
  </si>
  <si>
    <t>University of Erlangen##University of Erlangen-Nuremberg##University of Erlangen##University of Erlangen</t>
  </si>
  <si>
    <t>University of Florida##University of Florida</t>
  </si>
  <si>
    <t>Tel-Aviv University##Tel-Aviv University</t>
  </si>
  <si>
    <t>CNRS##CNRS##CNRS</t>
  </si>
  <si>
    <t>National University of Singapore##National University of Singapore##National University of Singapore##National University of Singapore</t>
  </si>
  <si>
    <t>University of Leeds##University of Leeds##University of Leeds</t>
  </si>
  <si>
    <t>McGill College##McGill College##McGill College</t>
  </si>
  <si>
    <t>Dennis, B.M.;Healey, Christopher G.</t>
  </si>
  <si>
    <t>37554695200;37298406100</t>
  </si>
  <si>
    <t>Dennis, B.M.;Healey, C.</t>
  </si>
  <si>
    <t>Taubin, Gabriel</t>
  </si>
  <si>
    <t>663848;885705</t>
  </si>
  <si>
    <t>Wim de Leeuw;van Liere, R.</t>
  </si>
  <si>
    <t>37327212900;37282925600</t>
  </si>
  <si>
    <t>de Leeuw, W.;van Liere, R.</t>
  </si>
  <si>
    <t>Sorkine, O.;Cohen-Or, D.;Goldenthal, R.;Lischinski, D.</t>
  </si>
  <si>
    <t>37283081500;37266751800;38149592600;37418740700</t>
  </si>
  <si>
    <t>885736;480821;885678;885745</t>
  </si>
  <si>
    <t>Adams, R.M.;Stancampiano, B.;McKenna, M.;Small, D.</t>
  </si>
  <si>
    <t>38148724800;38149911800;38182530100;38143014200</t>
  </si>
  <si>
    <t>Suzuki, Y.;Fujishiro, I.;Chen, L.;Nakamura, H.</t>
  </si>
  <si>
    <t>38147016200;37282596600;38151039900;38149940200</t>
  </si>
  <si>
    <t>567777;809906;663912;809892</t>
  </si>
  <si>
    <t>University of Minnesota Computational Biology Centers##University of Minnesota Computational Biology Centers##University of Minnesota Computational Biology Centers##University of Minnesota Computational Biology Centers##University of Minnesota Computational Biology Centers##University of Minnesota Computational Biology Centers</t>
  </si>
  <si>
    <t>Sanghun Park;Bajaj, C.L.;Siddavanahalli, V.</t>
  </si>
  <si>
    <t>37441461200;37282899200;37282577700</t>
  </si>
  <si>
    <t>Soon Tee Teoh;Kwan-Liu Ma;Wu, S.F.;Xiaoliang Zhao</t>
  </si>
  <si>
    <t>University of New Hampshire</t>
  </si>
  <si>
    <t>37412023800;37275869400;37272893500;37336974400</t>
  </si>
  <si>
    <t>Uselton, S.P.</t>
  </si>
  <si>
    <t>Crossno, P.;Rogers, D.H.;Garasi, C.J.</t>
  </si>
  <si>
    <t>37282576500;37265693000;37273805800</t>
  </si>
  <si>
    <t>809919;964543</t>
  </si>
  <si>
    <t>Data sets from large-scale simulations (up to 5013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</si>
  <si>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Erlebacher, G.;Yuen, D.A.;Dubuffet, F.</t>
  </si>
  <si>
    <t>37324424400;38476567400;38149813100</t>
  </si>
  <si>
    <t>Rutgers University##Rutgers University</t>
  </si>
  <si>
    <t>Grant, J.;Erlebacher, G.;O'Brien, J.</t>
  </si>
  <si>
    <t>38142293100;37324424400;38182438200</t>
  </si>
  <si>
    <t>809895;964541_04;885688;568149</t>
  </si>
  <si>
    <t>Kanitsar, A.;Theussl, T.;Mroz, L.;Sramek, M.;Bartroli, A.V.;Csebfalvi, B.;Hladuvka, J.;Fleischmann, D.;Knapp, Michael;Wegenkittl, R.;Felkel, P.;Rottger, S.;Guthe, S.;Purgathofer, W.;Groller, M.E.</t>
  </si>
  <si>
    <t>37282727500;38149729100;37282641800;37268028700;;37284317200;38149719800;37282581000;37533678900;37267822600;37267788200;37357145300;37728224400;37448821300;37282552200</t>
  </si>
  <si>
    <t>Tel-Aviv University##Tel-Aviv University##Tel-Aviv University</t>
  </si>
  <si>
    <t>Kanitsar, A.;Theussl, T.;Mroz, L.;Sramek, M.;Bartroli, A.V.;Csebfalvi, B.;Hladuvka, J.;Fleischmann, D.;Knapp, M.;Wegenkittl, R.;Felkel, P.;Rottger, S.;Guthe, S.;Purgathofer, W.;Groller, E.</t>
  </si>
  <si>
    <t>964522;964555;964531;346320</t>
  </si>
  <si>
    <t>Hualin Zhou;Min Chen;Webster, M.F.</t>
  </si>
  <si>
    <t>38150365000;38026251100;37346467200</t>
  </si>
  <si>
    <t>Hualin Zhou;Chen, M.;Webster, M.F.</t>
  </si>
  <si>
    <t>809873;568140;745332</t>
  </si>
  <si>
    <t>Mississippi State University##Mississippi State University</t>
  </si>
  <si>
    <t>Isenburg, M.;Alliez, P.</t>
  </si>
  <si>
    <t>37281897600;37449235700</t>
  </si>
  <si>
    <t>809868;885711;809902</t>
  </si>
  <si>
    <t>Mann, S.;Rockwood, A.</t>
  </si>
  <si>
    <t>37998748200;37372689000</t>
  </si>
  <si>
    <t>663858;663871</t>
  </si>
  <si>
    <t>University of East Anglia##University of East Anglia</t>
  </si>
  <si>
    <t>Kanitsar, A.;Fleischmann, D.;Wegenkittl, R.;Felkel, P.;Groller, M.E.</t>
  </si>
  <si>
    <t>37282727500;37282581000;37267822600;37267788200;37282552200</t>
  </si>
  <si>
    <t>Kanitsar, A.;Fleischmann, D.;Wegenkittl, R.;Felkel, P.;Groller, E.</t>
  </si>
  <si>
    <t>964555;964538</t>
  </si>
  <si>
    <t>Youwei Zhang;Rohling, Robert;Pai, D.K.</t>
  </si>
  <si>
    <t>38150692300;37296739100;38472260700</t>
  </si>
  <si>
    <t>Youwei Zhang;Rohling, R.;Pai, D.K.</t>
  </si>
  <si>
    <t>175782;346295</t>
  </si>
  <si>
    <t>University of California##University of California##University of California</t>
  </si>
  <si>
    <t>Karni, Z.;Bogomjakov, A.;Gotsman, C.</t>
  </si>
  <si>
    <t>37546486500;37281880000;37281769000</t>
  </si>
  <si>
    <t>This paper introduces two efficient algorithms that compute the Contour Tree of a 3D scalar field ℱ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ℱ.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ℱ. For the first time we can compute the Contour Tree in linear time in many practical cases when t=O(n1-ε). Lastly, we report the running times for a parallel implementation of our algorithm, showing good scalability with the number of processors.</t>
  </si>
  <si>
    <t>Pascucci, V.;Cole-McLaughlin, K.</t>
  </si>
  <si>
    <t>38262214600;38149589900</t>
  </si>
  <si>
    <t>Pauly, M.;Gross, Markus;Kobbelt, L.P.</t>
  </si>
  <si>
    <t>37283033000;37275694700;37266790600</t>
  </si>
  <si>
    <t>Pauly, M.;Gross, M.;Kobbelt, L.P.</t>
  </si>
  <si>
    <t>964541_08;809896;964502;964489;885722</t>
  </si>
  <si>
    <t>U. of Maryland Baltimore County##NASA GSFC x</t>
  </si>
  <si>
    <t>Krum, D.M.;Omoteso, O.;Ribarsky, W.;Starner, T.;Hodges, L.F.</t>
  </si>
  <si>
    <t>37391946800;38149705700;37300425000;37269366200;37282880200</t>
  </si>
  <si>
    <t>Krum, D.;Omoteso, O.;Ribarsky, W.;Starner, T.;Hodges, L.F.</t>
  </si>
  <si>
    <t>Weber, G.H.;Scheuermann, G.;Hagen, H.;Hamann, B.</t>
  </si>
  <si>
    <t>37411444100;37282574800;38304705100;38295577900</t>
  </si>
  <si>
    <t>146401;663875;745284;809932;175782;885703;885705</t>
  </si>
  <si>
    <t>ICASE##ICASE##ICASE</t>
  </si>
  <si>
    <t>Lowekamp, B.;Rheingans, P.;Yoo, T.S.</t>
  </si>
  <si>
    <t>38147235600;37282292000;37418915200</t>
  </si>
  <si>
    <t>Kindlmann, G.;Reinhard, E.;Creem, S.</t>
  </si>
  <si>
    <t>37282742400;37275258400;38149521000</t>
  </si>
  <si>
    <t>480803;235201;964510</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</si>
  <si>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5123 volume data sets acquired from both a simulation phantom and actual patients.</t>
  </si>
  <si>
    <t>Wan, M.;Sadiq, A.;Kaufman, A.</t>
  </si>
  <si>
    <t>37362958300;38139540100;37268052800</t>
  </si>
  <si>
    <t>663860;567600;745280;964533;568126;745282</t>
  </si>
  <si>
    <t>Prohaska, S.;Hege, H.-C.</t>
  </si>
  <si>
    <t>37282634700;37282272000</t>
  </si>
  <si>
    <t>Baker, C.A.H.;Carpendale, M.S.T.;Prusinkiewicz, P.;Surette, M.G.</t>
  </si>
  <si>
    <t>38145765600;37326090900;37266754700;37566595500</t>
  </si>
  <si>
    <t>Baker, C.;Carpendale, S.;Prusinkiewicz, P.;Surette, M.G.</t>
  </si>
  <si>
    <t>University of Mississippi</t>
  </si>
  <si>
    <t>Tasdizen, T.;Whitaker, R.;Burchard, P.;Osher, S.</t>
  </si>
  <si>
    <t>38263106800;37267322600;38149545900;37282704100</t>
  </si>
  <si>
    <t>Tasdizen, T.;Whitaker, R.T.;Burchard, P.;Osher, S.</t>
  </si>
  <si>
    <t>Jiang, M.;Machiraju, R.;Thompson, D.</t>
  </si>
  <si>
    <t>37826582200;38268669300;38181602100</t>
  </si>
  <si>
    <t>809896;745333;745296;398877</t>
  </si>
  <si>
    <t>Lloyd, B.;Egbert, P.</t>
  </si>
  <si>
    <t>37699443600;37298442300</t>
  </si>
  <si>
    <t>745322;745280;663863;663860;745282</t>
  </si>
  <si>
    <t>State University of New York at Stony Brook Stony Brook##State University of New York at Stony Brook Stony Brook##State University of New York at Stony Brook Stony Brook##State University of New York at Stony Brook Stony Brook</t>
  </si>
  <si>
    <t>Chopra, P.;Meyer, J.;Fernandez, A.</t>
  </si>
  <si>
    <t>38155160900;37279771900;38146099300</t>
  </si>
  <si>
    <t>745329;663883;885680;745315</t>
  </si>
  <si>
    <t>Preim, B.;Tietjen, C.;Spindler, W.;Peitgen, H.-O.</t>
  </si>
  <si>
    <t>37424645300;37645846600;38149996100;37442956900</t>
  </si>
  <si>
    <t>Guthe, S.;Wand, M.;Gonser, J.;Strasser, W.</t>
  </si>
  <si>
    <t>37728224400;37397544400;38149622600;</t>
  </si>
  <si>
    <t>964531;809908;809889;398845;964519</t>
  </si>
  <si>
    <t>Bergner, S.;Moller, T.;Drew, M.S.;Finlayson, G.D.</t>
  </si>
  <si>
    <t>37418878100;37275858700;37282897100;37270741000</t>
  </si>
  <si>
    <t>964519;964515;663875</t>
  </si>
  <si>
    <t>Kniss, J.;Premoze, S.;Hansen, C.;Ebert, D.</t>
  </si>
  <si>
    <t>37324263400;38149547900;37266777200;38472157400</t>
  </si>
  <si>
    <t>Kniss, J.;Premoze, S.;Hansen, C.;Ebert, D.S.</t>
  </si>
  <si>
    <t>MRJ, Inc./ NASA Ames Research Center##MRJ, Inc./ NASA Ames Research Center##MRJ, Inc./ NASA Ames Research Center</t>
  </si>
  <si>
    <t>Gregorski, B.;Duchaineau, M.;Lindstrom, P.;Pascucci, V.;Joy, K.I.</t>
  </si>
  <si>
    <t>37267290500;37267813100;37269320000;37284312600;37267811400</t>
  </si>
  <si>
    <t>885681;964533;809878;964502;663869;885705;745300;663860;964524;885703</t>
  </si>
  <si>
    <t>Deussen, O.;Colditz, C.;Stamminger, M.;Drettakis, G.</t>
  </si>
  <si>
    <t>37266781000;38149994300;37373910900;37282911900</t>
  </si>
  <si>
    <t>663860;964491;964541_01</t>
  </si>
  <si>
    <t>MRJ, Inc./NASA Ames Research Center##MRJ, Inc./NASA Ames Research Center</t>
  </si>
  <si>
    <t>235193;745316</t>
  </si>
  <si>
    <t>Lum, E.B.;Stompel, A.;Kwan-Liu Ma</t>
  </si>
  <si>
    <t>37282576300;37947852700;37275869400</t>
  </si>
  <si>
    <t>10.1109/VISUAL.2000.885742;10.1109/TVCG.2010.166</t>
  </si>
  <si>
    <t>885742;5613473</t>
  </si>
  <si>
    <t>Museth, K.;Breen, D.E.;Zhukov, L.;Whitaker, R.T.</t>
  </si>
  <si>
    <t>37284192900;38269872200;37266085200;37267322600</t>
  </si>
  <si>
    <t>Museth, K.;Breen, D.;Zhukov, L.;Whitaker, R.T.</t>
  </si>
  <si>
    <t>Lawrence Livermore National Laboratory</t>
  </si>
  <si>
    <t>Shirah, G.W.;Mitchell, H.G.</t>
  </si>
  <si>
    <t>37283251400;38137776900</t>
  </si>
  <si>
    <t>University of Chicago####</t>
  </si>
  <si>
    <t>Aidong Lu;Morris, C.J.;Ebert, D.S.;Rheingans, P.;Hansen, C.</t>
  </si>
  <si>
    <t>38155731600;38000798200;38472157700;37282292000;37266777200</t>
  </si>
  <si>
    <t>663894;964541_01;885694;964490;964522;885696</t>
  </si>
  <si>
    <t>El-Sana, J.;Bachmat, E.</t>
  </si>
  <si>
    <t>UT Los Alamos####</t>
  </si>
  <si>
    <t>37393584400;37698248900</t>
  </si>
  <si>
    <t>809877;663860;885724;745283;480805</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</si>
  <si>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121├ù88├ù60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</si>
  <si>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37266085200;</t>
  </si>
  <si>
    <t>809886;235193;809894;745294;175771</t>
  </si>
  <si>
    <t>University of Southern California Los Angeles##University of Southern California Los Angeles</t>
  </si>
  <si>
    <t>Varadhan, G.;Manocha, D.</t>
  </si>
  <si>
    <t>37267825100;</t>
  </si>
  <si>
    <t>964502;663927;663888;964541_08</t>
  </si>
  <si>
    <t>Dey, T.K.;Hudson, J.</t>
  </si>
  <si>
    <t>37564265400;37737793900</t>
  </si>
  <si>
    <t>964489;964541_01;964491;663909</t>
  </si>
  <si>
    <t>IBM Japan Graduate##IBM Japan Graduate##IBM Japan Graduate</t>
  </si>
  <si>
    <t>Gresh, D.L.;Rabenhorst, D.A.;Shabo, A.;Slavin, S.</t>
  </si>
  <si>
    <t>37378534100;37739505800;37352131200;38138865600</t>
  </si>
  <si>
    <t>UniversitÃ¤t TÃ¼bingen##UniversitÃ¤t TÃ¼bingen##UniversitÃ¤t TÃ¼bingen</t>
  </si>
  <si>
    <t>Grigoryan, G.;Rheingans, P.</t>
  </si>
  <si>
    <t>37282290900;37282292000</t>
  </si>
  <si>
    <t>568105;885679;964541_01;480802</t>
  </si>
  <si>
    <t>State University of New York at Stony Brook##State University of New York at Stony Brook##State University of New York at Stony Brook</t>
  </si>
  <si>
    <t>Pajarola, R.;Antonijuan, M.;Lario, R.</t>
  </si>
  <si>
    <t>37282193800;38149718800;37331033400</t>
  </si>
  <si>
    <t>663860;964533;745282;745280</t>
  </si>
  <si>
    <t>State University of New York at Stony Brook##State University of New York at Stony Brook</t>
  </si>
  <si>
    <t>Kahler, R.;Cox, D.;Patterson, R.;Levy, S.;Hege, H.-C.;Abel, T.</t>
  </si>
  <si>
    <t>37282637000;38148604900;38140573600;37928834000;37282272000;37955451000</t>
  </si>
  <si>
    <t>The Cleveland Clinic Foundation##The Ohio State University##The Ohio State University##The Cleveland Clinic Foundation</t>
  </si>
  <si>
    <t>Chen, H.;Sukthankar, R.;Wallace, G.;Li, K.</t>
  </si>
  <si>
    <t>37337226600;37282878500;37425426700;37277619300</t>
  </si>
  <si>
    <t>809883;964508;885685</t>
  </si>
  <si>
    <t>Aliaga, Daniel G.;Funkhouser, T.;Yanovsky, D.;Carlbom, I.</t>
  </si>
  <si>
    <t>37270561900;37283059800;38149818000;37270560600</t>
  </si>
  <si>
    <t>Aliaga, D.;Funkhouser, T.;Yanovsky, D.;Carlbom, I.</t>
  </si>
  <si>
    <t>Naval Research Labora-tory##Naval Research Labora-tory######Naval Research Labora-tory##########Naval Research Laboratory</t>
  </si>
  <si>
    <t>Sheffer, A.;Hart, J.C.</t>
  </si>
  <si>
    <t>37281781700;37301161800</t>
  </si>
  <si>
    <t>Luke, E.J.;Hansen, C.D.</t>
  </si>
  <si>
    <t>38156610200;37266777200</t>
  </si>
  <si>
    <t>The Chinese University of Hong Kong##The Chinese University of Hong Kong</t>
  </si>
  <si>
    <t>Luke, E.J.;Hansen, C.</t>
  </si>
  <si>
    <t>663891;809878;745300</t>
  </si>
  <si>
    <t>Wei, X.;Wei Li;Mueller, K.;Kaufman, A.</t>
  </si>
  <si>
    <t>37279025800;37278915900;37273119700;37268052800</t>
  </si>
  <si>
    <t>Sigfridsson, A.;Ebbers, T.;Heiberg, E.;Wigstrom, L.</t>
  </si>
  <si>
    <t>37938415900;37830552200;37662873700;37295968100</t>
  </si>
  <si>
    <t>235193;809905;745294;480817</t>
  </si>
  <si>
    <t>IBM T.J. Watson Research Center##IBM##Pontificia Universidad Catolica##Pontificia Universidad Catolica##Pontificia Universidad Catolica##Pontificia Universidad Catolica######</t>
  </si>
  <si>
    <t>Chopra, P.;Meyer, J.</t>
  </si>
  <si>
    <t>38155160900;37279771900</t>
  </si>
  <si>
    <t>745329;663883;809867;885680;745315;809901</t>
  </si>
  <si>
    <t>Zhang, E.;Turk, G.</t>
  </si>
  <si>
    <t>38145176200;37334922800</t>
  </si>
  <si>
    <t>809869;885723</t>
  </si>
  <si>
    <t>Schmidt-Ehrenberg, J.;Baum, D.;Hege, H.-C.</t>
  </si>
  <si>
    <t>38149516900;38182750200;37282272000</t>
  </si>
  <si>
    <t>Weiskopf, D.;Engel, K.;Ertl, T.</t>
  </si>
  <si>
    <t>38470313800;37266847600;38356653000</t>
  </si>
  <si>
    <t>University Hospital Utrecht##University Hospital Utrecht##University Hospital Utrecht##University Hospital Utrecht##University Hospital Utrecht##University Hospital Utrecht##University Hospital Utrecht</t>
  </si>
  <si>
    <t>809892;964519;809884</t>
  </si>
  <si>
    <t>745316;809905;398849;175789;235193;745294</t>
  </si>
  <si>
    <t>Balmelli, L.;Morris, C.J.;Taubin, Gabriel;Bernardini, F.</t>
  </si>
  <si>
    <t>37369654900;38000798200;37282608000;38140117000</t>
  </si>
  <si>
    <t>Balmelli, L.;Morris, C.J.;Taubin, G.;Bernardini, F.</t>
  </si>
  <si>
    <t>568127;885705</t>
  </si>
  <si>
    <t>University of Utah######</t>
  </si>
  <si>
    <t>Zhang, C.;Crawfis, R.</t>
  </si>
  <si>
    <t>37274216600;37284273900</t>
  </si>
  <si>
    <t>745309;809909;885698;1183764</t>
  </si>
  <si>
    <t>DeCoro, C.;Pajarola, R.</t>
  </si>
  <si>
    <t>37330248600;37282193800</t>
  </si>
  <si>
    <t>Fraunhofer IGD University of Bremen University of Bremen##Fraunhofer IGD University of Bremen University of Bremen##Fraunhofer IGD University of Bremen University of Bremen</t>
  </si>
  <si>
    <t>663860;964502;745283;964541_08;568126;745282</t>
  </si>
  <si>
    <t>Tavanti, M.;Lind, M.</t>
  </si>
  <si>
    <t>37725243100;37561614400</t>
  </si>
  <si>
    <t>ETH ZÃ¼rich##ETH ZÃ¼rich</t>
  </si>
  <si>
    <t>This paper describes two experiments that compare four two-dimensional visualizations of hierarchies: organization chart, icicle plot, treemap, and tree ring. The visualizations are evaluated in the context of decision tree analyses prevalent in data mining applications. The results suggest that either the tree ring or icicle plot is equivalent to the organization chart.</t>
  </si>
  <si>
    <t>Barlow, T.;Neville, P.</t>
  </si>
  <si>
    <t>37733138800;37726433800</t>
  </si>
  <si>
    <t>729567;235217</t>
  </si>
  <si>
    <t>We describe a new animation technique for supporting interactive exploration of a graph. We use the wellknown radial tree layout method, in which the view is determined by the selection of a focus node. Our main contribution is a method for animating the transition to a new layout when a new focus node is selected. In order to keep the transition easy to follow, the animation linearly interpolates the polar coordinates of the nodes, while enforcing ordering and orientation constraints. We apply this technique to visualizations of social networks and of the Gnutella file-sharing network, and discuss the results from our informal usability tests.</t>
  </si>
  <si>
    <t>Ka-Ping Yee;Fisher, D.;Dhamija, R.;Hearst, M.</t>
  </si>
  <si>
    <t>37283466500;37737355700;37689382800;37611585900</t>
  </si>
  <si>
    <t>NSF Engineering Research Center for CFS Mississippi State University##NSF Engineering Research Center for CFS Mississippi State University##NSF Engineering Research Center for CFS Mississippi State University</t>
  </si>
  <si>
    <t>Posdamer, J.L.;Dantone, J.;Gershon, N.;Dale, J.;Hamburger, T.;Page, W.</t>
  </si>
  <si>
    <t>A new method for the visualization of huge hierarchical data structures is presented. The method is based on the observation that we can easily see the branches, leaves, and their arrangement in a botanical tree, despite of the large number of elements. The strand model of Holton is used to convert an abstract tree into a geometric model. Nonleaf nodes are mapped to branches and child nodes to subbranches. A naive application of this model leads to unsatisfactory results, hence it is tailored to suit our purposes better. Continuing branches are emphasized, long branches are contracted, and sets of leaves are shown as fruit. The method is applied to the visualization of directory structures. The elements, directories and files, as well as their relations can easily be extracted, thereby showing that the use of methods from botanical modeling can be effective for information visualization.</t>
  </si>
  <si>
    <t>Kleiberg, E.;van de Wetering, H.;van Wijk, J.J.</t>
  </si>
  <si>
    <t>37727886600;37294473300;37267249200</t>
  </si>
  <si>
    <t>528689;801860</t>
  </si>
  <si>
    <t>An implementation of an interactive parallel coordinate plot linked with the ArcView® geographic information system (GIS) is presented. The integrated geographic visualization system was created for the exploratory analysis of mortality data from specific cancers as they relate, specifically spatially, to other mortality causes and to demographic and socioeconomic risk factors. The linked and interactive parallel coordinate plot was tested with and compared to a similarly interactive and linked scatterplot in usability assessments designed to assess each representation’s relative effectiveness for exploration of these data sets. Evidence from these studies suggests that multivariate, spatial, and/or time series exploration is enhanced through the use of the parallel coordinate plot linked to maps.</t>
  </si>
  <si>
    <t>Edsall, R.M.;MacEachren, A.M.;Pickle, L.</t>
  </si>
  <si>
    <t>37563679500;37374699000;37374700700</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</si>
  <si>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</si>
  <si>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J.;Becker, B.</t>
  </si>
  <si>
    <t>37738449800;37730485200</t>
  </si>
  <si>
    <t>729559;636718;729565;885089;885090;528697;559226;885101</t>
  </si>
  <si>
    <t>Decision trees are one of the most popular methods of data mining. Decision trees partition large amounts of data into smaller segments by applying a series of rules. Creating and evaluating decision trees benefits greatly from visualization of the trees and diagnostic measures of their effectiveness. This paper describes an application, EMTree Results Viewer, that supports decision tree analysis through the visualization of model results and diagnosis. The functionality of the application and the visualization techniques are revealed through an example of churn analysis in the telecommunications industry.</t>
  </si>
  <si>
    <t>Change blindness occurs when people do not notice changes in visible elements of a scene. If people use an information visualization system to compare document collection subsets partitioned by their time-stamps, change blindness makes it impossible for them to recognize even very major changes, let alone minor ones. We describe theories from cognitive science that account for the change blindness phenomenon, as well as solutions developed for two visual analysis tools, a dot plot ( SPIRE Galaxies) and landscape (ThemeView™) visualizations.</t>
  </si>
  <si>
    <t>Nowell, L.;Hetzler, E.;Tanasse, T.</t>
  </si>
  <si>
    <t>37725426400;37266114100;37725416400</t>
  </si>
  <si>
    <t>636789;885099;528692;528686;528691</t>
  </si>
  <si>
    <t>A clustering and ordination algorithm suitable for mining extremely large databases, including those produced by microarray expression studies, is described and analyzed for stability. Data from a yeast cell cycle experiment with 6000 genes and 18 experimental measurements per gene are used to test this algorithm under practical conditions. The process of assigning database objects to an X,Y coordinate, ordination, is shown to be stable with respect to random starting conditions, and with respect to minor perturbations in the starting similarity estimates. Careful analysis of the way clusters typically co-locate, versus the occasional large displacements under different starting conditions are shown to be useful in interpreting the data. This extra stability information is lost when only a single cluster is reported, which is currently the accepted practice. However, it is believed that the approaches presented here should become a standard part of best practices in analyzing computer clustering of large data collections.</t>
  </si>
  <si>
    <t>Davidson, G.S.;Wylie, B.N.;Boyack, K.W.</t>
  </si>
  <si>
    <t>37726116600;38180014300;37740703900</t>
  </si>
  <si>
    <t>Davidson, G.;Wylie, B.;Boyack, K.W.</t>
  </si>
  <si>
    <t>The Ohio State University##The Ohio State University##The Ohio State University##The Ohio State University##The Ohio State University##The Ohio State University</t>
  </si>
  <si>
    <t>This paper proposes a new visualization and interaction technique for medium-sized trees, called Collapsible Cylindrical Trees (CCT). Child nodes are mapped on rotating cylinders, which will be dynamically displayed or hidden to achieve a useful balance of detail and context. Besides a comprehensible threedimensional visualization of trees, the main feature of CCT is a very fast and intuitive interaction with the displayed nodes. Only a single click is needed to reach every node and perform an action on it, such as displaying a web page. The CCT browsing technique was developed for interaction with web hierarchies but is not limited to this domain. We also present sample implementations of CCT using VRML, which show the usefulness of this intuitive tree navigation technique.</t>
  </si>
  <si>
    <t>Dachselt, R.;Ebert, J.</t>
  </si>
  <si>
    <t>37313321900;37738189700</t>
  </si>
  <si>
    <t>636718;528692;175815</t>
  </si>
  <si>
    <t>We discuss four methodologies for the application of node grouping in graph visualization. In addition, we introduce techniques for force-directed and orthogonal drawing which use node grouping information and have been shown in experiments to perform better than previous techniques. Not only do these techniques have significantly improved performance with respect to standard aesthetic measures, but they also attain qualitative improvement.</t>
  </si>
  <si>
    <t>Six, J.M.;Tollis, I.G.</t>
  </si>
  <si>
    <t>37741616100;37356017600</t>
  </si>
  <si>
    <t>This paper describes how focus+context techniques can be composed with other high-level visualization paradigms to mutual advantage. Examples are given showing composition both with a pan&amp;zoom system, and with a treemap implementation. The examples illustrate how focus+context can be used as an exploration and navigation tool within those paradigms.</t>
  </si>
  <si>
    <t>636786;235217;175815;636718;636784;559214;729558</t>
  </si>
  <si>
    <t>We introduce the notion of Graph Sketches. They can be thought of as visual indices that guide the navigation of a multi-graph too large to fit on the available display. We adhere to the Visual Information-Seeking Mantra: Overview first, zoom and filter, then details on demand. Graph Sketches are incorporated into MGV, an integrated visualization and exploration system for massive multi-digraph navigation. We highlight the main algorithmic and visualization tasks behind the computation of Graph Sketches and illustrate several application scenarios. Graph Sketches will be used to guide the navigation of multi-digraphs defined on vertex sets with sizes ranging from 100 to 250 million vertices.</t>
  </si>
  <si>
    <t>Abello, J.;Finocchi, I.;Korn, J.</t>
  </si>
  <si>
    <t>37662339600;;38179814200</t>
  </si>
  <si>
    <t>University of Utah##University of Utah##University of Utah</t>
  </si>
  <si>
    <t>Our multi-disciplinary group has developed a visual representation for cardiovascular physiological variables. This enhances a clinician_x0092_s ability to detect and rapidly respond to critical events. The integrated and intuitive display communicates a patient_x0092_s cardiovascular state so that it is easily and quickly understood without prior training. The display is designed to show patterns of functional relationships that aid in the detection, diagnosis, and treatment of a critical event.</t>
  </si>
  <si>
    <t>Agutter, J.;Syroid, N.;Drews, F.;Westenskow, Dwayne;Bermudez, J.;Strayer, D.</t>
  </si>
  <si>
    <t>37442679500;37725245800;37281841200;37293901500;37435236500;37726237200</t>
  </si>
  <si>
    <t>Agutter, J.;Syroid, N.;Drews, F.;Westenskow, D.;Bermudez, J.;Strayer, D.</t>
  </si>
  <si>
    <t>This paper introduces a graphical method for visually presenting and exploring the results of multiple queries simultaneously. This method allows a user to visually compare multiple query result sets, explore various combinations among the query result sets, and identify the "best" matches for combinations of multiple independent queries. This approach might also help users explore methods for progressively improving queries by visually comparing the improvement in result sets.</t>
  </si>
  <si>
    <t>Havre, S.;Hetzler, E.;Perrine, K.;Jurrus, E.;Miller, N.</t>
  </si>
  <si>
    <t>37282588900;37266114100;37550754400;37725413900;37728774800</t>
  </si>
  <si>
    <t>729555;745302;398863</t>
  </si>
  <si>
    <t>Treemaps, a space-filling method of visualizing large hierarchical data sets, are receiving increasing attention. Several algorithms have been proposed to create more useful displays by controlling the aspect ratios of the rectangles that make up a treemap. While these algorithms do improve visibility of small items in a single layout, they introduce instability over time in the display of dynamically changing data, and fail to preserve an ordering of the underlying data. This paper introduces the ordered treemap, which addresses these two shortcomings. The ordered treemap algorithm ensures that items near each other in the given order will be near each other in the treemap layout. Using experimental evidence from Monte Carlo trials, we show that compared to other layout algorithms ordered treemaps are more stable while maintaining relatively favorable aspect ratios of the constituent rectangles. A second test set uses stock market data.</t>
  </si>
  <si>
    <t>Shneiderman, B.;Wattenberg, M.</t>
  </si>
  <si>
    <t>37283016400;37726163800</t>
  </si>
  <si>
    <t>235217;175815</t>
  </si>
  <si>
    <t>University of Akron##Intergraph Corporation Huntsville##CFD Research Corporation</t>
  </si>
  <si>
    <t>Simple presentation graphics are intuitive and easy-to-use, but show only highly aggregated data and present only a very limited number of data values (as in the case of bar charts). In addition, these graphics may have a high degree of overlap which may occlude a significant portion of the data values (as in the case of the x-y plots). In this paper, we therefore propose a generalization of traditional bar charts and x-y-plots which allows the visualization of large amounts of data. The basic idea is to use the pixels within the bars to present the detailed information of the data records. Our so-called pixel bar charts retain the intuitiveness of traditional bar charts while allowing very large data sets to be visualized in an effective way. We show that, for an effective pixel placement, we have to solve complex optimization problems, and present an algorithm which efficiently solves the problem. Our application using real-world e-commerce data shows the wide applicability and usefulness of our new idea.</t>
  </si>
  <si>
    <t>Keim, D.;Hao, M.C.;Ladisch, J.;Hsu, M.;Dayal, U.</t>
  </si>
  <si>
    <t>37283138700;37274264300;37725326000;37275459900;37275646700</t>
  </si>
  <si>
    <t>Keim, D.A.;Hao, M.C.;Ladisch, J.;Hsu, M.;Dayal, U.</t>
  </si>
  <si>
    <t>485140;398870;801867;175794;146387;146402;528690;146386</t>
  </si>
  <si>
    <t>We present a new technique called Semantic Depth of Field (SDOF) as an alternative approach to focus-and-context displays of information. We utilize a well-known method from photography and cinematography (depth-of-field effect) for information visualization, which is to blur different parts of the depicted scene in dependence of their relevance. Independent of their spatial locations, objects of interest are depicted sharply in SDOF, whereas the context of the visualization is blurred. In this paper, we present a flexible model of SDOF which can be easily adopted to various types of applications. We discuss pros and cons of the new technique, give examples of application, and describe a fast prototype implementation of SDOF.</t>
  </si>
  <si>
    <t>Kosara, R.;Miksch, S.;Hauser, H.</t>
  </si>
  <si>
    <t>37282563400;37282584500;37274158800</t>
  </si>
  <si>
    <t>University of California##University of California##</t>
  </si>
  <si>
    <t>885698;885088</t>
  </si>
  <si>
    <t>Large test suites are frequently used to evaluate software systems and to locate errors. Unfortunately, this process can generate a huge amount of data that is difficult to interpret manually. We have created a system, TARANTULA, that visually encodes test data to help find program errors. The system uses a principled color mapping to represent source lines in passed and failed tests. It also provides a flexible user interface for examining different perspectives that show the behavior of the source code on test sets, ranging from individual tests, to important subsets such as the set of failed tests, to the entire test suite.</t>
  </si>
  <si>
    <t>Eagan, J.;Harrold, M.J.;Jones, J.A.;Stasko, J.</t>
  </si>
  <si>
    <t>37550755100;37269174100;37277753800;37267736900</t>
  </si>
  <si>
    <t>A new method for the visualization of state transition graphs is presented. Visual information is reduced by clustering nodes, forming a tree structure of related clusters. This structure is visualized in three dimensions with concepts from cone trees and emphasis on symmetry. The resulting visualization makes it easier to relate features in the visualization of the state transition graph to semantic concepts in the corresponding process and vice versa.</t>
  </si>
  <si>
    <t>van Ham, F.;van de Wetering, H.;van Wijk, J.J.</t>
  </si>
  <si>
    <t>37326291000;37294473300;37267249200</t>
  </si>
  <si>
    <t>528691;528689</t>
  </si>
  <si>
    <t>M. Sheelagh T. Carpendale;Andrew Fall;David J. Cowperthwaite;Joseph Fall;F. David Fracchia</t>
  </si>
  <si>
    <t>In this paper, we present a new approach for the visualization of time-series data based on spirals. Different to classical bar charts and line graphs, the spiral is suited to visualize large data sets and supports much better the identification of periodic structures in the data. Moreover, it supports both the visualization of nominal and quantitative data based on a similar visualization metaphor. The extension of the spiral visualization to 3D gives access to concepts for zooming and focusing and linking in the data set. As such, spirals complement other visualization techniques for time series and specifically enhance the identication of periodic patterns.</t>
  </si>
  <si>
    <t>Weber, M.;Alexa, M.;Muller, W.</t>
  </si>
  <si>
    <t>37734022800;37267466700;38184260700</t>
  </si>
  <si>
    <t>Simon Fraser University##Simon Fraser University##Simon Fraser University##Simon Fraser University##Simon Fraser University##Simon Fraser University</t>
  </si>
  <si>
    <t>175794;885098;528685</t>
  </si>
  <si>
    <t>Tory, M.;Rober, N.;Möller, T.;Celler, A.;Atkins, M.S.</t>
  </si>
  <si>
    <t>37275861300;37728232400;37275858700;37271931500;</t>
  </si>
  <si>
    <t>Tory, M.;Rober, N.;MÃ¶ller, T.;Celler, A.;Atkins, M.S.</t>
  </si>
  <si>
    <t>398877;745294;809886</t>
  </si>
  <si>
    <t>37730629300;37356207300</t>
  </si>
  <si>
    <t>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t>
  </si>
  <si>
    <t>Huang, Jian;Yan Li;Crawfis, R.;Shao-Chiung Lu;Shuh-Yuan Liou</t>
  </si>
  <si>
    <t>37367805100;37735111300;37284273900;37735230800;37723845800</t>
  </si>
  <si>
    <t>Huang, J.;Yan Li;Crawfis, R.;Shao-Chiung Lu;Shuh-Yuan Liou</t>
  </si>
  <si>
    <t>398877;485152;885698</t>
  </si>
  <si>
    <t>Lindstrom, P.;Silva, C.T.</t>
  </si>
  <si>
    <t>Netherlands Energy Vrije Universiteit##Netherlands Energy Vrije Universiteit##Netherlands Energy Vrije Universiteit##Netherlands Energy Vrije Universiteit</t>
  </si>
  <si>
    <t>37269320000;37275249200</t>
  </si>
  <si>
    <t>10.1109/VISUAL.2001.964503;10.1109/VISUAL.1999.809910;10.1109/VISUAL.1995.480813;10.1109/VISUAL.1997.663895;10.1109/VISUAL.1998.745299;10.1109/VISUAL.1997.663888;10.1109/VISUAL.1998.745314;10.1109/VISUAL.2003.1250375;10.1109/VISUAL.1998.745282</t>
  </si>
  <si>
    <t>964541_08;809910;480813;663895;745299;663888;745314;1250375;745282</t>
  </si>
  <si>
    <t>Jianbo Peng;Strela, V.;Zorin, D.</t>
  </si>
  <si>
    <t>37735346600;37353157900;37392248400</t>
  </si>
  <si>
    <t>Scheuermann, G.;Bobach, T.;Hagen, H.;Mahrous, K.;Hamann, B.;Joy, K.I.;Kollmann, W.</t>
  </si>
  <si>
    <t>37282574800;37728450600;37282578800;37728450100;37282068700;37267811400;37722986700</t>
  </si>
  <si>
    <t>Ramin Shahidi;William E. Lorensen;Ron Kikinis;John Flynn;Arie E. Kaufman;Sandy Napel</t>
  </si>
  <si>
    <t>398875;235211;485145;809896;663910</t>
  </si>
  <si>
    <t>Montgomery, K.;Bruyns, C.;Wildermuth, S.</t>
  </si>
  <si>
    <t>37329570500;37728389500;37740591600</t>
  </si>
  <si>
    <t>Arie E. Kaufman;Hanspeter Pfister;Günter Knittel;Jürgen Hesser;John C. Goble</t>
  </si>
  <si>
    <t>Westermann, R.;Sevenich, B.</t>
  </si>
  <si>
    <t>37444424000;37728226000</t>
  </si>
  <si>
    <t>663880;745713;663888;146391;398852;809911</t>
  </si>
  <si>
    <t>Zhang, S.;Demiralp, C.;Keefe, D.F.;DaSilva, M.;Laidlaw, D.H.;Greenberg, B.D.;Basser, P.J.;Pierpaoli, C.;Chiocca, E.A.;Deisboeck, T.S.</t>
  </si>
  <si>
    <t>37277708500;37728341800;37267356000;37737825600;37275712600;37741138300;37294342100;37728340200;37728344300;37728344700</t>
  </si>
  <si>
    <t>809894;885731;745336;809886</t>
  </si>
  <si>
    <t>Georges G. Grinstein;Gregory Piatetsky-Shapiro;Graham J. Wills</t>
  </si>
  <si>
    <t>Scoggins, R.;Machiraju, R.;Moorhead, R.J.</t>
  </si>
  <si>
    <t>37738265200;38268671600;37282559500</t>
  </si>
  <si>
    <t>809869;885691</t>
  </si>
  <si>
    <t>Tamara Munzner;David Banks;George Francis;Andrew J. Hanson;Loki Jörgenson</t>
  </si>
  <si>
    <t>We present the results of an evaluation of the ARCHAVE system, an immersive virtual reality environment for archaeological research. ARCHAVE is implemented in a Cave. The evaluation studied re- searchers analyzing lamp and coin finds throughout the excavation trenches at the Petra Great Temple site in Jordan. Experienced ar- 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 day architectural ruins of the temple. They also had access to a minia- ture model for site-wide analysis. Because users quickly became comfortable with the interface, they concentrated their efforts on examining the data being retrieved and displayed. The immersive VR visualization of the recovered information gave them the op- portunity to explore it in a new and dynamic way and, in several cases, enabled them to make discoveries that opened new lines of investigation about the excavation.</t>
  </si>
  <si>
    <t>Acevedo, D.;Vote, E.;Laidlaw, D.H.;Joukowsky, M.S.</t>
  </si>
  <si>
    <t>Walter, J.D.;Healey, Christopher G.</t>
  </si>
  <si>
    <t>37725610600;37298406100</t>
  </si>
  <si>
    <t>Walter, J.D.;Healey, C.</t>
  </si>
  <si>
    <t>745296;745312;809869</t>
  </si>
  <si>
    <t>Meissner, M.;Orman, J.;Braun, S.J.</t>
  </si>
  <si>
    <t>;37726539700;</t>
  </si>
  <si>
    <t>Nahum D. Gershon;Robert Braham;F. David Fracchia;Andrew S. Glassner;Barbara Mones-Hattal;Russ Rose</t>
  </si>
  <si>
    <t>Gresh, D.;Suits, F.;Yuk Yin Sham</t>
  </si>
  <si>
    <t>37378534100;37370454300;37726622500</t>
  </si>
  <si>
    <t>Gresh, D.L.;Suits, F.;Yuk Yin Sham</t>
  </si>
  <si>
    <t>Hurdal, M.K.;Kurtz, K.W.;Banks, D.C.</t>
  </si>
  <si>
    <t>37658171000;38181091300;37356983700</t>
  </si>
  <si>
    <t>University of Freiburg##Federal Institute of Technology</t>
  </si>
  <si>
    <t>Iserhardt-Bauer, S.;Hastreiter, P.;Ertl, T.;Eberhardt, K.;Tomandl, B.</t>
  </si>
  <si>
    <t>37726540500;37373297800;37268023800;37361518700;37373299500</t>
  </si>
  <si>
    <t>Zhaohua Ding;Gore, J.C.;Anderson, A.W.</t>
  </si>
  <si>
    <t>37536796300;37315469200;37726262800</t>
  </si>
  <si>
    <t>University of Minnesota##University of Minnesota##University of Minnesota##University of Minnesota</t>
  </si>
  <si>
    <t>This paper presents a novel use of visualization applied to debugging the Cplant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</si>
  <si>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Crossno, P.;Haynes, R.</t>
  </si>
  <si>
    <t>37282576500;37388414900</t>
  </si>
  <si>
    <t>Wei, X.;Kaufman, A.E.;Hallman, T.J.</t>
  </si>
  <si>
    <t>37279025800;37268052800;37376928400</t>
  </si>
  <si>
    <t>Wei, X.;Kaufman, A.;Hallman, T.J.</t>
  </si>
  <si>
    <t>636786;559214;346340</t>
  </si>
  <si>
    <t>Mitsubishi Electric Corporation Tsukaguchi-Honmachi##Shinshu University</t>
  </si>
  <si>
    <t>Kraus, M.;Ertl, T.</t>
  </si>
  <si>
    <t>37284293000;37268023800</t>
  </si>
  <si>
    <t>Levy, B.;Caumon, G.;Conreaux, S.;Cavin, X.</t>
  </si>
  <si>
    <t>37554667100;37726780800;37726788400;37442790400</t>
  </si>
  <si>
    <t>Ho, J.;Kuang-Chih Lee;Kriegman, D.</t>
  </si>
  <si>
    <t>37273198100;;37269726900</t>
  </si>
  <si>
    <t>663902;745327;809870</t>
  </si>
  <si>
    <t>Kanitsar, A.;Fleischmann, D.;Wegenkittl, R.;Sandner, D.;Felkel, P.;Groller, E.</t>
  </si>
  <si>
    <t>37282727500;37282581000;37267822600;37728392500;37267788200;37284271200</t>
  </si>
  <si>
    <t>Simon Fraser University University of Victoria Burnaby####Simon Fraser University University of Victoria Burnaby</t>
  </si>
  <si>
    <t>Isenburg, M.;Gumhold, S.;Gotsman, C.</t>
  </si>
  <si>
    <t>37281897600;37565742800;37281769000</t>
  </si>
  <si>
    <t>Tricoche, X.;Scheuermann, G.;Hagen, H.</t>
  </si>
  <si>
    <t>37282575100;37282574800;37282578800</t>
  </si>
  <si>
    <t>Brown University Providence</t>
  </si>
  <si>
    <t>885716;745318;175773;809907</t>
  </si>
  <si>
    <t>Wan, M.;Dachille, F.;Kaufman, A.</t>
  </si>
  <si>
    <t>37362958300;37374524900;37268052800</t>
  </si>
  <si>
    <t>663915;885675</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</si>
  <si>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are unaware of any other technique that directly addresses this problem. Furthermore, we speculate that the general predictive monitoring framework introduced here is capable of addressing more general radiometric consistency problems such as display-surface inter-reflections and the changes in display color and intensity due to projector bulb temperature variation.Using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to remove shadows in a multi-projector front projection system.</t>
  </si>
  <si>
    <t>Xerox Palo Alto Research Center##Xerox Palo Alto Research Center</t>
  </si>
  <si>
    <t>Jaynes, C.;Webb, S.;Steele, R.M.;Brown, M.;Seales, W.B.</t>
  </si>
  <si>
    <t>Jaynes, C.;Webb, S.;Steele, R.M.;Brown, M.S.;Seales, W.B.</t>
  </si>
  <si>
    <t>964541_03</t>
  </si>
  <si>
    <t>809883;809890;885684;885685;885712</t>
  </si>
  <si>
    <t>Carnegie Mellon University Robotics Institute##Carnegie Mellon University Robotics Institute##Carnegie Mellon University Robotics Institute</t>
  </si>
  <si>
    <t>The growing availability of massive polygonal models, and the inability of most existing visualization tools to work with such data, has created a pressing need for memory efficient methods capable of simplifying very large meshes. In this paper, we present a method for performing adaptive simplification of polygonal meshes that are too large to fit in-core.Our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</si>
  <si>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Shaffer, E.;Garland, M.</t>
  </si>
  <si>
    <t>964541_08</t>
  </si>
  <si>
    <t>964502;745282;745314</t>
  </si>
  <si>
    <t>Ubilab Union Bank of Switzerland##Ubilab Union Bank of Switzerland##Ubilab Union Bank of Switzerland##Ubilab Union Bank of Switzerland</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</si>
  <si>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</si>
  <si>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van Wijk, J.J.;Telea, A.</t>
  </si>
  <si>
    <t>964541_09</t>
  </si>
  <si>
    <t>528686;801860;398875</t>
  </si>
  <si>
    <t>Silicon Graphics Inc</t>
  </si>
  <si>
    <t>Zwicker, M.;Pfister, H.;van Baar, J.;Gross, Markus</t>
  </si>
  <si>
    <t>37282240200;37275698100;37324479700;37275694700</t>
  </si>
  <si>
    <t>Zwicker, M.;Pfister, H.;van Baar, J.;Gross, M.</t>
  </si>
  <si>
    <t>480796;663882;745309;567608;809909</t>
  </si>
  <si>
    <t>Xerox PARC##Xerox PARC</t>
  </si>
  <si>
    <t>Pekar, V.;Wiemker, R.;Hempel, D.</t>
  </si>
  <si>
    <t>37727283800;37330700700;37728309400</t>
  </si>
  <si>
    <t>480803;663875;568112</t>
  </si>
  <si>
    <t>Gavriliu, M.;Carranza, J.;Breen, D.E.;Barr, A.H.</t>
  </si>
  <si>
    <t>37726527300;37726527100;38269871600;37360174300</t>
  </si>
  <si>
    <t>Gavriliu, M.;Carranza, J.;Breen, D.;Barr, A.</t>
  </si>
  <si>
    <t>Multidimensional Graphs Ltd y &amp; Computer Science Department Tel Aviv University</t>
  </si>
  <si>
    <t>Litke, N.;Levin, A.;Schröder, P.</t>
  </si>
  <si>
    <t>Litke, N.;Levin, A.;SchrÃ¶der, P.</t>
  </si>
  <si>
    <t>964541_05</t>
  </si>
  <si>
    <t>Welsh, T.;Mueller, K.;Wei Zhu;Volkow, N.;Meade, J.</t>
  </si>
  <si>
    <t>37738942000;37273119700;37732295200;37268388100;37737725700</t>
  </si>
  <si>
    <t>NSF Engineering Research Center for Computational Field Simulation####</t>
  </si>
  <si>
    <t>Weiler, Manfred;Ertl, T.</t>
  </si>
  <si>
    <t>37268043100;37268023800</t>
  </si>
  <si>
    <t>Weiler, M.;Ertl, T.</t>
  </si>
  <si>
    <t>Cohen, J.D.;Aliaga, Daniel G.;Weiqiang Zhang</t>
  </si>
  <si>
    <t>37275763600;37270561900;37734062500</t>
  </si>
  <si>
    <t>Cohen, J.D.;Aliaga, D.;Weiqiang Zhang</t>
  </si>
  <si>
    <t>663909;568124;745314;745283;663883;745312;964541_01;663908;663865</t>
  </si>
  <si>
    <t>Road State University of New York at Stony Brook Naperville##Road State University of New York at Stony Brook Naperville</t>
  </si>
  <si>
    <t>El-Sana, J.;Sokolovsky, N.;Silva, C.T.</t>
  </si>
  <si>
    <t>37393584400;37564187400;38183059100</t>
  </si>
  <si>
    <t>809877;809875;663860;568117;885724;745283;480805</t>
  </si>
  <si>
    <t>UniversitÃ¤t Erlangen-NÃ¼rnberg##UniversitÃ¤t Erlangen-NÃ¼rnberg</t>
  </si>
  <si>
    <t>Kniss, J.;Kindlmann, G.;Hansen, C.</t>
  </si>
  <si>
    <t>37324263400;37282742400;37266777200</t>
  </si>
  <si>
    <t>480803;809908;809889;568112;663875</t>
  </si>
  <si>
    <t>University of British Columbia EECS Department##University of British Columbia EECS Department##University of British Columbia EECS Department##University of British Columbia EECS Department</t>
  </si>
  <si>
    <t>Jobard, B.;Erlebacher, G.;Hussaini, M.Y.</t>
  </si>
  <si>
    <t>964541_04</t>
  </si>
  <si>
    <t>885689;346311;485146;885689</t>
  </si>
  <si>
    <t>Hubeli, A.;Gross, Markus</t>
  </si>
  <si>
    <t>37728303800;37275694700</t>
  </si>
  <si>
    <t>Hubeli, A.;Gross, M.</t>
  </si>
  <si>
    <t>885721;885722</t>
  </si>
  <si>
    <t>Vilanova Bartroli, A.V.;Wegenkittl, R.;Konig, A.;Groller, E.</t>
  </si>
  <si>
    <t>37728231400;37267822600;38180242000;38471589800</t>
  </si>
  <si>
    <t>636786;809914</t>
  </si>
  <si>
    <t>Stanford University Technion, I.I.T. Stanford##Stanford University Technion, I.I.T. Stanford##Stanford University Stanford</t>
  </si>
  <si>
    <t>Lexing Ying;Zorin, D.</t>
  </si>
  <si>
    <t>37729225400;37392248400</t>
  </si>
  <si>
    <t>Grinspun, E.;Schroder, P.</t>
  </si>
  <si>
    <t>37689431900;37282570000</t>
  </si>
  <si>
    <t>Theussl, T.;Möller, T.;Groller, M.E.</t>
  </si>
  <si>
    <t>;37275858700;37282552200</t>
  </si>
  <si>
    <t>Theussl, T.;MÃ¶ller, T.;Groller, E.</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</si>
  <si>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 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</si>
  <si>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Gubin, A.;Yurcik, W.;Brumbaugh, L.</t>
  </si>
  <si>
    <t>UCSD / SDSC##University of California at San Diego and San Diego Supercomputer Center</t>
  </si>
  <si>
    <t>Ruigang Yang;Gotz, D.;Hensley, J.;Towles, H.;Brown, M.S.</t>
  </si>
  <si>
    <t>37277874700;37601397400;37274010000;38278187600;37277811200</t>
  </si>
  <si>
    <t>885685;809890;809883;885712</t>
  </si>
  <si>
    <t>Alexa, M.;Behr, J.;Cohen-Or, D.;Fleishman, S.;Levin, D.;Silva, C.T.</t>
  </si>
  <si>
    <t>38364210100;38349065800;38312453500;38309847700;38275357700;37275249200</t>
  </si>
  <si>
    <t>663930;745327</t>
  </si>
  <si>
    <t>Technion -Israel Institute of Technology Haifa 32000##Technion -Israel Institute of Technology Haifa 32000</t>
  </si>
  <si>
    <t>Chen, B.;Nguyen, M.X.</t>
  </si>
  <si>
    <t>UniversitÃ di Genova Enrico Puppo Istituto per la Matematica Applicata â€“ Consiglio Nazionale delle Ricerche y##UniversitÃ di Genova Enrico Puppo Istituto per la Matematica Applicata â€“ Consiglio Nazionale delle Ricerche y</t>
  </si>
  <si>
    <t>964541_01</t>
  </si>
  <si>
    <t>Laidlaw, D.H.;Kirby, R.M.;Davidson, J.S.;Miller, T.S.;da Silva, M.;Warren, W.H.;Tarr, M.</t>
  </si>
  <si>
    <t>37275712600;37275716100;;37275704000;37275705800;37275701800;37275702700</t>
  </si>
  <si>
    <t>175773;809905</t>
  </si>
  <si>
    <t>Guthe, S.;Strasser, W.</t>
  </si>
  <si>
    <t>37728224400;</t>
  </si>
  <si>
    <t>Rainer Wegenkittl;Helwig Löffelmann;Eduard Gröller</t>
  </si>
  <si>
    <t>Vienna University of Technology##Vienna University of Technology##Vienna University of Technology</t>
  </si>
  <si>
    <t>Mroz, L.;Hauser, H.</t>
  </si>
  <si>
    <t>37282641800;37274158800</t>
  </si>
  <si>
    <t>10.1109/VISUAL.2000.885726;10.1109/VISUAL.1998.745311;10.1109/VISUAL.2000.885694;10.1109/VISUAL.2000.885729;10.1109/TVCG.2011.216;10.1109/VISUAL.1994.346340;10.1109/VISUAL.1999.809878;10.1109/VISUAL.2000.885697</t>
  </si>
  <si>
    <t>885726;745311;885694;885729;6064976;346340;809878;885697</t>
  </si>
  <si>
    <t>Tenginakai, S.;Jinho Lee;Machiraju, R.</t>
  </si>
  <si>
    <t>37728294500;37735408000;38268672500</t>
  </si>
  <si>
    <t>745319;663875;568112</t>
  </si>
  <si>
    <t>Museth, K.;Barr, A.;Lo, M.W.</t>
  </si>
  <si>
    <t>37284192900;37360174300;</t>
  </si>
  <si>
    <t>We review several schemes for dividing cubical cells into simplices (tetrahedra) in 3-D for interpolating from sampled data to R 3 or for computing isosurfaces by barycentric interpolation. We present test data that reveal the geometric artifacts that these subdivision schemes generate, and discuss how these artifacts relate to the filter kernels that correspond to the subdivision schemes.</t>
  </si>
  <si>
    <t>Carr, H.;Moller, T.;Snoeyink, J.</t>
  </si>
  <si>
    <t>37282624500;38341222900;37282623700</t>
  </si>
  <si>
    <t>Yong Zhou;Baoquan Chen;Arie E. Kaufman</t>
  </si>
  <si>
    <t>663887;568103;175782;663869;663885;663886</t>
  </si>
  <si>
    <t>Presents an efficient method to automatically compute a smooth approximation of large functional scattered data sets given over arbitrarily shaped planar domains. Our approach is based on the construction of a C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</si>
  <si>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Haber, J.;Zeilfelder, F.;Davydov, O.;Seidel, H.-P.</t>
  </si>
  <si>
    <t>37267942700;37565780500;37728419900;37271851300</t>
  </si>
  <si>
    <t>Montgomery, K.;Heinrichs, L.R.;Bruyns, C.;Wildermuth, S.;Hasser, C.;Ozenne, S.;Bailey, D.</t>
  </si>
  <si>
    <t>Arizona State University Tempe##Arizona State University Tempe##Arizona State University Tempe</t>
  </si>
  <si>
    <t>37329570500;37728393600;37728389500;37740591600;37374937200;37728394300;37726358800</t>
  </si>
  <si>
    <t>Mississippi State University####Mississippi State University##Mississippi State University</t>
  </si>
  <si>
    <t>Lum, E.B.;Ma, K.-L.;Clyne, J.</t>
  </si>
  <si>
    <t>Lum, E.B.;Kwan-Liu Ma;Clyne, J.</t>
  </si>
  <si>
    <t>964541_06</t>
  </si>
  <si>
    <t>809910;346321;480809;346341;809879</t>
  </si>
  <si>
    <t>Rogowitz, B.;Kalvin, A.D.</t>
  </si>
  <si>
    <t>37332114400;37377332600</t>
  </si>
  <si>
    <t>Ziegeler, S.;Moorhead, R.J.;Croft, P.J.;Duanjun Lu</t>
  </si>
  <si>
    <t>37400175300;37282559500;38180788900;37731096900</t>
  </si>
  <si>
    <t>Purdue University West Lafayette##Purdue University West Lafayette##Purdue University West Lafayette</t>
  </si>
  <si>
    <t>Schulze, R.P.;Niemeier, R.;Lang, U.</t>
  </si>
  <si>
    <t>38470437100;37728226600;37738451400</t>
  </si>
  <si>
    <t>567603;809872</t>
  </si>
  <si>
    <t>Burkle, D.;Preusser, T.;Rumpf, M.</t>
  </si>
  <si>
    <t>37726857000;37282573000;37268036500</t>
  </si>
  <si>
    <t>480817;346312;809894;663898;809904;663912</t>
  </si>
  <si>
    <t>Dey, T.K.;Giesen, J.;Goswami, S.;Hudson, J.;Wenger, R.;Wulue Zhao</t>
  </si>
  <si>
    <t>37564265400;37325999500;37737624500;37737793900;37284274100;37734316500</t>
  </si>
  <si>
    <t>663909;885718</t>
  </si>
  <si>
    <t>Otaduy, M.A.;Lin, M.C.</t>
  </si>
  <si>
    <t>37282557800;37278387400</t>
  </si>
  <si>
    <t>Intel Corporation##Intel Corporation##Intel Corporation##Intel Corporation</t>
  </si>
  <si>
    <t>885686;568108</t>
  </si>
  <si>
    <t>Fattal, R.;Lischinski, D.</t>
  </si>
  <si>
    <t>37728395400;37418740700</t>
  </si>
  <si>
    <t>398877;663875</t>
  </si>
  <si>
    <t>Bryan, J.;Stredney, D.;Wiet, G.;Sessanna, D.</t>
  </si>
  <si>
    <t>University of Alabama at Birmingham##University of Alabama at Birmingham</t>
  </si>
  <si>
    <t>Hahn, H.K.;Preim, B.;Selle, D.;Peitgen, H.-O.</t>
  </si>
  <si>
    <t>37729702200;37424645300;37728223900;37442956900</t>
  </si>
  <si>
    <t>Lindstrom, P.;Pascucci, V.</t>
  </si>
  <si>
    <t>37269320000;38262213400</t>
  </si>
  <si>
    <t>663860;663895;745280;663863;480805;663862;885699;745342;568125;745282</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</si>
  <si>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</si>
  <si>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Pingali, G.;Opalach, A.;Jean, Y.;Carlbom, I.</t>
  </si>
  <si>
    <t>964541_07</t>
  </si>
  <si>
    <t>Kao, D.;Dungan, J.L.;Pang, A.</t>
  </si>
  <si>
    <t>37339406400;37295769200;37267352000</t>
  </si>
  <si>
    <t>J. Edward Swan II;Klaus Mueller;Torsten Möller;Naeem Shareef;Roger Crawfis;Roni Yagel</t>
  </si>
  <si>
    <t>The Ohio State University####The Ohio State University##The Ohio State University##The Ohio State University##The Ohio State University##The Ohio State University</t>
  </si>
  <si>
    <t>This paper 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</si>
  <si>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Dong, F.;Clapworthy, G.J.;Krokos, M.</t>
  </si>
  <si>
    <t>Dong, F.;Clapworthy, G.;Krokos, M.</t>
  </si>
  <si>
    <t>964541_02</t>
  </si>
  <si>
    <t>663882;346340;809911;745309;809909;745311;663848</t>
  </si>
  <si>
    <t>Bertram, M.;Laney, D.E.;Duchaineau, M.A.;Hansen, C.D.;Hamann, B.;Joy, K.I.</t>
  </si>
  <si>
    <t>37282067000;37281901900;37267813100;37266777200;37282068700;37267811400</t>
  </si>
  <si>
    <t>Bertram, M.;Laney, D.;Duchaineau, M.;Hansen, C.;Hamann, B.;Joy, K.I.</t>
  </si>
  <si>
    <t>346332;885720;885716;885705</t>
  </si>
  <si>
    <t>Severance, K.;Brewstel, P.;Lazos, B.;Keefe, D.</t>
  </si>
  <si>
    <t>Severance, K.;Brewstel, P.;Lazos, B.;Keefe, D.F.</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</si>
  <si>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</si>
  <si>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Kreuseler, M.;Lopez, N.;Schumann, H.</t>
  </si>
  <si>
    <t>37938665500;38025121600;37283240400</t>
  </si>
  <si>
    <t>146402;636759;567745;663916;528686;528691;729564;175815</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</si>
  <si>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</si>
  <si>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Chi, Ed H.</t>
  </si>
  <si>
    <t>636761;636792;729560</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</si>
  <si>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</si>
  <si>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Brewer, I.;MacEachren, A.M.;Abdo, H.;Gundrum, J.;Otto, G.</t>
  </si>
  <si>
    <t>38018021800;37374699000;38015217400;38015217200;38016367600</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</si>
  <si>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</si>
  <si>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Buscher, M.;Shapiro, D.;Christensen, M.;Mogensen, P.;Orbaek, P.</t>
  </si>
  <si>
    <t>38026813600;38031107700;37442180300;38017841600;38018324800</t>
  </si>
  <si>
    <t xml:space="preserve">Information visualization, architecture, work materials, context, 
spatio-temporal order, electronic workspace </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</si>
  <si>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</si>
  <si>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Herman, I.;Marshall, M.S.;Melancon, G.</t>
  </si>
  <si>
    <t>38196438600;38253081000;37283186100</t>
  </si>
  <si>
    <t>801859;175773;801858;146360</t>
  </si>
  <si>
    <t>MRJ/NASA Ames Research Center MRJ/NASA Ames Research Center Microcomputer Research Labs##MRJ/NASA Ames Research Center MRJ/NASA Ames Research Center Microcomputer Research Labs</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</si>
  <si>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</si>
  <si>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Stasko, J.;Zhang, E.</t>
  </si>
  <si>
    <t>37267736900;38020590400</t>
  </si>
  <si>
    <t>801860;235217;729567;175815</t>
  </si>
  <si>
    <t>Ochanomizu University##Ochanomizu University##Sony Corporation</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</si>
  <si>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</si>
  <si>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528686;235198</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</si>
  <si>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</si>
  <si>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Fujishiro, I.;Ichikawa, Y.;Furuhata, R.;Takeshima, Y.</t>
  </si>
  <si>
    <t>37282596600;37618383200;38015236500;37282600100</t>
  </si>
  <si>
    <t>636788;663889;636792;146375</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</si>
  <si>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</si>
  <si>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Olston, C.;Woodruff, A.</t>
  </si>
  <si>
    <t>37371920000;37354912800</t>
  </si>
  <si>
    <t>University of California San Diego##University of California</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</si>
  <si>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</si>
  <si>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Yang-Pelaez, J.;Flowers, W.C.</t>
  </si>
  <si>
    <t>38015163000;</t>
  </si>
  <si>
    <t>636792;528691</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</si>
  <si>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</si>
  <si>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Pu, P.;Lalanne, D.</t>
  </si>
  <si>
    <t>37390082400;38335809700</t>
  </si>
  <si>
    <t>University of Southern California##University of Southern California##University of Southern California</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</si>
  <si>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</si>
  <si>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Leuski, A.;Allan, J.</t>
  </si>
  <si>
    <t>37846700600;37647480800</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</si>
  <si>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</si>
  <si>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Russo dos Santos, C.;Gros, P.;Abel, P.;Loisel, D.;Trichaud, N.;Paris, J.P.</t>
  </si>
  <si>
    <t>38255198800;37267120600;37443165700;37442603000;37442602300;38255941300</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</si>
  <si>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</si>
  <si>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Overbye, T.J.;Weber, J.D.</t>
  </si>
  <si>
    <t>37272088600;37333495700</t>
  </si>
  <si>
    <t>Mellon University##Carnegie Mellon University</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</si>
  <si>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</si>
  <si>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Stolte, C.;Hanrahan, P.</t>
  </si>
  <si>
    <t>37442008700;37349803800</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</si>
  <si>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ÔÇ£focusÔÇØ and ÔÇ£contextÔÇØ in focus+context techniques change in order to fit new areas of use for information visualization</t>
  </si>
  <si>
    <t>Bjork, S.;Redstrom, J.</t>
  </si>
  <si>
    <t>Institute for Computer Applications in Science and Engineering (ICASE) NASA Langley Research Center##Institute for Computer Applications in Science and Engineering (ICASE) NASA Langley Research Center</t>
  </si>
  <si>
    <t>37444610400;37444612100</t>
  </si>
  <si>
    <t>636786;801857</t>
  </si>
  <si>
    <t>ThemeRiverTM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</si>
  <si>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Havre, S.;Hetzler, B.;Nowell, L.</t>
  </si>
  <si>
    <t>37282588900;37374614800;37725426400</t>
  </si>
  <si>
    <t>Havre, S.;Hetzler, E.;Nowell, L.</t>
  </si>
  <si>
    <t>528686;636789;729555</t>
  </si>
  <si>
    <t>This paper introduces a number of general methods for visualizing commonality in sets of text files. Each visualization simultaneously compares one file in the set to all other files in the set. These visualizations, which can be computed in O(n) time and space, are explained and then applied to the problem of detecting plagiarism in large computer science classes. A case study is presented and sample visualizations are provided. Finally, a new interactive tool that can be used to produce and manipulate these visualizations is presented.</t>
  </si>
  <si>
    <t>Ribler, R. L.;Abrams, M.</t>
  </si>
  <si>
    <t>885105_1</t>
  </si>
  <si>
    <t>398883;480794</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</si>
  <si>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</si>
  <si>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Abello, J.;Korn, J.</t>
  </si>
  <si>
    <t>37662339600;38179814200</t>
  </si>
  <si>
    <t>visualization, massive data sets, graphs, hierarchies,
out-of-core algorithms</t>
  </si>
  <si>
    <t>729567;480803;398870</t>
  </si>
  <si>
    <t>A sequential pattern in data mining is a finite series of elements such as AÔåÆBÔåÆCÔåÆD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</si>
  <si>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Pak Chung Wong;Cowley, W.;Foote, H.;Jurrus, E.;Thomas, J.</t>
  </si>
  <si>
    <t>37280665600;37672002300;37372586800;37725413900;37273308900</t>
  </si>
  <si>
    <t>729553;729555;745302;528686;801866;636791</t>
  </si>
  <si>
    <t>Lakare, S.;Wan, M.;Sato, M.;Kaufman, A.</t>
  </si>
  <si>
    <t>37282740200;37362958300;37732410200;37268052800</t>
  </si>
  <si>
    <t xml:space="preserve">Volume Segmentation, Segmentation Rays, Partial
Volume Voxels, Volume Rendering, Virtual Endoscopy, Virtual
Colonoscopy
</t>
  </si>
  <si>
    <t>Swan, J.E.;Lanzagorta, M.;Maxwell, D.;Kuo, E.;Uhlmann, J.;Anderson, W.;Haw-Jye Shyu;Smith, W.</t>
  </si>
  <si>
    <t>37295140400;37295678700;38028495400;37372263000;37264967300;37290721200;37618138200;38020250500</t>
  </si>
  <si>
    <t>Rainer Wegenkittl;Eduard Gröller</t>
  </si>
  <si>
    <t>Vienna University of Technology##Vienna University of Technology</t>
  </si>
  <si>
    <t>MRJ Technology Solutions NASA Ames Research Center NASA Ames Research Center##MRJ Technology Solutions NASA Ames Research Center NASA Ames Research Center</t>
  </si>
  <si>
    <t>A new method for the simplification of flow fields is presented. It is based on continuous clustering. A well-known physical clustering model, the Cahn Hillard model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patterns—the actual clustering — and meanwhile the underlying simulation data specifies preferable pattern boundaries. Here we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</si>
  <si>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Garcke, H.;Preuer, T.;Rumpf, M.;Telea, A.;Weikard, U.;van Wijk, J.J.</t>
  </si>
  <si>
    <t>809865;480817;346313;809863;485141;809892;567777;809904</t>
  </si>
  <si>
    <t>Verma, V.;Kao, D.;Pang, A.</t>
  </si>
  <si>
    <t>37273605600;37339406400;37267352000</t>
  </si>
  <si>
    <t>146359;745291;175773;346312;146360;480819;663899;745295;809906</t>
  </si>
  <si>
    <t>Westermann, R.;Johnson, C.;Ertl, T.</t>
  </si>
  <si>
    <t>37444424000;37276931400;37268023800</t>
  </si>
  <si>
    <t>Westermann, R.;Johnson, C.R.;Ertl, T.</t>
  </si>
  <si>
    <t>809865;809892;398877;235211;663912;809863;398875;398875;663898;663859;346312</t>
  </si>
  <si>
    <t>37399870300;37275869400</t>
  </si>
  <si>
    <t>809871;480821</t>
  </si>
  <si>
    <t>809863;745318;175773;809907;663858</t>
  </si>
  <si>
    <t>University of North Carolina at Chapel Hill##University of North Carolina at Chapel Hill</t>
  </si>
  <si>
    <t>Hietala, R.;Oikarinen, J.</t>
  </si>
  <si>
    <t>38015320500;37992690100</t>
  </si>
  <si>
    <t>663915;745337;745713;809912;809914</t>
  </si>
  <si>
    <t>Majumder, A.;Zhu He;Towles, H.;Welch, G.</t>
  </si>
  <si>
    <t>Johns Hopkins University##Johns Hopkins University</t>
  </si>
  <si>
    <t>38477162600;38024209800;37298881100;37300645000</t>
  </si>
  <si>
    <t>Fenlon, A.J.;David, T.;Walton, J.P.R.B.</t>
  </si>
  <si>
    <t>37725037700;37739474000;37282730800</t>
  </si>
  <si>
    <t>Fenlon, A.J.;David, T.;Walton, J.</t>
  </si>
  <si>
    <t>Clarenz, U.;Diewald, U.;Rumpf, M.</t>
  </si>
  <si>
    <t>37268037900;37449648400;37268036500</t>
  </si>
  <si>
    <t>University of Florida Gainesville##University of Florida Gainesville##University of Florida Gainesville</t>
  </si>
  <si>
    <t>Chen, Y.;Clark, D.W.;Finkelstein, A.;Housel, T.C.;Li, K.</t>
  </si>
  <si>
    <t>37423646500;37333576800;37429653900;37443159300;37277619300</t>
  </si>
  <si>
    <t>Chen, Y.;Clark, D.;Finkelstein, A.;Housel, T.C.;Li, K.</t>
  </si>
  <si>
    <t>Muraki, S.;Nakai, T.;Kita, Y.</t>
  </si>
  <si>
    <t>37378239800;37409357900;37278620500</t>
  </si>
  <si>
    <t>UniversitÃ¤t Erlangen-NÃ¼rnberg##UniversitÃ¤t Erlangen-NÃ¼rnberg##UniversitÃ¤t Erlangen-NÃ¼rnberg</t>
  </si>
  <si>
    <t xml:space="preserve">We present a segmentation approach to scientific visualization that combines the definition of higher-level data, the efficient extraction of meaningful derived feature-like data from defined properties, and the effective visual representation of the extracted data. Our frame- work is aimed at multi-valued time-varying data sets, where, for example, grid vertices might have a multitude of associated scalar, vector and tensor quantities. This “segmentation” approach to massive data set exploration allows the user to focus upon regions, and interactively explore these regions efficiently. The challenge is to generate this segmented data from existing multi-valued data sets, store this data in an efficient scheme, generate the boundaries of each region, and display these boundaries to the user. We present an integrated scheme that allows a common representation for seg- mentation, allows it to be applied to a number of data types, and allows derived representations to be calculated. We illustrate this framework with examples from scalar-and vector-field visualization.
</t>
  </si>
  <si>
    <t>Bennett, J.;Mahrou, K.;Hamann, B.;Joy, K.I.</t>
  </si>
  <si>
    <t>Bennett, J.C.;Mahrou, K.;Hamann, B.;Joy, K.I.</t>
  </si>
  <si>
    <t>346332;663871;885717</t>
  </si>
  <si>
    <t>Bemis, K.G.;Silver, D.;Rona, P.;Chengwei Feng</t>
  </si>
  <si>
    <t>37282733100;37274132700;37282733200;38021818900</t>
  </si>
  <si>
    <t>Bemis, K.;Silver, D.;Rona, P.;Chengwei Feng</t>
  </si>
  <si>
    <t>745347;480789;346297;398901;567807</t>
  </si>
  <si>
    <t>Bitter, I.;Sato, M.;Bender, M.;McDonnell, K.T.;Kaufman, A.;Wan, M.</t>
  </si>
  <si>
    <t>37300365400;37732410200;37265216900;37882660300;37268052800;37362958300</t>
  </si>
  <si>
    <t>Engel, K.;Hastreiter, P.;Tomandl, B.;Eberhardt, K.;Ertl, T.</t>
  </si>
  <si>
    <t>37266847600;37373297800;37373299500;37361518700;37268023800</t>
  </si>
  <si>
    <t>Bonnell, K.S.;Schikore, D.R.;Joy, K.I.;Duchaineau, M.;Hamann, B.</t>
  </si>
  <si>
    <t>37550791600;37355637500;37267811400;37267813100;37282068700</t>
  </si>
  <si>
    <t>Bonnell, K.;Schikore, D.R.;Joy, K.I.;Duchaineau, M.;Hamann, B.</t>
  </si>
  <si>
    <t>175782;663887;663869</t>
  </si>
  <si>
    <t>MRJ Technology Solutions Inc. Massachusetts Institute of Technology##MRJ Technology Solutions Inc. Massachusetts Institute of Technology</t>
  </si>
  <si>
    <t>Richly expressive information visualizations are difficult to design and rarely found. Few software tools can generate multidimensional visualizations at all, let alone incorporate artistic detail. Althrough,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</si>
  <si>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 xml:space="preserve">Humphrey, Matthew C. </t>
  </si>
  <si>
    <t>Scoggins, R.K.;Machiraju, R.;Moorhead, R.J.</t>
  </si>
  <si>
    <t>MRJ Technology Solutions y</t>
  </si>
  <si>
    <t>37738265200;37269516700;37282559500</t>
  </si>
  <si>
    <t>568126;745282</t>
  </si>
  <si>
    <t>Old Dominion University##Old Dominion University</t>
  </si>
  <si>
    <t>The concept of fairing applied to irregular triangular meshes has become more and more important. Previous contributions constructed better fairing operators, and applied them both to multiresolution editing tools and to multiresolution representations of meshes. In this paper, we generalize these powerful techniques to handle non-manifold models. Our framework computes a multilevel fairing of models by fairing both the two-manifold surfaces that define the model, the so-called two 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</si>
  <si>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Robbins, K.A.;Gorman, M.</t>
  </si>
  <si>
    <t>ABB Corp. Research Ltd</t>
  </si>
  <si>
    <t>37282602100;38182206800</t>
  </si>
  <si>
    <t>809882;568117;485141</t>
  </si>
  <si>
    <t>Huang, Jian;Mueller, K.;Shareef, N.;Crawfis, R.</t>
  </si>
  <si>
    <t>37367805100;37273119700;37355552900;37284273900</t>
  </si>
  <si>
    <t>Huang, J.;Mueller, K.;Shareef, N.;Crawfis, R.</t>
  </si>
  <si>
    <t>809909;398877;809872</t>
  </si>
  <si>
    <t>Devillers, O.;Gandoin, P.-M.</t>
  </si>
  <si>
    <t>37390088800;37314223500</t>
  </si>
  <si>
    <t>663902;809902;809868</t>
  </si>
  <si>
    <t>Suya You;Lichan Hong;Ming Wan;Kittiboon Junyaprasert;Arie E. Kaufman;Shigeru Muraki;Yong Zhou;Mark Wax;Zhengrong Liang</t>
  </si>
  <si>
    <t>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t>
  </si>
  <si>
    <t>Sprenger, T.C.;Brunella, R.;Gross, M.H.</t>
  </si>
  <si>
    <t>37374656700;38015068600;37275694700</t>
  </si>
  <si>
    <t>Sprenger, T.C.;Brunella, R.;Gross, M.</t>
  </si>
  <si>
    <t>clustering, categorization, partitioning, information
visualization, non-linear dimensionality reduction, physics-based
graph layout, cluster visualization, multidimensional information
visualization</t>
  </si>
  <si>
    <t>636759;528691;729561</t>
  </si>
  <si>
    <t>37267249300;37324424400;37324426600</t>
  </si>
  <si>
    <t>480817;745324</t>
  </si>
  <si>
    <t>University of Massachusetts Lowell Lowell##University of Massachusetts Lowell Lowell##University of Massachusetts Lowell Lowell##Boston University Boston##Boston University Boston</t>
  </si>
  <si>
    <t>Rottger, S.;Kraus, M.;Ertl, T.</t>
  </si>
  <si>
    <t>37357145300;37284293000;37268023800</t>
  </si>
  <si>
    <t>Volume Rendering, Isosurfaces, Unstructured
Meshes, Cell Projection, Graphics Hardware, Texture Mapping, Compositing</t>
  </si>
  <si>
    <t>398846;346320;809887;346308;885688;346306;663853;809878;568127;480806;745300;568121;745713</t>
  </si>
  <si>
    <t>Polytechnical University of Catalonia##Polytechnical University of Catalonia##Polytechnical University of Catalonia</t>
  </si>
  <si>
    <t>This paper 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</si>
  <si>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Qu, H.;Wan, M;Qin, J.;Kaufman, A.</t>
  </si>
  <si>
    <t>Qu, H.;Wan, M.;Qin, J.;Kaufman, A.</t>
  </si>
  <si>
    <t>Image-based rendering, ray casting, voxel-based modeling,
terrain rendering</t>
  </si>
  <si>
    <t>235190;745305;809900</t>
  </si>
  <si>
    <t>Forsberg, A.;Laidlaw, D.H.;van Dam, A.;Kirby, R.M.;Kafniadakis, G.E.;Elion, J.L.</t>
  </si>
  <si>
    <t>37612088000;37275712600;37426649000;37275716100;;37390773900</t>
  </si>
  <si>
    <t>Ljung, P.;Dieckmann, M.;Andersson, N.;Ynnerman, A.</t>
  </si>
  <si>
    <t>37284208400;37325011700;37328079900;37284192000</t>
  </si>
  <si>
    <t>Huitema, H.;van Liere, R.</t>
  </si>
  <si>
    <t>38015187400;37282925600</t>
  </si>
  <si>
    <t>The Weizmann Institute of Science Technion â€“ Israel Institute of Technology Rehovot</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</si>
  <si>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</si>
  <si>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Nooruddin, F.S.;Turk, G.</t>
  </si>
  <si>
    <t>Visibility, Surface Classification, Rendering,
Interior Surfaces</t>
  </si>
  <si>
    <t>663909;480795;568111</t>
  </si>
  <si>
    <t>Bhaniramka, P.;Wenger, R.;Crawfis, R.</t>
  </si>
  <si>
    <t>37284272700;37284274100;37284273900</t>
  </si>
  <si>
    <t>235222;745315;398869;663885;809879;568103;663886;175821;175782;745298</t>
  </si>
  <si>
    <t>Mroz, L.;Wegenkittl, R.;Groller, E.</t>
  </si>
  <si>
    <t>37282641800;37267822600;37284271200</t>
  </si>
  <si>
    <t>Holly E. Rushmeier;Richard D. Lawrence;George Almási</t>
  </si>
  <si>
    <t>Wegenkittl, R.;Vilanova, A.;Hegedust, B.;Wagner, Daniel;Freund, M.C.;Groller, E.M.</t>
  </si>
  <si>
    <t>37267822600;37282551500;38015263000;37273372000;38028756700;38185405200</t>
  </si>
  <si>
    <t>Wegenkittl, R.;Vilanova, A.;Hegedust, B.;Wagner, D.;Freund, M.C.;Groller, E.</t>
  </si>
  <si>
    <t>809912;745337;809911</t>
  </si>
  <si>
    <t>Shamir, A.;Pascucci, V.;Bajaj, C.</t>
  </si>
  <si>
    <t>37266753700;37284312600;37282899200</t>
  </si>
  <si>
    <t>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t>
  </si>
  <si>
    <t>Shamir, A.;Pascucci, V.;Bajaj, C.L.</t>
  </si>
  <si>
    <t>663865;809869;809910;809879;745329;568126;745282;663883</t>
  </si>
  <si>
    <t>809918;146359;480821;809897</t>
  </si>
  <si>
    <t>In this paper we are presenting a novel architecture which allows rendering of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</si>
  <si>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809877;480805</t>
  </si>
  <si>
    <t>Wright, H.;Brodlie, K.;David, T.</t>
  </si>
  <si>
    <t>37609618400;37271754900;37739474000</t>
  </si>
  <si>
    <t>809921;485157;745351;398895;398857;485143</t>
  </si>
  <si>
    <t>We present a novel approach to surface reconstruction based on the Delaunay complex. First we give a simple and fast algorithm that picks locally a surface at each vertex. For that, we introduce the concept of ╬╗-intervals.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</si>
  <si>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Adamy, U.;Giesen, J.;John, M.</t>
  </si>
  <si>
    <t>38015316100;37325999500;38027270700</t>
  </si>
  <si>
    <t>Chuan-Kai Yang;Mitra, T.;Tzi-cker Chiueh</t>
  </si>
  <si>
    <t>37558175900;37282510200;37273336700</t>
  </si>
  <si>
    <t>Concerns the development of non-photorealistic rendering techniques for volume visualisation. In particular, we present two pen-and-ink rendering methods, a 3D method based on non-photorealistic solid textures, and a 2+D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</si>
  <si>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Treavett, S.M.F.;Chen, M.</t>
  </si>
  <si>
    <t>37725999600;38026251100</t>
  </si>
  <si>
    <t>University of Mississippi##University of Mississippi##University of Mississippi##University of Mississippi</t>
  </si>
  <si>
    <t>Bonneau, G.-P.;Hahmann, S.</t>
  </si>
  <si>
    <t>37368609100;37378532500</t>
  </si>
  <si>
    <t>Cedilnik, A.;Rheingans, P.</t>
  </si>
  <si>
    <t>38018584500;37282292000</t>
  </si>
  <si>
    <t>346317;568111;568109</t>
  </si>
  <si>
    <t>GE Corporate Research &amp; Development Niskayuna##GE Corporate Research &amp; Development Niskayuna</t>
  </si>
  <si>
    <t>Chapman, P.;Wills, D.;Stevens, P.;Brookes, G.</t>
  </si>
  <si>
    <t>37364789000;37368030400;37373315000;37372177500</t>
  </si>
  <si>
    <t>whole field modelling, seabed
visualization, sonar technology</t>
  </si>
  <si>
    <t>809926;745348</t>
  </si>
  <si>
    <t>Weiskopf, D.;Kobras, D.;Ruder, H.</t>
  </si>
  <si>
    <t>38470313600;38015244300;37565759500</t>
  </si>
  <si>
    <t>663887;346337</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</si>
  <si>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 outstripping the capabilities of the visualization tools available to the research team. As part of the Army Engineer Research and Development Center (ERDC) Programming Environment and Training (PET) project, a special visualization tool was developed. This paper includes discussions on how the simulation data are handled efficiently, as well as how the issues of usability, flexibility and collaboration are addressed.</t>
  </si>
  <si>
    <t>Stein, A.;Shih, A. M.;Baker, M. P.;Cerco, C. F.;Noel, M. R.</t>
  </si>
  <si>
    <t>Stein, A.;Shih, A.M.;Baker, M. P.;Cerco, C.F.;Noel, M.R.</t>
  </si>
  <si>
    <t>567746_1</t>
  </si>
  <si>
    <t>Texas A&amp;M University##Texas A&amp;M University</t>
  </si>
  <si>
    <t>Wood, Z.J.;Desbrun, M.;Schroder, P.;Breen, D.</t>
  </si>
  <si>
    <t>38014682800;37332366200;37282570000;37349884100</t>
  </si>
  <si>
    <t>Lawrence, D.A.;Lee, C.D.;Pao, Lucy Y.;Novoselov, R.Y.</t>
  </si>
  <si>
    <t>37270752800;37280408300;37270749300;37270750300</t>
  </si>
  <si>
    <t>Lawrence, D.A.;Lee, C.D.;Pao, L.Y.;Novoselov, R.Y.</t>
  </si>
  <si>
    <t>745296;745333;568108</t>
  </si>
  <si>
    <t>Suits, F.;Klosowski, J.T.;Horn, W.P.;Lecina, G.</t>
  </si>
  <si>
    <t>37370454300;37442701500;37361807200;38015271000</t>
  </si>
  <si>
    <t>Suits, F.;Klosowski, J.T.;Horn, W.;Lecina, G.</t>
  </si>
  <si>
    <t>simplification, polygonal path, mesh, CAD/CAM,
FEM, cartography</t>
  </si>
  <si>
    <t>Cignoni, P.;Costanza, D.;Montani, C.;Rocchini, C.;Scopigno, R.</t>
  </si>
  <si>
    <t>37265783400;38015245400;37265786500;37333160000;37270887900</t>
  </si>
  <si>
    <t>Simplicial Complexes, Mesh Simplification,
Volume Visualization, Unstructured Grids</t>
  </si>
  <si>
    <t>745315;663907;745329;745312</t>
  </si>
  <si>
    <t>Gregory, A.;Mascarenhas, A.;Ehmann, S.;Ming Lin;Manocha, D.</t>
  </si>
  <si>
    <t>37362087700;38030858700;37449231600;37278387400;38470517600</t>
  </si>
  <si>
    <t>Roxborough, T.;Nielson, G.M.</t>
  </si>
  <si>
    <t>37373016900;37283754100</t>
  </si>
  <si>
    <t>Dollner, J.;Baumann, K.;Hinrichs, K.</t>
  </si>
  <si>
    <t>38471840600;37884503800;38472676700</t>
  </si>
  <si>
    <t>745322;745285;809869;745283;745342;480805;809900;745280</t>
  </si>
  <si>
    <t>Gerstner, T.;Pajarola, R.</t>
  </si>
  <si>
    <t>38015261400;37282193800</t>
  </si>
  <si>
    <t>568127;663907;663909;745300;346334;663869</t>
  </si>
  <si>
    <t>Lodha, S.K.;Renteria, J.C.;Roskin, K.M.</t>
  </si>
  <si>
    <t>38479728800;37658638100;38015336900</t>
  </si>
  <si>
    <t>Lancaster University * Box##Lancaster University * Box</t>
  </si>
  <si>
    <t>809865;745291;809907;745297;809863;809897;175773;663858;745284</t>
  </si>
  <si>
    <t>Wei-Chao Wen;Towles, H.;Nyland, L.;Welch, G.;Fuchs, H.</t>
  </si>
  <si>
    <t>;37298881100;37347602300;37300645000;37285537200</t>
  </si>
  <si>
    <t>568125;663893</t>
  </si>
  <si>
    <t>Hauser, H.;Mroz, L.;Bischi, G.-I.;Groller, M.E.</t>
  </si>
  <si>
    <t>37274158800;37282641800;38015245800;38471589000</t>
  </si>
  <si>
    <t>Hauser, H.;Mroz, L.;Bischi, G.-I.;Groller, E.</t>
  </si>
  <si>
    <t>745311;809887;568112</t>
  </si>
  <si>
    <t>Hunter, A.;Cohen, J.D.</t>
  </si>
  <si>
    <t>38023544500;37275763600</t>
  </si>
  <si>
    <t>Pak Chung Wong;Foote, H.;Leung, R.;Jurrus, E.;Adams, D.;Thomas, J.</t>
  </si>
  <si>
    <t>37280665600;37372586800;37443545300;37725413900;38022952100;37273308900</t>
  </si>
  <si>
    <t>809907;809865</t>
  </si>
  <si>
    <t>Korea University University of California Seoul##Korea University University of California Seoul</t>
  </si>
  <si>
    <t>Distance judgments are difficult in current virtual environments,limiting their effectiveness in conveying spatial information. This problem is apparent when contact occurs while a user is manipulating objects. In particular, the computer graphics used to support current 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</si>
  <si>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Hu, H.H;Gooch, A.A.;Thompson, W.B.;Smits, B.E.;Rieser, J.J.;Shirley, P.</t>
  </si>
  <si>
    <t>Lucent Technologies (Bell Laboratories)</t>
  </si>
  <si>
    <t>480821;745331</t>
  </si>
  <si>
    <t>Carnegie Mellon University Pittsburgh</t>
  </si>
  <si>
    <t>De Leeuw, W.C.;van Liere, R.;Verschure, P.J.;Visser, A.E.;Manders, E.M.M.;van Driel, R.</t>
  </si>
  <si>
    <t>37327212900;37282925600;;;;37281621600</t>
  </si>
  <si>
    <t>de Leeuw, W.;van Liere, R.;Verschure, P.J.;Visser, A.E.;Manders, E.M.M.;van Driel, R.</t>
  </si>
  <si>
    <t>Schussman, G.;Kwan-Liu Ma;Schissel, D.;Evans, T.</t>
  </si>
  <si>
    <t>37283639900;37275869400;37267819800;37428337500</t>
  </si>
  <si>
    <t>Hotz, I.;Hagen, H.</t>
  </si>
  <si>
    <t>37282721800;37282578800</t>
  </si>
  <si>
    <t>Los Alamos National Laboratory</t>
  </si>
  <si>
    <t>Rheingans, P.;desJardins, M.</t>
  </si>
  <si>
    <t>37282292000;37552291200</t>
  </si>
  <si>
    <t>663922;729553;146402;663868</t>
  </si>
  <si>
    <t>Nadeau, David R.;Bailey, M.J.</t>
  </si>
  <si>
    <t>37374054100;37280473500</t>
  </si>
  <si>
    <t>Nadeau, D.R.;Bailey, M.</t>
  </si>
  <si>
    <t>University of Munich####Martin-Luther-University Halle-Wittenberg</t>
  </si>
  <si>
    <t>Ebert, D.;Rheingans, P.</t>
  </si>
  <si>
    <t>38472155500;37282292000</t>
  </si>
  <si>
    <t>Ebert, D.S.;Rheingans, P.</t>
  </si>
  <si>
    <t>568111;745294;480795;885696;745319;809905;809932;146391</t>
  </si>
  <si>
    <t>University of Minnesota##University of Minnesota</t>
  </si>
  <si>
    <t>Gresh, D.L.;Rogowitz, B.E.;Winslow, R.L.;Scollan, D.F.;Yung, C.K.</t>
  </si>
  <si>
    <t>37378534100;37332114400;37330343000;37443860200;38021754100</t>
  </si>
  <si>
    <t>Gresh, D.L.;Rogowtiz, B.;Winslow, R.L.;Scollan, D.F.;Yung, C.K.</t>
  </si>
  <si>
    <t>235219;809894;528688;175794;559210</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</si>
  <si>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</si>
  <si>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Shiozawa, H.;Okada, K.;Matsushita, Y.</t>
  </si>
  <si>
    <t>37438109600;37280640100;37336155800</t>
  </si>
  <si>
    <t>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t>
  </si>
  <si>
    <t>Swiss Federal Institute of Technology (ETH)##Swiss Federal Institute of Technology (ETH)##Swiss Federal Institute of Technology (ETH)##Swiss Federal Institute of Technology (ETH)</t>
  </si>
  <si>
    <t>Penn State University##</t>
  </si>
  <si>
    <t>Carnegie Mellon University Pittsburgh######Carnegie Mellon University Pittsburgh########Carnegie Mellon University Pittsburgh</t>
  </si>
  <si>
    <t>UCSC##UCSC##UCSC</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</si>
  <si>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</si>
  <si>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Bjork, S.;Holmquist, L.E.;Redstrom, J.</t>
  </si>
  <si>
    <t>37444610400;37296141000;37444612100</t>
  </si>
  <si>
    <t>636786;729558</t>
  </si>
  <si>
    <t>Many real-world KDD (Knowledge Discovery &amp;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</si>
  <si>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Hao, M.C.;Dayal, U.;Hsu, M.;Baker, J.;D'Eletto, R.</t>
  </si>
  <si>
    <t>37274264300;37275646700;37275459900;37431347900;37442793100</t>
  </si>
  <si>
    <t>745301;398870</t>
  </si>
  <si>
    <t>Sony Computer Science Laboratories Inc</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</si>
  <si>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</si>
  <si>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745301;528684</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</si>
  <si>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</si>
  <si>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The George Washington University##University of Maryland Baltimore County##The George Washington University</t>
  </si>
  <si>
    <t>van Wijk, J.J.;Van Selow, E.R.</t>
  </si>
  <si>
    <t>37267249200;37444386900</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</si>
  <si>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</si>
  <si>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Munzner, T.;Guimbretiere, F.;Robertson, G.</t>
  </si>
  <si>
    <t>37349490300;37442823600;37448060300</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</si>
  <si>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</si>
  <si>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van Wijk, J.J.;van de Wetering, H.</t>
  </si>
  <si>
    <t>37267249200;37294473300</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</si>
  <si>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</si>
  <si>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Bederson, B.B.;Boltman, A.</t>
  </si>
  <si>
    <t>37279760100;37444492400</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</si>
  <si>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</si>
  <si>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Espinosa, O.J.;Hendrickson, C.;Garrett, J.H.</t>
  </si>
  <si>
    <t>37444499700;37340027400;37353587300</t>
  </si>
  <si>
    <t>559210;175815</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</si>
  <si>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</si>
  <si>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Wilson, R.M.;Bergeron, R.D.</t>
  </si>
  <si>
    <t>37435209300;37342054500</t>
  </si>
  <si>
    <t>528689;729564;175815</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</si>
  <si>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</si>
  <si>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Derthick, M.;Harrison, J.;Moore, A.;Roth, S.F.</t>
  </si>
  <si>
    <t>37444609500;37449036300;37365431000;37357418100</t>
  </si>
  <si>
    <t>10.1109/INFVIS.2004.27;10.1109/INFVIS.1997.636790</t>
  </si>
  <si>
    <t>1382887;636790</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</si>
  <si>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</si>
  <si>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Rodden, K.;Basalaj, W.;Sinclair, D.;Wood, K.</t>
  </si>
  <si>
    <t>37442752800;37442753400;37356022100;37447647700</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</si>
  <si>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</si>
  <si>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Ying-Huey Fua;Ward, M.O.;Rundensteiner, E.A.</t>
  </si>
  <si>
    <t>37445066400;37268441700;37279217900</t>
  </si>
  <si>
    <t>146402;559216;485139;346302;809866;567800;175815;729564</t>
  </si>
  <si>
    <t>Hiroshima Institute of Technology##Hiroshima Institute of Technology##Hiroshima Institute of Technology##Hiroshima Institute of Technology</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</si>
  <si>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â€œvisual sensemakingâ€_x009d_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</si>
  <si>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Chi, Ed H.;Card, S.K.</t>
  </si>
  <si>
    <t>37448030800;37444594200</t>
  </si>
  <si>
    <t>Chi, E.H.;Card, S.K.</t>
  </si>
  <si>
    <t>528691;528689;528686;729560;398870;528692</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</si>
  <si>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â€œblack boxesâ€_x009d_,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â€œordering problemâ€_x009d_ in parallel coordinates. The algorithm is display independent, hence it can be applied to very large in size and number of variables datasets. Though it is instructive to present the results visually, the input size is no longer display-limited as for visual data mining</t>
  </si>
  <si>
    <t>Inselberg, A.;Avidan, T.</t>
  </si>
  <si>
    <t>37294162600;37444484200</t>
  </si>
  <si>
    <t>Microsoft Research</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</si>
  <si>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</si>
  <si>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Rose, S.J.</t>
  </si>
  <si>
    <t>729569;559228;729555;729568</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</si>
  <si>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</si>
  <si>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Higgins, M.;Lucas, P.;Sean, J.</t>
  </si>
  <si>
    <t>37445884600;37305539000;</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</si>
  <si>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</si>
  <si>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Stolte, C.;Bosche, R.;Hanrahan, P.;Rosenblum, M.</t>
  </si>
  <si>
    <t>37442008700;37446738400;37349803800;37272956900</t>
  </si>
  <si>
    <t>An association rule in data mining is an implication of the form Xâ†’Y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</si>
  <si>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Pak Chung Wong;Whitney, P.;Thomas, J.</t>
  </si>
  <si>
    <t>37280665600;37363311600;37273308900</t>
  </si>
  <si>
    <t>729553;745302;729555;528686;636791</t>
  </si>
  <si>
    <t>Maslak, Z.;Steel, D.J.;McDermott, R.</t>
  </si>
  <si>
    <t>37444462500;37435955500;38185363300</t>
  </si>
  <si>
    <t>Humphreys, G.;Hanrahan, P.</t>
  </si>
  <si>
    <t>37282717500;37349803800</t>
  </si>
  <si>
    <t>TICAM University of Texas##TICAM University of Texas##TICAM University of Texas</t>
  </si>
  <si>
    <t>Han-Wei Shen;Chiang, L.-J.;Kwan-Liu Ma</t>
  </si>
  <si>
    <t>37279493500;37432119900;37275869400</t>
  </si>
  <si>
    <t>745713;663888;567609;745298;480809</t>
  </si>
  <si>
    <t>Wernert, E.A.;Hanson, A.J.</t>
  </si>
  <si>
    <t>37371964800;37333439100</t>
  </si>
  <si>
    <t>745326;663876</t>
  </si>
  <si>
    <t>Istituto di Elaborazione dell'Informazione â€“ Consiglio Nazionale delle Ricerche##Istituto di Elaborazione dell'Informazione â€“ Consiglio Nazionale delle Ricerche##Istituto di Elaborazione dell'Informazione â€“ Consiglio Nazionale delle Ricerche##Istituto di Elaborazione dell'Informazione â€“ Consiglio Nazionale delle Ricerche</t>
  </si>
  <si>
    <t>Law, C.C.;Schroeder, W.J.;Martin, K.M.;Temkin, J.</t>
  </si>
  <si>
    <t>37440637300;37282730100;37436263300;37436172400</t>
  </si>
  <si>
    <t>Law, C.C.;Schroeder, W.J.;Martin, K.;Temkin, J.</t>
  </si>
  <si>
    <t>663895;663888;745299;745297;663910</t>
  </si>
  <si>
    <t>745321;398877</t>
  </si>
  <si>
    <t>Gresh, D.L.;Rogowitz, B.E.;Tignor, M.S.;Mayland, E.J.</t>
  </si>
  <si>
    <t>37378534100;37332114400;37442791100;37388974800</t>
  </si>
  <si>
    <t>Gresh, D.L.;Rogowtiz, B.;Tignor, M.S.;Mayland, E.J.</t>
  </si>
  <si>
    <t>Hadap, S.;Bongarter, E.;Volino, P.;Magnenat-Thalmann, N.</t>
  </si>
  <si>
    <t>37442663900;;37329410200;37273859600</t>
  </si>
  <si>
    <t>Preusser, T.;Rumpf, M.</t>
  </si>
  <si>
    <t>37282573000;37268036500</t>
  </si>
  <si>
    <t>LMC -CNRS##LMC -CNRS</t>
  </si>
  <si>
    <t>398875;480817;346312;663912;567784;663898</t>
  </si>
  <si>
    <t>Fujishiro, I.;Azuma, T.;Takeshima, Y.</t>
  </si>
  <si>
    <t>37282596600;37446215100;37282600100</t>
  </si>
  <si>
    <t>An application of C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</si>
  <si>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Scheuermann, G.;Tricoche, X.;Hagen, H.</t>
  </si>
  <si>
    <t>37282574800;37282575100;37282578800</t>
  </si>
  <si>
    <t>vector field visualization, topology, critical point the-
ory, C1-interpolation</t>
  </si>
  <si>
    <t>175773;745284;745296</t>
  </si>
  <si>
    <t>MRJ Technology Solutions Inc</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</si>
  <si>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topologics.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</si>
  <si>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Heckel, B.;Weber, G.;Hamann, B.;Joy, K.I.</t>
  </si>
  <si>
    <t>University of Southern California##University of Southern California</t>
  </si>
  <si>
    <t>37350243300;37411444100;37282068700;37267811400</t>
  </si>
  <si>
    <t>Heckel, B.;Weber, G.H.;Hamann, B.;Joy, K.I.</t>
  </si>
  <si>
    <t>663871;745318</t>
  </si>
  <si>
    <t>Nielson, G.M.;Holliday, D.;Roxborough, T.</t>
  </si>
  <si>
    <t>37283754100;37435908900;37373016900</t>
  </si>
  <si>
    <t>745328;663860</t>
  </si>
  <si>
    <t>Stanford University##Stanford University##Stanford University Stanford</t>
  </si>
  <si>
    <t>Chakaveh, S.;Zlender, U.;Skaley, D.;Fostiropoulos, K.;Breitschwerdt, D.</t>
  </si>
  <si>
    <t>37444666900;37444667200;37444667000;;37444665300</t>
  </si>
  <si>
    <t>Winkler, C.;Bosquet, F.;Cavin, X.;Paul, J.-C.</t>
  </si>
  <si>
    <t>37434681200;37442790800;37442790400;37344169100</t>
  </si>
  <si>
    <t>Manaster, C.J.;Nanthakumar, E.;Morin, P.A.</t>
  </si>
  <si>
    <t>37442793900;37442794100;37436538600</t>
  </si>
  <si>
    <t>Pagendarm, H.-G.;Henne, B.;Rutten, M.</t>
  </si>
  <si>
    <t>37372011800;37442793000;37437412100</t>
  </si>
  <si>
    <t>398849;663910;346327;568137</t>
  </si>
  <si>
    <t>Yoo, T.S.;Rheingans, P.</t>
  </si>
  <si>
    <t>37418915200;37282292000</t>
  </si>
  <si>
    <t>745337;745336</t>
  </si>
  <si>
    <t>Gueziec, A.;Bossen, F.;Taubin, Gabriel;Silva, C.</t>
  </si>
  <si>
    <t>37372281700;37344705800;37282608000;38183059100</t>
  </si>
  <si>
    <t>Gueziec, A.;Bossen, F.;Taubin, G.;Silva, C.T.</t>
  </si>
  <si>
    <t>663902;745327</t>
  </si>
  <si>
    <t>Meissner, M.;Hoffmann, U.;Strasser, W.</t>
  </si>
  <si>
    <t>;37427047000;</t>
  </si>
  <si>
    <t>Fröhlich, B.;Barrass, S.;Zehner, B.;Plate, J.;Gobel, M.</t>
  </si>
  <si>
    <t>37431929300;37267284400;37433845400;37442670800;37378253100</t>
  </si>
  <si>
    <t>745317;175771</t>
  </si>
  <si>
    <t>A method for comparing three-dimensional vector fields constructed from simple critical points is described. This method is a natural extension of the previous work [1]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therefore stored for each field, a significant amount of compression occurs.</t>
  </si>
  <si>
    <t>Batra, R. K.;Hesselink, L.</t>
  </si>
  <si>
    <t>Batra, R.;Hesselink, L.</t>
  </si>
  <si>
    <t>745291;745332</t>
  </si>
  <si>
    <t>Chen, B.;Dachille, F.;Kaufman, A.</t>
  </si>
  <si>
    <t>37367422700;37374524900;37268052800</t>
  </si>
  <si>
    <t>Feibush, E.;Gagvani, N.;Williams, D.</t>
  </si>
  <si>
    <t>37267816200;37374453500;37438974300</t>
  </si>
  <si>
    <t>346302;801858;567800;485140;146386;146402;729557;485139</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</si>
  <si>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 3 volumetric data sets at 10-30 Hz. We describe the theory and implementation of our algorithm, and shows its superiority over the shear-warp factorization approach.</t>
  </si>
  <si>
    <t>Wan, M.;Kaufman, A.;Bryson, S.</t>
  </si>
  <si>
    <t>37362958300;37268052800;37388808200</t>
  </si>
  <si>
    <t>346319;146377;809914;235231;745713</t>
  </si>
  <si>
    <t>Kindlmann, G.;Weinstein, D.</t>
  </si>
  <si>
    <t>37282742400;37337510400</t>
  </si>
  <si>
    <t>146373;235193;567777;745294</t>
  </si>
  <si>
    <t>480821;568112</t>
  </si>
  <si>
    <t>Irregular tetrahedral meshes, which are popular in many engineering and scientific applications, often contain a large number of vertices. A mesh of V vertices and T tetrahedra requires 48 V bits or less to store the vertex coordinates, 4·T·log 2(V) bits to store the tetrahedra-vertex incidence relations, also called connectivity information, and kV bits to store the k-bit value samples associated with the vertices. Given that T is 5 to 7 times larger than V and that V often exceeds 32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</si>
  <si>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Pajarola, R.;Rossignac, Jarek;Szymczak, A.</t>
  </si>
  <si>
    <t>37282193800;37267045200;37330183900</t>
  </si>
  <si>
    <t>Pajarola, R.;Rossignac, J.;Szymczak, A.</t>
  </si>
  <si>
    <t>745315;745329</t>
  </si>
  <si>
    <t>Bartz, D.;Strasser, W.;Skalej, M.;Welte, D.</t>
  </si>
  <si>
    <t>37448237300;;37442720700;37442718400</t>
  </si>
  <si>
    <t>745337;663915</t>
  </si>
  <si>
    <t>Rezk-Salama, C.;Hastreiter, P.;Teitzel, C.;Ertl, T.</t>
  </si>
  <si>
    <t>37442697900;37373297800;37427416100;37268023800</t>
  </si>
  <si>
    <t>398877;398846;485141;346313;346314;146391;663898;663897;663899</t>
  </si>
  <si>
    <t>Shaw, C.D.;Hall, J.A.;Ebert, D.S.;Roberts, D.A.</t>
  </si>
  <si>
    <t>37358198200;37433595700;38472155500;37342992000</t>
  </si>
  <si>
    <t>Shaw, C.;Hall, J.A.;Ebert, D.S.;Roberts, D.A.</t>
  </si>
  <si>
    <t>485141;568109</t>
  </si>
  <si>
    <t>The work presents interactive flow visualization techniques specifically adapted for PowerFLOW TM, a lattice based CFD code from the EXA corporation. Their Digital Physics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</si>
  <si>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Schulz, M.;Reck, F.;Bertelheimer, W.;Ertl, T.</t>
  </si>
  <si>
    <t>37365039500;37444668100;;37268023800</t>
  </si>
  <si>
    <t>Sutton, P.;Hansen, C.D.</t>
  </si>
  <si>
    <t>37446214800;37266777200</t>
  </si>
  <si>
    <t>Sutton, P.;Hansen, C.</t>
  </si>
  <si>
    <t>745343;568121;745299;745298;663895;663888;568133;568123;745350;745311;485154;663913</t>
  </si>
  <si>
    <t>Engel, K.;Westermann, R.;Ertl, T.</t>
  </si>
  <si>
    <t>37266847600;37444424000;37268023800</t>
  </si>
  <si>
    <t>663891;568121;480806;175782;745300;568127</t>
  </si>
  <si>
    <t>Moran, P.J.;Henze, C.</t>
  </si>
  <si>
    <t>37264891100;37373380100</t>
  </si>
  <si>
    <t>235219;663888;568115;346311;398860;146360;663898;480821</t>
  </si>
  <si>
    <t>Chen, B.;Swan, J.E.;Kuo, E.;Kaufman, A.</t>
  </si>
  <si>
    <t>37367422700;37295140400;37372263000;37268052800</t>
  </si>
  <si>
    <t>745344;567746_2;745282</t>
  </si>
  <si>
    <t>Kreeger, K.;Kaufman, A.</t>
  </si>
  <si>
    <t>37374702800;37268052800</t>
  </si>
  <si>
    <t>Raskar, R.;Brown, M.S.;Ruigang Yang;Wei-Chao Chen;Welch, G.;Towles, H.;Scales, B.;Fuchs, H.</t>
  </si>
  <si>
    <t>37271940800;37277811200;37277874700;37440192900;37300645000;38278187300;;37285537200</t>
  </si>
  <si>
    <t>We present a multiresolution technique for interactive texture-basedvolume visualization of very large data sets. This method uses anadaptive scheme that renders the volume in a region-of-interest ata high resolution and the volume away from this region at progressivelylower resolutions. The algorithm is based on the segmentationof texture space into an octree, where the leaves of the tree definethe original data and the internal nodes define lower-resolutionversions. Rendering is done adaptively by selecting high-resolutioncells close to a center of attention and low-resolution cells awayfrom this area. We limit the artifacts introduced by this method bymodifying the transfer functions in the lower-resolution data setsand utilizing spherical shells as a proxy geometry. It is possibleto use this technique to produce viewpoint-dependent renderings ofvery large data sets.</t>
  </si>
  <si>
    <t>La Mar, E. C.;Hamann, B.;Joy K. I.</t>
  </si>
  <si>
    <t>La Mar, E.C.;Hamann, B.;Joy, K.I.</t>
  </si>
  <si>
    <t>745312;745285;745314;663908</t>
  </si>
  <si>
    <t>567784;663899;663898;346313;745332;745324;568116</t>
  </si>
  <si>
    <t>Bajaj, C.L.;Pascucci, V.;Zhuang, G.</t>
  </si>
  <si>
    <t>37282899200;37284312600;37368523400</t>
  </si>
  <si>
    <t>745283;663883</t>
  </si>
  <si>
    <t>In this paper we present a mesh compression method based on a multiresolution decomposition whose detail coefficients have a compact representation and thus smaller entropy than the original mesh. Given an arbitrary triangular mesh with an irregular connectivity, we use a hierarchical simplification scheme, which generates a multiresolution model. By reversing the process we define a hierarchical progressive refinement process, where a simple prediction plus a correction is used for inserting vertices to form a finer level. We show how the connectivity of an arbitrary triangulation can be encoded efficiently by a coloring technique, and recovered incrementally during the progressive reconstruction of the original mesh.</t>
  </si>
  <si>
    <t>Cohen-Or, D.;Levin, D.;Remez, O.</t>
  </si>
  <si>
    <t>Davis, D.;Ribarsky, W.;Jiang, T.Y.;Fanst, N.;Ho, S.</t>
  </si>
  <si>
    <t>37358762700;37300425000;37366640700;;37439703400</t>
  </si>
  <si>
    <t>745342;663888;745299</t>
  </si>
  <si>
    <t>Klosowski, J.T.;Silva, C.T.</t>
  </si>
  <si>
    <t>37442701500;38183059100</t>
  </si>
  <si>
    <t>480817;346327;175789</t>
  </si>
  <si>
    <t>El-Sana, J.;Azanli, E.;Varshney, A.</t>
  </si>
  <si>
    <t>37393584400;37444429000;37282560200</t>
  </si>
  <si>
    <t>568125;745314;663902;745283;480805</t>
  </si>
  <si>
    <t>Crossno, P.;Angel, E.</t>
  </si>
  <si>
    <t>37282576500;37284249400</t>
  </si>
  <si>
    <t>663930;745286</t>
  </si>
  <si>
    <t>Mueller, K.;Moller, T.;Crawlis, R.</t>
  </si>
  <si>
    <t>37273119700;37275858700;</t>
  </si>
  <si>
    <t>745713;745311;567608;663848;745309;398877;346340</t>
  </si>
  <si>
    <t>Sahasrabudhe, N.;West, J.E.;Machiraju, R.;Janus, M.</t>
  </si>
  <si>
    <t>37442614000;37432010800;37269516700;37442611400</t>
  </si>
  <si>
    <t>663848;146360</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</si>
  <si>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In this paper,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diffusion-based propagation technique, and has the effect of stabilizing the tracking. To demonstrate the efficacy of tensorlines, we apply this method to the neuroscience problem of tracking white-matter bundles within the brain.</t>
  </si>
  <si>
    <t>Weinstein, D.;Kindlmann, G.;Lundberg, E.</t>
  </si>
  <si>
    <t>398849;175789;235193;485141;745294;809886</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</si>
  <si>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space.We complete our work with solutions for the compression of vertex coordinates and additional attributes, which might be attached to the mesh.</t>
  </si>
  <si>
    <t>Gumhold, S.;Guthe, S.;Straßer, W.</t>
  </si>
  <si>
    <t>WSI/GRIS University of Tübingen</t>
  </si>
  <si>
    <t>Gumhold, S.;Guthe, S.;StraÃŸer, W.</t>
  </si>
  <si>
    <t>745329;663869</t>
  </si>
  <si>
    <t>Peikert, R.;Roth, M.</t>
  </si>
  <si>
    <t>37282541100;37365755100</t>
  </si>
  <si>
    <t>745290;568137;745296;480795;346327;663894;745297;567807</t>
  </si>
  <si>
    <t>Gobbetti, E.;Bouvier, E.</t>
  </si>
  <si>
    <t>568120;663930</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</si>
  <si>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</si>
  <si>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Azuma, R.;Neely, H., III;Daily, M.;Correa, M.</t>
  </si>
  <si>
    <t>37372213200;37268864600;37268861900;37448061000</t>
  </si>
  <si>
    <t>Djurcilov, S.;Pang, A.</t>
  </si>
  <si>
    <t>37444689300;37267352000</t>
  </si>
  <si>
    <t>Visual exploration of massive datasets arising from telecommunication networks and services is a challenge. This paper describes SWIFT-3D, an integrated data visualization and exploration system created at AT&amp;T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</si>
  <si>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Koutsofios, E.E.;North, S.C.;Truscott, R.;Keim, D.A.</t>
  </si>
  <si>
    <t>37374730400;37372818600;37444460000;37283138700</t>
  </si>
  <si>
    <t>745301;528688;175794</t>
  </si>
  <si>
    <t>Kirby, R.M.;Marmanis, H.;Laidlaw, D.H.</t>
  </si>
  <si>
    <t>37275716100;37442720100;37275712600</t>
  </si>
  <si>
    <t>Scheuermann, G.;Burbach, H.;Hagen, H.</t>
  </si>
  <si>
    <t>346312;346313;146360;745324</t>
  </si>
  <si>
    <t>Govindarajan, J.;Ward, M.;Barnett, J.</t>
  </si>
  <si>
    <t>Govindarajan, J.;Ward, M.O.;Barnett, J.</t>
  </si>
  <si>
    <t>346291;146392;398899;568110;480818</t>
  </si>
  <si>
    <t>Chen, C.;Carr, L.</t>
  </si>
  <si>
    <t>37280749300;37295402100</t>
  </si>
  <si>
    <t>Goel, A.;Baker, C.;Shaffer, C.A.;Grossman, B.;Haftka, R.T.;Mason, W.H.;Watson, L.T.</t>
  </si>
  <si>
    <t>37433943500;37363195800;37273199900;37369986100;37297721700;37369561300;37273212300</t>
  </si>
  <si>
    <t>485139;745351;636793;729568;567800</t>
  </si>
  <si>
    <t>Wan, M.;Tang, Q.;Kaufman, A.;Zhengrong Liang;Wax, M.</t>
  </si>
  <si>
    <t>37362958300;37446853000;37268052800;37273115400;37354296000</t>
  </si>
  <si>
    <t>809911;663915;745713;398852</t>
  </si>
  <si>
    <t>The paper investigates the visualization of distributed algorithms. We present a conceptual model and a system, VADE, that realizes this model. Since in asynchronous distributed systems there is no way of knowing (let alone, visualizing) the â€œrealâ€_x009d_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</si>
  <si>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Moses, Y.;Polunsky, Z.;Tal, A.;Ulitsky, L.</t>
  </si>
  <si>
    <t>37371861000;37374449900;37337567000;37374450900</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</si>
  <si>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</si>
  <si>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</si>
  <si>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Ed Huai-Hsin Chi;Riedl, J.T.</t>
  </si>
  <si>
    <t>37362911700;37282873000</t>
  </si>
  <si>
    <t>Ed Huai-Hsin Chi;Riedl, J.</t>
  </si>
  <si>
    <t>567796;559213;528686;636793;636792;175815;480801;636761</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</si>
  <si>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</si>
  <si>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559228;528686</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</si>
  <si>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</si>
  <si>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Hansen, M.;Meads, D.;Pang, A.</t>
  </si>
  <si>
    <t>37374024300;37374564600;37267352000</t>
  </si>
  <si>
    <t>567796;568116;480794</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</si>
  <si>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</si>
  <si>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636787;235206</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</si>
  <si>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â€œfocusingâ€_x009d_ combined with time series animation) and corresponding differences in success at noticing spatiotemporal patterns</t>
  </si>
  <si>
    <t>MacEachren, A.M.;Boscoe, F.P.;Haug, D.;Pickle, L.W.</t>
  </si>
  <si>
    <t>37374699000;37374699200;37374702200;37374700700</t>
  </si>
  <si>
    <t>MacEachren, A.M.;Boscoe, F.P.;Haug, D.;Pickle, L.</t>
  </si>
  <si>
    <t>175794;663874;235201</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</si>
  <si>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</si>
  <si>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Sprenger, T.C.;Gross, M.H.;Bielser, D.;Strasser, T.</t>
  </si>
  <si>
    <t>37374656700;37275694700;37374656400;37370045100</t>
  </si>
  <si>
    <t>Sprenger, T.C.;Gross, M.;Bielser, D.;Strasser, T.</t>
  </si>
  <si>
    <t>528691;567746_1;636759;528688;559226</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</si>
  <si>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</si>
  <si>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</si>
  <si>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Hetzler, B.;Whitney, P.;Martucci, L.;Thomas, J.</t>
  </si>
  <si>
    <t>37374614800;37363311600;37372798600;37273308900</t>
  </si>
  <si>
    <t>Hetzler, E.;Whitney, P.;Martucci, L.;Thomas, J.</t>
  </si>
  <si>
    <t>636789;636793;528686;559228;636761</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</si>
  <si>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</si>
  <si>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Chang-Sung Jeong;Pang, A.</t>
  </si>
  <si>
    <t>37360232800;37267352000</t>
  </si>
  <si>
    <t>528689;636792;175815;567745</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</si>
  <si>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</si>
  <si>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Kerpedjiev, S.;Carenini, G.;Green, N.;Moore, J.;Roth, S.</t>
  </si>
  <si>
    <t>37374604500;37374602500;37368889100;37359522500;37357418100</t>
  </si>
  <si>
    <t>Kerpedjiev, S.;Carenini, G.;Green, N.;Moore, J.;Roth, S.F.</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</si>
  <si>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</si>
  <si>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Ankerst, M.;Berchtold, S.;Keim, D.A.</t>
  </si>
  <si>
    <t>37371609900;37374589200;37283138700</t>
  </si>
  <si>
    <t>146402;346302;485140</t>
  </si>
  <si>
    <t>The paper describes a general formulation of the â€œdetail-in-contextâ€_x009d_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â€œseamless multi level viewsâ€_x009d_, which allow multiple global views of an information space (each having different information content) to be integrated into a single view without discontinuity</t>
  </si>
  <si>
    <t>636786;636718;559214</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</si>
  <si>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</si>
  <si>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Rohrer, R.M.;Ebert, D.S.;Sibert, J.L.</t>
  </si>
  <si>
    <t>37373506600;38472155600;37265573100</t>
  </si>
  <si>
    <t>636761;636759;528686;568110;559228</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</si>
  <si>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</si>
  <si>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Korn, J.L.;Appel, A.W.</t>
  </si>
  <si>
    <t>38179814200;37339549500</t>
  </si>
  <si>
    <t>Korn, J.;Appel, A.W.</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</si>
  <si>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</si>
  <si>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Becker, B.G.</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</si>
  <si>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</si>
  <si>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Frecon, E.;Smith, G.</t>
  </si>
  <si>
    <t>37265491900;37365189200</t>
  </si>
  <si>
    <t>North Carolina State University##North Carolina State University</t>
  </si>
  <si>
    <t>Montgomery, K.;Stephanides, M.;Schendel, S.;Ross, M.</t>
  </si>
  <si>
    <t>37329570500;37372282800;37372280500;37364193600</t>
  </si>
  <si>
    <t>Rice University##Rice University##Rice University##Rice University##Rice University##Rice University</t>
  </si>
  <si>
    <t>California Institute of Technology##Brown University</t>
  </si>
  <si>
    <t>van Liere, R.;Harkes, J.;Wim de Leeuw</t>
  </si>
  <si>
    <t>37282925600;37300843200;37327212900</t>
  </si>
  <si>
    <t>van Liere, R.;Harkes, J.;de Leeuw, W.</t>
  </si>
  <si>
    <t>235202;175818;663896;567746_1;485143;235207;346304</t>
  </si>
  <si>
    <t>Yamanashi University##Yamanashi University##Yamanashi University##Yamanashi University</t>
  </si>
  <si>
    <t>Cignoni, P.;Montani, C.;Rocchini, C.;Scopigno, R.</t>
  </si>
  <si>
    <t>37265783400;37371973400;37333160000;37270887900</t>
  </si>
  <si>
    <t>Roth, M.;Peikert, R.</t>
  </si>
  <si>
    <t>37365755100;37282541100</t>
  </si>
  <si>
    <t>MRJ Technology Solutions</t>
  </si>
  <si>
    <t>568137;663912;480817;175773;663910;346327;567807;663857;398877;663858</t>
  </si>
  <si>
    <t>Gopi, M.;Manocha, D.</t>
  </si>
  <si>
    <t>37271691400;37267825600</t>
  </si>
  <si>
    <t>663909;663908;663883</t>
  </si>
  <si>
    <t>MRJ Technology Solutions / NASA Ames Research Center</t>
  </si>
  <si>
    <t>Polytechnic University IBM T. J. Watson Research Center Kitware##Polytechnic University IBM T. J. Watson Research Center Kitware##Polytechnic University IBM T. J. Watson Research Center Kitware</t>
  </si>
  <si>
    <t>University of Utah##University of Utah</t>
  </si>
  <si>
    <t>University of Halle-Wittenberg##University of Halle-Wittenberg</t>
  </si>
  <si>
    <t>Pacific Northwest National Laboratory â€ ##Pacific Northwest National Laboratory â€ ##Pacific Northwest National Laboratory â€ ##Pacific Northwest National Laboratory â€ ##Pacific Northwest National Laboratory â€</t>
  </si>
  <si>
    <t>Lichan Hong;Kaufman, A.</t>
  </si>
  <si>
    <t>Heinz Nixdorf Institute</t>
  </si>
  <si>
    <t>37347459100;37268052800</t>
  </si>
  <si>
    <t>398853;235228;567606</t>
  </si>
  <si>
    <t>University of North Carolina at Chapel Hill##University of North Carolina at Chapel Hill##University of North Carolina at Chapel Hill##University of North Carolina at Chapel Hill##University of North Carolina at Chapel Hill</t>
  </si>
  <si>
    <t>Rona, P.;Bemis, K.;Kenchammana-Hosekote, D.;Silver, D.</t>
  </si>
  <si>
    <t>37282733200;37282733100;37372284000;37274132700</t>
  </si>
  <si>
    <t>University of Texas at San Antonio##University of Texas at San Antonio</t>
  </si>
  <si>
    <t>Laidlaw, D.;Kremers, D.;Interrante, V.;Frankel, F.;Banchoff, T.</t>
  </si>
  <si>
    <t>Laidlaw, D.H.;Kremers, D.;Interrante, V.;Frankel, F.;Banchoff, T.</t>
  </si>
  <si>
    <t>Kenwright, D.N.</t>
  </si>
  <si>
    <t>346329;175773;146359;480817</t>
  </si>
  <si>
    <t>Durbin, J.;Swan, J.E.;Colbert, B.;Crowe, J.;King, R.;King, T.;Scannell, C.;Wartell, Z.;Welsh, T.</t>
  </si>
  <si>
    <t>37371968700;37295140400;37371969500;37359546500;37360767800;;37371957500;37297344900;37371958200</t>
  </si>
  <si>
    <t>Lucent Technologies Room##</t>
  </si>
  <si>
    <t>Medicine University Hospital Eppendorf##Medicine University Hospital Eppendorf##Medicine University Hospital Eppendorf</t>
  </si>
  <si>
    <t>Carnegie Mellon University##Carnegie Mellon University</t>
  </si>
  <si>
    <t>Healey, Christopher G.;Enns, J.T.</t>
  </si>
  <si>
    <t>37298406100;37372253300</t>
  </si>
  <si>
    <t>Healey, C.;Enns, J.T.</t>
  </si>
  <si>
    <t>568118;398872</t>
  </si>
  <si>
    <t>Georgia Institute of Technology##Georgia Institute of Technology</t>
  </si>
  <si>
    <t>663898;663912;480817</t>
  </si>
  <si>
    <t>Sacks, E.;Joskowicz, L.</t>
  </si>
  <si>
    <t>37282563500;37371987800</t>
  </si>
  <si>
    <t>346330;663876</t>
  </si>
  <si>
    <t>Anton L. Fuhrmann;Eduard Gröller</t>
  </si>
  <si>
    <t>House, D.H.;Kocmoud, C.J.</t>
  </si>
  <si>
    <t>37284216700;37372172300</t>
  </si>
  <si>
    <t>House, D.;Kocmoud, C.J.</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</si>
  <si>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C1 continuity everywhere. The method can reveal smooth saddle shapes caused by surface branching of one to more and can make rational interpolated sub-contours between two or more neighboring contours.</t>
  </si>
  <si>
    <t>Chai, J.;Miyoshi, T.;Nakamae, E.</t>
  </si>
  <si>
    <t>37361678300;37276340700;37271893200</t>
  </si>
  <si>
    <t>Gueziec, A.;Taubin, Gabriel;Lazarus, F.;Horn, W.</t>
  </si>
  <si>
    <t>37372281700;37282608000;37372282900;37361807200</t>
  </si>
  <si>
    <t>Gueziec, A.;Taubin, G.;Lazarus, F.;Horn, W.</t>
  </si>
  <si>
    <t>663904;480821</t>
  </si>
  <si>
    <t>Shen, Q.;Pang, A.;Uselton, S.</t>
  </si>
  <si>
    <t>37362345800;37267352000;37372247300</t>
  </si>
  <si>
    <t>663910;568115;568116;663911</t>
  </si>
  <si>
    <t>Keely, L.;Uselton, S.</t>
  </si>
  <si>
    <t>37372280900;37372247300</t>
  </si>
  <si>
    <t>663911;568115;745332</t>
  </si>
  <si>
    <t>volume visualization, 3D image processing, transfer
function, volume rendering, data exploration</t>
  </si>
  <si>
    <t>Indiana University Purdue University Indianapolis##Indiana University Purdue University Indianapolis##Indiana University Purdue University Indianapolis</t>
  </si>
  <si>
    <t>Weimer, H.;Warren, Joe;Troutner, J.;Wiggins, W.;Shrout, J.</t>
  </si>
  <si>
    <t>37359801600;37272377400;37372002000;37372001300;37371998300</t>
  </si>
  <si>
    <t>Weimer, H.;Warren, J.;Troutner, J.;Wiggins, W.;Shrout, J.</t>
  </si>
  <si>
    <t>346336;568124;568122</t>
  </si>
  <si>
    <t>De Floriani, L.;Magillo, P.;Puppo, E.</t>
  </si>
  <si>
    <t>37283084000;37371970000;37355451700</t>
  </si>
  <si>
    <t>663865;663860</t>
  </si>
  <si>
    <t>Popescu, V.;Lastra, A.;Aliaga, D.;de Oliveira Neto, M.</t>
  </si>
  <si>
    <t>37272425500;37274005100;37270561900;37267049500</t>
  </si>
  <si>
    <t>Mueller, K.;Crawfis, R.</t>
  </si>
  <si>
    <t>37273119700;37284273900</t>
  </si>
  <si>
    <t>567608;568119;480792;663882;398877;398852</t>
  </si>
  <si>
    <t>Chi-Keung Tang;Medioni, G.</t>
  </si>
  <si>
    <t>37281400600;37280043300</t>
  </si>
  <si>
    <t>175782;346327;346329;346328</t>
  </si>
  <si>
    <t>Lindstrom, P.;Turk, G.</t>
  </si>
  <si>
    <t>37269320000;37334922800</t>
  </si>
  <si>
    <t>The Ohio State University##</t>
  </si>
  <si>
    <t>485142;663883;663908;663906</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</si>
  <si>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Î± and Î²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Î±-Î²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Î± and Î² parameters are necessary to reconstruct the whole field. It can also be used to better quantify the changes in time-varying data sets.</t>
  </si>
  <si>
    <t>Lavin, Y.;Batra, R.;Hesselink, Lambertus</t>
  </si>
  <si>
    <t>Indiana University Bloomington</t>
  </si>
  <si>
    <t>37372012600;37282555600;37274095200</t>
  </si>
  <si>
    <t>Lavin, Y.;Batra, R.;Hesselink, L.</t>
  </si>
  <si>
    <t>663858;663857</t>
  </si>
  <si>
    <t>IBM T. J. Watson Research Center##IBM T. J. Watson Research Center##IBM T. J. Watson Research Center##IBM T. J. Watson Research Center</t>
  </si>
  <si>
    <t>568115;568121;346327;485139;175794;346302</t>
  </si>
  <si>
    <t>Technical University Berlin##Technical University Berlin##Technical University Berlin</t>
  </si>
  <si>
    <t>Lurig, C.;Ertl, T.</t>
  </si>
  <si>
    <t>37372245300;38356649400</t>
  </si>
  <si>
    <t>Tiede, U.;Schiemann, T.;Hohne, K.H.</t>
  </si>
  <si>
    <t>37372275900;37372275700;37372285500</t>
  </si>
  <si>
    <t>Hanson, A.J.;Wernert, E.A.</t>
  </si>
  <si>
    <t>37333439100;37371964800</t>
  </si>
  <si>
    <t>MRJ Technology Solutions NASA Ames Research Center##MRJ Technology Solutions NASA Ames Research Center</t>
  </si>
  <si>
    <t>Shiaofen Fang;Biddlecome, T.;Tuceryan, M.</t>
  </si>
  <si>
    <t>37289749900;37372276300;37372277000</t>
  </si>
  <si>
    <t>567609;568112</t>
  </si>
  <si>
    <t>UCSC Sam Uselton MRJ Technology Solutions##UCSC Sam Uselton MRJ Technology Solutions</t>
  </si>
  <si>
    <t>Xiaoyang Mao;Hatanaka, Y.;Higashida, H.;Imamiya, A.</t>
  </si>
  <si>
    <t>37275999300;37361235200;37372000800;37272095800</t>
  </si>
  <si>
    <t>346312;480819</t>
  </si>
  <si>
    <t>Davis, D.;Jiang, T.Y.;Ribarsky, W.;Faust, N.</t>
  </si>
  <si>
    <t>37358762700;37366640700;37300425000;37326280000</t>
  </si>
  <si>
    <t>346311;663888</t>
  </si>
  <si>
    <t>Johanna E. van der Heyden;M. Sheelagh T. Carpendale;Kevin B. Inkpen;M. Stella Atkins</t>
  </si>
  <si>
    <t>Boring, E.;Pang, A.</t>
  </si>
  <si>
    <t>37372278100;37267352000</t>
  </si>
  <si>
    <t>663929;567746_1;398849;175773;235193;485141;346330;175789;346326;663857;235224;568139;346315</t>
  </si>
  <si>
    <t>Cline, D.;Egbert, P.K.</t>
  </si>
  <si>
    <t>37305635000;37298442300</t>
  </si>
  <si>
    <t>Cline, D.;Egbert, P.</t>
  </si>
  <si>
    <t>Stanford University##Stanford University##Stanford University##NASA Ames Research Center</t>
  </si>
  <si>
    <t>Yi-Jen Chiang;Silva, C.T.;Schroeder, W.J.</t>
  </si>
  <si>
    <t>37362725400;38183059100;37282730100</t>
  </si>
  <si>
    <t>663888;663895;568121</t>
  </si>
  <si>
    <t>Parker, S.;Shirley, P.;Livnat, Y.;Hansen, C.;Sloan, P.-P.</t>
  </si>
  <si>
    <t>37361048100;37266808400;37282553200;37266777200;37373213900</t>
  </si>
  <si>
    <t>663888;346331;346320;485154;745300</t>
  </si>
  <si>
    <t>Gobbetti, E.;Pili, P.;Zorcolo, A.;Tuveri, M.</t>
  </si>
  <si>
    <t>37346861300;37372178500;37372176300;</t>
  </si>
  <si>
    <t>M. L. Lantin;M. Sheelagh T. Carpendale</t>
  </si>
  <si>
    <t>Simon Fraser University##Simon Fraser University</t>
  </si>
  <si>
    <t>Friedrich, A.;Polthier, K.;Schmies, M.</t>
  </si>
  <si>
    <t>37359495500;37282271000;37371960500</t>
  </si>
  <si>
    <t>Shen, H.-W.</t>
  </si>
  <si>
    <t>University of California at San Diego##University of California at San Diego##University of California at San Diego##University of California at San Diego</t>
  </si>
  <si>
    <t>568123;663895;568121;745299;175780;480806</t>
  </si>
  <si>
    <t>Usability Center Georgia Institute of Technology##Usability Center Georgia Institute of Technology##Usability Center Georgia Institute of Technology##Usability Center Georgia Institute of Technology</t>
  </si>
  <si>
    <t>Grinstein, G.;Inselberg, A.;Laskowski, S.</t>
  </si>
  <si>
    <t>Jim Durbin;J. Edward Swan II;Brad Colbert;John Crowe;Rob King;Tony King;Christopher Scannell;Zachary Wartell;Terry Welsh</t>
  </si>
  <si>
    <t>Brookhaven National Laboratory##Brookhaven National Laboratory##Brookhaven National Laboratory</t>
  </si>
  <si>
    <t>663860;480800;480799</t>
  </si>
  <si>
    <t>Bonneau, G.-P.;Gerussi, A.</t>
  </si>
  <si>
    <t>37368609100;37371998500</t>
  </si>
  <si>
    <t>Uselton, S.;Ahrens, J.;Bethel, W.;Treinish, L.;State, A.</t>
  </si>
  <si>
    <t>Uselton, S.;Ahrens, J.;Bethel, W.;Treinish, L.A.;State, A.</t>
  </si>
  <si>
    <t>Sonar Research &amp; Development Ltd##Sonar Research &amp; Development Ltd##Sonar Research &amp; Development Ltd##Sonar Research &amp; Development Ltd</t>
  </si>
  <si>
    <t>The Hebrew University##The Hebrew University##The Hebrew University</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</si>
  <si>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4Ã—4) masks. The other two algorithms can be used for the creation of larger masks (e.g. 32Ã—32). For each of these algorithms, results are presented and discussed.</t>
  </si>
  <si>
    <t>Mulder, J.D.;Groen, F.C.A.;van Wijk, J.J.</t>
  </si>
  <si>
    <t>38263707600;37266134600;37267249200</t>
  </si>
  <si>
    <t>Marco Lanzagorta;Milo V. Kral;J. Edward Swan II;George Spanos;Robert Rosenberg;Eddy Kuo</t>
  </si>
  <si>
    <t>McPherson, A.;Maltrud, M.</t>
  </si>
  <si>
    <t>37360217100;37299279900</t>
  </si>
  <si>
    <t>146361;568149</t>
  </si>
  <si>
    <t>Virginia Tech Blacksburg##Virginia Tech Blacksburg##Virginia Tech Blacksburg##Virginia Tech Blacksburg</t>
  </si>
  <si>
    <t>Staadt, O.G.;Gross, M.H.</t>
  </si>
  <si>
    <t>37355334600;37275694700</t>
  </si>
  <si>
    <t>Staadt, O.;Gross, M.</t>
  </si>
  <si>
    <t>663907;663901;663883</t>
  </si>
  <si>
    <t>Fuhrmann, A.;Groller, E.</t>
  </si>
  <si>
    <t>37267442100;38471589100</t>
  </si>
  <si>
    <t>346312;663897;663921;175771;663912;398877</t>
  </si>
  <si>
    <t>Clark, D.;Marciano, R.;McKeon, R.;Bailey, M.</t>
  </si>
  <si>
    <t>37364046500;37294917000;37372250000;37280473500</t>
  </si>
  <si>
    <t>University of Utah##University of Utah##University of Utah##University of Utah##University of Utah</t>
  </si>
  <si>
    <t>Ma, H.;Jones, K.W.;Stern, E.A.</t>
  </si>
  <si>
    <t>37365761300;37363102200;37371812900</t>
  </si>
  <si>
    <t>The development of a high speed multi-frequency continuous scan sonar at Sonar Research &amp;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</si>
  <si>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Chapman, P.;Stevens, P.;Wills, D.;Brookes, G.</t>
  </si>
  <si>
    <t>37364789000;37373315000;37368030400;37372177500</t>
  </si>
  <si>
    <t>Eindhoven University of Technology Netherlands Energy Research Foundation ECN##Eindhoven University of Technology Netherlands Energy Research Foundation ECN</t>
  </si>
  <si>
    <t>Stanford University##Stanford University##Stanford University##Stanford University</t>
  </si>
  <si>
    <t>Sadarjoen, I.A.;Post, F.H.;Bing Ma;Banks, D.C.;Pagendarm, H.-G.</t>
  </si>
  <si>
    <t>37372009600;37295045800;37363531700;37356983700;37372011800</t>
  </si>
  <si>
    <t>485158;663910;346327;568137</t>
  </si>
  <si>
    <t>Lab University of Maryland College Park##Lab University of Maryland College Park</t>
  </si>
  <si>
    <t>University of Cambridge Computer##University of Cambridge Computer##University of Cambridge Computer##University of Cambridge Computer</t>
  </si>
  <si>
    <t>Trotts, I.J.;Hamann, B.;Joy, K.I.;Wiley, D.F.</t>
  </si>
  <si>
    <t>37372274900;37282068700;37267811400;37282066500</t>
  </si>
  <si>
    <t>568126;568124;663906</t>
  </si>
  <si>
    <t>Carnegie Mellon University##Carnegie Mellon University##Carnegie Mellon University</t>
  </si>
  <si>
    <t>Garland, M.;Heckbert, P.S.</t>
  </si>
  <si>
    <t>37272036400;37372245200</t>
  </si>
  <si>
    <t>University of New Hampshire Durham##University of New Hampshire Durham##University of New Hampshire Durham</t>
  </si>
  <si>
    <t>Eindhoven University of Technology##Eindhoven University of Technology</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</si>
  <si>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C1 continuous normal. We demonstrate the new method for painting volume data and for mapping cavities on volume data.</t>
  </si>
  <si>
    <t>Kurzion, Y.;Moller, T.;Yagel, R.</t>
  </si>
  <si>
    <t>37372244200;37275858700;37342422500</t>
  </si>
  <si>
    <t>Keio University##Keio University##Keio University</t>
  </si>
  <si>
    <t>663865;567600;568126;663860;663908</t>
  </si>
  <si>
    <t>Carnegie Mellon University Robotics Institute##Carnegie Mellon University Robotics Institute##Carnegie Mellon University Robotics Institute##Carnegie Mellon University Robotics Institute</t>
  </si>
  <si>
    <t>Lantin, M.L.;Carpendale, M.S.T.</t>
  </si>
  <si>
    <t>37371967400;37326090900</t>
  </si>
  <si>
    <t>Lantin, M.L.;Carpendale, S.</t>
  </si>
  <si>
    <t>MAYA Design Group, Inc##MAYA Design Group, Inc</t>
  </si>
  <si>
    <t>Generation of a three-dimensional model from an unorganized set of points is an active area of research in computer graphics. Alpha shapes can be employed to construct a surface which most closely reflects the object described by the points. However, no Î±-shape, for any value of Î±, can properly detail discontinuous regions of a model. We introduce herein two methods of improving the results of reconstruction using Î±-shapes: density-scaling, which modulates the value of a depending on the density of points in a region; and anisotropic shaping, which modulates the form of the Î±-ball based on point normals. We give experimental results that show the successes and limitations of our method.</t>
  </si>
  <si>
    <t>Teichmann, M.;Capps, M.</t>
  </si>
  <si>
    <t>37369233200;37347604500</t>
  </si>
  <si>
    <t>480821;663922;346316;559211</t>
  </si>
  <si>
    <t>The University of Arizona</t>
  </si>
  <si>
    <t>Stanford University##Stanford University##Stanford University</t>
  </si>
  <si>
    <t>Tel Aviv University Tel Aviv##Tel Aviv University Tel Aviv##Tel Aviv University Tel Aviv</t>
  </si>
  <si>
    <t>Keim, D.A.;Herrmann, A.</t>
  </si>
  <si>
    <t>37283138700;37372264500</t>
  </si>
  <si>
    <t>485139;528688;175794;146387;146402;398870;485140;346302;528690;146386</t>
  </si>
  <si>
    <t>University of California##UniversitÃ¤t Kaiserslautern##University of California##University of California</t>
  </si>
  <si>
    <t>This case study describes a technique for the three-dimensional analysis of the internal microscopic structure (microstructure) of materials. This technique consists of incrementally polishing through a thin layer (approximately 0.2 Î¼m)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</si>
  <si>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Lanzagorta, M.;Kral, M.V.;Swan, J.E.;Spanos, G.;Rosenberg, R.;Kuo, E.</t>
  </si>
  <si>
    <t>37295678700;;37295140400;37372261800;37285510700;37372263000</t>
  </si>
  <si>
    <t>MRJ Technology Solutions MRJ Technology Solutions NASA Ames Research Center NASA Ames Research Center##MRJ Technology Solutions MRJ Technology Solutions NASA Ames Research Center NASA Ames Research Center</t>
  </si>
  <si>
    <t>We present a novel approach to visualize and explore unstructured text. The underlying technology, called TOPIC-O-GRAPHY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</si>
  <si>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Miller, N.E.;Pak Chung Wong;Brewster, M.;Foote, H.</t>
  </si>
  <si>
    <t>37361698400;37280665600;37371985000;37372586800</t>
  </si>
  <si>
    <t>Miller, N.;Pak Chung Wong;Brewster, M.;Foote, H.</t>
  </si>
  <si>
    <t>663872;528686;567800;663871;480811;346333;346332;235206</t>
  </si>
  <si>
    <t>WSI/GRIS University of TÃ¼bingen##WSI/GRIS University of TÃ¼bingen##WSI/GRIS University of TÃ¼bingen</t>
  </si>
  <si>
    <t>Silver, D.;Wang, X.</t>
  </si>
  <si>
    <t>37274132700;37367862600</t>
  </si>
  <si>
    <t>567807;480809;480789;663886</t>
  </si>
  <si>
    <t>Livnat, Y.;Hansen, C.</t>
  </si>
  <si>
    <t>37282553200;37266777200</t>
  </si>
  <si>
    <t>480806;568121;568144;745713;346308;568123;568127;346307;175780;346334</t>
  </si>
  <si>
    <t>van der Heyden, J.E.;Carpendale, M.S.T.;Inkpen, K.;Atkins, M.S.</t>
  </si>
  <si>
    <t>37372192800;37326090900;37372061500;37284302300</t>
  </si>
  <si>
    <t>van der Heyden, J.E.;Carpendale, S.;Inkpen, K.;Atkins, M.S.</t>
  </si>
  <si>
    <t>NSF Engineering Research Center##Information Technology Laboratory##NSF Engineering Research Center##NSF Engineering Research Center</t>
  </si>
  <si>
    <t>Shaffer, C.A.;Knill, D.L.;Watson, L.T.</t>
  </si>
  <si>
    <t>37273199900;37371928100;37273212300</t>
  </si>
  <si>
    <t>663866;663868;146402</t>
  </si>
  <si>
    <t>Stanford University Stanford University Stanford##Stanford University Stanford University Stanford</t>
  </si>
  <si>
    <t>Vos, F.M.;Spoelder, H.J.W.</t>
  </si>
  <si>
    <t>37345045400;37284264400</t>
  </si>
  <si>
    <t>IBM T. J. Watson Research Center##IBM T. J. Watson Research Center</t>
  </si>
  <si>
    <t>Bajaj, C.L.;Pascucci, V.;Schikore, D.R.</t>
  </si>
  <si>
    <t>37282899200;38262212700;37355637500</t>
  </si>
  <si>
    <t>235199;480803;175782;485154;175773;663875;346334;480795</t>
  </si>
  <si>
    <t>Ben-Gurion University##Ben-Gurion University##Ben-Gurion University</t>
  </si>
  <si>
    <t>University of Stuttgart##University of Stuttgart##University of Stuttgart</t>
  </si>
  <si>
    <t>Robbins, K.A.;Senseman, D.M.</t>
  </si>
  <si>
    <t>37282602100;37282602800</t>
  </si>
  <si>
    <t>Laidlaw, D.H.;Ahrens, E.T.;Kremers, D.;Avalos, M.J.;Jacobs, R.E.;Readhead, C.</t>
  </si>
  <si>
    <t>37275712600;37359190700;37371978600;37371978400;37368212100;37371977900</t>
  </si>
  <si>
    <t>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t>
  </si>
  <si>
    <t>GMD German National Research Center for Information Technology##GMD German National Research Center for Information Technology##GMD German National Research Center for Information Technology##GMD German National Research Center for Information Technology##GMD German National Research Center for Information Technology</t>
  </si>
  <si>
    <t>University of Geneva##University of Geneva##University of Geneva##University of Geneva##University of Geneva##University of Geneva</t>
  </si>
  <si>
    <t>Khoury, S.;Freed, A.;Wessel, D.</t>
  </si>
  <si>
    <t>37362454900;37372286400;37353973700</t>
  </si>
  <si>
    <t>Real Time Visualization</t>
  </si>
  <si>
    <t>Nielson, G.M.;Jung, Il.-H.;Sung, J.</t>
  </si>
  <si>
    <t>37283754100;37366444500;37362401700</t>
  </si>
  <si>
    <t>Nielson, G.M.;Jung, I.;Sung, J.</t>
  </si>
  <si>
    <t>663883;663872;663871</t>
  </si>
  <si>
    <t>Stanford University##Stanford University</t>
  </si>
  <si>
    <t>Kitware, Inc.)</t>
  </si>
  <si>
    <t>Kaufman, A.;Brady, M.;Lorensen, B.;Kitson, F.;Pfister, H.</t>
  </si>
  <si>
    <t>37268052800;37291463600;;37295399300;37275698100</t>
  </si>
  <si>
    <t>Kaufman, A.;Brady, M.;Lorensen, W.F.;Kitson, F.;Pfister, H.</t>
  </si>
  <si>
    <t>University of Erlangenâ€“Nuremberg##University of Erlangenâ€“Nuremberg##University of Erlangenâ€“Nuremberg##University of Erlangenâ€“Nuremberg##University of Erlangenâ€“Nuremberg</t>
  </si>
  <si>
    <t>Ed Huai-Hsin Chi;Barry, P.;Riedl, J.;Konstan, J.</t>
  </si>
  <si>
    <t>567796;567746_1;528690;480794;398859</t>
  </si>
  <si>
    <t>University of Kaiserslautern##University of Kaiserslautern##University of Kaiserslautern</t>
  </si>
  <si>
    <t>Teraoka, T.;Maruyama, M.</t>
  </si>
  <si>
    <t>Derthick, M.;Roth, S.F.;Kolojejchick, J.</t>
  </si>
  <si>
    <t>528688;559210</t>
  </si>
  <si>
    <t>Tanin, E.;Beigel, R.;Shneiderman, B.</t>
  </si>
  <si>
    <t>528688;528688</t>
  </si>
  <si>
    <t>Brodbeck, D.;Chalmers, M.;Lunzer, A.;Cotture, P.</t>
  </si>
  <si>
    <t>146402;528686;568118;528688;346302;175794;567787</t>
  </si>
  <si>
    <t>LMC -CNRS</t>
  </si>
  <si>
    <t>Baoquan Chen;J. Edward Swan II;Eddy Kuo;Arie E. Kaufman</t>
  </si>
  <si>
    <t>Tenev, T.;Rao, R.</t>
  </si>
  <si>
    <t>University of Texas at Austin##University of Texas at Austin##University of Texas at Austin</t>
  </si>
  <si>
    <t>Laboratories University of New##Laboratories University of New</t>
  </si>
  <si>
    <t>Chuah, M.C.;Eick, S.G.</t>
  </si>
  <si>
    <t>Brown University##Brown University##Brown University</t>
  </si>
  <si>
    <t>Vivek Verma;David T. Kao;Alex T. Pang</t>
  </si>
  <si>
    <t>NASA Ames Research Center##</t>
  </si>
  <si>
    <t>559213;528682;559211</t>
  </si>
  <si>
    <t>146402;346302</t>
  </si>
  <si>
    <t>The Ohio State University##The Ohio State University##The Ohio State University</t>
  </si>
  <si>
    <t>MRJ Technology Solutions / NASA Ames Research Center Ling-Jen Chiang y MRJ Technology Solutions / NASA Ames Research Center##MRJ Technology Solutions / NASA Ames Research Center Ling-Jen Chiang y MRJ Technology Solutions / NASA Ames Research Center</t>
  </si>
  <si>
    <t>NASA Ames Research Center Moffett Field##State University of New York at Stony Brook</t>
  </si>
  <si>
    <t>Keahey, T.A.;Robertson, E.L.</t>
  </si>
  <si>
    <t>University of TÃ¼bingen Auf der Morgenstelle##University of TÃ¼bingen Auf der Morgenstelle##University Hospital TÃ¼bingen##University Hospital TÃ¼bingen</t>
  </si>
  <si>
    <t>National Library of Medicine National Institutes of Health##National Library of Medicine National Institutes of Health</t>
  </si>
  <si>
    <t>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t>
  </si>
  <si>
    <t>Storey, M.-A.D.;Wong, K.;Fracchia, F.D.;Muller, H.A.</t>
  </si>
  <si>
    <t>Storey, M.;Wong, K.;Fracchia, F.D.;Muller, H.A.</t>
  </si>
  <si>
    <t>UCSC##UCSC</t>
  </si>
  <si>
    <t>Card, S.K.;Mackinlay, J.</t>
  </si>
  <si>
    <t>559213;175815;528686;528684;528697</t>
  </si>
  <si>
    <t>BMW AG y University of Erlangen####BMW AG y University of Erlangen####University of Stuttgart</t>
  </si>
  <si>
    <t>IMK-DELTA##University of Heidelberg##Max Planck Institut FÅ¸r Exterterrestrische Physik Munich</t>
  </si>
  <si>
    <t>Gross, M.H.;Sprenger, T.C.;Finger, J.</t>
  </si>
  <si>
    <t>Gross, M.;Sprenger, T.C.;Finger, J.</t>
  </si>
  <si>
    <t>528689;528691;528686;567787</t>
  </si>
  <si>
    <t>GVU Center Georgia Institute of Technology##GVU Center Georgia Institute of Technology##GVU Center Georgia Institute of Technology##GVU Center Georgia Institute of Technology##GVU Center Georgia Institute of Technology</t>
  </si>
  <si>
    <t>Brunel University##Brunel University</t>
  </si>
  <si>
    <t>IBM T.J. Watson Research Center##IBM T.J. Watson Research Center##IBM T.J. Watson Research Center##IBM T.J. Watson Research Center</t>
  </si>
  <si>
    <t>528686;528688;485139;398877</t>
  </si>
  <si>
    <t>AT&amp;T Laboratories##AT&amp;T Laboratories##AT&amp;T Laboratories##AT&amp;T Laboratories</t>
  </si>
  <si>
    <t>Ochanomizu University##Ochanomizu University##Ochanomizu University</t>
  </si>
  <si>
    <t>Möller, T.;Machiraju, R.;Mueller, K.;Yagel, R.</t>
  </si>
  <si>
    <t>37275858700;37269516700;37273119700;37342422500</t>
  </si>
  <si>
    <t>MÃ¶ller, T.;Machiraju, R.;Mueller, K.;Yagel, R.</t>
  </si>
  <si>
    <t>IfI##IfI</t>
  </si>
  <si>
    <t>485142;398868;568124</t>
  </si>
  <si>
    <t>Smith, S.M.;Williams, G.</t>
  </si>
  <si>
    <t>;37344773600</t>
  </si>
  <si>
    <t>Smith, S.;Williams, G.</t>
  </si>
  <si>
    <t>J. Edward Swan II;Theresa-Marie Rhyne;David H. Laidlaw;Tamara Munzner;Victoria Interrante</t>
  </si>
  <si>
    <t>Freund, J.;Sloan, K.</t>
  </si>
  <si>
    <t>37621721400;37611960100</t>
  </si>
  <si>
    <t>Lynchburg College Lynchburg##Lynchburg College Lynchburg</t>
  </si>
  <si>
    <t>Swan, J.E.;Mueller, K.;Moller, T.;Shareel, N.;Crawfis, R.;Yagel, R.</t>
  </si>
  <si>
    <t>37295140400;37273119700;38341221100;;37284273900;38335291800</t>
  </si>
  <si>
    <t>567608;398877;346331;480792;398852</t>
  </si>
  <si>
    <t>Puig, A.;Tost, D.;Navazo, I.</t>
  </si>
  <si>
    <t>University of Rostock##University of Rostock##University of Rostock</t>
  </si>
  <si>
    <t>37615709500;37396861000;37612266700</t>
  </si>
  <si>
    <t>AT&amp;T Labs-Research##AT&amp;T Labs-Research</t>
  </si>
  <si>
    <t>Cox, M.;Ellsworth, D.</t>
  </si>
  <si>
    <t>37381630700;37282594500</t>
  </si>
  <si>
    <t>GVU Center and College of Computing Georgia Institute of Technology Atlanta##GVU Center and College of Computing Georgia Institute of Technology Atlanta</t>
  </si>
  <si>
    <t>346311;146360;398860</t>
  </si>
  <si>
    <t>Xerox Palo Alto Research Center</t>
  </si>
  <si>
    <t>Ochanomizu University##Ochanomizu University##Ochanomizu University##Ochanomizu University</t>
  </si>
  <si>
    <t>Aliaga, Daniel G.;Lastra, A.A.</t>
  </si>
  <si>
    <t>37270561900;37274005100</t>
  </si>
  <si>
    <t>Aliaga, D.;Lastra, A.</t>
  </si>
  <si>
    <t>567746_2</t>
  </si>
  <si>
    <t>University of New Orleans</t>
  </si>
  <si>
    <t>Volpe, C.R.;Glinert, E.P.</t>
  </si>
  <si>
    <t>37378427600;37347783300</t>
  </si>
  <si>
    <t>175789;146398;235205;480802</t>
  </si>
  <si>
    <t>Pacific Northwest National Laboratory##Pacific Northwest National Laboratory##Pacific Northwest National Laboratory##Pacific Northwest National Laboratory##Pacific Northwest National Laboratory##Pacific Northwest National Laboratory</t>
  </si>
  <si>
    <t>Battelle Pacific Northwest Division Richland##Battelle Pacific Northwest Division Richland##Battelle Pacific Northwest Division Richland</t>
  </si>
  <si>
    <t>Pak Chung Wong;Bergeron, R.D.</t>
  </si>
  <si>
    <t>;37342054500</t>
  </si>
  <si>
    <t>480811;567800</t>
  </si>
  <si>
    <t>University of Massachusetts Amherst##University of Massachusetts Amherst</t>
  </si>
  <si>
    <t>Penn State University##Penn State University##Penn State University##Penn State University##Penn State University</t>
  </si>
  <si>
    <t>De Fioriani, L.;Magillo, P.;Puppo, E.</t>
  </si>
  <si>
    <t>;37371970000;37355451700</t>
  </si>
  <si>
    <t>EurÃ©com Institute##EurÃ©com Institute##EurÃ©com Institute##EurÃ©com Institute##EurÃ©com Institute##EurÃ©com Institute##EurÃ©com Institute##EurÃ©com Institute##EurÃ©com Institute</t>
  </si>
  <si>
    <t>Kuschfeldt, S.;Ertl, T.;Holzner, M.</t>
  </si>
  <si>
    <t>37612264300;37268023800;37612266200</t>
  </si>
  <si>
    <t>568111;235200;398895;398878</t>
  </si>
  <si>
    <t>Rushmeier, H.;Lawrence, R.;Almasi, G.</t>
  </si>
  <si>
    <t>38338818800;38182013000;38203048700</t>
  </si>
  <si>
    <t>Ahrens, J.;McCormick, P.;Bossert, J.;Reisner, J.;Winterkamp, J.</t>
  </si>
  <si>
    <t>37282713700;37282708700;37617519400;37621785900;37612260000</t>
  </si>
  <si>
    <t>568117;175771</t>
  </si>
  <si>
    <t>Fuhrmann, A.;Loffelmann, H.;Schmalstieg, D.</t>
  </si>
  <si>
    <t>37267442100;37427428300;37297103800</t>
  </si>
  <si>
    <t>University of TÃ¼bingen##University of TÃ¼bingen</t>
  </si>
  <si>
    <t>Wood, J.;Wright, H.;Brodie, K.</t>
  </si>
  <si>
    <t>37273103500;37609618400;</t>
  </si>
  <si>
    <t>Oulu University Hospital##Oulu University Hospital</t>
  </si>
  <si>
    <t>Taosong He;Kaufman, A.</t>
  </si>
  <si>
    <t>37350343500;37268052800</t>
  </si>
  <si>
    <t>568108;346340</t>
  </si>
  <si>
    <t>SUNY at Stony Brook##</t>
  </si>
  <si>
    <t>Nielson, G.M.;Franke, R.</t>
  </si>
  <si>
    <t>37283754100;37413313200</t>
  </si>
  <si>
    <t>Swiss Federal Institute of Technology (ETH) Zurich##Swiss Federal Institute of Technology (ETH) Zurich##Swiss Federal Institute of Technology (ETH) Zurich</t>
  </si>
  <si>
    <t>University of Maryland Baltimore County##University of Maryland Baltimore County</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</si>
  <si>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α-hulls to polygonal meshes under the L ∞ distance metric and then generate valid triangulations to fill them.</t>
  </si>
  <si>
    <t>El-Sana, J.;Varshney, A.</t>
  </si>
  <si>
    <t>37393584400;37282560200</t>
  </si>
  <si>
    <t>Drake, D.;Simpson, T.;Smithmier, L.;Rheingans, P.</t>
  </si>
  <si>
    <t>37617709900;37608356300;37612252200;37282292000</t>
  </si>
  <si>
    <t>567777;346313;398850;568139;567746_1</t>
  </si>
  <si>
    <t>Assa, J.;Cohen-Or, D.;Milo, T.</t>
  </si>
  <si>
    <t>37612084200;38312451600;37409090400</t>
  </si>
  <si>
    <t>528691;146402;528686;398863;528692</t>
  </si>
  <si>
    <t>Hoffman, P.;Grinstein, G.;Marx, K.;Grosse, I.;Stanley, E.</t>
  </si>
  <si>
    <t>37617749600;38470495600;38318555000;37622312400;38180962800</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</si>
  <si>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t>
  </si>
  <si>
    <t>235201;480803;175795;235219</t>
  </si>
  <si>
    <t>Mandal, C.;Hong Qin;Vemuri, B.C.</t>
  </si>
  <si>
    <t>37369631900;37276553900;37285145200</t>
  </si>
  <si>
    <t>Albertelli, G.;Crawfis, R.A.</t>
  </si>
  <si>
    <t>38325377700;37284273900</t>
  </si>
  <si>
    <t>Albertelli, G.;Crawfis, R.</t>
  </si>
  <si>
    <t>235210;398846</t>
  </si>
  <si>
    <t>Kwan-Liu Ma;Interrante, V.</t>
  </si>
  <si>
    <t>37275869400;37282637800</t>
  </si>
  <si>
    <t>Wegenkittl, R.;Groller, E.</t>
  </si>
  <si>
    <t>37267822600;38471589400</t>
  </si>
  <si>
    <t>480817;346313;398850;567784;398877;346312</t>
  </si>
  <si>
    <t>Fujishiro, I.;Takeshima, Y.;Ichikawa, Y.;Nakamura, K.</t>
  </si>
  <si>
    <t>37282596600;37282600100;37618383200;37364307400</t>
  </si>
  <si>
    <t>146375;398857;559210</t>
  </si>
  <si>
    <t>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t>
  </si>
  <si>
    <t>Arizona State University##Arizona State University</t>
  </si>
  <si>
    <t>State University of New York at Stony Brook *##State University of New York at Stony Brook *##State University of New York at Stony Brook *</t>
  </si>
  <si>
    <t>UniversitÃ¤t Stuttgart##UniversitÃ¤t Stuttgart##UniversitÃ¤t Stuttgart</t>
  </si>
  <si>
    <t>Yi-Jen Chiang;Silva, Claudio T.</t>
  </si>
  <si>
    <t>University of North Carolina at Chapel Hill. majumder##University of North Carolina at Chapel Hill. majumder##University of North Carolina at Chapel Hill. majumder##University of North Carolina at Chapel Hill. majumder</t>
  </si>
  <si>
    <t>37362725400;38183059100</t>
  </si>
  <si>
    <t>Yi-Jen Chiang;Silva, C.T.</t>
  </si>
  <si>
    <t>480806;568121</t>
  </si>
  <si>
    <t>Yuqun Chen;Douglas W. Clark;Adam Finkelstein;Timothy C. Housel;Kai Li</t>
  </si>
  <si>
    <t>University of Colorado Boulder##University of Colorado Boulder##University of Colorado Boulder##University of Colorado Boulder</t>
  </si>
  <si>
    <t>Qian Chen;Medioni, G.</t>
  </si>
  <si>
    <t>37364793300;37280043300</t>
  </si>
  <si>
    <t>University of Technology##University of Technology##University of Technology</t>
  </si>
  <si>
    <t>Laskowski, S.;Wills, G.;Rogowitz, B.</t>
  </si>
  <si>
    <t>Laskowski, S.;Wills, G.J.;Rogowitz, B.</t>
  </si>
  <si>
    <t>UCSC Â¾ NASA Ames Research Center##UCSC Â¾ NASA Ames Research Center##UCSC Â¾ NASA Ames Research Center##UCSC Â¾ NASA Ames Research Center</t>
  </si>
  <si>
    <t>Mississippi State University##The Ohio State University##Mississippi State University</t>
  </si>
  <si>
    <t>Banks, D.C.;Foley, J.T.;Vidimce, K.N.;Ming-Hoe Kiu</t>
  </si>
  <si>
    <t>37356983700;37393096300;37612298500;37612321600</t>
  </si>
  <si>
    <t>University of Utah##University of Utah##University of Utah##University of Utah##University of Utah##University of Utah</t>
  </si>
  <si>
    <t>Tzi-cker Chiueh;Chuan-Kai Yang;Taosong He;Pfister, H.;Kaufman, A.</t>
  </si>
  <si>
    <t>37273336700;37615351500;37350343500;37275698100;37268052800</t>
  </si>
  <si>
    <t>Computer Science and Electrical Engineering University of Maryland Baltimore County##Computer Science and Electrical Engineering University of Maryland Baltimore County</t>
  </si>
  <si>
    <t>Sobierajski, L.;Schroeder, W.</t>
  </si>
  <si>
    <t>;37282730100</t>
  </si>
  <si>
    <t>Sobierajski, L.;Schroeder, W.J.</t>
  </si>
  <si>
    <t>567746_1;663883</t>
  </si>
  <si>
    <t>University of Wales Swansea##University of Wales Swansea</t>
  </si>
  <si>
    <t>Helwig Hauser;Lukas Mroz;Gian Italo Bischi;Eduard Gröller</t>
  </si>
  <si>
    <t>VRVis Center Vienna##University of Urbino##Vienna Univ. of Technology##Vienna University of Technology</t>
  </si>
  <si>
    <t>Suya You;Lichan Hong;Wan, M.;Junyaprasert, K.;Kaufman, A.;Muraki, S.;Yong Zhou;Wax, M.;Zhengrong Liang</t>
  </si>
  <si>
    <t>37611469100;37347459100;37362958300;;37268052800;37612362200;37363214300;37354296000;37273115400</t>
  </si>
  <si>
    <t>University of MÃ¼nster##University of MÃ¼nster##University of MÃ¼nster</t>
  </si>
  <si>
    <t>IBM T. J. Watson Research Center â€ Dassault SystÃ¨mes##IBM T. J. Watson Research Center â€ Dassault SystÃ¨mes##IBM T. J. Watson Research Center â€ Dassault SystÃ¨mes##IBM T. J. Watson Research Center â€ Dassault SystÃ¨mes</t>
  </si>
  <si>
    <t>The Johns Hopkins University##The Johns Hopkins University</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</si>
  <si>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╬▒ÔëñF(x,y,z)Ôëñ╬▓. The authors describe an algorithm for computing a tetrahedrization of a polyhedral approximation to the interval volume.</t>
  </si>
  <si>
    <t>Nielson, G.M.;Sung, J.</t>
  </si>
  <si>
    <t>37283754100;37362401700</t>
  </si>
  <si>
    <t>175782;480789</t>
  </si>
  <si>
    <t>State University of New York at Stony Brook##State University of New York at Stony Brook##State University of New York at Stony Brook##State University of New York at Stony Brook</t>
  </si>
  <si>
    <t>University of Bonn##University of Bonn</t>
  </si>
  <si>
    <t>Staadt, O.G.;Gross, M.H.;Weber, R.</t>
  </si>
  <si>
    <t>37355334600;37275694700;37273480100</t>
  </si>
  <si>
    <t>Staadt, O.;Gross, M.;Weber, R.</t>
  </si>
  <si>
    <t>USC##USC##USC##USC##USC</t>
  </si>
  <si>
    <t>Yong Zhou;Chen, B.;Kaufman, A.</t>
  </si>
  <si>
    <t>37363214300;37367422700;37268052800</t>
  </si>
  <si>
    <t>University of Hull##University of Leeds##University of Leeds</t>
  </si>
  <si>
    <t>University of Utah nDV-LLC</t>
  </si>
  <si>
    <t>University of TÃ¼bingen</t>
  </si>
  <si>
    <t>480811;485139;346302;567800;398864;146387</t>
  </si>
  <si>
    <t>University of Kaiserslautern##University of Kaiserslautern</t>
  </si>
  <si>
    <t>INRIA Sophia Antipolis##INRIA Sophia Antipolis</t>
  </si>
  <si>
    <t>The University of North Carolina at Chapel Hill##The University of North Carolina at Chapel Hill##The University of North Carolina at Chapel Hill##The University of North Carolina at Chapel Hill##The University of North Carolina at Chapel Hill</t>
  </si>
  <si>
    <t>Ben-Gurion University Beer-Sheva</t>
  </si>
  <si>
    <t>Taylor, R.M.;Jun Chen;Okimoto, S.;Llopis-Artime, N.;Chi, V.L.;Brooks, F.P., Jr.;Falvo, M.;Paulson, S.;Thiansathaporn, P.;Glick, D.;Washburn, Sean;Superfine, Richard</t>
  </si>
  <si>
    <t>38183525100;37616309400;37612241200;37612237600;37623416900;37295063200;37305862000;37447873500;;37620455200;37271671300;37271669900</t>
  </si>
  <si>
    <t>Taylor, R.M.;Jun Chen;Okimoto, S.;Llopis-Artime, N.;Chi, V.L.;Brooks, F.P., Jr.;Falvo, M.;Paulson, S.;Thiansathaporn, P.;Glick, D.;Washburn, S.;Superfine, R.</t>
  </si>
  <si>
    <t>Barrett, H.;Rheingans, P.;Uselton, S.;Watson, A.</t>
  </si>
  <si>
    <t>37613897400;</t>
  </si>
  <si>
    <t>398875;567780;235211;235225</t>
  </si>
  <si>
    <t>Udo Adamy;Joachim Giesen;Matthias John</t>
  </si>
  <si>
    <t>ETH ZÃ¼rich##ETH ZÃ¼rich##ETH ZÃ¼rich</t>
  </si>
  <si>
    <t>Barequet, G.;Subodh Kumar</t>
  </si>
  <si>
    <t>37326555000;37277183300</t>
  </si>
  <si>
    <t>CNRS University of Grenoble##CNRS University of Grenoble</t>
  </si>
  <si>
    <t>Duchaineau, M.;Wolinsky, M.;Sigeti, D.E.;Miller, M.C.;Aldrich, C.;Mineev-Weinstein, M.B.</t>
  </si>
  <si>
    <t>37267813100;37443252200;37443253500;;37608683600;37612202100</t>
  </si>
  <si>
    <t>Duchaineau, M.;Wolinsky, M.;Sigeti, D.E.;Miller, M.;Aldrich, C.;Mineev-Weinstein, M.B.</t>
  </si>
  <si>
    <t>567600;568126;568125;480813;480805</t>
  </si>
  <si>
    <t>Cohen, J.;Manocha, D.;Olano, M.</t>
  </si>
  <si>
    <t>37275763600;37267825600;38181249400</t>
  </si>
  <si>
    <t>Cohen, J.D.;Manocha, D.;Olano, M.</t>
  </si>
  <si>
    <t>University of Bonn##University of Bonn##University of Bonn</t>
  </si>
  <si>
    <t>GVU Center##GVU Center</t>
  </si>
  <si>
    <t>Lavin, Y.;Levy, Y.;Hesselink, Lambertus</t>
  </si>
  <si>
    <t>37372012600;37610569700;37274095200</t>
  </si>
  <si>
    <t>Lavin, Y.;Levy, Y.;Hesselink, L.</t>
  </si>
  <si>
    <t>Presents a new method to produce a hierarchical set of triangle meshes that can be used to blend different levels of detail in a smooth fashion. The algorithm produces a sequence of meshes M0, M1, M2..., Mn, where each mesh Mi can be transformed to mesh Mi+1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</si>
  <si>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Gieng, T.S.;Hamann, B.;Joy, K.I.;Schussman, G.L.;Trotts, I.J.</t>
  </si>
  <si>
    <t>37612257400;37282068700;37267811400;37283639900;37372274900</t>
  </si>
  <si>
    <t>Gieng, T.S.;Hamann, B.;Joy, K.I.;Schussman, G.;Trotts, I.J.</t>
  </si>
  <si>
    <t>568126;568124</t>
  </si>
  <si>
    <t>Interrante, V.;Grosch, C.</t>
  </si>
  <si>
    <t>37282637800;37347332000</t>
  </si>
  <si>
    <t>398877;567784;346313;567777;346312</t>
  </si>
  <si>
    <t>Lukas Mroz;Rainer Wegenkittl;Eduard Gröller</t>
  </si>
  <si>
    <t>J. Edward Swan II;Marco Lanzagorta;Doug Maxwell;Eddy Kuo;Jeffrey K. Uhlmann;Wendell Anderson;Haw-Jye Shyu;William Smith</t>
  </si>
  <si>
    <t>Cox, M.;Crawfis, R.;Hamann, B.;Hansen, C.;Miller, M.</t>
  </si>
  <si>
    <t>Neurocenter##University of Erlangen-Nuremberg##University of Erlangen-Nuremberg####University of Stuttgart</t>
  </si>
  <si>
    <t>University of Leeds##University of Leeds</t>
  </si>
  <si>
    <t>37282899200;37284312600;37355637500</t>
  </si>
  <si>
    <t>Brown University##Brown University##Brown University##Brown University##Brown University##Brown University</t>
  </si>
  <si>
    <t>10.1109/VISUAL.1996.568123;10.1109/VISUAL.1995.480803;10.1109/VISUAL.1998.745284;10.1109/VISUAL.1996.568113</t>
  </si>
  <si>
    <t>568123;480803;745284;568112</t>
  </si>
  <si>
    <t>Rainer Wegenkittl;Anna Vilanova;Balint Hegedüs;Daniel Wagner;Martin C. Freund;Eduard Gröller</t>
  </si>
  <si>
    <t>Tiani Medgraph GesmbH##Tiani Medgraph GesmbH##Tiani Medgraph GesmbH##Tiani Medgraph GesmbH##Tiani Medgraph GesmbH##Tiani Medgraph GesmbH</t>
  </si>
  <si>
    <t>Jobard, B.;Lefer, W.</t>
  </si>
  <si>
    <t>37267249300;37612167300</t>
  </si>
  <si>
    <t>BioCentrum Amsterdam##BioCentrum Amsterdam##BioCentrum Amsterdam##BioCentrum Amsterdam##CWI</t>
  </si>
  <si>
    <t>Grosso, R.;Lurig, C.;Ertl, T.</t>
  </si>
  <si>
    <t>37612367400;37372245300;37268023800</t>
  </si>
  <si>
    <t>568127;568124;480805;568121;398852;480806;567606</t>
  </si>
  <si>
    <t>Rutgers University##Rutgers University##Rutgers University##Rutgers University</t>
  </si>
  <si>
    <t>Westermann, R.;Ertl, T.</t>
  </si>
  <si>
    <t>37444424000;37268023800</t>
  </si>
  <si>
    <t>567606;398853;146391</t>
  </si>
  <si>
    <t>IBM T.J. Watson Research Center##IBM T.J. Watson Research Center##IBM T.J. Watson Research Center##IBM T.J. Watson Research Center##IBM T.J. Watson Research Center</t>
  </si>
  <si>
    <t>University of Maryland##SRI International</t>
  </si>
  <si>
    <t>Brady, M.;Jung, K.;Nguyen, H.T.;Nguyen, T.</t>
  </si>
  <si>
    <t>37291463600;37360575900;37366032400;38184427400</t>
  </si>
  <si>
    <t>346340;485154;567603</t>
  </si>
  <si>
    <t>Shen, H.-W.;Kao, D.L.</t>
  </si>
  <si>
    <t>37366741500;37339406400</t>
  </si>
  <si>
    <t>Han-Wei Shen;Kao, D.</t>
  </si>
  <si>
    <t>Sonar Research &amp; Development Ltd +##Sonar Research &amp; Development Ltd +##Sonar Research &amp; Development Ltd +##Sonar Research &amp; Development Ltd +##Sonar Research &amp; Development Ltd +</t>
  </si>
  <si>
    <t>480817;398848;567784</t>
  </si>
  <si>
    <t>University of Illinois at Urbana-Champaign##University of Illinois at Urbana-Champaign##University of Illinois at Urbana-Champaign##University of Illinois at Urbana-Champaign##University of Illinois at Urbana-Champaign</t>
  </si>
  <si>
    <t>Rander, P.;Narayanan, P.J.;Kanade, T.</t>
  </si>
  <si>
    <t>37371914000;37298506200;37283735000</t>
  </si>
  <si>
    <t>IBM Thomas J. Watson Research Center Yorktown Heights</t>
  </si>
  <si>
    <t>Shneerson, M.;Tal, A.</t>
  </si>
  <si>
    <t>crcp Technische UniversitÃ¤t Darmstadt##crcp Technische UniversitÃ¤t Darmstadt##crcp Technische UniversitÃ¤t Darmstadt</t>
  </si>
  <si>
    <t>37612261200;37337567000</t>
  </si>
  <si>
    <t>Clark, D.;Bailey, M.</t>
  </si>
  <si>
    <t>37364046500;37280473500</t>
  </si>
  <si>
    <t>Georgia Institute of Technology Atlanta##Georgia Institute of Technology Atlanta##Georgia Institute of Technology Atlanta##Georgia Institute of Technology Atlanta</t>
  </si>
  <si>
    <t>Scheuermann, G.;Hagen, H.;Kruger, H.;Menzel, M.;Rockwood, A.</t>
  </si>
  <si>
    <t>37282574800;37282578800;37420744100;37375936800;37372689000</t>
  </si>
  <si>
    <t>Rabinovich, B.;Gotsman, C.</t>
  </si>
  <si>
    <t>37612158500;37281769000</t>
  </si>
  <si>
    <t>Loomis, J.J.;Xiuwen Liu;Zhaohua Ding;Fujimura, K.;Evans, M.L.;Ishikawa, H.</t>
  </si>
  <si>
    <t>37619552000;37616244800;37615115900;37269959700;37614269500;37615793800</t>
  </si>
  <si>
    <t>Eindhoven University of Technology##Eindhoven University of Technology##Eindhoven University of Technology</t>
  </si>
  <si>
    <t>University of Rome "##University of Rome "##University of Rome "</t>
  </si>
  <si>
    <t>University of Maryland##University of Maryland##University of Maryland##University of Maryland##University of Maryland</t>
  </si>
  <si>
    <t>Dresden University of Technology##Dresden University of Technology</t>
  </si>
  <si>
    <t>235211;346330;235193;235227;346315;175789;398867;346338;398846</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</si>
  <si>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 n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</si>
  <si>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Wegenkittl, R.;Loffelmann, H.;Groller, E.</t>
  </si>
  <si>
    <t>37267822600;37427428300;38471589500</t>
  </si>
  <si>
    <t>146373;175796;398869;175795;146386;146402;398849</t>
  </si>
  <si>
    <t>Battelle Pacific Northwest Division##Battelle Memorial Institute</t>
  </si>
  <si>
    <t>University of Constance##University of Constance##University of Constance##University of Constance##University of Constance</t>
  </si>
  <si>
    <t>Michaels, C.;Bailey, M.</t>
  </si>
  <si>
    <t>37623369100;37280473500</t>
  </si>
  <si>
    <t>SAS Institute Inc##SAS Institute Inc</t>
  </si>
  <si>
    <t>Uppsala University##Uppsala University</t>
  </si>
  <si>
    <t>Arizona State University##Arizona State University##Arizona State University</t>
  </si>
  <si>
    <t>University of Utah##University of Utah##University of Utah####University of Utah##University of Utah</t>
  </si>
  <si>
    <t>Tel Aviv University##Tel Aviv University##Tel Aviv University##Tel Aviv University##Tel Aviv University##Tel Aviv University##Tel Aviv University##Tel Aviv University</t>
  </si>
  <si>
    <t>Tam, R.C.;Healey, Christopher G.;Flak, B.;Cahoon, P.</t>
  </si>
  <si>
    <t>37267823200;37298406100;37612079700;37612081300</t>
  </si>
  <si>
    <t>Tam, R.;Healey, C.;Flak, B.;Cahoon, P.</t>
  </si>
  <si>
    <t>568118;398874</t>
  </si>
  <si>
    <t>Kenwright, D.;Haimes, R.</t>
  </si>
  <si>
    <t>37355295400;37282898700</t>
  </si>
  <si>
    <t>568137;346327;175773</t>
  </si>
  <si>
    <t>University of Minnesota at Twin Cities##University of Minnesota at Twin Cities</t>
  </si>
  <si>
    <t>Zhifan Zhu;Machiraju, R.;Fry, B.;Moorhead, R.</t>
  </si>
  <si>
    <t>37616769800;37269516700;37619005500;37282559500</t>
  </si>
  <si>
    <t>Zhifan Zhu;Machiraju, R.;Fry, B.;Moorhead, R.J.</t>
  </si>
  <si>
    <t>346332;480810;568138;480812</t>
  </si>
  <si>
    <t>Florida State University##Florida State University##Florida State University</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</si>
  <si>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</si>
  <si>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Bentley, C.L.;Ward, M.O.</t>
  </si>
  <si>
    <t>37358059800;37268441700</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</si>
  <si>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</si>
  <si>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Zhou, M.X.;Feiner, Steven K.</t>
  </si>
  <si>
    <t>37399569300;37266699900</t>
  </si>
  <si>
    <t>Zhou, M.X.;Feiner, S.</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</si>
  <si>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</si>
  <si>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Rushall, D.A.;Ilgen, M.R.</t>
  </si>
  <si>
    <t>37349445400;37349438900</t>
  </si>
  <si>
    <t>Carpendale, M.S.T.;Cowperthwaite, D.J.;Fracchia, F.D.</t>
  </si>
  <si>
    <t>Carpendale, S.;Cowperthwaite, D.J.;Fracchia, F.D.</t>
  </si>
  <si>
    <t>Ingrid Carlbom Â¾##Murray Hill</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</si>
  <si>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</si>
  <si>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Pak Chung Wong;Crabb, A.H.;Bergeron, R.D.</t>
  </si>
  <si>
    <t>37280665600;38180173300;37342054500</t>
  </si>
  <si>
    <t>Ohio State University Columbus##Ohio State University Columbus##Ohio State University Columbus##Ohio State University Columbus##Ohio State University Columbus##Ohio State University Columbus</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</si>
  <si>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</si>
  <si>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Varshney, A.;Kaufman, A.</t>
  </si>
  <si>
    <t>37282560200;37268052800</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</si>
  <si>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</si>
  <si>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Alper, N.;Stein, C.</t>
  </si>
  <si>
    <t>37349545700;37357556500</t>
  </si>
  <si>
    <t>528686;528682</t>
  </si>
  <si>
    <t>Thomas Theußl;Torsten Möller;Eduard Gröller</t>
  </si>
  <si>
    <t>Hamish Carr;Torsten Möller;Jack Snoeyink</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</si>
  <si>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</si>
  <si>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Cox, K.C.;Hackborn, D.</t>
  </si>
  <si>
    <t>37344059700;37348963800</t>
  </si>
  <si>
    <t>New York University##New York University##New York University</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</si>
  <si>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</si>
  <si>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Ebert, D.S.;Shaw, C.;Zwa, A.;Miller, E.L.;Roberts, D.A.</t>
  </si>
  <si>
    <t>38472155500;37358198200;37349401300;38183319400;37342992000</t>
  </si>
  <si>
    <t>LLNL##LLNL##LLNL</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</si>
  <si>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</si>
  <si>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Chuah, M.C.;Roth, S.F.</t>
  </si>
  <si>
    <t>37343565300;37357418100</t>
  </si>
  <si>
    <t>528684;559210</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</si>
  <si>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ÔÇ£standardÔÇØ visualization techniques. VANISH's support for prototyping is shown through an extended example, where we build a C++ class browser, exploring many visualization alternatives in the process</t>
  </si>
  <si>
    <t>Kazman, R.;Carriere, J.</t>
  </si>
  <si>
    <t>37267671500;37352137000</t>
  </si>
  <si>
    <t>528688;528689;175815</t>
  </si>
  <si>
    <t>University of Illinois at Urbanaâ€“Champaign##University of Illinois at Urbanaâ€“Champaign</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</si>
  <si>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[216 operation systems×2 (memory/memoryless)×2 (data-dependent/independent)×2 (brush/lasso)] is more in fun than serious, as within the taxonomy there are many different choices that can be made. This framework is the result of considering both the current state of the art and historical antecedents</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</si>
  <si>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</si>
  <si>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37349418300;37340580700</t>
  </si>
  <si>
    <t>Brown University##Brown University##Brown University##Brown University##Brown University##Brown University##Brown University</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</si>
  <si>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ÔÇ£plottedÔÇØ in the landscape, indicating their whereabouts in a broader context, and several sets of 3D icons are available for representing the various document types</t>
  </si>
  <si>
    <t>Andrews, K.;Pichler, M.;Wolf, P.</t>
  </si>
  <si>
    <t>37340122200;37348772800;37344785300</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</si>
  <si>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</si>
  <si>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Roth, S.F.;Lucas, P.;Senn, J.A.;Gomberg, C.C.;Burks, M.B.;Stroffolino, P.J.;Kolojechick, A.J.;Dunmire, C.</t>
  </si>
  <si>
    <t>37357418100;37305539000;37349377800;37349375500;37345262200;37349338400;;37349336300</t>
  </si>
  <si>
    <t>398870;175815</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</si>
  <si>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</si>
  <si>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Liqun Jin;Banks, D.C.</t>
  </si>
  <si>
    <t>37345749400;37356983700</t>
  </si>
  <si>
    <t>University of Kentucky##University of Kentucky##University of Kentucky##University of Kentucky##University of Kentucky</t>
  </si>
  <si>
    <t>IBM T.J. Watson Research Center##IBM T.J. Watson Research Center</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</si>
  <si>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</si>
  <si>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Munzner, T.;Hoffman, E.;Claffy, K.;Fenner, B.</t>
  </si>
  <si>
    <t>37349490300;37345372400;37284688500;37349494400</t>
  </si>
  <si>
    <t>ISA (Inria Lorraine) Loria, rue du Jardin Botanique##ISA (Inria Lorraine) Loria, rue du Jardin Botanique##ISA (Inria Lorraine) Loria, rue du Jardin Botanique##ISA (Inria Lorraine) Loria, rue du Jardin Botanique</t>
  </si>
  <si>
    <t>University of Stuttgart##University of Stuttgart</t>
  </si>
  <si>
    <t>High Performance Computing Center Stuttgart (HLRS)##High Performance Computing Center Stuttgart (HLRS)##High Performance Computing Center Stuttgart (HLRS)</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</si>
  <si>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</si>
  <si>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Mukherjea, S.;Hirata, K.;Hara, Y.</t>
  </si>
  <si>
    <t>UniversitÃ¤t Stuttgart##UniversitÃ¤t Stuttgart</t>
  </si>
  <si>
    <t>37349378000;37292518200;37331949400</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</si>
  <si>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ÔÇ£contextualÔÇØ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</si>
  <si>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Gray, M.;Badre, A.;Guzdial, M.</t>
  </si>
  <si>
    <t>Philips Research Laboratories##Philips Research Laboratories##Philips Research Laboratories</t>
  </si>
  <si>
    <t>37354963000;37348960700;37352130100</t>
  </si>
  <si>
    <t>In many mechanical design-related activities, a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</si>
  <si>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Lu, S-C.;Rebello, A. B.;Cui, D. H.;Yagel, R.;Miller, R. A.;Kinzel, G. L.</t>
  </si>
  <si>
    <t>37858270000;37851790300;37864867900;37342422500;37854489100;37860557400</t>
  </si>
  <si>
    <t>Lu, S.C.;Rebello, A.B.;Cui, D.H.;Yagel, R.;Miller, R.A.;Kinzel, G.L.</t>
  </si>
  <si>
    <t>The Ohio State University##The Ohio State University##The Ohio State University##Visteon Inc##Ford Motor Company</t>
  </si>
  <si>
    <t>Vemuri, B.C.;Mandal, C.</t>
  </si>
  <si>
    <t>37285145200;37369631900</t>
  </si>
  <si>
    <t>Avila, R.S.;Sobierajski, L.M.</t>
  </si>
  <si>
    <t>37323905300;37378488600</t>
  </si>
  <si>
    <t>Avila, R.;Sobierajski, L.</t>
  </si>
  <si>
    <t>Eric B. Lum;Kwan-Liu Ma;John Clyne</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</si>
  <si>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</si>
  <si>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528686;480814</t>
  </si>
  <si>
    <t>University of Technology Aachen##University of Technology Aachen</t>
  </si>
  <si>
    <t>VRVis Research Center##VRVis Research Center</t>
  </si>
  <si>
    <t>Hagedorn, J.;Rushmeier, H.;Blendell, J.;Vaudin, M.</t>
  </si>
  <si>
    <t>38338317000;38338819800;38471017700;38302911200</t>
  </si>
  <si>
    <t>ETH Zurich##ETH Zurich</t>
  </si>
  <si>
    <t>Rossiter, D.;Wai-Yin Ng</t>
  </si>
  <si>
    <t>37862094900;37415393700</t>
  </si>
  <si>
    <t>146398;480802</t>
  </si>
  <si>
    <t>Tel Aviv University##Tel Aviv University##Tel Aviv University</t>
  </si>
  <si>
    <t>Keeve, E.;Girod, S.;Pfeifle, P.;Girod, B.</t>
  </si>
  <si>
    <t>37282573400;37823485800;37845919000;37283315200</t>
  </si>
  <si>
    <t>New York University *##New York University *</t>
  </si>
  <si>
    <t>Justus-Liebig-UniversitÃ¤t Giessen##Justus-Liebig-UniversitÃ¤t Giessen##Justus-Liebig-UniversitÃ¤t Giessen##Justus-Liebig-UniversitÃ¤t Giessen</t>
  </si>
  <si>
    <t>Bonneau, G.-P.;Hahmann, S.;Nielson, G.M.</t>
  </si>
  <si>
    <t>37368609100;37378532500;37283754100</t>
  </si>
  <si>
    <t>WSI/GRIS University of TÃ¼bingen##WSI/GRIS University of TÃ¼bingen</t>
  </si>
  <si>
    <t>Beckman Institute##Beckman Institute##Beckman Institute</t>
  </si>
  <si>
    <t>Gershon, N.D.;Gershon, N.;Braham, R.;Fracchia, D.;Glassner, A.;Mones-Hattal, B.;Rose, R.</t>
  </si>
  <si>
    <t>37352200300;37843583300;37357593500;38181249100;38224696300;37860551400;37864763100</t>
  </si>
  <si>
    <t>Gershon, N.;Gershon, N.;Braham, R.;Fracchia, D.;Glassner, A.;Mones-Hattal, B.;Rose, R.</t>
  </si>
  <si>
    <t>Ben-Gurion University##Ben-Gurion University##Ben-Gurion University##Ben-Gurion University</t>
  </si>
  <si>
    <t>Painter, J.S.;Bunge, H.-P.;Livnat, Y.</t>
  </si>
  <si>
    <t>37385363700;37860427300;37282553200</t>
  </si>
  <si>
    <t>De Montfort University##De Montfort University##De Montfort University</t>
  </si>
  <si>
    <t>Carpendale, M.S.T.;Fall, A.;Cowperthwaite, D.J.;Fall, J.;Fracchia, F.D.</t>
  </si>
  <si>
    <t>Carpendale, S.;Fall, A.;Cowperthwaite, D.J.;Fall, J.;Fracchia, F.D.</t>
  </si>
  <si>
    <t>Sakas, G.;Vicker, M.G.;Plath, P.J.</t>
  </si>
  <si>
    <t>37283227500;37860424200;37860424800</t>
  </si>
  <si>
    <t>The Hebrew University of Jerusalem##The Hebrew University of Jerusalem</t>
  </si>
  <si>
    <t>Anna Vilanova;Rainer Wegenkittl;Andreas König 0002;Eduard Gröller</t>
  </si>
  <si>
    <t>Vienna University of Technology â€ Tiani Medgraph##Vienna University of Technology â€ Tiani Medgraph##Vienna University of Technology â€ Tiani Medgraph##Vienna University of Technology â€ Tiani Medgraph</t>
  </si>
  <si>
    <t>Beaudoin, L.;Parent, M.-A.;Vroomen, L.C.</t>
  </si>
  <si>
    <t>37852878400;37864656600;38180174600</t>
  </si>
  <si>
    <t>Lucent Technologies Network Systems Naperville##Illinois State University##Illinois State University</t>
  </si>
  <si>
    <t>Healey, C.G.</t>
  </si>
  <si>
    <t>480803;398874</t>
  </si>
  <si>
    <t>University of Stuttgart##Neurocenter##University of Stuttgart##University of Erlangen-Nuremberg##University of Erlangen-Nuremberg</t>
  </si>
  <si>
    <t>Zuiderveld, K.J.;van Ooijen, P.M.A.;Chin-A-Woeng, J.W.C.;Buijs, P.C.;Olree, M.;Post, F.H.</t>
  </si>
  <si>
    <t>37370740500;37399434900;37860534500;37842345100;37860535500;37295045800</t>
  </si>
  <si>
    <t>Brown University##Brown University##Brown University##Brown University##Brown University##Brown University##Brown University##Brown University##Brown University##Brown University</t>
  </si>
  <si>
    <t>CWI##CWI</t>
  </si>
  <si>
    <t>398869;175782</t>
  </si>
  <si>
    <t>IBM T.J. Watson Research Center##IBM T.J. Watson Research Center##IBM T.J. Watson Research Center</t>
  </si>
  <si>
    <t>Cohen-Or, D.;Levin, D.;Solomovici, A.</t>
  </si>
  <si>
    <t>Stanford University##Stanford University##Stanford University##Stanford University##Immersion Corporation##Immersion Corporation##Immersion Corporation</t>
  </si>
  <si>
    <t>37266751800;37284860300;37846136800</t>
  </si>
  <si>
    <t>Yale University School of Medicine##Yale University School of Medicine##Yale University School of Medicine</t>
  </si>
  <si>
    <t>David T. Kao;Jennifer L. Dungan;Alex T. Pang</t>
  </si>
  <si>
    <t>UCSC##UCSC##UCSC##UCSC</t>
  </si>
  <si>
    <t>State University of New York at Stony Brook Relativistic Heavy Ion Collider Project (RHIC)##State University of New York at Stony Brook Relativistic Heavy Ion Collider Project (RHIC)##State University of New York at Stony Brook Relativistic Heavy Ion Collider Project (RHIC)</t>
  </si>
  <si>
    <t>Florida State University and International Neuroimaging Consortium VA Medical Center University of Minneapolis##Florida State University and International Neuroimaging Consortium VA Medical Center University of Minneapolis##Florida State University and International Neuroimaging Consortium VA Medical Center University of Minneapolis</t>
  </si>
  <si>
    <t>Simon Fraser University##Otto-von-Guericke University of Magdeburg##Simon Fraser University##Vancouver Hospital and Health Sciences Centre##Simon Fraser University</t>
  </si>
  <si>
    <t>Armin Kanitsar;Rainer Wegenkittl;Petr Felkel;Dominik Fleischmann;Dominique Sandner;Eduard Gröller</t>
  </si>
  <si>
    <t>Vienna University of Technology##Vienna University of Technology##Vienna University of Technology##Vienna University of Technology##Vienna University of Technology##Vienna University of Technology</t>
  </si>
  <si>
    <t>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t>
  </si>
  <si>
    <t>Trapp, J.;Pagendarm, H.-G.</t>
  </si>
  <si>
    <t>37413486600;37372011800</t>
  </si>
  <si>
    <t>485151;485156</t>
  </si>
  <si>
    <t>NSF Engineering Research Center Mississippi State University Mississippi State##NSF Engineering Research Center Mississippi State University Mississippi State##Jackson State University Jackson##Jackson State University Jackson</t>
  </si>
  <si>
    <t>Banks, D.C.;Hamann, B.;Po-Yu Tsai;Moorhead, R.;Barlow, J.</t>
  </si>
  <si>
    <t>37356983700;37282068700;37849431900;37282559500;37861977200</t>
  </si>
  <si>
    <t>Banks, D.C.;Hamann, B.;Po-Yu Tsai;Moorhead, R.J.;Barlow, J.</t>
  </si>
  <si>
    <t>Shiaofen Fang;Su Huang;Srinivasan, R.;Raghu Raghavan</t>
  </si>
  <si>
    <t>37289749900;37856558400;37301843300;37325476100</t>
  </si>
  <si>
    <t>The Ohio State University####The Ohio State University##</t>
  </si>
  <si>
    <t>California Institute of Technology Pasadena##California Institute of Technology Pasadena##California Institute of Technology Pasadena</t>
  </si>
  <si>
    <t>Xia, J.C.;Varshney, A.</t>
  </si>
  <si>
    <t>37850740800;37282560200</t>
  </si>
  <si>
    <t>NASA Langley Research Center##NASA Langley Research Center##NASA Langley Research Center##NASA Langley Research Center</t>
  </si>
  <si>
    <t>398868;480805</t>
  </si>
  <si>
    <t>Pandit, V.;McDermott, R.;Lazzi, G.;Furse, C.;Gandhi, O.</t>
  </si>
  <si>
    <t>37847101500;38185363300;37284107000;37266169000;37265915300</t>
  </si>
  <si>
    <t>Virginia Polytechnic Institute and State University Blacksburg##Virginia Polytechnic Institute and State University Blacksburg##Virginia Polytechnic Institute and State University Blacksburg</t>
  </si>
  <si>
    <t>Volume ray casting is based on sampling the data along sight rays. In this technique, reconstruction is achieved by a convolution, which collects the contribution of multiple voxels to one sample point. Splatting, on the other hand, is based on projecting data points onto the screen. Here, reconstruction is implemented by an “inverted convolution” where the contribution of one data element is distributed to many sample points (i.e., pixels). Splatting produces images of a quality comparable to raycasting but at greater speed. This is achieved by precomputing the projection footprint that the interpolation kernel leaves on the image plane. However, while fast incremental schemes can bc utilized for orthographic projection, perspective projection complicates the mapping of the footprints and is therefore rather slow. In this paper, we merge the technique of splatting with principles of raycasting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 driven splatting cannot benefit from. This results in competitive or superior performance for parallel projection, and superior performance for perspective projection.</t>
  </si>
  <si>
    <t>Muellel, K.;Yagel, R.</t>
  </si>
  <si>
    <t>480792;398877;398852</t>
  </si>
  <si>
    <t>Battelle Pacific Northwest Richland##Battelle Pacific Northwest Richland##Battelle Pacific Northwest Richland##Battelle Pacific Northwest Richland##Battelle Pacific Northwest Richland</t>
  </si>
  <si>
    <t>This paper describes the Field Encapsulation Library/ (FEL), which provides a grid-independent application programmer's interface to gridded three-dimensional field data. The C++ implementation of FEL is described, stressing the way in which the class hierarchy hides the underlying grid structure in a way that allows visualization algorithms to be written in a completely grid-independent manner: Appropriately defined coordinate classes play an important role in providing this grid independence. High-petformance point location routines for data access are described and performance times are provided.</t>
  </si>
  <si>
    <t>Bryson, S. T.;Kenwright, D.;Gerald-Yamasaki, M.</t>
  </si>
  <si>
    <t>Bryson, S.;Kenwright, D.;Gerald-Yamasaki, M.</t>
  </si>
  <si>
    <t>485145;175771;235202</t>
  </si>
  <si>
    <t>Uppsala University Uppsala##Uppsala University Uppsala</t>
  </si>
  <si>
    <t>Kresimir Matkovic;Helwig Hauser;Reinhard Sainitzer;Eduard Gröller</t>
  </si>
  <si>
    <t>VRVis Research Center in Vienna##VRVis Research Center in Vienna##VRVis Research Center in Vienna##VRVis Research Center in Vienna##VRVis Research Center in Vienna</t>
  </si>
  <si>
    <t>Chi, E.H.;Riedl, J.;Shoop, E.;Carlis, J.V.;Retzel, E.;Barry, P.</t>
  </si>
  <si>
    <t>University of Texas at Austin##University of Texas at Austin</t>
  </si>
  <si>
    <t>37448030800;37282873000;37660278300;37564789400;37660264900;37610041700</t>
  </si>
  <si>
    <t>398883;146402;480794</t>
  </si>
  <si>
    <t>University of Delaware##University of Delaware</t>
  </si>
  <si>
    <t>University of Maryland##University of Maryland</t>
  </si>
  <si>
    <t>VRVis Research Center in Vienna##VRVis Research Center in Vienna##VRVis Research Center in Vienna</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</si>
  <si>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</si>
  <si>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He, T.;Hong, L.;Kaufman, A.;Pfister, H.</t>
  </si>
  <si>
    <t>The Weizmann Institute of Science##The Weizmann Institute of Science##The Weizmann Institute of Science</t>
  </si>
  <si>
    <t>University of Konstanz##University of Konstanz</t>
  </si>
  <si>
    <t>Wilhelms, J.;Van Gelder, A.;Tarantino, P.;Gibbs, J.</t>
  </si>
  <si>
    <t>37828154400;37352962400;37845871800;37845413900</t>
  </si>
  <si>
    <t>235204;398853;480796;235228</t>
  </si>
  <si>
    <t>Barequet, G.;Shapiro, D.;Tal, A.</t>
  </si>
  <si>
    <t>37326555000;37864698600;37337567000</t>
  </si>
  <si>
    <t>Zuse Institute Berlin (ZIB)##Zuse Institute Berlin (ZIB)</t>
  </si>
  <si>
    <t>Armin Kanitsar;Dominik Fleischmann;Rainer Wegenkittl;Petr Felkel;Eduard Gröller</t>
  </si>
  <si>
    <t>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t>
  </si>
  <si>
    <t>The University of British Columbia##The University of British Columbia##The University of British Columbia</t>
  </si>
  <si>
    <t>Interrante, V.;Fuchs, H.;Pizer, S.</t>
  </si>
  <si>
    <t>37282637800;37285537200;37284115400</t>
  </si>
  <si>
    <t>University of TÃ¼bingen##University of TÃ¼bingen##University of TÃ¼bingen##University of TÃ¼bingen</t>
  </si>
  <si>
    <t>480795;146395;568111</t>
  </si>
  <si>
    <t>Grinstein, G.;Piatetsky-Shapiro, G.;Wills, G.</t>
  </si>
  <si>
    <t>38470496500;38305223800;37844196100</t>
  </si>
  <si>
    <t>Grinstein, G.;Piatetsky-Shapiro, G.;Wills, G.J.</t>
  </si>
  <si>
    <t>Gurion University of the Negev *##Gurion University of the Negev *</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</si>
  <si>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</si>
  <si>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van Wijk, J. J.;Spoelder, H. J. W.;Knibbe, W.-J.;Shahroudi, K. E.</t>
  </si>
  <si>
    <t>van Wijk, J.J.;Spoelder, H.J.W.;Knibbe, W.-J.;Shahroudi, K. E.</t>
  </si>
  <si>
    <t>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t>
  </si>
  <si>
    <t>Zockler, M.;Stalling, D.;Hege, H.-C.</t>
  </si>
  <si>
    <t>37845978200;37845979400;38344583300</t>
  </si>
  <si>
    <t>398850;398849;346312;235226;485141;235227;346313;480817;398877</t>
  </si>
  <si>
    <t>University of Utah Â§School of Electrical and Computer Engineering Purdue University##University of Utah Â§School of Electrical and Computer Engineering Purdue University##University of Utah Â§School of Electrical and Computer Engineering Purdue University##University of Utah Â§School of Electrical and Computer Engineering Purdue University</t>
  </si>
  <si>
    <t>Nations, S.;Moorhead, R.;Gaither, K.;Aukstakalnis, S.;Vickery, R.;Couvillion, W.C., Jr.;Fox, D.N.;Flynn, P.;Wallcraft, A.;Hogan, P.;Smedstad, O.M.</t>
  </si>
  <si>
    <t>37444948400;37282559500;37282571800;37860427600;37299351600;37860428500;37741252400;37850464800;37299279700;38226861400;37299280100</t>
  </si>
  <si>
    <t>Nations, S.;Moorhead, R.J.;Gaither, K.;Aukstakalnis, S.;Vickery, R.;Couvillion, W.C., Jr.;Fox, D.N.;Flynn, P.;Wallcraft, A.;Hogan, P.;Smedstad, O.M.</t>
  </si>
  <si>
    <t>Han-Wei Shen;Hansen, C.D.;Livnat, Y.;Johnson, C.R.</t>
  </si>
  <si>
    <t>;37266777200;37282553200;37276931400</t>
  </si>
  <si>
    <t>Han-Wei Shen;Hansen, C.;Livnat, Y.;Johnson, C.R.</t>
  </si>
  <si>
    <t>175780;480806;346334</t>
  </si>
  <si>
    <t>Lodha, S.K.;Wilson, C.M.;Sheehan, R.E.</t>
  </si>
  <si>
    <t>37298532100;37852647700;38242145300</t>
  </si>
  <si>
    <t>235199;480802;568116;346315;398849;485141</t>
  </si>
  <si>
    <t>University of Maryland Baltimore County Penny Rheingans University of Maryland Baltimore County</t>
  </si>
  <si>
    <t>Munzner, T.;Banks, D.;Francis, G.;Hanson, A.J.;Jorgenson, L.</t>
  </si>
  <si>
    <t>Munzner, T.;Banks, D.C.;Francis, G.;Hanson, A.J.;Jorgenson, L.</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</si>
  <si>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 ∞-Norm between parameterized surfaces. Furthermore the Hausdorff distance is always less than the distance induced by the L ∞-Norm.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</si>
  <si>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Klein, R.;Liebich, G.;Strasser, W.</t>
  </si>
  <si>
    <t>University of Kaiserslautern##University of Kaiserslautern##University of Kaiserslautern##University of California</t>
  </si>
  <si>
    <t>37271619700;37860532300;</t>
  </si>
  <si>
    <t>University of Utah##University of Utah##University of Utah##University of Utah</t>
  </si>
  <si>
    <t>Ming-Hoe Kiu;Banks, D.C.</t>
  </si>
  <si>
    <t>37612321600;37356983700</t>
  </si>
  <si>
    <t>UniversitÃ© Paul Sabatier##UniversitÃ© Paul Sabatier##UniversitÃ© Paul Sabatier</t>
  </si>
  <si>
    <t>37280665600;</t>
  </si>
  <si>
    <t>Purdue University##Purdue University##Purdue University##Purdue University</t>
  </si>
  <si>
    <t>146386;398864;480811;346302;485139;146402</t>
  </si>
  <si>
    <t>Dresden University of Technology##Dresden University of Technology##Sophia Antipolis##Sophia Antipolis</t>
  </si>
  <si>
    <t>Shekhar, R.;Fayyad, E.;Yagel, R.;Cornhill, J.F.</t>
  </si>
  <si>
    <t>37270717100;37860553000;37342422500;37354614600</t>
  </si>
  <si>
    <t>State University Of New York At Stony Brook Stony Brook##State University Of New York At Stony Brook Stony Brook##State University Of New York At Stony Brook Stony Brook##State University Of New York At Stony Brook Stony Brook</t>
  </si>
  <si>
    <t>146395;480795</t>
  </si>
  <si>
    <t>Charles A. H. Baker;M. Sheelagh T. Carpendale;Przemyslaw Prusinkiewicz;Michael G. Surette</t>
  </si>
  <si>
    <t>University of Calgary##University of Calgary##University of Calgary##University of Calgary</t>
  </si>
  <si>
    <t>Evans, F.;Skiena, S.;Varshney, A.</t>
  </si>
  <si>
    <t>37861966100;37390017300;37282560200</t>
  </si>
  <si>
    <t>University of California at Berkeley</t>
  </si>
  <si>
    <t>GVU Center and College of Computing##GVU Center and College of Computing</t>
  </si>
  <si>
    <t>Hughes, R.G.;Forrest, A.R.</t>
  </si>
  <si>
    <t>37849388600;37863405200</t>
  </si>
  <si>
    <t>Technion I.I.T##Technion I.I.T</t>
  </si>
  <si>
    <t>398875;398853;398877;235228;480818</t>
  </si>
  <si>
    <t>Kaufman, A.;Pfister, H.;Knittel, G.;Hesser, J.;Goble, J.C.</t>
  </si>
  <si>
    <t>37268052800;37275698100;37296980500;37418709500;38180967700</t>
  </si>
  <si>
    <t>University of Wales Swansea##University of Wales Swansea##University of Wales Swansea</t>
  </si>
  <si>
    <t>Garrett, W.F.;Fuchs, H.;Whitton, M.C.;State, A.</t>
  </si>
  <si>
    <t>38179766800;37285537200;37295176000;37565489200</t>
  </si>
  <si>
    <t>175802;346295</t>
  </si>
  <si>
    <t>Han Chen;Rahul Sukthankar;Grant Wallace;Kai Li</t>
  </si>
  <si>
    <t>Princeton University The Robotics Institute##Princeton University The Robotics Institute##Princeton University The Robotics Institute##Princeton University The Robotics Institute</t>
  </si>
  <si>
    <t>Crawfis, R.A.</t>
  </si>
  <si>
    <t>398852;480796;480806;398846;398877;175782;480807;480797;480789</t>
  </si>
  <si>
    <t>Technion â€“ Israel Institute of Technology##Technion â€“ Israel Institute of Technology##Technion â€“ Israel Institute of Technology</t>
  </si>
  <si>
    <t>Computer Science Tel-Aviv University##Computer Science Tel-Aviv University##Computer Science Tel-Aviv University##Computer Science Tel-Aviv University</t>
  </si>
  <si>
    <t>LinkÃ¶pings Universitet##LinkÃ¶pings Universitet##LinkÃ¶pings Universitet##LinkÃ¶pings Universitet</t>
  </si>
  <si>
    <t>Shahidi, R.;Lorensen, B.;Kikinis, R.;Flynn, J.;Kaufman, A.;Napel, S.</t>
  </si>
  <si>
    <t>Shahidi, R.;Lorensen, W.F.;Kikinis, R.;Flynn, J.;Kaufman, A.;Napel, S.</t>
  </si>
  <si>
    <t>Cohen-Or, D.;Levanoni, Y.</t>
  </si>
  <si>
    <t>37266751800;37845826900</t>
  </si>
  <si>
    <t>California Institute of Technology##California Institute of Technology</t>
  </si>
  <si>
    <t>University of California Irvine La Salle University##University of California Irvine La Salle University##University of California Irvine La Salle University</t>
  </si>
  <si>
    <t>Yingcai Xiao;Ziebarth, J.P.;Woodbury, C.;Bayer, E.;Rundell, B.;van der Zijp, J.</t>
  </si>
  <si>
    <t>37855601300;37619701300;37860533600;37853024300;37860534800;37355070000</t>
  </si>
  <si>
    <t>GVU Center##GVU Center##GVU Center##GVU Center##GVU Center</t>
  </si>
  <si>
    <t>The Visualization Toolkit (vtk) is afreely available C++ class library for 30 graphics and visualization. In this paper we describe core characteristics of the toolkit. This includes a description of object-oriented models for graphics and visualization; methods for synchronizing system execution: a summary of data representation schemes; the role of C+ +; issues in portability across PC and Unix systems; and how we automatically wrap the C+ + class library with interpreted languages such as Java and Tel. We also demonstrate the capabilities of the system for scalar, vector, tensor, and other visualization techniques.</t>
  </si>
  <si>
    <t xml:space="preserve">Schroedel, W. J.;Martin, K. M.;Lorensen, W. E.  </t>
  </si>
  <si>
    <t>Schroedel, W. J.;Martin, K.;Lorensen, W.F.</t>
  </si>
  <si>
    <t>398878;346303;235205;480821</t>
  </si>
  <si>
    <t>Monks, C. R. F.;Crossno, P. J.;Davidson, G.;Pavlakos, C.;Kupfer, A.;Silva, C.;Wylie, B.</t>
  </si>
  <si>
    <t>Division of Basic Science, Department of Pediatrics, National Jewish Center for Immunology and Respiratory Medicine</t>
  </si>
  <si>
    <t>Monks, C. R. F.;Crossno, P.;Davidson, G.;Pavlakos, C.;Kupfer, A.;Silva, C.T.;Wylie, B.</t>
  </si>
  <si>
    <t>University of California at Davis##University of California at Davis##University of California at Davis</t>
  </si>
  <si>
    <t>Virginia Polytechnic Institute and State University Blacksburg##Virginia Polytechnic Institute and State University Blacksburg</t>
  </si>
  <si>
    <t>Bryson, S.;Johan, S.</t>
  </si>
  <si>
    <t>37388808200;37860236300</t>
  </si>
  <si>
    <t>IBM T. J. Watson Research Center</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</si>
  <si>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curvuture. The inferred potential fields are stored in three volumetric grids, giving each voxel the probability of being a surface point, an edge point, and a junction point. Then we use a new model called “winged B-snakes”, which are deformable triangular NURBS surfaces embedded with active curves, to fit the surfaces and align the edges and junctions. Finally, a smooth CL surface which preserves discontinuity edges and junctions is constructed. Fine-tuning and surface fairing is done by adjusting the weights.</t>
  </si>
  <si>
    <t>Han, S.;Medioni, G.</t>
  </si>
  <si>
    <t>IBM Research T.J. Watson Center Hawthorne##IBM Research T.J. Watson Center Hawthorne##IBM Research T.J. Watson Center Hawthorne##IBM Research T.J. Watson Center Hawthorne</t>
  </si>
  <si>
    <t>Lawrence Livermore National Laboratory##Lawrence Livermore National Laboratory##Lawrence Livermore National Laboratory##Lawrence Livermore National Laboratory##Lawrence Livermore National Laboratory</t>
  </si>
  <si>
    <t>Ebert, D.S.;Shaw, C.D.;Zwa, A.;Starr, C.</t>
  </si>
  <si>
    <t>38472155500;37358198200;37349401300;37845670000</t>
  </si>
  <si>
    <t>Ebert, D.S.;Shaw, C.;Zwa, A.;Starr, C.</t>
  </si>
  <si>
    <t>Mitsubishi Electric Corp##Mitsubishi Electric Corp##Mitsubishi Electric Corp##Mitsubishi Electric Corp</t>
  </si>
  <si>
    <t>Armin Kanitsar;Thomas Theußl;Lukas Mroz;Milos Srámek;Anna Vilanova;Balázs Csébfalvi;Jirí Hladuvka;Dominik Fleischmann;Michael Knapp;Rainer Wegenkittl;Petr Felkel;Stefan Guthe;Werner Purgathofer;Eduard Gröller</t>
  </si>
  <si>
    <t>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Center##University of Vienna Â¶ VIS Institute of Computer Graphics and Algorithms</t>
  </si>
  <si>
    <t>Lodha, S.K.;Pang, A.;Sheehan, R.E.;Wittenbrink, C.M.</t>
  </si>
  <si>
    <t>37298532100;37267352000;38242145300;37351416000</t>
  </si>
  <si>
    <t>235199;568105;485141;346315</t>
  </si>
  <si>
    <t>Florida State University##University of Minnesota##University of Minnesota</t>
  </si>
  <si>
    <t>Mississippi State University##Mississippi State University##Mississippi State University</t>
  </si>
  <si>
    <t>Bunkyo University</t>
  </si>
  <si>
    <t>A method for visualizing unknottedncss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WC suggest it to be advantageous to use a robust stochastic optimization technique (simulated annealing), rather than a deterministic hill climber common in physically-based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</si>
  <si>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Huang, M.;Grzeszczuk, R. P.;Kauffman, L. H.</t>
  </si>
  <si>
    <t>Huang, M.;Grzeszczuk, R. P.;Kauffman, L.H.</t>
  </si>
  <si>
    <t>University of California##University of California##University of California##Carolina State University</t>
  </si>
  <si>
    <t>Variagenics Inc##Variagenics Inc##Variagenics Inc##Variagenics Inc##Variagenics Inc</t>
  </si>
  <si>
    <t>Kalvin, A.D.;Remy, A.;Ardito, O.;Morla, K.;Nolasco, E.;Prado, J.;Franco, R.;Murga, A.;Wiese, G.</t>
  </si>
  <si>
    <t>37377332600;37860460000;37860458900;37860459600;37860458300;37851684300;37842810000;37861539500;37845668700</t>
  </si>
  <si>
    <t>University of Texas at Austin##University of Texas at Austin##University of Texas at Austin##University of Texas at Austin##University of Texas at Austin##University of Texas at Austin</t>
  </si>
  <si>
    <t>Obeysekare, U.;Williams, C.;Durbin, J.;Rosenblum, Larry;Rosenberg, R.;Grinstein, F.;Ramamurti, R.;Landsberg, A.;Sandberg, W.</t>
  </si>
  <si>
    <t>37378425700;37856921200;37371968700;37371985200;37285510700;37378425900;37702966100;37860557600;37698913400</t>
  </si>
  <si>
    <t>Obeysekare, U.;Williams, C.;Durbin, J.;Rosenblum, L.;Rosenberg, R.;Grinstein, F.;Ramamurti, R.;Landsberg, A.;Sandberg, W.</t>
  </si>
  <si>
    <t>Florida State University##Florida State University##</t>
  </si>
  <si>
    <t>University of Bonn##University of Bonn##University of Bonn##University of Bonn##University of Bonn##</t>
  </si>
  <si>
    <t>We are investigating methods for simplifying complex models for interactive visualizations using texture-based representations. This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Ail the computations for the transitions can be done a priori without the need to change the textures each frame thereafter.</t>
  </si>
  <si>
    <t>Aliaga, D. G.</t>
  </si>
  <si>
    <t>Zuse Institute Berlin (ZIB)##National Center for Supercomputing Applications (NCSA)##National Center for Supercomputing Applications (NCSA)##National Center for Supercomputing Applications (NCSA)##Zuse Institute Berlin (ZIB)####Penn State University</t>
  </si>
  <si>
    <t>Forgang, A.B.;Hamann, B.;Cerco, C.F.</t>
  </si>
  <si>
    <t>37860455000;37282068700;37860461300</t>
  </si>
  <si>
    <t>University of T Â¨ ubingen##University of T Â¨ ubingen</t>
  </si>
  <si>
    <t>Wood, J.;Brodlie, K.;Wright, H.</t>
  </si>
  <si>
    <t>37273103500;37271754900;37609618400</t>
  </si>
  <si>
    <t>An isosurface can be efficiently generated by visiting adjacent intersected cells in order as if the isosurface were propagating itself. We previously proposed an extrema graph model, which generates a graph connecting extremum points. The isosurface propagation starts from some of the intersected cells that are found both by visiting the cells through which arcs of the graph pass and by visiting the cells on the boundary of a volume. In this paper,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</si>
  <si>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Itoh, Takayuki;Yamaguchi, Yasushi;Koyamada, Koji</t>
  </si>
  <si>
    <t>Itoh, T.;Yamaguchi, Y.;Koyamada, K.</t>
  </si>
  <si>
    <t>485141;480789</t>
  </si>
  <si>
    <t>University of Maryland Baltimore County Penny Rheingans University of Maryland Baltimore County Terry S. Yoo National Library of Medicine</t>
  </si>
  <si>
    <t>Trott, A.;Moorhead, R.;McGinley, J.</t>
  </si>
  <si>
    <t>37851592800;37282559500;37286501600</t>
  </si>
  <si>
    <t>Trott, A.;Moorhead, R.J.;McGinley, J.</t>
  </si>
  <si>
    <t>Cox, K.C.;Eick, S.G.</t>
  </si>
  <si>
    <t>37344059700;37282570100</t>
  </si>
  <si>
    <t>Burton, C.A.;Johnston, L.J.;Sonenberg, E.A.</t>
  </si>
  <si>
    <t>37356957100;37353729500;37352317600</t>
  </si>
  <si>
    <t>Mitchell, R.;Day, D.;Hirschman, L.</t>
  </si>
  <si>
    <t>37341386400;37343297300;37352245200</t>
  </si>
  <si>
    <t>Gershon, N.;LeVasseur, J.;Winstead, J.;Croall, J.;Pernicks, A.;Ruh, W.</t>
  </si>
  <si>
    <t>37352200300;37354541000;37352200800;37352200200;37352199600;37346508500</t>
  </si>
  <si>
    <t>The Pennsylvania State University##The Pennsylvania State University##The Pennsylvania State University##The Pennsylvania State University##The Pennsylvania State University</t>
  </si>
  <si>
    <t>Nelson Wong;M. Sheelagh T. Carpendale;Saul Greenberg</t>
  </si>
  <si>
    <t>University of Calgary##University of Calgary##University of Calgary</t>
  </si>
  <si>
    <t>Hendley, R.J.;Drew, N.S.;Wood, A.M.;Beale, R.</t>
  </si>
  <si>
    <t>37352143000;37357792700;37349028500;37356853400</t>
  </si>
  <si>
    <t>Mississippi State University University of California##Mississippi State University University of California</t>
  </si>
  <si>
    <t>Chaomei Chen;Steven Morris</t>
  </si>
  <si>
    <t>Oklahoma State University##Oklahoma State University</t>
  </si>
  <si>
    <t>175815;235198</t>
  </si>
  <si>
    <t>Ahlberg, C.;Wistrand, E.</t>
  </si>
  <si>
    <t>37352198300;37352198200</t>
  </si>
  <si>
    <t>175815;398863</t>
  </si>
  <si>
    <t>Univ. QuÃ©bec Ã Chicoutimi##Univ. QuÃ©bec Ã Chicoutimi##Univ. QuÃ©bec Ã Chicoutimi##Univ. QuÃ©bec Ã Chicoutimi##LIRMM##LIRMM</t>
  </si>
  <si>
    <t>Luders, P.;Ernst, R.</t>
  </si>
  <si>
    <t>37352125700;37297213900</t>
  </si>
  <si>
    <t>University of Glasgow##University of Glasgow</t>
  </si>
  <si>
    <t>3D computer graphics can be extremely expressive. It is possible to display an entire securities market, like the S&amp;P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</si>
  <si>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Anupam, V.;Dar, S.;Leibfried, T.;Petajan, E.</t>
  </si>
  <si>
    <t>37352354300;38180070000;37355534700;37329242700</t>
  </si>
  <si>
    <t>Worcester Polytechnic Institute##Worcester Polytechnic Institute##Worcester Polytechnic Institute##Worcester Polytechnic Institute</t>
  </si>
  <si>
    <t>Carriere, J.;Kazman, R.</t>
  </si>
  <si>
    <t>37352137000;37267671500</t>
  </si>
  <si>
    <t>Chuah, M.C.;Roth, S.F.;Mattis, J.;Kolojejchick, J.</t>
  </si>
  <si>
    <t>37343565300;37357418100;37352246000;37352245400</t>
  </si>
  <si>
    <t>The Weizmann Institute of Science##The Weizmann Institute of Science</t>
  </si>
  <si>
    <t>Jerding, D.F.;Stasko, J.T.</t>
  </si>
  <si>
    <t>37352201100;37267736900</t>
  </si>
  <si>
    <t>Jerding, D.F.;Stasko, J.</t>
  </si>
  <si>
    <t>LSU Computer Science LSU Health Sciences Center Shreveport##LSU Computer Science LSU Health Sciences Center Shreveport##LSU Computer Science LSU Health Sciences Center Shreveport</t>
  </si>
  <si>
    <t>Reichenberger, K.;Kamps, T.;Golovchinsky, G.</t>
  </si>
  <si>
    <t>37352314100;37357591400;37352316100</t>
  </si>
  <si>
    <t>Spence, B.;Tweedie, L.;Dawkes, H.;Hua Su</t>
  </si>
  <si>
    <t>37342517100;37344652100;37344652800;37351289200</t>
  </si>
  <si>
    <t>The University of New##The University of New Mexico Steve Kubica â€¡ Khoral, Inc</t>
  </si>
  <si>
    <t>University of Minnesota##University of Minnesota##University of Minnesota</t>
  </si>
  <si>
    <t>Wise, J.A.;Thomas, J.J.;Pennock, K.;Lantrip, D.;Pottier, M.;Schur, A.;Crow, V.</t>
  </si>
  <si>
    <t>37358036500;37273308900;37352135600;37352136200;37352134600;37352142300;37352143800</t>
  </si>
  <si>
    <t>Wise, J.A.;Thomas, J.;Pennock, K.;Lantrip, D.;Pottier, M.;Schur, A.;Crow, V.</t>
  </si>
  <si>
    <t>Paul Craig;Jessie B. Kennedy</t>
  </si>
  <si>
    <t>Napier University##Napier University</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</si>
  <si>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</si>
  <si>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Angus, I.G.;Sowizral, H.A.</t>
  </si>
  <si>
    <t>37352263600;37352265700</t>
  </si>
  <si>
    <t>SAS Institute Inc</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</si>
  <si>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</si>
  <si>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Mulder, J.D.;van Wijk, J.J.</t>
  </si>
  <si>
    <t>Chalmers University of Technology##Chalmers University of Technology</t>
  </si>
  <si>
    <t>37275714300;37267249200</t>
  </si>
  <si>
    <t>175812;398895;146382</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</si>
  <si>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</si>
  <si>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Sobierajski, L.M.;Avila, R.S.</t>
  </si>
  <si>
    <t>37378488600;37323905300</t>
  </si>
  <si>
    <t>Sobierajski, L.;Avila, R.</t>
  </si>
  <si>
    <t>346320;485154;146391;398854;346340;235231</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</si>
  <si>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</si>
  <si>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Duke University##Duke University##Duke University</t>
  </si>
  <si>
    <t>Wagner, T.A.;Bergeron, R.D.</t>
  </si>
  <si>
    <t>38144966300;37342054500</t>
  </si>
  <si>
    <t>Universiteit Eindhoven</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</si>
  <si>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</si>
  <si>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Bergman, L.D.;Rogowitz, B.;Treinish, L.A.</t>
  </si>
  <si>
    <t>37271768100;37332114400;37372175500</t>
  </si>
  <si>
    <t>480821;398874</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</si>
  <si>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</si>
  <si>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Fracchia, F.D.;Ashton, N.W.</t>
  </si>
  <si>
    <t>37612260800;38147008700</t>
  </si>
  <si>
    <t>Interdisciplinary Doctoral Program U.C. Berkeley##Interdisciplinary Doctoral Program U.C. Berkeley##Interdisciplinary Doctoral Program U.C. Berkeley##Interdisciplinary Doctoral Program U.C. Berkeley##Interdisciplinary Doctoral Program U.C. Berkeley</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</si>
  <si>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ÔÇ£data explorersÔÇØ, metadata models for scientific databases, intelligent assistants and data exploration services. We describe the underlying elements of this approach, specifically the visual database exploration model and the metadata objects that support the model</t>
  </si>
  <si>
    <t>Lee, J.P.;Grinstein, G.G.</t>
  </si>
  <si>
    <t>38146973000;38470496200</t>
  </si>
  <si>
    <t>Lee, J.P.;Grinstein, G.</t>
  </si>
  <si>
    <t>346304;346303;146375;235203;398874;398857</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</si>
  <si>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ÔÇ£data-flowÔÇØ. This approach has been used for the implementation of a general-purpose software package, IBM Visualization Data Explorer</t>
  </si>
  <si>
    <t>Abram, G.;Treinish, L.</t>
  </si>
  <si>
    <t>37378534500;37372175500</t>
  </si>
  <si>
    <t>Abram, G.;Treinish, L.A.</t>
  </si>
  <si>
    <t>346305;398860;175818;235219</t>
  </si>
  <si>
    <t>Ecole Polytechnique FÃ©dÃ©rale de Lausanne*##Ecole Polytechnique FÃ©dÃ©rale de Lausanne*##Ecole Polytechnique FÃ©dÃ©rale de Lausanne*</t>
  </si>
  <si>
    <t>University of Utah####University of Utah##University of Utah##General Electric Medical Systems##University of Utah</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</si>
  <si>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</si>
  <si>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Minghim, R.;Forrest, A.R.</t>
  </si>
  <si>
    <t>37371567600;37863405200</t>
  </si>
  <si>
    <t>Armin Kanitsar;Rainer Wegenkittl;Dominik Fleischmann;Eduard Gröller</t>
  </si>
  <si>
    <t>TIANI Medgraph Vienna University of Technology Stanford University##TIANI Medgraph Vienna University of Technology Stanford University##TIANI Medgraph Vienna University of Technology Stanford University##TIANI Medgraph Vienna University of Technology Stanford University##TIANI Medgraph Vienna University of Technology Stanford University</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</si>
  <si>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</si>
  <si>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Florida State University##Florida State University</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</si>
  <si>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</si>
  <si>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37280665600;37342054500</t>
  </si>
  <si>
    <t>346333;346332</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</si>
  <si>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</si>
  <si>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Suter, M.;Nuesch, D.</t>
  </si>
  <si>
    <t>38153178500;37269586000</t>
  </si>
  <si>
    <t>Hui Xie;Jianning Wang;Jing Hua;Hong Qin;Arie E. Kaufman</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</si>
  <si>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(ÔÇ£bitesÔÇØ)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</si>
  <si>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Stony Brook University##Stony Brook University##Stony Brook University##Stony Brook University##Stony Brook University</t>
  </si>
  <si>
    <t>Silva, Claudio T.;Mitchell, J.S.B.;Kaufman, A.E.</t>
  </si>
  <si>
    <t>38183059100;37275032800;37268052800</t>
  </si>
  <si>
    <t>Silva, C.T.;Mitchell, J.S.B.;Kaufman, A.</t>
  </si>
  <si>
    <t>235191;146379</t>
  </si>
  <si>
    <t>University of North Carolina at Chapel Hill##University of North Carolina at Chapel Hill##University of North Carolina at Chapel Hill##University of North Carolina at Chapel Hill</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</si>
  <si>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</si>
  <si>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Jean, Y.;Kindler, T.;Ribarsky, W.;Weiming Gu;Eisenhauer, G.;Schwan, K.;Alyea, F.</t>
  </si>
  <si>
    <t>38155998800;38139234800;37300425000;37651400700;37267863000;37268091800;38152282900</t>
  </si>
  <si>
    <t>University of Stuttgart##Florida State University##University of Stuttgart</t>
  </si>
  <si>
    <t>Mechanics University of Minnesota##Mechanics University of Minnesota##Mechanics University of Minnesota</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</si>
  <si>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</si>
  <si>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Falkenberg, C.;Kulkarni, R.</t>
  </si>
  <si>
    <t>38139746200;37585180300</t>
  </si>
  <si>
    <t>Helwig Hauser â€ â€ VRVis Research Center##University of Pau</t>
  </si>
  <si>
    <t>University of California##Lawrence Livermore National Laboratory</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</si>
  <si>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</si>
  <si>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ISTI -CNR##ISTI -CNR##ISTI -CNR##ISTI -CNR##ISTI -CNR</t>
  </si>
  <si>
    <t>146391;235230</t>
  </si>
  <si>
    <t>Moscow Institute of Physics and Technology##Moscow Institute of Physics and Technology</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</si>
  <si>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α and β, where α is the radius of the solvent molecule (also known as the probe radius) and β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log2 k), where n is the number of atoms in the participating molecular units and k is the average number of neighboring atoms-a constant, given α and β.</t>
  </si>
  <si>
    <t>Varshney, A.;Brooks, F.P., Jr.;Richardson, D.C.;Wright, W.V.;Manocha, D.</t>
  </si>
  <si>
    <t>38348733800;38281024600;38148010500;37654961000;38470518000</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</si>
  <si>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</si>
  <si>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Ghavamnia, M.H.;Yang, X.D.</t>
  </si>
  <si>
    <t>38149530100;37382317000</t>
  </si>
  <si>
    <t>Johannes-Gutenberg-University Mainz Mainz####Johannes-Gutenberg-University Mainz Mainz####Johannes-Gutenberg-University Mainz Mainz##Johannes-Gutenberg-University Mainz Mainz##Johannes-Gutenberg-University Mainz Mainz##WSI/GRIS Eberhard-Karls-University TÃ¼bingen TÃ¼bingen</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</si>
  <si>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</si>
  <si>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de Leeuw, W.C.;van Wijk, J.J.</t>
  </si>
  <si>
    <t>37327212900;37267249200</t>
  </si>
  <si>
    <t>de Leeuw, W.;van Wijk, J.J.</t>
  </si>
  <si>
    <t>346312;346313;398877</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</si>
  <si>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</si>
  <si>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The plotting of streamlines is an effective way of visualizing fluid motion in steady flows. Additional information about the flowfield, such as local rotation and expansion, can be shown by drawing in the form of a ribbon or tube. In this paper, we present efficient algorithms for the construction of streamlines, streamribbons and streamtubes on unstructured grids. A specialized version of the Runge-Kutta method has been developed to speed up the integration of particle pathes. We have also derived close-form solutions for calculating angular rotation rate and radius to construct streamribbons and streamtubes, respectively. According to our analysis and test results, these formulations are two to four times better in performance than previous numerical methods. As a large number of traces are calculated, the improved performance could be significant.</t>
  </si>
  <si>
    <t>Ueng, S.K.;Sikorski, K.;Kwan-Liu Ma</t>
  </si>
  <si>
    <t>38155202200;37379767900;38147315700</t>
  </si>
  <si>
    <t>235211;346329;175789;398876</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</si>
  <si>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ÔÇ£magnifying glassesÔÇØ on the data</t>
  </si>
  <si>
    <t>Gross, M.H.;Gatti, R.;Staadt, O.</t>
  </si>
  <si>
    <t>37275694700;37355330500;37355334600</t>
  </si>
  <si>
    <t>Gross, M.;Gatti, R.;Staadt, O.</t>
  </si>
  <si>
    <t>Polytechnic University</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</si>
  <si>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</si>
  <si>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38146488400;37366743500</t>
  </si>
  <si>
    <t>146378;398848</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</si>
  <si>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</si>
  <si>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Pagendarm, H.-G.;Gerhold, T.</t>
  </si>
  <si>
    <t>37372011800;38152307900</t>
  </si>
  <si>
    <t>346329;398875</t>
  </si>
  <si>
    <t>Brushing is an operation found in many data visualization systems. It is a mechanism for interactively selecting subsets of the data so that they may be highlighted, deleted, or masked. Traditionally, brushes have been defined in screen space via methods such as painting and rubberband rectangles. In this paper we describe the design of N-dimensional brushes which are defined in data space rather than screen space, and show how they have been integrated into XmdvTool, a visualization package for displaying multivariate data. Depending on the data display technique in use, brushes may be specified and manipulated via direct or indirect methods, and the specification may be demand-driven or data-driven. Various brush operations such as highlighting, linking, masking, moving average, and quantitative display have been developed to apply to the selected data. In addition, we have explored several new brush concepts, such as non-discrete brush boundaries, simultaneous display of multiple brushes, and creating composite brushes via logical operators. Preliminary experimental evaluation with test subjects supports the usefulness of N-dimensional brushes in data exploration tasks.</t>
  </si>
  <si>
    <t>Martin, A.R.;Ward, M.O.</t>
  </si>
  <si>
    <t>38149689900;37268441700</t>
  </si>
  <si>
    <t>146386;146402;346302</t>
  </si>
  <si>
    <t>MPI Informatik SaarbrÃ¼cken##</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</si>
  <si>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(~2003) at an acceptable image quality on an SGI Indy workstation. A number of examples are shown.</t>
  </si>
  <si>
    <t>398845;398852;235231</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</si>
  <si>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</si>
  <si>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Post, F.J.;Van Walsum, T.;Post, F.H.;Silver, D.</t>
  </si>
  <si>
    <t>37353471800;37294099300;37295045800;37274132700</t>
  </si>
  <si>
    <t>398849;175809;235174</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</si>
  <si>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</si>
  <si>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Technische Universiteit Eindhoven##Technische Universiteit Eindhoven</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</si>
  <si>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</si>
  <si>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Rheingans, P.;Marietta, M.;Nichols, J.</t>
  </si>
  <si>
    <t>37282292000;37658144000;38145001600</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</si>
  <si>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</si>
  <si>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Heidrich, W.;McCool, M.;Stevens, J.</t>
  </si>
  <si>
    <t>37269011000;37566635700;38142306200</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</si>
  <si>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ÔÇ£virtually realÔÇØ.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</si>
  <si>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</si>
  <si>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Lichan Hong;Xiaoyang Mao;Kaufman, A.</t>
  </si>
  <si>
    <t>37347459100;38147407600;37268052800</t>
  </si>
  <si>
    <t>398849;346340;398877;235227;235210;346321;175789</t>
  </si>
  <si>
    <t>A scalar volume V={(x,f(x))|x∈R} is described by a function f(x) defined over some region R of the three dimensional space. The paper presents a simple technique for rendering interval sets of the form Ig(a,b)={(x,f(x))|a⩽g(x)⩽b}, where a and b are either real numbers of infinities. We describe an algorithm for triangulating interval sets as α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</si>
  <si>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</si>
  <si>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Fujishiro, I.;Maeda, Y.;Sato, H.</t>
  </si>
  <si>
    <t>37282596600;37348582700;37349040300</t>
  </si>
  <si>
    <t>175782;235223</t>
  </si>
  <si>
    <t>Navigation in computer generated information spaces may be difficult, resulting in users getting ÔÇ£lost in hyperspaceÔÇØ.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</si>
  <si>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Ingram, R.;Benford, S.</t>
  </si>
  <si>
    <t>38141024500;37266159200</t>
  </si>
  <si>
    <t>Stony Brook University Stony Brook##Stony Brook University Stony Brook##Stony Brook University Stony Brook##Stony Brook University Stony Brook##Stony Brook University Stony Brook</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</si>
  <si>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</si>
  <si>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</si>
  <si>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37443031900;38147536800</t>
  </si>
  <si>
    <t>Technical University Munich##Technical University Munich</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</si>
  <si>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</si>
  <si>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Kenwright, D.N.;Lane, D.A.</t>
  </si>
  <si>
    <t>37355295400;37356915500</t>
  </si>
  <si>
    <t>Kenwright, D.;Lane, D.A.</t>
  </si>
  <si>
    <t>398848;175771</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</si>
  <si>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</si>
  <si>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</si>
  <si>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Prevost, N.;Jennings, R.E.;Jorgenson, L.;Fracchia, F.D.</t>
  </si>
  <si>
    <t>38149049900;37283081100;38149049500;</t>
  </si>
  <si>
    <t>Ivan Viola;Armin Kanitsar;Eduard Gröller</t>
  </si>
  <si>
    <t>Vienna University of Technology##Vienna University of Technology##Vienna University of Technology##Vienna University of Technology</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</si>
  <si>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</si>
  <si>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Hepting, D.H.;Derks, G.;Edoh, K.D.;Russell, R.D.</t>
  </si>
  <si>
    <t>38232054700;38152313200;37443457300;38141764500</t>
  </si>
  <si>
    <t>Stony Brook University##Stony Brook University##Stony Brook University</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</si>
  <si>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</si>
  <si>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Keim, D.A.;Kriegel, H.-P.;Ankerst, M.</t>
  </si>
  <si>
    <t>37283138700;37276747000;37371609900</t>
  </si>
  <si>
    <t>146402;528688;175809;146386;146387;146389</t>
  </si>
  <si>
    <t>University of California##University of Kaiserslautern##University of California</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</si>
  <si>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ÔÇ£walkÔÇØ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</si>
  <si>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Hanson, A.J.;Hui Ma</t>
  </si>
  <si>
    <t>37333439100;37654495700</t>
  </si>
  <si>
    <t>346324;235222</t>
  </si>
  <si>
    <t>University of Stuttgart##University of Stuttgart##University of Stuttgart##University of Stuttgart</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</si>
  <si>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</si>
  <si>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Xiaoyang Mao;Lichan Hong;Kaufman, A.</t>
  </si>
  <si>
    <t>38147407800;37347459100;37268052800</t>
  </si>
  <si>
    <t>10.1109/VISUAL.2000.885696;10.1109/VISUAL.1992.235228;10.1109/VISUAL.1993.398853;10.1109/VISUAL.1994.346340</t>
  </si>
  <si>
    <t>885696;235228;398853;346340</t>
  </si>
  <si>
    <t>Jinzhu Gao;Jian Huang;Han-Wei Shen;James Arthur Kohl</t>
  </si>
  <si>
    <t>The Ohio State Univ##The Ohio State Univ##The Ohio State Univ##The Ohio State Univ</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</si>
  <si>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</si>
  <si>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Golovchinsky, G.;Kamps, T.;Reichenberger, K.</t>
  </si>
  <si>
    <t>37352316100;37357591400;37352314100</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</si>
  <si>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</si>
  <si>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Han-Wei Shen;Johnson, C.R.</t>
  </si>
  <si>
    <t>37350367200;37276931400</t>
  </si>
  <si>
    <t>Stanford University##Stanford University##Stanford University##Stanford University##Stanford University##Stanford University</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</si>
  <si>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</si>
  <si>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Johnstone, J.K.;Sloan, K.R.</t>
  </si>
  <si>
    <t>38184873500;37611960100</t>
  </si>
  <si>
    <t>Johnstone, J.K.;Sloan, K.</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</si>
  <si>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</si>
  <si>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Taosong He;Lichan Hong;Kaufman, A.;Varshney, A.;Wang, S.</t>
  </si>
  <si>
    <t>37350343500;37347459100;37268052800;37282560200;37351033000</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</si>
  <si>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</si>
  <si>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Becker, B.G.;Lane, D.A.;Max, N.L.</t>
  </si>
  <si>
    <t>37363099200;37356915500;37267387800</t>
  </si>
  <si>
    <t>Becker, B.;Lane, D.A.;Max, N.</t>
  </si>
  <si>
    <t>235226;235227;346311;398876;398875;398846;235211;398877</t>
  </si>
  <si>
    <t>Delft University of Technology##Delft University of Technology##Delft University of Technology####Delft University of Technology##</t>
  </si>
  <si>
    <t>A standard method for visualizing vector fields consists of drawing many small ÔÇ£glyphsÔÇØ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</si>
  <si>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398877;346313;346312</t>
  </si>
  <si>
    <t>UniversitÃ¤t Mannheim##UniversitÃ¤t Mannheim####</t>
  </si>
  <si>
    <t>Advances in computer graphics hardware and algorithms, visualization, and interactive techniques for analysis offer the components for a highly integrated, efficient real-time 3D Geographic Information System. We have developed ÔÇ£Virtual GISÔÇØ,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</si>
  <si>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Koller, D.;Lindstrom, P.;Ribarsky, W.;Hodges, L.F.;Faust, N.;Turner, G.</t>
  </si>
  <si>
    <t>;37269320000;37300425000;37282880200;37326280000;37343938200</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</si>
  <si>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</si>
  <si>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</si>
  <si>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Chi, E.H.-H.;Barry, P.;Shoop, E.;Carlis, J.V.;Retzel, E.;Riedl, J.</t>
  </si>
  <si>
    <t>38256270000;38285364900;37660278300;37564789400;37660264900;38475865200</t>
  </si>
  <si>
    <t>Chi, E.H.;Barry, P.;Shoop, E.;Carlis, J.V.;Retzel, E.;Riedl, J.</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</si>
  <si>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</si>
  <si>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Hannemann, M.;Sobieczky, H.</t>
  </si>
  <si>
    <t>38145346300;38152302600</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</si>
  <si>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</si>
  <si>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Stony Brook University##Stony Brook University##Stony Brook University##Stony Brook University</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</si>
  <si>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</si>
  <si>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Yagel, R.;Lu, S.C.;Rebello, A.B.;Miller, R.A.</t>
  </si>
  <si>
    <t>Technical University of Budapest##</t>
  </si>
  <si>
    <t>37342422500;37858270000;37851790300;37854489100</t>
  </si>
  <si>
    <t>Istituto di Scienza e Tecnologie dell'Informazione -Consiglio Nazionale delle Ricerche##Istituto di Scienza e Tecnologie dell'Informazione -Consiglio Nazionale delle Ricerche##Istituto di Scienza e Tecnologie dell'Informazione -Consiglio Nazionale delle Ricerche</t>
  </si>
  <si>
    <t>University of North Carolina at Chapel Hill##University of North Carolina at Chapel Hill##University of North Carolina at Chapel Hill##University of North Carolina at Chapel Hill##University of North Carolina at Chapel Hill##University of North Carolina at Chapel Hill</t>
  </si>
  <si>
    <t>GVU Center##GVU Center##GVU Center##GVU Center</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</si>
  <si>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t>
  </si>
  <si>
    <t>Kwan-Liu Ma;Zheng, Z.C.</t>
  </si>
  <si>
    <t>37275869400;37656565200</t>
  </si>
  <si>
    <t>University of British Columbia##University of British Columbia</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</si>
  <si>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t>
  </si>
  <si>
    <t>Domokos, G.;Paffenroth, R.</t>
  </si>
  <si>
    <t>37659239700;37659240600</t>
  </si>
  <si>
    <t>Advanced Computer Vision GmbH â€“ ACV##Advanced Computer Vision GmbH â€“ ACV##Advanced Computer Vision GmbH â€“ ACV##Advanced Computer Vision GmbH â€“ ACV</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</si>
  <si>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t>
  </si>
  <si>
    <t>Rowlan, J.S.;Lent, G.E.;Gokhale, N.;Bradshaw, S.</t>
  </si>
  <si>
    <t>37390206400;37660965300;37659324500;37664961300</t>
  </si>
  <si>
    <t>University of Utah##University of Utah##University of Utah##Simon Fraser University</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</si>
  <si>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t>
  </si>
  <si>
    <t>Hibbard, W.L.;Dyer, C.R.;Paul, B.E.</t>
  </si>
  <si>
    <t>37352189500;37343183500;37351406900</t>
  </si>
  <si>
    <t>Hibbard, W.;Dyer, C.R.;Paul, B.</t>
  </si>
  <si>
    <t>235205;235202;175818;235215</t>
  </si>
  <si>
    <t>IBM T.J. Watson Research Center Eugene I. Kelton â€ IBM Integrated Technology Services</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</si>
  <si>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t>
  </si>
  <si>
    <t>Najork, M.A.;Brown, M.H.</t>
  </si>
  <si>
    <t>37354028200;37349226400</t>
  </si>
  <si>
    <t>University of California at Davis##University of California at Davis##University of California at Davis##University of California at Davis</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</si>
  <si>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t>
  </si>
  <si>
    <t>Loughlin, M.M.;Hughes, J.F.</t>
  </si>
  <si>
    <t>37607264700;37286405800</t>
  </si>
  <si>
    <t>146360;175837;235203</t>
  </si>
  <si>
    <t>Management Technologies Incorporated NASA Ames Research Center##Management Technologies Incorporated NASA Ames Research Center</t>
  </si>
  <si>
    <t>OGI School of Science &amp; Engineering##OGI School of Science &amp; Engineering##OGI School of Science &amp; Engineering##OGI School of Science &amp; Engineering</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</si>
  <si>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t>
  </si>
  <si>
    <t>Marschner, S.R.;Lobb, R.J.</t>
  </si>
  <si>
    <t>37333371500;37659292200</t>
  </si>
  <si>
    <t>ITaP Purdue University##ITaP Purdue University##ITaP Purdue University##ITaP Purdue University##ITaP Purdue University##ITaP Purdue University##ITaP Purdue University</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</si>
  <si>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t>
  </si>
  <si>
    <t>Favre, J.M.;Hahn, J.</t>
  </si>
  <si>
    <t>Isomics, Inc##############</t>
  </si>
  <si>
    <t>37284061600;37345867700</t>
  </si>
  <si>
    <t>175804;235219;146373;235205</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</si>
  <si>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</si>
  <si>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t>
  </si>
  <si>
    <t>Botts, M.;Dykstra, J.D.;Elson, L.S.;Goodman, S.J.;Meemong Lee</t>
  </si>
  <si>
    <t>37399659100;37659722200;37658792900;38180426300;37279707200</t>
  </si>
  <si>
    <t>Mohammad Ghoniem;Jean-Daniel Fekete;Philippe Castagliola</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</si>
  <si>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t>
  </si>
  <si>
    <t>398877;235227;235210;175772;398852;175773;398846</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</si>
  <si>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t>
  </si>
  <si>
    <t>Montani, C.;Scateni, R.;Scopigno, R.</t>
  </si>
  <si>
    <t>37265786500;37659209500;37270887900</t>
  </si>
  <si>
    <t>Ecole des Mines de Nantes##INRIA Futurs/LRI##UniversitÃ© Paris-Sud</t>
  </si>
  <si>
    <t>Georgia Institute of Technology Atlanta##Georgia Institute of Technology Atlanta</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</si>
  <si>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t>
  </si>
  <si>
    <t>University of Wisconsinâ€“Madison</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</si>
  <si>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t>
  </si>
  <si>
    <t>Pagendarm, H.-G.;Walter, B.</t>
  </si>
  <si>
    <t>37372011800;37413765900</t>
  </si>
  <si>
    <t>Worcester Polytechnic Institute##Worcester Polytechnic Institute##Worcester Polytechnic Institute</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</si>
  <si>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t>
  </si>
  <si>
    <t>Tal, A.;Dobkin, David</t>
  </si>
  <si>
    <t>37337567000;37371403900</t>
  </si>
  <si>
    <t>Tal, A.;Dobkin, D.</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</si>
  <si>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t>
  </si>
  <si>
    <t>Schroeder, W.J.;Lorensen, W.F.;Linthicum, S.</t>
  </si>
  <si>
    <t>37282730100;37378427200;37659236800</t>
  </si>
  <si>
    <t>Technion -Israel Institute of Technology##Technion -Israel Institute of Technology</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</si>
  <si>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t>
  </si>
  <si>
    <t>Technical University Know-Center Graz##Technical University Know-Center Graz##Technical University Know-Center Graz##Technical University Know-Center Graz##Technical University Know-Center Graz##Technical University Know-Center Graz##Technical University Know-Center Graz</t>
  </si>
  <si>
    <t>Ang, C.S.;Martin, D.C.;Doyle, M.D.</t>
  </si>
  <si>
    <t>37652705000;37664577600;37648518000</t>
  </si>
  <si>
    <t>Matthias Kreuseler;Thomas Nocke;Heidrun Schumann</t>
  </si>
  <si>
    <t>SD Industries GmbH##University of Rostock Rostock##University of Rostock Rostock</t>
  </si>
  <si>
    <t>Eben Myers;Peter Coppin;Michael Wagner;Karl Fischer;Luisa Lu;W. Ronald McCloskey;David Seneker</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</si>
  <si>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t>
  </si>
  <si>
    <t>Peterson, P.;Hayden, B.;Fracchia, F.D.</t>
  </si>
  <si>
    <t>37649097800;37659689000;37612260800</t>
  </si>
  <si>
    <t>398904;235188;175771</t>
  </si>
  <si>
    <t>We present a new technique for the visualization and analysis of the results from Monte Carlo simulations based on Î±-complexes and Î±-shapes.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Î±-shapes one can obtain quantitative measures of spatial properties of the system, such as the boundary length and interior area of clusters, that would be difficult to obtain otherwise</t>
  </si>
  <si>
    <t>Moran, P.J.;Wagner, M.</t>
  </si>
  <si>
    <t>37264891100;37650681200</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</si>
  <si>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t>
  </si>
  <si>
    <t>Itoh, T.;Koyamada, K.</t>
  </si>
  <si>
    <t>37655930100;37284304900</t>
  </si>
  <si>
    <t>235213;175780</t>
  </si>
  <si>
    <t>Université de Bordeaux I|c|;;;</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</si>
  <si>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t>
  </si>
  <si>
    <t>Pang, A.;Alper, N.</t>
  </si>
  <si>
    <t>37267352000;37349545700</t>
  </si>
  <si>
    <t>398860;146373;175804;235207;235219;398880;398879</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</si>
  <si>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t>
  </si>
  <si>
    <t>Alameldin, T.;Shepley, M.</t>
  </si>
  <si>
    <t>37376744200;37659208100</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</si>
  <si>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t>
  </si>
  <si>
    <t>Durkin, J.W.;Hughes, J.F.</t>
  </si>
  <si>
    <t>38181039700;38181916900</t>
  </si>
  <si>
    <t>Technische Universiteit Eindhoven##Technische Universiteit Eindhoven##Technische Universiteit Eindhoven</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</si>
  <si>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â€œHow well could we currently visualize the fetus in real time,â€_x009d_ but â€œHow well could we see the fetus if we had sufficient compute power?â€_x009d_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t>
  </si>
  <si>
    <t>State, A.;Chen, D.T.;Tector, C.;Brandt, A.;Hong Chen;Ohbuchi, R.;Bajura, M.;Fuchs, H.</t>
  </si>
  <si>
    <t>37565489200;37657346300;37659378600;37663829500;;37282411600;38180023500;37285537200</t>
  </si>
  <si>
    <t>Oculus Info Inc##Oculus Info Inc</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</si>
  <si>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t>
  </si>
  <si>
    <t>Silva, C.T.;Kaufman, A.E.</t>
  </si>
  <si>
    <t>38183059100;37268052800</t>
  </si>
  <si>
    <t>Silva, C.T.;Kaufman, A.</t>
  </si>
  <si>
    <t>235231;175777;346340</t>
  </si>
  <si>
    <t>We consider the problem of approximating a smooth surface f(x, y), based on n scattered samples {(xi, yi, zi )i=1n} where the sample values {zi} are contaminated with noise: zi=f(xi , yi)=ei. We present an algorithm that generates a PLS (piecewise linear surface) f', defined on a triangulation of the sample locations V={(xi, yi) i=1n},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t>
  </si>
  <si>
    <t>Margaliot, M.;Gotsman, C.</t>
  </si>
  <si>
    <t>37298457400;37281769000</t>
  </si>
  <si>
    <t>Jinwook Seo;Ben Shneiderman</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</si>
  <si>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t>
  </si>
  <si>
    <t>Hai Tao;Moorhead, R.J.</t>
  </si>
  <si>
    <t>37652845200;37282559500</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</si>
  <si>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t>
  </si>
  <si>
    <t>Twiddy, R.;Cavallo, J.;Shiri, S.M.</t>
  </si>
  <si>
    <t>37659258900;37659261200;37659260900</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</si>
  <si>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t>
  </si>
  <si>
    <t>Howard D. White;Xia Lin;Jan W. Buzydlowski</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</si>
  <si>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t>
  </si>
  <si>
    <t>Duffin, K.L.;Barrett, W.A.</t>
  </si>
  <si>
    <t>37663438100;37339053800</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</si>
  <si>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â€œPVâ€_x009d_,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t>
  </si>
  <si>
    <t>Kimelman, D.;Rosenburg, B.;Roth, T.</t>
  </si>
  <si>
    <t>37390629800;37398650700;37661786500</t>
  </si>
  <si>
    <t>Universiteit Eindhoven##Universiteit Eindhoven</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</si>
  <si>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t>
  </si>
  <si>
    <t>Brill, M.;Hagen, H.;Rodrian, H.;Djatschin, W.;Klimenko, S.V.</t>
  </si>
  <si>
    <t>37391683900;38262394700;37427262100;37659291300;37388732400</t>
  </si>
  <si>
    <t>235193;175789;235226;235211;398875</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</si>
  <si>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t>
  </si>
  <si>
    <t>Banerjee, D.;Morley, C.;Smith, W.</t>
  </si>
  <si>
    <t>37653860300;37656395900;37574116600</t>
  </si>
  <si>
    <t>235223;175833;146360</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</si>
  <si>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t>
  </si>
  <si>
    <t>Delmarcelle, T.;Hesselink, Lambertus</t>
  </si>
  <si>
    <t>37378372200;37274095200</t>
  </si>
  <si>
    <t>Delmarcelle, T.;Hesselink, L.</t>
  </si>
  <si>
    <t>Rutgers University Piscataway##Universiteit Eindhoven</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</si>
  <si>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t>
  </si>
  <si>
    <t>Parker, S.E.;Samtaney, R.</t>
  </si>
  <si>
    <t>37269835500;37378609800</t>
  </si>
  <si>
    <t>UniversitÃ© du QuÃ©becQuÃ©becÃ Chicoutimi##UniversitÃ© du QuÃ©becQuÃ©becÃ Chicoutimi##UniversitÃ© du QuÃ©becQuÃ©becÃ Chicoutimi</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</si>
  <si>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t>
  </si>
  <si>
    <t>Bajaj, C.L.;Royappa, A.</t>
  </si>
  <si>
    <t>37282899200;37659236200</t>
  </si>
  <si>
    <t>University of Arizona##University of Arizona</t>
  </si>
  <si>
    <t>Purvi Saraiya;Chris North;Karen Duca</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</si>
  <si>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t>
  </si>
  <si>
    <t>146360;398848;398850;398849;398846</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</si>
  <si>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t>
  </si>
  <si>
    <t>Domik, G.O.;Gutkauf, B.</t>
  </si>
  <si>
    <t>37353973100;37659327200</t>
  </si>
  <si>
    <t>146387;175795;146375</t>
  </si>
  <si>
    <t>M. Sheelagh T. Carpendale;Anand Agarawala</t>
  </si>
  <si>
    <t>A discussion is given on the validation, verification and evaluation of scientific visualization software. A â€œbugâ€_x009d_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t>
  </si>
  <si>
    <t>Uselton, S.;Dorn, G.;Farhat, C.;Vannier, Michael;Esbensen, K.;Globus, A.</t>
  </si>
  <si>
    <t>37372247300;37659266300;37663885300;37284186700;37659267100;37377256900</t>
  </si>
  <si>
    <t>Uselton, S.;Dorn, G.;Farhat, C.;Vannier, M.;Esbensen, K.;Globus, A.</t>
  </si>
  <si>
    <t>University of Konstanz##University of Konstanz##University of Konstanz##University of Konstanz</t>
  </si>
  <si>
    <t>Erika Darling;Chris Newbern;Nikhil Kalghatgi;Aaron Burgman;Kristine Recktenwald</t>
  </si>
  <si>
    <t>We describe the theoretical and practical visualization issues solved in the implementation of an interactive real-time four-dimensional geometry interface for the CAVE, an immersive virtual reality environment. While our specific task is to produce a â€œvirtual geometryâ€_x009d_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t>
  </si>
  <si>
    <t>Cross, R.A.;Hanson, A.J.</t>
  </si>
  <si>
    <t>37664370800;37333439100</t>
  </si>
  <si>
    <t>346330;398869;175821;235222</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</si>
  <si>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â€œstartupâ€_x009d_ time, and the scientist can immediately concentrate on his science problem. The SAVS concept readily generalizes to many other fields of science and engineering</t>
  </si>
  <si>
    <t>Mankofsky, A.;Szuszczewicz, E.P.;Blanchard, P.;Goodrich, C.;McNabb, D.;Kulkarni, R.;Kamins, D.</t>
  </si>
  <si>
    <t>37355831300;37647622000;37661825700;37662543900;37659038800;37585180300;38138672400</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</si>
  <si>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t>
  </si>
  <si>
    <t>Rhyne, T.M.;Ivey, W.;Knapp, L.;Kochevar, P.;Mace, T.</t>
  </si>
  <si>
    <t>37282569700;37659205100;37659204100;37659207200;37661428600</t>
  </si>
  <si>
    <t>Discusses and debates the role played by 3D visualization in medicine as a set of methods and techniques for displaying 3D spatial information related to the anatomy and the physiology of the human body</t>
  </si>
  <si>
    <t>Roux, C.;Coatrieux, J.L.;Dillenseger, J.-L.;Fishman, E.K.;Loew, M.;Meinzer, H.-P.;Pearlman, J.D.</t>
  </si>
  <si>
    <t>37294194900;37266819400;37377461900;37267911400;38305242900;38352250600;37301963100</t>
  </si>
  <si>
    <t>Roux, C.;Coatrieux, J.L.;Dillenseger, J.-L.;Fishman, E.;Loew, M.;Meinzer, H.-P.;Pearlman, J.D.</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</si>
  <si>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t>
  </si>
  <si>
    <t>Sakas, G.;Schreyer, L.-A.;Grimm, M.</t>
  </si>
  <si>
    <t>37283227500;37658782100;37649338300</t>
  </si>
  <si>
    <t>University of SÃ£o Paulo##University of SÃ£o Paulo##University of SÃ£o Paulo</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</si>
  <si>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t>
  </si>
  <si>
    <t>Mahadev, P.M.;Christie, R.D.</t>
  </si>
  <si>
    <t>37346827500;37275883700</t>
  </si>
  <si>
    <t>Gerald Gainant;David Auber</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</si>
  <si>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t>
  </si>
  <si>
    <t>Johannsen, A.;Moorhead, R.</t>
  </si>
  <si>
    <t>37444949500;37282559500</t>
  </si>
  <si>
    <t>Johannsen, A.;Moorhead, R.J.</t>
  </si>
  <si>
    <t>346332;398901;346332</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</si>
  <si>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t>
  </si>
  <si>
    <t>Roth, M.;Guritz, R.</t>
  </si>
  <si>
    <t>37439279300;37331284900</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</si>
  <si>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t>
  </si>
  <si>
    <t>Max, N.;Crawfis, R.;Grant, C.</t>
  </si>
  <si>
    <t>37267387800;37284273900;37266622300</t>
  </si>
  <si>
    <t>398877;346313</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</si>
  <si>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t>
  </si>
  <si>
    <t>Stone, L.M.;Erickson, T.;Bederson, B.B.;Rothman, P.;Muzzy, R.</t>
  </si>
  <si>
    <t>37659441100;37608641000;37279760100;37659316200;37659318600</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</si>
  <si>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t>
  </si>
  <si>
    <t>235227;146360;175771;235210;146359;398846;398850;175773;235226</t>
  </si>
  <si>
    <t>David J. Duke;Ken Brodlie;David A. Duce</t>
  </si>
  <si>
    <t>Hui Xie;Kevin T. McDonnell;Hong Qin</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</si>
  <si>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t>
  </si>
  <si>
    <t>398869;346324;235211</t>
  </si>
  <si>
    <t>LinkÃ¶ping Institute of Technology##LinkÃ¶ping Institute of Technology</t>
  </si>
  <si>
    <t>University of Texas at Austin Austin##University of Texas at Austin Austin##University of Texas at Austin Austin##University of Texas at Austin Austin</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</si>
  <si>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t>
  </si>
  <si>
    <t>Inselberg, A.;Grinstein, C.;Mihalisin, T.;Hinterberger, H.</t>
  </si>
  <si>
    <t>37294162600;38470495800;37314757900;37664331500</t>
  </si>
  <si>
    <t>Matús Straka;Michal Cervenanský;Alexandra La Cruz;Arnold Köchl;Milos Srámek;Eduard Gröller;Dominik Fleischmann</t>
  </si>
  <si>
    <t>Austrian Academy of Sciences##Comenius University##Stanford University Medical Center##Vienna University of Technology##Vienna University of Technology</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</si>
  <si>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t>
  </si>
  <si>
    <t>Yamrom, B.;Sutliff, J.A.;Woodfield, A.P.</t>
  </si>
  <si>
    <t>37659553000;37378333000;37659260100</t>
  </si>
  <si>
    <t>398867;146380</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</si>
  <si>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t>
  </si>
  <si>
    <t>Ebert, D.S.;Yagel, R.;Scott, J.;Kurzion, Y.</t>
  </si>
  <si>
    <t>38472156300;38335292300;37653125700;37372244200</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</si>
  <si>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t>
  </si>
  <si>
    <t>Rushmeier, H.E.;Hamins, A.;Choi, M.-Y.</t>
  </si>
  <si>
    <t>37298450200;37658795400;37653029600</t>
  </si>
  <si>
    <t>Rushmeier, H.;Hamins, A.;Choi, M.-Y.</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</si>
  <si>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t>
  </si>
  <si>
    <t>Avila, R.;Taosong He;Lichan Hong;Kaufman, A.;Pfister, H.;Silva, C.;Sobierajski, L.;Wang, S.</t>
  </si>
  <si>
    <t>Michael Gleicher;Tom Brunet;K. Evan Nowak;Liz Osten;Matt McElwee;Kevin Tanty;Adam Gepner;Garet Lahvis</t>
  </si>
  <si>
    <t>37323905300;37350343500;37652123600;37268052800;37275698100;38183059100;37378488600;37351033000</t>
  </si>
  <si>
    <t>Avila, R.;Taosong He;Lichan Hong;Kaufman, A.;Pfister, H.;Silva, C.T.;Sobierajski, L.;Wang, S.</t>
  </si>
  <si>
    <t>235231;398862;398854;146391</t>
  </si>
  <si>
    <t>Jinzhu Gao;Han-Wei Shen;Jian Huang;James Arthur Kohl</t>
  </si>
  <si>
    <t>The Ohio State Univ. Oak Ridge National Lab##The Ohio State Univ. Oak Ridge National Lab##The Ohio State Univ. Oak Ridge National Lab##The Ohio State Univ. Oak Ridge National Lab</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</si>
  <si>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t>
  </si>
  <si>
    <t>Banks, D.C.;Singer, B.A.</t>
  </si>
  <si>
    <t>37356983700;37651784800</t>
  </si>
  <si>
    <t>CCLRC Rutherford Appleton Laboratory##Oxford Brookes University####University of Leeds</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</si>
  <si>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t>
  </si>
  <si>
    <t>Taosong He;Wang, S.;Kaufman, A.</t>
  </si>
  <si>
    <t>37350343500;37351033000;37268052800</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</si>
  <si>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t>
  </si>
  <si>
    <t>146386;146387;146402</t>
  </si>
  <si>
    <t>We show how to create 3D models of maternal pelvis and fetal head from magnetic resonance images (MRI). The models are used to simulate the progress of delivery in order to give a prognosis of successful labor</t>
  </si>
  <si>
    <t>Boissonnat, J.-D.;Geiger, B.</t>
  </si>
  <si>
    <t>37389802000;38230940600</t>
  </si>
  <si>
    <t>University of Virginia##University of Virginia##University of Virginia</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</si>
  <si>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</si>
  <si>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t>
  </si>
  <si>
    <t>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t>
  </si>
  <si>
    <t>38364261600;37267249200</t>
  </si>
  <si>
    <t>235193;175789;235210</t>
  </si>
  <si>
    <t>University of California at Davis##University of California at Davis##University of California at Davis##University of California at Davis##University of California at Davis</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</si>
  <si>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t>
  </si>
  <si>
    <t>Yagel, R.;Shi, Z.</t>
  </si>
  <si>
    <t>37342422500;38238958900</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</si>
  <si>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t>
  </si>
  <si>
    <t>Rogowitz, B.;Treinish, L.A.</t>
  </si>
  <si>
    <t>37332114400;37372175500</t>
  </si>
  <si>
    <t>235199;235219;175818</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</si>
  <si>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</si>
  <si>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t>
  </si>
  <si>
    <t>Etienne.Parkinson@vatech-hydro.ch####ETH ZÃ¼rich</t>
  </si>
  <si>
    <t>235203;146360</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</si>
  <si>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t>
  </si>
  <si>
    <t>Kochevar, P.;Ahmed, Z.;Shade, J.;Sharp, C.</t>
  </si>
  <si>
    <t>37659207200;38242870000;38162003500;38227878900</t>
  </si>
  <si>
    <t>235219;235197</t>
  </si>
  <si>
    <t>Kitware, Inc##Kitware, Inc##Kitware, Inc</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</si>
  <si>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t>
  </si>
  <si>
    <t>Ma, K.-L.;Smith, P.J.</t>
  </si>
  <si>
    <t>37382473800;37382292100</t>
  </si>
  <si>
    <t>Kwan-Liu Ma;Smith, P.J.</t>
  </si>
  <si>
    <t>235210;175770;175773;235211;235227;235174;175789</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</si>
  <si>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t>
  </si>
  <si>
    <t>Wu, D.;Roberge, J.;Cork, D.J.;Nguyen, B.G.;Grace, T.</t>
  </si>
  <si>
    <t>38238355700;37355168100;38230275300;38231180100;38073947900</t>
  </si>
  <si>
    <t>MPI Informatik##SCI Institute University of Utah##SCI Institute University of Utah##University of New Mexico</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</si>
  <si>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t>
  </si>
  <si>
    <t>Corrie, B.;Mackerras, P.</t>
  </si>
  <si>
    <t>37267462200;37354987500</t>
  </si>
  <si>
    <t>Benjamin Bustos;Daniel A. Keim;Christian Panse;Tobias Schreck</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</si>
  <si>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t>
  </si>
  <si>
    <t>Thornborrow, C.;Wilson, A.J.S.;Faigle, C.</t>
  </si>
  <si>
    <t>37662471200;38237258900;37378053800</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</si>
  <si>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t>
  </si>
  <si>
    <t>The Ohio State University##The Ohio State University##The Ohio State University##The Ohio State University##The Ohio State University</t>
  </si>
  <si>
    <t>Peercy, M.S.;Hesselink, Lambertus</t>
  </si>
  <si>
    <t>38241485100;37274095200</t>
  </si>
  <si>
    <t>Peercy, M.S.;Hesselink, L.</t>
  </si>
  <si>
    <t>Stony Brook University##Stony Brook University##Stony Brook University##Stony Brook University##Stony Brook University##Stony Brook University##Stony Brook University##Stony Brook University##Stony Brook University</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</si>
  <si>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t>
  </si>
  <si>
    <t>Morrow, T.M.;Ghosh, S.</t>
  </si>
  <si>
    <t>38229760200;37288557900</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</si>
  <si>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t>
  </si>
  <si>
    <t>Lorensen, William;Cline, H.;Nafis, C.;Kikinis, R.;Altobelli, D.;Gleason, L.</t>
  </si>
  <si>
    <t>37378427200;37424767600;38227741600;38269884200;38075861700;38227801800</t>
  </si>
  <si>
    <t>Lorensen, W.F.;Cline, H.;Nafis, C.;Kikinis, R.;Altobelli, D.;Gleason, L.</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</si>
  <si>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t>
  </si>
  <si>
    <t>Videau, H.;Mora de Freitas, P.</t>
  </si>
  <si>
    <t>38227775600;38231095800</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</si>
  <si>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t>
  </si>
  <si>
    <t>Varshney, A.;Brooks, F.P., Jr.</t>
  </si>
  <si>
    <t>37282560200;37295063200</t>
  </si>
  <si>
    <t>Simon Stegmaier;Thomas Ertl</t>
  </si>
  <si>
    <t>Stanford University##Stanford University##Stanford University##Stanford University##Stanford University</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</si>
  <si>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t>
  </si>
  <si>
    <t>Ning, P.;Hesselink, Lambertus</t>
  </si>
  <si>
    <t>37379722800;37274095200</t>
  </si>
  <si>
    <t>Ning, P.;Hesselink, L.</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</si>
  <si>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t>
  </si>
  <si>
    <t>Rutgers University##Rutgers University##Rutgers University##Rutgers University##Rutgers University</t>
  </si>
  <si>
    <t>Moorehead, R.J., II;Zhifan Zhu</t>
  </si>
  <si>
    <t>;37616769800</t>
  </si>
  <si>
    <t>Moorhead, R.J.;Zhifan Zhu</t>
  </si>
  <si>
    <t>Stony Brook University##Stony Brook University</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</si>
  <si>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t>
  </si>
  <si>
    <t>Song, D.;Golin, E.</t>
  </si>
  <si>
    <t>37653040000;37389878300</t>
  </si>
  <si>
    <t>National University of Singapore##National University of Singapore</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</si>
  <si>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t>
  </si>
  <si>
    <t>Max, N.;Becker, B.;Crawfis, R.</t>
  </si>
  <si>
    <t>37267387800;37363099200;37284273900</t>
  </si>
  <si>
    <t>235210;235211</t>
  </si>
  <si>
    <t>Wei Chen;Liu Ren;Matthias Zwicker;Hanspeter Pfister</t>
  </si>
  <si>
    <t>Zhejiang University##Carnegie Mellon University</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</si>
  <si>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t>
  </si>
  <si>
    <t>235205;235204</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</si>
  <si>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t>
  </si>
  <si>
    <t>Hinker, P.;Hansen, C.</t>
  </si>
  <si>
    <t>37378526500;37266777200</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</si>
  <si>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t>
  </si>
  <si>
    <t>University of North Carolina##University of North Carolina##University of North Carolina##University of North Carolina##University of North Carolina##University of North Carolina##University of North Carolina</t>
  </si>
  <si>
    <t>Brodlie, K.;Poon, A.;Wright, H.;Brankin, L.;Banecki, G.;Gay, A.</t>
  </si>
  <si>
    <t>37271754900;38231402100;37609618400;38230313500;38230313900;38238469100</t>
  </si>
  <si>
    <t>235219;175818</t>
  </si>
  <si>
    <t>Steven Schkolne;Hiroshi Ishii;Peter Schröder</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</si>
  <si>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t>
  </si>
  <si>
    <t>van Wijk, J.J.;van Liere, R.</t>
  </si>
  <si>
    <t>37267249200;37282925600</t>
  </si>
  <si>
    <t>146387;175809</t>
  </si>
  <si>
    <t>Gregory L. Schussman;Kwan-Liu Ma</t>
  </si>
  <si>
    <t>University of California at Davis##University of California at Davis</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</si>
  <si>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t>
  </si>
  <si>
    <t>Stanford University##Stanford University####</t>
  </si>
  <si>
    <t>235211;235225;146359</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</si>
  <si>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t>
  </si>
  <si>
    <t>Zuse Institute Berlin (ZIB)##Zuse Institute Berlin (ZIB)##Zuse Institute Berlin (ZIB)##Zuse Institute Berlin (ZIB)</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</si>
  <si>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t>
  </si>
  <si>
    <t>Fletcher, P.A.;Robertson, P.K.</t>
  </si>
  <si>
    <t>38237285500;37388066800</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</si>
  <si>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t>
  </si>
  <si>
    <t>Hanson, A.J.;Cross, R.A.</t>
  </si>
  <si>
    <t>37333439100;37664370800</t>
  </si>
  <si>
    <t>175821;235222</t>
  </si>
  <si>
    <t>Advanced Management Technology, Inc. NASA Ames Research Center##Advanced Management Technology, Inc. NASA Ames Research Center##Advanced Management Technology, Inc. NASA Ames Research Center</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</si>
  <si>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t>
  </si>
  <si>
    <t>Ranken, D.;George, J.</t>
  </si>
  <si>
    <t>37281713600;37268533900</t>
  </si>
  <si>
    <t>Matej Mlejnek;Anna Vilanova;Eduard Gröller</t>
  </si>
  <si>
    <t>ICGA Vienna University of Technology##ICGA Vienna University of Technology##ICGA Vienna University of Technology</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</si>
  <si>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t>
  </si>
  <si>
    <t>Eick, S.G.;Wills, G.J.</t>
  </si>
  <si>
    <t>37282570100;37844196100</t>
  </si>
  <si>
    <t>146369;175815</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</si>
  <si>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t>
  </si>
  <si>
    <t>VIS##University of Stuttgart</t>
  </si>
  <si>
    <t>Drevermann, H.;Kuhn, D.;Nilsson, B.S.</t>
  </si>
  <si>
    <t>37424455800;38229577700;38242073300</t>
  </si>
  <si>
    <t>Peter G. Sibley;Gabriel Taubin</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</si>
  <si>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</si>
  <si>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t>
  </si>
  <si>
    <t>Alpern, B.;Carter, L.;Grayson, M.;Pelkie, C.</t>
  </si>
  <si>
    <t>37347480400;37281754200;38230911700;38230273400</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</si>
  <si>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t>
  </si>
  <si>
    <t>Waheed, A.;Rover, D.T.</t>
  </si>
  <si>
    <t>UMIACS University of Maryland at College Park College Park##UMIACS University of Maryland at College Park College Park##UMIACS University of Maryland at College Park College Park</t>
  </si>
  <si>
    <t>37356141500;</t>
  </si>
  <si>
    <t>Stony Brook University Stony Brook##Stony Brook University Stony Brook</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</si>
  <si>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t>
  </si>
  <si>
    <t>Van Gelder, A.;Wilhelms, J.</t>
  </si>
  <si>
    <t>37352962400;37828154400</t>
  </si>
  <si>
    <t>235204;235228</t>
  </si>
  <si>
    <t>University of California Davis##University of California Davis</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</si>
  <si>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t>
  </si>
  <si>
    <t>Pang, A.;Smith, K.</t>
  </si>
  <si>
    <t>38231052100;38237967800</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</si>
  <si>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t>
  </si>
  <si>
    <t>Crawfis, R.A.;Max, N.</t>
  </si>
  <si>
    <t>37284273900;37267387800</t>
  </si>
  <si>
    <t>Crawfis, R.;Max, N.</t>
  </si>
  <si>
    <t>National Taiwan Ocean University##National Taiwan Ocean University##National Taiwan Ocean University</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</si>
  <si>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t>
  </si>
  <si>
    <t>Abramov, D.I.;Gusev, V.V.;Klimenko, S.V.;Ponomarev, L.I.;Krueger, W.;Renz, W.</t>
  </si>
  <si>
    <t>38242170000;38229763600;37388732400;38241856300;37382195100;38229016300</t>
  </si>
  <si>
    <t>146391;175812</t>
  </si>
  <si>
    <t>Alexandre Gillet;Michel F. Sanner;Daniel Stoffler;David S. Goodsell;Arthur J. Olson</t>
  </si>
  <si>
    <t>The Scripps Research Institute##The Scripps Research Institute##The Scripps Research Institute##The Scripps Research Institute##The Scripps Research Institute</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</si>
  <si>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t>
  </si>
  <si>
    <t>Palamidese, P.;Betro, M.;Muccioli, G.</t>
  </si>
  <si>
    <t>38230282100;38230281800;38230282600</t>
  </si>
  <si>
    <t>Alexandra La Cruz;Matús Straka;Arnold Köchl;Milos Srámek;Eduard Gröller;Dominik Fleischmann</t>
  </si>
  <si>
    <t>Vienna University of Technology##Vienna University of Technology##Vienna University of Technology##Vienna University of Technology##Vienna University of Technology##Vienna University of Technology##Vienna University of Technology</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</si>
  <si>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t>
  </si>
  <si>
    <t>Ehricke, H.-H.;Daiber, G.;Strasser, W.</t>
  </si>
  <si>
    <t>38230307900;38230308200;</t>
  </si>
  <si>
    <t>Miao Jin;Yalin Wang;Shing-Tung Yau;Xianfeng Gu</t>
  </si>
  <si>
    <t>UCLA##UCLA##UCLA##UCLA</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</si>
  <si>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t>
  </si>
  <si>
    <t>Stonebraker, M.;Chen, J.;Nathan, N.;Paxson, C.;Su, A.;Wu, J.</t>
  </si>
  <si>
    <t>38315558200;37656875900;38230295900;37659882800;38471618200;38239586700</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</si>
  <si>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t>
  </si>
  <si>
    <t>Rao, A.R.;Lohse, G.L.</t>
  </si>
  <si>
    <t>38241005600;38241185900</t>
  </si>
  <si>
    <t>IDAV##IDAV##Technical University of Kaiserslautern##IDAV##IDAV##University of California</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</si>
  <si>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t>
  </si>
  <si>
    <t>Kerlick, G.D.;Kirby, E.</t>
  </si>
  <si>
    <t>38222544200;38227818100</t>
  </si>
  <si>
    <t>University of Illinois at Urbanaâ€“Champaign##University of Illinois at Urbanaâ€“Champaign##University of Illinois at Urbanaâ€“Champaign</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</si>
  <si>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t>
  </si>
  <si>
    <t>Purdue University##Purdue University##Purdue University</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</si>
  <si>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t>
  </si>
  <si>
    <t>Taosong He;Kaufman, A.E.</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</si>
  <si>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t>
  </si>
  <si>
    <t>Keim, D.A.;Kriegel, H.-P.;Seidl, T.</t>
  </si>
  <si>
    <t>37283138700;37276747000;37283129200</t>
  </si>
  <si>
    <t>146387;146386;146389;146402</t>
  </si>
  <si>
    <t>Matei Mancas;Bernard Gosselin;Benoit M. Macq</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</si>
  <si>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t>
  </si>
  <si>
    <t>Celniker, G.;Chakravarty, I.;Moorman, J.</t>
  </si>
  <si>
    <t>38230296700;37831251800;38138503900</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</si>
  <si>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</si>
  <si>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t>
  </si>
  <si>
    <t>Tyson, S.;Williams, B.</t>
  </si>
  <si>
    <t>38231210700;38237385000</t>
  </si>
  <si>
    <t>Hamish Carr;Jack Snoeyink;Michiel van de Panne</t>
  </si>
  <si>
    <t>University of British Columbia##</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</si>
  <si>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t>
  </si>
  <si>
    <t>André Neubauer;Stefan Wolfsberger;Marie-Thérèse Forster;Lukas Mroz;Rainer Wegenkittl;Katja Bühler</t>
  </si>
  <si>
    <t>Tiani Medgraph AG Vienna########Tiani Medgraph AG Vienna##Tiani Medgraph AG Vienna</t>
  </si>
  <si>
    <t>MPI Informatik SaarbrÃ¼cken##INTRODUCTION</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</si>
  <si>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t>
  </si>
  <si>
    <t>235211;146360;235212;175773;175789</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</si>
  <si>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t>
  </si>
  <si>
    <t>Hin, A.J.S.;Post, F.H.</t>
  </si>
  <si>
    <t>37658393200;37295045800</t>
  </si>
  <si>
    <t>University of Toronto##University of Toronto</t>
  </si>
  <si>
    <t>Technische Universiteit Eindhoven##Technische Universiteit Eindhoven##Technische Universiteit Eindhoven##Technische Universiteit Eindhoven</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</si>
  <si>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t>
  </si>
  <si>
    <t>Mayer, H.F.;Tabatabai, B.</t>
  </si>
  <si>
    <t>38237924800;38229696200</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</si>
  <si>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t>
  </si>
  <si>
    <t>Wang, S.W.;Kaufman, A.E.</t>
  </si>
  <si>
    <t>37351033000;37268052800</t>
  </si>
  <si>
    <t>Wang, S.;Kaufman, A.</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</si>
  <si>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t>
  </si>
  <si>
    <t>Kenwright, D.N.;Mallinson, G.D.</t>
  </si>
  <si>
    <t>37355295400;37353663700</t>
  </si>
  <si>
    <t>Kenwright, D.;Mallinson, G.D.</t>
  </si>
  <si>
    <t>Monash University##Monash University</t>
  </si>
  <si>
    <t>Georgia Institute of Technology####</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</si>
  <si>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t>
  </si>
  <si>
    <t>Springmeyer, R.R.;Blattner, M.M.;Max, N.L.</t>
  </si>
  <si>
    <t>37378533700;37353304700;37267387800</t>
  </si>
  <si>
    <t>Springmeyer, R.R.;Blattner, M.M.;Max, N.</t>
  </si>
  <si>
    <t>University of Manitoba##University of Manitoba</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</si>
  <si>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t>
  </si>
  <si>
    <t>University of Konstanz##University of Konstanz##University of Konstanz</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</si>
  <si>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t>
  </si>
  <si>
    <t>Wright, J.R.;Hsieh, J.C.L.</t>
  </si>
  <si>
    <t>37380238200;37379008700</t>
  </si>
  <si>
    <t>Georgia Institute of Technology##Georgia Institute of Technology##Georgia Institute of Technology</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</si>
  <si>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t>
  </si>
  <si>
    <t>Lucas, B.;Abram, G.D.;Collins, N.S.;Epstein, D.A.;Gresh, D.L.;McAuliffe, K.P.</t>
  </si>
  <si>
    <t>37388593200;37378534500;37386981900;38183190800;37378534100;37378530900</t>
  </si>
  <si>
    <t>Lucas, B.;Abram, G.;Collins, N.;Epstein, D.A.;Gresh, D.L.;McAuliffe, K.P.</t>
  </si>
  <si>
    <t>146397;235204;175818;175833</t>
  </si>
  <si>
    <t>Uppsala University Uppsala##University of GÃ¤vle GÃ¤vle##Uppsala University Uppsala</t>
  </si>
  <si>
    <t>A fast range search algorithm for visualizing extrema of d-dimensional volume data in real time as the user interactively moves the query range is presented. The algorithm is based on an efficient data structure, called index heap, which needs only O(N/log N) space and O(d2 dN) preprocessing time to be set up, where N is the size of the d-dimensional data volume. The algorithm can answer an extremum query in O(4d) expected time, and its worst-case time complexity is O(2d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t>
  </si>
  <si>
    <t>37281235500;37351642300</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</si>
  <si>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t>
  </si>
  <si>
    <t>Hohne, K.H.;Pommert, A.;Riemer, M.;Schiemann, T.;Schubert, R.;Tiede, U.;Lierse, W.</t>
  </si>
  <si>
    <t>37378529100;37378525800;37378525600;37372275700;37385792400;37372275900;37378525500</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</si>
  <si>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t>
  </si>
  <si>
    <t>SPSS Inc. Northwestern University##SPSS Inc. Northwestern University##SPSS Inc. Northwestern University</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</si>
  <si>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t>
  </si>
  <si>
    <t>Beshers, C.;Feiner, S.</t>
  </si>
  <si>
    <t>37378253300;37266699900</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</si>
  <si>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t>
  </si>
  <si>
    <t>Zabusky, N.;Silver, D.</t>
  </si>
  <si>
    <t>37333395400;37274132700</t>
  </si>
  <si>
    <t>175770;175773</t>
  </si>
  <si>
    <t>Tokyo University of Agriculture and Technology##Tokyo University of Agriculture and Technology##Tokyo University of Agriculture and Technology##Tokyo University of Agriculture and Technology##Tokyo University of Agriculture and Technology##Tokyo University of Agriculture and Technology##Tokyo University of Agriculture and Technology</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</si>
  <si>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</si>
  <si>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t>
  </si>
  <si>
    <t>146359;175837;146373;235202;175789</t>
  </si>
  <si>
    <t>Hewlett-Packard Laboratories##Hewlett-Packard Laboratories##University of Konstanz##University of Konstanz</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</si>
  <si>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t>
  </si>
  <si>
    <t>Williams, R.D.;Wefer, F.L.;Clifton, T.E., III</t>
  </si>
  <si>
    <t>37383144000;37378369700;37376660700</t>
  </si>
  <si>
    <t>University of Maryland##University of Maryland##University of Maryland</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</si>
  <si>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t>
  </si>
  <si>
    <t>Bauhaus University Weimar##Bauhaus University Weimar##Bauhaus University Weimar</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</si>
  <si>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t>
  </si>
  <si>
    <t>Grinstein, F.F.;Obeysekare, U.R.;Patnaik, G.</t>
  </si>
  <si>
    <t>37378425900;37378425700;37378426400</t>
  </si>
  <si>
    <t>Grinstein, F.;Obeysekare, U.;Patnaik, G.</t>
  </si>
  <si>
    <t>Scalar functions of three variables, w=f(x ,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t>
  </si>
  <si>
    <t>Hanson, A.J.;Heng, P.A.</t>
  </si>
  <si>
    <t>37333439100;37388382500</t>
  </si>
  <si>
    <t>146363;175821;146391</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</si>
  <si>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t>
  </si>
  <si>
    <t>Hagen, H.;Hahmann, S.</t>
  </si>
  <si>
    <t>37282578800;37378532500</t>
  </si>
  <si>
    <t>University of Leipzig Leipzig##University of Leipzig Leipzig</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</si>
  <si>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t>
  </si>
  <si>
    <t>Treinish, L.A.;Butler, D.M.;Senay, H.;Grinstein, G.G.;Bryson, S.T.</t>
  </si>
  <si>
    <t>37372175500;37385834300;37376377400;38470495100;37388808200</t>
  </si>
  <si>
    <t>Treinish, L.A.;Butler, D.M.;Senay, H.;Grinstein, G.;Bryson, S.</t>
  </si>
  <si>
    <t>William J. Schroeder;François Bertel;Mathieu Malaterre;David C. Thompson;Philippe P. Pébay;Robert M. O'Bara;Saurabh Tendulkar</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</si>
  <si>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t>
  </si>
  <si>
    <t>Turo, D.;Johnson, B.</t>
  </si>
  <si>
    <t>37378529000;37381975300</t>
  </si>
  <si>
    <t>Simmetrix##Simmetrix##Simmetrix##Simmetrix##Simmetrix##Simmetrix##Simmetrix##Simmetrix##Simmetrix##Simmetrix##Simmetrix##Simmetrix</t>
  </si>
  <si>
    <t>175796;175791;175815;175794</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</si>
  <si>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t>
  </si>
  <si>
    <t>Kosslyn, S.M.;Gershon, N.D.;Levkowitz, H.;Pearlman, J.D.</t>
  </si>
  <si>
    <t>37378570400;37352200300;37282753300;37301963100</t>
  </si>
  <si>
    <t>Kosslyn, S.M.;Gershon, N.;Levkowitz, H.;Pearlman, J.D.</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</si>
  <si>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</si>
  <si>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t>
  </si>
  <si>
    <t>Kaba, J.;Matey, J.;Stoll, G.;Taylor, H.;Hanrahan, P.</t>
  </si>
  <si>
    <t>37378508100;38196670100;37356651400;37389384300;37349803800</t>
  </si>
  <si>
    <t>Delft University of Technology##Delft University of Technology##Academic Medical Centre##Delft University of Technology##Delft University of Technology</t>
  </si>
  <si>
    <t>175778;175777;175805</t>
  </si>
  <si>
    <t>Technische Universiteit Eindhoven Eindhoven##Technische Universiteit Eindhoven Eindhoven##Technische Universiteit Eindhoven Eindhoven</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</si>
  <si>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t>
  </si>
  <si>
    <t>Sakas, G.;Hartig, J.</t>
  </si>
  <si>
    <t>37283227500;37378528000</t>
  </si>
  <si>
    <t>Technische UniversitÃ¤tUniversitÂ¨UniversitÃ¤t M Â¨ unchen##Technische UniversitÃ¤tUniversitÂ¨UniversitÃ¤t M Â¨ unchen##Technische UniversitÃ¤tUniversitÂ¨UniversitÃ¤t M Â¨ unchen##Technische UniversitÃ¤tUniversitÂ¨UniversitÃ¤t M Â¨ unchen</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</si>
  <si>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t>
  </si>
  <si>
    <t>Cuny, J.E.;Hough, A.A.;Kundu, J.</t>
  </si>
  <si>
    <t>;37377783300;37378562400</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</si>
  <si>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t>
  </si>
  <si>
    <t>Hansen, C.D.;Hinker, P.</t>
  </si>
  <si>
    <t>Texas A&amp;M University##Texas A&amp;M University##Texas A&amp;M University</t>
  </si>
  <si>
    <t>37266777200;37378526500</t>
  </si>
  <si>
    <t>Hansen, C.;Hinker, P.</t>
  </si>
  <si>
    <t>Rutgers University##Rutgers University##John Cabot University</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</si>
  <si>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</si>
  <si>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t>
  </si>
  <si>
    <t>Ribarsky, W.;Brown, B.;Myerson, T.;Feldmann, R.;Smith, S.;Treinish, L.</t>
  </si>
  <si>
    <t>Ribarsky, W.;Brown, B.;Myerson, T.;Feldmann, R.;Smith, S.;Treinish, L.A.</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</si>
  <si>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t>
  </si>
  <si>
    <t>Scarlatos, L.L.;Pavlidis, T.</t>
  </si>
  <si>
    <t>37378511100;37357427000</t>
  </si>
  <si>
    <t>Scarlatos, L.;Pavlidis, T.</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</si>
  <si>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</si>
  <si>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t>
  </si>
  <si>
    <t>University of Idaho##University of Idaho##University of Idaho</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</si>
  <si>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256├ù256 medical images for which the compression is estimated to range between 1 and 0.5 b/pixel are given</t>
  </si>
  <si>
    <t>Subramanian, K.R.;Naylor, B.</t>
  </si>
  <si>
    <t>38185263800;37383881600</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</si>
  <si>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t>
  </si>
  <si>
    <t>Hultquist, J.P.M.;Raible, E.L.</t>
  </si>
  <si>
    <t>37378417700;37378640100</t>
  </si>
  <si>
    <t>175771;146360;235211</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</si>
  <si>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t>
  </si>
  <si>
    <t>Seidenberg, L.R.;Jerard, R.B.;Magewick, J.</t>
  </si>
  <si>
    <t>37378418400;37378418300;37378555400</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</si>
  <si>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t>
  </si>
  <si>
    <t>Campbell, W.J.;Cromp, R.F.;Fekete, G.;Wall, R.;Goldberg, M.</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</si>
  <si>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t>
  </si>
  <si>
    <t>Mercurio, P.J.;Elvins, T.T.;Young, S.J.</t>
  </si>
  <si>
    <t>37378512200;37389499500;37376755900</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</si>
  <si>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t>
  </si>
  <si>
    <t>Williams, C.;Rasure, J.;Hansen, C.</t>
  </si>
  <si>
    <t>37383888400;37378437300;37266777200</t>
  </si>
  <si>
    <t>ID-IMAG##ID-IMAG</t>
  </si>
  <si>
    <t>University of Utah##University of Utah####University of Utah##University of Utah####University of Utah##University of Utah</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</si>
  <si>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t>
  </si>
  <si>
    <t>Avila, R.S.;Sobierajski, L.M.;Kaufman, A.E.</t>
  </si>
  <si>
    <t>37323905300;37378488600;37268052800</t>
  </si>
  <si>
    <t>Avila, R.;Sobierajski, L.;Kaufman, A.</t>
  </si>
  <si>
    <t>146362;146413;175805</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</si>
  <si>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t>
  </si>
  <si>
    <t>10.1109/VISUAL.1991.175772;10.1109/VISUAL.1991.175778;10.1109/VISUAL.1991.175770;10.1109/VISUAL.1990.146360;10.1109/VISUAL.1991.175789;10.1109/VISUAL.1999.809897;10.1109/VISUAL.1991.175777</t>
  </si>
  <si>
    <t>175772;175778;175770;146360;175789;809897;175777</t>
  </si>
  <si>
    <t>Purdue University##Purdue University</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</si>
  <si>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</si>
  <si>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t>
  </si>
  <si>
    <t>Schroeder, W.J.;Lorensen, W.E.;Montanaro, G.D.;Volpe, C.R.</t>
  </si>
  <si>
    <t>37282730100;37378427200;37378426900;37378427600</t>
  </si>
  <si>
    <t>Schroeder, W.J.;Lorensen, W.F.;Montanaro, G.D.;Volpe, C.R.</t>
  </si>
  <si>
    <t>175787;175789;146360</t>
  </si>
  <si>
    <t>TU Kaiserslautern##TU Kaiserslautern##TU Kaiserslautern##TU Kaiserslautern##TU Kaiserslautern##TU Kaiserslautern##TU Kaiserslautern##TU Kaiserslautern</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</si>
  <si>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t>
  </si>
  <si>
    <t>Keim, D.A.;Lum, V.</t>
  </si>
  <si>
    <t>37283138700;37370014200</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</si>
  <si>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t>
  </si>
  <si>
    <t>Zuse-Institute Berlin (ZIB)##Zuse-Institute Berlin (ZIB)##Zuse-Institute Berlin (ZIB)##Zuse-Institute Berlin (ZIB)</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</si>
  <si>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t>
  </si>
  <si>
    <t>Kalvin, A.D.;Dean, D.;Hublin, J.-J.;Braun, M.</t>
  </si>
  <si>
    <t>37377332600;37387217000;37378545700;37381489300</t>
  </si>
  <si>
    <t>Jinzhu Gao;Jian Huang;C. Ryan Johnson;Scott Atchley;James Arthur Kohl</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</si>
  <si>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t>
  </si>
  <si>
    <t>Tobet, S.A.;King, J.C.;Wertheim, S.L.;Duffy, F.H.</t>
  </si>
  <si>
    <t>37378405100;37378905800;37378405400;37389947500</t>
  </si>
  <si>
    <t>Oak Ridge National Lab##Oak Ridge National Lab##Oak Ridge National Lab##Oak Ridge National Lab##Oak Ridge National Lab##Oak Ridge National Lab</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</si>
  <si>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t>
  </si>
  <si>
    <t>MacLeod, R.S.;Johnson, C.R.;Matheson, M.A.</t>
  </si>
  <si>
    <t>38259719200;37276931400;37390451700</t>
  </si>
  <si>
    <t>University of California##University of California##University of California##University of California##University of California##University of California##University of California</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</si>
  <si>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t>
  </si>
  <si>
    <t>Gershon, N.D.</t>
  </si>
  <si>
    <t>University of Utah##UFRGS##University of Utah##University of Utah</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</si>
  <si>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t>
  </si>
  <si>
    <t>Christon, M.A.;Spelce, T.</t>
  </si>
  <si>
    <t>37378567900;37378568500</t>
  </si>
  <si>
    <t>Hasso-Plattner Institute University of Potsdam##Plattner Institute University of Potsdam</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</si>
  <si>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</si>
  <si>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t>
  </si>
  <si>
    <t>146373;146359;175789;175773</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</si>
  <si>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t>
  </si>
  <si>
    <t>University of ZÃ¼rich</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</si>
  <si>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t>
  </si>
  <si>
    <t>Rhyne, T.;Bolstad, M.;Rheingans, P.;Petterson, L.;Shackelford, W.;Botts, M.E.;Pepke, E.;Johnson, K.W.;Hibbard, W.;Dyer, C.R.;Paul, B.;Treinish, L.A.</t>
  </si>
  <si>
    <t>Rhyne, T.M.;Bolstad, M.;Rheingans, P.;Petterson, L.;Shackelford, W.;Botts, M.;Pepke, E.;Johnson, K.W.;Hibbard, W.;Dyer, C.R.;Paul, B.;Treinish, L.A.</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</si>
  <si>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t>
  </si>
  <si>
    <t>Jones, C.S.;Baca, J.A.</t>
  </si>
  <si>
    <t>37384054700;37381492700</t>
  </si>
  <si>
    <t>Jones, C.;Baca, J.A.</t>
  </si>
  <si>
    <t>MPI Informatik##MPI Informatik##MPI Informatik##MPI Informatik</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</si>
  <si>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t>
  </si>
  <si>
    <t>Eick, S.G.;Steffen, J.L.</t>
  </si>
  <si>
    <t>37282570100;37387351200</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</si>
  <si>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</si>
  <si>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t>
  </si>
  <si>
    <t>McLeod, J.;Small, C.</t>
  </si>
  <si>
    <t>37388369500;37390267100</t>
  </si>
  <si>
    <t>Group University of Erlangen##Group University of Erlangen##Group University of Erlangen##Group University of Erlangen##Group University of Erlangen</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</si>
  <si>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t>
  </si>
  <si>
    <t>Geller, M.J.;Falco, E.E.;Fabricant, D.G.;Estus, B.</t>
  </si>
  <si>
    <t>37378507800;37378505800;37378506000;37378505700</t>
  </si>
  <si>
    <t>In order to visualize both clouds and wind in climate simulations, clouds were rendered using a 3D texture which was advected by the wind flow. The simulation is described. Rendering, the advection of texture coordinates, and haze effects are discussed. Results are presented</t>
  </si>
  <si>
    <t>Max, N.;Crawfis, R.;Williams, D.</t>
  </si>
  <si>
    <t>37267387800;37284273900;37383141300</t>
  </si>
  <si>
    <t>Johns Hopkins University##Johns Hopkins University##Johns Hopkins University</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</si>
  <si>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t>
  </si>
  <si>
    <t>175807;175814</t>
  </si>
  <si>
    <t>Purdue University##Purdue University##Purdue University##Purdue University##Purdue University</t>
  </si>
  <si>
    <t>University of Minnesota at Twin Cities##University of Minnesota at Twin Cities##University of Minnesota at Twin Cities##University of Minnesota at Twin Cities##University of Minnesota at Twin Cities</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</si>
  <si>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t>
  </si>
  <si>
    <t>True, T.J.;Hughes, J.F.</t>
  </si>
  <si>
    <t>37378567600;38181916800</t>
  </si>
  <si>
    <t>Lawrence Livermore National Laboratory##Lawrence Livermore National Laboratory##Lawrence Livermore National Laboratory##Lawrence Livermore National Laboratory##Lawrence Livermore National Laboratory##Lawrence Livermore National Laboratory</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</si>
  <si>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t>
  </si>
  <si>
    <t>Haber, R.B.;Lucas, B.;Collins, N.</t>
  </si>
  <si>
    <t>38296196700;38485116900;38327802200</t>
  </si>
  <si>
    <t>Haber, R.;Lucas, B.;Collins, N.</t>
  </si>
  <si>
    <t>UniversitÃ¤t Mannheim####UniversitÃ¤t Mannheim######UniversitÃ¤t Mannheim####ICM</t>
  </si>
  <si>
    <t>The State University of New Jersey Piscataway##The State University of New Jersey Piscataway</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</si>
  <si>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t>
  </si>
  <si>
    <t>Renben Shu;Liu, A.</t>
  </si>
  <si>
    <t>37390201200;38225641700</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</si>
  <si>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t>
  </si>
  <si>
    <t>Crawfis, R.A.;Allison, M.J.</t>
  </si>
  <si>
    <t>37284273900;38227501100</t>
  </si>
  <si>
    <t>Crawfis, R.;Allison, M.J.</t>
  </si>
  <si>
    <t>University of Alberta##University of Alberta</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</si>
  <si>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?v. Critical points are classified by examining ?v's eigenvalues. The eigenvectors of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t>
  </si>
  <si>
    <t>Globus, A.;Levit, C.;Lasinski, T.</t>
  </si>
  <si>
    <t>37377256900;37671515100;37671524000</t>
  </si>
  <si>
    <t>146360;146359</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</si>
  <si>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t>
  </si>
  <si>
    <t>Yoo, T.S.;Neumann, U.;Fuchs, H.;Pizer, S.M.;Cullip, T.;Rhoades, J.;Whitaker, R.</t>
  </si>
  <si>
    <t>38225390700;37284618000;37285537200;37284115400;38220609700;38226866400;37267322600</t>
  </si>
  <si>
    <t>Yoo, T.S.;Neumann, U.;Fuchs, H.;Pizer, S.;Cullip, T.;Rhoades, J.;Whitaker, R.T.</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</si>
  <si>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t>
  </si>
  <si>
    <t>LinkÃ¶ping University##</t>
  </si>
  <si>
    <t>Rosenblum, L.;Kamgar-Parsi, B.;Belcher, E.;Engelsen, O.</t>
  </si>
  <si>
    <t>38280853000;38319405300;38284011400;38292264000</t>
  </si>
  <si>
    <t>CVC##Stony Brook University</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</si>
  <si>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</si>
  <si>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t>
  </si>
  <si>
    <t>Gallagher, R.S.;Haber, R.B.;Ferguson, G.;Parker, D.;Stillman, D.;Winget, J.</t>
  </si>
  <si>
    <t>38179868800;37271377200;38227450500;38224713300;38224641300;38222078500</t>
  </si>
  <si>
    <t>Gallagher, R.S.;Haber, R.;Ferguson, G.;Parker, D.;Stillman, D.;Winget, J.</t>
  </si>
  <si>
    <t>University of California##University of California##University of California##University of California##University of California##University of California##University of California##University of California##University of California##University of California##University of California</t>
  </si>
  <si>
    <t>Waters Corporation##Waters Corporation</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</si>
  <si>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t>
  </si>
  <si>
    <t>UniversitÃ¤t Greifswald Greifswald##UniversitÃ¤t Greifswald Greifswald##Ernst-Moritz-Arndt-UniversitÃ¤t Greifswald Greifswald</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</si>
  <si>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t>
  </si>
  <si>
    <t>Levkowitz, H.;Holub, R.A.;Meyer, G.W.;Robertson, P.K.</t>
  </si>
  <si>
    <t>37282753300;38224353400;37567312900;37388066800</t>
  </si>
  <si>
    <t>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</si>
  <si>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t>
  </si>
  <si>
    <t>Xiaohong Ye;David Kao;Alex T. Pang</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</si>
  <si>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t>
  </si>
  <si>
    <t>Kochhar, Sandeep;Friedell, Mark;LaPolla, Mark</t>
  </si>
  <si>
    <t>37378493100;37390684200;37671059300</t>
  </si>
  <si>
    <t>Kochhar, S.;Friedell, M.;LaPolla, M.</t>
  </si>
  <si>
    <t>INRIA Sophia-Antipolis##INRIA</t>
  </si>
  <si>
    <t>The Ohio State Univesity##The Ohio State Univesity</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</si>
  <si>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t>
  </si>
  <si>
    <t>Hill, W.C.;Hollan, J.D.</t>
  </si>
  <si>
    <t>38226914800;38227448300</t>
  </si>
  <si>
    <t>The University of Tokyo##The University of Tokyo##The University of Tokyo##The University of Tokyo</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</si>
  <si>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</si>
  <si>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t>
  </si>
  <si>
    <t>Robertson, D.W.;Jacobson, V.L.;Johnston, W.E.;Loken, S.C.;Theil, E.H.;Tierney, B.L.</t>
  </si>
  <si>
    <t>the State University of New##the State University of New##the State University of New</t>
  </si>
  <si>
    <t>37342242400;37340016200;37277350600;37390457500;38221931300;</t>
  </si>
  <si>
    <t>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</si>
  <si>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t>
  </si>
  <si>
    <t>North Carolina State University##North Carolina State University##North Carolina State University</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</si>
  <si>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t>
  </si>
  <si>
    <t>Schaller, Nan C.</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</si>
  <si>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t>
  </si>
  <si>
    <t>Schroder, P.;Salem, J.B.</t>
  </si>
  <si>
    <t>37282570000;38168664800</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</si>
  <si>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t>
  </si>
  <si>
    <t>Lorensen, W.F.;Yamron, B.</t>
  </si>
  <si>
    <t>37378427200;</t>
  </si>
  <si>
    <t>University of Georgia##University of Georgia##University of Georgia</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</si>
  <si>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t>
  </si>
  <si>
    <t>Fraser University##University of TÃ¼bingen##University of Stuttgart##University of Stuttgart##University of TÃ¼bingen##University of TÃ¼bingen##University of TÃ¼bingen##University of TÃ¼bingen##University of TÃ¼bingen##University of TÃ¼bingen##University of TÃ¼bingen##University of TÃ¼bingen##University of TÃ¼bingen##University of Stuttgart##Historisches Museum Bern##University of TÃ¼bingen##University of TÃ¼bingen</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</si>
  <si>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t>
  </si>
  <si>
    <t>Grosse, Eric</t>
  </si>
  <si>
    <t>Matej Mlejnek;Pierre Ermes;Anna Vilanova;Rob van der Rijt;Harrie van den Bosch;Frans A. Gerritsen;Eduard Gröller</t>
  </si>
  <si>
    <t>This paper looks at the role visualization and visual data analysis play in the technical community. It focuses on the premise that the wide variety of applications of visualization mandate a need for a variety of visualization software packages</t>
  </si>
  <si>
    <t>Prawel, D.;Brown, M.;Harris, C.;Kriz, R.;Vigil, M.</t>
  </si>
  <si>
    <t>Prawel, D.;Brown, M.S.;Harris, C.;Kriz, R.;Vigil, M.</t>
  </si>
  <si>
    <t>University of Leipzig##University of Leipzig</t>
  </si>
  <si>
    <t>National Taiwan Ocean University##National Taiwan Ocean University</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</si>
  <si>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t>
  </si>
  <si>
    <t>Nadeau, David R.;Elvins, T.T.;Bailey, M.J.</t>
  </si>
  <si>
    <t>37374054100;37389499500;37280473500</t>
  </si>
  <si>
    <t>Nadeau, D.R.;Elvins, T.T.;Bailey, M.</t>
  </si>
  <si>
    <t>VRVis Research Center in Vienna####VRVis Research Center in Vienna####VRVis Research Center in Vienna##</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</si>
  <si>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t>
  </si>
  <si>
    <t>Yang, G.Z.;Burger, P.;Kilner, P.J.;Mohiaddin, R.H.</t>
  </si>
  <si>
    <t>37276270800;37618336200;37372075800;37272738600</t>
  </si>
  <si>
    <t>Simon Fraser University##University of Stuttgart##Florida State University##University of Stuttgart</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</si>
  <si>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t>
  </si>
  <si>
    <t>Lang, U.;Lang, R.;Ruhle, R.</t>
  </si>
  <si>
    <t>38227139100;38227658000;</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</si>
  <si>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t>
  </si>
  <si>
    <t>Purdue University &amp; UNC Charlotte##Purdue University &amp; UNC Charlotte</t>
  </si>
  <si>
    <t>Smith, S.;Grinstein, G.;Bergeron, R.D.</t>
  </si>
  <si>
    <t>38165288100;38470495100;38227675400</t>
  </si>
  <si>
    <t>GRIS University of TÃ¼bingen##GRIS University of TÃ¼bingen##GRIS University of TÃ¼bingen</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</si>
  <si>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t>
  </si>
  <si>
    <t>Buja, A.;McDonald, J.A.;Michalak, J.;Stuetzle, W.</t>
  </si>
  <si>
    <t>37591245700;37613372700;38224573600;37373699500</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</si>
  <si>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t>
  </si>
  <si>
    <t>Foley, T.A.;Lane, D.A.</t>
  </si>
  <si>
    <t>37393753600;38227316500</t>
  </si>
  <si>
    <t>146388;146373;146362;175782;146363</t>
  </si>
  <si>
    <t>A low-cost, high-performance visualization tool based on the IBM PC is described. Characteristics of scientific and engineering visualization and requirements for real time analysis are discussed. Application programming without coding by use of flowgraphs is also presented</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</si>
  <si>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t>
  </si>
  <si>
    <t>Blattner, M.M.;Grinstein, G.;Glinert, E.P.;Hill, W.;Levit, C.;Smith, S.</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</si>
  <si>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t>
  </si>
  <si>
    <t>Elvins, T.T.;Nadeau, David R.</t>
  </si>
  <si>
    <t>37389499500;37374054100</t>
  </si>
  <si>
    <t>Elvins, T.T.;Nadeau, D.R.</t>
  </si>
  <si>
    <t>146362;146397;146382;175814</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</si>
  <si>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t>
  </si>
  <si>
    <t>Yagel, R.;Kaufman, A.;Zhang, Q.</t>
  </si>
  <si>
    <t>37342422500;37268052800;38225529300</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</si>
  <si>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t>
  </si>
  <si>
    <t>Parulkar, G.M.;Bowie, J.;Braun, H.-W.;Guerin, R.;Stevenson, D.</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</si>
  <si>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t>
  </si>
  <si>
    <t>Tuchman, A.;Jablonowski, D.;Cybenko, G.</t>
  </si>
  <si>
    <t>38223798400;37671093000;37328555200</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</si>
  <si>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</si>
  <si>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t>
  </si>
  <si>
    <t>Klassen, R.V.;Harrington, S.J.</t>
  </si>
  <si>
    <t>38220931900;38227614600</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</si>
  <si>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t>
  </si>
  <si>
    <t>A method for computing isovalue or contour surfaces of a trivariate function is discussed. The input data are values of the trivariate function, Fijk, at the cuberille grid points (xi, yj, zk ), and the output of a collection of triangles representing the surface consisting of all points where F(x,y, z) is a constant value. The method is a modification that is intended to correct a problem with a previous method.</t>
  </si>
  <si>
    <t>Nielson, G.M.;Hamann, B.</t>
  </si>
  <si>
    <t>37283754100;37282068700</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</si>
  <si>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t>
  </si>
  <si>
    <t>Wolfe, R.H.;Needels, M.;Joannopoulos, John D.</t>
  </si>
  <si>
    <t>38181564900;38221911200;37269957800</t>
  </si>
  <si>
    <t>Wolfe, R.H.;Needels, M.;Joannopoulos, J.D.</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</si>
  <si>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t>
  </si>
  <si>
    <t>Alpern, B.;Carter, L.</t>
  </si>
  <si>
    <t>37347480400;37281754200</t>
  </si>
  <si>
    <t>146386;146402;146387;146389</t>
  </si>
  <si>
    <t xml:space="preserve">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
</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</si>
  <si>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t>
  </si>
  <si>
    <t>Schroeder, W.J.;Volpe, C.R.;Lorensen, W.E.</t>
  </si>
  <si>
    <t>37282730100;37378427600;37378427200</t>
  </si>
  <si>
    <t>Schroeder, W.J.;Volpe, C.R.;Lorensen, W.F.</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</si>
  <si>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</si>
  <si>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t>
  </si>
  <si>
    <t>Bryson, S.;Levit, C.</t>
  </si>
  <si>
    <t>;37671515100</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</si>
  <si>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t>
  </si>
  <si>
    <t>Hinckley, K.P.;Ward, M.O.</t>
  </si>
  <si>
    <t>38224220100;38181928000</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</si>
  <si>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t>
  </si>
  <si>
    <t>Law, S.K.;Nunez, P.L.;Westdorp, A.F.;Nelson, A.V.;Pilgreen, K.L.</t>
  </si>
  <si>
    <t>37386999400;37301346300;37377532500;37378970600;38161624900</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</si>
  <si>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t>
  </si>
  <si>
    <t>Johnson, B.;Shneiderman, B.</t>
  </si>
  <si>
    <t>37381975300;37283016400</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</si>
  <si>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t>
  </si>
  <si>
    <t>Park, H.W.;Eo, K.S.;Kim, D.L.;Choi, B.K.;Kim, Y.;Alexander, T.</t>
  </si>
  <si>
    <t>38225773500;38161597000;37336015300;38226162500;38226553800;37349272100</t>
  </si>
  <si>
    <t>Park, H.;Eo, K.S.;Kim, D.L.;Choi, B.K.;Kim, Y.;Alexander, T.</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</si>
  <si>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</si>
  <si>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t>
  </si>
  <si>
    <t>Mihalisin, T.;Timlin, J.;Schwegler, J.</t>
  </si>
  <si>
    <t>37314757900;38287120400;37938366000</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</si>
  <si>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t>
  </si>
  <si>
    <t>Haimes, R.;Darmofal, D.</t>
  </si>
  <si>
    <t>37282898700;38221993300</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</si>
  <si>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t>
  </si>
  <si>
    <t>Watson, D.;Wejchert, J.;Williams, D.W.;Collins, B.M.</t>
  </si>
  <si>
    <t>38224624000;38111071800;38225762300;38099457200</t>
  </si>
  <si>
    <t>Watson, D.;Wejchert, J.;Williams, D.;Collins, B.M.</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</si>
  <si>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t>
  </si>
  <si>
    <t>Thune, N.;Olstad, B.</t>
  </si>
  <si>
    <t>37974090900;37355728400</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</si>
  <si>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t>
  </si>
  <si>
    <t>Silver, D.;Gao, M.;Zabusky, N.</t>
  </si>
  <si>
    <t>37274132700;38225199300;37333395400</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</si>
  <si>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t>
  </si>
  <si>
    <t>Hurlburt, N.E.;Anacker, L.W.;Kopelman, Raoul</t>
  </si>
  <si>
    <t>38221919700;38221920200;37321254000</t>
  </si>
  <si>
    <t>Hurlburt, N.E.;Anacker, L.W.;Kopelman, R.</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</si>
  <si>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t>
  </si>
  <si>
    <t>Burnetti, J.;Manley, R.;Mitchell, W.;Varnadore, D.</t>
  </si>
  <si>
    <t>38221932000;38158111400;38221858800;38221934700</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</si>
  <si>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</si>
  <si>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t>
  </si>
  <si>
    <t>Swann, P.G.;Semwal, S.K.</t>
  </si>
  <si>
    <t>38227300900;37938882400</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</si>
  <si>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t>
  </si>
  <si>
    <t>Argiro, V.;Whitton, M.;Evans, A.;Massell, W.;Paddock, S.;Fishman, E.</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</si>
  <si>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t>
  </si>
  <si>
    <t>Christensen, B.K.;Desjarlais, L.M.</t>
  </si>
  <si>
    <t>37387962300;38221967100</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</si>
  <si>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t>
  </si>
  <si>
    <t>Ke, Y.;Panduranga, E.S.</t>
  </si>
  <si>
    <t>38225470800;38222550000</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</si>
  <si>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</si>
  <si>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t>
  </si>
  <si>
    <t>Dobkin, D.;Panduranga, E.S.;Zhu, M.</t>
  </si>
  <si>
    <t>37371403900;38222550000;38226089400</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</si>
  <si>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t>
  </si>
  <si>
    <t>Wehrend, S.;Lewis, C.</t>
  </si>
  <si>
    <t>38222492800;37380191400</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</si>
  <si>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t>
  </si>
  <si>
    <t>A system for three-dimensional acoustic `visualization&amp;#39; in a virtual environment workstation</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</si>
  <si>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t>
  </si>
  <si>
    <t>Wenzel, E.M.;Stone, P.K.;Fisher, S.S.;Foster, S.H.</t>
  </si>
  <si>
    <t>37618567100;38224462600;38001495100;37612624400</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</si>
  <si>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t>
  </si>
  <si>
    <t>Yen, C.-C.J.;Bedford, K.W.;Kempf, J.L.;Marshall, R.E.</t>
  </si>
  <si>
    <t>38225435000;38222589100;38223917500;38225773100</t>
  </si>
  <si>
    <t>Peter Rautek;Ivan Viola;Eduard Gröller</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</si>
  <si>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</si>
  <si>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</si>
  <si>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t>
  </si>
  <si>
    <t>We present a new ray-tracing algorithm for volume rendering which is designed to work efficiently when the data of interest is distributed sparsely through the volume. A simple preprocessing step identifies the voxels representing features of interest. Frequently this set of voxels, arbitrarily distributed in three dimensional space, is a small fraction of the original voxel grid. A mediancut space partitioning scheme, combined with bounding volumes to prune void spaces in the resulting search structure, is used to store the voxels of interest in a kd tree. The tree is then efficiently ray-traced to render the voxel data. The k-d tree is view independent and can be used for animation sequences involving changes in positions of the viewer or positions of lights. We have applied this search structure to render voxel data from MRI, CAT Scan and electron density distributions.</t>
  </si>
  <si>
    <t>Subramanian, K.R.;Fussell, D.S.</t>
  </si>
  <si>
    <t>38185263800;37300594200</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</si>
  <si>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t>
  </si>
  <si>
    <t>Dooley, D.;Cohen, M.F.</t>
  </si>
  <si>
    <t>38220531600;38182111100</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</si>
  <si>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t>
  </si>
  <si>
    <t>Fordyce, W.E.;Ventrella, J.J.</t>
  </si>
  <si>
    <t>38227569300;38222513900</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</si>
  <si>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t>
  </si>
  <si>
    <t>Lohse, J.;Rueter, H.;Biolsi, K.;Walker, N.</t>
  </si>
  <si>
    <t>38221269900;38222535800;37377633100;38224131700</t>
  </si>
  <si>
    <t>Ivan Viola;Miquel Feixas;Mateu Sbert;Eduard Gröller</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</si>
  <si>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t>
  </si>
  <si>
    <t>Brittain, D.L.;Aller, J.;Wilson, M.;Wang, S.-L.C.</t>
  </si>
  <si>
    <t>38169454400;38227333000;38161322300;38226554700</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</si>
  <si>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</si>
  <si>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t>
  </si>
  <si>
    <t>Becker, R.A.;Eick, S.G.;Miller, E.O.;Wilks, A.R.</t>
  </si>
  <si>
    <t>38156954600;37282570100;38225586000;38140574900</t>
  </si>
  <si>
    <t>The ability of researchers in the scientific and engineering community to generate or acquire data far outstrips their ability to analyze it. This problem is even more pronounced when the data is of high dimensionality. Visualization has been identified as a critical technique for exploring data sets, but the visualization tools developed to date have mostly concentrated on the display of low (one to four) dimensional data. Ideally a tool for examining N-dimensional data should allow the presentation of the data in a way that can be intuitively interpreted and allow the display of arbitrary views and subsets of the data. The work presented in this paper describes the creation of such a tool using a technique which we term dimensional stacking.</t>
  </si>
  <si>
    <t>LeBlanc, J.;Ward, M.O.;Wittels, N.</t>
  </si>
  <si>
    <t>38225805300;37268441700;38223933400</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</si>
  <si>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t>
  </si>
  <si>
    <t>Miller, J.V.;Breen, D.E.;Wozny, M.J.</t>
  </si>
  <si>
    <t>38225407800;37349884100;37349871000</t>
  </si>
  <si>
    <t>Miller, J.;Breen, D.;Wozny, M.J.</t>
  </si>
  <si>
    <t>Hamish Carr;Brian Duffy;Brian Denby</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</si>
  <si>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t>
  </si>
  <si>
    <t>Bancroft, G.V.;Merritt, F.J.;Plessel, T.C.;Kelaita, P.G.;McCabe, R.K.;Globus, A.</t>
  </si>
  <si>
    <t>37671091700;37667865200;37671091300;38222555400;38223652700;38220532900</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</si>
  <si>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</si>
  <si>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</si>
  <si>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t>
  </si>
  <si>
    <t>Hart, J.C.;Kauffman, L.H.;Sandim, D.J.</t>
  </si>
  <si>
    <t>37301161800;37621252300;</t>
  </si>
  <si>
    <t>Cox, D. C.</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</si>
  <si>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t>
  </si>
  <si>
    <t>Lamb, D.;Bandopadhay, A.</t>
  </si>
  <si>
    <t>38226960900;38222557000</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</si>
  <si>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t>
  </si>
  <si>
    <t>Hagen, H.;Schreiber, T.;Gschwind, E.</t>
  </si>
  <si>
    <t>37282578800;38181577200;38222534800</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</si>
  <si>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t>
  </si>
  <si>
    <t>A methodology for visualizing analytic and synthetic geometry in RN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 line duality when N=2 generalizes to lines and hyperplanes enabling the representation of polyhedra in R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to Air Traffic Control, Robotics, Computer Vision, Computational Geometry, Statistics, Instrumentation and other areas are discussed.</t>
  </si>
  <si>
    <t>Inselberg, A.;Dimsdale, B.</t>
  </si>
  <si>
    <t>37294162600;37426169800</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</si>
  <si>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t>
  </si>
  <si>
    <t>Dolecek, Q.E.;Moorjani, K.;Kim, B.F.;Tilley, D.G.;Denney, T.S.Jr.</t>
  </si>
  <si>
    <t>37428175700;37326689900;38225562000;37664444100;37268582900</t>
  </si>
  <si>
    <t>Christopher Collins;M. Sheelagh T. Carpendale</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</si>
  <si>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t>
  </si>
  <si>
    <t>Meyers, R.J.;Stephenson, M.B.</t>
  </si>
  <si>
    <t>38223707500;38182442500</t>
  </si>
  <si>
    <t>Nivedita R. Kadaba;Pourang Irani;Jason Leboe</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</si>
  <si>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t>
  </si>
  <si>
    <t>Prawel, D.A.</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</si>
  <si>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</si>
  <si>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</si>
  <si>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t>
  </si>
  <si>
    <t>Martin Graham;Jessie B. Kennedy</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</si>
  <si>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t>
  </si>
  <si>
    <t>Petra Isenberg;M. Sheelagh T. Carpendale</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</si>
  <si>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t>
  </si>
  <si>
    <t>Hsu, P.;Staudhammer, J.</t>
  </si>
  <si>
    <t>38225685300;37349154000</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</si>
  <si>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t>
  </si>
  <si>
    <t>Helman, J.L.;Hesselink, Lambertus</t>
  </si>
  <si>
    <t>38158227200;37274095200</t>
  </si>
  <si>
    <t>Helman, J.L.;Hesselink, L.</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</si>
  <si>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</si>
  <si>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t>
  </si>
  <si>
    <t>Techniques for visualizing Fermat&amp;#39;s last theorem: a case study</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</si>
  <si>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t>
  </si>
  <si>
    <t>Hanson, A.J.;Heng, P.A.;Kaplan, B.C.</t>
  </si>
  <si>
    <t>37333439100;37388382500;38226976000</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</si>
  <si>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</si>
  <si>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t>
  </si>
  <si>
    <t>Hibbard, B.;Santek, D.</t>
  </si>
  <si>
    <t>37270681400;37378731100</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</si>
  <si>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</si>
  <si>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</si>
  <si>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</si>
  <si>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</si>
  <si>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</si>
  <si>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t>
  </si>
  <si>
    <t>Pajon, J.L.;Tran, V.B.</t>
  </si>
  <si>
    <t>38222534300;38224108700</t>
  </si>
  <si>
    <t>A new hierarchical method of plotting is presented which allows one to interactively view millions of data points with up to 10 independent variables.</t>
  </si>
  <si>
    <t>Mihalisin, T.;Gawlinski, E.;Timlin, J.;Schwegler, J.</t>
  </si>
  <si>
    <t>37314757900;37312472600;37567607700;37938366000</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</si>
  <si>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t>
  </si>
  <si>
    <t>Alpern, B.;Carter, L.;Selker, T.</t>
  </si>
  <si>
    <t>37347480400;37281754200;37424740200</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</si>
  <si>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t>
  </si>
  <si>
    <t>Senft, S.L.;Argiro, V.J.;VanZandt, W.L.</t>
  </si>
  <si>
    <t>38222512800;38222513300;38222511400</t>
  </si>
  <si>
    <t>Senft, S.L.;Argiro, V.;VanZandt, W.L.</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</si>
  <si>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t>
  </si>
  <si>
    <t>Kaufman, A.;Yagel, R.;Bakalash, R.;Spector, I.</t>
  </si>
  <si>
    <t>37268052800;38335293800;38158765400;38222533200</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</si>
  <si>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t>
  </si>
  <si>
    <t>Hsiung, P.-K.;Thibadeau, R.H.;Cox, C.B.;Dunn, R.H.P.;Wu, M.;Olbrich, P.A.</t>
  </si>
  <si>
    <t>37673708000;37355901300;38224230000;37684312600;38225786100;38224474700</t>
  </si>
  <si>
    <t>James J. Thomas;Daniel A. Keim;Joe Kielman;Lawrence J. Rosenblum</t>
  </si>
  <si>
    <t>Xuexiang Xie;Ying He 0001;Feng Tian;Seah Hock Soon;Xianfeng Gu;Hong Qin</t>
  </si>
  <si>
    <t>Maurice Termeer;Javier Oliván Bescós;Marcel Breeuwer;Anna Vilanova;Frans A. Gerritsen;Eduard Gröller</t>
  </si>
  <si>
    <t>Andrei Jalba;Jos B. T. M. Roerdink</t>
  </si>
  <si>
    <t>Alfred R. Fuller;Robert Zawadzki;Stacey Choi;David F. Wiley;John Werner;Bernd Hamann</t>
  </si>
  <si>
    <t>Peter Rautek;Stefan Bruckner;Eduard Gröller</t>
  </si>
  <si>
    <t>John Biddiscombe;Berk Geveci;Ken Martin;Kenneth Moreland;David S. Thompson</t>
  </si>
  <si>
    <t>Uta Hinrichs;Holly Schmidt;M. Sheelagh T. Carpendale</t>
  </si>
  <si>
    <t>Marian Dörk;M. Sheelagh T. Carpendale;Christopher Collins;Carey L. Williamson</t>
  </si>
  <si>
    <t>Donald Pellegrino;Chi-Chun Pan;Anthony C. Robinson;Michael Stryker;Junyan Luo;Chris Weaver;Prasenjit Mitra;Chaomei Chen;Ian Turton;Alan M. MacEachren</t>
  </si>
  <si>
    <t>Inho Kim;Alireza Entezari;Jörg Peters</t>
  </si>
  <si>
    <t>Bernd Hentschel;Irene Tedjo;Markus Probst;Marc Wolter;Marek Behr;Christian H. Bischof;Torsten Kuhlen</t>
  </si>
  <si>
    <t>Carlos Eduardo Scheidegger;John M. Schreiner;Brian Duffy;Hamish Carr;Cláudio T. Silva</t>
  </si>
  <si>
    <t>Daniel Patel;Christopher Giertsen;John Thurmond;John Gjelberg;Eduard Gröller</t>
  </si>
  <si>
    <t>Maurice Termeer;Javier Oliván Bescós;Marcel Breeuwer;Anna Vilanova;Frans A. Gerritsen;Eduard Gröller;Eike Nagel</t>
  </si>
  <si>
    <t>Christopher Collins;Gerald Penn;M. Sheelagh T. Carpendale</t>
  </si>
  <si>
    <t>Matthew Tobiasz;Petra Isenberg;M. Sheelagh T. Carpendale</t>
  </si>
  <si>
    <t>Chad A. Steed;J. Edward Swan II;T. J. Jankun-Kelly;Patrick J. Fitzpatrick</t>
  </si>
  <si>
    <t>XiongFei Luo;Hongan Wang;Feng Tian;Wei Liu 0023;Dongxing Teng;Guozhong Dai</t>
  </si>
  <si>
    <t>Harald Bosch;Julian Heinrich;Christoph Müller 0001;Benjamin Höferlin;Guido Reina;Markus Höferlin;Michael Wörner;Steffen Koch</t>
  </si>
  <si>
    <t>Paolo Simonetto;Pierre-Yves Koenig;Faraz Zaidi;Daniel Archambault;Frédéric Gilbert;Trung-Tien Phan-Quang;Morgan Mathiaut;Antoine Lambert;Jonathan Dubois;Ronan Sicre;Mathieu Brulin;Rémy Vieux;Guy Melançon</t>
  </si>
  <si>
    <t>Wei Chen;Zi'ang Ding;Song Zhang 0004;Anna MacKay-Brandt;Stephen Correia;Huamin Qu;John Allen Crow;David F. Tate;Zhicheng Yan;Qunsheng Peng</t>
  </si>
  <si>
    <t>Laura Fritz;Markus Hadwiger;Georg Geier;Gerhard Pittino;Eduard Gröller</t>
  </si>
  <si>
    <t>Stefan Bruckner;Veronika Soltészová;Eduard Gröller;Jirí Hladuvka;Katja Bühler;Jai Y. Yu;Barry J. Dickson</t>
  </si>
  <si>
    <t>Ross Maciejewski;Insoo Woo;Wei Chen;David S. Ebert</t>
  </si>
  <si>
    <t>Raphael Fuchs;Jürgen Waser;Eduard Gröller</t>
  </si>
  <si>
    <t>Marian Dörk;Dan Gruen;Carey L. Williamson;M. Sheelagh T. Carpendale</t>
  </si>
  <si>
    <t>Bongshin Lee;Nathalie Henry Riche;Amy K. Karlson;M. Sheelagh T. Carpendale</t>
  </si>
  <si>
    <t>Stephan Diehl 0001;Fabian Beck;Michael Burch</t>
  </si>
  <si>
    <t>Roy van Pelt;Javier Oliván Bescós;Marcel Breeuwer;Rachel E. Clough;Eduard Gröller;Bart M. ter Haar Romeny;Anna Vilanova</t>
  </si>
  <si>
    <t>Artem Amirkhanov;Christoph Heinzl;Michael Reiter;Eduard Gröller</t>
  </si>
  <si>
    <t>Jürgen Waser;Raphael Fuchs;Hrvoje Ribicic;Benjamin Schindler;Günter Blöschl;Eduard Gröller</t>
  </si>
  <si>
    <t>Michelle Borkin;Krzysztof Z. Gajos;Amanda Peters Randles;Dimitris Mitsouras;Simone Melchionna;Frank J. Rybicki;Charles L. Feldman;Hanspeter Pfister</t>
  </si>
  <si>
    <t>Michael Burch;Corinna Vehlow;Fabian Beck;Stephan Diehl 0001;Daniel Weiskopf</t>
  </si>
  <si>
    <t>Jagoda Walny;M. Sheelagh T. Carpendale;Nathalie Henry Riche;Gina Venolia;Philip Fawcett</t>
  </si>
  <si>
    <t>Harald Bosch;Dennis Thom;Michael Wörner;Steffen Koch;Edwin Puttmann;Dominik Jäckle;Thomas Ertl</t>
  </si>
  <si>
    <t>Llyr ap Cenydd;Rick Walker;Serban Pop;Helen C. Miles;Chris J. Hughes;William John Teahan;Jonathan C. Roberts</t>
  </si>
  <si>
    <t>Enrico Bertini;Juri Buchmüller;Fabian Fischer;Stephan Huber;Thomas Lindemeier;Fabian Maass;Florian Mansmann;Thomas Ramm;Michael Regenscheit;Christian Rohrdantz;Christian Scheible;Tobias Schreck;Stephan Sellien;Florian Stoffel;Mark Tautzenberger;Matthias Zieker;Daniel A. Keim</t>
  </si>
  <si>
    <t>Philipp Muigg;Markus Hadwiger;Helmut Doleisch;Eduard Gröller</t>
  </si>
  <si>
    <t>Jürgen Waser;Hrvoje Ribicic;Raphael Fuchs;Christian Hirsch;Benjamin Schindler;Günter Blöschl;Eduard Gröller</t>
  </si>
  <si>
    <t>Artem Amirkhanov;Christoph Heinzl;Michael Reiter;Johann Kastner;Eduard Gröller</t>
  </si>
  <si>
    <t>Martin Haidacher;Stefan Bruckner;Eduard Gröller</t>
  </si>
  <si>
    <t>Bongshin Lee;Petra Isenberg;Nathalie Henry Riche;M. Sheelagh T. Carpendale</t>
  </si>
  <si>
    <t>Andrew Vande Moere;Martin Tomitsch;Christoph Wimmer;Christoph Bösch;Thomas Grechenig</t>
  </si>
  <si>
    <t>Jagoda Walny;Bongshin Lee;Paul Johns;Nathalie Henry Riche;M. Sheelagh T. Carpendale</t>
  </si>
  <si>
    <t>Bilal Alsallakh;Wolfgang Aigner;Silvia Miksch;Eduard Gröller</t>
  </si>
  <si>
    <t>Gabriel Mistelbauer;Hamed Bouzari;Rüdiger Schernthaner;Ivan Baclija;Arnold Köchl;Stefan Bruckner;Milos Srámek;Eduard Gröller</t>
  </si>
  <si>
    <t>Hrvoje Ribicic;Jürgen Waser;Roman Gurbat;Bernhard Sadransky;Eduard Gröller</t>
  </si>
  <si>
    <t>David J. Duke;Hamish Carr;Aaron Knoll;Nicolas Schunck;Hai Ah Nam;Andrzej Staszczak</t>
  </si>
  <si>
    <t>Johannes Kehrer;Harald Piringer;Wolfgang Berger;Eduard Gröller</t>
  </si>
  <si>
    <t>Eirik Bakke;David R. Karger;Rob Miller</t>
  </si>
  <si>
    <t>Jean-Francois Im;Michael J. McGuffin;Rock Leung</t>
  </si>
  <si>
    <t>Johanna Beyer;Ali Al-Awami;Narayanan Kasthuri;Jeff Lichtman;Hanspeter Pfister;Markus Hadwiger</t>
  </si>
  <si>
    <t>Andreas Reh;Christian Gusenbauer;Johann Kastner;Eduard Gröller;Christoph Heinzl</t>
  </si>
  <si>
    <t>Thomas Auzinger;Gabriel Mistelbauer;Ivan Baclija;Rüdiger Schernthaner;Arnold Köchl;Michael Wimmer;Eduard Gröller;Stefan Bruckner</t>
  </si>
  <si>
    <t>Harald Bosch;Dennis Thom;Florian Heimerl;Edwin Puttmann;Steffen Koch;Robert Krüger;Michael Wörner;Thomas Ertl</t>
  </si>
  <si>
    <t>Johanna Schmidt;Eduard Gröller;Stefan Bruckner</t>
  </si>
  <si>
    <t>Samuel Huron;Yvonne Jansen;M. Sheelagh T. Carpendale</t>
  </si>
  <si>
    <t>Ali Al-Awami;Johanna Beyer;Hendrik Strobelt;Narayanan Kasthuri;Jeff Lichtman;Hanspeter Pfister;Markus Hadwiger</t>
  </si>
  <si>
    <t>Peter Rautek;Stefan Bruckner;Eduard Gröller;Markus Hadwiger</t>
  </si>
  <si>
    <t>Michael Beham;Wolfgang Herzner;Eduard Gröller;Johannes Kehrer</t>
  </si>
  <si>
    <t>Maria Luján Ganuza;Gabriela Ferracutti;Maria Florencia Gargiulo;Silvia Mabel Castro;Ernesto A. Bjerg;Eduard Gröller;Kresimir Matkovic</t>
  </si>
  <si>
    <t>Artem Konev;Jürgen Waser;Bernhard Sadransky;Daniel Cornel;Rui A. P. Perdigão;Zsolt Horváth;Eduard Gröller</t>
  </si>
  <si>
    <t>Krist Wongsuphasawat;Jimmy J. Lin</t>
  </si>
  <si>
    <t>Johanna Schmidt;Reinhold Preiner;Thomas Auzinger;Michael Wimmer;Eduard Gröller;Stefan Bruckner</t>
  </si>
  <si>
    <t>Manuel Rubio-Sánchez;Laura Raya;Francisco Diaz;Alberto Sanchez</t>
  </si>
  <si>
    <t>Mona Hosseinkhani Loorak;Charles Perin;Noreen Kamal;Michael Hill;M. Sheelagh T. Carpendale</t>
  </si>
  <si>
    <t>Alice Thudt;Dominikus Baur;Samuel Huron;M. Sheelagh T. Carpendale</t>
  </si>
  <si>
    <t>Paolo Simonetto;Daniel Archambault;Carlos Eduardo Scheidegger</t>
  </si>
  <si>
    <t>Mai El-Shehaly;Denis Gracanin;Mohamed Gad;JunPeng Wang;Hicham G. Elmongui</t>
  </si>
  <si>
    <t>Mohammad Imrul Jubair;Usman R. Alim;Niklas Röber;John Clyne;Ali Mahdavi-Amiri;Faramarz F. Samavati</t>
  </si>
  <si>
    <t>Matthias Labschutz;Stefan Bruckner;Eduard Gröller;Markus Hadwiger;Peter Rautek</t>
  </si>
  <si>
    <t>Daisuke Sakurai;Osamu Saeki;Hamish Carr;Hsiang-Yun Wu;Takahiro Yamamoto;David J. Duke;Shigeo Takahashi</t>
  </si>
  <si>
    <t>Jan Byska;Mathieu Le Muzic;Eduard Gröller;Ivan Viola;Barbora Kozlíková</t>
  </si>
  <si>
    <t>Ali K. Ai-Awami;Johanna Beyer;Daniel Haehn;Narayanan Kasthuri;Jeff Lichtman;Hanspeter Pfister;Markus Hadwiger</t>
  </si>
  <si>
    <t>Kristin A. Cook;Nick Cramer;David Israel;Michael Wolverton;Joe Bruce;Russ Burtner;Alex Endert</t>
  </si>
  <si>
    <t>Sujan Anreddy;Song Zhang 0004;Andrew Mercer 0001;Jamie Dyer;J. Edward Swan II</t>
  </si>
  <si>
    <t>Maria Luján Ganuza;Maria Florencia Gargiulo;Gabriela Ferracutti;Silvia Mabel Castro;Ernesto A. Bjerg;Eduard Gröller;Kresimir Matkovic</t>
  </si>
  <si>
    <t>BOSCH Research##BOSCH Research</t>
  </si>
  <si>
    <t>Lancaster University##University of Copenhagen##Lancaster University##Lancaster University##University of Copenhagen##Lancaster University</t>
  </si>
  <si>
    <t>Harvard Paulson SEAS##Harvard Paulson SEAS##Harvard Paulson SEAS##HarvardX##Harvard Institute for Quantitative Social Sciences##Harvard Institute for Quantitative Social Sciences##Harvard Institute for Quantitative Social Sciences##Harvard Institute for Quantitative Social Sciences##Harvard Institute for Quantitative Social Sciences##Harvard Paulson SEAS</t>
  </si>
  <si>
    <t>giCentre, City University, London##giCentre, City University, London##giCentre, City University, London##giCentre, City University, London##giCentre, City University, London</t>
  </si>
  <si>
    <t>Mona Hosseinkhani Loorak;Charles Perin;Christopher Collins;M. Sheelagh T. Carpendale</t>
  </si>
  <si>
    <t>Department of Computer Science, University of Calgary##Department of Computer Science, University of Calgary##University of Ontario##Department of Computer Science, University of Calgary</t>
  </si>
  <si>
    <t>Harvard University##Harvard University##Novartis Institute of BioMedical Research##Novartis Institute of BioMedical Research##Novartis Institute of BioMedical Research##Harvard University</t>
  </si>
  <si>
    <t>Tufts University##Worcester Polytechnic Institute##Tufts University##Tufts University##Maine Medical Center##Maine Medical Center##Tufts University</t>
  </si>
  <si>
    <t>VRVis Research Center##University Linz##University of Vienna##VRVis Research Center##University of Vienna##VRVis Research Center</t>
  </si>
  <si>
    <t>Georgia Institute of Technology##Twitter Inc.##Georgia Institute of Technology</t>
  </si>
  <si>
    <t>University of OntarioInstitute of Technology##University of OntarioInstitute of Technology</t>
  </si>
  <si>
    <t>VrVis Research Center, Vienna, Austria##VrVis Research Center, Vienna, Austria##VrVis Research Center, Vienna, Austria##VrVis Research Center, Vienna, Austria</t>
  </si>
  <si>
    <t>Inria and UniversitÃ© Paris-Saclay;Inria, Univ Paris-Sud &amp; CNRS (LRI)UniversitÃ© Paris-Saclay;Inria and UniversitÃ© Paris-Saclay</t>
  </si>
  <si>
    <t>Inria and UniversitÃ© Paris-Saclay##Inria, Univ Paris-Sud &amp; CNRS (LRI)UniversitÃ© Paris-Saclay##Inria and UniversitÃ© Paris-Saclay</t>
  </si>
  <si>
    <t>University of Calgary##University of Copenhagen##Inria</t>
  </si>
  <si>
    <t>University of Utah##Microsoft Research##Microsoft Research##University of Utah</t>
  </si>
  <si>
    <t>University of Washington##University of Washington</t>
  </si>
  <si>
    <t>TU, Eindhoven##MADALGO, Aarhus University##Utrecht University##City University, London##TU, Eindhoven</t>
  </si>
  <si>
    <t>John A. Paulson School of Engineering and Applied SciencesHarvard University##Computer Science department, Cornell University##Adobe Research##Adobe Research##Adobe Research##Adobe Research##John A. Paulson School of Engineering and Applied SciencesHarvard University</t>
  </si>
  <si>
    <t>Instituto de InformÃ¡ticaUFRGS;University of Arizona;University of Arizona;Instituto de InformÃ¡ticaUFRGS</t>
  </si>
  <si>
    <t>Instituto de InformÃ¡ticaUFRGS##University of Arizona##University of Arizona##Instituto de InformÃ¡ticaUFRGS</t>
  </si>
  <si>
    <t>Fereshteh Amini;Nathalie Henry Riche;Bongshin Lee;Andres Monroy-Hernández;Pourang Irani</t>
  </si>
  <si>
    <t>University of Manitoba, Canada##Microsoft##Microsoft##Microsoft##University of Manitoba, Canada</t>
  </si>
  <si>
    <t>Air Force Research Laboratory##Northeastern University##Air Force Research Laboratory</t>
  </si>
  <si>
    <t>University of Arizona##Universidade Federal de Pernambuco##University of Arizona##University of Arizona##University of Arizona</t>
  </si>
  <si>
    <t>Georgia Institute of Technology##Georgia Institute of Technology##DePaul University##Georgia Institute of Technology</t>
  </si>
  <si>
    <t>giCentre, City University London##giCentre, City University London##giCentre, City University London##giCentre, City University London##giCentre, City University London##giCentre, City University London</t>
  </si>
  <si>
    <t>Hong Kong University of Science and Technology##New York University, Shanghai##Swansea University##Hong Kong University of Science and Technology##Hong Kong University of Science and Technology##Microsoft Research Asia</t>
  </si>
  <si>
    <t>University of California, Davis##University of California, Davis##Los Alamos National Laboratory</t>
  </si>
  <si>
    <t>Monash University, Data61, CSIRO, Victoria##Monash University##Monash University##Monash University, Data61, CSIRO, Victoria</t>
  </si>
  <si>
    <t>VISUS, University of Stuttgart##VISUS, University of Stuttgart##VISUS, University of Stuttgart##VISUS, University of Stuttgart##VISUS, University of Stuttgart##VISUS, University of Stuttgart</t>
  </si>
  <si>
    <t>Dept. of Computer Science at Brown University##Dept. of Computer Science at Brown University##Dept. of Cognitive, Linguistic, and Psychological Sciences at Brown University</t>
  </si>
  <si>
    <t>VISUSUniversity of Stuttgart##University of Konstanz##University of Konstanz##University of Konstanz##University of Konstanz##VISUSUniversity of Stuttgart</t>
  </si>
  <si>
    <t>School of Industrial Engineering, Purdue University, West Lafayette, IN, USA##Samsung Electronics Co., Ltd., Seoul, South Korea##IBM T.J. Watson Research Center, Yorktown Heights, NY, USA</t>
  </si>
  <si>
    <t>Microsoft Research-Inria Joint Centre, France##Microsoft Research, WA, USA##ENAC, Toulouse, France##Monash University, Melbourne, Australia##Monash University, Melbourne, Australia</t>
  </si>
  <si>
    <t>Stanford University##University of Washington##University of Washington##University of Washington</t>
  </si>
  <si>
    <t>Worcester Polytechnic Institute##Worcester Polytechnic Institute##Bucknell University##Worcester Polytechnic Institute</t>
  </si>
  <si>
    <t>Department of Psychology, University of Utah##University of UtahSchool of Computing##University of UtahSchool of Computing##Department of Psychology, University of Utah</t>
  </si>
  <si>
    <t>Monash University##Monash University##Monash University##Stanford University, USA##Monash University##University of South Australia</t>
  </si>
  <si>
    <t>School of Information at the University of Michigan##School of Information at the University of Michigan</t>
  </si>
  <si>
    <t>Linköping University, Nörrköping, Sweden##Linköping University, Nörrköping, Sweden</t>
  </si>
  <si>
    <t>The Center for Coastal and Ocean MappingThe University of New Hampshire##The Center for Coastal and Ocean MappingThe University of New Hampshire##The Center for Coastal and Ocean MappingThe University of New Hampshire</t>
  </si>
  <si>
    <t>New York University##New York University##Universidade Federal Fluminense##New York University##New York University##Kohn Pedersen Fox Associates PC##Kohn Pedersen Fox Associates PC##New York University</t>
  </si>
  <si>
    <t>University of Bergen, Norway##University of Bergen, Norway</t>
  </si>
  <si>
    <t>University of Koblenz-Landau, Germany##Fraunhofer Institute for Factory Operation and Automation IFF, Germany##University of Magdeburg, Germany##Delft University of Technology, The Netherlands</t>
  </si>
  <si>
    <t>The Department of Computer Science and Engineering, GRAVITY research group, The Ohio State University##The Department of Computer Science and Engineering, GRAVITY research group, The Ohio State University##The Department of Mechanical and Aerospace Engineering, The Ohio State University##The Department of Computer Science and Engineering, GRAVITY research group, The Ohio State University##The Department of Mechanical and Aerospace Engineering, The Ohio State University</t>
  </si>
  <si>
    <t>Chris Bryan;Gregory Guterman;Kwan-Liu Ma;Harris Lewin;Denis Larkin;Jaebum Kim;Jian Ma;Marta Farre</t>
  </si>
  <si>
    <t>University of California, Davis##University of California, Davis##University of California, Davis##University of California, Davis##Royal Veterinary College, University of London##Konkuk University, Seoul##Carnegie Mellon University##Royal Veterinary College, University of London</t>
  </si>
  <si>
    <t>Wayne State University##Wayne State University##Wayne State University##Wayne State University</t>
  </si>
  <si>
    <t>Computer Science Department, Stony Brook University, Stony Brook, NY##Computer Science Department, Stony Brook University, Stony Brook, NY##Computer Science Department, Stony Brook University, Stony Brook, NY##Computer Science Department, Stony Brook University, Stony Brook, NY</t>
  </si>
  <si>
    <t>University of Magdeburg, Germany##University of Magdeburg, Germany##University of Magdeburg, Germany##University of Magdeburg, Germany##University of Koblenz-Landau, Germany</t>
  </si>
  <si>
    <t>Visualization Research Center (VISUS), University of Stuttgart, Germany##Visualization Research Center (VISUS), University of Stuttgart, Germany##Visualization Research Center (VISUS), University of Stuttgart, Germany##Visualization Research Center (VISUS), University of Stuttgart, Germany##Institute of Technical Biochemistry (ITB), University of Stuttgart, Germany##Institute of Technical Biochemistry (ITB), University of Stuttgart, Germany##Institute of Technical Biochemistry (ITB), University of Stuttgart, Germany##Visualization Research Center (VISUS), University of Stuttgart, Germany</t>
  </si>
  <si>
    <t>ViRVIG Group, Barcelona Supercomputing Center##Barcelona Supercomputing Center##Barcelona Supercomputing Center##Visual Computing Group, Ulm University##ViRVIG Group, UPC, Barcelona##ViRVIG Group, UPC, Barcelona</t>
  </si>
  <si>
    <t>Delft University of TechnologyUniversity of Bergen##University of Koblenz, Landau##Leiden University Medical Center##Leiden University Medical Center##Leiden University Medical Center##University of Bergen##Delft University of Technology##Delft University of Technology</t>
  </si>
  <si>
    <t>Inria, France##Inria, France##University of Vienna, Austria##University of Maryland, Baltimore County, USA##University of Vienna, Austria</t>
  </si>
  <si>
    <t>Technical University of Munich##Technical University of Munich##Technical University of Munich##Technical University of Munich</t>
  </si>
  <si>
    <t>GRAVITY group, The Ohio State University##Purdue University##GRAVITY group, The Ohio State University##GRAVITY group, The Ohio State University</t>
  </si>
  <si>
    <t>Ivan Kolesar;Stefan Bruckner;Ivan Viola;Helwig Hauser</t>
  </si>
  <si>
    <t>Department of Informatics, University of Bergen, Norway##Department of Informatics, University of Bergen, Norway##TU Wien, Austria##Department of Informatics, University of Bergen, Norway</t>
  </si>
  <si>
    <t>Visual Computing group at the University of Magdeburg, Germany##Visual Computing group at the University of Magdeburg, Germany##Visual Computing group at the University of Magdeburg, Germany</t>
  </si>
  <si>
    <t>Visual Computing Group, University of Magdeburg##Visual Computing Group, University of Magdeburg</t>
  </si>
  <si>
    <t>Sorbonne Universites, UPMC UnivParis06, CNRS, LIP6 UMR 7606, France##University of Leeds</t>
  </si>
  <si>
    <t>Antoni Sagrista;Stefan Jordan;Andreas Just;Fabio Dias;Luis Gustavo Nonato;Filip Sadlo</t>
  </si>
  <si>
    <t>Heidelberg University, Germany;Heidelberg University, Germany;ZAH, Heidelberg University, Germany;Universidade de SÃ¥o Paulo, SÃ¥o Carlos, Brazil;Universidade de SÃ¥o Paulo, SÃ¥o Carlos, Brazil;Heidelberg University, Germany</t>
  </si>
  <si>
    <t>Heidelberg University, Germany##Heidelberg University, Germany##ZAH, Heidelberg University, Germany##Universidade de SÃ¥o Paulo, SÃ¥o Carlos, Brazil##Universidade de SÃ¥o Paulo, SÃ¥o Carlos, Brazil##Heidelberg University, Germany</t>
  </si>
  <si>
    <t>Kui Wu;Aaron Knoll;Benjamin J. Isaac;Hamish Carr;Valerio Pascucci</t>
  </si>
  <si>
    <t>University of Utah##SCI InstituteUniversity of UtahArgonne National Laboratory##ICSE, University of Utah##School of ComputingUniversity of Leeds##SCI InstituteUniversity of Utah</t>
  </si>
  <si>
    <t>Ingo Wald;Gregory P. Johnson;J. Amstutz;Carson Brownlee;Aaron Knoll;J. Jeffers;J. Gunther;Paul A. Navrátil</t>
  </si>
  <si>
    <t>Intel Corp##Intel Corp##Intel Corp##Intel Corp##SCI InsituteUniversity of Utah##Intel Corp##Intel Corp##Texas Advanced Computing Center</t>
  </si>
  <si>
    <t>Visual Computing Center(VCC)King Abdullah University of Science and Technology (KAUST)##Visual Computing Center(VCC)King Abdullah University of Science and Technology (KAUST)</t>
  </si>
  <si>
    <t>University of Bergen##University of Bergen</t>
  </si>
  <si>
    <t>H. Fang;Simon J. Walton;E. Delahaye;J. Harris;D. A. Storchak;Min Chen 0001</t>
  </si>
  <si>
    <t>University of Oxford and International Seismological Centre##University of Oxford, UK##International Seismological Centre, UK##International Seismological Centre, UK##International Seismological Centre, UK##University of Oxford, UK</t>
  </si>
  <si>
    <t>Inria Saclay, Univ. Paris Saclay, France##Univ. Paris Saclay, France##Limsi/CNRS, France##Inria, France</t>
  </si>
  <si>
    <t>Hong Kong University of Science and Technology##NetEase, Inc.##Hong Kong University of Science and Technology##Hong Kong University of Science and Technology##China Academy of Art##Hong Kong University of Science and Technology##Hong Kong University of Science and Technology</t>
  </si>
  <si>
    <t>Kent State University##Kent State University##Kent State University##UNC Charlotte##China Petroleum University##Kent State University##Kent State University##Zhejiang University##Kent State University##Zhejiang University</t>
  </si>
  <si>
    <t>Dongyu Liu;Di Weng;Yuhong Li;Jie Bao 0003;Yu Zheng;Huamin Qu;Yingcai Wu</t>
  </si>
  <si>
    <t>Zhejiang UniversityHong Kong University of Science and Technology##State Key Lab of CAD &amp; CGZhejiang University##University of Macau##Microsoft Research, Beijing, China##Microsoft Research, Beijing, China##Hong Kong University of Science and Technology##State Key Lab of CAD &amp; CGZhejiang University</t>
  </si>
  <si>
    <t>Hong Kong University of Science and Technology##Autodesk Research##Microsoft Research##Hong Kong University of Science and Technology</t>
  </si>
  <si>
    <t>Korea University##Korea University##University of Maryland, College Park, MD, USA##Korea University##University of Maryland, College Park, MD, USA</t>
  </si>
  <si>
    <t>IBM T.J. Watson Research Center, Yorktown Heights, NY, USA##Georgia Institute of Technology, Atlanta, GA, USA##Georgia Institute of Technology, Atlanta, GA, USA##Korea University, Seoul, South Korea##Georgia Institute of Technology, Atlanta, GA, USA##Georgia Institute of Technology, Atlanta, GA, USA</t>
  </si>
  <si>
    <t>Smith College##Smith College##Smith College##Smith College</t>
  </si>
  <si>
    <t>Computer Science Department, Stony Brook University, NY##Computer Science Department, Stony Brook University, NY##Computer Science Department, Stony Brook University, NY##Computer Science Department, Stony Brook University, NY</t>
  </si>
  <si>
    <t>Hong Kong University of Science and Technology##Hong Kong University of Science and Technology##Hong Kong University of Science and Technology##Hong Kong University of Science and Technology##Hong Kong University of Science and Technology##Microsoft Research</t>
  </si>
  <si>
    <t>University of Victoria##Tableau Research##University of British Columbia</t>
  </si>
  <si>
    <t>Michael Behrisch;Benjamin Bach;Michael Hund;Michael Delz;Laura von Rüden;Jean-Daniel Fekete;Tobias Schreck</t>
  </si>
  <si>
    <t>University of Konstanz, Germany##Microsoft Research-Inria Joint Centre, Saclay, France##University of Konstanz, Germany##University of Konstanz, Germany##Capgemini, RWTH Aachen University##Inria, Saclay, France##Graz University of Technology, Austria</t>
  </si>
  <si>
    <t>Vienna University of Technology, Austria##Vienna University of Technology, Austria##Fraunhofer IGD, Darmstadt, Germany##Vienna University of Technology, Austria##University of Rostock, Germany##Johannes Kepler University, Linz, Austria##University of Rostock, Germany</t>
  </si>
  <si>
    <t>Autodesk ResearchUniversity of Toronto##University of Toronto##Inria##Autodesk Research##Hospital for Sick Children, University of Toronto, Toronto##University of Toronto</t>
  </si>
  <si>
    <t>City University, London, UK##Sabanci University, Turkey##Sabanci University, Turkey##University of Bergen, Norway</t>
  </si>
  <si>
    <t>National Intrepid Center of Excellence, Walter Reed National Military Medical Center, Bethesda, MD##National Intrepid Center of Excellence, Walter Reed National Military Medical Center, Bethesda, MD</t>
  </si>
  <si>
    <t>Chinese Academy of Sciences, SKLCSInstitute of Software##Chinese Academy of Sciences, SKLCSInstitute of Software##Imaging Genetics CenterMark &amp; Mary Stevens Institute for Neuroimaging &amp; InformaticsUniversity of Southern California##School of Computing, Informatics and Decision Systems EngineeringArizona State University##Chinese Academy of Sciences, SKLCSInstitute of Software##Imaging Genetics CenterMark &amp; Mary Stevens Institute for Neuroimaging &amp; InformaticsUniversity of Southern California</t>
  </si>
  <si>
    <t>Computer Science Department, Stony Brook University##Computer Science Department, Stony Brook University##Computer Science Department, Stony Brook University</t>
  </si>
  <si>
    <t>Dominik Sacha;Leishi Zhang;Michael Sedlmair;John Aldo Lee;Jaakko Peltonen;Daniel Weiskopf;Stephen C. North;Daniel A. Keim</t>
  </si>
  <si>
    <t>University of Konstanz, Germany;Middlesex University, UK;University of Vienna, Austria;SSS, IREC, MIRO, UniversitÃ© catholique de LouvainUCLBelgian F.R.S.-FNRS.;Helsinki Institute for Information Technology HIIT, Aalto University, University of Tampere, Finland;University of Konstanz, Germany;Infovisible LLC, Oldwick, U.S.A.;VISUS, University of Stuttgart, Germany</t>
  </si>
  <si>
    <t>University of Konstanz, Germany##Middlesex University, UK##University of Vienna, Austria##SSS, IREC, MIRO, UniversitÃ© catholique de LouvainUCLBelgian F.R.S.-FNRS.##Helsinki Institute for Information Technology HIIT, Aalto University, University of Tampere, Finland##University of Konstanz, Germany##Infovisible LLC, Oldwick, U.S.A.##VISUS, University of Stuttgart, Germany</t>
  </si>
  <si>
    <t>New York University##New York University</t>
  </si>
  <si>
    <t>Autodesk Research##Autodesk Research##Autodesk Research##INRIA##Autodesk Research</t>
  </si>
  <si>
    <t>Aritra Dasgupta;Joon-Yong Lee;Ryan Wilson;Robert A. Lafrance;Nick Cramer;Kristin A. Cook;Samuel Payne</t>
  </si>
  <si>
    <t>Pacific Northwest National Laboratory##Pacific Northwest National Laboratory##Pacific Northwest National Laboratory##Pacific Northwest National Laboratory##Pacific Northwest National Laboratory##Pacific Northwest National Laboratory##Pacific Northwest National Laboratory</t>
  </si>
  <si>
    <t>Adaptive Visualisation LabMonash University##Faculty of Information Technology, Monash University##Adaptive Visualisation LabMonash University##Faculty of Information Technology, Monash University##Faculty of Information Technology, Monash University##Faculty of Information Technology, Monash University</t>
  </si>
  <si>
    <t>Bosch Research North America##Zhejiang University##Bosch Research North America##Zhejiang University</t>
  </si>
  <si>
    <t>University of Stuttgart##University of Stuttgart##Stuttgart Media University##University of Stuttgart</t>
  </si>
  <si>
    <t>Seoul National University##Soongsil University##Samsung Medical Center##Bundang Hospital, Seoul National University##Hankuk University of Foreign Studies##Seoul National University</t>
  </si>
  <si>
    <t>Adobe Research##University of California, Davis##Adobe Research##Adobe Research##Adobe Research##Adobe Systems Inc.</t>
  </si>
  <si>
    <t>University of California, Santa Barbara##Microsoft Research##Microsoft Research##Microsoft Research##Microsoft Research</t>
  </si>
  <si>
    <t>Swansea University##University of Oxford##University of Oxford</t>
  </si>
  <si>
    <t>The Ohio State University##The Ohio State University##The Ohio State University##Purdue University</t>
  </si>
  <si>
    <t>School of Software and TNListTsinghua University##Dept. of Comp. Sci. &amp; Tech., State Key Lab of Intell. Tech. &amp; Sys.TNList LabCBICR Center##School of Software and TNListTsinghua University##Dept. of Comp. Sci. &amp; Tech., State Key Lab of Intell. Tech. &amp; Sys.TNList LabCBICR Center##School of Software and TNListTsinghua University##School of Software and TNListTsinghua University</t>
  </si>
  <si>
    <t>University of GroningenUniversity of Campinas;University of SÃ£o Paulo;University of Campinas;University of Groningen</t>
  </si>
  <si>
    <t>University of GroningenUniversity of Campinas##University of SÃ£o Paulo##University of Campinas##University of Groningen</t>
  </si>
  <si>
    <t>Hong Kong University of Science and Technology##Hong Kong University of Science and Technology##Hong Kong University of Science and Technology##Hong Kong University of Science and Technology</t>
  </si>
  <si>
    <t>University of Maryland, College Park, USA##University of Manitoba, Winnipeg, Canada##University of Maryland, College Park, USA##University of Manitoba, Winnipeg, Canada</t>
  </si>
  <si>
    <t>########</t>
  </si>
  <si>
    <t>Stony Brook University, United States of America##Stony Brook University, United States of America##Stony Brook University, United States of America##Stony Brook University, United States of America</t>
  </si>
  <si>
    <t>LabKey Software, United States of America##LabKey Software, United States of America##LabKey Software, United States of America</t>
  </si>
  <si>
    <t>Key Laboratory of Machine Perception (Ministry of Education), Peking University, China##Key Laboratory of Machine Perception (Ministry of Education), Peking University, China##Key Laboratory of Machine Perception (Ministry of Education), Peking University, China##Faculty of Engineer and Information Technology, The University of Technology, Sydney, Australia##Key Laboratory of Machine Perception (Ministry of Education), Peking University, China##New York University, Shanghai, China##Southwest University of Science and Technology, China</t>
  </si>
  <si>
    <t>School of Software, Tsinghua University, China##School of Software, Tsinghua University, China##School of Software, Tsinghua University, China##Michigan State University, United States of America##Tsinghua University, China##UNCC, United States of America##Microsoft Research, United States of America</t>
  </si>
  <si>
    <t>University of Maryland, United States of America##University of Maryland, United States of America##University of Maryland, United States of America##University of Maryland, United States of America</t>
  </si>
  <si>
    <t>Ohio State University, United States of America##IBM Research, United States of America##Visa Research, United States of America##IBM Research, United States of America##IBM Research, United States of America##Ohio State University, United States of America</t>
  </si>
  <si>
    <t>Jing Xia;Wei Chen;Yumeng Hou;Wanqi Hu;Xinxin Huang;David S. Ebert</t>
  </si>
  <si>
    <t>State Key Lab of CAD&amp;CG, Zhejiang University, China##State Key Lab of CAD&amp;CG, Zhejiang University, China##State Key Lab of CAD&amp;CG, Zhejiang University, China##State Key Lab of CAD&amp;CG, Zhejiang University, China##State Key Lab of CAD&amp;CG, Zhejiang University, China##Purdue University, United States of America</t>
  </si>
  <si>
    <t>Middlesex University, London, UK##Middlesex University, London, UK##Middlesex University, London, UK##Middlesex University, London, UK##Middlesex University, London, UK##Middlesex University, London, UK</t>
  </si>
  <si>
    <t>Johannes Weissenbock;Artem Amirkhanov;Eduard Gröller;Johann Kastner;Christoph Heinzl</t>
  </si>
  <si>
    <t>University of Applied Sciences, Upper Austria, Wels, Austria##University of Applied Sciences, Upper Austria, Wels, Austria##TU Wien, Vienna, Austria##University of Applied Sciences, Upper Austria, Wels, Austria##University of Applied Sciences, Upper Austria, Wels, Austria</t>
  </si>
  <si>
    <t>Hong Kong University of Science and Technology, China##Hong Kong University of Science and Technology, China##Hong Kong University of Science and Technology, China##Massachusetts Institute of Technology, United States of America##Massachusetts Institute of Technology, United States of America##Hong Kong University of Science and Technology, China</t>
  </si>
  <si>
    <t>Linköping University, Sweden;Linköping University, Sweden;Linköping University, Sweden;Linköping University, Sweden</t>
  </si>
  <si>
    <t>Linköping University, Sweden##Linköping University, Sweden##Linköping University, Sweden##Linköping University, Sweden</t>
  </si>
  <si>
    <t>University of Washington, United States of America##University of Wisconsin-Madison, United States of America</t>
  </si>
  <si>
    <t>University of Stuttgart, Germany##University of Stuttgart, Germany##University of Trier, Germany##University of Stuttgart, Germany##University of Stuttgart, Germany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</si>
</sst>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50">
    <font>
      <sz val="10.0"/>
      <color rgb="FF000000"/>
      <name val="Arial"/>
    </font>
    <font/>
    <font>
      <u/>
      <color rgb="FF0000FF"/>
    </font>
    <font>
      <b/>
      <sz val="10.0"/>
      <name val="Arial"/>
    </font>
    <font>
      <b/>
      <sz val="11.0"/>
      <color rgb="FF000000"/>
      <name val="Calibri"/>
    </font>
    <font>
      <b/>
      <sz val="10.0"/>
      <name val="Courier New"/>
    </font>
    <font>
      <sz val="10.0"/>
      <name val="Arial"/>
    </font>
    <font>
      <u/>
      <sz val="10.0"/>
      <color rgb="FF0000FF"/>
      <name val="Arial"/>
    </font>
    <font>
      <sz val="11.0"/>
      <color rgb="FF000000"/>
      <name val="Calibri"/>
    </font>
    <font>
      <name val="Arial"/>
    </font>
    <font>
      <u/>
      <sz val="10.0"/>
      <color rgb="FF0000FF"/>
      <name val="Arial"/>
    </font>
    <font>
      <b/>
      <sz val="10.0"/>
      <color rgb="FF000000"/>
      <name val="Arial"/>
    </font>
    <font>
      <sz val="10.0"/>
      <name val="Courier New"/>
    </font>
    <font>
      <u/>
      <sz val="10.0"/>
      <color rgb="FF0000FF"/>
      <name val="Arial"/>
    </font>
    <font>
      <sz val="9.0"/>
      <name val="Courier New"/>
    </font>
    <font>
      <sz val="8.0"/>
      <name val="Courier New"/>
    </font>
    <font>
      <sz val="11.0"/>
      <name val="Arial"/>
    </font>
    <font>
      <u/>
      <sz val="10.0"/>
      <color rgb="FF0000FF"/>
      <name val="Arial"/>
    </font>
    <font>
      <b/>
      <sz val="11.0"/>
      <name val="Arial"/>
    </font>
    <font>
      <u/>
      <sz val="10.0"/>
      <color rgb="FF0000FF"/>
      <name val="Arial"/>
    </font>
    <font>
      <sz val="10.0"/>
      <color rgb="FF000000"/>
      <name val="Inconsolata"/>
    </font>
    <font>
      <u/>
      <sz val="10.0"/>
      <color rgb="FF0000FF"/>
      <name val="Arial"/>
    </font>
    <font>
      <i/>
      <sz val="10.0"/>
      <name val="Courier New"/>
    </font>
    <font>
      <i/>
      <sz val="9.0"/>
      <name val="Courier New"/>
    </font>
    <font>
      <sz val="7.0"/>
      <name val="Courier New"/>
    </font>
    <font>
      <u/>
      <sz val="10.0"/>
      <color rgb="FF0000FF"/>
      <name val="Arial"/>
    </font>
    <font>
      <u/>
      <sz val="11.0"/>
      <color rgb="FF0000FF"/>
      <name val="Arial"/>
    </font>
    <font>
      <u/>
      <sz val="10.0"/>
      <color rgb="FF0000FF"/>
      <name val="Arial"/>
    </font>
    <font>
      <u/>
      <sz val="10.0"/>
      <color rgb="FF0000FF"/>
      <name val="Arial"/>
    </font>
    <font>
      <u/>
      <sz val="10.0"/>
      <color rgb="FF1155CC"/>
      <name val="Arial"/>
    </font>
    <font>
      <u/>
      <sz val="11.0"/>
      <color rgb="FF000000"/>
      <name val="Calibri"/>
    </font>
    <font>
      <u/>
      <sz val="10.0"/>
      <color rgb="FF1155CC"/>
      <name val="Arial"/>
    </font>
    <font>
      <sz val="10.0"/>
      <color rgb="FF000000"/>
      <name val="Sans"/>
    </font>
    <font>
      <u/>
      <sz val="10.0"/>
      <color rgb="FF1155CC"/>
      <name val="Arial"/>
    </font>
    <font>
      <u/>
      <sz val="11.0"/>
      <color rgb="FF000000"/>
      <name val="Calibri"/>
    </font>
    <font>
      <u/>
      <sz val="11.0"/>
      <color rgb="FF1155CC"/>
      <name val="Arial"/>
    </font>
    <font>
      <u/>
      <sz val="10.0"/>
      <color rgb="FF1155CC"/>
      <name val="Arial"/>
    </font>
    <font>
      <u/>
      <sz val="11.0"/>
      <color rgb="FF1155CC"/>
      <name val="Arial"/>
    </font>
    <font>
      <u/>
      <sz val="10.0"/>
      <color rgb="FF0000FF"/>
      <name val="Arial"/>
    </font>
    <font>
      <u/>
      <sz val="10.0"/>
      <color rgb="FF0000FF"/>
      <name val="Arial"/>
    </font>
    <font>
      <sz val="8.0"/>
      <name val="Arial"/>
    </font>
    <font>
      <u/>
      <color rgb="FF0000FF"/>
    </font>
    <font>
      <u/>
      <sz val="10.0"/>
      <color rgb="FF0000FF"/>
      <name val="Arial"/>
    </font>
    <font>
      <u/>
      <sz val="11.0"/>
      <color rgb="FF000000"/>
      <name val="Calibri"/>
    </font>
    <font>
      <u/>
      <sz val="10.0"/>
      <color rgb="FF0000FF"/>
      <name val="Arial"/>
    </font>
    <font>
      <u/>
      <sz val="10.0"/>
      <color rgb="FF0000FF"/>
      <name val="Arial"/>
    </font>
    <font>
      <u/>
      <sz val="10.0"/>
      <color rgb="FF0000FF"/>
      <name val="Arial"/>
    </font>
    <font>
      <i/>
      <sz val="10.0"/>
      <name val="Arial"/>
    </font>
    <font>
      <u/>
      <sz val="11.0"/>
      <color rgb="FF0000FF"/>
      <name val="Arial"/>
    </font>
    <font>
      <sz val="9.0"/>
      <name val="Arial"/>
    </font>
  </fonts>
  <fills count="17">
    <fill>
      <patternFill patternType="none"/>
    </fill>
    <fill>
      <patternFill patternType="lightGray"/>
    </fill>
    <fill>
      <patternFill patternType="solid">
        <fgColor rgb="FFFFFFFF"/>
        <bgColor rgb="FFFFFFFF"/>
      </patternFill>
    </fill>
    <fill>
      <patternFill patternType="solid">
        <fgColor rgb="FFFF0000"/>
        <bgColor rgb="FFFF0000"/>
      </patternFill>
    </fill>
    <fill>
      <patternFill patternType="solid">
        <fgColor rgb="FFCC0000"/>
        <bgColor rgb="FFCC0000"/>
      </patternFill>
    </fill>
    <fill>
      <patternFill patternType="solid">
        <fgColor rgb="FFB7B7B7"/>
        <bgColor rgb="FFB7B7B7"/>
      </patternFill>
    </fill>
    <fill>
      <patternFill patternType="solid">
        <fgColor rgb="FFF3F3F3"/>
        <bgColor rgb="FFF3F3F3"/>
      </patternFill>
    </fill>
    <fill>
      <patternFill patternType="solid">
        <fgColor rgb="FF00FFFF"/>
        <bgColor rgb="FF00FFFF"/>
      </patternFill>
    </fill>
    <fill>
      <patternFill patternType="solid">
        <fgColor rgb="FFFFF2CC"/>
        <bgColor rgb="FFFFF2CC"/>
      </patternFill>
    </fill>
    <fill>
      <patternFill patternType="solid">
        <fgColor rgb="FFD9EAD3"/>
        <bgColor rgb="FFD9EAD3"/>
      </patternFill>
    </fill>
    <fill>
      <patternFill patternType="solid">
        <fgColor rgb="FFE06666"/>
        <bgColor rgb="FFE06666"/>
      </patternFill>
    </fill>
    <fill>
      <patternFill patternType="solid">
        <fgColor rgb="FFFFFF00"/>
        <bgColor rgb="FFFFFF00"/>
      </patternFill>
    </fill>
    <fill>
      <patternFill patternType="solid">
        <fgColor rgb="FFFF9900"/>
        <bgColor rgb="FFFF9900"/>
      </patternFill>
    </fill>
    <fill>
      <patternFill patternType="solid">
        <fgColor rgb="FFE69138"/>
        <bgColor rgb="FFE69138"/>
      </patternFill>
    </fill>
    <fill>
      <patternFill patternType="solid">
        <fgColor rgb="FF4A86E8"/>
        <bgColor rgb="FF4A86E8"/>
      </patternFill>
    </fill>
    <fill>
      <patternFill patternType="solid">
        <fgColor rgb="FFDD7E6B"/>
        <bgColor rgb="FFDD7E6B"/>
      </patternFill>
    </fill>
    <fill>
      <patternFill patternType="solid">
        <fgColor rgb="FFB45F06"/>
        <bgColor rgb="FFB45F06"/>
      </patternFill>
    </fill>
  </fills>
  <borders count="7">
    <border/>
    <border>
      <left/>
      <right/>
      <top/>
      <bottom/>
    </border>
    <border>
      <top style="thin">
        <color rgb="FF000000"/>
      </top>
    </border>
    <border>
      <bottom style="thin">
        <color rgb="FF000000"/>
      </bottom>
    </border>
    <border>
      <left/>
      <top/>
      <bottom/>
    </border>
    <border>
      <top/>
      <bottom/>
    </border>
    <border>
      <right/>
      <top/>
      <bottom/>
    </border>
  </borders>
  <cellStyleXfs count="1">
    <xf borderId="0" fillId="0" fontId="0" numFmtId="0" applyAlignment="1" applyFont="1"/>
  </cellStyleXfs>
  <cellXfs count="22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2" fontId="3" numFmtId="0" xfId="0" applyAlignment="1" applyBorder="1" applyFill="1" applyFont="1">
      <alignment shrinkToFit="0" wrapText="1"/>
    </xf>
    <xf borderId="1" fillId="2" fontId="3" numFmtId="49" xfId="0" applyAlignment="1" applyBorder="1" applyFont="1" applyNumberFormat="1">
      <alignment horizontal="right" shrinkToFit="0" wrapText="1"/>
    </xf>
    <xf borderId="1" fillId="2" fontId="3" numFmtId="0" xfId="0" applyAlignment="1" applyBorder="1" applyFont="1">
      <alignment readingOrder="0" shrinkToFit="0" wrapText="1"/>
    </xf>
    <xf borderId="1" fillId="2" fontId="3" numFmtId="0" xfId="0" applyAlignment="1" applyBorder="1" applyFont="1">
      <alignment shrinkToFit="0" wrapText="0"/>
    </xf>
    <xf borderId="0" fillId="0" fontId="4" numFmtId="0" xfId="0" applyAlignment="1" applyFont="1">
      <alignment readingOrder="0" shrinkToFit="0" vertical="bottom" wrapText="0"/>
    </xf>
    <xf borderId="0" fillId="0" fontId="3" numFmtId="0" xfId="0" applyAlignment="1" applyFont="1">
      <alignment readingOrder="0" shrinkToFit="0" wrapText="0"/>
    </xf>
    <xf borderId="0" fillId="0" fontId="4" numFmtId="0" xfId="0" applyAlignment="1" applyFont="1">
      <alignment readingOrder="0" shrinkToFit="0" wrapText="0"/>
    </xf>
    <xf borderId="0" fillId="0" fontId="5" numFmtId="0" xfId="0" applyAlignment="1" applyFont="1">
      <alignment readingOrder="0" shrinkToFit="0" wrapText="0"/>
    </xf>
    <xf borderId="0" fillId="0" fontId="4" numFmtId="0" xfId="0" applyAlignment="1" applyFont="1">
      <alignment readingOrder="0" shrinkToFit="0" vertical="bottom" wrapText="0"/>
    </xf>
    <xf borderId="0" fillId="0" fontId="3" numFmtId="0" xfId="0" applyAlignment="1" applyFont="1">
      <alignment readingOrder="0" shrinkToFit="0" wrapText="1"/>
    </xf>
    <xf borderId="0" fillId="0" fontId="3" numFmtId="0" xfId="0" applyAlignment="1" applyFont="1">
      <alignment shrinkToFit="0" wrapText="1"/>
    </xf>
    <xf borderId="1" fillId="2" fontId="6" numFmtId="0" xfId="0" applyAlignment="1" applyBorder="1" applyFont="1">
      <alignment shrinkToFit="0" vertical="top" wrapText="0"/>
    </xf>
    <xf borderId="1" fillId="2" fontId="6" numFmtId="49" xfId="0" applyAlignment="1" applyBorder="1" applyFont="1" applyNumberFormat="1">
      <alignment horizontal="right" shrinkToFit="0" vertical="top" wrapText="0"/>
    </xf>
    <xf borderId="0" fillId="0" fontId="6" numFmtId="0" xfId="0" applyAlignment="1" applyFont="1">
      <alignment shrinkToFit="0" wrapText="0"/>
    </xf>
    <xf borderId="1" fillId="3" fontId="7" numFmtId="0" xfId="0" applyAlignment="1" applyBorder="1" applyFill="1" applyFont="1">
      <alignment shrinkToFit="0" vertical="top" wrapText="0"/>
    </xf>
    <xf borderId="0" fillId="0" fontId="8" numFmtId="0" xfId="0" applyAlignment="1" applyFont="1">
      <alignment shrinkToFit="0" vertical="bottom" wrapText="0"/>
    </xf>
    <xf borderId="0" fillId="0" fontId="8" numFmtId="0" xfId="0" applyAlignment="1" applyFont="1">
      <alignment readingOrder="0" shrinkToFit="0" vertical="bottom" wrapText="0"/>
    </xf>
    <xf borderId="0" fillId="0" fontId="8" numFmtId="0" xfId="0" applyAlignment="1" applyFont="1">
      <alignment shrinkToFit="0" wrapText="0"/>
    </xf>
    <xf borderId="1" fillId="2" fontId="6" numFmtId="0" xfId="0" applyAlignment="1" applyBorder="1" applyFont="1">
      <alignment shrinkToFit="0" wrapText="0"/>
    </xf>
    <xf borderId="0" fillId="0" fontId="9" numFmtId="0" xfId="0" applyAlignment="1" applyFont="1">
      <alignment horizontal="right" vertical="bottom"/>
    </xf>
    <xf borderId="0" fillId="0" fontId="8" numFmtId="0" xfId="0" applyAlignment="1" applyFont="1">
      <alignment shrinkToFit="0" vertical="bottom" wrapText="0"/>
    </xf>
    <xf borderId="1" fillId="0" fontId="6" numFmtId="0" xfId="0" applyAlignment="1" applyBorder="1" applyFont="1">
      <alignment shrinkToFit="0" vertical="top" wrapText="0"/>
    </xf>
    <xf borderId="1" fillId="4" fontId="6" numFmtId="0" xfId="0" applyAlignment="1" applyBorder="1" applyFill="1" applyFont="1">
      <alignment shrinkToFit="0" vertical="top" wrapText="0"/>
    </xf>
    <xf borderId="1" fillId="2" fontId="10" numFmtId="0" xfId="0" applyAlignment="1" applyBorder="1" applyFont="1">
      <alignment shrinkToFit="0" vertical="top" wrapText="0"/>
    </xf>
    <xf borderId="0" fillId="0" fontId="6" numFmtId="0" xfId="0" applyAlignment="1" applyFont="1">
      <alignment shrinkToFit="0" wrapText="0"/>
    </xf>
    <xf borderId="0" fillId="0" fontId="8" numFmtId="0" xfId="0" applyAlignment="1" applyFont="1">
      <alignment horizontal="right" readingOrder="0" shrinkToFit="0" vertical="bottom" wrapText="0"/>
    </xf>
    <xf borderId="0" fillId="0" fontId="6" numFmtId="0" xfId="0" applyAlignment="1" applyFont="1">
      <alignment readingOrder="0" shrinkToFit="0" vertical="top" wrapText="0"/>
    </xf>
    <xf borderId="0" fillId="0" fontId="6" numFmtId="0" xfId="0" applyAlignment="1" applyFont="1">
      <alignment shrinkToFit="0" vertical="top" wrapText="0"/>
    </xf>
    <xf borderId="0" fillId="0" fontId="9" numFmtId="0" xfId="0" applyAlignment="1" applyFont="1">
      <alignment vertical="bottom"/>
    </xf>
    <xf borderId="1" fillId="2" fontId="11" numFmtId="0" xfId="0" applyAlignment="1" applyBorder="1" applyFont="1">
      <alignment readingOrder="0" shrinkToFit="0" wrapText="0"/>
    </xf>
    <xf quotePrefix="1" borderId="0" fillId="0" fontId="1" numFmtId="0" xfId="0" applyAlignment="1" applyFont="1">
      <alignment readingOrder="0"/>
    </xf>
    <xf borderId="0" fillId="0" fontId="1" numFmtId="0" xfId="0" applyAlignment="1" applyFont="1">
      <alignment shrinkToFit="0" wrapText="0"/>
    </xf>
    <xf borderId="0" fillId="0" fontId="1" numFmtId="0" xfId="0" applyAlignment="1" applyFont="1">
      <alignment readingOrder="0" shrinkToFit="0" wrapText="0"/>
    </xf>
    <xf borderId="0" fillId="0" fontId="1" numFmtId="49" xfId="0" applyAlignment="1" applyFont="1" applyNumberFormat="1">
      <alignment readingOrder="0"/>
    </xf>
    <xf borderId="2" fillId="0" fontId="9" numFmtId="0" xfId="0" applyAlignment="1" applyBorder="1" applyFont="1">
      <alignment shrinkToFit="0" vertical="bottom" wrapText="0"/>
    </xf>
    <xf borderId="0" fillId="0" fontId="8" numFmtId="0" xfId="0" applyAlignment="1" applyFont="1">
      <alignment readingOrder="0" shrinkToFit="0" vertical="bottom" wrapText="0"/>
    </xf>
    <xf borderId="0" fillId="0" fontId="9" numFmtId="0" xfId="0" applyAlignment="1" applyFont="1">
      <alignment shrinkToFit="0" vertical="bottom" wrapText="0"/>
    </xf>
    <xf borderId="0" fillId="0" fontId="8" numFmtId="0" xfId="0" applyAlignment="1" applyFont="1">
      <alignment shrinkToFit="0" vertical="bottom" wrapText="0"/>
    </xf>
    <xf borderId="3" fillId="0" fontId="9" numFmtId="0" xfId="0" applyAlignment="1" applyBorder="1" applyFont="1">
      <alignment shrinkToFit="0" vertical="bottom" wrapText="0"/>
    </xf>
    <xf borderId="1" fillId="2" fontId="6" numFmtId="0" xfId="0" applyAlignment="1" applyBorder="1" applyFont="1">
      <alignment readingOrder="0" shrinkToFit="0" vertical="top" wrapText="0"/>
    </xf>
    <xf borderId="0" fillId="0" fontId="9" numFmtId="0" xfId="0" applyAlignment="1" applyFont="1">
      <alignment horizontal="right" vertical="bottom"/>
    </xf>
    <xf borderId="0" fillId="0" fontId="12" numFmtId="0" xfId="0" applyAlignment="1" applyFont="1">
      <alignment shrinkToFit="0" vertical="top" wrapText="0"/>
    </xf>
    <xf borderId="1" fillId="5" fontId="6" numFmtId="0" xfId="0" applyAlignment="1" applyBorder="1" applyFill="1" applyFont="1">
      <alignment shrinkToFit="0" vertical="top" wrapText="0"/>
    </xf>
    <xf borderId="1" fillId="0" fontId="6" numFmtId="0" xfId="0" applyAlignment="1" applyBorder="1" applyFont="1">
      <alignment readingOrder="0" shrinkToFit="0" vertical="top" wrapText="0"/>
    </xf>
    <xf borderId="1" fillId="6" fontId="6" numFmtId="0" xfId="0" applyAlignment="1" applyBorder="1" applyFill="1" applyFont="1">
      <alignment shrinkToFit="0" vertical="top" wrapText="0"/>
    </xf>
    <xf borderId="1" fillId="2" fontId="12" numFmtId="0" xfId="0" applyAlignment="1" applyBorder="1" applyFont="1">
      <alignment shrinkToFit="0" vertical="top" wrapText="0"/>
    </xf>
    <xf borderId="1" fillId="2" fontId="13" numFmtId="0" xfId="0" applyAlignment="1" applyBorder="1" applyFont="1">
      <alignment shrinkToFit="0" wrapText="0"/>
    </xf>
    <xf borderId="1" fillId="2" fontId="6" numFmtId="0" xfId="0" applyAlignment="1" applyBorder="1" applyFont="1">
      <alignment horizontal="right" shrinkToFit="0" vertical="top" wrapText="0"/>
    </xf>
    <xf borderId="0" fillId="0" fontId="14" numFmtId="0" xfId="0" applyAlignment="1" applyFont="1">
      <alignment shrinkToFit="0" vertical="top" wrapText="0"/>
    </xf>
    <xf borderId="0" fillId="0" fontId="6" numFmtId="0" xfId="0" applyAlignment="1" applyFont="1">
      <alignment readingOrder="0" shrinkToFit="0" wrapText="0"/>
    </xf>
    <xf borderId="0" fillId="0" fontId="15" numFmtId="0" xfId="0" applyAlignment="1" applyFont="1">
      <alignment shrinkToFit="0" vertical="top" wrapText="0"/>
    </xf>
    <xf borderId="1" fillId="2" fontId="6" numFmtId="0" xfId="0" applyAlignment="1" applyBorder="1" applyFont="1">
      <alignment shrinkToFit="0" wrapText="0"/>
    </xf>
    <xf borderId="0" fillId="0" fontId="6" numFmtId="0" xfId="0" applyAlignment="1" applyFont="1">
      <alignment shrinkToFit="0" wrapText="1"/>
    </xf>
    <xf borderId="0" fillId="0" fontId="6" numFmtId="0" xfId="0" applyAlignment="1" applyFont="1">
      <alignment readingOrder="0" shrinkToFit="0" wrapText="1"/>
    </xf>
    <xf borderId="0" fillId="0" fontId="6" numFmtId="9" xfId="0" applyAlignment="1" applyFont="1" applyNumberFormat="1">
      <alignment readingOrder="0" shrinkToFit="0" wrapText="1"/>
    </xf>
    <xf borderId="0" fillId="0" fontId="6" numFmtId="9" xfId="0" applyAlignment="1" applyFont="1" applyNumberFormat="1">
      <alignment shrinkToFit="0" wrapText="1"/>
    </xf>
    <xf borderId="0" fillId="0" fontId="6" numFmtId="164" xfId="0" applyAlignment="1" applyFont="1" applyNumberFormat="1">
      <alignment readingOrder="0" shrinkToFit="0" wrapText="1"/>
    </xf>
    <xf borderId="0" fillId="0" fontId="6" numFmtId="164" xfId="0" applyAlignment="1" applyFont="1" applyNumberFormat="1">
      <alignment readingOrder="0" shrinkToFit="0" wrapText="1"/>
    </xf>
    <xf borderId="1" fillId="2" fontId="16" numFmtId="0" xfId="0" applyAlignment="1" applyBorder="1" applyFont="1">
      <alignment shrinkToFit="0" wrapText="0"/>
    </xf>
    <xf borderId="0" fillId="0" fontId="6" numFmtId="164" xfId="0" applyAlignment="1" applyFont="1" applyNumberFormat="1">
      <alignment readingOrder="0" shrinkToFit="0" wrapText="1"/>
    </xf>
    <xf borderId="0" fillId="0" fontId="6" numFmtId="164" xfId="0" applyAlignment="1" applyFont="1" applyNumberFormat="1">
      <alignment shrinkToFit="0" wrapText="1"/>
    </xf>
    <xf borderId="0" fillId="0" fontId="6" numFmtId="164" xfId="0" applyAlignment="1" applyFont="1" applyNumberFormat="1">
      <alignment shrinkToFit="0" wrapText="1"/>
    </xf>
    <xf borderId="0" fillId="0" fontId="6" numFmtId="164" xfId="0" applyAlignment="1" applyFont="1" applyNumberFormat="1">
      <alignment shrinkToFit="0" wrapText="1"/>
    </xf>
    <xf borderId="0" fillId="0" fontId="0" numFmtId="0" xfId="0" applyAlignment="1" applyFont="1">
      <alignment shrinkToFit="0" wrapText="0"/>
    </xf>
    <xf borderId="1" fillId="7" fontId="6" numFmtId="0" xfId="0" applyAlignment="1" applyBorder="1" applyFill="1" applyFont="1">
      <alignment shrinkToFit="0" vertical="top" wrapText="0"/>
    </xf>
    <xf borderId="1" fillId="3" fontId="17" numFmtId="0" xfId="0" applyAlignment="1" applyBorder="1" applyFont="1">
      <alignment shrinkToFit="0" wrapText="0"/>
    </xf>
    <xf borderId="1" fillId="8" fontId="6" numFmtId="0" xfId="0" applyAlignment="1" applyBorder="1" applyFill="1" applyFont="1">
      <alignment shrinkToFit="0" wrapText="1"/>
    </xf>
    <xf borderId="0" fillId="0" fontId="6" numFmtId="10" xfId="0" applyAlignment="1" applyFont="1" applyNumberFormat="1">
      <alignment shrinkToFit="0" wrapText="1"/>
    </xf>
    <xf borderId="1" fillId="9" fontId="6" numFmtId="0" xfId="0" applyAlignment="1" applyBorder="1" applyFill="1" applyFont="1">
      <alignment shrinkToFit="0" wrapText="1"/>
    </xf>
    <xf borderId="1" fillId="9" fontId="6" numFmtId="9" xfId="0" applyAlignment="1" applyBorder="1" applyFont="1" applyNumberFormat="1">
      <alignment shrinkToFit="0" wrapText="1"/>
    </xf>
    <xf borderId="1" fillId="2" fontId="6" numFmtId="9" xfId="0" applyAlignment="1" applyBorder="1" applyFont="1" applyNumberFormat="1">
      <alignment shrinkToFit="0" wrapText="1"/>
    </xf>
    <xf borderId="1" fillId="2" fontId="6" numFmtId="0" xfId="0" applyAlignment="1" applyBorder="1" applyFont="1">
      <alignment shrinkToFit="0" wrapText="1"/>
    </xf>
    <xf borderId="0" fillId="0" fontId="3" numFmtId="0" xfId="0" applyAlignment="1" applyFont="1">
      <alignment horizontal="right" shrinkToFit="0" wrapText="1"/>
    </xf>
    <xf borderId="1" fillId="2" fontId="18" numFmtId="0" xfId="0" applyAlignment="1" applyBorder="1" applyFont="1">
      <alignment shrinkToFit="0" wrapText="0"/>
    </xf>
    <xf borderId="0" fillId="0" fontId="19" numFmtId="0" xfId="0" applyAlignment="1" applyFont="1">
      <alignment shrinkToFit="0" wrapText="0"/>
    </xf>
    <xf borderId="1" fillId="2" fontId="6" numFmtId="0" xfId="0" applyAlignment="1" applyBorder="1" applyFont="1">
      <alignment horizontal="left" shrinkToFit="0" wrapText="0"/>
    </xf>
    <xf borderId="1" fillId="8" fontId="6" numFmtId="0" xfId="0" applyAlignment="1" applyBorder="1" applyFont="1">
      <alignment shrinkToFit="0" wrapText="0"/>
    </xf>
    <xf borderId="1" fillId="9" fontId="6" numFmtId="0" xfId="0" applyAlignment="1" applyBorder="1" applyFont="1">
      <alignment shrinkToFit="0" wrapText="0"/>
    </xf>
    <xf borderId="1" fillId="3" fontId="6" numFmtId="0" xfId="0" applyAlignment="1" applyBorder="1" applyFont="1">
      <alignment shrinkToFit="0" wrapText="0"/>
    </xf>
    <xf borderId="1" fillId="10" fontId="6" numFmtId="0" xfId="0" applyAlignment="1" applyBorder="1" applyFill="1" applyFont="1">
      <alignment shrinkToFit="0" vertical="top" wrapText="0"/>
    </xf>
    <xf borderId="1" fillId="2" fontId="20" numFmtId="0" xfId="0" applyAlignment="1" applyBorder="1" applyFont="1">
      <alignment shrinkToFit="0" wrapText="0"/>
    </xf>
    <xf borderId="0" fillId="0" fontId="6" numFmtId="0" xfId="0" applyAlignment="1" applyFont="1">
      <alignment shrinkToFit="0" vertical="top" wrapText="1"/>
    </xf>
    <xf borderId="0" fillId="0" fontId="6" numFmtId="0" xfId="0" applyAlignment="1" applyFont="1">
      <alignment readingOrder="0" shrinkToFit="0" vertical="top" wrapText="1"/>
    </xf>
    <xf borderId="0" fillId="0" fontId="12" numFmtId="0" xfId="0" applyAlignment="1" applyFont="1">
      <alignment horizontal="left" shrinkToFit="0" vertical="top" wrapText="0"/>
    </xf>
    <xf borderId="0" fillId="0" fontId="21" numFmtId="0" xfId="0" applyAlignment="1" applyFont="1">
      <alignment shrinkToFit="0" wrapText="0"/>
    </xf>
    <xf borderId="0" fillId="0" fontId="12" numFmtId="0" xfId="0" applyAlignment="1" applyFont="1">
      <alignment readingOrder="0" shrinkToFit="0" vertical="top" wrapText="0"/>
    </xf>
    <xf borderId="0" fillId="0" fontId="22" numFmtId="0" xfId="0" applyAlignment="1" applyFont="1">
      <alignment shrinkToFit="0" vertical="top" wrapText="0"/>
    </xf>
    <xf borderId="1" fillId="2" fontId="14" numFmtId="0" xfId="0" applyAlignment="1" applyBorder="1" applyFont="1">
      <alignment shrinkToFit="0" vertical="top" wrapText="0"/>
    </xf>
    <xf borderId="1" fillId="11" fontId="6" numFmtId="0" xfId="0" applyAlignment="1" applyBorder="1" applyFill="1" applyFont="1">
      <alignment shrinkToFit="0" wrapText="0"/>
    </xf>
    <xf borderId="1" fillId="0" fontId="6" numFmtId="0" xfId="0" applyAlignment="1" applyBorder="1" applyFont="1">
      <alignment shrinkToFit="0" wrapText="0"/>
    </xf>
    <xf borderId="1" fillId="12" fontId="6" numFmtId="0" xfId="0" applyAlignment="1" applyBorder="1" applyFill="1" applyFont="1">
      <alignment shrinkToFit="0" wrapText="0"/>
    </xf>
    <xf borderId="1" fillId="0" fontId="6" numFmtId="0" xfId="0" applyAlignment="1" applyBorder="1" applyFont="1">
      <alignment shrinkToFit="0" vertical="top" wrapText="1"/>
    </xf>
    <xf borderId="1" fillId="2" fontId="6" numFmtId="0" xfId="0" applyAlignment="1" applyBorder="1" applyFont="1">
      <alignment shrinkToFit="0" vertical="top" wrapText="1"/>
    </xf>
    <xf borderId="1" fillId="2" fontId="23" numFmtId="0" xfId="0" applyAlignment="1" applyBorder="1" applyFont="1">
      <alignment shrinkToFit="0" vertical="top" wrapText="0"/>
    </xf>
    <xf borderId="1" fillId="7" fontId="6" numFmtId="0" xfId="0" applyAlignment="1" applyBorder="1" applyFont="1">
      <alignment shrinkToFit="0" wrapText="0"/>
    </xf>
    <xf borderId="0" fillId="0" fontId="24" numFmtId="0" xfId="0" applyAlignment="1" applyFont="1">
      <alignment shrinkToFit="0" vertical="top" wrapText="0"/>
    </xf>
    <xf borderId="0" fillId="0" fontId="14" numFmtId="0" xfId="0" applyAlignment="1" applyFont="1">
      <alignment readingOrder="0" shrinkToFit="0" vertical="top" wrapText="0"/>
    </xf>
    <xf borderId="1" fillId="2" fontId="6" numFmtId="49" xfId="0" applyAlignment="1" applyBorder="1" applyFont="1" applyNumberFormat="1">
      <alignment shrinkToFit="0" vertical="top" wrapText="0"/>
    </xf>
    <xf borderId="1" fillId="2" fontId="25" numFmtId="49" xfId="0" applyAlignment="1" applyBorder="1" applyFont="1" applyNumberFormat="1">
      <alignment shrinkToFit="0" vertical="top" wrapText="0"/>
    </xf>
    <xf borderId="0" fillId="0" fontId="8" numFmtId="49" xfId="0" applyAlignment="1" applyFont="1" applyNumberFormat="1">
      <alignment readingOrder="0" shrinkToFit="0" vertical="bottom" wrapText="0"/>
    </xf>
    <xf borderId="0" fillId="0" fontId="8" numFmtId="49" xfId="0" applyAlignment="1" applyFont="1" applyNumberFormat="1">
      <alignment shrinkToFit="0" wrapText="0"/>
    </xf>
    <xf borderId="0" fillId="0" fontId="12" numFmtId="49" xfId="0" applyAlignment="1" applyFont="1" applyNumberFormat="1">
      <alignment readingOrder="0" shrinkToFit="0" vertical="top" wrapText="0"/>
    </xf>
    <xf borderId="0" fillId="0" fontId="9" numFmtId="49" xfId="0" applyAlignment="1" applyFont="1" applyNumberFormat="1">
      <alignment horizontal="right" vertical="bottom"/>
    </xf>
    <xf borderId="0" fillId="0" fontId="8" numFmtId="49" xfId="0" applyAlignment="1" applyFont="1" applyNumberFormat="1">
      <alignment horizontal="right" readingOrder="0" shrinkToFit="0" vertical="bottom" wrapText="0"/>
    </xf>
    <xf borderId="0" fillId="0" fontId="6" numFmtId="49" xfId="0" applyAlignment="1" applyFont="1" applyNumberFormat="1">
      <alignment shrinkToFit="0" vertical="top" wrapText="1"/>
    </xf>
    <xf borderId="1" fillId="3" fontId="26" numFmtId="0" xfId="0" applyAlignment="1" applyBorder="1" applyFont="1">
      <alignment shrinkToFit="0" wrapText="0"/>
    </xf>
    <xf borderId="0" fillId="0" fontId="9" numFmtId="0" xfId="0" applyAlignment="1" applyFont="1">
      <alignment vertical="bottom"/>
    </xf>
    <xf borderId="1" fillId="7" fontId="6" numFmtId="0" xfId="0" applyAlignment="1" applyBorder="1" applyFont="1">
      <alignment horizontal="left" shrinkToFit="0" wrapText="0"/>
    </xf>
    <xf borderId="1" fillId="2" fontId="12" numFmtId="0" xfId="0" applyAlignment="1" applyBorder="1" applyFont="1">
      <alignment readingOrder="0" shrinkToFit="0" vertical="top" wrapText="0"/>
    </xf>
    <xf borderId="1" fillId="2" fontId="16" numFmtId="0" xfId="0" applyAlignment="1" applyBorder="1" applyFont="1">
      <alignment horizontal="left" shrinkToFit="0" wrapText="0"/>
    </xf>
    <xf borderId="1" fillId="2" fontId="12" numFmtId="0" xfId="0" applyAlignment="1" applyBorder="1" applyFont="1">
      <alignment horizontal="left" shrinkToFit="0" vertical="top" wrapText="0"/>
    </xf>
    <xf borderId="1" fillId="13" fontId="12" numFmtId="0" xfId="0" applyAlignment="1" applyBorder="1" applyFill="1" applyFont="1">
      <alignment readingOrder="0" shrinkToFit="0" vertical="top" wrapText="0"/>
    </xf>
    <xf borderId="1" fillId="3" fontId="6" numFmtId="0" xfId="0" applyAlignment="1" applyBorder="1" applyFont="1">
      <alignment shrinkToFit="0" vertical="top" wrapText="1"/>
    </xf>
    <xf borderId="1" fillId="10" fontId="6" numFmtId="0" xfId="0" applyAlignment="1" applyBorder="1" applyFont="1">
      <alignment shrinkToFit="0" vertical="top" wrapText="1"/>
    </xf>
    <xf borderId="1" fillId="7" fontId="16" numFmtId="0" xfId="0" applyAlignment="1" applyBorder="1" applyFont="1">
      <alignment shrinkToFit="0" wrapText="0"/>
    </xf>
    <xf borderId="1" fillId="2" fontId="27" numFmtId="4" xfId="0" applyAlignment="1" applyBorder="1" applyFont="1" applyNumberFormat="1">
      <alignment shrinkToFit="0" vertical="top" wrapText="0"/>
    </xf>
    <xf borderId="1" fillId="14" fontId="28" numFmtId="0" xfId="0" applyAlignment="1" applyBorder="1" applyFill="1" applyFont="1">
      <alignment shrinkToFit="0" wrapText="0"/>
    </xf>
    <xf borderId="0" fillId="0" fontId="5" numFmtId="0" xfId="0" applyAlignment="1" applyFont="1">
      <alignment shrinkToFit="0" vertical="top" wrapText="0"/>
    </xf>
    <xf borderId="1" fillId="2" fontId="12" numFmtId="0" xfId="0" applyAlignment="1" applyBorder="1" applyFont="1">
      <alignment shrinkToFit="0" vertical="top" wrapText="0"/>
    </xf>
    <xf borderId="1" fillId="2" fontId="6" numFmtId="0" xfId="0" applyAlignment="1" applyBorder="1" applyFont="1">
      <alignment horizontal="right" shrinkToFit="0" wrapText="0"/>
    </xf>
    <xf borderId="0" fillId="15" fontId="8" numFmtId="0" xfId="0" applyAlignment="1" applyFill="1" applyFont="1">
      <alignment readingOrder="0" shrinkToFit="0" vertical="bottom" wrapText="0"/>
    </xf>
    <xf borderId="1" fillId="11" fontId="6" numFmtId="0" xfId="0" applyAlignment="1" applyBorder="1" applyFont="1">
      <alignment shrinkToFit="0" vertical="top" wrapText="1"/>
    </xf>
    <xf borderId="1" fillId="0" fontId="6" numFmtId="0" xfId="0" applyAlignment="1" applyBorder="1" applyFont="1">
      <alignment readingOrder="0" shrinkToFit="0" vertical="top" wrapText="1"/>
    </xf>
    <xf borderId="0" fillId="0" fontId="6" numFmtId="49" xfId="0" applyAlignment="1" applyFont="1" applyNumberFormat="1">
      <alignment horizontal="right" shrinkToFit="0" vertical="top" wrapText="0"/>
    </xf>
    <xf borderId="0" fillId="0" fontId="29" numFmtId="0" xfId="0" applyAlignment="1" applyFont="1">
      <alignment shrinkToFit="0" vertical="top" wrapText="0"/>
    </xf>
    <xf borderId="0" fillId="0" fontId="6" numFmtId="0" xfId="0" applyAlignment="1" applyFont="1">
      <alignment horizontal="right" shrinkToFit="0" vertical="top" wrapText="0"/>
    </xf>
    <xf borderId="0" fillId="0" fontId="12" numFmtId="0" xfId="0" applyAlignment="1" applyFont="1">
      <alignment shrinkToFit="0" wrapText="0"/>
    </xf>
    <xf borderId="0" fillId="0" fontId="8" numFmtId="0" xfId="0" applyAlignment="1" applyFont="1">
      <alignment shrinkToFit="0" wrapText="0"/>
    </xf>
    <xf borderId="0" fillId="0" fontId="30" numFmtId="0" xfId="0" applyAlignment="1" applyFont="1">
      <alignment shrinkToFit="0" wrapText="0"/>
    </xf>
    <xf borderId="0" fillId="0" fontId="8" numFmtId="0" xfId="0" applyAlignment="1" applyFont="1">
      <alignment horizontal="right" shrinkToFit="0" wrapText="0"/>
    </xf>
    <xf borderId="0" fillId="0" fontId="12" numFmtId="0" xfId="0" applyAlignment="1" applyFont="1">
      <alignment readingOrder="0" shrinkToFit="0" wrapText="0"/>
    </xf>
    <xf borderId="1" fillId="2" fontId="3" numFmtId="0" xfId="0" applyAlignment="1" applyBorder="1" applyFont="1">
      <alignment horizontal="center" shrinkToFit="0" wrapText="1"/>
    </xf>
    <xf borderId="1" fillId="2" fontId="11" numFmtId="0" xfId="0" applyAlignment="1" applyBorder="1" applyFont="1">
      <alignment shrinkToFit="0" wrapText="1"/>
    </xf>
    <xf borderId="0" fillId="0" fontId="4" numFmtId="0" xfId="0" applyAlignment="1" applyFont="1">
      <alignment shrinkToFit="0" wrapText="0"/>
    </xf>
    <xf borderId="0" fillId="0" fontId="5" numFmtId="0" xfId="0" applyAlignment="1" applyFont="1">
      <alignment shrinkToFit="0" wrapText="1"/>
    </xf>
    <xf borderId="1" fillId="2" fontId="3" numFmtId="0" xfId="0" applyAlignment="1" applyBorder="1" applyFont="1">
      <alignment horizontal="left" shrinkToFit="0" wrapText="1"/>
    </xf>
    <xf borderId="0" fillId="0" fontId="31" numFmtId="0" xfId="0" applyAlignment="1" applyFont="1">
      <alignment shrinkToFit="0" vertical="top" wrapText="0"/>
    </xf>
    <xf borderId="0" fillId="0" fontId="12" numFmtId="0" xfId="0" applyAlignment="1" applyFont="1">
      <alignment shrinkToFit="0" wrapText="1"/>
    </xf>
    <xf borderId="0" fillId="0" fontId="32" numFmtId="0" xfId="0" applyAlignment="1" applyFont="1">
      <alignment shrinkToFit="0" wrapText="0"/>
    </xf>
    <xf borderId="0" fillId="0" fontId="33" numFmtId="0" xfId="0" applyAlignment="1" applyFont="1">
      <alignment shrinkToFit="0" wrapText="0"/>
    </xf>
    <xf borderId="0" fillId="0" fontId="6" numFmtId="0" xfId="0" applyAlignment="1" applyFont="1">
      <alignment horizontal="right" shrinkToFit="0" wrapText="0"/>
    </xf>
    <xf borderId="0" fillId="0" fontId="32" numFmtId="0" xfId="0" applyAlignment="1" applyFont="1">
      <alignment horizontal="right" shrinkToFit="0" wrapText="0"/>
    </xf>
    <xf borderId="0" fillId="0" fontId="34" numFmtId="0" xfId="0" applyAlignment="1" applyFont="1">
      <alignment shrinkToFit="0" wrapText="0"/>
    </xf>
    <xf borderId="1" fillId="2" fontId="35" numFmtId="0" xfId="0" applyAlignment="1" applyBorder="1" applyFont="1">
      <alignment shrinkToFit="0" wrapText="0"/>
    </xf>
    <xf borderId="0" fillId="0" fontId="8" numFmtId="49" xfId="0" applyAlignment="1" applyFont="1" applyNumberFormat="1">
      <alignment horizontal="right" shrinkToFit="0" wrapText="0"/>
    </xf>
    <xf borderId="0" fillId="0" fontId="36" numFmtId="0" xfId="0" applyAlignment="1" applyFont="1">
      <alignment shrinkToFit="0" wrapText="0"/>
    </xf>
    <xf borderId="1" fillId="2" fontId="37" numFmtId="0" xfId="0" applyAlignment="1" applyBorder="1" applyFont="1">
      <alignment shrinkToFit="0" wrapText="0"/>
    </xf>
    <xf borderId="1" fillId="2" fontId="38" numFmtId="0" xfId="0" applyAlignment="1" applyBorder="1" applyFont="1">
      <alignment shrinkToFit="0" vertical="top" wrapText="0"/>
    </xf>
    <xf borderId="1" fillId="2" fontId="6" numFmtId="0" xfId="0" applyAlignment="1" applyBorder="1" applyFont="1">
      <alignment horizontal="center" shrinkToFit="0" wrapText="0"/>
    </xf>
    <xf borderId="1" fillId="2" fontId="0" numFmtId="0" xfId="0" applyAlignment="1" applyBorder="1" applyFont="1">
      <alignment shrinkToFit="0" vertical="top" wrapText="0"/>
    </xf>
    <xf borderId="0" fillId="0" fontId="12" numFmtId="0" xfId="0" applyAlignment="1" applyFont="1">
      <alignment shrinkToFit="0" vertical="top" wrapText="1"/>
    </xf>
    <xf borderId="1" fillId="2" fontId="6" numFmtId="0" xfId="0" applyAlignment="1" applyBorder="1" applyFont="1">
      <alignment horizontal="left" shrinkToFit="0" vertical="top" wrapText="1"/>
    </xf>
    <xf borderId="0" fillId="0" fontId="8" numFmtId="0" xfId="0" applyAlignment="1" applyFont="1">
      <alignment readingOrder="0" shrinkToFit="0" wrapText="0"/>
    </xf>
    <xf borderId="1" fillId="2" fontId="39" numFmtId="0" xfId="0" applyAlignment="1" applyBorder="1" applyFont="1">
      <alignment shrinkToFit="0" wrapText="0"/>
    </xf>
    <xf borderId="1" fillId="2" fontId="40" numFmtId="0" xfId="0" applyAlignment="1" applyBorder="1" applyFont="1">
      <alignment shrinkToFit="0" wrapText="0"/>
    </xf>
    <xf borderId="0" fillId="0" fontId="12" numFmtId="0" xfId="0" applyAlignment="1" applyFont="1">
      <alignment readingOrder="0" shrinkToFit="0" vertical="top" wrapText="1"/>
    </xf>
    <xf borderId="1" fillId="2" fontId="6" numFmtId="0" xfId="0" applyAlignment="1" applyBorder="1" applyFont="1">
      <alignment horizontal="center" shrinkToFit="0" vertical="top" wrapText="0"/>
    </xf>
    <xf quotePrefix="1" borderId="0" fillId="0" fontId="1" numFmtId="49" xfId="0" applyAlignment="1" applyFont="1" applyNumberFormat="1">
      <alignment horizontal="right" readingOrder="0"/>
    </xf>
    <xf borderId="0" fillId="0" fontId="41" numFmtId="0" xfId="0" applyAlignment="1" applyFont="1">
      <alignment readingOrder="0" shrinkToFit="0" wrapText="0"/>
    </xf>
    <xf borderId="1" fillId="2" fontId="0" numFmtId="0" xfId="0" applyAlignment="1" applyBorder="1" applyFont="1">
      <alignment shrinkToFit="0" wrapText="0"/>
    </xf>
    <xf borderId="1" fillId="2" fontId="0" numFmtId="0" xfId="0" applyAlignment="1" applyBorder="1" applyFont="1">
      <alignment horizontal="center" shrinkToFit="0" vertical="top" wrapText="0"/>
    </xf>
    <xf borderId="0" fillId="0" fontId="5" numFmtId="0" xfId="0" applyAlignment="1" applyFont="1">
      <alignment shrinkToFit="0" vertical="top" wrapText="1"/>
    </xf>
    <xf borderId="1" fillId="14" fontId="42" numFmtId="0" xfId="0" applyAlignment="1" applyBorder="1" applyFont="1">
      <alignment shrinkToFit="0" wrapText="0"/>
    </xf>
    <xf borderId="0" fillId="0" fontId="1" numFmtId="49" xfId="0" applyAlignment="1" applyFont="1" applyNumberFormat="1">
      <alignment horizontal="right" readingOrder="0"/>
    </xf>
    <xf borderId="0" fillId="0" fontId="43" numFmtId="0" xfId="0" applyAlignment="1" applyFont="1">
      <alignment readingOrder="0" shrinkToFit="0" vertical="bottom" wrapText="0"/>
    </xf>
    <xf borderId="1" fillId="2" fontId="3" numFmtId="0" xfId="0" applyAlignment="1" applyBorder="1" applyFont="1">
      <alignment shrinkToFit="0" wrapText="0"/>
    </xf>
    <xf borderId="0" fillId="0" fontId="3" numFmtId="0" xfId="0" applyAlignment="1" applyFont="1">
      <alignment shrinkToFit="0" wrapText="0"/>
    </xf>
    <xf borderId="0" fillId="0" fontId="4" numFmtId="0" xfId="0" applyAlignment="1" applyFont="1">
      <alignment shrinkToFit="0" wrapText="0"/>
    </xf>
    <xf borderId="0" fillId="0" fontId="5" numFmtId="0" xfId="0" applyAlignment="1" applyFont="1">
      <alignment shrinkToFit="0" wrapText="0"/>
    </xf>
    <xf borderId="1" fillId="3" fontId="44" numFmtId="0" xfId="0" applyAlignment="1" applyBorder="1" applyFont="1">
      <alignment shrinkToFit="0" vertical="top" wrapText="0"/>
    </xf>
    <xf borderId="1" fillId="2" fontId="45" numFmtId="4" xfId="0" applyAlignment="1" applyBorder="1" applyFont="1" applyNumberFormat="1">
      <alignment shrinkToFit="0" vertical="top" wrapText="0"/>
    </xf>
    <xf borderId="0" fillId="0" fontId="12" numFmtId="0" xfId="0" applyAlignment="1" applyFont="1">
      <alignment shrinkToFit="0" vertical="top" wrapText="0"/>
    </xf>
    <xf borderId="1" fillId="9" fontId="3" numFmtId="0" xfId="0" applyAlignment="1" applyBorder="1" applyFont="1">
      <alignment horizontal="left" shrinkToFit="0" wrapText="1"/>
    </xf>
    <xf borderId="1" fillId="9" fontId="3" numFmtId="0" xfId="0" applyAlignment="1" applyBorder="1" applyFont="1">
      <alignment shrinkToFit="0" wrapText="1"/>
    </xf>
    <xf borderId="1" fillId="8" fontId="3" numFmtId="0" xfId="0" applyAlignment="1" applyBorder="1" applyFont="1">
      <alignment horizontal="left" shrinkToFit="0" wrapText="1"/>
    </xf>
    <xf borderId="1" fillId="8" fontId="3" numFmtId="0" xfId="0" applyAlignment="1" applyBorder="1" applyFont="1">
      <alignment shrinkToFit="0" wrapText="1"/>
    </xf>
    <xf borderId="0" fillId="0" fontId="3" numFmtId="0" xfId="0" applyAlignment="1" applyFont="1">
      <alignment shrinkToFit="0" vertical="top" wrapText="1"/>
    </xf>
    <xf borderId="1" fillId="4" fontId="3" numFmtId="0" xfId="0" applyAlignment="1" applyBorder="1" applyFont="1">
      <alignment horizontal="left" shrinkToFit="0" vertical="top" wrapText="1"/>
    </xf>
    <xf borderId="1" fillId="16" fontId="3" numFmtId="0" xfId="0" applyAlignment="1" applyBorder="1" applyFill="1" applyFont="1">
      <alignment shrinkToFit="0" vertical="top" wrapText="1"/>
    </xf>
    <xf borderId="1" fillId="9" fontId="3" numFmtId="0" xfId="0" applyAlignment="1" applyBorder="1" applyFont="1">
      <alignment horizontal="left" shrinkToFit="0" vertical="top" wrapText="1"/>
    </xf>
    <xf borderId="4" fillId="4" fontId="3" numFmtId="0" xfId="0" applyAlignment="1" applyBorder="1" applyFont="1">
      <alignment shrinkToFit="0" vertical="top" wrapText="1"/>
    </xf>
    <xf borderId="5" fillId="0" fontId="1" numFmtId="0" xfId="0" applyBorder="1" applyFont="1"/>
    <xf borderId="6" fillId="0" fontId="1" numFmtId="0" xfId="0" applyBorder="1" applyFont="1"/>
    <xf borderId="1" fillId="9" fontId="6" numFmtId="0" xfId="0" applyAlignment="1" applyBorder="1" applyFont="1">
      <alignment horizontal="center" shrinkToFit="0" vertical="top" wrapText="1"/>
    </xf>
    <xf borderId="1" fillId="9" fontId="6" numFmtId="0" xfId="0" applyAlignment="1" applyBorder="1" applyFont="1">
      <alignment shrinkToFit="0" vertical="top" wrapText="1"/>
    </xf>
    <xf borderId="1" fillId="9" fontId="6" numFmtId="0" xfId="0" applyAlignment="1" applyBorder="1" applyFont="1">
      <alignment horizontal="left" shrinkToFit="0" vertical="top" wrapText="1"/>
    </xf>
    <xf borderId="1" fillId="8" fontId="6" numFmtId="0" xfId="0" applyAlignment="1" applyBorder="1" applyFont="1">
      <alignment horizontal="center" shrinkToFit="0" vertical="top" wrapText="1"/>
    </xf>
    <xf borderId="1" fillId="8" fontId="6" numFmtId="0" xfId="0" applyAlignment="1" applyBorder="1" applyFont="1">
      <alignment shrinkToFit="0" vertical="top" wrapText="1"/>
    </xf>
    <xf borderId="1" fillId="13" fontId="6" numFmtId="0" xfId="0" applyAlignment="1" applyBorder="1" applyFont="1">
      <alignment shrinkToFit="0" vertical="top" wrapText="1"/>
    </xf>
    <xf borderId="1" fillId="12" fontId="6" numFmtId="0" xfId="0" applyAlignment="1" applyBorder="1" applyFont="1">
      <alignment shrinkToFit="0" vertical="top" wrapText="1"/>
    </xf>
    <xf borderId="1" fillId="2" fontId="12" numFmtId="0" xfId="0" applyAlignment="1" applyBorder="1" applyFont="1">
      <alignment shrinkToFit="0" vertical="top" wrapText="1"/>
    </xf>
    <xf borderId="1" fillId="3" fontId="46" numFmtId="0" xfId="0" applyAlignment="1" applyBorder="1" applyFont="1">
      <alignment shrinkToFit="0" wrapText="0"/>
    </xf>
    <xf borderId="0" fillId="0" fontId="14" numFmtId="0" xfId="0" applyAlignment="1" applyFont="1">
      <alignment shrinkToFit="0" vertical="top" wrapText="0"/>
    </xf>
    <xf borderId="0" fillId="0" fontId="15" numFmtId="0" xfId="0" applyAlignment="1" applyFont="1">
      <alignment shrinkToFit="0" vertical="top" wrapText="0"/>
    </xf>
    <xf borderId="1" fillId="3" fontId="6" numFmtId="0" xfId="0" applyAlignment="1" applyBorder="1" applyFont="1">
      <alignment shrinkToFit="0" wrapText="0"/>
    </xf>
    <xf borderId="1" fillId="2" fontId="47" numFmtId="0" xfId="0" applyAlignment="1" applyBorder="1" applyFont="1">
      <alignment shrinkToFit="0" wrapText="0"/>
    </xf>
    <xf borderId="1" fillId="2" fontId="12" numFmtId="0" xfId="0" applyAlignment="1" applyBorder="1" applyFont="1">
      <alignment horizontal="left" shrinkToFit="0" vertical="top" wrapText="1"/>
    </xf>
    <xf borderId="1" fillId="3" fontId="48" numFmtId="0" xfId="0" applyAlignment="1" applyBorder="1" applyFont="1">
      <alignment shrinkToFit="0" wrapText="0"/>
    </xf>
    <xf borderId="1" fillId="2" fontId="49" numFmtId="0" xfId="0" applyAlignment="1" applyBorder="1" applyFont="1">
      <alignment horizontal="left" shrinkToFit="0" wrapText="0"/>
    </xf>
    <xf borderId="1" fillId="13" fontId="12" numFmtId="0" xfId="0" applyAlignment="1" applyBorder="1" applyFont="1">
      <alignment shrinkToFit="0" vertical="top" wrapText="1"/>
    </xf>
    <xf borderId="0" fillId="0" fontId="22" numFmtId="0" xfId="0" applyAlignment="1" applyFont="1">
      <alignment shrinkToFit="0" vertical="top" wrapText="1"/>
    </xf>
    <xf borderId="0" fillId="0" fontId="12" numFmtId="0" xfId="0" applyAlignment="1" applyFont="1">
      <alignment horizontal="left" shrinkToFit="0" vertical="top" wrapText="0"/>
    </xf>
    <xf borderId="0" fillId="0" fontId="14" numFmtId="0" xfId="0" applyAlignment="1" applyFont="1">
      <alignment shrinkToFit="0" vertical="top" wrapText="1"/>
    </xf>
    <xf borderId="1" fillId="2" fontId="14" numFmtId="0" xfId="0" applyAlignment="1" applyBorder="1" applyFont="1">
      <alignment shrinkToFit="0" vertical="top" wrapText="1"/>
    </xf>
    <xf borderId="0" fillId="0" fontId="24" numFmtId="0" xfId="0" applyAlignment="1" applyFont="1">
      <alignment shrinkToFit="0" vertical="top" wrapText="1"/>
    </xf>
    <xf borderId="0" fillId="0" fontId="15" numFmtId="0" xfId="0" applyAlignment="1" applyFont="1">
      <alignment shrinkToFit="0" vertical="top" wrapText="1"/>
    </xf>
    <xf borderId="1" fillId="2" fontId="49" numFmtId="0" xfId="0" applyAlignment="1" applyBorder="1" applyFont="1">
      <alignment shrinkToFit="0" wrapText="0"/>
    </xf>
    <xf borderId="1" fillId="2" fontId="23" numFmtId="0" xfId="0" applyAlignment="1" applyBorder="1" applyFont="1">
      <alignment shrinkToFit="0" vertical="top" wrapText="1"/>
    </xf>
    <xf borderId="0" fillId="0" fontId="12" numFmtId="0" xfId="0" applyAlignment="1" applyFont="1">
      <alignment horizontal="left" shrinkToFit="0" vertical="top" wrapText="1"/>
    </xf>
    <xf borderId="1" fillId="2" fontId="6" numFmtId="0" xfId="0" applyAlignment="1" applyBorder="1" applyFont="1">
      <alignment horizontal="left" shrinkToFit="0" vertical="top" wrapText="0"/>
    </xf>
    <xf borderId="0" fillId="0" fontId="22" numFmtId="0" xfId="0" applyAlignment="1" applyFont="1">
      <alignment shrinkToFit="0" vertical="top" wrapText="0"/>
    </xf>
    <xf borderId="1" fillId="2" fontId="14" numFmtId="0" xfId="0" applyAlignment="1" applyBorder="1" applyFont="1">
      <alignment shrinkToFit="0" vertical="top" wrapText="0"/>
    </xf>
    <xf borderId="1" fillId="2" fontId="23" numFmtId="0" xfId="0" applyAlignment="1" applyBorder="1" applyFont="1">
      <alignment shrinkToFit="0" vertical="top" wrapText="0"/>
    </xf>
    <xf borderId="0" fillId="0" fontId="24" numFmtId="0" xfId="0" applyAlignment="1" applyFont="1">
      <alignment shrinkToFit="0" vertical="top" wrapText="0"/>
    </xf>
    <xf borderId="1" fillId="2" fontId="12" numFmtId="0" xfId="0" applyAlignment="1" applyBorder="1" applyFont="1">
      <alignment horizontal="left" shrinkToFit="0" vertical="top" wrapText="0"/>
    </xf>
    <xf borderId="1" fillId="13" fontId="12" numFmtId="0" xfId="0" applyAlignment="1" applyBorder="1" applyFont="1">
      <alignment shrinkToFit="0" vertical="top" wrapText="0"/>
    </xf>
    <xf borderId="1" fillId="2" fontId="8" numFmtId="0" xfId="0" applyAlignment="1" applyBorder="1" applyFont="1">
      <alignment shrinkToFit="0" wrapText="0"/>
    </xf>
    <xf borderId="1" fillId="2" fontId="0" numFmtId="0" xfId="0" applyAlignment="1" applyBorder="1" applyFont="1">
      <alignment readingOrder="0" shrinkToFit="0" vertical="top" wrapText="0"/>
    </xf>
    <xf borderId="0" fillId="0" fontId="5" numFmtId="0" xfId="0" applyAlignment="1" applyFont="1">
      <alignment shrinkToFit="0" vertical="top" wrapText="0"/>
    </xf>
    <xf borderId="0" fillId="0" fontId="12" numFmtId="0" xfId="0" applyAlignment="1" applyFont="1">
      <alignment readingOrder="0" shrinkToFit="0" vertical="top" wrapText="0"/>
    </xf>
    <xf borderId="0" fillId="0" fontId="12" numFmtId="0" xfId="0" applyAlignment="1" applyFont="1">
      <alignment shrinkToFit="0" wrapText="0"/>
    </xf>
    <xf borderId="0" fillId="0" fontId="12" numFmtId="0" xfId="0" applyAlignment="1" applyFont="1">
      <alignment readingOrder="0" shrinkToFit="0" wrapText="0"/>
    </xf>
    <xf borderId="0" fillId="0" fontId="6" numFmtId="0" xfId="0" applyAlignment="1" applyFont="1">
      <alignment shrinkToFit="0" vertical="top" wrapText="0"/>
    </xf>
  </cellXfs>
  <cellStyles count="1">
    <cellStyle xfId="0" name="Normal" builtinId="0"/>
  </cellStyles>
  <dxfs count="2">
    <dxf>
      <font/>
      <fill>
        <patternFill patternType="solid">
          <fgColor rgb="FFCC0000"/>
          <bgColor rgb="FFCC0000"/>
        </patternFill>
      </fill>
      <alignment shrinkToFit="0" wrapText="0"/>
      <border/>
    </dxf>
    <dxf>
      <font/>
      <fill>
        <patternFill patternType="solid">
          <fgColor rgb="FFB45F06"/>
          <bgColor rgb="FFB45F06"/>
        </patternFill>
      </fill>
      <alignment shrinkToFit="0" wrapText="0"/>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'Paper Numbers &amp; Acceptance Rate'!$D$1</c:f>
            </c:strRef>
          </c:tx>
          <c:spPr>
            <a:ln cmpd="sng" w="38100">
              <a:solidFill>
                <a:srgbClr val="3C78D8"/>
              </a:solidFill>
            </a:ln>
          </c:spPr>
          <c:marker>
            <c:symbol val="none"/>
          </c:marker>
          <c:cat>
            <c:strRef>
              <c:f>'Paper Numbers &amp; Acceptance Rate'!$A$2:$A$31</c:f>
            </c:strRef>
          </c:cat>
          <c:val>
            <c:numRef>
              <c:f>'Paper Numbers &amp; Acceptance Rate'!$D$2:$D$31</c:f>
            </c:numRef>
          </c:val>
          <c:smooth val="0"/>
        </c:ser>
        <c:ser>
          <c:idx val="1"/>
          <c:order val="1"/>
          <c:tx>
            <c:strRef>
              <c:f>'Paper Numbers &amp; Acceptance Rate'!$H$1</c:f>
            </c:strRef>
          </c:tx>
          <c:spPr>
            <a:ln cmpd="sng" w="38100">
              <a:solidFill>
                <a:srgbClr val="E06666"/>
              </a:solidFill>
            </a:ln>
          </c:spPr>
          <c:marker>
            <c:symbol val="none"/>
          </c:marker>
          <c:cat>
            <c:strRef>
              <c:f>'Paper Numbers &amp; Acceptance Rate'!$A$2:$A$31</c:f>
            </c:strRef>
          </c:cat>
          <c:val>
            <c:numRef>
              <c:f>'Paper Numbers &amp; Acceptance Rate'!$H$2:$H$31</c:f>
            </c:numRef>
          </c:val>
          <c:smooth val="0"/>
        </c:ser>
        <c:ser>
          <c:idx val="2"/>
          <c:order val="2"/>
          <c:tx>
            <c:strRef>
              <c:f>'Paper Numbers &amp; Acceptance Rate'!$J$1</c:f>
            </c:strRef>
          </c:tx>
          <c:spPr>
            <a:ln cmpd="sng" w="38100">
              <a:solidFill>
                <a:srgbClr val="6AA84F"/>
              </a:solidFill>
            </a:ln>
          </c:spPr>
          <c:marker>
            <c:symbol val="none"/>
          </c:marker>
          <c:cat>
            <c:strRef>
              <c:f>'Paper Numbers &amp; Acceptance Rate'!$A$2:$A$31</c:f>
            </c:strRef>
          </c:cat>
          <c:val>
            <c:numRef>
              <c:f>'Paper Numbers &amp; Acceptance Rate'!$J$2:$J$31</c:f>
            </c:numRef>
          </c:val>
          <c:smooth val="0"/>
        </c:ser>
        <c:ser>
          <c:idx val="3"/>
          <c:order val="3"/>
          <c:tx>
            <c:strRef>
              <c:f>'Paper Numbers &amp; Acceptance Rate'!$L$1</c:f>
            </c:strRef>
          </c:tx>
          <c:spPr>
            <a:ln cmpd="sng" w="38100">
              <a:solidFill>
                <a:srgbClr val="B6D7A8"/>
              </a:solidFill>
            </a:ln>
          </c:spPr>
          <c:marker>
            <c:symbol val="none"/>
          </c:marker>
          <c:cat>
            <c:strRef>
              <c:f>'Paper Numbers &amp; Acceptance Rate'!$A$2:$A$31</c:f>
            </c:strRef>
          </c:cat>
          <c:val>
            <c:numRef>
              <c:f>'Paper Numbers &amp; Acceptance Rate'!$L$2:$L$31</c:f>
            </c:numRef>
          </c:val>
          <c:smooth val="0"/>
        </c:ser>
        <c:ser>
          <c:idx val="4"/>
          <c:order val="4"/>
          <c:tx>
            <c:strRef>
              <c:f>'Paper Numbers &amp; Acceptance Rate'!$N$1</c:f>
            </c:strRef>
          </c:tx>
          <c:spPr>
            <a:ln cmpd="sng" w="38100">
              <a:solidFill>
                <a:srgbClr val="9900FF"/>
              </a:solidFill>
            </a:ln>
          </c:spPr>
          <c:marker>
            <c:symbol val="none"/>
          </c:marker>
          <c:cat>
            <c:strRef>
              <c:f>'Paper Numbers &amp; Acceptance Rate'!$A$2:$A$31</c:f>
            </c:strRef>
          </c:cat>
          <c:val>
            <c:numRef>
              <c:f>'Paper Numbers &amp; Acceptance Rate'!$N$2:$N$31</c:f>
            </c:numRef>
          </c:val>
          <c:smooth val="0"/>
        </c:ser>
        <c:ser>
          <c:idx val="5"/>
          <c:order val="5"/>
          <c:tx>
            <c:strRef>
              <c:f>'Paper Numbers &amp; Acceptance Rate'!$P$1</c:f>
            </c:strRef>
          </c:tx>
          <c:spPr>
            <a:ln cmpd="sng" w="38100">
              <a:solidFill>
                <a:srgbClr val="B7B7B7"/>
              </a:solidFill>
            </a:ln>
          </c:spPr>
          <c:marker>
            <c:symbol val="none"/>
          </c:marker>
          <c:cat>
            <c:strRef>
              <c:f>'Paper Numbers &amp; Acceptance Rate'!$A$2:$A$31</c:f>
            </c:strRef>
          </c:cat>
          <c:val>
            <c:numRef>
              <c:f>'Paper Numbers &amp; Acceptance Rate'!$P$2:$P$27</c:f>
            </c:numRef>
          </c:val>
          <c:smooth val="0"/>
        </c:ser>
        <c:ser>
          <c:idx val="6"/>
          <c:order val="6"/>
          <c:tx>
            <c:strRef>
              <c:f>'Paper Numbers &amp; Acceptance Rate'!$Q$1</c:f>
            </c:strRef>
          </c:tx>
          <c:spPr>
            <a:ln cmpd="sng" w="38100">
              <a:solidFill>
                <a:srgbClr val="666666"/>
              </a:solidFill>
            </a:ln>
          </c:spPr>
          <c:marker>
            <c:symbol val="none"/>
          </c:marker>
          <c:cat>
            <c:strRef>
              <c:f>'Paper Numbers &amp; Acceptance Rate'!$A$2:$A$31</c:f>
            </c:strRef>
          </c:cat>
          <c:val>
            <c:numRef>
              <c:f>'Paper Numbers &amp; Acceptance Rate'!$Q$2:$Q$31</c:f>
            </c:numRef>
          </c:val>
          <c:smooth val="0"/>
        </c:ser>
        <c:ser>
          <c:idx val="7"/>
          <c:order val="7"/>
          <c:tx>
            <c:strRef>
              <c:f>'Paper Numbers &amp; Acceptance Rate'!$F$1</c:f>
            </c:strRef>
          </c:tx>
          <c:spPr>
            <a:ln cmpd="sng" w="38100">
              <a:solidFill>
                <a:srgbClr val="9FC5E8"/>
              </a:solidFill>
            </a:ln>
          </c:spPr>
          <c:marker>
            <c:symbol val="circle"/>
            <c:size val="10"/>
            <c:spPr>
              <a:solidFill>
                <a:srgbClr val="9FC5E8"/>
              </a:solidFill>
              <a:ln cmpd="sng">
                <a:solidFill>
                  <a:srgbClr val="9FC5E8"/>
                </a:solidFill>
              </a:ln>
            </c:spPr>
          </c:marker>
          <c:cat>
            <c:strRef>
              <c:f>'Paper Numbers &amp; Acceptance Rate'!$A$2:$A$31</c:f>
            </c:strRef>
          </c:cat>
          <c:val>
            <c:numRef>
              <c:f>'Paper Numbers &amp; Acceptance Rate'!$F$2:$F$31</c:f>
            </c:numRef>
          </c:val>
          <c:smooth val="0"/>
        </c:ser>
        <c:ser>
          <c:idx val="8"/>
          <c:order val="8"/>
          <c:tx>
            <c:strRef>
              <c:f>'Paper Numbers &amp; Acceptance Rate'!$B$1</c:f>
            </c:strRef>
          </c:tx>
          <c:spPr>
            <a:ln cmpd="sng" w="38100">
              <a:solidFill>
                <a:srgbClr val="F1C232"/>
              </a:solidFill>
            </a:ln>
          </c:spPr>
          <c:marker>
            <c:symbol val="none"/>
          </c:marker>
          <c:cat>
            <c:strRef>
              <c:f>'Paper Numbers &amp; Acceptance Rate'!$A$2:$A$31</c:f>
            </c:strRef>
          </c:cat>
          <c:val>
            <c:numRef>
              <c:f>'Paper Numbers &amp; Acceptance Rate'!$B$2:$B$31</c:f>
            </c:numRef>
          </c:val>
          <c:smooth val="0"/>
        </c:ser>
        <c:axId val="1573424922"/>
        <c:axId val="2113272293"/>
      </c:lineChart>
      <c:catAx>
        <c:axId val="1573424922"/>
        <c:scaling>
          <c:orientation val="minMax"/>
        </c:scaling>
        <c:delete val="0"/>
        <c:axPos val="b"/>
        <c:title>
          <c:tx>
            <c:rich>
              <a:bodyPr/>
              <a:lstStyle/>
              <a:p>
                <a:pPr lvl="0">
                  <a:defRPr b="1" i="0">
                    <a:solidFill>
                      <a:srgbClr val="000000"/>
                    </a:solidFill>
                    <a:latin typeface="Roboto"/>
                  </a:defRPr>
                </a:pPr>
                <a:r>
                  <a:t/>
                </a:r>
              </a:p>
            </c:rich>
          </c:tx>
          <c:overlay val="0"/>
        </c:title>
        <c:txPr>
          <a:bodyPr/>
          <a:lstStyle/>
          <a:p>
            <a:pPr lvl="0">
              <a:defRPr b="1" i="0" sz="1600">
                <a:solidFill>
                  <a:srgbClr val="000000"/>
                </a:solidFill>
                <a:latin typeface="Roboto"/>
              </a:defRPr>
            </a:pPr>
          </a:p>
        </c:txPr>
        <c:crossAx val="2113272293"/>
      </c:catAx>
      <c:valAx>
        <c:axId val="21132722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a:solidFill>
                      <a:srgbClr val="000000"/>
                    </a:solidFill>
                    <a:latin typeface="Roboto"/>
                  </a:defRPr>
                </a:pPr>
                <a:r>
                  <a:t/>
                </a:r>
              </a:p>
            </c:rich>
          </c:tx>
          <c:overlay val="0"/>
        </c:title>
        <c:numFmt formatCode="General" sourceLinked="1"/>
        <c:tickLblPos val="nextTo"/>
        <c:spPr>
          <a:ln w="47625">
            <a:noFill/>
          </a:ln>
        </c:spPr>
        <c:txPr>
          <a:bodyPr/>
          <a:lstStyle/>
          <a:p>
            <a:pPr lvl="0">
              <a:defRPr b="1" i="0" sz="1600">
                <a:solidFill>
                  <a:srgbClr val="000000"/>
                </a:solidFill>
                <a:latin typeface="Roboto"/>
              </a:defRPr>
            </a:pPr>
          </a:p>
        </c:txPr>
        <c:crossAx val="1573424922"/>
      </c:valAx>
      <c:spPr>
        <a:solidFill>
          <a:srgbClr val="FFFFFF"/>
        </a:solidFill>
      </c:spPr>
    </c:plotArea>
    <c:legend>
      <c:legendPos val="r"/>
      <c:overlay val="0"/>
      <c:txPr>
        <a:bodyPr/>
        <a:lstStyle/>
        <a:p>
          <a:pPr lvl="0">
            <a:defRPr b="1" sz="180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latin typeface="Roboto"/>
              </a:defRPr>
            </a:pPr>
            <a:r>
              <a:t>Papers included in the dataset</a:t>
            </a:r>
          </a:p>
        </c:rich>
      </c:tx>
      <c:overlay val="0"/>
    </c:title>
    <c:plotArea>
      <c:layout/>
      <c:lineChart>
        <c:ser>
          <c:idx val="0"/>
          <c:order val="0"/>
          <c:tx>
            <c:strRef>
              <c:f>'Paper Numbers &amp; Acceptance Rate'!$B$1</c:f>
            </c:strRef>
          </c:tx>
          <c:spPr>
            <a:ln cmpd="sng" w="19050">
              <a:solidFill>
                <a:srgbClr val="3366CC"/>
              </a:solidFill>
            </a:ln>
          </c:spPr>
          <c:marker>
            <c:symbol val="none"/>
          </c:marker>
          <c:cat>
            <c:strRef>
              <c:f>'Paper Numbers &amp; Acceptance Rate'!$A$2:$A$31</c:f>
            </c:strRef>
          </c:cat>
          <c:val>
            <c:numRef>
              <c:f>'Paper Numbers &amp; Acceptance Rate'!$B$2:$B$31</c:f>
            </c:numRef>
          </c:val>
          <c:smooth val="0"/>
        </c:ser>
        <c:ser>
          <c:idx val="1"/>
          <c:order val="1"/>
          <c:tx>
            <c:strRef>
              <c:f>'Paper Numbers &amp; Acceptance Rate'!$D$1</c:f>
            </c:strRef>
          </c:tx>
          <c:spPr>
            <a:ln cmpd="sng" w="19050">
              <a:solidFill>
                <a:srgbClr val="FF0000"/>
              </a:solidFill>
            </a:ln>
          </c:spPr>
          <c:marker>
            <c:symbol val="none"/>
          </c:marker>
          <c:cat>
            <c:strRef>
              <c:f>'Paper Numbers &amp; Acceptance Rate'!$A$2:$A$31</c:f>
            </c:strRef>
          </c:cat>
          <c:val>
            <c:numRef>
              <c:f>'Paper Numbers &amp; Acceptance Rate'!$D$2:$D$31</c:f>
            </c:numRef>
          </c:val>
          <c:smooth val="0"/>
        </c:ser>
        <c:ser>
          <c:idx val="2"/>
          <c:order val="2"/>
          <c:tx>
            <c:strRef>
              <c:f>'Paper Numbers &amp; Acceptance Rate'!$H$1</c:f>
            </c:strRef>
          </c:tx>
          <c:spPr>
            <a:ln cmpd="sng" w="19050">
              <a:solidFill>
                <a:srgbClr val="FF9900"/>
              </a:solidFill>
            </a:ln>
          </c:spPr>
          <c:marker>
            <c:symbol val="none"/>
          </c:marker>
          <c:cat>
            <c:strRef>
              <c:f>'Paper Numbers &amp; Acceptance Rate'!$A$2:$A$31</c:f>
            </c:strRef>
          </c:cat>
          <c:val>
            <c:numRef>
              <c:f>'Paper Numbers &amp; Acceptance Rate'!$H$2:$H$31</c:f>
            </c:numRef>
          </c:val>
          <c:smooth val="0"/>
        </c:ser>
        <c:ser>
          <c:idx val="3"/>
          <c:order val="3"/>
          <c:tx>
            <c:strRef>
              <c:f>'Paper Numbers &amp; Acceptance Rate'!$J$1</c:f>
            </c:strRef>
          </c:tx>
          <c:spPr>
            <a:ln cmpd="sng" w="19050">
              <a:solidFill>
                <a:srgbClr val="109618"/>
              </a:solidFill>
            </a:ln>
          </c:spPr>
          <c:marker>
            <c:symbol val="none"/>
          </c:marker>
          <c:cat>
            <c:strRef>
              <c:f>'Paper Numbers &amp; Acceptance Rate'!$A$2:$A$31</c:f>
            </c:strRef>
          </c:cat>
          <c:val>
            <c:numRef>
              <c:f>'Paper Numbers &amp; Acceptance Rate'!$J$2:$J$31</c:f>
            </c:numRef>
          </c:val>
          <c:smooth val="0"/>
        </c:ser>
        <c:ser>
          <c:idx val="4"/>
          <c:order val="4"/>
          <c:tx>
            <c:strRef>
              <c:f>'Paper Numbers &amp; Acceptance Rate'!$L$1</c:f>
            </c:strRef>
          </c:tx>
          <c:spPr>
            <a:ln cmpd="sng" w="19050">
              <a:solidFill>
                <a:srgbClr val="6AA84F"/>
              </a:solidFill>
            </a:ln>
          </c:spPr>
          <c:marker>
            <c:symbol val="circle"/>
            <c:size val="7"/>
            <c:spPr>
              <a:solidFill>
                <a:srgbClr val="6AA84F"/>
              </a:solidFill>
              <a:ln cmpd="sng">
                <a:solidFill>
                  <a:srgbClr val="6AA84F"/>
                </a:solidFill>
              </a:ln>
            </c:spPr>
          </c:marker>
          <c:cat>
            <c:strRef>
              <c:f>'Paper Numbers &amp; Acceptance Rate'!$A$2:$A$31</c:f>
            </c:strRef>
          </c:cat>
          <c:val>
            <c:numRef>
              <c:f>'Paper Numbers &amp; Acceptance Rate'!$L$2:$L$31</c:f>
            </c:numRef>
          </c:val>
          <c:smooth val="0"/>
        </c:ser>
        <c:ser>
          <c:idx val="5"/>
          <c:order val="5"/>
          <c:tx>
            <c:strRef>
              <c:f>'Paper Numbers &amp; Acceptance Rate'!$Q$1</c:f>
            </c:strRef>
          </c:tx>
          <c:spPr>
            <a:ln cmpd="sng" w="38100">
              <a:solidFill>
                <a:srgbClr val="B7B7B7"/>
              </a:solidFill>
            </a:ln>
          </c:spPr>
          <c:marker>
            <c:symbol val="none"/>
          </c:marker>
          <c:cat>
            <c:strRef>
              <c:f>'Paper Numbers &amp; Acceptance Rate'!$A$2:$A$31</c:f>
            </c:strRef>
          </c:cat>
          <c:val>
            <c:numRef>
              <c:f>'Paper Numbers &amp; Acceptance Rate'!$Q$2:$Q$31</c:f>
            </c:numRef>
          </c:val>
          <c:smooth val="0"/>
        </c:ser>
        <c:ser>
          <c:idx val="6"/>
          <c:order val="6"/>
          <c:tx>
            <c:strRef>
              <c:f>'Paper Numbers &amp; Acceptance Rate'!$F$1</c:f>
            </c:strRef>
          </c:tx>
          <c:spPr>
            <a:ln cmpd="sng" w="19050">
              <a:solidFill>
                <a:srgbClr val="FF0000"/>
              </a:solidFill>
            </a:ln>
          </c:spPr>
          <c:marker>
            <c:symbol val="circle"/>
            <c:size val="7"/>
            <c:spPr>
              <a:solidFill>
                <a:srgbClr val="FF0000"/>
              </a:solidFill>
              <a:ln cmpd="sng">
                <a:solidFill>
                  <a:srgbClr val="FF0000"/>
                </a:solidFill>
              </a:ln>
            </c:spPr>
          </c:marker>
          <c:cat>
            <c:strRef>
              <c:f>'Paper Numbers &amp; Acceptance Rate'!$A$2:$A$31</c:f>
            </c:strRef>
          </c:cat>
          <c:val>
            <c:numRef>
              <c:f>'Paper Numbers &amp; Acceptance Rate'!$F$2:$F$6</c:f>
            </c:numRef>
          </c:val>
          <c:smooth val="0"/>
        </c:ser>
        <c:axId val="1557350407"/>
        <c:axId val="829831090"/>
      </c:lineChart>
      <c:catAx>
        <c:axId val="1557350407"/>
        <c:scaling>
          <c:orientation val="minMax"/>
        </c:scaling>
        <c:delete val="0"/>
        <c:axPos val="b"/>
        <c:title>
          <c:tx>
            <c:rich>
              <a:bodyPr/>
              <a:lstStyle/>
              <a:p>
                <a:pPr lvl="0">
                  <a:defRPr b="1" i="0">
                    <a:solidFill>
                      <a:srgbClr val="000000"/>
                    </a:solidFill>
                    <a:latin typeface="Roboto"/>
                  </a:defRPr>
                </a:pPr>
                <a:r>
                  <a:t>Year</a:t>
                </a:r>
              </a:p>
            </c:rich>
          </c:tx>
          <c:overlay val="0"/>
        </c:title>
        <c:txPr>
          <a:bodyPr/>
          <a:lstStyle/>
          <a:p>
            <a:pPr lvl="0">
              <a:defRPr b="1" i="0">
                <a:solidFill>
                  <a:srgbClr val="000000"/>
                </a:solidFill>
                <a:latin typeface="Roboto"/>
              </a:defRPr>
            </a:pPr>
          </a:p>
        </c:txPr>
        <c:crossAx val="829831090"/>
      </c:catAx>
      <c:valAx>
        <c:axId val="829831090"/>
        <c:scaling>
          <c:orientation val="minMax"/>
        </c:scaling>
        <c:delete val="0"/>
        <c:axPos val="l"/>
        <c:majorGridlines>
          <c:spPr>
            <a:ln>
              <a:solidFill>
                <a:srgbClr val="B7B7B7"/>
              </a:solidFill>
            </a:ln>
          </c:spPr>
        </c:majorGridlines>
        <c:minorGridlines>
          <c:spPr>
            <a:ln>
              <a:solidFill>
                <a:srgbClr val="EFEFEF"/>
              </a:solidFill>
            </a:ln>
          </c:spPr>
        </c:minorGridlines>
        <c:title>
          <c:tx>
            <c:rich>
              <a:bodyPr/>
              <a:lstStyle/>
              <a:p>
                <a:pPr lvl="0">
                  <a:defRPr b="1" i="0">
                    <a:solidFill>
                      <a:srgbClr val="000000"/>
                    </a:solidFill>
                    <a:latin typeface="Roboto"/>
                  </a:defRPr>
                </a:pPr>
                <a:r>
                  <a:t># of papers</a:t>
                </a:r>
              </a:p>
            </c:rich>
          </c:tx>
          <c:overlay val="0"/>
        </c:title>
        <c:numFmt formatCode="General" sourceLinked="1"/>
        <c:tickLblPos val="nextTo"/>
        <c:spPr>
          <a:ln w="47625">
            <a:noFill/>
          </a:ln>
        </c:spPr>
        <c:txPr>
          <a:bodyPr/>
          <a:lstStyle/>
          <a:p>
            <a:pPr lvl="0">
              <a:defRPr b="1" i="0">
                <a:solidFill>
                  <a:srgbClr val="000000"/>
                </a:solidFill>
                <a:latin typeface="Roboto"/>
              </a:defRPr>
            </a:pPr>
          </a:p>
        </c:txPr>
        <c:crossAx val="1557350407"/>
      </c:valAx>
      <c:spPr>
        <a:solidFill>
          <a:srgbClr val="FFFFFF"/>
        </a:solidFill>
      </c:spPr>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400">
                <a:solidFill>
                  <a:srgbClr val="666666"/>
                </a:solidFill>
                <a:latin typeface="Roboto"/>
              </a:defRPr>
            </a:pPr>
            <a:r>
              <a:t>Number of Papers at IEEE VIS/VisWeek</a:t>
            </a:r>
          </a:p>
        </c:rich>
      </c:tx>
      <c:overlay val="0"/>
    </c:title>
    <c:plotArea>
      <c:layout/>
      <c:lineChart>
        <c:ser>
          <c:idx val="0"/>
          <c:order val="0"/>
          <c:tx>
            <c:strRef>
              <c:f>'Paper Numbers &amp; Acceptance Rate'!$D$1</c:f>
            </c:strRef>
          </c:tx>
          <c:spPr>
            <a:ln cmpd="sng" w="38100">
              <a:solidFill>
                <a:srgbClr val="3C78D8"/>
              </a:solidFill>
            </a:ln>
          </c:spPr>
          <c:marker>
            <c:symbol val="circle"/>
            <c:size val="7"/>
            <c:spPr>
              <a:solidFill>
                <a:srgbClr val="3C78D8"/>
              </a:solidFill>
              <a:ln cmpd="sng">
                <a:solidFill>
                  <a:srgbClr val="3C78D8"/>
                </a:solidFill>
              </a:ln>
            </c:spPr>
          </c:marker>
          <c:dLbls>
            <c:txPr>
              <a:bodyPr/>
              <a:lstStyle/>
              <a:p>
                <a:pPr lvl="0">
                  <a:defRPr b="0" i="0">
                    <a:solidFill>
                      <a:srgbClr val="434343"/>
                    </a:solidFill>
                  </a:defRPr>
                </a:pPr>
              </a:p>
            </c:txPr>
            <c:showLegendKey val="0"/>
            <c:showVal val="1"/>
            <c:showCatName val="0"/>
            <c:showSerName val="0"/>
            <c:showPercent val="0"/>
            <c:showBubbleSize val="0"/>
          </c:dLbls>
          <c:cat>
            <c:strRef>
              <c:f>'Paper Numbers &amp; Acceptance Rate'!$A$2:$A$31</c:f>
            </c:strRef>
          </c:cat>
          <c:val>
            <c:numRef>
              <c:f>'Paper Numbers &amp; Acceptance Rate'!$D$2:$D$31</c:f>
            </c:numRef>
          </c:val>
          <c:smooth val="0"/>
        </c:ser>
        <c:ser>
          <c:idx val="1"/>
          <c:order val="1"/>
          <c:tx>
            <c:strRef>
              <c:f>'Paper Numbers &amp; Acceptance Rate'!$H$1</c:f>
            </c:strRef>
          </c:tx>
          <c:spPr>
            <a:ln cmpd="sng" w="38100">
              <a:solidFill>
                <a:srgbClr val="E06666"/>
              </a:solidFill>
            </a:ln>
          </c:spPr>
          <c:marker>
            <c:symbol val="circle"/>
            <c:size val="7"/>
            <c:spPr>
              <a:solidFill>
                <a:srgbClr val="E06666"/>
              </a:solidFill>
              <a:ln cmpd="sng">
                <a:solidFill>
                  <a:srgbClr val="E06666"/>
                </a:solidFill>
              </a:ln>
            </c:spPr>
          </c:marker>
          <c:dLbls>
            <c:txPr>
              <a:bodyPr/>
              <a:lstStyle/>
              <a:p>
                <a:pPr lvl="0">
                  <a:defRPr b="0" i="0">
                    <a:solidFill>
                      <a:srgbClr val="434343"/>
                    </a:solidFill>
                  </a:defRPr>
                </a:pPr>
              </a:p>
            </c:txPr>
            <c:showLegendKey val="0"/>
            <c:showVal val="1"/>
            <c:showCatName val="0"/>
            <c:showSerName val="0"/>
            <c:showPercent val="0"/>
            <c:showBubbleSize val="0"/>
          </c:dLbls>
          <c:cat>
            <c:strRef>
              <c:f>'Paper Numbers &amp; Acceptance Rate'!$A$2:$A$31</c:f>
            </c:strRef>
          </c:cat>
          <c:val>
            <c:numRef>
              <c:f>'Paper Numbers &amp; Acceptance Rate'!$H$2:$H$31</c:f>
            </c:numRef>
          </c:val>
          <c:smooth val="0"/>
        </c:ser>
        <c:ser>
          <c:idx val="2"/>
          <c:order val="2"/>
          <c:tx>
            <c:strRef>
              <c:f>'Paper Numbers &amp; Acceptance Rate'!$J$1</c:f>
            </c:strRef>
          </c:tx>
          <c:spPr>
            <a:ln cmpd="sng" w="38100">
              <a:solidFill>
                <a:srgbClr val="B6D7A8"/>
              </a:solidFill>
            </a:ln>
          </c:spPr>
          <c:marker>
            <c:symbol val="circle"/>
            <c:size val="7"/>
            <c:spPr>
              <a:solidFill>
                <a:srgbClr val="B6D7A8"/>
              </a:solidFill>
              <a:ln cmpd="sng">
                <a:solidFill>
                  <a:srgbClr val="B6D7A8"/>
                </a:solidFill>
              </a:ln>
            </c:spPr>
          </c:marker>
          <c:dLbls>
            <c:txPr>
              <a:bodyPr/>
              <a:lstStyle/>
              <a:p>
                <a:pPr lvl="0">
                  <a:defRPr b="0" i="0">
                    <a:solidFill>
                      <a:srgbClr val="434343"/>
                    </a:solidFill>
                  </a:defRPr>
                </a:pPr>
              </a:p>
            </c:txPr>
            <c:showLegendKey val="0"/>
            <c:showVal val="1"/>
            <c:showCatName val="0"/>
            <c:showSerName val="0"/>
            <c:showPercent val="0"/>
            <c:showBubbleSize val="0"/>
          </c:dLbls>
          <c:cat>
            <c:strRef>
              <c:f>'Paper Numbers &amp; Acceptance Rate'!$A$2:$A$31</c:f>
            </c:strRef>
          </c:cat>
          <c:val>
            <c:numRef>
              <c:f>'Paper Numbers &amp; Acceptance Rate'!$J$2:$J$31</c:f>
            </c:numRef>
          </c:val>
          <c:smooth val="0"/>
        </c:ser>
        <c:ser>
          <c:idx val="3"/>
          <c:order val="3"/>
          <c:tx>
            <c:strRef>
              <c:f>'Paper Numbers &amp; Acceptance Rate'!$R$1</c:f>
            </c:strRef>
          </c:tx>
          <c:spPr>
            <a:ln cmpd="sng" w="38100">
              <a:solidFill>
                <a:srgbClr val="CCCCCC"/>
              </a:solidFill>
            </a:ln>
          </c:spPr>
          <c:marker>
            <c:symbol val="circle"/>
            <c:size val="7"/>
            <c:spPr>
              <a:solidFill>
                <a:srgbClr val="CCCCCC"/>
              </a:solidFill>
              <a:ln cmpd="sng">
                <a:solidFill>
                  <a:srgbClr val="CCCCCC"/>
                </a:solidFill>
              </a:ln>
            </c:spPr>
          </c:marker>
          <c:dLbls>
            <c:txPr>
              <a:bodyPr/>
              <a:lstStyle/>
              <a:p>
                <a:pPr lvl="0">
                  <a:defRPr b="0" i="0">
                    <a:solidFill>
                      <a:srgbClr val="434343"/>
                    </a:solidFill>
                  </a:defRPr>
                </a:pPr>
              </a:p>
            </c:txPr>
            <c:showLegendKey val="0"/>
            <c:showVal val="1"/>
            <c:showCatName val="0"/>
            <c:showSerName val="0"/>
            <c:showPercent val="0"/>
            <c:showBubbleSize val="0"/>
          </c:dLbls>
          <c:cat>
            <c:strRef>
              <c:f>'Paper Numbers &amp; Acceptance Rate'!$A$2:$A$31</c:f>
            </c:strRef>
          </c:cat>
          <c:val>
            <c:numRef>
              <c:f>'Paper Numbers &amp; Acceptance Rate'!$R$2:$R$31</c:f>
            </c:numRef>
          </c:val>
          <c:smooth val="0"/>
        </c:ser>
        <c:ser>
          <c:idx val="4"/>
          <c:order val="4"/>
          <c:tx>
            <c:strRef>
              <c:f>'Paper Numbers &amp; Acceptance Rate'!$B$1</c:f>
            </c:strRef>
          </c:tx>
          <c:spPr>
            <a:ln cmpd="sng" w="38100">
              <a:solidFill>
                <a:srgbClr val="F1C232"/>
              </a:solidFill>
            </a:ln>
          </c:spPr>
          <c:marker>
            <c:symbol val="circle"/>
            <c:size val="7"/>
            <c:spPr>
              <a:solidFill>
                <a:srgbClr val="F1C232"/>
              </a:solidFill>
              <a:ln cmpd="sng">
                <a:solidFill>
                  <a:srgbClr val="F1C232"/>
                </a:solidFill>
              </a:ln>
            </c:spPr>
          </c:marker>
          <c:dLbls>
            <c:txPr>
              <a:bodyPr/>
              <a:lstStyle/>
              <a:p>
                <a:pPr lvl="0">
                  <a:defRPr b="0" i="0">
                    <a:solidFill>
                      <a:srgbClr val="434343"/>
                    </a:solidFill>
                  </a:defRPr>
                </a:pPr>
              </a:p>
            </c:txPr>
            <c:showLegendKey val="0"/>
            <c:showVal val="1"/>
            <c:showCatName val="0"/>
            <c:showSerName val="0"/>
            <c:showPercent val="0"/>
            <c:showBubbleSize val="0"/>
          </c:dLbls>
          <c:cat>
            <c:strRef>
              <c:f>'Paper Numbers &amp; Acceptance Rate'!$A$2:$A$31</c:f>
            </c:strRef>
          </c:cat>
          <c:val>
            <c:numRef>
              <c:f>'Paper Numbers &amp; Acceptance Rate'!$B$2:$B$31</c:f>
            </c:numRef>
          </c:val>
          <c:smooth val="0"/>
        </c:ser>
        <c:axId val="1164678266"/>
        <c:axId val="1928731320"/>
      </c:lineChart>
      <c:catAx>
        <c:axId val="1164678266"/>
        <c:scaling>
          <c:orientation val="minMax"/>
        </c:scaling>
        <c:delete val="0"/>
        <c:axPos val="b"/>
        <c:title>
          <c:tx>
            <c:rich>
              <a:bodyPr/>
              <a:lstStyle/>
              <a:p>
                <a:pPr lvl="0">
                  <a:defRPr b="1" i="0" sz="2000">
                    <a:solidFill>
                      <a:srgbClr val="000000"/>
                    </a:solidFill>
                    <a:latin typeface="Roboto"/>
                  </a:defRPr>
                </a:pPr>
                <a:r>
                  <a:t>Year</a:t>
                </a:r>
              </a:p>
            </c:rich>
          </c:tx>
          <c:overlay val="0"/>
        </c:title>
        <c:txPr>
          <a:bodyPr/>
          <a:lstStyle/>
          <a:p>
            <a:pPr lvl="0">
              <a:defRPr b="1" i="0" sz="1600">
                <a:solidFill>
                  <a:srgbClr val="000000"/>
                </a:solidFill>
                <a:latin typeface="Roboto"/>
              </a:defRPr>
            </a:pPr>
          </a:p>
        </c:txPr>
        <c:crossAx val="1928731320"/>
      </c:catAx>
      <c:valAx>
        <c:axId val="1928731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2000">
                    <a:solidFill>
                      <a:srgbClr val="000000"/>
                    </a:solidFill>
                    <a:latin typeface="Roboto"/>
                  </a:defRPr>
                </a:pPr>
                <a:r>
                  <a:t>Number of papers</a:t>
                </a:r>
              </a:p>
            </c:rich>
          </c:tx>
          <c:overlay val="0"/>
        </c:title>
        <c:numFmt formatCode="General" sourceLinked="1"/>
        <c:tickLblPos val="nextTo"/>
        <c:spPr>
          <a:ln w="47625">
            <a:noFill/>
          </a:ln>
        </c:spPr>
        <c:txPr>
          <a:bodyPr/>
          <a:lstStyle/>
          <a:p>
            <a:pPr lvl="0">
              <a:defRPr b="1" i="0" sz="1600">
                <a:solidFill>
                  <a:srgbClr val="000000"/>
                </a:solidFill>
                <a:latin typeface="Roboto"/>
              </a:defRPr>
            </a:pPr>
          </a:p>
        </c:txPr>
        <c:crossAx val="1164678266"/>
      </c:valAx>
      <c:spPr>
        <a:solidFill>
          <a:srgbClr val="FFFFFF"/>
        </a:solidFill>
      </c:spPr>
    </c:plotArea>
    <c:legend>
      <c:legendPos val="b"/>
      <c:overlay val="0"/>
      <c:txPr>
        <a:bodyPr/>
        <a:lstStyle/>
        <a:p>
          <a:pPr lvl="0">
            <a:defRPr b="1" sz="180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000000"/>
                </a:solidFill>
                <a:latin typeface="Roboto"/>
              </a:defRPr>
            </a:pPr>
            <a:r>
              <a:t>InfoVis Acceptance Rate</a:t>
            </a:r>
          </a:p>
        </c:rich>
      </c:tx>
      <c:overlay val="0"/>
    </c:title>
    <c:plotArea>
      <c:layout/>
      <c:lineChart>
        <c:varyColors val="0"/>
        <c:ser>
          <c:idx val="0"/>
          <c:order val="0"/>
          <c:tx>
            <c:strRef>
              <c:f>'Paper Numbers &amp; Acceptance Rate'!$I$1</c:f>
            </c:strRef>
          </c:tx>
          <c:marker>
            <c:symbol val="none"/>
          </c:marker>
          <c:dLbls>
            <c:txPr>
              <a:bodyPr/>
              <a:lstStyle/>
              <a:p>
                <a:pPr lvl="0">
                  <a:defRPr b="0" i="0"/>
                </a:pPr>
              </a:p>
            </c:txPr>
            <c:showLegendKey val="0"/>
            <c:showVal val="1"/>
            <c:showCatName val="0"/>
            <c:showSerName val="0"/>
            <c:showPercent val="0"/>
            <c:showBubbleSize val="0"/>
          </c:dLbls>
          <c:cat>
            <c:strRef>
              <c:f>'Paper Numbers &amp; Acceptance Rate'!$A$2:$A$26</c:f>
            </c:strRef>
          </c:cat>
          <c:val>
            <c:numRef>
              <c:f>'Paper Numbers &amp; Acceptance Rate'!$I$2:$I$26</c:f>
            </c:numRef>
          </c:val>
          <c:smooth val="0"/>
        </c:ser>
        <c:axId val="1104256649"/>
        <c:axId val="1506438273"/>
      </c:lineChart>
      <c:catAx>
        <c:axId val="1104256649"/>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sz="1800">
                <a:solidFill>
                  <a:srgbClr val="000000"/>
                </a:solidFill>
                <a:latin typeface="Roboto"/>
              </a:defRPr>
            </a:pPr>
          </a:p>
        </c:txPr>
        <c:crossAx val="1506438273"/>
      </c:catAx>
      <c:valAx>
        <c:axId val="15064382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800">
                <a:solidFill>
                  <a:srgbClr val="000000"/>
                </a:solidFill>
                <a:latin typeface="Roboto"/>
              </a:defRPr>
            </a:pPr>
          </a:p>
        </c:txPr>
        <c:crossAx val="1104256649"/>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000000"/>
                </a:solidFill>
                <a:latin typeface="Roboto"/>
              </a:defRPr>
            </a:pPr>
            <a:r>
              <a:t>InfoVis Accepted Papers</a:t>
            </a:r>
          </a:p>
        </c:rich>
      </c:tx>
      <c:overlay val="0"/>
    </c:title>
    <c:plotArea>
      <c:layout/>
      <c:lineChart>
        <c:varyColors val="0"/>
        <c:ser>
          <c:idx val="0"/>
          <c:order val="0"/>
          <c:tx>
            <c:strRef>
              <c:f>'Paper Numbers &amp; Acceptance Rate'!$H$1</c:f>
            </c:strRef>
          </c:tx>
          <c:marker>
            <c:symbol val="none"/>
          </c:marker>
          <c:cat>
            <c:strRef>
              <c:f>'Paper Numbers &amp; Acceptance Rate'!$A$2:$A$26</c:f>
            </c:strRef>
          </c:cat>
          <c:val>
            <c:numRef>
              <c:f>'Paper Numbers &amp; Acceptance Rate'!$H$2:$H$26</c:f>
            </c:numRef>
          </c:val>
          <c:smooth val="0"/>
        </c:ser>
        <c:axId val="215531666"/>
        <c:axId val="1690576845"/>
      </c:lineChart>
      <c:catAx>
        <c:axId val="215531666"/>
        <c:scaling>
          <c:orientation val="minMax"/>
        </c:scaling>
        <c:delete val="0"/>
        <c:axPos val="b"/>
        <c:title>
          <c:tx>
            <c:rich>
              <a:bodyPr/>
              <a:lstStyle/>
              <a:p>
                <a:pPr lvl="0">
                  <a:defRPr b="0">
                    <a:solidFill>
                      <a:srgbClr val="000000"/>
                    </a:solidFill>
                    <a:latin typeface="Roboto"/>
                  </a:defRPr>
                </a:pPr>
                <a:r>
                  <a:t/>
                </a:r>
              </a:p>
            </c:rich>
          </c:tx>
          <c:overlay val="0"/>
        </c:title>
        <c:txPr>
          <a:bodyPr/>
          <a:lstStyle/>
          <a:p>
            <a:pPr lvl="0">
              <a:defRPr b="0" sz="1800">
                <a:solidFill>
                  <a:srgbClr val="000000"/>
                </a:solidFill>
                <a:latin typeface="Roboto"/>
              </a:defRPr>
            </a:pPr>
          </a:p>
        </c:txPr>
        <c:crossAx val="1690576845"/>
      </c:catAx>
      <c:valAx>
        <c:axId val="1690576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sz="1800">
                <a:solidFill>
                  <a:srgbClr val="000000"/>
                </a:solidFill>
                <a:latin typeface="Roboto"/>
              </a:defRPr>
            </a:pPr>
          </a:p>
        </c:txPr>
        <c:crossAx val="215531666"/>
      </c:valAx>
    </c:plotArea>
    <c:legend>
      <c:legendPos val="r"/>
      <c:overlay val="0"/>
      <c:txPr>
        <a:bodyPr/>
        <a:lstStyle/>
        <a:p>
          <a:pPr lvl="0">
            <a:defRPr b="0">
              <a:solidFill>
                <a:srgbClr val="000000"/>
              </a:solidFill>
              <a:latin typeface="Roboto"/>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495300</xdr:colOff>
      <xdr:row>13</xdr:row>
      <xdr:rowOff>19050</xdr:rowOff>
    </xdr:from>
    <xdr:ext cx="10620375" cy="56007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247650</xdr:colOff>
      <xdr:row>46</xdr:row>
      <xdr:rowOff>180975</xdr:rowOff>
    </xdr:from>
    <xdr:ext cx="9953625" cy="61626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15</xdr:col>
      <xdr:colOff>352425</xdr:colOff>
      <xdr:row>33</xdr:row>
      <xdr:rowOff>123825</xdr:rowOff>
    </xdr:from>
    <xdr:ext cx="11820525" cy="6800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0</xdr:colOff>
      <xdr:row>56</xdr:row>
      <xdr:rowOff>0</xdr:rowOff>
    </xdr:from>
    <xdr:ext cx="9505950" cy="5057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xdr:col>
      <xdr:colOff>0</xdr:colOff>
      <xdr:row>82</xdr:row>
      <xdr:rowOff>19050</xdr:rowOff>
    </xdr:from>
    <xdr:ext cx="9505950" cy="4362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dx.doi.org/10.1109/VISUAL.1993.398863" TargetMode="External"/><Relationship Id="rId194" Type="http://schemas.openxmlformats.org/officeDocument/2006/relationships/hyperlink" Target="http://dx.doi.org/10.1109/VISUAL.1993.398867" TargetMode="External"/><Relationship Id="rId193" Type="http://schemas.openxmlformats.org/officeDocument/2006/relationships/hyperlink" Target="http://dx.doi.org/10.1109/VISUAL.1993.398866" TargetMode="External"/><Relationship Id="rId192" Type="http://schemas.openxmlformats.org/officeDocument/2006/relationships/hyperlink" Target="http://dx.doi.org/10.1109/VISUAL.1993.398865" TargetMode="External"/><Relationship Id="rId191" Type="http://schemas.openxmlformats.org/officeDocument/2006/relationships/hyperlink" Target="http://dx.doi.org/10.1109/VISUAL.1993.398864" TargetMode="External"/><Relationship Id="rId187" Type="http://schemas.openxmlformats.org/officeDocument/2006/relationships/hyperlink" Target="http://dx.doi.org/10.1109/VISUAL.1993.398860" TargetMode="External"/><Relationship Id="rId186" Type="http://schemas.openxmlformats.org/officeDocument/2006/relationships/hyperlink" Target="http://dx.doi.org/10.1109/VISUAL.1993.398859" TargetMode="External"/><Relationship Id="rId185" Type="http://schemas.openxmlformats.org/officeDocument/2006/relationships/hyperlink" Target="http://dx.doi.org/10.1109/VISUAL.1993.398858" TargetMode="External"/><Relationship Id="rId184" Type="http://schemas.openxmlformats.org/officeDocument/2006/relationships/hyperlink" Target="http://dx.doi.org/10.1109/VISUAL.1993.398857" TargetMode="External"/><Relationship Id="rId189" Type="http://schemas.openxmlformats.org/officeDocument/2006/relationships/hyperlink" Target="http://dx.doi.org/10.1109/VISUAL.1993.398862" TargetMode="External"/><Relationship Id="rId188" Type="http://schemas.openxmlformats.org/officeDocument/2006/relationships/hyperlink" Target="http://dx.doi.org/10.1109/VISUAL.1993.398861" TargetMode="External"/><Relationship Id="rId183" Type="http://schemas.openxmlformats.org/officeDocument/2006/relationships/hyperlink" Target="http://dx.doi.org/10.1109/VISUAL.1993.398856" TargetMode="External"/><Relationship Id="rId182" Type="http://schemas.openxmlformats.org/officeDocument/2006/relationships/hyperlink" Target="http://dx.doi.org/10.1109/VISUAL.1993.398855" TargetMode="External"/><Relationship Id="rId181" Type="http://schemas.openxmlformats.org/officeDocument/2006/relationships/hyperlink" Target="http://dx.doi.org/10.1109/VISUAL.1993.398854" TargetMode="External"/><Relationship Id="rId180" Type="http://schemas.openxmlformats.org/officeDocument/2006/relationships/hyperlink" Target="http://dx.doi.org/10.1109/VISUAL.1993.398853" TargetMode="External"/><Relationship Id="rId176" Type="http://schemas.openxmlformats.org/officeDocument/2006/relationships/hyperlink" Target="http://dx.doi.org/10.1109/VISUAL.1993.398849" TargetMode="External"/><Relationship Id="rId175" Type="http://schemas.openxmlformats.org/officeDocument/2006/relationships/hyperlink" Target="http://dx.doi.org/10.1109/VISUAL.1993.398848" TargetMode="External"/><Relationship Id="rId174" Type="http://schemas.openxmlformats.org/officeDocument/2006/relationships/hyperlink" Target="http://dx.doi.org/10.1109/VISUAL.1993.398847" TargetMode="External"/><Relationship Id="rId173" Type="http://schemas.openxmlformats.org/officeDocument/2006/relationships/hyperlink" Target="http://dx.doi.org/10.1109/VISUAL.1993.398846" TargetMode="External"/><Relationship Id="rId179" Type="http://schemas.openxmlformats.org/officeDocument/2006/relationships/hyperlink" Target="http://dx.doi.org/10.1109/VISUAL.1993.398852" TargetMode="External"/><Relationship Id="rId178" Type="http://schemas.openxmlformats.org/officeDocument/2006/relationships/hyperlink" Target="http://dx.doi.org/10.1109/VISUAL.1993.398851" TargetMode="External"/><Relationship Id="rId177" Type="http://schemas.openxmlformats.org/officeDocument/2006/relationships/hyperlink" Target="http://dx.doi.org/10.1109/VISUAL.1993.398850" TargetMode="External"/><Relationship Id="rId198" Type="http://schemas.openxmlformats.org/officeDocument/2006/relationships/hyperlink" Target="http://dx.doi.org/10.1109/VISUAL.1993.398871" TargetMode="External"/><Relationship Id="rId197" Type="http://schemas.openxmlformats.org/officeDocument/2006/relationships/hyperlink" Target="http://dx.doi.org/10.1109/VISUAL.1993.398870" TargetMode="External"/><Relationship Id="rId196" Type="http://schemas.openxmlformats.org/officeDocument/2006/relationships/hyperlink" Target="http://dx.doi.org/10.1109/VISUAL.1993.398869" TargetMode="External"/><Relationship Id="rId195" Type="http://schemas.openxmlformats.org/officeDocument/2006/relationships/hyperlink" Target="http://dx.doi.org/10.1109/VISUAL.1993.398868" TargetMode="External"/><Relationship Id="rId199" Type="http://schemas.openxmlformats.org/officeDocument/2006/relationships/hyperlink" Target="http://dx.doi.org/10.1109/VISUAL.1993.398872" TargetMode="External"/><Relationship Id="rId150" Type="http://schemas.openxmlformats.org/officeDocument/2006/relationships/hyperlink" Target="http://dx.doi.org/10.1109/VISUAL.1992.235210" TargetMode="External"/><Relationship Id="rId392" Type="http://schemas.openxmlformats.org/officeDocument/2006/relationships/hyperlink" Target="http://dx.doi.org/10.1109/VISUAL.1997.663858" TargetMode="External"/><Relationship Id="rId391" Type="http://schemas.openxmlformats.org/officeDocument/2006/relationships/hyperlink" Target="http://dx.doi.org/10.1109/VISUAL.1997.663857" TargetMode="External"/><Relationship Id="rId390" Type="http://schemas.openxmlformats.org/officeDocument/2006/relationships/hyperlink" Target="http://dx.doi.org/10.1109/VISUAL.1997.663856" TargetMode="External"/><Relationship Id="rId1" Type="http://schemas.openxmlformats.org/officeDocument/2006/relationships/comments" Target="../comments1.xml"/><Relationship Id="rId2" Type="http://schemas.openxmlformats.org/officeDocument/2006/relationships/hyperlink" Target="http://dl.acm.org/citation.cfm?id=949606&amp;CFID=522724143&amp;CFTOKEN=98665846" TargetMode="External"/><Relationship Id="rId3" Type="http://schemas.openxmlformats.org/officeDocument/2006/relationships/hyperlink" Target="http://dx.doi.org/10.1109/VISUAL.1990.146359" TargetMode="External"/><Relationship Id="rId149" Type="http://schemas.openxmlformats.org/officeDocument/2006/relationships/hyperlink" Target="http://dx.doi.org/10.1109/VISUAL.1992.235209" TargetMode="External"/><Relationship Id="rId4" Type="http://schemas.openxmlformats.org/officeDocument/2006/relationships/hyperlink" Target="http://dx.doi.org/10.1109/VISUAL.1990.146360" TargetMode="External"/><Relationship Id="rId148" Type="http://schemas.openxmlformats.org/officeDocument/2006/relationships/hyperlink" Target="http://dx.doi.org/10.1109/VISUAL.1992.235208" TargetMode="External"/><Relationship Id="rId1090" Type="http://schemas.openxmlformats.org/officeDocument/2006/relationships/hyperlink" Target="http://dx.doi.org/10.1109/TVCG.2017.2744898" TargetMode="External"/><Relationship Id="rId1091" Type="http://schemas.openxmlformats.org/officeDocument/2006/relationships/hyperlink" Target="http://dx.doi.org/10.1109/TVCG.2017.2744938" TargetMode="External"/><Relationship Id="rId1092" Type="http://schemas.openxmlformats.org/officeDocument/2006/relationships/hyperlink" Target="http://dx.doi.org/10.1109/TVCG.2017.2745078" TargetMode="External"/><Relationship Id="rId1093" Type="http://schemas.openxmlformats.org/officeDocument/2006/relationships/hyperlink" Target="http://dx.doi.org/10.1109/TVCG.2017.2745080" TargetMode="External"/><Relationship Id="rId1094" Type="http://schemas.openxmlformats.org/officeDocument/2006/relationships/hyperlink" Target="http://dx.doi.org/10.1109/TVCG.2017.2745083" TargetMode="External"/><Relationship Id="rId9" Type="http://schemas.openxmlformats.org/officeDocument/2006/relationships/hyperlink" Target="http://dx.doi.org/10.1109/VISUAL.1990.146365" TargetMode="External"/><Relationship Id="rId143" Type="http://schemas.openxmlformats.org/officeDocument/2006/relationships/hyperlink" Target="http://dx.doi.org/10.1109/VISUAL.1992.235203" TargetMode="External"/><Relationship Id="rId385" Type="http://schemas.openxmlformats.org/officeDocument/2006/relationships/hyperlink" Target="http://dx.doi.org/10.1109/INFVIS.1997.636794" TargetMode="External"/><Relationship Id="rId1095" Type="http://schemas.openxmlformats.org/officeDocument/2006/relationships/hyperlink" Target="http://dx.doi.org/10.1109/TVCG.2017.2745085" TargetMode="External"/><Relationship Id="rId142" Type="http://schemas.openxmlformats.org/officeDocument/2006/relationships/hyperlink" Target="http://dx.doi.org/10.1109/VISUAL.1992.235202" TargetMode="External"/><Relationship Id="rId384" Type="http://schemas.openxmlformats.org/officeDocument/2006/relationships/hyperlink" Target="http://dx.doi.org/10.1109/INFVIS.1997.636793" TargetMode="External"/><Relationship Id="rId1096" Type="http://schemas.openxmlformats.org/officeDocument/2006/relationships/hyperlink" Target="http://dx.doi.org/10.1109/TVCG.2017.2745118" TargetMode="External"/><Relationship Id="rId141" Type="http://schemas.openxmlformats.org/officeDocument/2006/relationships/hyperlink" Target="http://dx.doi.org/10.1109/VISUAL.1992.235201" TargetMode="External"/><Relationship Id="rId383" Type="http://schemas.openxmlformats.org/officeDocument/2006/relationships/hyperlink" Target="http://dx.doi.org/10.1109/INFVIS.1997.636792" TargetMode="External"/><Relationship Id="rId1097" Type="http://schemas.openxmlformats.org/officeDocument/2006/relationships/hyperlink" Target="http://dx.doi.org/10.1109/TVCG.2017.2745139" TargetMode="External"/><Relationship Id="rId140" Type="http://schemas.openxmlformats.org/officeDocument/2006/relationships/hyperlink" Target="http://dx.doi.org/10.1109/VISUAL.1992.235200" TargetMode="External"/><Relationship Id="rId382" Type="http://schemas.openxmlformats.org/officeDocument/2006/relationships/hyperlink" Target="http://dx.doi.org/10.1109/INFVIS.1997.636791" TargetMode="External"/><Relationship Id="rId1098" Type="http://schemas.openxmlformats.org/officeDocument/2006/relationships/hyperlink" Target="http://dx.doi.org/10.1109/TVCG.2017.2745158" TargetMode="External"/><Relationship Id="rId5" Type="http://schemas.openxmlformats.org/officeDocument/2006/relationships/hyperlink" Target="http://dx.doi.org/10.1109/VISUAL.1990.146361" TargetMode="External"/><Relationship Id="rId147" Type="http://schemas.openxmlformats.org/officeDocument/2006/relationships/hyperlink" Target="http://dx.doi.org/10.1109/VISUAL.1992.235207" TargetMode="External"/><Relationship Id="rId389" Type="http://schemas.openxmlformats.org/officeDocument/2006/relationships/hyperlink" Target="http://dx.doi.org/10.1109/VISUAL.1997.663855" TargetMode="External"/><Relationship Id="rId1099" Type="http://schemas.openxmlformats.org/officeDocument/2006/relationships/hyperlink" Target="http://dx.doi.org/10.1109/TVCG.2017.2745178" TargetMode="External"/><Relationship Id="rId6" Type="http://schemas.openxmlformats.org/officeDocument/2006/relationships/hyperlink" Target="http://dx.doi.org/10.1109/VISUAL.1990.146362" TargetMode="External"/><Relationship Id="rId146" Type="http://schemas.openxmlformats.org/officeDocument/2006/relationships/hyperlink" Target="http://dx.doi.org/10.1109/VISUAL.1992.235206" TargetMode="External"/><Relationship Id="rId388" Type="http://schemas.openxmlformats.org/officeDocument/2006/relationships/hyperlink" Target="http://dx.doi.org/10.1109/VISUAL.1997.663853" TargetMode="External"/><Relationship Id="rId7" Type="http://schemas.openxmlformats.org/officeDocument/2006/relationships/hyperlink" Target="http://dx.doi.org/10.1109/VISUAL.1990.146363" TargetMode="External"/><Relationship Id="rId145" Type="http://schemas.openxmlformats.org/officeDocument/2006/relationships/hyperlink" Target="http://dx.doi.org/10.1109/VISUAL.1992.235205" TargetMode="External"/><Relationship Id="rId387" Type="http://schemas.openxmlformats.org/officeDocument/2006/relationships/hyperlink" Target="http://dx.doi.org/10.1109/VISUAL.1997.663851" TargetMode="External"/><Relationship Id="rId8" Type="http://schemas.openxmlformats.org/officeDocument/2006/relationships/hyperlink" Target="http://dx.doi.org/10.1109/VISUAL.1990.146364" TargetMode="External"/><Relationship Id="rId144" Type="http://schemas.openxmlformats.org/officeDocument/2006/relationships/hyperlink" Target="http://dx.doi.org/10.1109/VISUAL.1992.235204" TargetMode="External"/><Relationship Id="rId386" Type="http://schemas.openxmlformats.org/officeDocument/2006/relationships/hyperlink" Target="http://dx.doi.org/10.1109/VISUAL.1997.663848" TargetMode="External"/><Relationship Id="rId381" Type="http://schemas.openxmlformats.org/officeDocument/2006/relationships/hyperlink" Target="http://dx.doi.org/10.1109/INFVIS.1997.636790" TargetMode="External"/><Relationship Id="rId380" Type="http://schemas.openxmlformats.org/officeDocument/2006/relationships/hyperlink" Target="http://dx.doi.org/10.1109/INFVIS.1997.636789" TargetMode="External"/><Relationship Id="rId139" Type="http://schemas.openxmlformats.org/officeDocument/2006/relationships/hyperlink" Target="http://dx.doi.org/10.1109/VISUAL.1992.235199" TargetMode="External"/><Relationship Id="rId138" Type="http://schemas.openxmlformats.org/officeDocument/2006/relationships/hyperlink" Target="http://dx.doi.org/10.1109/VISUAL.1992.235198" TargetMode="External"/><Relationship Id="rId137" Type="http://schemas.openxmlformats.org/officeDocument/2006/relationships/hyperlink" Target="http://dx.doi.org/10.1109/VISUAL.1992.235197" TargetMode="External"/><Relationship Id="rId379" Type="http://schemas.openxmlformats.org/officeDocument/2006/relationships/hyperlink" Target="http://dx.doi.org/10.1109/INFVIS.1997.636788" TargetMode="External"/><Relationship Id="rId1080" Type="http://schemas.openxmlformats.org/officeDocument/2006/relationships/hyperlink" Target="http://dx.doi.org/10.1109/TVCG.2017.2744684" TargetMode="External"/><Relationship Id="rId1081" Type="http://schemas.openxmlformats.org/officeDocument/2006/relationships/hyperlink" Target="http://dx.doi.org/10.1109/TVCG.2017.2744685" TargetMode="External"/><Relationship Id="rId1082" Type="http://schemas.openxmlformats.org/officeDocument/2006/relationships/hyperlink" Target="http://dx.doi.org/10.1109/TVCG.2017.2744686" TargetMode="External"/><Relationship Id="rId1083" Type="http://schemas.openxmlformats.org/officeDocument/2006/relationships/hyperlink" Target="http://dx.doi.org/10.1109/TVCG.2017.2744718" TargetMode="External"/><Relationship Id="rId132" Type="http://schemas.openxmlformats.org/officeDocument/2006/relationships/hyperlink" Target="http://dx.doi.org/10.1109/VISUAL.1992.235192" TargetMode="External"/><Relationship Id="rId374" Type="http://schemas.openxmlformats.org/officeDocument/2006/relationships/hyperlink" Target="http://dx.doi.org/10.1109/INFVIS.1997.636782" TargetMode="External"/><Relationship Id="rId1084" Type="http://schemas.openxmlformats.org/officeDocument/2006/relationships/hyperlink" Target="http://dx.doi.org/10.1109/TVCG.2017.2744738" TargetMode="External"/><Relationship Id="rId131" Type="http://schemas.openxmlformats.org/officeDocument/2006/relationships/hyperlink" Target="http://dx.doi.org/10.1109/VISUAL.1992.235191" TargetMode="External"/><Relationship Id="rId373" Type="http://schemas.openxmlformats.org/officeDocument/2006/relationships/hyperlink" Target="http://dx.doi.org/10.1109/INFVIS.1997.636778" TargetMode="External"/><Relationship Id="rId1085" Type="http://schemas.openxmlformats.org/officeDocument/2006/relationships/hyperlink" Target="http://dx.doi.org/10.1109/TVCG.2017.2744758" TargetMode="External"/><Relationship Id="rId130" Type="http://schemas.openxmlformats.org/officeDocument/2006/relationships/hyperlink" Target="http://dx.doi.org/10.1109/VISUAL.1992.235190" TargetMode="External"/><Relationship Id="rId372" Type="http://schemas.openxmlformats.org/officeDocument/2006/relationships/hyperlink" Target="http://dx.doi.org/10.1109/INFVIS.1997.636761" TargetMode="External"/><Relationship Id="rId1086" Type="http://schemas.openxmlformats.org/officeDocument/2006/relationships/hyperlink" Target="http://dx.doi.org/10.1109/TVCG.2017.2744805" TargetMode="External"/><Relationship Id="rId371" Type="http://schemas.openxmlformats.org/officeDocument/2006/relationships/hyperlink" Target="http://dx.doi.org/10.1109/INFVIS.1997.636759" TargetMode="External"/><Relationship Id="rId1087" Type="http://schemas.openxmlformats.org/officeDocument/2006/relationships/hyperlink" Target="http://dx.doi.org/10.1109/TVCG.2017.2744818" TargetMode="External"/><Relationship Id="rId136" Type="http://schemas.openxmlformats.org/officeDocument/2006/relationships/hyperlink" Target="http://dx.doi.org/10.1109/VISUAL.1992.235196" TargetMode="External"/><Relationship Id="rId378" Type="http://schemas.openxmlformats.org/officeDocument/2006/relationships/hyperlink" Target="http://dx.doi.org/10.1109/INFVIS.1997.636787" TargetMode="External"/><Relationship Id="rId1088" Type="http://schemas.openxmlformats.org/officeDocument/2006/relationships/hyperlink" Target="http://dx.doi.org/10.1109/TVCG.2017.2744843" TargetMode="External"/><Relationship Id="rId135" Type="http://schemas.openxmlformats.org/officeDocument/2006/relationships/hyperlink" Target="http://dx.doi.org/10.1109/VISUAL.1992.235195" TargetMode="External"/><Relationship Id="rId377" Type="http://schemas.openxmlformats.org/officeDocument/2006/relationships/hyperlink" Target="http://dx.doi.org/10.1109/INFVIS.1997.636786" TargetMode="External"/><Relationship Id="rId1089" Type="http://schemas.openxmlformats.org/officeDocument/2006/relationships/hyperlink" Target="http://dx.doi.org/10.1109/TVCG.2017.2744878" TargetMode="External"/><Relationship Id="rId134" Type="http://schemas.openxmlformats.org/officeDocument/2006/relationships/hyperlink" Target="http://dx.doi.org/10.1109/VISUAL.1992.235194" TargetMode="External"/><Relationship Id="rId376" Type="http://schemas.openxmlformats.org/officeDocument/2006/relationships/hyperlink" Target="http://dx.doi.org/10.1109/INFVIS.1997.636785" TargetMode="External"/><Relationship Id="rId133" Type="http://schemas.openxmlformats.org/officeDocument/2006/relationships/hyperlink" Target="http://dx.doi.org/10.1109/VISUAL.1992.235193" TargetMode="External"/><Relationship Id="rId375" Type="http://schemas.openxmlformats.org/officeDocument/2006/relationships/hyperlink" Target="http://dx.doi.org/10.1109/INFVIS.1997.636784" TargetMode="External"/><Relationship Id="rId172" Type="http://schemas.openxmlformats.org/officeDocument/2006/relationships/hyperlink" Target="http://dx.doi.org/10.1109/VISUAL.1993.398845" TargetMode="External"/><Relationship Id="rId171" Type="http://schemas.openxmlformats.org/officeDocument/2006/relationships/hyperlink" Target="http://dx.doi.org/10.1109/VISUAL.1992.235231" TargetMode="External"/><Relationship Id="rId170" Type="http://schemas.openxmlformats.org/officeDocument/2006/relationships/hyperlink" Target="http://dx.doi.org/10.1109/VISUAL.1992.235230" TargetMode="External"/><Relationship Id="rId165" Type="http://schemas.openxmlformats.org/officeDocument/2006/relationships/hyperlink" Target="http://dx.doi.org/10.1109/VISUAL.1992.235225" TargetMode="External"/><Relationship Id="rId164" Type="http://schemas.openxmlformats.org/officeDocument/2006/relationships/hyperlink" Target="http://dx.doi.org/10.1109/VISUAL.1992.235224" TargetMode="External"/><Relationship Id="rId163" Type="http://schemas.openxmlformats.org/officeDocument/2006/relationships/hyperlink" Target="http://dx.doi.org/10.1109/VISUAL.1992.235223" TargetMode="External"/><Relationship Id="rId162" Type="http://schemas.openxmlformats.org/officeDocument/2006/relationships/hyperlink" Target="http://dx.doi.org/10.1109/VISUAL.1992.235222" TargetMode="External"/><Relationship Id="rId169" Type="http://schemas.openxmlformats.org/officeDocument/2006/relationships/hyperlink" Target="http://dx.doi.org/10.1109/VISUAL.1992.235229" TargetMode="External"/><Relationship Id="rId168" Type="http://schemas.openxmlformats.org/officeDocument/2006/relationships/hyperlink" Target="http://dx.doi.org/10.1109/VISUAL.1992.235228" TargetMode="External"/><Relationship Id="rId167" Type="http://schemas.openxmlformats.org/officeDocument/2006/relationships/hyperlink" Target="http://dx.doi.org/10.1109/VISUAL.1992.235227" TargetMode="External"/><Relationship Id="rId166" Type="http://schemas.openxmlformats.org/officeDocument/2006/relationships/hyperlink" Target="http://dx.doi.org/10.1109/VISUAL.1992.235226" TargetMode="External"/><Relationship Id="rId161" Type="http://schemas.openxmlformats.org/officeDocument/2006/relationships/hyperlink" Target="http://dx.doi.org/10.1109/VISUAL.1992.235221" TargetMode="External"/><Relationship Id="rId160" Type="http://schemas.openxmlformats.org/officeDocument/2006/relationships/hyperlink" Target="http://dx.doi.org/10.1109/VISUAL.1992.235220" TargetMode="External"/><Relationship Id="rId159" Type="http://schemas.openxmlformats.org/officeDocument/2006/relationships/hyperlink" Target="http://dx.doi.org/10.1109/VISUAL.1992.235219" TargetMode="External"/><Relationship Id="rId154" Type="http://schemas.openxmlformats.org/officeDocument/2006/relationships/hyperlink" Target="http://dx.doi.org/10.1109/VISUAL.1992.235214" TargetMode="External"/><Relationship Id="rId396" Type="http://schemas.openxmlformats.org/officeDocument/2006/relationships/hyperlink" Target="http://dx.doi.org/10.1109/VISUAL.1997.663863" TargetMode="External"/><Relationship Id="rId153" Type="http://schemas.openxmlformats.org/officeDocument/2006/relationships/hyperlink" Target="http://dx.doi.org/10.1109/VISUAL.1992.235213" TargetMode="External"/><Relationship Id="rId395" Type="http://schemas.openxmlformats.org/officeDocument/2006/relationships/hyperlink" Target="http://dx.doi.org/10.1109/VISUAL.1997.663862" TargetMode="External"/><Relationship Id="rId152" Type="http://schemas.openxmlformats.org/officeDocument/2006/relationships/hyperlink" Target="http://dx.doi.org/10.1109/VISUAL.1992.235212" TargetMode="External"/><Relationship Id="rId394" Type="http://schemas.openxmlformats.org/officeDocument/2006/relationships/hyperlink" Target="http://dx.doi.org/10.1109/VISUAL.1997.663860" TargetMode="External"/><Relationship Id="rId151" Type="http://schemas.openxmlformats.org/officeDocument/2006/relationships/hyperlink" Target="http://dx.doi.org/10.1109/VISUAL.1992.235211" TargetMode="External"/><Relationship Id="rId393" Type="http://schemas.openxmlformats.org/officeDocument/2006/relationships/hyperlink" Target="http://dx.doi.org/10.1109/VISUAL.1997.663859" TargetMode="External"/><Relationship Id="rId158" Type="http://schemas.openxmlformats.org/officeDocument/2006/relationships/hyperlink" Target="http://dx.doi.org/10.1109/VISUAL.1992.235218" TargetMode="External"/><Relationship Id="rId157" Type="http://schemas.openxmlformats.org/officeDocument/2006/relationships/hyperlink" Target="http://dx.doi.org/10.1109/VISUAL.1992.235217" TargetMode="External"/><Relationship Id="rId399" Type="http://schemas.openxmlformats.org/officeDocument/2006/relationships/hyperlink" Target="http://dx.doi.org/10.1109/VISUAL.1997.663867" TargetMode="External"/><Relationship Id="rId156" Type="http://schemas.openxmlformats.org/officeDocument/2006/relationships/hyperlink" Target="http://dx.doi.org/10.1109/VISUAL.1992.235216" TargetMode="External"/><Relationship Id="rId398" Type="http://schemas.openxmlformats.org/officeDocument/2006/relationships/hyperlink" Target="http://dx.doi.org/10.1109/VISUAL.1997.663866" TargetMode="External"/><Relationship Id="rId155" Type="http://schemas.openxmlformats.org/officeDocument/2006/relationships/hyperlink" Target="http://dx.doi.org/10.1109/VISUAL.1992.235215" TargetMode="External"/><Relationship Id="rId397" Type="http://schemas.openxmlformats.org/officeDocument/2006/relationships/hyperlink" Target="http://dx.doi.org/10.1109/VISUAL.1997.663865" TargetMode="External"/><Relationship Id="rId808" Type="http://schemas.openxmlformats.org/officeDocument/2006/relationships/hyperlink" Target="http://dx.doi.org/10.1109/TVCG.2015.2467412" TargetMode="External"/><Relationship Id="rId807" Type="http://schemas.openxmlformats.org/officeDocument/2006/relationships/hyperlink" Target="http://dx.doi.org/10.1109/TVCG.2015.2467411" TargetMode="External"/><Relationship Id="rId806" Type="http://schemas.openxmlformats.org/officeDocument/2006/relationships/hyperlink" Target="http://dx.doi.org/10.1109/TVCG.2015.2467331" TargetMode="External"/><Relationship Id="rId805" Type="http://schemas.openxmlformats.org/officeDocument/2006/relationships/hyperlink" Target="http://dx.doi.org/10.1109/TVCG.2015.2467294" TargetMode="External"/><Relationship Id="rId809" Type="http://schemas.openxmlformats.org/officeDocument/2006/relationships/hyperlink" Target="http://dx.doi.org/10.1109/TVCG.2015.2467413" TargetMode="External"/><Relationship Id="rId800" Type="http://schemas.openxmlformats.org/officeDocument/2006/relationships/hyperlink" Target="http://dx.doi.org/10.1109/TVCG.2015.2467203" TargetMode="External"/><Relationship Id="rId804" Type="http://schemas.openxmlformats.org/officeDocument/2006/relationships/hyperlink" Target="http://dx.doi.org/10.1109/TVCG.2015.2467293" TargetMode="External"/><Relationship Id="rId803" Type="http://schemas.openxmlformats.org/officeDocument/2006/relationships/hyperlink" Target="http://dx.doi.org/10.1109/TVCG.2015.2467292" TargetMode="External"/><Relationship Id="rId802" Type="http://schemas.openxmlformats.org/officeDocument/2006/relationships/hyperlink" Target="http://dx.doi.org/10.1109/TVCG.2015.2467291" TargetMode="External"/><Relationship Id="rId801" Type="http://schemas.openxmlformats.org/officeDocument/2006/relationships/hyperlink" Target="http://dx.doi.org/10.1109/TVCG.2015.2467204" TargetMode="External"/><Relationship Id="rId40" Type="http://schemas.openxmlformats.org/officeDocument/2006/relationships/hyperlink" Target="http://dx.doi.org/10.1109/VISUAL.1990.146396" TargetMode="External"/><Relationship Id="rId42" Type="http://schemas.openxmlformats.org/officeDocument/2006/relationships/hyperlink" Target="http://dx.doi.org/10.1109/VISUAL.1990.146398" TargetMode="External"/><Relationship Id="rId41" Type="http://schemas.openxmlformats.org/officeDocument/2006/relationships/hyperlink" Target="http://dx.doi.org/10.1109/VISUAL.1990.146397" TargetMode="External"/><Relationship Id="rId44" Type="http://schemas.openxmlformats.org/officeDocument/2006/relationships/hyperlink" Target="http://dx.doi.org/10.1109/VISUAL.1990.146400" TargetMode="External"/><Relationship Id="rId43" Type="http://schemas.openxmlformats.org/officeDocument/2006/relationships/hyperlink" Target="http://dx.doi.org/10.1109/VISUAL.1990.146399" TargetMode="External"/><Relationship Id="rId46" Type="http://schemas.openxmlformats.org/officeDocument/2006/relationships/hyperlink" Target="http://dx.doi.org/10.1109/VISUAL.1990.146402" TargetMode="External"/><Relationship Id="rId45" Type="http://schemas.openxmlformats.org/officeDocument/2006/relationships/hyperlink" Target="http://dx.doi.org/10.1109/VISUAL.1990.146401" TargetMode="External"/><Relationship Id="rId509" Type="http://schemas.openxmlformats.org/officeDocument/2006/relationships/hyperlink" Target="http://dx.doi.org/10.1109/VISUAL.1998.745311" TargetMode="External"/><Relationship Id="rId508" Type="http://schemas.openxmlformats.org/officeDocument/2006/relationships/hyperlink" Target="http://dx.doi.org/10.1109/VISUAL.1998.745310" TargetMode="External"/><Relationship Id="rId503" Type="http://schemas.openxmlformats.org/officeDocument/2006/relationships/hyperlink" Target="http://dx.doi.org/10.1109/VISUAL.1998.745304" TargetMode="External"/><Relationship Id="rId745" Type="http://schemas.openxmlformats.org/officeDocument/2006/relationships/hyperlink" Target="http://dx.doi.org/10.1109/TVCG.2015.2467321" TargetMode="External"/><Relationship Id="rId987" Type="http://schemas.openxmlformats.org/officeDocument/2006/relationships/hyperlink" Target="http://dx.doi.org/10.1109/TVCG.2016.2598829" TargetMode="External"/><Relationship Id="rId502" Type="http://schemas.openxmlformats.org/officeDocument/2006/relationships/hyperlink" Target="http://dx.doi.org/10.1109/VISUAL.1998.745303" TargetMode="External"/><Relationship Id="rId744" Type="http://schemas.openxmlformats.org/officeDocument/2006/relationships/hyperlink" Target="http://dx.doi.org/10.1109/TVCG.2015.2467271" TargetMode="External"/><Relationship Id="rId986" Type="http://schemas.openxmlformats.org/officeDocument/2006/relationships/hyperlink" Target="http://dx.doi.org/10.1109/TVCG.2016.2598828" TargetMode="External"/><Relationship Id="rId501" Type="http://schemas.openxmlformats.org/officeDocument/2006/relationships/hyperlink" Target="http://dx.doi.org/10.1109/VISUAL.1998.745302" TargetMode="External"/><Relationship Id="rId743" Type="http://schemas.openxmlformats.org/officeDocument/2006/relationships/hyperlink" Target="http://dx.doi.org/10.1109/TVCG.2015.2467251" TargetMode="External"/><Relationship Id="rId985" Type="http://schemas.openxmlformats.org/officeDocument/2006/relationships/hyperlink" Target="http://dx.doi.org/10.1109/TVCG.2016.2598797" TargetMode="External"/><Relationship Id="rId500" Type="http://schemas.openxmlformats.org/officeDocument/2006/relationships/hyperlink" Target="http://dx.doi.org/10.1109/VISUAL.1998.745301" TargetMode="External"/><Relationship Id="rId742" Type="http://schemas.openxmlformats.org/officeDocument/2006/relationships/hyperlink" Target="http://dx.doi.org/10.1109/TVCG.2015.2467201" TargetMode="External"/><Relationship Id="rId984" Type="http://schemas.openxmlformats.org/officeDocument/2006/relationships/hyperlink" Target="http://dx.doi.org/10.1109/TVCG.2016.2598796" TargetMode="External"/><Relationship Id="rId507" Type="http://schemas.openxmlformats.org/officeDocument/2006/relationships/hyperlink" Target="http://dx.doi.org/10.1109/VISUAL.1998.745309" TargetMode="External"/><Relationship Id="rId749" Type="http://schemas.openxmlformats.org/officeDocument/2006/relationships/hyperlink" Target="http://dx.doi.org/10.1109/TVCG.2015.2467325" TargetMode="External"/><Relationship Id="rId506" Type="http://schemas.openxmlformats.org/officeDocument/2006/relationships/hyperlink" Target="http://dx.doi.org/10.1109/VISUAL.1998.745307" TargetMode="External"/><Relationship Id="rId748" Type="http://schemas.openxmlformats.org/officeDocument/2006/relationships/hyperlink" Target="http://dx.doi.org/10.1109/TVCG.2015.2467324" TargetMode="External"/><Relationship Id="rId505" Type="http://schemas.openxmlformats.org/officeDocument/2006/relationships/hyperlink" Target="http://dx.doi.org/10.1109/VISUAL.1998.745306" TargetMode="External"/><Relationship Id="rId747" Type="http://schemas.openxmlformats.org/officeDocument/2006/relationships/hyperlink" Target="http://dx.doi.org/10.1109/TVCG.2015.2467323" TargetMode="External"/><Relationship Id="rId989" Type="http://schemas.openxmlformats.org/officeDocument/2006/relationships/hyperlink" Target="http://dx.doi.org/10.1109/TVCG.2016.2598831" TargetMode="External"/><Relationship Id="rId504" Type="http://schemas.openxmlformats.org/officeDocument/2006/relationships/hyperlink" Target="http://dx.doi.org/10.1109/VISUAL.1998.745305" TargetMode="External"/><Relationship Id="rId746" Type="http://schemas.openxmlformats.org/officeDocument/2006/relationships/hyperlink" Target="http://dx.doi.org/10.1109/TVCG.2015.2467322" TargetMode="External"/><Relationship Id="rId988" Type="http://schemas.openxmlformats.org/officeDocument/2006/relationships/hyperlink" Target="http://dx.doi.org/10.1109/TVCG.2016.2598830" TargetMode="External"/><Relationship Id="rId48" Type="http://schemas.openxmlformats.org/officeDocument/2006/relationships/hyperlink" Target="http://dx.doi.org/10.1109/VISUAL.1990.146412" TargetMode="External"/><Relationship Id="rId47" Type="http://schemas.openxmlformats.org/officeDocument/2006/relationships/hyperlink" Target="http://dx.doi.org/10.1109/VISUAL.1990.146403" TargetMode="External"/><Relationship Id="rId49" Type="http://schemas.openxmlformats.org/officeDocument/2006/relationships/hyperlink" Target="http://dx.doi.org/10.1109/VISUAL.1990.146413" TargetMode="External"/><Relationship Id="rId741" Type="http://schemas.openxmlformats.org/officeDocument/2006/relationships/hyperlink" Target="http://dx.doi.org/10.1109/TVCG.2015.2467199" TargetMode="External"/><Relationship Id="rId983" Type="http://schemas.openxmlformats.org/officeDocument/2006/relationships/hyperlink" Target="http://dx.doi.org/10.1109/TVCG.2016.2598695" TargetMode="External"/><Relationship Id="rId740" Type="http://schemas.openxmlformats.org/officeDocument/2006/relationships/hyperlink" Target="http://dx.doi.org/10.1109/TVCG.2015.2467195" TargetMode="External"/><Relationship Id="rId982" Type="http://schemas.openxmlformats.org/officeDocument/2006/relationships/hyperlink" Target="http://dx.doi.org/10.1109/TVCG.2016.2598664" TargetMode="External"/><Relationship Id="rId981" Type="http://schemas.openxmlformats.org/officeDocument/2006/relationships/hyperlink" Target="http://dx.doi.org/10.1109/TVCG.2016.2598545" TargetMode="External"/><Relationship Id="rId980" Type="http://schemas.openxmlformats.org/officeDocument/2006/relationships/hyperlink" Target="http://dx.doi.org/10.1109/TVCG.2016.2598544" TargetMode="External"/><Relationship Id="rId31" Type="http://schemas.openxmlformats.org/officeDocument/2006/relationships/hyperlink" Target="http://dx.doi.org/10.1109/VISUAL.1990.146387" TargetMode="External"/><Relationship Id="rId30" Type="http://schemas.openxmlformats.org/officeDocument/2006/relationships/hyperlink" Target="http://dx.doi.org/10.1109/VISUAL.1990.146386" TargetMode="External"/><Relationship Id="rId33" Type="http://schemas.openxmlformats.org/officeDocument/2006/relationships/hyperlink" Target="http://dx.doi.org/10.1109/VISUAL.1990.146389" TargetMode="External"/><Relationship Id="rId32" Type="http://schemas.openxmlformats.org/officeDocument/2006/relationships/hyperlink" Target="http://dx.doi.org/10.1109/VISUAL.1990.146388" TargetMode="External"/><Relationship Id="rId35" Type="http://schemas.openxmlformats.org/officeDocument/2006/relationships/hyperlink" Target="http://dx.doi.org/10.1109/VISUAL.1990.146391" TargetMode="External"/><Relationship Id="rId34" Type="http://schemas.openxmlformats.org/officeDocument/2006/relationships/hyperlink" Target="http://dx.doi.org/10.1109/VISUAL.1990.146390" TargetMode="External"/><Relationship Id="rId739" Type="http://schemas.openxmlformats.org/officeDocument/2006/relationships/hyperlink" Target="http://dx.doi.org/10.1109/TVCG.2015.2467191" TargetMode="External"/><Relationship Id="rId734" Type="http://schemas.openxmlformats.org/officeDocument/2006/relationships/hyperlink" Target="http://dx.doi.org/10.1109/TVCG.2015.2467035" TargetMode="External"/><Relationship Id="rId976" Type="http://schemas.openxmlformats.org/officeDocument/2006/relationships/hyperlink" Target="http://dx.doi.org/10.1109/TVCG.2016.2598479" TargetMode="External"/><Relationship Id="rId733" Type="http://schemas.openxmlformats.org/officeDocument/2006/relationships/hyperlink" Target="http://dx.doi.org/10.1109/TVCG.2015.2466992" TargetMode="External"/><Relationship Id="rId975" Type="http://schemas.openxmlformats.org/officeDocument/2006/relationships/hyperlink" Target="http://dx.doi.org/10.1109/TVCG.2016.2598472" TargetMode="External"/><Relationship Id="rId732" Type="http://schemas.openxmlformats.org/officeDocument/2006/relationships/hyperlink" Target="http://dx.doi.org/10.1109/TVCG.2015.2466971" TargetMode="External"/><Relationship Id="rId974" Type="http://schemas.openxmlformats.org/officeDocument/2006/relationships/hyperlink" Target="http://dx.doi.org/10.1109/TVCG.2016.2598471" TargetMode="External"/><Relationship Id="rId731" Type="http://schemas.openxmlformats.org/officeDocument/2006/relationships/hyperlink" Target="http://dx.doi.org/10.1109/VAST.2014.7042496" TargetMode="External"/><Relationship Id="rId973" Type="http://schemas.openxmlformats.org/officeDocument/2006/relationships/hyperlink" Target="http://dx.doi.org/10.1109/TVCG.2016.2598470" TargetMode="External"/><Relationship Id="rId738" Type="http://schemas.openxmlformats.org/officeDocument/2006/relationships/hyperlink" Target="http://dx.doi.org/10.1109/TVCG.2015.2467132" TargetMode="External"/><Relationship Id="rId737" Type="http://schemas.openxmlformats.org/officeDocument/2006/relationships/hyperlink" Target="http://dx.doi.org/10.1109/TVCG.2015.2467112" TargetMode="External"/><Relationship Id="rId979" Type="http://schemas.openxmlformats.org/officeDocument/2006/relationships/hyperlink" Target="http://dx.doi.org/10.1109/TVCG.2016.2598543" TargetMode="External"/><Relationship Id="rId736" Type="http://schemas.openxmlformats.org/officeDocument/2006/relationships/hyperlink" Target="http://dx.doi.org/10.1109/TVCG.2015.2467091" TargetMode="External"/><Relationship Id="rId978" Type="http://schemas.openxmlformats.org/officeDocument/2006/relationships/hyperlink" Target="http://dx.doi.org/10.1109/TVCG.2016.2598497" TargetMode="External"/><Relationship Id="rId735" Type="http://schemas.openxmlformats.org/officeDocument/2006/relationships/hyperlink" Target="http://dx.doi.org/10.1109/TVCG.2015.2467051" TargetMode="External"/><Relationship Id="rId977" Type="http://schemas.openxmlformats.org/officeDocument/2006/relationships/hyperlink" Target="http://dx.doi.org/10.1109/TVCG.2016.2598495" TargetMode="External"/><Relationship Id="rId37" Type="http://schemas.openxmlformats.org/officeDocument/2006/relationships/hyperlink" Target="http://dx.doi.org/10.1109/VISUAL.1990.146393" TargetMode="External"/><Relationship Id="rId36" Type="http://schemas.openxmlformats.org/officeDocument/2006/relationships/hyperlink" Target="http://dx.doi.org/10.1109/VISUAL.1990.146392" TargetMode="External"/><Relationship Id="rId39" Type="http://schemas.openxmlformats.org/officeDocument/2006/relationships/hyperlink" Target="http://dx.doi.org/10.1109/VISUAL.1990.146395" TargetMode="External"/><Relationship Id="rId38" Type="http://schemas.openxmlformats.org/officeDocument/2006/relationships/hyperlink" Target="http://dx.doi.org/10.1109/VISUAL.1990.146394" TargetMode="External"/><Relationship Id="rId730" Type="http://schemas.openxmlformats.org/officeDocument/2006/relationships/hyperlink" Target="http://dx.doi.org/10.1109/VAST.2014.7042495" TargetMode="External"/><Relationship Id="rId972" Type="http://schemas.openxmlformats.org/officeDocument/2006/relationships/hyperlink" Target="http://dx.doi.org/10.1109/TVCG.2016.2598469" TargetMode="External"/><Relationship Id="rId971" Type="http://schemas.openxmlformats.org/officeDocument/2006/relationships/hyperlink" Target="http://dx.doi.org/10.1109/TVCG.2016.2598468" TargetMode="External"/><Relationship Id="rId970" Type="http://schemas.openxmlformats.org/officeDocument/2006/relationships/hyperlink" Target="http://dx.doi.org/10.1109/TVCG.2016.2598467" TargetMode="External"/><Relationship Id="rId1114" Type="http://schemas.openxmlformats.org/officeDocument/2006/relationships/hyperlink" Target="http://dx.doi.org/10.1109/VAST.2017.8585647" TargetMode="External"/><Relationship Id="rId1115" Type="http://schemas.openxmlformats.org/officeDocument/2006/relationships/hyperlink" Target="http://dx.doi.org/10.1109/VAST.2017.8585658" TargetMode="External"/><Relationship Id="rId20" Type="http://schemas.openxmlformats.org/officeDocument/2006/relationships/hyperlink" Target="http://dx.doi.org/10.1109/VISUAL.1990.146376" TargetMode="External"/><Relationship Id="rId1116" Type="http://schemas.openxmlformats.org/officeDocument/2006/relationships/hyperlink" Target="http://dx.doi.org/10.1109/VAST.2017.8585665" TargetMode="External"/><Relationship Id="rId1117" Type="http://schemas.openxmlformats.org/officeDocument/2006/relationships/hyperlink" Target="http://dx.doi.org/10.1109/VAST.2017.8585669" TargetMode="External"/><Relationship Id="rId22" Type="http://schemas.openxmlformats.org/officeDocument/2006/relationships/hyperlink" Target="http://dx.doi.org/10.1109/VISUAL.1990.146378" TargetMode="External"/><Relationship Id="rId1118" Type="http://schemas.openxmlformats.org/officeDocument/2006/relationships/hyperlink" Target="http://dx.doi.org/10.1109/VAST.2017.8585720" TargetMode="External"/><Relationship Id="rId21" Type="http://schemas.openxmlformats.org/officeDocument/2006/relationships/hyperlink" Target="http://dx.doi.org/10.1109/VISUAL.1990.146377" TargetMode="External"/><Relationship Id="rId1119" Type="http://schemas.openxmlformats.org/officeDocument/2006/relationships/hyperlink" Target="http://dx.doi.org/10.1109/VAST.2017.8585721" TargetMode="External"/><Relationship Id="rId24" Type="http://schemas.openxmlformats.org/officeDocument/2006/relationships/hyperlink" Target="http://dx.doi.org/10.1109/VISUAL.1990.146380" TargetMode="External"/><Relationship Id="rId23" Type="http://schemas.openxmlformats.org/officeDocument/2006/relationships/hyperlink" Target="http://dx.doi.org/10.1109/VISUAL.1990.146379" TargetMode="External"/><Relationship Id="rId525" Type="http://schemas.openxmlformats.org/officeDocument/2006/relationships/hyperlink" Target="http://dx.doi.org/10.1109/VISUAL.1998.745327" TargetMode="External"/><Relationship Id="rId767" Type="http://schemas.openxmlformats.org/officeDocument/2006/relationships/hyperlink" Target="http://dx.doi.org/10.1109/TVCG.2015.2467951" TargetMode="External"/><Relationship Id="rId524" Type="http://schemas.openxmlformats.org/officeDocument/2006/relationships/hyperlink" Target="http://dx.doi.org/10.1109/VISUAL.1998.745326" TargetMode="External"/><Relationship Id="rId766" Type="http://schemas.openxmlformats.org/officeDocument/2006/relationships/hyperlink" Target="http://dx.doi.org/10.1109/TVCG.2015.2467911" TargetMode="External"/><Relationship Id="rId523" Type="http://schemas.openxmlformats.org/officeDocument/2006/relationships/hyperlink" Target="http://dx.doi.org/10.1109/VISUAL.1998.745325" TargetMode="External"/><Relationship Id="rId765" Type="http://schemas.openxmlformats.org/officeDocument/2006/relationships/hyperlink" Target="http://dx.doi.org/10.1109/TVCG.2015.2467872" TargetMode="External"/><Relationship Id="rId522" Type="http://schemas.openxmlformats.org/officeDocument/2006/relationships/hyperlink" Target="http://dx.doi.org/10.1109/VISUAL.1998.745324" TargetMode="External"/><Relationship Id="rId764" Type="http://schemas.openxmlformats.org/officeDocument/2006/relationships/hyperlink" Target="http://dx.doi.org/10.1109/TVCG.2015.2467851" TargetMode="External"/><Relationship Id="rId529" Type="http://schemas.openxmlformats.org/officeDocument/2006/relationships/hyperlink" Target="http://dx.doi.org/10.1109/VISUAL.1998.745331" TargetMode="External"/><Relationship Id="rId528" Type="http://schemas.openxmlformats.org/officeDocument/2006/relationships/hyperlink" Target="http://dx.doi.org/10.1109/VISUAL.1998.745330" TargetMode="External"/><Relationship Id="rId527" Type="http://schemas.openxmlformats.org/officeDocument/2006/relationships/hyperlink" Target="http://dx.doi.org/10.1109/VISUAL.1998.745329" TargetMode="External"/><Relationship Id="rId769" Type="http://schemas.openxmlformats.org/officeDocument/2006/relationships/hyperlink" Target="http://dx.doi.org/10.1109/TVCG.2015.2469125" TargetMode="External"/><Relationship Id="rId526" Type="http://schemas.openxmlformats.org/officeDocument/2006/relationships/hyperlink" Target="http://dx.doi.org/10.1109/VISUAL.1998.745328" TargetMode="External"/><Relationship Id="rId768" Type="http://schemas.openxmlformats.org/officeDocument/2006/relationships/hyperlink" Target="http://dx.doi.org/10.1109/TVCG.2015.2467992" TargetMode="External"/><Relationship Id="rId26" Type="http://schemas.openxmlformats.org/officeDocument/2006/relationships/hyperlink" Target="http://dx.doi.org/10.1109/VISUAL.1990.146382" TargetMode="External"/><Relationship Id="rId25" Type="http://schemas.openxmlformats.org/officeDocument/2006/relationships/hyperlink" Target="http://dx.doi.org/10.1109/VISUAL.1990.146381" TargetMode="External"/><Relationship Id="rId28" Type="http://schemas.openxmlformats.org/officeDocument/2006/relationships/hyperlink" Target="http://dx.doi.org/10.1109/VISUAL.1990.146384" TargetMode="External"/><Relationship Id="rId27" Type="http://schemas.openxmlformats.org/officeDocument/2006/relationships/hyperlink" Target="http://dx.doi.org/10.1109/VISUAL.1990.146383" TargetMode="External"/><Relationship Id="rId521" Type="http://schemas.openxmlformats.org/officeDocument/2006/relationships/hyperlink" Target="http://dx.doi.org/10.1109/VISUAL.1998.745323" TargetMode="External"/><Relationship Id="rId763" Type="http://schemas.openxmlformats.org/officeDocument/2006/relationships/hyperlink" Target="http://dx.doi.org/10.1109/TVCG.2015.2467831" TargetMode="External"/><Relationship Id="rId1110" Type="http://schemas.openxmlformats.org/officeDocument/2006/relationships/hyperlink" Target="http://dx.doi.org/10.1109/VAST.2017.8585594" TargetMode="External"/><Relationship Id="rId29" Type="http://schemas.openxmlformats.org/officeDocument/2006/relationships/hyperlink" Target="http://dx.doi.org/10.1109/VISUAL.1990.146385" TargetMode="External"/><Relationship Id="rId520" Type="http://schemas.openxmlformats.org/officeDocument/2006/relationships/hyperlink" Target="http://dx.doi.org/10.1109/VISUAL.1998.745322" TargetMode="External"/><Relationship Id="rId762" Type="http://schemas.openxmlformats.org/officeDocument/2006/relationships/hyperlink" Target="http://dx.doi.org/10.1109/TVCG.2015.2467811" TargetMode="External"/><Relationship Id="rId1111" Type="http://schemas.openxmlformats.org/officeDocument/2006/relationships/hyperlink" Target="http://dx.doi.org/10.1109/VAST.2017.8585613" TargetMode="External"/><Relationship Id="rId761" Type="http://schemas.openxmlformats.org/officeDocument/2006/relationships/hyperlink" Target="http://dx.doi.org/10.1109/TVCG.2015.2467759" TargetMode="External"/><Relationship Id="rId1112" Type="http://schemas.openxmlformats.org/officeDocument/2006/relationships/hyperlink" Target="http://dx.doi.org/10.1109/VAST.2017.8585638" TargetMode="External"/><Relationship Id="rId760" Type="http://schemas.openxmlformats.org/officeDocument/2006/relationships/hyperlink" Target="http://dx.doi.org/10.1109/TVCG.2015.2467758" TargetMode="External"/><Relationship Id="rId1113" Type="http://schemas.openxmlformats.org/officeDocument/2006/relationships/hyperlink" Target="http://dx.doi.org/10.1109/VAST.2017.8585646" TargetMode="External"/><Relationship Id="rId1103" Type="http://schemas.openxmlformats.org/officeDocument/2006/relationships/hyperlink" Target="http://dx.doi.org/10.1109/TVCG.2017.2745279" TargetMode="External"/><Relationship Id="rId1104" Type="http://schemas.openxmlformats.org/officeDocument/2006/relationships/hyperlink" Target="http://dx.doi.org/10.1109/TVCG.2017.2745280" TargetMode="External"/><Relationship Id="rId1105" Type="http://schemas.openxmlformats.org/officeDocument/2006/relationships/hyperlink" Target="http://dx.doi.org/10.1109/TVCG.2017.2745320" TargetMode="External"/><Relationship Id="rId1106" Type="http://schemas.openxmlformats.org/officeDocument/2006/relationships/hyperlink" Target="http://dx.doi.org/10.1109/VAST.2017.8585484" TargetMode="External"/><Relationship Id="rId11" Type="http://schemas.openxmlformats.org/officeDocument/2006/relationships/hyperlink" Target="http://dx.doi.org/10.1109/VISUAL.1990.146367" TargetMode="External"/><Relationship Id="rId1107" Type="http://schemas.openxmlformats.org/officeDocument/2006/relationships/hyperlink" Target="http://dx.doi.org/10.1109/VAST.2017.8585487" TargetMode="External"/><Relationship Id="rId10" Type="http://schemas.openxmlformats.org/officeDocument/2006/relationships/hyperlink" Target="http://dx.doi.org/10.1109/VISUAL.1990.146366" TargetMode="External"/><Relationship Id="rId1108" Type="http://schemas.openxmlformats.org/officeDocument/2006/relationships/hyperlink" Target="http://dx.doi.org/10.1109/VAST.2017.8585498" TargetMode="External"/><Relationship Id="rId13" Type="http://schemas.openxmlformats.org/officeDocument/2006/relationships/hyperlink" Target="http://dx.doi.org/10.1109/VISUAL.1990.146369" TargetMode="External"/><Relationship Id="rId1109" Type="http://schemas.openxmlformats.org/officeDocument/2006/relationships/hyperlink" Target="http://dx.doi.org/10.1109/VAST.2017.8585505" TargetMode="External"/><Relationship Id="rId12" Type="http://schemas.openxmlformats.org/officeDocument/2006/relationships/hyperlink" Target="http://dx.doi.org/10.1109/VISUAL.1990.146368" TargetMode="External"/><Relationship Id="rId519" Type="http://schemas.openxmlformats.org/officeDocument/2006/relationships/hyperlink" Target="http://dx.doi.org/10.1109/VISUAL.1998.745321" TargetMode="External"/><Relationship Id="rId514" Type="http://schemas.openxmlformats.org/officeDocument/2006/relationships/hyperlink" Target="http://dx.doi.org/10.1109/VISUAL.1998.745316" TargetMode="External"/><Relationship Id="rId756" Type="http://schemas.openxmlformats.org/officeDocument/2006/relationships/hyperlink" Target="http://dx.doi.org/10.1109/TVCG.2015.2467732" TargetMode="External"/><Relationship Id="rId998" Type="http://schemas.openxmlformats.org/officeDocument/2006/relationships/hyperlink" Target="http://dx.doi.org/10.1109/VAST.2016.7883512" TargetMode="External"/><Relationship Id="rId513" Type="http://schemas.openxmlformats.org/officeDocument/2006/relationships/hyperlink" Target="http://dx.doi.org/10.1109/VISUAL.1998.745315" TargetMode="External"/><Relationship Id="rId755" Type="http://schemas.openxmlformats.org/officeDocument/2006/relationships/hyperlink" Target="http://dx.doi.org/10.1109/TVCG.2015.2467717" TargetMode="External"/><Relationship Id="rId997" Type="http://schemas.openxmlformats.org/officeDocument/2006/relationships/hyperlink" Target="http://dx.doi.org/10.1109/VAST.2016.7883511" TargetMode="External"/><Relationship Id="rId512" Type="http://schemas.openxmlformats.org/officeDocument/2006/relationships/hyperlink" Target="http://dx.doi.org/10.1109/VISUAL.1998.745314" TargetMode="External"/><Relationship Id="rId754" Type="http://schemas.openxmlformats.org/officeDocument/2006/relationships/hyperlink" Target="http://dx.doi.org/10.1109/TVCG.2015.2467691" TargetMode="External"/><Relationship Id="rId996" Type="http://schemas.openxmlformats.org/officeDocument/2006/relationships/hyperlink" Target="http://dx.doi.org/10.1109/VAST.2016.7883510" TargetMode="External"/><Relationship Id="rId511" Type="http://schemas.openxmlformats.org/officeDocument/2006/relationships/hyperlink" Target="http://dx.doi.org/10.1109/VISUAL.1998.745313" TargetMode="External"/><Relationship Id="rId753" Type="http://schemas.openxmlformats.org/officeDocument/2006/relationships/hyperlink" Target="http://dx.doi.org/10.1109/TVCG.2015.2467671" TargetMode="External"/><Relationship Id="rId995" Type="http://schemas.openxmlformats.org/officeDocument/2006/relationships/hyperlink" Target="http://dx.doi.org/10.1109/VAST.2016.7883509" TargetMode="External"/><Relationship Id="rId518" Type="http://schemas.openxmlformats.org/officeDocument/2006/relationships/hyperlink" Target="http://dx.doi.org/10.1109/VISUAL.1998.745320" TargetMode="External"/><Relationship Id="rId517" Type="http://schemas.openxmlformats.org/officeDocument/2006/relationships/hyperlink" Target="http://dx.doi.org/10.1109/VISUAL.1998.745319" TargetMode="External"/><Relationship Id="rId759" Type="http://schemas.openxmlformats.org/officeDocument/2006/relationships/hyperlink" Target="http://dx.doi.org/10.1109/TVCG.2015.2467754" TargetMode="External"/><Relationship Id="rId516" Type="http://schemas.openxmlformats.org/officeDocument/2006/relationships/hyperlink" Target="http://dx.doi.org/10.1109/VISUAL.1998.745318" TargetMode="External"/><Relationship Id="rId758" Type="http://schemas.openxmlformats.org/officeDocument/2006/relationships/hyperlink" Target="http://dx.doi.org/10.1109/TVCG.2015.2467752" TargetMode="External"/><Relationship Id="rId515" Type="http://schemas.openxmlformats.org/officeDocument/2006/relationships/hyperlink" Target="http://dx.doi.org/10.1109/VISUAL.1998.745317" TargetMode="External"/><Relationship Id="rId757" Type="http://schemas.openxmlformats.org/officeDocument/2006/relationships/hyperlink" Target="http://dx.doi.org/10.1109/TVCG.2015.2467751" TargetMode="External"/><Relationship Id="rId999" Type="http://schemas.openxmlformats.org/officeDocument/2006/relationships/hyperlink" Target="http://dx.doi.org/10.1109/VAST.2016.7883513" TargetMode="External"/><Relationship Id="rId15" Type="http://schemas.openxmlformats.org/officeDocument/2006/relationships/hyperlink" Target="http://dx.doi.org/10.1109/VISUAL.1990.146371" TargetMode="External"/><Relationship Id="rId990" Type="http://schemas.openxmlformats.org/officeDocument/2006/relationships/hyperlink" Target="http://dx.doi.org/10.1109/TVCG.2016.2598838" TargetMode="External"/><Relationship Id="rId14" Type="http://schemas.openxmlformats.org/officeDocument/2006/relationships/hyperlink" Target="http://dx.doi.org/10.1109/VISUAL.1990.146370" TargetMode="External"/><Relationship Id="rId17" Type="http://schemas.openxmlformats.org/officeDocument/2006/relationships/hyperlink" Target="http://dx.doi.org/10.1109/VISUAL.1990.146373" TargetMode="External"/><Relationship Id="rId16" Type="http://schemas.openxmlformats.org/officeDocument/2006/relationships/hyperlink" Target="http://dx.doi.org/10.1109/VISUAL.1990.146372" TargetMode="External"/><Relationship Id="rId19" Type="http://schemas.openxmlformats.org/officeDocument/2006/relationships/hyperlink" Target="http://dx.doi.org/10.1109/VISUAL.1990.146375" TargetMode="External"/><Relationship Id="rId510" Type="http://schemas.openxmlformats.org/officeDocument/2006/relationships/hyperlink" Target="http://dx.doi.org/10.1109/VISUAL.1998.745312" TargetMode="External"/><Relationship Id="rId752" Type="http://schemas.openxmlformats.org/officeDocument/2006/relationships/hyperlink" Target="http://dx.doi.org/10.1109/TVCG.2015.2467471" TargetMode="External"/><Relationship Id="rId994" Type="http://schemas.openxmlformats.org/officeDocument/2006/relationships/hyperlink" Target="http://dx.doi.org/10.1109/VAST.2016.7883508" TargetMode="External"/><Relationship Id="rId18" Type="http://schemas.openxmlformats.org/officeDocument/2006/relationships/hyperlink" Target="http://dx.doi.org/10.1109/VISUAL.1990.146374" TargetMode="External"/><Relationship Id="rId751" Type="http://schemas.openxmlformats.org/officeDocument/2006/relationships/hyperlink" Target="http://dx.doi.org/10.1109/TVCG.2015.2467452" TargetMode="External"/><Relationship Id="rId993" Type="http://schemas.openxmlformats.org/officeDocument/2006/relationships/hyperlink" Target="http://dx.doi.org/10.1109/VAST.2016.7883507" TargetMode="External"/><Relationship Id="rId1100" Type="http://schemas.openxmlformats.org/officeDocument/2006/relationships/hyperlink" Target="http://dx.doi.org/10.1109/TVCG.2017.2745180" TargetMode="External"/><Relationship Id="rId750" Type="http://schemas.openxmlformats.org/officeDocument/2006/relationships/hyperlink" Target="http://dx.doi.org/10.1109/TVCG.2015.2467451" TargetMode="External"/><Relationship Id="rId992" Type="http://schemas.openxmlformats.org/officeDocument/2006/relationships/hyperlink" Target="http://dx.doi.org/10.1109/VAST.2016.7883506" TargetMode="External"/><Relationship Id="rId1101" Type="http://schemas.openxmlformats.org/officeDocument/2006/relationships/hyperlink" Target="http://dx.doi.org/10.1109/TVCG.2017.2745181" TargetMode="External"/><Relationship Id="rId991" Type="http://schemas.openxmlformats.org/officeDocument/2006/relationships/hyperlink" Target="http://dx.doi.org/10.1109/TVCG.2016.2599378" TargetMode="External"/><Relationship Id="rId1102" Type="http://schemas.openxmlformats.org/officeDocument/2006/relationships/hyperlink" Target="http://dx.doi.org/10.1109/TVCG.2017.2745258" TargetMode="External"/><Relationship Id="rId84" Type="http://schemas.openxmlformats.org/officeDocument/2006/relationships/hyperlink" Target="http://dx.doi.org/10.1109/VISUAL.1991.175805" TargetMode="External"/><Relationship Id="rId83" Type="http://schemas.openxmlformats.org/officeDocument/2006/relationships/hyperlink" Target="http://dx.doi.org/10.1109/VISUAL.1991.175804" TargetMode="External"/><Relationship Id="rId86" Type="http://schemas.openxmlformats.org/officeDocument/2006/relationships/hyperlink" Target="http://dx.doi.org/10.1109/VISUAL.1991.175807" TargetMode="External"/><Relationship Id="rId85" Type="http://schemas.openxmlformats.org/officeDocument/2006/relationships/hyperlink" Target="http://dx.doi.org/10.1109/VISUAL.1991.175806" TargetMode="External"/><Relationship Id="rId88" Type="http://schemas.openxmlformats.org/officeDocument/2006/relationships/hyperlink" Target="http://dx.doi.org/10.1109/VISUAL.1991.175810" TargetMode="External"/><Relationship Id="rId87" Type="http://schemas.openxmlformats.org/officeDocument/2006/relationships/hyperlink" Target="http://dx.doi.org/10.1109/VISUAL.1991.175809" TargetMode="External"/><Relationship Id="rId89" Type="http://schemas.openxmlformats.org/officeDocument/2006/relationships/hyperlink" Target="http://dx.doi.org/10.1109/VISUAL.1991.175811" TargetMode="External"/><Relationship Id="rId709" Type="http://schemas.openxmlformats.org/officeDocument/2006/relationships/hyperlink" Target="http://dx.doi.org/10.1109/TVCG.2014.2346926" TargetMode="External"/><Relationship Id="rId708" Type="http://schemas.openxmlformats.org/officeDocument/2006/relationships/hyperlink" Target="http://dx.doi.org/10.1109/TVCG.2014.2346922" TargetMode="External"/><Relationship Id="rId707" Type="http://schemas.openxmlformats.org/officeDocument/2006/relationships/hyperlink" Target="http://dx.doi.org/10.1109/TVCG.2014.2346920" TargetMode="External"/><Relationship Id="rId949" Type="http://schemas.openxmlformats.org/officeDocument/2006/relationships/hyperlink" Target="http://dx.doi.org/10.1109/TVCG.2016.2599017" TargetMode="External"/><Relationship Id="rId706" Type="http://schemas.openxmlformats.org/officeDocument/2006/relationships/hyperlink" Target="http://dx.doi.org/10.1109/TVCG.2014.2346919" TargetMode="External"/><Relationship Id="rId948" Type="http://schemas.openxmlformats.org/officeDocument/2006/relationships/hyperlink" Target="http://dx.doi.org/10.1109/TVCG.2016.2599016" TargetMode="External"/><Relationship Id="rId80" Type="http://schemas.openxmlformats.org/officeDocument/2006/relationships/hyperlink" Target="http://dx.doi.org/10.1109/VISUAL.1991.175800" TargetMode="External"/><Relationship Id="rId82" Type="http://schemas.openxmlformats.org/officeDocument/2006/relationships/hyperlink" Target="http://dx.doi.org/10.1109/VISUAL.1991.175802" TargetMode="External"/><Relationship Id="rId81" Type="http://schemas.openxmlformats.org/officeDocument/2006/relationships/hyperlink" Target="http://dx.doi.org/10.1109/VISUAL.1991.175801" TargetMode="External"/><Relationship Id="rId701" Type="http://schemas.openxmlformats.org/officeDocument/2006/relationships/hyperlink" Target="http://dx.doi.org/10.1109/TVCG.2014.2346893" TargetMode="External"/><Relationship Id="rId943" Type="http://schemas.openxmlformats.org/officeDocument/2006/relationships/hyperlink" Target="http://dx.doi.org/10.1109/TVCG.2016.2598866" TargetMode="External"/><Relationship Id="rId700" Type="http://schemas.openxmlformats.org/officeDocument/2006/relationships/hyperlink" Target="http://dx.doi.org/10.1109/TVCG.2014.2346755" TargetMode="External"/><Relationship Id="rId942" Type="http://schemas.openxmlformats.org/officeDocument/2006/relationships/hyperlink" Target="http://dx.doi.org/10.1109/TVCG.2016.2598827" TargetMode="External"/><Relationship Id="rId941" Type="http://schemas.openxmlformats.org/officeDocument/2006/relationships/hyperlink" Target="http://dx.doi.org/10.1109/TVCG.2016.2598826" TargetMode="External"/><Relationship Id="rId940" Type="http://schemas.openxmlformats.org/officeDocument/2006/relationships/hyperlink" Target="http://dx.doi.org/10.1109/TVCG.2016.2598825" TargetMode="External"/><Relationship Id="rId705" Type="http://schemas.openxmlformats.org/officeDocument/2006/relationships/hyperlink" Target="http://dx.doi.org/10.1109/TVCG.2014.2346913" TargetMode="External"/><Relationship Id="rId947" Type="http://schemas.openxmlformats.org/officeDocument/2006/relationships/hyperlink" Target="http://dx.doi.org/10.1109/TVCG.2016.2598998" TargetMode="External"/><Relationship Id="rId704" Type="http://schemas.openxmlformats.org/officeDocument/2006/relationships/hyperlink" Target="http://dx.doi.org/10.1109/TVCG.2014.2346912" TargetMode="External"/><Relationship Id="rId946" Type="http://schemas.openxmlformats.org/officeDocument/2006/relationships/hyperlink" Target="http://dx.doi.org/10.1109/TVCG.2016.2598870" TargetMode="External"/><Relationship Id="rId703" Type="http://schemas.openxmlformats.org/officeDocument/2006/relationships/hyperlink" Target="http://dx.doi.org/10.1109/TVCG.2014.2346911" TargetMode="External"/><Relationship Id="rId945" Type="http://schemas.openxmlformats.org/officeDocument/2006/relationships/hyperlink" Target="http://dx.doi.org/10.1109/TVCG.2016.2598869" TargetMode="External"/><Relationship Id="rId702" Type="http://schemas.openxmlformats.org/officeDocument/2006/relationships/hyperlink" Target="http://dx.doi.org/10.1109/TVCG.2014.2346898" TargetMode="External"/><Relationship Id="rId944" Type="http://schemas.openxmlformats.org/officeDocument/2006/relationships/hyperlink" Target="http://dx.doi.org/10.1109/TVCG.2016.2598868" TargetMode="External"/><Relationship Id="rId73" Type="http://schemas.openxmlformats.org/officeDocument/2006/relationships/hyperlink" Target="http://dx.doi.org/10.1109/VISUAL.1991.175791" TargetMode="External"/><Relationship Id="rId72" Type="http://schemas.openxmlformats.org/officeDocument/2006/relationships/hyperlink" Target="http://dx.doi.org/10.1109/VISUAL.1991.175790" TargetMode="External"/><Relationship Id="rId75" Type="http://schemas.openxmlformats.org/officeDocument/2006/relationships/hyperlink" Target="http://dx.doi.org/10.1109/VISUAL.1991.175794" TargetMode="External"/><Relationship Id="rId74" Type="http://schemas.openxmlformats.org/officeDocument/2006/relationships/hyperlink" Target="http://dx.doi.org/10.1109/VISUAL.1991.175792" TargetMode="External"/><Relationship Id="rId77" Type="http://schemas.openxmlformats.org/officeDocument/2006/relationships/hyperlink" Target="http://dx.doi.org/10.1109/VISUAL.1991.175796" TargetMode="External"/><Relationship Id="rId76" Type="http://schemas.openxmlformats.org/officeDocument/2006/relationships/hyperlink" Target="http://dx.doi.org/10.1109/VISUAL.1991.175795" TargetMode="External"/><Relationship Id="rId79" Type="http://schemas.openxmlformats.org/officeDocument/2006/relationships/hyperlink" Target="http://dx.doi.org/10.1109/VISUAL.1991.175799" TargetMode="External"/><Relationship Id="rId78" Type="http://schemas.openxmlformats.org/officeDocument/2006/relationships/hyperlink" Target="http://dx.doi.org/10.1109/VISUAL.1991.175797" TargetMode="External"/><Relationship Id="rId939" Type="http://schemas.openxmlformats.org/officeDocument/2006/relationships/hyperlink" Target="http://dx.doi.org/10.1109/TVCG.2016.2598824" TargetMode="External"/><Relationship Id="rId938" Type="http://schemas.openxmlformats.org/officeDocument/2006/relationships/hyperlink" Target="http://dx.doi.org/10.1109/TVCG.2016.2598795" TargetMode="External"/><Relationship Id="rId937" Type="http://schemas.openxmlformats.org/officeDocument/2006/relationships/hyperlink" Target="http://dx.doi.org/10.1109/TVCG.2016.2598791" TargetMode="External"/><Relationship Id="rId71" Type="http://schemas.openxmlformats.org/officeDocument/2006/relationships/hyperlink" Target="http://dx.doi.org/10.1109/VISUAL.1991.175789" TargetMode="External"/><Relationship Id="rId70" Type="http://schemas.openxmlformats.org/officeDocument/2006/relationships/hyperlink" Target="http://dx.doi.org/10.1109/VISUAL.1991.175787" TargetMode="External"/><Relationship Id="rId932" Type="http://schemas.openxmlformats.org/officeDocument/2006/relationships/hyperlink" Target="http://dx.doi.org/10.1109/TVCG.2016.2598602" TargetMode="External"/><Relationship Id="rId931" Type="http://schemas.openxmlformats.org/officeDocument/2006/relationships/hyperlink" Target="http://dx.doi.org/10.1109/TVCG.2016.2598585" TargetMode="External"/><Relationship Id="rId930" Type="http://schemas.openxmlformats.org/officeDocument/2006/relationships/hyperlink" Target="http://dx.doi.org/10.1109/TVCG.2016.2598448" TargetMode="External"/><Relationship Id="rId936" Type="http://schemas.openxmlformats.org/officeDocument/2006/relationships/hyperlink" Target="http://dx.doi.org/10.1109/TVCG.2016.2598790" TargetMode="External"/><Relationship Id="rId935" Type="http://schemas.openxmlformats.org/officeDocument/2006/relationships/hyperlink" Target="http://dx.doi.org/10.1109/TVCG.2016.2598789" TargetMode="External"/><Relationship Id="rId934" Type="http://schemas.openxmlformats.org/officeDocument/2006/relationships/hyperlink" Target="http://dx.doi.org/10.1109/TVCG.2016.2598604" TargetMode="External"/><Relationship Id="rId933" Type="http://schemas.openxmlformats.org/officeDocument/2006/relationships/hyperlink" Target="http://dx.doi.org/10.1109/TVCG.2016.2598603" TargetMode="External"/><Relationship Id="rId62" Type="http://schemas.openxmlformats.org/officeDocument/2006/relationships/hyperlink" Target="http://dx.doi.org/10.1109/VISUAL.1991.175777" TargetMode="External"/><Relationship Id="rId61" Type="http://schemas.openxmlformats.org/officeDocument/2006/relationships/hyperlink" Target="http://dx.doi.org/10.1109/VISUAL.1991.175776" TargetMode="External"/><Relationship Id="rId64" Type="http://schemas.openxmlformats.org/officeDocument/2006/relationships/hyperlink" Target="http://dx.doi.org/10.1109/VISUAL.1991.175780" TargetMode="External"/><Relationship Id="rId63" Type="http://schemas.openxmlformats.org/officeDocument/2006/relationships/hyperlink" Target="http://dx.doi.org/10.1109/VISUAL.1991.175778" TargetMode="External"/><Relationship Id="rId66" Type="http://schemas.openxmlformats.org/officeDocument/2006/relationships/hyperlink" Target="http://dx.doi.org/10.1109/VISUAL.1991.175782" TargetMode="External"/><Relationship Id="rId65" Type="http://schemas.openxmlformats.org/officeDocument/2006/relationships/hyperlink" Target="http://dx.doi.org/10.1109/VISUAL.1991.175781" TargetMode="External"/><Relationship Id="rId68" Type="http://schemas.openxmlformats.org/officeDocument/2006/relationships/hyperlink" Target="http://dx.doi.org/10.1109/VISUAL.1991.175785" TargetMode="External"/><Relationship Id="rId67" Type="http://schemas.openxmlformats.org/officeDocument/2006/relationships/hyperlink" Target="http://dx.doi.org/10.1109/VISUAL.1991.175784" TargetMode="External"/><Relationship Id="rId729" Type="http://schemas.openxmlformats.org/officeDocument/2006/relationships/hyperlink" Target="http://dx.doi.org/10.1109/VAST.2014.7042494" TargetMode="External"/><Relationship Id="rId728" Type="http://schemas.openxmlformats.org/officeDocument/2006/relationships/hyperlink" Target="http://dx.doi.org/10.1109/VAST.2014.7042493" TargetMode="External"/><Relationship Id="rId60" Type="http://schemas.openxmlformats.org/officeDocument/2006/relationships/hyperlink" Target="http://dx.doi.org/10.1109/VISUAL.1991.175773" TargetMode="External"/><Relationship Id="rId723" Type="http://schemas.openxmlformats.org/officeDocument/2006/relationships/hyperlink" Target="http://dx.doi.org/10.1109/VAST.2014.7042488" TargetMode="External"/><Relationship Id="rId965" Type="http://schemas.openxmlformats.org/officeDocument/2006/relationships/hyperlink" Target="http://dx.doi.org/10.1109/TVCG.2016.2598447" TargetMode="External"/><Relationship Id="rId722" Type="http://schemas.openxmlformats.org/officeDocument/2006/relationships/hyperlink" Target="http://dx.doi.org/10.1109/VAST.2014.7042487" TargetMode="External"/><Relationship Id="rId964" Type="http://schemas.openxmlformats.org/officeDocument/2006/relationships/hyperlink" Target="http://dx.doi.org/10.1109/TVCG.2016.2598446" TargetMode="External"/><Relationship Id="rId721" Type="http://schemas.openxmlformats.org/officeDocument/2006/relationships/hyperlink" Target="http://dx.doi.org/10.1109/VAST.2014.7042486" TargetMode="External"/><Relationship Id="rId963" Type="http://schemas.openxmlformats.org/officeDocument/2006/relationships/hyperlink" Target="http://dx.doi.org/10.1109/TVCG.2016.2598445" TargetMode="External"/><Relationship Id="rId720" Type="http://schemas.openxmlformats.org/officeDocument/2006/relationships/hyperlink" Target="http://dx.doi.org/10.1109/VAST.2014.7042485" TargetMode="External"/><Relationship Id="rId962" Type="http://schemas.openxmlformats.org/officeDocument/2006/relationships/hyperlink" Target="http://dx.doi.org/10.1109/TVCG.2016.2598444" TargetMode="External"/><Relationship Id="rId727" Type="http://schemas.openxmlformats.org/officeDocument/2006/relationships/hyperlink" Target="http://dx.doi.org/10.1109/VAST.2014.7042492" TargetMode="External"/><Relationship Id="rId969" Type="http://schemas.openxmlformats.org/officeDocument/2006/relationships/hyperlink" Target="http://dx.doi.org/10.1109/TVCG.2016.2598466" TargetMode="External"/><Relationship Id="rId726" Type="http://schemas.openxmlformats.org/officeDocument/2006/relationships/hyperlink" Target="http://dx.doi.org/10.1109/VAST.2014.7042491" TargetMode="External"/><Relationship Id="rId968" Type="http://schemas.openxmlformats.org/officeDocument/2006/relationships/hyperlink" Target="http://dx.doi.org/10.1109/TVCG.2016.2598465" TargetMode="External"/><Relationship Id="rId725" Type="http://schemas.openxmlformats.org/officeDocument/2006/relationships/hyperlink" Target="http://dx.doi.org/10.1109/VAST.2014.7042490" TargetMode="External"/><Relationship Id="rId967" Type="http://schemas.openxmlformats.org/officeDocument/2006/relationships/hyperlink" Target="http://dx.doi.org/10.1109/TVCG.2016.2598463" TargetMode="External"/><Relationship Id="rId724" Type="http://schemas.openxmlformats.org/officeDocument/2006/relationships/hyperlink" Target="http://dx.doi.org/10.1109/VAST.2014.7042489" TargetMode="External"/><Relationship Id="rId966" Type="http://schemas.openxmlformats.org/officeDocument/2006/relationships/hyperlink" Target="http://dx.doi.org/10.1109/TVCG.2016.2598460" TargetMode="External"/><Relationship Id="rId69" Type="http://schemas.openxmlformats.org/officeDocument/2006/relationships/hyperlink" Target="http://dx.doi.org/10.1109/VISUAL.1991.175786" TargetMode="External"/><Relationship Id="rId961" Type="http://schemas.openxmlformats.org/officeDocument/2006/relationships/hyperlink" Target="http://dx.doi.org/10.1109/TVCG.2016.2598432" TargetMode="External"/><Relationship Id="rId960" Type="http://schemas.openxmlformats.org/officeDocument/2006/relationships/hyperlink" Target="http://dx.doi.org/10.1109/TVCG.2016.2598416" TargetMode="External"/><Relationship Id="rId51" Type="http://schemas.openxmlformats.org/officeDocument/2006/relationships/hyperlink" Target="http://dx.doi.org/10.1109/VISUAL.1990.146415" TargetMode="External"/><Relationship Id="rId50" Type="http://schemas.openxmlformats.org/officeDocument/2006/relationships/hyperlink" Target="http://dx.doi.org/10.1109/VISUAL.1990.146414" TargetMode="External"/><Relationship Id="rId53" Type="http://schemas.openxmlformats.org/officeDocument/2006/relationships/hyperlink" Target="http://dx.doi.org/10.1109/VISUAL.1990.146417" TargetMode="External"/><Relationship Id="rId52" Type="http://schemas.openxmlformats.org/officeDocument/2006/relationships/hyperlink" Target="http://dx.doi.org/10.1109/VISUAL.1990.146416" TargetMode="External"/><Relationship Id="rId55" Type="http://schemas.openxmlformats.org/officeDocument/2006/relationships/hyperlink" Target="http://dx.doi.org/10.1109/VISUAL.1990.146419" TargetMode="External"/><Relationship Id="rId54" Type="http://schemas.openxmlformats.org/officeDocument/2006/relationships/hyperlink" Target="http://dx.doi.org/10.1109/VISUAL.1990.146418" TargetMode="External"/><Relationship Id="rId57" Type="http://schemas.openxmlformats.org/officeDocument/2006/relationships/hyperlink" Target="http://dx.doi.org/10.1109/VISUAL.1991.175770" TargetMode="External"/><Relationship Id="rId56" Type="http://schemas.openxmlformats.org/officeDocument/2006/relationships/hyperlink" Target="http://dx.doi.org/10.1109/VISUAL.1991.175767" TargetMode="External"/><Relationship Id="rId719" Type="http://schemas.openxmlformats.org/officeDocument/2006/relationships/hyperlink" Target="http://dx.doi.org/10.1109/VAST.2014.7042484" TargetMode="External"/><Relationship Id="rId718" Type="http://schemas.openxmlformats.org/officeDocument/2006/relationships/hyperlink" Target="http://dx.doi.org/10.1109/VAST.2014.7042483" TargetMode="External"/><Relationship Id="rId717" Type="http://schemas.openxmlformats.org/officeDocument/2006/relationships/hyperlink" Target="http://dx.doi.org/10.1109/VAST.2014.7042482" TargetMode="External"/><Relationship Id="rId959" Type="http://schemas.openxmlformats.org/officeDocument/2006/relationships/hyperlink" Target="http://dx.doi.org/10.1109/TVCG.2016.2598415" TargetMode="External"/><Relationship Id="rId712" Type="http://schemas.openxmlformats.org/officeDocument/2006/relationships/hyperlink" Target="http://dx.doi.org/10.1109/VAST.2014.7042477" TargetMode="External"/><Relationship Id="rId954" Type="http://schemas.openxmlformats.org/officeDocument/2006/relationships/hyperlink" Target="http://dx.doi.org/10.1109/TVCG.2016.2599043" TargetMode="External"/><Relationship Id="rId711" Type="http://schemas.openxmlformats.org/officeDocument/2006/relationships/hyperlink" Target="http://dx.doi.org/10.1109/VAST.2014.7042476" TargetMode="External"/><Relationship Id="rId953" Type="http://schemas.openxmlformats.org/officeDocument/2006/relationships/hyperlink" Target="http://dx.doi.org/10.1109/TVCG.2016.2599042" TargetMode="External"/><Relationship Id="rId710" Type="http://schemas.openxmlformats.org/officeDocument/2006/relationships/hyperlink" Target="http://dx.doi.org/10.1109/TVCG.2014.2346930" TargetMode="External"/><Relationship Id="rId952" Type="http://schemas.openxmlformats.org/officeDocument/2006/relationships/hyperlink" Target="http://dx.doi.org/10.1109/TVCG.2016.2599041" TargetMode="External"/><Relationship Id="rId951" Type="http://schemas.openxmlformats.org/officeDocument/2006/relationships/hyperlink" Target="http://dx.doi.org/10.1109/TVCG.2016.2599040" TargetMode="External"/><Relationship Id="rId716" Type="http://schemas.openxmlformats.org/officeDocument/2006/relationships/hyperlink" Target="http://dx.doi.org/10.1109/VAST.2014.7042481" TargetMode="External"/><Relationship Id="rId958" Type="http://schemas.openxmlformats.org/officeDocument/2006/relationships/hyperlink" Target="http://dx.doi.org/10.1109/TVCG.2016.2599217" TargetMode="External"/><Relationship Id="rId715" Type="http://schemas.openxmlformats.org/officeDocument/2006/relationships/hyperlink" Target="http://dx.doi.org/10.1109/VAST.2014.7042480" TargetMode="External"/><Relationship Id="rId957" Type="http://schemas.openxmlformats.org/officeDocument/2006/relationships/hyperlink" Target="http://dx.doi.org/10.1109/TVCG.2016.2599214" TargetMode="External"/><Relationship Id="rId714" Type="http://schemas.openxmlformats.org/officeDocument/2006/relationships/hyperlink" Target="http://dx.doi.org/10.1109/VAST.2014.7042479" TargetMode="External"/><Relationship Id="rId956" Type="http://schemas.openxmlformats.org/officeDocument/2006/relationships/hyperlink" Target="http://dx.doi.org/10.1109/TVCG.2016.2599211" TargetMode="External"/><Relationship Id="rId713" Type="http://schemas.openxmlformats.org/officeDocument/2006/relationships/hyperlink" Target="http://dx.doi.org/10.1109/VAST.2014.7042478" TargetMode="External"/><Relationship Id="rId955" Type="http://schemas.openxmlformats.org/officeDocument/2006/relationships/hyperlink" Target="http://dx.doi.org/10.1109/TVCG.2016.2599049" TargetMode="External"/><Relationship Id="rId59" Type="http://schemas.openxmlformats.org/officeDocument/2006/relationships/hyperlink" Target="http://dx.doi.org/10.1109/VISUAL.1991.175772" TargetMode="External"/><Relationship Id="rId58" Type="http://schemas.openxmlformats.org/officeDocument/2006/relationships/hyperlink" Target="http://dx.doi.org/10.1109/VISUAL.1991.175771" TargetMode="External"/><Relationship Id="rId950" Type="http://schemas.openxmlformats.org/officeDocument/2006/relationships/hyperlink" Target="http://dx.doi.org/10.1109/TVCG.2016.2599018" TargetMode="External"/><Relationship Id="rId590" Type="http://schemas.openxmlformats.org/officeDocument/2006/relationships/hyperlink" Target="http://dx.doi.org/10.1109/VAST.2011.6102489" TargetMode="External"/><Relationship Id="rId107" Type="http://schemas.openxmlformats.org/officeDocument/2006/relationships/hyperlink" Target="http://dx.doi.org/10.1109/VISUAL.1991.175833" TargetMode="External"/><Relationship Id="rId349" Type="http://schemas.openxmlformats.org/officeDocument/2006/relationships/hyperlink" Target="http://dx.doi.org/10.1109/VISUAL.1996.568134" TargetMode="External"/><Relationship Id="rId106" Type="http://schemas.openxmlformats.org/officeDocument/2006/relationships/hyperlink" Target="http://dx.doi.org/10.1109/VISUAL.1991.175832" TargetMode="External"/><Relationship Id="rId348" Type="http://schemas.openxmlformats.org/officeDocument/2006/relationships/hyperlink" Target="http://doi.ieeecomputersociety.org/10.1109/VISUAL.1996.568133" TargetMode="External"/><Relationship Id="rId105" Type="http://schemas.openxmlformats.org/officeDocument/2006/relationships/hyperlink" Target="http://dx.doi.org/10.1109/VISUAL.1991.175831" TargetMode="External"/><Relationship Id="rId347" Type="http://schemas.openxmlformats.org/officeDocument/2006/relationships/hyperlink" Target="http://dx.doi.org/10.1109/VISUAL.1996.568132" TargetMode="External"/><Relationship Id="rId589" Type="http://schemas.openxmlformats.org/officeDocument/2006/relationships/hyperlink" Target="http://dx.doi.org/10.1109/VAST.2011.6102488" TargetMode="External"/><Relationship Id="rId104" Type="http://schemas.openxmlformats.org/officeDocument/2006/relationships/hyperlink" Target="http://dx.doi.org/10.1109/VISUAL.1991.175830" TargetMode="External"/><Relationship Id="rId346" Type="http://schemas.openxmlformats.org/officeDocument/2006/relationships/hyperlink" Target="http://dx.doi.org/10.1109/VISUAL.1996.568130" TargetMode="External"/><Relationship Id="rId588" Type="http://schemas.openxmlformats.org/officeDocument/2006/relationships/hyperlink" Target="http://dx.doi.org/10.1109/VAST.2011.6102486" TargetMode="External"/><Relationship Id="rId109" Type="http://schemas.openxmlformats.org/officeDocument/2006/relationships/hyperlink" Target="http://dx.doi.org/10.1109/VISUAL.1991.175835" TargetMode="External"/><Relationship Id="rId1170" Type="http://schemas.openxmlformats.org/officeDocument/2006/relationships/hyperlink" Target="http://dx.doi.org/10.1109/TVCG.2018.2864498" TargetMode="External"/><Relationship Id="rId108" Type="http://schemas.openxmlformats.org/officeDocument/2006/relationships/hyperlink" Target="http://dx.doi.org/10.1109/VISUAL.1991.175834" TargetMode="External"/><Relationship Id="rId1171" Type="http://schemas.openxmlformats.org/officeDocument/2006/relationships/hyperlink" Target="http://dx.doi.org/10.1109/TVCG.2018.2864505" TargetMode="External"/><Relationship Id="rId341" Type="http://schemas.openxmlformats.org/officeDocument/2006/relationships/hyperlink" Target="http://dx.doi.org/10.1109/VISUAL.1996.568125" TargetMode="External"/><Relationship Id="rId583" Type="http://schemas.openxmlformats.org/officeDocument/2006/relationships/hyperlink" Target="http://dx.doi.org/10.1109/VAST.2011.6102479" TargetMode="External"/><Relationship Id="rId1172" Type="http://schemas.openxmlformats.org/officeDocument/2006/relationships/hyperlink" Target="http://dx.doi.org/10.1109/TVCG.2018.2864506" TargetMode="External"/><Relationship Id="rId340" Type="http://schemas.openxmlformats.org/officeDocument/2006/relationships/hyperlink" Target="http://dx.doi.org/10.1109/VISUAL.1996.568124" TargetMode="External"/><Relationship Id="rId582" Type="http://schemas.openxmlformats.org/officeDocument/2006/relationships/hyperlink" Target="http://dx.doi.org/10.1109/VAST.2011.6102478" TargetMode="External"/><Relationship Id="rId1173" Type="http://schemas.openxmlformats.org/officeDocument/2006/relationships/hyperlink" Target="http://dx.doi.org/10.1109/TVCG.2018.2864507" TargetMode="External"/><Relationship Id="rId581" Type="http://schemas.openxmlformats.org/officeDocument/2006/relationships/hyperlink" Target="http://dx.doi.org/10.1109/VAST.2011.6102477" TargetMode="External"/><Relationship Id="rId1174" Type="http://schemas.openxmlformats.org/officeDocument/2006/relationships/hyperlink" Target="http://dx.doi.org/10.1109/TVCG.2018.2864508" TargetMode="External"/><Relationship Id="rId580" Type="http://schemas.openxmlformats.org/officeDocument/2006/relationships/hyperlink" Target="http://dx.doi.org/10.1109/VAST.2011.6102476" TargetMode="External"/><Relationship Id="rId1175" Type="http://schemas.openxmlformats.org/officeDocument/2006/relationships/hyperlink" Target="http://dx.doi.org/10.1109/TVCG.2018.2864509" TargetMode="External"/><Relationship Id="rId103" Type="http://schemas.openxmlformats.org/officeDocument/2006/relationships/hyperlink" Target="http://dx.doi.org/10.1109/VISUAL.1991.175828" TargetMode="External"/><Relationship Id="rId345" Type="http://schemas.openxmlformats.org/officeDocument/2006/relationships/hyperlink" Target="http://dx.doi.org/10.1109/VISUAL.1996.568129" TargetMode="External"/><Relationship Id="rId587" Type="http://schemas.openxmlformats.org/officeDocument/2006/relationships/hyperlink" Target="http://dx.doi.org/10.1109/VAST.2011.6102485" TargetMode="External"/><Relationship Id="rId1176" Type="http://schemas.openxmlformats.org/officeDocument/2006/relationships/hyperlink" Target="http://dx.doi.org/10.1109/TVCG.2018.2864510" TargetMode="External"/><Relationship Id="rId102" Type="http://schemas.openxmlformats.org/officeDocument/2006/relationships/hyperlink" Target="http://dx.doi.org/10.1109/VISUAL.1991.175827" TargetMode="External"/><Relationship Id="rId344" Type="http://schemas.openxmlformats.org/officeDocument/2006/relationships/hyperlink" Target="http://dx.doi.org/10.1109/VISUAL.1996.568128" TargetMode="External"/><Relationship Id="rId586" Type="http://schemas.openxmlformats.org/officeDocument/2006/relationships/hyperlink" Target="http://dx.doi.org/10.1109/VAST.2011.6102482" TargetMode="External"/><Relationship Id="rId1177" Type="http://schemas.openxmlformats.org/officeDocument/2006/relationships/hyperlink" Target="http://dx.doi.org/10.1109/TVCG.2018.2864656" TargetMode="External"/><Relationship Id="rId101" Type="http://schemas.openxmlformats.org/officeDocument/2006/relationships/hyperlink" Target="http://dx.doi.org/10.1109/VISUAL.1991.175826" TargetMode="External"/><Relationship Id="rId343" Type="http://schemas.openxmlformats.org/officeDocument/2006/relationships/hyperlink" Target="http://dx.doi.org/10.1109/VISUAL.1996.568127" TargetMode="External"/><Relationship Id="rId585" Type="http://schemas.openxmlformats.org/officeDocument/2006/relationships/hyperlink" Target="http://dx.doi.org/10.1109/VAST.2011.6102481" TargetMode="External"/><Relationship Id="rId1178" Type="http://schemas.openxmlformats.org/officeDocument/2006/relationships/hyperlink" Target="http://dx.doi.org/10.1109/TVCG.2018.2864690" TargetMode="External"/><Relationship Id="rId100" Type="http://schemas.openxmlformats.org/officeDocument/2006/relationships/hyperlink" Target="http://dx.doi.org/10.1109/VISUAL.1991.175825" TargetMode="External"/><Relationship Id="rId342" Type="http://schemas.openxmlformats.org/officeDocument/2006/relationships/hyperlink" Target="http://dx.doi.org/10.1109/VISUAL.1996.568126" TargetMode="External"/><Relationship Id="rId584" Type="http://schemas.openxmlformats.org/officeDocument/2006/relationships/hyperlink" Target="http://dx.doi.org/10.1109/VAST.2011.6102480" TargetMode="External"/><Relationship Id="rId1179" Type="http://schemas.openxmlformats.org/officeDocument/2006/relationships/hyperlink" Target="http://dx.doi.org/10.1109/TVCG.2018.2864768" TargetMode="External"/><Relationship Id="rId1169" Type="http://schemas.openxmlformats.org/officeDocument/2006/relationships/hyperlink" Target="http://dx.doi.org/10.1109/TVCG.2018.2864491" TargetMode="External"/><Relationship Id="rId338" Type="http://schemas.openxmlformats.org/officeDocument/2006/relationships/hyperlink" Target="http://dx.doi.org/10.1109/VISUAL.1996.568121" TargetMode="External"/><Relationship Id="rId337" Type="http://schemas.openxmlformats.org/officeDocument/2006/relationships/hyperlink" Target="http://doi.ieeecomputersociety.org/10.1109/VISUAL.1996.568120" TargetMode="External"/><Relationship Id="rId579" Type="http://schemas.openxmlformats.org/officeDocument/2006/relationships/hyperlink" Target="http://dl.acm.org/citation.cfm?id=1947411" TargetMode="External"/><Relationship Id="rId336" Type="http://schemas.openxmlformats.org/officeDocument/2006/relationships/hyperlink" Target="http://dx.doi.org/10.1109/VISUAL.1996.568119" TargetMode="External"/><Relationship Id="rId578" Type="http://schemas.openxmlformats.org/officeDocument/2006/relationships/hyperlink" Target="http://doi.ieeecomputersociety.org/10.1109/INFVIS.2003.1249029" TargetMode="External"/><Relationship Id="rId335" Type="http://schemas.openxmlformats.org/officeDocument/2006/relationships/hyperlink" Target="http://dx.doi.org/10.1109/VISUAL.1996.568118" TargetMode="External"/><Relationship Id="rId577" Type="http://schemas.openxmlformats.org/officeDocument/2006/relationships/hyperlink" Target="http://doi.ieeecomputersociety.org/10.1109/INFVIS.2003.1249017" TargetMode="External"/><Relationship Id="rId339" Type="http://schemas.openxmlformats.org/officeDocument/2006/relationships/hyperlink" Target="http://doi.ieeecomputersociety.org/10.1109/VISUAL.1996.568122" TargetMode="External"/><Relationship Id="rId1160" Type="http://schemas.openxmlformats.org/officeDocument/2006/relationships/hyperlink" Target="http://dx.doi.org/10.1109/TVCG.2018.2865234" TargetMode="External"/><Relationship Id="rId330" Type="http://schemas.openxmlformats.org/officeDocument/2006/relationships/hyperlink" Target="http://dx.doi.org/10.1109/VISUAL.1996.568110" TargetMode="External"/><Relationship Id="rId572" Type="http://schemas.openxmlformats.org/officeDocument/2006/relationships/hyperlink" Target="http://doi.ieeecomputersociety.org/10.1109/VISUAL.2001.964541" TargetMode="External"/><Relationship Id="rId1161" Type="http://schemas.openxmlformats.org/officeDocument/2006/relationships/hyperlink" Target="http://dx.doi.org/10.1109/TVCG.2018.2865235" TargetMode="External"/><Relationship Id="rId571" Type="http://schemas.openxmlformats.org/officeDocument/2006/relationships/hyperlink" Target="http://dl.acm.org/citation.cfm?id=601733&amp;CFID=417306019&amp;CFTOKEN=83091695" TargetMode="External"/><Relationship Id="rId1162" Type="http://schemas.openxmlformats.org/officeDocument/2006/relationships/hyperlink" Target="http://dx.doi.org/10.1109/TVCG.2018.2865237" TargetMode="External"/><Relationship Id="rId570" Type="http://schemas.openxmlformats.org/officeDocument/2006/relationships/hyperlink" Target="http://dl.acm.org/citation.cfm?id=601721&amp;CFID=417306019&amp;CFTOKEN=83091695" TargetMode="External"/><Relationship Id="rId1163" Type="http://schemas.openxmlformats.org/officeDocument/2006/relationships/hyperlink" Target="http://dx.doi.org/10.1109/TVCG.2018.2865240" TargetMode="External"/><Relationship Id="rId1164" Type="http://schemas.openxmlformats.org/officeDocument/2006/relationships/hyperlink" Target="http://dx.doi.org/10.1109/TVCG.2018.2865241" TargetMode="External"/><Relationship Id="rId334" Type="http://schemas.openxmlformats.org/officeDocument/2006/relationships/hyperlink" Target="http://dx.doi.org/10.1109/VISUAL.1996.568117" TargetMode="External"/><Relationship Id="rId576" Type="http://schemas.openxmlformats.org/officeDocument/2006/relationships/hyperlink" Target="http://dl.acm.org/citation.cfm?id=1947387" TargetMode="External"/><Relationship Id="rId1165" Type="http://schemas.openxmlformats.org/officeDocument/2006/relationships/hyperlink" Target="http://dx.doi.org/10.1109/TVCG.2018.2865264" TargetMode="External"/><Relationship Id="rId333" Type="http://schemas.openxmlformats.org/officeDocument/2006/relationships/hyperlink" Target="http://dx.doi.org/10.1109/VISUAL.1996.568116" TargetMode="External"/><Relationship Id="rId575" Type="http://schemas.openxmlformats.org/officeDocument/2006/relationships/hyperlink" Target="http://dl.acm.org/citation.cfm?id=1947385" TargetMode="External"/><Relationship Id="rId1166" Type="http://schemas.openxmlformats.org/officeDocument/2006/relationships/hyperlink" Target="http://dx.doi.org/10.1109/TVCG.2018.2865265" TargetMode="External"/><Relationship Id="rId332" Type="http://schemas.openxmlformats.org/officeDocument/2006/relationships/hyperlink" Target="http://dx.doi.org/10.1109/VISUAL.1996.568114" TargetMode="External"/><Relationship Id="rId574" Type="http://schemas.openxmlformats.org/officeDocument/2006/relationships/hyperlink" Target="http://doi.ieeecomputersociety.org/10.1109/VISUAL.2001.964561" TargetMode="External"/><Relationship Id="rId1167" Type="http://schemas.openxmlformats.org/officeDocument/2006/relationships/hyperlink" Target="http://dx.doi.org/10.1109/TVCG.2018.2865266" TargetMode="External"/><Relationship Id="rId331" Type="http://schemas.openxmlformats.org/officeDocument/2006/relationships/hyperlink" Target="http://dx.doi.org/10.1109/VISUAL.1996.568111" TargetMode="External"/><Relationship Id="rId573" Type="http://schemas.openxmlformats.org/officeDocument/2006/relationships/hyperlink" Target="http://doi.ieeecomputersociety.org/10.1109/VISUAL.2001.964560" TargetMode="External"/><Relationship Id="rId1168" Type="http://schemas.openxmlformats.org/officeDocument/2006/relationships/hyperlink" Target="http://dx.doi.org/10.1109/TVCG.2018.2864432" TargetMode="External"/><Relationship Id="rId370" Type="http://schemas.openxmlformats.org/officeDocument/2006/relationships/hyperlink" Target="http://dx.doi.org/10.1109/INFVIS.1997.636718" TargetMode="External"/><Relationship Id="rId129" Type="http://schemas.openxmlformats.org/officeDocument/2006/relationships/hyperlink" Target="http://dx.doi.org/10.1109/VISUAL.1992.235189" TargetMode="External"/><Relationship Id="rId128" Type="http://schemas.openxmlformats.org/officeDocument/2006/relationships/hyperlink" Target="http://dx.doi.org/10.1109/VISUAL.1992.235188" TargetMode="External"/><Relationship Id="rId127" Type="http://schemas.openxmlformats.org/officeDocument/2006/relationships/hyperlink" Target="http://dx.doi.org/10.1109/VISUAL.1992.235187" TargetMode="External"/><Relationship Id="rId369" Type="http://schemas.openxmlformats.org/officeDocument/2006/relationships/hyperlink" Target="http://dx.doi.org/10.1109/VISUAL.1996.569203" TargetMode="External"/><Relationship Id="rId126" Type="http://schemas.openxmlformats.org/officeDocument/2006/relationships/hyperlink" Target="http://dx.doi.org/10.1109/VISUAL.1992.235186" TargetMode="External"/><Relationship Id="rId368" Type="http://schemas.openxmlformats.org/officeDocument/2006/relationships/hyperlink" Target="http://dx.doi.org/10.1109/VISUAL.1996.568165" TargetMode="External"/><Relationship Id="rId1190" Type="http://schemas.openxmlformats.org/officeDocument/2006/relationships/hyperlink" Target="http://dx.doi.org/10.1109/TVCG.2018.2864841" TargetMode="External"/><Relationship Id="rId1191" Type="http://schemas.openxmlformats.org/officeDocument/2006/relationships/hyperlink" Target="http://dx.doi.org/10.1109/TVCG.2018.2864845" TargetMode="External"/><Relationship Id="rId1192" Type="http://schemas.openxmlformats.org/officeDocument/2006/relationships/hyperlink" Target="http://dx.doi.org/10.1109/TVCG.2018.2864846" TargetMode="External"/><Relationship Id="rId1193" Type="http://schemas.openxmlformats.org/officeDocument/2006/relationships/hyperlink" Target="http://dx.doi.org/10.1109/TVCG.2018.2864847" TargetMode="External"/><Relationship Id="rId121" Type="http://schemas.openxmlformats.org/officeDocument/2006/relationships/hyperlink" Target="http://dx.doi.org/10.1109/VISUAL.1992.235181" TargetMode="External"/><Relationship Id="rId363" Type="http://schemas.openxmlformats.org/officeDocument/2006/relationships/hyperlink" Target="http://dx.doi.org/10.1109/VISUAL.1996.568149" TargetMode="External"/><Relationship Id="rId1194" Type="http://schemas.openxmlformats.org/officeDocument/2006/relationships/hyperlink" Target="http://dx.doi.org/10.1109/TVCG.2018.2864848" TargetMode="External"/><Relationship Id="rId120" Type="http://schemas.openxmlformats.org/officeDocument/2006/relationships/hyperlink" Target="http://dx.doi.org/10.1109/VISUAL.1992.235180" TargetMode="External"/><Relationship Id="rId362" Type="http://schemas.openxmlformats.org/officeDocument/2006/relationships/hyperlink" Target="http://dx.doi.org/10.1109/VISUAL.1996.568148" TargetMode="External"/><Relationship Id="rId1195" Type="http://schemas.openxmlformats.org/officeDocument/2006/relationships/hyperlink" Target="http://dx.doi.org/10.1109/TVCG.2018.2864849" TargetMode="External"/><Relationship Id="rId361" Type="http://schemas.openxmlformats.org/officeDocument/2006/relationships/hyperlink" Target="http://dx.doi.org/10.1109/VISUAL.1996.568147" TargetMode="External"/><Relationship Id="rId1196" Type="http://schemas.openxmlformats.org/officeDocument/2006/relationships/hyperlink" Target="http://dx.doi.org/10.1109/TVCG.2018.2864850" TargetMode="External"/><Relationship Id="rId360" Type="http://schemas.openxmlformats.org/officeDocument/2006/relationships/hyperlink" Target="http://dx.doi.org/10.1109/VISUAL.1996.568146" TargetMode="External"/><Relationship Id="rId1197" Type="http://schemas.openxmlformats.org/officeDocument/2006/relationships/hyperlink" Target="http://dx.doi.org/10.1109/TVCG.2018.2864851" TargetMode="External"/><Relationship Id="rId125" Type="http://schemas.openxmlformats.org/officeDocument/2006/relationships/hyperlink" Target="http://dx.doi.org/10.1109/VISUAL.1992.235185" TargetMode="External"/><Relationship Id="rId367" Type="http://schemas.openxmlformats.org/officeDocument/2006/relationships/hyperlink" Target="http://dx.doi.org/10.1109/VISUAL.1996.568163" TargetMode="External"/><Relationship Id="rId1198" Type="http://schemas.openxmlformats.org/officeDocument/2006/relationships/hyperlink" Target="http://dx.doi.org/10.1109/TVCG.2018.2864852" TargetMode="External"/><Relationship Id="rId124" Type="http://schemas.openxmlformats.org/officeDocument/2006/relationships/hyperlink" Target="http://dx.doi.org/10.1109/VISUAL.1992.235184" TargetMode="External"/><Relationship Id="rId366" Type="http://schemas.openxmlformats.org/officeDocument/2006/relationships/hyperlink" Target="http://dx.doi.org/10.1109/VISUAL.1996.568160" TargetMode="External"/><Relationship Id="rId1199" Type="http://schemas.openxmlformats.org/officeDocument/2006/relationships/hyperlink" Target="http://dx.doi.org/10.1109/TVCG.2018.2864853" TargetMode="External"/><Relationship Id="rId123" Type="http://schemas.openxmlformats.org/officeDocument/2006/relationships/hyperlink" Target="http://dx.doi.org/10.1109/VISUAL.1992.235183" TargetMode="External"/><Relationship Id="rId365" Type="http://schemas.openxmlformats.org/officeDocument/2006/relationships/hyperlink" Target="http://dx.doi.org/10.1109/VISUAL.1996.568151" TargetMode="External"/><Relationship Id="rId122" Type="http://schemas.openxmlformats.org/officeDocument/2006/relationships/hyperlink" Target="http://dx.doi.org/10.1109/VISUAL.1992.235182" TargetMode="External"/><Relationship Id="rId364" Type="http://schemas.openxmlformats.org/officeDocument/2006/relationships/hyperlink" Target="http://dl.acm.org/citation.cfm?id=245758&amp;dl=ACM&amp;coll=portal" TargetMode="External"/><Relationship Id="rId95" Type="http://schemas.openxmlformats.org/officeDocument/2006/relationships/hyperlink" Target="http://dx.doi.org/10.1109/VISUAL.1991.175819" TargetMode="External"/><Relationship Id="rId94" Type="http://schemas.openxmlformats.org/officeDocument/2006/relationships/hyperlink" Target="http://dx.doi.org/10.1109/VISUAL.1991.175818" TargetMode="External"/><Relationship Id="rId97" Type="http://schemas.openxmlformats.org/officeDocument/2006/relationships/hyperlink" Target="http://dx.doi.org/10.1109/VISUAL.1991.175821" TargetMode="External"/><Relationship Id="rId96" Type="http://schemas.openxmlformats.org/officeDocument/2006/relationships/hyperlink" Target="http://dx.doi.org/10.1109/VISUAL.1991.175820" TargetMode="External"/><Relationship Id="rId99" Type="http://schemas.openxmlformats.org/officeDocument/2006/relationships/hyperlink" Target="http://dx.doi.org/10.1109/VISUAL.1991.175824" TargetMode="External"/><Relationship Id="rId98" Type="http://schemas.openxmlformats.org/officeDocument/2006/relationships/hyperlink" Target="http://dx.doi.org/10.1109/VISUAL.1991.175823" TargetMode="External"/><Relationship Id="rId91" Type="http://schemas.openxmlformats.org/officeDocument/2006/relationships/hyperlink" Target="http://dx.doi.org/10.1109/VISUAL.1991.175814" TargetMode="External"/><Relationship Id="rId90" Type="http://schemas.openxmlformats.org/officeDocument/2006/relationships/hyperlink" Target="http://dx.doi.org/10.1109/VISUAL.1991.175812" TargetMode="External"/><Relationship Id="rId93" Type="http://schemas.openxmlformats.org/officeDocument/2006/relationships/hyperlink" Target="http://dx.doi.org/10.1109/VISUAL.1991.175816" TargetMode="External"/><Relationship Id="rId92" Type="http://schemas.openxmlformats.org/officeDocument/2006/relationships/hyperlink" Target="http://dx.doi.org/10.1109/VISUAL.1991.175815" TargetMode="External"/><Relationship Id="rId118" Type="http://schemas.openxmlformats.org/officeDocument/2006/relationships/hyperlink" Target="http://dx.doi.org/10.1109/VISUAL.1992.235178" TargetMode="External"/><Relationship Id="rId117" Type="http://schemas.openxmlformats.org/officeDocument/2006/relationships/hyperlink" Target="http://dx.doi.org/10.1109/VISUAL.1992.235177" TargetMode="External"/><Relationship Id="rId359" Type="http://schemas.openxmlformats.org/officeDocument/2006/relationships/hyperlink" Target="http://dx.doi.org/10.1109/VISUAL.1996.568145" TargetMode="External"/><Relationship Id="rId116" Type="http://schemas.openxmlformats.org/officeDocument/2006/relationships/hyperlink" Target="http://dx.doi.org/10.1109/VISUAL.1992.235176" TargetMode="External"/><Relationship Id="rId358" Type="http://schemas.openxmlformats.org/officeDocument/2006/relationships/hyperlink" Target="http://dx.doi.org/10.1109/VISUAL.1996.568144" TargetMode="External"/><Relationship Id="rId115" Type="http://schemas.openxmlformats.org/officeDocument/2006/relationships/hyperlink" Target="http://dx.doi.org/10.1109/VISUAL.1992.235175" TargetMode="External"/><Relationship Id="rId357" Type="http://schemas.openxmlformats.org/officeDocument/2006/relationships/hyperlink" Target="http://dx.doi.org/10.1109/VISUAL.1996.568142" TargetMode="External"/><Relationship Id="rId599" Type="http://schemas.openxmlformats.org/officeDocument/2006/relationships/hyperlink" Target="http://dx.doi.org/10.1109/TVCG.2014.2346248" TargetMode="External"/><Relationship Id="rId1180" Type="http://schemas.openxmlformats.org/officeDocument/2006/relationships/hyperlink" Target="http://dx.doi.org/10.1109/TVCG.2018.2864801" TargetMode="External"/><Relationship Id="rId1181" Type="http://schemas.openxmlformats.org/officeDocument/2006/relationships/hyperlink" Target="http://dx.doi.org/10.1109/TVCG.2018.2864806" TargetMode="External"/><Relationship Id="rId119" Type="http://schemas.openxmlformats.org/officeDocument/2006/relationships/hyperlink" Target="http://dx.doi.org/10.1109/VISUAL.1992.235179" TargetMode="External"/><Relationship Id="rId1182" Type="http://schemas.openxmlformats.org/officeDocument/2006/relationships/hyperlink" Target="http://dx.doi.org/10.1109/TVCG.2018.2864808" TargetMode="External"/><Relationship Id="rId110" Type="http://schemas.openxmlformats.org/officeDocument/2006/relationships/hyperlink" Target="http://dx.doi.org/10.1109/VISUAL.1991.175836" TargetMode="External"/><Relationship Id="rId352" Type="http://schemas.openxmlformats.org/officeDocument/2006/relationships/hyperlink" Target="http://dx.doi.org/10.1109/VISUAL.1996.568137" TargetMode="External"/><Relationship Id="rId594" Type="http://schemas.openxmlformats.org/officeDocument/2006/relationships/hyperlink" Target="http://dx.doi.org/10.1109/VAST.2011.6102493" TargetMode="External"/><Relationship Id="rId1183" Type="http://schemas.openxmlformats.org/officeDocument/2006/relationships/hyperlink" Target="http://dx.doi.org/10.1109/TVCG.2018.2864813" TargetMode="External"/><Relationship Id="rId351" Type="http://schemas.openxmlformats.org/officeDocument/2006/relationships/hyperlink" Target="http://dx.doi.org/10.1109/VISUAL.1996.568136" TargetMode="External"/><Relationship Id="rId593" Type="http://schemas.openxmlformats.org/officeDocument/2006/relationships/hyperlink" Target="http://dx.doi.org/10.1109/VAST.2011.6102492" TargetMode="External"/><Relationship Id="rId1184" Type="http://schemas.openxmlformats.org/officeDocument/2006/relationships/hyperlink" Target="http://dx.doi.org/10.1109/TVCG.2018.2864815" TargetMode="External"/><Relationship Id="rId350" Type="http://schemas.openxmlformats.org/officeDocument/2006/relationships/hyperlink" Target="http://dx.doi.org/10.1109/VISUAL.1996.568135" TargetMode="External"/><Relationship Id="rId592" Type="http://schemas.openxmlformats.org/officeDocument/2006/relationships/hyperlink" Target="http://dx.doi.org/10.1109/VAST.2011.6102491" TargetMode="External"/><Relationship Id="rId1185" Type="http://schemas.openxmlformats.org/officeDocument/2006/relationships/hyperlink" Target="http://dx.doi.org/10.1109/TVCG.2018.2864816" TargetMode="External"/><Relationship Id="rId591" Type="http://schemas.openxmlformats.org/officeDocument/2006/relationships/hyperlink" Target="http://dx.doi.org/10.1109/VAST.2011.6102490" TargetMode="External"/><Relationship Id="rId1186" Type="http://schemas.openxmlformats.org/officeDocument/2006/relationships/hyperlink" Target="http://dx.doi.org/10.1109/TVCG.2018.2864817" TargetMode="External"/><Relationship Id="rId114" Type="http://schemas.openxmlformats.org/officeDocument/2006/relationships/hyperlink" Target="http://dx.doi.org/10.1109/VISUAL.1992.235174" TargetMode="External"/><Relationship Id="rId356" Type="http://schemas.openxmlformats.org/officeDocument/2006/relationships/hyperlink" Target="http://dx.doi.org/10.1109/VISUAL.1996.568141" TargetMode="External"/><Relationship Id="rId598" Type="http://schemas.openxmlformats.org/officeDocument/2006/relationships/hyperlink" Target="http://dx.doi.org/10.1109/VAST.2011.6102498" TargetMode="External"/><Relationship Id="rId1187" Type="http://schemas.openxmlformats.org/officeDocument/2006/relationships/hyperlink" Target="http://dx.doi.org/10.1109/TVCG.2018.2864827" TargetMode="External"/><Relationship Id="rId113" Type="http://schemas.openxmlformats.org/officeDocument/2006/relationships/hyperlink" Target="http://dx.doi.org/10.1109/VISUAL.1992.235173" TargetMode="External"/><Relationship Id="rId355" Type="http://schemas.openxmlformats.org/officeDocument/2006/relationships/hyperlink" Target="http://dx.doi.org/10.1109/VISUAL.1996.568140" TargetMode="External"/><Relationship Id="rId597" Type="http://schemas.openxmlformats.org/officeDocument/2006/relationships/hyperlink" Target="http://dx.doi.org/10.1109/VAST.2011.6102497" TargetMode="External"/><Relationship Id="rId1188" Type="http://schemas.openxmlformats.org/officeDocument/2006/relationships/hyperlink" Target="http://dx.doi.org/10.1109/TVCG.2018.2864828" TargetMode="External"/><Relationship Id="rId112" Type="http://schemas.openxmlformats.org/officeDocument/2006/relationships/hyperlink" Target="http://dx.doi.org/10.1109/VISUAL.1991.175838" TargetMode="External"/><Relationship Id="rId354" Type="http://schemas.openxmlformats.org/officeDocument/2006/relationships/hyperlink" Target="http://dx.doi.org/10.1109/VISUAL.1996.568139" TargetMode="External"/><Relationship Id="rId596" Type="http://schemas.openxmlformats.org/officeDocument/2006/relationships/hyperlink" Target="http://dx.doi.org/10.1109/VAST.2011.6102496" TargetMode="External"/><Relationship Id="rId1189" Type="http://schemas.openxmlformats.org/officeDocument/2006/relationships/hyperlink" Target="http://dx.doi.org/10.1109/TVCG.2018.2864839" TargetMode="External"/><Relationship Id="rId111" Type="http://schemas.openxmlformats.org/officeDocument/2006/relationships/hyperlink" Target="http://dx.doi.org/10.1109/VISUAL.1991.175837" TargetMode="External"/><Relationship Id="rId353" Type="http://schemas.openxmlformats.org/officeDocument/2006/relationships/hyperlink" Target="http://dx.doi.org/10.1109/VISUAL.1996.568138" TargetMode="External"/><Relationship Id="rId595" Type="http://schemas.openxmlformats.org/officeDocument/2006/relationships/hyperlink" Target="http://dx.doi.org/10.1109/VAST.2011.6102495" TargetMode="External"/><Relationship Id="rId1136" Type="http://schemas.openxmlformats.org/officeDocument/2006/relationships/hyperlink" Target="http://dx.doi.org/10.1109/TVCG.2018.2865118" TargetMode="External"/><Relationship Id="rId1137" Type="http://schemas.openxmlformats.org/officeDocument/2006/relationships/hyperlink" Target="http://dx.doi.org/10.1109/TVCG.2018.2865119" TargetMode="External"/><Relationship Id="rId1138" Type="http://schemas.openxmlformats.org/officeDocument/2006/relationships/hyperlink" Target="http://dx.doi.org/10.1109/TVCG.2018.2865126" TargetMode="External"/><Relationship Id="rId1139" Type="http://schemas.openxmlformats.org/officeDocument/2006/relationships/hyperlink" Target="http://dx.doi.org/10.1109/TVCG.2018.2865138" TargetMode="External"/><Relationship Id="rId305" Type="http://schemas.openxmlformats.org/officeDocument/2006/relationships/hyperlink" Target="http://dx.doi.org/10.1109/VISUAL.1996.567595" TargetMode="External"/><Relationship Id="rId547" Type="http://schemas.openxmlformats.org/officeDocument/2006/relationships/hyperlink" Target="http://dx.doi.org/10.1109/VISUAL.1998.745349" TargetMode="External"/><Relationship Id="rId789" Type="http://schemas.openxmlformats.org/officeDocument/2006/relationships/hyperlink" Target="http://dx.doi.org/10.1109/SciVis.2015.7429512" TargetMode="External"/><Relationship Id="rId304" Type="http://schemas.openxmlformats.org/officeDocument/2006/relationships/hyperlink" Target="http://dx.doi.org/10.1109/INFVIS.1996.559229" TargetMode="External"/><Relationship Id="rId546" Type="http://schemas.openxmlformats.org/officeDocument/2006/relationships/hyperlink" Target="http://dx.doi.org/10.1109/VISUAL.1998.745348" TargetMode="External"/><Relationship Id="rId788" Type="http://schemas.openxmlformats.org/officeDocument/2006/relationships/hyperlink" Target="http://dx.doi.org/10.1109/SciVis.2015.7429511" TargetMode="External"/><Relationship Id="rId303" Type="http://schemas.openxmlformats.org/officeDocument/2006/relationships/hyperlink" Target="http://dx.doi.org/10.1109/INFVIS.1996.559228" TargetMode="External"/><Relationship Id="rId545" Type="http://schemas.openxmlformats.org/officeDocument/2006/relationships/hyperlink" Target="http://dx.doi.org/10.1109/VISUAL.1998.745347" TargetMode="External"/><Relationship Id="rId787" Type="http://schemas.openxmlformats.org/officeDocument/2006/relationships/hyperlink" Target="http://dx.doi.org/10.1109/SciVis.2015.7429510" TargetMode="External"/><Relationship Id="rId302" Type="http://schemas.openxmlformats.org/officeDocument/2006/relationships/hyperlink" Target="http://dx.doi.org/10.1109/INFVIS.1996.559227" TargetMode="External"/><Relationship Id="rId544" Type="http://schemas.openxmlformats.org/officeDocument/2006/relationships/hyperlink" Target="http://dx.doi.org/10.1109/VISUAL.1998.745346" TargetMode="External"/><Relationship Id="rId786" Type="http://schemas.openxmlformats.org/officeDocument/2006/relationships/hyperlink" Target="http://dx.doi.org/10.1109/SciVis.2015.7429509" TargetMode="External"/><Relationship Id="rId309" Type="http://schemas.openxmlformats.org/officeDocument/2006/relationships/hyperlink" Target="http://dx.doi.org/10.1109/VISUAL.1996.567603" TargetMode="External"/><Relationship Id="rId308" Type="http://schemas.openxmlformats.org/officeDocument/2006/relationships/hyperlink" Target="http://dx.doi.org/10.1109/VISUAL.1996.567602" TargetMode="External"/><Relationship Id="rId307" Type="http://schemas.openxmlformats.org/officeDocument/2006/relationships/hyperlink" Target="http://dx.doi.org/10.1109/VISUAL.1996.567600" TargetMode="External"/><Relationship Id="rId549" Type="http://schemas.openxmlformats.org/officeDocument/2006/relationships/hyperlink" Target="http://dx.doi.org/10.1109/VISUAL.1998.745351" TargetMode="External"/><Relationship Id="rId306" Type="http://schemas.openxmlformats.org/officeDocument/2006/relationships/hyperlink" Target="http://dx.doi.org/10.1109/VISUAL.1996.567598" TargetMode="External"/><Relationship Id="rId548" Type="http://schemas.openxmlformats.org/officeDocument/2006/relationships/hyperlink" Target="http://dx.doi.org/10.1109/VISUAL.1998.745350" TargetMode="External"/><Relationship Id="rId781" Type="http://schemas.openxmlformats.org/officeDocument/2006/relationships/hyperlink" Target="http://dx.doi.org/10.1109/SciVis.2015.7429504" TargetMode="External"/><Relationship Id="rId780" Type="http://schemas.openxmlformats.org/officeDocument/2006/relationships/hyperlink" Target="http://dx.doi.org/10.1109/SciVis.2015.7429503" TargetMode="External"/><Relationship Id="rId1130" Type="http://schemas.openxmlformats.org/officeDocument/2006/relationships/hyperlink" Target="http://dx.doi.org/10.1109/TVCG.2018.2864913" TargetMode="External"/><Relationship Id="rId1131" Type="http://schemas.openxmlformats.org/officeDocument/2006/relationships/hyperlink" Target="http://dx.doi.org/10.1109/TVCG.2018.2864914" TargetMode="External"/><Relationship Id="rId301" Type="http://schemas.openxmlformats.org/officeDocument/2006/relationships/hyperlink" Target="http://dx.doi.org/10.1109/INFVIS.1996.559226" TargetMode="External"/><Relationship Id="rId543" Type="http://schemas.openxmlformats.org/officeDocument/2006/relationships/hyperlink" Target="http://dx.doi.org/10.1109/VISUAL.1998.745345" TargetMode="External"/><Relationship Id="rId785" Type="http://schemas.openxmlformats.org/officeDocument/2006/relationships/hyperlink" Target="http://dx.doi.org/10.1109/SciVis.2015.7429508" TargetMode="External"/><Relationship Id="rId1132" Type="http://schemas.openxmlformats.org/officeDocument/2006/relationships/hyperlink" Target="http://dx.doi.org/10.1109/TVCG.2018.2865075" TargetMode="External"/><Relationship Id="rId300" Type="http://schemas.openxmlformats.org/officeDocument/2006/relationships/hyperlink" Target="http://dx.doi.org/10.1109/INFVIS.1996.559225" TargetMode="External"/><Relationship Id="rId542" Type="http://schemas.openxmlformats.org/officeDocument/2006/relationships/hyperlink" Target="http://dx.doi.org/10.1109/VISUAL.1998.745344" TargetMode="External"/><Relationship Id="rId784" Type="http://schemas.openxmlformats.org/officeDocument/2006/relationships/hyperlink" Target="http://dx.doi.org/10.1109/SciVis.2015.7429507" TargetMode="External"/><Relationship Id="rId1133" Type="http://schemas.openxmlformats.org/officeDocument/2006/relationships/hyperlink" Target="http://dx.doi.org/10.1109/TVCG.2018.2865076" TargetMode="External"/><Relationship Id="rId541" Type="http://schemas.openxmlformats.org/officeDocument/2006/relationships/hyperlink" Target="http://dx.doi.org/10.1109/VISUAL.1998.745343" TargetMode="External"/><Relationship Id="rId783" Type="http://schemas.openxmlformats.org/officeDocument/2006/relationships/hyperlink" Target="http://dx.doi.org/10.1109/SciVis.2015.7429506" TargetMode="External"/><Relationship Id="rId1134" Type="http://schemas.openxmlformats.org/officeDocument/2006/relationships/hyperlink" Target="http://dx.doi.org/10.1109/TVCG.2018.2865077" TargetMode="External"/><Relationship Id="rId540" Type="http://schemas.openxmlformats.org/officeDocument/2006/relationships/hyperlink" Target="http://dx.doi.org/10.1109/VISUAL.1998.745342" TargetMode="External"/><Relationship Id="rId782" Type="http://schemas.openxmlformats.org/officeDocument/2006/relationships/hyperlink" Target="http://dx.doi.org/10.1109/SciVis.2015.7429505" TargetMode="External"/><Relationship Id="rId1135" Type="http://schemas.openxmlformats.org/officeDocument/2006/relationships/hyperlink" Target="http://dx.doi.org/10.1109/TVCG.2018.2865117" TargetMode="External"/><Relationship Id="rId1125" Type="http://schemas.openxmlformats.org/officeDocument/2006/relationships/hyperlink" Target="http://dx.doi.org/10.1109/TVCG.2018.2864903" TargetMode="External"/><Relationship Id="rId1126" Type="http://schemas.openxmlformats.org/officeDocument/2006/relationships/hyperlink" Target="http://dx.doi.org/10.1109/TVCG.2018.2864907" TargetMode="External"/><Relationship Id="rId1127" Type="http://schemas.openxmlformats.org/officeDocument/2006/relationships/hyperlink" Target="http://dx.doi.org/10.1109/TVCG.2018.2864909" TargetMode="External"/><Relationship Id="rId1128" Type="http://schemas.openxmlformats.org/officeDocument/2006/relationships/hyperlink" Target="http://dx.doi.org/10.1109/TVCG.2018.2864911" TargetMode="External"/><Relationship Id="rId1129" Type="http://schemas.openxmlformats.org/officeDocument/2006/relationships/hyperlink" Target="http://dx.doi.org/10.1109/TVCG.2018.2864912" TargetMode="External"/><Relationship Id="rId536" Type="http://schemas.openxmlformats.org/officeDocument/2006/relationships/hyperlink" Target="http://dx.doi.org/10.1109/VISUAL.1998.745338" TargetMode="External"/><Relationship Id="rId778" Type="http://schemas.openxmlformats.org/officeDocument/2006/relationships/hyperlink" Target="http://dx.doi.org/10.1109/SciVis.2015.7429493" TargetMode="External"/><Relationship Id="rId535" Type="http://schemas.openxmlformats.org/officeDocument/2006/relationships/hyperlink" Target="http://dx.doi.org/10.1109/VISUAL.1998.745337" TargetMode="External"/><Relationship Id="rId777" Type="http://schemas.openxmlformats.org/officeDocument/2006/relationships/hyperlink" Target="http://dx.doi.org/10.1109/SciVis.2015.7429492" TargetMode="External"/><Relationship Id="rId534" Type="http://schemas.openxmlformats.org/officeDocument/2006/relationships/hyperlink" Target="http://dx.doi.org/10.1109/VISUAL.1998.745336" TargetMode="External"/><Relationship Id="rId776" Type="http://schemas.openxmlformats.org/officeDocument/2006/relationships/hyperlink" Target="http://dx.doi.org/10.1109/SciVis.2015.7429491" TargetMode="External"/><Relationship Id="rId533" Type="http://schemas.openxmlformats.org/officeDocument/2006/relationships/hyperlink" Target="http://dx.doi.org/10.1109/VISUAL.1998.745335" TargetMode="External"/><Relationship Id="rId775" Type="http://schemas.openxmlformats.org/officeDocument/2006/relationships/hyperlink" Target="http://dx.doi.org/10.1109/SciVis.2015.7429490" TargetMode="External"/><Relationship Id="rId539" Type="http://schemas.openxmlformats.org/officeDocument/2006/relationships/hyperlink" Target="http://dx.doi.org/10.1109/VISUAL.1998.745341" TargetMode="External"/><Relationship Id="rId538" Type="http://schemas.openxmlformats.org/officeDocument/2006/relationships/hyperlink" Target="http://dx.doi.org/10.1109/VISUAL.1998.745340" TargetMode="External"/><Relationship Id="rId537" Type="http://schemas.openxmlformats.org/officeDocument/2006/relationships/hyperlink" Target="http://dx.doi.org/10.1109/VISUAL.1998.745339" TargetMode="External"/><Relationship Id="rId779" Type="http://schemas.openxmlformats.org/officeDocument/2006/relationships/hyperlink" Target="http://dx.doi.org/10.1109/SciVis.2015.7429502" TargetMode="External"/><Relationship Id="rId770" Type="http://schemas.openxmlformats.org/officeDocument/2006/relationships/hyperlink" Target="http://dx.doi.org/10.1109/SciVis.2015.7429485" TargetMode="External"/><Relationship Id="rId1120" Type="http://schemas.openxmlformats.org/officeDocument/2006/relationships/hyperlink" Target="http://dx.doi.org/10.1109/VAST.2017.8585733" TargetMode="External"/><Relationship Id="rId532" Type="http://schemas.openxmlformats.org/officeDocument/2006/relationships/hyperlink" Target="http://dx.doi.org/10.1109/VISUAL.1998.745334" TargetMode="External"/><Relationship Id="rId774" Type="http://schemas.openxmlformats.org/officeDocument/2006/relationships/hyperlink" Target="http://dx.doi.org/10.1109/SciVis.2015.7429489" TargetMode="External"/><Relationship Id="rId1121" Type="http://schemas.openxmlformats.org/officeDocument/2006/relationships/hyperlink" Target="http://dx.doi.org/10.1109/TVCG.2018.2864836" TargetMode="External"/><Relationship Id="rId531" Type="http://schemas.openxmlformats.org/officeDocument/2006/relationships/hyperlink" Target="http://dx.doi.org/10.1109/VISUAL.1998.745333" TargetMode="External"/><Relationship Id="rId773" Type="http://schemas.openxmlformats.org/officeDocument/2006/relationships/hyperlink" Target="http://dx.doi.org/10.1109/SciVis.2015.7429488" TargetMode="External"/><Relationship Id="rId1122" Type="http://schemas.openxmlformats.org/officeDocument/2006/relationships/hyperlink" Target="http://dx.doi.org/10.1109/TVCG.2018.2864884" TargetMode="External"/><Relationship Id="rId530" Type="http://schemas.openxmlformats.org/officeDocument/2006/relationships/hyperlink" Target="http://dx.doi.org/10.1109/VISUAL.1998.745332" TargetMode="External"/><Relationship Id="rId772" Type="http://schemas.openxmlformats.org/officeDocument/2006/relationships/hyperlink" Target="http://dx.doi.org/10.1109/SciVis.2015.7429487" TargetMode="External"/><Relationship Id="rId1123" Type="http://schemas.openxmlformats.org/officeDocument/2006/relationships/hyperlink" Target="http://dx.doi.org/10.1109/TVCG.2018.2864889" TargetMode="External"/><Relationship Id="rId771" Type="http://schemas.openxmlformats.org/officeDocument/2006/relationships/hyperlink" Target="http://dx.doi.org/10.1109/SciVis.2015.7429486" TargetMode="External"/><Relationship Id="rId1124" Type="http://schemas.openxmlformats.org/officeDocument/2006/relationships/hyperlink" Target="http://dx.doi.org/10.1109/TVCG.2018.2864899" TargetMode="External"/><Relationship Id="rId1158" Type="http://schemas.openxmlformats.org/officeDocument/2006/relationships/hyperlink" Target="http://dx.doi.org/10.1109/TVCG.2018.2865232" TargetMode="External"/><Relationship Id="rId1159" Type="http://schemas.openxmlformats.org/officeDocument/2006/relationships/hyperlink" Target="http://dx.doi.org/10.1109/TVCG.2018.2865233" TargetMode="External"/><Relationship Id="rId327" Type="http://schemas.openxmlformats.org/officeDocument/2006/relationships/hyperlink" Target="http://dx.doi.org/10.1109/VISUAL.1996.568105" TargetMode="External"/><Relationship Id="rId569" Type="http://schemas.openxmlformats.org/officeDocument/2006/relationships/hyperlink" Target="http://doi.ieeecomputersociety.org/10.1109/VISUAL.2001.964520" TargetMode="External"/><Relationship Id="rId326" Type="http://schemas.openxmlformats.org/officeDocument/2006/relationships/hyperlink" Target="http://dx.doi.org/10.1109/VISUAL.1996.568104" TargetMode="External"/><Relationship Id="rId568" Type="http://schemas.openxmlformats.org/officeDocument/2006/relationships/hyperlink" Target="http://dl.acm.org/citation.cfm?id=601698&amp;CFID=417306019&amp;CFTOKEN=83091695" TargetMode="External"/><Relationship Id="rId325" Type="http://schemas.openxmlformats.org/officeDocument/2006/relationships/hyperlink" Target="http://dx.doi.org/10.1109/VISUAL.1996.568103" TargetMode="External"/><Relationship Id="rId567" Type="http://schemas.openxmlformats.org/officeDocument/2006/relationships/hyperlink" Target="http://dl.acm.org/citation.cfm?id=601690&amp;CFID=417306019&amp;CFTOKEN=83091695" TargetMode="External"/><Relationship Id="rId324" Type="http://schemas.openxmlformats.org/officeDocument/2006/relationships/hyperlink" Target="http://dx.doi.org/10.1109/VISUAL.1996.567812" TargetMode="External"/><Relationship Id="rId566" Type="http://schemas.openxmlformats.org/officeDocument/2006/relationships/hyperlink" Target="http://dl.acm.org/citation.cfm?id=601681&amp;CFID=417306019&amp;CFTOKEN=83091695" TargetMode="External"/><Relationship Id="rId329" Type="http://schemas.openxmlformats.org/officeDocument/2006/relationships/hyperlink" Target="http://dx.doi.org/10.1109/VISUAL.1996.568109" TargetMode="External"/><Relationship Id="rId328" Type="http://schemas.openxmlformats.org/officeDocument/2006/relationships/hyperlink" Target="http://dx.doi.org/10.1109/VISUAL.1996.568108" TargetMode="External"/><Relationship Id="rId561" Type="http://schemas.openxmlformats.org/officeDocument/2006/relationships/hyperlink" Target="http://dl.acm.org/citation.cfm?id=375275&amp;CFID=588087244&amp;CFTOKEN=42609106" TargetMode="External"/><Relationship Id="rId1150" Type="http://schemas.openxmlformats.org/officeDocument/2006/relationships/hyperlink" Target="http://dx.doi.org/10.1109/TVCG.2018.2865158" TargetMode="External"/><Relationship Id="rId560" Type="http://schemas.openxmlformats.org/officeDocument/2006/relationships/hyperlink" Target="http://dl.acm.org/citation.cfm?id=375267&amp;CFID=588087244&amp;CFTOKEN=42609106" TargetMode="External"/><Relationship Id="rId1151" Type="http://schemas.openxmlformats.org/officeDocument/2006/relationships/hyperlink" Target="http://dx.doi.org/10.1109/TVCG.2018.2865159" TargetMode="External"/><Relationship Id="rId1152" Type="http://schemas.openxmlformats.org/officeDocument/2006/relationships/hyperlink" Target="http://dx.doi.org/10.1109/TVCG.2018.2865191" TargetMode="External"/><Relationship Id="rId1153" Type="http://schemas.openxmlformats.org/officeDocument/2006/relationships/hyperlink" Target="http://dx.doi.org/10.1109/TVCG.2018.2865192" TargetMode="External"/><Relationship Id="rId323" Type="http://schemas.openxmlformats.org/officeDocument/2006/relationships/hyperlink" Target="http://dx.doi.org/10.1109/VISUAL.1996.567807" TargetMode="External"/><Relationship Id="rId565" Type="http://schemas.openxmlformats.org/officeDocument/2006/relationships/hyperlink" Target="http://dl.acm.org/citation.cfm?id=601680&amp;CFID=417306019&amp;CFTOKEN=83091695" TargetMode="External"/><Relationship Id="rId1154" Type="http://schemas.openxmlformats.org/officeDocument/2006/relationships/hyperlink" Target="http://dx.doi.org/10.1109/TVCG.2018.2865193" TargetMode="External"/><Relationship Id="rId322" Type="http://schemas.openxmlformats.org/officeDocument/2006/relationships/hyperlink" Target="http://dx.doi.org/10.1109/VISUAL.1996.567804" TargetMode="External"/><Relationship Id="rId564" Type="http://schemas.openxmlformats.org/officeDocument/2006/relationships/hyperlink" Target="http://dl.acm.org/citation.cfm?id=601678&amp;CFID=417306019&amp;CFTOKEN=83091695" TargetMode="External"/><Relationship Id="rId1155" Type="http://schemas.openxmlformats.org/officeDocument/2006/relationships/hyperlink" Target="http://dx.doi.org/10.1109/TVCG.2018.2865194" TargetMode="External"/><Relationship Id="rId321" Type="http://schemas.openxmlformats.org/officeDocument/2006/relationships/hyperlink" Target="http://dx.doi.org/10.1109/VISUAL.1996.567800" TargetMode="External"/><Relationship Id="rId563" Type="http://schemas.openxmlformats.org/officeDocument/2006/relationships/hyperlink" Target="http://dl.acm.org/citation.cfm?id=601676" TargetMode="External"/><Relationship Id="rId1156" Type="http://schemas.openxmlformats.org/officeDocument/2006/relationships/hyperlink" Target="http://dx.doi.org/10.1109/TVCG.2018.2865230" TargetMode="External"/><Relationship Id="rId320" Type="http://schemas.openxmlformats.org/officeDocument/2006/relationships/hyperlink" Target="http://dx.doi.org/10.1109/VISUAL.1996.567796" TargetMode="External"/><Relationship Id="rId562" Type="http://schemas.openxmlformats.org/officeDocument/2006/relationships/hyperlink" Target="http://doi.ieeecomputersociety.org/10.1109/VISUAL.2000.885744" TargetMode="External"/><Relationship Id="rId1157" Type="http://schemas.openxmlformats.org/officeDocument/2006/relationships/hyperlink" Target="http://dx.doi.org/10.1109/TVCG.2018.2865231" TargetMode="External"/><Relationship Id="rId1147" Type="http://schemas.openxmlformats.org/officeDocument/2006/relationships/hyperlink" Target="http://dx.doi.org/10.1109/TVCG.2018.2865149" TargetMode="External"/><Relationship Id="rId1148" Type="http://schemas.openxmlformats.org/officeDocument/2006/relationships/hyperlink" Target="http://dx.doi.org/10.1109/TVCG.2018.2865151" TargetMode="External"/><Relationship Id="rId1149" Type="http://schemas.openxmlformats.org/officeDocument/2006/relationships/hyperlink" Target="http://dx.doi.org/10.1109/TVCG.2018.2865152" TargetMode="External"/><Relationship Id="rId316" Type="http://schemas.openxmlformats.org/officeDocument/2006/relationships/hyperlink" Target="http://dx.doi.org/10.1109/VISUAL.1996.567777" TargetMode="External"/><Relationship Id="rId558" Type="http://schemas.openxmlformats.org/officeDocument/2006/relationships/hyperlink" Target="http://dl.acm.org/citation.cfm?id=375238" TargetMode="External"/><Relationship Id="rId315" Type="http://schemas.openxmlformats.org/officeDocument/2006/relationships/hyperlink" Target="http://doi.ieeecomputersociety.org/10.1109/VISUAL.1996.567774" TargetMode="External"/><Relationship Id="rId557" Type="http://schemas.openxmlformats.org/officeDocument/2006/relationships/hyperlink" Target="http://dl.acm.org/citation.cfm?id=857699" TargetMode="External"/><Relationship Id="rId799" Type="http://schemas.openxmlformats.org/officeDocument/2006/relationships/hyperlink" Target="http://dx.doi.org/10.1109/TVCG.2015.2467202" TargetMode="External"/><Relationship Id="rId314" Type="http://schemas.openxmlformats.org/officeDocument/2006/relationships/hyperlink" Target="http://doi.ieeecomputersociety.org/10.1109/VISUAL.1996.567752" TargetMode="External"/><Relationship Id="rId556" Type="http://schemas.openxmlformats.org/officeDocument/2006/relationships/hyperlink" Target="http://dx.doi.org/10.1109/VISUAL.1999.809894" TargetMode="External"/><Relationship Id="rId798" Type="http://schemas.openxmlformats.org/officeDocument/2006/relationships/hyperlink" Target="http://dx.doi.org/10.1109/TVCG.2015.2467200" TargetMode="External"/><Relationship Id="rId313" Type="http://schemas.openxmlformats.org/officeDocument/2006/relationships/hyperlink" Target="http://dx.doi.org/10.1109/VISUAL.1996.567745" TargetMode="External"/><Relationship Id="rId555" Type="http://schemas.openxmlformats.org/officeDocument/2006/relationships/hyperlink" Target="http://dx.doi.org/10.1109/VISUAL.1998.745291" TargetMode="External"/><Relationship Id="rId797" Type="http://schemas.openxmlformats.org/officeDocument/2006/relationships/hyperlink" Target="http://dx.doi.org/10.1109/TVCG.2015.2467198" TargetMode="External"/><Relationship Id="rId319" Type="http://schemas.openxmlformats.org/officeDocument/2006/relationships/hyperlink" Target="http://dx.doi.org/10.1109/VISUAL.1996.567787" TargetMode="External"/><Relationship Id="rId318" Type="http://schemas.openxmlformats.org/officeDocument/2006/relationships/hyperlink" Target="http://dx.doi.org/10.1109/VISUAL.1996.567784" TargetMode="External"/><Relationship Id="rId317" Type="http://schemas.openxmlformats.org/officeDocument/2006/relationships/hyperlink" Target="http://dx.doi.org/10.1109/VISUAL.1996.567780" TargetMode="External"/><Relationship Id="rId559" Type="http://schemas.openxmlformats.org/officeDocument/2006/relationships/hyperlink" Target="http://dl.acm.org/citation.cfm?id=375249" TargetMode="External"/><Relationship Id="rId550" Type="http://schemas.openxmlformats.org/officeDocument/2006/relationships/hyperlink" Target="http://dx.doi.org/10.1109/VISUAL.1998.745352" TargetMode="External"/><Relationship Id="rId792" Type="http://schemas.openxmlformats.org/officeDocument/2006/relationships/hyperlink" Target="http://dx.doi.org/10.1109/SciVis.2015.7429515" TargetMode="External"/><Relationship Id="rId791" Type="http://schemas.openxmlformats.org/officeDocument/2006/relationships/hyperlink" Target="http://dx.doi.org/10.1109/SciVis.2015.7429514" TargetMode="External"/><Relationship Id="rId1140" Type="http://schemas.openxmlformats.org/officeDocument/2006/relationships/hyperlink" Target="http://dx.doi.org/10.1109/TVCG.2018.2865139" TargetMode="External"/><Relationship Id="rId790" Type="http://schemas.openxmlformats.org/officeDocument/2006/relationships/hyperlink" Target="http://dx.doi.org/10.1109/SciVis.2015.7429513" TargetMode="External"/><Relationship Id="rId1141" Type="http://schemas.openxmlformats.org/officeDocument/2006/relationships/hyperlink" Target="http://dx.doi.org/10.1109/TVCG.2018.2865141" TargetMode="External"/><Relationship Id="rId1142" Type="http://schemas.openxmlformats.org/officeDocument/2006/relationships/hyperlink" Target="http://dx.doi.org/10.1109/TVCG.2018.2865142" TargetMode="External"/><Relationship Id="rId312" Type="http://schemas.openxmlformats.org/officeDocument/2006/relationships/hyperlink" Target="http://dx.doi.org/10.1109/VISUAL.1996.567610" TargetMode="External"/><Relationship Id="rId554" Type="http://schemas.openxmlformats.org/officeDocument/2006/relationships/hyperlink" Target="http://dx.doi.org/10.1109/VISUAL.1998.745713" TargetMode="External"/><Relationship Id="rId796" Type="http://schemas.openxmlformats.org/officeDocument/2006/relationships/hyperlink" Target="http://dx.doi.org/10.1109/TVCG.2015.2467194" TargetMode="External"/><Relationship Id="rId1143" Type="http://schemas.openxmlformats.org/officeDocument/2006/relationships/hyperlink" Target="http://dx.doi.org/10.1109/TVCG.2018.2865144" TargetMode="External"/><Relationship Id="rId311" Type="http://schemas.openxmlformats.org/officeDocument/2006/relationships/hyperlink" Target="http://dx.doi.org/10.1109/VISUAL.1996.567609" TargetMode="External"/><Relationship Id="rId553" Type="http://schemas.openxmlformats.org/officeDocument/2006/relationships/hyperlink" Target="http://dx.doi.org/10.1109/VISUAL.1998.745355" TargetMode="External"/><Relationship Id="rId795" Type="http://schemas.openxmlformats.org/officeDocument/2006/relationships/hyperlink" Target="http://dx.doi.org/10.1109/TVCG.2015.2467153" TargetMode="External"/><Relationship Id="rId1144" Type="http://schemas.openxmlformats.org/officeDocument/2006/relationships/hyperlink" Target="http://dx.doi.org/10.1109/TVCG.2018.2865145" TargetMode="External"/><Relationship Id="rId310" Type="http://schemas.openxmlformats.org/officeDocument/2006/relationships/hyperlink" Target="http://dx.doi.org/10.1109/VISUAL.1996.567606" TargetMode="External"/><Relationship Id="rId552" Type="http://schemas.openxmlformats.org/officeDocument/2006/relationships/hyperlink" Target="http://dx.doi.org/10.1109/VISUAL.1998.745354" TargetMode="External"/><Relationship Id="rId794" Type="http://schemas.openxmlformats.org/officeDocument/2006/relationships/hyperlink" Target="http://dx.doi.org/10.1109/TVCG.2015.2467031" TargetMode="External"/><Relationship Id="rId1145" Type="http://schemas.openxmlformats.org/officeDocument/2006/relationships/hyperlink" Target="http://dx.doi.org/10.1109/TVCG.2018.2865146" TargetMode="External"/><Relationship Id="rId551" Type="http://schemas.openxmlformats.org/officeDocument/2006/relationships/hyperlink" Target="http://dx.doi.org/10.1109/VISUAL.1998.745353" TargetMode="External"/><Relationship Id="rId793" Type="http://schemas.openxmlformats.org/officeDocument/2006/relationships/hyperlink" Target="http://dx.doi.org/10.1109/TVCG.2015.2466838" TargetMode="External"/><Relationship Id="rId1146" Type="http://schemas.openxmlformats.org/officeDocument/2006/relationships/hyperlink" Target="http://dx.doi.org/10.1109/TVCG.2018.2865147" TargetMode="External"/><Relationship Id="rId297" Type="http://schemas.openxmlformats.org/officeDocument/2006/relationships/hyperlink" Target="http://dx.doi.org/10.1109/INFVIS.1996.559222" TargetMode="External"/><Relationship Id="rId296" Type="http://schemas.openxmlformats.org/officeDocument/2006/relationships/hyperlink" Target="http://dx.doi.org/10.1109/INFVIS.1996.559221" TargetMode="External"/><Relationship Id="rId295" Type="http://schemas.openxmlformats.org/officeDocument/2006/relationships/hyperlink" Target="http://dx.doi.org/10.1109/INFVIS.1996.559220" TargetMode="External"/><Relationship Id="rId294" Type="http://schemas.openxmlformats.org/officeDocument/2006/relationships/hyperlink" Target="http://dx.doi.org/10.1109/INFVIS.1996.559219" TargetMode="External"/><Relationship Id="rId299" Type="http://schemas.openxmlformats.org/officeDocument/2006/relationships/hyperlink" Target="http://dx.doi.org/10.1109/INFVIS.1996.559224" TargetMode="External"/><Relationship Id="rId298" Type="http://schemas.openxmlformats.org/officeDocument/2006/relationships/hyperlink" Target="http://dx.doi.org/10.1109/INFVIS.1996.559223" TargetMode="External"/><Relationship Id="rId271" Type="http://schemas.openxmlformats.org/officeDocument/2006/relationships/hyperlink" Target="http://dx.doi.org/10.1109/VISUAL.1994.346328" TargetMode="External"/><Relationship Id="rId270" Type="http://schemas.openxmlformats.org/officeDocument/2006/relationships/hyperlink" Target="http://dx.doi.org/10.1109/VISUAL.1994.346327" TargetMode="External"/><Relationship Id="rId269" Type="http://schemas.openxmlformats.org/officeDocument/2006/relationships/hyperlink" Target="http://dx.doi.org/10.1109/VISUAL.1994.346326" TargetMode="External"/><Relationship Id="rId264" Type="http://schemas.openxmlformats.org/officeDocument/2006/relationships/hyperlink" Target="http://dx.doi.org/10.1109/VISUAL.1994.346321" TargetMode="External"/><Relationship Id="rId263" Type="http://schemas.openxmlformats.org/officeDocument/2006/relationships/hyperlink" Target="http://dx.doi.org/10.1109/VISUAL.1994.346320" TargetMode="External"/><Relationship Id="rId262" Type="http://schemas.openxmlformats.org/officeDocument/2006/relationships/hyperlink" Target="http://dx.doi.org/10.1109/VISUAL.1994.346319" TargetMode="External"/><Relationship Id="rId261" Type="http://schemas.openxmlformats.org/officeDocument/2006/relationships/hyperlink" Target="http://dx.doi.org/10.1109/VISUAL.1994.346318" TargetMode="External"/><Relationship Id="rId268" Type="http://schemas.openxmlformats.org/officeDocument/2006/relationships/hyperlink" Target="http://dx.doi.org/10.1109/VISUAL.1994.346325" TargetMode="External"/><Relationship Id="rId267" Type="http://schemas.openxmlformats.org/officeDocument/2006/relationships/hyperlink" Target="http://dx.doi.org/10.1109/VISUAL.1994.346324" TargetMode="External"/><Relationship Id="rId266" Type="http://schemas.openxmlformats.org/officeDocument/2006/relationships/hyperlink" Target="http://dx.doi.org/10.1109/VISUAL.1994.346323" TargetMode="External"/><Relationship Id="rId265" Type="http://schemas.openxmlformats.org/officeDocument/2006/relationships/hyperlink" Target="http://dx.doi.org/10.1109/VISUAL.1994.346322" TargetMode="External"/><Relationship Id="rId260" Type="http://schemas.openxmlformats.org/officeDocument/2006/relationships/hyperlink" Target="http://dx.doi.org/10.1109/VISUAL.1994.346317" TargetMode="External"/><Relationship Id="rId259" Type="http://schemas.openxmlformats.org/officeDocument/2006/relationships/hyperlink" Target="http://dx.doi.org/10.1109/VISUAL.1994.346316" TargetMode="External"/><Relationship Id="rId258" Type="http://schemas.openxmlformats.org/officeDocument/2006/relationships/hyperlink" Target="http://dx.doi.org/10.1109/VISUAL.1994.346315" TargetMode="External"/><Relationship Id="rId253" Type="http://schemas.openxmlformats.org/officeDocument/2006/relationships/hyperlink" Target="http://dx.doi.org/10.1109/VISUAL.1994.346310" TargetMode="External"/><Relationship Id="rId495" Type="http://schemas.openxmlformats.org/officeDocument/2006/relationships/hyperlink" Target="http://dx.doi.org/10.1109/VISUAL.1998.745296" TargetMode="External"/><Relationship Id="rId252" Type="http://schemas.openxmlformats.org/officeDocument/2006/relationships/hyperlink" Target="http://dx.doi.org/10.1109/VISUAL.1994.346309" TargetMode="External"/><Relationship Id="rId494" Type="http://schemas.openxmlformats.org/officeDocument/2006/relationships/hyperlink" Target="http://dx.doi.org/10.1109/VISUAL.1998.745295" TargetMode="External"/><Relationship Id="rId251" Type="http://schemas.openxmlformats.org/officeDocument/2006/relationships/hyperlink" Target="http://dx.doi.org/10.1109/VISUAL.1994.346308" TargetMode="External"/><Relationship Id="rId493" Type="http://schemas.openxmlformats.org/officeDocument/2006/relationships/hyperlink" Target="http://dx.doi.org/10.1109/VISUAL.1998.745294" TargetMode="External"/><Relationship Id="rId250" Type="http://schemas.openxmlformats.org/officeDocument/2006/relationships/hyperlink" Target="http://dx.doi.org/10.1109/VISUAL.1994.346307" TargetMode="External"/><Relationship Id="rId492" Type="http://schemas.openxmlformats.org/officeDocument/2006/relationships/hyperlink" Target="http://dx.doi.org/10.1109/VISUAL.1998.745293" TargetMode="External"/><Relationship Id="rId257" Type="http://schemas.openxmlformats.org/officeDocument/2006/relationships/hyperlink" Target="http://dx.doi.org/10.1109/VISUAL.1994.346314" TargetMode="External"/><Relationship Id="rId499" Type="http://schemas.openxmlformats.org/officeDocument/2006/relationships/hyperlink" Target="http://dx.doi.org/10.1109/VISUAL.1998.745300" TargetMode="External"/><Relationship Id="rId256" Type="http://schemas.openxmlformats.org/officeDocument/2006/relationships/hyperlink" Target="http://dx.doi.org/10.1109/VISUAL.1994.346313" TargetMode="External"/><Relationship Id="rId498" Type="http://schemas.openxmlformats.org/officeDocument/2006/relationships/hyperlink" Target="http://dx.doi.org/10.1109/VISUAL.1998.745299" TargetMode="External"/><Relationship Id="rId255" Type="http://schemas.openxmlformats.org/officeDocument/2006/relationships/hyperlink" Target="http://dx.doi.org/10.1109/VISUAL.1994.346312" TargetMode="External"/><Relationship Id="rId497" Type="http://schemas.openxmlformats.org/officeDocument/2006/relationships/hyperlink" Target="http://dx.doi.org/10.1109/VISUAL.1998.745298" TargetMode="External"/><Relationship Id="rId254" Type="http://schemas.openxmlformats.org/officeDocument/2006/relationships/hyperlink" Target="http://dx.doi.org/10.1109/VISUAL.1994.346311" TargetMode="External"/><Relationship Id="rId496" Type="http://schemas.openxmlformats.org/officeDocument/2006/relationships/hyperlink" Target="http://dx.doi.org/10.1109/VISUAL.1998.745297" TargetMode="External"/><Relationship Id="rId293" Type="http://schemas.openxmlformats.org/officeDocument/2006/relationships/hyperlink" Target="http://dx.doi.org/10.1109/INFVIS.1996.559218" TargetMode="External"/><Relationship Id="rId292" Type="http://schemas.openxmlformats.org/officeDocument/2006/relationships/hyperlink" Target="http://dx.doi.org/10.1109/INFVIS.1996.559216" TargetMode="External"/><Relationship Id="rId291" Type="http://schemas.openxmlformats.org/officeDocument/2006/relationships/hyperlink" Target="http://dx.doi.org/10.1109/INFVIS.1996.559215" TargetMode="External"/><Relationship Id="rId290" Type="http://schemas.openxmlformats.org/officeDocument/2006/relationships/hyperlink" Target="http://dx.doi.org/10.1109/INFVIS.1996.559214" TargetMode="External"/><Relationship Id="rId286" Type="http://schemas.openxmlformats.org/officeDocument/2006/relationships/hyperlink" Target="http://dx.doi.org/10.1109/INFVIS.1996.559210" TargetMode="External"/><Relationship Id="rId285" Type="http://schemas.openxmlformats.org/officeDocument/2006/relationships/hyperlink" Target="http://dx.doi.org/10.1109/VISUAL.1994.346342" TargetMode="External"/><Relationship Id="rId284" Type="http://schemas.openxmlformats.org/officeDocument/2006/relationships/hyperlink" Target="http://dx.doi.org/10.1109/VISUAL.1994.346341" TargetMode="External"/><Relationship Id="rId283" Type="http://schemas.openxmlformats.org/officeDocument/2006/relationships/hyperlink" Target="http://dx.doi.org/10.1109/VISUAL.1994.346340" TargetMode="External"/><Relationship Id="rId289" Type="http://schemas.openxmlformats.org/officeDocument/2006/relationships/hyperlink" Target="http://dx.doi.org/10.1109/INFVIS.1996.559213" TargetMode="External"/><Relationship Id="rId288" Type="http://schemas.openxmlformats.org/officeDocument/2006/relationships/hyperlink" Target="http://dx.doi.org/10.1109/INFVIS.1996.559212" TargetMode="External"/><Relationship Id="rId287" Type="http://schemas.openxmlformats.org/officeDocument/2006/relationships/hyperlink" Target="http://dx.doi.org/10.1109/INFVIS.1996.559211" TargetMode="External"/><Relationship Id="rId282" Type="http://schemas.openxmlformats.org/officeDocument/2006/relationships/hyperlink" Target="http://dx.doi.org/10.1109/VISUAL.1994.346339" TargetMode="External"/><Relationship Id="rId281" Type="http://schemas.openxmlformats.org/officeDocument/2006/relationships/hyperlink" Target="http://dx.doi.org/10.1109/VISUAL.1994.346338" TargetMode="External"/><Relationship Id="rId280" Type="http://schemas.openxmlformats.org/officeDocument/2006/relationships/hyperlink" Target="http://dx.doi.org/10.1109/VISUAL.1994.346337" TargetMode="External"/><Relationship Id="rId275" Type="http://schemas.openxmlformats.org/officeDocument/2006/relationships/hyperlink" Target="http://dx.doi.org/10.1109/VISUAL.1994.346332" TargetMode="External"/><Relationship Id="rId274" Type="http://schemas.openxmlformats.org/officeDocument/2006/relationships/hyperlink" Target="http://dx.doi.org/10.1109/VISUAL.1994.346331" TargetMode="External"/><Relationship Id="rId273" Type="http://schemas.openxmlformats.org/officeDocument/2006/relationships/hyperlink" Target="http://dx.doi.org/10.1109/VISUAL.1994.346330" TargetMode="External"/><Relationship Id="rId272" Type="http://schemas.openxmlformats.org/officeDocument/2006/relationships/hyperlink" Target="http://dx.doi.org/10.1109/VISUAL.1994.346329" TargetMode="External"/><Relationship Id="rId279" Type="http://schemas.openxmlformats.org/officeDocument/2006/relationships/hyperlink" Target="http://dx.doi.org/10.1109/VISUAL.1994.346336" TargetMode="External"/><Relationship Id="rId278" Type="http://schemas.openxmlformats.org/officeDocument/2006/relationships/hyperlink" Target="http://dx.doi.org/10.1109/VISUAL.1994.346335" TargetMode="External"/><Relationship Id="rId277" Type="http://schemas.openxmlformats.org/officeDocument/2006/relationships/hyperlink" Target="http://dx.doi.org/10.1109/VISUAL.1994.346334" TargetMode="External"/><Relationship Id="rId276" Type="http://schemas.openxmlformats.org/officeDocument/2006/relationships/hyperlink" Target="http://dx.doi.org/10.1109/VISUAL.1994.346333" TargetMode="External"/><Relationship Id="rId907" Type="http://schemas.openxmlformats.org/officeDocument/2006/relationships/hyperlink" Target="http://dx.doi.org/10.1109/TVCG.2016.2598618" TargetMode="External"/><Relationship Id="rId906" Type="http://schemas.openxmlformats.org/officeDocument/2006/relationships/hyperlink" Target="http://dx.doi.org/10.1109/TVCG.2016.2598609" TargetMode="External"/><Relationship Id="rId905" Type="http://schemas.openxmlformats.org/officeDocument/2006/relationships/hyperlink" Target="http://dx.doi.org/10.1109/TVCG.2016.2598608" TargetMode="External"/><Relationship Id="rId904" Type="http://schemas.openxmlformats.org/officeDocument/2006/relationships/hyperlink" Target="http://dx.doi.org/10.1109/TVCG.2016.2598594" TargetMode="External"/><Relationship Id="rId909" Type="http://schemas.openxmlformats.org/officeDocument/2006/relationships/hyperlink" Target="http://dx.doi.org/10.1109/TVCG.2016.2598620" TargetMode="External"/><Relationship Id="rId908" Type="http://schemas.openxmlformats.org/officeDocument/2006/relationships/hyperlink" Target="http://dx.doi.org/10.1109/TVCG.2016.2598619" TargetMode="External"/><Relationship Id="rId903" Type="http://schemas.openxmlformats.org/officeDocument/2006/relationships/hyperlink" Target="http://dx.doi.org/10.1109/TVCG.2016.2598592" TargetMode="External"/><Relationship Id="rId902" Type="http://schemas.openxmlformats.org/officeDocument/2006/relationships/hyperlink" Target="http://dx.doi.org/10.1109/TVCG.2016.2598591" TargetMode="External"/><Relationship Id="rId901" Type="http://schemas.openxmlformats.org/officeDocument/2006/relationships/hyperlink" Target="http://dx.doi.org/10.1109/TVCG.2016.2598590" TargetMode="External"/><Relationship Id="rId900" Type="http://schemas.openxmlformats.org/officeDocument/2006/relationships/hyperlink" Target="http://dx.doi.org/10.1109/TVCG.2016.2598589" TargetMode="External"/><Relationship Id="rId929" Type="http://schemas.openxmlformats.org/officeDocument/2006/relationships/hyperlink" Target="http://dx.doi.org/10.1109/TVCG.2016.2598430" TargetMode="External"/><Relationship Id="rId928" Type="http://schemas.openxmlformats.org/officeDocument/2006/relationships/hyperlink" Target="http://dx.doi.org/10.1109/TVCG.2016.2599338" TargetMode="External"/><Relationship Id="rId927" Type="http://schemas.openxmlformats.org/officeDocument/2006/relationships/hyperlink" Target="http://dx.doi.org/10.1109/TVCG.2016.2599107" TargetMode="External"/><Relationship Id="rId926" Type="http://schemas.openxmlformats.org/officeDocument/2006/relationships/hyperlink" Target="http://dx.doi.org/10.1109/TVCG.2016.2599106" TargetMode="External"/><Relationship Id="rId921" Type="http://schemas.openxmlformats.org/officeDocument/2006/relationships/hyperlink" Target="http://dx.doi.org/10.1109/TVCG.2016.2598919" TargetMode="External"/><Relationship Id="rId920" Type="http://schemas.openxmlformats.org/officeDocument/2006/relationships/hyperlink" Target="http://dx.doi.org/10.1109/TVCG.2016.2598918" TargetMode="External"/><Relationship Id="rId925" Type="http://schemas.openxmlformats.org/officeDocument/2006/relationships/hyperlink" Target="http://dx.doi.org/10.1109/TVCG.2016.2599058" TargetMode="External"/><Relationship Id="rId924" Type="http://schemas.openxmlformats.org/officeDocument/2006/relationships/hyperlink" Target="http://dx.doi.org/10.1109/TVCG.2016.2599030" TargetMode="External"/><Relationship Id="rId923" Type="http://schemas.openxmlformats.org/officeDocument/2006/relationships/hyperlink" Target="http://dx.doi.org/10.1109/TVCG.2016.2598958" TargetMode="External"/><Relationship Id="rId922" Type="http://schemas.openxmlformats.org/officeDocument/2006/relationships/hyperlink" Target="http://dx.doi.org/10.1109/TVCG.2016.2598920" TargetMode="External"/><Relationship Id="rId918" Type="http://schemas.openxmlformats.org/officeDocument/2006/relationships/hyperlink" Target="http://dx.doi.org/10.1109/TVCG.2016.2598885" TargetMode="External"/><Relationship Id="rId917" Type="http://schemas.openxmlformats.org/officeDocument/2006/relationships/hyperlink" Target="http://dx.doi.org/10.1109/TVCG.2016.2598876" TargetMode="External"/><Relationship Id="rId916" Type="http://schemas.openxmlformats.org/officeDocument/2006/relationships/hyperlink" Target="http://dx.doi.org/10.1109/TVCG.2016.2598867" TargetMode="External"/><Relationship Id="rId915" Type="http://schemas.openxmlformats.org/officeDocument/2006/relationships/hyperlink" Target="http://dx.doi.org/10.1109/TVCG.2016.2598862" TargetMode="External"/><Relationship Id="rId919" Type="http://schemas.openxmlformats.org/officeDocument/2006/relationships/hyperlink" Target="http://dx.doi.org/10.1109/TVCG.2016.2598898" TargetMode="External"/><Relationship Id="rId910" Type="http://schemas.openxmlformats.org/officeDocument/2006/relationships/hyperlink" Target="http://dx.doi.org/10.1109/TVCG.2016.2598624" TargetMode="External"/><Relationship Id="rId914" Type="http://schemas.openxmlformats.org/officeDocument/2006/relationships/hyperlink" Target="http://dx.doi.org/10.1109/TVCG.2016.2598839" TargetMode="External"/><Relationship Id="rId913" Type="http://schemas.openxmlformats.org/officeDocument/2006/relationships/hyperlink" Target="http://dx.doi.org/10.1109/TVCG.2016.2598694" TargetMode="External"/><Relationship Id="rId912" Type="http://schemas.openxmlformats.org/officeDocument/2006/relationships/hyperlink" Target="http://dx.doi.org/10.1109/TVCG.2016.2598667" TargetMode="External"/><Relationship Id="rId911" Type="http://schemas.openxmlformats.org/officeDocument/2006/relationships/hyperlink" Target="http://dx.doi.org/10.1109/TVCG.2016.2598647" TargetMode="External"/><Relationship Id="rId1213" Type="http://schemas.openxmlformats.org/officeDocument/2006/relationships/hyperlink" Target="http://dx.doi.org/10.1109/TVCG.2018.2864838" TargetMode="External"/><Relationship Id="rId1214" Type="http://schemas.openxmlformats.org/officeDocument/2006/relationships/hyperlink" Target="http://dx.doi.org/10.1109/TVCG.2018.2864843" TargetMode="External"/><Relationship Id="rId1215" Type="http://schemas.openxmlformats.org/officeDocument/2006/relationships/hyperlink" Target="http://dx.doi.org/10.1109/TVCG.2018.2864844" TargetMode="External"/><Relationship Id="rId1216" Type="http://schemas.openxmlformats.org/officeDocument/2006/relationships/hyperlink" Target="http://dx.doi.org/10.1109/TVCG.2018.2864885" TargetMode="External"/><Relationship Id="rId1217" Type="http://schemas.openxmlformats.org/officeDocument/2006/relationships/hyperlink" Target="http://dx.doi.org/10.1109/TVCG.2018.2864886" TargetMode="External"/><Relationship Id="rId1218" Type="http://schemas.openxmlformats.org/officeDocument/2006/relationships/hyperlink" Target="http://dx.doi.org/10.1109/TVCG.2018.2864887" TargetMode="External"/><Relationship Id="rId1219" Type="http://schemas.openxmlformats.org/officeDocument/2006/relationships/hyperlink" Target="http://dx.doi.org/10.1109/TVCG.2018.2864901" TargetMode="External"/><Relationship Id="rId629" Type="http://schemas.openxmlformats.org/officeDocument/2006/relationships/hyperlink" Target="http://dx.doi.org/10.1109/TVCG.2014.2346433" TargetMode="External"/><Relationship Id="rId624" Type="http://schemas.openxmlformats.org/officeDocument/2006/relationships/hyperlink" Target="http://dx.doi.org/10.1109/TVCG.2014.2346422" TargetMode="External"/><Relationship Id="rId866" Type="http://schemas.openxmlformats.org/officeDocument/2006/relationships/hyperlink" Target="http://dx.doi.org/10.1109/VAST.2015.7347631" TargetMode="External"/><Relationship Id="rId623" Type="http://schemas.openxmlformats.org/officeDocument/2006/relationships/hyperlink" Target="http://dx.doi.org/10.1109/TVCG.2014.2346420" TargetMode="External"/><Relationship Id="rId865" Type="http://schemas.openxmlformats.org/officeDocument/2006/relationships/hyperlink" Target="http://dx.doi.org/10.1109/VAST.2015.7347630" TargetMode="External"/><Relationship Id="rId622" Type="http://schemas.openxmlformats.org/officeDocument/2006/relationships/hyperlink" Target="http://dx.doi.org/10.1109/TVCG.2014.2346419" TargetMode="External"/><Relationship Id="rId864" Type="http://schemas.openxmlformats.org/officeDocument/2006/relationships/hyperlink" Target="http://dx.doi.org/10.1109/VAST.2015.7347629" TargetMode="External"/><Relationship Id="rId621" Type="http://schemas.openxmlformats.org/officeDocument/2006/relationships/hyperlink" Target="http://dx.doi.org/10.1109/TVCG.2014.2346331" TargetMode="External"/><Relationship Id="rId863" Type="http://schemas.openxmlformats.org/officeDocument/2006/relationships/hyperlink" Target="http://dx.doi.org/10.1109/VAST.2015.7347628" TargetMode="External"/><Relationship Id="rId628" Type="http://schemas.openxmlformats.org/officeDocument/2006/relationships/hyperlink" Target="http://dx.doi.org/10.1109/TVCG.2014.2346431" TargetMode="External"/><Relationship Id="rId627" Type="http://schemas.openxmlformats.org/officeDocument/2006/relationships/hyperlink" Target="http://dx.doi.org/10.1109/TVCG.2014.2346428" TargetMode="External"/><Relationship Id="rId869" Type="http://schemas.openxmlformats.org/officeDocument/2006/relationships/hyperlink" Target="http://dx.doi.org/10.1109/VAST.2015.7347634" TargetMode="External"/><Relationship Id="rId626" Type="http://schemas.openxmlformats.org/officeDocument/2006/relationships/hyperlink" Target="http://dx.doi.org/10.1109/TVCG.2014.2346426" TargetMode="External"/><Relationship Id="rId868" Type="http://schemas.openxmlformats.org/officeDocument/2006/relationships/hyperlink" Target="http://dx.doi.org/10.1109/VAST.2015.7347633" TargetMode="External"/><Relationship Id="rId625" Type="http://schemas.openxmlformats.org/officeDocument/2006/relationships/hyperlink" Target="http://dx.doi.org/10.1109/TVCG.2014.2346424" TargetMode="External"/><Relationship Id="rId867" Type="http://schemas.openxmlformats.org/officeDocument/2006/relationships/hyperlink" Target="http://dx.doi.org/10.1109/VAST.2015.7347632" TargetMode="External"/><Relationship Id="rId620" Type="http://schemas.openxmlformats.org/officeDocument/2006/relationships/hyperlink" Target="http://dx.doi.org/10.1109/TVCG.2014.2346325" TargetMode="External"/><Relationship Id="rId862" Type="http://schemas.openxmlformats.org/officeDocument/2006/relationships/hyperlink" Target="http://dx.doi.org/10.1109/VAST.2015.7347627" TargetMode="External"/><Relationship Id="rId861" Type="http://schemas.openxmlformats.org/officeDocument/2006/relationships/hyperlink" Target="http://dx.doi.org/10.1109/VAST.2015.7347626" TargetMode="External"/><Relationship Id="rId1210" Type="http://schemas.openxmlformats.org/officeDocument/2006/relationships/hyperlink" Target="http://dx.doi.org/10.1109/TVCG.2018.2864814" TargetMode="External"/><Relationship Id="rId860" Type="http://schemas.openxmlformats.org/officeDocument/2006/relationships/hyperlink" Target="http://dx.doi.org/10.1109/VAST.2015.7347625" TargetMode="External"/><Relationship Id="rId1211" Type="http://schemas.openxmlformats.org/officeDocument/2006/relationships/hyperlink" Target="http://dx.doi.org/10.1109/TVCG.2018.2864825" TargetMode="External"/><Relationship Id="rId1212" Type="http://schemas.openxmlformats.org/officeDocument/2006/relationships/hyperlink" Target="http://dx.doi.org/10.1109/TVCG.2018.2864826" TargetMode="External"/><Relationship Id="rId1202" Type="http://schemas.openxmlformats.org/officeDocument/2006/relationships/hyperlink" Target="http://dx.doi.org/10.1109/TVCG.2018.2864499" TargetMode="External"/><Relationship Id="rId1203" Type="http://schemas.openxmlformats.org/officeDocument/2006/relationships/hyperlink" Target="http://dx.doi.org/10.1109/TVCG.2018.2864500" TargetMode="External"/><Relationship Id="rId1204" Type="http://schemas.openxmlformats.org/officeDocument/2006/relationships/hyperlink" Target="http://dx.doi.org/10.1109/TVCG.2018.2864503" TargetMode="External"/><Relationship Id="rId1205" Type="http://schemas.openxmlformats.org/officeDocument/2006/relationships/hyperlink" Target="http://dx.doi.org/10.1109/TVCG.2018.2864504" TargetMode="External"/><Relationship Id="rId1206" Type="http://schemas.openxmlformats.org/officeDocument/2006/relationships/hyperlink" Target="http://dx.doi.org/10.1109/TVCG.2018.2864526" TargetMode="External"/><Relationship Id="rId1207" Type="http://schemas.openxmlformats.org/officeDocument/2006/relationships/hyperlink" Target="http://dx.doi.org/10.1109/TVCG.2018.2864769" TargetMode="External"/><Relationship Id="rId1208" Type="http://schemas.openxmlformats.org/officeDocument/2006/relationships/hyperlink" Target="http://dx.doi.org/10.1109/TVCG.2018.2864811" TargetMode="External"/><Relationship Id="rId1209" Type="http://schemas.openxmlformats.org/officeDocument/2006/relationships/hyperlink" Target="http://dx.doi.org/10.1109/TVCG.2018.2864812" TargetMode="External"/><Relationship Id="rId619" Type="http://schemas.openxmlformats.org/officeDocument/2006/relationships/hyperlink" Target="http://dx.doi.org/10.1109/TVCG.2014.2346323" TargetMode="External"/><Relationship Id="rId618" Type="http://schemas.openxmlformats.org/officeDocument/2006/relationships/hyperlink" Target="http://dx.doi.org/10.1109/TVCG.2014.2346321" TargetMode="External"/><Relationship Id="rId613" Type="http://schemas.openxmlformats.org/officeDocument/2006/relationships/hyperlink" Target="http://dx.doi.org/10.1109/TVCG.2014.2346297" TargetMode="External"/><Relationship Id="rId855" Type="http://schemas.openxmlformats.org/officeDocument/2006/relationships/hyperlink" Target="http://dx.doi.org/10.1109/TVCG.2015.2468111" TargetMode="External"/><Relationship Id="rId612" Type="http://schemas.openxmlformats.org/officeDocument/2006/relationships/hyperlink" Target="http://dx.doi.org/10.1109/TVCG.2014.2346293" TargetMode="External"/><Relationship Id="rId854" Type="http://schemas.openxmlformats.org/officeDocument/2006/relationships/hyperlink" Target="http://dx.doi.org/10.1109/TVCG.2015.2468078" TargetMode="External"/><Relationship Id="rId611" Type="http://schemas.openxmlformats.org/officeDocument/2006/relationships/hyperlink" Target="http://dx.doi.org/10.1109/TVCG.2014.2346292" TargetMode="External"/><Relationship Id="rId853" Type="http://schemas.openxmlformats.org/officeDocument/2006/relationships/hyperlink" Target="http://dx.doi.org/10.1109/TVCG.2015.2468011" TargetMode="External"/><Relationship Id="rId610" Type="http://schemas.openxmlformats.org/officeDocument/2006/relationships/hyperlink" Target="http://dx.doi.org/10.1109/TVCG.2014.2346291" TargetMode="External"/><Relationship Id="rId852" Type="http://schemas.openxmlformats.org/officeDocument/2006/relationships/hyperlink" Target="http://dx.doi.org/10.1109/TVCG.2015.2467991" TargetMode="External"/><Relationship Id="rId617" Type="http://schemas.openxmlformats.org/officeDocument/2006/relationships/hyperlink" Target="http://dx.doi.org/10.1109/TVCG.2014.2346320" TargetMode="External"/><Relationship Id="rId859" Type="http://schemas.openxmlformats.org/officeDocument/2006/relationships/hyperlink" Target="http://dx.doi.org/10.1109/VAST.2015.7347624" TargetMode="External"/><Relationship Id="rId616" Type="http://schemas.openxmlformats.org/officeDocument/2006/relationships/hyperlink" Target="http://dx.doi.org/10.1109/TVCG.2014.2346312" TargetMode="External"/><Relationship Id="rId858" Type="http://schemas.openxmlformats.org/officeDocument/2006/relationships/hyperlink" Target="http://dx.doi.org/10.1109/TVCG.2015.2468292" TargetMode="External"/><Relationship Id="rId615" Type="http://schemas.openxmlformats.org/officeDocument/2006/relationships/hyperlink" Target="http://dx.doi.org/10.1109/TVCG.2014.2346311" TargetMode="External"/><Relationship Id="rId857" Type="http://schemas.openxmlformats.org/officeDocument/2006/relationships/hyperlink" Target="http://dx.doi.org/10.1109/TVCG.2015.2468291" TargetMode="External"/><Relationship Id="rId614" Type="http://schemas.openxmlformats.org/officeDocument/2006/relationships/hyperlink" Target="http://dx.doi.org/10.1109/TVCG.2014.2346298" TargetMode="External"/><Relationship Id="rId856" Type="http://schemas.openxmlformats.org/officeDocument/2006/relationships/hyperlink" Target="http://dx.doi.org/10.1109/TVCG.2015.2468151" TargetMode="External"/><Relationship Id="rId851" Type="http://schemas.openxmlformats.org/officeDocument/2006/relationships/hyperlink" Target="http://dx.doi.org/10.1109/TVCG.2015.2467971" TargetMode="External"/><Relationship Id="rId850" Type="http://schemas.openxmlformats.org/officeDocument/2006/relationships/hyperlink" Target="http://dx.doi.org/10.1109/TVCG.2015.2467954" TargetMode="External"/><Relationship Id="rId1200" Type="http://schemas.openxmlformats.org/officeDocument/2006/relationships/hyperlink" Target="http://dx.doi.org/10.1109/TVCG.2018.2864475" TargetMode="External"/><Relationship Id="rId1201" Type="http://schemas.openxmlformats.org/officeDocument/2006/relationships/hyperlink" Target="http://dx.doi.org/10.1109/TVCG.2018.2864477" TargetMode="External"/><Relationship Id="rId1235" Type="http://schemas.openxmlformats.org/officeDocument/2006/relationships/hyperlink" Target="http://dx.doi.org/10.1109/TVCG.2018.2865042" TargetMode="External"/><Relationship Id="rId1236" Type="http://schemas.openxmlformats.org/officeDocument/2006/relationships/hyperlink" Target="http://dx.doi.org/10.1109/TVCG.2018.2865043" TargetMode="External"/><Relationship Id="rId1237" Type="http://schemas.openxmlformats.org/officeDocument/2006/relationships/hyperlink" Target="http://dx.doi.org/10.1109/TVCG.2018.2865044" TargetMode="External"/><Relationship Id="rId1238" Type="http://schemas.openxmlformats.org/officeDocument/2006/relationships/hyperlink" Target="http://dx.doi.org/10.1109/TVCG.2018.2865047" TargetMode="External"/><Relationship Id="rId1239" Type="http://schemas.openxmlformats.org/officeDocument/2006/relationships/hyperlink" Target="http://dx.doi.org/10.1109/TVCG.2018.2865049" TargetMode="External"/><Relationship Id="rId409" Type="http://schemas.openxmlformats.org/officeDocument/2006/relationships/hyperlink" Target="http://dx.doi.org/10.1109/VISUAL.1997.663882" TargetMode="External"/><Relationship Id="rId404" Type="http://schemas.openxmlformats.org/officeDocument/2006/relationships/hyperlink" Target="http://dx.doi.org/10.1109/VISUAL.1997.663874" TargetMode="External"/><Relationship Id="rId646" Type="http://schemas.openxmlformats.org/officeDocument/2006/relationships/hyperlink" Target="http://dx.doi.org/10.1109/TVCG.2014.2346319" TargetMode="External"/><Relationship Id="rId888" Type="http://schemas.openxmlformats.org/officeDocument/2006/relationships/hyperlink" Target="http://dx.doi.org/10.1109/VAST.2015.7347686" TargetMode="External"/><Relationship Id="rId403" Type="http://schemas.openxmlformats.org/officeDocument/2006/relationships/hyperlink" Target="http://dx.doi.org/10.1109/VISUAL.1997.663872" TargetMode="External"/><Relationship Id="rId645" Type="http://schemas.openxmlformats.org/officeDocument/2006/relationships/hyperlink" Target="http://dx.doi.org/10.1109/TVCG.2014.2346318" TargetMode="External"/><Relationship Id="rId887" Type="http://schemas.openxmlformats.org/officeDocument/2006/relationships/hyperlink" Target="http://dx.doi.org/10.1109/VAST.2015.7347685" TargetMode="External"/><Relationship Id="rId402" Type="http://schemas.openxmlformats.org/officeDocument/2006/relationships/hyperlink" Target="http://dx.doi.org/10.1109/VISUAL.1997.663871" TargetMode="External"/><Relationship Id="rId644" Type="http://schemas.openxmlformats.org/officeDocument/2006/relationships/hyperlink" Target="http://dx.doi.org/10.1109/TVCG.2014.2346317" TargetMode="External"/><Relationship Id="rId886" Type="http://schemas.openxmlformats.org/officeDocument/2006/relationships/hyperlink" Target="http://dx.doi.org/10.1109/VAST.2015.7347684" TargetMode="External"/><Relationship Id="rId401" Type="http://schemas.openxmlformats.org/officeDocument/2006/relationships/hyperlink" Target="http://dx.doi.org/10.1109/VISUAL.1997.663869" TargetMode="External"/><Relationship Id="rId643" Type="http://schemas.openxmlformats.org/officeDocument/2006/relationships/hyperlink" Target="http://dx.doi.org/10.1109/TVCG.2014.2352953" TargetMode="External"/><Relationship Id="rId885" Type="http://schemas.openxmlformats.org/officeDocument/2006/relationships/hyperlink" Target="http://dx.doi.org/10.1109/VAST.2015.7347683" TargetMode="External"/><Relationship Id="rId408" Type="http://schemas.openxmlformats.org/officeDocument/2006/relationships/hyperlink" Target="http://dx.doi.org/10.1109/VISUAL.1997.663880" TargetMode="External"/><Relationship Id="rId407" Type="http://schemas.openxmlformats.org/officeDocument/2006/relationships/hyperlink" Target="http://dx.doi.org/10.1109/VISUAL.1997.663878" TargetMode="External"/><Relationship Id="rId649" Type="http://schemas.openxmlformats.org/officeDocument/2006/relationships/hyperlink" Target="http://dx.doi.org/10.1109/TVCG.2014.2346332" TargetMode="External"/><Relationship Id="rId406" Type="http://schemas.openxmlformats.org/officeDocument/2006/relationships/hyperlink" Target="http://dx.doi.org/10.1109/VISUAL.1997.663876" TargetMode="External"/><Relationship Id="rId648" Type="http://schemas.openxmlformats.org/officeDocument/2006/relationships/hyperlink" Target="http://dx.doi.org/10.1109/TVCG.2014.2346324" TargetMode="External"/><Relationship Id="rId405" Type="http://schemas.openxmlformats.org/officeDocument/2006/relationships/hyperlink" Target="http://dx.doi.org/10.1109/VISUAL.1997.663875" TargetMode="External"/><Relationship Id="rId647" Type="http://schemas.openxmlformats.org/officeDocument/2006/relationships/hyperlink" Target="http://dx.doi.org/10.1109/TVCG.2014.2346322" TargetMode="External"/><Relationship Id="rId889" Type="http://schemas.openxmlformats.org/officeDocument/2006/relationships/hyperlink" Target="http://dx.doi.org/10.1109/VAST.2015.7347687" TargetMode="External"/><Relationship Id="rId880" Type="http://schemas.openxmlformats.org/officeDocument/2006/relationships/hyperlink" Target="http://dx.doi.org/10.1109/VAST.2015.7347678" TargetMode="External"/><Relationship Id="rId1230" Type="http://schemas.openxmlformats.org/officeDocument/2006/relationships/hyperlink" Target="http://dx.doi.org/10.1109/TVCG.2018.2865028" TargetMode="External"/><Relationship Id="rId400" Type="http://schemas.openxmlformats.org/officeDocument/2006/relationships/hyperlink" Target="http://dx.doi.org/10.1109/VISUAL.1997.663868" TargetMode="External"/><Relationship Id="rId642" Type="http://schemas.openxmlformats.org/officeDocument/2006/relationships/hyperlink" Target="http://dx.doi.org/10.1109/TVCG.2014.2346998" TargetMode="External"/><Relationship Id="rId884" Type="http://schemas.openxmlformats.org/officeDocument/2006/relationships/hyperlink" Target="http://dx.doi.org/10.1109/VAST.2015.7347682" TargetMode="External"/><Relationship Id="rId1231" Type="http://schemas.openxmlformats.org/officeDocument/2006/relationships/hyperlink" Target="http://dx.doi.org/10.1109/TVCG.2018.2865029" TargetMode="External"/><Relationship Id="rId641" Type="http://schemas.openxmlformats.org/officeDocument/2006/relationships/hyperlink" Target="http://dx.doi.org/10.1109/TVCG.2014.2346984" TargetMode="External"/><Relationship Id="rId883" Type="http://schemas.openxmlformats.org/officeDocument/2006/relationships/hyperlink" Target="http://dx.doi.org/10.1109/VAST.2015.7347681" TargetMode="External"/><Relationship Id="rId1232" Type="http://schemas.openxmlformats.org/officeDocument/2006/relationships/hyperlink" Target="http://dx.doi.org/10.1109/TVCG.2018.2865039" TargetMode="External"/><Relationship Id="rId640" Type="http://schemas.openxmlformats.org/officeDocument/2006/relationships/hyperlink" Target="http://dx.doi.org/10.1109/TVCG.2014.2346983" TargetMode="External"/><Relationship Id="rId882" Type="http://schemas.openxmlformats.org/officeDocument/2006/relationships/hyperlink" Target="http://dx.doi.org/10.1109/VAST.2015.7347680" TargetMode="External"/><Relationship Id="rId1233" Type="http://schemas.openxmlformats.org/officeDocument/2006/relationships/hyperlink" Target="http://dx.doi.org/10.1109/TVCG.2018.2865040" TargetMode="External"/><Relationship Id="rId881" Type="http://schemas.openxmlformats.org/officeDocument/2006/relationships/hyperlink" Target="http://dx.doi.org/10.1109/VAST.2015.7347679" TargetMode="External"/><Relationship Id="rId1234" Type="http://schemas.openxmlformats.org/officeDocument/2006/relationships/hyperlink" Target="http://dx.doi.org/10.1109/TVCG.2018.2865041" TargetMode="External"/><Relationship Id="rId1224" Type="http://schemas.openxmlformats.org/officeDocument/2006/relationships/hyperlink" Target="http://dx.doi.org/10.1109/TVCG.2018.2865022" TargetMode="External"/><Relationship Id="rId1225" Type="http://schemas.openxmlformats.org/officeDocument/2006/relationships/hyperlink" Target="http://dx.doi.org/10.1109/TVCG.2018.2865023" TargetMode="External"/><Relationship Id="rId1226" Type="http://schemas.openxmlformats.org/officeDocument/2006/relationships/hyperlink" Target="http://dx.doi.org/10.1109/TVCG.2018.2865024" TargetMode="External"/><Relationship Id="rId1227" Type="http://schemas.openxmlformats.org/officeDocument/2006/relationships/hyperlink" Target="http://dx.doi.org/10.1109/TVCG.2018.2865025" TargetMode="External"/><Relationship Id="rId1228" Type="http://schemas.openxmlformats.org/officeDocument/2006/relationships/hyperlink" Target="http://dx.doi.org/10.1109/TVCG.2018.2865026" TargetMode="External"/><Relationship Id="rId1229" Type="http://schemas.openxmlformats.org/officeDocument/2006/relationships/hyperlink" Target="http://dx.doi.org/10.1109/TVCG.2018.2865027" TargetMode="External"/><Relationship Id="rId635" Type="http://schemas.openxmlformats.org/officeDocument/2006/relationships/hyperlink" Target="http://dx.doi.org/10.1109/TVCG.2014.2346452" TargetMode="External"/><Relationship Id="rId877" Type="http://schemas.openxmlformats.org/officeDocument/2006/relationships/hyperlink" Target="http://dx.doi.org/10.1109/VAST.2015.7347675" TargetMode="External"/><Relationship Id="rId634" Type="http://schemas.openxmlformats.org/officeDocument/2006/relationships/hyperlink" Target="http://dx.doi.org/10.1109/TVCG.2014.2346445" TargetMode="External"/><Relationship Id="rId876" Type="http://schemas.openxmlformats.org/officeDocument/2006/relationships/hyperlink" Target="http://dx.doi.org/10.1109/VAST.2015.7347674" TargetMode="External"/><Relationship Id="rId633" Type="http://schemas.openxmlformats.org/officeDocument/2006/relationships/hyperlink" Target="http://dx.doi.org/10.1109/TVCG.2014.2346444" TargetMode="External"/><Relationship Id="rId875" Type="http://schemas.openxmlformats.org/officeDocument/2006/relationships/hyperlink" Target="http://dx.doi.org/10.1109/VAST.2015.7347673" TargetMode="External"/><Relationship Id="rId632" Type="http://schemas.openxmlformats.org/officeDocument/2006/relationships/hyperlink" Target="http://dx.doi.org/10.1109/TVCG.2014.2346441" TargetMode="External"/><Relationship Id="rId874" Type="http://schemas.openxmlformats.org/officeDocument/2006/relationships/hyperlink" Target="http://dx.doi.org/10.1109/VAST.2015.7347672" TargetMode="External"/><Relationship Id="rId639" Type="http://schemas.openxmlformats.org/officeDocument/2006/relationships/hyperlink" Target="http://dx.doi.org/10.1109/TVCG.2014.2346979" TargetMode="External"/><Relationship Id="rId638" Type="http://schemas.openxmlformats.org/officeDocument/2006/relationships/hyperlink" Target="http://dx.doi.org/10.1109/TVCG.2014.2346978" TargetMode="External"/><Relationship Id="rId637" Type="http://schemas.openxmlformats.org/officeDocument/2006/relationships/hyperlink" Target="http://dx.doi.org/10.1109/TVCG.2014.2346456" TargetMode="External"/><Relationship Id="rId879" Type="http://schemas.openxmlformats.org/officeDocument/2006/relationships/hyperlink" Target="http://dx.doi.org/10.1109/VAST.2015.7347677" TargetMode="External"/><Relationship Id="rId636" Type="http://schemas.openxmlformats.org/officeDocument/2006/relationships/hyperlink" Target="http://dx.doi.org/10.1109/TVCG.2014.2346454" TargetMode="External"/><Relationship Id="rId878" Type="http://schemas.openxmlformats.org/officeDocument/2006/relationships/hyperlink" Target="http://dx.doi.org/10.1109/VAST.2015.7347676" TargetMode="External"/><Relationship Id="rId631" Type="http://schemas.openxmlformats.org/officeDocument/2006/relationships/hyperlink" Target="http://dx.doi.org/10.1109/TVCG.2014.2346437" TargetMode="External"/><Relationship Id="rId873" Type="http://schemas.openxmlformats.org/officeDocument/2006/relationships/hyperlink" Target="http://dx.doi.org/10.1109/VAST.2015.7347671" TargetMode="External"/><Relationship Id="rId1220" Type="http://schemas.openxmlformats.org/officeDocument/2006/relationships/hyperlink" Target="http://dx.doi.org/10.1109/TVCG.2018.2864905" TargetMode="External"/><Relationship Id="rId630" Type="http://schemas.openxmlformats.org/officeDocument/2006/relationships/hyperlink" Target="http://dx.doi.org/10.1109/TVCG.2014.2346435" TargetMode="External"/><Relationship Id="rId872" Type="http://schemas.openxmlformats.org/officeDocument/2006/relationships/hyperlink" Target="http://dx.doi.org/10.1109/VAST.2015.7347637" TargetMode="External"/><Relationship Id="rId1221" Type="http://schemas.openxmlformats.org/officeDocument/2006/relationships/hyperlink" Target="http://dx.doi.org/10.1109/TVCG.2018.2865018" TargetMode="External"/><Relationship Id="rId871" Type="http://schemas.openxmlformats.org/officeDocument/2006/relationships/hyperlink" Target="http://dx.doi.org/10.1109/VAST.2015.7347636" TargetMode="External"/><Relationship Id="rId1222" Type="http://schemas.openxmlformats.org/officeDocument/2006/relationships/hyperlink" Target="http://dx.doi.org/10.1109/TVCG.2018.2865020" TargetMode="External"/><Relationship Id="rId870" Type="http://schemas.openxmlformats.org/officeDocument/2006/relationships/hyperlink" Target="http://dx.doi.org/10.1109/VAST.2015.7347635" TargetMode="External"/><Relationship Id="rId1223" Type="http://schemas.openxmlformats.org/officeDocument/2006/relationships/hyperlink" Target="http://dx.doi.org/10.1109/TVCG.2018.2865021" TargetMode="External"/><Relationship Id="rId829" Type="http://schemas.openxmlformats.org/officeDocument/2006/relationships/hyperlink" Target="http://dx.doi.org/10.1109/TVCG.2015.2467552" TargetMode="External"/><Relationship Id="rId828" Type="http://schemas.openxmlformats.org/officeDocument/2006/relationships/hyperlink" Target="http://dx.doi.org/10.1109/TVCG.2015.2467551" TargetMode="External"/><Relationship Id="rId827" Type="http://schemas.openxmlformats.org/officeDocument/2006/relationships/hyperlink" Target="http://dx.doi.org/10.1109/TVCG.2015.2467531" TargetMode="External"/><Relationship Id="rId822" Type="http://schemas.openxmlformats.org/officeDocument/2006/relationships/hyperlink" Target="http://dx.doi.org/10.1109/TVCG.2015.2467963" TargetMode="External"/><Relationship Id="rId821" Type="http://schemas.openxmlformats.org/officeDocument/2006/relationships/hyperlink" Target="http://dx.doi.org/10.1109/TVCG.2015.2467962" TargetMode="External"/><Relationship Id="rId820" Type="http://schemas.openxmlformats.org/officeDocument/2006/relationships/hyperlink" Target="http://dx.doi.org/10.1109/TVCG.2015.2467961" TargetMode="External"/><Relationship Id="rId826" Type="http://schemas.openxmlformats.org/officeDocument/2006/relationships/hyperlink" Target="http://dx.doi.org/10.1109/TVCG.2015.2467196" TargetMode="External"/><Relationship Id="rId825" Type="http://schemas.openxmlformats.org/officeDocument/2006/relationships/hyperlink" Target="http://dx.doi.org/10.1109/TVCG.2015.2468093" TargetMode="External"/><Relationship Id="rId824" Type="http://schemas.openxmlformats.org/officeDocument/2006/relationships/hyperlink" Target="http://dx.doi.org/10.1109/TVCG.2015.2468091" TargetMode="External"/><Relationship Id="rId823" Type="http://schemas.openxmlformats.org/officeDocument/2006/relationships/hyperlink" Target="http://dx.doi.org/10.1109/TVCG.2015.2468031" TargetMode="External"/><Relationship Id="rId819" Type="http://schemas.openxmlformats.org/officeDocument/2006/relationships/hyperlink" Target="http://dx.doi.org/10.1109/TVCG.2015.2467958" TargetMode="External"/><Relationship Id="rId818" Type="http://schemas.openxmlformats.org/officeDocument/2006/relationships/hyperlink" Target="http://dx.doi.org/10.1109/TVCG.2015.2467952" TargetMode="External"/><Relationship Id="rId817" Type="http://schemas.openxmlformats.org/officeDocument/2006/relationships/hyperlink" Target="http://dx.doi.org/10.1109/TVCG.2015.2467449" TargetMode="External"/><Relationship Id="rId816" Type="http://schemas.openxmlformats.org/officeDocument/2006/relationships/hyperlink" Target="http://dx.doi.org/10.1109/TVCG.2015.2467441" TargetMode="External"/><Relationship Id="rId811" Type="http://schemas.openxmlformats.org/officeDocument/2006/relationships/hyperlink" Target="http://dx.doi.org/10.1109/TVCG.2015.2467432" TargetMode="External"/><Relationship Id="rId810" Type="http://schemas.openxmlformats.org/officeDocument/2006/relationships/hyperlink" Target="http://dx.doi.org/10.1109/TVCG.2015.2467431" TargetMode="External"/><Relationship Id="rId815" Type="http://schemas.openxmlformats.org/officeDocument/2006/relationships/hyperlink" Target="http://dx.doi.org/10.1109/TVCG.2015.2467436" TargetMode="External"/><Relationship Id="rId814" Type="http://schemas.openxmlformats.org/officeDocument/2006/relationships/hyperlink" Target="http://dx.doi.org/10.1109/TVCG.2015.2467435" TargetMode="External"/><Relationship Id="rId813" Type="http://schemas.openxmlformats.org/officeDocument/2006/relationships/hyperlink" Target="http://dx.doi.org/10.1109/TVCG.2015.2467434" TargetMode="External"/><Relationship Id="rId812" Type="http://schemas.openxmlformats.org/officeDocument/2006/relationships/hyperlink" Target="http://dx.doi.org/10.1109/TVCG.2015.2467433" TargetMode="External"/><Relationship Id="rId609" Type="http://schemas.openxmlformats.org/officeDocument/2006/relationships/hyperlink" Target="http://dx.doi.org/10.1109/TVCG.2014.2346279" TargetMode="External"/><Relationship Id="rId608" Type="http://schemas.openxmlformats.org/officeDocument/2006/relationships/hyperlink" Target="http://dx.doi.org/10.1109/TVCG.2014.2346277" TargetMode="External"/><Relationship Id="rId607" Type="http://schemas.openxmlformats.org/officeDocument/2006/relationships/hyperlink" Target="http://dx.doi.org/10.1109/TVCG.2014.2346276" TargetMode="External"/><Relationship Id="rId849" Type="http://schemas.openxmlformats.org/officeDocument/2006/relationships/hyperlink" Target="http://dx.doi.org/10.1109/TVCG.2015.2467931" TargetMode="External"/><Relationship Id="rId602" Type="http://schemas.openxmlformats.org/officeDocument/2006/relationships/hyperlink" Target="http://dx.doi.org/10.1109/TVCG.2014.2346258" TargetMode="External"/><Relationship Id="rId844" Type="http://schemas.openxmlformats.org/officeDocument/2006/relationships/hyperlink" Target="http://dx.doi.org/10.1109/TVCG.2015.2467733" TargetMode="External"/><Relationship Id="rId601" Type="http://schemas.openxmlformats.org/officeDocument/2006/relationships/hyperlink" Target="http://dx.doi.org/10.1109/TVCG.2014.2346250" TargetMode="External"/><Relationship Id="rId843" Type="http://schemas.openxmlformats.org/officeDocument/2006/relationships/hyperlink" Target="http://dx.doi.org/10.1109/TVCG.2015.2467622" TargetMode="External"/><Relationship Id="rId600" Type="http://schemas.openxmlformats.org/officeDocument/2006/relationships/hyperlink" Target="http://dx.doi.org/10.1109/TVCG.2014.2346249" TargetMode="External"/><Relationship Id="rId842" Type="http://schemas.openxmlformats.org/officeDocument/2006/relationships/hyperlink" Target="http://dx.doi.org/10.1109/TVCG.2015.2467621" TargetMode="External"/><Relationship Id="rId841" Type="http://schemas.openxmlformats.org/officeDocument/2006/relationships/hyperlink" Target="http://dx.doi.org/10.1109/TVCG.2015.2467620" TargetMode="External"/><Relationship Id="rId606" Type="http://schemas.openxmlformats.org/officeDocument/2006/relationships/hyperlink" Target="http://dx.doi.org/10.1109/TVCG.2014.2346274" TargetMode="External"/><Relationship Id="rId848" Type="http://schemas.openxmlformats.org/officeDocument/2006/relationships/hyperlink" Target="http://dx.doi.org/10.1109/TVCG.2015.2467871" TargetMode="External"/><Relationship Id="rId605" Type="http://schemas.openxmlformats.org/officeDocument/2006/relationships/hyperlink" Target="http://dx.doi.org/10.1109/TVCG.2014.2346271" TargetMode="External"/><Relationship Id="rId847" Type="http://schemas.openxmlformats.org/officeDocument/2006/relationships/hyperlink" Target="http://dx.doi.org/10.1109/TVCG.2015.2467813" TargetMode="External"/><Relationship Id="rId604" Type="http://schemas.openxmlformats.org/officeDocument/2006/relationships/hyperlink" Target="http://dx.doi.org/10.1109/TVCG.2014.2346265" TargetMode="External"/><Relationship Id="rId846" Type="http://schemas.openxmlformats.org/officeDocument/2006/relationships/hyperlink" Target="http://dx.doi.org/10.1109/TVCG.2015.2467771" TargetMode="External"/><Relationship Id="rId603" Type="http://schemas.openxmlformats.org/officeDocument/2006/relationships/hyperlink" Target="http://dx.doi.org/10.1109/TVCG.2014.2346260" TargetMode="External"/><Relationship Id="rId845" Type="http://schemas.openxmlformats.org/officeDocument/2006/relationships/hyperlink" Target="http://dx.doi.org/10.1109/TVCG.2015.2467757" TargetMode="External"/><Relationship Id="rId840" Type="http://schemas.openxmlformats.org/officeDocument/2006/relationships/hyperlink" Target="http://dx.doi.org/10.1109/TVCG.2015.2467619" TargetMode="External"/><Relationship Id="rId839" Type="http://schemas.openxmlformats.org/officeDocument/2006/relationships/hyperlink" Target="http://dx.doi.org/10.1109/TVCG.2015.2467618" TargetMode="External"/><Relationship Id="rId838" Type="http://schemas.openxmlformats.org/officeDocument/2006/relationships/hyperlink" Target="http://dx.doi.org/10.1109/TVCG.2015.2467615" TargetMode="External"/><Relationship Id="rId833" Type="http://schemas.openxmlformats.org/officeDocument/2006/relationships/hyperlink" Target="http://dx.doi.org/10.1109/TVCG.2015.2467591" TargetMode="External"/><Relationship Id="rId832" Type="http://schemas.openxmlformats.org/officeDocument/2006/relationships/hyperlink" Target="http://dx.doi.org/10.1109/TVCG.2015.2467555" TargetMode="External"/><Relationship Id="rId831" Type="http://schemas.openxmlformats.org/officeDocument/2006/relationships/hyperlink" Target="http://dx.doi.org/10.1109/TVCG.2015.2467554" TargetMode="External"/><Relationship Id="rId830" Type="http://schemas.openxmlformats.org/officeDocument/2006/relationships/hyperlink" Target="http://dx.doi.org/10.1109/TVCG.2015.2467553" TargetMode="External"/><Relationship Id="rId837" Type="http://schemas.openxmlformats.org/officeDocument/2006/relationships/hyperlink" Target="http://dx.doi.org/10.1109/TVCG.2015.2467613" TargetMode="External"/><Relationship Id="rId836" Type="http://schemas.openxmlformats.org/officeDocument/2006/relationships/hyperlink" Target="http://dx.doi.org/10.1109/TVCG.2015.2467612" TargetMode="External"/><Relationship Id="rId835" Type="http://schemas.openxmlformats.org/officeDocument/2006/relationships/hyperlink" Target="http://dx.doi.org/10.1109/TVCG.2015.2467611" TargetMode="External"/><Relationship Id="rId834" Type="http://schemas.openxmlformats.org/officeDocument/2006/relationships/hyperlink" Target="http://dx.doi.org/10.1109/TVCG.2015.2467592" TargetMode="External"/><Relationship Id="rId1059" Type="http://schemas.openxmlformats.org/officeDocument/2006/relationships/hyperlink" Target="http://dx.doi.org/10.1109/TVCG.2017.2744159" TargetMode="External"/><Relationship Id="rId228" Type="http://schemas.openxmlformats.org/officeDocument/2006/relationships/hyperlink" Target="http://dx.doi.org/10.1109/VISUAL.1994.346285" TargetMode="External"/><Relationship Id="rId227" Type="http://schemas.openxmlformats.org/officeDocument/2006/relationships/hyperlink" Target="http://dx.doi.org/10.1109/VISUAL.1994.346284" TargetMode="External"/><Relationship Id="rId469" Type="http://schemas.openxmlformats.org/officeDocument/2006/relationships/hyperlink" Target="http://dx.doi.org/10.1109/INFVIS.1998.729561" TargetMode="External"/><Relationship Id="rId226" Type="http://schemas.openxmlformats.org/officeDocument/2006/relationships/hyperlink" Target="http://dx.doi.org/10.1109/VISUAL.1993.398911" TargetMode="External"/><Relationship Id="rId468" Type="http://schemas.openxmlformats.org/officeDocument/2006/relationships/hyperlink" Target="http://dx.doi.org/10.1109/INFVIS.1998.729560" TargetMode="External"/><Relationship Id="rId225" Type="http://schemas.openxmlformats.org/officeDocument/2006/relationships/hyperlink" Target="http://dx.doi.org/10.1109/VISUAL.1993.398904" TargetMode="External"/><Relationship Id="rId467" Type="http://schemas.openxmlformats.org/officeDocument/2006/relationships/hyperlink" Target="http://dx.doi.org/10.1109/INFVIS.1998.729559" TargetMode="External"/><Relationship Id="rId229" Type="http://schemas.openxmlformats.org/officeDocument/2006/relationships/hyperlink" Target="http://dx.doi.org/10.1109/VISUAL.1994.346286" TargetMode="External"/><Relationship Id="rId1050" Type="http://schemas.openxmlformats.org/officeDocument/2006/relationships/hyperlink" Target="http://dx.doi.org/10.1109/TVCG.2017.2743980" TargetMode="External"/><Relationship Id="rId220" Type="http://schemas.openxmlformats.org/officeDocument/2006/relationships/hyperlink" Target="http://dx.doi.org/10.1109/VISUAL.1993.398899" TargetMode="External"/><Relationship Id="rId462" Type="http://schemas.openxmlformats.org/officeDocument/2006/relationships/hyperlink" Target="http://dx.doi.org/10.1109/INFVIS.1998.729554" TargetMode="External"/><Relationship Id="rId1051" Type="http://schemas.openxmlformats.org/officeDocument/2006/relationships/hyperlink" Target="http://dx.doi.org/10.1109/TVCG.2017.2743981" TargetMode="External"/><Relationship Id="rId461" Type="http://schemas.openxmlformats.org/officeDocument/2006/relationships/hyperlink" Target="http://dx.doi.org/10.1109/INFVIS.1998.729553" TargetMode="External"/><Relationship Id="rId1052" Type="http://schemas.openxmlformats.org/officeDocument/2006/relationships/hyperlink" Target="http://dx.doi.org/10.1109/TVCG.2017.2743989" TargetMode="External"/><Relationship Id="rId460" Type="http://schemas.openxmlformats.org/officeDocument/2006/relationships/hyperlink" Target="http://dx.doi.org/10.1109/VISUAL.1997.663934" TargetMode="External"/><Relationship Id="rId1053" Type="http://schemas.openxmlformats.org/officeDocument/2006/relationships/hyperlink" Target="http://dx.doi.org/10.1109/TVCG.2017.2744038" TargetMode="External"/><Relationship Id="rId1054" Type="http://schemas.openxmlformats.org/officeDocument/2006/relationships/hyperlink" Target="http://dx.doi.org/10.1109/TVCG.2017.2744058" TargetMode="External"/><Relationship Id="rId224" Type="http://schemas.openxmlformats.org/officeDocument/2006/relationships/hyperlink" Target="http://dx.doi.org/10.1109/VISUAL.1993.398903" TargetMode="External"/><Relationship Id="rId466" Type="http://schemas.openxmlformats.org/officeDocument/2006/relationships/hyperlink" Target="http://dx.doi.org/10.1109/INFVIS.1998.729558" TargetMode="External"/><Relationship Id="rId1055" Type="http://schemas.openxmlformats.org/officeDocument/2006/relationships/hyperlink" Target="http://dx.doi.org/10.1109/TVCG.2017.2744059" TargetMode="External"/><Relationship Id="rId223" Type="http://schemas.openxmlformats.org/officeDocument/2006/relationships/hyperlink" Target="http://dx.doi.org/10.1109/VISUAL.1993.398902" TargetMode="External"/><Relationship Id="rId465" Type="http://schemas.openxmlformats.org/officeDocument/2006/relationships/hyperlink" Target="http://dx.doi.org/10.1109/INFVIS.1998.729557" TargetMode="External"/><Relationship Id="rId1056" Type="http://schemas.openxmlformats.org/officeDocument/2006/relationships/hyperlink" Target="http://dx.doi.org/10.1109/TVCG.2017.2744078" TargetMode="External"/><Relationship Id="rId222" Type="http://schemas.openxmlformats.org/officeDocument/2006/relationships/hyperlink" Target="http://dx.doi.org/10.1109/VISUAL.1993.398901" TargetMode="External"/><Relationship Id="rId464" Type="http://schemas.openxmlformats.org/officeDocument/2006/relationships/hyperlink" Target="http://dx.doi.org/10.1109/INFVIS.1998.729556" TargetMode="External"/><Relationship Id="rId1057" Type="http://schemas.openxmlformats.org/officeDocument/2006/relationships/hyperlink" Target="http://dx.doi.org/10.1109/TVCG.2017.2744079" TargetMode="External"/><Relationship Id="rId221" Type="http://schemas.openxmlformats.org/officeDocument/2006/relationships/hyperlink" Target="http://dx.doi.org/10.1109/VISUAL.1993.398900" TargetMode="External"/><Relationship Id="rId463" Type="http://schemas.openxmlformats.org/officeDocument/2006/relationships/hyperlink" Target="http://dx.doi.org/10.1109/INFVIS.1998.729555" TargetMode="External"/><Relationship Id="rId1058" Type="http://schemas.openxmlformats.org/officeDocument/2006/relationships/hyperlink" Target="http://dx.doi.org/10.1109/TVCG.2017.2744099" TargetMode="External"/><Relationship Id="rId1048" Type="http://schemas.openxmlformats.org/officeDocument/2006/relationships/hyperlink" Target="http://dx.doi.org/10.1109/TVCG.2017.2743978" TargetMode="External"/><Relationship Id="rId1049" Type="http://schemas.openxmlformats.org/officeDocument/2006/relationships/hyperlink" Target="http://dx.doi.org/10.1109/TVCG.2017.2743979" TargetMode="External"/><Relationship Id="rId217" Type="http://schemas.openxmlformats.org/officeDocument/2006/relationships/hyperlink" Target="http://dx.doi.org/10.1109/VISUAL.1993.398896" TargetMode="External"/><Relationship Id="rId459" Type="http://schemas.openxmlformats.org/officeDocument/2006/relationships/hyperlink" Target="http://dx.doi.org/10.1109/VISUAL.1997.663933" TargetMode="External"/><Relationship Id="rId216" Type="http://schemas.openxmlformats.org/officeDocument/2006/relationships/hyperlink" Target="http://dx.doi.org/10.1109/VISUAL.1993.398895" TargetMode="External"/><Relationship Id="rId458" Type="http://schemas.openxmlformats.org/officeDocument/2006/relationships/hyperlink" Target="http://dx.doi.org/10.1109/VISUAL.1997.663932" TargetMode="External"/><Relationship Id="rId215" Type="http://schemas.openxmlformats.org/officeDocument/2006/relationships/hyperlink" Target="http://dx.doi.org/10.1109/VISUAL.1993.398894" TargetMode="External"/><Relationship Id="rId457" Type="http://schemas.openxmlformats.org/officeDocument/2006/relationships/hyperlink" Target="http://dx.doi.org/10.1109/VISUAL.1997.663931" TargetMode="External"/><Relationship Id="rId699" Type="http://schemas.openxmlformats.org/officeDocument/2006/relationships/hyperlink" Target="http://dx.doi.org/10.1109/TVCG.2014.2346754" TargetMode="External"/><Relationship Id="rId214" Type="http://schemas.openxmlformats.org/officeDocument/2006/relationships/hyperlink" Target="http://dx.doi.org/10.1109/VISUAL.1993.398893" TargetMode="External"/><Relationship Id="rId456" Type="http://schemas.openxmlformats.org/officeDocument/2006/relationships/hyperlink" Target="http://dx.doi.org/10.1109/VISUAL.1997.663930" TargetMode="External"/><Relationship Id="rId698" Type="http://schemas.openxmlformats.org/officeDocument/2006/relationships/hyperlink" Target="http://dx.doi.org/10.1109/TVCG.2014.2346753" TargetMode="External"/><Relationship Id="rId219" Type="http://schemas.openxmlformats.org/officeDocument/2006/relationships/hyperlink" Target="http://dx.doi.org/10.1109/VISUAL.1993.398898" TargetMode="External"/><Relationship Id="rId218" Type="http://schemas.openxmlformats.org/officeDocument/2006/relationships/hyperlink" Target="http://dx.doi.org/10.1109/VISUAL.1993.398897" TargetMode="External"/><Relationship Id="rId451" Type="http://schemas.openxmlformats.org/officeDocument/2006/relationships/hyperlink" Target="http://dx.doi.org/10.1109/VISUAL.1997.663925" TargetMode="External"/><Relationship Id="rId693" Type="http://schemas.openxmlformats.org/officeDocument/2006/relationships/hyperlink" Target="http://dx.doi.org/10.1109/TVCG.2014.2346744" TargetMode="External"/><Relationship Id="rId1040" Type="http://schemas.openxmlformats.org/officeDocument/2006/relationships/hyperlink" Target="http://dx.doi.org/10.1109/TVCG.2017.2745878" TargetMode="External"/><Relationship Id="rId450" Type="http://schemas.openxmlformats.org/officeDocument/2006/relationships/hyperlink" Target="http://dx.doi.org/10.1109/VISUAL.1997.663924" TargetMode="External"/><Relationship Id="rId692" Type="http://schemas.openxmlformats.org/officeDocument/2006/relationships/hyperlink" Target="http://dx.doi.org/10.1109/TVCG.2014.2346743" TargetMode="External"/><Relationship Id="rId1041" Type="http://schemas.openxmlformats.org/officeDocument/2006/relationships/hyperlink" Target="http://dx.doi.org/10.1109/TVCG.2017.2745919" TargetMode="External"/><Relationship Id="rId691" Type="http://schemas.openxmlformats.org/officeDocument/2006/relationships/hyperlink" Target="http://dx.doi.org/10.1109/TVCG.2014.2346682" TargetMode="External"/><Relationship Id="rId1042" Type="http://schemas.openxmlformats.org/officeDocument/2006/relationships/hyperlink" Target="http://dx.doi.org/10.1109/TVCG.2017.2745941" TargetMode="External"/><Relationship Id="rId690" Type="http://schemas.openxmlformats.org/officeDocument/2006/relationships/hyperlink" Target="http://dx.doi.org/10.1109/TVCG.2014.2346677" TargetMode="External"/><Relationship Id="rId1043" Type="http://schemas.openxmlformats.org/officeDocument/2006/relationships/hyperlink" Target="http://dx.doi.org/10.1109/TVCG.2017.2745958" TargetMode="External"/><Relationship Id="rId213" Type="http://schemas.openxmlformats.org/officeDocument/2006/relationships/hyperlink" Target="http://dx.doi.org/10.1109/VISUAL.1993.398892" TargetMode="External"/><Relationship Id="rId455" Type="http://schemas.openxmlformats.org/officeDocument/2006/relationships/hyperlink" Target="http://dx.doi.org/10.1109/VISUAL.1997.663929" TargetMode="External"/><Relationship Id="rId697" Type="http://schemas.openxmlformats.org/officeDocument/2006/relationships/hyperlink" Target="http://dx.doi.org/10.1109/TVCG.2014.2346752" TargetMode="External"/><Relationship Id="rId1044" Type="http://schemas.openxmlformats.org/officeDocument/2006/relationships/hyperlink" Target="http://dx.doi.org/10.1109/TVCG.2017.2745978" TargetMode="External"/><Relationship Id="rId212" Type="http://schemas.openxmlformats.org/officeDocument/2006/relationships/hyperlink" Target="http://dx.doi.org/10.1109/VISUAL.1993.398885" TargetMode="External"/><Relationship Id="rId454" Type="http://schemas.openxmlformats.org/officeDocument/2006/relationships/hyperlink" Target="http://dx.doi.org/10.1109/VISUAL.1997.663928" TargetMode="External"/><Relationship Id="rId696" Type="http://schemas.openxmlformats.org/officeDocument/2006/relationships/hyperlink" Target="http://dx.doi.org/10.1109/TVCG.2014.2346751" TargetMode="External"/><Relationship Id="rId1045" Type="http://schemas.openxmlformats.org/officeDocument/2006/relationships/hyperlink" Target="http://dx.doi.org/10.1109/TVCG.2017.2746018" TargetMode="External"/><Relationship Id="rId211" Type="http://schemas.openxmlformats.org/officeDocument/2006/relationships/hyperlink" Target="http://dx.doi.org/10.1109/VISUAL.1993.398884" TargetMode="External"/><Relationship Id="rId453" Type="http://schemas.openxmlformats.org/officeDocument/2006/relationships/hyperlink" Target="http://dx.doi.org/10.1109/VISUAL.1997.663927" TargetMode="External"/><Relationship Id="rId695" Type="http://schemas.openxmlformats.org/officeDocument/2006/relationships/hyperlink" Target="http://dx.doi.org/10.1109/TVCG.2014.2346747" TargetMode="External"/><Relationship Id="rId1046" Type="http://schemas.openxmlformats.org/officeDocument/2006/relationships/hyperlink" Target="http://dx.doi.org/10.1109/TVCG.2017.2743938" TargetMode="External"/><Relationship Id="rId210" Type="http://schemas.openxmlformats.org/officeDocument/2006/relationships/hyperlink" Target="http://dx.doi.org/10.1109/VISUAL.1993.398883" TargetMode="External"/><Relationship Id="rId452" Type="http://schemas.openxmlformats.org/officeDocument/2006/relationships/hyperlink" Target="http://dx.doi.org/10.1109/VISUAL.1997.663926" TargetMode="External"/><Relationship Id="rId694" Type="http://schemas.openxmlformats.org/officeDocument/2006/relationships/hyperlink" Target="http://dx.doi.org/10.1109/TVCG.2014.2346746" TargetMode="External"/><Relationship Id="rId1047" Type="http://schemas.openxmlformats.org/officeDocument/2006/relationships/hyperlink" Target="http://dx.doi.org/10.1109/TVCG.2017.2743958" TargetMode="External"/><Relationship Id="rId491" Type="http://schemas.openxmlformats.org/officeDocument/2006/relationships/hyperlink" Target="http://dx.doi.org/10.1109/VISUAL.1998.745292" TargetMode="External"/><Relationship Id="rId490" Type="http://schemas.openxmlformats.org/officeDocument/2006/relationships/hyperlink" Target="http://dx.doi.org/10.1109/VISUAL.1998.745291" TargetMode="External"/><Relationship Id="rId249" Type="http://schemas.openxmlformats.org/officeDocument/2006/relationships/hyperlink" Target="http://dx.doi.org/10.1109/VISUAL.1994.346306" TargetMode="External"/><Relationship Id="rId248" Type="http://schemas.openxmlformats.org/officeDocument/2006/relationships/hyperlink" Target="http://dx.doi.org/10.1109/VISUAL.1994.346305" TargetMode="External"/><Relationship Id="rId247" Type="http://schemas.openxmlformats.org/officeDocument/2006/relationships/hyperlink" Target="http://dx.doi.org/10.1109/VISUAL.1994.346304" TargetMode="External"/><Relationship Id="rId489" Type="http://schemas.openxmlformats.org/officeDocument/2006/relationships/hyperlink" Target="http://dx.doi.org/10.1109/VISUAL.1998.745290" TargetMode="External"/><Relationship Id="rId1070" Type="http://schemas.openxmlformats.org/officeDocument/2006/relationships/hyperlink" Target="http://dx.doi.org/10.1109/TVCG.2017.2744080" TargetMode="External"/><Relationship Id="rId1071" Type="http://schemas.openxmlformats.org/officeDocument/2006/relationships/hyperlink" Target="http://dx.doi.org/10.1109/TVCG.2017.2744098" TargetMode="External"/><Relationship Id="rId1072" Type="http://schemas.openxmlformats.org/officeDocument/2006/relationships/hyperlink" Target="http://dx.doi.org/10.1109/TVCG.2017.2744322" TargetMode="External"/><Relationship Id="rId242" Type="http://schemas.openxmlformats.org/officeDocument/2006/relationships/hyperlink" Target="http://dx.doi.org/10.1109/VISUAL.1994.346299" TargetMode="External"/><Relationship Id="rId484" Type="http://schemas.openxmlformats.org/officeDocument/2006/relationships/hyperlink" Target="http://dx.doi.org/10.1109/VISUAL.1998.745285" TargetMode="External"/><Relationship Id="rId1073" Type="http://schemas.openxmlformats.org/officeDocument/2006/relationships/hyperlink" Target="http://dx.doi.org/10.1109/TVCG.2017.2744358" TargetMode="External"/><Relationship Id="rId241" Type="http://schemas.openxmlformats.org/officeDocument/2006/relationships/hyperlink" Target="http://dx.doi.org/10.1109/VISUAL.1994.346298" TargetMode="External"/><Relationship Id="rId483" Type="http://schemas.openxmlformats.org/officeDocument/2006/relationships/hyperlink" Target="http://dx.doi.org/10.1109/VISUAL.1998.745284" TargetMode="External"/><Relationship Id="rId1074" Type="http://schemas.openxmlformats.org/officeDocument/2006/relationships/hyperlink" Target="http://dx.doi.org/10.1109/TVCG.2017.2744378" TargetMode="External"/><Relationship Id="rId240" Type="http://schemas.openxmlformats.org/officeDocument/2006/relationships/hyperlink" Target="http://dx.doi.org/10.1109/VISUAL.1994.346297" TargetMode="External"/><Relationship Id="rId482" Type="http://schemas.openxmlformats.org/officeDocument/2006/relationships/hyperlink" Target="http://dx.doi.org/10.1109/VISUAL.1998.745283" TargetMode="External"/><Relationship Id="rId1075" Type="http://schemas.openxmlformats.org/officeDocument/2006/relationships/hyperlink" Target="http://dx.doi.org/10.1109/TVCG.2017.2744418" TargetMode="External"/><Relationship Id="rId481" Type="http://schemas.openxmlformats.org/officeDocument/2006/relationships/hyperlink" Target="http://dx.doi.org/10.1109/VISUAL.1998.745282" TargetMode="External"/><Relationship Id="rId1076" Type="http://schemas.openxmlformats.org/officeDocument/2006/relationships/hyperlink" Target="http://dx.doi.org/10.1109/TVCG.2017.2744419" TargetMode="External"/><Relationship Id="rId246" Type="http://schemas.openxmlformats.org/officeDocument/2006/relationships/hyperlink" Target="http://dx.doi.org/10.1109/VISUAL.1994.346303" TargetMode="External"/><Relationship Id="rId488" Type="http://schemas.openxmlformats.org/officeDocument/2006/relationships/hyperlink" Target="http://dx.doi.org/10.1109/VISUAL.1998.745289" TargetMode="External"/><Relationship Id="rId1077" Type="http://schemas.openxmlformats.org/officeDocument/2006/relationships/hyperlink" Target="http://dx.doi.org/10.1109/TVCG.2017.2744458" TargetMode="External"/><Relationship Id="rId245" Type="http://schemas.openxmlformats.org/officeDocument/2006/relationships/hyperlink" Target="http://dx.doi.org/10.1109/VISUAL.1994.346302" TargetMode="External"/><Relationship Id="rId487" Type="http://schemas.openxmlformats.org/officeDocument/2006/relationships/hyperlink" Target="http://dx.doi.org/10.1109/VISUAL.1998.745288" TargetMode="External"/><Relationship Id="rId1078" Type="http://schemas.openxmlformats.org/officeDocument/2006/relationships/hyperlink" Target="http://dx.doi.org/10.1109/TVCG.2017.2744478" TargetMode="External"/><Relationship Id="rId244" Type="http://schemas.openxmlformats.org/officeDocument/2006/relationships/hyperlink" Target="http://dx.doi.org/10.1109/VISUAL.1994.346301" TargetMode="External"/><Relationship Id="rId486" Type="http://schemas.openxmlformats.org/officeDocument/2006/relationships/hyperlink" Target="http://dx.doi.org/10.1109/VISUAL.1998.745287" TargetMode="External"/><Relationship Id="rId1079" Type="http://schemas.openxmlformats.org/officeDocument/2006/relationships/hyperlink" Target="http://dx.doi.org/10.1109/TVCG.2017.2744683" TargetMode="External"/><Relationship Id="rId243" Type="http://schemas.openxmlformats.org/officeDocument/2006/relationships/hyperlink" Target="http://dx.doi.org/10.1109/VISUAL.1994.346300" TargetMode="External"/><Relationship Id="rId485" Type="http://schemas.openxmlformats.org/officeDocument/2006/relationships/hyperlink" Target="http://dx.doi.org/10.1109/VISUAL.1998.745286" TargetMode="External"/><Relationship Id="rId480" Type="http://schemas.openxmlformats.org/officeDocument/2006/relationships/hyperlink" Target="http://dx.doi.org/10.1109/VISUAL.1998.745281" TargetMode="External"/><Relationship Id="rId239" Type="http://schemas.openxmlformats.org/officeDocument/2006/relationships/hyperlink" Target="http://dx.doi.org/10.1109/VISUAL.1994.346296" TargetMode="External"/><Relationship Id="rId238" Type="http://schemas.openxmlformats.org/officeDocument/2006/relationships/hyperlink" Target="http://dx.doi.org/10.1109/VISUAL.1994.346295" TargetMode="External"/><Relationship Id="rId237" Type="http://schemas.openxmlformats.org/officeDocument/2006/relationships/hyperlink" Target="http://dx.doi.org/10.1109/VISUAL.1994.346294" TargetMode="External"/><Relationship Id="rId479" Type="http://schemas.openxmlformats.org/officeDocument/2006/relationships/hyperlink" Target="http://dx.doi.org/10.1109/VISUAL.1998.745280" TargetMode="External"/><Relationship Id="rId236" Type="http://schemas.openxmlformats.org/officeDocument/2006/relationships/hyperlink" Target="http://dx.doi.org/10.1109/VISUAL.1994.346293" TargetMode="External"/><Relationship Id="rId478" Type="http://schemas.openxmlformats.org/officeDocument/2006/relationships/hyperlink" Target="http://dx.doi.org/10.1109/INFVIS.1998.729570" TargetMode="External"/><Relationship Id="rId1060" Type="http://schemas.openxmlformats.org/officeDocument/2006/relationships/hyperlink" Target="http://dx.doi.org/10.1109/TVCG.2017.2744238" TargetMode="External"/><Relationship Id="rId1061" Type="http://schemas.openxmlformats.org/officeDocument/2006/relationships/hyperlink" Target="http://dx.doi.org/10.1109/TVCG.2017.2744258" TargetMode="External"/><Relationship Id="rId231" Type="http://schemas.openxmlformats.org/officeDocument/2006/relationships/hyperlink" Target="http://dx.doi.org/10.1109/VISUAL.1994.346288" TargetMode="External"/><Relationship Id="rId473" Type="http://schemas.openxmlformats.org/officeDocument/2006/relationships/hyperlink" Target="http://dx.doi.org/10.1109/INFVIS.1998.729565" TargetMode="External"/><Relationship Id="rId1062" Type="http://schemas.openxmlformats.org/officeDocument/2006/relationships/hyperlink" Target="http://dx.doi.org/10.1109/TVCG.2017.2744278" TargetMode="External"/><Relationship Id="rId230" Type="http://schemas.openxmlformats.org/officeDocument/2006/relationships/hyperlink" Target="http://dx.doi.org/10.1109/VISUAL.1994.346287" TargetMode="External"/><Relationship Id="rId472" Type="http://schemas.openxmlformats.org/officeDocument/2006/relationships/hyperlink" Target="http://dx.doi.org/10.1109/INFVIS.1998.729564" TargetMode="External"/><Relationship Id="rId1063" Type="http://schemas.openxmlformats.org/officeDocument/2006/relationships/hyperlink" Target="http://dx.doi.org/10.1109/TVCG.2017.2744299" TargetMode="External"/><Relationship Id="rId471" Type="http://schemas.openxmlformats.org/officeDocument/2006/relationships/hyperlink" Target="http://dx.doi.org/10.1109/INFVIS.1998.729563" TargetMode="External"/><Relationship Id="rId1064" Type="http://schemas.openxmlformats.org/officeDocument/2006/relationships/hyperlink" Target="http://dx.doi.org/10.1109/TVCG.2017.2744321" TargetMode="External"/><Relationship Id="rId470" Type="http://schemas.openxmlformats.org/officeDocument/2006/relationships/hyperlink" Target="http://dx.doi.org/10.1109/INFVIS.1998.729562" TargetMode="External"/><Relationship Id="rId1065" Type="http://schemas.openxmlformats.org/officeDocument/2006/relationships/hyperlink" Target="http://dx.doi.org/10.1109/TVCG.2017.2744438" TargetMode="External"/><Relationship Id="rId235" Type="http://schemas.openxmlformats.org/officeDocument/2006/relationships/hyperlink" Target="http://dx.doi.org/10.1109/VISUAL.1994.346292" TargetMode="External"/><Relationship Id="rId477" Type="http://schemas.openxmlformats.org/officeDocument/2006/relationships/hyperlink" Target="http://dx.doi.org/10.1109/INFVIS.1998.729569" TargetMode="External"/><Relationship Id="rId1066" Type="http://schemas.openxmlformats.org/officeDocument/2006/relationships/hyperlink" Target="http://dx.doi.org/10.1109/TVCG.2017.2744459" TargetMode="External"/><Relationship Id="rId234" Type="http://schemas.openxmlformats.org/officeDocument/2006/relationships/hyperlink" Target="http://dx.doi.org/10.1109/VISUAL.1994.346291" TargetMode="External"/><Relationship Id="rId476" Type="http://schemas.openxmlformats.org/officeDocument/2006/relationships/hyperlink" Target="http://dx.doi.org/10.1109/INFVIS.1998.729568" TargetMode="External"/><Relationship Id="rId1067" Type="http://schemas.openxmlformats.org/officeDocument/2006/relationships/hyperlink" Target="http://dx.doi.org/10.1109/TVCG.2017.2744479" TargetMode="External"/><Relationship Id="rId233" Type="http://schemas.openxmlformats.org/officeDocument/2006/relationships/hyperlink" Target="http://dx.doi.org/10.1109/VISUAL.1994.346290" TargetMode="External"/><Relationship Id="rId475" Type="http://schemas.openxmlformats.org/officeDocument/2006/relationships/hyperlink" Target="http://dx.doi.org/10.1109/INFVIS.1998.729567" TargetMode="External"/><Relationship Id="rId1068" Type="http://schemas.openxmlformats.org/officeDocument/2006/relationships/hyperlink" Target="http://dx.doi.org/10.1109/TVCG.2017.2744518" TargetMode="External"/><Relationship Id="rId232" Type="http://schemas.openxmlformats.org/officeDocument/2006/relationships/hyperlink" Target="http://dx.doi.org/10.1109/VISUAL.1994.346289" TargetMode="External"/><Relationship Id="rId474" Type="http://schemas.openxmlformats.org/officeDocument/2006/relationships/hyperlink" Target="http://dx.doi.org/10.1109/INFVIS.1998.729566" TargetMode="External"/><Relationship Id="rId1069" Type="http://schemas.openxmlformats.org/officeDocument/2006/relationships/hyperlink" Target="http://dx.doi.org/10.1109/TVCG.2017.2743990" TargetMode="External"/><Relationship Id="rId1015" Type="http://schemas.openxmlformats.org/officeDocument/2006/relationships/hyperlink" Target="http://dx.doi.org/10.1109/TVCG.2017.2744019" TargetMode="External"/><Relationship Id="rId1016" Type="http://schemas.openxmlformats.org/officeDocument/2006/relationships/hyperlink" Target="http://dx.doi.org/10.1109/TVCG.2017.2744118" TargetMode="External"/><Relationship Id="rId1017" Type="http://schemas.openxmlformats.org/officeDocument/2006/relationships/hyperlink" Target="http://dx.doi.org/10.1109/TVCG.2017.2744138" TargetMode="External"/><Relationship Id="rId1018" Type="http://schemas.openxmlformats.org/officeDocument/2006/relationships/hyperlink" Target="http://dx.doi.org/10.1109/TVCG.2017.2744158" TargetMode="External"/><Relationship Id="rId1019" Type="http://schemas.openxmlformats.org/officeDocument/2006/relationships/hyperlink" Target="http://dx.doi.org/10.1109/TVCG.2017.2744184" TargetMode="External"/><Relationship Id="rId426" Type="http://schemas.openxmlformats.org/officeDocument/2006/relationships/hyperlink" Target="http://dx.doi.org/10.1109/VISUAL.1997.663900" TargetMode="External"/><Relationship Id="rId668" Type="http://schemas.openxmlformats.org/officeDocument/2006/relationships/hyperlink" Target="http://dx.doi.org/10.1109/TVCG.2014.2346446" TargetMode="External"/><Relationship Id="rId425" Type="http://schemas.openxmlformats.org/officeDocument/2006/relationships/hyperlink" Target="http://dx.doi.org/10.1109/VISUAL.1997.663899" TargetMode="External"/><Relationship Id="rId667" Type="http://schemas.openxmlformats.org/officeDocument/2006/relationships/hyperlink" Target="http://dx.doi.org/10.1109/TVCG.2014.2346442" TargetMode="External"/><Relationship Id="rId424" Type="http://schemas.openxmlformats.org/officeDocument/2006/relationships/hyperlink" Target="http://dx.doi.org/10.1109/VISUAL.1997.663898" TargetMode="External"/><Relationship Id="rId666" Type="http://schemas.openxmlformats.org/officeDocument/2006/relationships/hyperlink" Target="http://dx.doi.org/10.1109/TVCG.2014.2346434" TargetMode="External"/><Relationship Id="rId423" Type="http://schemas.openxmlformats.org/officeDocument/2006/relationships/hyperlink" Target="http://dx.doi.org/10.1109/VISUAL.1997.663897" TargetMode="External"/><Relationship Id="rId665" Type="http://schemas.openxmlformats.org/officeDocument/2006/relationships/hyperlink" Target="http://dx.doi.org/10.1109/TVCG.2014.2346432" TargetMode="External"/><Relationship Id="rId429" Type="http://schemas.openxmlformats.org/officeDocument/2006/relationships/hyperlink" Target="http://dx.doi.org/10.1109/VISUAL.1997.663903" TargetMode="External"/><Relationship Id="rId428" Type="http://schemas.openxmlformats.org/officeDocument/2006/relationships/hyperlink" Target="http://dx.doi.org/10.1109/VISUAL.1997.663902" TargetMode="External"/><Relationship Id="rId427" Type="http://schemas.openxmlformats.org/officeDocument/2006/relationships/hyperlink" Target="http://dx.doi.org/10.1109/VISUAL.1997.663901" TargetMode="External"/><Relationship Id="rId669" Type="http://schemas.openxmlformats.org/officeDocument/2006/relationships/hyperlink" Target="http://dx.doi.org/10.1109/TVCG.2014.2346447" TargetMode="External"/><Relationship Id="rId660" Type="http://schemas.openxmlformats.org/officeDocument/2006/relationships/hyperlink" Target="http://dx.doi.org/10.1109/TVCG.2014.2346415" TargetMode="External"/><Relationship Id="rId1010" Type="http://schemas.openxmlformats.org/officeDocument/2006/relationships/hyperlink" Target="http://dx.doi.org/10.1109/TVCG.2017.2743918" TargetMode="External"/><Relationship Id="rId422" Type="http://schemas.openxmlformats.org/officeDocument/2006/relationships/hyperlink" Target="http://dx.doi.org/10.1109/VISUAL.1997.663896" TargetMode="External"/><Relationship Id="rId664" Type="http://schemas.openxmlformats.org/officeDocument/2006/relationships/hyperlink" Target="http://dx.doi.org/10.1109/TVCG.2014.2346425" TargetMode="External"/><Relationship Id="rId1011" Type="http://schemas.openxmlformats.org/officeDocument/2006/relationships/hyperlink" Target="http://dx.doi.org/10.1109/TVCG.2017.2743939" TargetMode="External"/><Relationship Id="rId421" Type="http://schemas.openxmlformats.org/officeDocument/2006/relationships/hyperlink" Target="http://dx.doi.org/10.1109/VISUAL.1997.663895" TargetMode="External"/><Relationship Id="rId663" Type="http://schemas.openxmlformats.org/officeDocument/2006/relationships/hyperlink" Target="http://dx.doi.org/10.1109/TVCG.2014.2346423" TargetMode="External"/><Relationship Id="rId1012" Type="http://schemas.openxmlformats.org/officeDocument/2006/relationships/hyperlink" Target="http://dx.doi.org/10.1109/TVCG.2017.2743959" TargetMode="External"/><Relationship Id="rId420" Type="http://schemas.openxmlformats.org/officeDocument/2006/relationships/hyperlink" Target="http://dx.doi.org/10.1109/VISUAL.1997.663894" TargetMode="External"/><Relationship Id="rId662" Type="http://schemas.openxmlformats.org/officeDocument/2006/relationships/hyperlink" Target="http://dx.doi.org/10.1109/TVCG.2014.2346418" TargetMode="External"/><Relationship Id="rId1013" Type="http://schemas.openxmlformats.org/officeDocument/2006/relationships/hyperlink" Target="http://dx.doi.org/10.1109/TVCG.2017.2743998" TargetMode="External"/><Relationship Id="rId661" Type="http://schemas.openxmlformats.org/officeDocument/2006/relationships/hyperlink" Target="http://dx.doi.org/10.1109/TVCG.2014.2346416" TargetMode="External"/><Relationship Id="rId1014" Type="http://schemas.openxmlformats.org/officeDocument/2006/relationships/hyperlink" Target="http://dx.doi.org/10.1109/TVCG.2017.2744018" TargetMode="External"/><Relationship Id="rId1004" Type="http://schemas.openxmlformats.org/officeDocument/2006/relationships/hyperlink" Target="http://dx.doi.org/10.1109/VAST.2016.7883518" TargetMode="External"/><Relationship Id="rId1005" Type="http://schemas.openxmlformats.org/officeDocument/2006/relationships/hyperlink" Target="http://dx.doi.org/10.1109/VAST.2016.7883519" TargetMode="External"/><Relationship Id="rId1006" Type="http://schemas.openxmlformats.org/officeDocument/2006/relationships/hyperlink" Target="http://dx.doi.org/10.1109/VAST.2016.7883520" TargetMode="External"/><Relationship Id="rId1007" Type="http://schemas.openxmlformats.org/officeDocument/2006/relationships/hyperlink" Target="http://dx.doi.org/10.1109/TVCG.2017.2743858" TargetMode="External"/><Relationship Id="rId1008" Type="http://schemas.openxmlformats.org/officeDocument/2006/relationships/hyperlink" Target="http://dx.doi.org/10.1109/TVCG.2017.2743859" TargetMode="External"/><Relationship Id="rId1009" Type="http://schemas.openxmlformats.org/officeDocument/2006/relationships/hyperlink" Target="http://dx.doi.org/10.1109/TVCG.2017.2743898" TargetMode="External"/><Relationship Id="rId415" Type="http://schemas.openxmlformats.org/officeDocument/2006/relationships/hyperlink" Target="http://dx.doi.org/10.1109/VISUAL.1997.663889" TargetMode="External"/><Relationship Id="rId657" Type="http://schemas.openxmlformats.org/officeDocument/2006/relationships/hyperlink" Target="http://dx.doi.org/10.1109/TVCG.2014.2346406" TargetMode="External"/><Relationship Id="rId899" Type="http://schemas.openxmlformats.org/officeDocument/2006/relationships/hyperlink" Target="http://dx.doi.org/10.1109/TVCG.2016.2598588" TargetMode="External"/><Relationship Id="rId414" Type="http://schemas.openxmlformats.org/officeDocument/2006/relationships/hyperlink" Target="http://dx.doi.org/10.1109/VISUAL.1997.663888" TargetMode="External"/><Relationship Id="rId656" Type="http://schemas.openxmlformats.org/officeDocument/2006/relationships/hyperlink" Target="http://dx.doi.org/10.1109/TVCG.2014.2346405" TargetMode="External"/><Relationship Id="rId898" Type="http://schemas.openxmlformats.org/officeDocument/2006/relationships/hyperlink" Target="http://dx.doi.org/10.1109/TVCG.2016.2598587" TargetMode="External"/><Relationship Id="rId413" Type="http://schemas.openxmlformats.org/officeDocument/2006/relationships/hyperlink" Target="http://dx.doi.org/10.1109/VISUAL.1997.663887" TargetMode="External"/><Relationship Id="rId655" Type="http://schemas.openxmlformats.org/officeDocument/2006/relationships/hyperlink" Target="http://dx.doi.org/10.1109/TVCG.2014.2346404" TargetMode="External"/><Relationship Id="rId897" Type="http://schemas.openxmlformats.org/officeDocument/2006/relationships/hyperlink" Target="http://dx.doi.org/10.1109/TVCG.2016.2598586" TargetMode="External"/><Relationship Id="rId412" Type="http://schemas.openxmlformats.org/officeDocument/2006/relationships/hyperlink" Target="http://dx.doi.org/10.1109/VISUAL.1997.663886" TargetMode="External"/><Relationship Id="rId654" Type="http://schemas.openxmlformats.org/officeDocument/2006/relationships/hyperlink" Target="http://dx.doi.org/10.1109/TVCG.2014.2346403" TargetMode="External"/><Relationship Id="rId896" Type="http://schemas.openxmlformats.org/officeDocument/2006/relationships/hyperlink" Target="http://dx.doi.org/10.1109/TVCG.2016.2598542" TargetMode="External"/><Relationship Id="rId419" Type="http://schemas.openxmlformats.org/officeDocument/2006/relationships/hyperlink" Target="http://dx.doi.org/10.1109/VISUAL.1997.663893" TargetMode="External"/><Relationship Id="rId418" Type="http://schemas.openxmlformats.org/officeDocument/2006/relationships/hyperlink" Target="http://dx.doi.org/10.1109/VISUAL.1997.663892" TargetMode="External"/><Relationship Id="rId417" Type="http://schemas.openxmlformats.org/officeDocument/2006/relationships/hyperlink" Target="http://dx.doi.org/10.1109/VISUAL.1997.663891" TargetMode="External"/><Relationship Id="rId659" Type="http://schemas.openxmlformats.org/officeDocument/2006/relationships/hyperlink" Target="http://dx.doi.org/10.1109/TVCG.2014.2346412" TargetMode="External"/><Relationship Id="rId416" Type="http://schemas.openxmlformats.org/officeDocument/2006/relationships/hyperlink" Target="http://dx.doi.org/10.1109/VISUAL.1997.663890" TargetMode="External"/><Relationship Id="rId658" Type="http://schemas.openxmlformats.org/officeDocument/2006/relationships/hyperlink" Target="http://dx.doi.org/10.1109/TVCG.2014.2346411" TargetMode="External"/><Relationship Id="rId891" Type="http://schemas.openxmlformats.org/officeDocument/2006/relationships/hyperlink" Target="http://dx.doi.org/10.1109/VAST.2015.7347689" TargetMode="External"/><Relationship Id="rId890" Type="http://schemas.openxmlformats.org/officeDocument/2006/relationships/hyperlink" Target="http://dx.doi.org/10.1109/VAST.2015.7347688" TargetMode="External"/><Relationship Id="rId1240" Type="http://schemas.openxmlformats.org/officeDocument/2006/relationships/hyperlink" Target="http://dx.doi.org/10.1109/TVCG.2018.2865051" TargetMode="External"/><Relationship Id="rId1241" Type="http://schemas.openxmlformats.org/officeDocument/2006/relationships/drawing" Target="../drawings/drawing1.xml"/><Relationship Id="rId411" Type="http://schemas.openxmlformats.org/officeDocument/2006/relationships/hyperlink" Target="http://dx.doi.org/10.1109/VISUAL.1997.663885" TargetMode="External"/><Relationship Id="rId653" Type="http://schemas.openxmlformats.org/officeDocument/2006/relationships/hyperlink" Target="http://dx.doi.org/10.1109/TVCG.2014.2346371" TargetMode="External"/><Relationship Id="rId895" Type="http://schemas.openxmlformats.org/officeDocument/2006/relationships/hyperlink" Target="http://dx.doi.org/10.1109/TVCG.2016.2598541" TargetMode="External"/><Relationship Id="rId1000" Type="http://schemas.openxmlformats.org/officeDocument/2006/relationships/hyperlink" Target="http://dx.doi.org/10.1109/VAST.2016.7883514" TargetMode="External"/><Relationship Id="rId1242" Type="http://schemas.openxmlformats.org/officeDocument/2006/relationships/vmlDrawing" Target="../drawings/vmlDrawing1.vml"/><Relationship Id="rId410" Type="http://schemas.openxmlformats.org/officeDocument/2006/relationships/hyperlink" Target="http://dx.doi.org/10.1109/VISUAL.1997.663883" TargetMode="External"/><Relationship Id="rId652" Type="http://schemas.openxmlformats.org/officeDocument/2006/relationships/hyperlink" Target="http://dx.doi.org/10.1109/TVCG.2014.2346352" TargetMode="External"/><Relationship Id="rId894" Type="http://schemas.openxmlformats.org/officeDocument/2006/relationships/hyperlink" Target="http://dx.doi.org/10.1109/TVCG.2016.2598518" TargetMode="External"/><Relationship Id="rId1001" Type="http://schemas.openxmlformats.org/officeDocument/2006/relationships/hyperlink" Target="http://dx.doi.org/10.1109/VAST.2016.7883515" TargetMode="External"/><Relationship Id="rId651" Type="http://schemas.openxmlformats.org/officeDocument/2006/relationships/hyperlink" Target="http://dx.doi.org/10.1109/TVCG.2014.2346351" TargetMode="External"/><Relationship Id="rId893" Type="http://schemas.openxmlformats.org/officeDocument/2006/relationships/hyperlink" Target="http://dx.doi.org/10.1109/TVCG.2016.2598498" TargetMode="External"/><Relationship Id="rId1002" Type="http://schemas.openxmlformats.org/officeDocument/2006/relationships/hyperlink" Target="http://dx.doi.org/10.1109/VAST.2016.7883516" TargetMode="External"/><Relationship Id="rId650" Type="http://schemas.openxmlformats.org/officeDocument/2006/relationships/hyperlink" Target="http://dx.doi.org/10.1109/TVCG.2014.2346333" TargetMode="External"/><Relationship Id="rId892" Type="http://schemas.openxmlformats.org/officeDocument/2006/relationships/hyperlink" Target="http://dx.doi.org/10.1109/TVCG.2016.2598496" TargetMode="External"/><Relationship Id="rId1003" Type="http://schemas.openxmlformats.org/officeDocument/2006/relationships/hyperlink" Target="http://dx.doi.org/10.1109/VAST.2016.7883517" TargetMode="External"/><Relationship Id="rId1037" Type="http://schemas.openxmlformats.org/officeDocument/2006/relationships/hyperlink" Target="http://dx.doi.org/10.1109/TVCG.2017.2745278" TargetMode="External"/><Relationship Id="rId1038" Type="http://schemas.openxmlformats.org/officeDocument/2006/relationships/hyperlink" Target="http://dx.doi.org/10.1109/TVCG.2017.2745298" TargetMode="External"/><Relationship Id="rId1039" Type="http://schemas.openxmlformats.org/officeDocument/2006/relationships/hyperlink" Target="http://dx.doi.org/10.1109/TVCG.2017.2745859" TargetMode="External"/><Relationship Id="rId206" Type="http://schemas.openxmlformats.org/officeDocument/2006/relationships/hyperlink" Target="http://dx.doi.org/10.1109/VISUAL.1993.398879" TargetMode="External"/><Relationship Id="rId448" Type="http://schemas.openxmlformats.org/officeDocument/2006/relationships/hyperlink" Target="http://dx.doi.org/10.1109/VISUAL.1997.663922" TargetMode="External"/><Relationship Id="rId205" Type="http://schemas.openxmlformats.org/officeDocument/2006/relationships/hyperlink" Target="http://dx.doi.org/10.1109/VISUAL.1993.398878" TargetMode="External"/><Relationship Id="rId447" Type="http://schemas.openxmlformats.org/officeDocument/2006/relationships/hyperlink" Target="http://dx.doi.org/10.1109/VISUAL.1997.663921" TargetMode="External"/><Relationship Id="rId689" Type="http://schemas.openxmlformats.org/officeDocument/2006/relationships/hyperlink" Target="http://dx.doi.org/10.1109/TVCG.2014.2346665" TargetMode="External"/><Relationship Id="rId204" Type="http://schemas.openxmlformats.org/officeDocument/2006/relationships/hyperlink" Target="http://dx.doi.org/10.1109/VISUAL.1993.398877" TargetMode="External"/><Relationship Id="rId446" Type="http://schemas.openxmlformats.org/officeDocument/2006/relationships/hyperlink" Target="http://dx.doi.org/10.1109/VISUAL.1997.663920" TargetMode="External"/><Relationship Id="rId688" Type="http://schemas.openxmlformats.org/officeDocument/2006/relationships/hyperlink" Target="http://dx.doi.org/10.1109/TVCG.2014.2346660" TargetMode="External"/><Relationship Id="rId203" Type="http://schemas.openxmlformats.org/officeDocument/2006/relationships/hyperlink" Target="http://dx.doi.org/10.1109/VISUAL.1993.398876" TargetMode="External"/><Relationship Id="rId445" Type="http://schemas.openxmlformats.org/officeDocument/2006/relationships/hyperlink" Target="http://dx.doi.org/10.1109/VISUAL.1997.663919" TargetMode="External"/><Relationship Id="rId687" Type="http://schemas.openxmlformats.org/officeDocument/2006/relationships/hyperlink" Target="http://dx.doi.org/10.1109/TVCG.2014.2346626" TargetMode="External"/><Relationship Id="rId209" Type="http://schemas.openxmlformats.org/officeDocument/2006/relationships/hyperlink" Target="http://dx.doi.org/10.1109/VISUAL.1993.398882" TargetMode="External"/><Relationship Id="rId208" Type="http://schemas.openxmlformats.org/officeDocument/2006/relationships/hyperlink" Target="http://dx.doi.org/10.1109/VISUAL.1993.398881" TargetMode="External"/><Relationship Id="rId207" Type="http://schemas.openxmlformats.org/officeDocument/2006/relationships/hyperlink" Target="http://dx.doi.org/10.1109/VISUAL.1993.398880" TargetMode="External"/><Relationship Id="rId449" Type="http://schemas.openxmlformats.org/officeDocument/2006/relationships/hyperlink" Target="http://dx.doi.org/10.1109/VISUAL.1997.663923" TargetMode="External"/><Relationship Id="rId440" Type="http://schemas.openxmlformats.org/officeDocument/2006/relationships/hyperlink" Target="http://dx.doi.org/10.1109/VISUAL.1997.663914" TargetMode="External"/><Relationship Id="rId682" Type="http://schemas.openxmlformats.org/officeDocument/2006/relationships/hyperlink" Target="http://dx.doi.org/10.1109/TVCG.2014.2346574" TargetMode="External"/><Relationship Id="rId681" Type="http://schemas.openxmlformats.org/officeDocument/2006/relationships/hyperlink" Target="http://dx.doi.org/10.1109/TVCG.2014.2346573" TargetMode="External"/><Relationship Id="rId1030" Type="http://schemas.openxmlformats.org/officeDocument/2006/relationships/hyperlink" Target="http://dx.doi.org/10.1109/TVCG.2017.2745086" TargetMode="External"/><Relationship Id="rId680" Type="http://schemas.openxmlformats.org/officeDocument/2006/relationships/hyperlink" Target="http://dx.doi.org/10.1109/TVCG.2014.2346572" TargetMode="External"/><Relationship Id="rId1031" Type="http://schemas.openxmlformats.org/officeDocument/2006/relationships/hyperlink" Target="http://dx.doi.org/10.1109/TVCG.2017.2745105" TargetMode="External"/><Relationship Id="rId1032" Type="http://schemas.openxmlformats.org/officeDocument/2006/relationships/hyperlink" Target="http://dx.doi.org/10.1109/TVCG.2017.2745138" TargetMode="External"/><Relationship Id="rId202" Type="http://schemas.openxmlformats.org/officeDocument/2006/relationships/hyperlink" Target="http://dx.doi.org/10.1109/VISUAL.1993.398875" TargetMode="External"/><Relationship Id="rId444" Type="http://schemas.openxmlformats.org/officeDocument/2006/relationships/hyperlink" Target="http://dx.doi.org/10.1109/VISUAL.1997.663918" TargetMode="External"/><Relationship Id="rId686" Type="http://schemas.openxmlformats.org/officeDocument/2006/relationships/hyperlink" Target="http://dx.doi.org/10.1109/TVCG.2014.2346594" TargetMode="External"/><Relationship Id="rId1033" Type="http://schemas.openxmlformats.org/officeDocument/2006/relationships/hyperlink" Target="http://dx.doi.org/10.1109/TVCG.2017.2745140" TargetMode="External"/><Relationship Id="rId201" Type="http://schemas.openxmlformats.org/officeDocument/2006/relationships/hyperlink" Target="http://dx.doi.org/10.1109/VISUAL.1993.398874" TargetMode="External"/><Relationship Id="rId443" Type="http://schemas.openxmlformats.org/officeDocument/2006/relationships/hyperlink" Target="http://dx.doi.org/10.1109/VISUAL.1997.663917" TargetMode="External"/><Relationship Id="rId685" Type="http://schemas.openxmlformats.org/officeDocument/2006/relationships/hyperlink" Target="http://dx.doi.org/10.1109/TVCG.2014.2346591" TargetMode="External"/><Relationship Id="rId1034" Type="http://schemas.openxmlformats.org/officeDocument/2006/relationships/hyperlink" Target="http://dx.doi.org/10.1109/TVCG.2017.2745141" TargetMode="External"/><Relationship Id="rId200" Type="http://schemas.openxmlformats.org/officeDocument/2006/relationships/hyperlink" Target="http://dx.doi.org/10.1109/VISUAL.1993.398873" TargetMode="External"/><Relationship Id="rId442" Type="http://schemas.openxmlformats.org/officeDocument/2006/relationships/hyperlink" Target="http://dx.doi.org/10.1109/VISUAL.1997.663916" TargetMode="External"/><Relationship Id="rId684" Type="http://schemas.openxmlformats.org/officeDocument/2006/relationships/hyperlink" Target="http://dx.doi.org/10.1109/TVCG.2014.2346578" TargetMode="External"/><Relationship Id="rId1035" Type="http://schemas.openxmlformats.org/officeDocument/2006/relationships/hyperlink" Target="http://dx.doi.org/10.1109/TVCG.2017.2745219" TargetMode="External"/><Relationship Id="rId441" Type="http://schemas.openxmlformats.org/officeDocument/2006/relationships/hyperlink" Target="http://dx.doi.org/10.1109/VISUAL.1997.663915" TargetMode="External"/><Relationship Id="rId683" Type="http://schemas.openxmlformats.org/officeDocument/2006/relationships/hyperlink" Target="http://dx.doi.org/10.1109/TVCG.2014.2346575" TargetMode="External"/><Relationship Id="rId1036" Type="http://schemas.openxmlformats.org/officeDocument/2006/relationships/hyperlink" Target="http://dx.doi.org/10.1109/TVCG.2017.2745240" TargetMode="External"/><Relationship Id="rId1026" Type="http://schemas.openxmlformats.org/officeDocument/2006/relationships/hyperlink" Target="http://dx.doi.org/10.1109/TVCG.2017.2744320" TargetMode="External"/><Relationship Id="rId1027" Type="http://schemas.openxmlformats.org/officeDocument/2006/relationships/hyperlink" Target="http://dx.doi.org/10.1109/TVCG.2017.2744338" TargetMode="External"/><Relationship Id="rId1028" Type="http://schemas.openxmlformats.org/officeDocument/2006/relationships/hyperlink" Target="http://dx.doi.org/10.1109/TVCG.2017.2744339" TargetMode="External"/><Relationship Id="rId1029" Type="http://schemas.openxmlformats.org/officeDocument/2006/relationships/hyperlink" Target="http://dx.doi.org/10.1109/TVCG.2017.2744359" TargetMode="External"/><Relationship Id="rId437" Type="http://schemas.openxmlformats.org/officeDocument/2006/relationships/hyperlink" Target="http://dx.doi.org/10.1109/VISUAL.1997.663911" TargetMode="External"/><Relationship Id="rId679" Type="http://schemas.openxmlformats.org/officeDocument/2006/relationships/hyperlink" Target="http://dx.doi.org/10.1109/TVCG.2014.2346482" TargetMode="External"/><Relationship Id="rId436" Type="http://schemas.openxmlformats.org/officeDocument/2006/relationships/hyperlink" Target="http://dx.doi.org/10.1109/VISUAL.1997.663910" TargetMode="External"/><Relationship Id="rId678" Type="http://schemas.openxmlformats.org/officeDocument/2006/relationships/hyperlink" Target="http://dx.doi.org/10.1109/TVCG.2014.2346481" TargetMode="External"/><Relationship Id="rId435" Type="http://schemas.openxmlformats.org/officeDocument/2006/relationships/hyperlink" Target="http://dx.doi.org/10.1109/VISUAL.1997.663909" TargetMode="External"/><Relationship Id="rId677" Type="http://schemas.openxmlformats.org/officeDocument/2006/relationships/hyperlink" Target="http://dx.doi.org/10.1109/TVCG.2014.2352952" TargetMode="External"/><Relationship Id="rId434" Type="http://schemas.openxmlformats.org/officeDocument/2006/relationships/hyperlink" Target="http://dx.doi.org/10.1109/VISUAL.1997.663908" TargetMode="External"/><Relationship Id="rId676" Type="http://schemas.openxmlformats.org/officeDocument/2006/relationships/hyperlink" Target="http://dx.doi.org/10.1109/TVCG.2014.2346459" TargetMode="External"/><Relationship Id="rId439" Type="http://schemas.openxmlformats.org/officeDocument/2006/relationships/hyperlink" Target="http://dx.doi.org/10.1109/VISUAL.1997.663913" TargetMode="External"/><Relationship Id="rId438" Type="http://schemas.openxmlformats.org/officeDocument/2006/relationships/hyperlink" Target="http://dx.doi.org/10.1109/VISUAL.1997.663912" TargetMode="External"/><Relationship Id="rId671" Type="http://schemas.openxmlformats.org/officeDocument/2006/relationships/hyperlink" Target="http://dx.doi.org/10.1109/TVCG.2014.2346449" TargetMode="External"/><Relationship Id="rId670" Type="http://schemas.openxmlformats.org/officeDocument/2006/relationships/hyperlink" Target="http://dx.doi.org/10.1109/TVCG.2014.2346448" TargetMode="External"/><Relationship Id="rId1020" Type="http://schemas.openxmlformats.org/officeDocument/2006/relationships/hyperlink" Target="http://dx.doi.org/10.1109/TVCG.2017.2744198" TargetMode="External"/><Relationship Id="rId1021" Type="http://schemas.openxmlformats.org/officeDocument/2006/relationships/hyperlink" Target="http://dx.doi.org/10.1109/TVCG.2017.2744199" TargetMode="External"/><Relationship Id="rId433" Type="http://schemas.openxmlformats.org/officeDocument/2006/relationships/hyperlink" Target="http://dx.doi.org/10.1109/VISUAL.1997.663907" TargetMode="External"/><Relationship Id="rId675" Type="http://schemas.openxmlformats.org/officeDocument/2006/relationships/hyperlink" Target="http://dx.doi.org/10.1109/TVCG.2014.2346458" TargetMode="External"/><Relationship Id="rId1022" Type="http://schemas.openxmlformats.org/officeDocument/2006/relationships/hyperlink" Target="http://dx.doi.org/10.1109/TVCG.2017.2744218" TargetMode="External"/><Relationship Id="rId432" Type="http://schemas.openxmlformats.org/officeDocument/2006/relationships/hyperlink" Target="http://dx.doi.org/10.1109/VISUAL.1997.663906" TargetMode="External"/><Relationship Id="rId674" Type="http://schemas.openxmlformats.org/officeDocument/2006/relationships/hyperlink" Target="http://dx.doi.org/10.1109/TVCG.2014.2346457" TargetMode="External"/><Relationship Id="rId1023" Type="http://schemas.openxmlformats.org/officeDocument/2006/relationships/hyperlink" Target="http://dx.doi.org/10.1109/TVCG.2017.2744298" TargetMode="External"/><Relationship Id="rId431" Type="http://schemas.openxmlformats.org/officeDocument/2006/relationships/hyperlink" Target="http://dx.doi.org/10.1109/VISUAL.1997.663905" TargetMode="External"/><Relationship Id="rId673" Type="http://schemas.openxmlformats.org/officeDocument/2006/relationships/hyperlink" Target="http://dx.doi.org/10.1109/TVCG.2014.2346455" TargetMode="External"/><Relationship Id="rId1024" Type="http://schemas.openxmlformats.org/officeDocument/2006/relationships/hyperlink" Target="http://dx.doi.org/10.1109/TVCG.2017.2744318" TargetMode="External"/><Relationship Id="rId430" Type="http://schemas.openxmlformats.org/officeDocument/2006/relationships/hyperlink" Target="http://dx.doi.org/10.1109/VISUAL.1997.663904" TargetMode="External"/><Relationship Id="rId672" Type="http://schemas.openxmlformats.org/officeDocument/2006/relationships/hyperlink" Target="http://dx.doi.org/10.1109/TVCG.2014.2346451" TargetMode="External"/><Relationship Id="rId1025" Type="http://schemas.openxmlformats.org/officeDocument/2006/relationships/hyperlink" Target="http://dx.doi.org/10.1109/TVCG.2017.2744319"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dx.doi.org/10.1109/VISUAL.1996.567784" TargetMode="External"/><Relationship Id="rId391" Type="http://schemas.openxmlformats.org/officeDocument/2006/relationships/hyperlink" Target="http://dx.doi.org/10.1109/VISUAL.1996.567780" TargetMode="External"/><Relationship Id="rId390" Type="http://schemas.openxmlformats.org/officeDocument/2006/relationships/hyperlink" Target="http://dx.doi.org/10.1109/VISUAL.1996.567777" TargetMode="External"/><Relationship Id="rId2180" Type="http://schemas.openxmlformats.org/officeDocument/2006/relationships/hyperlink" Target="http://dx.doi.org/10.1109/VAST.2011.6102453" TargetMode="External"/><Relationship Id="rId2181" Type="http://schemas.openxmlformats.org/officeDocument/2006/relationships/hyperlink" Target="http://dx.doi.org/10.1109/VAST.2011.6102454" TargetMode="External"/><Relationship Id="rId2182" Type="http://schemas.openxmlformats.org/officeDocument/2006/relationships/hyperlink" Target="http://dx.doi.org/10.1109/VAST.2011.6102455" TargetMode="External"/><Relationship Id="rId2183" Type="http://schemas.openxmlformats.org/officeDocument/2006/relationships/hyperlink" Target="http://dx.doi.org/10.1109/VAST.2011.6102456" TargetMode="External"/><Relationship Id="rId385" Type="http://schemas.openxmlformats.org/officeDocument/2006/relationships/hyperlink" Target="http://dx.doi.org/10.1109/VISUAL.1996.567609" TargetMode="External"/><Relationship Id="rId2184" Type="http://schemas.openxmlformats.org/officeDocument/2006/relationships/hyperlink" Target="http://dx.doi.org/10.1109/VAST.2011.6102457" TargetMode="External"/><Relationship Id="rId384" Type="http://schemas.openxmlformats.org/officeDocument/2006/relationships/hyperlink" Target="http://doi.ieeecomputersociety.org/10.1109/VISUAL.1996.567608" TargetMode="External"/><Relationship Id="rId2185" Type="http://schemas.openxmlformats.org/officeDocument/2006/relationships/hyperlink" Target="http://dx.doi.org/10.1109/VAST.2011.6102458" TargetMode="External"/><Relationship Id="rId383" Type="http://schemas.openxmlformats.org/officeDocument/2006/relationships/hyperlink" Target="http://dx.doi.org/10.1109/VISUAL.1996.567606" TargetMode="External"/><Relationship Id="rId2186" Type="http://schemas.openxmlformats.org/officeDocument/2006/relationships/hyperlink" Target="http://dx.doi.org/10.1109/VAST.2011.6102459" TargetMode="External"/><Relationship Id="rId382" Type="http://schemas.openxmlformats.org/officeDocument/2006/relationships/hyperlink" Target="http://dx.doi.org/10.1109/VISUAL.1996.567603" TargetMode="External"/><Relationship Id="rId2187" Type="http://schemas.openxmlformats.org/officeDocument/2006/relationships/hyperlink" Target="http://dx.doi.org/10.1109/VAST.2011.6102460" TargetMode="External"/><Relationship Id="rId389" Type="http://schemas.openxmlformats.org/officeDocument/2006/relationships/hyperlink" Target="http://doi.ieeecomputersociety.org/10.1109/VISUAL.1996.567774" TargetMode="External"/><Relationship Id="rId2188" Type="http://schemas.openxmlformats.org/officeDocument/2006/relationships/hyperlink" Target="http://dx.doi.org/10.1109/VAST.2011.6102461" TargetMode="External"/><Relationship Id="rId388" Type="http://schemas.openxmlformats.org/officeDocument/2006/relationships/hyperlink" Target="http://doi.ieeecomputersociety.org/10.1109/VISUAL.1996.567752" TargetMode="External"/><Relationship Id="rId2189" Type="http://schemas.openxmlformats.org/officeDocument/2006/relationships/hyperlink" Target="http://dx.doi.org/10.1109/VAST.2011.6102462" TargetMode="External"/><Relationship Id="rId387" Type="http://schemas.openxmlformats.org/officeDocument/2006/relationships/hyperlink" Target="http://dx.doi.org/10.1109/VISUAL.1996.567745" TargetMode="External"/><Relationship Id="rId386" Type="http://schemas.openxmlformats.org/officeDocument/2006/relationships/hyperlink" Target="http://dx.doi.org/10.1109/VISUAL.1996.567610" TargetMode="External"/><Relationship Id="rId381" Type="http://schemas.openxmlformats.org/officeDocument/2006/relationships/hyperlink" Target="http://dx.doi.org/10.1109/VISUAL.1996.567602" TargetMode="External"/><Relationship Id="rId380" Type="http://schemas.openxmlformats.org/officeDocument/2006/relationships/hyperlink" Target="http://dx.doi.org/10.1109/VISUAL.1996.567600" TargetMode="External"/><Relationship Id="rId379" Type="http://schemas.openxmlformats.org/officeDocument/2006/relationships/hyperlink" Target="http://dx.doi.org/10.1109/VISUAL.1996.567598" TargetMode="External"/><Relationship Id="rId2170" Type="http://schemas.openxmlformats.org/officeDocument/2006/relationships/hyperlink" Target="http://dx.doi.org/10.1109/VAST.2011.6102441" TargetMode="External"/><Relationship Id="rId2171" Type="http://schemas.openxmlformats.org/officeDocument/2006/relationships/hyperlink" Target="http://dx.doi.org/10.1109/VAST.2011.6102442" TargetMode="External"/><Relationship Id="rId2172" Type="http://schemas.openxmlformats.org/officeDocument/2006/relationships/hyperlink" Target="http://dx.doi.org/10.1109/VAST.2011.6102443" TargetMode="External"/><Relationship Id="rId374" Type="http://schemas.openxmlformats.org/officeDocument/2006/relationships/hyperlink" Target="http://dx.doi.org/10.1109/INFVIS.1996.559226" TargetMode="External"/><Relationship Id="rId2173" Type="http://schemas.openxmlformats.org/officeDocument/2006/relationships/hyperlink" Target="http://dx.doi.org/10.1109/VAST.2011.6102445" TargetMode="External"/><Relationship Id="rId373" Type="http://schemas.openxmlformats.org/officeDocument/2006/relationships/hyperlink" Target="http://dx.doi.org/10.1109/INFVIS.1996.559225" TargetMode="External"/><Relationship Id="rId2174" Type="http://schemas.openxmlformats.org/officeDocument/2006/relationships/hyperlink" Target="http://dx.doi.org/10.1109/VAST.2011.6102446" TargetMode="External"/><Relationship Id="rId372" Type="http://schemas.openxmlformats.org/officeDocument/2006/relationships/hyperlink" Target="http://dx.doi.org/10.1109/INFVIS.1996.559224" TargetMode="External"/><Relationship Id="rId2175" Type="http://schemas.openxmlformats.org/officeDocument/2006/relationships/hyperlink" Target="http://dx.doi.org/10.1109/VAST.2011.6102447" TargetMode="External"/><Relationship Id="rId371" Type="http://schemas.openxmlformats.org/officeDocument/2006/relationships/hyperlink" Target="http://dx.doi.org/10.1109/INFVIS.1996.559223" TargetMode="External"/><Relationship Id="rId2176" Type="http://schemas.openxmlformats.org/officeDocument/2006/relationships/hyperlink" Target="http://dx.doi.org/10.1109/VAST.2011.6102448" TargetMode="External"/><Relationship Id="rId378" Type="http://schemas.openxmlformats.org/officeDocument/2006/relationships/hyperlink" Target="http://dx.doi.org/10.1109/VISUAL.1996.567595" TargetMode="External"/><Relationship Id="rId2177" Type="http://schemas.openxmlformats.org/officeDocument/2006/relationships/hyperlink" Target="http://dx.doi.org/10.1109/VAST.2011.6102449" TargetMode="External"/><Relationship Id="rId377" Type="http://schemas.openxmlformats.org/officeDocument/2006/relationships/hyperlink" Target="http://dx.doi.org/10.1109/INFVIS.1996.559229" TargetMode="External"/><Relationship Id="rId2178" Type="http://schemas.openxmlformats.org/officeDocument/2006/relationships/hyperlink" Target="http://dx.doi.org/10.1109/VAST.2011.6102450" TargetMode="External"/><Relationship Id="rId376" Type="http://schemas.openxmlformats.org/officeDocument/2006/relationships/hyperlink" Target="http://dx.doi.org/10.1109/INFVIS.1996.559228" TargetMode="External"/><Relationship Id="rId2179" Type="http://schemas.openxmlformats.org/officeDocument/2006/relationships/hyperlink" Target="http://dx.doi.org/10.1109/VAST.2011.6102451" TargetMode="External"/><Relationship Id="rId375" Type="http://schemas.openxmlformats.org/officeDocument/2006/relationships/hyperlink" Target="http://dx.doi.org/10.1109/INFVIS.1996.559227" TargetMode="External"/><Relationship Id="rId2190" Type="http://schemas.openxmlformats.org/officeDocument/2006/relationships/hyperlink" Target="http://dx.doi.org/10.1109/VAST.2011.6102463" TargetMode="External"/><Relationship Id="rId2191" Type="http://schemas.openxmlformats.org/officeDocument/2006/relationships/hyperlink" Target="http://dx.doi.org/10.1109/VAST.2011.6102465" TargetMode="External"/><Relationship Id="rId2192" Type="http://schemas.openxmlformats.org/officeDocument/2006/relationships/hyperlink" Target="http://dx.doi.org/10.1109/VAST.2011.6102466" TargetMode="External"/><Relationship Id="rId2193" Type="http://schemas.openxmlformats.org/officeDocument/2006/relationships/hyperlink" Target="http://dx.doi.org/10.1109/VAST.2011.6102467" TargetMode="External"/><Relationship Id="rId2194" Type="http://schemas.openxmlformats.org/officeDocument/2006/relationships/hyperlink" Target="http://dx.doi.org/10.1109/VAST.2011.6102468" TargetMode="External"/><Relationship Id="rId396" Type="http://schemas.openxmlformats.org/officeDocument/2006/relationships/hyperlink" Target="http://dx.doi.org/10.1109/VISUAL.1996.567804" TargetMode="External"/><Relationship Id="rId2195" Type="http://schemas.openxmlformats.org/officeDocument/2006/relationships/hyperlink" Target="http://dx.doi.org/10.1109/VAST.2011.6102469" TargetMode="External"/><Relationship Id="rId395" Type="http://schemas.openxmlformats.org/officeDocument/2006/relationships/hyperlink" Target="http://dx.doi.org/10.1109/VISUAL.1996.567800" TargetMode="External"/><Relationship Id="rId2196" Type="http://schemas.openxmlformats.org/officeDocument/2006/relationships/hyperlink" Target="http://dx.doi.org/10.1109/VAST.2011.6102470" TargetMode="External"/><Relationship Id="rId394" Type="http://schemas.openxmlformats.org/officeDocument/2006/relationships/hyperlink" Target="http://dx.doi.org/10.1109/VISUAL.1996.567796" TargetMode="External"/><Relationship Id="rId2197" Type="http://schemas.openxmlformats.org/officeDocument/2006/relationships/hyperlink" Target="http://dx.doi.org/10.1109/VAST.2011.6102471" TargetMode="External"/><Relationship Id="rId393" Type="http://schemas.openxmlformats.org/officeDocument/2006/relationships/hyperlink" Target="http://dx.doi.org/10.1109/VISUAL.1996.567787" TargetMode="External"/><Relationship Id="rId2198" Type="http://schemas.openxmlformats.org/officeDocument/2006/relationships/hyperlink" Target="http://dx.doi.org/10.1109/VAST.2011.6102472" TargetMode="External"/><Relationship Id="rId2199" Type="http://schemas.openxmlformats.org/officeDocument/2006/relationships/hyperlink" Target="http://dx.doi.org/10.1109/VAST.2011.6102473" TargetMode="External"/><Relationship Id="rId399" Type="http://schemas.openxmlformats.org/officeDocument/2006/relationships/hyperlink" Target="http://dx.doi.org/10.1109/VISUAL.1996.568103" TargetMode="External"/><Relationship Id="rId398" Type="http://schemas.openxmlformats.org/officeDocument/2006/relationships/hyperlink" Target="http://dx.doi.org/10.1109/VISUAL.1996.567812" TargetMode="External"/><Relationship Id="rId397" Type="http://schemas.openxmlformats.org/officeDocument/2006/relationships/hyperlink" Target="http://dx.doi.org/10.1109/VISUAL.1996.567807" TargetMode="External"/><Relationship Id="rId1730" Type="http://schemas.openxmlformats.org/officeDocument/2006/relationships/hyperlink" Target="http://dx.doi.org/10.1109/TVCG.2008.169" TargetMode="External"/><Relationship Id="rId1731" Type="http://schemas.openxmlformats.org/officeDocument/2006/relationships/hyperlink" Target="http://dx.doi.org/10.1109/TVCG.2008.170" TargetMode="External"/><Relationship Id="rId1732" Type="http://schemas.openxmlformats.org/officeDocument/2006/relationships/hyperlink" Target="http://dx.doi.org/10.1109/TVCG.2008.171" TargetMode="External"/><Relationship Id="rId1733" Type="http://schemas.openxmlformats.org/officeDocument/2006/relationships/hyperlink" Target="http://dx.doi.org/10.1109/TVCG.2008.172" TargetMode="External"/><Relationship Id="rId1734" Type="http://schemas.openxmlformats.org/officeDocument/2006/relationships/hyperlink" Target="http://dx.doi.org/10.1109/TVCG.2008.173" TargetMode="External"/><Relationship Id="rId1735" Type="http://schemas.openxmlformats.org/officeDocument/2006/relationships/hyperlink" Target="http://dx.doi.org/10.1109/TVCG.2008.174" TargetMode="External"/><Relationship Id="rId1736" Type="http://schemas.openxmlformats.org/officeDocument/2006/relationships/hyperlink" Target="http://dx.doi.org/10.1109/TVCG.2008.175" TargetMode="External"/><Relationship Id="rId1737" Type="http://schemas.openxmlformats.org/officeDocument/2006/relationships/hyperlink" Target="http://dx.doi.org/10.1109/TVCG.2008.176" TargetMode="External"/><Relationship Id="rId1738" Type="http://schemas.openxmlformats.org/officeDocument/2006/relationships/hyperlink" Target="http://dx.doi.org/10.1109/TVCG.2008.177" TargetMode="External"/><Relationship Id="rId1739" Type="http://schemas.openxmlformats.org/officeDocument/2006/relationships/hyperlink" Target="http://dx.doi.org/10.1109/TVCG.2008.178" TargetMode="External"/><Relationship Id="rId1720" Type="http://schemas.openxmlformats.org/officeDocument/2006/relationships/hyperlink" Target="http://dx.doi.org/10.1109/TVCG.2008.159" TargetMode="External"/><Relationship Id="rId1721" Type="http://schemas.openxmlformats.org/officeDocument/2006/relationships/hyperlink" Target="http://dx.doi.org/10.1109/TVCG.2008.160" TargetMode="External"/><Relationship Id="rId1722" Type="http://schemas.openxmlformats.org/officeDocument/2006/relationships/hyperlink" Target="http://dx.doi.org/10.1109/TVCG.2008.161" TargetMode="External"/><Relationship Id="rId1723" Type="http://schemas.openxmlformats.org/officeDocument/2006/relationships/hyperlink" Target="http://dx.doi.org/10.1109/TVCG.2008.162" TargetMode="External"/><Relationship Id="rId1724" Type="http://schemas.openxmlformats.org/officeDocument/2006/relationships/hyperlink" Target="http://dx.doi.org/10.1109/TVCG.2008.163" TargetMode="External"/><Relationship Id="rId1725" Type="http://schemas.openxmlformats.org/officeDocument/2006/relationships/hyperlink" Target="http://dx.doi.org/10.1109/TVCG.2008.164" TargetMode="External"/><Relationship Id="rId1726" Type="http://schemas.openxmlformats.org/officeDocument/2006/relationships/hyperlink" Target="http://dx.doi.org/10.1109/TVCG.2008.165" TargetMode="External"/><Relationship Id="rId1727" Type="http://schemas.openxmlformats.org/officeDocument/2006/relationships/hyperlink" Target="http://dx.doi.org/10.1109/TVCG.2008.166" TargetMode="External"/><Relationship Id="rId1728" Type="http://schemas.openxmlformats.org/officeDocument/2006/relationships/hyperlink" Target="http://dx.doi.org/10.1109/TVCG.2008.167" TargetMode="External"/><Relationship Id="rId1729" Type="http://schemas.openxmlformats.org/officeDocument/2006/relationships/hyperlink" Target="http://dx.doi.org/10.1109/TVCG.2008.168" TargetMode="External"/><Relationship Id="rId1752" Type="http://schemas.openxmlformats.org/officeDocument/2006/relationships/hyperlink" Target="http://dx.doi.org/10.1109/VAST.2008.4677353" TargetMode="External"/><Relationship Id="rId1753" Type="http://schemas.openxmlformats.org/officeDocument/2006/relationships/hyperlink" Target="http://dx.doi.org/10.1109/VAST.2008.4677354" TargetMode="External"/><Relationship Id="rId1754" Type="http://schemas.openxmlformats.org/officeDocument/2006/relationships/hyperlink" Target="http://dx.doi.org/10.1109/VAST.2008.4677355" TargetMode="External"/><Relationship Id="rId1755" Type="http://schemas.openxmlformats.org/officeDocument/2006/relationships/hyperlink" Target="http://dx.doi.org/10.1109/VAST.2008.4677356" TargetMode="External"/><Relationship Id="rId1756" Type="http://schemas.openxmlformats.org/officeDocument/2006/relationships/hyperlink" Target="http://dx.doi.org/10.1109/VAST.2008.4677357" TargetMode="External"/><Relationship Id="rId1757" Type="http://schemas.openxmlformats.org/officeDocument/2006/relationships/hyperlink" Target="http://dx.doi.org/10.1109/VAST.2008.4677358" TargetMode="External"/><Relationship Id="rId1758" Type="http://schemas.openxmlformats.org/officeDocument/2006/relationships/hyperlink" Target="http://dx.doi.org/10.1109/VAST.2008.4677359" TargetMode="External"/><Relationship Id="rId1759" Type="http://schemas.openxmlformats.org/officeDocument/2006/relationships/hyperlink" Target="http://dx.doi.org/10.1109/VAST.2008.4677360" TargetMode="External"/><Relationship Id="rId1750" Type="http://schemas.openxmlformats.org/officeDocument/2006/relationships/hyperlink" Target="http://dx.doi.org/10.1109/VAST.2008.4677351" TargetMode="External"/><Relationship Id="rId1751" Type="http://schemas.openxmlformats.org/officeDocument/2006/relationships/hyperlink" Target="http://dx.doi.org/10.1109/VAST.2008.4677352" TargetMode="External"/><Relationship Id="rId1741" Type="http://schemas.openxmlformats.org/officeDocument/2006/relationships/hyperlink" Target="http://dx.doi.org/10.1109/TVCG.2008.180" TargetMode="External"/><Relationship Id="rId1742" Type="http://schemas.openxmlformats.org/officeDocument/2006/relationships/hyperlink" Target="http://dx.doi.org/10.1109/TVCG.2008.181" TargetMode="External"/><Relationship Id="rId1743" Type="http://schemas.openxmlformats.org/officeDocument/2006/relationships/hyperlink" Target="http://dx.doi.org/10.1109/TVCG.2008.182" TargetMode="External"/><Relationship Id="rId1744" Type="http://schemas.openxmlformats.org/officeDocument/2006/relationships/hyperlink" Target="http://dx.doi.org/10.1109/TVCG.2008.183" TargetMode="External"/><Relationship Id="rId1745" Type="http://schemas.openxmlformats.org/officeDocument/2006/relationships/hyperlink" Target="http://dx.doi.org/10.1109/TVCG.2008.184" TargetMode="External"/><Relationship Id="rId1746" Type="http://schemas.openxmlformats.org/officeDocument/2006/relationships/hyperlink" Target="http://dx.doi.org/10.1109/TVCG.2008.185" TargetMode="External"/><Relationship Id="rId1747" Type="http://schemas.openxmlformats.org/officeDocument/2006/relationships/hyperlink" Target="http://dx.doi.org/10.1109/TVCG.2008.186" TargetMode="External"/><Relationship Id="rId1748" Type="http://schemas.openxmlformats.org/officeDocument/2006/relationships/hyperlink" Target="http://dx.doi.org/10.1109/TVCG.2008.187" TargetMode="External"/><Relationship Id="rId1749" Type="http://schemas.openxmlformats.org/officeDocument/2006/relationships/hyperlink" Target="http://dx.doi.org/10.1109/VAST.2008.4677350" TargetMode="External"/><Relationship Id="rId1740" Type="http://schemas.openxmlformats.org/officeDocument/2006/relationships/hyperlink" Target="http://dx.doi.org/10.1109/TVCG.2008.179" TargetMode="External"/><Relationship Id="rId1710" Type="http://schemas.openxmlformats.org/officeDocument/2006/relationships/hyperlink" Target="http://dx.doi.org/10.1109/TVCG.2008.148" TargetMode="External"/><Relationship Id="rId1711" Type="http://schemas.openxmlformats.org/officeDocument/2006/relationships/hyperlink" Target="http://dx.doi.org/10.1109/TVCG.2008.149" TargetMode="External"/><Relationship Id="rId1712" Type="http://schemas.openxmlformats.org/officeDocument/2006/relationships/hyperlink" Target="http://dx.doi.org/10.1109/TVCG.2008.150" TargetMode="External"/><Relationship Id="rId1713" Type="http://schemas.openxmlformats.org/officeDocument/2006/relationships/hyperlink" Target="http://dx.doi.org/10.1109/TVCG.2008.151" TargetMode="External"/><Relationship Id="rId1714" Type="http://schemas.openxmlformats.org/officeDocument/2006/relationships/hyperlink" Target="http://dx.doi.org/10.1109/TVCG.2008.152" TargetMode="External"/><Relationship Id="rId1715" Type="http://schemas.openxmlformats.org/officeDocument/2006/relationships/hyperlink" Target="http://dx.doi.org/10.1109/TVCG.2008.153" TargetMode="External"/><Relationship Id="rId1716" Type="http://schemas.openxmlformats.org/officeDocument/2006/relationships/hyperlink" Target="http://dx.doi.org/10.1109/TVCG.2008.154" TargetMode="External"/><Relationship Id="rId1717" Type="http://schemas.openxmlformats.org/officeDocument/2006/relationships/hyperlink" Target="http://dx.doi.org/10.1109/TVCG.2008.155" TargetMode="External"/><Relationship Id="rId1718" Type="http://schemas.openxmlformats.org/officeDocument/2006/relationships/hyperlink" Target="http://dx.doi.org/10.1109/TVCG.2008.157" TargetMode="External"/><Relationship Id="rId1719" Type="http://schemas.openxmlformats.org/officeDocument/2006/relationships/hyperlink" Target="http://dx.doi.org/10.1109/TVCG.2008.158" TargetMode="External"/><Relationship Id="rId1700" Type="http://schemas.openxmlformats.org/officeDocument/2006/relationships/hyperlink" Target="http://dx.doi.org/10.1109/TVCG.2008.138" TargetMode="External"/><Relationship Id="rId1701" Type="http://schemas.openxmlformats.org/officeDocument/2006/relationships/hyperlink" Target="http://dx.doi.org/10.1109/TVCG.2008.139" TargetMode="External"/><Relationship Id="rId1702" Type="http://schemas.openxmlformats.org/officeDocument/2006/relationships/hyperlink" Target="http://dx.doi.org/10.1109/TVCG.2008.140" TargetMode="External"/><Relationship Id="rId1703" Type="http://schemas.openxmlformats.org/officeDocument/2006/relationships/hyperlink" Target="http://dx.doi.org/10.1109/TVCG.2008.141" TargetMode="External"/><Relationship Id="rId1704" Type="http://schemas.openxmlformats.org/officeDocument/2006/relationships/hyperlink" Target="http://dx.doi.org/10.1109/TVCG.2008.142" TargetMode="External"/><Relationship Id="rId1705" Type="http://schemas.openxmlformats.org/officeDocument/2006/relationships/hyperlink" Target="http://dx.doi.org/10.1109/TVCG.2008.143" TargetMode="External"/><Relationship Id="rId1706" Type="http://schemas.openxmlformats.org/officeDocument/2006/relationships/hyperlink" Target="http://dx.doi.org/10.1109/TVCG.2008.144" TargetMode="External"/><Relationship Id="rId1707" Type="http://schemas.openxmlformats.org/officeDocument/2006/relationships/hyperlink" Target="http://dx.doi.org/10.1109/TVCG.2008.145" TargetMode="External"/><Relationship Id="rId1708" Type="http://schemas.openxmlformats.org/officeDocument/2006/relationships/hyperlink" Target="http://dx.doi.org/10.1109/TVCG.2008.146" TargetMode="External"/><Relationship Id="rId1709" Type="http://schemas.openxmlformats.org/officeDocument/2006/relationships/hyperlink" Target="http://dx.doi.org/10.1109/TVCG.2008.147" TargetMode="External"/><Relationship Id="rId40" Type="http://schemas.openxmlformats.org/officeDocument/2006/relationships/hyperlink" Target="http://dx.doi.org/10.1109/VISUAL.1990.146397" TargetMode="External"/><Relationship Id="rId42" Type="http://schemas.openxmlformats.org/officeDocument/2006/relationships/hyperlink" Target="http://dx.doi.org/10.1109/VISUAL.1990.146399" TargetMode="External"/><Relationship Id="rId41" Type="http://schemas.openxmlformats.org/officeDocument/2006/relationships/hyperlink" Target="http://dx.doi.org/10.1109/VISUAL.1990.146398" TargetMode="External"/><Relationship Id="rId44" Type="http://schemas.openxmlformats.org/officeDocument/2006/relationships/hyperlink" Target="http://dx.doi.org/10.1109/VISUAL.1990.146401" TargetMode="External"/><Relationship Id="rId43" Type="http://schemas.openxmlformats.org/officeDocument/2006/relationships/hyperlink" Target="http://dx.doi.org/10.1109/VISUAL.1990.146400" TargetMode="External"/><Relationship Id="rId46" Type="http://schemas.openxmlformats.org/officeDocument/2006/relationships/hyperlink" Target="http://dx.doi.org/10.1109/VISUAL.1990.146403" TargetMode="External"/><Relationship Id="rId45" Type="http://schemas.openxmlformats.org/officeDocument/2006/relationships/hyperlink" Target="http://dx.doi.org/10.1109/VISUAL.1990.146402" TargetMode="External"/><Relationship Id="rId48" Type="http://schemas.openxmlformats.org/officeDocument/2006/relationships/hyperlink" Target="http://dx.doi.org/10.1109/VISUAL.1990.146413" TargetMode="External"/><Relationship Id="rId47" Type="http://schemas.openxmlformats.org/officeDocument/2006/relationships/hyperlink" Target="http://dx.doi.org/10.1109/VISUAL.1990.146412" TargetMode="External"/><Relationship Id="rId49" Type="http://schemas.openxmlformats.org/officeDocument/2006/relationships/hyperlink" Target="http://dx.doi.org/10.1109/VISUAL.1990.146414" TargetMode="External"/><Relationship Id="rId31" Type="http://schemas.openxmlformats.org/officeDocument/2006/relationships/hyperlink" Target="http://dx.doi.org/10.1109/VISUAL.1990.146388" TargetMode="External"/><Relationship Id="rId30" Type="http://schemas.openxmlformats.org/officeDocument/2006/relationships/hyperlink" Target="http://dx.doi.org/10.1109/VISUAL.1990.146387" TargetMode="External"/><Relationship Id="rId33" Type="http://schemas.openxmlformats.org/officeDocument/2006/relationships/hyperlink" Target="http://dx.doi.org/10.1109/VISUAL.1990.146390" TargetMode="External"/><Relationship Id="rId32" Type="http://schemas.openxmlformats.org/officeDocument/2006/relationships/hyperlink" Target="http://dx.doi.org/10.1109/VISUAL.1990.146389" TargetMode="External"/><Relationship Id="rId35" Type="http://schemas.openxmlformats.org/officeDocument/2006/relationships/hyperlink" Target="http://dx.doi.org/10.1109/VISUAL.1990.146392" TargetMode="External"/><Relationship Id="rId34" Type="http://schemas.openxmlformats.org/officeDocument/2006/relationships/hyperlink" Target="http://dx.doi.org/10.1109/VISUAL.1990.146391" TargetMode="External"/><Relationship Id="rId37" Type="http://schemas.openxmlformats.org/officeDocument/2006/relationships/hyperlink" Target="http://dx.doi.org/10.1109/VISUAL.1990.146394" TargetMode="External"/><Relationship Id="rId36" Type="http://schemas.openxmlformats.org/officeDocument/2006/relationships/hyperlink" Target="http://dx.doi.org/10.1109/VISUAL.1990.146393" TargetMode="External"/><Relationship Id="rId39" Type="http://schemas.openxmlformats.org/officeDocument/2006/relationships/hyperlink" Target="http://dx.doi.org/10.1109/VISUAL.1990.146396" TargetMode="External"/><Relationship Id="rId38" Type="http://schemas.openxmlformats.org/officeDocument/2006/relationships/hyperlink" Target="http://dx.doi.org/10.1109/VISUAL.1990.146395" TargetMode="External"/><Relationship Id="rId2203" Type="http://schemas.openxmlformats.org/officeDocument/2006/relationships/hyperlink" Target="http://dx.doi.org/10.1109/VAST.2011.6102477" TargetMode="External"/><Relationship Id="rId2204" Type="http://schemas.openxmlformats.org/officeDocument/2006/relationships/hyperlink" Target="http://dx.doi.org/10.1109/VAST.2011.6102478" TargetMode="External"/><Relationship Id="rId20" Type="http://schemas.openxmlformats.org/officeDocument/2006/relationships/hyperlink" Target="http://dx.doi.org/10.1109/VISUAL.1990.146377" TargetMode="External"/><Relationship Id="rId2205" Type="http://schemas.openxmlformats.org/officeDocument/2006/relationships/hyperlink" Target="http://dx.doi.org/10.1109/VAST.2011.6102479" TargetMode="External"/><Relationship Id="rId2206" Type="http://schemas.openxmlformats.org/officeDocument/2006/relationships/hyperlink" Target="http://dx.doi.org/10.1109/VAST.2011.6102480" TargetMode="External"/><Relationship Id="rId22" Type="http://schemas.openxmlformats.org/officeDocument/2006/relationships/hyperlink" Target="http://dx.doi.org/10.1109/VISUAL.1990.146379" TargetMode="External"/><Relationship Id="rId2207" Type="http://schemas.openxmlformats.org/officeDocument/2006/relationships/hyperlink" Target="http://dx.doi.org/10.1109/VAST.2011.6102481" TargetMode="External"/><Relationship Id="rId21" Type="http://schemas.openxmlformats.org/officeDocument/2006/relationships/hyperlink" Target="http://dx.doi.org/10.1109/VISUAL.1990.146378" TargetMode="External"/><Relationship Id="rId2208" Type="http://schemas.openxmlformats.org/officeDocument/2006/relationships/hyperlink" Target="http://dx.doi.org/10.1109/VAST.2011.6102482" TargetMode="External"/><Relationship Id="rId24" Type="http://schemas.openxmlformats.org/officeDocument/2006/relationships/hyperlink" Target="http://dx.doi.org/10.1109/VISUAL.1990.146381" TargetMode="External"/><Relationship Id="rId2209" Type="http://schemas.openxmlformats.org/officeDocument/2006/relationships/hyperlink" Target="http://dx.doi.org/10.1109/VAST.2011.6102485" TargetMode="External"/><Relationship Id="rId23" Type="http://schemas.openxmlformats.org/officeDocument/2006/relationships/hyperlink" Target="http://dx.doi.org/10.1109/VISUAL.1990.146380" TargetMode="External"/><Relationship Id="rId26" Type="http://schemas.openxmlformats.org/officeDocument/2006/relationships/hyperlink" Target="http://dx.doi.org/10.1109/VISUAL.1990.146383" TargetMode="External"/><Relationship Id="rId25" Type="http://schemas.openxmlformats.org/officeDocument/2006/relationships/hyperlink" Target="http://dx.doi.org/10.1109/VISUAL.1990.146382" TargetMode="External"/><Relationship Id="rId28" Type="http://schemas.openxmlformats.org/officeDocument/2006/relationships/hyperlink" Target="http://dx.doi.org/10.1109/VISUAL.1990.146385" TargetMode="External"/><Relationship Id="rId27" Type="http://schemas.openxmlformats.org/officeDocument/2006/relationships/hyperlink" Target="http://dx.doi.org/10.1109/VISUAL.1990.146384" TargetMode="External"/><Relationship Id="rId29" Type="http://schemas.openxmlformats.org/officeDocument/2006/relationships/hyperlink" Target="http://dx.doi.org/10.1109/VISUAL.1990.146386" TargetMode="External"/><Relationship Id="rId2200" Type="http://schemas.openxmlformats.org/officeDocument/2006/relationships/hyperlink" Target="http://dx.doi.org/10.1109/VAST.2011.6102474" TargetMode="External"/><Relationship Id="rId2201" Type="http://schemas.openxmlformats.org/officeDocument/2006/relationships/hyperlink" Target="http://dx.doi.org/10.1109/VAST.2011.6102475" TargetMode="External"/><Relationship Id="rId2202" Type="http://schemas.openxmlformats.org/officeDocument/2006/relationships/hyperlink" Target="http://dx.doi.org/10.1109/VAST.2011.6102476" TargetMode="External"/><Relationship Id="rId11" Type="http://schemas.openxmlformats.org/officeDocument/2006/relationships/hyperlink" Target="http://dx.doi.org/10.1109/VISUAL.1990.146368" TargetMode="External"/><Relationship Id="rId10" Type="http://schemas.openxmlformats.org/officeDocument/2006/relationships/hyperlink" Target="http://dx.doi.org/10.1109/VISUAL.1990.146367" TargetMode="External"/><Relationship Id="rId13" Type="http://schemas.openxmlformats.org/officeDocument/2006/relationships/hyperlink" Target="http://dx.doi.org/10.1109/VISUAL.1990.146370" TargetMode="External"/><Relationship Id="rId12" Type="http://schemas.openxmlformats.org/officeDocument/2006/relationships/hyperlink" Target="http://dx.doi.org/10.1109/VISUAL.1990.146369" TargetMode="External"/><Relationship Id="rId15" Type="http://schemas.openxmlformats.org/officeDocument/2006/relationships/hyperlink" Target="http://dx.doi.org/10.1109/VISUAL.1990.146372" TargetMode="External"/><Relationship Id="rId14" Type="http://schemas.openxmlformats.org/officeDocument/2006/relationships/hyperlink" Target="http://dx.doi.org/10.1109/VISUAL.1990.146371" TargetMode="External"/><Relationship Id="rId17" Type="http://schemas.openxmlformats.org/officeDocument/2006/relationships/hyperlink" Target="http://dx.doi.org/10.1109/VISUAL.1990.146374" TargetMode="External"/><Relationship Id="rId16" Type="http://schemas.openxmlformats.org/officeDocument/2006/relationships/hyperlink" Target="http://dx.doi.org/10.1109/VISUAL.1990.146373" TargetMode="External"/><Relationship Id="rId19" Type="http://schemas.openxmlformats.org/officeDocument/2006/relationships/hyperlink" Target="http://dx.doi.org/10.1109/VISUAL.1990.146376" TargetMode="External"/><Relationship Id="rId18" Type="http://schemas.openxmlformats.org/officeDocument/2006/relationships/hyperlink" Target="http://dx.doi.org/10.1109/VISUAL.1990.146375" TargetMode="External"/><Relationship Id="rId84" Type="http://schemas.openxmlformats.org/officeDocument/2006/relationships/hyperlink" Target="http://dx.doi.org/10.1109/VISUAL.1991.175806" TargetMode="External"/><Relationship Id="rId1774" Type="http://schemas.openxmlformats.org/officeDocument/2006/relationships/hyperlink" Target="http://dx.doi.org/10.1109/VAST.2008.4677376" TargetMode="External"/><Relationship Id="rId83" Type="http://schemas.openxmlformats.org/officeDocument/2006/relationships/hyperlink" Target="http://dx.doi.org/10.1109/VISUAL.1991.175805" TargetMode="External"/><Relationship Id="rId1775" Type="http://schemas.openxmlformats.org/officeDocument/2006/relationships/hyperlink" Target="http://dx.doi.org/10.1109/VAST.2008.4677377" TargetMode="External"/><Relationship Id="rId86" Type="http://schemas.openxmlformats.org/officeDocument/2006/relationships/hyperlink" Target="http://dx.doi.org/10.1109/VISUAL.1991.175809" TargetMode="External"/><Relationship Id="rId1776" Type="http://schemas.openxmlformats.org/officeDocument/2006/relationships/hyperlink" Target="http://dx.doi.org/10.1109/VAST.2008.4677378" TargetMode="External"/><Relationship Id="rId85" Type="http://schemas.openxmlformats.org/officeDocument/2006/relationships/hyperlink" Target="http://dx.doi.org/10.1109/VISUAL.1991.175807" TargetMode="External"/><Relationship Id="rId1777" Type="http://schemas.openxmlformats.org/officeDocument/2006/relationships/hyperlink" Target="http://dx.doi.org/10.1109/VAST.2008.4677379" TargetMode="External"/><Relationship Id="rId88" Type="http://schemas.openxmlformats.org/officeDocument/2006/relationships/hyperlink" Target="http://dx.doi.org/10.1109/VISUAL.1991.175811" TargetMode="External"/><Relationship Id="rId1778" Type="http://schemas.openxmlformats.org/officeDocument/2006/relationships/hyperlink" Target="http://dx.doi.org/10.1109/VAST.2008.4677380" TargetMode="External"/><Relationship Id="rId87" Type="http://schemas.openxmlformats.org/officeDocument/2006/relationships/hyperlink" Target="http://dx.doi.org/10.1109/VISUAL.1991.175810" TargetMode="External"/><Relationship Id="rId1779" Type="http://schemas.openxmlformats.org/officeDocument/2006/relationships/hyperlink" Target="http://dx.doi.org/10.1109/VAST.2008.4677381" TargetMode="External"/><Relationship Id="rId89" Type="http://schemas.openxmlformats.org/officeDocument/2006/relationships/hyperlink" Target="http://dx.doi.org/10.1109/VISUAL.1991.175812" TargetMode="External"/><Relationship Id="rId80" Type="http://schemas.openxmlformats.org/officeDocument/2006/relationships/hyperlink" Target="http://dx.doi.org/10.1109/VISUAL.1991.175801" TargetMode="External"/><Relationship Id="rId82" Type="http://schemas.openxmlformats.org/officeDocument/2006/relationships/hyperlink" Target="http://dx.doi.org/10.1109/VISUAL.1991.175804" TargetMode="External"/><Relationship Id="rId81" Type="http://schemas.openxmlformats.org/officeDocument/2006/relationships/hyperlink" Target="http://dx.doi.org/10.1109/VISUAL.1991.175802" TargetMode="External"/><Relationship Id="rId1770" Type="http://schemas.openxmlformats.org/officeDocument/2006/relationships/hyperlink" Target="http://dx.doi.org/10.1109/VAST.2008.4677372" TargetMode="External"/><Relationship Id="rId1771" Type="http://schemas.openxmlformats.org/officeDocument/2006/relationships/hyperlink" Target="http://dx.doi.org/10.1109/VAST.2008.4677373" TargetMode="External"/><Relationship Id="rId1772" Type="http://schemas.openxmlformats.org/officeDocument/2006/relationships/hyperlink" Target="http://dx.doi.org/10.1109/VAST.2008.4677374" TargetMode="External"/><Relationship Id="rId1773" Type="http://schemas.openxmlformats.org/officeDocument/2006/relationships/hyperlink" Target="http://dx.doi.org/10.1109/VAST.2008.4677375" TargetMode="External"/><Relationship Id="rId73" Type="http://schemas.openxmlformats.org/officeDocument/2006/relationships/hyperlink" Target="http://dx.doi.org/10.1109/VISUAL.1991.175792" TargetMode="External"/><Relationship Id="rId1763" Type="http://schemas.openxmlformats.org/officeDocument/2006/relationships/hyperlink" Target="http://dx.doi.org/10.1109/VAST.2008.4677364" TargetMode="External"/><Relationship Id="rId72" Type="http://schemas.openxmlformats.org/officeDocument/2006/relationships/hyperlink" Target="http://dx.doi.org/10.1109/VISUAL.1991.175791" TargetMode="External"/><Relationship Id="rId1764" Type="http://schemas.openxmlformats.org/officeDocument/2006/relationships/hyperlink" Target="http://dx.doi.org/10.1109/VAST.2008.4677365" TargetMode="External"/><Relationship Id="rId75" Type="http://schemas.openxmlformats.org/officeDocument/2006/relationships/hyperlink" Target="http://dx.doi.org/10.1109/VISUAL.1991.175795" TargetMode="External"/><Relationship Id="rId1765" Type="http://schemas.openxmlformats.org/officeDocument/2006/relationships/hyperlink" Target="http://dx.doi.org/10.1109/VAST.2008.4677366" TargetMode="External"/><Relationship Id="rId74" Type="http://schemas.openxmlformats.org/officeDocument/2006/relationships/hyperlink" Target="http://dx.doi.org/10.1109/VISUAL.1991.175794" TargetMode="External"/><Relationship Id="rId1766" Type="http://schemas.openxmlformats.org/officeDocument/2006/relationships/hyperlink" Target="http://dx.doi.org/10.1109/VAST.2008.4677367" TargetMode="External"/><Relationship Id="rId77" Type="http://schemas.openxmlformats.org/officeDocument/2006/relationships/hyperlink" Target="http://dx.doi.org/10.1109/VISUAL.1991.175797" TargetMode="External"/><Relationship Id="rId1767" Type="http://schemas.openxmlformats.org/officeDocument/2006/relationships/hyperlink" Target="http://dx.doi.org/10.1109/VAST.2008.4677368" TargetMode="External"/><Relationship Id="rId76" Type="http://schemas.openxmlformats.org/officeDocument/2006/relationships/hyperlink" Target="http://dx.doi.org/10.1109/VISUAL.1991.175796" TargetMode="External"/><Relationship Id="rId1768" Type="http://schemas.openxmlformats.org/officeDocument/2006/relationships/hyperlink" Target="http://dx.doi.org/10.1109/VAST.2008.4677369" TargetMode="External"/><Relationship Id="rId79" Type="http://schemas.openxmlformats.org/officeDocument/2006/relationships/hyperlink" Target="http://dx.doi.org/10.1109/VISUAL.1991.175800" TargetMode="External"/><Relationship Id="rId1769" Type="http://schemas.openxmlformats.org/officeDocument/2006/relationships/hyperlink" Target="http://dx.doi.org/10.1109/VAST.2008.4677370" TargetMode="External"/><Relationship Id="rId78" Type="http://schemas.openxmlformats.org/officeDocument/2006/relationships/hyperlink" Target="http://dx.doi.org/10.1109/VISUAL.1991.175799" TargetMode="External"/><Relationship Id="rId71" Type="http://schemas.openxmlformats.org/officeDocument/2006/relationships/hyperlink" Target="http://dx.doi.org/10.1109/VISUAL.1991.175790" TargetMode="External"/><Relationship Id="rId70" Type="http://schemas.openxmlformats.org/officeDocument/2006/relationships/hyperlink" Target="http://dx.doi.org/10.1109/VISUAL.1991.175789" TargetMode="External"/><Relationship Id="rId1760" Type="http://schemas.openxmlformats.org/officeDocument/2006/relationships/hyperlink" Target="http://dx.doi.org/10.1109/VAST.2008.4677361" TargetMode="External"/><Relationship Id="rId1761" Type="http://schemas.openxmlformats.org/officeDocument/2006/relationships/hyperlink" Target="http://dx.doi.org/10.1109/VAST.2008.4677362" TargetMode="External"/><Relationship Id="rId1762" Type="http://schemas.openxmlformats.org/officeDocument/2006/relationships/hyperlink" Target="http://dx.doi.org/10.1109/VAST.2008.4677363" TargetMode="External"/><Relationship Id="rId62" Type="http://schemas.openxmlformats.org/officeDocument/2006/relationships/hyperlink" Target="http://dx.doi.org/10.1109/VISUAL.1991.175778" TargetMode="External"/><Relationship Id="rId1796" Type="http://schemas.openxmlformats.org/officeDocument/2006/relationships/hyperlink" Target="http://dx.doi.org/10.1109/TVCG.2009.110" TargetMode="External"/><Relationship Id="rId61" Type="http://schemas.openxmlformats.org/officeDocument/2006/relationships/hyperlink" Target="http://dx.doi.org/10.1109/VISUAL.1991.175777" TargetMode="External"/><Relationship Id="rId1797" Type="http://schemas.openxmlformats.org/officeDocument/2006/relationships/hyperlink" Target="http://dx.doi.org/10.1109/TVCG.2009.111" TargetMode="External"/><Relationship Id="rId64" Type="http://schemas.openxmlformats.org/officeDocument/2006/relationships/hyperlink" Target="http://dx.doi.org/10.1109/VISUAL.1991.175781" TargetMode="External"/><Relationship Id="rId1798" Type="http://schemas.openxmlformats.org/officeDocument/2006/relationships/hyperlink" Target="http://dx.doi.org/10.1109/TVCG.2009.112" TargetMode="External"/><Relationship Id="rId63" Type="http://schemas.openxmlformats.org/officeDocument/2006/relationships/hyperlink" Target="http://dx.doi.org/10.1109/VISUAL.1991.175780" TargetMode="External"/><Relationship Id="rId1799" Type="http://schemas.openxmlformats.org/officeDocument/2006/relationships/hyperlink" Target="http://dx.doi.org/10.1109/TVCG.2009.113" TargetMode="External"/><Relationship Id="rId66" Type="http://schemas.openxmlformats.org/officeDocument/2006/relationships/hyperlink" Target="http://dx.doi.org/10.1109/VISUAL.1991.175784" TargetMode="External"/><Relationship Id="rId65" Type="http://schemas.openxmlformats.org/officeDocument/2006/relationships/hyperlink" Target="http://dx.doi.org/10.1109/VISUAL.1991.175782" TargetMode="External"/><Relationship Id="rId68" Type="http://schemas.openxmlformats.org/officeDocument/2006/relationships/hyperlink" Target="http://dx.doi.org/10.1109/VISUAL.1991.175786" TargetMode="External"/><Relationship Id="rId67" Type="http://schemas.openxmlformats.org/officeDocument/2006/relationships/hyperlink" Target="http://dx.doi.org/10.1109/VISUAL.1991.175785" TargetMode="External"/><Relationship Id="rId60" Type="http://schemas.openxmlformats.org/officeDocument/2006/relationships/hyperlink" Target="http://dx.doi.org/10.1109/VISUAL.1991.175776" TargetMode="External"/><Relationship Id="rId69" Type="http://schemas.openxmlformats.org/officeDocument/2006/relationships/hyperlink" Target="http://dx.doi.org/10.1109/VISUAL.1991.175787" TargetMode="External"/><Relationship Id="rId1790" Type="http://schemas.openxmlformats.org/officeDocument/2006/relationships/hyperlink" Target="http://dx.doi.org/10.1109/VAST.2008.4677393" TargetMode="External"/><Relationship Id="rId1791" Type="http://schemas.openxmlformats.org/officeDocument/2006/relationships/hyperlink" Target="http://dx.doi.org/10.1109/VAST.2008.4677394" TargetMode="External"/><Relationship Id="rId1792" Type="http://schemas.openxmlformats.org/officeDocument/2006/relationships/hyperlink" Target="http://dx.doi.org/10.1109/VAST.2008.4677395" TargetMode="External"/><Relationship Id="rId1793" Type="http://schemas.openxmlformats.org/officeDocument/2006/relationships/hyperlink" Target="http://dx.doi.org/10.1109/VAST.2008.4677396" TargetMode="External"/><Relationship Id="rId1794" Type="http://schemas.openxmlformats.org/officeDocument/2006/relationships/hyperlink" Target="http://dx.doi.org/10.1109/TVCG.2009.108" TargetMode="External"/><Relationship Id="rId1795" Type="http://schemas.openxmlformats.org/officeDocument/2006/relationships/hyperlink" Target="http://dx.doi.org/10.1109/TVCG.2009.109" TargetMode="External"/><Relationship Id="rId51" Type="http://schemas.openxmlformats.org/officeDocument/2006/relationships/hyperlink" Target="http://dx.doi.org/10.1109/VISUAL.1990.146416" TargetMode="External"/><Relationship Id="rId1785" Type="http://schemas.openxmlformats.org/officeDocument/2006/relationships/hyperlink" Target="http://dx.doi.org/10.1109/VAST.2008.4677388" TargetMode="External"/><Relationship Id="rId50" Type="http://schemas.openxmlformats.org/officeDocument/2006/relationships/hyperlink" Target="http://dx.doi.org/10.1109/VISUAL.1990.146415" TargetMode="External"/><Relationship Id="rId1786" Type="http://schemas.openxmlformats.org/officeDocument/2006/relationships/hyperlink" Target="http://dx.doi.org/10.1109/VAST.2008.4677389" TargetMode="External"/><Relationship Id="rId53" Type="http://schemas.openxmlformats.org/officeDocument/2006/relationships/hyperlink" Target="http://dx.doi.org/10.1109/VISUAL.1990.146418" TargetMode="External"/><Relationship Id="rId1787" Type="http://schemas.openxmlformats.org/officeDocument/2006/relationships/hyperlink" Target="http://dx.doi.org/10.1109/VAST.2008.4677390" TargetMode="External"/><Relationship Id="rId52" Type="http://schemas.openxmlformats.org/officeDocument/2006/relationships/hyperlink" Target="http://dx.doi.org/10.1109/VISUAL.1990.146417" TargetMode="External"/><Relationship Id="rId1788" Type="http://schemas.openxmlformats.org/officeDocument/2006/relationships/hyperlink" Target="http://dx.doi.org/10.1109/VAST.2008.4677391" TargetMode="External"/><Relationship Id="rId55" Type="http://schemas.openxmlformats.org/officeDocument/2006/relationships/hyperlink" Target="http://dx.doi.org/10.1109/VISUAL.1991.175767" TargetMode="External"/><Relationship Id="rId1789" Type="http://schemas.openxmlformats.org/officeDocument/2006/relationships/hyperlink" Target="http://dx.doi.org/10.1109/VAST.2008.4677392" TargetMode="External"/><Relationship Id="rId54" Type="http://schemas.openxmlformats.org/officeDocument/2006/relationships/hyperlink" Target="http://dx.doi.org/10.1109/VISUAL.1990.146419" TargetMode="External"/><Relationship Id="rId57" Type="http://schemas.openxmlformats.org/officeDocument/2006/relationships/hyperlink" Target="http://dx.doi.org/10.1109/VISUAL.1991.175771" TargetMode="External"/><Relationship Id="rId56" Type="http://schemas.openxmlformats.org/officeDocument/2006/relationships/hyperlink" Target="http://dx.doi.org/10.1109/VISUAL.1991.175770" TargetMode="External"/><Relationship Id="rId59" Type="http://schemas.openxmlformats.org/officeDocument/2006/relationships/hyperlink" Target="http://dx.doi.org/10.1109/VISUAL.1991.175773" TargetMode="External"/><Relationship Id="rId58" Type="http://schemas.openxmlformats.org/officeDocument/2006/relationships/hyperlink" Target="http://dx.doi.org/10.1109/VISUAL.1991.175772" TargetMode="External"/><Relationship Id="rId1780" Type="http://schemas.openxmlformats.org/officeDocument/2006/relationships/hyperlink" Target="http://dx.doi.org/10.1109/VAST.2008.4677383" TargetMode="External"/><Relationship Id="rId1781" Type="http://schemas.openxmlformats.org/officeDocument/2006/relationships/hyperlink" Target="http://dx.doi.org/10.1109/VAST.2008.4677384" TargetMode="External"/><Relationship Id="rId1782" Type="http://schemas.openxmlformats.org/officeDocument/2006/relationships/hyperlink" Target="http://dx.doi.org/10.1109/VAST.2008.4677385" TargetMode="External"/><Relationship Id="rId1783" Type="http://schemas.openxmlformats.org/officeDocument/2006/relationships/hyperlink" Target="http://dx.doi.org/10.1109/VAST.2008.4677386" TargetMode="External"/><Relationship Id="rId1784" Type="http://schemas.openxmlformats.org/officeDocument/2006/relationships/hyperlink" Target="http://dx.doi.org/10.1109/VAST.2008.4677387" TargetMode="External"/><Relationship Id="rId2269" Type="http://schemas.openxmlformats.org/officeDocument/2006/relationships/hyperlink" Target="http://dx.doi.org/10.1109/TVCG.2012.236" TargetMode="External"/><Relationship Id="rId349" Type="http://schemas.openxmlformats.org/officeDocument/2006/relationships/hyperlink" Target="http://dx.doi.org/10.1109/VISUAL.1995.485152" TargetMode="External"/><Relationship Id="rId348" Type="http://schemas.openxmlformats.org/officeDocument/2006/relationships/hyperlink" Target="http://dx.doi.org/10.1109/VISUAL.1995.485151" TargetMode="External"/><Relationship Id="rId347" Type="http://schemas.openxmlformats.org/officeDocument/2006/relationships/hyperlink" Target="http://dx.doi.org/10.1109/VISUAL.1995.485150" TargetMode="External"/><Relationship Id="rId346" Type="http://schemas.openxmlformats.org/officeDocument/2006/relationships/hyperlink" Target="http://dx.doi.org/10.1109/VISUAL.1995.485149" TargetMode="External"/><Relationship Id="rId2260" Type="http://schemas.openxmlformats.org/officeDocument/2006/relationships/hyperlink" Target="http://dx.doi.org/10.1109/TVCG.2012.226" TargetMode="External"/><Relationship Id="rId341" Type="http://schemas.openxmlformats.org/officeDocument/2006/relationships/hyperlink" Target="http://dx.doi.org/10.1109/VISUAL.1995.485144" TargetMode="External"/><Relationship Id="rId2261" Type="http://schemas.openxmlformats.org/officeDocument/2006/relationships/hyperlink" Target="http://dx.doi.org/10.1109/TVCG.2012.227" TargetMode="External"/><Relationship Id="rId340" Type="http://schemas.openxmlformats.org/officeDocument/2006/relationships/hyperlink" Target="http://dx.doi.org/10.1109/VISUAL.1995.485143" TargetMode="External"/><Relationship Id="rId2262" Type="http://schemas.openxmlformats.org/officeDocument/2006/relationships/hyperlink" Target="http://dx.doi.org/10.1109/TVCG.2012.228" TargetMode="External"/><Relationship Id="rId2263" Type="http://schemas.openxmlformats.org/officeDocument/2006/relationships/hyperlink" Target="http://dx.doi.org/10.1109/TVCG.2012.229" TargetMode="External"/><Relationship Id="rId2264" Type="http://schemas.openxmlformats.org/officeDocument/2006/relationships/hyperlink" Target="http://dx.doi.org/10.1109/TVCG.2012.230" TargetMode="External"/><Relationship Id="rId345" Type="http://schemas.openxmlformats.org/officeDocument/2006/relationships/hyperlink" Target="http://dx.doi.org/10.1109/VISUAL.1995.485148" TargetMode="External"/><Relationship Id="rId2265" Type="http://schemas.openxmlformats.org/officeDocument/2006/relationships/hyperlink" Target="http://dx.doi.org/10.1109/TVCG.2012.231" TargetMode="External"/><Relationship Id="rId344" Type="http://schemas.openxmlformats.org/officeDocument/2006/relationships/hyperlink" Target="http://dx.doi.org/10.1109/VISUAL.1995.485147" TargetMode="External"/><Relationship Id="rId2266" Type="http://schemas.openxmlformats.org/officeDocument/2006/relationships/hyperlink" Target="http://dx.doi.org/10.1109/TVCG.2012.232" TargetMode="External"/><Relationship Id="rId343" Type="http://schemas.openxmlformats.org/officeDocument/2006/relationships/hyperlink" Target="http://dx.doi.org/10.1109/VISUAL.1995.485146" TargetMode="External"/><Relationship Id="rId2267" Type="http://schemas.openxmlformats.org/officeDocument/2006/relationships/hyperlink" Target="http://dx.doi.org/10.1109/TVCG.2012.233" TargetMode="External"/><Relationship Id="rId342" Type="http://schemas.openxmlformats.org/officeDocument/2006/relationships/hyperlink" Target="http://dx.doi.org/10.1109/VISUAL.1995.485145" TargetMode="External"/><Relationship Id="rId2268" Type="http://schemas.openxmlformats.org/officeDocument/2006/relationships/hyperlink" Target="http://dx.doi.org/10.1109/TVCG.2012.234" TargetMode="External"/><Relationship Id="rId2258" Type="http://schemas.openxmlformats.org/officeDocument/2006/relationships/hyperlink" Target="http://dx.doi.org/10.1109/TVCG.2012.224" TargetMode="External"/><Relationship Id="rId2259" Type="http://schemas.openxmlformats.org/officeDocument/2006/relationships/hyperlink" Target="http://dx.doi.org/10.1109/TVCG.2012.225" TargetMode="External"/><Relationship Id="rId338" Type="http://schemas.openxmlformats.org/officeDocument/2006/relationships/hyperlink" Target="http://dx.doi.org/10.1109/VISUAL.1995.485141" TargetMode="External"/><Relationship Id="rId337" Type="http://schemas.openxmlformats.org/officeDocument/2006/relationships/hyperlink" Target="http://dx.doi.org/10.1109/VISUAL.1995.485140" TargetMode="External"/><Relationship Id="rId336" Type="http://schemas.openxmlformats.org/officeDocument/2006/relationships/hyperlink" Target="http://dx.doi.org/10.1109/VISUAL.1995.485139" TargetMode="External"/><Relationship Id="rId335" Type="http://schemas.openxmlformats.org/officeDocument/2006/relationships/hyperlink" Target="http://dx.doi.org/10.1109/VISUAL.1995.480821" TargetMode="External"/><Relationship Id="rId339" Type="http://schemas.openxmlformats.org/officeDocument/2006/relationships/hyperlink" Target="http://dx.doi.org/10.1109/VISUAL.1995.485142" TargetMode="External"/><Relationship Id="rId330" Type="http://schemas.openxmlformats.org/officeDocument/2006/relationships/hyperlink" Target="http://dx.doi.org/10.1109/VISUAL.1995.480816" TargetMode="External"/><Relationship Id="rId2250" Type="http://schemas.openxmlformats.org/officeDocument/2006/relationships/hyperlink" Target="http://dx.doi.org/10.1109/TVCG.2012.216" TargetMode="External"/><Relationship Id="rId2251" Type="http://schemas.openxmlformats.org/officeDocument/2006/relationships/hyperlink" Target="http://dx.doi.org/10.1109/TVCG.2012.217" TargetMode="External"/><Relationship Id="rId2252" Type="http://schemas.openxmlformats.org/officeDocument/2006/relationships/hyperlink" Target="http://dx.doi.org/10.1109/TVCG.2012.218" TargetMode="External"/><Relationship Id="rId2253" Type="http://schemas.openxmlformats.org/officeDocument/2006/relationships/hyperlink" Target="http://dx.doi.org/10.1109/TVCG.2012.219" TargetMode="External"/><Relationship Id="rId334" Type="http://schemas.openxmlformats.org/officeDocument/2006/relationships/hyperlink" Target="http://dx.doi.org/10.1109/VISUAL.1995.480820" TargetMode="External"/><Relationship Id="rId2254" Type="http://schemas.openxmlformats.org/officeDocument/2006/relationships/hyperlink" Target="http://dx.doi.org/10.1109/TVCG.2012.220" TargetMode="External"/><Relationship Id="rId333" Type="http://schemas.openxmlformats.org/officeDocument/2006/relationships/hyperlink" Target="http://dx.doi.org/10.1109/VISUAL.1995.480819" TargetMode="External"/><Relationship Id="rId2255" Type="http://schemas.openxmlformats.org/officeDocument/2006/relationships/hyperlink" Target="http://dx.doi.org/10.1109/TVCG.2012.221" TargetMode="External"/><Relationship Id="rId332" Type="http://schemas.openxmlformats.org/officeDocument/2006/relationships/hyperlink" Target="http://dx.doi.org/10.1109/VISUAL.1995.480818" TargetMode="External"/><Relationship Id="rId2256" Type="http://schemas.openxmlformats.org/officeDocument/2006/relationships/hyperlink" Target="http://dx.doi.org/10.1109/TVCG.2012.222" TargetMode="External"/><Relationship Id="rId331" Type="http://schemas.openxmlformats.org/officeDocument/2006/relationships/hyperlink" Target="http://dx.doi.org/10.1109/VISUAL.1995.480817" TargetMode="External"/><Relationship Id="rId2257" Type="http://schemas.openxmlformats.org/officeDocument/2006/relationships/hyperlink" Target="http://dx.doi.org/10.1109/TVCG.2012.223" TargetMode="External"/><Relationship Id="rId370" Type="http://schemas.openxmlformats.org/officeDocument/2006/relationships/hyperlink" Target="http://dx.doi.org/10.1109/INFVIS.1996.559222" TargetMode="External"/><Relationship Id="rId369" Type="http://schemas.openxmlformats.org/officeDocument/2006/relationships/hyperlink" Target="http://dx.doi.org/10.1109/INFVIS.1996.559221" TargetMode="External"/><Relationship Id="rId368" Type="http://schemas.openxmlformats.org/officeDocument/2006/relationships/hyperlink" Target="http://dx.doi.org/10.1109/INFVIS.1996.559220" TargetMode="External"/><Relationship Id="rId2280" Type="http://schemas.openxmlformats.org/officeDocument/2006/relationships/hyperlink" Target="http://dx.doi.org/10.1109/TVCG.2012.250" TargetMode="External"/><Relationship Id="rId2281" Type="http://schemas.openxmlformats.org/officeDocument/2006/relationships/hyperlink" Target="http://dx.doi.org/10.1109/TVCG.2012.251" TargetMode="External"/><Relationship Id="rId2282" Type="http://schemas.openxmlformats.org/officeDocument/2006/relationships/hyperlink" Target="http://dx.doi.org/10.1109/TVCG.2012.252" TargetMode="External"/><Relationship Id="rId363" Type="http://schemas.openxmlformats.org/officeDocument/2006/relationships/hyperlink" Target="http://dx.doi.org/10.1109/INFVIS.1996.559214" TargetMode="External"/><Relationship Id="rId2283" Type="http://schemas.openxmlformats.org/officeDocument/2006/relationships/hyperlink" Target="http://dx.doi.org/10.1109/TVCG.2012.253" TargetMode="External"/><Relationship Id="rId362" Type="http://schemas.openxmlformats.org/officeDocument/2006/relationships/hyperlink" Target="http://dx.doi.org/10.1109/INFVIS.1996.559213" TargetMode="External"/><Relationship Id="rId2284" Type="http://schemas.openxmlformats.org/officeDocument/2006/relationships/hyperlink" Target="http://dx.doi.org/10.1109/TVCG.2012.254" TargetMode="External"/><Relationship Id="rId361" Type="http://schemas.openxmlformats.org/officeDocument/2006/relationships/hyperlink" Target="http://dx.doi.org/10.1109/INFVIS.1996.559212" TargetMode="External"/><Relationship Id="rId2285" Type="http://schemas.openxmlformats.org/officeDocument/2006/relationships/hyperlink" Target="http://dx.doi.org/10.1109/TVCG.2012.255" TargetMode="External"/><Relationship Id="rId360" Type="http://schemas.openxmlformats.org/officeDocument/2006/relationships/hyperlink" Target="http://dx.doi.org/10.1109/INFVIS.1996.559211" TargetMode="External"/><Relationship Id="rId2286" Type="http://schemas.openxmlformats.org/officeDocument/2006/relationships/hyperlink" Target="http://dx.doi.org/10.1109/TVCG.2012.256" TargetMode="External"/><Relationship Id="rId367" Type="http://schemas.openxmlformats.org/officeDocument/2006/relationships/hyperlink" Target="http://dx.doi.org/10.1109/INFVIS.1996.559219" TargetMode="External"/><Relationship Id="rId2287" Type="http://schemas.openxmlformats.org/officeDocument/2006/relationships/hyperlink" Target="http://dx.doi.org/10.1109/TVCG.2012.258" TargetMode="External"/><Relationship Id="rId366" Type="http://schemas.openxmlformats.org/officeDocument/2006/relationships/hyperlink" Target="http://dx.doi.org/10.1109/INFVIS.1996.559218" TargetMode="External"/><Relationship Id="rId2288" Type="http://schemas.openxmlformats.org/officeDocument/2006/relationships/hyperlink" Target="http://dx.doi.org/10.1109/TVCG.2012.259" TargetMode="External"/><Relationship Id="rId365" Type="http://schemas.openxmlformats.org/officeDocument/2006/relationships/hyperlink" Target="http://dx.doi.org/10.1109/INFVIS.1996.559216" TargetMode="External"/><Relationship Id="rId2289" Type="http://schemas.openxmlformats.org/officeDocument/2006/relationships/hyperlink" Target="http://dx.doi.org/10.1109/TVCG.2012.260" TargetMode="External"/><Relationship Id="rId364" Type="http://schemas.openxmlformats.org/officeDocument/2006/relationships/hyperlink" Target="http://dx.doi.org/10.1109/INFVIS.1996.559215" TargetMode="External"/><Relationship Id="rId95" Type="http://schemas.openxmlformats.org/officeDocument/2006/relationships/hyperlink" Target="http://dx.doi.org/10.1109/VISUAL.1991.175820" TargetMode="External"/><Relationship Id="rId94" Type="http://schemas.openxmlformats.org/officeDocument/2006/relationships/hyperlink" Target="http://dx.doi.org/10.1109/VISUAL.1991.175819" TargetMode="External"/><Relationship Id="rId97" Type="http://schemas.openxmlformats.org/officeDocument/2006/relationships/hyperlink" Target="http://dx.doi.org/10.1109/VISUAL.1991.175823" TargetMode="External"/><Relationship Id="rId96" Type="http://schemas.openxmlformats.org/officeDocument/2006/relationships/hyperlink" Target="http://dx.doi.org/10.1109/VISUAL.1991.175821" TargetMode="External"/><Relationship Id="rId99" Type="http://schemas.openxmlformats.org/officeDocument/2006/relationships/hyperlink" Target="http://dx.doi.org/10.1109/VISUAL.1991.175825" TargetMode="External"/><Relationship Id="rId98" Type="http://schemas.openxmlformats.org/officeDocument/2006/relationships/hyperlink" Target="http://dx.doi.org/10.1109/VISUAL.1991.175824" TargetMode="External"/><Relationship Id="rId91" Type="http://schemas.openxmlformats.org/officeDocument/2006/relationships/hyperlink" Target="http://dx.doi.org/10.1109/VISUAL.1991.175815" TargetMode="External"/><Relationship Id="rId90" Type="http://schemas.openxmlformats.org/officeDocument/2006/relationships/hyperlink" Target="http://dx.doi.org/10.1109/VISUAL.1991.175814" TargetMode="External"/><Relationship Id="rId93" Type="http://schemas.openxmlformats.org/officeDocument/2006/relationships/hyperlink" Target="http://dx.doi.org/10.1109/VISUAL.1991.175818" TargetMode="External"/><Relationship Id="rId92" Type="http://schemas.openxmlformats.org/officeDocument/2006/relationships/hyperlink" Target="http://dx.doi.org/10.1109/VISUAL.1991.175816" TargetMode="External"/><Relationship Id="rId359" Type="http://schemas.openxmlformats.org/officeDocument/2006/relationships/hyperlink" Target="http://dx.doi.org/10.1109/INFVIS.1996.559210" TargetMode="External"/><Relationship Id="rId358" Type="http://schemas.openxmlformats.org/officeDocument/2006/relationships/hyperlink" Target="http://dx.doi.org/10.1109/VISUAL.1995.485171" TargetMode="External"/><Relationship Id="rId357" Type="http://schemas.openxmlformats.org/officeDocument/2006/relationships/hyperlink" Target="http://dx.doi.org/10.1109/VISUAL.1995.485170" TargetMode="External"/><Relationship Id="rId2270" Type="http://schemas.openxmlformats.org/officeDocument/2006/relationships/hyperlink" Target="http://dx.doi.org/10.1109/TVCG.2012.237" TargetMode="External"/><Relationship Id="rId2271" Type="http://schemas.openxmlformats.org/officeDocument/2006/relationships/hyperlink" Target="http://dx.doi.org/10.1109/TVCG.2012.238" TargetMode="External"/><Relationship Id="rId352" Type="http://schemas.openxmlformats.org/officeDocument/2006/relationships/hyperlink" Target="http://dx.doi.org/10.1109/VISUAL.1995.485155" TargetMode="External"/><Relationship Id="rId2272" Type="http://schemas.openxmlformats.org/officeDocument/2006/relationships/hyperlink" Target="http://dx.doi.org/10.1109/TVCG.2012.239" TargetMode="External"/><Relationship Id="rId351" Type="http://schemas.openxmlformats.org/officeDocument/2006/relationships/hyperlink" Target="http://dx.doi.org/10.1109/VISUAL.1995.485154" TargetMode="External"/><Relationship Id="rId2273" Type="http://schemas.openxmlformats.org/officeDocument/2006/relationships/hyperlink" Target="http://dx.doi.org/10.1109/TVCG.2012.240" TargetMode="External"/><Relationship Id="rId350" Type="http://schemas.openxmlformats.org/officeDocument/2006/relationships/hyperlink" Target="http://dx.doi.org/10.1109/VISUAL.1995.485153" TargetMode="External"/><Relationship Id="rId2274" Type="http://schemas.openxmlformats.org/officeDocument/2006/relationships/hyperlink" Target="http://dx.doi.org/10.1109/TVCG.2012.242" TargetMode="External"/><Relationship Id="rId2275" Type="http://schemas.openxmlformats.org/officeDocument/2006/relationships/hyperlink" Target="http://dx.doi.org/10.1109/TVCG.2012.243" TargetMode="External"/><Relationship Id="rId356" Type="http://schemas.openxmlformats.org/officeDocument/2006/relationships/hyperlink" Target="http://dx.doi.org/10.1109/VISUAL.1995.485169" TargetMode="External"/><Relationship Id="rId2276" Type="http://schemas.openxmlformats.org/officeDocument/2006/relationships/hyperlink" Target="http://dx.doi.org/10.1109/TVCG.2012.244" TargetMode="External"/><Relationship Id="rId355" Type="http://schemas.openxmlformats.org/officeDocument/2006/relationships/hyperlink" Target="http://dx.doi.org/10.1109/VISUAL.1995.485158" TargetMode="External"/><Relationship Id="rId2277" Type="http://schemas.openxmlformats.org/officeDocument/2006/relationships/hyperlink" Target="http://dx.doi.org/10.1109/TVCG.2012.245" TargetMode="External"/><Relationship Id="rId354" Type="http://schemas.openxmlformats.org/officeDocument/2006/relationships/hyperlink" Target="http://dx.doi.org/10.1109/VISUAL.1995.485157" TargetMode="External"/><Relationship Id="rId2278" Type="http://schemas.openxmlformats.org/officeDocument/2006/relationships/hyperlink" Target="http://dx.doi.org/10.1109/TVCG.2012.248" TargetMode="External"/><Relationship Id="rId353" Type="http://schemas.openxmlformats.org/officeDocument/2006/relationships/hyperlink" Target="http://dx.doi.org/10.1109/VISUAL.1995.485156" TargetMode="External"/><Relationship Id="rId2279" Type="http://schemas.openxmlformats.org/officeDocument/2006/relationships/hyperlink" Target="http://dx.doi.org/10.1109/TVCG.2012.249" TargetMode="External"/><Relationship Id="rId2225" Type="http://schemas.openxmlformats.org/officeDocument/2006/relationships/hyperlink" Target="http://dx.doi.org/10.1109/TVCG.2012.190" TargetMode="External"/><Relationship Id="rId2226" Type="http://schemas.openxmlformats.org/officeDocument/2006/relationships/hyperlink" Target="http://dx.doi.org/10.1109/TVCG.2012.191" TargetMode="External"/><Relationship Id="rId2227" Type="http://schemas.openxmlformats.org/officeDocument/2006/relationships/hyperlink" Target="http://dx.doi.org/10.1109/TVCG.2012.192" TargetMode="External"/><Relationship Id="rId2228" Type="http://schemas.openxmlformats.org/officeDocument/2006/relationships/hyperlink" Target="http://dx.doi.org/10.1109/TVCG.2012.193" TargetMode="External"/><Relationship Id="rId2229" Type="http://schemas.openxmlformats.org/officeDocument/2006/relationships/hyperlink" Target="http://dx.doi.org/10.1109/TVCG.2012.194" TargetMode="External"/><Relationship Id="rId305" Type="http://schemas.openxmlformats.org/officeDocument/2006/relationships/hyperlink" Target="http://dx.doi.org/10.1109/VISUAL.1995.480791" TargetMode="External"/><Relationship Id="rId304" Type="http://schemas.openxmlformats.org/officeDocument/2006/relationships/hyperlink" Target="http://dx.doi.org/10.1109/VISUAL.1995.480790" TargetMode="External"/><Relationship Id="rId303" Type="http://schemas.openxmlformats.org/officeDocument/2006/relationships/hyperlink" Target="http://dx.doi.org/10.1109/VISUAL.1995.480789" TargetMode="External"/><Relationship Id="rId302" Type="http://schemas.openxmlformats.org/officeDocument/2006/relationships/hyperlink" Target="http://dx.doi.org/10.1109/INFVIS.1995.528697" TargetMode="External"/><Relationship Id="rId309" Type="http://schemas.openxmlformats.org/officeDocument/2006/relationships/hyperlink" Target="http://dx.doi.org/10.1109/VISUAL.1995.480795" TargetMode="External"/><Relationship Id="rId308" Type="http://schemas.openxmlformats.org/officeDocument/2006/relationships/hyperlink" Target="http://dx.doi.org/10.1109/VISUAL.1995.480794" TargetMode="External"/><Relationship Id="rId307" Type="http://schemas.openxmlformats.org/officeDocument/2006/relationships/hyperlink" Target="http://dx.doi.org/10.1109/VISUAL.1995.480793" TargetMode="External"/><Relationship Id="rId306" Type="http://schemas.openxmlformats.org/officeDocument/2006/relationships/hyperlink" Target="http://dx.doi.org/10.1109/VISUAL.1995.480792" TargetMode="External"/><Relationship Id="rId2220" Type="http://schemas.openxmlformats.org/officeDocument/2006/relationships/hyperlink" Target="http://dx.doi.org/10.1109/VAST.2011.6102498" TargetMode="External"/><Relationship Id="rId301" Type="http://schemas.openxmlformats.org/officeDocument/2006/relationships/hyperlink" Target="http://dx.doi.org/10.1109/INFVIS.1995.528696" TargetMode="External"/><Relationship Id="rId2221" Type="http://schemas.openxmlformats.org/officeDocument/2006/relationships/hyperlink" Target="http://dx.doi.org/10.1109/TVCG.2012.186" TargetMode="External"/><Relationship Id="rId300" Type="http://schemas.openxmlformats.org/officeDocument/2006/relationships/hyperlink" Target="http://dx.doi.org/10.1109/INFVIS.1995.528695" TargetMode="External"/><Relationship Id="rId2222" Type="http://schemas.openxmlformats.org/officeDocument/2006/relationships/hyperlink" Target="http://dx.doi.org/10.1109/TVCG.2012.187" TargetMode="External"/><Relationship Id="rId2223" Type="http://schemas.openxmlformats.org/officeDocument/2006/relationships/hyperlink" Target="http://dx.doi.org/10.1109/TVCG.2012.188" TargetMode="External"/><Relationship Id="rId2224" Type="http://schemas.openxmlformats.org/officeDocument/2006/relationships/hyperlink" Target="http://dx.doi.org/10.1109/TVCG.2012.189" TargetMode="External"/><Relationship Id="rId2214" Type="http://schemas.openxmlformats.org/officeDocument/2006/relationships/hyperlink" Target="http://dx.doi.org/10.1109/VAST.2011.6102491" TargetMode="External"/><Relationship Id="rId2215" Type="http://schemas.openxmlformats.org/officeDocument/2006/relationships/hyperlink" Target="http://dx.doi.org/10.1109/VAST.2011.6102492" TargetMode="External"/><Relationship Id="rId2216" Type="http://schemas.openxmlformats.org/officeDocument/2006/relationships/hyperlink" Target="http://dx.doi.org/10.1109/VAST.2011.6102493" TargetMode="External"/><Relationship Id="rId2217" Type="http://schemas.openxmlformats.org/officeDocument/2006/relationships/hyperlink" Target="http://dx.doi.org/10.1109/VAST.2011.6102495" TargetMode="External"/><Relationship Id="rId2218" Type="http://schemas.openxmlformats.org/officeDocument/2006/relationships/hyperlink" Target="http://dx.doi.org/10.1109/VAST.2011.6102496" TargetMode="External"/><Relationship Id="rId2219" Type="http://schemas.openxmlformats.org/officeDocument/2006/relationships/hyperlink" Target="http://dx.doi.org/10.1109/VAST.2011.6102497" TargetMode="External"/><Relationship Id="rId2210" Type="http://schemas.openxmlformats.org/officeDocument/2006/relationships/hyperlink" Target="http://dx.doi.org/10.1109/VAST.2011.6102486" TargetMode="External"/><Relationship Id="rId2211" Type="http://schemas.openxmlformats.org/officeDocument/2006/relationships/hyperlink" Target="http://dx.doi.org/10.1109/VAST.2011.6102488" TargetMode="External"/><Relationship Id="rId2212" Type="http://schemas.openxmlformats.org/officeDocument/2006/relationships/hyperlink" Target="http://dx.doi.org/10.1109/VAST.2011.6102489" TargetMode="External"/><Relationship Id="rId2213" Type="http://schemas.openxmlformats.org/officeDocument/2006/relationships/hyperlink" Target="http://dx.doi.org/10.1109/VAST.2011.6102490" TargetMode="External"/><Relationship Id="rId2247" Type="http://schemas.openxmlformats.org/officeDocument/2006/relationships/hyperlink" Target="http://dx.doi.org/10.1109/TVCG.2012.213" TargetMode="External"/><Relationship Id="rId2248" Type="http://schemas.openxmlformats.org/officeDocument/2006/relationships/hyperlink" Target="http://dx.doi.org/10.1109/TVCG.2012.214" TargetMode="External"/><Relationship Id="rId2249" Type="http://schemas.openxmlformats.org/officeDocument/2006/relationships/hyperlink" Target="http://dx.doi.org/10.1109/TVCG.2012.215" TargetMode="External"/><Relationship Id="rId327" Type="http://schemas.openxmlformats.org/officeDocument/2006/relationships/hyperlink" Target="http://dx.doi.org/10.1109/VISUAL.1995.480813" TargetMode="External"/><Relationship Id="rId326" Type="http://schemas.openxmlformats.org/officeDocument/2006/relationships/hyperlink" Target="http://dx.doi.org/10.1109/VISUAL.1995.480812" TargetMode="External"/><Relationship Id="rId325" Type="http://schemas.openxmlformats.org/officeDocument/2006/relationships/hyperlink" Target="http://dx.doi.org/10.1109/VISUAL.1995.480811" TargetMode="External"/><Relationship Id="rId324" Type="http://schemas.openxmlformats.org/officeDocument/2006/relationships/hyperlink" Target="http://dx.doi.org/10.1109/VISUAL.1995.480810" TargetMode="External"/><Relationship Id="rId329" Type="http://schemas.openxmlformats.org/officeDocument/2006/relationships/hyperlink" Target="http://dx.doi.org/10.1109/VISUAL.1995.480815" TargetMode="External"/><Relationship Id="rId328" Type="http://schemas.openxmlformats.org/officeDocument/2006/relationships/hyperlink" Target="http://dx.doi.org/10.1109/VISUAL.1995.480814" TargetMode="External"/><Relationship Id="rId2240" Type="http://schemas.openxmlformats.org/officeDocument/2006/relationships/hyperlink" Target="http://dx.doi.org/10.1109/TVCG.2012.206" TargetMode="External"/><Relationship Id="rId2241" Type="http://schemas.openxmlformats.org/officeDocument/2006/relationships/hyperlink" Target="http://dx.doi.org/10.1109/TVCG.2012.207" TargetMode="External"/><Relationship Id="rId2242" Type="http://schemas.openxmlformats.org/officeDocument/2006/relationships/hyperlink" Target="http://dx.doi.org/10.1109/TVCG.2012.208" TargetMode="External"/><Relationship Id="rId323" Type="http://schemas.openxmlformats.org/officeDocument/2006/relationships/hyperlink" Target="http://dx.doi.org/10.1109/VISUAL.1995.480809" TargetMode="External"/><Relationship Id="rId2243" Type="http://schemas.openxmlformats.org/officeDocument/2006/relationships/hyperlink" Target="http://dx.doi.org/10.1109/TVCG.2012.209" TargetMode="External"/><Relationship Id="rId322" Type="http://schemas.openxmlformats.org/officeDocument/2006/relationships/hyperlink" Target="http://dx.doi.org/10.1109/VISUAL.1995.480808" TargetMode="External"/><Relationship Id="rId2244" Type="http://schemas.openxmlformats.org/officeDocument/2006/relationships/hyperlink" Target="http://dx.doi.org/10.1109/TVCG.2012.210" TargetMode="External"/><Relationship Id="rId321" Type="http://schemas.openxmlformats.org/officeDocument/2006/relationships/hyperlink" Target="http://dx.doi.org/10.1109/VISUAL.1995.480807" TargetMode="External"/><Relationship Id="rId2245" Type="http://schemas.openxmlformats.org/officeDocument/2006/relationships/hyperlink" Target="http://dx.doi.org/10.1109/TVCG.2012.211" TargetMode="External"/><Relationship Id="rId320" Type="http://schemas.openxmlformats.org/officeDocument/2006/relationships/hyperlink" Target="http://dx.doi.org/10.1109/VISUAL.1995.480806" TargetMode="External"/><Relationship Id="rId2246" Type="http://schemas.openxmlformats.org/officeDocument/2006/relationships/hyperlink" Target="http://dx.doi.org/10.1109/TVCG.2012.212" TargetMode="External"/><Relationship Id="rId2236" Type="http://schemas.openxmlformats.org/officeDocument/2006/relationships/hyperlink" Target="http://dx.doi.org/10.1109/TVCG.2012.202" TargetMode="External"/><Relationship Id="rId2237" Type="http://schemas.openxmlformats.org/officeDocument/2006/relationships/hyperlink" Target="http://dx.doi.org/10.1109/TVCG.2012.203" TargetMode="External"/><Relationship Id="rId2238" Type="http://schemas.openxmlformats.org/officeDocument/2006/relationships/hyperlink" Target="http://dx.doi.org/10.1109/TVCG.2012.204" TargetMode="External"/><Relationship Id="rId2239" Type="http://schemas.openxmlformats.org/officeDocument/2006/relationships/hyperlink" Target="http://dx.doi.org/10.1109/TVCG.2012.205" TargetMode="External"/><Relationship Id="rId316" Type="http://schemas.openxmlformats.org/officeDocument/2006/relationships/hyperlink" Target="http://dx.doi.org/10.1109/VISUAL.1995.480802" TargetMode="External"/><Relationship Id="rId315" Type="http://schemas.openxmlformats.org/officeDocument/2006/relationships/hyperlink" Target="http://dx.doi.org/10.1109/VISUAL.1995.480801" TargetMode="External"/><Relationship Id="rId314" Type="http://schemas.openxmlformats.org/officeDocument/2006/relationships/hyperlink" Target="http://dx.doi.org/10.1109/VISUAL.1995.480800" TargetMode="External"/><Relationship Id="rId313" Type="http://schemas.openxmlformats.org/officeDocument/2006/relationships/hyperlink" Target="http://dx.doi.org/10.1109/VISUAL.1995.480799" TargetMode="External"/><Relationship Id="rId319" Type="http://schemas.openxmlformats.org/officeDocument/2006/relationships/hyperlink" Target="http://dx.doi.org/10.1109/VISUAL.1995.480805" TargetMode="External"/><Relationship Id="rId318" Type="http://schemas.openxmlformats.org/officeDocument/2006/relationships/hyperlink" Target="http://dx.doi.org/10.1109/VISUAL.1995.480804" TargetMode="External"/><Relationship Id="rId317" Type="http://schemas.openxmlformats.org/officeDocument/2006/relationships/hyperlink" Target="http://dx.doi.org/10.1109/VISUAL.1995.480803" TargetMode="External"/><Relationship Id="rId2230" Type="http://schemas.openxmlformats.org/officeDocument/2006/relationships/hyperlink" Target="http://dx.doi.org/10.1109/TVCG.2012.195" TargetMode="External"/><Relationship Id="rId2231" Type="http://schemas.openxmlformats.org/officeDocument/2006/relationships/hyperlink" Target="http://dx.doi.org/10.1109/TVCG.2012.196" TargetMode="External"/><Relationship Id="rId312" Type="http://schemas.openxmlformats.org/officeDocument/2006/relationships/hyperlink" Target="http://dx.doi.org/10.1109/VISUAL.1995.480798" TargetMode="External"/><Relationship Id="rId2232" Type="http://schemas.openxmlformats.org/officeDocument/2006/relationships/hyperlink" Target="http://dx.doi.org/10.1109/TVCG.2012.197" TargetMode="External"/><Relationship Id="rId311" Type="http://schemas.openxmlformats.org/officeDocument/2006/relationships/hyperlink" Target="http://dx.doi.org/10.1109/VISUAL.1995.480797" TargetMode="External"/><Relationship Id="rId2233" Type="http://schemas.openxmlformats.org/officeDocument/2006/relationships/hyperlink" Target="http://dx.doi.org/10.1109/TVCG.2012.198" TargetMode="External"/><Relationship Id="rId310" Type="http://schemas.openxmlformats.org/officeDocument/2006/relationships/hyperlink" Target="http://dx.doi.org/10.1109/VISUAL.1995.480796" TargetMode="External"/><Relationship Id="rId2234" Type="http://schemas.openxmlformats.org/officeDocument/2006/relationships/hyperlink" Target="http://dx.doi.org/10.1109/TVCG.2012.199" TargetMode="External"/><Relationship Id="rId2235" Type="http://schemas.openxmlformats.org/officeDocument/2006/relationships/hyperlink" Target="http://dx.doi.org/10.1109/TVCG.2012.200" TargetMode="External"/><Relationship Id="rId297" Type="http://schemas.openxmlformats.org/officeDocument/2006/relationships/hyperlink" Target="http://dx.doi.org/10.1109/INFVIS.1995.528692" TargetMode="External"/><Relationship Id="rId296" Type="http://schemas.openxmlformats.org/officeDocument/2006/relationships/hyperlink" Target="http://dx.doi.org/10.1109/INFVIS.1995.528691" TargetMode="External"/><Relationship Id="rId295" Type="http://schemas.openxmlformats.org/officeDocument/2006/relationships/hyperlink" Target="http://dx.doi.org/10.1109/INFVIS.1995.528690" TargetMode="External"/><Relationship Id="rId294" Type="http://schemas.openxmlformats.org/officeDocument/2006/relationships/hyperlink" Target="http://dx.doi.org/10.1109/INFVIS.1995.528689" TargetMode="External"/><Relationship Id="rId299" Type="http://schemas.openxmlformats.org/officeDocument/2006/relationships/hyperlink" Target="http://dx.doi.org/10.1109/INFVIS.1995.528694" TargetMode="External"/><Relationship Id="rId298" Type="http://schemas.openxmlformats.org/officeDocument/2006/relationships/hyperlink" Target="http://dx.doi.org/10.1109/INFVIS.1995.528693" TargetMode="External"/><Relationship Id="rId271" Type="http://schemas.openxmlformats.org/officeDocument/2006/relationships/hyperlink" Target="http://dx.doi.org/10.1109/VISUAL.1994.346329" TargetMode="External"/><Relationship Id="rId270" Type="http://schemas.openxmlformats.org/officeDocument/2006/relationships/hyperlink" Target="http://dx.doi.org/10.1109/VISUAL.1994.346328" TargetMode="External"/><Relationship Id="rId269" Type="http://schemas.openxmlformats.org/officeDocument/2006/relationships/hyperlink" Target="http://dx.doi.org/10.1109/VISUAL.1994.346327" TargetMode="External"/><Relationship Id="rId264" Type="http://schemas.openxmlformats.org/officeDocument/2006/relationships/hyperlink" Target="http://dx.doi.org/10.1109/VISUAL.1994.346322" TargetMode="External"/><Relationship Id="rId263" Type="http://schemas.openxmlformats.org/officeDocument/2006/relationships/hyperlink" Target="http://dx.doi.org/10.1109/VISUAL.1994.346321" TargetMode="External"/><Relationship Id="rId262" Type="http://schemas.openxmlformats.org/officeDocument/2006/relationships/hyperlink" Target="http://dx.doi.org/10.1109/VISUAL.1994.346320" TargetMode="External"/><Relationship Id="rId261" Type="http://schemas.openxmlformats.org/officeDocument/2006/relationships/hyperlink" Target="http://dx.doi.org/10.1109/VISUAL.1994.346319" TargetMode="External"/><Relationship Id="rId268" Type="http://schemas.openxmlformats.org/officeDocument/2006/relationships/hyperlink" Target="http://dx.doi.org/10.1109/VISUAL.1994.346326" TargetMode="External"/><Relationship Id="rId267" Type="http://schemas.openxmlformats.org/officeDocument/2006/relationships/hyperlink" Target="http://dx.doi.org/10.1109/VISUAL.1994.346325" TargetMode="External"/><Relationship Id="rId266" Type="http://schemas.openxmlformats.org/officeDocument/2006/relationships/hyperlink" Target="http://dx.doi.org/10.1109/VISUAL.1994.346324" TargetMode="External"/><Relationship Id="rId265" Type="http://schemas.openxmlformats.org/officeDocument/2006/relationships/hyperlink" Target="http://dx.doi.org/10.1109/VISUAL.1994.346323" TargetMode="External"/><Relationship Id="rId260" Type="http://schemas.openxmlformats.org/officeDocument/2006/relationships/hyperlink" Target="http://dx.doi.org/10.1109/VISUAL.1994.346318" TargetMode="External"/><Relationship Id="rId259" Type="http://schemas.openxmlformats.org/officeDocument/2006/relationships/hyperlink" Target="http://dx.doi.org/10.1109/VISUAL.1994.346317" TargetMode="External"/><Relationship Id="rId258" Type="http://schemas.openxmlformats.org/officeDocument/2006/relationships/hyperlink" Target="http://dx.doi.org/10.1109/VISUAL.1994.346316" TargetMode="External"/><Relationship Id="rId2290" Type="http://schemas.openxmlformats.org/officeDocument/2006/relationships/hyperlink" Target="http://dx.doi.org/10.1109/TVCG.2012.261" TargetMode="External"/><Relationship Id="rId2291" Type="http://schemas.openxmlformats.org/officeDocument/2006/relationships/hyperlink" Target="http://dx.doi.org/10.1109/TVCG.2012.262" TargetMode="External"/><Relationship Id="rId2292" Type="http://schemas.openxmlformats.org/officeDocument/2006/relationships/hyperlink" Target="http://dx.doi.org/10.1109/TVCG.2012.263" TargetMode="External"/><Relationship Id="rId2293" Type="http://schemas.openxmlformats.org/officeDocument/2006/relationships/hyperlink" Target="http://dx.doi.org/10.1109/TVCG.2012.264" TargetMode="External"/><Relationship Id="rId253" Type="http://schemas.openxmlformats.org/officeDocument/2006/relationships/hyperlink" Target="http://dx.doi.org/10.1109/VISUAL.1994.346311" TargetMode="External"/><Relationship Id="rId2294" Type="http://schemas.openxmlformats.org/officeDocument/2006/relationships/hyperlink" Target="http://dx.doi.org/10.1109/TVCG.2012.265" TargetMode="External"/><Relationship Id="rId252" Type="http://schemas.openxmlformats.org/officeDocument/2006/relationships/hyperlink" Target="http://dx.doi.org/10.1109/VISUAL.1994.346310" TargetMode="External"/><Relationship Id="rId2295" Type="http://schemas.openxmlformats.org/officeDocument/2006/relationships/hyperlink" Target="http://dx.doi.org/10.1109/TVCG.2012.267" TargetMode="External"/><Relationship Id="rId251" Type="http://schemas.openxmlformats.org/officeDocument/2006/relationships/hyperlink" Target="http://dx.doi.org/10.1109/VISUAL.1994.346309" TargetMode="External"/><Relationship Id="rId2296" Type="http://schemas.openxmlformats.org/officeDocument/2006/relationships/hyperlink" Target="http://dx.doi.org/10.1109/TVCG.2012.269" TargetMode="External"/><Relationship Id="rId250" Type="http://schemas.openxmlformats.org/officeDocument/2006/relationships/hyperlink" Target="http://dx.doi.org/10.1109/VISUAL.1994.346308" TargetMode="External"/><Relationship Id="rId2297" Type="http://schemas.openxmlformats.org/officeDocument/2006/relationships/hyperlink" Target="http://dx.doi.org/10.1109/TVCG.2012.271" TargetMode="External"/><Relationship Id="rId257" Type="http://schemas.openxmlformats.org/officeDocument/2006/relationships/hyperlink" Target="http://dx.doi.org/10.1109/VISUAL.1994.346315" TargetMode="External"/><Relationship Id="rId2298" Type="http://schemas.openxmlformats.org/officeDocument/2006/relationships/hyperlink" Target="http://dx.doi.org/10.1109/TVCG.2012.272" TargetMode="External"/><Relationship Id="rId256" Type="http://schemas.openxmlformats.org/officeDocument/2006/relationships/hyperlink" Target="http://dx.doi.org/10.1109/VISUAL.1994.346314" TargetMode="External"/><Relationship Id="rId2299" Type="http://schemas.openxmlformats.org/officeDocument/2006/relationships/hyperlink" Target="http://dx.doi.org/10.1109/TVCG.2012.273" TargetMode="External"/><Relationship Id="rId255" Type="http://schemas.openxmlformats.org/officeDocument/2006/relationships/hyperlink" Target="http://dx.doi.org/10.1109/VISUAL.1994.346313" TargetMode="External"/><Relationship Id="rId254" Type="http://schemas.openxmlformats.org/officeDocument/2006/relationships/hyperlink" Target="http://dx.doi.org/10.1109/VISUAL.1994.346312" TargetMode="External"/><Relationship Id="rId293" Type="http://schemas.openxmlformats.org/officeDocument/2006/relationships/hyperlink" Target="http://dx.doi.org/10.1109/INFVIS.1995.528688" TargetMode="External"/><Relationship Id="rId292" Type="http://schemas.openxmlformats.org/officeDocument/2006/relationships/hyperlink" Target="http://dx.doi.org/10.1109/INFVIS.1995.528687" TargetMode="External"/><Relationship Id="rId291" Type="http://schemas.openxmlformats.org/officeDocument/2006/relationships/hyperlink" Target="http://dx.doi.org/10.1109/INFVIS.1995.528686" TargetMode="External"/><Relationship Id="rId290" Type="http://schemas.openxmlformats.org/officeDocument/2006/relationships/hyperlink" Target="http://dx.doi.org/10.1109/INFVIS.1995.528685" TargetMode="External"/><Relationship Id="rId286" Type="http://schemas.openxmlformats.org/officeDocument/2006/relationships/hyperlink" Target="http://dx.doi.org/10.1109/INFVIS.1995.528681" TargetMode="External"/><Relationship Id="rId285" Type="http://schemas.openxmlformats.org/officeDocument/2006/relationships/hyperlink" Target="http://dx.doi.org/10.1109/INFVIS.1995.528680" TargetMode="External"/><Relationship Id="rId284" Type="http://schemas.openxmlformats.org/officeDocument/2006/relationships/hyperlink" Target="http://dx.doi.org/10.1109/VISUAL.1994.346342" TargetMode="External"/><Relationship Id="rId283" Type="http://schemas.openxmlformats.org/officeDocument/2006/relationships/hyperlink" Target="http://dx.doi.org/10.1109/VISUAL.1994.346341" TargetMode="External"/><Relationship Id="rId289" Type="http://schemas.openxmlformats.org/officeDocument/2006/relationships/hyperlink" Target="http://dx.doi.org/10.1109/INFVIS.1995.528684" TargetMode="External"/><Relationship Id="rId288" Type="http://schemas.openxmlformats.org/officeDocument/2006/relationships/hyperlink" Target="http://dx.doi.org/10.1109/INFVIS.1995.528683" TargetMode="External"/><Relationship Id="rId287" Type="http://schemas.openxmlformats.org/officeDocument/2006/relationships/hyperlink" Target="http://dx.doi.org/10.1109/INFVIS.1995.528682" TargetMode="External"/><Relationship Id="rId282" Type="http://schemas.openxmlformats.org/officeDocument/2006/relationships/hyperlink" Target="http://dx.doi.org/10.1109/VISUAL.1994.346340" TargetMode="External"/><Relationship Id="rId281" Type="http://schemas.openxmlformats.org/officeDocument/2006/relationships/hyperlink" Target="http://dx.doi.org/10.1109/VISUAL.1994.346339" TargetMode="External"/><Relationship Id="rId280" Type="http://schemas.openxmlformats.org/officeDocument/2006/relationships/hyperlink" Target="http://dx.doi.org/10.1109/VISUAL.1994.346338" TargetMode="External"/><Relationship Id="rId275" Type="http://schemas.openxmlformats.org/officeDocument/2006/relationships/hyperlink" Target="http://dx.doi.org/10.1109/VISUAL.1994.346333" TargetMode="External"/><Relationship Id="rId274" Type="http://schemas.openxmlformats.org/officeDocument/2006/relationships/hyperlink" Target="http://dx.doi.org/10.1109/VISUAL.1994.346332" TargetMode="External"/><Relationship Id="rId273" Type="http://schemas.openxmlformats.org/officeDocument/2006/relationships/hyperlink" Target="http://dx.doi.org/10.1109/VISUAL.1994.346331" TargetMode="External"/><Relationship Id="rId272" Type="http://schemas.openxmlformats.org/officeDocument/2006/relationships/hyperlink" Target="http://dx.doi.org/10.1109/VISUAL.1994.346330" TargetMode="External"/><Relationship Id="rId279" Type="http://schemas.openxmlformats.org/officeDocument/2006/relationships/hyperlink" Target="http://dx.doi.org/10.1109/VISUAL.1994.346337" TargetMode="External"/><Relationship Id="rId278" Type="http://schemas.openxmlformats.org/officeDocument/2006/relationships/hyperlink" Target="http://dx.doi.org/10.1109/VISUAL.1994.346336" TargetMode="External"/><Relationship Id="rId277" Type="http://schemas.openxmlformats.org/officeDocument/2006/relationships/hyperlink" Target="http://dx.doi.org/10.1109/VISUAL.1994.346335" TargetMode="External"/><Relationship Id="rId276" Type="http://schemas.openxmlformats.org/officeDocument/2006/relationships/hyperlink" Target="http://dx.doi.org/10.1109/VISUAL.1994.346334" TargetMode="External"/><Relationship Id="rId1851" Type="http://schemas.openxmlformats.org/officeDocument/2006/relationships/hyperlink" Target="http://dx.doi.org/10.1109/TVCG.2009.169" TargetMode="External"/><Relationship Id="rId1852" Type="http://schemas.openxmlformats.org/officeDocument/2006/relationships/hyperlink" Target="http://dx.doi.org/10.1109/TVCG.2009.170" TargetMode="External"/><Relationship Id="rId1853" Type="http://schemas.openxmlformats.org/officeDocument/2006/relationships/hyperlink" Target="http://dx.doi.org/10.1109/TVCG.2009.171" TargetMode="External"/><Relationship Id="rId1854" Type="http://schemas.openxmlformats.org/officeDocument/2006/relationships/hyperlink" Target="http://dx.doi.org/10.1109/TVCG.2009.172" TargetMode="External"/><Relationship Id="rId1855" Type="http://schemas.openxmlformats.org/officeDocument/2006/relationships/hyperlink" Target="http://dx.doi.org/10.1109/TVCG.2009.173" TargetMode="External"/><Relationship Id="rId1856" Type="http://schemas.openxmlformats.org/officeDocument/2006/relationships/hyperlink" Target="http://dx.doi.org/10.1109/TVCG.2009.174" TargetMode="External"/><Relationship Id="rId1857" Type="http://schemas.openxmlformats.org/officeDocument/2006/relationships/hyperlink" Target="http://dx.doi.org/10.1109/TVCG.2009.175" TargetMode="External"/><Relationship Id="rId1858" Type="http://schemas.openxmlformats.org/officeDocument/2006/relationships/hyperlink" Target="http://dx.doi.org/10.1109/TVCG.2009.176" TargetMode="External"/><Relationship Id="rId1859" Type="http://schemas.openxmlformats.org/officeDocument/2006/relationships/hyperlink" Target="http://dx.doi.org/10.1109/TVCG.2009.177" TargetMode="External"/><Relationship Id="rId1850" Type="http://schemas.openxmlformats.org/officeDocument/2006/relationships/hyperlink" Target="http://dx.doi.org/10.1109/TVCG.2009.168" TargetMode="External"/><Relationship Id="rId1840" Type="http://schemas.openxmlformats.org/officeDocument/2006/relationships/hyperlink" Target="http://dx.doi.org/10.1109/TVCG.2009.158" TargetMode="External"/><Relationship Id="rId1841" Type="http://schemas.openxmlformats.org/officeDocument/2006/relationships/hyperlink" Target="http://dx.doi.org/10.1109/TVCG.2009.159" TargetMode="External"/><Relationship Id="rId1842" Type="http://schemas.openxmlformats.org/officeDocument/2006/relationships/hyperlink" Target="http://dx.doi.org/10.1109/TVCG.2009.160" TargetMode="External"/><Relationship Id="rId1843" Type="http://schemas.openxmlformats.org/officeDocument/2006/relationships/hyperlink" Target="http://dx.doi.org/10.1109/TVCG.2009.161" TargetMode="External"/><Relationship Id="rId1844" Type="http://schemas.openxmlformats.org/officeDocument/2006/relationships/hyperlink" Target="http://dx.doi.org/10.1109/TVCG.2009.162" TargetMode="External"/><Relationship Id="rId1845" Type="http://schemas.openxmlformats.org/officeDocument/2006/relationships/hyperlink" Target="http://dx.doi.org/10.1109/TVCG.2009.163" TargetMode="External"/><Relationship Id="rId1846" Type="http://schemas.openxmlformats.org/officeDocument/2006/relationships/hyperlink" Target="http://dx.doi.org/10.1109/TVCG.2009.164" TargetMode="External"/><Relationship Id="rId1847" Type="http://schemas.openxmlformats.org/officeDocument/2006/relationships/hyperlink" Target="http://dx.doi.org/10.1109/TVCG.2009.165" TargetMode="External"/><Relationship Id="rId1848" Type="http://schemas.openxmlformats.org/officeDocument/2006/relationships/hyperlink" Target="http://dx.doi.org/10.1109/TVCG.2009.166" TargetMode="External"/><Relationship Id="rId1849" Type="http://schemas.openxmlformats.org/officeDocument/2006/relationships/hyperlink" Target="http://dx.doi.org/10.1109/TVCG.2009.167" TargetMode="External"/><Relationship Id="rId1873" Type="http://schemas.openxmlformats.org/officeDocument/2006/relationships/hyperlink" Target="http://dx.doi.org/10.1109/TVCG.2009.191" TargetMode="External"/><Relationship Id="rId1874" Type="http://schemas.openxmlformats.org/officeDocument/2006/relationships/hyperlink" Target="http://dx.doi.org/10.1109/TVCG.2009.194" TargetMode="External"/><Relationship Id="rId1875" Type="http://schemas.openxmlformats.org/officeDocument/2006/relationships/hyperlink" Target="http://dx.doi.org/10.1109/TVCG.2009.195" TargetMode="External"/><Relationship Id="rId1876" Type="http://schemas.openxmlformats.org/officeDocument/2006/relationships/hyperlink" Target="http://dx.doi.org/10.1109/TVCG.2009.196" TargetMode="External"/><Relationship Id="rId1877" Type="http://schemas.openxmlformats.org/officeDocument/2006/relationships/hyperlink" Target="http://dx.doi.org/10.1109/TVCG.2009.197" TargetMode="External"/><Relationship Id="rId1878" Type="http://schemas.openxmlformats.org/officeDocument/2006/relationships/hyperlink" Target="http://dx.doi.org/10.1109/TVCG.2009.198" TargetMode="External"/><Relationship Id="rId1879" Type="http://schemas.openxmlformats.org/officeDocument/2006/relationships/hyperlink" Target="http://dx.doi.org/10.1109/TVCG.2009.199" TargetMode="External"/><Relationship Id="rId1870" Type="http://schemas.openxmlformats.org/officeDocument/2006/relationships/hyperlink" Target="http://dx.doi.org/10.1109/TVCG.2009.188" TargetMode="External"/><Relationship Id="rId1871" Type="http://schemas.openxmlformats.org/officeDocument/2006/relationships/hyperlink" Target="http://dx.doi.org/10.1109/TVCG.2009.189" TargetMode="External"/><Relationship Id="rId1872" Type="http://schemas.openxmlformats.org/officeDocument/2006/relationships/hyperlink" Target="http://dx.doi.org/10.1109/TVCG.2009.190" TargetMode="External"/><Relationship Id="rId1862" Type="http://schemas.openxmlformats.org/officeDocument/2006/relationships/hyperlink" Target="http://dx.doi.org/10.1109/TVCG.2009.180" TargetMode="External"/><Relationship Id="rId1863" Type="http://schemas.openxmlformats.org/officeDocument/2006/relationships/hyperlink" Target="http://dx.doi.org/10.1109/TVCG.2009.181" TargetMode="External"/><Relationship Id="rId1864" Type="http://schemas.openxmlformats.org/officeDocument/2006/relationships/hyperlink" Target="http://dx.doi.org/10.1109/TVCG.2009.182" TargetMode="External"/><Relationship Id="rId1865" Type="http://schemas.openxmlformats.org/officeDocument/2006/relationships/hyperlink" Target="http://dx.doi.org/10.1109/TVCG.2009.183" TargetMode="External"/><Relationship Id="rId1866" Type="http://schemas.openxmlformats.org/officeDocument/2006/relationships/hyperlink" Target="http://dx.doi.org/10.1109/TVCG.2009.184" TargetMode="External"/><Relationship Id="rId1867" Type="http://schemas.openxmlformats.org/officeDocument/2006/relationships/hyperlink" Target="http://dx.doi.org/10.1109/TVCG.2009.185" TargetMode="External"/><Relationship Id="rId1868" Type="http://schemas.openxmlformats.org/officeDocument/2006/relationships/hyperlink" Target="http://dx.doi.org/10.1109/TVCG.2009.186" TargetMode="External"/><Relationship Id="rId1869" Type="http://schemas.openxmlformats.org/officeDocument/2006/relationships/hyperlink" Target="http://dx.doi.org/10.1109/TVCG.2009.187" TargetMode="External"/><Relationship Id="rId1860" Type="http://schemas.openxmlformats.org/officeDocument/2006/relationships/hyperlink" Target="http://dx.doi.org/10.1109/TVCG.2009.178" TargetMode="External"/><Relationship Id="rId1861" Type="http://schemas.openxmlformats.org/officeDocument/2006/relationships/hyperlink" Target="http://dx.doi.org/10.1109/TVCG.2009.179" TargetMode="External"/><Relationship Id="rId1810" Type="http://schemas.openxmlformats.org/officeDocument/2006/relationships/hyperlink" Target="http://dx.doi.org/10.1109/TVCG.2009.124" TargetMode="External"/><Relationship Id="rId1811" Type="http://schemas.openxmlformats.org/officeDocument/2006/relationships/hyperlink" Target="http://dx.doi.org/10.1109/TVCG.2009.125" TargetMode="External"/><Relationship Id="rId1812" Type="http://schemas.openxmlformats.org/officeDocument/2006/relationships/hyperlink" Target="http://dx.doi.org/10.1109/TVCG.2009.126" TargetMode="External"/><Relationship Id="rId1813" Type="http://schemas.openxmlformats.org/officeDocument/2006/relationships/hyperlink" Target="http://dx.doi.org/10.1109/TVCG.2009.127" TargetMode="External"/><Relationship Id="rId1814" Type="http://schemas.openxmlformats.org/officeDocument/2006/relationships/hyperlink" Target="http://dx.doi.org/10.1109/TVCG.2009.128" TargetMode="External"/><Relationship Id="rId1815" Type="http://schemas.openxmlformats.org/officeDocument/2006/relationships/hyperlink" Target="http://dx.doi.org/10.1109/TVCG.2009.129" TargetMode="External"/><Relationship Id="rId1816" Type="http://schemas.openxmlformats.org/officeDocument/2006/relationships/hyperlink" Target="http://dx.doi.org/10.1109/TVCG.2009.130" TargetMode="External"/><Relationship Id="rId1817" Type="http://schemas.openxmlformats.org/officeDocument/2006/relationships/hyperlink" Target="http://dx.doi.org/10.1109/TVCG.2009.131" TargetMode="External"/><Relationship Id="rId1818" Type="http://schemas.openxmlformats.org/officeDocument/2006/relationships/hyperlink" Target="http://dx.doi.org/10.1109/TVCG.2009.136" TargetMode="External"/><Relationship Id="rId1819" Type="http://schemas.openxmlformats.org/officeDocument/2006/relationships/hyperlink" Target="http://dx.doi.org/10.1109/TVCG.2009.137" TargetMode="External"/><Relationship Id="rId1800" Type="http://schemas.openxmlformats.org/officeDocument/2006/relationships/hyperlink" Target="http://dx.doi.org/10.1109/TVCG.2009.114" TargetMode="External"/><Relationship Id="rId1801" Type="http://schemas.openxmlformats.org/officeDocument/2006/relationships/hyperlink" Target="http://dx.doi.org/10.1109/TVCG.2009.115" TargetMode="External"/><Relationship Id="rId1802" Type="http://schemas.openxmlformats.org/officeDocument/2006/relationships/hyperlink" Target="http://dx.doi.org/10.1109/TVCG.2009.116" TargetMode="External"/><Relationship Id="rId1803" Type="http://schemas.openxmlformats.org/officeDocument/2006/relationships/hyperlink" Target="http://dx.doi.org/10.1109/TVCG.2009.117" TargetMode="External"/><Relationship Id="rId1804" Type="http://schemas.openxmlformats.org/officeDocument/2006/relationships/hyperlink" Target="http://dx.doi.org/10.1109/TVCG.2009.118" TargetMode="External"/><Relationship Id="rId1805" Type="http://schemas.openxmlformats.org/officeDocument/2006/relationships/hyperlink" Target="http://dx.doi.org/10.1109/TVCG.2009.119" TargetMode="External"/><Relationship Id="rId1806" Type="http://schemas.openxmlformats.org/officeDocument/2006/relationships/hyperlink" Target="http://dx.doi.org/10.1109/TVCG.2009.120" TargetMode="External"/><Relationship Id="rId1807" Type="http://schemas.openxmlformats.org/officeDocument/2006/relationships/hyperlink" Target="http://dx.doi.org/10.1109/TVCG.2009.121" TargetMode="External"/><Relationship Id="rId1808" Type="http://schemas.openxmlformats.org/officeDocument/2006/relationships/hyperlink" Target="http://dx.doi.org/10.1109/TVCG.2009.122" TargetMode="External"/><Relationship Id="rId1809" Type="http://schemas.openxmlformats.org/officeDocument/2006/relationships/hyperlink" Target="http://dx.doi.org/10.1109/TVCG.2009.123" TargetMode="External"/><Relationship Id="rId1830" Type="http://schemas.openxmlformats.org/officeDocument/2006/relationships/hyperlink" Target="http://dx.doi.org/10.1109/TVCG.2009.148" TargetMode="External"/><Relationship Id="rId1831" Type="http://schemas.openxmlformats.org/officeDocument/2006/relationships/hyperlink" Target="http://dx.doi.org/10.1109/TVCG.2009.149" TargetMode="External"/><Relationship Id="rId1832" Type="http://schemas.openxmlformats.org/officeDocument/2006/relationships/hyperlink" Target="http://dx.doi.org/10.1109/TVCG.2009.150" TargetMode="External"/><Relationship Id="rId1833" Type="http://schemas.openxmlformats.org/officeDocument/2006/relationships/hyperlink" Target="http://dx.doi.org/10.1109/TVCG.2009.151" TargetMode="External"/><Relationship Id="rId1834" Type="http://schemas.openxmlformats.org/officeDocument/2006/relationships/hyperlink" Target="http://dx.doi.org/10.1109/TVCG.2009.152" TargetMode="External"/><Relationship Id="rId1835" Type="http://schemas.openxmlformats.org/officeDocument/2006/relationships/hyperlink" Target="http://dx.doi.org/10.1109/TVCG.2009.153" TargetMode="External"/><Relationship Id="rId1836" Type="http://schemas.openxmlformats.org/officeDocument/2006/relationships/hyperlink" Target="http://dx.doi.org/10.1109/TVCG.2009.154" TargetMode="External"/><Relationship Id="rId1837" Type="http://schemas.openxmlformats.org/officeDocument/2006/relationships/hyperlink" Target="http://dx.doi.org/10.1109/TVCG.2009.155" TargetMode="External"/><Relationship Id="rId1838" Type="http://schemas.openxmlformats.org/officeDocument/2006/relationships/hyperlink" Target="http://dx.doi.org/10.1109/TVCG.2009.156" TargetMode="External"/><Relationship Id="rId1839" Type="http://schemas.openxmlformats.org/officeDocument/2006/relationships/hyperlink" Target="http://dx.doi.org/10.1109/TVCG.2009.157" TargetMode="External"/><Relationship Id="rId1820" Type="http://schemas.openxmlformats.org/officeDocument/2006/relationships/hyperlink" Target="http://dx.doi.org/10.1109/TVCG.2009.138" TargetMode="External"/><Relationship Id="rId1821" Type="http://schemas.openxmlformats.org/officeDocument/2006/relationships/hyperlink" Target="http://dx.doi.org/10.1109/TVCG.2009.139" TargetMode="External"/><Relationship Id="rId1822" Type="http://schemas.openxmlformats.org/officeDocument/2006/relationships/hyperlink" Target="http://dx.doi.org/10.1109/TVCG.2009.140" TargetMode="External"/><Relationship Id="rId1823" Type="http://schemas.openxmlformats.org/officeDocument/2006/relationships/hyperlink" Target="http://dx.doi.org/10.1109/TVCG.2009.141" TargetMode="External"/><Relationship Id="rId1824" Type="http://schemas.openxmlformats.org/officeDocument/2006/relationships/hyperlink" Target="http://dx.doi.org/10.1109/TVCG.2009.142" TargetMode="External"/><Relationship Id="rId1825" Type="http://schemas.openxmlformats.org/officeDocument/2006/relationships/hyperlink" Target="http://dx.doi.org/10.1109/TVCG.2009.143" TargetMode="External"/><Relationship Id="rId1826" Type="http://schemas.openxmlformats.org/officeDocument/2006/relationships/hyperlink" Target="http://dx.doi.org/10.1109/TVCG.2009.144" TargetMode="External"/><Relationship Id="rId1827" Type="http://schemas.openxmlformats.org/officeDocument/2006/relationships/hyperlink" Target="http://dx.doi.org/10.1109/TVCG.2009.145" TargetMode="External"/><Relationship Id="rId1828" Type="http://schemas.openxmlformats.org/officeDocument/2006/relationships/hyperlink" Target="http://dx.doi.org/10.1109/TVCG.2009.146" TargetMode="External"/><Relationship Id="rId1829" Type="http://schemas.openxmlformats.org/officeDocument/2006/relationships/hyperlink" Target="http://dx.doi.org/10.1109/TVCG.2009.147" TargetMode="External"/><Relationship Id="rId2302" Type="http://schemas.openxmlformats.org/officeDocument/2006/relationships/hyperlink" Target="http://dx.doi.org/10.1109/TVCG.2012.276" TargetMode="External"/><Relationship Id="rId2303" Type="http://schemas.openxmlformats.org/officeDocument/2006/relationships/hyperlink" Target="http://dx.doi.org/10.1109/TVCG.2012.277" TargetMode="External"/><Relationship Id="rId2304" Type="http://schemas.openxmlformats.org/officeDocument/2006/relationships/hyperlink" Target="http://dx.doi.org/10.1109/TVCG.2012.278" TargetMode="External"/><Relationship Id="rId2305" Type="http://schemas.openxmlformats.org/officeDocument/2006/relationships/hyperlink" Target="http://dx.doi.org/10.1109/TVCG.2012.279" TargetMode="External"/><Relationship Id="rId2306" Type="http://schemas.openxmlformats.org/officeDocument/2006/relationships/hyperlink" Target="http://dx.doi.org/10.1109/TVCG.2012.280" TargetMode="External"/><Relationship Id="rId2307" Type="http://schemas.openxmlformats.org/officeDocument/2006/relationships/hyperlink" Target="http://dx.doi.org/10.1109/TVCG.2012.281" TargetMode="External"/><Relationship Id="rId2308" Type="http://schemas.openxmlformats.org/officeDocument/2006/relationships/hyperlink" Target="http://dx.doi.org/10.1109/TVCG.2012.282" TargetMode="External"/><Relationship Id="rId2309" Type="http://schemas.openxmlformats.org/officeDocument/2006/relationships/hyperlink" Target="http://dx.doi.org/10.1109/TVCG.2012.283" TargetMode="External"/><Relationship Id="rId2300" Type="http://schemas.openxmlformats.org/officeDocument/2006/relationships/hyperlink" Target="http://dx.doi.org/10.1109/TVCG.2012.274" TargetMode="External"/><Relationship Id="rId2301" Type="http://schemas.openxmlformats.org/officeDocument/2006/relationships/hyperlink" Target="http://dx.doi.org/10.1109/TVCG.2012.275" TargetMode="External"/><Relationship Id="rId2324" Type="http://schemas.openxmlformats.org/officeDocument/2006/relationships/hyperlink" Target="http://dx.doi.org/10.1109/VAST.2012.6400491" TargetMode="External"/><Relationship Id="rId2325" Type="http://schemas.openxmlformats.org/officeDocument/2006/relationships/hyperlink" Target="http://dx.doi.org/10.1109/VAST.2012.6400492" TargetMode="External"/><Relationship Id="rId2326" Type="http://schemas.openxmlformats.org/officeDocument/2006/relationships/hyperlink" Target="http://dx.doi.org/10.1109/VAST.2012.6400493" TargetMode="External"/><Relationship Id="rId2327" Type="http://schemas.openxmlformats.org/officeDocument/2006/relationships/hyperlink" Target="http://dx.doi.org/10.1109/VAST.2012.6400494" TargetMode="External"/><Relationship Id="rId2328" Type="http://schemas.openxmlformats.org/officeDocument/2006/relationships/hyperlink" Target="http://dx.doi.org/10.1109/VAST.2012.6400530" TargetMode="External"/><Relationship Id="rId2329" Type="http://schemas.openxmlformats.org/officeDocument/2006/relationships/hyperlink" Target="http://dx.doi.org/10.1109/VAST.2012.6400531" TargetMode="External"/><Relationship Id="rId2320" Type="http://schemas.openxmlformats.org/officeDocument/2006/relationships/hyperlink" Target="http://dx.doi.org/10.1109/VAST.2012.6400487" TargetMode="External"/><Relationship Id="rId2321" Type="http://schemas.openxmlformats.org/officeDocument/2006/relationships/hyperlink" Target="http://dx.doi.org/10.1109/VAST.2012.6400488" TargetMode="External"/><Relationship Id="rId2322" Type="http://schemas.openxmlformats.org/officeDocument/2006/relationships/hyperlink" Target="http://dx.doi.org/10.1109/VAST.2012.6400489" TargetMode="External"/><Relationship Id="rId2323" Type="http://schemas.openxmlformats.org/officeDocument/2006/relationships/hyperlink" Target="http://dx.doi.org/10.1109/VAST.2012.6400490" TargetMode="External"/><Relationship Id="rId2313" Type="http://schemas.openxmlformats.org/officeDocument/2006/relationships/hyperlink" Target="http://dx.doi.org/10.1109/TVCG.2012.287" TargetMode="External"/><Relationship Id="rId2314" Type="http://schemas.openxmlformats.org/officeDocument/2006/relationships/hyperlink" Target="http://dx.doi.org/10.1109/TVCG.2012.288" TargetMode="External"/><Relationship Id="rId2315" Type="http://schemas.openxmlformats.org/officeDocument/2006/relationships/hyperlink" Target="http://dx.doi.org/10.1109/TVCG.2012.291" TargetMode="External"/><Relationship Id="rId2316" Type="http://schemas.openxmlformats.org/officeDocument/2006/relationships/hyperlink" Target="http://dx.doi.org/10.1109/TVCG.2012.292" TargetMode="External"/><Relationship Id="rId2317" Type="http://schemas.openxmlformats.org/officeDocument/2006/relationships/hyperlink" Target="http://dx.doi.org/10.1109/VAST.2012.6400484" TargetMode="External"/><Relationship Id="rId2318" Type="http://schemas.openxmlformats.org/officeDocument/2006/relationships/hyperlink" Target="http://dx.doi.org/10.1109/VAST.2012.6400485" TargetMode="External"/><Relationship Id="rId2319" Type="http://schemas.openxmlformats.org/officeDocument/2006/relationships/hyperlink" Target="http://dx.doi.org/10.1109/VAST.2012.6400486" TargetMode="External"/><Relationship Id="rId2310" Type="http://schemas.openxmlformats.org/officeDocument/2006/relationships/hyperlink" Target="http://dx.doi.org/10.1109/TVCG.2012.284" TargetMode="External"/><Relationship Id="rId2311" Type="http://schemas.openxmlformats.org/officeDocument/2006/relationships/hyperlink" Target="http://dx.doi.org/10.1109/TVCG.2012.285" TargetMode="External"/><Relationship Id="rId2312" Type="http://schemas.openxmlformats.org/officeDocument/2006/relationships/hyperlink" Target="http://dx.doi.org/10.1109/TVCG.2012.286" TargetMode="External"/><Relationship Id="rId1895" Type="http://schemas.openxmlformats.org/officeDocument/2006/relationships/hyperlink" Target="http://dx.doi.org/10.1109/VAST.2009.5332629" TargetMode="External"/><Relationship Id="rId1896" Type="http://schemas.openxmlformats.org/officeDocument/2006/relationships/hyperlink" Target="http://dx.doi.org/10.1109/VAST.2009.5333020" TargetMode="External"/><Relationship Id="rId1897" Type="http://schemas.openxmlformats.org/officeDocument/2006/relationships/hyperlink" Target="http://dx.doi.org/10.1109/VAST.2009.5333023" TargetMode="External"/><Relationship Id="rId1898" Type="http://schemas.openxmlformats.org/officeDocument/2006/relationships/hyperlink" Target="http://dx.doi.org/10.1109/VAST.2009.5333081" TargetMode="External"/><Relationship Id="rId1899" Type="http://schemas.openxmlformats.org/officeDocument/2006/relationships/hyperlink" Target="http://dx.doi.org/10.1109/VAST.2009.5333082" TargetMode="External"/><Relationship Id="rId1890" Type="http://schemas.openxmlformats.org/officeDocument/2006/relationships/hyperlink" Target="http://dx.doi.org/10.1109/VAST.2009.5332595" TargetMode="External"/><Relationship Id="rId1891" Type="http://schemas.openxmlformats.org/officeDocument/2006/relationships/hyperlink" Target="http://dx.doi.org/10.1109/VAST.2009.5332596" TargetMode="External"/><Relationship Id="rId1892" Type="http://schemas.openxmlformats.org/officeDocument/2006/relationships/hyperlink" Target="http://dx.doi.org/10.1109/VAST.2009.5332610" TargetMode="External"/><Relationship Id="rId1893" Type="http://schemas.openxmlformats.org/officeDocument/2006/relationships/hyperlink" Target="http://dx.doi.org/10.1109/VAST.2009.5332611" TargetMode="External"/><Relationship Id="rId1894" Type="http://schemas.openxmlformats.org/officeDocument/2006/relationships/hyperlink" Target="http://dx.doi.org/10.1109/VAST.2009.5332628" TargetMode="External"/><Relationship Id="rId1884" Type="http://schemas.openxmlformats.org/officeDocument/2006/relationships/hyperlink" Target="http://dx.doi.org/10.1109/TVCG.2009.204" TargetMode="External"/><Relationship Id="rId1885" Type="http://schemas.openxmlformats.org/officeDocument/2006/relationships/hyperlink" Target="http://dx.doi.org/10.1109/VAST.2009.5332481" TargetMode="External"/><Relationship Id="rId1886" Type="http://schemas.openxmlformats.org/officeDocument/2006/relationships/hyperlink" Target="http://dx.doi.org/10.1109/VAST.2009.5332485" TargetMode="External"/><Relationship Id="rId1887" Type="http://schemas.openxmlformats.org/officeDocument/2006/relationships/hyperlink" Target="http://dx.doi.org/10.1109/VAST.2009.5332584" TargetMode="External"/><Relationship Id="rId1888" Type="http://schemas.openxmlformats.org/officeDocument/2006/relationships/hyperlink" Target="http://dx.doi.org/10.1109/VAST.2009.5332586" TargetMode="External"/><Relationship Id="rId1889" Type="http://schemas.openxmlformats.org/officeDocument/2006/relationships/hyperlink" Target="http://dx.doi.org/10.1109/VAST.2009.5332593" TargetMode="External"/><Relationship Id="rId1880" Type="http://schemas.openxmlformats.org/officeDocument/2006/relationships/hyperlink" Target="http://dx.doi.org/10.1109/TVCG.2009.200" TargetMode="External"/><Relationship Id="rId1881" Type="http://schemas.openxmlformats.org/officeDocument/2006/relationships/hyperlink" Target="http://dx.doi.org/10.1109/TVCG.2009.201" TargetMode="External"/><Relationship Id="rId1882" Type="http://schemas.openxmlformats.org/officeDocument/2006/relationships/hyperlink" Target="http://dx.doi.org/10.1109/TVCG.2009.202" TargetMode="External"/><Relationship Id="rId1883" Type="http://schemas.openxmlformats.org/officeDocument/2006/relationships/hyperlink" Target="http://dx.doi.org/10.1109/TVCG.2009.203" TargetMode="External"/><Relationship Id="rId1059" Type="http://schemas.openxmlformats.org/officeDocument/2006/relationships/hyperlink" Target="http://dx.doi.org/10.1109/VISUAL.2003.1250357" TargetMode="External"/><Relationship Id="rId228" Type="http://schemas.openxmlformats.org/officeDocument/2006/relationships/hyperlink" Target="http://dx.doi.org/10.1109/VISUAL.1994.346286" TargetMode="External"/><Relationship Id="rId227" Type="http://schemas.openxmlformats.org/officeDocument/2006/relationships/hyperlink" Target="http://dx.doi.org/10.1109/VISUAL.1994.346285" TargetMode="External"/><Relationship Id="rId226" Type="http://schemas.openxmlformats.org/officeDocument/2006/relationships/hyperlink" Target="http://dx.doi.org/10.1109/VISUAL.1994.346284" TargetMode="External"/><Relationship Id="rId225" Type="http://schemas.openxmlformats.org/officeDocument/2006/relationships/hyperlink" Target="http://dx.doi.org/10.1109/VISUAL.1993.398911" TargetMode="External"/><Relationship Id="rId2380" Type="http://schemas.openxmlformats.org/officeDocument/2006/relationships/hyperlink" Target="http://dx.doi.org/10.1109/TVCG.2013.141" TargetMode="External"/><Relationship Id="rId229" Type="http://schemas.openxmlformats.org/officeDocument/2006/relationships/hyperlink" Target="http://dx.doi.org/10.1109/VISUAL.1994.346287" TargetMode="External"/><Relationship Id="rId1050" Type="http://schemas.openxmlformats.org/officeDocument/2006/relationships/hyperlink" Target="http://doi.ieeecomputersociety.org/10.1109/INFVIS.2003.1249032" TargetMode="External"/><Relationship Id="rId2381" Type="http://schemas.openxmlformats.org/officeDocument/2006/relationships/hyperlink" Target="http://dx.doi.org/10.1109/TVCG.2013.142" TargetMode="External"/><Relationship Id="rId220" Type="http://schemas.openxmlformats.org/officeDocument/2006/relationships/hyperlink" Target="http://dx.doi.org/10.1109/VISUAL.1993.398900" TargetMode="External"/><Relationship Id="rId1051" Type="http://schemas.openxmlformats.org/officeDocument/2006/relationships/hyperlink" Target="http://dx.doi.org/10.1109/VISUAL.2003.1250348" TargetMode="External"/><Relationship Id="rId2382" Type="http://schemas.openxmlformats.org/officeDocument/2006/relationships/hyperlink" Target="http://dx.doi.org/10.1109/TVCG.2013.143" TargetMode="External"/><Relationship Id="rId1052" Type="http://schemas.openxmlformats.org/officeDocument/2006/relationships/hyperlink" Target="http://dx.doi.org/10.1109/VISUAL.2003.1250350" TargetMode="External"/><Relationship Id="rId2383" Type="http://schemas.openxmlformats.org/officeDocument/2006/relationships/hyperlink" Target="http://dx.doi.org/10.1109/TVCG.2013.144" TargetMode="External"/><Relationship Id="rId1053" Type="http://schemas.openxmlformats.org/officeDocument/2006/relationships/hyperlink" Target="http://dx.doi.org/10.1109/VISUAL.2003.1250351" TargetMode="External"/><Relationship Id="rId2384" Type="http://schemas.openxmlformats.org/officeDocument/2006/relationships/hyperlink" Target="http://dx.doi.org/10.1109/TVCG.2013.145" TargetMode="External"/><Relationship Id="rId1054" Type="http://schemas.openxmlformats.org/officeDocument/2006/relationships/hyperlink" Target="http://dx.doi.org/10.1109/VISUAL.2003.1250352" TargetMode="External"/><Relationship Id="rId2385" Type="http://schemas.openxmlformats.org/officeDocument/2006/relationships/hyperlink" Target="http://dx.doi.org/10.1109/TVCG.2013.146" TargetMode="External"/><Relationship Id="rId224" Type="http://schemas.openxmlformats.org/officeDocument/2006/relationships/hyperlink" Target="http://dx.doi.org/10.1109/VISUAL.1993.398904" TargetMode="External"/><Relationship Id="rId1055" Type="http://schemas.openxmlformats.org/officeDocument/2006/relationships/hyperlink" Target="http://dx.doi.org/10.1109/VISUAL.2003.1250353" TargetMode="External"/><Relationship Id="rId2386" Type="http://schemas.openxmlformats.org/officeDocument/2006/relationships/hyperlink" Target="http://dx.doi.org/10.1109/TVCG.2013.147" TargetMode="External"/><Relationship Id="rId223" Type="http://schemas.openxmlformats.org/officeDocument/2006/relationships/hyperlink" Target="http://dx.doi.org/10.1109/VISUAL.1993.398903" TargetMode="External"/><Relationship Id="rId1056" Type="http://schemas.openxmlformats.org/officeDocument/2006/relationships/hyperlink" Target="http://dx.doi.org/10.1109/VISUAL.2003.1250354" TargetMode="External"/><Relationship Id="rId2387" Type="http://schemas.openxmlformats.org/officeDocument/2006/relationships/hyperlink" Target="http://dx.doi.org/10.1109/TVCG.2013.148" TargetMode="External"/><Relationship Id="rId222" Type="http://schemas.openxmlformats.org/officeDocument/2006/relationships/hyperlink" Target="http://dx.doi.org/10.1109/VISUAL.1993.398902" TargetMode="External"/><Relationship Id="rId1057" Type="http://schemas.openxmlformats.org/officeDocument/2006/relationships/hyperlink" Target="http://dx.doi.org/10.1109/VISUAL.2003.1250355" TargetMode="External"/><Relationship Id="rId2388" Type="http://schemas.openxmlformats.org/officeDocument/2006/relationships/hyperlink" Target="http://dx.doi.org/10.1109/TVCG.2013.149" TargetMode="External"/><Relationship Id="rId221" Type="http://schemas.openxmlformats.org/officeDocument/2006/relationships/hyperlink" Target="http://dx.doi.org/10.1109/VISUAL.1993.398901" TargetMode="External"/><Relationship Id="rId1058" Type="http://schemas.openxmlformats.org/officeDocument/2006/relationships/hyperlink" Target="http://dx.doi.org/10.1109/VISUAL.2003.1250356" TargetMode="External"/><Relationship Id="rId2389" Type="http://schemas.openxmlformats.org/officeDocument/2006/relationships/hyperlink" Target="http://dx.doi.org/10.1109/TVCG.2013.150" TargetMode="External"/><Relationship Id="rId1048" Type="http://schemas.openxmlformats.org/officeDocument/2006/relationships/hyperlink" Target="http://dx.doi.org/10.1109/INFVIS.2003.1249030" TargetMode="External"/><Relationship Id="rId2379" Type="http://schemas.openxmlformats.org/officeDocument/2006/relationships/hyperlink" Target="http://dx.doi.org/10.1109/TVCG.2013.140" TargetMode="External"/><Relationship Id="rId1049" Type="http://schemas.openxmlformats.org/officeDocument/2006/relationships/hyperlink" Target="http://dx.doi.org/10.1109/INFVIS.2003.1249031" TargetMode="External"/><Relationship Id="rId217" Type="http://schemas.openxmlformats.org/officeDocument/2006/relationships/hyperlink" Target="http://dx.doi.org/10.1109/VISUAL.1993.398897" TargetMode="External"/><Relationship Id="rId216" Type="http://schemas.openxmlformats.org/officeDocument/2006/relationships/hyperlink" Target="http://dx.doi.org/10.1109/VISUAL.1993.398896" TargetMode="External"/><Relationship Id="rId215" Type="http://schemas.openxmlformats.org/officeDocument/2006/relationships/hyperlink" Target="http://dx.doi.org/10.1109/VISUAL.1993.398895" TargetMode="External"/><Relationship Id="rId214" Type="http://schemas.openxmlformats.org/officeDocument/2006/relationships/hyperlink" Target="http://dx.doi.org/10.1109/VISUAL.1993.398894" TargetMode="External"/><Relationship Id="rId219" Type="http://schemas.openxmlformats.org/officeDocument/2006/relationships/hyperlink" Target="http://dx.doi.org/10.1109/VISUAL.1993.398899" TargetMode="External"/><Relationship Id="rId218" Type="http://schemas.openxmlformats.org/officeDocument/2006/relationships/hyperlink" Target="http://dx.doi.org/10.1109/VISUAL.1993.398898" TargetMode="External"/><Relationship Id="rId2370" Type="http://schemas.openxmlformats.org/officeDocument/2006/relationships/hyperlink" Target="http://dx.doi.org/10.1109/TVCG.2013.130" TargetMode="External"/><Relationship Id="rId1040" Type="http://schemas.openxmlformats.org/officeDocument/2006/relationships/hyperlink" Target="http://dx.doi.org/10.1109/INFVIS.2003.1249022" TargetMode="External"/><Relationship Id="rId2371" Type="http://schemas.openxmlformats.org/officeDocument/2006/relationships/hyperlink" Target="http://dx.doi.org/10.1109/TVCG.2013.131" TargetMode="External"/><Relationship Id="rId1041" Type="http://schemas.openxmlformats.org/officeDocument/2006/relationships/hyperlink" Target="http://dx.doi.org/10.1109/INFVIS.2003.1249023" TargetMode="External"/><Relationship Id="rId2372" Type="http://schemas.openxmlformats.org/officeDocument/2006/relationships/hyperlink" Target="http://dx.doi.org/10.1109/TVCG.2013.132" TargetMode="External"/><Relationship Id="rId1042" Type="http://schemas.openxmlformats.org/officeDocument/2006/relationships/hyperlink" Target="http://dx.doi.org/10.1109/INFVIS.2003.1249024" TargetMode="External"/><Relationship Id="rId2373" Type="http://schemas.openxmlformats.org/officeDocument/2006/relationships/hyperlink" Target="http://dx.doi.org/10.1109/TVCG.2013.133" TargetMode="External"/><Relationship Id="rId1043" Type="http://schemas.openxmlformats.org/officeDocument/2006/relationships/hyperlink" Target="http://dx.doi.org/10.1109/INFVIS.2003.1249025" TargetMode="External"/><Relationship Id="rId2374" Type="http://schemas.openxmlformats.org/officeDocument/2006/relationships/hyperlink" Target="http://dx.doi.org/10.1109/TVCG.2013.134" TargetMode="External"/><Relationship Id="rId213" Type="http://schemas.openxmlformats.org/officeDocument/2006/relationships/hyperlink" Target="http://dx.doi.org/10.1109/VISUAL.1993.398893" TargetMode="External"/><Relationship Id="rId1044" Type="http://schemas.openxmlformats.org/officeDocument/2006/relationships/hyperlink" Target="http://dx.doi.org/10.1109/INFVIS.2003.1249026" TargetMode="External"/><Relationship Id="rId2375" Type="http://schemas.openxmlformats.org/officeDocument/2006/relationships/hyperlink" Target="http://dx.doi.org/10.1109/TVCG.2013.135" TargetMode="External"/><Relationship Id="rId212" Type="http://schemas.openxmlformats.org/officeDocument/2006/relationships/hyperlink" Target="http://dx.doi.org/10.1109/VISUAL.1993.398892" TargetMode="External"/><Relationship Id="rId1045" Type="http://schemas.openxmlformats.org/officeDocument/2006/relationships/hyperlink" Target="http://dx.doi.org/10.1109/INFVIS.2003.1249027" TargetMode="External"/><Relationship Id="rId2376" Type="http://schemas.openxmlformats.org/officeDocument/2006/relationships/hyperlink" Target="http://dx.doi.org/10.1109/TVCG.2013.137" TargetMode="External"/><Relationship Id="rId211" Type="http://schemas.openxmlformats.org/officeDocument/2006/relationships/hyperlink" Target="http://dx.doi.org/10.1109/VISUAL.1993.398885" TargetMode="External"/><Relationship Id="rId1046" Type="http://schemas.openxmlformats.org/officeDocument/2006/relationships/hyperlink" Target="http://dx.doi.org/10.1109/INFVIS.2003.1249028" TargetMode="External"/><Relationship Id="rId2377" Type="http://schemas.openxmlformats.org/officeDocument/2006/relationships/hyperlink" Target="http://dx.doi.org/10.1109/TVCG.2013.138" TargetMode="External"/><Relationship Id="rId210" Type="http://schemas.openxmlformats.org/officeDocument/2006/relationships/hyperlink" Target="http://dx.doi.org/10.1109/VISUAL.1993.398884" TargetMode="External"/><Relationship Id="rId1047" Type="http://schemas.openxmlformats.org/officeDocument/2006/relationships/hyperlink" Target="http://doi.ieeecomputersociety.org/10.1109/INFVIS.2003.1249029" TargetMode="External"/><Relationship Id="rId2378" Type="http://schemas.openxmlformats.org/officeDocument/2006/relationships/hyperlink" Target="http://dx.doi.org/10.1109/TVCG.2013.139" TargetMode="External"/><Relationship Id="rId249" Type="http://schemas.openxmlformats.org/officeDocument/2006/relationships/hyperlink" Target="http://dx.doi.org/10.1109/VISUAL.1994.346307" TargetMode="External"/><Relationship Id="rId248" Type="http://schemas.openxmlformats.org/officeDocument/2006/relationships/hyperlink" Target="http://dx.doi.org/10.1109/VISUAL.1994.346306" TargetMode="External"/><Relationship Id="rId247" Type="http://schemas.openxmlformats.org/officeDocument/2006/relationships/hyperlink" Target="http://dx.doi.org/10.1109/VISUAL.1994.346305" TargetMode="External"/><Relationship Id="rId1070" Type="http://schemas.openxmlformats.org/officeDocument/2006/relationships/hyperlink" Target="http://dx.doi.org/10.1109/VISUAL.2003.1250368" TargetMode="External"/><Relationship Id="rId1071" Type="http://schemas.openxmlformats.org/officeDocument/2006/relationships/hyperlink" Target="http://dx.doi.org/10.1109/VISUAL.2003.1250369" TargetMode="External"/><Relationship Id="rId1072" Type="http://schemas.openxmlformats.org/officeDocument/2006/relationships/hyperlink" Target="http://dx.doi.org/10.1109/VISUAL.2003.1250370" TargetMode="External"/><Relationship Id="rId242" Type="http://schemas.openxmlformats.org/officeDocument/2006/relationships/hyperlink" Target="http://dx.doi.org/10.1109/VISUAL.1994.346300" TargetMode="External"/><Relationship Id="rId1073" Type="http://schemas.openxmlformats.org/officeDocument/2006/relationships/hyperlink" Target="http://dx.doi.org/10.1109/VISUAL.2003.1250371" TargetMode="External"/><Relationship Id="rId241" Type="http://schemas.openxmlformats.org/officeDocument/2006/relationships/hyperlink" Target="http://dx.doi.org/10.1109/VISUAL.1994.346299" TargetMode="External"/><Relationship Id="rId1074" Type="http://schemas.openxmlformats.org/officeDocument/2006/relationships/hyperlink" Target="http://dx.doi.org/10.1109/VISUAL.2003.1250372" TargetMode="External"/><Relationship Id="rId240" Type="http://schemas.openxmlformats.org/officeDocument/2006/relationships/hyperlink" Target="http://dx.doi.org/10.1109/VISUAL.1994.346298" TargetMode="External"/><Relationship Id="rId1075" Type="http://schemas.openxmlformats.org/officeDocument/2006/relationships/hyperlink" Target="http://dx.doi.org/10.1109/VISUAL.2003.1250373" TargetMode="External"/><Relationship Id="rId1076" Type="http://schemas.openxmlformats.org/officeDocument/2006/relationships/hyperlink" Target="http://dx.doi.org/10.1109/VISUAL.2003.1250374" TargetMode="External"/><Relationship Id="rId246" Type="http://schemas.openxmlformats.org/officeDocument/2006/relationships/hyperlink" Target="http://dx.doi.org/10.1109/VISUAL.1994.346304" TargetMode="External"/><Relationship Id="rId1077" Type="http://schemas.openxmlformats.org/officeDocument/2006/relationships/hyperlink" Target="http://dx.doi.org/10.1109/VISUAL.2003.1250375" TargetMode="External"/><Relationship Id="rId245" Type="http://schemas.openxmlformats.org/officeDocument/2006/relationships/hyperlink" Target="http://dx.doi.org/10.1109/VISUAL.1994.346303" TargetMode="External"/><Relationship Id="rId1078" Type="http://schemas.openxmlformats.org/officeDocument/2006/relationships/hyperlink" Target="http://dx.doi.org/10.1109/VISUAL.2003.1250376" TargetMode="External"/><Relationship Id="rId244" Type="http://schemas.openxmlformats.org/officeDocument/2006/relationships/hyperlink" Target="http://dx.doi.org/10.1109/VISUAL.1994.346302" TargetMode="External"/><Relationship Id="rId1079" Type="http://schemas.openxmlformats.org/officeDocument/2006/relationships/hyperlink" Target="http://dx.doi.org/10.1109/VISUAL.2003.1250377" TargetMode="External"/><Relationship Id="rId243" Type="http://schemas.openxmlformats.org/officeDocument/2006/relationships/hyperlink" Target="http://dx.doi.org/10.1109/VISUAL.1994.346301" TargetMode="External"/><Relationship Id="rId239" Type="http://schemas.openxmlformats.org/officeDocument/2006/relationships/hyperlink" Target="http://dx.doi.org/10.1109/VISUAL.1994.346297" TargetMode="External"/><Relationship Id="rId238" Type="http://schemas.openxmlformats.org/officeDocument/2006/relationships/hyperlink" Target="http://dx.doi.org/10.1109/VISUAL.1994.346296" TargetMode="External"/><Relationship Id="rId237" Type="http://schemas.openxmlformats.org/officeDocument/2006/relationships/hyperlink" Target="http://dx.doi.org/10.1109/VISUAL.1994.346295" TargetMode="External"/><Relationship Id="rId236" Type="http://schemas.openxmlformats.org/officeDocument/2006/relationships/hyperlink" Target="http://dx.doi.org/10.1109/VISUAL.1994.346294" TargetMode="External"/><Relationship Id="rId2390" Type="http://schemas.openxmlformats.org/officeDocument/2006/relationships/hyperlink" Target="http://dx.doi.org/10.1109/TVCG.2013.151" TargetMode="External"/><Relationship Id="rId1060" Type="http://schemas.openxmlformats.org/officeDocument/2006/relationships/hyperlink" Target="http://dx.doi.org/10.1109/VISUAL.2003.1250358" TargetMode="External"/><Relationship Id="rId2391" Type="http://schemas.openxmlformats.org/officeDocument/2006/relationships/hyperlink" Target="http://dx.doi.org/10.1109/TVCG.2013.152" TargetMode="External"/><Relationship Id="rId1061" Type="http://schemas.openxmlformats.org/officeDocument/2006/relationships/hyperlink" Target="http://dx.doi.org/10.1109/VISUAL.2003.1250359" TargetMode="External"/><Relationship Id="rId2392" Type="http://schemas.openxmlformats.org/officeDocument/2006/relationships/hyperlink" Target="http://dx.doi.org/10.1109/TVCG.2013.153" TargetMode="External"/><Relationship Id="rId231" Type="http://schemas.openxmlformats.org/officeDocument/2006/relationships/hyperlink" Target="http://dx.doi.org/10.1109/VISUAL.1994.346289" TargetMode="External"/><Relationship Id="rId1062" Type="http://schemas.openxmlformats.org/officeDocument/2006/relationships/hyperlink" Target="http://dx.doi.org/10.1109/VISUAL.2003.1250360" TargetMode="External"/><Relationship Id="rId2393" Type="http://schemas.openxmlformats.org/officeDocument/2006/relationships/hyperlink" Target="http://dx.doi.org/10.1109/TVCG.2013.154" TargetMode="External"/><Relationship Id="rId230" Type="http://schemas.openxmlformats.org/officeDocument/2006/relationships/hyperlink" Target="http://dx.doi.org/10.1109/VISUAL.1994.346288" TargetMode="External"/><Relationship Id="rId1063" Type="http://schemas.openxmlformats.org/officeDocument/2006/relationships/hyperlink" Target="http://dx.doi.org/10.1109/VISUAL.2003.1250361" TargetMode="External"/><Relationship Id="rId2394" Type="http://schemas.openxmlformats.org/officeDocument/2006/relationships/hyperlink" Target="http://dx.doi.org/10.1109/TVCG.2013.155" TargetMode="External"/><Relationship Id="rId1064" Type="http://schemas.openxmlformats.org/officeDocument/2006/relationships/hyperlink" Target="http://dx.doi.org/10.1109/VISUAL.2003.1250362" TargetMode="External"/><Relationship Id="rId2395" Type="http://schemas.openxmlformats.org/officeDocument/2006/relationships/hyperlink" Target="http://dx.doi.org/10.1109/TVCG.2013.156" TargetMode="External"/><Relationship Id="rId1065" Type="http://schemas.openxmlformats.org/officeDocument/2006/relationships/hyperlink" Target="http://dx.doi.org/10.1109/VISUAL.2003.1250363" TargetMode="External"/><Relationship Id="rId2396" Type="http://schemas.openxmlformats.org/officeDocument/2006/relationships/hyperlink" Target="http://dx.doi.org/10.1109/TVCG.2013.157" TargetMode="External"/><Relationship Id="rId235" Type="http://schemas.openxmlformats.org/officeDocument/2006/relationships/hyperlink" Target="http://dx.doi.org/10.1109/VISUAL.1994.346293" TargetMode="External"/><Relationship Id="rId1066" Type="http://schemas.openxmlformats.org/officeDocument/2006/relationships/hyperlink" Target="http://dx.doi.org/10.1109/VISUAL.2003.1250364" TargetMode="External"/><Relationship Id="rId2397" Type="http://schemas.openxmlformats.org/officeDocument/2006/relationships/hyperlink" Target="http://dx.doi.org/10.1109/TVCG.2013.158" TargetMode="External"/><Relationship Id="rId234" Type="http://schemas.openxmlformats.org/officeDocument/2006/relationships/hyperlink" Target="http://dx.doi.org/10.1109/VISUAL.1994.346292" TargetMode="External"/><Relationship Id="rId1067" Type="http://schemas.openxmlformats.org/officeDocument/2006/relationships/hyperlink" Target="http://dx.doi.org/10.1109/VISUAL.2003.1250365" TargetMode="External"/><Relationship Id="rId2398" Type="http://schemas.openxmlformats.org/officeDocument/2006/relationships/hyperlink" Target="http://dx.doi.org/10.1109/TVCG.2013.159" TargetMode="External"/><Relationship Id="rId233" Type="http://schemas.openxmlformats.org/officeDocument/2006/relationships/hyperlink" Target="http://dx.doi.org/10.1109/VISUAL.1994.346291" TargetMode="External"/><Relationship Id="rId1068" Type="http://schemas.openxmlformats.org/officeDocument/2006/relationships/hyperlink" Target="http://dx.doi.org/10.1109/VISUAL.2003.1250366" TargetMode="External"/><Relationship Id="rId2399" Type="http://schemas.openxmlformats.org/officeDocument/2006/relationships/hyperlink" Target="http://dx.doi.org/10.1109/TVCG.2013.160" TargetMode="External"/><Relationship Id="rId232" Type="http://schemas.openxmlformats.org/officeDocument/2006/relationships/hyperlink" Target="http://dx.doi.org/10.1109/VISUAL.1994.346290" TargetMode="External"/><Relationship Id="rId1069" Type="http://schemas.openxmlformats.org/officeDocument/2006/relationships/hyperlink" Target="http://dx.doi.org/10.1109/VISUAL.2003.1250367" TargetMode="External"/><Relationship Id="rId1015" Type="http://schemas.openxmlformats.org/officeDocument/2006/relationships/hyperlink" Target="http://dx.doi.org/10.1109/VISUAL.2002.1183828" TargetMode="External"/><Relationship Id="rId2346" Type="http://schemas.openxmlformats.org/officeDocument/2006/relationships/hyperlink" Target="http://dx.doi.org/10.1109/VAST.2012.6400548" TargetMode="External"/><Relationship Id="rId1016" Type="http://schemas.openxmlformats.org/officeDocument/2006/relationships/hyperlink" Target="http://dx.doi.org/10.1109/VISUAL.2002.1183829" TargetMode="External"/><Relationship Id="rId2347" Type="http://schemas.openxmlformats.org/officeDocument/2006/relationships/hyperlink" Target="http://dx.doi.org/10.1109/VAST.2012.6400549" TargetMode="External"/><Relationship Id="rId1017" Type="http://schemas.openxmlformats.org/officeDocument/2006/relationships/hyperlink" Target="http://dx.doi.org/10.1109/VISUAL.2002.1183830" TargetMode="External"/><Relationship Id="rId2348" Type="http://schemas.openxmlformats.org/officeDocument/2006/relationships/hyperlink" Target="http://dx.doi.org/10.1109/VAST.2012.6400550" TargetMode="External"/><Relationship Id="rId1018" Type="http://schemas.openxmlformats.org/officeDocument/2006/relationships/hyperlink" Target="http://dx.doi.org/10.1109/INFVIS.2003.1249000" TargetMode="External"/><Relationship Id="rId2349" Type="http://schemas.openxmlformats.org/officeDocument/2006/relationships/hyperlink" Target="http://dx.doi.org/10.1109/VAST.2012.6400551" TargetMode="External"/><Relationship Id="rId1019" Type="http://schemas.openxmlformats.org/officeDocument/2006/relationships/hyperlink" Target="http://dx.doi.org/10.1109/INFVIS.2003.1249001" TargetMode="External"/><Relationship Id="rId2340" Type="http://schemas.openxmlformats.org/officeDocument/2006/relationships/hyperlink" Target="http://dx.doi.org/10.1109/VAST.2012.6400542" TargetMode="External"/><Relationship Id="rId1010" Type="http://schemas.openxmlformats.org/officeDocument/2006/relationships/hyperlink" Target="http://dx.doi.org/10.1109/VISUAL.2002.1183823" TargetMode="External"/><Relationship Id="rId2341" Type="http://schemas.openxmlformats.org/officeDocument/2006/relationships/hyperlink" Target="http://dx.doi.org/10.1109/VAST.2012.6400543" TargetMode="External"/><Relationship Id="rId1011" Type="http://schemas.openxmlformats.org/officeDocument/2006/relationships/hyperlink" Target="http://dx.doi.org/10.1109/VISUAL.2002.1183824" TargetMode="External"/><Relationship Id="rId2342" Type="http://schemas.openxmlformats.org/officeDocument/2006/relationships/hyperlink" Target="http://dx.doi.org/10.1109/VAST.2012.6400544" TargetMode="External"/><Relationship Id="rId1012" Type="http://schemas.openxmlformats.org/officeDocument/2006/relationships/hyperlink" Target="http://dx.doi.org/10.1109/VISUAL.2002.1183825" TargetMode="External"/><Relationship Id="rId2343" Type="http://schemas.openxmlformats.org/officeDocument/2006/relationships/hyperlink" Target="http://dx.doi.org/10.1109/VAST.2012.6400545" TargetMode="External"/><Relationship Id="rId1013" Type="http://schemas.openxmlformats.org/officeDocument/2006/relationships/hyperlink" Target="http://dx.doi.org/10.1109/VISUAL.2002.1183826" TargetMode="External"/><Relationship Id="rId2344" Type="http://schemas.openxmlformats.org/officeDocument/2006/relationships/hyperlink" Target="http://dx.doi.org/10.1109/VAST.2012.6400546" TargetMode="External"/><Relationship Id="rId1014" Type="http://schemas.openxmlformats.org/officeDocument/2006/relationships/hyperlink" Target="http://dx.doi.org/10.1109/VISUAL.2002.1183827" TargetMode="External"/><Relationship Id="rId2345" Type="http://schemas.openxmlformats.org/officeDocument/2006/relationships/hyperlink" Target="http://dx.doi.org/10.1109/VAST.2012.6400547" TargetMode="External"/><Relationship Id="rId1004" Type="http://schemas.openxmlformats.org/officeDocument/2006/relationships/hyperlink" Target="http://dx.doi.org/10.1109/VISUAL.2002.1183817" TargetMode="External"/><Relationship Id="rId2335" Type="http://schemas.openxmlformats.org/officeDocument/2006/relationships/hyperlink" Target="http://dx.doi.org/10.1109/VAST.2012.6400537" TargetMode="External"/><Relationship Id="rId1005" Type="http://schemas.openxmlformats.org/officeDocument/2006/relationships/hyperlink" Target="http://dx.doi.org/10.1109/VISUAL.2002.1183818" TargetMode="External"/><Relationship Id="rId2336" Type="http://schemas.openxmlformats.org/officeDocument/2006/relationships/hyperlink" Target="http://dx.doi.org/10.1109/VAST.2012.6400538" TargetMode="External"/><Relationship Id="rId1006" Type="http://schemas.openxmlformats.org/officeDocument/2006/relationships/hyperlink" Target="http://dx.doi.org/10.1109/VISUAL.2002.1183819" TargetMode="External"/><Relationship Id="rId2337" Type="http://schemas.openxmlformats.org/officeDocument/2006/relationships/hyperlink" Target="http://dx.doi.org/10.1109/VAST.2012.6400539" TargetMode="External"/><Relationship Id="rId1007" Type="http://schemas.openxmlformats.org/officeDocument/2006/relationships/hyperlink" Target="http://dx.doi.org/10.1109/VISUAL.2002.1183820" TargetMode="External"/><Relationship Id="rId2338" Type="http://schemas.openxmlformats.org/officeDocument/2006/relationships/hyperlink" Target="http://dx.doi.org/10.1109/VAST.2012.6400540" TargetMode="External"/><Relationship Id="rId1008" Type="http://schemas.openxmlformats.org/officeDocument/2006/relationships/hyperlink" Target="http://dx.doi.org/10.1109/VISUAL.2002.1183821" TargetMode="External"/><Relationship Id="rId2339" Type="http://schemas.openxmlformats.org/officeDocument/2006/relationships/hyperlink" Target="http://dx.doi.org/10.1109/VAST.2012.6400541" TargetMode="External"/><Relationship Id="rId1009" Type="http://schemas.openxmlformats.org/officeDocument/2006/relationships/hyperlink" Target="http://dx.doi.org/10.1109/VISUAL.2002.1183822" TargetMode="External"/><Relationship Id="rId2330" Type="http://schemas.openxmlformats.org/officeDocument/2006/relationships/hyperlink" Target="http://dx.doi.org/10.1109/VAST.2012.6400532" TargetMode="External"/><Relationship Id="rId1000" Type="http://schemas.openxmlformats.org/officeDocument/2006/relationships/hyperlink" Target="http://dx.doi.org/10.1109/VISUAL.2002.1183813" TargetMode="External"/><Relationship Id="rId2331" Type="http://schemas.openxmlformats.org/officeDocument/2006/relationships/hyperlink" Target="http://dx.doi.org/10.1109/VAST.2012.6400533" TargetMode="External"/><Relationship Id="rId1001" Type="http://schemas.openxmlformats.org/officeDocument/2006/relationships/hyperlink" Target="http://dx.doi.org/10.1109/VISUAL.2002.1183814" TargetMode="External"/><Relationship Id="rId2332" Type="http://schemas.openxmlformats.org/officeDocument/2006/relationships/hyperlink" Target="http://dx.doi.org/10.1109/VAST.2012.6400534" TargetMode="External"/><Relationship Id="rId1002" Type="http://schemas.openxmlformats.org/officeDocument/2006/relationships/hyperlink" Target="http://dx.doi.org/10.1109/VISUAL.2002.1183815" TargetMode="External"/><Relationship Id="rId2333" Type="http://schemas.openxmlformats.org/officeDocument/2006/relationships/hyperlink" Target="http://dx.doi.org/10.1109/VAST.2012.6400535" TargetMode="External"/><Relationship Id="rId1003" Type="http://schemas.openxmlformats.org/officeDocument/2006/relationships/hyperlink" Target="http://dx.doi.org/10.1109/VISUAL.2002.1183816" TargetMode="External"/><Relationship Id="rId2334" Type="http://schemas.openxmlformats.org/officeDocument/2006/relationships/hyperlink" Target="http://dx.doi.org/10.1109/VAST.2012.6400536" TargetMode="External"/><Relationship Id="rId1037" Type="http://schemas.openxmlformats.org/officeDocument/2006/relationships/hyperlink" Target="http://dx.doi.org/10.1109/INFVIS.2003.1249019" TargetMode="External"/><Relationship Id="rId2368" Type="http://schemas.openxmlformats.org/officeDocument/2006/relationships/hyperlink" Target="http://dx.doi.org/10.1109/TVCG.2013.128" TargetMode="External"/><Relationship Id="rId1038" Type="http://schemas.openxmlformats.org/officeDocument/2006/relationships/hyperlink" Target="http://dx.doi.org/10.1109/INFVIS.2003.1249020" TargetMode="External"/><Relationship Id="rId2369" Type="http://schemas.openxmlformats.org/officeDocument/2006/relationships/hyperlink" Target="http://dx.doi.org/10.1109/TVCG.2013.129" TargetMode="External"/><Relationship Id="rId1039" Type="http://schemas.openxmlformats.org/officeDocument/2006/relationships/hyperlink" Target="http://dx.doi.org/10.1109/INFVIS.2003.1249021" TargetMode="External"/><Relationship Id="rId206" Type="http://schemas.openxmlformats.org/officeDocument/2006/relationships/hyperlink" Target="http://dx.doi.org/10.1109/VISUAL.1993.398880" TargetMode="External"/><Relationship Id="rId205" Type="http://schemas.openxmlformats.org/officeDocument/2006/relationships/hyperlink" Target="http://dx.doi.org/10.1109/VISUAL.1993.398879" TargetMode="External"/><Relationship Id="rId204" Type="http://schemas.openxmlformats.org/officeDocument/2006/relationships/hyperlink" Target="http://dx.doi.org/10.1109/VISUAL.1993.398878" TargetMode="External"/><Relationship Id="rId203" Type="http://schemas.openxmlformats.org/officeDocument/2006/relationships/hyperlink" Target="http://dx.doi.org/10.1109/VISUAL.1993.398877" TargetMode="External"/><Relationship Id="rId209" Type="http://schemas.openxmlformats.org/officeDocument/2006/relationships/hyperlink" Target="http://dx.doi.org/10.1109/VISUAL.1993.398883" TargetMode="External"/><Relationship Id="rId208" Type="http://schemas.openxmlformats.org/officeDocument/2006/relationships/hyperlink" Target="http://dx.doi.org/10.1109/VISUAL.1993.398882" TargetMode="External"/><Relationship Id="rId207" Type="http://schemas.openxmlformats.org/officeDocument/2006/relationships/hyperlink" Target="http://dx.doi.org/10.1109/VISUAL.1993.398881" TargetMode="External"/><Relationship Id="rId2360" Type="http://schemas.openxmlformats.org/officeDocument/2006/relationships/hyperlink" Target="http://dx.doi.org/10.1109/TVCG.2013.120" TargetMode="External"/><Relationship Id="rId1030" Type="http://schemas.openxmlformats.org/officeDocument/2006/relationships/hyperlink" Target="http://doi.ieeecomputersociety.org/10.1109/INFVIS.2003.1249012" TargetMode="External"/><Relationship Id="rId2361" Type="http://schemas.openxmlformats.org/officeDocument/2006/relationships/hyperlink" Target="http://dx.doi.org/10.1109/TVCG.2013.121" TargetMode="External"/><Relationship Id="rId1031" Type="http://schemas.openxmlformats.org/officeDocument/2006/relationships/hyperlink" Target="http://dx.doi.org/10.1109/INFVIS.2003.1249013" TargetMode="External"/><Relationship Id="rId2362" Type="http://schemas.openxmlformats.org/officeDocument/2006/relationships/hyperlink" Target="http://dx.doi.org/10.1109/TVCG.2013.122" TargetMode="External"/><Relationship Id="rId1032" Type="http://schemas.openxmlformats.org/officeDocument/2006/relationships/hyperlink" Target="http://dx.doi.org/10.1109/INFVIS.2003.1249014" TargetMode="External"/><Relationship Id="rId2363" Type="http://schemas.openxmlformats.org/officeDocument/2006/relationships/hyperlink" Target="http://dx.doi.org/10.1109/TVCG.2013.123" TargetMode="External"/><Relationship Id="rId202" Type="http://schemas.openxmlformats.org/officeDocument/2006/relationships/hyperlink" Target="http://dx.doi.org/10.1109/VISUAL.1993.398876" TargetMode="External"/><Relationship Id="rId1033" Type="http://schemas.openxmlformats.org/officeDocument/2006/relationships/hyperlink" Target="http://dx.doi.org/10.1109/INFVIS.2003.1249015" TargetMode="External"/><Relationship Id="rId2364" Type="http://schemas.openxmlformats.org/officeDocument/2006/relationships/hyperlink" Target="http://dx.doi.org/10.1109/TVCG.2013.124" TargetMode="External"/><Relationship Id="rId201" Type="http://schemas.openxmlformats.org/officeDocument/2006/relationships/hyperlink" Target="http://dx.doi.org/10.1109/VISUAL.1993.398875" TargetMode="External"/><Relationship Id="rId1034" Type="http://schemas.openxmlformats.org/officeDocument/2006/relationships/hyperlink" Target="http://dx.doi.org/10.1109/INFVIS.2003.1249016" TargetMode="External"/><Relationship Id="rId2365" Type="http://schemas.openxmlformats.org/officeDocument/2006/relationships/hyperlink" Target="http://dx.doi.org/10.1109/TVCG.2013.125" TargetMode="External"/><Relationship Id="rId200" Type="http://schemas.openxmlformats.org/officeDocument/2006/relationships/hyperlink" Target="http://dx.doi.org/10.1109/VISUAL.1993.398874" TargetMode="External"/><Relationship Id="rId1035" Type="http://schemas.openxmlformats.org/officeDocument/2006/relationships/hyperlink" Target="http://doi.ieeecomputersociety.org/10.1109/INFVIS.2003.1249017" TargetMode="External"/><Relationship Id="rId2366" Type="http://schemas.openxmlformats.org/officeDocument/2006/relationships/hyperlink" Target="http://dx.doi.org/10.1109/TVCG.2013.126" TargetMode="External"/><Relationship Id="rId1036" Type="http://schemas.openxmlformats.org/officeDocument/2006/relationships/hyperlink" Target="http://dx.doi.org/10.1109/INFVIS.2003.1249018" TargetMode="External"/><Relationship Id="rId2367" Type="http://schemas.openxmlformats.org/officeDocument/2006/relationships/hyperlink" Target="http://dx.doi.org/10.1109/TVCG.2013.127" TargetMode="External"/><Relationship Id="rId1026" Type="http://schemas.openxmlformats.org/officeDocument/2006/relationships/hyperlink" Target="http://dx.doi.org/10.1109/INFVIS.2003.1249008" TargetMode="External"/><Relationship Id="rId2357" Type="http://schemas.openxmlformats.org/officeDocument/2006/relationships/hyperlink" Target="http://dx.doi.org/10.1109/VAST.2012.6400559" TargetMode="External"/><Relationship Id="rId1027" Type="http://schemas.openxmlformats.org/officeDocument/2006/relationships/hyperlink" Target="http://dx.doi.org/10.1109/INFVIS.2003.1249009" TargetMode="External"/><Relationship Id="rId2358" Type="http://schemas.openxmlformats.org/officeDocument/2006/relationships/hyperlink" Target="http://dx.doi.org/10.1109/VAST.2012.6400560" TargetMode="External"/><Relationship Id="rId1028" Type="http://schemas.openxmlformats.org/officeDocument/2006/relationships/hyperlink" Target="http://dx.doi.org/10.1109/INFVIS.2003.1249010" TargetMode="External"/><Relationship Id="rId2359" Type="http://schemas.openxmlformats.org/officeDocument/2006/relationships/hyperlink" Target="http://dx.doi.org/10.1109/TVCG.2013.119" TargetMode="External"/><Relationship Id="rId1029" Type="http://schemas.openxmlformats.org/officeDocument/2006/relationships/hyperlink" Target="http://doi.ieeecomputersociety.org/10.1109/INFVIS.2003.1249011" TargetMode="External"/><Relationship Id="rId2350" Type="http://schemas.openxmlformats.org/officeDocument/2006/relationships/hyperlink" Target="http://dx.doi.org/10.1109/VAST.2012.6400552" TargetMode="External"/><Relationship Id="rId1020" Type="http://schemas.openxmlformats.org/officeDocument/2006/relationships/hyperlink" Target="http://dx.doi.org/10.1109/INFVIS.2003.1249002" TargetMode="External"/><Relationship Id="rId2351" Type="http://schemas.openxmlformats.org/officeDocument/2006/relationships/hyperlink" Target="http://dx.doi.org/10.1109/VAST.2012.6400553" TargetMode="External"/><Relationship Id="rId1021" Type="http://schemas.openxmlformats.org/officeDocument/2006/relationships/hyperlink" Target="http://dx.doi.org/10.1109/INFVIS.2003.1249003" TargetMode="External"/><Relationship Id="rId2352" Type="http://schemas.openxmlformats.org/officeDocument/2006/relationships/hyperlink" Target="http://dx.doi.org/10.1109/VAST.2012.6400554" TargetMode="External"/><Relationship Id="rId1022" Type="http://schemas.openxmlformats.org/officeDocument/2006/relationships/hyperlink" Target="http://dx.doi.org/10.1109/INFVIS.2003.1249004" TargetMode="External"/><Relationship Id="rId2353" Type="http://schemas.openxmlformats.org/officeDocument/2006/relationships/hyperlink" Target="http://dx.doi.org/10.1109/VAST.2012.6400555" TargetMode="External"/><Relationship Id="rId1023" Type="http://schemas.openxmlformats.org/officeDocument/2006/relationships/hyperlink" Target="http://dx.doi.org/10.1109/INFVIS.2003.1249005" TargetMode="External"/><Relationship Id="rId2354" Type="http://schemas.openxmlformats.org/officeDocument/2006/relationships/hyperlink" Target="http://dx.doi.org/10.1109/VAST.2012.6400556" TargetMode="External"/><Relationship Id="rId1024" Type="http://schemas.openxmlformats.org/officeDocument/2006/relationships/hyperlink" Target="http://dx.doi.org/10.1109/INFVIS.2003.1249006" TargetMode="External"/><Relationship Id="rId2355" Type="http://schemas.openxmlformats.org/officeDocument/2006/relationships/hyperlink" Target="http://dx.doi.org/10.1109/VAST.2012.6400557" TargetMode="External"/><Relationship Id="rId1025" Type="http://schemas.openxmlformats.org/officeDocument/2006/relationships/hyperlink" Target="http://dx.doi.org/10.1109/INFVIS.2003.1249007" TargetMode="External"/><Relationship Id="rId2356" Type="http://schemas.openxmlformats.org/officeDocument/2006/relationships/hyperlink" Target="http://dx.doi.org/10.1109/VAST.2012.6400558" TargetMode="External"/><Relationship Id="rId1910" Type="http://schemas.openxmlformats.org/officeDocument/2006/relationships/hyperlink" Target="http://dx.doi.org/10.1109/VAST.2009.5333438" TargetMode="External"/><Relationship Id="rId1911" Type="http://schemas.openxmlformats.org/officeDocument/2006/relationships/hyperlink" Target="http://dx.doi.org/10.1109/VAST.2009.5333443" TargetMode="External"/><Relationship Id="rId1912" Type="http://schemas.openxmlformats.org/officeDocument/2006/relationships/hyperlink" Target="http://dx.doi.org/10.1109/VAST.2009.5333451" TargetMode="External"/><Relationship Id="rId1913" Type="http://schemas.openxmlformats.org/officeDocument/2006/relationships/hyperlink" Target="http://dx.doi.org/10.1109/VAST.2009.5333453" TargetMode="External"/><Relationship Id="rId1914" Type="http://schemas.openxmlformats.org/officeDocument/2006/relationships/hyperlink" Target="http://dx.doi.org/10.1109/VAST.2009.5333468" TargetMode="External"/><Relationship Id="rId1915" Type="http://schemas.openxmlformats.org/officeDocument/2006/relationships/hyperlink" Target="http://dx.doi.org/10.1109/VAST.2009.5333469" TargetMode="External"/><Relationship Id="rId1916" Type="http://schemas.openxmlformats.org/officeDocument/2006/relationships/hyperlink" Target="http://dx.doi.org/10.1109/VAST.2009.5333472" TargetMode="External"/><Relationship Id="rId1917" Type="http://schemas.openxmlformats.org/officeDocument/2006/relationships/hyperlink" Target="http://dx.doi.org/10.1109/VAST.2009.5333474" TargetMode="External"/><Relationship Id="rId1918" Type="http://schemas.openxmlformats.org/officeDocument/2006/relationships/hyperlink" Target="http://dx.doi.org/10.1109/VAST.2009.5333564" TargetMode="External"/><Relationship Id="rId1919" Type="http://schemas.openxmlformats.org/officeDocument/2006/relationships/hyperlink" Target="http://dx.doi.org/10.1109/VAST.2009.5333878" TargetMode="External"/><Relationship Id="rId1900" Type="http://schemas.openxmlformats.org/officeDocument/2006/relationships/hyperlink" Target="http://dx.doi.org/10.1109/VAST.2009.5333099" TargetMode="External"/><Relationship Id="rId1901" Type="http://schemas.openxmlformats.org/officeDocument/2006/relationships/hyperlink" Target="http://dx.doi.org/10.1109/VAST.2009.5333245" TargetMode="External"/><Relationship Id="rId1902" Type="http://schemas.openxmlformats.org/officeDocument/2006/relationships/hyperlink" Target="http://dx.doi.org/10.1109/VAST.2009.5333248" TargetMode="External"/><Relationship Id="rId1903" Type="http://schemas.openxmlformats.org/officeDocument/2006/relationships/hyperlink" Target="http://dx.doi.org/10.1109/VAST.2009.5333417" TargetMode="External"/><Relationship Id="rId1904" Type="http://schemas.openxmlformats.org/officeDocument/2006/relationships/hyperlink" Target="http://dx.doi.org/10.1109/VAST.2009.5333420" TargetMode="External"/><Relationship Id="rId1905" Type="http://schemas.openxmlformats.org/officeDocument/2006/relationships/hyperlink" Target="http://dx.doi.org/10.1109/VAST.2009.5333421" TargetMode="External"/><Relationship Id="rId1906" Type="http://schemas.openxmlformats.org/officeDocument/2006/relationships/hyperlink" Target="http://dx.doi.org/10.1109/VAST.2009.5333428" TargetMode="External"/><Relationship Id="rId1907" Type="http://schemas.openxmlformats.org/officeDocument/2006/relationships/hyperlink" Target="http://dx.doi.org/10.1109/VAST.2009.5333431" TargetMode="External"/><Relationship Id="rId1908" Type="http://schemas.openxmlformats.org/officeDocument/2006/relationships/hyperlink" Target="http://dx.doi.org/10.1109/VAST.2009.5333436" TargetMode="External"/><Relationship Id="rId1909" Type="http://schemas.openxmlformats.org/officeDocument/2006/relationships/hyperlink" Target="http://dx.doi.org/10.1109/VAST.2009.5333437" TargetMode="External"/><Relationship Id="rId1090" Type="http://schemas.openxmlformats.org/officeDocument/2006/relationships/hyperlink" Target="http://dx.doi.org/10.1109/VISUAL.2003.1250388" TargetMode="External"/><Relationship Id="rId1091" Type="http://schemas.openxmlformats.org/officeDocument/2006/relationships/hyperlink" Target="http://dx.doi.org/10.1109/VISUAL.2003.1250389" TargetMode="External"/><Relationship Id="rId1092" Type="http://schemas.openxmlformats.org/officeDocument/2006/relationships/hyperlink" Target="http://dx.doi.org/10.1109/VISUAL.2003.1250390" TargetMode="External"/><Relationship Id="rId1093" Type="http://schemas.openxmlformats.org/officeDocument/2006/relationships/hyperlink" Target="http://dx.doi.org/10.1109/VISUAL.2003.1250391" TargetMode="External"/><Relationship Id="rId1094" Type="http://schemas.openxmlformats.org/officeDocument/2006/relationships/hyperlink" Target="http://dx.doi.org/10.1109/VISUAL.2003.1250392" TargetMode="External"/><Relationship Id="rId1095" Type="http://schemas.openxmlformats.org/officeDocument/2006/relationships/hyperlink" Target="http://dx.doi.org/10.1109/VISUAL.2003.1250394" TargetMode="External"/><Relationship Id="rId1096" Type="http://schemas.openxmlformats.org/officeDocument/2006/relationships/hyperlink" Target="http://dx.doi.org/10.1109/VISUAL.2003.1250395" TargetMode="External"/><Relationship Id="rId1097" Type="http://schemas.openxmlformats.org/officeDocument/2006/relationships/hyperlink" Target="http://dx.doi.org/10.1109/VISUAL.2003.1250396" TargetMode="External"/><Relationship Id="rId1098" Type="http://schemas.openxmlformats.org/officeDocument/2006/relationships/hyperlink" Target="http://dx.doi.org/10.1109/VISUAL.2003.1250397" TargetMode="External"/><Relationship Id="rId1099" Type="http://schemas.openxmlformats.org/officeDocument/2006/relationships/hyperlink" Target="http://dx.doi.org/10.1109/VISUAL.2003.1250398" TargetMode="External"/><Relationship Id="rId1080" Type="http://schemas.openxmlformats.org/officeDocument/2006/relationships/hyperlink" Target="http://dx.doi.org/10.1109/VISUAL.2003.1250378" TargetMode="External"/><Relationship Id="rId1081" Type="http://schemas.openxmlformats.org/officeDocument/2006/relationships/hyperlink" Target="http://dx.doi.org/10.1109/VISUAL.2003.1250379" TargetMode="External"/><Relationship Id="rId1082" Type="http://schemas.openxmlformats.org/officeDocument/2006/relationships/hyperlink" Target="http://dx.doi.org/10.1109/VISUAL.2003.1250380" TargetMode="External"/><Relationship Id="rId1083" Type="http://schemas.openxmlformats.org/officeDocument/2006/relationships/hyperlink" Target="http://dx.doi.org/10.1109/VISUAL.2003.1250381" TargetMode="External"/><Relationship Id="rId1084" Type="http://schemas.openxmlformats.org/officeDocument/2006/relationships/hyperlink" Target="http://dx.doi.org/10.1109/VISUAL.2003.1250382" TargetMode="External"/><Relationship Id="rId1085" Type="http://schemas.openxmlformats.org/officeDocument/2006/relationships/hyperlink" Target="http://dx.doi.org/10.1109/VISUAL.2003.1250383" TargetMode="External"/><Relationship Id="rId1086" Type="http://schemas.openxmlformats.org/officeDocument/2006/relationships/hyperlink" Target="http://dx.doi.org/10.1109/VISUAL.2003.1250384" TargetMode="External"/><Relationship Id="rId1087" Type="http://schemas.openxmlformats.org/officeDocument/2006/relationships/hyperlink" Target="http://dx.doi.org/10.1109/VISUAL.2003.1250385" TargetMode="External"/><Relationship Id="rId1088" Type="http://schemas.openxmlformats.org/officeDocument/2006/relationships/hyperlink" Target="http://dx.doi.org/10.1109/VISUAL.2003.1250386" TargetMode="External"/><Relationship Id="rId1089" Type="http://schemas.openxmlformats.org/officeDocument/2006/relationships/hyperlink" Target="http://dx.doi.org/10.1109/VISUAL.2003.1250387" TargetMode="External"/><Relationship Id="rId1972" Type="http://schemas.openxmlformats.org/officeDocument/2006/relationships/hyperlink" Target="http://dx.doi.org/10.1109/TVCG.2010.162" TargetMode="External"/><Relationship Id="rId1973" Type="http://schemas.openxmlformats.org/officeDocument/2006/relationships/hyperlink" Target="http://dx.doi.org/10.1109/TVCG.2010.163" TargetMode="External"/><Relationship Id="rId1974" Type="http://schemas.openxmlformats.org/officeDocument/2006/relationships/hyperlink" Target="http://dx.doi.org/10.1109/TVCG.2010.164" TargetMode="External"/><Relationship Id="rId1975" Type="http://schemas.openxmlformats.org/officeDocument/2006/relationships/hyperlink" Target="http://dx.doi.org/10.1109/TVCG.2010.166" TargetMode="External"/><Relationship Id="rId1976" Type="http://schemas.openxmlformats.org/officeDocument/2006/relationships/hyperlink" Target="http://dx.doi.org/10.1109/TVCG.2010.168" TargetMode="External"/><Relationship Id="rId1977" Type="http://schemas.openxmlformats.org/officeDocument/2006/relationships/hyperlink" Target="http://dx.doi.org/10.1109/TVCG.2010.169" TargetMode="External"/><Relationship Id="rId1978" Type="http://schemas.openxmlformats.org/officeDocument/2006/relationships/hyperlink" Target="http://dx.doi.org/10.1109/TVCG.2010.170" TargetMode="External"/><Relationship Id="rId1979" Type="http://schemas.openxmlformats.org/officeDocument/2006/relationships/hyperlink" Target="http://dx.doi.org/10.1109/TVCG.2010.171" TargetMode="External"/><Relationship Id="rId1970" Type="http://schemas.openxmlformats.org/officeDocument/2006/relationships/hyperlink" Target="http://dx.doi.org/10.1109/TVCG.2010.160" TargetMode="External"/><Relationship Id="rId1971" Type="http://schemas.openxmlformats.org/officeDocument/2006/relationships/hyperlink" Target="http://dx.doi.org/10.1109/TVCG.2010.161" TargetMode="External"/><Relationship Id="rId1961" Type="http://schemas.openxmlformats.org/officeDocument/2006/relationships/hyperlink" Target="http://dx.doi.org/10.1109/TVCG.2010.150" TargetMode="External"/><Relationship Id="rId1962" Type="http://schemas.openxmlformats.org/officeDocument/2006/relationships/hyperlink" Target="http://dx.doi.org/10.1109/TVCG.2010.151" TargetMode="External"/><Relationship Id="rId1963" Type="http://schemas.openxmlformats.org/officeDocument/2006/relationships/hyperlink" Target="http://dx.doi.org/10.1109/TVCG.2010.152" TargetMode="External"/><Relationship Id="rId1964" Type="http://schemas.openxmlformats.org/officeDocument/2006/relationships/hyperlink" Target="http://dx.doi.org/10.1109/TVCG.2010.153" TargetMode="External"/><Relationship Id="rId1965" Type="http://schemas.openxmlformats.org/officeDocument/2006/relationships/hyperlink" Target="http://dx.doi.org/10.1109/TVCG.2010.154" TargetMode="External"/><Relationship Id="rId1966" Type="http://schemas.openxmlformats.org/officeDocument/2006/relationships/hyperlink" Target="http://dx.doi.org/10.1109/TVCG.2010.155" TargetMode="External"/><Relationship Id="rId1967" Type="http://schemas.openxmlformats.org/officeDocument/2006/relationships/hyperlink" Target="http://dx.doi.org/10.1109/TVCG.2010.156" TargetMode="External"/><Relationship Id="rId1968" Type="http://schemas.openxmlformats.org/officeDocument/2006/relationships/hyperlink" Target="http://dx.doi.org/10.1109/TVCG.2010.157" TargetMode="External"/><Relationship Id="rId1969" Type="http://schemas.openxmlformats.org/officeDocument/2006/relationships/hyperlink" Target="http://dx.doi.org/10.1109/TVCG.2010.159" TargetMode="External"/><Relationship Id="rId1960" Type="http://schemas.openxmlformats.org/officeDocument/2006/relationships/hyperlink" Target="http://dx.doi.org/10.1109/TVCG.2010.149" TargetMode="External"/><Relationship Id="rId1994" Type="http://schemas.openxmlformats.org/officeDocument/2006/relationships/hyperlink" Target="http://dx.doi.org/10.1109/TVCG.2010.187" TargetMode="External"/><Relationship Id="rId1995" Type="http://schemas.openxmlformats.org/officeDocument/2006/relationships/hyperlink" Target="http://dx.doi.org/10.1109/TVCG.2010.189" TargetMode="External"/><Relationship Id="rId1996" Type="http://schemas.openxmlformats.org/officeDocument/2006/relationships/hyperlink" Target="http://dx.doi.org/10.1109/TVCG.2010.190" TargetMode="External"/><Relationship Id="rId1997" Type="http://schemas.openxmlformats.org/officeDocument/2006/relationships/hyperlink" Target="http://dx.doi.org/10.1109/TVCG.2010.191" TargetMode="External"/><Relationship Id="rId1998" Type="http://schemas.openxmlformats.org/officeDocument/2006/relationships/hyperlink" Target="http://dx.doi.org/10.1109/TVCG.2010.192" TargetMode="External"/><Relationship Id="rId1999" Type="http://schemas.openxmlformats.org/officeDocument/2006/relationships/hyperlink" Target="http://dx.doi.org/10.1109/TVCG.2010.193" TargetMode="External"/><Relationship Id="rId1990" Type="http://schemas.openxmlformats.org/officeDocument/2006/relationships/hyperlink" Target="http://dx.doi.org/10.1109/TVCG.2010.183" TargetMode="External"/><Relationship Id="rId1991" Type="http://schemas.openxmlformats.org/officeDocument/2006/relationships/hyperlink" Target="http://dx.doi.org/10.1109/TVCG.2010.184" TargetMode="External"/><Relationship Id="rId1992" Type="http://schemas.openxmlformats.org/officeDocument/2006/relationships/hyperlink" Target="http://dx.doi.org/10.1109/TVCG.2010.185" TargetMode="External"/><Relationship Id="rId1993" Type="http://schemas.openxmlformats.org/officeDocument/2006/relationships/hyperlink" Target="http://dx.doi.org/10.1109/TVCG.2010.186" TargetMode="External"/><Relationship Id="rId1983" Type="http://schemas.openxmlformats.org/officeDocument/2006/relationships/hyperlink" Target="http://dx.doi.org/10.1109/TVCG.2010.175" TargetMode="External"/><Relationship Id="rId1984" Type="http://schemas.openxmlformats.org/officeDocument/2006/relationships/hyperlink" Target="http://dx.doi.org/10.1109/TVCG.2010.176" TargetMode="External"/><Relationship Id="rId1985" Type="http://schemas.openxmlformats.org/officeDocument/2006/relationships/hyperlink" Target="http://dx.doi.org/10.1109/TVCG.2010.177" TargetMode="External"/><Relationship Id="rId1986" Type="http://schemas.openxmlformats.org/officeDocument/2006/relationships/hyperlink" Target="http://dx.doi.org/10.1109/TVCG.2010.179" TargetMode="External"/><Relationship Id="rId1987" Type="http://schemas.openxmlformats.org/officeDocument/2006/relationships/hyperlink" Target="http://dx.doi.org/10.1109/TVCG.2010.180" TargetMode="External"/><Relationship Id="rId1988" Type="http://schemas.openxmlformats.org/officeDocument/2006/relationships/hyperlink" Target="http://dx.doi.org/10.1109/TVCG.2010.181" TargetMode="External"/><Relationship Id="rId1989" Type="http://schemas.openxmlformats.org/officeDocument/2006/relationships/hyperlink" Target="http://dx.doi.org/10.1109/TVCG.2010.182" TargetMode="External"/><Relationship Id="rId1980" Type="http://schemas.openxmlformats.org/officeDocument/2006/relationships/hyperlink" Target="http://dx.doi.org/10.1109/TVCG.2010.172" TargetMode="External"/><Relationship Id="rId1981" Type="http://schemas.openxmlformats.org/officeDocument/2006/relationships/hyperlink" Target="http://dx.doi.org/10.1109/TVCG.2010.173" TargetMode="External"/><Relationship Id="rId1982" Type="http://schemas.openxmlformats.org/officeDocument/2006/relationships/hyperlink" Target="http://dx.doi.org/10.1109/TVCG.2010.174" TargetMode="External"/><Relationship Id="rId1930" Type="http://schemas.openxmlformats.org/officeDocument/2006/relationships/hyperlink" Target="http://dx.doi.org/10.1109/VAST.2009.5333965" TargetMode="External"/><Relationship Id="rId1931" Type="http://schemas.openxmlformats.org/officeDocument/2006/relationships/hyperlink" Target="http://dx.doi.org/10.1109/VAST.2009.5333967" TargetMode="External"/><Relationship Id="rId1932" Type="http://schemas.openxmlformats.org/officeDocument/2006/relationships/hyperlink" Target="http://dx.doi.org/10.1109/VAST.2009.5333968" TargetMode="External"/><Relationship Id="rId1933" Type="http://schemas.openxmlformats.org/officeDocument/2006/relationships/hyperlink" Target="http://dx.doi.org/10.1109/VAST.2009.5334300" TargetMode="External"/><Relationship Id="rId1934" Type="http://schemas.openxmlformats.org/officeDocument/2006/relationships/hyperlink" Target="http://dx.doi.org/10.1109/VAST.2009.5334301" TargetMode="External"/><Relationship Id="rId1935" Type="http://schemas.openxmlformats.org/officeDocument/2006/relationships/hyperlink" Target="http://dx.doi.org/10.1109/VAST.2009.5334426" TargetMode="External"/><Relationship Id="rId1936" Type="http://schemas.openxmlformats.org/officeDocument/2006/relationships/hyperlink" Target="http://dx.doi.org/10.1109/VAST.2009.5334430" TargetMode="External"/><Relationship Id="rId1937" Type="http://schemas.openxmlformats.org/officeDocument/2006/relationships/hyperlink" Target="http://dx.doi.org/10.1109/VAST.2009.5334454" TargetMode="External"/><Relationship Id="rId1938" Type="http://schemas.openxmlformats.org/officeDocument/2006/relationships/hyperlink" Target="http://dx.doi.org/10.1109/VAST.2009.5334456" TargetMode="External"/><Relationship Id="rId1939" Type="http://schemas.openxmlformats.org/officeDocument/2006/relationships/hyperlink" Target="http://dx.doi.org/10.1109/VAST.2009.5334460" TargetMode="External"/><Relationship Id="rId1920" Type="http://schemas.openxmlformats.org/officeDocument/2006/relationships/hyperlink" Target="http://dx.doi.org/10.1109/VAST.2009.5333880" TargetMode="External"/><Relationship Id="rId1921" Type="http://schemas.openxmlformats.org/officeDocument/2006/relationships/hyperlink" Target="http://dx.doi.org/10.1109/VAST.2009.5333893" TargetMode="External"/><Relationship Id="rId1922" Type="http://schemas.openxmlformats.org/officeDocument/2006/relationships/hyperlink" Target="http://dx.doi.org/10.1109/VAST.2009.5333895" TargetMode="External"/><Relationship Id="rId1923" Type="http://schemas.openxmlformats.org/officeDocument/2006/relationships/hyperlink" Target="http://dx.doi.org/10.1109/VAST.2009.5333911" TargetMode="External"/><Relationship Id="rId1924" Type="http://schemas.openxmlformats.org/officeDocument/2006/relationships/hyperlink" Target="http://dx.doi.org/10.1109/VAST.2009.5333917" TargetMode="External"/><Relationship Id="rId1925" Type="http://schemas.openxmlformats.org/officeDocument/2006/relationships/hyperlink" Target="http://dx.doi.org/10.1109/VAST.2009.5333919" TargetMode="External"/><Relationship Id="rId1926" Type="http://schemas.openxmlformats.org/officeDocument/2006/relationships/hyperlink" Target="http://dx.doi.org/10.1109/VAST.2009.5333920" TargetMode="External"/><Relationship Id="rId1927" Type="http://schemas.openxmlformats.org/officeDocument/2006/relationships/hyperlink" Target="http://dx.doi.org/10.1109/VAST.2009.5333946" TargetMode="External"/><Relationship Id="rId1928" Type="http://schemas.openxmlformats.org/officeDocument/2006/relationships/hyperlink" Target="http://dx.doi.org/10.1109/VAST.2009.5333950" TargetMode="External"/><Relationship Id="rId1929" Type="http://schemas.openxmlformats.org/officeDocument/2006/relationships/hyperlink" Target="http://dx.doi.org/10.1109/VAST.2009.5333961" TargetMode="External"/><Relationship Id="rId1950" Type="http://schemas.openxmlformats.org/officeDocument/2006/relationships/hyperlink" Target="http://dx.doi.org/10.1109/TVCG.2010.134" TargetMode="External"/><Relationship Id="rId1951" Type="http://schemas.openxmlformats.org/officeDocument/2006/relationships/hyperlink" Target="http://dx.doi.org/10.1109/TVCG.2010.136" TargetMode="External"/><Relationship Id="rId1952" Type="http://schemas.openxmlformats.org/officeDocument/2006/relationships/hyperlink" Target="http://dx.doi.org/10.1109/TVCG.2010.137" TargetMode="External"/><Relationship Id="rId1953" Type="http://schemas.openxmlformats.org/officeDocument/2006/relationships/hyperlink" Target="http://dx.doi.org/10.1109/TVCG.2010.138" TargetMode="External"/><Relationship Id="rId1954" Type="http://schemas.openxmlformats.org/officeDocument/2006/relationships/hyperlink" Target="http://dx.doi.org/10.1109/TVCG.2010.139" TargetMode="External"/><Relationship Id="rId1955" Type="http://schemas.openxmlformats.org/officeDocument/2006/relationships/hyperlink" Target="http://dx.doi.org/10.1109/TVCG.2010.144" TargetMode="External"/><Relationship Id="rId1956" Type="http://schemas.openxmlformats.org/officeDocument/2006/relationships/hyperlink" Target="http://dx.doi.org/10.1109/TVCG.2010.145" TargetMode="External"/><Relationship Id="rId1957" Type="http://schemas.openxmlformats.org/officeDocument/2006/relationships/hyperlink" Target="http://dx.doi.org/10.1109/TVCG.2010.146" TargetMode="External"/><Relationship Id="rId1958" Type="http://schemas.openxmlformats.org/officeDocument/2006/relationships/hyperlink" Target="http://dx.doi.org/10.1109/TVCG.2010.147" TargetMode="External"/><Relationship Id="rId1959" Type="http://schemas.openxmlformats.org/officeDocument/2006/relationships/hyperlink" Target="http://dx.doi.org/10.1109/TVCG.2010.148" TargetMode="External"/><Relationship Id="rId1940" Type="http://schemas.openxmlformats.org/officeDocument/2006/relationships/hyperlink" Target="http://dx.doi.org/10.1109/VAST.2009.5334462" TargetMode="External"/><Relationship Id="rId1941" Type="http://schemas.openxmlformats.org/officeDocument/2006/relationships/hyperlink" Target="http://dx.doi.org/10.1109/VAST.2009.5334463" TargetMode="External"/><Relationship Id="rId1942" Type="http://schemas.openxmlformats.org/officeDocument/2006/relationships/hyperlink" Target="http://dx.doi.org/10.1109/TVCG.2010.126" TargetMode="External"/><Relationship Id="rId1943" Type="http://schemas.openxmlformats.org/officeDocument/2006/relationships/hyperlink" Target="http://dx.doi.org/10.1109/TVCG.2010.127" TargetMode="External"/><Relationship Id="rId1944" Type="http://schemas.openxmlformats.org/officeDocument/2006/relationships/hyperlink" Target="http://dx.doi.org/10.1109/TVCG.2010.128" TargetMode="External"/><Relationship Id="rId1945" Type="http://schemas.openxmlformats.org/officeDocument/2006/relationships/hyperlink" Target="http://dx.doi.org/10.1109/TVCG.2010.129" TargetMode="External"/><Relationship Id="rId1946" Type="http://schemas.openxmlformats.org/officeDocument/2006/relationships/hyperlink" Target="http://dx.doi.org/10.1109/TVCG.2010.130" TargetMode="External"/><Relationship Id="rId1947" Type="http://schemas.openxmlformats.org/officeDocument/2006/relationships/hyperlink" Target="http://dx.doi.org/10.1109/TVCG.2010.131" TargetMode="External"/><Relationship Id="rId1948" Type="http://schemas.openxmlformats.org/officeDocument/2006/relationships/hyperlink" Target="http://dx.doi.org/10.1109/TVCG.2010.132" TargetMode="External"/><Relationship Id="rId1949" Type="http://schemas.openxmlformats.org/officeDocument/2006/relationships/hyperlink" Target="http://dx.doi.org/10.1109/TVCG.2010.133" TargetMode="External"/><Relationship Id="rId2423" Type="http://schemas.openxmlformats.org/officeDocument/2006/relationships/hyperlink" Target="http://dx.doi.org/10.1109/TVCG.2013.189" TargetMode="External"/><Relationship Id="rId2424" Type="http://schemas.openxmlformats.org/officeDocument/2006/relationships/hyperlink" Target="http://dx.doi.org/10.1109/TVCG.2013.190" TargetMode="External"/><Relationship Id="rId2425" Type="http://schemas.openxmlformats.org/officeDocument/2006/relationships/hyperlink" Target="http://dx.doi.org/10.1109/TVCG.2013.191" TargetMode="External"/><Relationship Id="rId2426" Type="http://schemas.openxmlformats.org/officeDocument/2006/relationships/hyperlink" Target="http://dx.doi.org/10.1109/TVCG.2013.192" TargetMode="External"/><Relationship Id="rId2427" Type="http://schemas.openxmlformats.org/officeDocument/2006/relationships/hyperlink" Target="http://dx.doi.org/10.1109/TVCG.2013.193" TargetMode="External"/><Relationship Id="rId2428" Type="http://schemas.openxmlformats.org/officeDocument/2006/relationships/hyperlink" Target="http://dx.doi.org/10.1109/TVCG.2013.194" TargetMode="External"/><Relationship Id="rId2429" Type="http://schemas.openxmlformats.org/officeDocument/2006/relationships/hyperlink" Target="http://dx.doi.org/10.1109/TVCG.2013.196" TargetMode="External"/><Relationship Id="rId509" Type="http://schemas.openxmlformats.org/officeDocument/2006/relationships/hyperlink" Target="http://dx.doi.org/10.1109/VISUAL.1997.663905" TargetMode="External"/><Relationship Id="rId508" Type="http://schemas.openxmlformats.org/officeDocument/2006/relationships/hyperlink" Target="http://dx.doi.org/10.1109/VISUAL.1997.663904" TargetMode="External"/><Relationship Id="rId503" Type="http://schemas.openxmlformats.org/officeDocument/2006/relationships/hyperlink" Target="http://dx.doi.org/10.1109/VISUAL.1997.663899" TargetMode="External"/><Relationship Id="rId502" Type="http://schemas.openxmlformats.org/officeDocument/2006/relationships/hyperlink" Target="http://dx.doi.org/10.1109/VISUAL.1997.663898" TargetMode="External"/><Relationship Id="rId501" Type="http://schemas.openxmlformats.org/officeDocument/2006/relationships/hyperlink" Target="http://dx.doi.org/10.1109/VISUAL.1997.663897" TargetMode="External"/><Relationship Id="rId500" Type="http://schemas.openxmlformats.org/officeDocument/2006/relationships/hyperlink" Target="http://dx.doi.org/10.1109/VISUAL.1997.663896" TargetMode="External"/><Relationship Id="rId507" Type="http://schemas.openxmlformats.org/officeDocument/2006/relationships/hyperlink" Target="http://dx.doi.org/10.1109/VISUAL.1997.663903" TargetMode="External"/><Relationship Id="rId506" Type="http://schemas.openxmlformats.org/officeDocument/2006/relationships/hyperlink" Target="http://dx.doi.org/10.1109/VISUAL.1997.663902" TargetMode="External"/><Relationship Id="rId505" Type="http://schemas.openxmlformats.org/officeDocument/2006/relationships/hyperlink" Target="http://dx.doi.org/10.1109/VISUAL.1997.663901" TargetMode="External"/><Relationship Id="rId504" Type="http://schemas.openxmlformats.org/officeDocument/2006/relationships/hyperlink" Target="http://dx.doi.org/10.1109/VISUAL.1997.663900" TargetMode="External"/><Relationship Id="rId2420" Type="http://schemas.openxmlformats.org/officeDocument/2006/relationships/hyperlink" Target="http://dx.doi.org/10.1109/TVCG.2013.186" TargetMode="External"/><Relationship Id="rId2421" Type="http://schemas.openxmlformats.org/officeDocument/2006/relationships/hyperlink" Target="http://dx.doi.org/10.1109/TVCG.2013.187" TargetMode="External"/><Relationship Id="rId2422" Type="http://schemas.openxmlformats.org/officeDocument/2006/relationships/hyperlink" Target="http://dx.doi.org/10.1109/TVCG.2013.188" TargetMode="External"/><Relationship Id="rId2412" Type="http://schemas.openxmlformats.org/officeDocument/2006/relationships/hyperlink" Target="http://dx.doi.org/10.1109/TVCG.2013.177" TargetMode="External"/><Relationship Id="rId2413" Type="http://schemas.openxmlformats.org/officeDocument/2006/relationships/hyperlink" Target="http://dx.doi.org/10.1109/TVCG.2013.178" TargetMode="External"/><Relationship Id="rId2414" Type="http://schemas.openxmlformats.org/officeDocument/2006/relationships/hyperlink" Target="http://dx.doi.org/10.1109/TVCG.2013.179" TargetMode="External"/><Relationship Id="rId2415" Type="http://schemas.openxmlformats.org/officeDocument/2006/relationships/hyperlink" Target="http://dx.doi.org/10.1109/TVCG.2013.180" TargetMode="External"/><Relationship Id="rId2416" Type="http://schemas.openxmlformats.org/officeDocument/2006/relationships/hyperlink" Target="http://dx.doi.org/10.1109/TVCG.2013.181" TargetMode="External"/><Relationship Id="rId2417" Type="http://schemas.openxmlformats.org/officeDocument/2006/relationships/hyperlink" Target="http://dx.doi.org/10.1109/TVCG.2013.182" TargetMode="External"/><Relationship Id="rId2418" Type="http://schemas.openxmlformats.org/officeDocument/2006/relationships/hyperlink" Target="http://dx.doi.org/10.1109/TVCG.2013.183" TargetMode="External"/><Relationship Id="rId2419" Type="http://schemas.openxmlformats.org/officeDocument/2006/relationships/hyperlink" Target="http://dx.doi.org/10.1109/TVCG.2013.184" TargetMode="External"/><Relationship Id="rId2410" Type="http://schemas.openxmlformats.org/officeDocument/2006/relationships/hyperlink" Target="http://dx.doi.org/10.1109/TVCG.2013.173" TargetMode="External"/><Relationship Id="rId2411" Type="http://schemas.openxmlformats.org/officeDocument/2006/relationships/hyperlink" Target="http://dx.doi.org/10.1109/TVCG.2013.174" TargetMode="External"/><Relationship Id="rId1114" Type="http://schemas.openxmlformats.org/officeDocument/2006/relationships/hyperlink" Target="http://dx.doi.org/10.1109/VISUAL.2003.1250413" TargetMode="External"/><Relationship Id="rId2445" Type="http://schemas.openxmlformats.org/officeDocument/2006/relationships/hyperlink" Target="http://dx.doi.org/10.1109/TVCG.2013.220" TargetMode="External"/><Relationship Id="rId1115" Type="http://schemas.openxmlformats.org/officeDocument/2006/relationships/hyperlink" Target="http://dx.doi.org/10.1109/VISUAL.2003.1250414" TargetMode="External"/><Relationship Id="rId2446" Type="http://schemas.openxmlformats.org/officeDocument/2006/relationships/hyperlink" Target="http://dx.doi.org/10.1109/TVCG.2013.221" TargetMode="External"/><Relationship Id="rId1116" Type="http://schemas.openxmlformats.org/officeDocument/2006/relationships/hyperlink" Target="http://dx.doi.org/10.1109/VISUAL.2003.1250415" TargetMode="External"/><Relationship Id="rId2447" Type="http://schemas.openxmlformats.org/officeDocument/2006/relationships/hyperlink" Target="http://dx.doi.org/10.1109/TVCG.2013.222" TargetMode="External"/><Relationship Id="rId1117" Type="http://schemas.openxmlformats.org/officeDocument/2006/relationships/hyperlink" Target="http://dx.doi.org/10.1109/VISUAL.2003.1250416" TargetMode="External"/><Relationship Id="rId2448" Type="http://schemas.openxmlformats.org/officeDocument/2006/relationships/hyperlink" Target="http://dx.doi.org/10.1109/TVCG.2013.223" TargetMode="External"/><Relationship Id="rId1118" Type="http://schemas.openxmlformats.org/officeDocument/2006/relationships/hyperlink" Target="http://dx.doi.org/10.1109/VISUAL.2003.1250417" TargetMode="External"/><Relationship Id="rId2449" Type="http://schemas.openxmlformats.org/officeDocument/2006/relationships/hyperlink" Target="http://dx.doi.org/10.1109/TVCG.2013.224" TargetMode="External"/><Relationship Id="rId1119" Type="http://schemas.openxmlformats.org/officeDocument/2006/relationships/hyperlink" Target="http://dx.doi.org/10.1109/VISUAL.2003.1250418" TargetMode="External"/><Relationship Id="rId525" Type="http://schemas.openxmlformats.org/officeDocument/2006/relationships/hyperlink" Target="http://dx.doi.org/10.1109/VISUAL.1997.663921" TargetMode="External"/><Relationship Id="rId524" Type="http://schemas.openxmlformats.org/officeDocument/2006/relationships/hyperlink" Target="http://dx.doi.org/10.1109/VISUAL.1997.663920" TargetMode="External"/><Relationship Id="rId523" Type="http://schemas.openxmlformats.org/officeDocument/2006/relationships/hyperlink" Target="http://dx.doi.org/10.1109/VISUAL.1997.663919" TargetMode="External"/><Relationship Id="rId522" Type="http://schemas.openxmlformats.org/officeDocument/2006/relationships/hyperlink" Target="http://dx.doi.org/10.1109/VISUAL.1997.663918" TargetMode="External"/><Relationship Id="rId529" Type="http://schemas.openxmlformats.org/officeDocument/2006/relationships/hyperlink" Target="http://dx.doi.org/10.1109/VISUAL.1997.663925" TargetMode="External"/><Relationship Id="rId528" Type="http://schemas.openxmlformats.org/officeDocument/2006/relationships/hyperlink" Target="http://dx.doi.org/10.1109/VISUAL.1997.663924" TargetMode="External"/><Relationship Id="rId527" Type="http://schemas.openxmlformats.org/officeDocument/2006/relationships/hyperlink" Target="http://dx.doi.org/10.1109/VISUAL.1997.663923" TargetMode="External"/><Relationship Id="rId526" Type="http://schemas.openxmlformats.org/officeDocument/2006/relationships/hyperlink" Target="http://dx.doi.org/10.1109/VISUAL.1997.663922" TargetMode="External"/><Relationship Id="rId2440" Type="http://schemas.openxmlformats.org/officeDocument/2006/relationships/hyperlink" Target="http://dx.doi.org/10.1109/TVCG.2013.212" TargetMode="External"/><Relationship Id="rId521" Type="http://schemas.openxmlformats.org/officeDocument/2006/relationships/hyperlink" Target="http://dx.doi.org/10.1109/VISUAL.1997.663917" TargetMode="External"/><Relationship Id="rId1110" Type="http://schemas.openxmlformats.org/officeDocument/2006/relationships/hyperlink" Target="http://dx.doi.org/10.1109/VISUAL.2003.1250409" TargetMode="External"/><Relationship Id="rId2441" Type="http://schemas.openxmlformats.org/officeDocument/2006/relationships/hyperlink" Target="http://dx.doi.org/10.1109/TVCG.2013.213" TargetMode="External"/><Relationship Id="rId520" Type="http://schemas.openxmlformats.org/officeDocument/2006/relationships/hyperlink" Target="http://dx.doi.org/10.1109/VISUAL.1997.663916" TargetMode="External"/><Relationship Id="rId1111" Type="http://schemas.openxmlformats.org/officeDocument/2006/relationships/hyperlink" Target="http://dx.doi.org/10.1109/VISUAL.2003.1250410" TargetMode="External"/><Relationship Id="rId2442" Type="http://schemas.openxmlformats.org/officeDocument/2006/relationships/hyperlink" Target="http://dx.doi.org/10.1109/TVCG.2013.214" TargetMode="External"/><Relationship Id="rId1112" Type="http://schemas.openxmlformats.org/officeDocument/2006/relationships/hyperlink" Target="http://dx.doi.org/10.1109/VISUAL.2003.1250411" TargetMode="External"/><Relationship Id="rId2443" Type="http://schemas.openxmlformats.org/officeDocument/2006/relationships/hyperlink" Target="http://dx.doi.org/10.1109/TVCG.2013.215" TargetMode="External"/><Relationship Id="rId1113" Type="http://schemas.openxmlformats.org/officeDocument/2006/relationships/hyperlink" Target="http://dx.doi.org/10.1109/VISUAL.2003.1250412" TargetMode="External"/><Relationship Id="rId2444" Type="http://schemas.openxmlformats.org/officeDocument/2006/relationships/hyperlink" Target="http://dx.doi.org/10.1109/TVCG.2013.219" TargetMode="External"/><Relationship Id="rId1103" Type="http://schemas.openxmlformats.org/officeDocument/2006/relationships/hyperlink" Target="http://dx.doi.org/10.1109/VISUAL.2003.1250402" TargetMode="External"/><Relationship Id="rId2434" Type="http://schemas.openxmlformats.org/officeDocument/2006/relationships/hyperlink" Target="http://dx.doi.org/10.1109/TVCG.2013.206" TargetMode="External"/><Relationship Id="rId1104" Type="http://schemas.openxmlformats.org/officeDocument/2006/relationships/hyperlink" Target="http://dx.doi.org/10.1109/VISUAL.2003.1250403" TargetMode="External"/><Relationship Id="rId2435" Type="http://schemas.openxmlformats.org/officeDocument/2006/relationships/hyperlink" Target="http://dx.doi.org/10.1109/TVCG.2013.207" TargetMode="External"/><Relationship Id="rId1105" Type="http://schemas.openxmlformats.org/officeDocument/2006/relationships/hyperlink" Target="http://dx.doi.org/10.1109/VISUAL.2003.1250404" TargetMode="External"/><Relationship Id="rId2436" Type="http://schemas.openxmlformats.org/officeDocument/2006/relationships/hyperlink" Target="http://dx.doi.org/10.1109/TVCG.2013.208" TargetMode="External"/><Relationship Id="rId1106" Type="http://schemas.openxmlformats.org/officeDocument/2006/relationships/hyperlink" Target="http://dx.doi.org/10.1109/VISUAL.2003.1250405" TargetMode="External"/><Relationship Id="rId2437" Type="http://schemas.openxmlformats.org/officeDocument/2006/relationships/hyperlink" Target="http://dx.doi.org/10.1109/TVCG.2013.209" TargetMode="External"/><Relationship Id="rId1107" Type="http://schemas.openxmlformats.org/officeDocument/2006/relationships/hyperlink" Target="http://dx.doi.org/10.1109/VISUAL.2003.1250406" TargetMode="External"/><Relationship Id="rId2438" Type="http://schemas.openxmlformats.org/officeDocument/2006/relationships/hyperlink" Target="http://dx.doi.org/10.1109/TVCG.2013.210" TargetMode="External"/><Relationship Id="rId1108" Type="http://schemas.openxmlformats.org/officeDocument/2006/relationships/hyperlink" Target="http://dx.doi.org/10.1109/VISUAL.2003.1250407" TargetMode="External"/><Relationship Id="rId2439" Type="http://schemas.openxmlformats.org/officeDocument/2006/relationships/hyperlink" Target="http://dx.doi.org/10.1109/TVCG.2013.211" TargetMode="External"/><Relationship Id="rId1109" Type="http://schemas.openxmlformats.org/officeDocument/2006/relationships/hyperlink" Target="http://dx.doi.org/10.1109/VISUAL.2003.1250408" TargetMode="External"/><Relationship Id="rId519" Type="http://schemas.openxmlformats.org/officeDocument/2006/relationships/hyperlink" Target="http://dx.doi.org/10.1109/VISUAL.1997.663915" TargetMode="External"/><Relationship Id="rId514" Type="http://schemas.openxmlformats.org/officeDocument/2006/relationships/hyperlink" Target="http://dx.doi.org/10.1109/VISUAL.1997.663910" TargetMode="External"/><Relationship Id="rId513" Type="http://schemas.openxmlformats.org/officeDocument/2006/relationships/hyperlink" Target="http://dx.doi.org/10.1109/VISUAL.1997.663909" TargetMode="External"/><Relationship Id="rId512" Type="http://schemas.openxmlformats.org/officeDocument/2006/relationships/hyperlink" Target="http://dx.doi.org/10.1109/VISUAL.1997.663908" TargetMode="External"/><Relationship Id="rId511" Type="http://schemas.openxmlformats.org/officeDocument/2006/relationships/hyperlink" Target="http://dx.doi.org/10.1109/VISUAL.1997.663907" TargetMode="External"/><Relationship Id="rId518" Type="http://schemas.openxmlformats.org/officeDocument/2006/relationships/hyperlink" Target="http://dx.doi.org/10.1109/VISUAL.1997.663914" TargetMode="External"/><Relationship Id="rId517" Type="http://schemas.openxmlformats.org/officeDocument/2006/relationships/hyperlink" Target="http://dx.doi.org/10.1109/VISUAL.1997.663913" TargetMode="External"/><Relationship Id="rId516" Type="http://schemas.openxmlformats.org/officeDocument/2006/relationships/hyperlink" Target="http://dx.doi.org/10.1109/VISUAL.1997.663912" TargetMode="External"/><Relationship Id="rId515" Type="http://schemas.openxmlformats.org/officeDocument/2006/relationships/hyperlink" Target="http://dx.doi.org/10.1109/VISUAL.1997.663911" TargetMode="External"/><Relationship Id="rId510" Type="http://schemas.openxmlformats.org/officeDocument/2006/relationships/hyperlink" Target="http://dx.doi.org/10.1109/VISUAL.1997.663906" TargetMode="External"/><Relationship Id="rId2430" Type="http://schemas.openxmlformats.org/officeDocument/2006/relationships/hyperlink" Target="http://dx.doi.org/10.1109/TVCG.2013.197" TargetMode="External"/><Relationship Id="rId1100" Type="http://schemas.openxmlformats.org/officeDocument/2006/relationships/hyperlink" Target="http://dx.doi.org/10.1109/VISUAL.2003.1250399" TargetMode="External"/><Relationship Id="rId2431" Type="http://schemas.openxmlformats.org/officeDocument/2006/relationships/hyperlink" Target="http://dx.doi.org/10.1109/TVCG.2013.198" TargetMode="External"/><Relationship Id="rId1101" Type="http://schemas.openxmlformats.org/officeDocument/2006/relationships/hyperlink" Target="http://dx.doi.org/10.1109/VISUAL.2003.1250400" TargetMode="External"/><Relationship Id="rId2432" Type="http://schemas.openxmlformats.org/officeDocument/2006/relationships/hyperlink" Target="http://dx.doi.org/10.1109/TVCG.2013.200" TargetMode="External"/><Relationship Id="rId1102" Type="http://schemas.openxmlformats.org/officeDocument/2006/relationships/hyperlink" Target="http://dx.doi.org/10.1109/VISUAL.2003.1250401" TargetMode="External"/><Relationship Id="rId2433" Type="http://schemas.openxmlformats.org/officeDocument/2006/relationships/hyperlink" Target="http://dx.doi.org/10.1109/TVCG.2013.205" TargetMode="External"/><Relationship Id="rId2401" Type="http://schemas.openxmlformats.org/officeDocument/2006/relationships/hyperlink" Target="http://dx.doi.org/10.1109/TVCG.2013.162" TargetMode="External"/><Relationship Id="rId2402" Type="http://schemas.openxmlformats.org/officeDocument/2006/relationships/hyperlink" Target="http://dx.doi.org/10.1109/TVCG.2013.163" TargetMode="External"/><Relationship Id="rId2403" Type="http://schemas.openxmlformats.org/officeDocument/2006/relationships/hyperlink" Target="http://dx.doi.org/10.1109/TVCG.2013.164" TargetMode="External"/><Relationship Id="rId2404" Type="http://schemas.openxmlformats.org/officeDocument/2006/relationships/hyperlink" Target="http://dx.doi.org/10.1109/TVCG.2013.166" TargetMode="External"/><Relationship Id="rId2405" Type="http://schemas.openxmlformats.org/officeDocument/2006/relationships/hyperlink" Target="http://dx.doi.org/10.1109/TVCG.2013.167" TargetMode="External"/><Relationship Id="rId2406" Type="http://schemas.openxmlformats.org/officeDocument/2006/relationships/hyperlink" Target="http://dx.doi.org/10.1109/TVCG.2013.168" TargetMode="External"/><Relationship Id="rId2407" Type="http://schemas.openxmlformats.org/officeDocument/2006/relationships/hyperlink" Target="http://dx.doi.org/10.1109/TVCG.2013.169" TargetMode="External"/><Relationship Id="rId2408" Type="http://schemas.openxmlformats.org/officeDocument/2006/relationships/hyperlink" Target="http://dx.doi.org/10.1109/TVCG.2013.170" TargetMode="External"/><Relationship Id="rId2409" Type="http://schemas.openxmlformats.org/officeDocument/2006/relationships/hyperlink" Target="http://dx.doi.org/10.1109/TVCG.2013.172" TargetMode="External"/><Relationship Id="rId2400" Type="http://schemas.openxmlformats.org/officeDocument/2006/relationships/hyperlink" Target="http://dx.doi.org/10.1109/TVCG.2013.161" TargetMode="External"/><Relationship Id="rId590" Type="http://schemas.openxmlformats.org/officeDocument/2006/relationships/hyperlink" Target="http://dx.doi.org/10.1109/VISUAL.1998.745314" TargetMode="External"/><Relationship Id="rId589" Type="http://schemas.openxmlformats.org/officeDocument/2006/relationships/hyperlink" Target="http://dx.doi.org/10.1109/VISUAL.1998.745313" TargetMode="External"/><Relationship Id="rId588" Type="http://schemas.openxmlformats.org/officeDocument/2006/relationships/hyperlink" Target="http://dx.doi.org/10.1109/VISUAL.1998.745312" TargetMode="External"/><Relationship Id="rId1170" Type="http://schemas.openxmlformats.org/officeDocument/2006/relationships/hyperlink" Target="http://dx.doi.org/10.1109/INFVIS.2004.52" TargetMode="External"/><Relationship Id="rId1171" Type="http://schemas.openxmlformats.org/officeDocument/2006/relationships/hyperlink" Target="http://dx.doi.org/10.1109/INFVIS.2004.53" TargetMode="External"/><Relationship Id="rId583" Type="http://schemas.openxmlformats.org/officeDocument/2006/relationships/hyperlink" Target="http://dx.doi.org/10.1109/VISUAL.1998.745306" TargetMode="External"/><Relationship Id="rId1172" Type="http://schemas.openxmlformats.org/officeDocument/2006/relationships/hyperlink" Target="http://dx.doi.org/10.1109/INFVIS.2004.56" TargetMode="External"/><Relationship Id="rId582" Type="http://schemas.openxmlformats.org/officeDocument/2006/relationships/hyperlink" Target="http://dx.doi.org/10.1109/VISUAL.1998.745305" TargetMode="External"/><Relationship Id="rId1173" Type="http://schemas.openxmlformats.org/officeDocument/2006/relationships/hyperlink" Target="http://dx.doi.org/10.1109/INFVIS.2004.57" TargetMode="External"/><Relationship Id="rId581" Type="http://schemas.openxmlformats.org/officeDocument/2006/relationships/hyperlink" Target="http://dx.doi.org/10.1109/VISUAL.1998.745304" TargetMode="External"/><Relationship Id="rId1174" Type="http://schemas.openxmlformats.org/officeDocument/2006/relationships/hyperlink" Target="http://dx.doi.org/10.1109/INFVIS.2004.58" TargetMode="External"/><Relationship Id="rId580" Type="http://schemas.openxmlformats.org/officeDocument/2006/relationships/hyperlink" Target="http://dx.doi.org/10.1109/VISUAL.1998.745303" TargetMode="External"/><Relationship Id="rId1175" Type="http://schemas.openxmlformats.org/officeDocument/2006/relationships/hyperlink" Target="http://dx.doi.org/10.1109/INFVIS.2004.59" TargetMode="External"/><Relationship Id="rId587" Type="http://schemas.openxmlformats.org/officeDocument/2006/relationships/hyperlink" Target="http://dx.doi.org/10.1109/VISUAL.1998.745311" TargetMode="External"/><Relationship Id="rId1176" Type="http://schemas.openxmlformats.org/officeDocument/2006/relationships/hyperlink" Target="http://dx.doi.org/10.1109/INFVIS.2004.6" TargetMode="External"/><Relationship Id="rId586" Type="http://schemas.openxmlformats.org/officeDocument/2006/relationships/hyperlink" Target="http://dx.doi.org/10.1109/VISUAL.1998.745310" TargetMode="External"/><Relationship Id="rId1177" Type="http://schemas.openxmlformats.org/officeDocument/2006/relationships/hyperlink" Target="http://dx.doi.org/10.1109/INFVIS.2004.60" TargetMode="External"/><Relationship Id="rId585" Type="http://schemas.openxmlformats.org/officeDocument/2006/relationships/hyperlink" Target="http://dx.doi.org/10.1109/VISUAL.1998.745309" TargetMode="External"/><Relationship Id="rId1178" Type="http://schemas.openxmlformats.org/officeDocument/2006/relationships/hyperlink" Target="http://dx.doi.org/10.1109/INFVIS.2004.63" TargetMode="External"/><Relationship Id="rId584" Type="http://schemas.openxmlformats.org/officeDocument/2006/relationships/hyperlink" Target="http://dx.doi.org/10.1109/VISUAL.1998.745307" TargetMode="External"/><Relationship Id="rId1179" Type="http://schemas.openxmlformats.org/officeDocument/2006/relationships/hyperlink" Target="http://dx.doi.org/10.1109/INFVIS.2004.64" TargetMode="External"/><Relationship Id="rId1169" Type="http://schemas.openxmlformats.org/officeDocument/2006/relationships/hyperlink" Target="http://dx.doi.org/10.1109/INFVIS.2004.50" TargetMode="External"/><Relationship Id="rId579" Type="http://schemas.openxmlformats.org/officeDocument/2006/relationships/hyperlink" Target="http://dx.doi.org/10.1109/VISUAL.1998.745302" TargetMode="External"/><Relationship Id="rId578" Type="http://schemas.openxmlformats.org/officeDocument/2006/relationships/hyperlink" Target="http://dx.doi.org/10.1109/VISUAL.1998.745301" TargetMode="External"/><Relationship Id="rId577" Type="http://schemas.openxmlformats.org/officeDocument/2006/relationships/hyperlink" Target="http://dx.doi.org/10.1109/VISUAL.1998.745300" TargetMode="External"/><Relationship Id="rId2490" Type="http://schemas.openxmlformats.org/officeDocument/2006/relationships/hyperlink" Target="http://dx.doi.org/10.1109/TVCG.2014.2346351" TargetMode="External"/><Relationship Id="rId1160" Type="http://schemas.openxmlformats.org/officeDocument/2006/relationships/hyperlink" Target="http://dx.doi.org/10.1109/INFVIS.2004.42" TargetMode="External"/><Relationship Id="rId2491" Type="http://schemas.openxmlformats.org/officeDocument/2006/relationships/hyperlink" Target="http://dx.doi.org/10.1109/TVCG.2014.2346352" TargetMode="External"/><Relationship Id="rId572" Type="http://schemas.openxmlformats.org/officeDocument/2006/relationships/hyperlink" Target="http://dx.doi.org/10.1109/VISUAL.1998.745295" TargetMode="External"/><Relationship Id="rId1161" Type="http://schemas.openxmlformats.org/officeDocument/2006/relationships/hyperlink" Target="http://dx.doi.org/10.1109/INFVIS.2004.43" TargetMode="External"/><Relationship Id="rId2492" Type="http://schemas.openxmlformats.org/officeDocument/2006/relationships/hyperlink" Target="http://dx.doi.org/10.1109/TVCG.2014.2346371" TargetMode="External"/><Relationship Id="rId571" Type="http://schemas.openxmlformats.org/officeDocument/2006/relationships/hyperlink" Target="http://dx.doi.org/10.1109/VISUAL.1998.745294" TargetMode="External"/><Relationship Id="rId1162" Type="http://schemas.openxmlformats.org/officeDocument/2006/relationships/hyperlink" Target="http://dx.doi.org/10.1109/INFVIS.2004.44" TargetMode="External"/><Relationship Id="rId2493" Type="http://schemas.openxmlformats.org/officeDocument/2006/relationships/hyperlink" Target="http://dx.doi.org/10.1109/TVCG.2014.2346403" TargetMode="External"/><Relationship Id="rId570" Type="http://schemas.openxmlformats.org/officeDocument/2006/relationships/hyperlink" Target="http://dx.doi.org/10.1109/VISUAL.1998.745293" TargetMode="External"/><Relationship Id="rId1163" Type="http://schemas.openxmlformats.org/officeDocument/2006/relationships/hyperlink" Target="http://dx.doi.org/10.1109/INFVIS.2004.45" TargetMode="External"/><Relationship Id="rId2494" Type="http://schemas.openxmlformats.org/officeDocument/2006/relationships/hyperlink" Target="http://dx.doi.org/10.1109/TVCG.2014.2346404" TargetMode="External"/><Relationship Id="rId1164" Type="http://schemas.openxmlformats.org/officeDocument/2006/relationships/hyperlink" Target="http://dx.doi.org/10.1109/INFVIS.2004.46" TargetMode="External"/><Relationship Id="rId2495" Type="http://schemas.openxmlformats.org/officeDocument/2006/relationships/hyperlink" Target="http://dx.doi.org/10.1109/TVCG.2014.2346405" TargetMode="External"/><Relationship Id="rId576" Type="http://schemas.openxmlformats.org/officeDocument/2006/relationships/hyperlink" Target="http://dx.doi.org/10.1109/VISUAL.1998.745299" TargetMode="External"/><Relationship Id="rId1165" Type="http://schemas.openxmlformats.org/officeDocument/2006/relationships/hyperlink" Target="http://dx.doi.org/10.1109/INFVIS.2004.47" TargetMode="External"/><Relationship Id="rId2496" Type="http://schemas.openxmlformats.org/officeDocument/2006/relationships/hyperlink" Target="http://dx.doi.org/10.1109/TVCG.2014.2346406" TargetMode="External"/><Relationship Id="rId575" Type="http://schemas.openxmlformats.org/officeDocument/2006/relationships/hyperlink" Target="http://dx.doi.org/10.1109/VISUAL.1998.745298" TargetMode="External"/><Relationship Id="rId1166" Type="http://schemas.openxmlformats.org/officeDocument/2006/relationships/hyperlink" Target="http://dx.doi.org/10.1109/INFVIS.2004.48" TargetMode="External"/><Relationship Id="rId2497" Type="http://schemas.openxmlformats.org/officeDocument/2006/relationships/hyperlink" Target="http://dx.doi.org/10.1109/TVCG.2014.2346411" TargetMode="External"/><Relationship Id="rId574" Type="http://schemas.openxmlformats.org/officeDocument/2006/relationships/hyperlink" Target="http://dx.doi.org/10.1109/VISUAL.1998.745297" TargetMode="External"/><Relationship Id="rId1167" Type="http://schemas.openxmlformats.org/officeDocument/2006/relationships/hyperlink" Target="http://dx.doi.org/10.1109/INFVIS.2004.49" TargetMode="External"/><Relationship Id="rId2498" Type="http://schemas.openxmlformats.org/officeDocument/2006/relationships/hyperlink" Target="http://dx.doi.org/10.1109/TVCG.2014.2346412" TargetMode="External"/><Relationship Id="rId573" Type="http://schemas.openxmlformats.org/officeDocument/2006/relationships/hyperlink" Target="http://dx.doi.org/10.1109/VISUAL.1998.745296" TargetMode="External"/><Relationship Id="rId1168" Type="http://schemas.openxmlformats.org/officeDocument/2006/relationships/hyperlink" Target="http://dx.doi.org/10.1109/INFVIS.2004.5" TargetMode="External"/><Relationship Id="rId2499" Type="http://schemas.openxmlformats.org/officeDocument/2006/relationships/hyperlink" Target="http://dx.doi.org/10.1109/TVCG.2014.2346415" TargetMode="External"/><Relationship Id="rId1190" Type="http://schemas.openxmlformats.org/officeDocument/2006/relationships/hyperlink" Target="http://dx.doi.org/10.1109/INFVIS.2004.74" TargetMode="External"/><Relationship Id="rId1191" Type="http://schemas.openxmlformats.org/officeDocument/2006/relationships/hyperlink" Target="http://dx.doi.org/10.1109/INFVIS.2004.75" TargetMode="External"/><Relationship Id="rId1192" Type="http://schemas.openxmlformats.org/officeDocument/2006/relationships/hyperlink" Target="http://dx.doi.org/10.1109/INFVIS.2004.76" TargetMode="External"/><Relationship Id="rId1193" Type="http://schemas.openxmlformats.org/officeDocument/2006/relationships/hyperlink" Target="http://dx.doi.org/10.1109/INFVIS.2004.77" TargetMode="External"/><Relationship Id="rId1194" Type="http://schemas.openxmlformats.org/officeDocument/2006/relationships/hyperlink" Target="http://dx.doi.org/10.1109/INFVIS.2004.8" TargetMode="External"/><Relationship Id="rId1195" Type="http://schemas.openxmlformats.org/officeDocument/2006/relationships/hyperlink" Target="http://dx.doi.org/10.1109/VISUAL.2004.10" TargetMode="External"/><Relationship Id="rId1196" Type="http://schemas.openxmlformats.org/officeDocument/2006/relationships/hyperlink" Target="http://dx.doi.org/10.1109/VISUAL.2004.101" TargetMode="External"/><Relationship Id="rId1197" Type="http://schemas.openxmlformats.org/officeDocument/2006/relationships/hyperlink" Target="http://dx.doi.org/10.1109/VISUAL.2004.102" TargetMode="External"/><Relationship Id="rId1198" Type="http://schemas.openxmlformats.org/officeDocument/2006/relationships/hyperlink" Target="http://dx.doi.org/10.1109/VISUAL.2004.103" TargetMode="External"/><Relationship Id="rId1199" Type="http://schemas.openxmlformats.org/officeDocument/2006/relationships/hyperlink" Target="http://dx.doi.org/10.1109/VISUAL.2004.104" TargetMode="External"/><Relationship Id="rId599" Type="http://schemas.openxmlformats.org/officeDocument/2006/relationships/hyperlink" Target="http://dx.doi.org/10.1109/VISUAL.1998.745323" TargetMode="External"/><Relationship Id="rId1180" Type="http://schemas.openxmlformats.org/officeDocument/2006/relationships/hyperlink" Target="http://dx.doi.org/10.1109/INFVIS.2004.65" TargetMode="External"/><Relationship Id="rId1181" Type="http://schemas.openxmlformats.org/officeDocument/2006/relationships/hyperlink" Target="http://dx.doi.org/10.1109/INFVIS.2004.66" TargetMode="External"/><Relationship Id="rId1182" Type="http://schemas.openxmlformats.org/officeDocument/2006/relationships/hyperlink" Target="http://dx.doi.org/10.1109/INFVIS.2004.67" TargetMode="External"/><Relationship Id="rId594" Type="http://schemas.openxmlformats.org/officeDocument/2006/relationships/hyperlink" Target="http://dx.doi.org/10.1109/VISUAL.1998.745318" TargetMode="External"/><Relationship Id="rId1183" Type="http://schemas.openxmlformats.org/officeDocument/2006/relationships/hyperlink" Target="http://dx.doi.org/10.1109/INFVIS.2004.68" TargetMode="External"/><Relationship Id="rId593" Type="http://schemas.openxmlformats.org/officeDocument/2006/relationships/hyperlink" Target="http://dx.doi.org/10.1109/VISUAL.1998.745317" TargetMode="External"/><Relationship Id="rId1184" Type="http://schemas.openxmlformats.org/officeDocument/2006/relationships/hyperlink" Target="http://dx.doi.org/10.1109/INFVIS.2004.69" TargetMode="External"/><Relationship Id="rId592" Type="http://schemas.openxmlformats.org/officeDocument/2006/relationships/hyperlink" Target="http://dx.doi.org/10.1109/VISUAL.1998.745316" TargetMode="External"/><Relationship Id="rId1185" Type="http://schemas.openxmlformats.org/officeDocument/2006/relationships/hyperlink" Target="http://dx.doi.org/10.1109/INFVIS.2004.7" TargetMode="External"/><Relationship Id="rId591" Type="http://schemas.openxmlformats.org/officeDocument/2006/relationships/hyperlink" Target="http://dx.doi.org/10.1109/VISUAL.1998.745315" TargetMode="External"/><Relationship Id="rId1186" Type="http://schemas.openxmlformats.org/officeDocument/2006/relationships/hyperlink" Target="http://dx.doi.org/10.1109/INFVIS.2004.70" TargetMode="External"/><Relationship Id="rId598" Type="http://schemas.openxmlformats.org/officeDocument/2006/relationships/hyperlink" Target="http://dx.doi.org/10.1109/VISUAL.1998.745322" TargetMode="External"/><Relationship Id="rId1187" Type="http://schemas.openxmlformats.org/officeDocument/2006/relationships/hyperlink" Target="http://dx.doi.org/10.1109/INFVIS.2004.71" TargetMode="External"/><Relationship Id="rId597" Type="http://schemas.openxmlformats.org/officeDocument/2006/relationships/hyperlink" Target="http://dx.doi.org/10.1109/VISUAL.1998.745321" TargetMode="External"/><Relationship Id="rId1188" Type="http://schemas.openxmlformats.org/officeDocument/2006/relationships/hyperlink" Target="http://dx.doi.org/10.1109/INFVIS.2004.72" TargetMode="External"/><Relationship Id="rId596" Type="http://schemas.openxmlformats.org/officeDocument/2006/relationships/hyperlink" Target="http://dx.doi.org/10.1109/VISUAL.1998.745320" TargetMode="External"/><Relationship Id="rId1189" Type="http://schemas.openxmlformats.org/officeDocument/2006/relationships/hyperlink" Target="http://dx.doi.org/10.1109/INFVIS.2004.73" TargetMode="External"/><Relationship Id="rId595" Type="http://schemas.openxmlformats.org/officeDocument/2006/relationships/hyperlink" Target="http://dx.doi.org/10.1109/VISUAL.1998.745319" TargetMode="External"/><Relationship Id="rId1136" Type="http://schemas.openxmlformats.org/officeDocument/2006/relationships/hyperlink" Target="http://dx.doi.org/10.1109/INFVIS.2004.13" TargetMode="External"/><Relationship Id="rId2467" Type="http://schemas.openxmlformats.org/officeDocument/2006/relationships/hyperlink" Target="http://dx.doi.org/10.1109/TVCG.2014.2346274" TargetMode="External"/><Relationship Id="rId1137" Type="http://schemas.openxmlformats.org/officeDocument/2006/relationships/hyperlink" Target="http://dx.doi.org/10.1109/INFVIS.2004.14" TargetMode="External"/><Relationship Id="rId2468" Type="http://schemas.openxmlformats.org/officeDocument/2006/relationships/hyperlink" Target="http://dx.doi.org/10.1109/TVCG.2014.2346276" TargetMode="External"/><Relationship Id="rId1138" Type="http://schemas.openxmlformats.org/officeDocument/2006/relationships/hyperlink" Target="http://dx.doi.org/10.1109/INFVIS.2004.15" TargetMode="External"/><Relationship Id="rId2469" Type="http://schemas.openxmlformats.org/officeDocument/2006/relationships/hyperlink" Target="http://dx.doi.org/10.1109/TVCG.2014.2346277" TargetMode="External"/><Relationship Id="rId1139" Type="http://schemas.openxmlformats.org/officeDocument/2006/relationships/hyperlink" Target="http://dx.doi.org/10.1109/INFVIS.2004.16" TargetMode="External"/><Relationship Id="rId547" Type="http://schemas.openxmlformats.org/officeDocument/2006/relationships/hyperlink" Target="http://dx.doi.org/10.1109/INFVIS.1998.729561" TargetMode="External"/><Relationship Id="rId546" Type="http://schemas.openxmlformats.org/officeDocument/2006/relationships/hyperlink" Target="http://dx.doi.org/10.1109/INFVIS.1998.729560" TargetMode="External"/><Relationship Id="rId545" Type="http://schemas.openxmlformats.org/officeDocument/2006/relationships/hyperlink" Target="http://dx.doi.org/10.1109/INFVIS.1998.729559" TargetMode="External"/><Relationship Id="rId544" Type="http://schemas.openxmlformats.org/officeDocument/2006/relationships/hyperlink" Target="http://dx.doi.org/10.1109/INFVIS.1998.729558" TargetMode="External"/><Relationship Id="rId549" Type="http://schemas.openxmlformats.org/officeDocument/2006/relationships/hyperlink" Target="http://dx.doi.org/10.1109/INFVIS.1998.729563" TargetMode="External"/><Relationship Id="rId548" Type="http://schemas.openxmlformats.org/officeDocument/2006/relationships/hyperlink" Target="http://dx.doi.org/10.1109/INFVIS.1998.729562" TargetMode="External"/><Relationship Id="rId2460" Type="http://schemas.openxmlformats.org/officeDocument/2006/relationships/hyperlink" Target="http://dx.doi.org/10.1109/TVCG.2014.2346248" TargetMode="External"/><Relationship Id="rId1130" Type="http://schemas.openxmlformats.org/officeDocument/2006/relationships/hyperlink" Target="http://dx.doi.org/10.1109/VISUAL.2003.1250429" TargetMode="External"/><Relationship Id="rId2461" Type="http://schemas.openxmlformats.org/officeDocument/2006/relationships/hyperlink" Target="http://dx.doi.org/10.1109/TVCG.2014.2346249" TargetMode="External"/><Relationship Id="rId1131" Type="http://schemas.openxmlformats.org/officeDocument/2006/relationships/hyperlink" Target="http://dx.doi.org/10.1109/VISUAL.2003.1250430" TargetMode="External"/><Relationship Id="rId2462" Type="http://schemas.openxmlformats.org/officeDocument/2006/relationships/hyperlink" Target="http://dx.doi.org/10.1109/TVCG.2014.2346250" TargetMode="External"/><Relationship Id="rId543" Type="http://schemas.openxmlformats.org/officeDocument/2006/relationships/hyperlink" Target="http://dx.doi.org/10.1109/INFVIS.1998.729557" TargetMode="External"/><Relationship Id="rId1132" Type="http://schemas.openxmlformats.org/officeDocument/2006/relationships/hyperlink" Target="http://dx.doi.org/10.1109/INFVIS.2004.1" TargetMode="External"/><Relationship Id="rId2463" Type="http://schemas.openxmlformats.org/officeDocument/2006/relationships/hyperlink" Target="http://dx.doi.org/10.1109/TVCG.2014.2346258" TargetMode="External"/><Relationship Id="rId542" Type="http://schemas.openxmlformats.org/officeDocument/2006/relationships/hyperlink" Target="http://dx.doi.org/10.1109/INFVIS.1998.729556" TargetMode="External"/><Relationship Id="rId1133" Type="http://schemas.openxmlformats.org/officeDocument/2006/relationships/hyperlink" Target="http://dx.doi.org/10.1109/INFVIS.2004.10" TargetMode="External"/><Relationship Id="rId2464" Type="http://schemas.openxmlformats.org/officeDocument/2006/relationships/hyperlink" Target="http://dx.doi.org/10.1109/TVCG.2014.2346260" TargetMode="External"/><Relationship Id="rId541" Type="http://schemas.openxmlformats.org/officeDocument/2006/relationships/hyperlink" Target="http://dx.doi.org/10.1109/INFVIS.1998.729555" TargetMode="External"/><Relationship Id="rId1134" Type="http://schemas.openxmlformats.org/officeDocument/2006/relationships/hyperlink" Target="http://dx.doi.org/10.1109/INFVIS.2004.11" TargetMode="External"/><Relationship Id="rId2465" Type="http://schemas.openxmlformats.org/officeDocument/2006/relationships/hyperlink" Target="http://dx.doi.org/10.1109/TVCG.2014.2346265" TargetMode="External"/><Relationship Id="rId540" Type="http://schemas.openxmlformats.org/officeDocument/2006/relationships/hyperlink" Target="http://dx.doi.org/10.1109/INFVIS.1998.729554" TargetMode="External"/><Relationship Id="rId1135" Type="http://schemas.openxmlformats.org/officeDocument/2006/relationships/hyperlink" Target="http://dx.doi.org/10.1109/INFVIS.2004.12" TargetMode="External"/><Relationship Id="rId2466" Type="http://schemas.openxmlformats.org/officeDocument/2006/relationships/hyperlink" Target="http://dx.doi.org/10.1109/TVCG.2014.2346271" TargetMode="External"/><Relationship Id="rId1125" Type="http://schemas.openxmlformats.org/officeDocument/2006/relationships/hyperlink" Target="http://dx.doi.org/10.1109/VISUAL.2003.1250424" TargetMode="External"/><Relationship Id="rId2456" Type="http://schemas.openxmlformats.org/officeDocument/2006/relationships/hyperlink" Target="http://dx.doi.org/10.1109/TVCG.2013.231" TargetMode="External"/><Relationship Id="rId1126" Type="http://schemas.openxmlformats.org/officeDocument/2006/relationships/hyperlink" Target="http://dx.doi.org/10.1109/VISUAL.2003.1250425" TargetMode="External"/><Relationship Id="rId2457" Type="http://schemas.openxmlformats.org/officeDocument/2006/relationships/hyperlink" Target="http://dx.doi.org/10.1109/TVCG.2013.232" TargetMode="External"/><Relationship Id="rId1127" Type="http://schemas.openxmlformats.org/officeDocument/2006/relationships/hyperlink" Target="http://dx.doi.org/10.1109/VISUAL.2003.1250426" TargetMode="External"/><Relationship Id="rId2458" Type="http://schemas.openxmlformats.org/officeDocument/2006/relationships/hyperlink" Target="http://dx.doi.org/10.1109/TVCG.2013.233" TargetMode="External"/><Relationship Id="rId1128" Type="http://schemas.openxmlformats.org/officeDocument/2006/relationships/hyperlink" Target="http://dx.doi.org/10.1109/VISUAL.2003.1250427" TargetMode="External"/><Relationship Id="rId2459" Type="http://schemas.openxmlformats.org/officeDocument/2006/relationships/hyperlink" Target="http://dx.doi.org/10.1109/TVCG.2013.234" TargetMode="External"/><Relationship Id="rId1129" Type="http://schemas.openxmlformats.org/officeDocument/2006/relationships/hyperlink" Target="http://dx.doi.org/10.1109/VISUAL.2003.1250428" TargetMode="External"/><Relationship Id="rId536" Type="http://schemas.openxmlformats.org/officeDocument/2006/relationships/hyperlink" Target="http://dx.doi.org/10.1109/VISUAL.1997.663932" TargetMode="External"/><Relationship Id="rId535" Type="http://schemas.openxmlformats.org/officeDocument/2006/relationships/hyperlink" Target="http://dx.doi.org/10.1109/VISUAL.1997.663931" TargetMode="External"/><Relationship Id="rId534" Type="http://schemas.openxmlformats.org/officeDocument/2006/relationships/hyperlink" Target="http://dx.doi.org/10.1109/VISUAL.1997.663930" TargetMode="External"/><Relationship Id="rId533" Type="http://schemas.openxmlformats.org/officeDocument/2006/relationships/hyperlink" Target="http://dx.doi.org/10.1109/VISUAL.1997.663929" TargetMode="External"/><Relationship Id="rId539" Type="http://schemas.openxmlformats.org/officeDocument/2006/relationships/hyperlink" Target="http://dx.doi.org/10.1109/INFVIS.1998.729553" TargetMode="External"/><Relationship Id="rId538" Type="http://schemas.openxmlformats.org/officeDocument/2006/relationships/hyperlink" Target="http://dx.doi.org/10.1109/VISUAL.1997.663934" TargetMode="External"/><Relationship Id="rId537" Type="http://schemas.openxmlformats.org/officeDocument/2006/relationships/hyperlink" Target="http://dx.doi.org/10.1109/VISUAL.1997.663933" TargetMode="External"/><Relationship Id="rId2450" Type="http://schemas.openxmlformats.org/officeDocument/2006/relationships/hyperlink" Target="http://dx.doi.org/10.1109/TVCG.2013.225" TargetMode="External"/><Relationship Id="rId1120" Type="http://schemas.openxmlformats.org/officeDocument/2006/relationships/hyperlink" Target="http://dx.doi.org/10.1109/VISUAL.2003.1250419" TargetMode="External"/><Relationship Id="rId2451" Type="http://schemas.openxmlformats.org/officeDocument/2006/relationships/hyperlink" Target="http://dx.doi.org/10.1109/TVCG.2013.226" TargetMode="External"/><Relationship Id="rId532" Type="http://schemas.openxmlformats.org/officeDocument/2006/relationships/hyperlink" Target="http://dx.doi.org/10.1109/VISUAL.1997.663928" TargetMode="External"/><Relationship Id="rId1121" Type="http://schemas.openxmlformats.org/officeDocument/2006/relationships/hyperlink" Target="http://dx.doi.org/10.1109/VISUAL.2003.1250420" TargetMode="External"/><Relationship Id="rId2452" Type="http://schemas.openxmlformats.org/officeDocument/2006/relationships/hyperlink" Target="http://dx.doi.org/10.1109/TVCG.2013.227" TargetMode="External"/><Relationship Id="rId531" Type="http://schemas.openxmlformats.org/officeDocument/2006/relationships/hyperlink" Target="http://dx.doi.org/10.1109/VISUAL.1997.663927" TargetMode="External"/><Relationship Id="rId1122" Type="http://schemas.openxmlformats.org/officeDocument/2006/relationships/hyperlink" Target="http://dx.doi.org/10.1109/VISUAL.2003.1250421" TargetMode="External"/><Relationship Id="rId2453" Type="http://schemas.openxmlformats.org/officeDocument/2006/relationships/hyperlink" Target="http://dx.doi.org/10.1109/TVCG.2013.228" TargetMode="External"/><Relationship Id="rId530" Type="http://schemas.openxmlformats.org/officeDocument/2006/relationships/hyperlink" Target="http://dx.doi.org/10.1109/VISUAL.1997.663926" TargetMode="External"/><Relationship Id="rId1123" Type="http://schemas.openxmlformats.org/officeDocument/2006/relationships/hyperlink" Target="http://dx.doi.org/10.1109/VISUAL.2003.1250422" TargetMode="External"/><Relationship Id="rId2454" Type="http://schemas.openxmlformats.org/officeDocument/2006/relationships/hyperlink" Target="http://dx.doi.org/10.1109/TVCG.2013.229" TargetMode="External"/><Relationship Id="rId1124" Type="http://schemas.openxmlformats.org/officeDocument/2006/relationships/hyperlink" Target="http://dx.doi.org/10.1109/VISUAL.2003.1250423" TargetMode="External"/><Relationship Id="rId2455" Type="http://schemas.openxmlformats.org/officeDocument/2006/relationships/hyperlink" Target="http://dx.doi.org/10.1109/TVCG.2013.230" TargetMode="External"/><Relationship Id="rId1158" Type="http://schemas.openxmlformats.org/officeDocument/2006/relationships/hyperlink" Target="http://dx.doi.org/10.1109/INFVIS.2004.40" TargetMode="External"/><Relationship Id="rId2489" Type="http://schemas.openxmlformats.org/officeDocument/2006/relationships/hyperlink" Target="http://dx.doi.org/10.1109/TVCG.2014.2346333" TargetMode="External"/><Relationship Id="rId1159" Type="http://schemas.openxmlformats.org/officeDocument/2006/relationships/hyperlink" Target="http://dx.doi.org/10.1109/INFVIS.2004.41" TargetMode="External"/><Relationship Id="rId569" Type="http://schemas.openxmlformats.org/officeDocument/2006/relationships/hyperlink" Target="http://dx.doi.org/10.1109/VISUAL.1998.745292" TargetMode="External"/><Relationship Id="rId568" Type="http://schemas.openxmlformats.org/officeDocument/2006/relationships/hyperlink" Target="http://dx.doi.org/10.1109/VISUAL.1998.745291" TargetMode="External"/><Relationship Id="rId567" Type="http://schemas.openxmlformats.org/officeDocument/2006/relationships/hyperlink" Target="http://dx.doi.org/10.1109/VISUAL.1998.745290" TargetMode="External"/><Relationship Id="rId566" Type="http://schemas.openxmlformats.org/officeDocument/2006/relationships/hyperlink" Target="http://dx.doi.org/10.1109/VISUAL.1998.745289" TargetMode="External"/><Relationship Id="rId2480" Type="http://schemas.openxmlformats.org/officeDocument/2006/relationships/hyperlink" Target="http://dx.doi.org/10.1109/TVCG.2014.2346319" TargetMode="External"/><Relationship Id="rId561" Type="http://schemas.openxmlformats.org/officeDocument/2006/relationships/hyperlink" Target="http://dx.doi.org/10.1109/VISUAL.1998.745284" TargetMode="External"/><Relationship Id="rId1150" Type="http://schemas.openxmlformats.org/officeDocument/2006/relationships/hyperlink" Target="http://dx.doi.org/10.1109/INFVIS.2004.27" TargetMode="External"/><Relationship Id="rId2481" Type="http://schemas.openxmlformats.org/officeDocument/2006/relationships/hyperlink" Target="http://dx.doi.org/10.1109/TVCG.2014.2346320" TargetMode="External"/><Relationship Id="rId560" Type="http://schemas.openxmlformats.org/officeDocument/2006/relationships/hyperlink" Target="http://dx.doi.org/10.1109/VISUAL.1998.745283" TargetMode="External"/><Relationship Id="rId1151" Type="http://schemas.openxmlformats.org/officeDocument/2006/relationships/hyperlink" Target="http://dx.doi.org/10.1109/INFVIS.2004.28" TargetMode="External"/><Relationship Id="rId2482" Type="http://schemas.openxmlformats.org/officeDocument/2006/relationships/hyperlink" Target="http://dx.doi.org/10.1109/TVCG.2014.2346321" TargetMode="External"/><Relationship Id="rId1152" Type="http://schemas.openxmlformats.org/officeDocument/2006/relationships/hyperlink" Target="http://dx.doi.org/10.1109/INFVIS.2004.29" TargetMode="External"/><Relationship Id="rId2483" Type="http://schemas.openxmlformats.org/officeDocument/2006/relationships/hyperlink" Target="http://dx.doi.org/10.1109/TVCG.2014.2346322" TargetMode="External"/><Relationship Id="rId1153" Type="http://schemas.openxmlformats.org/officeDocument/2006/relationships/hyperlink" Target="http://dx.doi.org/10.1109/INFVIS.2004.3" TargetMode="External"/><Relationship Id="rId2484" Type="http://schemas.openxmlformats.org/officeDocument/2006/relationships/hyperlink" Target="http://dx.doi.org/10.1109/TVCG.2014.2346323" TargetMode="External"/><Relationship Id="rId565" Type="http://schemas.openxmlformats.org/officeDocument/2006/relationships/hyperlink" Target="http://dx.doi.org/10.1109/VISUAL.1998.745288" TargetMode="External"/><Relationship Id="rId1154" Type="http://schemas.openxmlformats.org/officeDocument/2006/relationships/hyperlink" Target="http://dx.doi.org/10.1109/INFVIS.2004.37" TargetMode="External"/><Relationship Id="rId2485" Type="http://schemas.openxmlformats.org/officeDocument/2006/relationships/hyperlink" Target="http://dx.doi.org/10.1109/TVCG.2014.2346324" TargetMode="External"/><Relationship Id="rId564" Type="http://schemas.openxmlformats.org/officeDocument/2006/relationships/hyperlink" Target="http://dx.doi.org/10.1109/VISUAL.1998.745287" TargetMode="External"/><Relationship Id="rId1155" Type="http://schemas.openxmlformats.org/officeDocument/2006/relationships/hyperlink" Target="http://dx.doi.org/10.1109/INFVIS.2004.38" TargetMode="External"/><Relationship Id="rId2486" Type="http://schemas.openxmlformats.org/officeDocument/2006/relationships/hyperlink" Target="http://dx.doi.org/10.1109/TVCG.2014.2346325" TargetMode="External"/><Relationship Id="rId563" Type="http://schemas.openxmlformats.org/officeDocument/2006/relationships/hyperlink" Target="http://dx.doi.org/10.1109/VISUAL.1998.745286" TargetMode="External"/><Relationship Id="rId1156" Type="http://schemas.openxmlformats.org/officeDocument/2006/relationships/hyperlink" Target="http://dx.doi.org/10.1109/INFVIS.2004.39" TargetMode="External"/><Relationship Id="rId2487" Type="http://schemas.openxmlformats.org/officeDocument/2006/relationships/hyperlink" Target="http://dx.doi.org/10.1109/TVCG.2014.2346331" TargetMode="External"/><Relationship Id="rId562" Type="http://schemas.openxmlformats.org/officeDocument/2006/relationships/hyperlink" Target="http://dx.doi.org/10.1109/VISUAL.1998.745285" TargetMode="External"/><Relationship Id="rId1157" Type="http://schemas.openxmlformats.org/officeDocument/2006/relationships/hyperlink" Target="http://dx.doi.org/10.1109/INFVIS.2004.4" TargetMode="External"/><Relationship Id="rId2488" Type="http://schemas.openxmlformats.org/officeDocument/2006/relationships/hyperlink" Target="http://dx.doi.org/10.1109/TVCG.2014.2346332" TargetMode="External"/><Relationship Id="rId1147" Type="http://schemas.openxmlformats.org/officeDocument/2006/relationships/hyperlink" Target="http://dx.doi.org/10.1109/INFVIS.2004.23" TargetMode="External"/><Relationship Id="rId2478" Type="http://schemas.openxmlformats.org/officeDocument/2006/relationships/hyperlink" Target="http://dx.doi.org/10.1109/TVCG.2014.2346317" TargetMode="External"/><Relationship Id="rId1148" Type="http://schemas.openxmlformats.org/officeDocument/2006/relationships/hyperlink" Target="http://dx.doi.org/10.1109/INFVIS.2004.25" TargetMode="External"/><Relationship Id="rId2479" Type="http://schemas.openxmlformats.org/officeDocument/2006/relationships/hyperlink" Target="http://dx.doi.org/10.1109/TVCG.2014.2346318" TargetMode="External"/><Relationship Id="rId1149" Type="http://schemas.openxmlformats.org/officeDocument/2006/relationships/hyperlink" Target="http://dx.doi.org/10.1109/INFVIS.2004.26" TargetMode="External"/><Relationship Id="rId558" Type="http://schemas.openxmlformats.org/officeDocument/2006/relationships/hyperlink" Target="http://dx.doi.org/10.1109/VISUAL.1998.745281" TargetMode="External"/><Relationship Id="rId557" Type="http://schemas.openxmlformats.org/officeDocument/2006/relationships/hyperlink" Target="http://dx.doi.org/10.1109/VISUAL.1998.745280" TargetMode="External"/><Relationship Id="rId556" Type="http://schemas.openxmlformats.org/officeDocument/2006/relationships/hyperlink" Target="http://dx.doi.org/10.1109/INFVIS.1998.729570" TargetMode="External"/><Relationship Id="rId555" Type="http://schemas.openxmlformats.org/officeDocument/2006/relationships/hyperlink" Target="http://dx.doi.org/10.1109/INFVIS.1998.729569" TargetMode="External"/><Relationship Id="rId559" Type="http://schemas.openxmlformats.org/officeDocument/2006/relationships/hyperlink" Target="http://dx.doi.org/10.1109/VISUAL.1998.745282" TargetMode="External"/><Relationship Id="rId550" Type="http://schemas.openxmlformats.org/officeDocument/2006/relationships/hyperlink" Target="http://dx.doi.org/10.1109/INFVIS.1998.729564" TargetMode="External"/><Relationship Id="rId2470" Type="http://schemas.openxmlformats.org/officeDocument/2006/relationships/hyperlink" Target="http://dx.doi.org/10.1109/TVCG.2014.2346279" TargetMode="External"/><Relationship Id="rId1140" Type="http://schemas.openxmlformats.org/officeDocument/2006/relationships/hyperlink" Target="http://dx.doi.org/10.1109/INFVIS.2004.17" TargetMode="External"/><Relationship Id="rId2471" Type="http://schemas.openxmlformats.org/officeDocument/2006/relationships/hyperlink" Target="http://dx.doi.org/10.1109/TVCG.2014.2346291" TargetMode="External"/><Relationship Id="rId1141" Type="http://schemas.openxmlformats.org/officeDocument/2006/relationships/hyperlink" Target="http://dx.doi.org/10.1109/INFVIS.2004.18" TargetMode="External"/><Relationship Id="rId2472" Type="http://schemas.openxmlformats.org/officeDocument/2006/relationships/hyperlink" Target="http://dx.doi.org/10.1109/TVCG.2014.2346292" TargetMode="External"/><Relationship Id="rId1142" Type="http://schemas.openxmlformats.org/officeDocument/2006/relationships/hyperlink" Target="http://dx.doi.org/10.1109/INFVIS.2004.19" TargetMode="External"/><Relationship Id="rId2473" Type="http://schemas.openxmlformats.org/officeDocument/2006/relationships/hyperlink" Target="http://dx.doi.org/10.1109/TVCG.2014.2346293" TargetMode="External"/><Relationship Id="rId554" Type="http://schemas.openxmlformats.org/officeDocument/2006/relationships/hyperlink" Target="http://dx.doi.org/10.1109/INFVIS.1998.729568" TargetMode="External"/><Relationship Id="rId1143" Type="http://schemas.openxmlformats.org/officeDocument/2006/relationships/hyperlink" Target="http://dx.doi.org/10.1109/INFVIS.2004.2" TargetMode="External"/><Relationship Id="rId2474" Type="http://schemas.openxmlformats.org/officeDocument/2006/relationships/hyperlink" Target="http://dx.doi.org/10.1109/TVCG.2014.2346297" TargetMode="External"/><Relationship Id="rId553" Type="http://schemas.openxmlformats.org/officeDocument/2006/relationships/hyperlink" Target="http://dx.doi.org/10.1109/INFVIS.1998.729567" TargetMode="External"/><Relationship Id="rId1144" Type="http://schemas.openxmlformats.org/officeDocument/2006/relationships/hyperlink" Target="http://dx.doi.org/10.1109/INFVIS.2004.20" TargetMode="External"/><Relationship Id="rId2475" Type="http://schemas.openxmlformats.org/officeDocument/2006/relationships/hyperlink" Target="http://dx.doi.org/10.1109/TVCG.2014.2346298" TargetMode="External"/><Relationship Id="rId552" Type="http://schemas.openxmlformats.org/officeDocument/2006/relationships/hyperlink" Target="http://dx.doi.org/10.1109/INFVIS.1998.729566" TargetMode="External"/><Relationship Id="rId1145" Type="http://schemas.openxmlformats.org/officeDocument/2006/relationships/hyperlink" Target="http://dx.doi.org/10.1109/INFVIS.2004.21" TargetMode="External"/><Relationship Id="rId2476" Type="http://schemas.openxmlformats.org/officeDocument/2006/relationships/hyperlink" Target="http://dx.doi.org/10.1109/TVCG.2014.2346311" TargetMode="External"/><Relationship Id="rId551" Type="http://schemas.openxmlformats.org/officeDocument/2006/relationships/hyperlink" Target="http://dx.doi.org/10.1109/INFVIS.1998.729565" TargetMode="External"/><Relationship Id="rId1146" Type="http://schemas.openxmlformats.org/officeDocument/2006/relationships/hyperlink" Target="http://dx.doi.org/10.1109/INFVIS.2004.22" TargetMode="External"/><Relationship Id="rId2477" Type="http://schemas.openxmlformats.org/officeDocument/2006/relationships/hyperlink" Target="http://dx.doi.org/10.1109/TVCG.2014.2346312" TargetMode="External"/><Relationship Id="rId495" Type="http://schemas.openxmlformats.org/officeDocument/2006/relationships/hyperlink" Target="http://dx.doi.org/10.1109/VISUAL.1997.663891" TargetMode="External"/><Relationship Id="rId494" Type="http://schemas.openxmlformats.org/officeDocument/2006/relationships/hyperlink" Target="http://dx.doi.org/10.1109/VISUAL.1997.663890" TargetMode="External"/><Relationship Id="rId493" Type="http://schemas.openxmlformats.org/officeDocument/2006/relationships/hyperlink" Target="http://dx.doi.org/10.1109/VISUAL.1997.663889" TargetMode="External"/><Relationship Id="rId492" Type="http://schemas.openxmlformats.org/officeDocument/2006/relationships/hyperlink" Target="http://dx.doi.org/10.1109/VISUAL.1997.663888" TargetMode="External"/><Relationship Id="rId499" Type="http://schemas.openxmlformats.org/officeDocument/2006/relationships/hyperlink" Target="http://dx.doi.org/10.1109/VISUAL.1997.663895" TargetMode="External"/><Relationship Id="rId498" Type="http://schemas.openxmlformats.org/officeDocument/2006/relationships/hyperlink" Target="http://dx.doi.org/10.1109/VISUAL.1997.663894" TargetMode="External"/><Relationship Id="rId497" Type="http://schemas.openxmlformats.org/officeDocument/2006/relationships/hyperlink" Target="http://dx.doi.org/10.1109/VISUAL.1997.663893" TargetMode="External"/><Relationship Id="rId496" Type="http://schemas.openxmlformats.org/officeDocument/2006/relationships/hyperlink" Target="http://dx.doi.org/10.1109/VISUAL.1997.663892" TargetMode="External"/><Relationship Id="rId1213" Type="http://schemas.openxmlformats.org/officeDocument/2006/relationships/hyperlink" Target="http://dx.doi.org/10.1109/VISUAL.2004.117" TargetMode="External"/><Relationship Id="rId2544" Type="http://schemas.openxmlformats.org/officeDocument/2006/relationships/hyperlink" Target="http://dx.doi.org/10.1109/TVCG.2014.2346677" TargetMode="External"/><Relationship Id="rId1214" Type="http://schemas.openxmlformats.org/officeDocument/2006/relationships/hyperlink" Target="http://dx.doi.org/10.1109/VISUAL.2004.118" TargetMode="External"/><Relationship Id="rId2545" Type="http://schemas.openxmlformats.org/officeDocument/2006/relationships/hyperlink" Target="http://dx.doi.org/10.1109/TVCG.2014.2346682" TargetMode="External"/><Relationship Id="rId1215" Type="http://schemas.openxmlformats.org/officeDocument/2006/relationships/hyperlink" Target="http://dx.doi.org/10.1109/VISUAL.2004.119" TargetMode="External"/><Relationship Id="rId2546" Type="http://schemas.openxmlformats.org/officeDocument/2006/relationships/hyperlink" Target="http://dx.doi.org/10.1109/TVCG.2014.2346743" TargetMode="External"/><Relationship Id="rId1216" Type="http://schemas.openxmlformats.org/officeDocument/2006/relationships/hyperlink" Target="http://dx.doi.org/10.1109/VISUAL.2004.12" TargetMode="External"/><Relationship Id="rId2547" Type="http://schemas.openxmlformats.org/officeDocument/2006/relationships/hyperlink" Target="http://dx.doi.org/10.1109/TVCG.2014.2346744" TargetMode="External"/><Relationship Id="rId1217" Type="http://schemas.openxmlformats.org/officeDocument/2006/relationships/hyperlink" Target="http://dx.doi.org/10.1109/VISUAL.2004.120" TargetMode="External"/><Relationship Id="rId2548" Type="http://schemas.openxmlformats.org/officeDocument/2006/relationships/hyperlink" Target="http://dx.doi.org/10.1109/TVCG.2014.2346746" TargetMode="External"/><Relationship Id="rId1218" Type="http://schemas.openxmlformats.org/officeDocument/2006/relationships/hyperlink" Target="http://dx.doi.org/10.1109/VISUAL.2004.121" TargetMode="External"/><Relationship Id="rId2549" Type="http://schemas.openxmlformats.org/officeDocument/2006/relationships/hyperlink" Target="http://dx.doi.org/10.1109/TVCG.2014.2346747" TargetMode="External"/><Relationship Id="rId1219" Type="http://schemas.openxmlformats.org/officeDocument/2006/relationships/hyperlink" Target="http://dx.doi.org/10.1109/VISUAL.2004.122" TargetMode="External"/><Relationship Id="rId2540" Type="http://schemas.openxmlformats.org/officeDocument/2006/relationships/hyperlink" Target="http://dx.doi.org/10.1109/TVCG.2014.2346594" TargetMode="External"/><Relationship Id="rId1210" Type="http://schemas.openxmlformats.org/officeDocument/2006/relationships/hyperlink" Target="http://dx.doi.org/10.1109/VISUAL.2004.114" TargetMode="External"/><Relationship Id="rId2541" Type="http://schemas.openxmlformats.org/officeDocument/2006/relationships/hyperlink" Target="http://dx.doi.org/10.1109/TVCG.2014.2346626" TargetMode="External"/><Relationship Id="rId1211" Type="http://schemas.openxmlformats.org/officeDocument/2006/relationships/hyperlink" Target="http://dx.doi.org/10.1109/VISUAL.2004.115" TargetMode="External"/><Relationship Id="rId2542" Type="http://schemas.openxmlformats.org/officeDocument/2006/relationships/hyperlink" Target="http://dx.doi.org/10.1109/TVCG.2014.2346660" TargetMode="External"/><Relationship Id="rId1212" Type="http://schemas.openxmlformats.org/officeDocument/2006/relationships/hyperlink" Target="http://dx.doi.org/10.1109/VISUAL.2004.116" TargetMode="External"/><Relationship Id="rId2543" Type="http://schemas.openxmlformats.org/officeDocument/2006/relationships/hyperlink" Target="http://dx.doi.org/10.1109/TVCG.2014.2346665" TargetMode="External"/><Relationship Id="rId1202" Type="http://schemas.openxmlformats.org/officeDocument/2006/relationships/hyperlink" Target="http://dx.doi.org/10.1109/VISUAL.2004.107" TargetMode="External"/><Relationship Id="rId2533" Type="http://schemas.openxmlformats.org/officeDocument/2006/relationships/hyperlink" Target="http://dx.doi.org/10.1109/TVCG.2014.2346482" TargetMode="External"/><Relationship Id="rId1203" Type="http://schemas.openxmlformats.org/officeDocument/2006/relationships/hyperlink" Target="http://dx.doi.org/10.1109/VISUAL.2004.108" TargetMode="External"/><Relationship Id="rId2534" Type="http://schemas.openxmlformats.org/officeDocument/2006/relationships/hyperlink" Target="http://dx.doi.org/10.1109/TVCG.2014.2346572" TargetMode="External"/><Relationship Id="rId1204" Type="http://schemas.openxmlformats.org/officeDocument/2006/relationships/hyperlink" Target="http://dx.doi.org/10.1109/VISUAL.2004.109" TargetMode="External"/><Relationship Id="rId2535" Type="http://schemas.openxmlformats.org/officeDocument/2006/relationships/hyperlink" Target="http://dx.doi.org/10.1109/TVCG.2014.2346573" TargetMode="External"/><Relationship Id="rId1205" Type="http://schemas.openxmlformats.org/officeDocument/2006/relationships/hyperlink" Target="http://dx.doi.org/10.1109/VISUAL.2004.11" TargetMode="External"/><Relationship Id="rId2536" Type="http://schemas.openxmlformats.org/officeDocument/2006/relationships/hyperlink" Target="http://dx.doi.org/10.1109/TVCG.2014.2346574" TargetMode="External"/><Relationship Id="rId1206" Type="http://schemas.openxmlformats.org/officeDocument/2006/relationships/hyperlink" Target="http://dx.doi.org/10.1109/VISUAL.2004.110" TargetMode="External"/><Relationship Id="rId2537" Type="http://schemas.openxmlformats.org/officeDocument/2006/relationships/hyperlink" Target="http://dx.doi.org/10.1109/TVCG.2014.2346575" TargetMode="External"/><Relationship Id="rId1207" Type="http://schemas.openxmlformats.org/officeDocument/2006/relationships/hyperlink" Target="http://dx.doi.org/10.1109/VISUAL.2004.111" TargetMode="External"/><Relationship Id="rId2538" Type="http://schemas.openxmlformats.org/officeDocument/2006/relationships/hyperlink" Target="http://dx.doi.org/10.1109/TVCG.2014.2346578" TargetMode="External"/><Relationship Id="rId1208" Type="http://schemas.openxmlformats.org/officeDocument/2006/relationships/hyperlink" Target="http://dx.doi.org/10.1109/VISUAL.2004.112" TargetMode="External"/><Relationship Id="rId2539" Type="http://schemas.openxmlformats.org/officeDocument/2006/relationships/hyperlink" Target="http://dx.doi.org/10.1109/TVCG.2014.2346591" TargetMode="External"/><Relationship Id="rId1209" Type="http://schemas.openxmlformats.org/officeDocument/2006/relationships/hyperlink" Target="http://dx.doi.org/10.1109/VISUAL.2004.113" TargetMode="External"/><Relationship Id="rId2530" Type="http://schemas.openxmlformats.org/officeDocument/2006/relationships/hyperlink" Target="http://dx.doi.org/10.1109/TVCG.2014.2346458" TargetMode="External"/><Relationship Id="rId1200" Type="http://schemas.openxmlformats.org/officeDocument/2006/relationships/hyperlink" Target="http://dx.doi.org/10.1109/VISUAL.2004.105" TargetMode="External"/><Relationship Id="rId2531" Type="http://schemas.openxmlformats.org/officeDocument/2006/relationships/hyperlink" Target="http://dx.doi.org/10.1109/TVCG.2014.2346459" TargetMode="External"/><Relationship Id="rId1201" Type="http://schemas.openxmlformats.org/officeDocument/2006/relationships/hyperlink" Target="http://dx.doi.org/10.1109/VISUAL.2004.106" TargetMode="External"/><Relationship Id="rId2532" Type="http://schemas.openxmlformats.org/officeDocument/2006/relationships/hyperlink" Target="http://dx.doi.org/10.1109/TVCG.2014.2346481" TargetMode="External"/><Relationship Id="rId1235" Type="http://schemas.openxmlformats.org/officeDocument/2006/relationships/hyperlink" Target="http://dx.doi.org/10.1109/VISUAL.2004.23" TargetMode="External"/><Relationship Id="rId2566" Type="http://schemas.openxmlformats.org/officeDocument/2006/relationships/hyperlink" Target="http://dx.doi.org/10.1109/TVCG.2014.2346979" TargetMode="External"/><Relationship Id="rId1236" Type="http://schemas.openxmlformats.org/officeDocument/2006/relationships/hyperlink" Target="http://dx.doi.org/10.1109/VISUAL.2004.24" TargetMode="External"/><Relationship Id="rId2567" Type="http://schemas.openxmlformats.org/officeDocument/2006/relationships/hyperlink" Target="http://dx.doi.org/10.1109/TVCG.2014.2346983" TargetMode="External"/><Relationship Id="rId1237" Type="http://schemas.openxmlformats.org/officeDocument/2006/relationships/hyperlink" Target="http://dx.doi.org/10.1109/VISUAL.2004.25" TargetMode="External"/><Relationship Id="rId2568" Type="http://schemas.openxmlformats.org/officeDocument/2006/relationships/hyperlink" Target="http://dx.doi.org/10.1109/TVCG.2014.2346984" TargetMode="External"/><Relationship Id="rId1238" Type="http://schemas.openxmlformats.org/officeDocument/2006/relationships/hyperlink" Target="http://dx.doi.org/10.1109/VISUAL.2004.26" TargetMode="External"/><Relationship Id="rId2569" Type="http://schemas.openxmlformats.org/officeDocument/2006/relationships/hyperlink" Target="http://dx.doi.org/10.1109/TVCG.2014.2346998" TargetMode="External"/><Relationship Id="rId1239" Type="http://schemas.openxmlformats.org/officeDocument/2006/relationships/hyperlink" Target="http://dx.doi.org/10.1109/VISUAL.2004.27" TargetMode="External"/><Relationship Id="rId409" Type="http://schemas.openxmlformats.org/officeDocument/2006/relationships/hyperlink" Target="http://dx.doi.org/10.1109/VISUAL.1996.568116" TargetMode="External"/><Relationship Id="rId404" Type="http://schemas.openxmlformats.org/officeDocument/2006/relationships/hyperlink" Target="http://dx.doi.org/10.1109/VISUAL.1996.568110" TargetMode="External"/><Relationship Id="rId403" Type="http://schemas.openxmlformats.org/officeDocument/2006/relationships/hyperlink" Target="http://dx.doi.org/10.1109/VISUAL.1996.568109" TargetMode="External"/><Relationship Id="rId402" Type="http://schemas.openxmlformats.org/officeDocument/2006/relationships/hyperlink" Target="http://dx.doi.org/10.1109/VISUAL.1996.568108" TargetMode="External"/><Relationship Id="rId401" Type="http://schemas.openxmlformats.org/officeDocument/2006/relationships/hyperlink" Target="http://dx.doi.org/10.1109/VISUAL.1996.568105" TargetMode="External"/><Relationship Id="rId408" Type="http://schemas.openxmlformats.org/officeDocument/2006/relationships/hyperlink" Target="http://doi.ieeecomputersociety.org/10.1109/VISUAL.1996.568115" TargetMode="External"/><Relationship Id="rId407" Type="http://schemas.openxmlformats.org/officeDocument/2006/relationships/hyperlink" Target="http://dx.doi.org/10.1109/VISUAL.1996.568114" TargetMode="External"/><Relationship Id="rId406" Type="http://schemas.openxmlformats.org/officeDocument/2006/relationships/hyperlink" Target="http://dx.doi.org/10.1109/VISUAL.1996.568113" TargetMode="External"/><Relationship Id="rId405" Type="http://schemas.openxmlformats.org/officeDocument/2006/relationships/hyperlink" Target="http://dx.doi.org/10.1109/VISUAL.1996.568111" TargetMode="External"/><Relationship Id="rId2560" Type="http://schemas.openxmlformats.org/officeDocument/2006/relationships/hyperlink" Target="http://dx.doi.org/10.1109/TVCG.2014.2346919" TargetMode="External"/><Relationship Id="rId1230" Type="http://schemas.openxmlformats.org/officeDocument/2006/relationships/hyperlink" Target="http://dx.doi.org/10.1109/VISUAL.2004.18" TargetMode="External"/><Relationship Id="rId2561" Type="http://schemas.openxmlformats.org/officeDocument/2006/relationships/hyperlink" Target="http://dx.doi.org/10.1109/TVCG.2014.2346920" TargetMode="External"/><Relationship Id="rId400" Type="http://schemas.openxmlformats.org/officeDocument/2006/relationships/hyperlink" Target="http://dx.doi.org/10.1109/VISUAL.1996.568104" TargetMode="External"/><Relationship Id="rId1231" Type="http://schemas.openxmlformats.org/officeDocument/2006/relationships/hyperlink" Target="http://dx.doi.org/10.1109/VISUAL.2004.19" TargetMode="External"/><Relationship Id="rId2562" Type="http://schemas.openxmlformats.org/officeDocument/2006/relationships/hyperlink" Target="http://dx.doi.org/10.1109/TVCG.2014.2346922" TargetMode="External"/><Relationship Id="rId1232" Type="http://schemas.openxmlformats.org/officeDocument/2006/relationships/hyperlink" Target="http://dx.doi.org/10.1109/VISUAL.2004.2" TargetMode="External"/><Relationship Id="rId2563" Type="http://schemas.openxmlformats.org/officeDocument/2006/relationships/hyperlink" Target="http://dx.doi.org/10.1109/TVCG.2014.2346926" TargetMode="External"/><Relationship Id="rId1233" Type="http://schemas.openxmlformats.org/officeDocument/2006/relationships/hyperlink" Target="http://dx.doi.org/10.1109/VISUAL.2004.21" TargetMode="External"/><Relationship Id="rId2564" Type="http://schemas.openxmlformats.org/officeDocument/2006/relationships/hyperlink" Target="http://dx.doi.org/10.1109/TVCG.2014.2346930" TargetMode="External"/><Relationship Id="rId1234" Type="http://schemas.openxmlformats.org/officeDocument/2006/relationships/hyperlink" Target="http://dx.doi.org/10.1109/VISUAL.2004.22" TargetMode="External"/><Relationship Id="rId2565" Type="http://schemas.openxmlformats.org/officeDocument/2006/relationships/hyperlink" Target="http://dx.doi.org/10.1109/TVCG.2014.2346978" TargetMode="External"/><Relationship Id="rId1224" Type="http://schemas.openxmlformats.org/officeDocument/2006/relationships/hyperlink" Target="http://dx.doi.org/10.1109/VISUAL.2004.127" TargetMode="External"/><Relationship Id="rId2555" Type="http://schemas.openxmlformats.org/officeDocument/2006/relationships/hyperlink" Target="http://dx.doi.org/10.1109/TVCG.2014.2346893" TargetMode="External"/><Relationship Id="rId1225" Type="http://schemas.openxmlformats.org/officeDocument/2006/relationships/hyperlink" Target="http://dx.doi.org/10.1109/VISUAL.2004.128" TargetMode="External"/><Relationship Id="rId2556" Type="http://schemas.openxmlformats.org/officeDocument/2006/relationships/hyperlink" Target="http://dx.doi.org/10.1109/TVCG.2014.2346898" TargetMode="External"/><Relationship Id="rId1226" Type="http://schemas.openxmlformats.org/officeDocument/2006/relationships/hyperlink" Target="http://dx.doi.org/10.1109/VISUAL.2004.13" TargetMode="External"/><Relationship Id="rId2557" Type="http://schemas.openxmlformats.org/officeDocument/2006/relationships/hyperlink" Target="http://dx.doi.org/10.1109/TVCG.2014.2346911" TargetMode="External"/><Relationship Id="rId1227" Type="http://schemas.openxmlformats.org/officeDocument/2006/relationships/hyperlink" Target="http://dx.doi.org/10.1109/VISUAL.2004.14" TargetMode="External"/><Relationship Id="rId2558" Type="http://schemas.openxmlformats.org/officeDocument/2006/relationships/hyperlink" Target="http://dx.doi.org/10.1109/TVCG.2014.2346912" TargetMode="External"/><Relationship Id="rId1228" Type="http://schemas.openxmlformats.org/officeDocument/2006/relationships/hyperlink" Target="http://dx.doi.org/10.1109/VISUAL.2004.15" TargetMode="External"/><Relationship Id="rId2559" Type="http://schemas.openxmlformats.org/officeDocument/2006/relationships/hyperlink" Target="http://dx.doi.org/10.1109/TVCG.2014.2346913" TargetMode="External"/><Relationship Id="rId1229" Type="http://schemas.openxmlformats.org/officeDocument/2006/relationships/hyperlink" Target="http://dx.doi.org/10.1109/VISUAL.2004.16" TargetMode="External"/><Relationship Id="rId2550" Type="http://schemas.openxmlformats.org/officeDocument/2006/relationships/hyperlink" Target="http://dx.doi.org/10.1109/TVCG.2014.2346751" TargetMode="External"/><Relationship Id="rId1220" Type="http://schemas.openxmlformats.org/officeDocument/2006/relationships/hyperlink" Target="http://dx.doi.org/10.1109/VISUAL.2004.123" TargetMode="External"/><Relationship Id="rId2551" Type="http://schemas.openxmlformats.org/officeDocument/2006/relationships/hyperlink" Target="http://dx.doi.org/10.1109/TVCG.2014.2346752" TargetMode="External"/><Relationship Id="rId1221" Type="http://schemas.openxmlformats.org/officeDocument/2006/relationships/hyperlink" Target="http://dx.doi.org/10.1109/VISUAL.2004.124" TargetMode="External"/><Relationship Id="rId2552" Type="http://schemas.openxmlformats.org/officeDocument/2006/relationships/hyperlink" Target="http://dx.doi.org/10.1109/TVCG.2014.2346753" TargetMode="External"/><Relationship Id="rId1222" Type="http://schemas.openxmlformats.org/officeDocument/2006/relationships/hyperlink" Target="http://dx.doi.org/10.1109/VISUAL.2004.125" TargetMode="External"/><Relationship Id="rId2553" Type="http://schemas.openxmlformats.org/officeDocument/2006/relationships/hyperlink" Target="http://dx.doi.org/10.1109/TVCG.2014.2346754" TargetMode="External"/><Relationship Id="rId1223" Type="http://schemas.openxmlformats.org/officeDocument/2006/relationships/hyperlink" Target="http://dx.doi.org/10.1109/VISUAL.2004.126" TargetMode="External"/><Relationship Id="rId2554" Type="http://schemas.openxmlformats.org/officeDocument/2006/relationships/hyperlink" Target="http://dx.doi.org/10.1109/TVCG.2014.2346755" TargetMode="External"/><Relationship Id="rId2500" Type="http://schemas.openxmlformats.org/officeDocument/2006/relationships/hyperlink" Target="http://dx.doi.org/10.1109/TVCG.2014.2346416" TargetMode="External"/><Relationship Id="rId2501" Type="http://schemas.openxmlformats.org/officeDocument/2006/relationships/hyperlink" Target="http://dx.doi.org/10.1109/TVCG.2014.2346418" TargetMode="External"/><Relationship Id="rId2502" Type="http://schemas.openxmlformats.org/officeDocument/2006/relationships/hyperlink" Target="http://dx.doi.org/10.1109/TVCG.2014.2346419" TargetMode="External"/><Relationship Id="rId2503" Type="http://schemas.openxmlformats.org/officeDocument/2006/relationships/hyperlink" Target="http://dx.doi.org/10.1109/TVCG.2014.2346420" TargetMode="External"/><Relationship Id="rId2504" Type="http://schemas.openxmlformats.org/officeDocument/2006/relationships/hyperlink" Target="http://dx.doi.org/10.1109/TVCG.2014.2346422" TargetMode="External"/><Relationship Id="rId2505" Type="http://schemas.openxmlformats.org/officeDocument/2006/relationships/hyperlink" Target="http://dx.doi.org/10.1109/TVCG.2014.2346423" TargetMode="External"/><Relationship Id="rId2506" Type="http://schemas.openxmlformats.org/officeDocument/2006/relationships/hyperlink" Target="http://dx.doi.org/10.1109/TVCG.2014.2346424" TargetMode="External"/><Relationship Id="rId2507" Type="http://schemas.openxmlformats.org/officeDocument/2006/relationships/hyperlink" Target="http://dx.doi.org/10.1109/TVCG.2014.2346425" TargetMode="External"/><Relationship Id="rId2508" Type="http://schemas.openxmlformats.org/officeDocument/2006/relationships/hyperlink" Target="http://dx.doi.org/10.1109/TVCG.2014.2346426" TargetMode="External"/><Relationship Id="rId2509" Type="http://schemas.openxmlformats.org/officeDocument/2006/relationships/hyperlink" Target="http://dx.doi.org/10.1109/TVCG.2014.2346428" TargetMode="External"/><Relationship Id="rId2522" Type="http://schemas.openxmlformats.org/officeDocument/2006/relationships/hyperlink" Target="http://dx.doi.org/10.1109/TVCG.2014.2346448" TargetMode="External"/><Relationship Id="rId2523" Type="http://schemas.openxmlformats.org/officeDocument/2006/relationships/hyperlink" Target="http://dx.doi.org/10.1109/TVCG.2014.2346449" TargetMode="External"/><Relationship Id="rId2524" Type="http://schemas.openxmlformats.org/officeDocument/2006/relationships/hyperlink" Target="http://dx.doi.org/10.1109/TVCG.2014.2346451" TargetMode="External"/><Relationship Id="rId2525" Type="http://schemas.openxmlformats.org/officeDocument/2006/relationships/hyperlink" Target="http://dx.doi.org/10.1109/TVCG.2014.2346452" TargetMode="External"/><Relationship Id="rId2526" Type="http://schemas.openxmlformats.org/officeDocument/2006/relationships/hyperlink" Target="http://dx.doi.org/10.1109/TVCG.2014.2346454" TargetMode="External"/><Relationship Id="rId2527" Type="http://schemas.openxmlformats.org/officeDocument/2006/relationships/hyperlink" Target="http://dx.doi.org/10.1109/TVCG.2014.2346455" TargetMode="External"/><Relationship Id="rId2528" Type="http://schemas.openxmlformats.org/officeDocument/2006/relationships/hyperlink" Target="http://dx.doi.org/10.1109/TVCG.2014.2346456" TargetMode="External"/><Relationship Id="rId2529" Type="http://schemas.openxmlformats.org/officeDocument/2006/relationships/hyperlink" Target="http://dx.doi.org/10.1109/TVCG.2014.2346457" TargetMode="External"/><Relationship Id="rId2520" Type="http://schemas.openxmlformats.org/officeDocument/2006/relationships/hyperlink" Target="http://dx.doi.org/10.1109/TVCG.2014.2346446" TargetMode="External"/><Relationship Id="rId2521" Type="http://schemas.openxmlformats.org/officeDocument/2006/relationships/hyperlink" Target="http://dx.doi.org/10.1109/TVCG.2014.2346447" TargetMode="External"/><Relationship Id="rId2511" Type="http://schemas.openxmlformats.org/officeDocument/2006/relationships/hyperlink" Target="http://dx.doi.org/10.1109/TVCG.2014.2346432" TargetMode="External"/><Relationship Id="rId2512" Type="http://schemas.openxmlformats.org/officeDocument/2006/relationships/hyperlink" Target="http://dx.doi.org/10.1109/TVCG.2014.2346433" TargetMode="External"/><Relationship Id="rId2513" Type="http://schemas.openxmlformats.org/officeDocument/2006/relationships/hyperlink" Target="http://dx.doi.org/10.1109/TVCG.2014.2346434" TargetMode="External"/><Relationship Id="rId2514" Type="http://schemas.openxmlformats.org/officeDocument/2006/relationships/hyperlink" Target="http://dx.doi.org/10.1109/TVCG.2014.2346435" TargetMode="External"/><Relationship Id="rId2515" Type="http://schemas.openxmlformats.org/officeDocument/2006/relationships/hyperlink" Target="http://dx.doi.org/10.1109/TVCG.2014.2346437" TargetMode="External"/><Relationship Id="rId2516" Type="http://schemas.openxmlformats.org/officeDocument/2006/relationships/hyperlink" Target="http://dx.doi.org/10.1109/TVCG.2014.2346441" TargetMode="External"/><Relationship Id="rId2517" Type="http://schemas.openxmlformats.org/officeDocument/2006/relationships/hyperlink" Target="http://dx.doi.org/10.1109/TVCG.2014.2346442" TargetMode="External"/><Relationship Id="rId2518" Type="http://schemas.openxmlformats.org/officeDocument/2006/relationships/hyperlink" Target="http://dx.doi.org/10.1109/TVCG.2014.2346444" TargetMode="External"/><Relationship Id="rId2519" Type="http://schemas.openxmlformats.org/officeDocument/2006/relationships/hyperlink" Target="http://dx.doi.org/10.1109/TVCG.2014.2346445" TargetMode="External"/><Relationship Id="rId2510" Type="http://schemas.openxmlformats.org/officeDocument/2006/relationships/hyperlink" Target="http://dx.doi.org/10.1109/TVCG.2014.2346431" TargetMode="External"/><Relationship Id="rId469" Type="http://schemas.openxmlformats.org/officeDocument/2006/relationships/hyperlink" Target="http://dx.doi.org/10.1109/VISUAL.1997.663857" TargetMode="External"/><Relationship Id="rId468" Type="http://schemas.openxmlformats.org/officeDocument/2006/relationships/hyperlink" Target="http://dx.doi.org/10.1109/VISUAL.1997.663856" TargetMode="External"/><Relationship Id="rId467" Type="http://schemas.openxmlformats.org/officeDocument/2006/relationships/hyperlink" Target="http://dx.doi.org/10.1109/VISUAL.1997.663855" TargetMode="External"/><Relationship Id="rId1290" Type="http://schemas.openxmlformats.org/officeDocument/2006/relationships/hyperlink" Target="http://dx.doi.org/10.1109/VISUAL.2004.80" TargetMode="External"/><Relationship Id="rId1291" Type="http://schemas.openxmlformats.org/officeDocument/2006/relationships/hyperlink" Target="http://dx.doi.org/10.1109/VISUAL.2004.81" TargetMode="External"/><Relationship Id="rId1292" Type="http://schemas.openxmlformats.org/officeDocument/2006/relationships/hyperlink" Target="http://dx.doi.org/10.1109/VISUAL.2004.82" TargetMode="External"/><Relationship Id="rId462" Type="http://schemas.openxmlformats.org/officeDocument/2006/relationships/hyperlink" Target="http://dx.doi.org/10.1109/INFVIS.1997.636793" TargetMode="External"/><Relationship Id="rId1293" Type="http://schemas.openxmlformats.org/officeDocument/2006/relationships/hyperlink" Target="http://dx.doi.org/10.1109/VISUAL.2004.85" TargetMode="External"/><Relationship Id="rId461" Type="http://schemas.openxmlformats.org/officeDocument/2006/relationships/hyperlink" Target="http://dx.doi.org/10.1109/INFVIS.1997.636792" TargetMode="External"/><Relationship Id="rId1294" Type="http://schemas.openxmlformats.org/officeDocument/2006/relationships/hyperlink" Target="http://dx.doi.org/10.1109/VISUAL.2004.86" TargetMode="External"/><Relationship Id="rId460" Type="http://schemas.openxmlformats.org/officeDocument/2006/relationships/hyperlink" Target="http://dx.doi.org/10.1109/INFVIS.1997.636791" TargetMode="External"/><Relationship Id="rId1295" Type="http://schemas.openxmlformats.org/officeDocument/2006/relationships/hyperlink" Target="http://dx.doi.org/10.1109/VISUAL.2004.87" TargetMode="External"/><Relationship Id="rId1296" Type="http://schemas.openxmlformats.org/officeDocument/2006/relationships/hyperlink" Target="http://dx.doi.org/10.1109/VISUAL.2004.88" TargetMode="External"/><Relationship Id="rId466" Type="http://schemas.openxmlformats.org/officeDocument/2006/relationships/hyperlink" Target="http://dx.doi.org/10.1109/VISUAL.1997.663853" TargetMode="External"/><Relationship Id="rId1297" Type="http://schemas.openxmlformats.org/officeDocument/2006/relationships/hyperlink" Target="http://dx.doi.org/10.1109/VISUAL.2004.89" TargetMode="External"/><Relationship Id="rId465" Type="http://schemas.openxmlformats.org/officeDocument/2006/relationships/hyperlink" Target="http://dx.doi.org/10.1109/VISUAL.1997.663851" TargetMode="External"/><Relationship Id="rId1298" Type="http://schemas.openxmlformats.org/officeDocument/2006/relationships/hyperlink" Target="http://dx.doi.org/10.1109/VISUAL.2004.9" TargetMode="External"/><Relationship Id="rId464" Type="http://schemas.openxmlformats.org/officeDocument/2006/relationships/hyperlink" Target="http://dx.doi.org/10.1109/VISUAL.1997.663848" TargetMode="External"/><Relationship Id="rId1299" Type="http://schemas.openxmlformats.org/officeDocument/2006/relationships/hyperlink" Target="http://dx.doi.org/10.1109/VISUAL.2004.90" TargetMode="External"/><Relationship Id="rId463" Type="http://schemas.openxmlformats.org/officeDocument/2006/relationships/hyperlink" Target="http://dx.doi.org/10.1109/INFVIS.1997.636794" TargetMode="External"/><Relationship Id="rId459" Type="http://schemas.openxmlformats.org/officeDocument/2006/relationships/hyperlink" Target="http://dx.doi.org/10.1109/INFVIS.1997.636790" TargetMode="External"/><Relationship Id="rId458" Type="http://schemas.openxmlformats.org/officeDocument/2006/relationships/hyperlink" Target="http://dx.doi.org/10.1109/INFVIS.1997.636789" TargetMode="External"/><Relationship Id="rId457" Type="http://schemas.openxmlformats.org/officeDocument/2006/relationships/hyperlink" Target="http://dx.doi.org/10.1109/INFVIS.1997.636788" TargetMode="External"/><Relationship Id="rId456" Type="http://schemas.openxmlformats.org/officeDocument/2006/relationships/hyperlink" Target="http://dx.doi.org/10.1109/INFVIS.1997.636787" TargetMode="External"/><Relationship Id="rId1280" Type="http://schemas.openxmlformats.org/officeDocument/2006/relationships/hyperlink" Target="http://dx.doi.org/10.1109/VISUAL.2004.70" TargetMode="External"/><Relationship Id="rId1281" Type="http://schemas.openxmlformats.org/officeDocument/2006/relationships/hyperlink" Target="http://dx.doi.org/10.1109/VISUAL.2004.71" TargetMode="External"/><Relationship Id="rId451" Type="http://schemas.openxmlformats.org/officeDocument/2006/relationships/hyperlink" Target="http://dx.doi.org/10.1109/INFVIS.1997.636778" TargetMode="External"/><Relationship Id="rId1282" Type="http://schemas.openxmlformats.org/officeDocument/2006/relationships/hyperlink" Target="http://dx.doi.org/10.1109/VISUAL.2004.72" TargetMode="External"/><Relationship Id="rId450" Type="http://schemas.openxmlformats.org/officeDocument/2006/relationships/hyperlink" Target="http://dx.doi.org/10.1109/INFVIS.1997.636761" TargetMode="External"/><Relationship Id="rId1283" Type="http://schemas.openxmlformats.org/officeDocument/2006/relationships/hyperlink" Target="http://dx.doi.org/10.1109/VISUAL.2004.73" TargetMode="External"/><Relationship Id="rId1284" Type="http://schemas.openxmlformats.org/officeDocument/2006/relationships/hyperlink" Target="http://dx.doi.org/10.1109/VISUAL.2004.74" TargetMode="External"/><Relationship Id="rId1285" Type="http://schemas.openxmlformats.org/officeDocument/2006/relationships/hyperlink" Target="http://dx.doi.org/10.1109/VISUAL.2004.75" TargetMode="External"/><Relationship Id="rId455" Type="http://schemas.openxmlformats.org/officeDocument/2006/relationships/hyperlink" Target="http://dx.doi.org/10.1109/INFVIS.1997.636786" TargetMode="External"/><Relationship Id="rId1286" Type="http://schemas.openxmlformats.org/officeDocument/2006/relationships/hyperlink" Target="http://dx.doi.org/10.1109/VISUAL.2004.76" TargetMode="External"/><Relationship Id="rId454" Type="http://schemas.openxmlformats.org/officeDocument/2006/relationships/hyperlink" Target="http://dx.doi.org/10.1109/INFVIS.1997.636785" TargetMode="External"/><Relationship Id="rId1287" Type="http://schemas.openxmlformats.org/officeDocument/2006/relationships/hyperlink" Target="http://dx.doi.org/10.1109/VISUAL.2004.77" TargetMode="External"/><Relationship Id="rId453" Type="http://schemas.openxmlformats.org/officeDocument/2006/relationships/hyperlink" Target="http://dx.doi.org/10.1109/INFVIS.1997.636784" TargetMode="External"/><Relationship Id="rId1288" Type="http://schemas.openxmlformats.org/officeDocument/2006/relationships/hyperlink" Target="http://dx.doi.org/10.1109/VISUAL.2004.78" TargetMode="External"/><Relationship Id="rId452" Type="http://schemas.openxmlformats.org/officeDocument/2006/relationships/hyperlink" Target="http://dx.doi.org/10.1109/INFVIS.1997.636782" TargetMode="External"/><Relationship Id="rId1289" Type="http://schemas.openxmlformats.org/officeDocument/2006/relationships/hyperlink" Target="http://dx.doi.org/10.1109/VISUAL.2004.79" TargetMode="External"/><Relationship Id="rId3018" Type="http://schemas.openxmlformats.org/officeDocument/2006/relationships/hyperlink" Target="http://dx.doi.org/10.1109/TVCG.2018.2864839" TargetMode="External"/><Relationship Id="rId3017" Type="http://schemas.openxmlformats.org/officeDocument/2006/relationships/hyperlink" Target="http://dx.doi.org/10.1109/TVCG.2018.2864838" TargetMode="External"/><Relationship Id="rId3019" Type="http://schemas.openxmlformats.org/officeDocument/2006/relationships/hyperlink" Target="http://dx.doi.org/10.1109/TVCG.2018.2864841" TargetMode="External"/><Relationship Id="rId491" Type="http://schemas.openxmlformats.org/officeDocument/2006/relationships/hyperlink" Target="http://dx.doi.org/10.1109/VISUAL.1997.663887" TargetMode="External"/><Relationship Id="rId490" Type="http://schemas.openxmlformats.org/officeDocument/2006/relationships/hyperlink" Target="http://dx.doi.org/10.1109/VISUAL.1997.663886" TargetMode="External"/><Relationship Id="rId489" Type="http://schemas.openxmlformats.org/officeDocument/2006/relationships/hyperlink" Target="http://dx.doi.org/10.1109/VISUAL.1997.663885" TargetMode="External"/><Relationship Id="rId484" Type="http://schemas.openxmlformats.org/officeDocument/2006/relationships/hyperlink" Target="http://dx.doi.org/10.1109/VISUAL.1997.663876" TargetMode="External"/><Relationship Id="rId3010" Type="http://schemas.openxmlformats.org/officeDocument/2006/relationships/hyperlink" Target="http://dx.doi.org/10.1109/TVCG.2018.2864816" TargetMode="External"/><Relationship Id="rId483" Type="http://schemas.openxmlformats.org/officeDocument/2006/relationships/hyperlink" Target="http://dx.doi.org/10.1109/VISUAL.1997.663875" TargetMode="External"/><Relationship Id="rId482" Type="http://schemas.openxmlformats.org/officeDocument/2006/relationships/hyperlink" Target="http://dx.doi.org/10.1109/VISUAL.1997.663874" TargetMode="External"/><Relationship Id="rId3012" Type="http://schemas.openxmlformats.org/officeDocument/2006/relationships/hyperlink" Target="http://dx.doi.org/10.1109/TVCG.2018.2864825" TargetMode="External"/><Relationship Id="rId481" Type="http://schemas.openxmlformats.org/officeDocument/2006/relationships/hyperlink" Target="http://dx.doi.org/10.1109/VISUAL.1997.663872" TargetMode="External"/><Relationship Id="rId3011" Type="http://schemas.openxmlformats.org/officeDocument/2006/relationships/hyperlink" Target="http://dx.doi.org/10.1109/TVCG.2018.2864817" TargetMode="External"/><Relationship Id="rId488" Type="http://schemas.openxmlformats.org/officeDocument/2006/relationships/hyperlink" Target="http://dx.doi.org/10.1109/VISUAL.1997.663883" TargetMode="External"/><Relationship Id="rId3014" Type="http://schemas.openxmlformats.org/officeDocument/2006/relationships/hyperlink" Target="http://dx.doi.org/10.1109/TVCG.2018.2864827" TargetMode="External"/><Relationship Id="rId487" Type="http://schemas.openxmlformats.org/officeDocument/2006/relationships/hyperlink" Target="http://dx.doi.org/10.1109/VISUAL.1997.663882" TargetMode="External"/><Relationship Id="rId3013" Type="http://schemas.openxmlformats.org/officeDocument/2006/relationships/hyperlink" Target="http://dx.doi.org/10.1109/TVCG.2018.2864826" TargetMode="External"/><Relationship Id="rId486" Type="http://schemas.openxmlformats.org/officeDocument/2006/relationships/hyperlink" Target="http://dx.doi.org/10.1109/VISUAL.1997.663880" TargetMode="External"/><Relationship Id="rId3016" Type="http://schemas.openxmlformats.org/officeDocument/2006/relationships/hyperlink" Target="http://dx.doi.org/10.1109/TVCG.2018.2864836" TargetMode="External"/><Relationship Id="rId485" Type="http://schemas.openxmlformats.org/officeDocument/2006/relationships/hyperlink" Target="http://dx.doi.org/10.1109/VISUAL.1997.663878" TargetMode="External"/><Relationship Id="rId3015" Type="http://schemas.openxmlformats.org/officeDocument/2006/relationships/hyperlink" Target="http://dx.doi.org/10.1109/TVCG.2018.2864828" TargetMode="External"/><Relationship Id="rId3007" Type="http://schemas.openxmlformats.org/officeDocument/2006/relationships/hyperlink" Target="http://dx.doi.org/10.1109/TVCG.2018.2864813" TargetMode="External"/><Relationship Id="rId3006" Type="http://schemas.openxmlformats.org/officeDocument/2006/relationships/hyperlink" Target="http://dx.doi.org/10.1109/TVCG.2018.2864812" TargetMode="External"/><Relationship Id="rId3009" Type="http://schemas.openxmlformats.org/officeDocument/2006/relationships/hyperlink" Target="http://dx.doi.org/10.1109/TVCG.2018.2864815" TargetMode="External"/><Relationship Id="rId3008" Type="http://schemas.openxmlformats.org/officeDocument/2006/relationships/hyperlink" Target="http://dx.doi.org/10.1109/TVCG.2018.2864814" TargetMode="External"/><Relationship Id="rId480" Type="http://schemas.openxmlformats.org/officeDocument/2006/relationships/hyperlink" Target="http://dx.doi.org/10.1109/VISUAL.1997.663871" TargetMode="External"/><Relationship Id="rId479" Type="http://schemas.openxmlformats.org/officeDocument/2006/relationships/hyperlink" Target="http://dx.doi.org/10.1109/VISUAL.1997.663869" TargetMode="External"/><Relationship Id="rId478" Type="http://schemas.openxmlformats.org/officeDocument/2006/relationships/hyperlink" Target="http://dx.doi.org/10.1109/VISUAL.1997.663868" TargetMode="External"/><Relationship Id="rId473" Type="http://schemas.openxmlformats.org/officeDocument/2006/relationships/hyperlink" Target="http://dx.doi.org/10.1109/VISUAL.1997.663862" TargetMode="External"/><Relationship Id="rId472" Type="http://schemas.openxmlformats.org/officeDocument/2006/relationships/hyperlink" Target="http://dx.doi.org/10.1109/VISUAL.1997.663860" TargetMode="External"/><Relationship Id="rId471" Type="http://schemas.openxmlformats.org/officeDocument/2006/relationships/hyperlink" Target="http://dx.doi.org/10.1109/VISUAL.1997.663859" TargetMode="External"/><Relationship Id="rId3001" Type="http://schemas.openxmlformats.org/officeDocument/2006/relationships/hyperlink" Target="http://dx.doi.org/10.1109/TVCG.2018.2864769" TargetMode="External"/><Relationship Id="rId470" Type="http://schemas.openxmlformats.org/officeDocument/2006/relationships/hyperlink" Target="http://dx.doi.org/10.1109/VISUAL.1997.663858" TargetMode="External"/><Relationship Id="rId3000" Type="http://schemas.openxmlformats.org/officeDocument/2006/relationships/hyperlink" Target="http://dx.doi.org/10.1109/TVCG.2018.2864768" TargetMode="External"/><Relationship Id="rId477" Type="http://schemas.openxmlformats.org/officeDocument/2006/relationships/hyperlink" Target="http://dx.doi.org/10.1109/VISUAL.1997.663867" TargetMode="External"/><Relationship Id="rId3003" Type="http://schemas.openxmlformats.org/officeDocument/2006/relationships/hyperlink" Target="http://dx.doi.org/10.1109/TVCG.2018.2864806" TargetMode="External"/><Relationship Id="rId476" Type="http://schemas.openxmlformats.org/officeDocument/2006/relationships/hyperlink" Target="http://dx.doi.org/10.1109/VISUAL.1997.663866" TargetMode="External"/><Relationship Id="rId3002" Type="http://schemas.openxmlformats.org/officeDocument/2006/relationships/hyperlink" Target="http://dx.doi.org/10.1109/TVCG.2018.2864801" TargetMode="External"/><Relationship Id="rId475" Type="http://schemas.openxmlformats.org/officeDocument/2006/relationships/hyperlink" Target="http://dx.doi.org/10.1109/VISUAL.1997.663865" TargetMode="External"/><Relationship Id="rId3005" Type="http://schemas.openxmlformats.org/officeDocument/2006/relationships/hyperlink" Target="http://dx.doi.org/10.1109/TVCG.2018.2864811" TargetMode="External"/><Relationship Id="rId474" Type="http://schemas.openxmlformats.org/officeDocument/2006/relationships/hyperlink" Target="http://dx.doi.org/10.1109/VISUAL.1997.663863" TargetMode="External"/><Relationship Id="rId3004" Type="http://schemas.openxmlformats.org/officeDocument/2006/relationships/hyperlink" Target="http://dx.doi.org/10.1109/TVCG.2018.2864808" TargetMode="External"/><Relationship Id="rId1257" Type="http://schemas.openxmlformats.org/officeDocument/2006/relationships/hyperlink" Target="http://dx.doi.org/10.1109/VISUAL.2004.5" TargetMode="External"/><Relationship Id="rId2588" Type="http://schemas.openxmlformats.org/officeDocument/2006/relationships/hyperlink" Target="http://dx.doi.org/10.1109/VAST.2014.7042492" TargetMode="External"/><Relationship Id="rId1258" Type="http://schemas.openxmlformats.org/officeDocument/2006/relationships/hyperlink" Target="http://dx.doi.org/10.1109/VISUAL.2004.50" TargetMode="External"/><Relationship Id="rId2589" Type="http://schemas.openxmlformats.org/officeDocument/2006/relationships/hyperlink" Target="http://dx.doi.org/10.1109/VAST.2014.7042493" TargetMode="External"/><Relationship Id="rId1259" Type="http://schemas.openxmlformats.org/officeDocument/2006/relationships/hyperlink" Target="http://dx.doi.org/10.1109/VISUAL.2004.51" TargetMode="External"/><Relationship Id="rId426" Type="http://schemas.openxmlformats.org/officeDocument/2006/relationships/hyperlink" Target="http://dx.doi.org/10.1109/VISUAL.1996.568134" TargetMode="External"/><Relationship Id="rId425" Type="http://schemas.openxmlformats.org/officeDocument/2006/relationships/hyperlink" Target="http://doi.ieeecomputersociety.org/10.1109/VISUAL.1996.568133" TargetMode="External"/><Relationship Id="rId424" Type="http://schemas.openxmlformats.org/officeDocument/2006/relationships/hyperlink" Target="http://dx.doi.org/10.1109/VISUAL.1996.568132" TargetMode="External"/><Relationship Id="rId423" Type="http://schemas.openxmlformats.org/officeDocument/2006/relationships/hyperlink" Target="http://dx.doi.org/10.1109/VISUAL.1996.568130" TargetMode="External"/><Relationship Id="rId429" Type="http://schemas.openxmlformats.org/officeDocument/2006/relationships/hyperlink" Target="http://dx.doi.org/10.1109/VISUAL.1996.568137" TargetMode="External"/><Relationship Id="rId428" Type="http://schemas.openxmlformats.org/officeDocument/2006/relationships/hyperlink" Target="http://dx.doi.org/10.1109/VISUAL.1996.568136" TargetMode="External"/><Relationship Id="rId427" Type="http://schemas.openxmlformats.org/officeDocument/2006/relationships/hyperlink" Target="http://dx.doi.org/10.1109/VISUAL.1996.568135" TargetMode="External"/><Relationship Id="rId2580" Type="http://schemas.openxmlformats.org/officeDocument/2006/relationships/hyperlink" Target="http://dx.doi.org/10.1109/VAST.2014.7042484" TargetMode="External"/><Relationship Id="rId1250" Type="http://schemas.openxmlformats.org/officeDocument/2006/relationships/hyperlink" Target="http://dx.doi.org/10.1109/VISUAL.2004.37" TargetMode="External"/><Relationship Id="rId2581" Type="http://schemas.openxmlformats.org/officeDocument/2006/relationships/hyperlink" Target="http://dx.doi.org/10.1109/VAST.2014.7042485" TargetMode="External"/><Relationship Id="rId1251" Type="http://schemas.openxmlformats.org/officeDocument/2006/relationships/hyperlink" Target="http://dx.doi.org/10.1109/VISUAL.2004.38" TargetMode="External"/><Relationship Id="rId2582" Type="http://schemas.openxmlformats.org/officeDocument/2006/relationships/hyperlink" Target="http://dx.doi.org/10.1109/VAST.2014.7042486" TargetMode="External"/><Relationship Id="rId1252" Type="http://schemas.openxmlformats.org/officeDocument/2006/relationships/hyperlink" Target="http://dx.doi.org/10.1109/VISUAL.2004.39" TargetMode="External"/><Relationship Id="rId2583" Type="http://schemas.openxmlformats.org/officeDocument/2006/relationships/hyperlink" Target="http://dx.doi.org/10.1109/VAST.2014.7042487" TargetMode="External"/><Relationship Id="rId422" Type="http://schemas.openxmlformats.org/officeDocument/2006/relationships/hyperlink" Target="http://dx.doi.org/10.1109/VISUAL.1996.568129" TargetMode="External"/><Relationship Id="rId1253" Type="http://schemas.openxmlformats.org/officeDocument/2006/relationships/hyperlink" Target="http://dx.doi.org/10.1109/VISUAL.2004.4" TargetMode="External"/><Relationship Id="rId2584" Type="http://schemas.openxmlformats.org/officeDocument/2006/relationships/hyperlink" Target="http://dx.doi.org/10.1109/VAST.2014.7042488" TargetMode="External"/><Relationship Id="rId421" Type="http://schemas.openxmlformats.org/officeDocument/2006/relationships/hyperlink" Target="http://dx.doi.org/10.1109/VISUAL.1996.568128" TargetMode="External"/><Relationship Id="rId1254" Type="http://schemas.openxmlformats.org/officeDocument/2006/relationships/hyperlink" Target="http://dx.doi.org/10.1109/VISUAL.2004.46" TargetMode="External"/><Relationship Id="rId2585" Type="http://schemas.openxmlformats.org/officeDocument/2006/relationships/hyperlink" Target="http://dx.doi.org/10.1109/VAST.2014.7042489" TargetMode="External"/><Relationship Id="rId420" Type="http://schemas.openxmlformats.org/officeDocument/2006/relationships/hyperlink" Target="http://dx.doi.org/10.1109/VISUAL.1996.568127" TargetMode="External"/><Relationship Id="rId1255" Type="http://schemas.openxmlformats.org/officeDocument/2006/relationships/hyperlink" Target="http://dx.doi.org/10.1109/VISUAL.2004.47" TargetMode="External"/><Relationship Id="rId2586" Type="http://schemas.openxmlformats.org/officeDocument/2006/relationships/hyperlink" Target="http://dx.doi.org/10.1109/VAST.2014.7042490" TargetMode="External"/><Relationship Id="rId1256" Type="http://schemas.openxmlformats.org/officeDocument/2006/relationships/hyperlink" Target="http://dx.doi.org/10.1109/VISUAL.2004.48" TargetMode="External"/><Relationship Id="rId2587" Type="http://schemas.openxmlformats.org/officeDocument/2006/relationships/hyperlink" Target="http://dx.doi.org/10.1109/VAST.2014.7042491" TargetMode="External"/><Relationship Id="rId1246" Type="http://schemas.openxmlformats.org/officeDocument/2006/relationships/hyperlink" Target="http://dx.doi.org/10.1109/VISUAL.2004.33" TargetMode="External"/><Relationship Id="rId2577" Type="http://schemas.openxmlformats.org/officeDocument/2006/relationships/hyperlink" Target="http://dx.doi.org/10.1109/VAST.2014.7042481" TargetMode="External"/><Relationship Id="rId1247" Type="http://schemas.openxmlformats.org/officeDocument/2006/relationships/hyperlink" Target="http://dx.doi.org/10.1109/VISUAL.2004.34" TargetMode="External"/><Relationship Id="rId2578" Type="http://schemas.openxmlformats.org/officeDocument/2006/relationships/hyperlink" Target="http://dx.doi.org/10.1109/VAST.2014.7042482" TargetMode="External"/><Relationship Id="rId1248" Type="http://schemas.openxmlformats.org/officeDocument/2006/relationships/hyperlink" Target="http://dx.doi.org/10.1109/VISUAL.2004.35" TargetMode="External"/><Relationship Id="rId2579" Type="http://schemas.openxmlformats.org/officeDocument/2006/relationships/hyperlink" Target="http://dx.doi.org/10.1109/VAST.2014.7042483" TargetMode="External"/><Relationship Id="rId1249" Type="http://schemas.openxmlformats.org/officeDocument/2006/relationships/hyperlink" Target="http://dx.doi.org/10.1109/VISUAL.2004.36" TargetMode="External"/><Relationship Id="rId415" Type="http://schemas.openxmlformats.org/officeDocument/2006/relationships/hyperlink" Target="http://doi.ieeecomputersociety.org/10.1109/VISUAL.1996.568122" TargetMode="External"/><Relationship Id="rId414" Type="http://schemas.openxmlformats.org/officeDocument/2006/relationships/hyperlink" Target="http://dx.doi.org/10.1109/VISUAL.1996.568121" TargetMode="External"/><Relationship Id="rId413" Type="http://schemas.openxmlformats.org/officeDocument/2006/relationships/hyperlink" Target="http://doi.ieeecomputersociety.org/10.1109/VISUAL.1996.568120" TargetMode="External"/><Relationship Id="rId412" Type="http://schemas.openxmlformats.org/officeDocument/2006/relationships/hyperlink" Target="http://dx.doi.org/10.1109/VISUAL.1996.568119" TargetMode="External"/><Relationship Id="rId419" Type="http://schemas.openxmlformats.org/officeDocument/2006/relationships/hyperlink" Target="http://dx.doi.org/10.1109/VISUAL.1996.568126" TargetMode="External"/><Relationship Id="rId418" Type="http://schemas.openxmlformats.org/officeDocument/2006/relationships/hyperlink" Target="http://dx.doi.org/10.1109/VISUAL.1996.568125" TargetMode="External"/><Relationship Id="rId417" Type="http://schemas.openxmlformats.org/officeDocument/2006/relationships/hyperlink" Target="http://dx.doi.org/10.1109/VISUAL.1996.568124" TargetMode="External"/><Relationship Id="rId416" Type="http://schemas.openxmlformats.org/officeDocument/2006/relationships/hyperlink" Target="http://doi.ieeecomputersociety.org/10.1109/VISUAL.1996.568123" TargetMode="External"/><Relationship Id="rId2570" Type="http://schemas.openxmlformats.org/officeDocument/2006/relationships/hyperlink" Target="http://dx.doi.org/10.1109/TVCG.2014.2352952" TargetMode="External"/><Relationship Id="rId1240" Type="http://schemas.openxmlformats.org/officeDocument/2006/relationships/hyperlink" Target="http://dx.doi.org/10.1109/VISUAL.2004.28" TargetMode="External"/><Relationship Id="rId2571" Type="http://schemas.openxmlformats.org/officeDocument/2006/relationships/hyperlink" Target="http://dx.doi.org/10.1109/TVCG.2014.2352953" TargetMode="External"/><Relationship Id="rId1241" Type="http://schemas.openxmlformats.org/officeDocument/2006/relationships/hyperlink" Target="http://dx.doi.org/10.1109/VISUAL.2004.29" TargetMode="External"/><Relationship Id="rId2572" Type="http://schemas.openxmlformats.org/officeDocument/2006/relationships/hyperlink" Target="http://dx.doi.org/10.1109/VAST.2014.7042476" TargetMode="External"/><Relationship Id="rId411" Type="http://schemas.openxmlformats.org/officeDocument/2006/relationships/hyperlink" Target="http://dx.doi.org/10.1109/VISUAL.1996.568118" TargetMode="External"/><Relationship Id="rId1242" Type="http://schemas.openxmlformats.org/officeDocument/2006/relationships/hyperlink" Target="http://dx.doi.org/10.1109/VISUAL.2004.3" TargetMode="External"/><Relationship Id="rId2573" Type="http://schemas.openxmlformats.org/officeDocument/2006/relationships/hyperlink" Target="http://dx.doi.org/10.1109/VAST.2014.7042477" TargetMode="External"/><Relationship Id="rId410" Type="http://schemas.openxmlformats.org/officeDocument/2006/relationships/hyperlink" Target="http://dx.doi.org/10.1109/VISUAL.1996.568117" TargetMode="External"/><Relationship Id="rId1243" Type="http://schemas.openxmlformats.org/officeDocument/2006/relationships/hyperlink" Target="http://dx.doi.org/10.1109/VISUAL.2004.30" TargetMode="External"/><Relationship Id="rId2574" Type="http://schemas.openxmlformats.org/officeDocument/2006/relationships/hyperlink" Target="http://dx.doi.org/10.1109/VAST.2014.7042478" TargetMode="External"/><Relationship Id="rId1244" Type="http://schemas.openxmlformats.org/officeDocument/2006/relationships/hyperlink" Target="http://dx.doi.org/10.1109/VISUAL.2004.31" TargetMode="External"/><Relationship Id="rId2575" Type="http://schemas.openxmlformats.org/officeDocument/2006/relationships/hyperlink" Target="http://dx.doi.org/10.1109/VAST.2014.7042479" TargetMode="External"/><Relationship Id="rId1245" Type="http://schemas.openxmlformats.org/officeDocument/2006/relationships/hyperlink" Target="http://dx.doi.org/10.1109/VISUAL.2004.32" TargetMode="External"/><Relationship Id="rId2576" Type="http://schemas.openxmlformats.org/officeDocument/2006/relationships/hyperlink" Target="http://dx.doi.org/10.1109/VAST.2014.7042480" TargetMode="External"/><Relationship Id="rId1279" Type="http://schemas.openxmlformats.org/officeDocument/2006/relationships/hyperlink" Target="http://dx.doi.org/10.1109/VISUAL.2004.7" TargetMode="External"/><Relationship Id="rId448" Type="http://schemas.openxmlformats.org/officeDocument/2006/relationships/hyperlink" Target="http://dx.doi.org/10.1109/INFVIS.1997.636718" TargetMode="External"/><Relationship Id="rId447" Type="http://schemas.openxmlformats.org/officeDocument/2006/relationships/hyperlink" Target="http://dx.doi.org/10.1109/VISUAL.1996.569203" TargetMode="External"/><Relationship Id="rId446" Type="http://schemas.openxmlformats.org/officeDocument/2006/relationships/hyperlink" Target="http://dx.doi.org/10.1109/VISUAL.1996.568165" TargetMode="External"/><Relationship Id="rId445" Type="http://schemas.openxmlformats.org/officeDocument/2006/relationships/hyperlink" Target="http://dx.doi.org/10.1109/VISUAL.1996.568163" TargetMode="External"/><Relationship Id="rId449" Type="http://schemas.openxmlformats.org/officeDocument/2006/relationships/hyperlink" Target="http://dx.doi.org/10.1109/INFVIS.1997.636759" TargetMode="External"/><Relationship Id="rId1270" Type="http://schemas.openxmlformats.org/officeDocument/2006/relationships/hyperlink" Target="http://dx.doi.org/10.1109/VISUAL.2004.61" TargetMode="External"/><Relationship Id="rId440" Type="http://schemas.openxmlformats.org/officeDocument/2006/relationships/hyperlink" Target="http://dx.doi.org/10.1109/VISUAL.1996.568148" TargetMode="External"/><Relationship Id="rId1271" Type="http://schemas.openxmlformats.org/officeDocument/2006/relationships/hyperlink" Target="http://dx.doi.org/10.1109/VISUAL.2004.62" TargetMode="External"/><Relationship Id="rId1272" Type="http://schemas.openxmlformats.org/officeDocument/2006/relationships/hyperlink" Target="http://dx.doi.org/10.1109/VISUAL.2004.63" TargetMode="External"/><Relationship Id="rId1273" Type="http://schemas.openxmlformats.org/officeDocument/2006/relationships/hyperlink" Target="http://dx.doi.org/10.1109/VISUAL.2004.64" TargetMode="External"/><Relationship Id="rId1274" Type="http://schemas.openxmlformats.org/officeDocument/2006/relationships/hyperlink" Target="http://dx.doi.org/10.1109/VISUAL.2004.65" TargetMode="External"/><Relationship Id="rId444" Type="http://schemas.openxmlformats.org/officeDocument/2006/relationships/hyperlink" Target="http://dx.doi.org/10.1109/VISUAL.1996.568160" TargetMode="External"/><Relationship Id="rId1275" Type="http://schemas.openxmlformats.org/officeDocument/2006/relationships/hyperlink" Target="http://dx.doi.org/10.1109/VISUAL.2004.66" TargetMode="External"/><Relationship Id="rId443" Type="http://schemas.openxmlformats.org/officeDocument/2006/relationships/hyperlink" Target="http://dx.doi.org/10.1109/VISUAL.1996.568151" TargetMode="External"/><Relationship Id="rId1276" Type="http://schemas.openxmlformats.org/officeDocument/2006/relationships/hyperlink" Target="http://dx.doi.org/10.1109/VISUAL.2004.67" TargetMode="External"/><Relationship Id="rId442" Type="http://schemas.openxmlformats.org/officeDocument/2006/relationships/hyperlink" Target="http://doi.ieeecomputersociety.org/10.1109/VISUAL.1996.568150" TargetMode="External"/><Relationship Id="rId1277" Type="http://schemas.openxmlformats.org/officeDocument/2006/relationships/hyperlink" Target="http://dx.doi.org/10.1109/VISUAL.2004.68" TargetMode="External"/><Relationship Id="rId441" Type="http://schemas.openxmlformats.org/officeDocument/2006/relationships/hyperlink" Target="http://dx.doi.org/10.1109/VISUAL.1996.568149" TargetMode="External"/><Relationship Id="rId1278" Type="http://schemas.openxmlformats.org/officeDocument/2006/relationships/hyperlink" Target="http://dx.doi.org/10.1109/VISUAL.2004.69" TargetMode="External"/><Relationship Id="rId1268" Type="http://schemas.openxmlformats.org/officeDocument/2006/relationships/hyperlink" Target="http://dx.doi.org/10.1109/VISUAL.2004.6" TargetMode="External"/><Relationship Id="rId2599" Type="http://schemas.openxmlformats.org/officeDocument/2006/relationships/hyperlink" Target="http://dx.doi.org/10.1109/SciVis.2015.7429491" TargetMode="External"/><Relationship Id="rId1269" Type="http://schemas.openxmlformats.org/officeDocument/2006/relationships/hyperlink" Target="http://dx.doi.org/10.1109/VISUAL.2004.60" TargetMode="External"/><Relationship Id="rId437" Type="http://schemas.openxmlformats.org/officeDocument/2006/relationships/hyperlink" Target="http://dx.doi.org/10.1109/VISUAL.1996.568145" TargetMode="External"/><Relationship Id="rId436" Type="http://schemas.openxmlformats.org/officeDocument/2006/relationships/hyperlink" Target="http://dx.doi.org/10.1109/VISUAL.1996.568144" TargetMode="External"/><Relationship Id="rId435" Type="http://schemas.openxmlformats.org/officeDocument/2006/relationships/hyperlink" Target="http://doi.ieeecomputersociety.org/10.1109/VISUAL.1996.568143" TargetMode="External"/><Relationship Id="rId434" Type="http://schemas.openxmlformats.org/officeDocument/2006/relationships/hyperlink" Target="http://dx.doi.org/10.1109/VISUAL.1996.568142" TargetMode="External"/><Relationship Id="rId439" Type="http://schemas.openxmlformats.org/officeDocument/2006/relationships/hyperlink" Target="http://dx.doi.org/10.1109/VISUAL.1996.568147" TargetMode="External"/><Relationship Id="rId438" Type="http://schemas.openxmlformats.org/officeDocument/2006/relationships/hyperlink" Target="http://dx.doi.org/10.1109/VISUAL.1996.568146" TargetMode="External"/><Relationship Id="rId2590" Type="http://schemas.openxmlformats.org/officeDocument/2006/relationships/hyperlink" Target="http://dx.doi.org/10.1109/VAST.2014.7042494" TargetMode="External"/><Relationship Id="rId1260" Type="http://schemas.openxmlformats.org/officeDocument/2006/relationships/hyperlink" Target="http://dx.doi.org/10.1109/VISUAL.2004.52" TargetMode="External"/><Relationship Id="rId2591" Type="http://schemas.openxmlformats.org/officeDocument/2006/relationships/hyperlink" Target="http://dx.doi.org/10.1109/VAST.2014.7042495" TargetMode="External"/><Relationship Id="rId1261" Type="http://schemas.openxmlformats.org/officeDocument/2006/relationships/hyperlink" Target="http://dx.doi.org/10.1109/VISUAL.2004.53" TargetMode="External"/><Relationship Id="rId2592" Type="http://schemas.openxmlformats.org/officeDocument/2006/relationships/hyperlink" Target="http://dx.doi.org/10.1109/VAST.2014.7042496" TargetMode="External"/><Relationship Id="rId1262" Type="http://schemas.openxmlformats.org/officeDocument/2006/relationships/hyperlink" Target="http://dx.doi.org/10.1109/VISUAL.2004.54" TargetMode="External"/><Relationship Id="rId2593" Type="http://schemas.openxmlformats.org/officeDocument/2006/relationships/hyperlink" Target="http://dx.doi.org/10.1109/SciVis.2015.7429485" TargetMode="External"/><Relationship Id="rId1263" Type="http://schemas.openxmlformats.org/officeDocument/2006/relationships/hyperlink" Target="http://dx.doi.org/10.1109/VISUAL.2004.55" TargetMode="External"/><Relationship Id="rId2594" Type="http://schemas.openxmlformats.org/officeDocument/2006/relationships/hyperlink" Target="http://dx.doi.org/10.1109/SciVis.2015.7429486" TargetMode="External"/><Relationship Id="rId433" Type="http://schemas.openxmlformats.org/officeDocument/2006/relationships/hyperlink" Target="http://dx.doi.org/10.1109/VISUAL.1996.568141" TargetMode="External"/><Relationship Id="rId1264" Type="http://schemas.openxmlformats.org/officeDocument/2006/relationships/hyperlink" Target="http://dx.doi.org/10.1109/VISUAL.2004.56" TargetMode="External"/><Relationship Id="rId2595" Type="http://schemas.openxmlformats.org/officeDocument/2006/relationships/hyperlink" Target="http://dx.doi.org/10.1109/SciVis.2015.7429487" TargetMode="External"/><Relationship Id="rId432" Type="http://schemas.openxmlformats.org/officeDocument/2006/relationships/hyperlink" Target="http://dx.doi.org/10.1109/VISUAL.1996.568140" TargetMode="External"/><Relationship Id="rId1265" Type="http://schemas.openxmlformats.org/officeDocument/2006/relationships/hyperlink" Target="http://dx.doi.org/10.1109/VISUAL.2004.57" TargetMode="External"/><Relationship Id="rId2596" Type="http://schemas.openxmlformats.org/officeDocument/2006/relationships/hyperlink" Target="http://dx.doi.org/10.1109/SciVis.2015.7429488" TargetMode="External"/><Relationship Id="rId431" Type="http://schemas.openxmlformats.org/officeDocument/2006/relationships/hyperlink" Target="http://dx.doi.org/10.1109/VISUAL.1996.568139" TargetMode="External"/><Relationship Id="rId1266" Type="http://schemas.openxmlformats.org/officeDocument/2006/relationships/hyperlink" Target="http://dx.doi.org/10.1109/VISUAL.2004.58" TargetMode="External"/><Relationship Id="rId2597" Type="http://schemas.openxmlformats.org/officeDocument/2006/relationships/hyperlink" Target="http://dx.doi.org/10.1109/SciVis.2015.7429489" TargetMode="External"/><Relationship Id="rId430" Type="http://schemas.openxmlformats.org/officeDocument/2006/relationships/hyperlink" Target="http://dx.doi.org/10.1109/VISUAL.1996.568138" TargetMode="External"/><Relationship Id="rId1267" Type="http://schemas.openxmlformats.org/officeDocument/2006/relationships/hyperlink" Target="http://dx.doi.org/10.1109/VISUAL.2004.59" TargetMode="External"/><Relationship Id="rId2598" Type="http://schemas.openxmlformats.org/officeDocument/2006/relationships/hyperlink" Target="http://dx.doi.org/10.1109/SciVis.2015.7429490" TargetMode="External"/><Relationship Id="rId3070" Type="http://schemas.openxmlformats.org/officeDocument/2006/relationships/hyperlink" Target="http://dx.doi.org/10.1109/TVCG.2018.2865118" TargetMode="External"/><Relationship Id="rId3072" Type="http://schemas.openxmlformats.org/officeDocument/2006/relationships/hyperlink" Target="http://dx.doi.org/10.1109/TVCG.2018.2865126" TargetMode="External"/><Relationship Id="rId3071" Type="http://schemas.openxmlformats.org/officeDocument/2006/relationships/hyperlink" Target="http://dx.doi.org/10.1109/TVCG.2018.2865119" TargetMode="External"/><Relationship Id="rId3074" Type="http://schemas.openxmlformats.org/officeDocument/2006/relationships/hyperlink" Target="http://dx.doi.org/10.1109/TVCG.2018.2865139" TargetMode="External"/><Relationship Id="rId3073" Type="http://schemas.openxmlformats.org/officeDocument/2006/relationships/hyperlink" Target="http://dx.doi.org/10.1109/TVCG.2018.2865138" TargetMode="External"/><Relationship Id="rId3076" Type="http://schemas.openxmlformats.org/officeDocument/2006/relationships/hyperlink" Target="http://dx.doi.org/10.1109/TVCG.2018.2865142" TargetMode="External"/><Relationship Id="rId3075" Type="http://schemas.openxmlformats.org/officeDocument/2006/relationships/hyperlink" Target="http://dx.doi.org/10.1109/TVCG.2018.2865141" TargetMode="External"/><Relationship Id="rId3078" Type="http://schemas.openxmlformats.org/officeDocument/2006/relationships/hyperlink" Target="http://dx.doi.org/10.1109/TVCG.2018.2865145" TargetMode="External"/><Relationship Id="rId3077" Type="http://schemas.openxmlformats.org/officeDocument/2006/relationships/hyperlink" Target="http://dx.doi.org/10.1109/TVCG.2018.2865144" TargetMode="External"/><Relationship Id="rId3079" Type="http://schemas.openxmlformats.org/officeDocument/2006/relationships/hyperlink" Target="http://dx.doi.org/10.1109/TVCG.2018.2865146" TargetMode="External"/><Relationship Id="rId3061" Type="http://schemas.openxmlformats.org/officeDocument/2006/relationships/hyperlink" Target="http://dx.doi.org/10.1109/TVCG.2018.2865043" TargetMode="External"/><Relationship Id="rId3060" Type="http://schemas.openxmlformats.org/officeDocument/2006/relationships/hyperlink" Target="http://dx.doi.org/10.1109/TVCG.2018.2865042" TargetMode="External"/><Relationship Id="rId3063" Type="http://schemas.openxmlformats.org/officeDocument/2006/relationships/hyperlink" Target="http://dx.doi.org/10.1109/TVCG.2018.2865047" TargetMode="External"/><Relationship Id="rId3062" Type="http://schemas.openxmlformats.org/officeDocument/2006/relationships/hyperlink" Target="http://dx.doi.org/10.1109/TVCG.2018.2865044" TargetMode="External"/><Relationship Id="rId3065" Type="http://schemas.openxmlformats.org/officeDocument/2006/relationships/hyperlink" Target="http://dx.doi.org/10.1109/TVCG.2018.2865051" TargetMode="External"/><Relationship Id="rId3064" Type="http://schemas.openxmlformats.org/officeDocument/2006/relationships/hyperlink" Target="http://dx.doi.org/10.1109/TVCG.2018.2865049" TargetMode="External"/><Relationship Id="rId3067" Type="http://schemas.openxmlformats.org/officeDocument/2006/relationships/hyperlink" Target="http://dx.doi.org/10.1109/TVCG.2018.2865076" TargetMode="External"/><Relationship Id="rId3066" Type="http://schemas.openxmlformats.org/officeDocument/2006/relationships/hyperlink" Target="http://dx.doi.org/10.1109/TVCG.2018.2865075" TargetMode="External"/><Relationship Id="rId3069" Type="http://schemas.openxmlformats.org/officeDocument/2006/relationships/hyperlink" Target="http://dx.doi.org/10.1109/TVCG.2018.2865117" TargetMode="External"/><Relationship Id="rId3068" Type="http://schemas.openxmlformats.org/officeDocument/2006/relationships/hyperlink" Target="http://dx.doi.org/10.1109/TVCG.2018.2865077" TargetMode="External"/><Relationship Id="rId3090" Type="http://schemas.openxmlformats.org/officeDocument/2006/relationships/hyperlink" Target="http://dx.doi.org/10.1109/TVCG.2018.2865230" TargetMode="External"/><Relationship Id="rId3092" Type="http://schemas.openxmlformats.org/officeDocument/2006/relationships/hyperlink" Target="http://dx.doi.org/10.1109/TVCG.2018.2865232" TargetMode="External"/><Relationship Id="rId3091" Type="http://schemas.openxmlformats.org/officeDocument/2006/relationships/hyperlink" Target="http://dx.doi.org/10.1109/TVCG.2018.2865231" TargetMode="External"/><Relationship Id="rId3094" Type="http://schemas.openxmlformats.org/officeDocument/2006/relationships/hyperlink" Target="http://dx.doi.org/10.1109/TVCG.2018.2865234" TargetMode="External"/><Relationship Id="rId3093" Type="http://schemas.openxmlformats.org/officeDocument/2006/relationships/hyperlink" Target="http://dx.doi.org/10.1109/TVCG.2018.2865233" TargetMode="External"/><Relationship Id="rId3096" Type="http://schemas.openxmlformats.org/officeDocument/2006/relationships/hyperlink" Target="http://dx.doi.org/10.1109/TVCG.2018.2865237" TargetMode="External"/><Relationship Id="rId3095" Type="http://schemas.openxmlformats.org/officeDocument/2006/relationships/hyperlink" Target="http://dx.doi.org/10.1109/TVCG.2018.2865235" TargetMode="External"/><Relationship Id="rId3098" Type="http://schemas.openxmlformats.org/officeDocument/2006/relationships/hyperlink" Target="http://dx.doi.org/10.1109/TVCG.2018.2865241" TargetMode="External"/><Relationship Id="rId3097" Type="http://schemas.openxmlformats.org/officeDocument/2006/relationships/hyperlink" Target="http://dx.doi.org/10.1109/TVCG.2018.2865240" TargetMode="External"/><Relationship Id="rId3099" Type="http://schemas.openxmlformats.org/officeDocument/2006/relationships/hyperlink" Target="http://dx.doi.org/10.1109/TVCG.2018.2865264" TargetMode="External"/><Relationship Id="rId3081" Type="http://schemas.openxmlformats.org/officeDocument/2006/relationships/hyperlink" Target="http://dx.doi.org/10.1109/TVCG.2018.2865149" TargetMode="External"/><Relationship Id="rId3080" Type="http://schemas.openxmlformats.org/officeDocument/2006/relationships/hyperlink" Target="http://dx.doi.org/10.1109/TVCG.2018.2865147" TargetMode="External"/><Relationship Id="rId3083" Type="http://schemas.openxmlformats.org/officeDocument/2006/relationships/hyperlink" Target="http://dx.doi.org/10.1109/TVCG.2018.2865152" TargetMode="External"/><Relationship Id="rId3082" Type="http://schemas.openxmlformats.org/officeDocument/2006/relationships/hyperlink" Target="http://dx.doi.org/10.1109/TVCG.2018.2865151" TargetMode="External"/><Relationship Id="rId3085" Type="http://schemas.openxmlformats.org/officeDocument/2006/relationships/hyperlink" Target="http://dx.doi.org/10.1109/TVCG.2018.2865159" TargetMode="External"/><Relationship Id="rId3084" Type="http://schemas.openxmlformats.org/officeDocument/2006/relationships/hyperlink" Target="http://dx.doi.org/10.1109/TVCG.2018.2865158" TargetMode="External"/><Relationship Id="rId3087" Type="http://schemas.openxmlformats.org/officeDocument/2006/relationships/hyperlink" Target="http://dx.doi.org/10.1109/TVCG.2018.2865192" TargetMode="External"/><Relationship Id="rId3086" Type="http://schemas.openxmlformats.org/officeDocument/2006/relationships/hyperlink" Target="http://dx.doi.org/10.1109/TVCG.2018.2865191" TargetMode="External"/><Relationship Id="rId3089" Type="http://schemas.openxmlformats.org/officeDocument/2006/relationships/hyperlink" Target="http://dx.doi.org/10.1109/TVCG.2018.2865194" TargetMode="External"/><Relationship Id="rId3088" Type="http://schemas.openxmlformats.org/officeDocument/2006/relationships/hyperlink" Target="http://dx.doi.org/10.1109/TVCG.2018.2865193" TargetMode="External"/><Relationship Id="rId3039" Type="http://schemas.openxmlformats.org/officeDocument/2006/relationships/hyperlink" Target="http://dx.doi.org/10.1109/TVCG.2018.2864905" TargetMode="External"/><Relationship Id="rId1" Type="http://schemas.openxmlformats.org/officeDocument/2006/relationships/hyperlink" Target="http://dl.acm.org/citation.cfm?id=949606&amp;CFID=522724143&amp;CFTOKEN=98665846" TargetMode="External"/><Relationship Id="rId2" Type="http://schemas.openxmlformats.org/officeDocument/2006/relationships/hyperlink" Target="http://dx.doi.org/10.1109/VISUAL.1990.146359" TargetMode="External"/><Relationship Id="rId3" Type="http://schemas.openxmlformats.org/officeDocument/2006/relationships/hyperlink" Target="http://dx.doi.org/10.1109/VISUAL.1990.146360" TargetMode="External"/><Relationship Id="rId4" Type="http://schemas.openxmlformats.org/officeDocument/2006/relationships/hyperlink" Target="http://dx.doi.org/10.1109/VISUAL.1990.146361" TargetMode="External"/><Relationship Id="rId3030" Type="http://schemas.openxmlformats.org/officeDocument/2006/relationships/hyperlink" Target="http://dx.doi.org/10.1109/TVCG.2018.2864853" TargetMode="External"/><Relationship Id="rId9" Type="http://schemas.openxmlformats.org/officeDocument/2006/relationships/hyperlink" Target="http://dx.doi.org/10.1109/VISUAL.1990.146366" TargetMode="External"/><Relationship Id="rId3032" Type="http://schemas.openxmlformats.org/officeDocument/2006/relationships/hyperlink" Target="http://dx.doi.org/10.1109/TVCG.2018.2864885" TargetMode="External"/><Relationship Id="rId3031" Type="http://schemas.openxmlformats.org/officeDocument/2006/relationships/hyperlink" Target="http://dx.doi.org/10.1109/TVCG.2018.2864884" TargetMode="External"/><Relationship Id="rId3034" Type="http://schemas.openxmlformats.org/officeDocument/2006/relationships/hyperlink" Target="http://dx.doi.org/10.1109/TVCG.2018.2864887" TargetMode="External"/><Relationship Id="rId3033" Type="http://schemas.openxmlformats.org/officeDocument/2006/relationships/hyperlink" Target="http://dx.doi.org/10.1109/TVCG.2018.2864886" TargetMode="External"/><Relationship Id="rId5" Type="http://schemas.openxmlformats.org/officeDocument/2006/relationships/hyperlink" Target="http://dx.doi.org/10.1109/VISUAL.1990.146362" TargetMode="External"/><Relationship Id="rId3036" Type="http://schemas.openxmlformats.org/officeDocument/2006/relationships/hyperlink" Target="http://dx.doi.org/10.1109/TVCG.2018.2864899" TargetMode="External"/><Relationship Id="rId6" Type="http://schemas.openxmlformats.org/officeDocument/2006/relationships/hyperlink" Target="http://dx.doi.org/10.1109/VISUAL.1990.146363" TargetMode="External"/><Relationship Id="rId3035" Type="http://schemas.openxmlformats.org/officeDocument/2006/relationships/hyperlink" Target="http://dx.doi.org/10.1109/TVCG.2018.2864889" TargetMode="External"/><Relationship Id="rId7" Type="http://schemas.openxmlformats.org/officeDocument/2006/relationships/hyperlink" Target="http://dx.doi.org/10.1109/VISUAL.1990.146364" TargetMode="External"/><Relationship Id="rId3038" Type="http://schemas.openxmlformats.org/officeDocument/2006/relationships/hyperlink" Target="http://dx.doi.org/10.1109/TVCG.2018.2864903" TargetMode="External"/><Relationship Id="rId8" Type="http://schemas.openxmlformats.org/officeDocument/2006/relationships/hyperlink" Target="http://dx.doi.org/10.1109/VISUAL.1990.146365" TargetMode="External"/><Relationship Id="rId3037" Type="http://schemas.openxmlformats.org/officeDocument/2006/relationships/hyperlink" Target="http://dx.doi.org/10.1109/TVCG.2018.2864901" TargetMode="External"/><Relationship Id="rId3029" Type="http://schemas.openxmlformats.org/officeDocument/2006/relationships/hyperlink" Target="http://dx.doi.org/10.1109/TVCG.2018.2864852" TargetMode="External"/><Relationship Id="rId3028" Type="http://schemas.openxmlformats.org/officeDocument/2006/relationships/hyperlink" Target="http://dx.doi.org/10.1109/TVCG.2018.2864851" TargetMode="External"/><Relationship Id="rId3021" Type="http://schemas.openxmlformats.org/officeDocument/2006/relationships/hyperlink" Target="http://dx.doi.org/10.1109/TVCG.2018.2864844" TargetMode="External"/><Relationship Id="rId3020" Type="http://schemas.openxmlformats.org/officeDocument/2006/relationships/hyperlink" Target="http://dx.doi.org/10.1109/TVCG.2018.2864843" TargetMode="External"/><Relationship Id="rId3023" Type="http://schemas.openxmlformats.org/officeDocument/2006/relationships/hyperlink" Target="http://dx.doi.org/10.1109/TVCG.2018.2864846" TargetMode="External"/><Relationship Id="rId3022" Type="http://schemas.openxmlformats.org/officeDocument/2006/relationships/hyperlink" Target="http://dx.doi.org/10.1109/TVCG.2018.2864845" TargetMode="External"/><Relationship Id="rId3025" Type="http://schemas.openxmlformats.org/officeDocument/2006/relationships/hyperlink" Target="http://dx.doi.org/10.1109/TVCG.2018.2864848" TargetMode="External"/><Relationship Id="rId3024" Type="http://schemas.openxmlformats.org/officeDocument/2006/relationships/hyperlink" Target="http://dx.doi.org/10.1109/TVCG.2018.2864847" TargetMode="External"/><Relationship Id="rId3027" Type="http://schemas.openxmlformats.org/officeDocument/2006/relationships/hyperlink" Target="http://dx.doi.org/10.1109/TVCG.2018.2864850" TargetMode="External"/><Relationship Id="rId3026" Type="http://schemas.openxmlformats.org/officeDocument/2006/relationships/hyperlink" Target="http://dx.doi.org/10.1109/TVCG.2018.2864849" TargetMode="External"/><Relationship Id="rId3050" Type="http://schemas.openxmlformats.org/officeDocument/2006/relationships/hyperlink" Target="http://dx.doi.org/10.1109/TVCG.2018.2865023" TargetMode="External"/><Relationship Id="rId3052" Type="http://schemas.openxmlformats.org/officeDocument/2006/relationships/hyperlink" Target="http://dx.doi.org/10.1109/TVCG.2018.2865025" TargetMode="External"/><Relationship Id="rId3051" Type="http://schemas.openxmlformats.org/officeDocument/2006/relationships/hyperlink" Target="http://dx.doi.org/10.1109/TVCG.2018.2865024" TargetMode="External"/><Relationship Id="rId3054" Type="http://schemas.openxmlformats.org/officeDocument/2006/relationships/hyperlink" Target="http://dx.doi.org/10.1109/TVCG.2018.2865027" TargetMode="External"/><Relationship Id="rId3053" Type="http://schemas.openxmlformats.org/officeDocument/2006/relationships/hyperlink" Target="http://dx.doi.org/10.1109/TVCG.2018.2865026" TargetMode="External"/><Relationship Id="rId3056" Type="http://schemas.openxmlformats.org/officeDocument/2006/relationships/hyperlink" Target="http://dx.doi.org/10.1109/TVCG.2018.2865029" TargetMode="External"/><Relationship Id="rId3055" Type="http://schemas.openxmlformats.org/officeDocument/2006/relationships/hyperlink" Target="http://dx.doi.org/10.1109/TVCG.2018.2865028" TargetMode="External"/><Relationship Id="rId3058" Type="http://schemas.openxmlformats.org/officeDocument/2006/relationships/hyperlink" Target="http://dx.doi.org/10.1109/TVCG.2018.2865040" TargetMode="External"/><Relationship Id="rId3057" Type="http://schemas.openxmlformats.org/officeDocument/2006/relationships/hyperlink" Target="http://dx.doi.org/10.1109/TVCG.2018.2865039" TargetMode="External"/><Relationship Id="rId3059" Type="http://schemas.openxmlformats.org/officeDocument/2006/relationships/hyperlink" Target="http://dx.doi.org/10.1109/TVCG.2018.2865041" TargetMode="External"/><Relationship Id="rId3041" Type="http://schemas.openxmlformats.org/officeDocument/2006/relationships/hyperlink" Target="http://dx.doi.org/10.1109/TVCG.2018.2864909" TargetMode="External"/><Relationship Id="rId3040" Type="http://schemas.openxmlformats.org/officeDocument/2006/relationships/hyperlink" Target="http://dx.doi.org/10.1109/TVCG.2018.2864907" TargetMode="External"/><Relationship Id="rId3043" Type="http://schemas.openxmlformats.org/officeDocument/2006/relationships/hyperlink" Target="http://dx.doi.org/10.1109/TVCG.2018.2864912" TargetMode="External"/><Relationship Id="rId3042" Type="http://schemas.openxmlformats.org/officeDocument/2006/relationships/hyperlink" Target="http://dx.doi.org/10.1109/TVCG.2018.2864911" TargetMode="External"/><Relationship Id="rId3045" Type="http://schemas.openxmlformats.org/officeDocument/2006/relationships/hyperlink" Target="http://dx.doi.org/10.1109/TVCG.2018.2864914" TargetMode="External"/><Relationship Id="rId3044" Type="http://schemas.openxmlformats.org/officeDocument/2006/relationships/hyperlink" Target="http://dx.doi.org/10.1109/TVCG.2018.2864913" TargetMode="External"/><Relationship Id="rId3047" Type="http://schemas.openxmlformats.org/officeDocument/2006/relationships/hyperlink" Target="http://dx.doi.org/10.1109/TVCG.2018.2865020" TargetMode="External"/><Relationship Id="rId3046" Type="http://schemas.openxmlformats.org/officeDocument/2006/relationships/hyperlink" Target="http://dx.doi.org/10.1109/TVCG.2018.2865018" TargetMode="External"/><Relationship Id="rId3049" Type="http://schemas.openxmlformats.org/officeDocument/2006/relationships/hyperlink" Target="http://dx.doi.org/10.1109/TVCG.2018.2865022" TargetMode="External"/><Relationship Id="rId3048" Type="http://schemas.openxmlformats.org/officeDocument/2006/relationships/hyperlink" Target="http://dx.doi.org/10.1109/TVCG.2018.2865021" TargetMode="External"/><Relationship Id="rId2600" Type="http://schemas.openxmlformats.org/officeDocument/2006/relationships/hyperlink" Target="http://dx.doi.org/10.1109/SciVis.2015.7429492" TargetMode="External"/><Relationship Id="rId2601" Type="http://schemas.openxmlformats.org/officeDocument/2006/relationships/hyperlink" Target="http://dx.doi.org/10.1109/SciVis.2015.7429493" TargetMode="External"/><Relationship Id="rId2602" Type="http://schemas.openxmlformats.org/officeDocument/2006/relationships/hyperlink" Target="http://dx.doi.org/10.1109/SciVis.2015.7429502" TargetMode="External"/><Relationship Id="rId2603" Type="http://schemas.openxmlformats.org/officeDocument/2006/relationships/hyperlink" Target="http://dx.doi.org/10.1109/SciVis.2015.7429503" TargetMode="External"/><Relationship Id="rId2604" Type="http://schemas.openxmlformats.org/officeDocument/2006/relationships/hyperlink" Target="http://dx.doi.org/10.1109/SciVis.2015.7429504" TargetMode="External"/><Relationship Id="rId2605" Type="http://schemas.openxmlformats.org/officeDocument/2006/relationships/hyperlink" Target="http://dx.doi.org/10.1109/SciVis.2015.7429505" TargetMode="External"/><Relationship Id="rId2606" Type="http://schemas.openxmlformats.org/officeDocument/2006/relationships/hyperlink" Target="http://dx.doi.org/10.1109/SciVis.2015.7429506" TargetMode="External"/><Relationship Id="rId808" Type="http://schemas.openxmlformats.org/officeDocument/2006/relationships/hyperlink" Target="http://dx.doi.org/10.1109/VISUAL.2000.885737" TargetMode="External"/><Relationship Id="rId2607" Type="http://schemas.openxmlformats.org/officeDocument/2006/relationships/hyperlink" Target="http://dx.doi.org/10.1109/SciVis.2015.7429507" TargetMode="External"/><Relationship Id="rId807" Type="http://schemas.openxmlformats.org/officeDocument/2006/relationships/hyperlink" Target="http://dx.doi.org/10.1109/VISUAL.2000.885736" TargetMode="External"/><Relationship Id="rId2608" Type="http://schemas.openxmlformats.org/officeDocument/2006/relationships/hyperlink" Target="http://dx.doi.org/10.1109/SciVis.2015.7429508" TargetMode="External"/><Relationship Id="rId806" Type="http://schemas.openxmlformats.org/officeDocument/2006/relationships/hyperlink" Target="http://dx.doi.org/10.1109/VISUAL.2000.885735" TargetMode="External"/><Relationship Id="rId2609" Type="http://schemas.openxmlformats.org/officeDocument/2006/relationships/hyperlink" Target="http://dx.doi.org/10.1109/SciVis.2015.7429509" TargetMode="External"/><Relationship Id="rId805" Type="http://schemas.openxmlformats.org/officeDocument/2006/relationships/hyperlink" Target="http://dx.doi.org/10.1109/VISUAL.2000.885734" TargetMode="External"/><Relationship Id="rId809" Type="http://schemas.openxmlformats.org/officeDocument/2006/relationships/hyperlink" Target="http://dx.doi.org/10.1109/VISUAL.2000.885738" TargetMode="External"/><Relationship Id="rId800" Type="http://schemas.openxmlformats.org/officeDocument/2006/relationships/hyperlink" Target="http://dx.doi.org/10.1109/VISUAL.2000.885729" TargetMode="External"/><Relationship Id="rId804" Type="http://schemas.openxmlformats.org/officeDocument/2006/relationships/hyperlink" Target="http://dx.doi.org/10.1109/VISUAL.2000.885733" TargetMode="External"/><Relationship Id="rId803" Type="http://schemas.openxmlformats.org/officeDocument/2006/relationships/hyperlink" Target="http://dx.doi.org/10.1109/VISUAL.2000.885732" TargetMode="External"/><Relationship Id="rId802" Type="http://schemas.openxmlformats.org/officeDocument/2006/relationships/hyperlink" Target="http://dx.doi.org/10.1109/VISUAL.2000.885731" TargetMode="External"/><Relationship Id="rId801" Type="http://schemas.openxmlformats.org/officeDocument/2006/relationships/hyperlink" Target="http://dx.doi.org/10.1109/VISUAL.2000.885730" TargetMode="External"/><Relationship Id="rId1334" Type="http://schemas.openxmlformats.org/officeDocument/2006/relationships/hyperlink" Target="http://dx.doi.org/10.1109/INFVIS.2005.1532150" TargetMode="External"/><Relationship Id="rId2665" Type="http://schemas.openxmlformats.org/officeDocument/2006/relationships/hyperlink" Target="http://dx.doi.org/10.1109/TVCG.2015.2467552" TargetMode="External"/><Relationship Id="rId1335" Type="http://schemas.openxmlformats.org/officeDocument/2006/relationships/hyperlink" Target="http://dx.doi.org/10.1109/INFVIS.2005.1532151" TargetMode="External"/><Relationship Id="rId2666" Type="http://schemas.openxmlformats.org/officeDocument/2006/relationships/hyperlink" Target="http://dx.doi.org/10.1109/TVCG.2015.2467553" TargetMode="External"/><Relationship Id="rId1336" Type="http://schemas.openxmlformats.org/officeDocument/2006/relationships/hyperlink" Target="http://dx.doi.org/10.1109/INFVIS.2005.1532152" TargetMode="External"/><Relationship Id="rId2667" Type="http://schemas.openxmlformats.org/officeDocument/2006/relationships/hyperlink" Target="http://dx.doi.org/10.1109/TVCG.2015.2467554" TargetMode="External"/><Relationship Id="rId1337" Type="http://schemas.openxmlformats.org/officeDocument/2006/relationships/hyperlink" Target="http://dx.doi.org/10.1109/INFVIS.2005.1532153" TargetMode="External"/><Relationship Id="rId2668" Type="http://schemas.openxmlformats.org/officeDocument/2006/relationships/hyperlink" Target="http://dx.doi.org/10.1109/TVCG.2015.2467555" TargetMode="External"/><Relationship Id="rId1338" Type="http://schemas.openxmlformats.org/officeDocument/2006/relationships/hyperlink" Target="http://dx.doi.org/10.1109/VISUAL.2005.1532770" TargetMode="External"/><Relationship Id="rId2669" Type="http://schemas.openxmlformats.org/officeDocument/2006/relationships/hyperlink" Target="http://dx.doi.org/10.1109/TVCG.2015.2467591" TargetMode="External"/><Relationship Id="rId1339" Type="http://schemas.openxmlformats.org/officeDocument/2006/relationships/hyperlink" Target="http://dx.doi.org/10.1109/VISUAL.2005.1532771" TargetMode="External"/><Relationship Id="rId745" Type="http://schemas.openxmlformats.org/officeDocument/2006/relationships/hyperlink" Target="http://dx.doi.org/10.1109/VISUAL.2000.885673" TargetMode="External"/><Relationship Id="rId744" Type="http://schemas.openxmlformats.org/officeDocument/2006/relationships/hyperlink" Target="http://dx.doi.org/10.1109/VISUAL.2000.885672" TargetMode="External"/><Relationship Id="rId743" Type="http://schemas.openxmlformats.org/officeDocument/2006/relationships/hyperlink" Target="http://dx.doi.org/10.1109/INFVIS.2000.885105" TargetMode="External"/><Relationship Id="rId742" Type="http://schemas.openxmlformats.org/officeDocument/2006/relationships/hyperlink" Target="http://dx.doi.org/10.1109/INFVIS.2000.885104" TargetMode="External"/><Relationship Id="rId749" Type="http://schemas.openxmlformats.org/officeDocument/2006/relationships/hyperlink" Target="http://dx.doi.org/10.1109/VISUAL.2000.885677" TargetMode="External"/><Relationship Id="rId748" Type="http://schemas.openxmlformats.org/officeDocument/2006/relationships/hyperlink" Target="http://doi.ieeecomputersociety.org/10.1109/VISUAL.2000.885676" TargetMode="External"/><Relationship Id="rId747" Type="http://schemas.openxmlformats.org/officeDocument/2006/relationships/hyperlink" Target="http://dx.doi.org/10.1109/VISUAL.2000.885675" TargetMode="External"/><Relationship Id="rId746" Type="http://schemas.openxmlformats.org/officeDocument/2006/relationships/hyperlink" Target="http://dx.doi.org/10.1109/VISUAL.2000.885674" TargetMode="External"/><Relationship Id="rId2660" Type="http://schemas.openxmlformats.org/officeDocument/2006/relationships/hyperlink" Target="http://dx.doi.org/10.1109/TVCG.2015.2467451" TargetMode="External"/><Relationship Id="rId741" Type="http://schemas.openxmlformats.org/officeDocument/2006/relationships/hyperlink" Target="http://dx.doi.org/10.1109/INFVIS.2000.885103" TargetMode="External"/><Relationship Id="rId1330" Type="http://schemas.openxmlformats.org/officeDocument/2006/relationships/hyperlink" Target="http://dx.doi.org/10.1109/INFVIS.2005.1532146" TargetMode="External"/><Relationship Id="rId2661" Type="http://schemas.openxmlformats.org/officeDocument/2006/relationships/hyperlink" Target="http://dx.doi.org/10.1109/TVCG.2015.2467452" TargetMode="External"/><Relationship Id="rId740" Type="http://schemas.openxmlformats.org/officeDocument/2006/relationships/hyperlink" Target="http://dx.doi.org/10.1109/INFVIS.2000.885102" TargetMode="External"/><Relationship Id="rId1331" Type="http://schemas.openxmlformats.org/officeDocument/2006/relationships/hyperlink" Target="http://dx.doi.org/10.1109/INFVIS.2005.1532147" TargetMode="External"/><Relationship Id="rId2662" Type="http://schemas.openxmlformats.org/officeDocument/2006/relationships/hyperlink" Target="http://dx.doi.org/10.1109/TVCG.2015.2467471" TargetMode="External"/><Relationship Id="rId1332" Type="http://schemas.openxmlformats.org/officeDocument/2006/relationships/hyperlink" Target="http://dx.doi.org/10.1109/INFVIS.2005.1532148" TargetMode="External"/><Relationship Id="rId2663" Type="http://schemas.openxmlformats.org/officeDocument/2006/relationships/hyperlink" Target="http://dx.doi.org/10.1109/TVCG.2015.2467531" TargetMode="External"/><Relationship Id="rId1333" Type="http://schemas.openxmlformats.org/officeDocument/2006/relationships/hyperlink" Target="http://dx.doi.org/10.1109/INFVIS.2005.1532149" TargetMode="External"/><Relationship Id="rId2664" Type="http://schemas.openxmlformats.org/officeDocument/2006/relationships/hyperlink" Target="http://dx.doi.org/10.1109/TVCG.2015.2467551" TargetMode="External"/><Relationship Id="rId1323" Type="http://schemas.openxmlformats.org/officeDocument/2006/relationships/hyperlink" Target="http://dx.doi.org/10.1109/INFVIS.2005.1532139" TargetMode="External"/><Relationship Id="rId2654" Type="http://schemas.openxmlformats.org/officeDocument/2006/relationships/hyperlink" Target="http://dx.doi.org/10.1109/TVCG.2015.2467433" TargetMode="External"/><Relationship Id="rId1324" Type="http://schemas.openxmlformats.org/officeDocument/2006/relationships/hyperlink" Target="http://dx.doi.org/10.1109/INFVIS.2005.1532140" TargetMode="External"/><Relationship Id="rId2655" Type="http://schemas.openxmlformats.org/officeDocument/2006/relationships/hyperlink" Target="http://dx.doi.org/10.1109/TVCG.2015.2467434" TargetMode="External"/><Relationship Id="rId1325" Type="http://schemas.openxmlformats.org/officeDocument/2006/relationships/hyperlink" Target="http://dx.doi.org/10.1109/INFVIS.2005.1532141" TargetMode="External"/><Relationship Id="rId2656" Type="http://schemas.openxmlformats.org/officeDocument/2006/relationships/hyperlink" Target="http://dx.doi.org/10.1109/TVCG.2015.2467435" TargetMode="External"/><Relationship Id="rId1326" Type="http://schemas.openxmlformats.org/officeDocument/2006/relationships/hyperlink" Target="http://dx.doi.org/10.1109/INFVIS.2005.1532142" TargetMode="External"/><Relationship Id="rId2657" Type="http://schemas.openxmlformats.org/officeDocument/2006/relationships/hyperlink" Target="http://dx.doi.org/10.1109/TVCG.2015.2467436" TargetMode="External"/><Relationship Id="rId1327" Type="http://schemas.openxmlformats.org/officeDocument/2006/relationships/hyperlink" Target="http://dx.doi.org/10.1109/INFVIS.2005.1532143" TargetMode="External"/><Relationship Id="rId2658" Type="http://schemas.openxmlformats.org/officeDocument/2006/relationships/hyperlink" Target="http://dx.doi.org/10.1109/TVCG.2015.2467441" TargetMode="External"/><Relationship Id="rId1328" Type="http://schemas.openxmlformats.org/officeDocument/2006/relationships/hyperlink" Target="http://dx.doi.org/10.1109/INFVIS.2005.1532144" TargetMode="External"/><Relationship Id="rId2659" Type="http://schemas.openxmlformats.org/officeDocument/2006/relationships/hyperlink" Target="http://dx.doi.org/10.1109/TVCG.2015.2467449" TargetMode="External"/><Relationship Id="rId1329" Type="http://schemas.openxmlformats.org/officeDocument/2006/relationships/hyperlink" Target="http://dx.doi.org/10.1109/INFVIS.2005.1532145" TargetMode="External"/><Relationship Id="rId739" Type="http://schemas.openxmlformats.org/officeDocument/2006/relationships/hyperlink" Target="http://dx.doi.org/10.1109/INFVIS.2000.885101" TargetMode="External"/><Relationship Id="rId734" Type="http://schemas.openxmlformats.org/officeDocument/2006/relationships/hyperlink" Target="http://dx.doi.org/10.1109/INFVIS.2000.885095" TargetMode="External"/><Relationship Id="rId733" Type="http://schemas.openxmlformats.org/officeDocument/2006/relationships/hyperlink" Target="http://dx.doi.org/10.1109/INFVIS.2000.885094" TargetMode="External"/><Relationship Id="rId732" Type="http://schemas.openxmlformats.org/officeDocument/2006/relationships/hyperlink" Target="http://dx.doi.org/10.1109/INFVIS.2000.885093" TargetMode="External"/><Relationship Id="rId731" Type="http://schemas.openxmlformats.org/officeDocument/2006/relationships/hyperlink" Target="http://dx.doi.org/10.1109/INFVIS.2000.885092" TargetMode="External"/><Relationship Id="rId738" Type="http://schemas.openxmlformats.org/officeDocument/2006/relationships/hyperlink" Target="http://dx.doi.org/10.1109/INFVIS.2000.885099" TargetMode="External"/><Relationship Id="rId737" Type="http://schemas.openxmlformats.org/officeDocument/2006/relationships/hyperlink" Target="http://dx.doi.org/10.1109/INFVIS.2000.885098" TargetMode="External"/><Relationship Id="rId736" Type="http://schemas.openxmlformats.org/officeDocument/2006/relationships/hyperlink" Target="http://dx.doi.org/10.1109/INFVIS.2000.885097" TargetMode="External"/><Relationship Id="rId735" Type="http://schemas.openxmlformats.org/officeDocument/2006/relationships/hyperlink" Target="http://dx.doi.org/10.1109/INFVIS.2000.885096" TargetMode="External"/><Relationship Id="rId730" Type="http://schemas.openxmlformats.org/officeDocument/2006/relationships/hyperlink" Target="http://dx.doi.org/10.1109/INFVIS.2000.885091" TargetMode="External"/><Relationship Id="rId2650" Type="http://schemas.openxmlformats.org/officeDocument/2006/relationships/hyperlink" Target="http://dx.doi.org/10.1109/TVCG.2015.2467412" TargetMode="External"/><Relationship Id="rId1320" Type="http://schemas.openxmlformats.org/officeDocument/2006/relationships/hyperlink" Target="http://dx.doi.org/10.1109/INFVIS.2005.1532136" TargetMode="External"/><Relationship Id="rId2651" Type="http://schemas.openxmlformats.org/officeDocument/2006/relationships/hyperlink" Target="http://dx.doi.org/10.1109/TVCG.2015.2467413" TargetMode="External"/><Relationship Id="rId1321" Type="http://schemas.openxmlformats.org/officeDocument/2006/relationships/hyperlink" Target="http://dx.doi.org/10.1109/INFVIS.2005.1532137" TargetMode="External"/><Relationship Id="rId2652" Type="http://schemas.openxmlformats.org/officeDocument/2006/relationships/hyperlink" Target="http://dx.doi.org/10.1109/TVCG.2015.2467431" TargetMode="External"/><Relationship Id="rId1322" Type="http://schemas.openxmlformats.org/officeDocument/2006/relationships/hyperlink" Target="http://dx.doi.org/10.1109/INFVIS.2005.1532138" TargetMode="External"/><Relationship Id="rId2653" Type="http://schemas.openxmlformats.org/officeDocument/2006/relationships/hyperlink" Target="http://dx.doi.org/10.1109/TVCG.2015.2467432" TargetMode="External"/><Relationship Id="rId1356" Type="http://schemas.openxmlformats.org/officeDocument/2006/relationships/hyperlink" Target="http://dx.doi.org/10.1109/VISUAL.2005.1532789" TargetMode="External"/><Relationship Id="rId2687" Type="http://schemas.openxmlformats.org/officeDocument/2006/relationships/hyperlink" Target="http://dx.doi.org/10.1109/TVCG.2015.2467754" TargetMode="External"/><Relationship Id="rId1357" Type="http://schemas.openxmlformats.org/officeDocument/2006/relationships/hyperlink" Target="http://dx.doi.org/10.1109/VISUAL.2005.1532790" TargetMode="External"/><Relationship Id="rId2688" Type="http://schemas.openxmlformats.org/officeDocument/2006/relationships/hyperlink" Target="http://dx.doi.org/10.1109/TVCG.2015.2467757" TargetMode="External"/><Relationship Id="rId1358" Type="http://schemas.openxmlformats.org/officeDocument/2006/relationships/hyperlink" Target="http://dx.doi.org/10.1109/VISUAL.2005.1532791" TargetMode="External"/><Relationship Id="rId2689" Type="http://schemas.openxmlformats.org/officeDocument/2006/relationships/hyperlink" Target="http://dx.doi.org/10.1109/TVCG.2015.2467758" TargetMode="External"/><Relationship Id="rId1359" Type="http://schemas.openxmlformats.org/officeDocument/2006/relationships/hyperlink" Target="http://dx.doi.org/10.1109/VISUAL.2005.1532792" TargetMode="External"/><Relationship Id="rId767" Type="http://schemas.openxmlformats.org/officeDocument/2006/relationships/hyperlink" Target="http://dx.doi.org/10.1109/VISUAL.2000.885696" TargetMode="External"/><Relationship Id="rId766" Type="http://schemas.openxmlformats.org/officeDocument/2006/relationships/hyperlink" Target="http://dx.doi.org/10.1109/VISUAL.2000.885694" TargetMode="External"/><Relationship Id="rId765" Type="http://schemas.openxmlformats.org/officeDocument/2006/relationships/hyperlink" Target="http://dx.doi.org/10.1109/VISUAL.2000.885693" TargetMode="External"/><Relationship Id="rId764" Type="http://schemas.openxmlformats.org/officeDocument/2006/relationships/hyperlink" Target="http://doi.ieeecomputersociety.org/10.1109/VISUAL.2000.885692" TargetMode="External"/><Relationship Id="rId769" Type="http://schemas.openxmlformats.org/officeDocument/2006/relationships/hyperlink" Target="http://dx.doi.org/10.1109/VISUAL.2000.885698" TargetMode="External"/><Relationship Id="rId768" Type="http://schemas.openxmlformats.org/officeDocument/2006/relationships/hyperlink" Target="http://dx.doi.org/10.1109/VISUAL.2000.885697" TargetMode="External"/><Relationship Id="rId2680" Type="http://schemas.openxmlformats.org/officeDocument/2006/relationships/hyperlink" Target="http://dx.doi.org/10.1109/TVCG.2015.2467671" TargetMode="External"/><Relationship Id="rId1350" Type="http://schemas.openxmlformats.org/officeDocument/2006/relationships/hyperlink" Target="http://dx.doi.org/10.1109/VISUAL.2005.1532783" TargetMode="External"/><Relationship Id="rId2681" Type="http://schemas.openxmlformats.org/officeDocument/2006/relationships/hyperlink" Target="http://dx.doi.org/10.1109/TVCG.2015.2467691" TargetMode="External"/><Relationship Id="rId1351" Type="http://schemas.openxmlformats.org/officeDocument/2006/relationships/hyperlink" Target="http://dx.doi.org/10.1109/VISUAL.2005.1532784" TargetMode="External"/><Relationship Id="rId2682" Type="http://schemas.openxmlformats.org/officeDocument/2006/relationships/hyperlink" Target="http://dx.doi.org/10.1109/TVCG.2015.2467717" TargetMode="External"/><Relationship Id="rId763" Type="http://schemas.openxmlformats.org/officeDocument/2006/relationships/hyperlink" Target="http://dx.doi.org/10.1109/VISUAL.2000.885691" TargetMode="External"/><Relationship Id="rId1352" Type="http://schemas.openxmlformats.org/officeDocument/2006/relationships/hyperlink" Target="http://dx.doi.org/10.1109/VISUAL.2005.1532785" TargetMode="External"/><Relationship Id="rId2683" Type="http://schemas.openxmlformats.org/officeDocument/2006/relationships/hyperlink" Target="http://dx.doi.org/10.1109/TVCG.2015.2467732" TargetMode="External"/><Relationship Id="rId762" Type="http://schemas.openxmlformats.org/officeDocument/2006/relationships/hyperlink" Target="http://dx.doi.org/10.1109/VISUAL.2000.885690" TargetMode="External"/><Relationship Id="rId1353" Type="http://schemas.openxmlformats.org/officeDocument/2006/relationships/hyperlink" Target="http://dx.doi.org/10.1109/VISUAL.2005.1532786" TargetMode="External"/><Relationship Id="rId2684" Type="http://schemas.openxmlformats.org/officeDocument/2006/relationships/hyperlink" Target="http://dx.doi.org/10.1109/TVCG.2015.2467733" TargetMode="External"/><Relationship Id="rId761" Type="http://schemas.openxmlformats.org/officeDocument/2006/relationships/hyperlink" Target="http://dx.doi.org/10.1109/VISUAL.2000.885689" TargetMode="External"/><Relationship Id="rId1354" Type="http://schemas.openxmlformats.org/officeDocument/2006/relationships/hyperlink" Target="http://dx.doi.org/10.1109/VISUAL.2005.1532787" TargetMode="External"/><Relationship Id="rId2685" Type="http://schemas.openxmlformats.org/officeDocument/2006/relationships/hyperlink" Target="http://dx.doi.org/10.1109/TVCG.2015.2467751" TargetMode="External"/><Relationship Id="rId760" Type="http://schemas.openxmlformats.org/officeDocument/2006/relationships/hyperlink" Target="http://dx.doi.org/10.1109/VISUAL.2000.885688" TargetMode="External"/><Relationship Id="rId1355" Type="http://schemas.openxmlformats.org/officeDocument/2006/relationships/hyperlink" Target="http://dx.doi.org/10.1109/VISUAL.2005.1532788" TargetMode="External"/><Relationship Id="rId2686" Type="http://schemas.openxmlformats.org/officeDocument/2006/relationships/hyperlink" Target="http://dx.doi.org/10.1109/TVCG.2015.2467752" TargetMode="External"/><Relationship Id="rId1345" Type="http://schemas.openxmlformats.org/officeDocument/2006/relationships/hyperlink" Target="http://dx.doi.org/10.1109/VISUAL.2005.1532778" TargetMode="External"/><Relationship Id="rId2676" Type="http://schemas.openxmlformats.org/officeDocument/2006/relationships/hyperlink" Target="http://dx.doi.org/10.1109/TVCG.2015.2467619" TargetMode="External"/><Relationship Id="rId1346" Type="http://schemas.openxmlformats.org/officeDocument/2006/relationships/hyperlink" Target="http://dx.doi.org/10.1109/VISUAL.2005.1532779" TargetMode="External"/><Relationship Id="rId2677" Type="http://schemas.openxmlformats.org/officeDocument/2006/relationships/hyperlink" Target="http://dx.doi.org/10.1109/TVCG.2015.2467620" TargetMode="External"/><Relationship Id="rId1347" Type="http://schemas.openxmlformats.org/officeDocument/2006/relationships/hyperlink" Target="http://dx.doi.org/10.1109/VISUAL.2005.1532780" TargetMode="External"/><Relationship Id="rId2678" Type="http://schemas.openxmlformats.org/officeDocument/2006/relationships/hyperlink" Target="http://dx.doi.org/10.1109/TVCG.2015.2467621" TargetMode="External"/><Relationship Id="rId1348" Type="http://schemas.openxmlformats.org/officeDocument/2006/relationships/hyperlink" Target="http://dx.doi.org/10.1109/VISUAL.2005.1532781" TargetMode="External"/><Relationship Id="rId2679" Type="http://schemas.openxmlformats.org/officeDocument/2006/relationships/hyperlink" Target="http://dx.doi.org/10.1109/TVCG.2015.2467622" TargetMode="External"/><Relationship Id="rId1349" Type="http://schemas.openxmlformats.org/officeDocument/2006/relationships/hyperlink" Target="http://dx.doi.org/10.1109/VISUAL.2005.1532782" TargetMode="External"/><Relationship Id="rId756" Type="http://schemas.openxmlformats.org/officeDocument/2006/relationships/hyperlink" Target="http://dx.doi.org/10.1109/VISUAL.2000.885684" TargetMode="External"/><Relationship Id="rId755" Type="http://schemas.openxmlformats.org/officeDocument/2006/relationships/hyperlink" Target="http://dx.doi.org/10.1109/VISUAL.2000.885683" TargetMode="External"/><Relationship Id="rId754" Type="http://schemas.openxmlformats.org/officeDocument/2006/relationships/hyperlink" Target="http://dx.doi.org/10.1109/VISUAL.2000.885682" TargetMode="External"/><Relationship Id="rId753" Type="http://schemas.openxmlformats.org/officeDocument/2006/relationships/hyperlink" Target="http://dx.doi.org/10.1109/VISUAL.2000.885681" TargetMode="External"/><Relationship Id="rId759" Type="http://schemas.openxmlformats.org/officeDocument/2006/relationships/hyperlink" Target="http://dx.doi.org/10.1109/VISUAL.2000.885687" TargetMode="External"/><Relationship Id="rId758" Type="http://schemas.openxmlformats.org/officeDocument/2006/relationships/hyperlink" Target="http://dx.doi.org/10.1109/VISUAL.2000.885686" TargetMode="External"/><Relationship Id="rId757" Type="http://schemas.openxmlformats.org/officeDocument/2006/relationships/hyperlink" Target="http://dx.doi.org/10.1109/VISUAL.2000.885685" TargetMode="External"/><Relationship Id="rId2670" Type="http://schemas.openxmlformats.org/officeDocument/2006/relationships/hyperlink" Target="http://dx.doi.org/10.1109/TVCG.2015.2467592" TargetMode="External"/><Relationship Id="rId1340" Type="http://schemas.openxmlformats.org/officeDocument/2006/relationships/hyperlink" Target="http://dx.doi.org/10.1109/VISUAL.2005.1532772" TargetMode="External"/><Relationship Id="rId2671" Type="http://schemas.openxmlformats.org/officeDocument/2006/relationships/hyperlink" Target="http://dx.doi.org/10.1109/TVCG.2015.2467611" TargetMode="External"/><Relationship Id="rId752" Type="http://schemas.openxmlformats.org/officeDocument/2006/relationships/hyperlink" Target="http://dx.doi.org/10.1109/VISUAL.2000.885680" TargetMode="External"/><Relationship Id="rId1341" Type="http://schemas.openxmlformats.org/officeDocument/2006/relationships/hyperlink" Target="http://dx.doi.org/10.1109/VISUAL.2005.1532773" TargetMode="External"/><Relationship Id="rId2672" Type="http://schemas.openxmlformats.org/officeDocument/2006/relationships/hyperlink" Target="http://dx.doi.org/10.1109/TVCG.2015.2467612" TargetMode="External"/><Relationship Id="rId751" Type="http://schemas.openxmlformats.org/officeDocument/2006/relationships/hyperlink" Target="http://dx.doi.org/10.1109/VISUAL.2000.885679" TargetMode="External"/><Relationship Id="rId1342" Type="http://schemas.openxmlformats.org/officeDocument/2006/relationships/hyperlink" Target="http://dx.doi.org/10.1109/VISUAL.2005.1532774" TargetMode="External"/><Relationship Id="rId2673" Type="http://schemas.openxmlformats.org/officeDocument/2006/relationships/hyperlink" Target="http://dx.doi.org/10.1109/TVCG.2015.2467613" TargetMode="External"/><Relationship Id="rId750" Type="http://schemas.openxmlformats.org/officeDocument/2006/relationships/hyperlink" Target="http://dx.doi.org/10.1109/VISUAL.2000.885678" TargetMode="External"/><Relationship Id="rId1343" Type="http://schemas.openxmlformats.org/officeDocument/2006/relationships/hyperlink" Target="http://dx.doi.org/10.1109/VISUAL.2005.1532776" TargetMode="External"/><Relationship Id="rId2674" Type="http://schemas.openxmlformats.org/officeDocument/2006/relationships/hyperlink" Target="http://dx.doi.org/10.1109/TVCG.2015.2467615" TargetMode="External"/><Relationship Id="rId1344" Type="http://schemas.openxmlformats.org/officeDocument/2006/relationships/hyperlink" Target="http://dx.doi.org/10.1109/VISUAL.2005.1532777" TargetMode="External"/><Relationship Id="rId2675" Type="http://schemas.openxmlformats.org/officeDocument/2006/relationships/hyperlink" Target="http://dx.doi.org/10.1109/TVCG.2015.2467618" TargetMode="External"/><Relationship Id="rId2621" Type="http://schemas.openxmlformats.org/officeDocument/2006/relationships/hyperlink" Target="http://dx.doi.org/10.1109/TVCG.2015.2467051" TargetMode="External"/><Relationship Id="rId2622" Type="http://schemas.openxmlformats.org/officeDocument/2006/relationships/hyperlink" Target="http://dx.doi.org/10.1109/TVCG.2015.2467091" TargetMode="External"/><Relationship Id="rId2623" Type="http://schemas.openxmlformats.org/officeDocument/2006/relationships/hyperlink" Target="http://dx.doi.org/10.1109/TVCG.2015.2467112" TargetMode="External"/><Relationship Id="rId2624" Type="http://schemas.openxmlformats.org/officeDocument/2006/relationships/hyperlink" Target="http://dx.doi.org/10.1109/TVCG.2015.2467132" TargetMode="External"/><Relationship Id="rId2625" Type="http://schemas.openxmlformats.org/officeDocument/2006/relationships/hyperlink" Target="http://dx.doi.org/10.1109/TVCG.2015.2467153" TargetMode="External"/><Relationship Id="rId2626" Type="http://schemas.openxmlformats.org/officeDocument/2006/relationships/hyperlink" Target="http://dx.doi.org/10.1109/TVCG.2015.2467191" TargetMode="External"/><Relationship Id="rId2627" Type="http://schemas.openxmlformats.org/officeDocument/2006/relationships/hyperlink" Target="http://dx.doi.org/10.1109/TVCG.2015.2467194" TargetMode="External"/><Relationship Id="rId2628" Type="http://schemas.openxmlformats.org/officeDocument/2006/relationships/hyperlink" Target="http://dx.doi.org/10.1109/TVCG.2015.2467195" TargetMode="External"/><Relationship Id="rId709" Type="http://schemas.openxmlformats.org/officeDocument/2006/relationships/hyperlink" Target="http://dx.doi.org/10.1109/VISUAL.1999.809922" TargetMode="External"/><Relationship Id="rId2629" Type="http://schemas.openxmlformats.org/officeDocument/2006/relationships/hyperlink" Target="http://dx.doi.org/10.1109/TVCG.2015.2467196" TargetMode="External"/><Relationship Id="rId708" Type="http://schemas.openxmlformats.org/officeDocument/2006/relationships/hyperlink" Target="http://dx.doi.org/10.1109/VISUAL.1999.809921" TargetMode="External"/><Relationship Id="rId707" Type="http://schemas.openxmlformats.org/officeDocument/2006/relationships/hyperlink" Target="http://dx.doi.org/10.1109/VISUAL.1999.809920" TargetMode="External"/><Relationship Id="rId706" Type="http://schemas.openxmlformats.org/officeDocument/2006/relationships/hyperlink" Target="http://dx.doi.org/10.1109/VISUAL.1999.809919" TargetMode="External"/><Relationship Id="rId701" Type="http://schemas.openxmlformats.org/officeDocument/2006/relationships/hyperlink" Target="http://dx.doi.org/10.1109/VISUAL.1999.809914" TargetMode="External"/><Relationship Id="rId700" Type="http://schemas.openxmlformats.org/officeDocument/2006/relationships/hyperlink" Target="http://dx.doi.org/10.1109/VISUAL.1999.809913" TargetMode="External"/><Relationship Id="rId705" Type="http://schemas.openxmlformats.org/officeDocument/2006/relationships/hyperlink" Target="http://dx.doi.org/10.1109/VISUAL.1999.809918" TargetMode="External"/><Relationship Id="rId704" Type="http://schemas.openxmlformats.org/officeDocument/2006/relationships/hyperlink" Target="http://dx.doi.org/10.1109/VISUAL.1999.809917" TargetMode="External"/><Relationship Id="rId703" Type="http://schemas.openxmlformats.org/officeDocument/2006/relationships/hyperlink" Target="http://dx.doi.org/10.1109/VISUAL.1999.809916" TargetMode="External"/><Relationship Id="rId702" Type="http://schemas.openxmlformats.org/officeDocument/2006/relationships/hyperlink" Target="http://dx.doi.org/10.1109/VISUAL.1999.809915" TargetMode="External"/><Relationship Id="rId2620" Type="http://schemas.openxmlformats.org/officeDocument/2006/relationships/hyperlink" Target="http://dx.doi.org/10.1109/TVCG.2015.2467035" TargetMode="External"/><Relationship Id="rId2610" Type="http://schemas.openxmlformats.org/officeDocument/2006/relationships/hyperlink" Target="http://dx.doi.org/10.1109/SciVis.2015.7429510" TargetMode="External"/><Relationship Id="rId2611" Type="http://schemas.openxmlformats.org/officeDocument/2006/relationships/hyperlink" Target="http://dx.doi.org/10.1109/SciVis.2015.7429511" TargetMode="External"/><Relationship Id="rId2612" Type="http://schemas.openxmlformats.org/officeDocument/2006/relationships/hyperlink" Target="http://dx.doi.org/10.1109/SciVis.2015.7429512" TargetMode="External"/><Relationship Id="rId2613" Type="http://schemas.openxmlformats.org/officeDocument/2006/relationships/hyperlink" Target="http://dx.doi.org/10.1109/SciVis.2015.7429513" TargetMode="External"/><Relationship Id="rId2614" Type="http://schemas.openxmlformats.org/officeDocument/2006/relationships/hyperlink" Target="http://dx.doi.org/10.1109/SciVis.2015.7429514" TargetMode="External"/><Relationship Id="rId2615" Type="http://schemas.openxmlformats.org/officeDocument/2006/relationships/hyperlink" Target="http://dx.doi.org/10.1109/SciVis.2015.7429515" TargetMode="External"/><Relationship Id="rId2616" Type="http://schemas.openxmlformats.org/officeDocument/2006/relationships/hyperlink" Target="http://dx.doi.org/10.1109/TVCG.2015.2466838" TargetMode="External"/><Relationship Id="rId2617" Type="http://schemas.openxmlformats.org/officeDocument/2006/relationships/hyperlink" Target="http://dx.doi.org/10.1109/TVCG.2015.2466971" TargetMode="External"/><Relationship Id="rId2618" Type="http://schemas.openxmlformats.org/officeDocument/2006/relationships/hyperlink" Target="http://dx.doi.org/10.1109/TVCG.2015.2466992" TargetMode="External"/><Relationship Id="rId2619" Type="http://schemas.openxmlformats.org/officeDocument/2006/relationships/hyperlink" Target="http://dx.doi.org/10.1109/TVCG.2015.2467031" TargetMode="External"/><Relationship Id="rId1312" Type="http://schemas.openxmlformats.org/officeDocument/2006/relationships/hyperlink" Target="http://dx.doi.org/10.1109/INFVIS.2005.1532128" TargetMode="External"/><Relationship Id="rId2643" Type="http://schemas.openxmlformats.org/officeDocument/2006/relationships/hyperlink" Target="http://dx.doi.org/10.1109/TVCG.2015.2467321" TargetMode="External"/><Relationship Id="rId1313" Type="http://schemas.openxmlformats.org/officeDocument/2006/relationships/hyperlink" Target="http://dx.doi.org/10.1109/INFVIS.2005.1532129" TargetMode="External"/><Relationship Id="rId2644" Type="http://schemas.openxmlformats.org/officeDocument/2006/relationships/hyperlink" Target="http://dx.doi.org/10.1109/TVCG.2015.2467322" TargetMode="External"/><Relationship Id="rId1314" Type="http://schemas.openxmlformats.org/officeDocument/2006/relationships/hyperlink" Target="http://dx.doi.org/10.1109/INFVIS.2005.1532130" TargetMode="External"/><Relationship Id="rId2645" Type="http://schemas.openxmlformats.org/officeDocument/2006/relationships/hyperlink" Target="http://dx.doi.org/10.1109/TVCG.2015.2467323" TargetMode="External"/><Relationship Id="rId1315" Type="http://schemas.openxmlformats.org/officeDocument/2006/relationships/hyperlink" Target="http://dx.doi.org/10.1109/INFVIS.2005.1532131" TargetMode="External"/><Relationship Id="rId2646" Type="http://schemas.openxmlformats.org/officeDocument/2006/relationships/hyperlink" Target="http://dx.doi.org/10.1109/TVCG.2015.2467324" TargetMode="External"/><Relationship Id="rId1316" Type="http://schemas.openxmlformats.org/officeDocument/2006/relationships/hyperlink" Target="http://dx.doi.org/10.1109/INFVIS.2005.1532132" TargetMode="External"/><Relationship Id="rId2647" Type="http://schemas.openxmlformats.org/officeDocument/2006/relationships/hyperlink" Target="http://dx.doi.org/10.1109/TVCG.2015.2467325" TargetMode="External"/><Relationship Id="rId1317" Type="http://schemas.openxmlformats.org/officeDocument/2006/relationships/hyperlink" Target="http://dx.doi.org/10.1109/INFVIS.2005.1532133" TargetMode="External"/><Relationship Id="rId2648" Type="http://schemas.openxmlformats.org/officeDocument/2006/relationships/hyperlink" Target="http://dx.doi.org/10.1109/TVCG.2015.2467331" TargetMode="External"/><Relationship Id="rId1318" Type="http://schemas.openxmlformats.org/officeDocument/2006/relationships/hyperlink" Target="http://dx.doi.org/10.1109/INFVIS.2005.1532134" TargetMode="External"/><Relationship Id="rId2649" Type="http://schemas.openxmlformats.org/officeDocument/2006/relationships/hyperlink" Target="http://dx.doi.org/10.1109/TVCG.2015.2467411" TargetMode="External"/><Relationship Id="rId1319" Type="http://schemas.openxmlformats.org/officeDocument/2006/relationships/hyperlink" Target="http://dx.doi.org/10.1109/INFVIS.2005.1532135" TargetMode="External"/><Relationship Id="rId729" Type="http://schemas.openxmlformats.org/officeDocument/2006/relationships/hyperlink" Target="http://dx.doi.org/10.1109/INFVIS.2000.885090" TargetMode="External"/><Relationship Id="rId728" Type="http://schemas.openxmlformats.org/officeDocument/2006/relationships/hyperlink" Target="http://dx.doi.org/10.1109/INFVIS.2000.885089" TargetMode="External"/><Relationship Id="rId723" Type="http://schemas.openxmlformats.org/officeDocument/2006/relationships/hyperlink" Target="http://dx.doi.org/10.1109/VISUAL.1999.809940" TargetMode="External"/><Relationship Id="rId722" Type="http://schemas.openxmlformats.org/officeDocument/2006/relationships/hyperlink" Target="http://dx.doi.org/10.1109/VISUAL.1999.809939" TargetMode="External"/><Relationship Id="rId721" Type="http://schemas.openxmlformats.org/officeDocument/2006/relationships/hyperlink" Target="http://dx.doi.org/10.1109/VISUAL.1999.809938" TargetMode="External"/><Relationship Id="rId720" Type="http://schemas.openxmlformats.org/officeDocument/2006/relationships/hyperlink" Target="http://doi.ieeecomputersociety.org/10.1109/VISUAL.1999.809936" TargetMode="External"/><Relationship Id="rId727" Type="http://schemas.openxmlformats.org/officeDocument/2006/relationships/hyperlink" Target="http://dx.doi.org/10.1109/INFVIS.2000.885088" TargetMode="External"/><Relationship Id="rId726" Type="http://schemas.openxmlformats.org/officeDocument/2006/relationships/hyperlink" Target="http://dx.doi.org/10.1109/INFVIS.2000.885087" TargetMode="External"/><Relationship Id="rId725" Type="http://schemas.openxmlformats.org/officeDocument/2006/relationships/hyperlink" Target="http://dx.doi.org/10.1109/INFVIS.2000.885086" TargetMode="External"/><Relationship Id="rId724" Type="http://schemas.openxmlformats.org/officeDocument/2006/relationships/hyperlink" Target="http://dl.acm.org/citation.cfm?id=857699" TargetMode="External"/><Relationship Id="rId2640" Type="http://schemas.openxmlformats.org/officeDocument/2006/relationships/hyperlink" Target="http://dx.doi.org/10.1109/TVCG.2015.2467292" TargetMode="External"/><Relationship Id="rId1310" Type="http://schemas.openxmlformats.org/officeDocument/2006/relationships/hyperlink" Target="http://dx.doi.org/10.1109/INFVIS.2005.1532126" TargetMode="External"/><Relationship Id="rId2641" Type="http://schemas.openxmlformats.org/officeDocument/2006/relationships/hyperlink" Target="http://dx.doi.org/10.1109/TVCG.2015.2467293" TargetMode="External"/><Relationship Id="rId1311" Type="http://schemas.openxmlformats.org/officeDocument/2006/relationships/hyperlink" Target="http://dx.doi.org/10.1109/INFVIS.2005.1532127" TargetMode="External"/><Relationship Id="rId2642" Type="http://schemas.openxmlformats.org/officeDocument/2006/relationships/hyperlink" Target="http://dx.doi.org/10.1109/TVCG.2015.2467294" TargetMode="External"/><Relationship Id="rId1301" Type="http://schemas.openxmlformats.org/officeDocument/2006/relationships/hyperlink" Target="http://dx.doi.org/10.1109/VISUAL.2004.94" TargetMode="External"/><Relationship Id="rId2632" Type="http://schemas.openxmlformats.org/officeDocument/2006/relationships/hyperlink" Target="http://dx.doi.org/10.1109/TVCG.2015.2467200" TargetMode="External"/><Relationship Id="rId1302" Type="http://schemas.openxmlformats.org/officeDocument/2006/relationships/hyperlink" Target="http://dx.doi.org/10.1109/VISUAL.2004.95" TargetMode="External"/><Relationship Id="rId2633" Type="http://schemas.openxmlformats.org/officeDocument/2006/relationships/hyperlink" Target="http://dx.doi.org/10.1109/TVCG.2015.2467201" TargetMode="External"/><Relationship Id="rId1303" Type="http://schemas.openxmlformats.org/officeDocument/2006/relationships/hyperlink" Target="http://dx.doi.org/10.1109/VISUAL.2004.96" TargetMode="External"/><Relationship Id="rId2634" Type="http://schemas.openxmlformats.org/officeDocument/2006/relationships/hyperlink" Target="http://dx.doi.org/10.1109/TVCG.2015.2467202" TargetMode="External"/><Relationship Id="rId1304" Type="http://schemas.openxmlformats.org/officeDocument/2006/relationships/hyperlink" Target="http://dx.doi.org/10.1109/VISUAL.2004.98" TargetMode="External"/><Relationship Id="rId2635" Type="http://schemas.openxmlformats.org/officeDocument/2006/relationships/hyperlink" Target="http://dx.doi.org/10.1109/TVCG.2015.2467203" TargetMode="External"/><Relationship Id="rId1305" Type="http://schemas.openxmlformats.org/officeDocument/2006/relationships/hyperlink" Target="http://dx.doi.org/10.1109/VISUAL.2004.99" TargetMode="External"/><Relationship Id="rId2636" Type="http://schemas.openxmlformats.org/officeDocument/2006/relationships/hyperlink" Target="http://dx.doi.org/10.1109/TVCG.2015.2467204" TargetMode="External"/><Relationship Id="rId1306" Type="http://schemas.openxmlformats.org/officeDocument/2006/relationships/hyperlink" Target="http://dx.doi.org/10.1109/INFVIS.2005.1532122" TargetMode="External"/><Relationship Id="rId2637" Type="http://schemas.openxmlformats.org/officeDocument/2006/relationships/hyperlink" Target="http://dx.doi.org/10.1109/TVCG.2015.2467251" TargetMode="External"/><Relationship Id="rId1307" Type="http://schemas.openxmlformats.org/officeDocument/2006/relationships/hyperlink" Target="http://dx.doi.org/10.1109/INFVIS.2005.1532123" TargetMode="External"/><Relationship Id="rId2638" Type="http://schemas.openxmlformats.org/officeDocument/2006/relationships/hyperlink" Target="http://dx.doi.org/10.1109/TVCG.2015.2467271" TargetMode="External"/><Relationship Id="rId1308" Type="http://schemas.openxmlformats.org/officeDocument/2006/relationships/hyperlink" Target="http://dx.doi.org/10.1109/INFVIS.2005.1532124" TargetMode="External"/><Relationship Id="rId2639" Type="http://schemas.openxmlformats.org/officeDocument/2006/relationships/hyperlink" Target="http://dx.doi.org/10.1109/TVCG.2015.2467291" TargetMode="External"/><Relationship Id="rId1309" Type="http://schemas.openxmlformats.org/officeDocument/2006/relationships/hyperlink" Target="http://dx.doi.org/10.1109/INFVIS.2005.1532125" TargetMode="External"/><Relationship Id="rId719" Type="http://schemas.openxmlformats.org/officeDocument/2006/relationships/hyperlink" Target="http://dx.doi.org/10.1109/VISUAL.1999.809934" TargetMode="External"/><Relationship Id="rId718" Type="http://schemas.openxmlformats.org/officeDocument/2006/relationships/hyperlink" Target="http://dx.doi.org/10.1109/VISUAL.1999.809932" TargetMode="External"/><Relationship Id="rId717" Type="http://schemas.openxmlformats.org/officeDocument/2006/relationships/hyperlink" Target="http://dx.doi.org/10.1109/VISUAL.1999.809931" TargetMode="External"/><Relationship Id="rId712" Type="http://schemas.openxmlformats.org/officeDocument/2006/relationships/hyperlink" Target="http://dx.doi.org/10.1109/VISUAL.1999.809925" TargetMode="External"/><Relationship Id="rId711" Type="http://schemas.openxmlformats.org/officeDocument/2006/relationships/hyperlink" Target="http://dx.doi.org/10.1109/VISUAL.1999.809924" TargetMode="External"/><Relationship Id="rId710" Type="http://schemas.openxmlformats.org/officeDocument/2006/relationships/hyperlink" Target="http://dx.doi.org/10.1109/VISUAL.1999.809923" TargetMode="External"/><Relationship Id="rId716" Type="http://schemas.openxmlformats.org/officeDocument/2006/relationships/hyperlink" Target="http://dx.doi.org/10.1109/VISUAL.1999.809930" TargetMode="External"/><Relationship Id="rId715" Type="http://schemas.openxmlformats.org/officeDocument/2006/relationships/hyperlink" Target="http://dx.doi.org/10.1109/VISUAL.1999.809929" TargetMode="External"/><Relationship Id="rId714" Type="http://schemas.openxmlformats.org/officeDocument/2006/relationships/hyperlink" Target="http://dx.doi.org/10.1109/VISUAL.1999.809927" TargetMode="External"/><Relationship Id="rId713" Type="http://schemas.openxmlformats.org/officeDocument/2006/relationships/hyperlink" Target="http://dx.doi.org/10.1109/VISUAL.1999.809926" TargetMode="External"/><Relationship Id="rId2630" Type="http://schemas.openxmlformats.org/officeDocument/2006/relationships/hyperlink" Target="http://dx.doi.org/10.1109/TVCG.2015.2467198" TargetMode="External"/><Relationship Id="rId1300" Type="http://schemas.openxmlformats.org/officeDocument/2006/relationships/hyperlink" Target="http://dx.doi.org/10.1109/VISUAL.2004.91" TargetMode="External"/><Relationship Id="rId2631" Type="http://schemas.openxmlformats.org/officeDocument/2006/relationships/hyperlink" Target="http://dx.doi.org/10.1109/TVCG.2015.2467199" TargetMode="External"/><Relationship Id="rId3100" Type="http://schemas.openxmlformats.org/officeDocument/2006/relationships/hyperlink" Target="http://dx.doi.org/10.1109/TVCG.2018.2865265" TargetMode="External"/><Relationship Id="rId3102" Type="http://schemas.openxmlformats.org/officeDocument/2006/relationships/drawing" Target="../drawings/drawing2.xml"/><Relationship Id="rId3101" Type="http://schemas.openxmlformats.org/officeDocument/2006/relationships/hyperlink" Target="http://dx.doi.org/10.1109/TVCG.2018.2865266" TargetMode="External"/><Relationship Id="rId1378" Type="http://schemas.openxmlformats.org/officeDocument/2006/relationships/hyperlink" Target="http://dx.doi.org/10.1109/VISUAL.2005.1532811" TargetMode="External"/><Relationship Id="rId1379" Type="http://schemas.openxmlformats.org/officeDocument/2006/relationships/hyperlink" Target="http://dx.doi.org/10.1109/VISUAL.2005.1532812" TargetMode="External"/><Relationship Id="rId789" Type="http://schemas.openxmlformats.org/officeDocument/2006/relationships/hyperlink" Target="http://dx.doi.org/10.1109/VISUAL.2000.885718" TargetMode="External"/><Relationship Id="rId788" Type="http://schemas.openxmlformats.org/officeDocument/2006/relationships/hyperlink" Target="http://dx.doi.org/10.1109/VISUAL.2000.885717" TargetMode="External"/><Relationship Id="rId787" Type="http://schemas.openxmlformats.org/officeDocument/2006/relationships/hyperlink" Target="http://dx.doi.org/10.1109/VISUAL.2000.885716" TargetMode="External"/><Relationship Id="rId786" Type="http://schemas.openxmlformats.org/officeDocument/2006/relationships/hyperlink" Target="http://doi.ieeecomputersociety.org/10.1109/VISUAL.2000.885715" TargetMode="External"/><Relationship Id="rId781" Type="http://schemas.openxmlformats.org/officeDocument/2006/relationships/hyperlink" Target="http://dx.doi.org/10.1109/VISUAL.2000.885710" TargetMode="External"/><Relationship Id="rId1370" Type="http://schemas.openxmlformats.org/officeDocument/2006/relationships/hyperlink" Target="http://dx.doi.org/10.1109/VISUAL.2005.1532803" TargetMode="External"/><Relationship Id="rId780" Type="http://schemas.openxmlformats.org/officeDocument/2006/relationships/hyperlink" Target="http://dx.doi.org/10.1109/VISUAL.2000.885709" TargetMode="External"/><Relationship Id="rId1371" Type="http://schemas.openxmlformats.org/officeDocument/2006/relationships/hyperlink" Target="http://dx.doi.org/10.1109/VISUAL.2005.1532804" TargetMode="External"/><Relationship Id="rId1372" Type="http://schemas.openxmlformats.org/officeDocument/2006/relationships/hyperlink" Target="http://dx.doi.org/10.1109/VISUAL.2005.1532805" TargetMode="External"/><Relationship Id="rId1373" Type="http://schemas.openxmlformats.org/officeDocument/2006/relationships/hyperlink" Target="http://dx.doi.org/10.1109/VISUAL.2005.1532806" TargetMode="External"/><Relationship Id="rId785" Type="http://schemas.openxmlformats.org/officeDocument/2006/relationships/hyperlink" Target="http://dx.doi.org/10.1109/VISUAL.2000.885714" TargetMode="External"/><Relationship Id="rId1374" Type="http://schemas.openxmlformats.org/officeDocument/2006/relationships/hyperlink" Target="http://dx.doi.org/10.1109/VISUAL.2005.1532807" TargetMode="External"/><Relationship Id="rId784" Type="http://schemas.openxmlformats.org/officeDocument/2006/relationships/hyperlink" Target="http://doi.ieeecomputersociety.org/10.1109/VISUAL.2000.885713" TargetMode="External"/><Relationship Id="rId1375" Type="http://schemas.openxmlformats.org/officeDocument/2006/relationships/hyperlink" Target="http://dx.doi.org/10.1109/VISUAL.2005.1532808" TargetMode="External"/><Relationship Id="rId783" Type="http://schemas.openxmlformats.org/officeDocument/2006/relationships/hyperlink" Target="http://dx.doi.org/10.1109/VISUAL.2000.885712" TargetMode="External"/><Relationship Id="rId1376" Type="http://schemas.openxmlformats.org/officeDocument/2006/relationships/hyperlink" Target="http://dx.doi.org/10.1109/VISUAL.2005.1532809" TargetMode="External"/><Relationship Id="rId782" Type="http://schemas.openxmlformats.org/officeDocument/2006/relationships/hyperlink" Target="http://dx.doi.org/10.1109/VISUAL.2000.885711" TargetMode="External"/><Relationship Id="rId1377" Type="http://schemas.openxmlformats.org/officeDocument/2006/relationships/hyperlink" Target="http://dx.doi.org/10.1109/VISUAL.2005.1532810" TargetMode="External"/><Relationship Id="rId1367" Type="http://schemas.openxmlformats.org/officeDocument/2006/relationships/hyperlink" Target="http://dx.doi.org/10.1109/VISUAL.2005.1532800" TargetMode="External"/><Relationship Id="rId2698" Type="http://schemas.openxmlformats.org/officeDocument/2006/relationships/hyperlink" Target="http://dx.doi.org/10.1109/TVCG.2015.2467911" TargetMode="External"/><Relationship Id="rId1368" Type="http://schemas.openxmlformats.org/officeDocument/2006/relationships/hyperlink" Target="http://dx.doi.org/10.1109/VISUAL.2005.1532801" TargetMode="External"/><Relationship Id="rId2699" Type="http://schemas.openxmlformats.org/officeDocument/2006/relationships/hyperlink" Target="http://dx.doi.org/10.1109/TVCG.2015.2467931" TargetMode="External"/><Relationship Id="rId1369" Type="http://schemas.openxmlformats.org/officeDocument/2006/relationships/hyperlink" Target="http://dx.doi.org/10.1109/VISUAL.2005.1532802" TargetMode="External"/><Relationship Id="rId778" Type="http://schemas.openxmlformats.org/officeDocument/2006/relationships/hyperlink" Target="http://dx.doi.org/10.1109/VISUAL.2000.885707" TargetMode="External"/><Relationship Id="rId777" Type="http://schemas.openxmlformats.org/officeDocument/2006/relationships/hyperlink" Target="http://dx.doi.org/10.1109/VISUAL.2000.885706" TargetMode="External"/><Relationship Id="rId776" Type="http://schemas.openxmlformats.org/officeDocument/2006/relationships/hyperlink" Target="http://dx.doi.org/10.1109/VISUAL.2000.885705" TargetMode="External"/><Relationship Id="rId775" Type="http://schemas.openxmlformats.org/officeDocument/2006/relationships/hyperlink" Target="http://dx.doi.org/10.1109/VISUAL.2000.885704" TargetMode="External"/><Relationship Id="rId779" Type="http://schemas.openxmlformats.org/officeDocument/2006/relationships/hyperlink" Target="http://dx.doi.org/10.1109/VISUAL.2000.885708" TargetMode="External"/><Relationship Id="rId770" Type="http://schemas.openxmlformats.org/officeDocument/2006/relationships/hyperlink" Target="http://dx.doi.org/10.1109/VISUAL.2000.885699" TargetMode="External"/><Relationship Id="rId2690" Type="http://schemas.openxmlformats.org/officeDocument/2006/relationships/hyperlink" Target="http://dx.doi.org/10.1109/TVCG.2015.2467759" TargetMode="External"/><Relationship Id="rId1360" Type="http://schemas.openxmlformats.org/officeDocument/2006/relationships/hyperlink" Target="http://dx.doi.org/10.1109/VISUAL.2005.1532793" TargetMode="External"/><Relationship Id="rId2691" Type="http://schemas.openxmlformats.org/officeDocument/2006/relationships/hyperlink" Target="http://dx.doi.org/10.1109/TVCG.2015.2467771" TargetMode="External"/><Relationship Id="rId1361" Type="http://schemas.openxmlformats.org/officeDocument/2006/relationships/hyperlink" Target="http://dx.doi.org/10.1109/VISUAL.2005.1532794" TargetMode="External"/><Relationship Id="rId2692" Type="http://schemas.openxmlformats.org/officeDocument/2006/relationships/hyperlink" Target="http://dx.doi.org/10.1109/TVCG.2015.2467811" TargetMode="External"/><Relationship Id="rId1362" Type="http://schemas.openxmlformats.org/officeDocument/2006/relationships/hyperlink" Target="http://dx.doi.org/10.1109/VISUAL.2005.1532795" TargetMode="External"/><Relationship Id="rId2693" Type="http://schemas.openxmlformats.org/officeDocument/2006/relationships/hyperlink" Target="http://dx.doi.org/10.1109/TVCG.2015.2467813" TargetMode="External"/><Relationship Id="rId774" Type="http://schemas.openxmlformats.org/officeDocument/2006/relationships/hyperlink" Target="http://dx.doi.org/10.1109/VISUAL.2000.885703" TargetMode="External"/><Relationship Id="rId1363" Type="http://schemas.openxmlformats.org/officeDocument/2006/relationships/hyperlink" Target="http://dx.doi.org/10.1109/VISUAL.2005.1532796" TargetMode="External"/><Relationship Id="rId2694" Type="http://schemas.openxmlformats.org/officeDocument/2006/relationships/hyperlink" Target="http://dx.doi.org/10.1109/TVCG.2015.2467831" TargetMode="External"/><Relationship Id="rId773" Type="http://schemas.openxmlformats.org/officeDocument/2006/relationships/hyperlink" Target="http://doi.ieeecomputersociety.org/10.1109/VISUAL.2000.885702" TargetMode="External"/><Relationship Id="rId1364" Type="http://schemas.openxmlformats.org/officeDocument/2006/relationships/hyperlink" Target="http://dx.doi.org/10.1109/VISUAL.2005.1532797" TargetMode="External"/><Relationship Id="rId2695" Type="http://schemas.openxmlformats.org/officeDocument/2006/relationships/hyperlink" Target="http://dx.doi.org/10.1109/TVCG.2015.2467851" TargetMode="External"/><Relationship Id="rId772" Type="http://schemas.openxmlformats.org/officeDocument/2006/relationships/hyperlink" Target="http://dx.doi.org/10.1109/VISUAL.2000.885701" TargetMode="External"/><Relationship Id="rId1365" Type="http://schemas.openxmlformats.org/officeDocument/2006/relationships/hyperlink" Target="http://dx.doi.org/10.1109/VISUAL.2005.1532798" TargetMode="External"/><Relationship Id="rId2696" Type="http://schemas.openxmlformats.org/officeDocument/2006/relationships/hyperlink" Target="http://dx.doi.org/10.1109/TVCG.2015.2467871" TargetMode="External"/><Relationship Id="rId771" Type="http://schemas.openxmlformats.org/officeDocument/2006/relationships/hyperlink" Target="http://dx.doi.org/10.1109/VISUAL.2000.885700" TargetMode="External"/><Relationship Id="rId1366" Type="http://schemas.openxmlformats.org/officeDocument/2006/relationships/hyperlink" Target="http://dx.doi.org/10.1109/VISUAL.2005.1532799" TargetMode="External"/><Relationship Id="rId2697" Type="http://schemas.openxmlformats.org/officeDocument/2006/relationships/hyperlink" Target="http://dx.doi.org/10.1109/TVCG.2015.2467872" TargetMode="External"/><Relationship Id="rId1390" Type="http://schemas.openxmlformats.org/officeDocument/2006/relationships/hyperlink" Target="http://dx.doi.org/10.1109/VISUAL.2005.1532824" TargetMode="External"/><Relationship Id="rId1391" Type="http://schemas.openxmlformats.org/officeDocument/2006/relationships/hyperlink" Target="http://dx.doi.org/10.1109/VISUAL.2005.1532825" TargetMode="External"/><Relationship Id="rId1392" Type="http://schemas.openxmlformats.org/officeDocument/2006/relationships/hyperlink" Target="http://dx.doi.org/10.1109/VISUAL.2005.1532826" TargetMode="External"/><Relationship Id="rId1393" Type="http://schemas.openxmlformats.org/officeDocument/2006/relationships/hyperlink" Target="http://dx.doi.org/10.1109/VISUAL.2005.1532827" TargetMode="External"/><Relationship Id="rId1394" Type="http://schemas.openxmlformats.org/officeDocument/2006/relationships/hyperlink" Target="http://dx.doi.org/10.1109/VISUAL.2005.1532828" TargetMode="External"/><Relationship Id="rId1395" Type="http://schemas.openxmlformats.org/officeDocument/2006/relationships/hyperlink" Target="http://dx.doi.org/10.1109/VISUAL.2005.1532829" TargetMode="External"/><Relationship Id="rId1396" Type="http://schemas.openxmlformats.org/officeDocument/2006/relationships/hyperlink" Target="http://dx.doi.org/10.1109/VISUAL.2005.1532830" TargetMode="External"/><Relationship Id="rId1397" Type="http://schemas.openxmlformats.org/officeDocument/2006/relationships/hyperlink" Target="http://dx.doi.org/10.1109/VISUAL.2005.1532831" TargetMode="External"/><Relationship Id="rId1398" Type="http://schemas.openxmlformats.org/officeDocument/2006/relationships/hyperlink" Target="http://dx.doi.org/10.1109/VISUAL.2005.1532832" TargetMode="External"/><Relationship Id="rId1399" Type="http://schemas.openxmlformats.org/officeDocument/2006/relationships/hyperlink" Target="http://dx.doi.org/10.1109/VISUAL.2005.1532833" TargetMode="External"/><Relationship Id="rId1389" Type="http://schemas.openxmlformats.org/officeDocument/2006/relationships/hyperlink" Target="http://dx.doi.org/10.1109/VISUAL.2005.1532823" TargetMode="External"/><Relationship Id="rId799" Type="http://schemas.openxmlformats.org/officeDocument/2006/relationships/hyperlink" Target="http://dx.doi.org/10.1109/VISUAL.2000.885728" TargetMode="External"/><Relationship Id="rId798" Type="http://schemas.openxmlformats.org/officeDocument/2006/relationships/hyperlink" Target="http://dx.doi.org/10.1109/VISUAL.2000.885727" TargetMode="External"/><Relationship Id="rId797" Type="http://schemas.openxmlformats.org/officeDocument/2006/relationships/hyperlink" Target="http://dx.doi.org/10.1109/VISUAL.2000.885726" TargetMode="External"/><Relationship Id="rId1380" Type="http://schemas.openxmlformats.org/officeDocument/2006/relationships/hyperlink" Target="http://dx.doi.org/10.1109/VISUAL.2005.1532813" TargetMode="External"/><Relationship Id="rId792" Type="http://schemas.openxmlformats.org/officeDocument/2006/relationships/hyperlink" Target="http://dx.doi.org/10.1109/VISUAL.2000.885721" TargetMode="External"/><Relationship Id="rId1381" Type="http://schemas.openxmlformats.org/officeDocument/2006/relationships/hyperlink" Target="http://dx.doi.org/10.1109/VISUAL.2005.1532815" TargetMode="External"/><Relationship Id="rId791" Type="http://schemas.openxmlformats.org/officeDocument/2006/relationships/hyperlink" Target="http://doi.ieeecomputersociety.org/10.1109/VISUAL.2000.885720" TargetMode="External"/><Relationship Id="rId1382" Type="http://schemas.openxmlformats.org/officeDocument/2006/relationships/hyperlink" Target="http://dx.doi.org/10.1109/VISUAL.2005.1532816" TargetMode="External"/><Relationship Id="rId790" Type="http://schemas.openxmlformats.org/officeDocument/2006/relationships/hyperlink" Target="http://dx.doi.org/10.1109/VISUAL.2000.885719" TargetMode="External"/><Relationship Id="rId1383" Type="http://schemas.openxmlformats.org/officeDocument/2006/relationships/hyperlink" Target="http://dx.doi.org/10.1109/VISUAL.2005.1532817" TargetMode="External"/><Relationship Id="rId1384" Type="http://schemas.openxmlformats.org/officeDocument/2006/relationships/hyperlink" Target="http://dx.doi.org/10.1109/VISUAL.2005.1532818" TargetMode="External"/><Relationship Id="rId796" Type="http://schemas.openxmlformats.org/officeDocument/2006/relationships/hyperlink" Target="http://dx.doi.org/10.1109/VISUAL.2000.885725" TargetMode="External"/><Relationship Id="rId1385" Type="http://schemas.openxmlformats.org/officeDocument/2006/relationships/hyperlink" Target="http://dx.doi.org/10.1109/VISUAL.2005.1532819" TargetMode="External"/><Relationship Id="rId795" Type="http://schemas.openxmlformats.org/officeDocument/2006/relationships/hyperlink" Target="http://dx.doi.org/10.1109/VISUAL.2000.885724" TargetMode="External"/><Relationship Id="rId1386" Type="http://schemas.openxmlformats.org/officeDocument/2006/relationships/hyperlink" Target="http://dx.doi.org/10.1109/VISUAL.2005.1532820" TargetMode="External"/><Relationship Id="rId794" Type="http://schemas.openxmlformats.org/officeDocument/2006/relationships/hyperlink" Target="http://doi.ieeecomputersociety.org/10.1109/VISUAL.2000.885723" TargetMode="External"/><Relationship Id="rId1387" Type="http://schemas.openxmlformats.org/officeDocument/2006/relationships/hyperlink" Target="http://dx.doi.org/10.1109/VISUAL.2005.1532821" TargetMode="External"/><Relationship Id="rId793" Type="http://schemas.openxmlformats.org/officeDocument/2006/relationships/hyperlink" Target="http://doi.ieeecomputersociety.org/10.1109/VISUAL.2000.885722" TargetMode="External"/><Relationship Id="rId1388" Type="http://schemas.openxmlformats.org/officeDocument/2006/relationships/hyperlink" Target="http://dx.doi.org/10.1109/VISUAL.2005.1532822" TargetMode="External"/><Relationship Id="rId2700" Type="http://schemas.openxmlformats.org/officeDocument/2006/relationships/hyperlink" Target="http://dx.doi.org/10.1109/TVCG.2015.2467951" TargetMode="External"/><Relationship Id="rId2701" Type="http://schemas.openxmlformats.org/officeDocument/2006/relationships/hyperlink" Target="http://dx.doi.org/10.1109/TVCG.2015.2467952" TargetMode="External"/><Relationship Id="rId2702" Type="http://schemas.openxmlformats.org/officeDocument/2006/relationships/hyperlink" Target="http://dx.doi.org/10.1109/TVCG.2015.2467954" TargetMode="External"/><Relationship Id="rId2703" Type="http://schemas.openxmlformats.org/officeDocument/2006/relationships/hyperlink" Target="http://dx.doi.org/10.1109/TVCG.2015.2467958" TargetMode="External"/><Relationship Id="rId2704" Type="http://schemas.openxmlformats.org/officeDocument/2006/relationships/hyperlink" Target="http://dx.doi.org/10.1109/TVCG.2015.2467961" TargetMode="External"/><Relationship Id="rId2705" Type="http://schemas.openxmlformats.org/officeDocument/2006/relationships/hyperlink" Target="http://dx.doi.org/10.1109/TVCG.2015.2467962" TargetMode="External"/><Relationship Id="rId2706" Type="http://schemas.openxmlformats.org/officeDocument/2006/relationships/hyperlink" Target="http://dx.doi.org/10.1109/TVCG.2015.2467963" TargetMode="External"/><Relationship Id="rId2707" Type="http://schemas.openxmlformats.org/officeDocument/2006/relationships/hyperlink" Target="http://dx.doi.org/10.1109/TVCG.2015.2467971" TargetMode="External"/><Relationship Id="rId2708" Type="http://schemas.openxmlformats.org/officeDocument/2006/relationships/hyperlink" Target="http://dx.doi.org/10.1109/TVCG.2015.2467991" TargetMode="External"/><Relationship Id="rId2709" Type="http://schemas.openxmlformats.org/officeDocument/2006/relationships/hyperlink" Target="http://dx.doi.org/10.1109/TVCG.2015.2467992" TargetMode="External"/><Relationship Id="rId2720" Type="http://schemas.openxmlformats.org/officeDocument/2006/relationships/hyperlink" Target="http://dx.doi.org/10.1109/VAST.2015.7347624" TargetMode="External"/><Relationship Id="rId2721" Type="http://schemas.openxmlformats.org/officeDocument/2006/relationships/hyperlink" Target="http://dx.doi.org/10.1109/VAST.2015.7347625" TargetMode="External"/><Relationship Id="rId2722" Type="http://schemas.openxmlformats.org/officeDocument/2006/relationships/hyperlink" Target="http://dx.doi.org/10.1109/VAST.2015.7347626" TargetMode="External"/><Relationship Id="rId2723" Type="http://schemas.openxmlformats.org/officeDocument/2006/relationships/hyperlink" Target="http://dx.doi.org/10.1109/VAST.2015.7347627" TargetMode="External"/><Relationship Id="rId2724" Type="http://schemas.openxmlformats.org/officeDocument/2006/relationships/hyperlink" Target="http://dx.doi.org/10.1109/VAST.2015.7347628" TargetMode="External"/><Relationship Id="rId2725" Type="http://schemas.openxmlformats.org/officeDocument/2006/relationships/hyperlink" Target="http://dx.doi.org/10.1109/VAST.2015.7347629" TargetMode="External"/><Relationship Id="rId2726" Type="http://schemas.openxmlformats.org/officeDocument/2006/relationships/hyperlink" Target="http://dx.doi.org/10.1109/VAST.2015.7347630" TargetMode="External"/><Relationship Id="rId2727" Type="http://schemas.openxmlformats.org/officeDocument/2006/relationships/hyperlink" Target="http://dx.doi.org/10.1109/VAST.2015.7347631" TargetMode="External"/><Relationship Id="rId2728" Type="http://schemas.openxmlformats.org/officeDocument/2006/relationships/hyperlink" Target="http://dx.doi.org/10.1109/VAST.2015.7347632" TargetMode="External"/><Relationship Id="rId2729" Type="http://schemas.openxmlformats.org/officeDocument/2006/relationships/hyperlink" Target="http://dx.doi.org/10.1109/VAST.2015.7347633" TargetMode="External"/><Relationship Id="rId2710" Type="http://schemas.openxmlformats.org/officeDocument/2006/relationships/hyperlink" Target="http://dx.doi.org/10.1109/TVCG.2015.2468011" TargetMode="External"/><Relationship Id="rId2711" Type="http://schemas.openxmlformats.org/officeDocument/2006/relationships/hyperlink" Target="http://dx.doi.org/10.1109/TVCG.2015.2468031" TargetMode="External"/><Relationship Id="rId2712" Type="http://schemas.openxmlformats.org/officeDocument/2006/relationships/hyperlink" Target="http://dx.doi.org/10.1109/TVCG.2015.2468078" TargetMode="External"/><Relationship Id="rId2713" Type="http://schemas.openxmlformats.org/officeDocument/2006/relationships/hyperlink" Target="http://dx.doi.org/10.1109/TVCG.2015.2468091" TargetMode="External"/><Relationship Id="rId2714" Type="http://schemas.openxmlformats.org/officeDocument/2006/relationships/hyperlink" Target="http://dx.doi.org/10.1109/TVCG.2015.2468093" TargetMode="External"/><Relationship Id="rId2715" Type="http://schemas.openxmlformats.org/officeDocument/2006/relationships/hyperlink" Target="http://dx.doi.org/10.1109/TVCG.2015.2468111" TargetMode="External"/><Relationship Id="rId2716" Type="http://schemas.openxmlformats.org/officeDocument/2006/relationships/hyperlink" Target="http://dx.doi.org/10.1109/TVCG.2015.2468151" TargetMode="External"/><Relationship Id="rId2717" Type="http://schemas.openxmlformats.org/officeDocument/2006/relationships/hyperlink" Target="http://dx.doi.org/10.1109/TVCG.2015.2468291" TargetMode="External"/><Relationship Id="rId2718" Type="http://schemas.openxmlformats.org/officeDocument/2006/relationships/hyperlink" Target="http://dx.doi.org/10.1109/TVCG.2015.2468292" TargetMode="External"/><Relationship Id="rId2719" Type="http://schemas.openxmlformats.org/officeDocument/2006/relationships/hyperlink" Target="http://dx.doi.org/10.1109/TVCG.2015.2469125" TargetMode="External"/><Relationship Id="rId1455" Type="http://schemas.openxmlformats.org/officeDocument/2006/relationships/hyperlink" Target="http://dx.doi.org/10.1109/TVCG.2006.143" TargetMode="External"/><Relationship Id="rId2786" Type="http://schemas.openxmlformats.org/officeDocument/2006/relationships/hyperlink" Target="http://dx.doi.org/10.1109/TVCG.2016.2598588" TargetMode="External"/><Relationship Id="rId1456" Type="http://schemas.openxmlformats.org/officeDocument/2006/relationships/hyperlink" Target="http://dx.doi.org/10.1109/TVCG.2006.144" TargetMode="External"/><Relationship Id="rId2787" Type="http://schemas.openxmlformats.org/officeDocument/2006/relationships/hyperlink" Target="http://dx.doi.org/10.1109/TVCG.2016.2598589" TargetMode="External"/><Relationship Id="rId1457" Type="http://schemas.openxmlformats.org/officeDocument/2006/relationships/hyperlink" Target="http://dx.doi.org/10.1109/TVCG.2006.145" TargetMode="External"/><Relationship Id="rId2788" Type="http://schemas.openxmlformats.org/officeDocument/2006/relationships/hyperlink" Target="http://dx.doi.org/10.1109/TVCG.2016.2598590" TargetMode="External"/><Relationship Id="rId1458" Type="http://schemas.openxmlformats.org/officeDocument/2006/relationships/hyperlink" Target="http://dx.doi.org/10.1109/TVCG.2006.146" TargetMode="External"/><Relationship Id="rId2789" Type="http://schemas.openxmlformats.org/officeDocument/2006/relationships/hyperlink" Target="http://dx.doi.org/10.1109/TVCG.2016.2598591" TargetMode="External"/><Relationship Id="rId1459" Type="http://schemas.openxmlformats.org/officeDocument/2006/relationships/hyperlink" Target="http://dx.doi.org/10.1109/TVCG.2006.147" TargetMode="External"/><Relationship Id="rId629" Type="http://schemas.openxmlformats.org/officeDocument/2006/relationships/hyperlink" Target="http://dx.doi.org/10.1109/VISUAL.1998.745353" TargetMode="External"/><Relationship Id="rId624" Type="http://schemas.openxmlformats.org/officeDocument/2006/relationships/hyperlink" Target="http://dx.doi.org/10.1109/VISUAL.1998.745348" TargetMode="External"/><Relationship Id="rId623" Type="http://schemas.openxmlformats.org/officeDocument/2006/relationships/hyperlink" Target="http://dx.doi.org/10.1109/VISUAL.1998.745347" TargetMode="External"/><Relationship Id="rId622" Type="http://schemas.openxmlformats.org/officeDocument/2006/relationships/hyperlink" Target="http://dx.doi.org/10.1109/VISUAL.1998.745346" TargetMode="External"/><Relationship Id="rId621" Type="http://schemas.openxmlformats.org/officeDocument/2006/relationships/hyperlink" Target="http://dx.doi.org/10.1109/VISUAL.1998.745345" TargetMode="External"/><Relationship Id="rId628" Type="http://schemas.openxmlformats.org/officeDocument/2006/relationships/hyperlink" Target="http://dx.doi.org/10.1109/VISUAL.1998.745352" TargetMode="External"/><Relationship Id="rId627" Type="http://schemas.openxmlformats.org/officeDocument/2006/relationships/hyperlink" Target="http://dx.doi.org/10.1109/VISUAL.1998.745351" TargetMode="External"/><Relationship Id="rId626" Type="http://schemas.openxmlformats.org/officeDocument/2006/relationships/hyperlink" Target="http://dx.doi.org/10.1109/VISUAL.1998.745350" TargetMode="External"/><Relationship Id="rId625" Type="http://schemas.openxmlformats.org/officeDocument/2006/relationships/hyperlink" Target="http://dx.doi.org/10.1109/VISUAL.1998.745349" TargetMode="External"/><Relationship Id="rId2780" Type="http://schemas.openxmlformats.org/officeDocument/2006/relationships/hyperlink" Target="http://dx.doi.org/10.1109/TVCG.2016.2598543" TargetMode="External"/><Relationship Id="rId1450" Type="http://schemas.openxmlformats.org/officeDocument/2006/relationships/hyperlink" Target="http://dx.doi.org/10.1109/TVCG.2006.138" TargetMode="External"/><Relationship Id="rId2781" Type="http://schemas.openxmlformats.org/officeDocument/2006/relationships/hyperlink" Target="http://dx.doi.org/10.1109/TVCG.2016.2598544" TargetMode="External"/><Relationship Id="rId620" Type="http://schemas.openxmlformats.org/officeDocument/2006/relationships/hyperlink" Target="http://dx.doi.org/10.1109/VISUAL.1998.745344" TargetMode="External"/><Relationship Id="rId1451" Type="http://schemas.openxmlformats.org/officeDocument/2006/relationships/hyperlink" Target="http://dx.doi.org/10.1109/TVCG.2006.139" TargetMode="External"/><Relationship Id="rId2782" Type="http://schemas.openxmlformats.org/officeDocument/2006/relationships/hyperlink" Target="http://dx.doi.org/10.1109/TVCG.2016.2598545" TargetMode="External"/><Relationship Id="rId1452" Type="http://schemas.openxmlformats.org/officeDocument/2006/relationships/hyperlink" Target="http://dx.doi.org/10.1109/TVCG.2006.140" TargetMode="External"/><Relationship Id="rId2783" Type="http://schemas.openxmlformats.org/officeDocument/2006/relationships/hyperlink" Target="http://dx.doi.org/10.1109/TVCG.2016.2598585" TargetMode="External"/><Relationship Id="rId1453" Type="http://schemas.openxmlformats.org/officeDocument/2006/relationships/hyperlink" Target="http://dx.doi.org/10.1109/TVCG.2006.141" TargetMode="External"/><Relationship Id="rId2784" Type="http://schemas.openxmlformats.org/officeDocument/2006/relationships/hyperlink" Target="http://dx.doi.org/10.1109/TVCG.2016.2598586" TargetMode="External"/><Relationship Id="rId1454" Type="http://schemas.openxmlformats.org/officeDocument/2006/relationships/hyperlink" Target="http://dx.doi.org/10.1109/TVCG.2006.142" TargetMode="External"/><Relationship Id="rId2785" Type="http://schemas.openxmlformats.org/officeDocument/2006/relationships/hyperlink" Target="http://dx.doi.org/10.1109/TVCG.2016.2598587" TargetMode="External"/><Relationship Id="rId1444" Type="http://schemas.openxmlformats.org/officeDocument/2006/relationships/hyperlink" Target="http://dx.doi.org/10.1109/TVCG.2006.128" TargetMode="External"/><Relationship Id="rId2775" Type="http://schemas.openxmlformats.org/officeDocument/2006/relationships/hyperlink" Target="http://dx.doi.org/10.1109/TVCG.2016.2598497" TargetMode="External"/><Relationship Id="rId1445" Type="http://schemas.openxmlformats.org/officeDocument/2006/relationships/hyperlink" Target="http://dx.doi.org/10.1109/TVCG.2006.133" TargetMode="External"/><Relationship Id="rId2776" Type="http://schemas.openxmlformats.org/officeDocument/2006/relationships/hyperlink" Target="http://dx.doi.org/10.1109/TVCG.2016.2598498" TargetMode="External"/><Relationship Id="rId1446" Type="http://schemas.openxmlformats.org/officeDocument/2006/relationships/hyperlink" Target="http://dx.doi.org/10.1109/TVCG.2006.134" TargetMode="External"/><Relationship Id="rId2777" Type="http://schemas.openxmlformats.org/officeDocument/2006/relationships/hyperlink" Target="http://dx.doi.org/10.1109/TVCG.2016.2598518" TargetMode="External"/><Relationship Id="rId1447" Type="http://schemas.openxmlformats.org/officeDocument/2006/relationships/hyperlink" Target="http://dx.doi.org/10.1109/TVCG.2006.135" TargetMode="External"/><Relationship Id="rId2778" Type="http://schemas.openxmlformats.org/officeDocument/2006/relationships/hyperlink" Target="http://dx.doi.org/10.1109/TVCG.2016.2598541" TargetMode="External"/><Relationship Id="rId1448" Type="http://schemas.openxmlformats.org/officeDocument/2006/relationships/hyperlink" Target="http://dx.doi.org/10.1109/TVCG.2006.136" TargetMode="External"/><Relationship Id="rId2779" Type="http://schemas.openxmlformats.org/officeDocument/2006/relationships/hyperlink" Target="http://dx.doi.org/10.1109/TVCG.2016.2598542" TargetMode="External"/><Relationship Id="rId1449" Type="http://schemas.openxmlformats.org/officeDocument/2006/relationships/hyperlink" Target="http://dx.doi.org/10.1109/TVCG.2006.137" TargetMode="External"/><Relationship Id="rId619" Type="http://schemas.openxmlformats.org/officeDocument/2006/relationships/hyperlink" Target="http://dx.doi.org/10.1109/VISUAL.1998.745343" TargetMode="External"/><Relationship Id="rId618" Type="http://schemas.openxmlformats.org/officeDocument/2006/relationships/hyperlink" Target="http://dx.doi.org/10.1109/VISUAL.1998.745342" TargetMode="External"/><Relationship Id="rId613" Type="http://schemas.openxmlformats.org/officeDocument/2006/relationships/hyperlink" Target="http://dx.doi.org/10.1109/VISUAL.1998.745337" TargetMode="External"/><Relationship Id="rId612" Type="http://schemas.openxmlformats.org/officeDocument/2006/relationships/hyperlink" Target="http://dx.doi.org/10.1109/VISUAL.1998.745336" TargetMode="External"/><Relationship Id="rId611" Type="http://schemas.openxmlformats.org/officeDocument/2006/relationships/hyperlink" Target="http://dx.doi.org/10.1109/VISUAL.1998.745335" TargetMode="External"/><Relationship Id="rId610" Type="http://schemas.openxmlformats.org/officeDocument/2006/relationships/hyperlink" Target="http://dx.doi.org/10.1109/VISUAL.1998.745334" TargetMode="External"/><Relationship Id="rId617" Type="http://schemas.openxmlformats.org/officeDocument/2006/relationships/hyperlink" Target="http://dx.doi.org/10.1109/VISUAL.1998.745341" TargetMode="External"/><Relationship Id="rId616" Type="http://schemas.openxmlformats.org/officeDocument/2006/relationships/hyperlink" Target="http://dx.doi.org/10.1109/VISUAL.1998.745340" TargetMode="External"/><Relationship Id="rId615" Type="http://schemas.openxmlformats.org/officeDocument/2006/relationships/hyperlink" Target="http://dx.doi.org/10.1109/VISUAL.1998.745339" TargetMode="External"/><Relationship Id="rId614" Type="http://schemas.openxmlformats.org/officeDocument/2006/relationships/hyperlink" Target="http://dx.doi.org/10.1109/VISUAL.1998.745338" TargetMode="External"/><Relationship Id="rId2770" Type="http://schemas.openxmlformats.org/officeDocument/2006/relationships/hyperlink" Target="http://dx.doi.org/10.1109/TVCG.2016.2598471" TargetMode="External"/><Relationship Id="rId1440" Type="http://schemas.openxmlformats.org/officeDocument/2006/relationships/hyperlink" Target="http://dx.doi.org/10.1109/TVCG.2006.124" TargetMode="External"/><Relationship Id="rId2771" Type="http://schemas.openxmlformats.org/officeDocument/2006/relationships/hyperlink" Target="http://dx.doi.org/10.1109/TVCG.2016.2598472" TargetMode="External"/><Relationship Id="rId1441" Type="http://schemas.openxmlformats.org/officeDocument/2006/relationships/hyperlink" Target="http://dx.doi.org/10.1109/TVCG.2006.125" TargetMode="External"/><Relationship Id="rId2772" Type="http://schemas.openxmlformats.org/officeDocument/2006/relationships/hyperlink" Target="http://dx.doi.org/10.1109/TVCG.2016.2598479" TargetMode="External"/><Relationship Id="rId1442" Type="http://schemas.openxmlformats.org/officeDocument/2006/relationships/hyperlink" Target="http://dx.doi.org/10.1109/TVCG.2006.126" TargetMode="External"/><Relationship Id="rId2773" Type="http://schemas.openxmlformats.org/officeDocument/2006/relationships/hyperlink" Target="http://dx.doi.org/10.1109/TVCG.2016.2598495" TargetMode="External"/><Relationship Id="rId1443" Type="http://schemas.openxmlformats.org/officeDocument/2006/relationships/hyperlink" Target="http://dx.doi.org/10.1109/TVCG.2006.127" TargetMode="External"/><Relationship Id="rId2774" Type="http://schemas.openxmlformats.org/officeDocument/2006/relationships/hyperlink" Target="http://dx.doi.org/10.1109/TVCG.2016.2598496" TargetMode="External"/><Relationship Id="rId1477" Type="http://schemas.openxmlformats.org/officeDocument/2006/relationships/hyperlink" Target="http://dx.doi.org/10.1109/TVCG.2006.165" TargetMode="External"/><Relationship Id="rId1478" Type="http://schemas.openxmlformats.org/officeDocument/2006/relationships/hyperlink" Target="http://dx.doi.org/10.1109/TVCG.2006.166" TargetMode="External"/><Relationship Id="rId1479" Type="http://schemas.openxmlformats.org/officeDocument/2006/relationships/hyperlink" Target="http://dx.doi.org/10.1109/TVCG.2006.167" TargetMode="External"/><Relationship Id="rId646" Type="http://schemas.openxmlformats.org/officeDocument/2006/relationships/hyperlink" Target="http://dx.doi.org/10.1109/INFVIS.1999.801864" TargetMode="External"/><Relationship Id="rId645" Type="http://schemas.openxmlformats.org/officeDocument/2006/relationships/hyperlink" Target="http://dx.doi.org/10.1109/INFVIS.1999.801863" TargetMode="External"/><Relationship Id="rId644" Type="http://schemas.openxmlformats.org/officeDocument/2006/relationships/hyperlink" Target="http://dx.doi.org/10.1109/INFVIS.1999.801862" TargetMode="External"/><Relationship Id="rId643" Type="http://schemas.openxmlformats.org/officeDocument/2006/relationships/hyperlink" Target="http://dx.doi.org/10.1109/INFVIS.1999.801861" TargetMode="External"/><Relationship Id="rId649" Type="http://schemas.openxmlformats.org/officeDocument/2006/relationships/hyperlink" Target="http://dx.doi.org/10.1109/INFVIS.1999.801867" TargetMode="External"/><Relationship Id="rId648" Type="http://schemas.openxmlformats.org/officeDocument/2006/relationships/hyperlink" Target="http://dx.doi.org/10.1109/INFVIS.1999.801866" TargetMode="External"/><Relationship Id="rId647" Type="http://schemas.openxmlformats.org/officeDocument/2006/relationships/hyperlink" Target="http://dx.doi.org/10.1109/INFVIS.1999.801865" TargetMode="External"/><Relationship Id="rId1470" Type="http://schemas.openxmlformats.org/officeDocument/2006/relationships/hyperlink" Target="http://dx.doi.org/10.1109/TVCG.2006.158" TargetMode="External"/><Relationship Id="rId1471" Type="http://schemas.openxmlformats.org/officeDocument/2006/relationships/hyperlink" Target="http://dx.doi.org/10.1109/TVCG.2006.159" TargetMode="External"/><Relationship Id="rId1472" Type="http://schemas.openxmlformats.org/officeDocument/2006/relationships/hyperlink" Target="http://dx.doi.org/10.1109/TVCG.2006.160" TargetMode="External"/><Relationship Id="rId642" Type="http://schemas.openxmlformats.org/officeDocument/2006/relationships/hyperlink" Target="http://dx.doi.org/10.1109/INFVIS.1999.801860" TargetMode="External"/><Relationship Id="rId1473" Type="http://schemas.openxmlformats.org/officeDocument/2006/relationships/hyperlink" Target="http://dx.doi.org/10.1109/TVCG.2006.161" TargetMode="External"/><Relationship Id="rId641" Type="http://schemas.openxmlformats.org/officeDocument/2006/relationships/hyperlink" Target="http://dx.doi.org/10.1109/INFVIS.1999.801859" TargetMode="External"/><Relationship Id="rId1474" Type="http://schemas.openxmlformats.org/officeDocument/2006/relationships/hyperlink" Target="http://dx.doi.org/10.1109/TVCG.2006.162" TargetMode="External"/><Relationship Id="rId640" Type="http://schemas.openxmlformats.org/officeDocument/2006/relationships/hyperlink" Target="http://dx.doi.org/10.1109/INFVIS.1999.801858" TargetMode="External"/><Relationship Id="rId1475" Type="http://schemas.openxmlformats.org/officeDocument/2006/relationships/hyperlink" Target="http://dx.doi.org/10.1109/TVCG.2006.163" TargetMode="External"/><Relationship Id="rId1476" Type="http://schemas.openxmlformats.org/officeDocument/2006/relationships/hyperlink" Target="http://dx.doi.org/10.1109/TVCG.2006.164" TargetMode="External"/><Relationship Id="rId1466" Type="http://schemas.openxmlformats.org/officeDocument/2006/relationships/hyperlink" Target="http://dx.doi.org/10.1109/TVCG.2006.154" TargetMode="External"/><Relationship Id="rId2797" Type="http://schemas.openxmlformats.org/officeDocument/2006/relationships/hyperlink" Target="http://dx.doi.org/10.1109/TVCG.2016.2598618" TargetMode="External"/><Relationship Id="rId1467" Type="http://schemas.openxmlformats.org/officeDocument/2006/relationships/hyperlink" Target="http://dx.doi.org/10.1109/TVCG.2006.155" TargetMode="External"/><Relationship Id="rId2798" Type="http://schemas.openxmlformats.org/officeDocument/2006/relationships/hyperlink" Target="http://dx.doi.org/10.1109/TVCG.2016.2598619" TargetMode="External"/><Relationship Id="rId1468" Type="http://schemas.openxmlformats.org/officeDocument/2006/relationships/hyperlink" Target="http://dx.doi.org/10.1109/TVCG.2006.156" TargetMode="External"/><Relationship Id="rId2799" Type="http://schemas.openxmlformats.org/officeDocument/2006/relationships/hyperlink" Target="http://dx.doi.org/10.1109/TVCG.2016.2598620" TargetMode="External"/><Relationship Id="rId1469" Type="http://schemas.openxmlformats.org/officeDocument/2006/relationships/hyperlink" Target="http://dx.doi.org/10.1109/TVCG.2006.157" TargetMode="External"/><Relationship Id="rId635" Type="http://schemas.openxmlformats.org/officeDocument/2006/relationships/hyperlink" Target="http://dx.doi.org/10.1109/INFVIS.1999.801853" TargetMode="External"/><Relationship Id="rId634" Type="http://schemas.openxmlformats.org/officeDocument/2006/relationships/hyperlink" Target="http://dx.doi.org/10.1109/INFVIS.1999.801852" TargetMode="External"/><Relationship Id="rId633" Type="http://schemas.openxmlformats.org/officeDocument/2006/relationships/hyperlink" Target="http://dx.doi.org/10.1109/INFVIS.1999.801851" TargetMode="External"/><Relationship Id="rId632" Type="http://schemas.openxmlformats.org/officeDocument/2006/relationships/hyperlink" Target="http://dx.doi.org/10.1109/VISUAL.1998.745713" TargetMode="External"/><Relationship Id="rId639" Type="http://schemas.openxmlformats.org/officeDocument/2006/relationships/hyperlink" Target="http://dx.doi.org/10.1109/INFVIS.1999.801857" TargetMode="External"/><Relationship Id="rId638" Type="http://schemas.openxmlformats.org/officeDocument/2006/relationships/hyperlink" Target="http://dx.doi.org/10.1109/INFVIS.1999.801856" TargetMode="External"/><Relationship Id="rId637" Type="http://schemas.openxmlformats.org/officeDocument/2006/relationships/hyperlink" Target="http://dx.doi.org/10.1109/INFVIS.1999.801855" TargetMode="External"/><Relationship Id="rId636" Type="http://schemas.openxmlformats.org/officeDocument/2006/relationships/hyperlink" Target="http://dx.doi.org/10.1109/INFVIS.1999.801854" TargetMode="External"/><Relationship Id="rId2790" Type="http://schemas.openxmlformats.org/officeDocument/2006/relationships/hyperlink" Target="http://dx.doi.org/10.1109/TVCG.2016.2598592" TargetMode="External"/><Relationship Id="rId1460" Type="http://schemas.openxmlformats.org/officeDocument/2006/relationships/hyperlink" Target="http://dx.doi.org/10.1109/TVCG.2006.148" TargetMode="External"/><Relationship Id="rId2791" Type="http://schemas.openxmlformats.org/officeDocument/2006/relationships/hyperlink" Target="http://dx.doi.org/10.1109/TVCG.2016.2598594" TargetMode="External"/><Relationship Id="rId1461" Type="http://schemas.openxmlformats.org/officeDocument/2006/relationships/hyperlink" Target="http://dx.doi.org/10.1109/TVCG.2006.149" TargetMode="External"/><Relationship Id="rId2792" Type="http://schemas.openxmlformats.org/officeDocument/2006/relationships/hyperlink" Target="http://dx.doi.org/10.1109/TVCG.2016.2598602" TargetMode="External"/><Relationship Id="rId631" Type="http://schemas.openxmlformats.org/officeDocument/2006/relationships/hyperlink" Target="http://dx.doi.org/10.1109/VISUAL.1998.745355" TargetMode="External"/><Relationship Id="rId1462" Type="http://schemas.openxmlformats.org/officeDocument/2006/relationships/hyperlink" Target="http://dx.doi.org/10.1109/TVCG.2006.150" TargetMode="External"/><Relationship Id="rId2793" Type="http://schemas.openxmlformats.org/officeDocument/2006/relationships/hyperlink" Target="http://dx.doi.org/10.1109/TVCG.2016.2598603" TargetMode="External"/><Relationship Id="rId630" Type="http://schemas.openxmlformats.org/officeDocument/2006/relationships/hyperlink" Target="http://dx.doi.org/10.1109/VISUAL.1998.745354" TargetMode="External"/><Relationship Id="rId1463" Type="http://schemas.openxmlformats.org/officeDocument/2006/relationships/hyperlink" Target="http://dx.doi.org/10.1109/TVCG.2006.151" TargetMode="External"/><Relationship Id="rId2794" Type="http://schemas.openxmlformats.org/officeDocument/2006/relationships/hyperlink" Target="http://dx.doi.org/10.1109/TVCG.2016.2598604" TargetMode="External"/><Relationship Id="rId1464" Type="http://schemas.openxmlformats.org/officeDocument/2006/relationships/hyperlink" Target="http://dx.doi.org/10.1109/TVCG.2006.152" TargetMode="External"/><Relationship Id="rId2795" Type="http://schemas.openxmlformats.org/officeDocument/2006/relationships/hyperlink" Target="http://dx.doi.org/10.1109/TVCG.2016.2598608" TargetMode="External"/><Relationship Id="rId1465" Type="http://schemas.openxmlformats.org/officeDocument/2006/relationships/hyperlink" Target="http://dx.doi.org/10.1109/TVCG.2006.153" TargetMode="External"/><Relationship Id="rId2796" Type="http://schemas.openxmlformats.org/officeDocument/2006/relationships/hyperlink" Target="http://dx.doi.org/10.1109/TVCG.2016.2598609" TargetMode="External"/><Relationship Id="rId1411" Type="http://schemas.openxmlformats.org/officeDocument/2006/relationships/hyperlink" Target="http://dx.doi.org/10.1109/VISUAL.2005.1532845" TargetMode="External"/><Relationship Id="rId2742" Type="http://schemas.openxmlformats.org/officeDocument/2006/relationships/hyperlink" Target="http://dx.doi.org/10.1109/VAST.2015.7347679" TargetMode="External"/><Relationship Id="rId1412" Type="http://schemas.openxmlformats.org/officeDocument/2006/relationships/hyperlink" Target="http://dx.doi.org/10.1109/VISUAL.2005.1532846" TargetMode="External"/><Relationship Id="rId2743" Type="http://schemas.openxmlformats.org/officeDocument/2006/relationships/hyperlink" Target="http://dx.doi.org/10.1109/VAST.2015.7347680" TargetMode="External"/><Relationship Id="rId1413" Type="http://schemas.openxmlformats.org/officeDocument/2006/relationships/hyperlink" Target="http://dx.doi.org/10.1109/VISUAL.2005.1532847" TargetMode="External"/><Relationship Id="rId2744" Type="http://schemas.openxmlformats.org/officeDocument/2006/relationships/hyperlink" Target="http://dx.doi.org/10.1109/VAST.2015.7347681" TargetMode="External"/><Relationship Id="rId1414" Type="http://schemas.openxmlformats.org/officeDocument/2006/relationships/hyperlink" Target="http://dx.doi.org/10.1109/VISUAL.2005.1532848" TargetMode="External"/><Relationship Id="rId2745" Type="http://schemas.openxmlformats.org/officeDocument/2006/relationships/hyperlink" Target="http://dx.doi.org/10.1109/VAST.2015.7347682" TargetMode="External"/><Relationship Id="rId1415" Type="http://schemas.openxmlformats.org/officeDocument/2006/relationships/hyperlink" Target="http://dx.doi.org/10.1109/VISUAL.2005.1532849" TargetMode="External"/><Relationship Id="rId2746" Type="http://schemas.openxmlformats.org/officeDocument/2006/relationships/hyperlink" Target="http://dx.doi.org/10.1109/VAST.2015.7347683" TargetMode="External"/><Relationship Id="rId1416" Type="http://schemas.openxmlformats.org/officeDocument/2006/relationships/hyperlink" Target="http://dx.doi.org/10.1109/VISUAL.2005.1532850" TargetMode="External"/><Relationship Id="rId2747" Type="http://schemas.openxmlformats.org/officeDocument/2006/relationships/hyperlink" Target="http://dx.doi.org/10.1109/VAST.2015.7347684" TargetMode="External"/><Relationship Id="rId1417" Type="http://schemas.openxmlformats.org/officeDocument/2006/relationships/hyperlink" Target="http://dx.doi.org/10.1109/VISUAL.2005.1532851" TargetMode="External"/><Relationship Id="rId2748" Type="http://schemas.openxmlformats.org/officeDocument/2006/relationships/hyperlink" Target="http://dx.doi.org/10.1109/VAST.2015.7347685" TargetMode="External"/><Relationship Id="rId1418" Type="http://schemas.openxmlformats.org/officeDocument/2006/relationships/hyperlink" Target="http://dx.doi.org/10.1109/VISUAL.2005.1532852" TargetMode="External"/><Relationship Id="rId2749" Type="http://schemas.openxmlformats.org/officeDocument/2006/relationships/hyperlink" Target="http://dx.doi.org/10.1109/VAST.2015.7347686" TargetMode="External"/><Relationship Id="rId1419" Type="http://schemas.openxmlformats.org/officeDocument/2006/relationships/hyperlink" Target="http://dx.doi.org/10.1109/VISUAL.2005.1532853" TargetMode="External"/><Relationship Id="rId2740" Type="http://schemas.openxmlformats.org/officeDocument/2006/relationships/hyperlink" Target="http://dx.doi.org/10.1109/VAST.2015.7347677" TargetMode="External"/><Relationship Id="rId1410" Type="http://schemas.openxmlformats.org/officeDocument/2006/relationships/hyperlink" Target="http://dx.doi.org/10.1109/VISUAL.2005.1532844" TargetMode="External"/><Relationship Id="rId2741" Type="http://schemas.openxmlformats.org/officeDocument/2006/relationships/hyperlink" Target="http://dx.doi.org/10.1109/VAST.2015.7347678" TargetMode="External"/><Relationship Id="rId1400" Type="http://schemas.openxmlformats.org/officeDocument/2006/relationships/hyperlink" Target="http://dx.doi.org/10.1109/VISUAL.2005.1532834" TargetMode="External"/><Relationship Id="rId2731" Type="http://schemas.openxmlformats.org/officeDocument/2006/relationships/hyperlink" Target="http://dx.doi.org/10.1109/VAST.2015.7347635" TargetMode="External"/><Relationship Id="rId1401" Type="http://schemas.openxmlformats.org/officeDocument/2006/relationships/hyperlink" Target="http://dx.doi.org/10.1109/VISUAL.2005.1532835" TargetMode="External"/><Relationship Id="rId2732" Type="http://schemas.openxmlformats.org/officeDocument/2006/relationships/hyperlink" Target="http://dx.doi.org/10.1109/VAST.2015.7347636" TargetMode="External"/><Relationship Id="rId1402" Type="http://schemas.openxmlformats.org/officeDocument/2006/relationships/hyperlink" Target="http://dx.doi.org/10.1109/VISUAL.2005.1532836" TargetMode="External"/><Relationship Id="rId2733" Type="http://schemas.openxmlformats.org/officeDocument/2006/relationships/hyperlink" Target="http://dx.doi.org/10.1109/VAST.2015.7347637" TargetMode="External"/><Relationship Id="rId1403" Type="http://schemas.openxmlformats.org/officeDocument/2006/relationships/hyperlink" Target="http://dx.doi.org/10.1109/VISUAL.2005.1532837" TargetMode="External"/><Relationship Id="rId2734" Type="http://schemas.openxmlformats.org/officeDocument/2006/relationships/hyperlink" Target="http://dx.doi.org/10.1109/VAST.2015.7347671" TargetMode="External"/><Relationship Id="rId1404" Type="http://schemas.openxmlformats.org/officeDocument/2006/relationships/hyperlink" Target="http://dx.doi.org/10.1109/VISUAL.2005.1532838" TargetMode="External"/><Relationship Id="rId2735" Type="http://schemas.openxmlformats.org/officeDocument/2006/relationships/hyperlink" Target="http://dx.doi.org/10.1109/VAST.2015.7347672" TargetMode="External"/><Relationship Id="rId1405" Type="http://schemas.openxmlformats.org/officeDocument/2006/relationships/hyperlink" Target="http://dx.doi.org/10.1109/VISUAL.2005.1532839" TargetMode="External"/><Relationship Id="rId2736" Type="http://schemas.openxmlformats.org/officeDocument/2006/relationships/hyperlink" Target="http://dx.doi.org/10.1109/VAST.2015.7347673" TargetMode="External"/><Relationship Id="rId1406" Type="http://schemas.openxmlformats.org/officeDocument/2006/relationships/hyperlink" Target="http://dx.doi.org/10.1109/VISUAL.2005.1532840" TargetMode="External"/><Relationship Id="rId2737" Type="http://schemas.openxmlformats.org/officeDocument/2006/relationships/hyperlink" Target="http://dx.doi.org/10.1109/VAST.2015.7347674" TargetMode="External"/><Relationship Id="rId1407" Type="http://schemas.openxmlformats.org/officeDocument/2006/relationships/hyperlink" Target="http://dx.doi.org/10.1109/VISUAL.2005.1532841" TargetMode="External"/><Relationship Id="rId2738" Type="http://schemas.openxmlformats.org/officeDocument/2006/relationships/hyperlink" Target="http://dx.doi.org/10.1109/VAST.2015.7347675" TargetMode="External"/><Relationship Id="rId1408" Type="http://schemas.openxmlformats.org/officeDocument/2006/relationships/hyperlink" Target="http://dx.doi.org/10.1109/VISUAL.2005.1532842" TargetMode="External"/><Relationship Id="rId2739" Type="http://schemas.openxmlformats.org/officeDocument/2006/relationships/hyperlink" Target="http://dx.doi.org/10.1109/VAST.2015.7347676" TargetMode="External"/><Relationship Id="rId1409" Type="http://schemas.openxmlformats.org/officeDocument/2006/relationships/hyperlink" Target="http://dx.doi.org/10.1109/VISUAL.2005.1532843" TargetMode="External"/><Relationship Id="rId2730" Type="http://schemas.openxmlformats.org/officeDocument/2006/relationships/hyperlink" Target="http://dx.doi.org/10.1109/VAST.2015.7347634" TargetMode="External"/><Relationship Id="rId1433" Type="http://schemas.openxmlformats.org/officeDocument/2006/relationships/hyperlink" Target="http://dx.doi.org/10.1109/TVCG.2006.117" TargetMode="External"/><Relationship Id="rId2764" Type="http://schemas.openxmlformats.org/officeDocument/2006/relationships/hyperlink" Target="http://dx.doi.org/10.1109/TVCG.2016.2598465" TargetMode="External"/><Relationship Id="rId1434" Type="http://schemas.openxmlformats.org/officeDocument/2006/relationships/hyperlink" Target="http://dx.doi.org/10.1109/TVCG.2006.118" TargetMode="External"/><Relationship Id="rId2765" Type="http://schemas.openxmlformats.org/officeDocument/2006/relationships/hyperlink" Target="http://dx.doi.org/10.1109/TVCG.2016.2598466" TargetMode="External"/><Relationship Id="rId1435" Type="http://schemas.openxmlformats.org/officeDocument/2006/relationships/hyperlink" Target="http://dx.doi.org/10.1109/TVCG.2006.119" TargetMode="External"/><Relationship Id="rId2766" Type="http://schemas.openxmlformats.org/officeDocument/2006/relationships/hyperlink" Target="http://dx.doi.org/10.1109/TVCG.2016.2598467" TargetMode="External"/><Relationship Id="rId1436" Type="http://schemas.openxmlformats.org/officeDocument/2006/relationships/hyperlink" Target="http://dx.doi.org/10.1109/TVCG.2006.120" TargetMode="External"/><Relationship Id="rId2767" Type="http://schemas.openxmlformats.org/officeDocument/2006/relationships/hyperlink" Target="http://dx.doi.org/10.1109/TVCG.2016.2598468" TargetMode="External"/><Relationship Id="rId1437" Type="http://schemas.openxmlformats.org/officeDocument/2006/relationships/hyperlink" Target="http://dx.doi.org/10.1109/TVCG.2006.121" TargetMode="External"/><Relationship Id="rId2768" Type="http://schemas.openxmlformats.org/officeDocument/2006/relationships/hyperlink" Target="http://dx.doi.org/10.1109/TVCG.2016.2598469" TargetMode="External"/><Relationship Id="rId1438" Type="http://schemas.openxmlformats.org/officeDocument/2006/relationships/hyperlink" Target="http://dx.doi.org/10.1109/TVCG.2006.122" TargetMode="External"/><Relationship Id="rId2769" Type="http://schemas.openxmlformats.org/officeDocument/2006/relationships/hyperlink" Target="http://dx.doi.org/10.1109/TVCG.2016.2598470" TargetMode="External"/><Relationship Id="rId1439" Type="http://schemas.openxmlformats.org/officeDocument/2006/relationships/hyperlink" Target="http://dx.doi.org/10.1109/TVCG.2006.123" TargetMode="External"/><Relationship Id="rId609" Type="http://schemas.openxmlformats.org/officeDocument/2006/relationships/hyperlink" Target="http://dx.doi.org/10.1109/VISUAL.1998.745333" TargetMode="External"/><Relationship Id="rId608" Type="http://schemas.openxmlformats.org/officeDocument/2006/relationships/hyperlink" Target="http://dx.doi.org/10.1109/VISUAL.1998.745332" TargetMode="External"/><Relationship Id="rId607" Type="http://schemas.openxmlformats.org/officeDocument/2006/relationships/hyperlink" Target="http://dx.doi.org/10.1109/VISUAL.1998.745331" TargetMode="External"/><Relationship Id="rId602" Type="http://schemas.openxmlformats.org/officeDocument/2006/relationships/hyperlink" Target="http://dx.doi.org/10.1109/VISUAL.1998.745326" TargetMode="External"/><Relationship Id="rId601" Type="http://schemas.openxmlformats.org/officeDocument/2006/relationships/hyperlink" Target="http://dx.doi.org/10.1109/VISUAL.1998.745325" TargetMode="External"/><Relationship Id="rId600" Type="http://schemas.openxmlformats.org/officeDocument/2006/relationships/hyperlink" Target="http://dx.doi.org/10.1109/VISUAL.1998.745324" TargetMode="External"/><Relationship Id="rId606" Type="http://schemas.openxmlformats.org/officeDocument/2006/relationships/hyperlink" Target="http://dx.doi.org/10.1109/VISUAL.1998.745330" TargetMode="External"/><Relationship Id="rId605" Type="http://schemas.openxmlformats.org/officeDocument/2006/relationships/hyperlink" Target="http://dx.doi.org/10.1109/VISUAL.1998.745329" TargetMode="External"/><Relationship Id="rId604" Type="http://schemas.openxmlformats.org/officeDocument/2006/relationships/hyperlink" Target="http://dx.doi.org/10.1109/VISUAL.1998.745328" TargetMode="External"/><Relationship Id="rId603" Type="http://schemas.openxmlformats.org/officeDocument/2006/relationships/hyperlink" Target="http://dx.doi.org/10.1109/VISUAL.1998.745327" TargetMode="External"/><Relationship Id="rId2760" Type="http://schemas.openxmlformats.org/officeDocument/2006/relationships/hyperlink" Target="http://dx.doi.org/10.1109/TVCG.2016.2598447" TargetMode="External"/><Relationship Id="rId1430" Type="http://schemas.openxmlformats.org/officeDocument/2006/relationships/hyperlink" Target="http://dx.doi.org/10.1109/TVCG.2006.114" TargetMode="External"/><Relationship Id="rId2761" Type="http://schemas.openxmlformats.org/officeDocument/2006/relationships/hyperlink" Target="http://dx.doi.org/10.1109/TVCG.2016.2598448" TargetMode="External"/><Relationship Id="rId1431" Type="http://schemas.openxmlformats.org/officeDocument/2006/relationships/hyperlink" Target="http://dx.doi.org/10.1109/TVCG.2006.115" TargetMode="External"/><Relationship Id="rId2762" Type="http://schemas.openxmlformats.org/officeDocument/2006/relationships/hyperlink" Target="http://dx.doi.org/10.1109/TVCG.2016.2598460" TargetMode="External"/><Relationship Id="rId1432" Type="http://schemas.openxmlformats.org/officeDocument/2006/relationships/hyperlink" Target="http://dx.doi.org/10.1109/TVCG.2006.116" TargetMode="External"/><Relationship Id="rId2763" Type="http://schemas.openxmlformats.org/officeDocument/2006/relationships/hyperlink" Target="http://dx.doi.org/10.1109/TVCG.2016.2598463" TargetMode="External"/><Relationship Id="rId1422" Type="http://schemas.openxmlformats.org/officeDocument/2006/relationships/hyperlink" Target="http://dx.doi.org/10.1109/VISUAL.2005.1532856" TargetMode="External"/><Relationship Id="rId2753" Type="http://schemas.openxmlformats.org/officeDocument/2006/relationships/hyperlink" Target="http://dx.doi.org/10.1109/TVCG.2016.2598415" TargetMode="External"/><Relationship Id="rId1423" Type="http://schemas.openxmlformats.org/officeDocument/2006/relationships/hyperlink" Target="http://dx.doi.org/10.1109/VISUAL.2005.1532857" TargetMode="External"/><Relationship Id="rId2754" Type="http://schemas.openxmlformats.org/officeDocument/2006/relationships/hyperlink" Target="http://dx.doi.org/10.1109/TVCG.2016.2598416" TargetMode="External"/><Relationship Id="rId1424" Type="http://schemas.openxmlformats.org/officeDocument/2006/relationships/hyperlink" Target="http://dx.doi.org/10.1109/VISUAL.2005.1532858" TargetMode="External"/><Relationship Id="rId2755" Type="http://schemas.openxmlformats.org/officeDocument/2006/relationships/hyperlink" Target="http://dx.doi.org/10.1109/TVCG.2016.2598430" TargetMode="External"/><Relationship Id="rId1425" Type="http://schemas.openxmlformats.org/officeDocument/2006/relationships/hyperlink" Target="http://dx.doi.org/10.1109/VISUAL.2005.1532859" TargetMode="External"/><Relationship Id="rId2756" Type="http://schemas.openxmlformats.org/officeDocument/2006/relationships/hyperlink" Target="http://dx.doi.org/10.1109/TVCG.2016.2598432" TargetMode="External"/><Relationship Id="rId1426" Type="http://schemas.openxmlformats.org/officeDocument/2006/relationships/hyperlink" Target="http://dx.doi.org/10.1109/TVCG.2006.110" TargetMode="External"/><Relationship Id="rId2757" Type="http://schemas.openxmlformats.org/officeDocument/2006/relationships/hyperlink" Target="http://dx.doi.org/10.1109/TVCG.2016.2598444" TargetMode="External"/><Relationship Id="rId1427" Type="http://schemas.openxmlformats.org/officeDocument/2006/relationships/hyperlink" Target="http://dx.doi.org/10.1109/TVCG.2006.111" TargetMode="External"/><Relationship Id="rId2758" Type="http://schemas.openxmlformats.org/officeDocument/2006/relationships/hyperlink" Target="http://dx.doi.org/10.1109/TVCG.2016.2598445" TargetMode="External"/><Relationship Id="rId1428" Type="http://schemas.openxmlformats.org/officeDocument/2006/relationships/hyperlink" Target="http://dx.doi.org/10.1109/TVCG.2006.112" TargetMode="External"/><Relationship Id="rId2759" Type="http://schemas.openxmlformats.org/officeDocument/2006/relationships/hyperlink" Target="http://dx.doi.org/10.1109/TVCG.2016.2598446" TargetMode="External"/><Relationship Id="rId1429" Type="http://schemas.openxmlformats.org/officeDocument/2006/relationships/hyperlink" Target="http://dx.doi.org/10.1109/TVCG.2006.113" TargetMode="External"/><Relationship Id="rId2750" Type="http://schemas.openxmlformats.org/officeDocument/2006/relationships/hyperlink" Target="http://dx.doi.org/10.1109/VAST.2015.7347687" TargetMode="External"/><Relationship Id="rId1420" Type="http://schemas.openxmlformats.org/officeDocument/2006/relationships/hyperlink" Target="http://dx.doi.org/10.1109/VISUAL.2005.1532854" TargetMode="External"/><Relationship Id="rId2751" Type="http://schemas.openxmlformats.org/officeDocument/2006/relationships/hyperlink" Target="http://dx.doi.org/10.1109/VAST.2015.7347688" TargetMode="External"/><Relationship Id="rId1421" Type="http://schemas.openxmlformats.org/officeDocument/2006/relationships/hyperlink" Target="http://dx.doi.org/10.1109/VISUAL.2005.1532855" TargetMode="External"/><Relationship Id="rId2752" Type="http://schemas.openxmlformats.org/officeDocument/2006/relationships/hyperlink" Target="http://dx.doi.org/10.1109/VAST.2015.7347689" TargetMode="External"/><Relationship Id="rId699" Type="http://schemas.openxmlformats.org/officeDocument/2006/relationships/hyperlink" Target="http://dx.doi.org/10.1109/VISUAL.1999.809912" TargetMode="External"/><Relationship Id="rId698" Type="http://schemas.openxmlformats.org/officeDocument/2006/relationships/hyperlink" Target="http://dx.doi.org/10.1109/VISUAL.1999.809911" TargetMode="External"/><Relationship Id="rId693" Type="http://schemas.openxmlformats.org/officeDocument/2006/relationships/hyperlink" Target="http://dx.doi.org/10.1109/VISUAL.1999.809906" TargetMode="External"/><Relationship Id="rId692" Type="http://schemas.openxmlformats.org/officeDocument/2006/relationships/hyperlink" Target="http://dx.doi.org/10.1109/VISUAL.1999.809905" TargetMode="External"/><Relationship Id="rId691" Type="http://schemas.openxmlformats.org/officeDocument/2006/relationships/hyperlink" Target="http://dx.doi.org/10.1109/VISUAL.1999.809904" TargetMode="External"/><Relationship Id="rId690" Type="http://schemas.openxmlformats.org/officeDocument/2006/relationships/hyperlink" Target="http://dx.doi.org/10.1109/VISUAL.1999.809903" TargetMode="External"/><Relationship Id="rId697" Type="http://schemas.openxmlformats.org/officeDocument/2006/relationships/hyperlink" Target="http://dx.doi.org/10.1109/VISUAL.1999.809910" TargetMode="External"/><Relationship Id="rId696" Type="http://schemas.openxmlformats.org/officeDocument/2006/relationships/hyperlink" Target="http://dx.doi.org/10.1109/VISUAL.1999.809909" TargetMode="External"/><Relationship Id="rId695" Type="http://schemas.openxmlformats.org/officeDocument/2006/relationships/hyperlink" Target="http://doi.ieeecomputersociety.org/10.1109/VISUAL.1999.809908" TargetMode="External"/><Relationship Id="rId694" Type="http://schemas.openxmlformats.org/officeDocument/2006/relationships/hyperlink" Target="http://doi.ieeecomputersociety.org/10.1109/VISUAL.1999.809907" TargetMode="External"/><Relationship Id="rId1499" Type="http://schemas.openxmlformats.org/officeDocument/2006/relationships/hyperlink" Target="http://dx.doi.org/10.1109/TVCG.2006.187" TargetMode="External"/><Relationship Id="rId668" Type="http://schemas.openxmlformats.org/officeDocument/2006/relationships/hyperlink" Target="http://dx.doi.org/10.1109/VISUAL.1999.809879" TargetMode="External"/><Relationship Id="rId667" Type="http://schemas.openxmlformats.org/officeDocument/2006/relationships/hyperlink" Target="http://dx.doi.org/10.1109/VISUAL.1999.809878" TargetMode="External"/><Relationship Id="rId666" Type="http://schemas.openxmlformats.org/officeDocument/2006/relationships/hyperlink" Target="http://dx.doi.org/10.1109/VISUAL.1999.809877" TargetMode="External"/><Relationship Id="rId665" Type="http://schemas.openxmlformats.org/officeDocument/2006/relationships/hyperlink" Target="http://doi.ieeecomputersociety.org/10.1109/VISUAL.1999.809876" TargetMode="External"/><Relationship Id="rId669" Type="http://schemas.openxmlformats.org/officeDocument/2006/relationships/hyperlink" Target="http://dx.doi.org/10.1109/VISUAL.1999.809882" TargetMode="External"/><Relationship Id="rId1490" Type="http://schemas.openxmlformats.org/officeDocument/2006/relationships/hyperlink" Target="http://dx.doi.org/10.1109/TVCG.2006.178" TargetMode="External"/><Relationship Id="rId660" Type="http://schemas.openxmlformats.org/officeDocument/2006/relationships/hyperlink" Target="http://dx.doi.org/10.1109/VISUAL.1999.809871" TargetMode="External"/><Relationship Id="rId1491" Type="http://schemas.openxmlformats.org/officeDocument/2006/relationships/hyperlink" Target="http://dx.doi.org/10.1109/TVCG.2006.179" TargetMode="External"/><Relationship Id="rId1492" Type="http://schemas.openxmlformats.org/officeDocument/2006/relationships/hyperlink" Target="http://dx.doi.org/10.1109/TVCG.2006.180" TargetMode="External"/><Relationship Id="rId1493" Type="http://schemas.openxmlformats.org/officeDocument/2006/relationships/hyperlink" Target="http://dx.doi.org/10.1109/TVCG.2006.181" TargetMode="External"/><Relationship Id="rId1494" Type="http://schemas.openxmlformats.org/officeDocument/2006/relationships/hyperlink" Target="http://dx.doi.org/10.1109/TVCG.2006.182" TargetMode="External"/><Relationship Id="rId664" Type="http://schemas.openxmlformats.org/officeDocument/2006/relationships/hyperlink" Target="http://dx.doi.org/10.1109/VISUAL.1999.809875" TargetMode="External"/><Relationship Id="rId1495" Type="http://schemas.openxmlformats.org/officeDocument/2006/relationships/hyperlink" Target="http://dx.doi.org/10.1109/TVCG.2006.183" TargetMode="External"/><Relationship Id="rId663" Type="http://schemas.openxmlformats.org/officeDocument/2006/relationships/hyperlink" Target="http://dx.doi.org/10.1109/VISUAL.1998.745291" TargetMode="External"/><Relationship Id="rId1496" Type="http://schemas.openxmlformats.org/officeDocument/2006/relationships/hyperlink" Target="http://dx.doi.org/10.1109/TVCG.2006.184" TargetMode="External"/><Relationship Id="rId662" Type="http://schemas.openxmlformats.org/officeDocument/2006/relationships/hyperlink" Target="http://dx.doi.org/10.1109/VISUAL.1999.809873" TargetMode="External"/><Relationship Id="rId1497" Type="http://schemas.openxmlformats.org/officeDocument/2006/relationships/hyperlink" Target="http://dx.doi.org/10.1109/TVCG.2006.185" TargetMode="External"/><Relationship Id="rId661" Type="http://schemas.openxmlformats.org/officeDocument/2006/relationships/hyperlink" Target="http://dx.doi.org/10.1109/VISUAL.1999.809872" TargetMode="External"/><Relationship Id="rId1498" Type="http://schemas.openxmlformats.org/officeDocument/2006/relationships/hyperlink" Target="http://dx.doi.org/10.1109/TVCG.2006.186" TargetMode="External"/><Relationship Id="rId1488" Type="http://schemas.openxmlformats.org/officeDocument/2006/relationships/hyperlink" Target="http://dx.doi.org/10.1109/TVCG.2006.176" TargetMode="External"/><Relationship Id="rId1489" Type="http://schemas.openxmlformats.org/officeDocument/2006/relationships/hyperlink" Target="http://dx.doi.org/10.1109/TVCG.2006.177" TargetMode="External"/><Relationship Id="rId657" Type="http://schemas.openxmlformats.org/officeDocument/2006/relationships/hyperlink" Target="http://doi.ieeecomputersociety.org/10.1109/VISUAL.1999.809868" TargetMode="External"/><Relationship Id="rId656" Type="http://schemas.openxmlformats.org/officeDocument/2006/relationships/hyperlink" Target="http://dx.doi.org/10.1109/VISUAL.1999.809866" TargetMode="External"/><Relationship Id="rId655" Type="http://schemas.openxmlformats.org/officeDocument/2006/relationships/hyperlink" Target="http://dx.doi.org/10.1109/VISUAL.1999.809865" TargetMode="External"/><Relationship Id="rId654" Type="http://schemas.openxmlformats.org/officeDocument/2006/relationships/hyperlink" Target="http://dx.doi.org/10.1109/VISUAL.1999.809864" TargetMode="External"/><Relationship Id="rId659" Type="http://schemas.openxmlformats.org/officeDocument/2006/relationships/hyperlink" Target="http://dx.doi.org/10.1109/VISUAL.1999.809870" TargetMode="External"/><Relationship Id="rId658" Type="http://schemas.openxmlformats.org/officeDocument/2006/relationships/hyperlink" Target="http://dx.doi.org/10.1109/VISUAL.1999.809869" TargetMode="External"/><Relationship Id="rId1480" Type="http://schemas.openxmlformats.org/officeDocument/2006/relationships/hyperlink" Target="http://dx.doi.org/10.1109/TVCG.2006.168" TargetMode="External"/><Relationship Id="rId1481" Type="http://schemas.openxmlformats.org/officeDocument/2006/relationships/hyperlink" Target="http://dx.doi.org/10.1109/TVCG.2006.169" TargetMode="External"/><Relationship Id="rId1482" Type="http://schemas.openxmlformats.org/officeDocument/2006/relationships/hyperlink" Target="http://dx.doi.org/10.1109/TVCG.2006.170" TargetMode="External"/><Relationship Id="rId1483" Type="http://schemas.openxmlformats.org/officeDocument/2006/relationships/hyperlink" Target="http://dx.doi.org/10.1109/TVCG.2006.171" TargetMode="External"/><Relationship Id="rId653" Type="http://schemas.openxmlformats.org/officeDocument/2006/relationships/hyperlink" Target="http://dx.doi.org/10.1109/VISUAL.1999.809863" TargetMode="External"/><Relationship Id="rId1484" Type="http://schemas.openxmlformats.org/officeDocument/2006/relationships/hyperlink" Target="http://dx.doi.org/10.1109/TVCG.2006.172" TargetMode="External"/><Relationship Id="rId652" Type="http://schemas.openxmlformats.org/officeDocument/2006/relationships/hyperlink" Target="http://doi.ieeecomputersociety.org/10.1109/VIS.1999.10000" TargetMode="External"/><Relationship Id="rId1485" Type="http://schemas.openxmlformats.org/officeDocument/2006/relationships/hyperlink" Target="http://dx.doi.org/10.1109/TVCG.2006.173" TargetMode="External"/><Relationship Id="rId651" Type="http://schemas.openxmlformats.org/officeDocument/2006/relationships/hyperlink" Target="http://dx.doi.org/10.1109/INFVIS.1999.801869" TargetMode="External"/><Relationship Id="rId1486" Type="http://schemas.openxmlformats.org/officeDocument/2006/relationships/hyperlink" Target="http://dx.doi.org/10.1109/TVCG.2006.174" TargetMode="External"/><Relationship Id="rId650" Type="http://schemas.openxmlformats.org/officeDocument/2006/relationships/hyperlink" Target="http://dx.doi.org/10.1109/INFVIS.1999.801868" TargetMode="External"/><Relationship Id="rId1487" Type="http://schemas.openxmlformats.org/officeDocument/2006/relationships/hyperlink" Target="http://dx.doi.org/10.1109/TVCG.2006.175" TargetMode="External"/><Relationship Id="rId689" Type="http://schemas.openxmlformats.org/officeDocument/2006/relationships/hyperlink" Target="http://dx.doi.org/10.1109/VISUAL.1999.809902" TargetMode="External"/><Relationship Id="rId688" Type="http://schemas.openxmlformats.org/officeDocument/2006/relationships/hyperlink" Target="http://dx.doi.org/10.1109/VISUAL.1999.809901" TargetMode="External"/><Relationship Id="rId687" Type="http://schemas.openxmlformats.org/officeDocument/2006/relationships/hyperlink" Target="http://dx.doi.org/10.1109/VISUAL.1999.809900" TargetMode="External"/><Relationship Id="rId682" Type="http://schemas.openxmlformats.org/officeDocument/2006/relationships/hyperlink" Target="http://doi.ieeecomputersociety.org/10.1109/VISUAL.1999.809895" TargetMode="External"/><Relationship Id="rId681" Type="http://schemas.openxmlformats.org/officeDocument/2006/relationships/hyperlink" Target="http://dx.doi.org/10.1109/VISUAL.1999.809894" TargetMode="External"/><Relationship Id="rId680" Type="http://schemas.openxmlformats.org/officeDocument/2006/relationships/hyperlink" Target="http://dx.doi.org/10.1109/VISUAL.1999.809893" TargetMode="External"/><Relationship Id="rId686" Type="http://schemas.openxmlformats.org/officeDocument/2006/relationships/hyperlink" Target="http://dx.doi.org/10.1109/VISUAL.1999.809899" TargetMode="External"/><Relationship Id="rId685" Type="http://schemas.openxmlformats.org/officeDocument/2006/relationships/hyperlink" Target="http://dx.doi.org/10.1109/VISUAL.1999.809898" TargetMode="External"/><Relationship Id="rId684" Type="http://schemas.openxmlformats.org/officeDocument/2006/relationships/hyperlink" Target="http://dx.doi.org/10.1109/VISUAL.1999.809897" TargetMode="External"/><Relationship Id="rId683" Type="http://schemas.openxmlformats.org/officeDocument/2006/relationships/hyperlink" Target="http://dx.doi.org/10.1109/VISUAL.1999.809896" TargetMode="External"/><Relationship Id="rId679" Type="http://schemas.openxmlformats.org/officeDocument/2006/relationships/hyperlink" Target="http://dx.doi.org/10.1109/VISUAL.1999.809892" TargetMode="External"/><Relationship Id="rId678" Type="http://schemas.openxmlformats.org/officeDocument/2006/relationships/hyperlink" Target="http://dx.doi.org/10.1109/VISUAL.1999.809891" TargetMode="External"/><Relationship Id="rId677" Type="http://schemas.openxmlformats.org/officeDocument/2006/relationships/hyperlink" Target="http://dx.doi.org/10.1109/VISUAL.1999.809890" TargetMode="External"/><Relationship Id="rId676" Type="http://schemas.openxmlformats.org/officeDocument/2006/relationships/hyperlink" Target="http://dx.doi.org/10.1109/VISUAL.1999.809889" TargetMode="External"/><Relationship Id="rId671" Type="http://schemas.openxmlformats.org/officeDocument/2006/relationships/hyperlink" Target="http://dx.doi.org/10.1109/VISUAL.1999.809884" TargetMode="External"/><Relationship Id="rId670" Type="http://schemas.openxmlformats.org/officeDocument/2006/relationships/hyperlink" Target="http://dx.doi.org/10.1109/VISUAL.1999.809883" TargetMode="External"/><Relationship Id="rId675" Type="http://schemas.openxmlformats.org/officeDocument/2006/relationships/hyperlink" Target="http://dx.doi.org/10.1109/VISUAL.1999.809888" TargetMode="External"/><Relationship Id="rId674" Type="http://schemas.openxmlformats.org/officeDocument/2006/relationships/hyperlink" Target="http://dx.doi.org/10.1109/VISUAL.1999.809887" TargetMode="External"/><Relationship Id="rId673" Type="http://schemas.openxmlformats.org/officeDocument/2006/relationships/hyperlink" Target="http://dx.doi.org/10.1109/VISUAL.1999.809886" TargetMode="External"/><Relationship Id="rId672" Type="http://schemas.openxmlformats.org/officeDocument/2006/relationships/hyperlink" Target="http://dx.doi.org/10.1109/VISUAL.1999.809885" TargetMode="External"/><Relationship Id="rId190" Type="http://schemas.openxmlformats.org/officeDocument/2006/relationships/hyperlink" Target="http://dx.doi.org/10.1109/VISUAL.1993.398864" TargetMode="External"/><Relationship Id="rId194" Type="http://schemas.openxmlformats.org/officeDocument/2006/relationships/hyperlink" Target="http://dx.doi.org/10.1109/VISUAL.1993.398868" TargetMode="External"/><Relationship Id="rId193" Type="http://schemas.openxmlformats.org/officeDocument/2006/relationships/hyperlink" Target="http://dx.doi.org/10.1109/VISUAL.1993.398867" TargetMode="External"/><Relationship Id="rId192" Type="http://schemas.openxmlformats.org/officeDocument/2006/relationships/hyperlink" Target="http://dx.doi.org/10.1109/VISUAL.1993.398866" TargetMode="External"/><Relationship Id="rId191" Type="http://schemas.openxmlformats.org/officeDocument/2006/relationships/hyperlink" Target="http://dx.doi.org/10.1109/VISUAL.1993.398865" TargetMode="External"/><Relationship Id="rId187" Type="http://schemas.openxmlformats.org/officeDocument/2006/relationships/hyperlink" Target="http://dx.doi.org/10.1109/VISUAL.1993.398861" TargetMode="External"/><Relationship Id="rId186" Type="http://schemas.openxmlformats.org/officeDocument/2006/relationships/hyperlink" Target="http://dx.doi.org/10.1109/VISUAL.1993.398860" TargetMode="External"/><Relationship Id="rId185" Type="http://schemas.openxmlformats.org/officeDocument/2006/relationships/hyperlink" Target="http://dx.doi.org/10.1109/VISUAL.1993.398859" TargetMode="External"/><Relationship Id="rId184" Type="http://schemas.openxmlformats.org/officeDocument/2006/relationships/hyperlink" Target="http://dx.doi.org/10.1109/VISUAL.1993.398858" TargetMode="External"/><Relationship Id="rId189" Type="http://schemas.openxmlformats.org/officeDocument/2006/relationships/hyperlink" Target="http://dx.doi.org/10.1109/VISUAL.1993.398863" TargetMode="External"/><Relationship Id="rId188" Type="http://schemas.openxmlformats.org/officeDocument/2006/relationships/hyperlink" Target="http://dx.doi.org/10.1109/VISUAL.1993.398862" TargetMode="External"/><Relationship Id="rId183" Type="http://schemas.openxmlformats.org/officeDocument/2006/relationships/hyperlink" Target="http://dx.doi.org/10.1109/VISUAL.1993.398857" TargetMode="External"/><Relationship Id="rId182" Type="http://schemas.openxmlformats.org/officeDocument/2006/relationships/hyperlink" Target="http://dx.doi.org/10.1109/VISUAL.1993.398856" TargetMode="External"/><Relationship Id="rId181" Type="http://schemas.openxmlformats.org/officeDocument/2006/relationships/hyperlink" Target="http://dx.doi.org/10.1109/VISUAL.1993.398855" TargetMode="External"/><Relationship Id="rId180" Type="http://schemas.openxmlformats.org/officeDocument/2006/relationships/hyperlink" Target="http://dx.doi.org/10.1109/VISUAL.1993.398854" TargetMode="External"/><Relationship Id="rId176" Type="http://schemas.openxmlformats.org/officeDocument/2006/relationships/hyperlink" Target="http://dx.doi.org/10.1109/VISUAL.1993.398850" TargetMode="External"/><Relationship Id="rId175" Type="http://schemas.openxmlformats.org/officeDocument/2006/relationships/hyperlink" Target="http://dx.doi.org/10.1109/VISUAL.1993.398849" TargetMode="External"/><Relationship Id="rId174" Type="http://schemas.openxmlformats.org/officeDocument/2006/relationships/hyperlink" Target="http://dx.doi.org/10.1109/VISUAL.1993.398848" TargetMode="External"/><Relationship Id="rId173" Type="http://schemas.openxmlformats.org/officeDocument/2006/relationships/hyperlink" Target="http://dx.doi.org/10.1109/VISUAL.1993.398847" TargetMode="External"/><Relationship Id="rId179" Type="http://schemas.openxmlformats.org/officeDocument/2006/relationships/hyperlink" Target="http://dx.doi.org/10.1109/VISUAL.1993.398853" TargetMode="External"/><Relationship Id="rId178" Type="http://schemas.openxmlformats.org/officeDocument/2006/relationships/hyperlink" Target="http://dx.doi.org/10.1109/VISUAL.1993.398852" TargetMode="External"/><Relationship Id="rId177" Type="http://schemas.openxmlformats.org/officeDocument/2006/relationships/hyperlink" Target="http://dx.doi.org/10.1109/VISUAL.1993.398851" TargetMode="External"/><Relationship Id="rId198" Type="http://schemas.openxmlformats.org/officeDocument/2006/relationships/hyperlink" Target="http://dx.doi.org/10.1109/VISUAL.1993.398872" TargetMode="External"/><Relationship Id="rId197" Type="http://schemas.openxmlformats.org/officeDocument/2006/relationships/hyperlink" Target="http://dx.doi.org/10.1109/VISUAL.1993.398871" TargetMode="External"/><Relationship Id="rId196" Type="http://schemas.openxmlformats.org/officeDocument/2006/relationships/hyperlink" Target="http://dx.doi.org/10.1109/VISUAL.1993.398870" TargetMode="External"/><Relationship Id="rId195" Type="http://schemas.openxmlformats.org/officeDocument/2006/relationships/hyperlink" Target="http://dx.doi.org/10.1109/VISUAL.1993.398869" TargetMode="External"/><Relationship Id="rId199" Type="http://schemas.openxmlformats.org/officeDocument/2006/relationships/hyperlink" Target="http://dx.doi.org/10.1109/VISUAL.1993.398873" TargetMode="External"/><Relationship Id="rId150" Type="http://schemas.openxmlformats.org/officeDocument/2006/relationships/hyperlink" Target="http://dx.doi.org/10.1109/VISUAL.1992.235211" TargetMode="External"/><Relationship Id="rId149" Type="http://schemas.openxmlformats.org/officeDocument/2006/relationships/hyperlink" Target="http://dx.doi.org/10.1109/VISUAL.1992.235210" TargetMode="External"/><Relationship Id="rId148" Type="http://schemas.openxmlformats.org/officeDocument/2006/relationships/hyperlink" Target="http://dx.doi.org/10.1109/VISUAL.1992.235209" TargetMode="External"/><Relationship Id="rId143" Type="http://schemas.openxmlformats.org/officeDocument/2006/relationships/hyperlink" Target="http://dx.doi.org/10.1109/VISUAL.1992.235204" TargetMode="External"/><Relationship Id="rId142" Type="http://schemas.openxmlformats.org/officeDocument/2006/relationships/hyperlink" Target="http://dx.doi.org/10.1109/VISUAL.1992.235203" TargetMode="External"/><Relationship Id="rId141" Type="http://schemas.openxmlformats.org/officeDocument/2006/relationships/hyperlink" Target="http://dx.doi.org/10.1109/VISUAL.1992.235202" TargetMode="External"/><Relationship Id="rId140" Type="http://schemas.openxmlformats.org/officeDocument/2006/relationships/hyperlink" Target="http://dx.doi.org/10.1109/VISUAL.1992.235201" TargetMode="External"/><Relationship Id="rId147" Type="http://schemas.openxmlformats.org/officeDocument/2006/relationships/hyperlink" Target="http://dx.doi.org/10.1109/VISUAL.1992.235208" TargetMode="External"/><Relationship Id="rId146" Type="http://schemas.openxmlformats.org/officeDocument/2006/relationships/hyperlink" Target="http://dx.doi.org/10.1109/VISUAL.1992.235207" TargetMode="External"/><Relationship Id="rId145" Type="http://schemas.openxmlformats.org/officeDocument/2006/relationships/hyperlink" Target="http://dx.doi.org/10.1109/VISUAL.1992.235206" TargetMode="External"/><Relationship Id="rId144" Type="http://schemas.openxmlformats.org/officeDocument/2006/relationships/hyperlink" Target="http://dx.doi.org/10.1109/VISUAL.1992.235205" TargetMode="External"/><Relationship Id="rId139" Type="http://schemas.openxmlformats.org/officeDocument/2006/relationships/hyperlink" Target="http://dx.doi.org/10.1109/VISUAL.1992.235200" TargetMode="External"/><Relationship Id="rId138" Type="http://schemas.openxmlformats.org/officeDocument/2006/relationships/hyperlink" Target="http://dx.doi.org/10.1109/VISUAL.1992.235199" TargetMode="External"/><Relationship Id="rId137" Type="http://schemas.openxmlformats.org/officeDocument/2006/relationships/hyperlink" Target="http://dx.doi.org/10.1109/VISUAL.1992.235198" TargetMode="External"/><Relationship Id="rId132" Type="http://schemas.openxmlformats.org/officeDocument/2006/relationships/hyperlink" Target="http://dx.doi.org/10.1109/VISUAL.1992.235193" TargetMode="External"/><Relationship Id="rId131" Type="http://schemas.openxmlformats.org/officeDocument/2006/relationships/hyperlink" Target="http://dx.doi.org/10.1109/VISUAL.1992.235192" TargetMode="External"/><Relationship Id="rId130" Type="http://schemas.openxmlformats.org/officeDocument/2006/relationships/hyperlink" Target="http://dx.doi.org/10.1109/VISUAL.1992.235191" TargetMode="External"/><Relationship Id="rId136" Type="http://schemas.openxmlformats.org/officeDocument/2006/relationships/hyperlink" Target="http://dx.doi.org/10.1109/VISUAL.1992.235197" TargetMode="External"/><Relationship Id="rId135" Type="http://schemas.openxmlformats.org/officeDocument/2006/relationships/hyperlink" Target="http://dx.doi.org/10.1109/VISUAL.1992.235196" TargetMode="External"/><Relationship Id="rId134" Type="http://schemas.openxmlformats.org/officeDocument/2006/relationships/hyperlink" Target="http://dx.doi.org/10.1109/VISUAL.1992.235195" TargetMode="External"/><Relationship Id="rId133" Type="http://schemas.openxmlformats.org/officeDocument/2006/relationships/hyperlink" Target="http://dx.doi.org/10.1109/VISUAL.1992.235194" TargetMode="External"/><Relationship Id="rId172" Type="http://schemas.openxmlformats.org/officeDocument/2006/relationships/hyperlink" Target="http://dx.doi.org/10.1109/VISUAL.1993.398846" TargetMode="External"/><Relationship Id="rId171" Type="http://schemas.openxmlformats.org/officeDocument/2006/relationships/hyperlink" Target="http://dx.doi.org/10.1109/VISUAL.1993.398845" TargetMode="External"/><Relationship Id="rId170" Type="http://schemas.openxmlformats.org/officeDocument/2006/relationships/hyperlink" Target="http://dx.doi.org/10.1109/VISUAL.1992.235231" TargetMode="External"/><Relationship Id="rId165" Type="http://schemas.openxmlformats.org/officeDocument/2006/relationships/hyperlink" Target="http://dx.doi.org/10.1109/VISUAL.1992.235226" TargetMode="External"/><Relationship Id="rId164" Type="http://schemas.openxmlformats.org/officeDocument/2006/relationships/hyperlink" Target="http://dx.doi.org/10.1109/VISUAL.1992.235225" TargetMode="External"/><Relationship Id="rId163" Type="http://schemas.openxmlformats.org/officeDocument/2006/relationships/hyperlink" Target="http://dx.doi.org/10.1109/VISUAL.1992.235224" TargetMode="External"/><Relationship Id="rId162" Type="http://schemas.openxmlformats.org/officeDocument/2006/relationships/hyperlink" Target="http://dx.doi.org/10.1109/VISUAL.1992.235223" TargetMode="External"/><Relationship Id="rId169" Type="http://schemas.openxmlformats.org/officeDocument/2006/relationships/hyperlink" Target="http://dx.doi.org/10.1109/VISUAL.1992.235230" TargetMode="External"/><Relationship Id="rId168" Type="http://schemas.openxmlformats.org/officeDocument/2006/relationships/hyperlink" Target="http://dx.doi.org/10.1109/VISUAL.1992.235229" TargetMode="External"/><Relationship Id="rId167" Type="http://schemas.openxmlformats.org/officeDocument/2006/relationships/hyperlink" Target="http://dx.doi.org/10.1109/VISUAL.1992.235228" TargetMode="External"/><Relationship Id="rId166" Type="http://schemas.openxmlformats.org/officeDocument/2006/relationships/hyperlink" Target="http://dx.doi.org/10.1109/VISUAL.1992.235227" TargetMode="External"/><Relationship Id="rId161" Type="http://schemas.openxmlformats.org/officeDocument/2006/relationships/hyperlink" Target="http://dx.doi.org/10.1109/VISUAL.1992.235222" TargetMode="External"/><Relationship Id="rId160" Type="http://schemas.openxmlformats.org/officeDocument/2006/relationships/hyperlink" Target="http://dx.doi.org/10.1109/VISUAL.1992.235221" TargetMode="External"/><Relationship Id="rId159" Type="http://schemas.openxmlformats.org/officeDocument/2006/relationships/hyperlink" Target="http://dx.doi.org/10.1109/VISUAL.1992.235220" TargetMode="External"/><Relationship Id="rId154" Type="http://schemas.openxmlformats.org/officeDocument/2006/relationships/hyperlink" Target="http://dx.doi.org/10.1109/VISUAL.1992.235215" TargetMode="External"/><Relationship Id="rId153" Type="http://schemas.openxmlformats.org/officeDocument/2006/relationships/hyperlink" Target="http://dx.doi.org/10.1109/VISUAL.1992.235214" TargetMode="External"/><Relationship Id="rId152" Type="http://schemas.openxmlformats.org/officeDocument/2006/relationships/hyperlink" Target="http://dx.doi.org/10.1109/VISUAL.1992.235213" TargetMode="External"/><Relationship Id="rId151" Type="http://schemas.openxmlformats.org/officeDocument/2006/relationships/hyperlink" Target="http://dx.doi.org/10.1109/VISUAL.1992.235212" TargetMode="External"/><Relationship Id="rId158" Type="http://schemas.openxmlformats.org/officeDocument/2006/relationships/hyperlink" Target="http://dx.doi.org/10.1109/VISUAL.1992.235219" TargetMode="External"/><Relationship Id="rId157" Type="http://schemas.openxmlformats.org/officeDocument/2006/relationships/hyperlink" Target="http://dx.doi.org/10.1109/VISUAL.1992.235218" TargetMode="External"/><Relationship Id="rId156" Type="http://schemas.openxmlformats.org/officeDocument/2006/relationships/hyperlink" Target="http://dx.doi.org/10.1109/VISUAL.1992.235217" TargetMode="External"/><Relationship Id="rId155" Type="http://schemas.openxmlformats.org/officeDocument/2006/relationships/hyperlink" Target="http://dx.doi.org/10.1109/VISUAL.1992.235216" TargetMode="External"/><Relationship Id="rId2820" Type="http://schemas.openxmlformats.org/officeDocument/2006/relationships/hyperlink" Target="http://dx.doi.org/10.1109/TVCG.2016.2598838" TargetMode="External"/><Relationship Id="rId2821" Type="http://schemas.openxmlformats.org/officeDocument/2006/relationships/hyperlink" Target="http://dx.doi.org/10.1109/TVCG.2016.2598839" TargetMode="External"/><Relationship Id="rId2822" Type="http://schemas.openxmlformats.org/officeDocument/2006/relationships/hyperlink" Target="http://dx.doi.org/10.1109/TVCG.2016.2598862" TargetMode="External"/><Relationship Id="rId2823" Type="http://schemas.openxmlformats.org/officeDocument/2006/relationships/hyperlink" Target="http://dx.doi.org/10.1109/TVCG.2016.2598866" TargetMode="External"/><Relationship Id="rId2824" Type="http://schemas.openxmlformats.org/officeDocument/2006/relationships/hyperlink" Target="http://dx.doi.org/10.1109/TVCG.2016.2598867" TargetMode="External"/><Relationship Id="rId2825" Type="http://schemas.openxmlformats.org/officeDocument/2006/relationships/hyperlink" Target="http://dx.doi.org/10.1109/TVCG.2016.2598868" TargetMode="External"/><Relationship Id="rId2826" Type="http://schemas.openxmlformats.org/officeDocument/2006/relationships/hyperlink" Target="http://dx.doi.org/10.1109/TVCG.2016.2598869" TargetMode="External"/><Relationship Id="rId2827" Type="http://schemas.openxmlformats.org/officeDocument/2006/relationships/hyperlink" Target="http://dx.doi.org/10.1109/TVCG.2016.2598870" TargetMode="External"/><Relationship Id="rId2828" Type="http://schemas.openxmlformats.org/officeDocument/2006/relationships/hyperlink" Target="http://dx.doi.org/10.1109/TVCG.2016.2598876" TargetMode="External"/><Relationship Id="rId2829" Type="http://schemas.openxmlformats.org/officeDocument/2006/relationships/hyperlink" Target="http://dx.doi.org/10.1109/TVCG.2016.2598885" TargetMode="External"/><Relationship Id="rId2810" Type="http://schemas.openxmlformats.org/officeDocument/2006/relationships/hyperlink" Target="http://dx.doi.org/10.1109/TVCG.2016.2598796" TargetMode="External"/><Relationship Id="rId2811" Type="http://schemas.openxmlformats.org/officeDocument/2006/relationships/hyperlink" Target="http://dx.doi.org/10.1109/TVCG.2016.2598797" TargetMode="External"/><Relationship Id="rId2812" Type="http://schemas.openxmlformats.org/officeDocument/2006/relationships/hyperlink" Target="http://dx.doi.org/10.1109/TVCG.2016.2598824" TargetMode="External"/><Relationship Id="rId2813" Type="http://schemas.openxmlformats.org/officeDocument/2006/relationships/hyperlink" Target="http://dx.doi.org/10.1109/TVCG.2016.2598825" TargetMode="External"/><Relationship Id="rId2814" Type="http://schemas.openxmlformats.org/officeDocument/2006/relationships/hyperlink" Target="http://dx.doi.org/10.1109/TVCG.2016.2598826" TargetMode="External"/><Relationship Id="rId2815" Type="http://schemas.openxmlformats.org/officeDocument/2006/relationships/hyperlink" Target="http://dx.doi.org/10.1109/TVCG.2016.2598827" TargetMode="External"/><Relationship Id="rId2816" Type="http://schemas.openxmlformats.org/officeDocument/2006/relationships/hyperlink" Target="http://dx.doi.org/10.1109/TVCG.2016.2598828" TargetMode="External"/><Relationship Id="rId2817" Type="http://schemas.openxmlformats.org/officeDocument/2006/relationships/hyperlink" Target="http://dx.doi.org/10.1109/TVCG.2016.2598829" TargetMode="External"/><Relationship Id="rId2818" Type="http://schemas.openxmlformats.org/officeDocument/2006/relationships/hyperlink" Target="http://dx.doi.org/10.1109/TVCG.2016.2598830" TargetMode="External"/><Relationship Id="rId2819" Type="http://schemas.openxmlformats.org/officeDocument/2006/relationships/hyperlink" Target="http://dx.doi.org/10.1109/TVCG.2016.2598831" TargetMode="External"/><Relationship Id="rId1510" Type="http://schemas.openxmlformats.org/officeDocument/2006/relationships/hyperlink" Target="http://dx.doi.org/10.1109/TVCG.2006.200" TargetMode="External"/><Relationship Id="rId2841" Type="http://schemas.openxmlformats.org/officeDocument/2006/relationships/hyperlink" Target="http://dx.doi.org/10.1109/TVCG.2016.2599041" TargetMode="External"/><Relationship Id="rId1511" Type="http://schemas.openxmlformats.org/officeDocument/2006/relationships/hyperlink" Target="http://dx.doi.org/10.1109/TVCG.2006.201" TargetMode="External"/><Relationship Id="rId2842" Type="http://schemas.openxmlformats.org/officeDocument/2006/relationships/hyperlink" Target="http://dx.doi.org/10.1109/TVCG.2016.2599042" TargetMode="External"/><Relationship Id="rId1512" Type="http://schemas.openxmlformats.org/officeDocument/2006/relationships/hyperlink" Target="http://dx.doi.org/10.1109/TVCG.2006.202" TargetMode="External"/><Relationship Id="rId2843" Type="http://schemas.openxmlformats.org/officeDocument/2006/relationships/hyperlink" Target="http://dx.doi.org/10.1109/TVCG.2016.2599043" TargetMode="External"/><Relationship Id="rId1513" Type="http://schemas.openxmlformats.org/officeDocument/2006/relationships/hyperlink" Target="http://dx.doi.org/10.1109/VAST.2006.261415" TargetMode="External"/><Relationship Id="rId2844" Type="http://schemas.openxmlformats.org/officeDocument/2006/relationships/hyperlink" Target="http://dx.doi.org/10.1109/TVCG.2016.2599049" TargetMode="External"/><Relationship Id="rId1514" Type="http://schemas.openxmlformats.org/officeDocument/2006/relationships/hyperlink" Target="http://dx.doi.org/10.1109/VAST.2006.261416" TargetMode="External"/><Relationship Id="rId2845" Type="http://schemas.openxmlformats.org/officeDocument/2006/relationships/hyperlink" Target="http://dx.doi.org/10.1109/TVCG.2016.2599058" TargetMode="External"/><Relationship Id="rId1515" Type="http://schemas.openxmlformats.org/officeDocument/2006/relationships/hyperlink" Target="http://dx.doi.org/10.1109/VAST.2006.261417" TargetMode="External"/><Relationship Id="rId2846" Type="http://schemas.openxmlformats.org/officeDocument/2006/relationships/hyperlink" Target="http://dx.doi.org/10.1109/TVCG.2016.2599106" TargetMode="External"/><Relationship Id="rId1516" Type="http://schemas.openxmlformats.org/officeDocument/2006/relationships/hyperlink" Target="http://dx.doi.org/10.1109/VAST.2006.261418" TargetMode="External"/><Relationship Id="rId2847" Type="http://schemas.openxmlformats.org/officeDocument/2006/relationships/hyperlink" Target="http://dx.doi.org/10.1109/TVCG.2016.2599107" TargetMode="External"/><Relationship Id="rId1517" Type="http://schemas.openxmlformats.org/officeDocument/2006/relationships/hyperlink" Target="http://dx.doi.org/10.1109/VAST.2006.261420" TargetMode="External"/><Relationship Id="rId2848" Type="http://schemas.openxmlformats.org/officeDocument/2006/relationships/hyperlink" Target="http://dx.doi.org/10.1109/TVCG.2016.2599211" TargetMode="External"/><Relationship Id="rId1518" Type="http://schemas.openxmlformats.org/officeDocument/2006/relationships/hyperlink" Target="http://dx.doi.org/10.1109/VAST.2006.261421" TargetMode="External"/><Relationship Id="rId2849" Type="http://schemas.openxmlformats.org/officeDocument/2006/relationships/hyperlink" Target="http://dx.doi.org/10.1109/TVCG.2016.2599214" TargetMode="External"/><Relationship Id="rId1519" Type="http://schemas.openxmlformats.org/officeDocument/2006/relationships/hyperlink" Target="http://dx.doi.org/10.1109/VAST.2006.261422" TargetMode="External"/><Relationship Id="rId2840" Type="http://schemas.openxmlformats.org/officeDocument/2006/relationships/hyperlink" Target="http://dx.doi.org/10.1109/TVCG.2016.2599040" TargetMode="External"/><Relationship Id="rId2830" Type="http://schemas.openxmlformats.org/officeDocument/2006/relationships/hyperlink" Target="http://dx.doi.org/10.1109/TVCG.2016.2598898" TargetMode="External"/><Relationship Id="rId1500" Type="http://schemas.openxmlformats.org/officeDocument/2006/relationships/hyperlink" Target="http://dx.doi.org/10.1109/TVCG.2006.188" TargetMode="External"/><Relationship Id="rId2831" Type="http://schemas.openxmlformats.org/officeDocument/2006/relationships/hyperlink" Target="http://dx.doi.org/10.1109/TVCG.2016.2598918" TargetMode="External"/><Relationship Id="rId1501" Type="http://schemas.openxmlformats.org/officeDocument/2006/relationships/hyperlink" Target="http://dx.doi.org/10.1109/TVCG.2006.189" TargetMode="External"/><Relationship Id="rId2832" Type="http://schemas.openxmlformats.org/officeDocument/2006/relationships/hyperlink" Target="http://dx.doi.org/10.1109/TVCG.2016.2598919" TargetMode="External"/><Relationship Id="rId1502" Type="http://schemas.openxmlformats.org/officeDocument/2006/relationships/hyperlink" Target="http://dx.doi.org/10.1109/TVCG.2006.192" TargetMode="External"/><Relationship Id="rId2833" Type="http://schemas.openxmlformats.org/officeDocument/2006/relationships/hyperlink" Target="http://dx.doi.org/10.1109/TVCG.2016.2598920" TargetMode="External"/><Relationship Id="rId1503" Type="http://schemas.openxmlformats.org/officeDocument/2006/relationships/hyperlink" Target="http://dx.doi.org/10.1109/TVCG.2006.193" TargetMode="External"/><Relationship Id="rId2834" Type="http://schemas.openxmlformats.org/officeDocument/2006/relationships/hyperlink" Target="http://dx.doi.org/10.1109/TVCG.2016.2598958" TargetMode="External"/><Relationship Id="rId1504" Type="http://schemas.openxmlformats.org/officeDocument/2006/relationships/hyperlink" Target="http://dx.doi.org/10.1109/TVCG.2006.194" TargetMode="External"/><Relationship Id="rId2835" Type="http://schemas.openxmlformats.org/officeDocument/2006/relationships/hyperlink" Target="http://dx.doi.org/10.1109/TVCG.2016.2598998" TargetMode="External"/><Relationship Id="rId1505" Type="http://schemas.openxmlformats.org/officeDocument/2006/relationships/hyperlink" Target="http://dx.doi.org/10.1109/TVCG.2006.195" TargetMode="External"/><Relationship Id="rId2836" Type="http://schemas.openxmlformats.org/officeDocument/2006/relationships/hyperlink" Target="http://dx.doi.org/10.1109/TVCG.2016.2599016" TargetMode="External"/><Relationship Id="rId1506" Type="http://schemas.openxmlformats.org/officeDocument/2006/relationships/hyperlink" Target="http://dx.doi.org/10.1109/TVCG.2006.196" TargetMode="External"/><Relationship Id="rId2837" Type="http://schemas.openxmlformats.org/officeDocument/2006/relationships/hyperlink" Target="http://dx.doi.org/10.1109/TVCG.2016.2599017" TargetMode="External"/><Relationship Id="rId1507" Type="http://schemas.openxmlformats.org/officeDocument/2006/relationships/hyperlink" Target="http://dx.doi.org/10.1109/TVCG.2006.197" TargetMode="External"/><Relationship Id="rId2838" Type="http://schemas.openxmlformats.org/officeDocument/2006/relationships/hyperlink" Target="http://dx.doi.org/10.1109/TVCG.2016.2599018" TargetMode="External"/><Relationship Id="rId1508" Type="http://schemas.openxmlformats.org/officeDocument/2006/relationships/hyperlink" Target="http://dx.doi.org/10.1109/TVCG.2006.198" TargetMode="External"/><Relationship Id="rId2839" Type="http://schemas.openxmlformats.org/officeDocument/2006/relationships/hyperlink" Target="http://dx.doi.org/10.1109/TVCG.2016.2599030" TargetMode="External"/><Relationship Id="rId1509" Type="http://schemas.openxmlformats.org/officeDocument/2006/relationships/hyperlink" Target="http://dx.doi.org/10.1109/TVCG.2006.199" TargetMode="External"/><Relationship Id="rId2800" Type="http://schemas.openxmlformats.org/officeDocument/2006/relationships/hyperlink" Target="http://dx.doi.org/10.1109/TVCG.2016.2598624" TargetMode="External"/><Relationship Id="rId2801" Type="http://schemas.openxmlformats.org/officeDocument/2006/relationships/hyperlink" Target="http://dx.doi.org/10.1109/TVCG.2016.2598647" TargetMode="External"/><Relationship Id="rId2802" Type="http://schemas.openxmlformats.org/officeDocument/2006/relationships/hyperlink" Target="http://dx.doi.org/10.1109/TVCG.2016.2598664" TargetMode="External"/><Relationship Id="rId2803" Type="http://schemas.openxmlformats.org/officeDocument/2006/relationships/hyperlink" Target="http://dx.doi.org/10.1109/TVCG.2016.2598667" TargetMode="External"/><Relationship Id="rId2804" Type="http://schemas.openxmlformats.org/officeDocument/2006/relationships/hyperlink" Target="http://dx.doi.org/10.1109/TVCG.2016.2598694" TargetMode="External"/><Relationship Id="rId2805" Type="http://schemas.openxmlformats.org/officeDocument/2006/relationships/hyperlink" Target="http://dx.doi.org/10.1109/TVCG.2016.2598695" TargetMode="External"/><Relationship Id="rId2806" Type="http://schemas.openxmlformats.org/officeDocument/2006/relationships/hyperlink" Target="http://dx.doi.org/10.1109/TVCG.2016.2598789" TargetMode="External"/><Relationship Id="rId2807" Type="http://schemas.openxmlformats.org/officeDocument/2006/relationships/hyperlink" Target="http://dx.doi.org/10.1109/TVCG.2016.2598790" TargetMode="External"/><Relationship Id="rId2808" Type="http://schemas.openxmlformats.org/officeDocument/2006/relationships/hyperlink" Target="http://dx.doi.org/10.1109/TVCG.2016.2598791" TargetMode="External"/><Relationship Id="rId2809" Type="http://schemas.openxmlformats.org/officeDocument/2006/relationships/hyperlink" Target="http://dx.doi.org/10.1109/TVCG.2016.2598795" TargetMode="External"/><Relationship Id="rId1576" Type="http://schemas.openxmlformats.org/officeDocument/2006/relationships/hyperlink" Target="http://dx.doi.org/10.1109/TVCG.2007.70561" TargetMode="External"/><Relationship Id="rId1577" Type="http://schemas.openxmlformats.org/officeDocument/2006/relationships/hyperlink" Target="http://dx.doi.org/10.1109/TVCG.2007.70565" TargetMode="External"/><Relationship Id="rId1578" Type="http://schemas.openxmlformats.org/officeDocument/2006/relationships/hyperlink" Target="http://dx.doi.org/10.1109/TVCG.2007.70566" TargetMode="External"/><Relationship Id="rId1579" Type="http://schemas.openxmlformats.org/officeDocument/2006/relationships/hyperlink" Target="http://dx.doi.org/10.1109/TVCG.2007.70567" TargetMode="External"/><Relationship Id="rId987" Type="http://schemas.openxmlformats.org/officeDocument/2006/relationships/hyperlink" Target="http://dx.doi.org/10.1109/VISUAL.2002.1183800" TargetMode="External"/><Relationship Id="rId986" Type="http://schemas.openxmlformats.org/officeDocument/2006/relationships/hyperlink" Target="http://dx.doi.org/10.1109/VISUAL.2002.1183799" TargetMode="External"/><Relationship Id="rId985" Type="http://schemas.openxmlformats.org/officeDocument/2006/relationships/hyperlink" Target="http://dx.doi.org/10.1109/VISUAL.2002.1183798" TargetMode="External"/><Relationship Id="rId984" Type="http://schemas.openxmlformats.org/officeDocument/2006/relationships/hyperlink" Target="http://dx.doi.org/10.1109/VISUAL.2002.1183797" TargetMode="External"/><Relationship Id="rId989" Type="http://schemas.openxmlformats.org/officeDocument/2006/relationships/hyperlink" Target="http://dx.doi.org/10.1109/VISUAL.2002.1183802" TargetMode="External"/><Relationship Id="rId988" Type="http://schemas.openxmlformats.org/officeDocument/2006/relationships/hyperlink" Target="http://dx.doi.org/10.1109/VISUAL.2002.1183801" TargetMode="External"/><Relationship Id="rId1570" Type="http://schemas.openxmlformats.org/officeDocument/2006/relationships/hyperlink" Target="http://dx.doi.org/10.1109/TVCG.2007.70555" TargetMode="External"/><Relationship Id="rId1571" Type="http://schemas.openxmlformats.org/officeDocument/2006/relationships/hyperlink" Target="http://dx.doi.org/10.1109/TVCG.2007.70556" TargetMode="External"/><Relationship Id="rId983" Type="http://schemas.openxmlformats.org/officeDocument/2006/relationships/hyperlink" Target="http://dx.doi.org/10.1109/VISUAL.2002.1183796" TargetMode="External"/><Relationship Id="rId1572" Type="http://schemas.openxmlformats.org/officeDocument/2006/relationships/hyperlink" Target="http://dx.doi.org/10.1109/TVCG.2007.70557" TargetMode="External"/><Relationship Id="rId982" Type="http://schemas.openxmlformats.org/officeDocument/2006/relationships/hyperlink" Target="http://dx.doi.org/10.1109/VISUAL.2002.1183795" TargetMode="External"/><Relationship Id="rId1573" Type="http://schemas.openxmlformats.org/officeDocument/2006/relationships/hyperlink" Target="http://dx.doi.org/10.1109/TVCG.2007.70558" TargetMode="External"/><Relationship Id="rId981" Type="http://schemas.openxmlformats.org/officeDocument/2006/relationships/hyperlink" Target="http://dx.doi.org/10.1109/VISUAL.2002.1183794" TargetMode="External"/><Relationship Id="rId1574" Type="http://schemas.openxmlformats.org/officeDocument/2006/relationships/hyperlink" Target="http://dx.doi.org/10.1109/TVCG.2007.70559" TargetMode="External"/><Relationship Id="rId980" Type="http://schemas.openxmlformats.org/officeDocument/2006/relationships/hyperlink" Target="http://dx.doi.org/10.1109/VISUAL.2002.1183793" TargetMode="External"/><Relationship Id="rId1575" Type="http://schemas.openxmlformats.org/officeDocument/2006/relationships/hyperlink" Target="http://dx.doi.org/10.1109/TVCG.2007.70560" TargetMode="External"/><Relationship Id="rId1565" Type="http://schemas.openxmlformats.org/officeDocument/2006/relationships/hyperlink" Target="http://dx.doi.org/10.1109/TVCG.2007.70550" TargetMode="External"/><Relationship Id="rId2896" Type="http://schemas.openxmlformats.org/officeDocument/2006/relationships/hyperlink" Target="http://dx.doi.org/10.1109/TVCG.2017.2744159" TargetMode="External"/><Relationship Id="rId1566" Type="http://schemas.openxmlformats.org/officeDocument/2006/relationships/hyperlink" Target="http://dx.doi.org/10.1109/TVCG.2007.70551" TargetMode="External"/><Relationship Id="rId2897" Type="http://schemas.openxmlformats.org/officeDocument/2006/relationships/hyperlink" Target="http://dx.doi.org/10.1109/TVCG.2017.2744184" TargetMode="External"/><Relationship Id="rId1567" Type="http://schemas.openxmlformats.org/officeDocument/2006/relationships/hyperlink" Target="http://dx.doi.org/10.1109/TVCG.2007.70552" TargetMode="External"/><Relationship Id="rId2898" Type="http://schemas.openxmlformats.org/officeDocument/2006/relationships/hyperlink" Target="http://dx.doi.org/10.1109/TVCG.2017.2744198" TargetMode="External"/><Relationship Id="rId1568" Type="http://schemas.openxmlformats.org/officeDocument/2006/relationships/hyperlink" Target="http://dx.doi.org/10.1109/TVCG.2007.70553" TargetMode="External"/><Relationship Id="rId2899" Type="http://schemas.openxmlformats.org/officeDocument/2006/relationships/hyperlink" Target="http://dx.doi.org/10.1109/TVCG.2017.2744199" TargetMode="External"/><Relationship Id="rId1569" Type="http://schemas.openxmlformats.org/officeDocument/2006/relationships/hyperlink" Target="http://dx.doi.org/10.1109/TVCG.2007.70554" TargetMode="External"/><Relationship Id="rId976" Type="http://schemas.openxmlformats.org/officeDocument/2006/relationships/hyperlink" Target="http://dx.doi.org/10.1109/VISUAL.2002.1183789" TargetMode="External"/><Relationship Id="rId975" Type="http://schemas.openxmlformats.org/officeDocument/2006/relationships/hyperlink" Target="http://dx.doi.org/10.1109/VISUAL.2002.1183788" TargetMode="External"/><Relationship Id="rId974" Type="http://schemas.openxmlformats.org/officeDocument/2006/relationships/hyperlink" Target="http://dx.doi.org/10.1109/VISUAL.2002.1183787" TargetMode="External"/><Relationship Id="rId973" Type="http://schemas.openxmlformats.org/officeDocument/2006/relationships/hyperlink" Target="http://dx.doi.org/10.1109/VISUAL.2002.1183786" TargetMode="External"/><Relationship Id="rId979" Type="http://schemas.openxmlformats.org/officeDocument/2006/relationships/hyperlink" Target="http://dx.doi.org/10.1109/VISUAL.2002.1183792" TargetMode="External"/><Relationship Id="rId978" Type="http://schemas.openxmlformats.org/officeDocument/2006/relationships/hyperlink" Target="http://dx.doi.org/10.1109/VISUAL.2002.1183791" TargetMode="External"/><Relationship Id="rId977" Type="http://schemas.openxmlformats.org/officeDocument/2006/relationships/hyperlink" Target="http://dx.doi.org/10.1109/VISUAL.2002.1183790" TargetMode="External"/><Relationship Id="rId2890" Type="http://schemas.openxmlformats.org/officeDocument/2006/relationships/hyperlink" Target="http://dx.doi.org/10.1109/TVCG.2017.2744080" TargetMode="External"/><Relationship Id="rId1560" Type="http://schemas.openxmlformats.org/officeDocument/2006/relationships/hyperlink" Target="http://dx.doi.org/10.1109/TVCG.2007.70541" TargetMode="External"/><Relationship Id="rId2891" Type="http://schemas.openxmlformats.org/officeDocument/2006/relationships/hyperlink" Target="http://dx.doi.org/10.1109/TVCG.2017.2744098" TargetMode="External"/><Relationship Id="rId972" Type="http://schemas.openxmlformats.org/officeDocument/2006/relationships/hyperlink" Target="http://dx.doi.org/10.1109/VISUAL.2002.1183785" TargetMode="External"/><Relationship Id="rId1561" Type="http://schemas.openxmlformats.org/officeDocument/2006/relationships/hyperlink" Target="http://dx.doi.org/10.1109/TVCG.2007.70542" TargetMode="External"/><Relationship Id="rId2892" Type="http://schemas.openxmlformats.org/officeDocument/2006/relationships/hyperlink" Target="http://dx.doi.org/10.1109/TVCG.2017.2744099" TargetMode="External"/><Relationship Id="rId971" Type="http://schemas.openxmlformats.org/officeDocument/2006/relationships/hyperlink" Target="http://dx.doi.org/10.1109/VISUAL.2002.1183784" TargetMode="External"/><Relationship Id="rId1562" Type="http://schemas.openxmlformats.org/officeDocument/2006/relationships/hyperlink" Target="http://dx.doi.org/10.1109/TVCG.2007.70543" TargetMode="External"/><Relationship Id="rId2893" Type="http://schemas.openxmlformats.org/officeDocument/2006/relationships/hyperlink" Target="http://dx.doi.org/10.1109/TVCG.2017.2744118" TargetMode="External"/><Relationship Id="rId970" Type="http://schemas.openxmlformats.org/officeDocument/2006/relationships/hyperlink" Target="http://dx.doi.org/10.1109/VISUAL.2002.1183783" TargetMode="External"/><Relationship Id="rId1563" Type="http://schemas.openxmlformats.org/officeDocument/2006/relationships/hyperlink" Target="http://dx.doi.org/10.1109/TVCG.2007.70544" TargetMode="External"/><Relationship Id="rId2894" Type="http://schemas.openxmlformats.org/officeDocument/2006/relationships/hyperlink" Target="http://dx.doi.org/10.1109/TVCG.2017.2744138" TargetMode="External"/><Relationship Id="rId1564" Type="http://schemas.openxmlformats.org/officeDocument/2006/relationships/hyperlink" Target="http://dx.doi.org/10.1109/TVCG.2007.70545" TargetMode="External"/><Relationship Id="rId2895" Type="http://schemas.openxmlformats.org/officeDocument/2006/relationships/hyperlink" Target="http://dx.doi.org/10.1109/TVCG.2017.2744158" TargetMode="External"/><Relationship Id="rId1598" Type="http://schemas.openxmlformats.org/officeDocument/2006/relationships/hyperlink" Target="http://dx.doi.org/10.1109/TVCG.2007.70586" TargetMode="External"/><Relationship Id="rId1599" Type="http://schemas.openxmlformats.org/officeDocument/2006/relationships/hyperlink" Target="http://dx.doi.org/10.1109/TVCG.2007.70587" TargetMode="External"/><Relationship Id="rId1590" Type="http://schemas.openxmlformats.org/officeDocument/2006/relationships/hyperlink" Target="http://dx.doi.org/10.1109/TVCG.2007.70578" TargetMode="External"/><Relationship Id="rId1591" Type="http://schemas.openxmlformats.org/officeDocument/2006/relationships/hyperlink" Target="http://dx.doi.org/10.1109/TVCG.2007.70579" TargetMode="External"/><Relationship Id="rId1592" Type="http://schemas.openxmlformats.org/officeDocument/2006/relationships/hyperlink" Target="http://dx.doi.org/10.1109/TVCG.2007.70580" TargetMode="External"/><Relationship Id="rId1593" Type="http://schemas.openxmlformats.org/officeDocument/2006/relationships/hyperlink" Target="http://dx.doi.org/10.1109/TVCG.2007.70581" TargetMode="External"/><Relationship Id="rId1594" Type="http://schemas.openxmlformats.org/officeDocument/2006/relationships/hyperlink" Target="http://dx.doi.org/10.1109/TVCG.2007.70582" TargetMode="External"/><Relationship Id="rId1595" Type="http://schemas.openxmlformats.org/officeDocument/2006/relationships/hyperlink" Target="http://dx.doi.org/10.1109/TVCG.2007.70583" TargetMode="External"/><Relationship Id="rId1596" Type="http://schemas.openxmlformats.org/officeDocument/2006/relationships/hyperlink" Target="http://dx.doi.org/10.1109/TVCG.2007.70584" TargetMode="External"/><Relationship Id="rId1597" Type="http://schemas.openxmlformats.org/officeDocument/2006/relationships/hyperlink" Target="http://dx.doi.org/10.1109/TVCG.2007.70585" TargetMode="External"/><Relationship Id="rId1587" Type="http://schemas.openxmlformats.org/officeDocument/2006/relationships/hyperlink" Target="http://dx.doi.org/10.1109/TVCG.2007.70575" TargetMode="External"/><Relationship Id="rId1588" Type="http://schemas.openxmlformats.org/officeDocument/2006/relationships/hyperlink" Target="http://dx.doi.org/10.1109/TVCG.2007.70576" TargetMode="External"/><Relationship Id="rId1589" Type="http://schemas.openxmlformats.org/officeDocument/2006/relationships/hyperlink" Target="http://dx.doi.org/10.1109/TVCG.2007.70577" TargetMode="External"/><Relationship Id="rId998" Type="http://schemas.openxmlformats.org/officeDocument/2006/relationships/hyperlink" Target="http://dx.doi.org/10.1109/VISUAL.2002.1183811" TargetMode="External"/><Relationship Id="rId997" Type="http://schemas.openxmlformats.org/officeDocument/2006/relationships/hyperlink" Target="http://dx.doi.org/10.1109/VISUAL.2002.1183810" TargetMode="External"/><Relationship Id="rId996" Type="http://schemas.openxmlformats.org/officeDocument/2006/relationships/hyperlink" Target="http://dx.doi.org/10.1109/VISUAL.2002.1183809" TargetMode="External"/><Relationship Id="rId995" Type="http://schemas.openxmlformats.org/officeDocument/2006/relationships/hyperlink" Target="http://dx.doi.org/10.1109/VISUAL.2002.1183808" TargetMode="External"/><Relationship Id="rId999" Type="http://schemas.openxmlformats.org/officeDocument/2006/relationships/hyperlink" Target="http://dx.doi.org/10.1109/VISUAL.2002.1183812" TargetMode="External"/><Relationship Id="rId990" Type="http://schemas.openxmlformats.org/officeDocument/2006/relationships/hyperlink" Target="http://dx.doi.org/10.1109/VISUAL.2002.1183803" TargetMode="External"/><Relationship Id="rId1580" Type="http://schemas.openxmlformats.org/officeDocument/2006/relationships/hyperlink" Target="http://dx.doi.org/10.1109/TVCG.2007.70568" TargetMode="External"/><Relationship Id="rId1581" Type="http://schemas.openxmlformats.org/officeDocument/2006/relationships/hyperlink" Target="http://dx.doi.org/10.1109/TVCG.2007.70569" TargetMode="External"/><Relationship Id="rId1582" Type="http://schemas.openxmlformats.org/officeDocument/2006/relationships/hyperlink" Target="http://dx.doi.org/10.1109/TVCG.2007.70570" TargetMode="External"/><Relationship Id="rId994" Type="http://schemas.openxmlformats.org/officeDocument/2006/relationships/hyperlink" Target="http://dx.doi.org/10.1109/VISUAL.2002.1183807" TargetMode="External"/><Relationship Id="rId1583" Type="http://schemas.openxmlformats.org/officeDocument/2006/relationships/hyperlink" Target="http://dx.doi.org/10.1109/TVCG.2007.70571" TargetMode="External"/><Relationship Id="rId993" Type="http://schemas.openxmlformats.org/officeDocument/2006/relationships/hyperlink" Target="http://dx.doi.org/10.1109/VISUAL.2002.1183806" TargetMode="External"/><Relationship Id="rId1584" Type="http://schemas.openxmlformats.org/officeDocument/2006/relationships/hyperlink" Target="http://dx.doi.org/10.1109/TVCG.2007.70572" TargetMode="External"/><Relationship Id="rId992" Type="http://schemas.openxmlformats.org/officeDocument/2006/relationships/hyperlink" Target="http://dx.doi.org/10.1109/VISUAL.2002.1183805" TargetMode="External"/><Relationship Id="rId1585" Type="http://schemas.openxmlformats.org/officeDocument/2006/relationships/hyperlink" Target="http://dx.doi.org/10.1109/TVCG.2007.70573" TargetMode="External"/><Relationship Id="rId991" Type="http://schemas.openxmlformats.org/officeDocument/2006/relationships/hyperlink" Target="http://dx.doi.org/10.1109/VISUAL.2002.1183804" TargetMode="External"/><Relationship Id="rId1586" Type="http://schemas.openxmlformats.org/officeDocument/2006/relationships/hyperlink" Target="http://dx.doi.org/10.1109/TVCG.2007.70574" TargetMode="External"/><Relationship Id="rId1532" Type="http://schemas.openxmlformats.org/officeDocument/2006/relationships/hyperlink" Target="http://dx.doi.org/10.1109/VAST.2006.261435" TargetMode="External"/><Relationship Id="rId2863" Type="http://schemas.openxmlformats.org/officeDocument/2006/relationships/hyperlink" Target="http://dx.doi.org/10.1109/VAST.2016.7883516" TargetMode="External"/><Relationship Id="rId1533" Type="http://schemas.openxmlformats.org/officeDocument/2006/relationships/hyperlink" Target="http://dx.doi.org/10.1109/VAST.2006.261436" TargetMode="External"/><Relationship Id="rId2864" Type="http://schemas.openxmlformats.org/officeDocument/2006/relationships/hyperlink" Target="http://dx.doi.org/10.1109/VAST.2016.7883517" TargetMode="External"/><Relationship Id="rId1534" Type="http://schemas.openxmlformats.org/officeDocument/2006/relationships/hyperlink" Target="http://dx.doi.org/10.1109/VAST.2006.261437" TargetMode="External"/><Relationship Id="rId2865" Type="http://schemas.openxmlformats.org/officeDocument/2006/relationships/hyperlink" Target="http://dx.doi.org/10.1109/VAST.2016.7883518" TargetMode="External"/><Relationship Id="rId1535" Type="http://schemas.openxmlformats.org/officeDocument/2006/relationships/hyperlink" Target="http://dx.doi.org/10.1109/VAST.2006.261438" TargetMode="External"/><Relationship Id="rId2866" Type="http://schemas.openxmlformats.org/officeDocument/2006/relationships/hyperlink" Target="http://dx.doi.org/10.1109/VAST.2016.7883519" TargetMode="External"/><Relationship Id="rId1536" Type="http://schemas.openxmlformats.org/officeDocument/2006/relationships/hyperlink" Target="http://dx.doi.org/10.1109/VAST.2006.261439" TargetMode="External"/><Relationship Id="rId2867" Type="http://schemas.openxmlformats.org/officeDocument/2006/relationships/hyperlink" Target="http://dx.doi.org/10.1109/VAST.2016.7883520" TargetMode="External"/><Relationship Id="rId1537" Type="http://schemas.openxmlformats.org/officeDocument/2006/relationships/hyperlink" Target="http://dx.doi.org/10.1109/VAST.2006.261450" TargetMode="External"/><Relationship Id="rId2868" Type="http://schemas.openxmlformats.org/officeDocument/2006/relationships/hyperlink" Target="http://dx.doi.org/10.1109/TVCG.2017.2743858" TargetMode="External"/><Relationship Id="rId1538" Type="http://schemas.openxmlformats.org/officeDocument/2006/relationships/hyperlink" Target="http://dx.doi.org/10.1109/VAST.2006.261451" TargetMode="External"/><Relationship Id="rId2869" Type="http://schemas.openxmlformats.org/officeDocument/2006/relationships/hyperlink" Target="http://dx.doi.org/10.1109/TVCG.2017.2743859" TargetMode="External"/><Relationship Id="rId1539" Type="http://schemas.openxmlformats.org/officeDocument/2006/relationships/hyperlink" Target="http://dx.doi.org/10.1109/VAST.2006.261452" TargetMode="External"/><Relationship Id="rId949" Type="http://schemas.openxmlformats.org/officeDocument/2006/relationships/hyperlink" Target="http://dx.doi.org/10.1109/VISUAL.2002.1183762" TargetMode="External"/><Relationship Id="rId948" Type="http://schemas.openxmlformats.org/officeDocument/2006/relationships/hyperlink" Target="http://dx.doi.org/10.1109/VISUAL.2002.1183761" TargetMode="External"/><Relationship Id="rId943" Type="http://schemas.openxmlformats.org/officeDocument/2006/relationships/hyperlink" Target="http://dx.doi.org/10.1109/VISUAL.2002.1183755" TargetMode="External"/><Relationship Id="rId942" Type="http://schemas.openxmlformats.org/officeDocument/2006/relationships/hyperlink" Target="http://dx.doi.org/10.1109/VISUAL.2002.1183754" TargetMode="External"/><Relationship Id="rId941" Type="http://schemas.openxmlformats.org/officeDocument/2006/relationships/hyperlink" Target="http://dx.doi.org/10.1109/VISUAL.2002.1183753" TargetMode="External"/><Relationship Id="rId940" Type="http://schemas.openxmlformats.org/officeDocument/2006/relationships/hyperlink" Target="http://dx.doi.org/10.1109/VISUAL.2002.1183752" TargetMode="External"/><Relationship Id="rId947" Type="http://schemas.openxmlformats.org/officeDocument/2006/relationships/hyperlink" Target="http://dx.doi.org/10.1109/VISUAL.2002.1183760" TargetMode="External"/><Relationship Id="rId946" Type="http://schemas.openxmlformats.org/officeDocument/2006/relationships/hyperlink" Target="http://dx.doi.org/10.1109/VISUAL.2002.1183759" TargetMode="External"/><Relationship Id="rId945" Type="http://schemas.openxmlformats.org/officeDocument/2006/relationships/hyperlink" Target="http://dx.doi.org/10.1109/VISUAL.2002.1183758" TargetMode="External"/><Relationship Id="rId944" Type="http://schemas.openxmlformats.org/officeDocument/2006/relationships/hyperlink" Target="http://dx.doi.org/10.1109/VISUAL.2002.1183757" TargetMode="External"/><Relationship Id="rId2860" Type="http://schemas.openxmlformats.org/officeDocument/2006/relationships/hyperlink" Target="http://dx.doi.org/10.1109/VAST.2016.7883513" TargetMode="External"/><Relationship Id="rId1530" Type="http://schemas.openxmlformats.org/officeDocument/2006/relationships/hyperlink" Target="http://dx.doi.org/10.1109/VAST.2006.261433" TargetMode="External"/><Relationship Id="rId2861" Type="http://schemas.openxmlformats.org/officeDocument/2006/relationships/hyperlink" Target="http://dx.doi.org/10.1109/VAST.2016.7883514" TargetMode="External"/><Relationship Id="rId1531" Type="http://schemas.openxmlformats.org/officeDocument/2006/relationships/hyperlink" Target="http://dx.doi.org/10.1109/VAST.2006.261434" TargetMode="External"/><Relationship Id="rId2862" Type="http://schemas.openxmlformats.org/officeDocument/2006/relationships/hyperlink" Target="http://dx.doi.org/10.1109/VAST.2016.7883515" TargetMode="External"/><Relationship Id="rId1521" Type="http://schemas.openxmlformats.org/officeDocument/2006/relationships/hyperlink" Target="http://dx.doi.org/10.1109/VAST.2006.261424" TargetMode="External"/><Relationship Id="rId2852" Type="http://schemas.openxmlformats.org/officeDocument/2006/relationships/hyperlink" Target="http://dx.doi.org/10.1109/TVCG.2016.2599378" TargetMode="External"/><Relationship Id="rId1522" Type="http://schemas.openxmlformats.org/officeDocument/2006/relationships/hyperlink" Target="http://dx.doi.org/10.1109/VAST.2006.261425" TargetMode="External"/><Relationship Id="rId2853" Type="http://schemas.openxmlformats.org/officeDocument/2006/relationships/hyperlink" Target="http://dx.doi.org/10.1109/VAST.2016.7883506" TargetMode="External"/><Relationship Id="rId1523" Type="http://schemas.openxmlformats.org/officeDocument/2006/relationships/hyperlink" Target="http://dx.doi.org/10.1109/VAST.2006.261426" TargetMode="External"/><Relationship Id="rId2854" Type="http://schemas.openxmlformats.org/officeDocument/2006/relationships/hyperlink" Target="http://dx.doi.org/10.1109/VAST.2016.7883507" TargetMode="External"/><Relationship Id="rId1524" Type="http://schemas.openxmlformats.org/officeDocument/2006/relationships/hyperlink" Target="http://dx.doi.org/10.1109/VAST.2006.261427" TargetMode="External"/><Relationship Id="rId2855" Type="http://schemas.openxmlformats.org/officeDocument/2006/relationships/hyperlink" Target="http://dx.doi.org/10.1109/VAST.2016.7883508" TargetMode="External"/><Relationship Id="rId1525" Type="http://schemas.openxmlformats.org/officeDocument/2006/relationships/hyperlink" Target="http://dx.doi.org/10.1109/VAST.2006.261428" TargetMode="External"/><Relationship Id="rId2856" Type="http://schemas.openxmlformats.org/officeDocument/2006/relationships/hyperlink" Target="http://dx.doi.org/10.1109/VAST.2016.7883509" TargetMode="External"/><Relationship Id="rId1526" Type="http://schemas.openxmlformats.org/officeDocument/2006/relationships/hyperlink" Target="http://dx.doi.org/10.1109/VAST.2006.261429" TargetMode="External"/><Relationship Id="rId2857" Type="http://schemas.openxmlformats.org/officeDocument/2006/relationships/hyperlink" Target="http://dx.doi.org/10.1109/VAST.2016.7883510" TargetMode="External"/><Relationship Id="rId1527" Type="http://schemas.openxmlformats.org/officeDocument/2006/relationships/hyperlink" Target="http://dx.doi.org/10.1109/VAST.2006.261430" TargetMode="External"/><Relationship Id="rId2858" Type="http://schemas.openxmlformats.org/officeDocument/2006/relationships/hyperlink" Target="http://dx.doi.org/10.1109/VAST.2016.7883511" TargetMode="External"/><Relationship Id="rId1528" Type="http://schemas.openxmlformats.org/officeDocument/2006/relationships/hyperlink" Target="http://dx.doi.org/10.1109/VAST.2006.261431" TargetMode="External"/><Relationship Id="rId2859" Type="http://schemas.openxmlformats.org/officeDocument/2006/relationships/hyperlink" Target="http://dx.doi.org/10.1109/VAST.2016.7883512" TargetMode="External"/><Relationship Id="rId1529" Type="http://schemas.openxmlformats.org/officeDocument/2006/relationships/hyperlink" Target="http://dx.doi.org/10.1109/VAST.2006.261432" TargetMode="External"/><Relationship Id="rId939" Type="http://schemas.openxmlformats.org/officeDocument/2006/relationships/hyperlink" Target="http://dx.doi.org/10.1109/INFVIS.2002.1173164" TargetMode="External"/><Relationship Id="rId938" Type="http://schemas.openxmlformats.org/officeDocument/2006/relationships/hyperlink" Target="http://dx.doi.org/10.1109/INFVIS.2002.1173163" TargetMode="External"/><Relationship Id="rId937" Type="http://schemas.openxmlformats.org/officeDocument/2006/relationships/hyperlink" Target="http://dx.doi.org/10.1109/INFVIS.2002.1173162" TargetMode="External"/><Relationship Id="rId932" Type="http://schemas.openxmlformats.org/officeDocument/2006/relationships/hyperlink" Target="http://dx.doi.org/10.1109/INFVIS.2002.1173157" TargetMode="External"/><Relationship Id="rId931" Type="http://schemas.openxmlformats.org/officeDocument/2006/relationships/hyperlink" Target="http://dx.doi.org/10.1109/INFVIS.2002.1173156" TargetMode="External"/><Relationship Id="rId930" Type="http://schemas.openxmlformats.org/officeDocument/2006/relationships/hyperlink" Target="http://dx.doi.org/10.1109/INFVIS.2002.1173155" TargetMode="External"/><Relationship Id="rId936" Type="http://schemas.openxmlformats.org/officeDocument/2006/relationships/hyperlink" Target="http://dx.doi.org/10.1109/INFVIS.2002.1173161" TargetMode="External"/><Relationship Id="rId935" Type="http://schemas.openxmlformats.org/officeDocument/2006/relationships/hyperlink" Target="http://dx.doi.org/10.1109/INFVIS.2002.1173160" TargetMode="External"/><Relationship Id="rId934" Type="http://schemas.openxmlformats.org/officeDocument/2006/relationships/hyperlink" Target="http://dx.doi.org/10.1109/INFVIS.2002.1173159" TargetMode="External"/><Relationship Id="rId933" Type="http://schemas.openxmlformats.org/officeDocument/2006/relationships/hyperlink" Target="http://dx.doi.org/10.1109/INFVIS.2002.1173158" TargetMode="External"/><Relationship Id="rId2850" Type="http://schemas.openxmlformats.org/officeDocument/2006/relationships/hyperlink" Target="http://dx.doi.org/10.1109/TVCG.2016.2599217" TargetMode="External"/><Relationship Id="rId1520" Type="http://schemas.openxmlformats.org/officeDocument/2006/relationships/hyperlink" Target="http://dx.doi.org/10.1109/VAST.2006.261423" TargetMode="External"/><Relationship Id="rId2851" Type="http://schemas.openxmlformats.org/officeDocument/2006/relationships/hyperlink" Target="http://dx.doi.org/10.1109/TVCG.2016.2599338" TargetMode="External"/><Relationship Id="rId1554" Type="http://schemas.openxmlformats.org/officeDocument/2006/relationships/hyperlink" Target="http://dx.doi.org/10.1109/TVCG.2007.70535" TargetMode="External"/><Relationship Id="rId2885" Type="http://schemas.openxmlformats.org/officeDocument/2006/relationships/hyperlink" Target="http://dx.doi.org/10.1109/TVCG.2017.2744038" TargetMode="External"/><Relationship Id="rId1555" Type="http://schemas.openxmlformats.org/officeDocument/2006/relationships/hyperlink" Target="http://dx.doi.org/10.1109/TVCG.2007.70536" TargetMode="External"/><Relationship Id="rId2886" Type="http://schemas.openxmlformats.org/officeDocument/2006/relationships/hyperlink" Target="http://dx.doi.org/10.1109/TVCG.2017.2744058" TargetMode="External"/><Relationship Id="rId1556" Type="http://schemas.openxmlformats.org/officeDocument/2006/relationships/hyperlink" Target="http://dx.doi.org/10.1109/TVCG.2007.70537" TargetMode="External"/><Relationship Id="rId2887" Type="http://schemas.openxmlformats.org/officeDocument/2006/relationships/hyperlink" Target="http://dx.doi.org/10.1109/TVCG.2017.2744059" TargetMode="External"/><Relationship Id="rId1557" Type="http://schemas.openxmlformats.org/officeDocument/2006/relationships/hyperlink" Target="http://dx.doi.org/10.1109/TVCG.2007.70538" TargetMode="External"/><Relationship Id="rId2888" Type="http://schemas.openxmlformats.org/officeDocument/2006/relationships/hyperlink" Target="http://dx.doi.org/10.1109/TVCG.2017.2744078" TargetMode="External"/><Relationship Id="rId1558" Type="http://schemas.openxmlformats.org/officeDocument/2006/relationships/hyperlink" Target="http://dx.doi.org/10.1109/TVCG.2007.70539" TargetMode="External"/><Relationship Id="rId2889" Type="http://schemas.openxmlformats.org/officeDocument/2006/relationships/hyperlink" Target="http://dx.doi.org/10.1109/TVCG.2017.2744079" TargetMode="External"/><Relationship Id="rId1559" Type="http://schemas.openxmlformats.org/officeDocument/2006/relationships/hyperlink" Target="http://dx.doi.org/10.1109/TVCG.2007.70540" TargetMode="External"/><Relationship Id="rId965" Type="http://schemas.openxmlformats.org/officeDocument/2006/relationships/hyperlink" Target="http://dx.doi.org/10.1109/VISUAL.2002.1183778" TargetMode="External"/><Relationship Id="rId964" Type="http://schemas.openxmlformats.org/officeDocument/2006/relationships/hyperlink" Target="http://dx.doi.org/10.1109/VISUAL.2002.1183777" TargetMode="External"/><Relationship Id="rId963" Type="http://schemas.openxmlformats.org/officeDocument/2006/relationships/hyperlink" Target="http://dx.doi.org/10.1109/VISUAL.2002.1183776" TargetMode="External"/><Relationship Id="rId962" Type="http://schemas.openxmlformats.org/officeDocument/2006/relationships/hyperlink" Target="http://dx.doi.org/10.1109/VISUAL.2002.1183775" TargetMode="External"/><Relationship Id="rId969" Type="http://schemas.openxmlformats.org/officeDocument/2006/relationships/hyperlink" Target="http://dx.doi.org/10.1109/VISUAL.2002.1183782" TargetMode="External"/><Relationship Id="rId968" Type="http://schemas.openxmlformats.org/officeDocument/2006/relationships/hyperlink" Target="http://dx.doi.org/10.1109/VISUAL.2002.1183781" TargetMode="External"/><Relationship Id="rId967" Type="http://schemas.openxmlformats.org/officeDocument/2006/relationships/hyperlink" Target="http://dx.doi.org/10.1109/VISUAL.2002.1183780" TargetMode="External"/><Relationship Id="rId966" Type="http://schemas.openxmlformats.org/officeDocument/2006/relationships/hyperlink" Target="http://dx.doi.org/10.1109/VISUAL.2002.1183779" TargetMode="External"/><Relationship Id="rId2880" Type="http://schemas.openxmlformats.org/officeDocument/2006/relationships/hyperlink" Target="http://dx.doi.org/10.1109/TVCG.2017.2743989" TargetMode="External"/><Relationship Id="rId961" Type="http://schemas.openxmlformats.org/officeDocument/2006/relationships/hyperlink" Target="http://dx.doi.org/10.1109/VISUAL.2002.1183774" TargetMode="External"/><Relationship Id="rId1550" Type="http://schemas.openxmlformats.org/officeDocument/2006/relationships/hyperlink" Target="http://dx.doi.org/10.1109/TVCG.2007.70529" TargetMode="External"/><Relationship Id="rId2881" Type="http://schemas.openxmlformats.org/officeDocument/2006/relationships/hyperlink" Target="http://dx.doi.org/10.1109/TVCG.2017.2743990" TargetMode="External"/><Relationship Id="rId960" Type="http://schemas.openxmlformats.org/officeDocument/2006/relationships/hyperlink" Target="http://dx.doi.org/10.1109/VISUAL.2002.1183773" TargetMode="External"/><Relationship Id="rId1551" Type="http://schemas.openxmlformats.org/officeDocument/2006/relationships/hyperlink" Target="http://dx.doi.org/10.1109/TVCG.2007.70530" TargetMode="External"/><Relationship Id="rId2882" Type="http://schemas.openxmlformats.org/officeDocument/2006/relationships/hyperlink" Target="http://dx.doi.org/10.1109/TVCG.2017.2743998" TargetMode="External"/><Relationship Id="rId1552" Type="http://schemas.openxmlformats.org/officeDocument/2006/relationships/hyperlink" Target="http://dx.doi.org/10.1109/TVCG.2007.70532" TargetMode="External"/><Relationship Id="rId2883" Type="http://schemas.openxmlformats.org/officeDocument/2006/relationships/hyperlink" Target="http://dx.doi.org/10.1109/TVCG.2017.2744018" TargetMode="External"/><Relationship Id="rId1553" Type="http://schemas.openxmlformats.org/officeDocument/2006/relationships/hyperlink" Target="http://dx.doi.org/10.1109/TVCG.2007.70534" TargetMode="External"/><Relationship Id="rId2884" Type="http://schemas.openxmlformats.org/officeDocument/2006/relationships/hyperlink" Target="http://dx.doi.org/10.1109/TVCG.2017.2744019" TargetMode="External"/><Relationship Id="rId1543" Type="http://schemas.openxmlformats.org/officeDocument/2006/relationships/hyperlink" Target="http://dx.doi.org/10.1109/TVCG.2007.70518" TargetMode="External"/><Relationship Id="rId2874" Type="http://schemas.openxmlformats.org/officeDocument/2006/relationships/hyperlink" Target="http://dx.doi.org/10.1109/TVCG.2017.2743958" TargetMode="External"/><Relationship Id="rId1544" Type="http://schemas.openxmlformats.org/officeDocument/2006/relationships/hyperlink" Target="http://dx.doi.org/10.1109/TVCG.2007.70519" TargetMode="External"/><Relationship Id="rId2875" Type="http://schemas.openxmlformats.org/officeDocument/2006/relationships/hyperlink" Target="http://dx.doi.org/10.1109/TVCG.2017.2743959" TargetMode="External"/><Relationship Id="rId1545" Type="http://schemas.openxmlformats.org/officeDocument/2006/relationships/hyperlink" Target="http://dx.doi.org/10.1109/TVCG.2007.70521" TargetMode="External"/><Relationship Id="rId2876" Type="http://schemas.openxmlformats.org/officeDocument/2006/relationships/hyperlink" Target="http://dx.doi.org/10.1109/TVCG.2017.2743978" TargetMode="External"/><Relationship Id="rId1546" Type="http://schemas.openxmlformats.org/officeDocument/2006/relationships/hyperlink" Target="http://dx.doi.org/10.1109/TVCG.2007.70522" TargetMode="External"/><Relationship Id="rId2877" Type="http://schemas.openxmlformats.org/officeDocument/2006/relationships/hyperlink" Target="http://dx.doi.org/10.1109/TVCG.2017.2743979" TargetMode="External"/><Relationship Id="rId1547" Type="http://schemas.openxmlformats.org/officeDocument/2006/relationships/hyperlink" Target="http://dx.doi.org/10.1109/TVCG.2007.70523" TargetMode="External"/><Relationship Id="rId2878" Type="http://schemas.openxmlformats.org/officeDocument/2006/relationships/hyperlink" Target="http://dx.doi.org/10.1109/TVCG.2017.2743980" TargetMode="External"/><Relationship Id="rId1548" Type="http://schemas.openxmlformats.org/officeDocument/2006/relationships/hyperlink" Target="http://dx.doi.org/10.1109/TVCG.2007.70526" TargetMode="External"/><Relationship Id="rId2879" Type="http://schemas.openxmlformats.org/officeDocument/2006/relationships/hyperlink" Target="http://dx.doi.org/10.1109/TVCG.2017.2743981" TargetMode="External"/><Relationship Id="rId1549" Type="http://schemas.openxmlformats.org/officeDocument/2006/relationships/hyperlink" Target="http://dx.doi.org/10.1109/TVCG.2007.70528" TargetMode="External"/><Relationship Id="rId959" Type="http://schemas.openxmlformats.org/officeDocument/2006/relationships/hyperlink" Target="http://dx.doi.org/10.1109/VISUAL.2002.1183772" TargetMode="External"/><Relationship Id="rId954" Type="http://schemas.openxmlformats.org/officeDocument/2006/relationships/hyperlink" Target="http://dx.doi.org/10.1109/VISUAL.2002.1183767" TargetMode="External"/><Relationship Id="rId953" Type="http://schemas.openxmlformats.org/officeDocument/2006/relationships/hyperlink" Target="http://dx.doi.org/10.1109/VISUAL.2002.1183766" TargetMode="External"/><Relationship Id="rId952" Type="http://schemas.openxmlformats.org/officeDocument/2006/relationships/hyperlink" Target="http://dx.doi.org/10.1109/VISUAL.2002.1183765" TargetMode="External"/><Relationship Id="rId951" Type="http://schemas.openxmlformats.org/officeDocument/2006/relationships/hyperlink" Target="http://dx.doi.org/10.1109/VISUAL.2002.1183764" TargetMode="External"/><Relationship Id="rId958" Type="http://schemas.openxmlformats.org/officeDocument/2006/relationships/hyperlink" Target="http://dx.doi.org/10.1109/VISUAL.2002.1183771" TargetMode="External"/><Relationship Id="rId957" Type="http://schemas.openxmlformats.org/officeDocument/2006/relationships/hyperlink" Target="http://dx.doi.org/10.1109/VISUAL.2002.1183770" TargetMode="External"/><Relationship Id="rId956" Type="http://schemas.openxmlformats.org/officeDocument/2006/relationships/hyperlink" Target="http://dx.doi.org/10.1109/VISUAL.2002.1183769" TargetMode="External"/><Relationship Id="rId955" Type="http://schemas.openxmlformats.org/officeDocument/2006/relationships/hyperlink" Target="http://dx.doi.org/10.1109/VISUAL.2002.1183768" TargetMode="External"/><Relationship Id="rId950" Type="http://schemas.openxmlformats.org/officeDocument/2006/relationships/hyperlink" Target="http://dx.doi.org/10.1109/VISUAL.2002.1183763" TargetMode="External"/><Relationship Id="rId2870" Type="http://schemas.openxmlformats.org/officeDocument/2006/relationships/hyperlink" Target="http://dx.doi.org/10.1109/TVCG.2017.2743898" TargetMode="External"/><Relationship Id="rId1540" Type="http://schemas.openxmlformats.org/officeDocument/2006/relationships/hyperlink" Target="http://dx.doi.org/10.1109/TVCG.2007.70515" TargetMode="External"/><Relationship Id="rId2871" Type="http://schemas.openxmlformats.org/officeDocument/2006/relationships/hyperlink" Target="http://dx.doi.org/10.1109/TVCG.2017.2743918" TargetMode="External"/><Relationship Id="rId1541" Type="http://schemas.openxmlformats.org/officeDocument/2006/relationships/hyperlink" Target="http://dx.doi.org/10.1109/TVCG.2007.70516" TargetMode="External"/><Relationship Id="rId2872" Type="http://schemas.openxmlformats.org/officeDocument/2006/relationships/hyperlink" Target="http://dx.doi.org/10.1109/TVCG.2017.2743938" TargetMode="External"/><Relationship Id="rId1542" Type="http://schemas.openxmlformats.org/officeDocument/2006/relationships/hyperlink" Target="http://dx.doi.org/10.1109/TVCG.2007.70517" TargetMode="External"/><Relationship Id="rId2873" Type="http://schemas.openxmlformats.org/officeDocument/2006/relationships/hyperlink" Target="http://dx.doi.org/10.1109/TVCG.2017.2743939" TargetMode="External"/><Relationship Id="rId2027" Type="http://schemas.openxmlformats.org/officeDocument/2006/relationships/hyperlink" Target="http://ieeexplore.ieee.org/xpl/articleDetails.jsp?arnumber=5650177" TargetMode="External"/><Relationship Id="rId2028" Type="http://schemas.openxmlformats.org/officeDocument/2006/relationships/hyperlink" Target="http://dx.doi.org/10.1109/VAST.2010.5650199" TargetMode="External"/><Relationship Id="rId2029" Type="http://schemas.openxmlformats.org/officeDocument/2006/relationships/hyperlink" Target="http://dx.doi.org/10.1109/VAST.2010.5650219" TargetMode="External"/><Relationship Id="rId107" Type="http://schemas.openxmlformats.org/officeDocument/2006/relationships/hyperlink" Target="http://dx.doi.org/10.1109/VISUAL.1991.175834" TargetMode="External"/><Relationship Id="rId106" Type="http://schemas.openxmlformats.org/officeDocument/2006/relationships/hyperlink" Target="http://dx.doi.org/10.1109/VISUAL.1991.175833" TargetMode="External"/><Relationship Id="rId105" Type="http://schemas.openxmlformats.org/officeDocument/2006/relationships/hyperlink" Target="http://dx.doi.org/10.1109/VISUAL.1991.175832" TargetMode="External"/><Relationship Id="rId104" Type="http://schemas.openxmlformats.org/officeDocument/2006/relationships/hyperlink" Target="http://dx.doi.org/10.1109/VISUAL.1991.175831" TargetMode="External"/><Relationship Id="rId109" Type="http://schemas.openxmlformats.org/officeDocument/2006/relationships/hyperlink" Target="http://dx.doi.org/10.1109/VISUAL.1991.175836" TargetMode="External"/><Relationship Id="rId108" Type="http://schemas.openxmlformats.org/officeDocument/2006/relationships/hyperlink" Target="http://dx.doi.org/10.1109/VISUAL.1991.175835" TargetMode="External"/><Relationship Id="rId2020" Type="http://schemas.openxmlformats.org/officeDocument/2006/relationships/hyperlink" Target="http://dx.doi.org/10.1109/TVCG.2010.217" TargetMode="External"/><Relationship Id="rId2021" Type="http://schemas.openxmlformats.org/officeDocument/2006/relationships/hyperlink" Target="http://dx.doi.org/10.1109/TVCG.2010.218" TargetMode="External"/><Relationship Id="rId2022" Type="http://schemas.openxmlformats.org/officeDocument/2006/relationships/hyperlink" Target="http://dx.doi.org/10.1109/TVCG.2010.221" TargetMode="External"/><Relationship Id="rId103" Type="http://schemas.openxmlformats.org/officeDocument/2006/relationships/hyperlink" Target="http://dx.doi.org/10.1109/VISUAL.1991.175830" TargetMode="External"/><Relationship Id="rId2023" Type="http://schemas.openxmlformats.org/officeDocument/2006/relationships/hyperlink" Target="http://dx.doi.org/10.1109/TVCG.2010.222" TargetMode="External"/><Relationship Id="rId102" Type="http://schemas.openxmlformats.org/officeDocument/2006/relationships/hyperlink" Target="http://dx.doi.org/10.1109/VISUAL.1991.175828" TargetMode="External"/><Relationship Id="rId2024" Type="http://schemas.openxmlformats.org/officeDocument/2006/relationships/hyperlink" Target="http://dx.doi.org/10.1109/TVCG.2010.223" TargetMode="External"/><Relationship Id="rId101" Type="http://schemas.openxmlformats.org/officeDocument/2006/relationships/hyperlink" Target="http://dx.doi.org/10.1109/VISUAL.1991.175827" TargetMode="External"/><Relationship Id="rId2025" Type="http://schemas.openxmlformats.org/officeDocument/2006/relationships/hyperlink" Target="http://dx.doi.org/10.1109/VAST.2010.5649831" TargetMode="External"/><Relationship Id="rId100" Type="http://schemas.openxmlformats.org/officeDocument/2006/relationships/hyperlink" Target="http://dx.doi.org/10.1109/VISUAL.1991.175826" TargetMode="External"/><Relationship Id="rId2026" Type="http://schemas.openxmlformats.org/officeDocument/2006/relationships/hyperlink" Target="http://dx.doi.org/10.1109/VAST.2010.5649905" TargetMode="External"/><Relationship Id="rId2016" Type="http://schemas.openxmlformats.org/officeDocument/2006/relationships/hyperlink" Target="http://dx.doi.org/10.1109/TVCG.2010.213" TargetMode="External"/><Relationship Id="rId2017" Type="http://schemas.openxmlformats.org/officeDocument/2006/relationships/hyperlink" Target="http://dx.doi.org/10.1109/TVCG.2010.214" TargetMode="External"/><Relationship Id="rId2018" Type="http://schemas.openxmlformats.org/officeDocument/2006/relationships/hyperlink" Target="http://dx.doi.org/10.1109/TVCG.2010.215" TargetMode="External"/><Relationship Id="rId2019" Type="http://schemas.openxmlformats.org/officeDocument/2006/relationships/hyperlink" Target="http://dx.doi.org/10.1109/TVCG.2010.216" TargetMode="External"/><Relationship Id="rId2010" Type="http://schemas.openxmlformats.org/officeDocument/2006/relationships/hyperlink" Target="http://dx.doi.org/10.1109/TVCG.2010.207" TargetMode="External"/><Relationship Id="rId2011" Type="http://schemas.openxmlformats.org/officeDocument/2006/relationships/hyperlink" Target="http://dx.doi.org/10.1109/TVCG.2010.208" TargetMode="External"/><Relationship Id="rId2012" Type="http://schemas.openxmlformats.org/officeDocument/2006/relationships/hyperlink" Target="http://dx.doi.org/10.1109/TVCG.2010.209" TargetMode="External"/><Relationship Id="rId2013" Type="http://schemas.openxmlformats.org/officeDocument/2006/relationships/hyperlink" Target="http://dx.doi.org/10.1109/TVCG.2010.210" TargetMode="External"/><Relationship Id="rId2014" Type="http://schemas.openxmlformats.org/officeDocument/2006/relationships/hyperlink" Target="http://dx.doi.org/10.1109/TVCG.2010.211" TargetMode="External"/><Relationship Id="rId2015" Type="http://schemas.openxmlformats.org/officeDocument/2006/relationships/hyperlink" Target="http://dx.doi.org/10.1109/TVCG.2010.212" TargetMode="External"/><Relationship Id="rId2049" Type="http://schemas.openxmlformats.org/officeDocument/2006/relationships/hyperlink" Target="http://dx.doi.org/10.1109/VAST.2010.5652532" TargetMode="External"/><Relationship Id="rId129" Type="http://schemas.openxmlformats.org/officeDocument/2006/relationships/hyperlink" Target="http://dx.doi.org/10.1109/VISUAL.1992.235190" TargetMode="External"/><Relationship Id="rId128" Type="http://schemas.openxmlformats.org/officeDocument/2006/relationships/hyperlink" Target="http://dx.doi.org/10.1109/VISUAL.1992.235189" TargetMode="External"/><Relationship Id="rId127" Type="http://schemas.openxmlformats.org/officeDocument/2006/relationships/hyperlink" Target="http://dx.doi.org/10.1109/VISUAL.1992.235188" TargetMode="External"/><Relationship Id="rId126" Type="http://schemas.openxmlformats.org/officeDocument/2006/relationships/hyperlink" Target="http://dx.doi.org/10.1109/VISUAL.1992.235187" TargetMode="External"/><Relationship Id="rId2040" Type="http://schemas.openxmlformats.org/officeDocument/2006/relationships/hyperlink" Target="http://dx.doi.org/10.1109/VAST.2010.5652433" TargetMode="External"/><Relationship Id="rId121" Type="http://schemas.openxmlformats.org/officeDocument/2006/relationships/hyperlink" Target="http://dx.doi.org/10.1109/VISUAL.1992.235182" TargetMode="External"/><Relationship Id="rId2041" Type="http://schemas.openxmlformats.org/officeDocument/2006/relationships/hyperlink" Target="http://dx.doi.org/10.1109/VAST.2010.5652443" TargetMode="External"/><Relationship Id="rId120" Type="http://schemas.openxmlformats.org/officeDocument/2006/relationships/hyperlink" Target="http://dx.doi.org/10.1109/VISUAL.1992.235181" TargetMode="External"/><Relationship Id="rId2042" Type="http://schemas.openxmlformats.org/officeDocument/2006/relationships/hyperlink" Target="http://dx.doi.org/10.1109/VAST.2010.5652450" TargetMode="External"/><Relationship Id="rId2043" Type="http://schemas.openxmlformats.org/officeDocument/2006/relationships/hyperlink" Target="http://dx.doi.org/10.1109/VAST.2010.5652460" TargetMode="External"/><Relationship Id="rId2044" Type="http://schemas.openxmlformats.org/officeDocument/2006/relationships/hyperlink" Target="http://dx.doi.org/10.1109/VAST.2010.5652467" TargetMode="External"/><Relationship Id="rId125" Type="http://schemas.openxmlformats.org/officeDocument/2006/relationships/hyperlink" Target="http://dx.doi.org/10.1109/VISUAL.1992.235186" TargetMode="External"/><Relationship Id="rId2045" Type="http://schemas.openxmlformats.org/officeDocument/2006/relationships/hyperlink" Target="http://dx.doi.org/10.1109/VAST.2010.5652478" TargetMode="External"/><Relationship Id="rId124" Type="http://schemas.openxmlformats.org/officeDocument/2006/relationships/hyperlink" Target="http://dx.doi.org/10.1109/VISUAL.1992.235185" TargetMode="External"/><Relationship Id="rId2046" Type="http://schemas.openxmlformats.org/officeDocument/2006/relationships/hyperlink" Target="http://dx.doi.org/10.1109/VAST.2010.5652484" TargetMode="External"/><Relationship Id="rId123" Type="http://schemas.openxmlformats.org/officeDocument/2006/relationships/hyperlink" Target="http://dx.doi.org/10.1109/VISUAL.1992.235184" TargetMode="External"/><Relationship Id="rId2047" Type="http://schemas.openxmlformats.org/officeDocument/2006/relationships/hyperlink" Target="http://dx.doi.org/10.1109/VAST.2010.5652520" TargetMode="External"/><Relationship Id="rId122" Type="http://schemas.openxmlformats.org/officeDocument/2006/relationships/hyperlink" Target="http://dx.doi.org/10.1109/VISUAL.1992.235183" TargetMode="External"/><Relationship Id="rId2048" Type="http://schemas.openxmlformats.org/officeDocument/2006/relationships/hyperlink" Target="http://dx.doi.org/10.1109/VAST.2010.5652530" TargetMode="External"/><Relationship Id="rId2038" Type="http://schemas.openxmlformats.org/officeDocument/2006/relationships/hyperlink" Target="http://dx.doi.org/10.1109/VAST.2010.5652392" TargetMode="External"/><Relationship Id="rId2039" Type="http://schemas.openxmlformats.org/officeDocument/2006/relationships/hyperlink" Target="http://dx.doi.org/10.1109/VAST.2010.5652398" TargetMode="External"/><Relationship Id="rId118" Type="http://schemas.openxmlformats.org/officeDocument/2006/relationships/hyperlink" Target="http://dx.doi.org/10.1109/VISUAL.1992.235179" TargetMode="External"/><Relationship Id="rId117" Type="http://schemas.openxmlformats.org/officeDocument/2006/relationships/hyperlink" Target="http://dx.doi.org/10.1109/VISUAL.1992.235178" TargetMode="External"/><Relationship Id="rId116" Type="http://schemas.openxmlformats.org/officeDocument/2006/relationships/hyperlink" Target="http://dx.doi.org/10.1109/VISUAL.1992.235177" TargetMode="External"/><Relationship Id="rId115" Type="http://schemas.openxmlformats.org/officeDocument/2006/relationships/hyperlink" Target="http://dx.doi.org/10.1109/VISUAL.1992.235176" TargetMode="External"/><Relationship Id="rId119" Type="http://schemas.openxmlformats.org/officeDocument/2006/relationships/hyperlink" Target="http://dx.doi.org/10.1109/VISUAL.1992.235180" TargetMode="External"/><Relationship Id="rId110" Type="http://schemas.openxmlformats.org/officeDocument/2006/relationships/hyperlink" Target="http://dx.doi.org/10.1109/VISUAL.1991.175837" TargetMode="External"/><Relationship Id="rId2030" Type="http://schemas.openxmlformats.org/officeDocument/2006/relationships/hyperlink" Target="http://dx.doi.org/10.1109/VAST.2010.5650251" TargetMode="External"/><Relationship Id="rId2031" Type="http://schemas.openxmlformats.org/officeDocument/2006/relationships/hyperlink" Target="http://dx.doi.org/10.1109/VAST.2010.5650766" TargetMode="External"/><Relationship Id="rId2032" Type="http://schemas.openxmlformats.org/officeDocument/2006/relationships/hyperlink" Target="http://dx.doi.org/10.1109/VAST.2010.5650815" TargetMode="External"/><Relationship Id="rId2033" Type="http://schemas.openxmlformats.org/officeDocument/2006/relationships/hyperlink" Target="http://dx.doi.org/10.1109/VAST.2010.5650854" TargetMode="External"/><Relationship Id="rId114" Type="http://schemas.openxmlformats.org/officeDocument/2006/relationships/hyperlink" Target="http://dx.doi.org/10.1109/VISUAL.1992.235175" TargetMode="External"/><Relationship Id="rId2034" Type="http://schemas.openxmlformats.org/officeDocument/2006/relationships/hyperlink" Target="http://dx.doi.org/10.1109/VAST.2010.5651192" TargetMode="External"/><Relationship Id="rId113" Type="http://schemas.openxmlformats.org/officeDocument/2006/relationships/hyperlink" Target="http://dx.doi.org/10.1109/VISUAL.1992.235174" TargetMode="External"/><Relationship Id="rId2035" Type="http://schemas.openxmlformats.org/officeDocument/2006/relationships/hyperlink" Target="http://dx.doi.org/10.1109/VAST.2010.5651617" TargetMode="External"/><Relationship Id="rId112" Type="http://schemas.openxmlformats.org/officeDocument/2006/relationships/hyperlink" Target="http://dx.doi.org/10.1109/VISUAL.1992.235173" TargetMode="External"/><Relationship Id="rId2036" Type="http://schemas.openxmlformats.org/officeDocument/2006/relationships/hyperlink" Target="http://dx.doi.org/10.1109/VAST.2010.5651676" TargetMode="External"/><Relationship Id="rId111" Type="http://schemas.openxmlformats.org/officeDocument/2006/relationships/hyperlink" Target="http://dx.doi.org/10.1109/VISUAL.1991.175838" TargetMode="External"/><Relationship Id="rId2037" Type="http://schemas.openxmlformats.org/officeDocument/2006/relationships/hyperlink" Target="http://dx.doi.org/10.1109/VAST.2010.5651694" TargetMode="External"/><Relationship Id="rId2005" Type="http://schemas.openxmlformats.org/officeDocument/2006/relationships/hyperlink" Target="http://dx.doi.org/10.1109/TVCG.2010.199" TargetMode="External"/><Relationship Id="rId2006" Type="http://schemas.openxmlformats.org/officeDocument/2006/relationships/hyperlink" Target="http://dx.doi.org/10.1109/TVCG.2010.200" TargetMode="External"/><Relationship Id="rId2007" Type="http://schemas.openxmlformats.org/officeDocument/2006/relationships/hyperlink" Target="http://dx.doi.org/10.1109/TVCG.2010.202" TargetMode="External"/><Relationship Id="rId2008" Type="http://schemas.openxmlformats.org/officeDocument/2006/relationships/hyperlink" Target="http://dx.doi.org/10.1109/TVCG.2010.205" TargetMode="External"/><Relationship Id="rId2009" Type="http://schemas.openxmlformats.org/officeDocument/2006/relationships/hyperlink" Target="http://dx.doi.org/10.1109/TVCG.2010.206" TargetMode="External"/><Relationship Id="rId2000" Type="http://schemas.openxmlformats.org/officeDocument/2006/relationships/hyperlink" Target="http://dx.doi.org/10.1109/TVCG.2010.194" TargetMode="External"/><Relationship Id="rId2001" Type="http://schemas.openxmlformats.org/officeDocument/2006/relationships/hyperlink" Target="http://dx.doi.org/10.1109/TVCG.2010.195" TargetMode="External"/><Relationship Id="rId2002" Type="http://schemas.openxmlformats.org/officeDocument/2006/relationships/hyperlink" Target="http://dx.doi.org/10.1109/TVCG.2010.196" TargetMode="External"/><Relationship Id="rId2003" Type="http://schemas.openxmlformats.org/officeDocument/2006/relationships/hyperlink" Target="http://dx.doi.org/10.1109/TVCG.2010.197" TargetMode="External"/><Relationship Id="rId2004" Type="http://schemas.openxmlformats.org/officeDocument/2006/relationships/hyperlink" Target="http://dx.doi.org/10.1109/TVCG.2010.198" TargetMode="External"/><Relationship Id="rId2090" Type="http://schemas.openxmlformats.org/officeDocument/2006/relationships/hyperlink" Target="http://dx.doi.org/10.1109/TVCG.2011.178" TargetMode="External"/><Relationship Id="rId2091" Type="http://schemas.openxmlformats.org/officeDocument/2006/relationships/hyperlink" Target="http://dx.doi.org/10.1109/TVCG.2011.179" TargetMode="External"/><Relationship Id="rId2092" Type="http://schemas.openxmlformats.org/officeDocument/2006/relationships/hyperlink" Target="http://dx.doi.org/10.1109/TVCG.2011.181" TargetMode="External"/><Relationship Id="rId2093" Type="http://schemas.openxmlformats.org/officeDocument/2006/relationships/hyperlink" Target="http://dx.doi.org/10.1109/TVCG.2011.182" TargetMode="External"/><Relationship Id="rId2094" Type="http://schemas.openxmlformats.org/officeDocument/2006/relationships/hyperlink" Target="http://dx.doi.org/10.1109/TVCG.2011.183" TargetMode="External"/><Relationship Id="rId2095" Type="http://schemas.openxmlformats.org/officeDocument/2006/relationships/hyperlink" Target="http://dx.doi.org/10.1109/TVCG.2011.184" TargetMode="External"/><Relationship Id="rId2096" Type="http://schemas.openxmlformats.org/officeDocument/2006/relationships/hyperlink" Target="http://dx.doi.org/10.1109/TVCG.2011.185" TargetMode="External"/><Relationship Id="rId2097" Type="http://schemas.openxmlformats.org/officeDocument/2006/relationships/hyperlink" Target="http://dx.doi.org/10.1109/TVCG.2011.186" TargetMode="External"/><Relationship Id="rId2098" Type="http://schemas.openxmlformats.org/officeDocument/2006/relationships/hyperlink" Target="http://dx.doi.org/10.1109/TVCG.2011.187" TargetMode="External"/><Relationship Id="rId2099" Type="http://schemas.openxmlformats.org/officeDocument/2006/relationships/hyperlink" Target="http://dx.doi.org/10.1109/TVCG.2011.188" TargetMode="External"/><Relationship Id="rId2060" Type="http://schemas.openxmlformats.org/officeDocument/2006/relationships/hyperlink" Target="http://dx.doi.org/10.1109/VAST.2010.5652932" TargetMode="External"/><Relationship Id="rId2061" Type="http://schemas.openxmlformats.org/officeDocument/2006/relationships/hyperlink" Target="http://dx.doi.org/10.1109/VAST.2010.5652940" TargetMode="External"/><Relationship Id="rId2062" Type="http://schemas.openxmlformats.org/officeDocument/2006/relationships/hyperlink" Target="http://dx.doi.org/10.1109/VAST.2010.5652951" TargetMode="External"/><Relationship Id="rId2063" Type="http://schemas.openxmlformats.org/officeDocument/2006/relationships/hyperlink" Target="http://dx.doi.org/10.1109/VAST.2010.5652958" TargetMode="External"/><Relationship Id="rId2064" Type="http://schemas.openxmlformats.org/officeDocument/2006/relationships/hyperlink" Target="http://dx.doi.org/10.1109/VAST.2010.5652968" TargetMode="External"/><Relationship Id="rId2065" Type="http://schemas.openxmlformats.org/officeDocument/2006/relationships/hyperlink" Target="http://dx.doi.org/10.1109/VAST.2010.5653580" TargetMode="External"/><Relationship Id="rId2066" Type="http://schemas.openxmlformats.org/officeDocument/2006/relationships/hyperlink" Target="http://dx.doi.org/10.1109/VAST.2010.5653587" TargetMode="External"/><Relationship Id="rId2067" Type="http://schemas.openxmlformats.org/officeDocument/2006/relationships/hyperlink" Target="http://dx.doi.org/10.1109/VAST.2010.5653598" TargetMode="External"/><Relationship Id="rId2068" Type="http://schemas.openxmlformats.org/officeDocument/2006/relationships/hyperlink" Target="http://dx.doi.org/10.1109/VAST.2010.5653599" TargetMode="External"/><Relationship Id="rId2069" Type="http://schemas.openxmlformats.org/officeDocument/2006/relationships/hyperlink" Target="http://dx.doi.org/10.1109/VAST.2010.5653822" TargetMode="External"/><Relationship Id="rId2050" Type="http://schemas.openxmlformats.org/officeDocument/2006/relationships/hyperlink" Target="http://dx.doi.org/10.1109/VAST.2010.5652879" TargetMode="External"/><Relationship Id="rId2051" Type="http://schemas.openxmlformats.org/officeDocument/2006/relationships/hyperlink" Target="http://dx.doi.org/10.1109/VAST.2010.5652880" TargetMode="External"/><Relationship Id="rId2052" Type="http://schemas.openxmlformats.org/officeDocument/2006/relationships/hyperlink" Target="http://dx.doi.org/10.1109/VAST.2010.5652885" TargetMode="External"/><Relationship Id="rId2053" Type="http://schemas.openxmlformats.org/officeDocument/2006/relationships/hyperlink" Target="http://dx.doi.org/10.1109/VAST.2010.5652890" TargetMode="External"/><Relationship Id="rId2054" Type="http://schemas.openxmlformats.org/officeDocument/2006/relationships/hyperlink" Target="http://dx.doi.org/10.1109/VAST.2010.5652895" TargetMode="External"/><Relationship Id="rId2055" Type="http://schemas.openxmlformats.org/officeDocument/2006/relationships/hyperlink" Target="http://dx.doi.org/10.1109/VAST.2010.5652896" TargetMode="External"/><Relationship Id="rId2056" Type="http://schemas.openxmlformats.org/officeDocument/2006/relationships/hyperlink" Target="http://dx.doi.org/10.1109/VAST.2010.5652910" TargetMode="External"/><Relationship Id="rId2057" Type="http://schemas.openxmlformats.org/officeDocument/2006/relationships/hyperlink" Target="http://dx.doi.org/10.1109/VAST.2010.5652922" TargetMode="External"/><Relationship Id="rId2058" Type="http://schemas.openxmlformats.org/officeDocument/2006/relationships/hyperlink" Target="http://dx.doi.org/10.1109/VAST.2010.5652926" TargetMode="External"/><Relationship Id="rId2059" Type="http://schemas.openxmlformats.org/officeDocument/2006/relationships/hyperlink" Target="http://dx.doi.org/10.1109/VAST.2010.5652931" TargetMode="External"/><Relationship Id="rId2080" Type="http://schemas.openxmlformats.org/officeDocument/2006/relationships/hyperlink" Target="http://dx.doi.org/10.1109/TVCG.2011.167" TargetMode="External"/><Relationship Id="rId2081" Type="http://schemas.openxmlformats.org/officeDocument/2006/relationships/hyperlink" Target="http://dx.doi.org/10.1109/TVCG.2011.168" TargetMode="External"/><Relationship Id="rId2082" Type="http://schemas.openxmlformats.org/officeDocument/2006/relationships/hyperlink" Target="http://dx.doi.org/10.1109/TVCG.2011.169" TargetMode="External"/><Relationship Id="rId2083" Type="http://schemas.openxmlformats.org/officeDocument/2006/relationships/hyperlink" Target="http://dx.doi.org/10.1109/TVCG.2011.170" TargetMode="External"/><Relationship Id="rId2084" Type="http://schemas.openxmlformats.org/officeDocument/2006/relationships/hyperlink" Target="http://dx.doi.org/10.1109/TVCG.2011.171" TargetMode="External"/><Relationship Id="rId2085" Type="http://schemas.openxmlformats.org/officeDocument/2006/relationships/hyperlink" Target="http://dx.doi.org/10.1109/TVCG.2011.173" TargetMode="External"/><Relationship Id="rId2086" Type="http://schemas.openxmlformats.org/officeDocument/2006/relationships/hyperlink" Target="http://dx.doi.org/10.1109/TVCG.2011.174" TargetMode="External"/><Relationship Id="rId2087" Type="http://schemas.openxmlformats.org/officeDocument/2006/relationships/hyperlink" Target="http://dx.doi.org/10.1109/TVCG.2011.175" TargetMode="External"/><Relationship Id="rId2088" Type="http://schemas.openxmlformats.org/officeDocument/2006/relationships/hyperlink" Target="http://dx.doi.org/10.1109/TVCG.2011.176" TargetMode="External"/><Relationship Id="rId2089" Type="http://schemas.openxmlformats.org/officeDocument/2006/relationships/hyperlink" Target="http://dx.doi.org/10.1109/TVCG.2011.177" TargetMode="External"/><Relationship Id="rId2070" Type="http://schemas.openxmlformats.org/officeDocument/2006/relationships/hyperlink" Target="http://dx.doi.org/10.1109/VAST.2010.5654445" TargetMode="External"/><Relationship Id="rId2071" Type="http://schemas.openxmlformats.org/officeDocument/2006/relationships/hyperlink" Target="http://dx.doi.org/10.1109/VAST.2010.5654451" TargetMode="External"/><Relationship Id="rId2072" Type="http://schemas.openxmlformats.org/officeDocument/2006/relationships/hyperlink" Target="http://dx.doi.org/10.1109/TVCG.2011.159" TargetMode="External"/><Relationship Id="rId2073" Type="http://schemas.openxmlformats.org/officeDocument/2006/relationships/hyperlink" Target="http://dx.doi.org/10.1109/TVCG.2011.160" TargetMode="External"/><Relationship Id="rId2074" Type="http://schemas.openxmlformats.org/officeDocument/2006/relationships/hyperlink" Target="http://dx.doi.org/10.1109/TVCG.2011.161" TargetMode="External"/><Relationship Id="rId2075" Type="http://schemas.openxmlformats.org/officeDocument/2006/relationships/hyperlink" Target="http://dx.doi.org/10.1109/TVCG.2011.162" TargetMode="External"/><Relationship Id="rId2076" Type="http://schemas.openxmlformats.org/officeDocument/2006/relationships/hyperlink" Target="http://dx.doi.org/10.1109/TVCG.2011.163" TargetMode="External"/><Relationship Id="rId2077" Type="http://schemas.openxmlformats.org/officeDocument/2006/relationships/hyperlink" Target="http://dx.doi.org/10.1109/TVCG.2011.164" TargetMode="External"/><Relationship Id="rId2078" Type="http://schemas.openxmlformats.org/officeDocument/2006/relationships/hyperlink" Target="http://dx.doi.org/10.1109/TVCG.2011.165" TargetMode="External"/><Relationship Id="rId2079" Type="http://schemas.openxmlformats.org/officeDocument/2006/relationships/hyperlink" Target="http://dx.doi.org/10.1109/TVCG.2011.166" TargetMode="External"/><Relationship Id="rId2940" Type="http://schemas.openxmlformats.org/officeDocument/2006/relationships/hyperlink" Target="http://dx.doi.org/10.1109/TVCG.2017.2745085" TargetMode="External"/><Relationship Id="rId1610" Type="http://schemas.openxmlformats.org/officeDocument/2006/relationships/hyperlink" Target="http://dx.doi.org/10.1109/TVCG.2007.70598" TargetMode="External"/><Relationship Id="rId2941" Type="http://schemas.openxmlformats.org/officeDocument/2006/relationships/hyperlink" Target="http://dx.doi.org/10.1109/TVCG.2017.2745086" TargetMode="External"/><Relationship Id="rId1611" Type="http://schemas.openxmlformats.org/officeDocument/2006/relationships/hyperlink" Target="http://dx.doi.org/10.1109/TVCG.2007.70599" TargetMode="External"/><Relationship Id="rId2942" Type="http://schemas.openxmlformats.org/officeDocument/2006/relationships/hyperlink" Target="http://dx.doi.org/10.1109/TVCG.2017.2745105" TargetMode="External"/><Relationship Id="rId1612" Type="http://schemas.openxmlformats.org/officeDocument/2006/relationships/hyperlink" Target="http://dx.doi.org/10.1109/TVCG.2007.70600" TargetMode="External"/><Relationship Id="rId2943" Type="http://schemas.openxmlformats.org/officeDocument/2006/relationships/hyperlink" Target="http://dx.doi.org/10.1109/TVCG.2017.2745118" TargetMode="External"/><Relationship Id="rId1613" Type="http://schemas.openxmlformats.org/officeDocument/2006/relationships/hyperlink" Target="http://dx.doi.org/10.1109/TVCG.2007.70601" TargetMode="External"/><Relationship Id="rId2944" Type="http://schemas.openxmlformats.org/officeDocument/2006/relationships/hyperlink" Target="http://dx.doi.org/10.1109/TVCG.2017.2745138" TargetMode="External"/><Relationship Id="rId1614" Type="http://schemas.openxmlformats.org/officeDocument/2006/relationships/hyperlink" Target="http://dx.doi.org/10.1109/TVCG.2007.70602" TargetMode="External"/><Relationship Id="rId2945" Type="http://schemas.openxmlformats.org/officeDocument/2006/relationships/hyperlink" Target="http://dx.doi.org/10.1109/TVCG.2017.2745139" TargetMode="External"/><Relationship Id="rId1615" Type="http://schemas.openxmlformats.org/officeDocument/2006/relationships/hyperlink" Target="http://dx.doi.org/10.1109/TVCG.2007.70603" TargetMode="External"/><Relationship Id="rId2946" Type="http://schemas.openxmlformats.org/officeDocument/2006/relationships/hyperlink" Target="http://dx.doi.org/10.1109/TVCG.2017.2745140" TargetMode="External"/><Relationship Id="rId1616" Type="http://schemas.openxmlformats.org/officeDocument/2006/relationships/hyperlink" Target="http://dx.doi.org/10.1109/TVCG.2007.70604" TargetMode="External"/><Relationship Id="rId2947" Type="http://schemas.openxmlformats.org/officeDocument/2006/relationships/hyperlink" Target="http://dx.doi.org/10.1109/TVCG.2017.2745141" TargetMode="External"/><Relationship Id="rId907" Type="http://schemas.openxmlformats.org/officeDocument/2006/relationships/hyperlink" Target="http://dx.doi.org/10.1109/VISUAL.2001.964556" TargetMode="External"/><Relationship Id="rId1617" Type="http://schemas.openxmlformats.org/officeDocument/2006/relationships/hyperlink" Target="http://dx.doi.org/10.1109/TVCG.2007.70610" TargetMode="External"/><Relationship Id="rId2948" Type="http://schemas.openxmlformats.org/officeDocument/2006/relationships/hyperlink" Target="http://dx.doi.org/10.1109/TVCG.2017.2745158" TargetMode="External"/><Relationship Id="rId906" Type="http://schemas.openxmlformats.org/officeDocument/2006/relationships/hyperlink" Target="http://dx.doi.org/10.1109/VISUAL.2001.964555" TargetMode="External"/><Relationship Id="rId1618" Type="http://schemas.openxmlformats.org/officeDocument/2006/relationships/hyperlink" Target="http://dx.doi.org/10.1109/TVCG.2007.70614" TargetMode="External"/><Relationship Id="rId2949" Type="http://schemas.openxmlformats.org/officeDocument/2006/relationships/hyperlink" Target="http://dx.doi.org/10.1109/TVCG.2017.2745178" TargetMode="External"/><Relationship Id="rId905" Type="http://schemas.openxmlformats.org/officeDocument/2006/relationships/hyperlink" Target="http://dx.doi.org/10.1109/VISUAL.2001.964554" TargetMode="External"/><Relationship Id="rId1619" Type="http://schemas.openxmlformats.org/officeDocument/2006/relationships/hyperlink" Target="http://dx.doi.org/10.1109/TVCG.2007.70615" TargetMode="External"/><Relationship Id="rId904" Type="http://schemas.openxmlformats.org/officeDocument/2006/relationships/hyperlink" Target="http://dx.doi.org/10.1109/VISUAL.2001.964553" TargetMode="External"/><Relationship Id="rId909" Type="http://schemas.openxmlformats.org/officeDocument/2006/relationships/hyperlink" Target="http://dx.doi.org/10.1109/VISUAL.2001.964559" TargetMode="External"/><Relationship Id="rId908" Type="http://schemas.openxmlformats.org/officeDocument/2006/relationships/hyperlink" Target="http://dx.doi.org/10.1109/VISUAL.2001.964557" TargetMode="External"/><Relationship Id="rId903" Type="http://schemas.openxmlformats.org/officeDocument/2006/relationships/hyperlink" Target="http://dx.doi.org/10.1109/VISUAL.2001.964552" TargetMode="External"/><Relationship Id="rId902" Type="http://schemas.openxmlformats.org/officeDocument/2006/relationships/hyperlink" Target="http://dx.doi.org/10.1109/VISUAL.2001.964551" TargetMode="External"/><Relationship Id="rId901" Type="http://schemas.openxmlformats.org/officeDocument/2006/relationships/hyperlink" Target="http://dx.doi.org/10.1109/VISUAL.2001.964550" TargetMode="External"/><Relationship Id="rId900" Type="http://schemas.openxmlformats.org/officeDocument/2006/relationships/hyperlink" Target="http://dx.doi.org/10.1109/VISUAL.2001.964549" TargetMode="External"/><Relationship Id="rId2930" Type="http://schemas.openxmlformats.org/officeDocument/2006/relationships/hyperlink" Target="http://dx.doi.org/10.1109/TVCG.2017.2744758" TargetMode="External"/><Relationship Id="rId1600" Type="http://schemas.openxmlformats.org/officeDocument/2006/relationships/hyperlink" Target="http://dx.doi.org/10.1109/TVCG.2007.70588" TargetMode="External"/><Relationship Id="rId2931" Type="http://schemas.openxmlformats.org/officeDocument/2006/relationships/hyperlink" Target="http://dx.doi.org/10.1109/TVCG.2017.2744805" TargetMode="External"/><Relationship Id="rId1601" Type="http://schemas.openxmlformats.org/officeDocument/2006/relationships/hyperlink" Target="http://dx.doi.org/10.1109/TVCG.2007.70589" TargetMode="External"/><Relationship Id="rId2932" Type="http://schemas.openxmlformats.org/officeDocument/2006/relationships/hyperlink" Target="http://dx.doi.org/10.1109/TVCG.2017.2744818" TargetMode="External"/><Relationship Id="rId1602" Type="http://schemas.openxmlformats.org/officeDocument/2006/relationships/hyperlink" Target="http://dx.doi.org/10.1109/TVCG.2007.70590" TargetMode="External"/><Relationship Id="rId2933" Type="http://schemas.openxmlformats.org/officeDocument/2006/relationships/hyperlink" Target="http://dx.doi.org/10.1109/TVCG.2017.2744843" TargetMode="External"/><Relationship Id="rId1603" Type="http://schemas.openxmlformats.org/officeDocument/2006/relationships/hyperlink" Target="http://dx.doi.org/10.1109/TVCG.2007.70591" TargetMode="External"/><Relationship Id="rId2934" Type="http://schemas.openxmlformats.org/officeDocument/2006/relationships/hyperlink" Target="http://dx.doi.org/10.1109/TVCG.2017.2744878" TargetMode="External"/><Relationship Id="rId1604" Type="http://schemas.openxmlformats.org/officeDocument/2006/relationships/hyperlink" Target="http://dx.doi.org/10.1109/TVCG.2007.70592" TargetMode="External"/><Relationship Id="rId2935" Type="http://schemas.openxmlformats.org/officeDocument/2006/relationships/hyperlink" Target="http://dx.doi.org/10.1109/TVCG.2017.2744898" TargetMode="External"/><Relationship Id="rId1605" Type="http://schemas.openxmlformats.org/officeDocument/2006/relationships/hyperlink" Target="http://dx.doi.org/10.1109/TVCG.2007.70593" TargetMode="External"/><Relationship Id="rId2936" Type="http://schemas.openxmlformats.org/officeDocument/2006/relationships/hyperlink" Target="http://dx.doi.org/10.1109/TVCG.2017.2744938" TargetMode="External"/><Relationship Id="rId1606" Type="http://schemas.openxmlformats.org/officeDocument/2006/relationships/hyperlink" Target="http://dx.doi.org/10.1109/TVCG.2007.70594" TargetMode="External"/><Relationship Id="rId2937" Type="http://schemas.openxmlformats.org/officeDocument/2006/relationships/hyperlink" Target="http://dx.doi.org/10.1109/TVCG.2017.2745078" TargetMode="External"/><Relationship Id="rId1607" Type="http://schemas.openxmlformats.org/officeDocument/2006/relationships/hyperlink" Target="http://dx.doi.org/10.1109/TVCG.2007.70595" TargetMode="External"/><Relationship Id="rId2938" Type="http://schemas.openxmlformats.org/officeDocument/2006/relationships/hyperlink" Target="http://dx.doi.org/10.1109/TVCG.2017.2745080" TargetMode="External"/><Relationship Id="rId1608" Type="http://schemas.openxmlformats.org/officeDocument/2006/relationships/hyperlink" Target="http://dx.doi.org/10.1109/TVCG.2007.70596" TargetMode="External"/><Relationship Id="rId2939" Type="http://schemas.openxmlformats.org/officeDocument/2006/relationships/hyperlink" Target="http://dx.doi.org/10.1109/TVCG.2017.2745083" TargetMode="External"/><Relationship Id="rId1609" Type="http://schemas.openxmlformats.org/officeDocument/2006/relationships/hyperlink" Target="http://dx.doi.org/10.1109/TVCG.2007.70597" TargetMode="External"/><Relationship Id="rId1631" Type="http://schemas.openxmlformats.org/officeDocument/2006/relationships/hyperlink" Target="http://dx.doi.org/10.1109/VAST.2007.4388997" TargetMode="External"/><Relationship Id="rId2962" Type="http://schemas.openxmlformats.org/officeDocument/2006/relationships/hyperlink" Target="http://dx.doi.org/10.1109/TVCG.2017.2745919" TargetMode="External"/><Relationship Id="rId1632" Type="http://schemas.openxmlformats.org/officeDocument/2006/relationships/hyperlink" Target="http://dx.doi.org/10.1109/VAST.2007.4388998" TargetMode="External"/><Relationship Id="rId2963" Type="http://schemas.openxmlformats.org/officeDocument/2006/relationships/hyperlink" Target="http://dx.doi.org/10.1109/TVCG.2017.2745941" TargetMode="External"/><Relationship Id="rId1633" Type="http://schemas.openxmlformats.org/officeDocument/2006/relationships/hyperlink" Target="http://dx.doi.org/10.1109/VAST.2007.4388999" TargetMode="External"/><Relationship Id="rId2964" Type="http://schemas.openxmlformats.org/officeDocument/2006/relationships/hyperlink" Target="http://dx.doi.org/10.1109/TVCG.2017.2745958" TargetMode="External"/><Relationship Id="rId1634" Type="http://schemas.openxmlformats.org/officeDocument/2006/relationships/hyperlink" Target="http://dx.doi.org/10.1109/VAST.2007.4389000" TargetMode="External"/><Relationship Id="rId2965" Type="http://schemas.openxmlformats.org/officeDocument/2006/relationships/hyperlink" Target="http://dx.doi.org/10.1109/TVCG.2017.2745978" TargetMode="External"/><Relationship Id="rId1635" Type="http://schemas.openxmlformats.org/officeDocument/2006/relationships/hyperlink" Target="http://dx.doi.org/10.1109/VAST.2007.4389001" TargetMode="External"/><Relationship Id="rId2966" Type="http://schemas.openxmlformats.org/officeDocument/2006/relationships/hyperlink" Target="http://dx.doi.org/10.1109/TVCG.2017.2746018" TargetMode="External"/><Relationship Id="rId1636" Type="http://schemas.openxmlformats.org/officeDocument/2006/relationships/hyperlink" Target="http://dx.doi.org/10.1109/VAST.2007.4389002" TargetMode="External"/><Relationship Id="rId2967" Type="http://schemas.openxmlformats.org/officeDocument/2006/relationships/hyperlink" Target="http://dx.doi.org/10.1109/VAST.2017.8585484" TargetMode="External"/><Relationship Id="rId1637" Type="http://schemas.openxmlformats.org/officeDocument/2006/relationships/hyperlink" Target="http://dx.doi.org/10.1109/VAST.2007.4389003" TargetMode="External"/><Relationship Id="rId2968" Type="http://schemas.openxmlformats.org/officeDocument/2006/relationships/hyperlink" Target="http://dx.doi.org/10.1109/VAST.2017.8585487" TargetMode="External"/><Relationship Id="rId1638" Type="http://schemas.openxmlformats.org/officeDocument/2006/relationships/hyperlink" Target="http://dx.doi.org/10.1109/VAST.2007.4389004" TargetMode="External"/><Relationship Id="rId2969" Type="http://schemas.openxmlformats.org/officeDocument/2006/relationships/hyperlink" Target="http://dx.doi.org/10.1109/VAST.2017.8585498" TargetMode="External"/><Relationship Id="rId929" Type="http://schemas.openxmlformats.org/officeDocument/2006/relationships/hyperlink" Target="http://dx.doi.org/10.1109/INFVIS.2002.1173154" TargetMode="External"/><Relationship Id="rId1639" Type="http://schemas.openxmlformats.org/officeDocument/2006/relationships/hyperlink" Target="http://dx.doi.org/10.1109/VAST.2007.4389005" TargetMode="External"/><Relationship Id="rId928" Type="http://schemas.openxmlformats.org/officeDocument/2006/relationships/hyperlink" Target="http://dx.doi.org/10.1109/INFVIS.2002.1173153" TargetMode="External"/><Relationship Id="rId927" Type="http://schemas.openxmlformats.org/officeDocument/2006/relationships/hyperlink" Target="http://dx.doi.org/10.1109/INFVIS.2002.1173152" TargetMode="External"/><Relationship Id="rId926" Type="http://schemas.openxmlformats.org/officeDocument/2006/relationships/hyperlink" Target="http://dx.doi.org/10.1109/INFVIS.2002.1173151" TargetMode="External"/><Relationship Id="rId921" Type="http://schemas.openxmlformats.org/officeDocument/2006/relationships/hyperlink" Target="http://dx.doi.org/10.1109/INFVIS.2002.1173146" TargetMode="External"/><Relationship Id="rId920" Type="http://schemas.openxmlformats.org/officeDocument/2006/relationships/hyperlink" Target="http://dx.doi.org/10.1109/INFVIS.2002.1173145" TargetMode="External"/><Relationship Id="rId925" Type="http://schemas.openxmlformats.org/officeDocument/2006/relationships/hyperlink" Target="http://dx.doi.org/10.1109/INFVIS.2002.1173150" TargetMode="External"/><Relationship Id="rId924" Type="http://schemas.openxmlformats.org/officeDocument/2006/relationships/hyperlink" Target="http://dx.doi.org/10.1109/INFVIS.2002.1173149" TargetMode="External"/><Relationship Id="rId923" Type="http://schemas.openxmlformats.org/officeDocument/2006/relationships/hyperlink" Target="http://dx.doi.org/10.1109/INFVIS.2002.1173148" TargetMode="External"/><Relationship Id="rId922" Type="http://schemas.openxmlformats.org/officeDocument/2006/relationships/hyperlink" Target="http://dx.doi.org/10.1109/INFVIS.2002.1173147" TargetMode="External"/><Relationship Id="rId2960" Type="http://schemas.openxmlformats.org/officeDocument/2006/relationships/hyperlink" Target="http://dx.doi.org/10.1109/TVCG.2017.2745859" TargetMode="External"/><Relationship Id="rId1630" Type="http://schemas.openxmlformats.org/officeDocument/2006/relationships/hyperlink" Target="http://dx.doi.org/10.1109/VAST.2007.4388996" TargetMode="External"/><Relationship Id="rId2961" Type="http://schemas.openxmlformats.org/officeDocument/2006/relationships/hyperlink" Target="http://dx.doi.org/10.1109/TVCG.2017.2745878" TargetMode="External"/><Relationship Id="rId1620" Type="http://schemas.openxmlformats.org/officeDocument/2006/relationships/hyperlink" Target="http://dx.doi.org/10.1109/TVCG.2007.70617" TargetMode="External"/><Relationship Id="rId2951" Type="http://schemas.openxmlformats.org/officeDocument/2006/relationships/hyperlink" Target="http://dx.doi.org/10.1109/TVCG.2017.2745181" TargetMode="External"/><Relationship Id="rId1621" Type="http://schemas.openxmlformats.org/officeDocument/2006/relationships/hyperlink" Target="http://dx.doi.org/10.1109/TVCG.2007.70621" TargetMode="External"/><Relationship Id="rId2952" Type="http://schemas.openxmlformats.org/officeDocument/2006/relationships/hyperlink" Target="http://dx.doi.org/10.1109/TVCG.2017.2745219" TargetMode="External"/><Relationship Id="rId1622" Type="http://schemas.openxmlformats.org/officeDocument/2006/relationships/hyperlink" Target="http://dx.doi.org/10.1109/TVCG.2007.70623" TargetMode="External"/><Relationship Id="rId2953" Type="http://schemas.openxmlformats.org/officeDocument/2006/relationships/hyperlink" Target="http://dx.doi.org/10.1109/TVCG.2017.2745240" TargetMode="External"/><Relationship Id="rId1623" Type="http://schemas.openxmlformats.org/officeDocument/2006/relationships/hyperlink" Target="http://dx.doi.org/10.1109/VAST.2007.4388989" TargetMode="External"/><Relationship Id="rId2954" Type="http://schemas.openxmlformats.org/officeDocument/2006/relationships/hyperlink" Target="http://dx.doi.org/10.1109/TVCG.2017.2745258" TargetMode="External"/><Relationship Id="rId1624" Type="http://schemas.openxmlformats.org/officeDocument/2006/relationships/hyperlink" Target="http://dx.doi.org/10.1109/VAST.2007.4388990" TargetMode="External"/><Relationship Id="rId2955" Type="http://schemas.openxmlformats.org/officeDocument/2006/relationships/hyperlink" Target="http://dx.doi.org/10.1109/TVCG.2017.2745278" TargetMode="External"/><Relationship Id="rId1625" Type="http://schemas.openxmlformats.org/officeDocument/2006/relationships/hyperlink" Target="http://dx.doi.org/10.1109/VAST.2007.4388991" TargetMode="External"/><Relationship Id="rId2956" Type="http://schemas.openxmlformats.org/officeDocument/2006/relationships/hyperlink" Target="http://dx.doi.org/10.1109/TVCG.2017.2745279" TargetMode="External"/><Relationship Id="rId1626" Type="http://schemas.openxmlformats.org/officeDocument/2006/relationships/hyperlink" Target="http://dx.doi.org/10.1109/VAST.2007.4388992" TargetMode="External"/><Relationship Id="rId2957" Type="http://schemas.openxmlformats.org/officeDocument/2006/relationships/hyperlink" Target="http://dx.doi.org/10.1109/TVCG.2017.2745280" TargetMode="External"/><Relationship Id="rId1627" Type="http://schemas.openxmlformats.org/officeDocument/2006/relationships/hyperlink" Target="http://dx.doi.org/10.1109/VAST.2007.4388993" TargetMode="External"/><Relationship Id="rId2958" Type="http://schemas.openxmlformats.org/officeDocument/2006/relationships/hyperlink" Target="http://dx.doi.org/10.1109/TVCG.2017.2745298" TargetMode="External"/><Relationship Id="rId918" Type="http://schemas.openxmlformats.org/officeDocument/2006/relationships/hyperlink" Target="http://dx.doi.org/10.1109/INFVIS.2002.1173143" TargetMode="External"/><Relationship Id="rId1628" Type="http://schemas.openxmlformats.org/officeDocument/2006/relationships/hyperlink" Target="http://dx.doi.org/10.1109/VAST.2007.4388994" TargetMode="External"/><Relationship Id="rId2959" Type="http://schemas.openxmlformats.org/officeDocument/2006/relationships/hyperlink" Target="http://dx.doi.org/10.1109/TVCG.2017.2745320" TargetMode="External"/><Relationship Id="rId917" Type="http://schemas.openxmlformats.org/officeDocument/2006/relationships/hyperlink" Target="http://dx.doi.org/10.1109/INFVIS.2002.1173142" TargetMode="External"/><Relationship Id="rId1629" Type="http://schemas.openxmlformats.org/officeDocument/2006/relationships/hyperlink" Target="http://dx.doi.org/10.1109/VAST.2007.4388995" TargetMode="External"/><Relationship Id="rId916" Type="http://schemas.openxmlformats.org/officeDocument/2006/relationships/hyperlink" Target="http://dx.doi.org/10.1109/INFVIS.2002.1173141" TargetMode="External"/><Relationship Id="rId915" Type="http://schemas.openxmlformats.org/officeDocument/2006/relationships/hyperlink" Target="http://dx.doi.org/10.1109/INFVIS.2002.1173140" TargetMode="External"/><Relationship Id="rId919" Type="http://schemas.openxmlformats.org/officeDocument/2006/relationships/hyperlink" Target="http://dx.doi.org/10.1109/INFVIS.2002.1173144" TargetMode="External"/><Relationship Id="rId910" Type="http://schemas.openxmlformats.org/officeDocument/2006/relationships/hyperlink" Target="http://doi.ieeecomputersociety.org/10.1109/VISUAL.2001.964560" TargetMode="External"/><Relationship Id="rId914" Type="http://schemas.openxmlformats.org/officeDocument/2006/relationships/hyperlink" Target="http://dx.doi.org/10.1109/VISUAL.2001.964564" TargetMode="External"/><Relationship Id="rId913" Type="http://schemas.openxmlformats.org/officeDocument/2006/relationships/hyperlink" Target="http://doi.ieeecomputersociety.org/10.1109/VISUAL.2001.964563" TargetMode="External"/><Relationship Id="rId912" Type="http://schemas.openxmlformats.org/officeDocument/2006/relationships/hyperlink" Target="http://dx.doi.org/10.1109/VISUAL.2001.964562" TargetMode="External"/><Relationship Id="rId911" Type="http://schemas.openxmlformats.org/officeDocument/2006/relationships/hyperlink" Target="http://doi.ieeecomputersociety.org/10.1109/VISUAL.2001.964561" TargetMode="External"/><Relationship Id="rId2950" Type="http://schemas.openxmlformats.org/officeDocument/2006/relationships/hyperlink" Target="http://dx.doi.org/10.1109/TVCG.2017.2745180" TargetMode="External"/><Relationship Id="rId2900" Type="http://schemas.openxmlformats.org/officeDocument/2006/relationships/hyperlink" Target="http://dx.doi.org/10.1109/TVCG.2017.2744218" TargetMode="External"/><Relationship Id="rId2901" Type="http://schemas.openxmlformats.org/officeDocument/2006/relationships/hyperlink" Target="http://dx.doi.org/10.1109/TVCG.2017.2744238" TargetMode="External"/><Relationship Id="rId2902" Type="http://schemas.openxmlformats.org/officeDocument/2006/relationships/hyperlink" Target="http://dx.doi.org/10.1109/TVCG.2017.2744258" TargetMode="External"/><Relationship Id="rId2903" Type="http://schemas.openxmlformats.org/officeDocument/2006/relationships/hyperlink" Target="http://dx.doi.org/10.1109/TVCG.2017.2744278" TargetMode="External"/><Relationship Id="rId2904" Type="http://schemas.openxmlformats.org/officeDocument/2006/relationships/hyperlink" Target="http://dx.doi.org/10.1109/TVCG.2017.2744298" TargetMode="External"/><Relationship Id="rId2905" Type="http://schemas.openxmlformats.org/officeDocument/2006/relationships/hyperlink" Target="http://dx.doi.org/10.1109/TVCG.2017.2744299" TargetMode="External"/><Relationship Id="rId2906" Type="http://schemas.openxmlformats.org/officeDocument/2006/relationships/hyperlink" Target="http://dx.doi.org/10.1109/TVCG.2017.2744318" TargetMode="External"/><Relationship Id="rId2907" Type="http://schemas.openxmlformats.org/officeDocument/2006/relationships/hyperlink" Target="http://dx.doi.org/10.1109/TVCG.2017.2744319" TargetMode="External"/><Relationship Id="rId2908" Type="http://schemas.openxmlformats.org/officeDocument/2006/relationships/hyperlink" Target="http://dx.doi.org/10.1109/TVCG.2017.2744320" TargetMode="External"/><Relationship Id="rId2909" Type="http://schemas.openxmlformats.org/officeDocument/2006/relationships/hyperlink" Target="http://dx.doi.org/10.1109/TVCG.2017.2744321" TargetMode="External"/><Relationship Id="rId2920" Type="http://schemas.openxmlformats.org/officeDocument/2006/relationships/hyperlink" Target="http://dx.doi.org/10.1109/TVCG.2017.2744459" TargetMode="External"/><Relationship Id="rId2921" Type="http://schemas.openxmlformats.org/officeDocument/2006/relationships/hyperlink" Target="http://dx.doi.org/10.1109/TVCG.2017.2744478" TargetMode="External"/><Relationship Id="rId2922" Type="http://schemas.openxmlformats.org/officeDocument/2006/relationships/hyperlink" Target="http://dx.doi.org/10.1109/TVCG.2017.2744479" TargetMode="External"/><Relationship Id="rId2923" Type="http://schemas.openxmlformats.org/officeDocument/2006/relationships/hyperlink" Target="http://dx.doi.org/10.1109/TVCG.2017.2744518" TargetMode="External"/><Relationship Id="rId2924" Type="http://schemas.openxmlformats.org/officeDocument/2006/relationships/hyperlink" Target="http://dx.doi.org/10.1109/TVCG.2017.2744683" TargetMode="External"/><Relationship Id="rId2925" Type="http://schemas.openxmlformats.org/officeDocument/2006/relationships/hyperlink" Target="http://dx.doi.org/10.1109/TVCG.2017.2744684" TargetMode="External"/><Relationship Id="rId2926" Type="http://schemas.openxmlformats.org/officeDocument/2006/relationships/hyperlink" Target="http://dx.doi.org/10.1109/TVCG.2017.2744685" TargetMode="External"/><Relationship Id="rId2927" Type="http://schemas.openxmlformats.org/officeDocument/2006/relationships/hyperlink" Target="http://dx.doi.org/10.1109/TVCG.2017.2744686" TargetMode="External"/><Relationship Id="rId2928" Type="http://schemas.openxmlformats.org/officeDocument/2006/relationships/hyperlink" Target="http://dx.doi.org/10.1109/TVCG.2017.2744718" TargetMode="External"/><Relationship Id="rId2929" Type="http://schemas.openxmlformats.org/officeDocument/2006/relationships/hyperlink" Target="http://dx.doi.org/10.1109/TVCG.2017.2744738" TargetMode="External"/><Relationship Id="rId2910" Type="http://schemas.openxmlformats.org/officeDocument/2006/relationships/hyperlink" Target="http://dx.doi.org/10.1109/TVCG.2017.2744322" TargetMode="External"/><Relationship Id="rId2911" Type="http://schemas.openxmlformats.org/officeDocument/2006/relationships/hyperlink" Target="http://dx.doi.org/10.1109/TVCG.2017.2744338" TargetMode="External"/><Relationship Id="rId2912" Type="http://schemas.openxmlformats.org/officeDocument/2006/relationships/hyperlink" Target="http://dx.doi.org/10.1109/TVCG.2017.2744339" TargetMode="External"/><Relationship Id="rId2913" Type="http://schemas.openxmlformats.org/officeDocument/2006/relationships/hyperlink" Target="http://dx.doi.org/10.1109/TVCG.2017.2744358" TargetMode="External"/><Relationship Id="rId2914" Type="http://schemas.openxmlformats.org/officeDocument/2006/relationships/hyperlink" Target="http://dx.doi.org/10.1109/TVCG.2017.2744359" TargetMode="External"/><Relationship Id="rId2915" Type="http://schemas.openxmlformats.org/officeDocument/2006/relationships/hyperlink" Target="http://dx.doi.org/10.1109/TVCG.2017.2744378" TargetMode="External"/><Relationship Id="rId2916" Type="http://schemas.openxmlformats.org/officeDocument/2006/relationships/hyperlink" Target="http://dx.doi.org/10.1109/TVCG.2017.2744418" TargetMode="External"/><Relationship Id="rId2917" Type="http://schemas.openxmlformats.org/officeDocument/2006/relationships/hyperlink" Target="http://dx.doi.org/10.1109/TVCG.2017.2744419" TargetMode="External"/><Relationship Id="rId2918" Type="http://schemas.openxmlformats.org/officeDocument/2006/relationships/hyperlink" Target="http://dx.doi.org/10.1109/TVCG.2017.2744438" TargetMode="External"/><Relationship Id="rId2919" Type="http://schemas.openxmlformats.org/officeDocument/2006/relationships/hyperlink" Target="http://dx.doi.org/10.1109/TVCG.2017.2744458" TargetMode="External"/><Relationship Id="rId1697" Type="http://schemas.openxmlformats.org/officeDocument/2006/relationships/hyperlink" Target="http://dx.doi.org/10.1109/TVCG.2008.135" TargetMode="External"/><Relationship Id="rId1698" Type="http://schemas.openxmlformats.org/officeDocument/2006/relationships/hyperlink" Target="http://dx.doi.org/10.1109/TVCG.2008.136" TargetMode="External"/><Relationship Id="rId1699" Type="http://schemas.openxmlformats.org/officeDocument/2006/relationships/hyperlink" Target="http://dx.doi.org/10.1109/TVCG.2008.137" TargetMode="External"/><Relationship Id="rId866" Type="http://schemas.openxmlformats.org/officeDocument/2006/relationships/hyperlink" Target="http://dx.doi.org/10.1109/VISUAL.2001.964514" TargetMode="External"/><Relationship Id="rId865" Type="http://schemas.openxmlformats.org/officeDocument/2006/relationships/hyperlink" Target="http://dx.doi.org/10.1109/VISUAL.2001.964513" TargetMode="External"/><Relationship Id="rId864" Type="http://schemas.openxmlformats.org/officeDocument/2006/relationships/hyperlink" Target="http://dx.doi.org/10.1109/VISUAL.2001.964512" TargetMode="External"/><Relationship Id="rId863" Type="http://schemas.openxmlformats.org/officeDocument/2006/relationships/hyperlink" Target="http://dx.doi.org/10.1109/VISUAL.2001.964511" TargetMode="External"/><Relationship Id="rId869" Type="http://schemas.openxmlformats.org/officeDocument/2006/relationships/hyperlink" Target="http://dx.doi.org/10.1109/VISUAL.2001.964517" TargetMode="External"/><Relationship Id="rId868" Type="http://schemas.openxmlformats.org/officeDocument/2006/relationships/hyperlink" Target="http://dx.doi.org/10.1109/VISUAL.2001.964516" TargetMode="External"/><Relationship Id="rId867" Type="http://schemas.openxmlformats.org/officeDocument/2006/relationships/hyperlink" Target="http://dx.doi.org/10.1109/VISUAL.2001.964515" TargetMode="External"/><Relationship Id="rId1690" Type="http://schemas.openxmlformats.org/officeDocument/2006/relationships/hyperlink" Target="http://dx.doi.org/10.1109/TVCG.2008.128" TargetMode="External"/><Relationship Id="rId1691" Type="http://schemas.openxmlformats.org/officeDocument/2006/relationships/hyperlink" Target="http://dx.doi.org/10.1109/TVCG.2008.129" TargetMode="External"/><Relationship Id="rId1692" Type="http://schemas.openxmlformats.org/officeDocument/2006/relationships/hyperlink" Target="http://dx.doi.org/10.1109/TVCG.2008.130" TargetMode="External"/><Relationship Id="rId862" Type="http://schemas.openxmlformats.org/officeDocument/2006/relationships/hyperlink" Target="http://dx.doi.org/10.1109/VISUAL.2001.964510" TargetMode="External"/><Relationship Id="rId1693" Type="http://schemas.openxmlformats.org/officeDocument/2006/relationships/hyperlink" Target="http://dx.doi.org/10.1109/TVCG.2008.131" TargetMode="External"/><Relationship Id="rId861" Type="http://schemas.openxmlformats.org/officeDocument/2006/relationships/hyperlink" Target="http://doi.ieeecomputersociety.org/10.1109/VISUAL.2001.964509" TargetMode="External"/><Relationship Id="rId1694" Type="http://schemas.openxmlformats.org/officeDocument/2006/relationships/hyperlink" Target="http://dx.doi.org/10.1109/TVCG.2008.132" TargetMode="External"/><Relationship Id="rId860" Type="http://schemas.openxmlformats.org/officeDocument/2006/relationships/hyperlink" Target="http://dx.doi.org/10.1109/VISUAL.2001.964508" TargetMode="External"/><Relationship Id="rId1695" Type="http://schemas.openxmlformats.org/officeDocument/2006/relationships/hyperlink" Target="http://dx.doi.org/10.1109/TVCG.2008.133" TargetMode="External"/><Relationship Id="rId1696" Type="http://schemas.openxmlformats.org/officeDocument/2006/relationships/hyperlink" Target="http://dx.doi.org/10.1109/TVCG.2008.134" TargetMode="External"/><Relationship Id="rId1686" Type="http://schemas.openxmlformats.org/officeDocument/2006/relationships/hyperlink" Target="http://dx.doi.org/10.1109/TVCG.2008.124" TargetMode="External"/><Relationship Id="rId1687" Type="http://schemas.openxmlformats.org/officeDocument/2006/relationships/hyperlink" Target="http://dx.doi.org/10.1109/TVCG.2008.125" TargetMode="External"/><Relationship Id="rId1688" Type="http://schemas.openxmlformats.org/officeDocument/2006/relationships/hyperlink" Target="http://dx.doi.org/10.1109/TVCG.2008.126" TargetMode="External"/><Relationship Id="rId1689" Type="http://schemas.openxmlformats.org/officeDocument/2006/relationships/hyperlink" Target="http://dx.doi.org/10.1109/TVCG.2008.127" TargetMode="External"/><Relationship Id="rId855" Type="http://schemas.openxmlformats.org/officeDocument/2006/relationships/hyperlink" Target="http://doi.ieeecomputersociety.org/10.1109/VISUAL.2001.964503" TargetMode="External"/><Relationship Id="rId854" Type="http://schemas.openxmlformats.org/officeDocument/2006/relationships/hyperlink" Target="http://dx.doi.org/10.1109/VISUAL.2001.964502" TargetMode="External"/><Relationship Id="rId853" Type="http://schemas.openxmlformats.org/officeDocument/2006/relationships/hyperlink" Target="http://dx.doi.org/10.1109/VISUAL.2001.964501" TargetMode="External"/><Relationship Id="rId852" Type="http://schemas.openxmlformats.org/officeDocument/2006/relationships/hyperlink" Target="http://dx.doi.org/10.1109/VISUAL.2001.964500" TargetMode="External"/><Relationship Id="rId859" Type="http://schemas.openxmlformats.org/officeDocument/2006/relationships/hyperlink" Target="http://dx.doi.org/10.1109/VISUAL.2001.964507" TargetMode="External"/><Relationship Id="rId858" Type="http://schemas.openxmlformats.org/officeDocument/2006/relationships/hyperlink" Target="http://dx.doi.org/10.1109/VISUAL.2001.964506" TargetMode="External"/><Relationship Id="rId857" Type="http://schemas.openxmlformats.org/officeDocument/2006/relationships/hyperlink" Target="http://dx.doi.org/10.1109/VISUAL.2001.964505" TargetMode="External"/><Relationship Id="rId856" Type="http://schemas.openxmlformats.org/officeDocument/2006/relationships/hyperlink" Target="http://dx.doi.org/10.1109/VISUAL.2001.964504" TargetMode="External"/><Relationship Id="rId1680" Type="http://schemas.openxmlformats.org/officeDocument/2006/relationships/hyperlink" Target="http://dx.doi.org/10.1109/TVCG.2008.118" TargetMode="External"/><Relationship Id="rId1681" Type="http://schemas.openxmlformats.org/officeDocument/2006/relationships/hyperlink" Target="http://dx.doi.org/10.1109/TVCG.2008.119" TargetMode="External"/><Relationship Id="rId851" Type="http://schemas.openxmlformats.org/officeDocument/2006/relationships/hyperlink" Target="http://dx.doi.org/10.1109/VISUAL.2001.964499" TargetMode="External"/><Relationship Id="rId1682" Type="http://schemas.openxmlformats.org/officeDocument/2006/relationships/hyperlink" Target="http://dx.doi.org/10.1109/TVCG.2008.120" TargetMode="External"/><Relationship Id="rId850" Type="http://schemas.openxmlformats.org/officeDocument/2006/relationships/hyperlink" Target="http://dx.doi.org/10.1109/VISUAL.2001.964498" TargetMode="External"/><Relationship Id="rId1683" Type="http://schemas.openxmlformats.org/officeDocument/2006/relationships/hyperlink" Target="http://dx.doi.org/10.1109/TVCG.2008.121" TargetMode="External"/><Relationship Id="rId1684" Type="http://schemas.openxmlformats.org/officeDocument/2006/relationships/hyperlink" Target="http://dx.doi.org/10.1109/TVCG.2008.122" TargetMode="External"/><Relationship Id="rId1685" Type="http://schemas.openxmlformats.org/officeDocument/2006/relationships/hyperlink" Target="http://dx.doi.org/10.1109/TVCG.2008.123" TargetMode="External"/><Relationship Id="rId888" Type="http://schemas.openxmlformats.org/officeDocument/2006/relationships/hyperlink" Target="http://doi.ieeecomputersociety.org/10.1109/VISUAL.2001.964537" TargetMode="External"/><Relationship Id="rId887" Type="http://schemas.openxmlformats.org/officeDocument/2006/relationships/hyperlink" Target="http://dx.doi.org/10.1109/VISUAL.2001.964535" TargetMode="External"/><Relationship Id="rId886" Type="http://schemas.openxmlformats.org/officeDocument/2006/relationships/hyperlink" Target="http://dx.doi.org/10.1109/VISUAL.2001.964534" TargetMode="External"/><Relationship Id="rId885" Type="http://schemas.openxmlformats.org/officeDocument/2006/relationships/hyperlink" Target="http://dx.doi.org/10.1109/VISUAL.2001.964533" TargetMode="External"/><Relationship Id="rId889" Type="http://schemas.openxmlformats.org/officeDocument/2006/relationships/hyperlink" Target="http://dx.doi.org/10.1109/VISUAL.2001.964538" TargetMode="External"/><Relationship Id="rId880" Type="http://schemas.openxmlformats.org/officeDocument/2006/relationships/hyperlink" Target="http://dx.doi.org/10.1109/VISUAL.2001.964528" TargetMode="External"/><Relationship Id="rId884" Type="http://schemas.openxmlformats.org/officeDocument/2006/relationships/hyperlink" Target="http://dx.doi.org/10.1109/VISUAL.2001.964532" TargetMode="External"/><Relationship Id="rId883" Type="http://schemas.openxmlformats.org/officeDocument/2006/relationships/hyperlink" Target="http://dx.doi.org/10.1109/VISUAL.2001.964531" TargetMode="External"/><Relationship Id="rId882" Type="http://schemas.openxmlformats.org/officeDocument/2006/relationships/hyperlink" Target="http://dx.doi.org/10.1109/VISUAL.2001.964530" TargetMode="External"/><Relationship Id="rId881" Type="http://schemas.openxmlformats.org/officeDocument/2006/relationships/hyperlink" Target="http://dx.doi.org/10.1109/VISUAL.2001.964529" TargetMode="External"/><Relationship Id="rId877" Type="http://schemas.openxmlformats.org/officeDocument/2006/relationships/hyperlink" Target="http://dx.doi.org/10.1109/VISUAL.2001.964525" TargetMode="External"/><Relationship Id="rId876" Type="http://schemas.openxmlformats.org/officeDocument/2006/relationships/hyperlink" Target="http://dx.doi.org/10.1109/VISUAL.2001.964524" TargetMode="External"/><Relationship Id="rId875" Type="http://schemas.openxmlformats.org/officeDocument/2006/relationships/hyperlink" Target="http://dx.doi.org/10.1109/VISUAL.2001.964523" TargetMode="External"/><Relationship Id="rId874" Type="http://schemas.openxmlformats.org/officeDocument/2006/relationships/hyperlink" Target="http://dx.doi.org/10.1109/VISUAL.2001.964522" TargetMode="External"/><Relationship Id="rId879" Type="http://schemas.openxmlformats.org/officeDocument/2006/relationships/hyperlink" Target="http://doi.ieeecomputersociety.org/10.1109/VISUAL.2001.964527" TargetMode="External"/><Relationship Id="rId878" Type="http://schemas.openxmlformats.org/officeDocument/2006/relationships/hyperlink" Target="http://dx.doi.org/10.1109/VISUAL.2001.964526" TargetMode="External"/><Relationship Id="rId873" Type="http://schemas.openxmlformats.org/officeDocument/2006/relationships/hyperlink" Target="http://dx.doi.org/10.1109/VISUAL.2001.964521" TargetMode="External"/><Relationship Id="rId872" Type="http://schemas.openxmlformats.org/officeDocument/2006/relationships/hyperlink" Target="http://doi.ieeecomputersociety.org/10.1109/VISUAL.2001.964520" TargetMode="External"/><Relationship Id="rId871" Type="http://schemas.openxmlformats.org/officeDocument/2006/relationships/hyperlink" Target="http://dx.doi.org/10.1109/VISUAL.2001.964519" TargetMode="External"/><Relationship Id="rId870" Type="http://schemas.openxmlformats.org/officeDocument/2006/relationships/hyperlink" Target="http://dx.doi.org/10.1109/VISUAL.2001.964518" TargetMode="External"/><Relationship Id="rId1653" Type="http://schemas.openxmlformats.org/officeDocument/2006/relationships/hyperlink" Target="http://dx.doi.org/10.1109/VAST.2007.4389020" TargetMode="External"/><Relationship Id="rId2984" Type="http://schemas.openxmlformats.org/officeDocument/2006/relationships/hyperlink" Target="http://dx.doi.org/10.1109/TVCG.2018.2864477" TargetMode="External"/><Relationship Id="rId1654" Type="http://schemas.openxmlformats.org/officeDocument/2006/relationships/hyperlink" Target="http://dx.doi.org/10.1109/VAST.2007.4389021" TargetMode="External"/><Relationship Id="rId2985" Type="http://schemas.openxmlformats.org/officeDocument/2006/relationships/hyperlink" Target="http://dx.doi.org/10.1109/TVCG.2018.2864491" TargetMode="External"/><Relationship Id="rId1655" Type="http://schemas.openxmlformats.org/officeDocument/2006/relationships/hyperlink" Target="http://dx.doi.org/10.1109/VAST.2007.4389022" TargetMode="External"/><Relationship Id="rId2986" Type="http://schemas.openxmlformats.org/officeDocument/2006/relationships/hyperlink" Target="http://dx.doi.org/10.1109/TVCG.2018.2864498" TargetMode="External"/><Relationship Id="rId1656" Type="http://schemas.openxmlformats.org/officeDocument/2006/relationships/hyperlink" Target="http://dx.doi.org/10.1109/VAST.2007.4389023" TargetMode="External"/><Relationship Id="rId2987" Type="http://schemas.openxmlformats.org/officeDocument/2006/relationships/hyperlink" Target="http://dx.doi.org/10.1109/TVCG.2018.2864499" TargetMode="External"/><Relationship Id="rId1657" Type="http://schemas.openxmlformats.org/officeDocument/2006/relationships/hyperlink" Target="http://dx.doi.org/10.1109/VAST.2007.4389024" TargetMode="External"/><Relationship Id="rId2988" Type="http://schemas.openxmlformats.org/officeDocument/2006/relationships/hyperlink" Target="http://dx.doi.org/10.1109/TVCG.2018.2864500" TargetMode="External"/><Relationship Id="rId1658" Type="http://schemas.openxmlformats.org/officeDocument/2006/relationships/hyperlink" Target="http://dx.doi.org/10.1109/VAST.2007.4389025" TargetMode="External"/><Relationship Id="rId2989" Type="http://schemas.openxmlformats.org/officeDocument/2006/relationships/hyperlink" Target="http://dx.doi.org/10.1109/TVCG.2018.2864503" TargetMode="External"/><Relationship Id="rId1659" Type="http://schemas.openxmlformats.org/officeDocument/2006/relationships/hyperlink" Target="http://dx.doi.org/10.1109/VAST.2007.4389026" TargetMode="External"/><Relationship Id="rId829" Type="http://schemas.openxmlformats.org/officeDocument/2006/relationships/hyperlink" Target="http://dx.doi.org/10.1109/INFVIS.2001.963285" TargetMode="External"/><Relationship Id="rId828" Type="http://schemas.openxmlformats.org/officeDocument/2006/relationships/hyperlink" Target="http://dx.doi.org/10.1109/INFVIS.2001.963284" TargetMode="External"/><Relationship Id="rId827" Type="http://schemas.openxmlformats.org/officeDocument/2006/relationships/hyperlink" Target="http://dx.doi.org/10.1109/INFVIS.2001.963283" TargetMode="External"/><Relationship Id="rId822" Type="http://schemas.openxmlformats.org/officeDocument/2006/relationships/hyperlink" Target="http://dx.doi.org/10.1109/INFVIS.2001.963278" TargetMode="External"/><Relationship Id="rId821" Type="http://schemas.openxmlformats.org/officeDocument/2006/relationships/hyperlink" Target="http://dx.doi.org/10.1109/INFVIS.2001.963277" TargetMode="External"/><Relationship Id="rId820" Type="http://schemas.openxmlformats.org/officeDocument/2006/relationships/hyperlink" Target="http://dx.doi.org/10.1109/INFVIS.2001.963275" TargetMode="External"/><Relationship Id="rId826" Type="http://schemas.openxmlformats.org/officeDocument/2006/relationships/hyperlink" Target="http://dx.doi.org/10.1109/INFVIS.2001.963282" TargetMode="External"/><Relationship Id="rId825" Type="http://schemas.openxmlformats.org/officeDocument/2006/relationships/hyperlink" Target="http://dx.doi.org/10.1109/INFVIS.2001.963281" TargetMode="External"/><Relationship Id="rId824" Type="http://schemas.openxmlformats.org/officeDocument/2006/relationships/hyperlink" Target="http://dx.doi.org/10.1109/INFVIS.2001.963280" TargetMode="External"/><Relationship Id="rId823" Type="http://schemas.openxmlformats.org/officeDocument/2006/relationships/hyperlink" Target="http://dx.doi.org/10.1109/INFVIS.2001.963279" TargetMode="External"/><Relationship Id="rId2980" Type="http://schemas.openxmlformats.org/officeDocument/2006/relationships/hyperlink" Target="http://dx.doi.org/10.1109/VAST.2017.8585721" TargetMode="External"/><Relationship Id="rId1650" Type="http://schemas.openxmlformats.org/officeDocument/2006/relationships/hyperlink" Target="http://dx.doi.org/10.1109/VAST.2007.4389017" TargetMode="External"/><Relationship Id="rId2981" Type="http://schemas.openxmlformats.org/officeDocument/2006/relationships/hyperlink" Target="http://dx.doi.org/10.1109/VAST.2017.8585733" TargetMode="External"/><Relationship Id="rId1651" Type="http://schemas.openxmlformats.org/officeDocument/2006/relationships/hyperlink" Target="http://dx.doi.org/10.1109/VAST.2007.4389018" TargetMode="External"/><Relationship Id="rId2982" Type="http://schemas.openxmlformats.org/officeDocument/2006/relationships/hyperlink" Target="http://dx.doi.org/10.1109/TVCG.2018.2864432" TargetMode="External"/><Relationship Id="rId1652" Type="http://schemas.openxmlformats.org/officeDocument/2006/relationships/hyperlink" Target="http://dx.doi.org/10.1109/VAST.2007.4389019" TargetMode="External"/><Relationship Id="rId2983" Type="http://schemas.openxmlformats.org/officeDocument/2006/relationships/hyperlink" Target="http://dx.doi.org/10.1109/TVCG.2018.2864475" TargetMode="External"/><Relationship Id="rId1642" Type="http://schemas.openxmlformats.org/officeDocument/2006/relationships/hyperlink" Target="http://dx.doi.org/10.1109/VAST.2007.4389008" TargetMode="External"/><Relationship Id="rId2973" Type="http://schemas.openxmlformats.org/officeDocument/2006/relationships/hyperlink" Target="http://dx.doi.org/10.1109/VAST.2017.8585638" TargetMode="External"/><Relationship Id="rId1643" Type="http://schemas.openxmlformats.org/officeDocument/2006/relationships/hyperlink" Target="http://dx.doi.org/10.1109/VAST.2007.4389009" TargetMode="External"/><Relationship Id="rId2974" Type="http://schemas.openxmlformats.org/officeDocument/2006/relationships/hyperlink" Target="http://dx.doi.org/10.1109/VAST.2017.8585646" TargetMode="External"/><Relationship Id="rId1644" Type="http://schemas.openxmlformats.org/officeDocument/2006/relationships/hyperlink" Target="http://dx.doi.org/10.1109/VAST.2007.4389010" TargetMode="External"/><Relationship Id="rId2975" Type="http://schemas.openxmlformats.org/officeDocument/2006/relationships/hyperlink" Target="http://dx.doi.org/10.1109/VAST.2017.8585647" TargetMode="External"/><Relationship Id="rId1645" Type="http://schemas.openxmlformats.org/officeDocument/2006/relationships/hyperlink" Target="http://dx.doi.org/10.1109/VAST.2007.4389011" TargetMode="External"/><Relationship Id="rId2976" Type="http://schemas.openxmlformats.org/officeDocument/2006/relationships/hyperlink" Target="http://dx.doi.org/10.1109/VAST.2017.8585658" TargetMode="External"/><Relationship Id="rId1646" Type="http://schemas.openxmlformats.org/officeDocument/2006/relationships/hyperlink" Target="http://dx.doi.org/10.1109/VAST.2007.4389012" TargetMode="External"/><Relationship Id="rId2977" Type="http://schemas.openxmlformats.org/officeDocument/2006/relationships/hyperlink" Target="http://dx.doi.org/10.1109/VAST.2017.8585665" TargetMode="External"/><Relationship Id="rId1647" Type="http://schemas.openxmlformats.org/officeDocument/2006/relationships/hyperlink" Target="http://dx.doi.org/10.1109/VAST.2007.4389013" TargetMode="External"/><Relationship Id="rId2978" Type="http://schemas.openxmlformats.org/officeDocument/2006/relationships/hyperlink" Target="http://dx.doi.org/10.1109/VAST.2017.8585669" TargetMode="External"/><Relationship Id="rId1648" Type="http://schemas.openxmlformats.org/officeDocument/2006/relationships/hyperlink" Target="http://dx.doi.org/10.1109/VAST.2007.4389015" TargetMode="External"/><Relationship Id="rId2979" Type="http://schemas.openxmlformats.org/officeDocument/2006/relationships/hyperlink" Target="http://dx.doi.org/10.1109/VAST.2017.8585720" TargetMode="External"/><Relationship Id="rId1649" Type="http://schemas.openxmlformats.org/officeDocument/2006/relationships/hyperlink" Target="http://ieeexplore.ieee.org/xpl/articleDetails.jsp?arnumber=4389016" TargetMode="External"/><Relationship Id="rId819" Type="http://schemas.openxmlformats.org/officeDocument/2006/relationships/hyperlink" Target="http://dx.doi.org/10.1109/INFVIS.2001.963274" TargetMode="External"/><Relationship Id="rId818" Type="http://schemas.openxmlformats.org/officeDocument/2006/relationships/hyperlink" Target="http://dx.doi.org/10.1109/INFVIS.2001.963273" TargetMode="External"/><Relationship Id="rId817" Type="http://schemas.openxmlformats.org/officeDocument/2006/relationships/hyperlink" Target="http://dx.doi.org/10.1109/INFVIS.2001.963272" TargetMode="External"/><Relationship Id="rId816" Type="http://schemas.openxmlformats.org/officeDocument/2006/relationships/hyperlink" Target="http://dx.doi.org/10.1109/VISUAL.2000.885745" TargetMode="External"/><Relationship Id="rId811" Type="http://schemas.openxmlformats.org/officeDocument/2006/relationships/hyperlink" Target="http://dx.doi.org/10.1109/VISUAL.2000.885740" TargetMode="External"/><Relationship Id="rId810" Type="http://schemas.openxmlformats.org/officeDocument/2006/relationships/hyperlink" Target="http://dx.doi.org/10.1109/VISUAL.2000.885739" TargetMode="External"/><Relationship Id="rId815" Type="http://schemas.openxmlformats.org/officeDocument/2006/relationships/hyperlink" Target="http://doi.ieeecomputersociety.org/10.1109/VISUAL.2000.885744" TargetMode="External"/><Relationship Id="rId814" Type="http://schemas.openxmlformats.org/officeDocument/2006/relationships/hyperlink" Target="http://dx.doi.org/10.1109/VISUAL.2000.885743" TargetMode="External"/><Relationship Id="rId813" Type="http://schemas.openxmlformats.org/officeDocument/2006/relationships/hyperlink" Target="http://dx.doi.org/10.1109/VISUAL.2000.885742" TargetMode="External"/><Relationship Id="rId812" Type="http://schemas.openxmlformats.org/officeDocument/2006/relationships/hyperlink" Target="http://dx.doi.org/10.1109/VISUAL.2000.885741" TargetMode="External"/><Relationship Id="rId2970" Type="http://schemas.openxmlformats.org/officeDocument/2006/relationships/hyperlink" Target="http://dx.doi.org/10.1109/VAST.2017.8585505" TargetMode="External"/><Relationship Id="rId1640" Type="http://schemas.openxmlformats.org/officeDocument/2006/relationships/hyperlink" Target="http://dx.doi.org/10.1109/VAST.2007.4389006" TargetMode="External"/><Relationship Id="rId2971" Type="http://schemas.openxmlformats.org/officeDocument/2006/relationships/hyperlink" Target="http://dx.doi.org/10.1109/VAST.2017.8585594" TargetMode="External"/><Relationship Id="rId1641" Type="http://schemas.openxmlformats.org/officeDocument/2006/relationships/hyperlink" Target="http://dx.doi.org/10.1109/VAST.2007.4389007" TargetMode="External"/><Relationship Id="rId2972" Type="http://schemas.openxmlformats.org/officeDocument/2006/relationships/hyperlink" Target="http://dx.doi.org/10.1109/VAST.2017.8585613" TargetMode="External"/><Relationship Id="rId1675" Type="http://schemas.openxmlformats.org/officeDocument/2006/relationships/hyperlink" Target="http://dx.doi.org/10.1109/TVCG.2008.112" TargetMode="External"/><Relationship Id="rId1676" Type="http://schemas.openxmlformats.org/officeDocument/2006/relationships/hyperlink" Target="http://dx.doi.org/10.1109/TVCG.2008.114" TargetMode="External"/><Relationship Id="rId1677" Type="http://schemas.openxmlformats.org/officeDocument/2006/relationships/hyperlink" Target="http://dx.doi.org/10.1109/TVCG.2008.115" TargetMode="External"/><Relationship Id="rId1678" Type="http://schemas.openxmlformats.org/officeDocument/2006/relationships/hyperlink" Target="http://dx.doi.org/10.1109/TVCG.2008.116" TargetMode="External"/><Relationship Id="rId1679" Type="http://schemas.openxmlformats.org/officeDocument/2006/relationships/hyperlink" Target="http://dx.doi.org/10.1109/TVCG.2008.117" TargetMode="External"/><Relationship Id="rId849" Type="http://schemas.openxmlformats.org/officeDocument/2006/relationships/hyperlink" Target="http://dx.doi.org/10.1109/VISUAL.2001.964497" TargetMode="External"/><Relationship Id="rId844" Type="http://schemas.openxmlformats.org/officeDocument/2006/relationships/hyperlink" Target="http://doi.ieeecomputersociety.org/10.1109/VISUAL.2001.964492" TargetMode="External"/><Relationship Id="rId843" Type="http://schemas.openxmlformats.org/officeDocument/2006/relationships/hyperlink" Target="http://dx.doi.org/10.1109/VISUAL.2001.964491" TargetMode="External"/><Relationship Id="rId842" Type="http://schemas.openxmlformats.org/officeDocument/2006/relationships/hyperlink" Target="http://dx.doi.org/10.1109/VISUAL.2001.964490" TargetMode="External"/><Relationship Id="rId841" Type="http://schemas.openxmlformats.org/officeDocument/2006/relationships/hyperlink" Target="http://dx.doi.org/10.1109/VISUAL.2001.964489" TargetMode="External"/><Relationship Id="rId848" Type="http://schemas.openxmlformats.org/officeDocument/2006/relationships/hyperlink" Target="http://doi.ieeecomputersociety.org/10.1109/VISUAL.2001.964496" TargetMode="External"/><Relationship Id="rId847" Type="http://schemas.openxmlformats.org/officeDocument/2006/relationships/hyperlink" Target="http://doi.ieeecomputersociety.org/10.1109/VISUAL.2001.964495" TargetMode="External"/><Relationship Id="rId846" Type="http://schemas.openxmlformats.org/officeDocument/2006/relationships/hyperlink" Target="http://dx.doi.org/10.1109/VISUAL.2001.964494" TargetMode="External"/><Relationship Id="rId845" Type="http://schemas.openxmlformats.org/officeDocument/2006/relationships/hyperlink" Target="http://doi.ieeecomputersociety.org/10.1109/VISUAL.2001.964492" TargetMode="External"/><Relationship Id="rId1670" Type="http://schemas.openxmlformats.org/officeDocument/2006/relationships/hyperlink" Target="http://dx.doi.org/10.1109/VAST.2007.4470207" TargetMode="External"/><Relationship Id="rId840" Type="http://schemas.openxmlformats.org/officeDocument/2006/relationships/hyperlink" Target="http://dx.doi.org/10.1109/INFVIS.2001.963296" TargetMode="External"/><Relationship Id="rId1671" Type="http://schemas.openxmlformats.org/officeDocument/2006/relationships/hyperlink" Target="http://dx.doi.org/10.1109/TVCG.2008.108" TargetMode="External"/><Relationship Id="rId1672" Type="http://schemas.openxmlformats.org/officeDocument/2006/relationships/hyperlink" Target="http://dx.doi.org/10.1109/TVCG.2008.109" TargetMode="External"/><Relationship Id="rId1673" Type="http://schemas.openxmlformats.org/officeDocument/2006/relationships/hyperlink" Target="http://dx.doi.org/10.1109/TVCG.2008.110" TargetMode="External"/><Relationship Id="rId1674" Type="http://schemas.openxmlformats.org/officeDocument/2006/relationships/hyperlink" Target="http://dx.doi.org/10.1109/TVCG.2008.111" TargetMode="External"/><Relationship Id="rId1664" Type="http://schemas.openxmlformats.org/officeDocument/2006/relationships/hyperlink" Target="http://dx.doi.org/10.1109/VAST.2007.4389033" TargetMode="External"/><Relationship Id="rId2995" Type="http://schemas.openxmlformats.org/officeDocument/2006/relationships/hyperlink" Target="http://dx.doi.org/10.1109/TVCG.2018.2864509" TargetMode="External"/><Relationship Id="rId1665" Type="http://schemas.openxmlformats.org/officeDocument/2006/relationships/hyperlink" Target="http://dx.doi.org/10.1109/VAST.2007.4389034" TargetMode="External"/><Relationship Id="rId2996" Type="http://schemas.openxmlformats.org/officeDocument/2006/relationships/hyperlink" Target="http://dx.doi.org/10.1109/TVCG.2018.2864510" TargetMode="External"/><Relationship Id="rId1666" Type="http://schemas.openxmlformats.org/officeDocument/2006/relationships/hyperlink" Target="http://dx.doi.org/10.1109/VAST.2007.4389035" TargetMode="External"/><Relationship Id="rId2997" Type="http://schemas.openxmlformats.org/officeDocument/2006/relationships/hyperlink" Target="http://dx.doi.org/10.1109/TVCG.2018.2864526" TargetMode="External"/><Relationship Id="rId1667" Type="http://schemas.openxmlformats.org/officeDocument/2006/relationships/hyperlink" Target="http://dx.doi.org/10.1109/VAST.2007.4389036" TargetMode="External"/><Relationship Id="rId2998" Type="http://schemas.openxmlformats.org/officeDocument/2006/relationships/hyperlink" Target="http://dx.doi.org/10.1109/TVCG.2018.2864656" TargetMode="External"/><Relationship Id="rId1668" Type="http://schemas.openxmlformats.org/officeDocument/2006/relationships/hyperlink" Target="http://dx.doi.org/10.1109/VAST.2007.4389037" TargetMode="External"/><Relationship Id="rId2999" Type="http://schemas.openxmlformats.org/officeDocument/2006/relationships/hyperlink" Target="http://dx.doi.org/10.1109/TVCG.2018.2864690" TargetMode="External"/><Relationship Id="rId1669" Type="http://schemas.openxmlformats.org/officeDocument/2006/relationships/hyperlink" Target="http://dx.doi.org/10.1109/VAST.2007.4389038" TargetMode="External"/><Relationship Id="rId839" Type="http://schemas.openxmlformats.org/officeDocument/2006/relationships/hyperlink" Target="http://dx.doi.org/10.1109/INFVIS.2001.963295" TargetMode="External"/><Relationship Id="rId838" Type="http://schemas.openxmlformats.org/officeDocument/2006/relationships/hyperlink" Target="http://dx.doi.org/10.1109/INFVIS.2001.963294" TargetMode="External"/><Relationship Id="rId833" Type="http://schemas.openxmlformats.org/officeDocument/2006/relationships/hyperlink" Target="http://dx.doi.org/10.1109/INFVIS.2001.963289" TargetMode="External"/><Relationship Id="rId832" Type="http://schemas.openxmlformats.org/officeDocument/2006/relationships/hyperlink" Target="http://dx.doi.org/10.1109/INFVIS.2001.963288" TargetMode="External"/><Relationship Id="rId831" Type="http://schemas.openxmlformats.org/officeDocument/2006/relationships/hyperlink" Target="http://dx.doi.org/10.1109/INFVIS.2001.963287" TargetMode="External"/><Relationship Id="rId830" Type="http://schemas.openxmlformats.org/officeDocument/2006/relationships/hyperlink" Target="http://dx.doi.org/10.1109/INFVIS.2001.963286" TargetMode="External"/><Relationship Id="rId837" Type="http://schemas.openxmlformats.org/officeDocument/2006/relationships/hyperlink" Target="http://dx.doi.org/10.1109/INFVIS.2001.963293" TargetMode="External"/><Relationship Id="rId836" Type="http://schemas.openxmlformats.org/officeDocument/2006/relationships/hyperlink" Target="http://dx.doi.org/10.1109/INFVIS.2001.963292" TargetMode="External"/><Relationship Id="rId835" Type="http://schemas.openxmlformats.org/officeDocument/2006/relationships/hyperlink" Target="http://dx.doi.org/10.1109/INFVIS.2001.963291" TargetMode="External"/><Relationship Id="rId834" Type="http://schemas.openxmlformats.org/officeDocument/2006/relationships/hyperlink" Target="http://dx.doi.org/10.1109/INFVIS.2001.963290" TargetMode="External"/><Relationship Id="rId2990" Type="http://schemas.openxmlformats.org/officeDocument/2006/relationships/hyperlink" Target="http://dx.doi.org/10.1109/TVCG.2018.2864504" TargetMode="External"/><Relationship Id="rId1660" Type="http://schemas.openxmlformats.org/officeDocument/2006/relationships/hyperlink" Target="http://dx.doi.org/10.1109/VAST.2007.4389027" TargetMode="External"/><Relationship Id="rId2991" Type="http://schemas.openxmlformats.org/officeDocument/2006/relationships/hyperlink" Target="http://dx.doi.org/10.1109/TVCG.2018.2864505" TargetMode="External"/><Relationship Id="rId1661" Type="http://schemas.openxmlformats.org/officeDocument/2006/relationships/hyperlink" Target="http://dx.doi.org/10.1109/VAST.2007.4389028" TargetMode="External"/><Relationship Id="rId2992" Type="http://schemas.openxmlformats.org/officeDocument/2006/relationships/hyperlink" Target="http://dx.doi.org/10.1109/TVCG.2018.2864506" TargetMode="External"/><Relationship Id="rId1662" Type="http://schemas.openxmlformats.org/officeDocument/2006/relationships/hyperlink" Target="http://dx.doi.org/10.1109/VAST.2007.4389030" TargetMode="External"/><Relationship Id="rId2993" Type="http://schemas.openxmlformats.org/officeDocument/2006/relationships/hyperlink" Target="http://dx.doi.org/10.1109/TVCG.2018.2864507" TargetMode="External"/><Relationship Id="rId1663" Type="http://schemas.openxmlformats.org/officeDocument/2006/relationships/hyperlink" Target="http://dx.doi.org/10.1109/VAST.2007.4389032" TargetMode="External"/><Relationship Id="rId2994" Type="http://schemas.openxmlformats.org/officeDocument/2006/relationships/hyperlink" Target="http://dx.doi.org/10.1109/TVCG.2018.2864508" TargetMode="External"/><Relationship Id="rId2148" Type="http://schemas.openxmlformats.org/officeDocument/2006/relationships/hyperlink" Target="http://dx.doi.org/10.1109/TVCG.2011.243" TargetMode="External"/><Relationship Id="rId2149" Type="http://schemas.openxmlformats.org/officeDocument/2006/relationships/hyperlink" Target="http://dx.doi.org/10.1109/TVCG.2011.244" TargetMode="External"/><Relationship Id="rId2140" Type="http://schemas.openxmlformats.org/officeDocument/2006/relationships/hyperlink" Target="http://dx.doi.org/10.1109/TVCG.2011.232" TargetMode="External"/><Relationship Id="rId2141" Type="http://schemas.openxmlformats.org/officeDocument/2006/relationships/hyperlink" Target="http://dx.doi.org/10.1109/TVCG.2011.233" TargetMode="External"/><Relationship Id="rId2142" Type="http://schemas.openxmlformats.org/officeDocument/2006/relationships/hyperlink" Target="http://dx.doi.org/10.1109/TVCG.2011.234" TargetMode="External"/><Relationship Id="rId2143" Type="http://schemas.openxmlformats.org/officeDocument/2006/relationships/hyperlink" Target="http://dx.doi.org/10.1109/TVCG.2011.235" TargetMode="External"/><Relationship Id="rId2144" Type="http://schemas.openxmlformats.org/officeDocument/2006/relationships/hyperlink" Target="http://dx.doi.org/10.1109/TVCG.2011.236" TargetMode="External"/><Relationship Id="rId2145" Type="http://schemas.openxmlformats.org/officeDocument/2006/relationships/hyperlink" Target="http://dx.doi.org/10.1109/TVCG.2011.237" TargetMode="External"/><Relationship Id="rId2146" Type="http://schemas.openxmlformats.org/officeDocument/2006/relationships/hyperlink" Target="http://dx.doi.org/10.1109/TVCG.2011.239" TargetMode="External"/><Relationship Id="rId2147" Type="http://schemas.openxmlformats.org/officeDocument/2006/relationships/hyperlink" Target="http://dx.doi.org/10.1109/TVCG.2011.242" TargetMode="External"/><Relationship Id="rId2137" Type="http://schemas.openxmlformats.org/officeDocument/2006/relationships/hyperlink" Target="http://dx.doi.org/10.1109/TVCG.2011.229" TargetMode="External"/><Relationship Id="rId2138" Type="http://schemas.openxmlformats.org/officeDocument/2006/relationships/hyperlink" Target="http://dx.doi.org/10.1109/TVCG.2011.230" TargetMode="External"/><Relationship Id="rId2139" Type="http://schemas.openxmlformats.org/officeDocument/2006/relationships/hyperlink" Target="http://dx.doi.org/10.1109/TVCG.2011.231" TargetMode="External"/><Relationship Id="rId2130" Type="http://schemas.openxmlformats.org/officeDocument/2006/relationships/hyperlink" Target="http://dx.doi.org/10.1109/TVCG.2011.220" TargetMode="External"/><Relationship Id="rId2131" Type="http://schemas.openxmlformats.org/officeDocument/2006/relationships/hyperlink" Target="http://dx.doi.org/10.1109/TVCG.2011.223" TargetMode="External"/><Relationship Id="rId2132" Type="http://schemas.openxmlformats.org/officeDocument/2006/relationships/hyperlink" Target="http://dx.doi.org/10.1109/TVCG.2011.224" TargetMode="External"/><Relationship Id="rId2133" Type="http://schemas.openxmlformats.org/officeDocument/2006/relationships/hyperlink" Target="http://dx.doi.org/10.1109/TVCG.2011.225" TargetMode="External"/><Relationship Id="rId2134" Type="http://schemas.openxmlformats.org/officeDocument/2006/relationships/hyperlink" Target="http://dx.doi.org/10.1109/TVCG.2011.226" TargetMode="External"/><Relationship Id="rId2135" Type="http://schemas.openxmlformats.org/officeDocument/2006/relationships/hyperlink" Target="http://dx.doi.org/10.1109/TVCG.2011.227" TargetMode="External"/><Relationship Id="rId2136" Type="http://schemas.openxmlformats.org/officeDocument/2006/relationships/hyperlink" Target="http://dx.doi.org/10.1109/TVCG.2011.228" TargetMode="External"/><Relationship Id="rId2160" Type="http://schemas.openxmlformats.org/officeDocument/2006/relationships/hyperlink" Target="http://dx.doi.org/10.1109/TVCG.2011.255" TargetMode="External"/><Relationship Id="rId2161" Type="http://schemas.openxmlformats.org/officeDocument/2006/relationships/hyperlink" Target="http://dx.doi.org/10.1109/TVCG.2011.258" TargetMode="External"/><Relationship Id="rId2162" Type="http://schemas.openxmlformats.org/officeDocument/2006/relationships/hyperlink" Target="http://dx.doi.org/10.1109/TVCG.2011.259" TargetMode="External"/><Relationship Id="rId2163" Type="http://schemas.openxmlformats.org/officeDocument/2006/relationships/hyperlink" Target="http://dx.doi.org/10.1109/TVCG.2011.260" TargetMode="External"/><Relationship Id="rId2164" Type="http://schemas.openxmlformats.org/officeDocument/2006/relationships/hyperlink" Target="http://dx.doi.org/10.1109/TVCG.2011.261" TargetMode="External"/><Relationship Id="rId2165" Type="http://schemas.openxmlformats.org/officeDocument/2006/relationships/hyperlink" Target="http://dx.doi.org/10.1109/VAST.2011.6102435" TargetMode="External"/><Relationship Id="rId2166" Type="http://schemas.openxmlformats.org/officeDocument/2006/relationships/hyperlink" Target="http://dx.doi.org/10.1109/VAST.2011.6102437" TargetMode="External"/><Relationship Id="rId2167" Type="http://schemas.openxmlformats.org/officeDocument/2006/relationships/hyperlink" Target="http://dx.doi.org/10.1109/VAST.2011.6102438" TargetMode="External"/><Relationship Id="rId2168" Type="http://schemas.openxmlformats.org/officeDocument/2006/relationships/hyperlink" Target="http://dx.doi.org/10.1109/VAST.2011.6102439" TargetMode="External"/><Relationship Id="rId2169" Type="http://schemas.openxmlformats.org/officeDocument/2006/relationships/hyperlink" Target="http://dx.doi.org/10.1109/VAST.2011.6102440" TargetMode="External"/><Relationship Id="rId2159" Type="http://schemas.openxmlformats.org/officeDocument/2006/relationships/hyperlink" Target="http://dx.doi.org/10.1109/TVCG.2011.254" TargetMode="External"/><Relationship Id="rId2150" Type="http://schemas.openxmlformats.org/officeDocument/2006/relationships/hyperlink" Target="http://dx.doi.org/10.1109/TVCG.2011.245" TargetMode="External"/><Relationship Id="rId2151" Type="http://schemas.openxmlformats.org/officeDocument/2006/relationships/hyperlink" Target="http://dx.doi.org/10.1109/TVCG.2011.246" TargetMode="External"/><Relationship Id="rId2152" Type="http://schemas.openxmlformats.org/officeDocument/2006/relationships/hyperlink" Target="http://dx.doi.org/10.1109/TVCG.2011.247" TargetMode="External"/><Relationship Id="rId2153" Type="http://schemas.openxmlformats.org/officeDocument/2006/relationships/hyperlink" Target="http://dx.doi.org/10.1109/TVCG.2011.248" TargetMode="External"/><Relationship Id="rId2154" Type="http://schemas.openxmlformats.org/officeDocument/2006/relationships/hyperlink" Target="http://dx.doi.org/10.1109/TVCG.2011.249" TargetMode="External"/><Relationship Id="rId2155" Type="http://schemas.openxmlformats.org/officeDocument/2006/relationships/hyperlink" Target="http://dx.doi.org/10.1109/TVCG.2011.250" TargetMode="External"/><Relationship Id="rId2156" Type="http://schemas.openxmlformats.org/officeDocument/2006/relationships/hyperlink" Target="http://dx.doi.org/10.1109/TVCG.2011.251" TargetMode="External"/><Relationship Id="rId2157" Type="http://schemas.openxmlformats.org/officeDocument/2006/relationships/hyperlink" Target="http://dx.doi.org/10.1109/TVCG.2011.252" TargetMode="External"/><Relationship Id="rId2158" Type="http://schemas.openxmlformats.org/officeDocument/2006/relationships/hyperlink" Target="http://dx.doi.org/10.1109/TVCG.2011.253" TargetMode="External"/><Relationship Id="rId2104" Type="http://schemas.openxmlformats.org/officeDocument/2006/relationships/hyperlink" Target="http://dx.doi.org/10.1109/TVCG.2011.193" TargetMode="External"/><Relationship Id="rId2105" Type="http://schemas.openxmlformats.org/officeDocument/2006/relationships/hyperlink" Target="http://dx.doi.org/10.1109/TVCG.2011.194" TargetMode="External"/><Relationship Id="rId2106" Type="http://schemas.openxmlformats.org/officeDocument/2006/relationships/hyperlink" Target="http://dx.doi.org/10.1109/TVCG.2011.195" TargetMode="External"/><Relationship Id="rId2107" Type="http://schemas.openxmlformats.org/officeDocument/2006/relationships/hyperlink" Target="http://dx.doi.org/10.1109/TVCG.2011.196" TargetMode="External"/><Relationship Id="rId2108" Type="http://schemas.openxmlformats.org/officeDocument/2006/relationships/hyperlink" Target="http://dx.doi.org/10.1109/TVCG.2011.197" TargetMode="External"/><Relationship Id="rId2109" Type="http://schemas.openxmlformats.org/officeDocument/2006/relationships/hyperlink" Target="http://dx.doi.org/10.1109/TVCG.2011.198" TargetMode="External"/><Relationship Id="rId2100" Type="http://schemas.openxmlformats.org/officeDocument/2006/relationships/hyperlink" Target="http://dx.doi.org/10.1109/TVCG.2011.189" TargetMode="External"/><Relationship Id="rId2101" Type="http://schemas.openxmlformats.org/officeDocument/2006/relationships/hyperlink" Target="http://dx.doi.org/10.1109/TVCG.2011.190" TargetMode="External"/><Relationship Id="rId2102" Type="http://schemas.openxmlformats.org/officeDocument/2006/relationships/hyperlink" Target="http://dx.doi.org/10.1109/TVCG.2011.191" TargetMode="External"/><Relationship Id="rId2103" Type="http://schemas.openxmlformats.org/officeDocument/2006/relationships/hyperlink" Target="http://dx.doi.org/10.1109/TVCG.2011.192" TargetMode="External"/><Relationship Id="rId899" Type="http://schemas.openxmlformats.org/officeDocument/2006/relationships/hyperlink" Target="http://dx.doi.org/10.1109/VISUAL.2001.964548" TargetMode="External"/><Relationship Id="rId898" Type="http://schemas.openxmlformats.org/officeDocument/2006/relationships/hyperlink" Target="http://dx.doi.org/10.1109/VISUAL.2001.964547" TargetMode="External"/><Relationship Id="rId897" Type="http://schemas.openxmlformats.org/officeDocument/2006/relationships/hyperlink" Target="http://dx.doi.org/10.1109/VISUAL.2001.964546" TargetMode="External"/><Relationship Id="rId896" Type="http://schemas.openxmlformats.org/officeDocument/2006/relationships/hyperlink" Target="http://dx.doi.org/10.1109/VISUAL.2001.964545" TargetMode="External"/><Relationship Id="rId891" Type="http://schemas.openxmlformats.org/officeDocument/2006/relationships/hyperlink" Target="http://dx.doi.org/10.1109/VISUAL.2001.964540" TargetMode="External"/><Relationship Id="rId890" Type="http://schemas.openxmlformats.org/officeDocument/2006/relationships/hyperlink" Target="http://dx.doi.org/10.1109/VISUAL.2001.964539" TargetMode="External"/><Relationship Id="rId895" Type="http://schemas.openxmlformats.org/officeDocument/2006/relationships/hyperlink" Target="http://dx.doi.org/10.1109/VISUAL.2001.964544" TargetMode="External"/><Relationship Id="rId894" Type="http://schemas.openxmlformats.org/officeDocument/2006/relationships/hyperlink" Target="http://dx.doi.org/10.1109/VISUAL.2001.964543" TargetMode="External"/><Relationship Id="rId893" Type="http://schemas.openxmlformats.org/officeDocument/2006/relationships/hyperlink" Target="http://dx.doi.org/10.1109/VISUAL.2001.964542" TargetMode="External"/><Relationship Id="rId892" Type="http://schemas.openxmlformats.org/officeDocument/2006/relationships/hyperlink" Target="http://doi.ieeecomputersociety.org/10.1109/VISUAL.2001.964541" TargetMode="External"/><Relationship Id="rId2126" Type="http://schemas.openxmlformats.org/officeDocument/2006/relationships/hyperlink" Target="http://dx.doi.org/10.1109/TVCG.2011.216" TargetMode="External"/><Relationship Id="rId2127" Type="http://schemas.openxmlformats.org/officeDocument/2006/relationships/hyperlink" Target="http://dx.doi.org/10.1109/TVCG.2011.217" TargetMode="External"/><Relationship Id="rId2128" Type="http://schemas.openxmlformats.org/officeDocument/2006/relationships/hyperlink" Target="http://dx.doi.org/10.1109/TVCG.2011.218" TargetMode="External"/><Relationship Id="rId2129" Type="http://schemas.openxmlformats.org/officeDocument/2006/relationships/hyperlink" Target="http://dx.doi.org/10.1109/TVCG.2011.219" TargetMode="External"/><Relationship Id="rId2120" Type="http://schemas.openxmlformats.org/officeDocument/2006/relationships/hyperlink" Target="http://dx.doi.org/10.1109/TVCG.2011.209" TargetMode="External"/><Relationship Id="rId2121" Type="http://schemas.openxmlformats.org/officeDocument/2006/relationships/hyperlink" Target="http://dx.doi.org/10.1109/TVCG.2011.211" TargetMode="External"/><Relationship Id="rId2122" Type="http://schemas.openxmlformats.org/officeDocument/2006/relationships/hyperlink" Target="http://dx.doi.org/10.1109/TVCG.2011.212" TargetMode="External"/><Relationship Id="rId2123" Type="http://schemas.openxmlformats.org/officeDocument/2006/relationships/hyperlink" Target="http://dx.doi.org/10.1109/TVCG.2011.213" TargetMode="External"/><Relationship Id="rId2124" Type="http://schemas.openxmlformats.org/officeDocument/2006/relationships/hyperlink" Target="http://dx.doi.org/10.1109/TVCG.2011.214" TargetMode="External"/><Relationship Id="rId2125" Type="http://schemas.openxmlformats.org/officeDocument/2006/relationships/hyperlink" Target="http://dx.doi.org/10.1109/TVCG.2011.215" TargetMode="External"/><Relationship Id="rId2115" Type="http://schemas.openxmlformats.org/officeDocument/2006/relationships/hyperlink" Target="http://dx.doi.org/10.1109/TVCG.2011.204" TargetMode="External"/><Relationship Id="rId2116" Type="http://schemas.openxmlformats.org/officeDocument/2006/relationships/hyperlink" Target="http://dx.doi.org/10.1109/TVCG.2011.205" TargetMode="External"/><Relationship Id="rId2117" Type="http://schemas.openxmlformats.org/officeDocument/2006/relationships/hyperlink" Target="http://dx.doi.org/10.1109/TVCG.2011.206" TargetMode="External"/><Relationship Id="rId2118" Type="http://schemas.openxmlformats.org/officeDocument/2006/relationships/hyperlink" Target="http://dx.doi.org/10.1109/TVCG.2011.207" TargetMode="External"/><Relationship Id="rId2119" Type="http://schemas.openxmlformats.org/officeDocument/2006/relationships/hyperlink" Target="http://dx.doi.org/10.1109/TVCG.2011.208" TargetMode="External"/><Relationship Id="rId2110" Type="http://schemas.openxmlformats.org/officeDocument/2006/relationships/hyperlink" Target="http://dx.doi.org/10.1109/TVCG.2011.199" TargetMode="External"/><Relationship Id="rId2111" Type="http://schemas.openxmlformats.org/officeDocument/2006/relationships/hyperlink" Target="http://dx.doi.org/10.1109/TVCG.2011.200" TargetMode="External"/><Relationship Id="rId2112" Type="http://schemas.openxmlformats.org/officeDocument/2006/relationships/hyperlink" Target="http://dx.doi.org/10.1109/TVCG.2011.201" TargetMode="External"/><Relationship Id="rId2113" Type="http://schemas.openxmlformats.org/officeDocument/2006/relationships/hyperlink" Target="http://dx.doi.org/10.1109/TVCG.2011.202" TargetMode="External"/><Relationship Id="rId2114" Type="http://schemas.openxmlformats.org/officeDocument/2006/relationships/hyperlink" Target="http://dx.doi.org/10.1109/TVCG.2011.203"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eagereyes.org/acceptance-rates" TargetMode="External"/><Relationship Id="rId3" Type="http://schemas.openxmlformats.org/officeDocument/2006/relationships/hyperlink" Target="https://github.com/steveharoz/Vis-Acceptance-Rates" TargetMode="External"/><Relationship Id="rId4" Type="http://schemas.openxmlformats.org/officeDocument/2006/relationships/hyperlink" Target="https://docs.google.com/spreadsheets/d/1ueJ2_j9wzsIffp6hOV7L4vqmkBPRMxX7tKYUMFDeXnk/edit" TargetMode="External"/><Relationship Id="rId5" Type="http://schemas.openxmlformats.org/officeDocument/2006/relationships/drawing" Target="../drawings/drawing4.xml"/><Relationship Id="rId6"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92" Type="http://schemas.openxmlformats.org/officeDocument/2006/relationships/hyperlink" Target="http://dx.doi.org/10.1109/VISUAL.1998.745322" TargetMode="External"/><Relationship Id="rId391" Type="http://schemas.openxmlformats.org/officeDocument/2006/relationships/hyperlink" Target="http://dx.doi.org/10.1109/VISUAL.1998.745316" TargetMode="External"/><Relationship Id="rId390" Type="http://schemas.openxmlformats.org/officeDocument/2006/relationships/hyperlink" Target="http://dx.doi.org/10.1109/VISUAL.1998.745342" TargetMode="External"/><Relationship Id="rId385" Type="http://schemas.openxmlformats.org/officeDocument/2006/relationships/hyperlink" Target="http://dx.doi.org/10.1109/VISUAL.1998.745321" TargetMode="External"/><Relationship Id="rId384" Type="http://schemas.openxmlformats.org/officeDocument/2006/relationships/hyperlink" Target="http://dx.doi.org/10.1109/VISUAL.1998.745289" TargetMode="External"/><Relationship Id="rId383" Type="http://schemas.openxmlformats.org/officeDocument/2006/relationships/hyperlink" Target="http://dx.doi.org/10.1109/VISUAL.1998.745291" TargetMode="External"/><Relationship Id="rId382" Type="http://schemas.openxmlformats.org/officeDocument/2006/relationships/hyperlink" Target="http://dx.doi.org/10.1109/VISUAL.1998.745314" TargetMode="External"/><Relationship Id="rId389" Type="http://schemas.openxmlformats.org/officeDocument/2006/relationships/hyperlink" Target="http://dx.doi.org/10.1109/VISUAL.1998.745295" TargetMode="External"/><Relationship Id="rId388" Type="http://schemas.openxmlformats.org/officeDocument/2006/relationships/hyperlink" Target="http://dx.doi.org/10.1109/VISUAL.1998.745319" TargetMode="External"/><Relationship Id="rId387" Type="http://schemas.openxmlformats.org/officeDocument/2006/relationships/hyperlink" Target="http://dx.doi.org/10.1109/VISUAL.1998.745320" TargetMode="External"/><Relationship Id="rId386" Type="http://schemas.openxmlformats.org/officeDocument/2006/relationships/hyperlink" Target="http://dx.doi.org/10.1109/VISUAL.1998.745311" TargetMode="External"/><Relationship Id="rId381" Type="http://schemas.openxmlformats.org/officeDocument/2006/relationships/hyperlink" Target="http://dx.doi.org/10.1109/VISUAL.1998.745290" TargetMode="External"/><Relationship Id="rId380" Type="http://schemas.openxmlformats.org/officeDocument/2006/relationships/hyperlink" Target="http://dx.doi.org/10.1109/VISUAL.1998.745309" TargetMode="External"/><Relationship Id="rId379" Type="http://schemas.openxmlformats.org/officeDocument/2006/relationships/hyperlink" Target="http://dx.doi.org/10.1109/VISUAL.1998.745305" TargetMode="External"/><Relationship Id="rId374" Type="http://schemas.openxmlformats.org/officeDocument/2006/relationships/hyperlink" Target="http://dx.doi.org/10.1109/VISUAL.1998.745327" TargetMode="External"/><Relationship Id="rId373" Type="http://schemas.openxmlformats.org/officeDocument/2006/relationships/hyperlink" Target="http://dx.doi.org/10.1109/VISUAL.1998.745281" TargetMode="External"/><Relationship Id="rId372" Type="http://schemas.openxmlformats.org/officeDocument/2006/relationships/hyperlink" Target="http://dx.doi.org/10.1109/VISUAL.1998.745303" TargetMode="External"/><Relationship Id="rId371" Type="http://schemas.openxmlformats.org/officeDocument/2006/relationships/hyperlink" Target="http://dx.doi.org/10.1109/VISUAL.1998.745326" TargetMode="External"/><Relationship Id="rId378" Type="http://schemas.openxmlformats.org/officeDocument/2006/relationships/hyperlink" Target="http://dx.doi.org/10.1109/VISUAL.1998.745283" TargetMode="External"/><Relationship Id="rId377" Type="http://schemas.openxmlformats.org/officeDocument/2006/relationships/hyperlink" Target="http://dx.doi.org/10.1109/VISUAL.1998.745293" TargetMode="External"/><Relationship Id="rId376" Type="http://schemas.openxmlformats.org/officeDocument/2006/relationships/hyperlink" Target="http://dx.doi.org/10.1109/VISUAL.1998.745331" TargetMode="External"/><Relationship Id="rId375" Type="http://schemas.openxmlformats.org/officeDocument/2006/relationships/hyperlink" Target="http://dx.doi.org/10.1109/VISUAL.1998.745332" TargetMode="External"/><Relationship Id="rId396" Type="http://schemas.openxmlformats.org/officeDocument/2006/relationships/hyperlink" Target="http://dx.doi.org/10.1109/VISUAL.1998.745328" TargetMode="External"/><Relationship Id="rId395" Type="http://schemas.openxmlformats.org/officeDocument/2006/relationships/hyperlink" Target="http://dx.doi.org/10.1109/VISUAL.1998.745337" TargetMode="External"/><Relationship Id="rId394" Type="http://schemas.openxmlformats.org/officeDocument/2006/relationships/hyperlink" Target="http://dx.doi.org/10.1109/VISUAL.1998.745713" TargetMode="External"/><Relationship Id="rId393" Type="http://schemas.openxmlformats.org/officeDocument/2006/relationships/hyperlink" Target="http://dx.doi.org/10.1109/VISUAL.1998.745299" TargetMode="External"/><Relationship Id="rId399" Type="http://schemas.openxmlformats.org/officeDocument/2006/relationships/hyperlink" Target="http://dx.doi.org/10.1109/VISUAL.1998.745280" TargetMode="External"/><Relationship Id="rId398" Type="http://schemas.openxmlformats.org/officeDocument/2006/relationships/hyperlink" Target="http://dx.doi.org/10.1109/VISUAL.1998.745354" TargetMode="External"/><Relationship Id="rId397" Type="http://schemas.openxmlformats.org/officeDocument/2006/relationships/hyperlink" Target="http://dx.doi.org/10.1109/VISUAL.1998.745298" TargetMode="External"/><Relationship Id="rId40" Type="http://schemas.openxmlformats.org/officeDocument/2006/relationships/hyperlink" Target="http://dx.doi.org/10.1109/SciVis.2015.7429504" TargetMode="External"/><Relationship Id="rId42" Type="http://schemas.openxmlformats.org/officeDocument/2006/relationships/hyperlink" Target="http://dx.doi.org/10.1109/SciVis.2015.7429485" TargetMode="External"/><Relationship Id="rId41" Type="http://schemas.openxmlformats.org/officeDocument/2006/relationships/hyperlink" Target="http://dx.doi.org/10.1109/SciVis.2015.7429510" TargetMode="External"/><Relationship Id="rId44" Type="http://schemas.openxmlformats.org/officeDocument/2006/relationships/hyperlink" Target="http://dx.doi.org/10.1109/SciVis.2015.7429488" TargetMode="External"/><Relationship Id="rId43" Type="http://schemas.openxmlformats.org/officeDocument/2006/relationships/hyperlink" Target="http://dx.doi.org/10.1109/SciVis.2015.7429511" TargetMode="External"/><Relationship Id="rId46" Type="http://schemas.openxmlformats.org/officeDocument/2006/relationships/hyperlink" Target="http://dx.doi.org/10.1109/TVCG.2015.2467412" TargetMode="External"/><Relationship Id="rId45" Type="http://schemas.openxmlformats.org/officeDocument/2006/relationships/hyperlink" Target="http://dx.doi.org/10.1109/TVCG.2015.2467198" TargetMode="External"/><Relationship Id="rId48" Type="http://schemas.openxmlformats.org/officeDocument/2006/relationships/hyperlink" Target="http://dx.doi.org/10.1109/TVCG.2015.2467434" TargetMode="External"/><Relationship Id="rId47" Type="http://schemas.openxmlformats.org/officeDocument/2006/relationships/hyperlink" Target="http://dx.doi.org/10.1109/SciVis.2015.7429507" TargetMode="External"/><Relationship Id="rId49" Type="http://schemas.openxmlformats.org/officeDocument/2006/relationships/hyperlink" Target="http://dx.doi.org/10.1109/TVCG.2015.2467963" TargetMode="External"/><Relationship Id="rId31" Type="http://schemas.openxmlformats.org/officeDocument/2006/relationships/hyperlink" Target="http://dx.doi.org/10.1109/TVCG.2015.2467751" TargetMode="External"/><Relationship Id="rId30" Type="http://schemas.openxmlformats.org/officeDocument/2006/relationships/hyperlink" Target="http://dx.doi.org/10.1109/TVCG.2015.2467851" TargetMode="External"/><Relationship Id="rId33" Type="http://schemas.openxmlformats.org/officeDocument/2006/relationships/hyperlink" Target="http://dx.doi.org/10.1109/TVCG.2015.2467911" TargetMode="External"/><Relationship Id="rId32" Type="http://schemas.openxmlformats.org/officeDocument/2006/relationships/hyperlink" Target="http://dx.doi.org/10.1109/TVCG.2015.2467325" TargetMode="External"/><Relationship Id="rId35" Type="http://schemas.openxmlformats.org/officeDocument/2006/relationships/hyperlink" Target="http://dx.doi.org/10.1109/TVCG.2015.2467831" TargetMode="External"/><Relationship Id="rId34" Type="http://schemas.openxmlformats.org/officeDocument/2006/relationships/hyperlink" Target="http://dx.doi.org/10.1109/TVCG.2015.2467752" TargetMode="External"/><Relationship Id="rId37" Type="http://schemas.openxmlformats.org/officeDocument/2006/relationships/hyperlink" Target="http://dx.doi.org/10.1109/TVCG.2015.2467199" TargetMode="External"/><Relationship Id="rId36" Type="http://schemas.openxmlformats.org/officeDocument/2006/relationships/hyperlink" Target="http://dx.doi.org/10.1109/TVCG.2015.2467112" TargetMode="External"/><Relationship Id="rId39" Type="http://schemas.openxmlformats.org/officeDocument/2006/relationships/hyperlink" Target="http://dx.doi.org/10.1109/TVCG.2015.2467191" TargetMode="External"/><Relationship Id="rId38" Type="http://schemas.openxmlformats.org/officeDocument/2006/relationships/hyperlink" Target="http://dx.doi.org/10.1109/TVCG.2015.2467754" TargetMode="External"/><Relationship Id="rId20" Type="http://schemas.openxmlformats.org/officeDocument/2006/relationships/hyperlink" Target="http://dx.doi.org/10.1109/TVCG.2015.2467132" TargetMode="External"/><Relationship Id="rId22" Type="http://schemas.openxmlformats.org/officeDocument/2006/relationships/hyperlink" Target="http://dx.doi.org/10.1109/TVCG.2015.2467811" TargetMode="External"/><Relationship Id="rId21" Type="http://schemas.openxmlformats.org/officeDocument/2006/relationships/hyperlink" Target="http://dx.doi.org/10.1109/TVCG.2015.2467872" TargetMode="External"/><Relationship Id="rId24" Type="http://schemas.openxmlformats.org/officeDocument/2006/relationships/hyperlink" Target="http://dx.doi.org/10.1109/TVCG.2015.2467091" TargetMode="External"/><Relationship Id="rId23" Type="http://schemas.openxmlformats.org/officeDocument/2006/relationships/hyperlink" Target="http://dx.doi.org/10.1109/TVCG.2015.2467717" TargetMode="External"/><Relationship Id="rId26" Type="http://schemas.openxmlformats.org/officeDocument/2006/relationships/hyperlink" Target="http://dx.doi.org/10.1109/TVCG.2015.2467271" TargetMode="External"/><Relationship Id="rId25" Type="http://schemas.openxmlformats.org/officeDocument/2006/relationships/hyperlink" Target="http://dx.doi.org/10.1109/TVCG.2015.2467035" TargetMode="External"/><Relationship Id="rId28" Type="http://schemas.openxmlformats.org/officeDocument/2006/relationships/hyperlink" Target="http://dx.doi.org/10.1109/TVCG.2015.2467452" TargetMode="External"/><Relationship Id="rId27" Type="http://schemas.openxmlformats.org/officeDocument/2006/relationships/hyperlink" Target="http://dx.doi.org/10.1109/TVCG.2015.2469125" TargetMode="External"/><Relationship Id="rId29" Type="http://schemas.openxmlformats.org/officeDocument/2006/relationships/hyperlink" Target="http://dx.doi.org/10.1109/TVCG.2015.2467201" TargetMode="External"/><Relationship Id="rId11" Type="http://schemas.openxmlformats.org/officeDocument/2006/relationships/hyperlink" Target="http://dx.doi.org/10.1109/TVCG.2015.2467671" TargetMode="External"/><Relationship Id="rId10" Type="http://schemas.openxmlformats.org/officeDocument/2006/relationships/hyperlink" Target="http://dx.doi.org/10.1109/TVCG.2015.2467732" TargetMode="External"/><Relationship Id="rId13" Type="http://schemas.openxmlformats.org/officeDocument/2006/relationships/hyperlink" Target="http://dx.doi.org/10.1109/TVCG.2015.2467759" TargetMode="External"/><Relationship Id="rId12" Type="http://schemas.openxmlformats.org/officeDocument/2006/relationships/hyperlink" Target="http://dx.doi.org/10.1109/TVCG.2015.2466992" TargetMode="External"/><Relationship Id="rId15" Type="http://schemas.openxmlformats.org/officeDocument/2006/relationships/hyperlink" Target="http://dx.doi.org/10.1109/TVCG.2015.2467451" TargetMode="External"/><Relationship Id="rId14" Type="http://schemas.openxmlformats.org/officeDocument/2006/relationships/hyperlink" Target="http://dx.doi.org/10.1109/TVCG.2015.2467251" TargetMode="External"/><Relationship Id="rId17" Type="http://schemas.openxmlformats.org/officeDocument/2006/relationships/hyperlink" Target="http://dx.doi.org/10.1109/TVCG.2015.2467758" TargetMode="External"/><Relationship Id="rId16" Type="http://schemas.openxmlformats.org/officeDocument/2006/relationships/hyperlink" Target="http://dx.doi.org/10.1109/TVCG.2015.2467195" TargetMode="External"/><Relationship Id="rId19" Type="http://schemas.openxmlformats.org/officeDocument/2006/relationships/hyperlink" Target="http://dx.doi.org/10.1109/TVCG.2015.2467322" TargetMode="External"/><Relationship Id="rId18" Type="http://schemas.openxmlformats.org/officeDocument/2006/relationships/hyperlink" Target="http://dx.doi.org/10.1109/TVCG.2015.2466971" TargetMode="External"/><Relationship Id="rId84" Type="http://schemas.openxmlformats.org/officeDocument/2006/relationships/hyperlink" Target="http://dx.doi.org/10.1109/SciVis.2015.7429489" TargetMode="External"/><Relationship Id="rId83" Type="http://schemas.openxmlformats.org/officeDocument/2006/relationships/hyperlink" Target="http://dx.doi.org/10.1109/TVCG.2015.2467293" TargetMode="External"/><Relationship Id="rId86" Type="http://schemas.openxmlformats.org/officeDocument/2006/relationships/hyperlink" Target="http://dx.doi.org/10.1109/TVCG.2015.2467200" TargetMode="External"/><Relationship Id="rId85" Type="http://schemas.openxmlformats.org/officeDocument/2006/relationships/hyperlink" Target="http://dx.doi.org/10.1109/TVCG.2015.2467291" TargetMode="External"/><Relationship Id="rId88" Type="http://schemas.openxmlformats.org/officeDocument/2006/relationships/hyperlink" Target="http://dx.doi.org/10.1109/TVCG.2015.2467194" TargetMode="External"/><Relationship Id="rId87" Type="http://schemas.openxmlformats.org/officeDocument/2006/relationships/hyperlink" Target="http://dx.doi.org/10.1109/TVCG.2015.2467204" TargetMode="External"/><Relationship Id="rId89" Type="http://schemas.openxmlformats.org/officeDocument/2006/relationships/hyperlink" Target="http://dx.doi.org/10.1109/SciVis.2015.7429486" TargetMode="External"/><Relationship Id="rId80" Type="http://schemas.openxmlformats.org/officeDocument/2006/relationships/hyperlink" Target="http://dx.doi.org/10.1109/SciVis.2015.7429512" TargetMode="External"/><Relationship Id="rId82" Type="http://schemas.openxmlformats.org/officeDocument/2006/relationships/hyperlink" Target="http://dx.doi.org/10.1109/SciVis.2015.7429505" TargetMode="External"/><Relationship Id="rId81" Type="http://schemas.openxmlformats.org/officeDocument/2006/relationships/hyperlink" Target="http://dx.doi.org/10.1109/TVCG.2015.2467413" TargetMode="External"/><Relationship Id="rId73" Type="http://schemas.openxmlformats.org/officeDocument/2006/relationships/hyperlink" Target="http://dx.doi.org/10.1109/TVCG.2015.2467331" TargetMode="External"/><Relationship Id="rId72" Type="http://schemas.openxmlformats.org/officeDocument/2006/relationships/hyperlink" Target="http://dx.doi.org/10.1109/TVCG.2015.2467958" TargetMode="External"/><Relationship Id="rId75" Type="http://schemas.openxmlformats.org/officeDocument/2006/relationships/hyperlink" Target="http://dx.doi.org/10.1109/TVCG.2015.2467292" TargetMode="External"/><Relationship Id="rId74" Type="http://schemas.openxmlformats.org/officeDocument/2006/relationships/hyperlink" Target="http://dx.doi.org/10.1109/TVCG.2015.2468031" TargetMode="External"/><Relationship Id="rId77" Type="http://schemas.openxmlformats.org/officeDocument/2006/relationships/hyperlink" Target="http://dx.doi.org/10.1109/TVCG.2015.2467441" TargetMode="External"/><Relationship Id="rId76" Type="http://schemas.openxmlformats.org/officeDocument/2006/relationships/hyperlink" Target="http://dx.doi.org/10.1109/SciVis.2015.7429508" TargetMode="External"/><Relationship Id="rId79" Type="http://schemas.openxmlformats.org/officeDocument/2006/relationships/hyperlink" Target="http://dx.doi.org/10.1109/SciVis.2015.7429503" TargetMode="External"/><Relationship Id="rId78" Type="http://schemas.openxmlformats.org/officeDocument/2006/relationships/hyperlink" Target="http://dx.doi.org/10.1109/TVCG.2015.2467961" TargetMode="External"/><Relationship Id="rId71" Type="http://schemas.openxmlformats.org/officeDocument/2006/relationships/hyperlink" Target="http://dx.doi.org/10.1109/SciVis.2015.7429514" TargetMode="External"/><Relationship Id="rId70" Type="http://schemas.openxmlformats.org/officeDocument/2006/relationships/hyperlink" Target="http://dx.doi.org/10.1109/TVCG.2015.2467294" TargetMode="External"/><Relationship Id="rId62" Type="http://schemas.openxmlformats.org/officeDocument/2006/relationships/hyperlink" Target="http://dx.doi.org/10.1109/TVCG.2015.2466838" TargetMode="External"/><Relationship Id="rId61" Type="http://schemas.openxmlformats.org/officeDocument/2006/relationships/hyperlink" Target="http://dx.doi.org/10.1109/SciVis.2015.7429490" TargetMode="External"/><Relationship Id="rId64" Type="http://schemas.openxmlformats.org/officeDocument/2006/relationships/hyperlink" Target="http://dx.doi.org/10.1109/TVCG.2015.2468091" TargetMode="External"/><Relationship Id="rId63" Type="http://schemas.openxmlformats.org/officeDocument/2006/relationships/hyperlink" Target="http://dx.doi.org/10.1109/SciVis.2015.7429491" TargetMode="External"/><Relationship Id="rId66" Type="http://schemas.openxmlformats.org/officeDocument/2006/relationships/hyperlink" Target="http://dx.doi.org/10.1109/SciVis.2015.7429515" TargetMode="External"/><Relationship Id="rId65" Type="http://schemas.openxmlformats.org/officeDocument/2006/relationships/hyperlink" Target="http://dx.doi.org/10.1109/TVCG.2015.2467435" TargetMode="External"/><Relationship Id="rId68" Type="http://schemas.openxmlformats.org/officeDocument/2006/relationships/hyperlink" Target="http://dx.doi.org/10.1109/TVCG.2015.2467433" TargetMode="External"/><Relationship Id="rId67" Type="http://schemas.openxmlformats.org/officeDocument/2006/relationships/hyperlink" Target="http://dx.doi.org/10.1109/TVCG.2015.2467411" TargetMode="External"/><Relationship Id="rId60" Type="http://schemas.openxmlformats.org/officeDocument/2006/relationships/hyperlink" Target="http://dx.doi.org/10.1109/TVCG.2015.2467962" TargetMode="External"/><Relationship Id="rId69" Type="http://schemas.openxmlformats.org/officeDocument/2006/relationships/hyperlink" Target="http://dx.doi.org/10.1109/TVCG.2015.2467432" TargetMode="External"/><Relationship Id="rId51" Type="http://schemas.openxmlformats.org/officeDocument/2006/relationships/hyperlink" Target="http://dx.doi.org/10.1109/SciVis.2015.7429493" TargetMode="External"/><Relationship Id="rId50" Type="http://schemas.openxmlformats.org/officeDocument/2006/relationships/hyperlink" Target="http://dx.doi.org/10.1109/TVCG.2015.2467431" TargetMode="External"/><Relationship Id="rId53" Type="http://schemas.openxmlformats.org/officeDocument/2006/relationships/hyperlink" Target="http://dx.doi.org/10.1109/TVCG.2015.2467202" TargetMode="External"/><Relationship Id="rId52" Type="http://schemas.openxmlformats.org/officeDocument/2006/relationships/hyperlink" Target="http://dx.doi.org/10.1109/SciVis.2015.7429509" TargetMode="External"/><Relationship Id="rId55" Type="http://schemas.openxmlformats.org/officeDocument/2006/relationships/hyperlink" Target="http://dx.doi.org/10.1109/SciVis.2015.7429502" TargetMode="External"/><Relationship Id="rId54" Type="http://schemas.openxmlformats.org/officeDocument/2006/relationships/hyperlink" Target="http://dx.doi.org/10.1109/TVCG.2015.2467203" TargetMode="External"/><Relationship Id="rId57" Type="http://schemas.openxmlformats.org/officeDocument/2006/relationships/hyperlink" Target="http://dx.doi.org/10.1109/TVCG.2015.2467449" TargetMode="External"/><Relationship Id="rId56" Type="http://schemas.openxmlformats.org/officeDocument/2006/relationships/hyperlink" Target="http://dx.doi.org/10.1109/SciVis.2015.7429492" TargetMode="External"/><Relationship Id="rId59" Type="http://schemas.openxmlformats.org/officeDocument/2006/relationships/hyperlink" Target="http://dx.doi.org/10.1109/TVCG.2015.2468093" TargetMode="External"/><Relationship Id="rId58" Type="http://schemas.openxmlformats.org/officeDocument/2006/relationships/hyperlink" Target="http://dx.doi.org/10.1109/TVCG.2015.2467436" TargetMode="External"/><Relationship Id="rId349" Type="http://schemas.openxmlformats.org/officeDocument/2006/relationships/hyperlink" Target="http://dx.doi.org/10.1109/INFVIS.1998.729555" TargetMode="External"/><Relationship Id="rId348" Type="http://schemas.openxmlformats.org/officeDocument/2006/relationships/hyperlink" Target="http://dx.doi.org/10.1109/INFVIS.1998.729570" TargetMode="External"/><Relationship Id="rId347" Type="http://schemas.openxmlformats.org/officeDocument/2006/relationships/hyperlink" Target="http://dx.doi.org/10.1109/INFVIS.1998.729567" TargetMode="External"/><Relationship Id="rId346" Type="http://schemas.openxmlformats.org/officeDocument/2006/relationships/hyperlink" Target="http://dx.doi.org/10.1109/INFVIS.1998.729562" TargetMode="External"/><Relationship Id="rId341" Type="http://schemas.openxmlformats.org/officeDocument/2006/relationships/hyperlink" Target="http://dx.doi.org/10.1109/INFVIS.1998.729560" TargetMode="External"/><Relationship Id="rId340" Type="http://schemas.openxmlformats.org/officeDocument/2006/relationships/hyperlink" Target="http://dx.doi.org/10.1109/INFVIS.1998.729556" TargetMode="External"/><Relationship Id="rId345" Type="http://schemas.openxmlformats.org/officeDocument/2006/relationships/hyperlink" Target="http://dx.doi.org/10.1109/INFVIS.1998.729563" TargetMode="External"/><Relationship Id="rId344" Type="http://schemas.openxmlformats.org/officeDocument/2006/relationships/hyperlink" Target="http://dx.doi.org/10.1109/INFVIS.1998.729557" TargetMode="External"/><Relationship Id="rId343" Type="http://schemas.openxmlformats.org/officeDocument/2006/relationships/hyperlink" Target="http://dx.doi.org/10.1109/INFVIS.1998.729566" TargetMode="External"/><Relationship Id="rId342" Type="http://schemas.openxmlformats.org/officeDocument/2006/relationships/hyperlink" Target="http://dx.doi.org/10.1109/INFVIS.1998.729569" TargetMode="External"/><Relationship Id="rId338" Type="http://schemas.openxmlformats.org/officeDocument/2006/relationships/hyperlink" Target="http://dx.doi.org/10.1109/VISUAL.1999.809894" TargetMode="External"/><Relationship Id="rId337" Type="http://schemas.openxmlformats.org/officeDocument/2006/relationships/hyperlink" Target="http://dx.doi.org/10.1109/VISUAL.1998.745291" TargetMode="External"/><Relationship Id="rId336" Type="http://schemas.openxmlformats.org/officeDocument/2006/relationships/hyperlink" Target="http://dl.acm.org/citation.cfm?id=375238" TargetMode="External"/><Relationship Id="rId335" Type="http://schemas.openxmlformats.org/officeDocument/2006/relationships/hyperlink" Target="http://doi.ieeecomputersociety.org/10.1109/VISUAL.2000.885744" TargetMode="External"/><Relationship Id="rId339" Type="http://schemas.openxmlformats.org/officeDocument/2006/relationships/hyperlink" Target="http://dx.doi.org/10.1109/INFVIS.1998.729561" TargetMode="External"/><Relationship Id="rId330" Type="http://schemas.openxmlformats.org/officeDocument/2006/relationships/hyperlink" Target="http://dl.acm.org/citation.cfm?id=601733&amp;CFID=417306019&amp;CFTOKEN=83091695" TargetMode="External"/><Relationship Id="rId334" Type="http://schemas.openxmlformats.org/officeDocument/2006/relationships/hyperlink" Target="http://dl.acm.org/citation.cfm?id=375249" TargetMode="External"/><Relationship Id="rId333" Type="http://schemas.openxmlformats.org/officeDocument/2006/relationships/hyperlink" Target="http://dl.acm.org/citation.cfm?id=375275&amp;CFID=588087244&amp;CFTOKEN=42609106" TargetMode="External"/><Relationship Id="rId332" Type="http://schemas.openxmlformats.org/officeDocument/2006/relationships/hyperlink" Target="http://dl.acm.org/citation.cfm?id=375267&amp;CFID=588087244&amp;CFTOKEN=42609106" TargetMode="External"/><Relationship Id="rId331" Type="http://schemas.openxmlformats.org/officeDocument/2006/relationships/hyperlink" Target="http://dl.acm.org/citation.cfm?id=857699" TargetMode="External"/><Relationship Id="rId370" Type="http://schemas.openxmlformats.org/officeDocument/2006/relationships/hyperlink" Target="http://dx.doi.org/10.1109/VISUAL.1998.745349" TargetMode="External"/><Relationship Id="rId369" Type="http://schemas.openxmlformats.org/officeDocument/2006/relationships/hyperlink" Target="http://dx.doi.org/10.1109/VISUAL.1998.745324" TargetMode="External"/><Relationship Id="rId368" Type="http://schemas.openxmlformats.org/officeDocument/2006/relationships/hyperlink" Target="http://dx.doi.org/10.1109/VISUAL.1998.745292" TargetMode="External"/><Relationship Id="rId363" Type="http://schemas.openxmlformats.org/officeDocument/2006/relationships/hyperlink" Target="http://dx.doi.org/10.1109/VISUAL.1998.745310" TargetMode="External"/><Relationship Id="rId362" Type="http://schemas.openxmlformats.org/officeDocument/2006/relationships/hyperlink" Target="http://dx.doi.org/10.1109/VISUAL.1998.745313" TargetMode="External"/><Relationship Id="rId361" Type="http://schemas.openxmlformats.org/officeDocument/2006/relationships/hyperlink" Target="http://dx.doi.org/10.1109/VISUAL.1998.745296" TargetMode="External"/><Relationship Id="rId360" Type="http://schemas.openxmlformats.org/officeDocument/2006/relationships/hyperlink" Target="http://dx.doi.org/10.1109/VISUAL.1998.745285" TargetMode="External"/><Relationship Id="rId367" Type="http://schemas.openxmlformats.org/officeDocument/2006/relationships/hyperlink" Target="http://dx.doi.org/10.1109/VISUAL.1998.745344" TargetMode="External"/><Relationship Id="rId366" Type="http://schemas.openxmlformats.org/officeDocument/2006/relationships/hyperlink" Target="http://dx.doi.org/10.1109/VISUAL.1998.745297" TargetMode="External"/><Relationship Id="rId365" Type="http://schemas.openxmlformats.org/officeDocument/2006/relationships/hyperlink" Target="http://dx.doi.org/10.1109/VISUAL.1998.745355" TargetMode="External"/><Relationship Id="rId364" Type="http://schemas.openxmlformats.org/officeDocument/2006/relationships/hyperlink" Target="http://dx.doi.org/10.1109/VISUAL.1998.745347" TargetMode="External"/><Relationship Id="rId95" Type="http://schemas.openxmlformats.org/officeDocument/2006/relationships/hyperlink" Target="http://dx.doi.org/10.1109/TVCG.2015.2467031" TargetMode="External"/><Relationship Id="rId94" Type="http://schemas.openxmlformats.org/officeDocument/2006/relationships/hyperlink" Target="http://dx.doi.org/10.1109/SciVis.2015.7429506" TargetMode="External"/><Relationship Id="rId97" Type="http://schemas.openxmlformats.org/officeDocument/2006/relationships/hyperlink" Target="http://dx.doi.org/10.1109/TVCG.2015.2467613" TargetMode="External"/><Relationship Id="rId96" Type="http://schemas.openxmlformats.org/officeDocument/2006/relationships/hyperlink" Target="http://dx.doi.org/10.1109/TVCG.2015.2468291" TargetMode="External"/><Relationship Id="rId99" Type="http://schemas.openxmlformats.org/officeDocument/2006/relationships/hyperlink" Target="http://dx.doi.org/10.1109/VAST.2015.7347677" TargetMode="External"/><Relationship Id="rId98" Type="http://schemas.openxmlformats.org/officeDocument/2006/relationships/hyperlink" Target="http://dx.doi.org/10.1109/VAST.2015.7347674" TargetMode="External"/><Relationship Id="rId91" Type="http://schemas.openxmlformats.org/officeDocument/2006/relationships/hyperlink" Target="http://dx.doi.org/10.1109/TVCG.2015.2467952" TargetMode="External"/><Relationship Id="rId90" Type="http://schemas.openxmlformats.org/officeDocument/2006/relationships/hyperlink" Target="http://dx.doi.org/10.1109/SciVis.2015.7429487" TargetMode="External"/><Relationship Id="rId93" Type="http://schemas.openxmlformats.org/officeDocument/2006/relationships/hyperlink" Target="http://dx.doi.org/10.1109/SciVis.2015.7429513" TargetMode="External"/><Relationship Id="rId92" Type="http://schemas.openxmlformats.org/officeDocument/2006/relationships/hyperlink" Target="http://dx.doi.org/10.1109/TVCG.2015.2467153" TargetMode="External"/><Relationship Id="rId359" Type="http://schemas.openxmlformats.org/officeDocument/2006/relationships/hyperlink" Target="http://dx.doi.org/10.1109/VISUAL.1998.745307" TargetMode="External"/><Relationship Id="rId358" Type="http://schemas.openxmlformats.org/officeDocument/2006/relationships/hyperlink" Target="http://dx.doi.org/10.1109/VISUAL.1998.745304" TargetMode="External"/><Relationship Id="rId357" Type="http://schemas.openxmlformats.org/officeDocument/2006/relationships/hyperlink" Target="http://dx.doi.org/10.1109/VISUAL.1998.745336" TargetMode="External"/><Relationship Id="rId352" Type="http://schemas.openxmlformats.org/officeDocument/2006/relationships/hyperlink" Target="http://dx.doi.org/10.1109/INFVIS.1998.729558" TargetMode="External"/><Relationship Id="rId351" Type="http://schemas.openxmlformats.org/officeDocument/2006/relationships/hyperlink" Target="http://dx.doi.org/10.1109/INFVIS.1998.729559" TargetMode="External"/><Relationship Id="rId350" Type="http://schemas.openxmlformats.org/officeDocument/2006/relationships/hyperlink" Target="http://dx.doi.org/10.1109/INFVIS.1998.729564" TargetMode="External"/><Relationship Id="rId356" Type="http://schemas.openxmlformats.org/officeDocument/2006/relationships/hyperlink" Target="http://dx.doi.org/10.1109/INFVIS.1998.729553" TargetMode="External"/><Relationship Id="rId355" Type="http://schemas.openxmlformats.org/officeDocument/2006/relationships/hyperlink" Target="http://dx.doi.org/10.1109/INFVIS.1998.729565" TargetMode="External"/><Relationship Id="rId354" Type="http://schemas.openxmlformats.org/officeDocument/2006/relationships/hyperlink" Target="http://dx.doi.org/10.1109/INFVIS.1998.729554" TargetMode="External"/><Relationship Id="rId353" Type="http://schemas.openxmlformats.org/officeDocument/2006/relationships/hyperlink" Target="http://dx.doi.org/10.1109/INFVIS.1998.729568" TargetMode="External"/><Relationship Id="rId305" Type="http://schemas.openxmlformats.org/officeDocument/2006/relationships/hyperlink" Target="http://dx.doi.org/10.1109/VAST.2011.6102496" TargetMode="External"/><Relationship Id="rId304" Type="http://schemas.openxmlformats.org/officeDocument/2006/relationships/hyperlink" Target="http://dx.doi.org/10.1109/VAST.2011.6102497" TargetMode="External"/><Relationship Id="rId303" Type="http://schemas.openxmlformats.org/officeDocument/2006/relationships/hyperlink" Target="http://dx.doi.org/10.1109/VAST.2011.6102492" TargetMode="External"/><Relationship Id="rId302" Type="http://schemas.openxmlformats.org/officeDocument/2006/relationships/hyperlink" Target="http://dx.doi.org/10.1109/VAST.2011.6102491" TargetMode="External"/><Relationship Id="rId309" Type="http://schemas.openxmlformats.org/officeDocument/2006/relationships/hyperlink" Target="http://dx.doi.org/10.1109/VAST.2011.6102482" TargetMode="External"/><Relationship Id="rId308" Type="http://schemas.openxmlformats.org/officeDocument/2006/relationships/hyperlink" Target="http://dx.doi.org/10.1109/VAST.2011.6102490" TargetMode="External"/><Relationship Id="rId307" Type="http://schemas.openxmlformats.org/officeDocument/2006/relationships/hyperlink" Target="http://dx.doi.org/10.1109/VAST.2011.6102486" TargetMode="External"/><Relationship Id="rId306" Type="http://schemas.openxmlformats.org/officeDocument/2006/relationships/hyperlink" Target="http://dx.doi.org/10.1109/VAST.2011.6102479" TargetMode="External"/><Relationship Id="rId301" Type="http://schemas.openxmlformats.org/officeDocument/2006/relationships/hyperlink" Target="http://dx.doi.org/10.1109/VAST.2011.6102478" TargetMode="External"/><Relationship Id="rId300" Type="http://schemas.openxmlformats.org/officeDocument/2006/relationships/hyperlink" Target="http://dx.doi.org/10.1109/VAST.2011.6102481" TargetMode="External"/><Relationship Id="rId327" Type="http://schemas.openxmlformats.org/officeDocument/2006/relationships/hyperlink" Target="http://doi.ieeecomputersociety.org/10.1109/VISUAL.2001.964520" TargetMode="External"/><Relationship Id="rId326" Type="http://schemas.openxmlformats.org/officeDocument/2006/relationships/hyperlink" Target="http://dl.acm.org/citation.cfm?id=601676" TargetMode="External"/><Relationship Id="rId325" Type="http://schemas.openxmlformats.org/officeDocument/2006/relationships/hyperlink" Target="http://doi.ieeecomputersociety.org/10.1109/VISUAL.2001.964541" TargetMode="External"/><Relationship Id="rId324" Type="http://schemas.openxmlformats.org/officeDocument/2006/relationships/hyperlink" Target="http://dl.acm.org/citation.cfm?id=601678&amp;CFID=417306019&amp;CFTOKEN=83091695" TargetMode="External"/><Relationship Id="rId329" Type="http://schemas.openxmlformats.org/officeDocument/2006/relationships/hyperlink" Target="http://dl.acm.org/citation.cfm?id=601681&amp;CFID=417306019&amp;CFTOKEN=83091695" TargetMode="External"/><Relationship Id="rId328" Type="http://schemas.openxmlformats.org/officeDocument/2006/relationships/hyperlink" Target="http://doi.ieeecomputersociety.org/10.1109/VISUAL.2001.964561" TargetMode="External"/><Relationship Id="rId323" Type="http://schemas.openxmlformats.org/officeDocument/2006/relationships/hyperlink" Target="http://dl.acm.org/citation.cfm?id=601721&amp;CFID=417306019&amp;CFTOKEN=83091695" TargetMode="External"/><Relationship Id="rId322" Type="http://schemas.openxmlformats.org/officeDocument/2006/relationships/hyperlink" Target="http://dl.acm.org/citation.cfm?id=601680&amp;CFID=417306019&amp;CFTOKEN=83091695" TargetMode="External"/><Relationship Id="rId321" Type="http://schemas.openxmlformats.org/officeDocument/2006/relationships/hyperlink" Target="http://dl.acm.org/citation.cfm?id=601690&amp;CFID=417306019&amp;CFTOKEN=83091695" TargetMode="External"/><Relationship Id="rId320" Type="http://schemas.openxmlformats.org/officeDocument/2006/relationships/hyperlink" Target="http://dl.acm.org/citation.cfm?id=601698&amp;CFID=417306019&amp;CFTOKEN=83091695" TargetMode="External"/><Relationship Id="rId316" Type="http://schemas.openxmlformats.org/officeDocument/2006/relationships/hyperlink" Target="http://dl.acm.org/citation.cfm?id=1947387" TargetMode="External"/><Relationship Id="rId315" Type="http://schemas.openxmlformats.org/officeDocument/2006/relationships/hyperlink" Target="http://dl.acm.org/citation.cfm?id=1947411" TargetMode="External"/><Relationship Id="rId314" Type="http://schemas.openxmlformats.org/officeDocument/2006/relationships/hyperlink" Target="http://doi.ieeecomputersociety.org/10.1109/INFVIS.2003.1249029" TargetMode="External"/><Relationship Id="rId313" Type="http://schemas.openxmlformats.org/officeDocument/2006/relationships/hyperlink" Target="http://dx.doi.org/10.1109/VAST.2011.6102477" TargetMode="External"/><Relationship Id="rId319" Type="http://schemas.openxmlformats.org/officeDocument/2006/relationships/hyperlink" Target="http://doi.ieeecomputersociety.org/10.1109/VISUAL.2001.964560" TargetMode="External"/><Relationship Id="rId318" Type="http://schemas.openxmlformats.org/officeDocument/2006/relationships/hyperlink" Target="http://doi.ieeecomputersociety.org/10.1109/INFVIS.2003.1249017" TargetMode="External"/><Relationship Id="rId317" Type="http://schemas.openxmlformats.org/officeDocument/2006/relationships/hyperlink" Target="http://dl.acm.org/citation.cfm?id=1947385" TargetMode="External"/><Relationship Id="rId312" Type="http://schemas.openxmlformats.org/officeDocument/2006/relationships/hyperlink" Target="http://dx.doi.org/10.1109/VAST.2011.6102498" TargetMode="External"/><Relationship Id="rId311" Type="http://schemas.openxmlformats.org/officeDocument/2006/relationships/hyperlink" Target="http://dx.doi.org/10.1109/VAST.2011.6102488" TargetMode="External"/><Relationship Id="rId310" Type="http://schemas.openxmlformats.org/officeDocument/2006/relationships/hyperlink" Target="http://dx.doi.org/10.1109/VAST.2011.6102480" TargetMode="External"/><Relationship Id="rId297" Type="http://schemas.openxmlformats.org/officeDocument/2006/relationships/hyperlink" Target="http://dx.doi.org/10.1109/VAST.2011.6102495" TargetMode="External"/><Relationship Id="rId296" Type="http://schemas.openxmlformats.org/officeDocument/2006/relationships/hyperlink" Target="http://dx.doi.org/10.1109/VAST.2011.6102493" TargetMode="External"/><Relationship Id="rId295" Type="http://schemas.openxmlformats.org/officeDocument/2006/relationships/hyperlink" Target="http://dx.doi.org/10.1109/VAST.2011.6102476" TargetMode="External"/><Relationship Id="rId294" Type="http://schemas.openxmlformats.org/officeDocument/2006/relationships/hyperlink" Target="http://dx.doi.org/10.1109/VAST.2014.7042491" TargetMode="External"/><Relationship Id="rId299" Type="http://schemas.openxmlformats.org/officeDocument/2006/relationships/hyperlink" Target="http://dx.doi.org/10.1109/VAST.2011.6102489" TargetMode="External"/><Relationship Id="rId298" Type="http://schemas.openxmlformats.org/officeDocument/2006/relationships/hyperlink" Target="http://dx.doi.org/10.1109/VAST.2011.6102485" TargetMode="External"/><Relationship Id="rId271" Type="http://schemas.openxmlformats.org/officeDocument/2006/relationships/hyperlink" Target="http://dx.doi.org/10.1109/TVCG.2014.2346574" TargetMode="External"/><Relationship Id="rId270" Type="http://schemas.openxmlformats.org/officeDocument/2006/relationships/hyperlink" Target="http://dx.doi.org/10.1109/TVCG.2014.2346926" TargetMode="External"/><Relationship Id="rId269" Type="http://schemas.openxmlformats.org/officeDocument/2006/relationships/hyperlink" Target="http://dx.doi.org/10.1109/VAST.2014.7042496" TargetMode="External"/><Relationship Id="rId264" Type="http://schemas.openxmlformats.org/officeDocument/2006/relationships/hyperlink" Target="http://dx.doi.org/10.1109/TVCG.2014.2346481" TargetMode="External"/><Relationship Id="rId263" Type="http://schemas.openxmlformats.org/officeDocument/2006/relationships/hyperlink" Target="http://dx.doi.org/10.1109/TVCG.2014.2346591" TargetMode="External"/><Relationship Id="rId262" Type="http://schemas.openxmlformats.org/officeDocument/2006/relationships/hyperlink" Target="http://dx.doi.org/10.1109/VAST.2014.7042495" TargetMode="External"/><Relationship Id="rId261" Type="http://schemas.openxmlformats.org/officeDocument/2006/relationships/hyperlink" Target="http://dx.doi.org/10.1109/TVCG.2014.2346482" TargetMode="External"/><Relationship Id="rId268" Type="http://schemas.openxmlformats.org/officeDocument/2006/relationships/hyperlink" Target="http://dx.doi.org/10.1109/TVCG.2014.2346920" TargetMode="External"/><Relationship Id="rId267" Type="http://schemas.openxmlformats.org/officeDocument/2006/relationships/hyperlink" Target="http://dx.doi.org/10.1109/TVCG.2014.2346578" TargetMode="External"/><Relationship Id="rId266" Type="http://schemas.openxmlformats.org/officeDocument/2006/relationships/hyperlink" Target="http://dx.doi.org/10.1109/VAST.2014.7042492" TargetMode="External"/><Relationship Id="rId265" Type="http://schemas.openxmlformats.org/officeDocument/2006/relationships/hyperlink" Target="http://dx.doi.org/10.1109/TVCG.2014.2346912" TargetMode="External"/><Relationship Id="rId260" Type="http://schemas.openxmlformats.org/officeDocument/2006/relationships/hyperlink" Target="http://dx.doi.org/10.1109/VAST.2014.7042488" TargetMode="External"/><Relationship Id="rId259" Type="http://schemas.openxmlformats.org/officeDocument/2006/relationships/hyperlink" Target="http://dx.doi.org/10.1109/TVCG.2014.2346753" TargetMode="External"/><Relationship Id="rId258" Type="http://schemas.openxmlformats.org/officeDocument/2006/relationships/hyperlink" Target="http://dx.doi.org/10.1109/TVCG.2014.2346743" TargetMode="External"/><Relationship Id="rId253" Type="http://schemas.openxmlformats.org/officeDocument/2006/relationships/hyperlink" Target="http://dx.doi.org/10.1109/TVCG.2014.2346747" TargetMode="External"/><Relationship Id="rId252" Type="http://schemas.openxmlformats.org/officeDocument/2006/relationships/hyperlink" Target="http://dx.doi.org/10.1109/TVCG.2014.2346682" TargetMode="External"/><Relationship Id="rId251" Type="http://schemas.openxmlformats.org/officeDocument/2006/relationships/hyperlink" Target="http://dx.doi.org/10.1109/TVCG.2014.2346626" TargetMode="External"/><Relationship Id="rId250" Type="http://schemas.openxmlformats.org/officeDocument/2006/relationships/hyperlink" Target="http://dx.doi.org/10.1109/TVCG.2014.2346752" TargetMode="External"/><Relationship Id="rId257" Type="http://schemas.openxmlformats.org/officeDocument/2006/relationships/hyperlink" Target="http://dx.doi.org/10.1109/TVCG.2014.2346575" TargetMode="External"/><Relationship Id="rId256" Type="http://schemas.openxmlformats.org/officeDocument/2006/relationships/hyperlink" Target="http://dx.doi.org/10.1109/VAST.2014.7042480" TargetMode="External"/><Relationship Id="rId255" Type="http://schemas.openxmlformats.org/officeDocument/2006/relationships/hyperlink" Target="http://dx.doi.org/10.1109/VAST.2014.7042477" TargetMode="External"/><Relationship Id="rId254" Type="http://schemas.openxmlformats.org/officeDocument/2006/relationships/hyperlink" Target="http://dx.doi.org/10.1109/TVCG.2014.2346919" TargetMode="External"/><Relationship Id="rId293" Type="http://schemas.openxmlformats.org/officeDocument/2006/relationships/hyperlink" Target="http://dx.doi.org/10.1109/VAST.2014.7042483" TargetMode="External"/><Relationship Id="rId292" Type="http://schemas.openxmlformats.org/officeDocument/2006/relationships/hyperlink" Target="http://dx.doi.org/10.1109/TVCG.2014.2346893" TargetMode="External"/><Relationship Id="rId291" Type="http://schemas.openxmlformats.org/officeDocument/2006/relationships/hyperlink" Target="http://dx.doi.org/10.1109/TVCG.2014.2346755" TargetMode="External"/><Relationship Id="rId290" Type="http://schemas.openxmlformats.org/officeDocument/2006/relationships/hyperlink" Target="http://dx.doi.org/10.1109/TVCG.2014.2346660" TargetMode="External"/><Relationship Id="rId286" Type="http://schemas.openxmlformats.org/officeDocument/2006/relationships/hyperlink" Target="http://dx.doi.org/10.1109/TVCG.2014.2346898" TargetMode="External"/><Relationship Id="rId285" Type="http://schemas.openxmlformats.org/officeDocument/2006/relationships/hyperlink" Target="http://dx.doi.org/10.1109/VAST.2014.7042485" TargetMode="External"/><Relationship Id="rId284" Type="http://schemas.openxmlformats.org/officeDocument/2006/relationships/hyperlink" Target="http://dx.doi.org/10.1109/TVCG.2014.2346594" TargetMode="External"/><Relationship Id="rId283" Type="http://schemas.openxmlformats.org/officeDocument/2006/relationships/hyperlink" Target="http://dx.doi.org/10.1109/VAST.2014.7042489" TargetMode="External"/><Relationship Id="rId289" Type="http://schemas.openxmlformats.org/officeDocument/2006/relationships/hyperlink" Target="http://dx.doi.org/10.1109/TVCG.2014.2346746" TargetMode="External"/><Relationship Id="rId288" Type="http://schemas.openxmlformats.org/officeDocument/2006/relationships/hyperlink" Target="http://dx.doi.org/10.1109/TVCG.2014.2346744" TargetMode="External"/><Relationship Id="rId287" Type="http://schemas.openxmlformats.org/officeDocument/2006/relationships/hyperlink" Target="http://dx.doi.org/10.1109/TVCG.2014.2346751" TargetMode="External"/><Relationship Id="rId282" Type="http://schemas.openxmlformats.org/officeDocument/2006/relationships/hyperlink" Target="http://dx.doi.org/10.1109/TVCG.2014.2346911" TargetMode="External"/><Relationship Id="rId281" Type="http://schemas.openxmlformats.org/officeDocument/2006/relationships/hyperlink" Target="http://dx.doi.org/10.1109/TVCG.2014.2346677" TargetMode="External"/><Relationship Id="rId280" Type="http://schemas.openxmlformats.org/officeDocument/2006/relationships/hyperlink" Target="http://dx.doi.org/10.1109/TVCG.2014.2346913" TargetMode="External"/><Relationship Id="rId275" Type="http://schemas.openxmlformats.org/officeDocument/2006/relationships/hyperlink" Target="http://dx.doi.org/10.1109/TVCG.2014.2346754" TargetMode="External"/><Relationship Id="rId274" Type="http://schemas.openxmlformats.org/officeDocument/2006/relationships/hyperlink" Target="http://dx.doi.org/10.1109/TVCG.2014.2346573" TargetMode="External"/><Relationship Id="rId273" Type="http://schemas.openxmlformats.org/officeDocument/2006/relationships/hyperlink" Target="http://dx.doi.org/10.1109/VAST.2014.7042493" TargetMode="External"/><Relationship Id="rId272" Type="http://schemas.openxmlformats.org/officeDocument/2006/relationships/hyperlink" Target="http://dx.doi.org/10.1109/TVCG.2014.2346930" TargetMode="External"/><Relationship Id="rId279" Type="http://schemas.openxmlformats.org/officeDocument/2006/relationships/hyperlink" Target="http://dx.doi.org/10.1109/VAST.2014.7042487" TargetMode="External"/><Relationship Id="rId278" Type="http://schemas.openxmlformats.org/officeDocument/2006/relationships/hyperlink" Target="http://dx.doi.org/10.1109/TVCG.2014.2346572" TargetMode="External"/><Relationship Id="rId277" Type="http://schemas.openxmlformats.org/officeDocument/2006/relationships/hyperlink" Target="http://dx.doi.org/10.1109/VAST.2014.7042476" TargetMode="External"/><Relationship Id="rId276" Type="http://schemas.openxmlformats.org/officeDocument/2006/relationships/hyperlink" Target="http://dx.doi.org/10.1109/VAST.2014.7042494" TargetMode="External"/><Relationship Id="rId228" Type="http://schemas.openxmlformats.org/officeDocument/2006/relationships/hyperlink" Target="http://dx.doi.org/10.1109/TVCG.2014.2346317" TargetMode="External"/><Relationship Id="rId227" Type="http://schemas.openxmlformats.org/officeDocument/2006/relationships/hyperlink" Target="http://dx.doi.org/10.1109/TVCG.2014.2346332" TargetMode="External"/><Relationship Id="rId226" Type="http://schemas.openxmlformats.org/officeDocument/2006/relationships/hyperlink" Target="http://dx.doi.org/10.1109/TVCG.2014.2346448" TargetMode="External"/><Relationship Id="rId225" Type="http://schemas.openxmlformats.org/officeDocument/2006/relationships/hyperlink" Target="http://dx.doi.org/10.1109/TVCG.2014.2346333" TargetMode="External"/><Relationship Id="rId229" Type="http://schemas.openxmlformats.org/officeDocument/2006/relationships/hyperlink" Target="http://dx.doi.org/10.1109/TVCG.2014.2346324" TargetMode="External"/><Relationship Id="rId220" Type="http://schemas.openxmlformats.org/officeDocument/2006/relationships/hyperlink" Target="http://dx.doi.org/10.1109/TVCG.2014.2346432" TargetMode="External"/><Relationship Id="rId224" Type="http://schemas.openxmlformats.org/officeDocument/2006/relationships/hyperlink" Target="http://dx.doi.org/10.1109/TVCG.2014.2346404" TargetMode="External"/><Relationship Id="rId223" Type="http://schemas.openxmlformats.org/officeDocument/2006/relationships/hyperlink" Target="http://dx.doi.org/10.1109/TVCG.2014.2346319" TargetMode="External"/><Relationship Id="rId222" Type="http://schemas.openxmlformats.org/officeDocument/2006/relationships/hyperlink" Target="http://dx.doi.org/10.1109/TVCG.2014.2346416" TargetMode="External"/><Relationship Id="rId221" Type="http://schemas.openxmlformats.org/officeDocument/2006/relationships/hyperlink" Target="http://dx.doi.org/10.1109/TVCG.2014.2346458" TargetMode="External"/><Relationship Id="rId217" Type="http://schemas.openxmlformats.org/officeDocument/2006/relationships/hyperlink" Target="http://dx.doi.org/10.1109/TVCG.2014.2346447" TargetMode="External"/><Relationship Id="rId216" Type="http://schemas.openxmlformats.org/officeDocument/2006/relationships/hyperlink" Target="http://dx.doi.org/10.1109/TVCG.2014.2346455" TargetMode="External"/><Relationship Id="rId215" Type="http://schemas.openxmlformats.org/officeDocument/2006/relationships/hyperlink" Target="http://dx.doi.org/10.1109/TVCG.2014.2346434" TargetMode="External"/><Relationship Id="rId214" Type="http://schemas.openxmlformats.org/officeDocument/2006/relationships/hyperlink" Target="http://dx.doi.org/10.1109/TVCG.2014.2346406" TargetMode="External"/><Relationship Id="rId219" Type="http://schemas.openxmlformats.org/officeDocument/2006/relationships/hyperlink" Target="http://dx.doi.org/10.1109/TVCG.2014.2346442" TargetMode="External"/><Relationship Id="rId218" Type="http://schemas.openxmlformats.org/officeDocument/2006/relationships/hyperlink" Target="http://dx.doi.org/10.1109/TVCG.2014.2346371" TargetMode="External"/><Relationship Id="rId213" Type="http://schemas.openxmlformats.org/officeDocument/2006/relationships/hyperlink" Target="http://dx.doi.org/10.1109/TVCG.2014.2346446" TargetMode="External"/><Relationship Id="rId212" Type="http://schemas.openxmlformats.org/officeDocument/2006/relationships/hyperlink" Target="http://dx.doi.org/10.1109/TVCG.2014.2346403" TargetMode="External"/><Relationship Id="rId211" Type="http://schemas.openxmlformats.org/officeDocument/2006/relationships/hyperlink" Target="http://dx.doi.org/10.1109/TVCG.2014.2346351" TargetMode="External"/><Relationship Id="rId210" Type="http://schemas.openxmlformats.org/officeDocument/2006/relationships/hyperlink" Target="http://dx.doi.org/10.1109/TVCG.2014.2346352" TargetMode="External"/><Relationship Id="rId249" Type="http://schemas.openxmlformats.org/officeDocument/2006/relationships/hyperlink" Target="http://dx.doi.org/10.1109/VAST.2014.7042490" TargetMode="External"/><Relationship Id="rId248" Type="http://schemas.openxmlformats.org/officeDocument/2006/relationships/hyperlink" Target="http://dx.doi.org/10.1109/VAST.2014.7042478" TargetMode="External"/><Relationship Id="rId247" Type="http://schemas.openxmlformats.org/officeDocument/2006/relationships/hyperlink" Target="http://dx.doi.org/10.1109/VAST.2014.7042484" TargetMode="External"/><Relationship Id="rId242" Type="http://schemas.openxmlformats.org/officeDocument/2006/relationships/hyperlink" Target="http://dx.doi.org/10.1109/TVCG.2014.2346665" TargetMode="External"/><Relationship Id="rId241" Type="http://schemas.openxmlformats.org/officeDocument/2006/relationships/hyperlink" Target="http://dx.doi.org/10.1109/TVCG.2014.2346922" TargetMode="External"/><Relationship Id="rId240" Type="http://schemas.openxmlformats.org/officeDocument/2006/relationships/hyperlink" Target="http://dx.doi.org/10.1109/TVCG.2014.2346415" TargetMode="External"/><Relationship Id="rId246" Type="http://schemas.openxmlformats.org/officeDocument/2006/relationships/hyperlink" Target="http://dx.doi.org/10.1109/VAST.2014.7042481" TargetMode="External"/><Relationship Id="rId245" Type="http://schemas.openxmlformats.org/officeDocument/2006/relationships/hyperlink" Target="http://dx.doi.org/10.1109/VAST.2014.7042482" TargetMode="External"/><Relationship Id="rId244" Type="http://schemas.openxmlformats.org/officeDocument/2006/relationships/hyperlink" Target="http://dx.doi.org/10.1109/VAST.2014.7042486" TargetMode="External"/><Relationship Id="rId243" Type="http://schemas.openxmlformats.org/officeDocument/2006/relationships/hyperlink" Target="http://dx.doi.org/10.1109/VAST.2014.7042479" TargetMode="External"/><Relationship Id="rId239" Type="http://schemas.openxmlformats.org/officeDocument/2006/relationships/hyperlink" Target="http://dx.doi.org/10.1109/TVCG.2014.2346457" TargetMode="External"/><Relationship Id="rId238" Type="http://schemas.openxmlformats.org/officeDocument/2006/relationships/hyperlink" Target="http://dx.doi.org/10.1109/TVCG.2014.2346322" TargetMode="External"/><Relationship Id="rId237" Type="http://schemas.openxmlformats.org/officeDocument/2006/relationships/hyperlink" Target="http://dx.doi.org/10.1109/TVCG.2014.2346425" TargetMode="External"/><Relationship Id="rId236" Type="http://schemas.openxmlformats.org/officeDocument/2006/relationships/hyperlink" Target="http://dx.doi.org/10.1109/TVCG.2014.2352952" TargetMode="External"/><Relationship Id="rId231" Type="http://schemas.openxmlformats.org/officeDocument/2006/relationships/hyperlink" Target="http://dx.doi.org/10.1109/TVCG.2014.2346423" TargetMode="External"/><Relationship Id="rId230" Type="http://schemas.openxmlformats.org/officeDocument/2006/relationships/hyperlink" Target="http://dx.doi.org/10.1109/TVCG.2014.2346459" TargetMode="External"/><Relationship Id="rId235" Type="http://schemas.openxmlformats.org/officeDocument/2006/relationships/hyperlink" Target="http://dx.doi.org/10.1109/TVCG.2014.2346411" TargetMode="External"/><Relationship Id="rId234" Type="http://schemas.openxmlformats.org/officeDocument/2006/relationships/hyperlink" Target="http://dx.doi.org/10.1109/TVCG.2014.2346318" TargetMode="External"/><Relationship Id="rId233" Type="http://schemas.openxmlformats.org/officeDocument/2006/relationships/hyperlink" Target="http://dx.doi.org/10.1109/TVCG.2014.2346449" TargetMode="External"/><Relationship Id="rId232" Type="http://schemas.openxmlformats.org/officeDocument/2006/relationships/hyperlink" Target="http://dx.doi.org/10.1109/TVCG.2014.2346451" TargetMode="External"/><Relationship Id="rId206" Type="http://schemas.openxmlformats.org/officeDocument/2006/relationships/hyperlink" Target="http://dx.doi.org/10.1109/TVCG.2014.2346297" TargetMode="External"/><Relationship Id="rId205" Type="http://schemas.openxmlformats.org/officeDocument/2006/relationships/hyperlink" Target="http://dx.doi.org/10.1109/TVCG.2014.2346321" TargetMode="External"/><Relationship Id="rId204" Type="http://schemas.openxmlformats.org/officeDocument/2006/relationships/hyperlink" Target="http://dx.doi.org/10.1109/TVCG.2014.2346248" TargetMode="External"/><Relationship Id="rId203" Type="http://schemas.openxmlformats.org/officeDocument/2006/relationships/hyperlink" Target="http://dx.doi.org/10.1109/TVCG.2014.2346277" TargetMode="External"/><Relationship Id="rId209" Type="http://schemas.openxmlformats.org/officeDocument/2006/relationships/hyperlink" Target="http://dx.doi.org/10.1109/TVCG.2014.2346418" TargetMode="External"/><Relationship Id="rId208" Type="http://schemas.openxmlformats.org/officeDocument/2006/relationships/hyperlink" Target="http://dx.doi.org/10.1109/TVCG.2014.2346405" TargetMode="External"/><Relationship Id="rId207" Type="http://schemas.openxmlformats.org/officeDocument/2006/relationships/hyperlink" Target="http://dx.doi.org/10.1109/TVCG.2014.2346412" TargetMode="External"/><Relationship Id="rId202" Type="http://schemas.openxmlformats.org/officeDocument/2006/relationships/hyperlink" Target="http://dx.doi.org/10.1109/TVCG.2014.2346983" TargetMode="External"/><Relationship Id="rId201" Type="http://schemas.openxmlformats.org/officeDocument/2006/relationships/hyperlink" Target="http://dx.doi.org/10.1109/TVCG.2014.2346419" TargetMode="External"/><Relationship Id="rId200" Type="http://schemas.openxmlformats.org/officeDocument/2006/relationships/hyperlink" Target="http://dx.doi.org/10.1109/TVCG.2014.2346424" TargetMode="External"/><Relationship Id="rId509" Type="http://schemas.openxmlformats.org/officeDocument/2006/relationships/hyperlink" Target="http://dx.doi.org/10.1109/VISUAL.1997.663878" TargetMode="External"/><Relationship Id="rId508" Type="http://schemas.openxmlformats.org/officeDocument/2006/relationships/hyperlink" Target="http://dx.doi.org/10.1109/VISUAL.1997.663913" TargetMode="External"/><Relationship Id="rId503" Type="http://schemas.openxmlformats.org/officeDocument/2006/relationships/hyperlink" Target="http://dx.doi.org/10.1109/VISUAL.1997.663932" TargetMode="External"/><Relationship Id="rId502" Type="http://schemas.openxmlformats.org/officeDocument/2006/relationships/hyperlink" Target="http://dx.doi.org/10.1109/VISUAL.1997.663912" TargetMode="External"/><Relationship Id="rId501" Type="http://schemas.openxmlformats.org/officeDocument/2006/relationships/hyperlink" Target="http://dx.doi.org/10.1109/VISUAL.1997.663906" TargetMode="External"/><Relationship Id="rId500" Type="http://schemas.openxmlformats.org/officeDocument/2006/relationships/hyperlink" Target="http://dx.doi.org/10.1109/VISUAL.1997.663857" TargetMode="External"/><Relationship Id="rId507" Type="http://schemas.openxmlformats.org/officeDocument/2006/relationships/hyperlink" Target="http://dx.doi.org/10.1109/VISUAL.1997.663853" TargetMode="External"/><Relationship Id="rId506" Type="http://schemas.openxmlformats.org/officeDocument/2006/relationships/hyperlink" Target="http://dx.doi.org/10.1109/VISUAL.1997.663907" TargetMode="External"/><Relationship Id="rId505" Type="http://schemas.openxmlformats.org/officeDocument/2006/relationships/hyperlink" Target="http://dx.doi.org/10.1109/VISUAL.1997.663899" TargetMode="External"/><Relationship Id="rId504" Type="http://schemas.openxmlformats.org/officeDocument/2006/relationships/hyperlink" Target="http://dx.doi.org/10.1109/VISUAL.1997.663875" TargetMode="External"/><Relationship Id="rId525" Type="http://schemas.openxmlformats.org/officeDocument/2006/relationships/hyperlink" Target="http://dx.doi.org/10.1109/INFVIS.1996.559211" TargetMode="External"/><Relationship Id="rId524" Type="http://schemas.openxmlformats.org/officeDocument/2006/relationships/hyperlink" Target="http://dx.doi.org/10.1109/INFVIS.1996.559223" TargetMode="External"/><Relationship Id="rId523" Type="http://schemas.openxmlformats.org/officeDocument/2006/relationships/hyperlink" Target="http://dx.doi.org/10.1109/VISUAL.1997.663872" TargetMode="External"/><Relationship Id="rId522" Type="http://schemas.openxmlformats.org/officeDocument/2006/relationships/hyperlink" Target="http://dx.doi.org/10.1109/VISUAL.1997.663910" TargetMode="External"/><Relationship Id="rId529" Type="http://schemas.openxmlformats.org/officeDocument/2006/relationships/hyperlink" Target="http://dx.doi.org/10.1109/INFVIS.1996.559222" TargetMode="External"/><Relationship Id="rId528" Type="http://schemas.openxmlformats.org/officeDocument/2006/relationships/hyperlink" Target="http://dx.doi.org/10.1109/INFVIS.1996.559224" TargetMode="External"/><Relationship Id="rId527" Type="http://schemas.openxmlformats.org/officeDocument/2006/relationships/hyperlink" Target="http://dx.doi.org/10.1109/INFVIS.1996.559215" TargetMode="External"/><Relationship Id="rId526" Type="http://schemas.openxmlformats.org/officeDocument/2006/relationships/hyperlink" Target="http://dx.doi.org/10.1109/INFVIS.1996.559228" TargetMode="External"/><Relationship Id="rId521" Type="http://schemas.openxmlformats.org/officeDocument/2006/relationships/hyperlink" Target="http://dx.doi.org/10.1109/VISUAL.1997.663855" TargetMode="External"/><Relationship Id="rId520" Type="http://schemas.openxmlformats.org/officeDocument/2006/relationships/hyperlink" Target="http://dx.doi.org/10.1109/VISUAL.1997.663891" TargetMode="External"/><Relationship Id="rId519" Type="http://schemas.openxmlformats.org/officeDocument/2006/relationships/hyperlink" Target="http://dx.doi.org/10.1109/VISUAL.1997.663867" TargetMode="External"/><Relationship Id="rId514" Type="http://schemas.openxmlformats.org/officeDocument/2006/relationships/hyperlink" Target="http://dx.doi.org/10.1109/VISUAL.1997.663862" TargetMode="External"/><Relationship Id="rId513" Type="http://schemas.openxmlformats.org/officeDocument/2006/relationships/hyperlink" Target="http://dx.doi.org/10.1109/VISUAL.1997.663920" TargetMode="External"/><Relationship Id="rId512" Type="http://schemas.openxmlformats.org/officeDocument/2006/relationships/hyperlink" Target="http://dx.doi.org/10.1109/VISUAL.1997.663893" TargetMode="External"/><Relationship Id="rId511" Type="http://schemas.openxmlformats.org/officeDocument/2006/relationships/hyperlink" Target="http://dx.doi.org/10.1109/VISUAL.1997.663924" TargetMode="External"/><Relationship Id="rId518" Type="http://schemas.openxmlformats.org/officeDocument/2006/relationships/hyperlink" Target="http://dx.doi.org/10.1109/VISUAL.1997.663929" TargetMode="External"/><Relationship Id="rId517" Type="http://schemas.openxmlformats.org/officeDocument/2006/relationships/hyperlink" Target="http://dx.doi.org/10.1109/VISUAL.1997.663925" TargetMode="External"/><Relationship Id="rId516" Type="http://schemas.openxmlformats.org/officeDocument/2006/relationships/hyperlink" Target="http://dx.doi.org/10.1109/VISUAL.1997.663863" TargetMode="External"/><Relationship Id="rId515" Type="http://schemas.openxmlformats.org/officeDocument/2006/relationships/hyperlink" Target="http://dx.doi.org/10.1109/VISUAL.1997.663858" TargetMode="External"/><Relationship Id="rId510" Type="http://schemas.openxmlformats.org/officeDocument/2006/relationships/hyperlink" Target="http://dx.doi.org/10.1109/VISUAL.1997.663898" TargetMode="External"/><Relationship Id="rId590" Type="http://schemas.openxmlformats.org/officeDocument/2006/relationships/hyperlink" Target="http://dx.doi.org/10.1109/VISUAL.1996.568130" TargetMode="External"/><Relationship Id="rId589" Type="http://schemas.openxmlformats.org/officeDocument/2006/relationships/hyperlink" Target="http://dx.doi.org/10.1109/VISUAL.1996.568119" TargetMode="External"/><Relationship Id="rId588" Type="http://schemas.openxmlformats.org/officeDocument/2006/relationships/hyperlink" Target="http://dx.doi.org/10.1109/VISUAL.1996.568114" TargetMode="External"/><Relationship Id="rId583" Type="http://schemas.openxmlformats.org/officeDocument/2006/relationships/hyperlink" Target="http://dx.doi.org/10.1109/VISUAL.1996.568111" TargetMode="External"/><Relationship Id="rId582" Type="http://schemas.openxmlformats.org/officeDocument/2006/relationships/hyperlink" Target="http://dx.doi.org/10.1109/VISUAL.1996.568127" TargetMode="External"/><Relationship Id="rId581" Type="http://schemas.openxmlformats.org/officeDocument/2006/relationships/hyperlink" Target="http://dx.doi.org/10.1109/VISUAL.1996.567800" TargetMode="External"/><Relationship Id="rId580" Type="http://schemas.openxmlformats.org/officeDocument/2006/relationships/hyperlink" Target="http://dx.doi.org/10.1109/VISUAL.1996.567784" TargetMode="External"/><Relationship Id="rId587" Type="http://schemas.openxmlformats.org/officeDocument/2006/relationships/hyperlink" Target="http://dx.doi.org/10.1109/VISUAL.1996.568160" TargetMode="External"/><Relationship Id="rId586" Type="http://schemas.openxmlformats.org/officeDocument/2006/relationships/hyperlink" Target="http://dx.doi.org/10.1109/VISUAL.1996.567780" TargetMode="External"/><Relationship Id="rId585" Type="http://schemas.openxmlformats.org/officeDocument/2006/relationships/hyperlink" Target="http://dx.doi.org/10.1109/VISUAL.1996.568104" TargetMode="External"/><Relationship Id="rId584" Type="http://schemas.openxmlformats.org/officeDocument/2006/relationships/hyperlink" Target="http://dx.doi.org/10.1109/VISUAL.1996.568125" TargetMode="External"/><Relationship Id="rId579" Type="http://schemas.openxmlformats.org/officeDocument/2006/relationships/hyperlink" Target="http://dx.doi.org/10.1109/VISUAL.1996.568124" TargetMode="External"/><Relationship Id="rId578" Type="http://schemas.openxmlformats.org/officeDocument/2006/relationships/hyperlink" Target="http://dx.doi.org/10.1109/VISUAL.1996.568165" TargetMode="External"/><Relationship Id="rId577" Type="http://schemas.openxmlformats.org/officeDocument/2006/relationships/hyperlink" Target="http://dx.doi.org/10.1109/VISUAL.1996.568105" TargetMode="External"/><Relationship Id="rId572" Type="http://schemas.openxmlformats.org/officeDocument/2006/relationships/hyperlink" Target="http://dx.doi.org/10.1109/VISUAL.1996.568163" TargetMode="External"/><Relationship Id="rId571" Type="http://schemas.openxmlformats.org/officeDocument/2006/relationships/hyperlink" Target="http://dx.doi.org/10.1109/VISUAL.1996.568110" TargetMode="External"/><Relationship Id="rId570" Type="http://schemas.openxmlformats.org/officeDocument/2006/relationships/hyperlink" Target="http://dx.doi.org/10.1109/VISUAL.1996.567804" TargetMode="External"/><Relationship Id="rId576" Type="http://schemas.openxmlformats.org/officeDocument/2006/relationships/hyperlink" Target="http://dx.doi.org/10.1109/VISUAL.1996.568121" TargetMode="External"/><Relationship Id="rId575" Type="http://schemas.openxmlformats.org/officeDocument/2006/relationships/hyperlink" Target="http://dx.doi.org/10.1109/VISUAL.1996.568149" TargetMode="External"/><Relationship Id="rId574" Type="http://schemas.openxmlformats.org/officeDocument/2006/relationships/hyperlink" Target="http://dx.doi.org/10.1109/VISUAL.1996.567777" TargetMode="External"/><Relationship Id="rId573" Type="http://schemas.openxmlformats.org/officeDocument/2006/relationships/hyperlink" Target="http://dl.acm.org/citation.cfm?id=245758&amp;dl=ACM&amp;coll=portal" TargetMode="External"/><Relationship Id="rId599" Type="http://schemas.openxmlformats.org/officeDocument/2006/relationships/hyperlink" Target="http://dx.doi.org/10.1109/VISUAL.1996.568116" TargetMode="External"/><Relationship Id="rId594" Type="http://schemas.openxmlformats.org/officeDocument/2006/relationships/hyperlink" Target="http://doi.ieeecomputersociety.org/10.1109/VISUAL.1996.567752" TargetMode="External"/><Relationship Id="rId593" Type="http://schemas.openxmlformats.org/officeDocument/2006/relationships/hyperlink" Target="http://dx.doi.org/10.1109/VISUAL.1996.568145" TargetMode="External"/><Relationship Id="rId592" Type="http://schemas.openxmlformats.org/officeDocument/2006/relationships/hyperlink" Target="http://dx.doi.org/10.1109/VISUAL.1996.567600" TargetMode="External"/><Relationship Id="rId591" Type="http://schemas.openxmlformats.org/officeDocument/2006/relationships/hyperlink" Target="http://dx.doi.org/10.1109/VISUAL.1996.568151" TargetMode="External"/><Relationship Id="rId598" Type="http://schemas.openxmlformats.org/officeDocument/2006/relationships/hyperlink" Target="http://dx.doi.org/10.1109/VISUAL.1996.568109" TargetMode="External"/><Relationship Id="rId597" Type="http://schemas.openxmlformats.org/officeDocument/2006/relationships/hyperlink" Target="http://doi.ieeecomputersociety.org/10.1109/VISUAL.1996.568122" TargetMode="External"/><Relationship Id="rId596" Type="http://schemas.openxmlformats.org/officeDocument/2006/relationships/hyperlink" Target="http://dx.doi.org/10.1109/VISUAL.1996.568117" TargetMode="External"/><Relationship Id="rId595" Type="http://schemas.openxmlformats.org/officeDocument/2006/relationships/hyperlink" Target="http://doi.ieeecomputersociety.org/10.1109/VISUAL.1996.568133" TargetMode="External"/><Relationship Id="rId547" Type="http://schemas.openxmlformats.org/officeDocument/2006/relationships/hyperlink" Target="http://dx.doi.org/10.1109/VISUAL.1996.568129" TargetMode="External"/><Relationship Id="rId546" Type="http://schemas.openxmlformats.org/officeDocument/2006/relationships/hyperlink" Target="http://dx.doi.org/10.1109/VISUAL.1996.568141" TargetMode="External"/><Relationship Id="rId545" Type="http://schemas.openxmlformats.org/officeDocument/2006/relationships/hyperlink" Target="http://dx.doi.org/10.1109/VISUAL.1996.567787" TargetMode="External"/><Relationship Id="rId544" Type="http://schemas.openxmlformats.org/officeDocument/2006/relationships/hyperlink" Target="http://dx.doi.org/10.1109/VISUAL.1996.568108" TargetMode="External"/><Relationship Id="rId549" Type="http://schemas.openxmlformats.org/officeDocument/2006/relationships/hyperlink" Target="http://dx.doi.org/10.1109/VISUAL.1996.567595" TargetMode="External"/><Relationship Id="rId548" Type="http://schemas.openxmlformats.org/officeDocument/2006/relationships/hyperlink" Target="http://dx.doi.org/10.1109/VISUAL.1996.568142" TargetMode="External"/><Relationship Id="rId543" Type="http://schemas.openxmlformats.org/officeDocument/2006/relationships/hyperlink" Target="http://dx.doi.org/10.1109/VISUAL.1996.567598" TargetMode="External"/><Relationship Id="rId542" Type="http://schemas.openxmlformats.org/officeDocument/2006/relationships/hyperlink" Target="http://dx.doi.org/10.1109/INFVIS.1996.559227" TargetMode="External"/><Relationship Id="rId541" Type="http://schemas.openxmlformats.org/officeDocument/2006/relationships/hyperlink" Target="http://dx.doi.org/10.1109/INFVIS.1996.559219" TargetMode="External"/><Relationship Id="rId540" Type="http://schemas.openxmlformats.org/officeDocument/2006/relationships/hyperlink" Target="http://dx.doi.org/10.1109/INFVIS.1996.559226" TargetMode="External"/><Relationship Id="rId536" Type="http://schemas.openxmlformats.org/officeDocument/2006/relationships/hyperlink" Target="http://dx.doi.org/10.1109/INFVIS.1996.559214" TargetMode="External"/><Relationship Id="rId535" Type="http://schemas.openxmlformats.org/officeDocument/2006/relationships/hyperlink" Target="http://dx.doi.org/10.1109/INFVIS.1996.559216" TargetMode="External"/><Relationship Id="rId534" Type="http://schemas.openxmlformats.org/officeDocument/2006/relationships/hyperlink" Target="http://dx.doi.org/10.1109/INFVIS.1996.559212" TargetMode="External"/><Relationship Id="rId533" Type="http://schemas.openxmlformats.org/officeDocument/2006/relationships/hyperlink" Target="http://dx.doi.org/10.1109/INFVIS.1996.559213" TargetMode="External"/><Relationship Id="rId539" Type="http://schemas.openxmlformats.org/officeDocument/2006/relationships/hyperlink" Target="http://dx.doi.org/10.1109/INFVIS.1996.559229" TargetMode="External"/><Relationship Id="rId538" Type="http://schemas.openxmlformats.org/officeDocument/2006/relationships/hyperlink" Target="http://dx.doi.org/10.1109/INFVIS.1996.559210" TargetMode="External"/><Relationship Id="rId537" Type="http://schemas.openxmlformats.org/officeDocument/2006/relationships/hyperlink" Target="http://dx.doi.org/10.1109/INFVIS.1996.559218" TargetMode="External"/><Relationship Id="rId532" Type="http://schemas.openxmlformats.org/officeDocument/2006/relationships/hyperlink" Target="http://dx.doi.org/10.1109/INFVIS.1996.559220" TargetMode="External"/><Relationship Id="rId531" Type="http://schemas.openxmlformats.org/officeDocument/2006/relationships/hyperlink" Target="http://dx.doi.org/10.1109/INFVIS.1996.559221" TargetMode="External"/><Relationship Id="rId530" Type="http://schemas.openxmlformats.org/officeDocument/2006/relationships/hyperlink" Target="http://dx.doi.org/10.1109/INFVIS.1996.559225" TargetMode="External"/><Relationship Id="rId569" Type="http://schemas.openxmlformats.org/officeDocument/2006/relationships/hyperlink" Target="http://dx.doi.org/10.1109/VISUAL.1996.567606" TargetMode="External"/><Relationship Id="rId568" Type="http://schemas.openxmlformats.org/officeDocument/2006/relationships/hyperlink" Target="http://dx.doi.org/10.1109/VISUAL.1996.568137" TargetMode="External"/><Relationship Id="rId567" Type="http://schemas.openxmlformats.org/officeDocument/2006/relationships/hyperlink" Target="http://dx.doi.org/10.1109/VISUAL.1996.567796" TargetMode="External"/><Relationship Id="rId566" Type="http://schemas.openxmlformats.org/officeDocument/2006/relationships/hyperlink" Target="http://dx.doi.org/10.1109/VISUAL.1996.567603" TargetMode="External"/><Relationship Id="rId561" Type="http://schemas.openxmlformats.org/officeDocument/2006/relationships/hyperlink" Target="http://dx.doi.org/10.1109/VISUAL.1996.568147" TargetMode="External"/><Relationship Id="rId560" Type="http://schemas.openxmlformats.org/officeDocument/2006/relationships/hyperlink" Target="http://dx.doi.org/10.1109/VISUAL.1996.568140" TargetMode="External"/><Relationship Id="rId565" Type="http://schemas.openxmlformats.org/officeDocument/2006/relationships/hyperlink" Target="http://dx.doi.org/10.1109/VISUAL.1996.568135" TargetMode="External"/><Relationship Id="rId564" Type="http://schemas.openxmlformats.org/officeDocument/2006/relationships/hyperlink" Target="http://dx.doi.org/10.1109/VISUAL.1996.568126" TargetMode="External"/><Relationship Id="rId563" Type="http://schemas.openxmlformats.org/officeDocument/2006/relationships/hyperlink" Target="http://dx.doi.org/10.1109/VISUAL.1996.568139" TargetMode="External"/><Relationship Id="rId562" Type="http://schemas.openxmlformats.org/officeDocument/2006/relationships/hyperlink" Target="http://dx.doi.org/10.1109/VISUAL.1996.567609" TargetMode="External"/><Relationship Id="rId558" Type="http://schemas.openxmlformats.org/officeDocument/2006/relationships/hyperlink" Target="http://dx.doi.org/10.1109/VISUAL.1996.568103" TargetMode="External"/><Relationship Id="rId557" Type="http://schemas.openxmlformats.org/officeDocument/2006/relationships/hyperlink" Target="http://dx.doi.org/10.1109/VISUAL.1996.568134" TargetMode="External"/><Relationship Id="rId556" Type="http://schemas.openxmlformats.org/officeDocument/2006/relationships/hyperlink" Target="http://dx.doi.org/10.1109/VISUAL.1996.568118" TargetMode="External"/><Relationship Id="rId555" Type="http://schemas.openxmlformats.org/officeDocument/2006/relationships/hyperlink" Target="http://dx.doi.org/10.1109/VISUAL.1996.567745" TargetMode="External"/><Relationship Id="rId559" Type="http://schemas.openxmlformats.org/officeDocument/2006/relationships/hyperlink" Target="http://dx.doi.org/10.1109/VISUAL.1996.567812" TargetMode="External"/><Relationship Id="rId550" Type="http://schemas.openxmlformats.org/officeDocument/2006/relationships/hyperlink" Target="http://dx.doi.org/10.1109/VISUAL.1996.567602" TargetMode="External"/><Relationship Id="rId554" Type="http://schemas.openxmlformats.org/officeDocument/2006/relationships/hyperlink" Target="http://dx.doi.org/10.1109/VISUAL.1996.568136" TargetMode="External"/><Relationship Id="rId553" Type="http://schemas.openxmlformats.org/officeDocument/2006/relationships/hyperlink" Target="http://dx.doi.org/10.1109/VISUAL.1996.568148" TargetMode="External"/><Relationship Id="rId552" Type="http://schemas.openxmlformats.org/officeDocument/2006/relationships/hyperlink" Target="http://dx.doi.org/10.1109/VISUAL.1996.568144" TargetMode="External"/><Relationship Id="rId551" Type="http://schemas.openxmlformats.org/officeDocument/2006/relationships/hyperlink" Target="http://dx.doi.org/10.1109/VISUAL.1996.569203" TargetMode="External"/><Relationship Id="rId495" Type="http://schemas.openxmlformats.org/officeDocument/2006/relationships/hyperlink" Target="http://dx.doi.org/10.1109/VISUAL.1997.663934" TargetMode="External"/><Relationship Id="rId494" Type="http://schemas.openxmlformats.org/officeDocument/2006/relationships/hyperlink" Target="http://dx.doi.org/10.1109/VISUAL.1997.663923" TargetMode="External"/><Relationship Id="rId493" Type="http://schemas.openxmlformats.org/officeDocument/2006/relationships/hyperlink" Target="http://dx.doi.org/10.1109/VISUAL.1997.663902" TargetMode="External"/><Relationship Id="rId492" Type="http://schemas.openxmlformats.org/officeDocument/2006/relationships/hyperlink" Target="http://dx.doi.org/10.1109/VISUAL.1997.663866" TargetMode="External"/><Relationship Id="rId499" Type="http://schemas.openxmlformats.org/officeDocument/2006/relationships/hyperlink" Target="http://dx.doi.org/10.1109/VISUAL.1997.663908" TargetMode="External"/><Relationship Id="rId498" Type="http://schemas.openxmlformats.org/officeDocument/2006/relationships/hyperlink" Target="http://dx.doi.org/10.1109/VISUAL.1997.663860" TargetMode="External"/><Relationship Id="rId497" Type="http://schemas.openxmlformats.org/officeDocument/2006/relationships/hyperlink" Target="http://dx.doi.org/10.1109/VISUAL.1997.663904" TargetMode="External"/><Relationship Id="rId496" Type="http://schemas.openxmlformats.org/officeDocument/2006/relationships/hyperlink" Target="http://dx.doi.org/10.1109/VISUAL.1997.663859" TargetMode="External"/><Relationship Id="rId409" Type="http://schemas.openxmlformats.org/officeDocument/2006/relationships/hyperlink" Target="http://dx.doi.org/10.1109/VISUAL.1998.745348" TargetMode="External"/><Relationship Id="rId404" Type="http://schemas.openxmlformats.org/officeDocument/2006/relationships/hyperlink" Target="http://dx.doi.org/10.1109/VISUAL.1998.745343" TargetMode="External"/><Relationship Id="rId403" Type="http://schemas.openxmlformats.org/officeDocument/2006/relationships/hyperlink" Target="http://dx.doi.org/10.1109/VISUAL.1998.745346" TargetMode="External"/><Relationship Id="rId402" Type="http://schemas.openxmlformats.org/officeDocument/2006/relationships/hyperlink" Target="http://dx.doi.org/10.1109/VISUAL.1998.745323" TargetMode="External"/><Relationship Id="rId401" Type="http://schemas.openxmlformats.org/officeDocument/2006/relationships/hyperlink" Target="http://dx.doi.org/10.1109/VISUAL.1998.745353" TargetMode="External"/><Relationship Id="rId408" Type="http://schemas.openxmlformats.org/officeDocument/2006/relationships/hyperlink" Target="http://dx.doi.org/10.1109/VISUAL.1998.745345" TargetMode="External"/><Relationship Id="rId407" Type="http://schemas.openxmlformats.org/officeDocument/2006/relationships/hyperlink" Target="http://dx.doi.org/10.1109/VISUAL.1998.745341" TargetMode="External"/><Relationship Id="rId406" Type="http://schemas.openxmlformats.org/officeDocument/2006/relationships/hyperlink" Target="http://dx.doi.org/10.1109/VISUAL.1998.745317" TargetMode="External"/><Relationship Id="rId405" Type="http://schemas.openxmlformats.org/officeDocument/2006/relationships/hyperlink" Target="http://dx.doi.org/10.1109/VISUAL.1998.745329" TargetMode="External"/><Relationship Id="rId400" Type="http://schemas.openxmlformats.org/officeDocument/2006/relationships/hyperlink" Target="http://dx.doi.org/10.1109/VISUAL.1998.745287" TargetMode="External"/><Relationship Id="rId469" Type="http://schemas.openxmlformats.org/officeDocument/2006/relationships/hyperlink" Target="http://dx.doi.org/10.1109/VISUAL.1997.663909" TargetMode="External"/><Relationship Id="rId468" Type="http://schemas.openxmlformats.org/officeDocument/2006/relationships/hyperlink" Target="http://dx.doi.org/10.1109/VISUAL.1997.663876" TargetMode="External"/><Relationship Id="rId467" Type="http://schemas.openxmlformats.org/officeDocument/2006/relationships/hyperlink" Target="http://dx.doi.org/10.1109/VISUAL.1997.663887" TargetMode="External"/><Relationship Id="rId462" Type="http://schemas.openxmlformats.org/officeDocument/2006/relationships/hyperlink" Target="http://dx.doi.org/10.1109/VISUAL.1997.663919" TargetMode="External"/><Relationship Id="rId461" Type="http://schemas.openxmlformats.org/officeDocument/2006/relationships/hyperlink" Target="http://dx.doi.org/10.1109/VISUAL.1997.663922" TargetMode="External"/><Relationship Id="rId460" Type="http://schemas.openxmlformats.org/officeDocument/2006/relationships/hyperlink" Target="http://dx.doi.org/10.1109/VISUAL.1997.663928" TargetMode="External"/><Relationship Id="rId466" Type="http://schemas.openxmlformats.org/officeDocument/2006/relationships/hyperlink" Target="http://dx.doi.org/10.1109/VISUAL.1997.663851" TargetMode="External"/><Relationship Id="rId465" Type="http://schemas.openxmlformats.org/officeDocument/2006/relationships/hyperlink" Target="http://dx.doi.org/10.1109/VISUAL.1997.663890" TargetMode="External"/><Relationship Id="rId464" Type="http://schemas.openxmlformats.org/officeDocument/2006/relationships/hyperlink" Target="http://dx.doi.org/10.1109/VISUAL.1997.663921" TargetMode="External"/><Relationship Id="rId463" Type="http://schemas.openxmlformats.org/officeDocument/2006/relationships/hyperlink" Target="http://dx.doi.org/10.1109/VISUAL.1997.663896" TargetMode="External"/><Relationship Id="rId459" Type="http://schemas.openxmlformats.org/officeDocument/2006/relationships/hyperlink" Target="http://dx.doi.org/10.1109/VISUAL.1997.663865" TargetMode="External"/><Relationship Id="rId458" Type="http://schemas.openxmlformats.org/officeDocument/2006/relationships/hyperlink" Target="http://dx.doi.org/10.1109/VISUAL.1997.663914" TargetMode="External"/><Relationship Id="rId457" Type="http://schemas.openxmlformats.org/officeDocument/2006/relationships/hyperlink" Target="http://dx.doi.org/10.1109/VISUAL.1997.663856" TargetMode="External"/><Relationship Id="rId456" Type="http://schemas.openxmlformats.org/officeDocument/2006/relationships/hyperlink" Target="http://dx.doi.org/10.1109/VISUAL.1997.663903" TargetMode="External"/><Relationship Id="rId451" Type="http://schemas.openxmlformats.org/officeDocument/2006/relationships/hyperlink" Target="http://dx.doi.org/10.1109/VISUAL.1997.663931" TargetMode="External"/><Relationship Id="rId450" Type="http://schemas.openxmlformats.org/officeDocument/2006/relationships/hyperlink" Target="http://dx.doi.org/10.1109/VISUAL.1997.663883" TargetMode="External"/><Relationship Id="rId455" Type="http://schemas.openxmlformats.org/officeDocument/2006/relationships/hyperlink" Target="http://dx.doi.org/10.1109/VISUAL.1997.663888" TargetMode="External"/><Relationship Id="rId454" Type="http://schemas.openxmlformats.org/officeDocument/2006/relationships/hyperlink" Target="http://dx.doi.org/10.1109/VISUAL.1997.663917" TargetMode="External"/><Relationship Id="rId453" Type="http://schemas.openxmlformats.org/officeDocument/2006/relationships/hyperlink" Target="http://dx.doi.org/10.1109/VISUAL.1997.663882" TargetMode="External"/><Relationship Id="rId452" Type="http://schemas.openxmlformats.org/officeDocument/2006/relationships/hyperlink" Target="http://dx.doi.org/10.1109/VISUAL.1997.663880" TargetMode="External"/><Relationship Id="rId491" Type="http://schemas.openxmlformats.org/officeDocument/2006/relationships/hyperlink" Target="http://dx.doi.org/10.1109/VISUAL.1997.663869" TargetMode="External"/><Relationship Id="rId490" Type="http://schemas.openxmlformats.org/officeDocument/2006/relationships/hyperlink" Target="http://dx.doi.org/10.1109/VISUAL.1997.663901" TargetMode="External"/><Relationship Id="rId489" Type="http://schemas.openxmlformats.org/officeDocument/2006/relationships/hyperlink" Target="http://dx.doi.org/10.1109/VISUAL.1997.663930" TargetMode="External"/><Relationship Id="rId484" Type="http://schemas.openxmlformats.org/officeDocument/2006/relationships/hyperlink" Target="http://dx.doi.org/10.1109/VISUAL.1997.663918" TargetMode="External"/><Relationship Id="rId483" Type="http://schemas.openxmlformats.org/officeDocument/2006/relationships/hyperlink" Target="http://dx.doi.org/10.1109/VISUAL.1997.663933" TargetMode="External"/><Relationship Id="rId482" Type="http://schemas.openxmlformats.org/officeDocument/2006/relationships/hyperlink" Target="http://dx.doi.org/10.1109/VISUAL.1997.663892" TargetMode="External"/><Relationship Id="rId481" Type="http://schemas.openxmlformats.org/officeDocument/2006/relationships/hyperlink" Target="http://dx.doi.org/10.1109/VISUAL.1997.663895" TargetMode="External"/><Relationship Id="rId488" Type="http://schemas.openxmlformats.org/officeDocument/2006/relationships/hyperlink" Target="http://dx.doi.org/10.1109/VISUAL.1997.663886" TargetMode="External"/><Relationship Id="rId487" Type="http://schemas.openxmlformats.org/officeDocument/2006/relationships/hyperlink" Target="http://dx.doi.org/10.1109/VISUAL.1997.663915" TargetMode="External"/><Relationship Id="rId486" Type="http://schemas.openxmlformats.org/officeDocument/2006/relationships/hyperlink" Target="http://dx.doi.org/10.1109/VISUAL.1997.663927" TargetMode="External"/><Relationship Id="rId485" Type="http://schemas.openxmlformats.org/officeDocument/2006/relationships/hyperlink" Target="http://dx.doi.org/10.1109/VISUAL.1997.663900" TargetMode="External"/><Relationship Id="rId480" Type="http://schemas.openxmlformats.org/officeDocument/2006/relationships/hyperlink" Target="http://dx.doi.org/10.1109/VISUAL.1997.663871" TargetMode="External"/><Relationship Id="rId479" Type="http://schemas.openxmlformats.org/officeDocument/2006/relationships/hyperlink" Target="http://dx.doi.org/10.1109/VISUAL.1997.663889" TargetMode="External"/><Relationship Id="rId478" Type="http://schemas.openxmlformats.org/officeDocument/2006/relationships/hyperlink" Target="http://dx.doi.org/10.1109/VISUAL.1997.663897" TargetMode="External"/><Relationship Id="rId473" Type="http://schemas.openxmlformats.org/officeDocument/2006/relationships/hyperlink" Target="http://dx.doi.org/10.1109/VISUAL.1997.663874" TargetMode="External"/><Relationship Id="rId472" Type="http://schemas.openxmlformats.org/officeDocument/2006/relationships/hyperlink" Target="http://dx.doi.org/10.1109/VISUAL.1997.663916" TargetMode="External"/><Relationship Id="rId471" Type="http://schemas.openxmlformats.org/officeDocument/2006/relationships/hyperlink" Target="http://dx.doi.org/10.1109/VISUAL.1997.663868" TargetMode="External"/><Relationship Id="rId470" Type="http://schemas.openxmlformats.org/officeDocument/2006/relationships/hyperlink" Target="http://dx.doi.org/10.1109/VISUAL.1997.663926" TargetMode="External"/><Relationship Id="rId477" Type="http://schemas.openxmlformats.org/officeDocument/2006/relationships/hyperlink" Target="http://dx.doi.org/10.1109/VISUAL.1997.663911" TargetMode="External"/><Relationship Id="rId476" Type="http://schemas.openxmlformats.org/officeDocument/2006/relationships/hyperlink" Target="http://dx.doi.org/10.1109/VISUAL.1997.663894" TargetMode="External"/><Relationship Id="rId475" Type="http://schemas.openxmlformats.org/officeDocument/2006/relationships/hyperlink" Target="http://dx.doi.org/10.1109/VISUAL.1997.663885" TargetMode="External"/><Relationship Id="rId474" Type="http://schemas.openxmlformats.org/officeDocument/2006/relationships/hyperlink" Target="http://dx.doi.org/10.1109/VISUAL.1997.663905" TargetMode="External"/><Relationship Id="rId426" Type="http://schemas.openxmlformats.org/officeDocument/2006/relationships/hyperlink" Target="http://dx.doi.org/10.1109/VISUAL.1998.745284" TargetMode="External"/><Relationship Id="rId425" Type="http://schemas.openxmlformats.org/officeDocument/2006/relationships/hyperlink" Target="http://dx.doi.org/10.1109/VISUAL.1998.745335" TargetMode="External"/><Relationship Id="rId424" Type="http://schemas.openxmlformats.org/officeDocument/2006/relationships/hyperlink" Target="http://dx.doi.org/10.1109/VISUAL.1998.745351" TargetMode="External"/><Relationship Id="rId423" Type="http://schemas.openxmlformats.org/officeDocument/2006/relationships/hyperlink" Target="http://dx.doi.org/10.1109/VISUAL.1998.745334" TargetMode="External"/><Relationship Id="rId429" Type="http://schemas.openxmlformats.org/officeDocument/2006/relationships/hyperlink" Target="http://dx.doi.org/10.1109/VISUAL.1998.745340" TargetMode="External"/><Relationship Id="rId428" Type="http://schemas.openxmlformats.org/officeDocument/2006/relationships/hyperlink" Target="http://dx.doi.org/10.1109/VISUAL.1998.745294" TargetMode="External"/><Relationship Id="rId427" Type="http://schemas.openxmlformats.org/officeDocument/2006/relationships/hyperlink" Target="http://dx.doi.org/10.1109/VISUAL.1998.745306" TargetMode="External"/><Relationship Id="rId422" Type="http://schemas.openxmlformats.org/officeDocument/2006/relationships/hyperlink" Target="http://dx.doi.org/10.1109/VISUAL.1998.745300" TargetMode="External"/><Relationship Id="rId421" Type="http://schemas.openxmlformats.org/officeDocument/2006/relationships/hyperlink" Target="http://dx.doi.org/10.1109/VISUAL.1998.745288" TargetMode="External"/><Relationship Id="rId420" Type="http://schemas.openxmlformats.org/officeDocument/2006/relationships/hyperlink" Target="http://dx.doi.org/10.1109/VISUAL.1998.745302" TargetMode="External"/><Relationship Id="rId415" Type="http://schemas.openxmlformats.org/officeDocument/2006/relationships/hyperlink" Target="http://dx.doi.org/10.1109/VISUAL.1998.745339" TargetMode="External"/><Relationship Id="rId414" Type="http://schemas.openxmlformats.org/officeDocument/2006/relationships/hyperlink" Target="http://dx.doi.org/10.1109/VISUAL.1998.745282" TargetMode="External"/><Relationship Id="rId413" Type="http://schemas.openxmlformats.org/officeDocument/2006/relationships/hyperlink" Target="http://dx.doi.org/10.1109/VISUAL.1998.745325" TargetMode="External"/><Relationship Id="rId412" Type="http://schemas.openxmlformats.org/officeDocument/2006/relationships/hyperlink" Target="http://dx.doi.org/10.1109/VISUAL.1998.745312" TargetMode="External"/><Relationship Id="rId419" Type="http://schemas.openxmlformats.org/officeDocument/2006/relationships/hyperlink" Target="http://dx.doi.org/10.1109/VISUAL.1998.745350" TargetMode="External"/><Relationship Id="rId418" Type="http://schemas.openxmlformats.org/officeDocument/2006/relationships/hyperlink" Target="http://dx.doi.org/10.1109/VISUAL.1998.745301" TargetMode="External"/><Relationship Id="rId417" Type="http://schemas.openxmlformats.org/officeDocument/2006/relationships/hyperlink" Target="http://dx.doi.org/10.1109/VISUAL.1998.745330" TargetMode="External"/><Relationship Id="rId416" Type="http://schemas.openxmlformats.org/officeDocument/2006/relationships/hyperlink" Target="http://dx.doi.org/10.1109/VISUAL.1998.745286" TargetMode="External"/><Relationship Id="rId411" Type="http://schemas.openxmlformats.org/officeDocument/2006/relationships/hyperlink" Target="http://dx.doi.org/10.1109/VISUAL.1998.745315" TargetMode="External"/><Relationship Id="rId410" Type="http://schemas.openxmlformats.org/officeDocument/2006/relationships/hyperlink" Target="http://dx.doi.org/10.1109/VISUAL.1998.745333" TargetMode="External"/><Relationship Id="rId448" Type="http://schemas.openxmlformats.org/officeDocument/2006/relationships/hyperlink" Target="http://dx.doi.org/10.1109/INFVIS.1997.636791" TargetMode="External"/><Relationship Id="rId447" Type="http://schemas.openxmlformats.org/officeDocument/2006/relationships/hyperlink" Target="http://dx.doi.org/10.1109/INFVIS.1997.636759" TargetMode="External"/><Relationship Id="rId446" Type="http://schemas.openxmlformats.org/officeDocument/2006/relationships/hyperlink" Target="http://dx.doi.org/10.1109/INFVIS.1997.636792" TargetMode="External"/><Relationship Id="rId445" Type="http://schemas.openxmlformats.org/officeDocument/2006/relationships/hyperlink" Target="http://dx.doi.org/10.1109/INFVIS.1997.636784" TargetMode="External"/><Relationship Id="rId449" Type="http://schemas.openxmlformats.org/officeDocument/2006/relationships/hyperlink" Target="http://dx.doi.org/10.1109/VISUAL.1997.663848" TargetMode="External"/><Relationship Id="rId440" Type="http://schemas.openxmlformats.org/officeDocument/2006/relationships/hyperlink" Target="http://dx.doi.org/10.1109/INFVIS.1997.636787" TargetMode="External"/><Relationship Id="rId444" Type="http://schemas.openxmlformats.org/officeDocument/2006/relationships/hyperlink" Target="http://dx.doi.org/10.1109/INFVIS.1997.636786" TargetMode="External"/><Relationship Id="rId443" Type="http://schemas.openxmlformats.org/officeDocument/2006/relationships/hyperlink" Target="http://dx.doi.org/10.1109/INFVIS.1997.636793" TargetMode="External"/><Relationship Id="rId442" Type="http://schemas.openxmlformats.org/officeDocument/2006/relationships/hyperlink" Target="http://dx.doi.org/10.1109/INFVIS.1997.636794" TargetMode="External"/><Relationship Id="rId441" Type="http://schemas.openxmlformats.org/officeDocument/2006/relationships/hyperlink" Target="http://dx.doi.org/10.1109/INFVIS.1997.636782" TargetMode="External"/><Relationship Id="rId437" Type="http://schemas.openxmlformats.org/officeDocument/2006/relationships/hyperlink" Target="http://dx.doi.org/10.1109/INFVIS.1997.636790" TargetMode="External"/><Relationship Id="rId436" Type="http://schemas.openxmlformats.org/officeDocument/2006/relationships/hyperlink" Target="http://dx.doi.org/10.1109/INFVIS.1997.636788" TargetMode="External"/><Relationship Id="rId435" Type="http://schemas.openxmlformats.org/officeDocument/2006/relationships/hyperlink" Target="http://dx.doi.org/10.1109/INFVIS.1997.636785" TargetMode="External"/><Relationship Id="rId434" Type="http://schemas.openxmlformats.org/officeDocument/2006/relationships/hyperlink" Target="http://dx.doi.org/10.1109/INFVIS.1997.636778" TargetMode="External"/><Relationship Id="rId439" Type="http://schemas.openxmlformats.org/officeDocument/2006/relationships/hyperlink" Target="http://dx.doi.org/10.1109/INFVIS.1997.636718" TargetMode="External"/><Relationship Id="rId438" Type="http://schemas.openxmlformats.org/officeDocument/2006/relationships/hyperlink" Target="http://dx.doi.org/10.1109/INFVIS.1997.636789" TargetMode="External"/><Relationship Id="rId433" Type="http://schemas.openxmlformats.org/officeDocument/2006/relationships/hyperlink" Target="http://dx.doi.org/10.1109/INFVIS.1997.636761" TargetMode="External"/><Relationship Id="rId432" Type="http://schemas.openxmlformats.org/officeDocument/2006/relationships/hyperlink" Target="http://dx.doi.org/10.1109/VISUAL.1998.745352" TargetMode="External"/><Relationship Id="rId431" Type="http://schemas.openxmlformats.org/officeDocument/2006/relationships/hyperlink" Target="http://dx.doi.org/10.1109/VISUAL.1998.745318" TargetMode="External"/><Relationship Id="rId430" Type="http://schemas.openxmlformats.org/officeDocument/2006/relationships/hyperlink" Target="http://dx.doi.org/10.1109/VISUAL.1998.745338" TargetMode="External"/><Relationship Id="rId1" Type="http://schemas.openxmlformats.org/officeDocument/2006/relationships/comments" Target="../comments3.xml"/><Relationship Id="rId2" Type="http://schemas.openxmlformats.org/officeDocument/2006/relationships/hyperlink" Target="http://dx.doi.org/10.1109/TVCG.2015.2467324" TargetMode="External"/><Relationship Id="rId3" Type="http://schemas.openxmlformats.org/officeDocument/2006/relationships/hyperlink" Target="http://dx.doi.org/10.1109/TVCG.2015.2467471" TargetMode="External"/><Relationship Id="rId4" Type="http://schemas.openxmlformats.org/officeDocument/2006/relationships/hyperlink" Target="http://dx.doi.org/10.1109/TVCG.2015.2467951" TargetMode="External"/><Relationship Id="rId9" Type="http://schemas.openxmlformats.org/officeDocument/2006/relationships/hyperlink" Target="http://dx.doi.org/10.1109/TVCG.2015.2467323" TargetMode="External"/><Relationship Id="rId5" Type="http://schemas.openxmlformats.org/officeDocument/2006/relationships/hyperlink" Target="http://dx.doi.org/10.1109/TVCG.2015.2467992" TargetMode="External"/><Relationship Id="rId6" Type="http://schemas.openxmlformats.org/officeDocument/2006/relationships/hyperlink" Target="http://dx.doi.org/10.1109/TVCG.2015.2467321" TargetMode="External"/><Relationship Id="rId7" Type="http://schemas.openxmlformats.org/officeDocument/2006/relationships/hyperlink" Target="http://dx.doi.org/10.1109/TVCG.2015.2467051" TargetMode="External"/><Relationship Id="rId8" Type="http://schemas.openxmlformats.org/officeDocument/2006/relationships/hyperlink" Target="http://dx.doi.org/10.1109/TVCG.2015.2467691" TargetMode="External"/><Relationship Id="rId808" Type="http://schemas.openxmlformats.org/officeDocument/2006/relationships/hyperlink" Target="http://dx.doi.org/10.1109/VISUAL.1991.175804" TargetMode="External"/><Relationship Id="rId807" Type="http://schemas.openxmlformats.org/officeDocument/2006/relationships/hyperlink" Target="http://dx.doi.org/10.1109/VISUAL.1991.175794" TargetMode="External"/><Relationship Id="rId806" Type="http://schemas.openxmlformats.org/officeDocument/2006/relationships/hyperlink" Target="http://dx.doi.org/10.1109/VISUAL.1991.175809" TargetMode="External"/><Relationship Id="rId805" Type="http://schemas.openxmlformats.org/officeDocument/2006/relationships/hyperlink" Target="http://dx.doi.org/10.1109/VISUAL.1991.175812" TargetMode="External"/><Relationship Id="rId809" Type="http://schemas.openxmlformats.org/officeDocument/2006/relationships/hyperlink" Target="http://dx.doi.org/10.1109/VISUAL.1991.175832" TargetMode="External"/><Relationship Id="rId800" Type="http://schemas.openxmlformats.org/officeDocument/2006/relationships/hyperlink" Target="http://dx.doi.org/10.1109/VISUAL.1991.175791" TargetMode="External"/><Relationship Id="rId804" Type="http://schemas.openxmlformats.org/officeDocument/2006/relationships/hyperlink" Target="http://dx.doi.org/10.1109/VISUAL.1991.175801" TargetMode="External"/><Relationship Id="rId803" Type="http://schemas.openxmlformats.org/officeDocument/2006/relationships/hyperlink" Target="http://dx.doi.org/10.1109/VISUAL.1991.175814" TargetMode="External"/><Relationship Id="rId802" Type="http://schemas.openxmlformats.org/officeDocument/2006/relationships/hyperlink" Target="http://dx.doi.org/10.1109/VISUAL.1991.175826" TargetMode="External"/><Relationship Id="rId801" Type="http://schemas.openxmlformats.org/officeDocument/2006/relationships/hyperlink" Target="http://dx.doi.org/10.1109/VISUAL.1991.175816" TargetMode="External"/><Relationship Id="rId745" Type="http://schemas.openxmlformats.org/officeDocument/2006/relationships/hyperlink" Target="http://dx.doi.org/10.1109/VISUAL.1992.235209" TargetMode="External"/><Relationship Id="rId744" Type="http://schemas.openxmlformats.org/officeDocument/2006/relationships/hyperlink" Target="http://dx.doi.org/10.1109/VISUAL.1992.235229" TargetMode="External"/><Relationship Id="rId743" Type="http://schemas.openxmlformats.org/officeDocument/2006/relationships/hyperlink" Target="http://dx.doi.org/10.1109/VISUAL.1992.235189" TargetMode="External"/><Relationship Id="rId742" Type="http://schemas.openxmlformats.org/officeDocument/2006/relationships/hyperlink" Target="http://dx.doi.org/10.1109/VISUAL.1992.235228" TargetMode="External"/><Relationship Id="rId749" Type="http://schemas.openxmlformats.org/officeDocument/2006/relationships/hyperlink" Target="http://dx.doi.org/10.1109/VISUAL.1992.235191" TargetMode="External"/><Relationship Id="rId748" Type="http://schemas.openxmlformats.org/officeDocument/2006/relationships/hyperlink" Target="http://dx.doi.org/10.1109/VISUAL.1992.235182" TargetMode="External"/><Relationship Id="rId747" Type="http://schemas.openxmlformats.org/officeDocument/2006/relationships/hyperlink" Target="http://dx.doi.org/10.1109/VISUAL.1992.235195" TargetMode="External"/><Relationship Id="rId746" Type="http://schemas.openxmlformats.org/officeDocument/2006/relationships/hyperlink" Target="http://dx.doi.org/10.1109/VISUAL.1992.235223" TargetMode="External"/><Relationship Id="rId741" Type="http://schemas.openxmlformats.org/officeDocument/2006/relationships/hyperlink" Target="http://dx.doi.org/10.1109/VISUAL.1992.235185" TargetMode="External"/><Relationship Id="rId740" Type="http://schemas.openxmlformats.org/officeDocument/2006/relationships/hyperlink" Target="http://dx.doi.org/10.1109/VISUAL.1992.235217" TargetMode="External"/><Relationship Id="rId739" Type="http://schemas.openxmlformats.org/officeDocument/2006/relationships/hyperlink" Target="http://dx.doi.org/10.1109/VISUAL.1992.235186" TargetMode="External"/><Relationship Id="rId734" Type="http://schemas.openxmlformats.org/officeDocument/2006/relationships/hyperlink" Target="http://dx.doi.org/10.1109/VISUAL.1992.235220" TargetMode="External"/><Relationship Id="rId733" Type="http://schemas.openxmlformats.org/officeDocument/2006/relationships/hyperlink" Target="http://dx.doi.org/10.1109/VISUAL.1992.235211" TargetMode="External"/><Relationship Id="rId732" Type="http://schemas.openxmlformats.org/officeDocument/2006/relationships/hyperlink" Target="http://dx.doi.org/10.1109/VISUAL.1992.235201" TargetMode="External"/><Relationship Id="rId731" Type="http://schemas.openxmlformats.org/officeDocument/2006/relationships/hyperlink" Target="http://dx.doi.org/10.1109/VISUAL.1992.235174" TargetMode="External"/><Relationship Id="rId738" Type="http://schemas.openxmlformats.org/officeDocument/2006/relationships/hyperlink" Target="http://dx.doi.org/10.1109/VISUAL.1992.235224" TargetMode="External"/><Relationship Id="rId737" Type="http://schemas.openxmlformats.org/officeDocument/2006/relationships/hyperlink" Target="http://dx.doi.org/10.1109/VISUAL.1992.235222" TargetMode="External"/><Relationship Id="rId736" Type="http://schemas.openxmlformats.org/officeDocument/2006/relationships/hyperlink" Target="http://dx.doi.org/10.1109/VISUAL.1992.235212" TargetMode="External"/><Relationship Id="rId735" Type="http://schemas.openxmlformats.org/officeDocument/2006/relationships/hyperlink" Target="http://dx.doi.org/10.1109/VISUAL.1992.235215" TargetMode="External"/><Relationship Id="rId730" Type="http://schemas.openxmlformats.org/officeDocument/2006/relationships/hyperlink" Target="http://dx.doi.org/10.1109/VISUAL.1992.235197" TargetMode="External"/><Relationship Id="rId767" Type="http://schemas.openxmlformats.org/officeDocument/2006/relationships/hyperlink" Target="http://dx.doi.org/10.1109/VISUAL.1992.235199" TargetMode="External"/><Relationship Id="rId766" Type="http://schemas.openxmlformats.org/officeDocument/2006/relationships/hyperlink" Target="http://dx.doi.org/10.1109/VISUAL.1992.235178" TargetMode="External"/><Relationship Id="rId765" Type="http://schemas.openxmlformats.org/officeDocument/2006/relationships/hyperlink" Target="http://dx.doi.org/10.1109/VISUAL.1992.235183" TargetMode="External"/><Relationship Id="rId764" Type="http://schemas.openxmlformats.org/officeDocument/2006/relationships/hyperlink" Target="http://dx.doi.org/10.1109/VISUAL.1992.235179" TargetMode="External"/><Relationship Id="rId769" Type="http://schemas.openxmlformats.org/officeDocument/2006/relationships/hyperlink" Target="http://dx.doi.org/10.1109/VISUAL.1992.235180" TargetMode="External"/><Relationship Id="rId768" Type="http://schemas.openxmlformats.org/officeDocument/2006/relationships/hyperlink" Target="http://dx.doi.org/10.1109/VISUAL.1992.235192" TargetMode="External"/><Relationship Id="rId763" Type="http://schemas.openxmlformats.org/officeDocument/2006/relationships/hyperlink" Target="http://dx.doi.org/10.1109/VISUAL.1992.235198" TargetMode="External"/><Relationship Id="rId762" Type="http://schemas.openxmlformats.org/officeDocument/2006/relationships/hyperlink" Target="http://dx.doi.org/10.1109/VISUAL.1992.235208" TargetMode="External"/><Relationship Id="rId761" Type="http://schemas.openxmlformats.org/officeDocument/2006/relationships/hyperlink" Target="http://dx.doi.org/10.1109/VISUAL.1992.235205" TargetMode="External"/><Relationship Id="rId760" Type="http://schemas.openxmlformats.org/officeDocument/2006/relationships/hyperlink" Target="http://dx.doi.org/10.1109/VISUAL.1992.235196" TargetMode="External"/><Relationship Id="rId756" Type="http://schemas.openxmlformats.org/officeDocument/2006/relationships/hyperlink" Target="http://dx.doi.org/10.1109/VISUAL.1992.235177" TargetMode="External"/><Relationship Id="rId755" Type="http://schemas.openxmlformats.org/officeDocument/2006/relationships/hyperlink" Target="http://dx.doi.org/10.1109/VISUAL.1992.235187" TargetMode="External"/><Relationship Id="rId754" Type="http://schemas.openxmlformats.org/officeDocument/2006/relationships/hyperlink" Target="http://dx.doi.org/10.1109/VISUAL.1992.235200" TargetMode="External"/><Relationship Id="rId753" Type="http://schemas.openxmlformats.org/officeDocument/2006/relationships/hyperlink" Target="http://dx.doi.org/10.1109/VISUAL.1992.235202" TargetMode="External"/><Relationship Id="rId759" Type="http://schemas.openxmlformats.org/officeDocument/2006/relationships/hyperlink" Target="http://dx.doi.org/10.1109/VISUAL.1992.235227" TargetMode="External"/><Relationship Id="rId758" Type="http://schemas.openxmlformats.org/officeDocument/2006/relationships/hyperlink" Target="http://dx.doi.org/10.1109/VISUAL.1992.235231" TargetMode="External"/><Relationship Id="rId757" Type="http://schemas.openxmlformats.org/officeDocument/2006/relationships/hyperlink" Target="http://dx.doi.org/10.1109/VISUAL.1992.235207" TargetMode="External"/><Relationship Id="rId752" Type="http://schemas.openxmlformats.org/officeDocument/2006/relationships/hyperlink" Target="http://dx.doi.org/10.1109/VISUAL.1992.235214" TargetMode="External"/><Relationship Id="rId751" Type="http://schemas.openxmlformats.org/officeDocument/2006/relationships/hyperlink" Target="http://dx.doi.org/10.1109/VISUAL.1992.235226" TargetMode="External"/><Relationship Id="rId750" Type="http://schemas.openxmlformats.org/officeDocument/2006/relationships/hyperlink" Target="http://dx.doi.org/10.1109/VISUAL.1992.235184" TargetMode="External"/><Relationship Id="rId709" Type="http://schemas.openxmlformats.org/officeDocument/2006/relationships/hyperlink" Target="http://dx.doi.org/10.1109/VISUAL.1993.398872" TargetMode="External"/><Relationship Id="rId708" Type="http://schemas.openxmlformats.org/officeDocument/2006/relationships/hyperlink" Target="http://dx.doi.org/10.1109/VISUAL.1993.398855" TargetMode="External"/><Relationship Id="rId707" Type="http://schemas.openxmlformats.org/officeDocument/2006/relationships/hyperlink" Target="http://dx.doi.org/10.1109/VISUAL.1993.398847" TargetMode="External"/><Relationship Id="rId706" Type="http://schemas.openxmlformats.org/officeDocument/2006/relationships/hyperlink" Target="http://dx.doi.org/10.1109/VISUAL.1993.398904" TargetMode="External"/><Relationship Id="rId701" Type="http://schemas.openxmlformats.org/officeDocument/2006/relationships/hyperlink" Target="http://dx.doi.org/10.1109/VISUAL.1993.398866" TargetMode="External"/><Relationship Id="rId700" Type="http://schemas.openxmlformats.org/officeDocument/2006/relationships/hyperlink" Target="http://dx.doi.org/10.1109/VISUAL.1993.398867" TargetMode="External"/><Relationship Id="rId705" Type="http://schemas.openxmlformats.org/officeDocument/2006/relationships/hyperlink" Target="http://dx.doi.org/10.1109/VISUAL.1993.398911" TargetMode="External"/><Relationship Id="rId704" Type="http://schemas.openxmlformats.org/officeDocument/2006/relationships/hyperlink" Target="http://dx.doi.org/10.1109/VISUAL.1993.398877" TargetMode="External"/><Relationship Id="rId703" Type="http://schemas.openxmlformats.org/officeDocument/2006/relationships/hyperlink" Target="http://dx.doi.org/10.1109/VISUAL.1993.398880" TargetMode="External"/><Relationship Id="rId702" Type="http://schemas.openxmlformats.org/officeDocument/2006/relationships/hyperlink" Target="http://dx.doi.org/10.1109/VISUAL.1993.398853" TargetMode="External"/><Relationship Id="rId729" Type="http://schemas.openxmlformats.org/officeDocument/2006/relationships/hyperlink" Target="http://dx.doi.org/10.1109/VISUAL.1992.235230" TargetMode="External"/><Relationship Id="rId728" Type="http://schemas.openxmlformats.org/officeDocument/2006/relationships/hyperlink" Target="http://dx.doi.org/10.1109/VISUAL.1992.235218" TargetMode="External"/><Relationship Id="rId723" Type="http://schemas.openxmlformats.org/officeDocument/2006/relationships/hyperlink" Target="http://dx.doi.org/10.1109/VISUAL.1992.235203" TargetMode="External"/><Relationship Id="rId722" Type="http://schemas.openxmlformats.org/officeDocument/2006/relationships/hyperlink" Target="http://dx.doi.org/10.1109/VISUAL.1992.235225" TargetMode="External"/><Relationship Id="rId721" Type="http://schemas.openxmlformats.org/officeDocument/2006/relationships/hyperlink" Target="http://dx.doi.org/10.1109/VISUAL.1993.398854" TargetMode="External"/><Relationship Id="rId720" Type="http://schemas.openxmlformats.org/officeDocument/2006/relationships/hyperlink" Target="http://dx.doi.org/10.1109/VISUAL.1993.398896" TargetMode="External"/><Relationship Id="rId727" Type="http://schemas.openxmlformats.org/officeDocument/2006/relationships/hyperlink" Target="http://dx.doi.org/10.1109/VISUAL.1992.235216" TargetMode="External"/><Relationship Id="rId726" Type="http://schemas.openxmlformats.org/officeDocument/2006/relationships/hyperlink" Target="http://dx.doi.org/10.1109/VISUAL.1992.235219" TargetMode="External"/><Relationship Id="rId725" Type="http://schemas.openxmlformats.org/officeDocument/2006/relationships/hyperlink" Target="http://dx.doi.org/10.1109/VISUAL.1992.235190" TargetMode="External"/><Relationship Id="rId724" Type="http://schemas.openxmlformats.org/officeDocument/2006/relationships/hyperlink" Target="http://dx.doi.org/10.1109/VISUAL.1992.235204" TargetMode="External"/><Relationship Id="rId719" Type="http://schemas.openxmlformats.org/officeDocument/2006/relationships/hyperlink" Target="http://dx.doi.org/10.1109/VISUAL.1993.398850" TargetMode="External"/><Relationship Id="rId718" Type="http://schemas.openxmlformats.org/officeDocument/2006/relationships/hyperlink" Target="http://dx.doi.org/10.1109/VISUAL.1993.398848" TargetMode="External"/><Relationship Id="rId717" Type="http://schemas.openxmlformats.org/officeDocument/2006/relationships/hyperlink" Target="http://dx.doi.org/10.1109/VISUAL.1993.398899" TargetMode="External"/><Relationship Id="rId712" Type="http://schemas.openxmlformats.org/officeDocument/2006/relationships/hyperlink" Target="http://dx.doi.org/10.1109/VISUAL.1993.398862" TargetMode="External"/><Relationship Id="rId711" Type="http://schemas.openxmlformats.org/officeDocument/2006/relationships/hyperlink" Target="http://dx.doi.org/10.1109/VISUAL.1993.398894" TargetMode="External"/><Relationship Id="rId710" Type="http://schemas.openxmlformats.org/officeDocument/2006/relationships/hyperlink" Target="http://dx.doi.org/10.1109/VISUAL.1993.398895" TargetMode="External"/><Relationship Id="rId716" Type="http://schemas.openxmlformats.org/officeDocument/2006/relationships/hyperlink" Target="http://dx.doi.org/10.1109/VISUAL.1993.398893" TargetMode="External"/><Relationship Id="rId715" Type="http://schemas.openxmlformats.org/officeDocument/2006/relationships/hyperlink" Target="http://dx.doi.org/10.1109/VISUAL.1993.398884" TargetMode="External"/><Relationship Id="rId714" Type="http://schemas.openxmlformats.org/officeDocument/2006/relationships/hyperlink" Target="http://dx.doi.org/10.1109/VISUAL.1993.398892" TargetMode="External"/><Relationship Id="rId713" Type="http://schemas.openxmlformats.org/officeDocument/2006/relationships/hyperlink" Target="http://dx.doi.org/10.1109/VISUAL.1993.398864" TargetMode="External"/><Relationship Id="rId789" Type="http://schemas.openxmlformats.org/officeDocument/2006/relationships/hyperlink" Target="http://dx.doi.org/10.1109/VISUAL.1991.175795" TargetMode="External"/><Relationship Id="rId788" Type="http://schemas.openxmlformats.org/officeDocument/2006/relationships/hyperlink" Target="http://dx.doi.org/10.1109/VISUAL.1991.175823" TargetMode="External"/><Relationship Id="rId787" Type="http://schemas.openxmlformats.org/officeDocument/2006/relationships/hyperlink" Target="http://dx.doi.org/10.1109/VISUAL.1991.175833" TargetMode="External"/><Relationship Id="rId786" Type="http://schemas.openxmlformats.org/officeDocument/2006/relationships/hyperlink" Target="http://dx.doi.org/10.1109/VISUAL.1991.175784" TargetMode="External"/><Relationship Id="rId781" Type="http://schemas.openxmlformats.org/officeDocument/2006/relationships/hyperlink" Target="http://dx.doi.org/10.1109/VISUAL.1991.175818" TargetMode="External"/><Relationship Id="rId780" Type="http://schemas.openxmlformats.org/officeDocument/2006/relationships/hyperlink" Target="http://dx.doi.org/10.1109/VISUAL.1992.235194" TargetMode="External"/><Relationship Id="rId785" Type="http://schemas.openxmlformats.org/officeDocument/2006/relationships/hyperlink" Target="http://dx.doi.org/10.1109/VISUAL.1991.175778" TargetMode="External"/><Relationship Id="rId784" Type="http://schemas.openxmlformats.org/officeDocument/2006/relationships/hyperlink" Target="http://dx.doi.org/10.1109/VISUAL.1991.175773" TargetMode="External"/><Relationship Id="rId783" Type="http://schemas.openxmlformats.org/officeDocument/2006/relationships/hyperlink" Target="http://dx.doi.org/10.1109/VISUAL.1991.175811" TargetMode="External"/><Relationship Id="rId782" Type="http://schemas.openxmlformats.org/officeDocument/2006/relationships/hyperlink" Target="http://dx.doi.org/10.1109/VISUAL.1991.175806" TargetMode="External"/><Relationship Id="rId778" Type="http://schemas.openxmlformats.org/officeDocument/2006/relationships/hyperlink" Target="http://dx.doi.org/10.1109/VISUAL.1992.235210" TargetMode="External"/><Relationship Id="rId777" Type="http://schemas.openxmlformats.org/officeDocument/2006/relationships/hyperlink" Target="http://dx.doi.org/10.1109/VISUAL.1992.235181" TargetMode="External"/><Relationship Id="rId776" Type="http://schemas.openxmlformats.org/officeDocument/2006/relationships/hyperlink" Target="http://dx.doi.org/10.1109/VISUAL.1992.235176" TargetMode="External"/><Relationship Id="rId775" Type="http://schemas.openxmlformats.org/officeDocument/2006/relationships/hyperlink" Target="http://dx.doi.org/10.1109/VISUAL.1992.235188" TargetMode="External"/><Relationship Id="rId779" Type="http://schemas.openxmlformats.org/officeDocument/2006/relationships/hyperlink" Target="http://dx.doi.org/10.1109/VISUAL.1992.235221" TargetMode="External"/><Relationship Id="rId770" Type="http://schemas.openxmlformats.org/officeDocument/2006/relationships/hyperlink" Target="http://dx.doi.org/10.1109/VISUAL.1992.235193" TargetMode="External"/><Relationship Id="rId774" Type="http://schemas.openxmlformats.org/officeDocument/2006/relationships/hyperlink" Target="http://dx.doi.org/10.1109/VISUAL.1992.235206" TargetMode="External"/><Relationship Id="rId773" Type="http://schemas.openxmlformats.org/officeDocument/2006/relationships/hyperlink" Target="http://dx.doi.org/10.1109/VISUAL.1992.235173" TargetMode="External"/><Relationship Id="rId772" Type="http://schemas.openxmlformats.org/officeDocument/2006/relationships/hyperlink" Target="http://dx.doi.org/10.1109/VISUAL.1992.235175" TargetMode="External"/><Relationship Id="rId771" Type="http://schemas.openxmlformats.org/officeDocument/2006/relationships/hyperlink" Target="http://dx.doi.org/10.1109/VISUAL.1992.235213" TargetMode="External"/><Relationship Id="rId799" Type="http://schemas.openxmlformats.org/officeDocument/2006/relationships/hyperlink" Target="http://dx.doi.org/10.1109/VISUAL.1991.175787" TargetMode="External"/><Relationship Id="rId798" Type="http://schemas.openxmlformats.org/officeDocument/2006/relationships/hyperlink" Target="http://dx.doi.org/10.1109/VISUAL.1991.175777" TargetMode="External"/><Relationship Id="rId797" Type="http://schemas.openxmlformats.org/officeDocument/2006/relationships/hyperlink" Target="http://dx.doi.org/10.1109/VISUAL.1991.175836" TargetMode="External"/><Relationship Id="rId792" Type="http://schemas.openxmlformats.org/officeDocument/2006/relationships/hyperlink" Target="http://dx.doi.org/10.1109/VISUAL.1991.175819" TargetMode="External"/><Relationship Id="rId791" Type="http://schemas.openxmlformats.org/officeDocument/2006/relationships/hyperlink" Target="http://dx.doi.org/10.1109/VISUAL.1991.175785" TargetMode="External"/><Relationship Id="rId790" Type="http://schemas.openxmlformats.org/officeDocument/2006/relationships/hyperlink" Target="http://dx.doi.org/10.1109/VISUAL.1991.175824" TargetMode="External"/><Relationship Id="rId796" Type="http://schemas.openxmlformats.org/officeDocument/2006/relationships/hyperlink" Target="http://dx.doi.org/10.1109/VISUAL.1991.175799" TargetMode="External"/><Relationship Id="rId795" Type="http://schemas.openxmlformats.org/officeDocument/2006/relationships/hyperlink" Target="http://dx.doi.org/10.1109/VISUAL.1991.175834" TargetMode="External"/><Relationship Id="rId794" Type="http://schemas.openxmlformats.org/officeDocument/2006/relationships/hyperlink" Target="http://dx.doi.org/10.1109/VISUAL.1991.175835" TargetMode="External"/><Relationship Id="rId793" Type="http://schemas.openxmlformats.org/officeDocument/2006/relationships/hyperlink" Target="http://dx.doi.org/10.1109/VISUAL.1991.175820" TargetMode="External"/><Relationship Id="rId629" Type="http://schemas.openxmlformats.org/officeDocument/2006/relationships/hyperlink" Target="http://dx.doi.org/10.1109/VISUAL.1994.346293" TargetMode="External"/><Relationship Id="rId624" Type="http://schemas.openxmlformats.org/officeDocument/2006/relationships/hyperlink" Target="http://dx.doi.org/10.1109/VISUAL.1994.346342" TargetMode="External"/><Relationship Id="rId623" Type="http://schemas.openxmlformats.org/officeDocument/2006/relationships/hyperlink" Target="http://dx.doi.org/10.1109/VISUAL.1994.346339" TargetMode="External"/><Relationship Id="rId622" Type="http://schemas.openxmlformats.org/officeDocument/2006/relationships/hyperlink" Target="http://dx.doi.org/10.1109/VISUAL.1994.346325" TargetMode="External"/><Relationship Id="rId621" Type="http://schemas.openxmlformats.org/officeDocument/2006/relationships/hyperlink" Target="http://dx.doi.org/10.1109/VISUAL.1994.346329" TargetMode="External"/><Relationship Id="rId628" Type="http://schemas.openxmlformats.org/officeDocument/2006/relationships/hyperlink" Target="http://dx.doi.org/10.1109/VISUAL.1994.346305" TargetMode="External"/><Relationship Id="rId627" Type="http://schemas.openxmlformats.org/officeDocument/2006/relationships/hyperlink" Target="http://dx.doi.org/10.1109/VISUAL.1994.346334" TargetMode="External"/><Relationship Id="rId626" Type="http://schemas.openxmlformats.org/officeDocument/2006/relationships/hyperlink" Target="http://dx.doi.org/10.1109/VISUAL.1994.346337" TargetMode="External"/><Relationship Id="rId625" Type="http://schemas.openxmlformats.org/officeDocument/2006/relationships/hyperlink" Target="http://dx.doi.org/10.1109/VISUAL.1994.346296" TargetMode="External"/><Relationship Id="rId620" Type="http://schemas.openxmlformats.org/officeDocument/2006/relationships/hyperlink" Target="http://dx.doi.org/10.1109/VISUAL.1994.346320" TargetMode="External"/><Relationship Id="rId619" Type="http://schemas.openxmlformats.org/officeDocument/2006/relationships/hyperlink" Target="http://dx.doi.org/10.1109/VISUAL.1994.346308" TargetMode="External"/><Relationship Id="rId618" Type="http://schemas.openxmlformats.org/officeDocument/2006/relationships/hyperlink" Target="http://dx.doi.org/10.1109/VISUAL.1994.346321" TargetMode="External"/><Relationship Id="rId613" Type="http://schemas.openxmlformats.org/officeDocument/2006/relationships/hyperlink" Target="http://dx.doi.org/10.1109/VISUAL.1994.346309" TargetMode="External"/><Relationship Id="rId612" Type="http://schemas.openxmlformats.org/officeDocument/2006/relationships/hyperlink" Target="http://dx.doi.org/10.1109/VISUAL.1994.346323" TargetMode="External"/><Relationship Id="rId611" Type="http://schemas.openxmlformats.org/officeDocument/2006/relationships/hyperlink" Target="http://dx.doi.org/10.1109/VISUAL.1994.346304" TargetMode="External"/><Relationship Id="rId610" Type="http://schemas.openxmlformats.org/officeDocument/2006/relationships/hyperlink" Target="http://dx.doi.org/10.1109/VISUAL.1994.346341" TargetMode="External"/><Relationship Id="rId617" Type="http://schemas.openxmlformats.org/officeDocument/2006/relationships/hyperlink" Target="http://dx.doi.org/10.1109/VISUAL.1994.346289" TargetMode="External"/><Relationship Id="rId616" Type="http://schemas.openxmlformats.org/officeDocument/2006/relationships/hyperlink" Target="http://dx.doi.org/10.1109/VISUAL.1994.346307" TargetMode="External"/><Relationship Id="rId615" Type="http://schemas.openxmlformats.org/officeDocument/2006/relationships/hyperlink" Target="http://dx.doi.org/10.1109/VISUAL.1994.346303" TargetMode="External"/><Relationship Id="rId614" Type="http://schemas.openxmlformats.org/officeDocument/2006/relationships/hyperlink" Target="http://dx.doi.org/10.1109/VISUAL.1994.346331" TargetMode="External"/><Relationship Id="rId646" Type="http://schemas.openxmlformats.org/officeDocument/2006/relationships/hyperlink" Target="http://dx.doi.org/10.1109/VISUAL.1994.346285" TargetMode="External"/><Relationship Id="rId645" Type="http://schemas.openxmlformats.org/officeDocument/2006/relationships/hyperlink" Target="http://dx.doi.org/10.1109/VISUAL.1994.346316" TargetMode="External"/><Relationship Id="rId644" Type="http://schemas.openxmlformats.org/officeDocument/2006/relationships/hyperlink" Target="http://dx.doi.org/10.1109/VISUAL.1994.346311" TargetMode="External"/><Relationship Id="rId643" Type="http://schemas.openxmlformats.org/officeDocument/2006/relationships/hyperlink" Target="http://dx.doi.org/10.1109/VISUAL.1994.346335" TargetMode="External"/><Relationship Id="rId649" Type="http://schemas.openxmlformats.org/officeDocument/2006/relationships/hyperlink" Target="http://dx.doi.org/10.1109/VISUAL.1994.346284" TargetMode="External"/><Relationship Id="rId648" Type="http://schemas.openxmlformats.org/officeDocument/2006/relationships/hyperlink" Target="http://dx.doi.org/10.1109/VISUAL.1994.346300" TargetMode="External"/><Relationship Id="rId647" Type="http://schemas.openxmlformats.org/officeDocument/2006/relationships/hyperlink" Target="http://dx.doi.org/10.1109/VISUAL.1994.346324" TargetMode="External"/><Relationship Id="rId642" Type="http://schemas.openxmlformats.org/officeDocument/2006/relationships/hyperlink" Target="http://dx.doi.org/10.1109/VISUAL.1994.346301" TargetMode="External"/><Relationship Id="rId641" Type="http://schemas.openxmlformats.org/officeDocument/2006/relationships/hyperlink" Target="http://dx.doi.org/10.1109/VISUAL.1994.346326" TargetMode="External"/><Relationship Id="rId640" Type="http://schemas.openxmlformats.org/officeDocument/2006/relationships/hyperlink" Target="http://dx.doi.org/10.1109/VISUAL.1994.346310" TargetMode="External"/><Relationship Id="rId635" Type="http://schemas.openxmlformats.org/officeDocument/2006/relationships/hyperlink" Target="http://dx.doi.org/10.1109/VISUAL.1994.346317" TargetMode="External"/><Relationship Id="rId634" Type="http://schemas.openxmlformats.org/officeDocument/2006/relationships/hyperlink" Target="http://dx.doi.org/10.1109/VISUAL.1994.346332" TargetMode="External"/><Relationship Id="rId633" Type="http://schemas.openxmlformats.org/officeDocument/2006/relationships/hyperlink" Target="http://dx.doi.org/10.1109/VISUAL.1994.346336" TargetMode="External"/><Relationship Id="rId632" Type="http://schemas.openxmlformats.org/officeDocument/2006/relationships/hyperlink" Target="http://dx.doi.org/10.1109/VISUAL.1994.346319" TargetMode="External"/><Relationship Id="rId639" Type="http://schemas.openxmlformats.org/officeDocument/2006/relationships/hyperlink" Target="http://dx.doi.org/10.1109/VISUAL.1994.346315" TargetMode="External"/><Relationship Id="rId638" Type="http://schemas.openxmlformats.org/officeDocument/2006/relationships/hyperlink" Target="http://dx.doi.org/10.1109/VISUAL.1994.346322" TargetMode="External"/><Relationship Id="rId637" Type="http://schemas.openxmlformats.org/officeDocument/2006/relationships/hyperlink" Target="http://dx.doi.org/10.1109/VISUAL.1994.346318" TargetMode="External"/><Relationship Id="rId636" Type="http://schemas.openxmlformats.org/officeDocument/2006/relationships/hyperlink" Target="http://dx.doi.org/10.1109/VISUAL.1994.346298" TargetMode="External"/><Relationship Id="rId631" Type="http://schemas.openxmlformats.org/officeDocument/2006/relationships/hyperlink" Target="http://dx.doi.org/10.1109/VISUAL.1994.346295" TargetMode="External"/><Relationship Id="rId630" Type="http://schemas.openxmlformats.org/officeDocument/2006/relationships/hyperlink" Target="http://dx.doi.org/10.1109/VISUAL.1994.346306" TargetMode="External"/><Relationship Id="rId609" Type="http://schemas.openxmlformats.org/officeDocument/2006/relationships/hyperlink" Target="http://dx.doi.org/10.1109/VISUAL.1994.346299" TargetMode="External"/><Relationship Id="rId608" Type="http://schemas.openxmlformats.org/officeDocument/2006/relationships/hyperlink" Target="http://dx.doi.org/10.1109/VISUAL.1994.346328" TargetMode="External"/><Relationship Id="rId607" Type="http://schemas.openxmlformats.org/officeDocument/2006/relationships/hyperlink" Target="http://dx.doi.org/10.1109/VISUAL.1996.568138" TargetMode="External"/><Relationship Id="rId602" Type="http://schemas.openxmlformats.org/officeDocument/2006/relationships/hyperlink" Target="http://dx.doi.org/10.1109/VISUAL.1996.568128" TargetMode="External"/><Relationship Id="rId601" Type="http://schemas.openxmlformats.org/officeDocument/2006/relationships/hyperlink" Target="http://dx.doi.org/10.1109/VISUAL.1996.568132" TargetMode="External"/><Relationship Id="rId600" Type="http://schemas.openxmlformats.org/officeDocument/2006/relationships/hyperlink" Target="http://doi.ieeecomputersociety.org/10.1109/VISUAL.1996.568120" TargetMode="External"/><Relationship Id="rId606" Type="http://schemas.openxmlformats.org/officeDocument/2006/relationships/hyperlink" Target="http://dx.doi.org/10.1109/VISUAL.1996.567807" TargetMode="External"/><Relationship Id="rId605" Type="http://schemas.openxmlformats.org/officeDocument/2006/relationships/hyperlink" Target="http://dx.doi.org/10.1109/VISUAL.1996.567610" TargetMode="External"/><Relationship Id="rId604" Type="http://schemas.openxmlformats.org/officeDocument/2006/relationships/hyperlink" Target="http://dx.doi.org/10.1109/VISUAL.1996.568146" TargetMode="External"/><Relationship Id="rId603" Type="http://schemas.openxmlformats.org/officeDocument/2006/relationships/hyperlink" Target="http://doi.ieeecomputersociety.org/10.1109/VISUAL.1996.567774" TargetMode="External"/><Relationship Id="rId699" Type="http://schemas.openxmlformats.org/officeDocument/2006/relationships/hyperlink" Target="http://dx.doi.org/10.1109/VISUAL.1993.398851" TargetMode="External"/><Relationship Id="rId698" Type="http://schemas.openxmlformats.org/officeDocument/2006/relationships/hyperlink" Target="http://dx.doi.org/10.1109/VISUAL.1993.398898" TargetMode="External"/><Relationship Id="rId693" Type="http://schemas.openxmlformats.org/officeDocument/2006/relationships/hyperlink" Target="http://dx.doi.org/10.1109/VISUAL.1993.398863" TargetMode="External"/><Relationship Id="rId692" Type="http://schemas.openxmlformats.org/officeDocument/2006/relationships/hyperlink" Target="http://dx.doi.org/10.1109/VISUAL.1993.398875" TargetMode="External"/><Relationship Id="rId691" Type="http://schemas.openxmlformats.org/officeDocument/2006/relationships/hyperlink" Target="http://dx.doi.org/10.1109/VISUAL.1993.398859" TargetMode="External"/><Relationship Id="rId690" Type="http://schemas.openxmlformats.org/officeDocument/2006/relationships/hyperlink" Target="http://dx.doi.org/10.1109/VISUAL.1993.398857" TargetMode="External"/><Relationship Id="rId697" Type="http://schemas.openxmlformats.org/officeDocument/2006/relationships/hyperlink" Target="http://dx.doi.org/10.1109/VISUAL.1993.398870" TargetMode="External"/><Relationship Id="rId696" Type="http://schemas.openxmlformats.org/officeDocument/2006/relationships/hyperlink" Target="http://dx.doi.org/10.1109/VISUAL.1993.398885" TargetMode="External"/><Relationship Id="rId695" Type="http://schemas.openxmlformats.org/officeDocument/2006/relationships/hyperlink" Target="http://dx.doi.org/10.1109/VISUAL.1993.398869" TargetMode="External"/><Relationship Id="rId694" Type="http://schemas.openxmlformats.org/officeDocument/2006/relationships/hyperlink" Target="http://dx.doi.org/10.1109/VISUAL.1993.398881" TargetMode="External"/><Relationship Id="rId668" Type="http://schemas.openxmlformats.org/officeDocument/2006/relationships/hyperlink" Target="http://dx.doi.org/10.1109/VISUAL.1993.398900" TargetMode="External"/><Relationship Id="rId667" Type="http://schemas.openxmlformats.org/officeDocument/2006/relationships/hyperlink" Target="http://dx.doi.org/10.1109/VISUAL.1993.398903" TargetMode="External"/><Relationship Id="rId666" Type="http://schemas.openxmlformats.org/officeDocument/2006/relationships/hyperlink" Target="http://dx.doi.org/10.1109/VISUAL.1994.346302" TargetMode="External"/><Relationship Id="rId665" Type="http://schemas.openxmlformats.org/officeDocument/2006/relationships/hyperlink" Target="http://dx.doi.org/10.1109/VISUAL.1994.346333" TargetMode="External"/><Relationship Id="rId669" Type="http://schemas.openxmlformats.org/officeDocument/2006/relationships/hyperlink" Target="http://dx.doi.org/10.1109/VISUAL.1993.398849" TargetMode="External"/><Relationship Id="rId660" Type="http://schemas.openxmlformats.org/officeDocument/2006/relationships/hyperlink" Target="http://dx.doi.org/10.1109/VISUAL.1994.346338" TargetMode="External"/><Relationship Id="rId664" Type="http://schemas.openxmlformats.org/officeDocument/2006/relationships/hyperlink" Target="http://dx.doi.org/10.1109/VISUAL.1994.346327" TargetMode="External"/><Relationship Id="rId663" Type="http://schemas.openxmlformats.org/officeDocument/2006/relationships/hyperlink" Target="http://dx.doi.org/10.1109/VISUAL.1994.346340" TargetMode="External"/><Relationship Id="rId662" Type="http://schemas.openxmlformats.org/officeDocument/2006/relationships/hyperlink" Target="http://dx.doi.org/10.1109/VISUAL.1994.346291" TargetMode="External"/><Relationship Id="rId661" Type="http://schemas.openxmlformats.org/officeDocument/2006/relationships/hyperlink" Target="http://dx.doi.org/10.1109/VISUAL.1994.346314" TargetMode="External"/><Relationship Id="rId657" Type="http://schemas.openxmlformats.org/officeDocument/2006/relationships/hyperlink" Target="http://dx.doi.org/10.1109/VISUAL.1994.346313" TargetMode="External"/><Relationship Id="rId656" Type="http://schemas.openxmlformats.org/officeDocument/2006/relationships/hyperlink" Target="http://dx.doi.org/10.1109/VISUAL.1994.346286" TargetMode="External"/><Relationship Id="rId655" Type="http://schemas.openxmlformats.org/officeDocument/2006/relationships/hyperlink" Target="http://dx.doi.org/10.1109/VISUAL.1994.346312" TargetMode="External"/><Relationship Id="rId654" Type="http://schemas.openxmlformats.org/officeDocument/2006/relationships/hyperlink" Target="http://dx.doi.org/10.1109/VISUAL.1994.346290" TargetMode="External"/><Relationship Id="rId659" Type="http://schemas.openxmlformats.org/officeDocument/2006/relationships/hyperlink" Target="http://dx.doi.org/10.1109/VISUAL.1994.346287" TargetMode="External"/><Relationship Id="rId658" Type="http://schemas.openxmlformats.org/officeDocument/2006/relationships/hyperlink" Target="http://dx.doi.org/10.1109/VISUAL.1994.346330" TargetMode="External"/><Relationship Id="rId653" Type="http://schemas.openxmlformats.org/officeDocument/2006/relationships/hyperlink" Target="http://dx.doi.org/10.1109/VISUAL.1994.346297" TargetMode="External"/><Relationship Id="rId652" Type="http://schemas.openxmlformats.org/officeDocument/2006/relationships/hyperlink" Target="http://dx.doi.org/10.1109/VISUAL.1994.346292" TargetMode="External"/><Relationship Id="rId651" Type="http://schemas.openxmlformats.org/officeDocument/2006/relationships/hyperlink" Target="http://dx.doi.org/10.1109/VISUAL.1994.346294" TargetMode="External"/><Relationship Id="rId650" Type="http://schemas.openxmlformats.org/officeDocument/2006/relationships/hyperlink" Target="http://dx.doi.org/10.1109/VISUAL.1994.346288" TargetMode="External"/><Relationship Id="rId689" Type="http://schemas.openxmlformats.org/officeDocument/2006/relationships/hyperlink" Target="http://dx.doi.org/10.1109/VISUAL.1993.398868" TargetMode="External"/><Relationship Id="rId688" Type="http://schemas.openxmlformats.org/officeDocument/2006/relationships/hyperlink" Target="http://dx.doi.org/10.1109/VISUAL.1993.398878" TargetMode="External"/><Relationship Id="rId687" Type="http://schemas.openxmlformats.org/officeDocument/2006/relationships/hyperlink" Target="http://dx.doi.org/10.1109/VISUAL.1993.398846" TargetMode="External"/><Relationship Id="rId682" Type="http://schemas.openxmlformats.org/officeDocument/2006/relationships/hyperlink" Target="http://dx.doi.org/10.1109/VISUAL.1993.398897" TargetMode="External"/><Relationship Id="rId681" Type="http://schemas.openxmlformats.org/officeDocument/2006/relationships/hyperlink" Target="http://dx.doi.org/10.1109/VISUAL.1993.398902" TargetMode="External"/><Relationship Id="rId680" Type="http://schemas.openxmlformats.org/officeDocument/2006/relationships/hyperlink" Target="http://dx.doi.org/10.1109/VISUAL.1993.398865" TargetMode="External"/><Relationship Id="rId686" Type="http://schemas.openxmlformats.org/officeDocument/2006/relationships/hyperlink" Target="http://dx.doi.org/10.1109/VISUAL.1993.398860" TargetMode="External"/><Relationship Id="rId685" Type="http://schemas.openxmlformats.org/officeDocument/2006/relationships/hyperlink" Target="http://dx.doi.org/10.1109/VISUAL.1993.398901" TargetMode="External"/><Relationship Id="rId684" Type="http://schemas.openxmlformats.org/officeDocument/2006/relationships/hyperlink" Target="http://dx.doi.org/10.1109/VISUAL.1993.398845" TargetMode="External"/><Relationship Id="rId683" Type="http://schemas.openxmlformats.org/officeDocument/2006/relationships/hyperlink" Target="http://dx.doi.org/10.1109/VISUAL.1993.398882" TargetMode="External"/><Relationship Id="rId679" Type="http://schemas.openxmlformats.org/officeDocument/2006/relationships/hyperlink" Target="http://dx.doi.org/10.1109/VISUAL.1993.398871" TargetMode="External"/><Relationship Id="rId678" Type="http://schemas.openxmlformats.org/officeDocument/2006/relationships/hyperlink" Target="http://dx.doi.org/10.1109/VISUAL.1993.398861" TargetMode="External"/><Relationship Id="rId677" Type="http://schemas.openxmlformats.org/officeDocument/2006/relationships/hyperlink" Target="http://dx.doi.org/10.1109/VISUAL.1993.398879" TargetMode="External"/><Relationship Id="rId676" Type="http://schemas.openxmlformats.org/officeDocument/2006/relationships/hyperlink" Target="http://dx.doi.org/10.1109/VISUAL.1993.398883" TargetMode="External"/><Relationship Id="rId671" Type="http://schemas.openxmlformats.org/officeDocument/2006/relationships/hyperlink" Target="http://dx.doi.org/10.1109/VISUAL.1993.398874" TargetMode="External"/><Relationship Id="rId670" Type="http://schemas.openxmlformats.org/officeDocument/2006/relationships/hyperlink" Target="http://dx.doi.org/10.1109/VISUAL.1993.398852" TargetMode="External"/><Relationship Id="rId675" Type="http://schemas.openxmlformats.org/officeDocument/2006/relationships/hyperlink" Target="http://dx.doi.org/10.1109/VISUAL.1993.398876" TargetMode="External"/><Relationship Id="rId674" Type="http://schemas.openxmlformats.org/officeDocument/2006/relationships/hyperlink" Target="http://dx.doi.org/10.1109/VISUAL.1993.398856" TargetMode="External"/><Relationship Id="rId673" Type="http://schemas.openxmlformats.org/officeDocument/2006/relationships/hyperlink" Target="http://dx.doi.org/10.1109/VISUAL.1993.398873" TargetMode="External"/><Relationship Id="rId672" Type="http://schemas.openxmlformats.org/officeDocument/2006/relationships/hyperlink" Target="http://dx.doi.org/10.1109/VISUAL.1993.398858" TargetMode="External"/><Relationship Id="rId190" Type="http://schemas.openxmlformats.org/officeDocument/2006/relationships/hyperlink" Target="http://dx.doi.org/10.1109/TVCG.2014.2346271" TargetMode="External"/><Relationship Id="rId194" Type="http://schemas.openxmlformats.org/officeDocument/2006/relationships/hyperlink" Target="http://dx.doi.org/10.1109/TVCG.2014.2346998" TargetMode="External"/><Relationship Id="rId193" Type="http://schemas.openxmlformats.org/officeDocument/2006/relationships/hyperlink" Target="http://dx.doi.org/10.1109/TVCG.2014.2346979" TargetMode="External"/><Relationship Id="rId192" Type="http://schemas.openxmlformats.org/officeDocument/2006/relationships/hyperlink" Target="http://dx.doi.org/10.1109/TVCG.2014.2346293" TargetMode="External"/><Relationship Id="rId191" Type="http://schemas.openxmlformats.org/officeDocument/2006/relationships/hyperlink" Target="http://dx.doi.org/10.1109/TVCG.2014.2346431" TargetMode="External"/><Relationship Id="rId187" Type="http://schemas.openxmlformats.org/officeDocument/2006/relationships/hyperlink" Target="http://dx.doi.org/10.1109/TVCG.2014.2346422" TargetMode="External"/><Relationship Id="rId186" Type="http://schemas.openxmlformats.org/officeDocument/2006/relationships/hyperlink" Target="http://dx.doi.org/10.1109/TVCG.2014.2346276" TargetMode="External"/><Relationship Id="rId185" Type="http://schemas.openxmlformats.org/officeDocument/2006/relationships/hyperlink" Target="http://dx.doi.org/10.1109/TVCG.2014.2346312" TargetMode="External"/><Relationship Id="rId184" Type="http://schemas.openxmlformats.org/officeDocument/2006/relationships/hyperlink" Target="http://dx.doi.org/10.1109/TVCG.2014.2346441" TargetMode="External"/><Relationship Id="rId189" Type="http://schemas.openxmlformats.org/officeDocument/2006/relationships/hyperlink" Target="http://dx.doi.org/10.1109/TVCG.2014.2346428" TargetMode="External"/><Relationship Id="rId188" Type="http://schemas.openxmlformats.org/officeDocument/2006/relationships/hyperlink" Target="http://dx.doi.org/10.1109/TVCG.2014.2346249" TargetMode="External"/><Relationship Id="rId183" Type="http://schemas.openxmlformats.org/officeDocument/2006/relationships/hyperlink" Target="http://dx.doi.org/10.1109/TVCG.2014.2346323" TargetMode="External"/><Relationship Id="rId182" Type="http://schemas.openxmlformats.org/officeDocument/2006/relationships/hyperlink" Target="http://dx.doi.org/10.1109/TVCG.2014.2346311" TargetMode="External"/><Relationship Id="rId181" Type="http://schemas.openxmlformats.org/officeDocument/2006/relationships/hyperlink" Target="http://dx.doi.org/10.1109/TVCG.2014.2346454" TargetMode="External"/><Relationship Id="rId180" Type="http://schemas.openxmlformats.org/officeDocument/2006/relationships/hyperlink" Target="http://dx.doi.org/10.1109/TVCG.2014.2346978" TargetMode="External"/><Relationship Id="rId176" Type="http://schemas.openxmlformats.org/officeDocument/2006/relationships/hyperlink" Target="http://dx.doi.org/10.1109/TVCG.2014.2346320" TargetMode="External"/><Relationship Id="rId175" Type="http://schemas.openxmlformats.org/officeDocument/2006/relationships/hyperlink" Target="http://dx.doi.org/10.1109/TVCG.2014.2346435" TargetMode="External"/><Relationship Id="rId174" Type="http://schemas.openxmlformats.org/officeDocument/2006/relationships/hyperlink" Target="http://dx.doi.org/10.1109/TVCG.2014.2346298" TargetMode="External"/><Relationship Id="rId173" Type="http://schemas.openxmlformats.org/officeDocument/2006/relationships/hyperlink" Target="http://dx.doi.org/10.1109/TVCG.2014.2346437" TargetMode="External"/><Relationship Id="rId179" Type="http://schemas.openxmlformats.org/officeDocument/2006/relationships/hyperlink" Target="http://dx.doi.org/10.1109/TVCG.2014.2346291" TargetMode="External"/><Relationship Id="rId178" Type="http://schemas.openxmlformats.org/officeDocument/2006/relationships/hyperlink" Target="http://dx.doi.org/10.1109/TVCG.2014.2346433" TargetMode="External"/><Relationship Id="rId177" Type="http://schemas.openxmlformats.org/officeDocument/2006/relationships/hyperlink" Target="http://dx.doi.org/10.1109/TVCG.2014.2346444" TargetMode="External"/><Relationship Id="rId198" Type="http://schemas.openxmlformats.org/officeDocument/2006/relationships/hyperlink" Target="http://dx.doi.org/10.1109/TVCG.2014.2346452" TargetMode="External"/><Relationship Id="rId197" Type="http://schemas.openxmlformats.org/officeDocument/2006/relationships/hyperlink" Target="http://dx.doi.org/10.1109/TVCG.2014.2346445" TargetMode="External"/><Relationship Id="rId196" Type="http://schemas.openxmlformats.org/officeDocument/2006/relationships/hyperlink" Target="http://dx.doi.org/10.1109/TVCG.2014.2346274" TargetMode="External"/><Relationship Id="rId195" Type="http://schemas.openxmlformats.org/officeDocument/2006/relationships/hyperlink" Target="http://dx.doi.org/10.1109/TVCG.2014.2346279" TargetMode="External"/><Relationship Id="rId199" Type="http://schemas.openxmlformats.org/officeDocument/2006/relationships/hyperlink" Target="http://dx.doi.org/10.1109/TVCG.2014.2346426" TargetMode="External"/><Relationship Id="rId150" Type="http://schemas.openxmlformats.org/officeDocument/2006/relationships/hyperlink" Target="http://dx.doi.org/10.1109/TVCG.2015.2467954" TargetMode="External"/><Relationship Id="rId149" Type="http://schemas.openxmlformats.org/officeDocument/2006/relationships/hyperlink" Target="http://dx.doi.org/10.1109/TVCG.2015.2467971" TargetMode="External"/><Relationship Id="rId148" Type="http://schemas.openxmlformats.org/officeDocument/2006/relationships/hyperlink" Target="http://dx.doi.org/10.1109/TVCG.2015.2467871" TargetMode="External"/><Relationship Id="rId143" Type="http://schemas.openxmlformats.org/officeDocument/2006/relationships/hyperlink" Target="http://dx.doi.org/10.1109/TVCG.2015.2467771" TargetMode="External"/><Relationship Id="rId142" Type="http://schemas.openxmlformats.org/officeDocument/2006/relationships/hyperlink" Target="http://dx.doi.org/10.1109/VAST.2015.7347681" TargetMode="External"/><Relationship Id="rId141" Type="http://schemas.openxmlformats.org/officeDocument/2006/relationships/hyperlink" Target="http://dx.doi.org/10.1109/VAST.2015.7347682" TargetMode="External"/><Relationship Id="rId140" Type="http://schemas.openxmlformats.org/officeDocument/2006/relationships/hyperlink" Target="http://dx.doi.org/10.1109/TVCG.2015.2467531" TargetMode="External"/><Relationship Id="rId147" Type="http://schemas.openxmlformats.org/officeDocument/2006/relationships/hyperlink" Target="http://dx.doi.org/10.1109/VAST.2015.7347680" TargetMode="External"/><Relationship Id="rId146" Type="http://schemas.openxmlformats.org/officeDocument/2006/relationships/hyperlink" Target="http://dx.doi.org/10.1109/VAST.2015.7347636" TargetMode="External"/><Relationship Id="rId145" Type="http://schemas.openxmlformats.org/officeDocument/2006/relationships/hyperlink" Target="http://dx.doi.org/10.1109/VAST.2015.7347686" TargetMode="External"/><Relationship Id="rId144" Type="http://schemas.openxmlformats.org/officeDocument/2006/relationships/hyperlink" Target="http://dx.doi.org/10.1109/VAST.2015.7347688" TargetMode="External"/><Relationship Id="rId139" Type="http://schemas.openxmlformats.org/officeDocument/2006/relationships/hyperlink" Target="http://dx.doi.org/10.1109/TVCG.2015.2467931" TargetMode="External"/><Relationship Id="rId138" Type="http://schemas.openxmlformats.org/officeDocument/2006/relationships/hyperlink" Target="http://dx.doi.org/10.1109/TVCG.2015.2467591" TargetMode="External"/><Relationship Id="rId137" Type="http://schemas.openxmlformats.org/officeDocument/2006/relationships/hyperlink" Target="http://dx.doi.org/10.1109/TVCG.2015.2467552" TargetMode="External"/><Relationship Id="rId132" Type="http://schemas.openxmlformats.org/officeDocument/2006/relationships/hyperlink" Target="http://dx.doi.org/10.1109/TVCG.2015.2467622" TargetMode="External"/><Relationship Id="rId131" Type="http://schemas.openxmlformats.org/officeDocument/2006/relationships/hyperlink" Target="http://dx.doi.org/10.1109/VAST.2015.7347629" TargetMode="External"/><Relationship Id="rId130" Type="http://schemas.openxmlformats.org/officeDocument/2006/relationships/hyperlink" Target="http://dx.doi.org/10.1109/VAST.2015.7347673" TargetMode="External"/><Relationship Id="rId136" Type="http://schemas.openxmlformats.org/officeDocument/2006/relationships/hyperlink" Target="http://dx.doi.org/10.1109/TVCG.2015.2467553" TargetMode="External"/><Relationship Id="rId135" Type="http://schemas.openxmlformats.org/officeDocument/2006/relationships/hyperlink" Target="http://dx.doi.org/10.1109/VAST.2015.7347683" TargetMode="External"/><Relationship Id="rId134" Type="http://schemas.openxmlformats.org/officeDocument/2006/relationships/hyperlink" Target="http://dx.doi.org/10.1109/TVCG.2015.2467618" TargetMode="External"/><Relationship Id="rId133" Type="http://schemas.openxmlformats.org/officeDocument/2006/relationships/hyperlink" Target="http://dx.doi.org/10.1109/TVCG.2015.2467196" TargetMode="External"/><Relationship Id="rId172" Type="http://schemas.openxmlformats.org/officeDocument/2006/relationships/hyperlink" Target="http://dx.doi.org/10.1109/TVCG.2014.2346260" TargetMode="External"/><Relationship Id="rId171" Type="http://schemas.openxmlformats.org/officeDocument/2006/relationships/hyperlink" Target="http://dx.doi.org/10.1109/TVCG.2014.2346250" TargetMode="External"/><Relationship Id="rId170" Type="http://schemas.openxmlformats.org/officeDocument/2006/relationships/hyperlink" Target="http://dx.doi.org/10.1109/TVCG.2014.2346331" TargetMode="External"/><Relationship Id="rId165" Type="http://schemas.openxmlformats.org/officeDocument/2006/relationships/hyperlink" Target="http://dx.doi.org/10.1109/TVCG.2014.2346265" TargetMode="External"/><Relationship Id="rId164" Type="http://schemas.openxmlformats.org/officeDocument/2006/relationships/hyperlink" Target="http://dx.doi.org/10.1109/TVCG.2014.2346325" TargetMode="External"/><Relationship Id="rId163" Type="http://schemas.openxmlformats.org/officeDocument/2006/relationships/hyperlink" Target="http://dx.doi.org/10.1109/TVCG.2014.2352953" TargetMode="External"/><Relationship Id="rId162" Type="http://schemas.openxmlformats.org/officeDocument/2006/relationships/hyperlink" Target="http://dx.doi.org/10.1109/TVCG.2014.2346984" TargetMode="External"/><Relationship Id="rId169" Type="http://schemas.openxmlformats.org/officeDocument/2006/relationships/hyperlink" Target="http://dx.doi.org/10.1109/TVCG.2014.2346292" TargetMode="External"/><Relationship Id="rId168" Type="http://schemas.openxmlformats.org/officeDocument/2006/relationships/hyperlink" Target="http://dx.doi.org/10.1109/TVCG.2014.2346420" TargetMode="External"/><Relationship Id="rId167" Type="http://schemas.openxmlformats.org/officeDocument/2006/relationships/hyperlink" Target="http://dx.doi.org/10.1109/TVCG.2014.2346456" TargetMode="External"/><Relationship Id="rId166" Type="http://schemas.openxmlformats.org/officeDocument/2006/relationships/hyperlink" Target="http://dx.doi.org/10.1109/TVCG.2014.2346258" TargetMode="External"/><Relationship Id="rId161" Type="http://schemas.openxmlformats.org/officeDocument/2006/relationships/hyperlink" Target="http://dx.doi.org/10.1109/VAST.2015.7347624" TargetMode="External"/><Relationship Id="rId160" Type="http://schemas.openxmlformats.org/officeDocument/2006/relationships/hyperlink" Target="http://dx.doi.org/10.1109/TVCG.2015.2467592" TargetMode="External"/><Relationship Id="rId159" Type="http://schemas.openxmlformats.org/officeDocument/2006/relationships/hyperlink" Target="http://dx.doi.org/10.1109/VAST.2015.7347672" TargetMode="External"/><Relationship Id="rId154" Type="http://schemas.openxmlformats.org/officeDocument/2006/relationships/hyperlink" Target="http://dx.doi.org/10.1109/TVCG.2015.2467612" TargetMode="External"/><Relationship Id="rId153" Type="http://schemas.openxmlformats.org/officeDocument/2006/relationships/hyperlink" Target="http://dx.doi.org/10.1109/VAST.2015.7347679" TargetMode="External"/><Relationship Id="rId152" Type="http://schemas.openxmlformats.org/officeDocument/2006/relationships/hyperlink" Target="http://dx.doi.org/10.1109/TVCG.2015.2467757" TargetMode="External"/><Relationship Id="rId151" Type="http://schemas.openxmlformats.org/officeDocument/2006/relationships/hyperlink" Target="http://dx.doi.org/10.1109/TVCG.2015.2467555" TargetMode="External"/><Relationship Id="rId158" Type="http://schemas.openxmlformats.org/officeDocument/2006/relationships/hyperlink" Target="http://dx.doi.org/10.1109/VAST.2015.7347671" TargetMode="External"/><Relationship Id="rId157" Type="http://schemas.openxmlformats.org/officeDocument/2006/relationships/hyperlink" Target="http://dx.doi.org/10.1109/VAST.2015.7347685" TargetMode="External"/><Relationship Id="rId156" Type="http://schemas.openxmlformats.org/officeDocument/2006/relationships/hyperlink" Target="http://dx.doi.org/10.1109/VAST.2015.7347689" TargetMode="External"/><Relationship Id="rId155" Type="http://schemas.openxmlformats.org/officeDocument/2006/relationships/hyperlink" Target="http://dx.doi.org/10.1109/VAST.2015.7347678" TargetMode="External"/><Relationship Id="rId107" Type="http://schemas.openxmlformats.org/officeDocument/2006/relationships/hyperlink" Target="http://dx.doi.org/10.1109/VAST.2015.7347632" TargetMode="External"/><Relationship Id="rId106" Type="http://schemas.openxmlformats.org/officeDocument/2006/relationships/hyperlink" Target="http://dx.doi.org/10.1109/VAST.2015.7347631" TargetMode="External"/><Relationship Id="rId105" Type="http://schemas.openxmlformats.org/officeDocument/2006/relationships/hyperlink" Target="http://dx.doi.org/10.1109/VAST.2015.7347634" TargetMode="External"/><Relationship Id="rId104" Type="http://schemas.openxmlformats.org/officeDocument/2006/relationships/hyperlink" Target="http://dx.doi.org/10.1109/VAST.2015.7347627" TargetMode="External"/><Relationship Id="rId109" Type="http://schemas.openxmlformats.org/officeDocument/2006/relationships/hyperlink" Target="http://dx.doi.org/10.1109/VAST.2015.7347687" TargetMode="External"/><Relationship Id="rId108" Type="http://schemas.openxmlformats.org/officeDocument/2006/relationships/hyperlink" Target="http://dx.doi.org/10.1109/TVCG.2015.2468151" TargetMode="External"/><Relationship Id="rId103" Type="http://schemas.openxmlformats.org/officeDocument/2006/relationships/hyperlink" Target="http://dx.doi.org/10.1109/TVCG.2015.2467621" TargetMode="External"/><Relationship Id="rId102" Type="http://schemas.openxmlformats.org/officeDocument/2006/relationships/hyperlink" Target="http://dx.doi.org/10.1109/TVCG.2015.2467551" TargetMode="External"/><Relationship Id="rId101" Type="http://schemas.openxmlformats.org/officeDocument/2006/relationships/hyperlink" Target="http://dx.doi.org/10.1109/TVCG.2015.2467813" TargetMode="External"/><Relationship Id="rId100" Type="http://schemas.openxmlformats.org/officeDocument/2006/relationships/hyperlink" Target="http://dx.doi.org/10.1109/TVCG.2015.2467554" TargetMode="External"/><Relationship Id="rId129" Type="http://schemas.openxmlformats.org/officeDocument/2006/relationships/hyperlink" Target="http://dx.doi.org/10.1109/VAST.2015.7347684" TargetMode="External"/><Relationship Id="rId128" Type="http://schemas.openxmlformats.org/officeDocument/2006/relationships/hyperlink" Target="http://dx.doi.org/10.1109/TVCG.2015.2467611" TargetMode="External"/><Relationship Id="rId127" Type="http://schemas.openxmlformats.org/officeDocument/2006/relationships/hyperlink" Target="http://dx.doi.org/10.1109/TVCG.2015.2468078" TargetMode="External"/><Relationship Id="rId126" Type="http://schemas.openxmlformats.org/officeDocument/2006/relationships/hyperlink" Target="http://dx.doi.org/10.1109/TVCG.2015.2467733" TargetMode="External"/><Relationship Id="rId121" Type="http://schemas.openxmlformats.org/officeDocument/2006/relationships/hyperlink" Target="http://dx.doi.org/10.1109/VAST.2015.7347630" TargetMode="External"/><Relationship Id="rId120" Type="http://schemas.openxmlformats.org/officeDocument/2006/relationships/hyperlink" Target="http://dx.doi.org/10.1109/TVCG.2015.2467615" TargetMode="External"/><Relationship Id="rId125" Type="http://schemas.openxmlformats.org/officeDocument/2006/relationships/hyperlink" Target="http://dx.doi.org/10.1109/TVCG.2015.2468292" TargetMode="External"/><Relationship Id="rId124" Type="http://schemas.openxmlformats.org/officeDocument/2006/relationships/hyperlink" Target="http://dx.doi.org/10.1109/TVCG.2015.2468111" TargetMode="External"/><Relationship Id="rId123" Type="http://schemas.openxmlformats.org/officeDocument/2006/relationships/hyperlink" Target="http://dx.doi.org/10.1109/VAST.2015.7347625" TargetMode="External"/><Relationship Id="rId122" Type="http://schemas.openxmlformats.org/officeDocument/2006/relationships/hyperlink" Target="http://dx.doi.org/10.1109/TVCG.2015.2468011" TargetMode="External"/><Relationship Id="rId118" Type="http://schemas.openxmlformats.org/officeDocument/2006/relationships/hyperlink" Target="http://dx.doi.org/10.1109/TVCG.2015.2467620" TargetMode="External"/><Relationship Id="rId117" Type="http://schemas.openxmlformats.org/officeDocument/2006/relationships/hyperlink" Target="http://dx.doi.org/10.1109/TVCG.2015.2467619" TargetMode="External"/><Relationship Id="rId116" Type="http://schemas.openxmlformats.org/officeDocument/2006/relationships/hyperlink" Target="http://dx.doi.org/10.1109/VAST.2015.7347676" TargetMode="External"/><Relationship Id="rId115" Type="http://schemas.openxmlformats.org/officeDocument/2006/relationships/hyperlink" Target="http://dx.doi.org/10.1109/VAST.2015.7347626" TargetMode="External"/><Relationship Id="rId119" Type="http://schemas.openxmlformats.org/officeDocument/2006/relationships/hyperlink" Target="http://dx.doi.org/10.1109/VAST.2015.7347635" TargetMode="External"/><Relationship Id="rId110" Type="http://schemas.openxmlformats.org/officeDocument/2006/relationships/hyperlink" Target="http://dx.doi.org/10.1109/TVCG.2015.2467991" TargetMode="External"/><Relationship Id="rId114" Type="http://schemas.openxmlformats.org/officeDocument/2006/relationships/hyperlink" Target="http://dx.doi.org/10.1109/VAST.2015.7347675" TargetMode="External"/><Relationship Id="rId113" Type="http://schemas.openxmlformats.org/officeDocument/2006/relationships/hyperlink" Target="http://dx.doi.org/10.1109/VAST.2015.7347633" TargetMode="External"/><Relationship Id="rId112" Type="http://schemas.openxmlformats.org/officeDocument/2006/relationships/hyperlink" Target="http://dx.doi.org/10.1109/VAST.2015.7347628" TargetMode="External"/><Relationship Id="rId111" Type="http://schemas.openxmlformats.org/officeDocument/2006/relationships/hyperlink" Target="http://dx.doi.org/10.1109/VAST.2015.7347637" TargetMode="External"/><Relationship Id="rId866" Type="http://schemas.openxmlformats.org/officeDocument/2006/relationships/hyperlink" Target="http://dx.doi.org/10.1109/VISUAL.1990.146402" TargetMode="External"/><Relationship Id="rId865" Type="http://schemas.openxmlformats.org/officeDocument/2006/relationships/hyperlink" Target="http://dx.doi.org/10.1109/VISUAL.1990.146373" TargetMode="External"/><Relationship Id="rId864" Type="http://schemas.openxmlformats.org/officeDocument/2006/relationships/hyperlink" Target="http://dx.doi.org/10.1109/VISUAL.1990.146381" TargetMode="External"/><Relationship Id="rId863" Type="http://schemas.openxmlformats.org/officeDocument/2006/relationships/hyperlink" Target="http://dx.doi.org/10.1109/VISUAL.1990.146365" TargetMode="External"/><Relationship Id="rId869" Type="http://schemas.openxmlformats.org/officeDocument/2006/relationships/hyperlink" Target="http://dx.doi.org/10.1109/VISUAL.1990.146417" TargetMode="External"/><Relationship Id="rId868" Type="http://schemas.openxmlformats.org/officeDocument/2006/relationships/hyperlink" Target="http://dx.doi.org/10.1109/VISUAL.1990.146390" TargetMode="External"/><Relationship Id="rId867" Type="http://schemas.openxmlformats.org/officeDocument/2006/relationships/hyperlink" Target="http://dx.doi.org/10.1109/VISUAL.1990.146418" TargetMode="External"/><Relationship Id="rId862" Type="http://schemas.openxmlformats.org/officeDocument/2006/relationships/hyperlink" Target="http://dl.acm.org/citation.cfm?id=949606&amp;CFID=522724143&amp;CFTOKEN=98665846" TargetMode="External"/><Relationship Id="rId861" Type="http://schemas.openxmlformats.org/officeDocument/2006/relationships/hyperlink" Target="http://dx.doi.org/10.1109/VISUAL.1990.146384" TargetMode="External"/><Relationship Id="rId860" Type="http://schemas.openxmlformats.org/officeDocument/2006/relationships/hyperlink" Target="http://dx.doi.org/10.1109/VISUAL.1990.146416" TargetMode="External"/><Relationship Id="rId855" Type="http://schemas.openxmlformats.org/officeDocument/2006/relationships/hyperlink" Target="http://dx.doi.org/10.1109/VISUAL.1990.146369" TargetMode="External"/><Relationship Id="rId854" Type="http://schemas.openxmlformats.org/officeDocument/2006/relationships/hyperlink" Target="http://dx.doi.org/10.1109/VISUAL.1990.146364" TargetMode="External"/><Relationship Id="rId853" Type="http://schemas.openxmlformats.org/officeDocument/2006/relationships/hyperlink" Target="http://dx.doi.org/10.1109/VISUAL.1990.146397" TargetMode="External"/><Relationship Id="rId852" Type="http://schemas.openxmlformats.org/officeDocument/2006/relationships/hyperlink" Target="http://dx.doi.org/10.1109/VISUAL.1990.146374" TargetMode="External"/><Relationship Id="rId859" Type="http://schemas.openxmlformats.org/officeDocument/2006/relationships/hyperlink" Target="http://dx.doi.org/10.1109/VISUAL.1990.146379" TargetMode="External"/><Relationship Id="rId858" Type="http://schemas.openxmlformats.org/officeDocument/2006/relationships/hyperlink" Target="http://dx.doi.org/10.1109/VISUAL.1990.146360" TargetMode="External"/><Relationship Id="rId857" Type="http://schemas.openxmlformats.org/officeDocument/2006/relationships/hyperlink" Target="http://dx.doi.org/10.1109/VISUAL.1990.146367" TargetMode="External"/><Relationship Id="rId856" Type="http://schemas.openxmlformats.org/officeDocument/2006/relationships/hyperlink" Target="http://dx.doi.org/10.1109/VISUAL.1990.146386" TargetMode="External"/><Relationship Id="rId851" Type="http://schemas.openxmlformats.org/officeDocument/2006/relationships/hyperlink" Target="http://dx.doi.org/10.1109/VISUAL.1990.146415" TargetMode="External"/><Relationship Id="rId850" Type="http://schemas.openxmlformats.org/officeDocument/2006/relationships/hyperlink" Target="http://dx.doi.org/10.1109/VISUAL.1990.146395" TargetMode="External"/><Relationship Id="rId888" Type="http://schemas.openxmlformats.org/officeDocument/2006/relationships/hyperlink" Target="http://dx.doi.org/10.1109/VISUAL.1990.146371" TargetMode="External"/><Relationship Id="rId887" Type="http://schemas.openxmlformats.org/officeDocument/2006/relationships/hyperlink" Target="http://dx.doi.org/10.1109/VISUAL.1990.146389" TargetMode="External"/><Relationship Id="rId886" Type="http://schemas.openxmlformats.org/officeDocument/2006/relationships/hyperlink" Target="http://dx.doi.org/10.1109/VISUAL.1990.146392" TargetMode="External"/><Relationship Id="rId885" Type="http://schemas.openxmlformats.org/officeDocument/2006/relationships/hyperlink" Target="http://dx.doi.org/10.1109/VISUAL.1990.146388" TargetMode="External"/><Relationship Id="rId889" Type="http://schemas.openxmlformats.org/officeDocument/2006/relationships/hyperlink" Target="http://dx.doi.org/10.1109/VISUAL.1990.146413" TargetMode="External"/><Relationship Id="rId880" Type="http://schemas.openxmlformats.org/officeDocument/2006/relationships/hyperlink" Target="http://dx.doi.org/10.1109/VISUAL.1990.146361" TargetMode="External"/><Relationship Id="rId884" Type="http://schemas.openxmlformats.org/officeDocument/2006/relationships/hyperlink" Target="http://dx.doi.org/10.1109/VISUAL.1990.146403" TargetMode="External"/><Relationship Id="rId883" Type="http://schemas.openxmlformats.org/officeDocument/2006/relationships/hyperlink" Target="http://dx.doi.org/10.1109/VISUAL.1990.146414" TargetMode="External"/><Relationship Id="rId882" Type="http://schemas.openxmlformats.org/officeDocument/2006/relationships/hyperlink" Target="http://dx.doi.org/10.1109/VISUAL.1990.146412" TargetMode="External"/><Relationship Id="rId881" Type="http://schemas.openxmlformats.org/officeDocument/2006/relationships/hyperlink" Target="http://dx.doi.org/10.1109/VISUAL.1990.146376" TargetMode="External"/><Relationship Id="rId877" Type="http://schemas.openxmlformats.org/officeDocument/2006/relationships/hyperlink" Target="http://dx.doi.org/10.1109/VISUAL.1990.146400" TargetMode="External"/><Relationship Id="rId876" Type="http://schemas.openxmlformats.org/officeDocument/2006/relationships/hyperlink" Target="http://dx.doi.org/10.1109/VISUAL.1990.146363" TargetMode="External"/><Relationship Id="rId875" Type="http://schemas.openxmlformats.org/officeDocument/2006/relationships/hyperlink" Target="http://dx.doi.org/10.1109/VISUAL.1990.146359" TargetMode="External"/><Relationship Id="rId874" Type="http://schemas.openxmlformats.org/officeDocument/2006/relationships/hyperlink" Target="http://dx.doi.org/10.1109/VISUAL.1990.146394" TargetMode="External"/><Relationship Id="rId879" Type="http://schemas.openxmlformats.org/officeDocument/2006/relationships/hyperlink" Target="http://dx.doi.org/10.1109/VISUAL.1990.146391" TargetMode="External"/><Relationship Id="rId878" Type="http://schemas.openxmlformats.org/officeDocument/2006/relationships/hyperlink" Target="http://dx.doi.org/10.1109/VISUAL.1990.146370" TargetMode="External"/><Relationship Id="rId873" Type="http://schemas.openxmlformats.org/officeDocument/2006/relationships/hyperlink" Target="http://dx.doi.org/10.1109/VISUAL.1990.146383" TargetMode="External"/><Relationship Id="rId872" Type="http://schemas.openxmlformats.org/officeDocument/2006/relationships/hyperlink" Target="http://dx.doi.org/10.1109/VISUAL.1990.146387" TargetMode="External"/><Relationship Id="rId871" Type="http://schemas.openxmlformats.org/officeDocument/2006/relationships/hyperlink" Target="http://dx.doi.org/10.1109/VISUAL.1990.146396" TargetMode="External"/><Relationship Id="rId870" Type="http://schemas.openxmlformats.org/officeDocument/2006/relationships/hyperlink" Target="http://dx.doi.org/10.1109/VISUAL.1990.146380" TargetMode="External"/><Relationship Id="rId829" Type="http://schemas.openxmlformats.org/officeDocument/2006/relationships/hyperlink" Target="http://dx.doi.org/10.1109/VISUAL.1991.175837" TargetMode="External"/><Relationship Id="rId828" Type="http://schemas.openxmlformats.org/officeDocument/2006/relationships/hyperlink" Target="http://dx.doi.org/10.1109/VISUAL.1991.175796" TargetMode="External"/><Relationship Id="rId827" Type="http://schemas.openxmlformats.org/officeDocument/2006/relationships/hyperlink" Target="http://dx.doi.org/10.1109/VISUAL.1991.175830" TargetMode="External"/><Relationship Id="rId822" Type="http://schemas.openxmlformats.org/officeDocument/2006/relationships/hyperlink" Target="http://dx.doi.org/10.1109/VISUAL.1991.175771" TargetMode="External"/><Relationship Id="rId821" Type="http://schemas.openxmlformats.org/officeDocument/2006/relationships/hyperlink" Target="http://dx.doi.org/10.1109/VISUAL.1991.175789" TargetMode="External"/><Relationship Id="rId820" Type="http://schemas.openxmlformats.org/officeDocument/2006/relationships/hyperlink" Target="http://dx.doi.org/10.1109/VISUAL.1991.175790" TargetMode="External"/><Relationship Id="rId826" Type="http://schemas.openxmlformats.org/officeDocument/2006/relationships/hyperlink" Target="http://dx.doi.org/10.1109/VISUAL.1991.175776" TargetMode="External"/><Relationship Id="rId825" Type="http://schemas.openxmlformats.org/officeDocument/2006/relationships/hyperlink" Target="http://dx.doi.org/10.1109/VISUAL.1991.175815" TargetMode="External"/><Relationship Id="rId824" Type="http://schemas.openxmlformats.org/officeDocument/2006/relationships/hyperlink" Target="http://dx.doi.org/10.1109/VISUAL.1991.175800" TargetMode="External"/><Relationship Id="rId823" Type="http://schemas.openxmlformats.org/officeDocument/2006/relationships/hyperlink" Target="http://dx.doi.org/10.1109/VISUAL.1991.175797" TargetMode="External"/><Relationship Id="rId819" Type="http://schemas.openxmlformats.org/officeDocument/2006/relationships/hyperlink" Target="http://dx.doi.org/10.1109/VISUAL.1991.175786" TargetMode="External"/><Relationship Id="rId818" Type="http://schemas.openxmlformats.org/officeDocument/2006/relationships/hyperlink" Target="http://dx.doi.org/10.1109/VISUAL.1991.175782" TargetMode="External"/><Relationship Id="rId817" Type="http://schemas.openxmlformats.org/officeDocument/2006/relationships/hyperlink" Target="http://dx.doi.org/10.1109/VISUAL.1991.175780" TargetMode="External"/><Relationship Id="rId816" Type="http://schemas.openxmlformats.org/officeDocument/2006/relationships/hyperlink" Target="http://dx.doi.org/10.1109/VISUAL.1991.175792" TargetMode="External"/><Relationship Id="rId811" Type="http://schemas.openxmlformats.org/officeDocument/2006/relationships/hyperlink" Target="http://dx.doi.org/10.1109/VISUAL.1991.175807" TargetMode="External"/><Relationship Id="rId810" Type="http://schemas.openxmlformats.org/officeDocument/2006/relationships/hyperlink" Target="http://dx.doi.org/10.1109/VISUAL.1991.175827" TargetMode="External"/><Relationship Id="rId815" Type="http://schemas.openxmlformats.org/officeDocument/2006/relationships/hyperlink" Target="http://dx.doi.org/10.1109/VISUAL.1991.175767" TargetMode="External"/><Relationship Id="rId814" Type="http://schemas.openxmlformats.org/officeDocument/2006/relationships/hyperlink" Target="http://dx.doi.org/10.1109/VISUAL.1991.175810" TargetMode="External"/><Relationship Id="rId813" Type="http://schemas.openxmlformats.org/officeDocument/2006/relationships/hyperlink" Target="http://dx.doi.org/10.1109/VISUAL.1991.175825" TargetMode="External"/><Relationship Id="rId812" Type="http://schemas.openxmlformats.org/officeDocument/2006/relationships/hyperlink" Target="http://dx.doi.org/10.1109/VISUAL.1991.175805" TargetMode="External"/><Relationship Id="rId849" Type="http://schemas.openxmlformats.org/officeDocument/2006/relationships/hyperlink" Target="http://dx.doi.org/10.1109/VISUAL.1990.146377" TargetMode="External"/><Relationship Id="rId844" Type="http://schemas.openxmlformats.org/officeDocument/2006/relationships/hyperlink" Target="http://dx.doi.org/10.1109/VISUAL.1990.146398" TargetMode="External"/><Relationship Id="rId843" Type="http://schemas.openxmlformats.org/officeDocument/2006/relationships/hyperlink" Target="http://dx.doi.org/10.1109/VISUAL.1990.146362" TargetMode="External"/><Relationship Id="rId842" Type="http://schemas.openxmlformats.org/officeDocument/2006/relationships/hyperlink" Target="http://dx.doi.org/10.1109/VISUAL.1990.146375" TargetMode="External"/><Relationship Id="rId841" Type="http://schemas.openxmlformats.org/officeDocument/2006/relationships/hyperlink" Target="http://dx.doi.org/10.1109/VISUAL.1990.146393" TargetMode="External"/><Relationship Id="rId848" Type="http://schemas.openxmlformats.org/officeDocument/2006/relationships/hyperlink" Target="http://dx.doi.org/10.1109/VISUAL.1990.146366" TargetMode="External"/><Relationship Id="rId847" Type="http://schemas.openxmlformats.org/officeDocument/2006/relationships/hyperlink" Target="http://dx.doi.org/10.1109/VISUAL.1990.146399" TargetMode="External"/><Relationship Id="rId846" Type="http://schemas.openxmlformats.org/officeDocument/2006/relationships/hyperlink" Target="http://dx.doi.org/10.1109/VISUAL.1990.146401" TargetMode="External"/><Relationship Id="rId845" Type="http://schemas.openxmlformats.org/officeDocument/2006/relationships/hyperlink" Target="http://dx.doi.org/10.1109/VISUAL.1990.146382" TargetMode="External"/><Relationship Id="rId840" Type="http://schemas.openxmlformats.org/officeDocument/2006/relationships/hyperlink" Target="http://dx.doi.org/10.1109/VISUAL.1990.146372" TargetMode="External"/><Relationship Id="rId839" Type="http://schemas.openxmlformats.org/officeDocument/2006/relationships/hyperlink" Target="http://dx.doi.org/10.1109/VISUAL.1990.146385" TargetMode="External"/><Relationship Id="rId838" Type="http://schemas.openxmlformats.org/officeDocument/2006/relationships/hyperlink" Target="http://dx.doi.org/10.1109/VISUAL.1990.146419" TargetMode="External"/><Relationship Id="rId833" Type="http://schemas.openxmlformats.org/officeDocument/2006/relationships/hyperlink" Target="http://dx.doi.org/10.1109/VISUAL.1991.175831" TargetMode="External"/><Relationship Id="rId832" Type="http://schemas.openxmlformats.org/officeDocument/2006/relationships/hyperlink" Target="http://dx.doi.org/10.1109/VISUAL.1991.175770" TargetMode="External"/><Relationship Id="rId831" Type="http://schemas.openxmlformats.org/officeDocument/2006/relationships/hyperlink" Target="http://dx.doi.org/10.1109/VISUAL.1991.175802" TargetMode="External"/><Relationship Id="rId830" Type="http://schemas.openxmlformats.org/officeDocument/2006/relationships/hyperlink" Target="http://dx.doi.org/10.1109/VISUAL.1991.175781" TargetMode="External"/><Relationship Id="rId837" Type="http://schemas.openxmlformats.org/officeDocument/2006/relationships/hyperlink" Target="http://dx.doi.org/10.1109/VISUAL.1991.175828" TargetMode="External"/><Relationship Id="rId836" Type="http://schemas.openxmlformats.org/officeDocument/2006/relationships/hyperlink" Target="http://dx.doi.org/10.1109/VISUAL.1991.175772" TargetMode="External"/><Relationship Id="rId835" Type="http://schemas.openxmlformats.org/officeDocument/2006/relationships/hyperlink" Target="http://dx.doi.org/10.1109/VISUAL.1991.175821" TargetMode="External"/><Relationship Id="rId834" Type="http://schemas.openxmlformats.org/officeDocument/2006/relationships/hyperlink" Target="http://dx.doi.org/10.1109/VISUAL.1991.175838" TargetMode="External"/><Relationship Id="rId891" Type="http://schemas.openxmlformats.org/officeDocument/2006/relationships/hyperlink" Target="http://dx.doi.org/10.1109/VISUAL.1990.146368" TargetMode="External"/><Relationship Id="rId890" Type="http://schemas.openxmlformats.org/officeDocument/2006/relationships/hyperlink" Target="http://dx.doi.org/10.1109/VISUAL.1990.146378" TargetMode="External"/><Relationship Id="rId893" Type="http://schemas.openxmlformats.org/officeDocument/2006/relationships/vmlDrawing" Target="../drawings/vmlDrawing3.vml"/><Relationship Id="rId89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92" Type="http://schemas.openxmlformats.org/officeDocument/2006/relationships/hyperlink" Target="http://dx.doi.org/10.1109/VISUAL.1997.663858" TargetMode="External"/><Relationship Id="rId391" Type="http://schemas.openxmlformats.org/officeDocument/2006/relationships/hyperlink" Target="http://dx.doi.org/10.1109/VISUAL.1997.663857" TargetMode="External"/><Relationship Id="rId390" Type="http://schemas.openxmlformats.org/officeDocument/2006/relationships/hyperlink" Target="http://dx.doi.org/10.1109/VISUAL.1997.663856" TargetMode="External"/><Relationship Id="rId385" Type="http://schemas.openxmlformats.org/officeDocument/2006/relationships/hyperlink" Target="http://dx.doi.org/10.1109/INFVIS.1997.636794" TargetMode="External"/><Relationship Id="rId384" Type="http://schemas.openxmlformats.org/officeDocument/2006/relationships/hyperlink" Target="http://dx.doi.org/10.1109/INFVIS.1997.636793" TargetMode="External"/><Relationship Id="rId383" Type="http://schemas.openxmlformats.org/officeDocument/2006/relationships/hyperlink" Target="http://dx.doi.org/10.1109/INFVIS.1997.636792" TargetMode="External"/><Relationship Id="rId382" Type="http://schemas.openxmlformats.org/officeDocument/2006/relationships/hyperlink" Target="http://dx.doi.org/10.1109/INFVIS.1997.636791" TargetMode="External"/><Relationship Id="rId389" Type="http://schemas.openxmlformats.org/officeDocument/2006/relationships/hyperlink" Target="http://dx.doi.org/10.1109/VISUAL.1997.663855" TargetMode="External"/><Relationship Id="rId388" Type="http://schemas.openxmlformats.org/officeDocument/2006/relationships/hyperlink" Target="http://dx.doi.org/10.1109/VISUAL.1997.663853" TargetMode="External"/><Relationship Id="rId387" Type="http://schemas.openxmlformats.org/officeDocument/2006/relationships/hyperlink" Target="http://dx.doi.org/10.1109/VISUAL.1997.663851" TargetMode="External"/><Relationship Id="rId386" Type="http://schemas.openxmlformats.org/officeDocument/2006/relationships/hyperlink" Target="http://dx.doi.org/10.1109/VISUAL.1997.663848" TargetMode="External"/><Relationship Id="rId381" Type="http://schemas.openxmlformats.org/officeDocument/2006/relationships/hyperlink" Target="http://dx.doi.org/10.1109/INFVIS.1997.636790" TargetMode="External"/><Relationship Id="rId380" Type="http://schemas.openxmlformats.org/officeDocument/2006/relationships/hyperlink" Target="http://dx.doi.org/10.1109/INFVIS.1997.636789" TargetMode="External"/><Relationship Id="rId379" Type="http://schemas.openxmlformats.org/officeDocument/2006/relationships/hyperlink" Target="http://dx.doi.org/10.1109/INFVIS.1997.636788" TargetMode="External"/><Relationship Id="rId374" Type="http://schemas.openxmlformats.org/officeDocument/2006/relationships/hyperlink" Target="http://dx.doi.org/10.1109/INFVIS.1997.636782" TargetMode="External"/><Relationship Id="rId373" Type="http://schemas.openxmlformats.org/officeDocument/2006/relationships/hyperlink" Target="http://dx.doi.org/10.1109/INFVIS.1997.636778" TargetMode="External"/><Relationship Id="rId372" Type="http://schemas.openxmlformats.org/officeDocument/2006/relationships/hyperlink" Target="http://dx.doi.org/10.1109/INFVIS.1997.636761" TargetMode="External"/><Relationship Id="rId371" Type="http://schemas.openxmlformats.org/officeDocument/2006/relationships/hyperlink" Target="http://dx.doi.org/10.1109/INFVIS.1997.636759" TargetMode="External"/><Relationship Id="rId378" Type="http://schemas.openxmlformats.org/officeDocument/2006/relationships/hyperlink" Target="http://dx.doi.org/10.1109/INFVIS.1997.636787" TargetMode="External"/><Relationship Id="rId377" Type="http://schemas.openxmlformats.org/officeDocument/2006/relationships/hyperlink" Target="http://dx.doi.org/10.1109/INFVIS.1997.636786" TargetMode="External"/><Relationship Id="rId376" Type="http://schemas.openxmlformats.org/officeDocument/2006/relationships/hyperlink" Target="http://dx.doi.org/10.1109/INFVIS.1997.636785" TargetMode="External"/><Relationship Id="rId375" Type="http://schemas.openxmlformats.org/officeDocument/2006/relationships/hyperlink" Target="http://dx.doi.org/10.1109/INFVIS.1997.636784" TargetMode="External"/><Relationship Id="rId396" Type="http://schemas.openxmlformats.org/officeDocument/2006/relationships/hyperlink" Target="http://dx.doi.org/10.1109/VISUAL.1997.663863" TargetMode="External"/><Relationship Id="rId395" Type="http://schemas.openxmlformats.org/officeDocument/2006/relationships/hyperlink" Target="http://dx.doi.org/10.1109/VISUAL.1997.663862" TargetMode="External"/><Relationship Id="rId394" Type="http://schemas.openxmlformats.org/officeDocument/2006/relationships/hyperlink" Target="http://dx.doi.org/10.1109/VISUAL.1997.663860" TargetMode="External"/><Relationship Id="rId393" Type="http://schemas.openxmlformats.org/officeDocument/2006/relationships/hyperlink" Target="http://dx.doi.org/10.1109/VISUAL.1997.663859" TargetMode="External"/><Relationship Id="rId399" Type="http://schemas.openxmlformats.org/officeDocument/2006/relationships/hyperlink" Target="http://dx.doi.org/10.1109/VISUAL.1997.663867" TargetMode="External"/><Relationship Id="rId398" Type="http://schemas.openxmlformats.org/officeDocument/2006/relationships/hyperlink" Target="http://dx.doi.org/10.1109/VISUAL.1997.663866" TargetMode="External"/><Relationship Id="rId397" Type="http://schemas.openxmlformats.org/officeDocument/2006/relationships/hyperlink" Target="http://dx.doi.org/10.1109/VISUAL.1997.663865" TargetMode="External"/><Relationship Id="rId40" Type="http://schemas.openxmlformats.org/officeDocument/2006/relationships/hyperlink" Target="http://dx.doi.org/10.1109/VISUAL.1990.146396" TargetMode="External"/><Relationship Id="rId42" Type="http://schemas.openxmlformats.org/officeDocument/2006/relationships/hyperlink" Target="http://dx.doi.org/10.1109/VISUAL.1990.146398" TargetMode="External"/><Relationship Id="rId41" Type="http://schemas.openxmlformats.org/officeDocument/2006/relationships/hyperlink" Target="http://dx.doi.org/10.1109/VISUAL.1990.146397" TargetMode="External"/><Relationship Id="rId44" Type="http://schemas.openxmlformats.org/officeDocument/2006/relationships/hyperlink" Target="http://dx.doi.org/10.1109/VISUAL.1990.146400" TargetMode="External"/><Relationship Id="rId43" Type="http://schemas.openxmlformats.org/officeDocument/2006/relationships/hyperlink" Target="http://dx.doi.org/10.1109/VISUAL.1990.146399" TargetMode="External"/><Relationship Id="rId46" Type="http://schemas.openxmlformats.org/officeDocument/2006/relationships/hyperlink" Target="http://dx.doi.org/10.1109/VISUAL.1990.146402" TargetMode="External"/><Relationship Id="rId45" Type="http://schemas.openxmlformats.org/officeDocument/2006/relationships/hyperlink" Target="http://dx.doi.org/10.1109/VISUAL.1990.146401" TargetMode="External"/><Relationship Id="rId48" Type="http://schemas.openxmlformats.org/officeDocument/2006/relationships/hyperlink" Target="http://dx.doi.org/10.1109/VISUAL.1990.146412" TargetMode="External"/><Relationship Id="rId47" Type="http://schemas.openxmlformats.org/officeDocument/2006/relationships/hyperlink" Target="http://dx.doi.org/10.1109/VISUAL.1990.146403" TargetMode="External"/><Relationship Id="rId49" Type="http://schemas.openxmlformats.org/officeDocument/2006/relationships/hyperlink" Target="http://dx.doi.org/10.1109/VISUAL.1990.146413" TargetMode="External"/><Relationship Id="rId31" Type="http://schemas.openxmlformats.org/officeDocument/2006/relationships/hyperlink" Target="http://dx.doi.org/10.1109/VISUAL.1990.146387" TargetMode="External"/><Relationship Id="rId30" Type="http://schemas.openxmlformats.org/officeDocument/2006/relationships/hyperlink" Target="http://dx.doi.org/10.1109/VISUAL.1990.146386" TargetMode="External"/><Relationship Id="rId33" Type="http://schemas.openxmlformats.org/officeDocument/2006/relationships/hyperlink" Target="http://dx.doi.org/10.1109/VISUAL.1990.146389" TargetMode="External"/><Relationship Id="rId32" Type="http://schemas.openxmlformats.org/officeDocument/2006/relationships/hyperlink" Target="http://dx.doi.org/10.1109/VISUAL.1990.146388" TargetMode="External"/><Relationship Id="rId35" Type="http://schemas.openxmlformats.org/officeDocument/2006/relationships/hyperlink" Target="http://dx.doi.org/10.1109/VISUAL.1990.146391" TargetMode="External"/><Relationship Id="rId34" Type="http://schemas.openxmlformats.org/officeDocument/2006/relationships/hyperlink" Target="http://dx.doi.org/10.1109/VISUAL.1990.146390" TargetMode="External"/><Relationship Id="rId37" Type="http://schemas.openxmlformats.org/officeDocument/2006/relationships/hyperlink" Target="http://dx.doi.org/10.1109/VISUAL.1990.146393" TargetMode="External"/><Relationship Id="rId36" Type="http://schemas.openxmlformats.org/officeDocument/2006/relationships/hyperlink" Target="http://dx.doi.org/10.1109/VISUAL.1990.146392" TargetMode="External"/><Relationship Id="rId39" Type="http://schemas.openxmlformats.org/officeDocument/2006/relationships/hyperlink" Target="http://dx.doi.org/10.1109/VISUAL.1990.146395" TargetMode="External"/><Relationship Id="rId38" Type="http://schemas.openxmlformats.org/officeDocument/2006/relationships/hyperlink" Target="http://dx.doi.org/10.1109/VISUAL.1990.146394" TargetMode="External"/><Relationship Id="rId20" Type="http://schemas.openxmlformats.org/officeDocument/2006/relationships/hyperlink" Target="http://dx.doi.org/10.1109/VISUAL.1990.146376" TargetMode="External"/><Relationship Id="rId22" Type="http://schemas.openxmlformats.org/officeDocument/2006/relationships/hyperlink" Target="http://dx.doi.org/10.1109/VISUAL.1990.146378" TargetMode="External"/><Relationship Id="rId21" Type="http://schemas.openxmlformats.org/officeDocument/2006/relationships/hyperlink" Target="http://dx.doi.org/10.1109/VISUAL.1990.146377" TargetMode="External"/><Relationship Id="rId24" Type="http://schemas.openxmlformats.org/officeDocument/2006/relationships/hyperlink" Target="http://dx.doi.org/10.1109/VISUAL.1990.146380" TargetMode="External"/><Relationship Id="rId23" Type="http://schemas.openxmlformats.org/officeDocument/2006/relationships/hyperlink" Target="http://dx.doi.org/10.1109/VISUAL.1990.146379" TargetMode="External"/><Relationship Id="rId26" Type="http://schemas.openxmlformats.org/officeDocument/2006/relationships/hyperlink" Target="http://dx.doi.org/10.1109/VISUAL.1990.146382" TargetMode="External"/><Relationship Id="rId25" Type="http://schemas.openxmlformats.org/officeDocument/2006/relationships/hyperlink" Target="http://dx.doi.org/10.1109/VISUAL.1990.146381" TargetMode="External"/><Relationship Id="rId28" Type="http://schemas.openxmlformats.org/officeDocument/2006/relationships/hyperlink" Target="http://dx.doi.org/10.1109/VISUAL.1990.146384" TargetMode="External"/><Relationship Id="rId27" Type="http://schemas.openxmlformats.org/officeDocument/2006/relationships/hyperlink" Target="http://dx.doi.org/10.1109/VISUAL.1990.146383" TargetMode="External"/><Relationship Id="rId29" Type="http://schemas.openxmlformats.org/officeDocument/2006/relationships/hyperlink" Target="http://dx.doi.org/10.1109/VISUAL.1990.146385" TargetMode="External"/><Relationship Id="rId11" Type="http://schemas.openxmlformats.org/officeDocument/2006/relationships/hyperlink" Target="http://dx.doi.org/10.1109/VISUAL.1990.146367" TargetMode="External"/><Relationship Id="rId10" Type="http://schemas.openxmlformats.org/officeDocument/2006/relationships/hyperlink" Target="http://dx.doi.org/10.1109/VISUAL.1990.146366" TargetMode="External"/><Relationship Id="rId13" Type="http://schemas.openxmlformats.org/officeDocument/2006/relationships/hyperlink" Target="http://dx.doi.org/10.1109/VISUAL.1990.146369" TargetMode="External"/><Relationship Id="rId12" Type="http://schemas.openxmlformats.org/officeDocument/2006/relationships/hyperlink" Target="http://dx.doi.org/10.1109/VISUAL.1990.146368" TargetMode="External"/><Relationship Id="rId15" Type="http://schemas.openxmlformats.org/officeDocument/2006/relationships/hyperlink" Target="http://dx.doi.org/10.1109/VISUAL.1990.146371" TargetMode="External"/><Relationship Id="rId14" Type="http://schemas.openxmlformats.org/officeDocument/2006/relationships/hyperlink" Target="http://dx.doi.org/10.1109/VISUAL.1990.146370" TargetMode="External"/><Relationship Id="rId17" Type="http://schemas.openxmlformats.org/officeDocument/2006/relationships/hyperlink" Target="http://dx.doi.org/10.1109/VISUAL.1990.146373" TargetMode="External"/><Relationship Id="rId16" Type="http://schemas.openxmlformats.org/officeDocument/2006/relationships/hyperlink" Target="http://dx.doi.org/10.1109/VISUAL.1990.146372" TargetMode="External"/><Relationship Id="rId19" Type="http://schemas.openxmlformats.org/officeDocument/2006/relationships/hyperlink" Target="http://dx.doi.org/10.1109/VISUAL.1990.146375" TargetMode="External"/><Relationship Id="rId18" Type="http://schemas.openxmlformats.org/officeDocument/2006/relationships/hyperlink" Target="http://dx.doi.org/10.1109/VISUAL.1990.146374" TargetMode="External"/><Relationship Id="rId84" Type="http://schemas.openxmlformats.org/officeDocument/2006/relationships/hyperlink" Target="http://dx.doi.org/10.1109/VISUAL.1991.175805" TargetMode="External"/><Relationship Id="rId83" Type="http://schemas.openxmlformats.org/officeDocument/2006/relationships/hyperlink" Target="http://dx.doi.org/10.1109/VISUAL.1991.175804" TargetMode="External"/><Relationship Id="rId86" Type="http://schemas.openxmlformats.org/officeDocument/2006/relationships/hyperlink" Target="http://dx.doi.org/10.1109/VISUAL.1991.175807" TargetMode="External"/><Relationship Id="rId85" Type="http://schemas.openxmlformats.org/officeDocument/2006/relationships/hyperlink" Target="http://dx.doi.org/10.1109/VISUAL.1991.175806" TargetMode="External"/><Relationship Id="rId88" Type="http://schemas.openxmlformats.org/officeDocument/2006/relationships/hyperlink" Target="http://dx.doi.org/10.1109/VISUAL.1991.175810" TargetMode="External"/><Relationship Id="rId87" Type="http://schemas.openxmlformats.org/officeDocument/2006/relationships/hyperlink" Target="http://dx.doi.org/10.1109/VISUAL.1991.175809" TargetMode="External"/><Relationship Id="rId89" Type="http://schemas.openxmlformats.org/officeDocument/2006/relationships/hyperlink" Target="http://dx.doi.org/10.1109/VISUAL.1991.175811" TargetMode="External"/><Relationship Id="rId80" Type="http://schemas.openxmlformats.org/officeDocument/2006/relationships/hyperlink" Target="http://dx.doi.org/10.1109/VISUAL.1991.175800" TargetMode="External"/><Relationship Id="rId82" Type="http://schemas.openxmlformats.org/officeDocument/2006/relationships/hyperlink" Target="http://dx.doi.org/10.1109/VISUAL.1991.175802" TargetMode="External"/><Relationship Id="rId81" Type="http://schemas.openxmlformats.org/officeDocument/2006/relationships/hyperlink" Target="http://dx.doi.org/10.1109/VISUAL.1991.175801" TargetMode="External"/><Relationship Id="rId73" Type="http://schemas.openxmlformats.org/officeDocument/2006/relationships/hyperlink" Target="http://dx.doi.org/10.1109/VISUAL.1991.175791" TargetMode="External"/><Relationship Id="rId72" Type="http://schemas.openxmlformats.org/officeDocument/2006/relationships/hyperlink" Target="http://dx.doi.org/10.1109/VISUAL.1991.175790" TargetMode="External"/><Relationship Id="rId75" Type="http://schemas.openxmlformats.org/officeDocument/2006/relationships/hyperlink" Target="http://dx.doi.org/10.1109/VISUAL.1991.175794" TargetMode="External"/><Relationship Id="rId74" Type="http://schemas.openxmlformats.org/officeDocument/2006/relationships/hyperlink" Target="http://dx.doi.org/10.1109/VISUAL.1991.175792" TargetMode="External"/><Relationship Id="rId77" Type="http://schemas.openxmlformats.org/officeDocument/2006/relationships/hyperlink" Target="http://dx.doi.org/10.1109/VISUAL.1991.175796" TargetMode="External"/><Relationship Id="rId76" Type="http://schemas.openxmlformats.org/officeDocument/2006/relationships/hyperlink" Target="http://dx.doi.org/10.1109/VISUAL.1991.175795" TargetMode="External"/><Relationship Id="rId79" Type="http://schemas.openxmlformats.org/officeDocument/2006/relationships/hyperlink" Target="http://dx.doi.org/10.1109/VISUAL.1991.175799" TargetMode="External"/><Relationship Id="rId78" Type="http://schemas.openxmlformats.org/officeDocument/2006/relationships/hyperlink" Target="http://dx.doi.org/10.1109/VISUAL.1991.175797" TargetMode="External"/><Relationship Id="rId71" Type="http://schemas.openxmlformats.org/officeDocument/2006/relationships/hyperlink" Target="http://dx.doi.org/10.1109/VISUAL.1991.175789" TargetMode="External"/><Relationship Id="rId70" Type="http://schemas.openxmlformats.org/officeDocument/2006/relationships/hyperlink" Target="http://dx.doi.org/10.1109/VISUAL.1991.175787" TargetMode="External"/><Relationship Id="rId62" Type="http://schemas.openxmlformats.org/officeDocument/2006/relationships/hyperlink" Target="http://dx.doi.org/10.1109/VISUAL.1991.175777" TargetMode="External"/><Relationship Id="rId61" Type="http://schemas.openxmlformats.org/officeDocument/2006/relationships/hyperlink" Target="http://dx.doi.org/10.1109/VISUAL.1991.175776" TargetMode="External"/><Relationship Id="rId64" Type="http://schemas.openxmlformats.org/officeDocument/2006/relationships/hyperlink" Target="http://dx.doi.org/10.1109/VISUAL.1991.175780" TargetMode="External"/><Relationship Id="rId63" Type="http://schemas.openxmlformats.org/officeDocument/2006/relationships/hyperlink" Target="http://dx.doi.org/10.1109/VISUAL.1991.175778" TargetMode="External"/><Relationship Id="rId66" Type="http://schemas.openxmlformats.org/officeDocument/2006/relationships/hyperlink" Target="http://dx.doi.org/10.1109/VISUAL.1991.175782" TargetMode="External"/><Relationship Id="rId65" Type="http://schemas.openxmlformats.org/officeDocument/2006/relationships/hyperlink" Target="http://dx.doi.org/10.1109/VISUAL.1991.175781" TargetMode="External"/><Relationship Id="rId68" Type="http://schemas.openxmlformats.org/officeDocument/2006/relationships/hyperlink" Target="http://dx.doi.org/10.1109/VISUAL.1991.175785" TargetMode="External"/><Relationship Id="rId67" Type="http://schemas.openxmlformats.org/officeDocument/2006/relationships/hyperlink" Target="http://dx.doi.org/10.1109/VISUAL.1991.175784" TargetMode="External"/><Relationship Id="rId60" Type="http://schemas.openxmlformats.org/officeDocument/2006/relationships/hyperlink" Target="http://dx.doi.org/10.1109/VISUAL.1991.175773" TargetMode="External"/><Relationship Id="rId69" Type="http://schemas.openxmlformats.org/officeDocument/2006/relationships/hyperlink" Target="http://dx.doi.org/10.1109/VISUAL.1991.175786" TargetMode="External"/><Relationship Id="rId51" Type="http://schemas.openxmlformats.org/officeDocument/2006/relationships/hyperlink" Target="http://dx.doi.org/10.1109/VISUAL.1990.146415" TargetMode="External"/><Relationship Id="rId50" Type="http://schemas.openxmlformats.org/officeDocument/2006/relationships/hyperlink" Target="http://dx.doi.org/10.1109/VISUAL.1990.146414" TargetMode="External"/><Relationship Id="rId53" Type="http://schemas.openxmlformats.org/officeDocument/2006/relationships/hyperlink" Target="http://dx.doi.org/10.1109/VISUAL.1990.146417" TargetMode="External"/><Relationship Id="rId52" Type="http://schemas.openxmlformats.org/officeDocument/2006/relationships/hyperlink" Target="http://dx.doi.org/10.1109/VISUAL.1990.146416" TargetMode="External"/><Relationship Id="rId55" Type="http://schemas.openxmlformats.org/officeDocument/2006/relationships/hyperlink" Target="http://dx.doi.org/10.1109/VISUAL.1990.146419" TargetMode="External"/><Relationship Id="rId54" Type="http://schemas.openxmlformats.org/officeDocument/2006/relationships/hyperlink" Target="http://dx.doi.org/10.1109/VISUAL.1990.146418" TargetMode="External"/><Relationship Id="rId57" Type="http://schemas.openxmlformats.org/officeDocument/2006/relationships/hyperlink" Target="http://dx.doi.org/10.1109/VISUAL.1991.175770" TargetMode="External"/><Relationship Id="rId56" Type="http://schemas.openxmlformats.org/officeDocument/2006/relationships/hyperlink" Target="http://dx.doi.org/10.1109/VISUAL.1991.175767" TargetMode="External"/><Relationship Id="rId59" Type="http://schemas.openxmlformats.org/officeDocument/2006/relationships/hyperlink" Target="http://dx.doi.org/10.1109/VISUAL.1991.175772" TargetMode="External"/><Relationship Id="rId58" Type="http://schemas.openxmlformats.org/officeDocument/2006/relationships/hyperlink" Target="http://dx.doi.org/10.1109/VISUAL.1991.175771" TargetMode="External"/><Relationship Id="rId349" Type="http://schemas.openxmlformats.org/officeDocument/2006/relationships/hyperlink" Target="http://dx.doi.org/10.1109/VISUAL.1996.568134" TargetMode="External"/><Relationship Id="rId348" Type="http://schemas.openxmlformats.org/officeDocument/2006/relationships/hyperlink" Target="http://doi.ieeecomputersociety.org/10.1109/VISUAL.1996.568133" TargetMode="External"/><Relationship Id="rId347" Type="http://schemas.openxmlformats.org/officeDocument/2006/relationships/hyperlink" Target="http://dx.doi.org/10.1109/VISUAL.1996.568132" TargetMode="External"/><Relationship Id="rId346" Type="http://schemas.openxmlformats.org/officeDocument/2006/relationships/hyperlink" Target="http://dx.doi.org/10.1109/VISUAL.1996.568130" TargetMode="External"/><Relationship Id="rId341" Type="http://schemas.openxmlformats.org/officeDocument/2006/relationships/hyperlink" Target="http://dx.doi.org/10.1109/VISUAL.1996.568125" TargetMode="External"/><Relationship Id="rId340" Type="http://schemas.openxmlformats.org/officeDocument/2006/relationships/hyperlink" Target="http://dx.doi.org/10.1109/VISUAL.1996.568124" TargetMode="External"/><Relationship Id="rId345" Type="http://schemas.openxmlformats.org/officeDocument/2006/relationships/hyperlink" Target="http://dx.doi.org/10.1109/VISUAL.1996.568129" TargetMode="External"/><Relationship Id="rId344" Type="http://schemas.openxmlformats.org/officeDocument/2006/relationships/hyperlink" Target="http://dx.doi.org/10.1109/VISUAL.1996.568128" TargetMode="External"/><Relationship Id="rId343" Type="http://schemas.openxmlformats.org/officeDocument/2006/relationships/hyperlink" Target="http://dx.doi.org/10.1109/VISUAL.1996.568127" TargetMode="External"/><Relationship Id="rId342" Type="http://schemas.openxmlformats.org/officeDocument/2006/relationships/hyperlink" Target="http://dx.doi.org/10.1109/VISUAL.1996.568126" TargetMode="External"/><Relationship Id="rId338" Type="http://schemas.openxmlformats.org/officeDocument/2006/relationships/hyperlink" Target="http://dx.doi.org/10.1109/VISUAL.1996.568121" TargetMode="External"/><Relationship Id="rId337" Type="http://schemas.openxmlformats.org/officeDocument/2006/relationships/hyperlink" Target="http://doi.ieeecomputersociety.org/10.1109/VISUAL.1996.568120" TargetMode="External"/><Relationship Id="rId336" Type="http://schemas.openxmlformats.org/officeDocument/2006/relationships/hyperlink" Target="http://dx.doi.org/10.1109/VISUAL.1996.568119" TargetMode="External"/><Relationship Id="rId335" Type="http://schemas.openxmlformats.org/officeDocument/2006/relationships/hyperlink" Target="http://dx.doi.org/10.1109/VISUAL.1996.568118" TargetMode="External"/><Relationship Id="rId339" Type="http://schemas.openxmlformats.org/officeDocument/2006/relationships/hyperlink" Target="http://doi.ieeecomputersociety.org/10.1109/VISUAL.1996.568122" TargetMode="External"/><Relationship Id="rId330" Type="http://schemas.openxmlformats.org/officeDocument/2006/relationships/hyperlink" Target="http://dx.doi.org/10.1109/VISUAL.1996.568110" TargetMode="External"/><Relationship Id="rId334" Type="http://schemas.openxmlformats.org/officeDocument/2006/relationships/hyperlink" Target="http://dx.doi.org/10.1109/VISUAL.1996.568117" TargetMode="External"/><Relationship Id="rId333" Type="http://schemas.openxmlformats.org/officeDocument/2006/relationships/hyperlink" Target="http://dx.doi.org/10.1109/VISUAL.1996.568116" TargetMode="External"/><Relationship Id="rId332" Type="http://schemas.openxmlformats.org/officeDocument/2006/relationships/hyperlink" Target="http://dx.doi.org/10.1109/VISUAL.1996.568114" TargetMode="External"/><Relationship Id="rId331" Type="http://schemas.openxmlformats.org/officeDocument/2006/relationships/hyperlink" Target="http://dx.doi.org/10.1109/VISUAL.1996.568111" TargetMode="External"/><Relationship Id="rId370" Type="http://schemas.openxmlformats.org/officeDocument/2006/relationships/hyperlink" Target="http://dx.doi.org/10.1109/INFVIS.1997.636718" TargetMode="External"/><Relationship Id="rId369" Type="http://schemas.openxmlformats.org/officeDocument/2006/relationships/hyperlink" Target="http://dx.doi.org/10.1109/VISUAL.1996.569203" TargetMode="External"/><Relationship Id="rId368" Type="http://schemas.openxmlformats.org/officeDocument/2006/relationships/hyperlink" Target="http://dx.doi.org/10.1109/VISUAL.1996.568165" TargetMode="External"/><Relationship Id="rId363" Type="http://schemas.openxmlformats.org/officeDocument/2006/relationships/hyperlink" Target="http://dx.doi.org/10.1109/VISUAL.1996.568149" TargetMode="External"/><Relationship Id="rId362" Type="http://schemas.openxmlformats.org/officeDocument/2006/relationships/hyperlink" Target="http://dx.doi.org/10.1109/VISUAL.1996.568148" TargetMode="External"/><Relationship Id="rId361" Type="http://schemas.openxmlformats.org/officeDocument/2006/relationships/hyperlink" Target="http://dx.doi.org/10.1109/VISUAL.1996.568147" TargetMode="External"/><Relationship Id="rId360" Type="http://schemas.openxmlformats.org/officeDocument/2006/relationships/hyperlink" Target="http://dx.doi.org/10.1109/VISUAL.1996.568146" TargetMode="External"/><Relationship Id="rId367" Type="http://schemas.openxmlformats.org/officeDocument/2006/relationships/hyperlink" Target="http://dx.doi.org/10.1109/VISUAL.1996.568163" TargetMode="External"/><Relationship Id="rId366" Type="http://schemas.openxmlformats.org/officeDocument/2006/relationships/hyperlink" Target="http://dx.doi.org/10.1109/VISUAL.1996.568160" TargetMode="External"/><Relationship Id="rId365" Type="http://schemas.openxmlformats.org/officeDocument/2006/relationships/hyperlink" Target="http://dx.doi.org/10.1109/VISUAL.1996.568151" TargetMode="External"/><Relationship Id="rId364" Type="http://schemas.openxmlformats.org/officeDocument/2006/relationships/hyperlink" Target="http://dl.acm.org/citation.cfm?id=245758&amp;dl=ACM&amp;coll=portal" TargetMode="External"/><Relationship Id="rId95" Type="http://schemas.openxmlformats.org/officeDocument/2006/relationships/hyperlink" Target="http://dx.doi.org/10.1109/VISUAL.1991.175819" TargetMode="External"/><Relationship Id="rId94" Type="http://schemas.openxmlformats.org/officeDocument/2006/relationships/hyperlink" Target="http://dx.doi.org/10.1109/VISUAL.1991.175818" TargetMode="External"/><Relationship Id="rId97" Type="http://schemas.openxmlformats.org/officeDocument/2006/relationships/hyperlink" Target="http://dx.doi.org/10.1109/VISUAL.1991.175821" TargetMode="External"/><Relationship Id="rId96" Type="http://schemas.openxmlformats.org/officeDocument/2006/relationships/hyperlink" Target="http://dx.doi.org/10.1109/VISUAL.1991.175820" TargetMode="External"/><Relationship Id="rId99" Type="http://schemas.openxmlformats.org/officeDocument/2006/relationships/hyperlink" Target="http://dx.doi.org/10.1109/VISUAL.1991.175824" TargetMode="External"/><Relationship Id="rId98" Type="http://schemas.openxmlformats.org/officeDocument/2006/relationships/hyperlink" Target="http://dx.doi.org/10.1109/VISUAL.1991.175823" TargetMode="External"/><Relationship Id="rId91" Type="http://schemas.openxmlformats.org/officeDocument/2006/relationships/hyperlink" Target="http://dx.doi.org/10.1109/VISUAL.1991.175814" TargetMode="External"/><Relationship Id="rId90" Type="http://schemas.openxmlformats.org/officeDocument/2006/relationships/hyperlink" Target="http://dx.doi.org/10.1109/VISUAL.1991.175812" TargetMode="External"/><Relationship Id="rId93" Type="http://schemas.openxmlformats.org/officeDocument/2006/relationships/hyperlink" Target="http://dx.doi.org/10.1109/VISUAL.1991.175816" TargetMode="External"/><Relationship Id="rId92" Type="http://schemas.openxmlformats.org/officeDocument/2006/relationships/hyperlink" Target="http://dx.doi.org/10.1109/VISUAL.1991.175815" TargetMode="External"/><Relationship Id="rId359" Type="http://schemas.openxmlformats.org/officeDocument/2006/relationships/hyperlink" Target="http://dx.doi.org/10.1109/VISUAL.1996.568145" TargetMode="External"/><Relationship Id="rId358" Type="http://schemas.openxmlformats.org/officeDocument/2006/relationships/hyperlink" Target="http://dx.doi.org/10.1109/VISUAL.1996.568144" TargetMode="External"/><Relationship Id="rId357" Type="http://schemas.openxmlformats.org/officeDocument/2006/relationships/hyperlink" Target="http://dx.doi.org/10.1109/VISUAL.1996.568142" TargetMode="External"/><Relationship Id="rId352" Type="http://schemas.openxmlformats.org/officeDocument/2006/relationships/hyperlink" Target="http://dx.doi.org/10.1109/VISUAL.1996.568137" TargetMode="External"/><Relationship Id="rId351" Type="http://schemas.openxmlformats.org/officeDocument/2006/relationships/hyperlink" Target="http://dx.doi.org/10.1109/VISUAL.1996.568136" TargetMode="External"/><Relationship Id="rId350" Type="http://schemas.openxmlformats.org/officeDocument/2006/relationships/hyperlink" Target="http://dx.doi.org/10.1109/VISUAL.1996.568135" TargetMode="External"/><Relationship Id="rId356" Type="http://schemas.openxmlformats.org/officeDocument/2006/relationships/hyperlink" Target="http://dx.doi.org/10.1109/VISUAL.1996.568141" TargetMode="External"/><Relationship Id="rId355" Type="http://schemas.openxmlformats.org/officeDocument/2006/relationships/hyperlink" Target="http://dx.doi.org/10.1109/VISUAL.1996.568140" TargetMode="External"/><Relationship Id="rId354" Type="http://schemas.openxmlformats.org/officeDocument/2006/relationships/hyperlink" Target="http://dx.doi.org/10.1109/VISUAL.1996.568139" TargetMode="External"/><Relationship Id="rId353" Type="http://schemas.openxmlformats.org/officeDocument/2006/relationships/hyperlink" Target="http://dx.doi.org/10.1109/VISUAL.1996.568138" TargetMode="External"/><Relationship Id="rId305" Type="http://schemas.openxmlformats.org/officeDocument/2006/relationships/hyperlink" Target="http://dx.doi.org/10.1109/VISUAL.1996.567595" TargetMode="External"/><Relationship Id="rId304" Type="http://schemas.openxmlformats.org/officeDocument/2006/relationships/hyperlink" Target="http://dx.doi.org/10.1109/INFVIS.1996.559229" TargetMode="External"/><Relationship Id="rId303" Type="http://schemas.openxmlformats.org/officeDocument/2006/relationships/hyperlink" Target="http://dx.doi.org/10.1109/INFVIS.1996.559228" TargetMode="External"/><Relationship Id="rId302" Type="http://schemas.openxmlformats.org/officeDocument/2006/relationships/hyperlink" Target="http://dx.doi.org/10.1109/INFVIS.1996.559227" TargetMode="External"/><Relationship Id="rId309" Type="http://schemas.openxmlformats.org/officeDocument/2006/relationships/hyperlink" Target="http://dx.doi.org/10.1109/VISUAL.1996.567603" TargetMode="External"/><Relationship Id="rId308" Type="http://schemas.openxmlformats.org/officeDocument/2006/relationships/hyperlink" Target="http://dx.doi.org/10.1109/VISUAL.1996.567602" TargetMode="External"/><Relationship Id="rId307" Type="http://schemas.openxmlformats.org/officeDocument/2006/relationships/hyperlink" Target="http://dx.doi.org/10.1109/VISUAL.1996.567600" TargetMode="External"/><Relationship Id="rId306" Type="http://schemas.openxmlformats.org/officeDocument/2006/relationships/hyperlink" Target="http://dx.doi.org/10.1109/VISUAL.1996.567598" TargetMode="External"/><Relationship Id="rId301" Type="http://schemas.openxmlformats.org/officeDocument/2006/relationships/hyperlink" Target="http://dx.doi.org/10.1109/INFVIS.1996.559226" TargetMode="External"/><Relationship Id="rId300" Type="http://schemas.openxmlformats.org/officeDocument/2006/relationships/hyperlink" Target="http://dx.doi.org/10.1109/INFVIS.1996.559225" TargetMode="External"/><Relationship Id="rId327" Type="http://schemas.openxmlformats.org/officeDocument/2006/relationships/hyperlink" Target="http://dx.doi.org/10.1109/VISUAL.1996.568105" TargetMode="External"/><Relationship Id="rId326" Type="http://schemas.openxmlformats.org/officeDocument/2006/relationships/hyperlink" Target="http://dx.doi.org/10.1109/VISUAL.1996.568104" TargetMode="External"/><Relationship Id="rId325" Type="http://schemas.openxmlformats.org/officeDocument/2006/relationships/hyperlink" Target="http://dx.doi.org/10.1109/VISUAL.1996.568103" TargetMode="External"/><Relationship Id="rId324" Type="http://schemas.openxmlformats.org/officeDocument/2006/relationships/hyperlink" Target="http://dx.doi.org/10.1109/VISUAL.1996.567812" TargetMode="External"/><Relationship Id="rId329" Type="http://schemas.openxmlformats.org/officeDocument/2006/relationships/hyperlink" Target="http://dx.doi.org/10.1109/VISUAL.1996.568109" TargetMode="External"/><Relationship Id="rId328" Type="http://schemas.openxmlformats.org/officeDocument/2006/relationships/hyperlink" Target="http://dx.doi.org/10.1109/VISUAL.1996.568108" TargetMode="External"/><Relationship Id="rId323" Type="http://schemas.openxmlformats.org/officeDocument/2006/relationships/hyperlink" Target="http://dx.doi.org/10.1109/VISUAL.1996.567807" TargetMode="External"/><Relationship Id="rId322" Type="http://schemas.openxmlformats.org/officeDocument/2006/relationships/hyperlink" Target="http://dx.doi.org/10.1109/VISUAL.1996.567804" TargetMode="External"/><Relationship Id="rId321" Type="http://schemas.openxmlformats.org/officeDocument/2006/relationships/hyperlink" Target="http://dx.doi.org/10.1109/VISUAL.1996.567800" TargetMode="External"/><Relationship Id="rId320" Type="http://schemas.openxmlformats.org/officeDocument/2006/relationships/hyperlink" Target="http://dx.doi.org/10.1109/VISUAL.1996.567796" TargetMode="External"/><Relationship Id="rId316" Type="http://schemas.openxmlformats.org/officeDocument/2006/relationships/hyperlink" Target="http://dx.doi.org/10.1109/VISUAL.1996.567777" TargetMode="External"/><Relationship Id="rId315" Type="http://schemas.openxmlformats.org/officeDocument/2006/relationships/hyperlink" Target="http://doi.ieeecomputersociety.org/10.1109/VISUAL.1996.567774" TargetMode="External"/><Relationship Id="rId314" Type="http://schemas.openxmlformats.org/officeDocument/2006/relationships/hyperlink" Target="http://doi.ieeecomputersociety.org/10.1109/VISUAL.1996.567752" TargetMode="External"/><Relationship Id="rId313" Type="http://schemas.openxmlformats.org/officeDocument/2006/relationships/hyperlink" Target="http://dx.doi.org/10.1109/VISUAL.1996.567745" TargetMode="External"/><Relationship Id="rId319" Type="http://schemas.openxmlformats.org/officeDocument/2006/relationships/hyperlink" Target="http://dx.doi.org/10.1109/VISUAL.1996.567787" TargetMode="External"/><Relationship Id="rId318" Type="http://schemas.openxmlformats.org/officeDocument/2006/relationships/hyperlink" Target="http://dx.doi.org/10.1109/VISUAL.1996.567784" TargetMode="External"/><Relationship Id="rId317" Type="http://schemas.openxmlformats.org/officeDocument/2006/relationships/hyperlink" Target="http://dx.doi.org/10.1109/VISUAL.1996.567780" TargetMode="External"/><Relationship Id="rId312" Type="http://schemas.openxmlformats.org/officeDocument/2006/relationships/hyperlink" Target="http://dx.doi.org/10.1109/VISUAL.1996.567610" TargetMode="External"/><Relationship Id="rId311" Type="http://schemas.openxmlformats.org/officeDocument/2006/relationships/hyperlink" Target="http://dx.doi.org/10.1109/VISUAL.1996.567609" TargetMode="External"/><Relationship Id="rId310" Type="http://schemas.openxmlformats.org/officeDocument/2006/relationships/hyperlink" Target="http://dx.doi.org/10.1109/VISUAL.1996.567606" TargetMode="External"/><Relationship Id="rId297" Type="http://schemas.openxmlformats.org/officeDocument/2006/relationships/hyperlink" Target="http://dx.doi.org/10.1109/INFVIS.1996.559222" TargetMode="External"/><Relationship Id="rId296" Type="http://schemas.openxmlformats.org/officeDocument/2006/relationships/hyperlink" Target="http://dx.doi.org/10.1109/INFVIS.1996.559221" TargetMode="External"/><Relationship Id="rId295" Type="http://schemas.openxmlformats.org/officeDocument/2006/relationships/hyperlink" Target="http://dx.doi.org/10.1109/INFVIS.1996.559220" TargetMode="External"/><Relationship Id="rId294" Type="http://schemas.openxmlformats.org/officeDocument/2006/relationships/hyperlink" Target="http://dx.doi.org/10.1109/INFVIS.1996.559219" TargetMode="External"/><Relationship Id="rId299" Type="http://schemas.openxmlformats.org/officeDocument/2006/relationships/hyperlink" Target="http://dx.doi.org/10.1109/INFVIS.1996.559224" TargetMode="External"/><Relationship Id="rId298" Type="http://schemas.openxmlformats.org/officeDocument/2006/relationships/hyperlink" Target="http://dx.doi.org/10.1109/INFVIS.1996.559223" TargetMode="External"/><Relationship Id="rId271" Type="http://schemas.openxmlformats.org/officeDocument/2006/relationships/hyperlink" Target="http://dx.doi.org/10.1109/VISUAL.1994.346328" TargetMode="External"/><Relationship Id="rId270" Type="http://schemas.openxmlformats.org/officeDocument/2006/relationships/hyperlink" Target="http://dx.doi.org/10.1109/VISUAL.1994.346327" TargetMode="External"/><Relationship Id="rId269" Type="http://schemas.openxmlformats.org/officeDocument/2006/relationships/hyperlink" Target="http://dx.doi.org/10.1109/VISUAL.1994.346326" TargetMode="External"/><Relationship Id="rId264" Type="http://schemas.openxmlformats.org/officeDocument/2006/relationships/hyperlink" Target="http://dx.doi.org/10.1109/VISUAL.1994.346321" TargetMode="External"/><Relationship Id="rId263" Type="http://schemas.openxmlformats.org/officeDocument/2006/relationships/hyperlink" Target="http://dx.doi.org/10.1109/VISUAL.1994.346320" TargetMode="External"/><Relationship Id="rId262" Type="http://schemas.openxmlformats.org/officeDocument/2006/relationships/hyperlink" Target="http://dx.doi.org/10.1109/VISUAL.1994.346319" TargetMode="External"/><Relationship Id="rId261" Type="http://schemas.openxmlformats.org/officeDocument/2006/relationships/hyperlink" Target="http://dx.doi.org/10.1109/VISUAL.1994.346318" TargetMode="External"/><Relationship Id="rId268" Type="http://schemas.openxmlformats.org/officeDocument/2006/relationships/hyperlink" Target="http://dx.doi.org/10.1109/VISUAL.1994.346325" TargetMode="External"/><Relationship Id="rId267" Type="http://schemas.openxmlformats.org/officeDocument/2006/relationships/hyperlink" Target="http://dx.doi.org/10.1109/VISUAL.1994.346324" TargetMode="External"/><Relationship Id="rId266" Type="http://schemas.openxmlformats.org/officeDocument/2006/relationships/hyperlink" Target="http://dx.doi.org/10.1109/VISUAL.1994.346323" TargetMode="External"/><Relationship Id="rId265" Type="http://schemas.openxmlformats.org/officeDocument/2006/relationships/hyperlink" Target="http://dx.doi.org/10.1109/VISUAL.1994.346322" TargetMode="External"/><Relationship Id="rId260" Type="http://schemas.openxmlformats.org/officeDocument/2006/relationships/hyperlink" Target="http://dx.doi.org/10.1109/VISUAL.1994.346317" TargetMode="External"/><Relationship Id="rId259" Type="http://schemas.openxmlformats.org/officeDocument/2006/relationships/hyperlink" Target="http://dx.doi.org/10.1109/VISUAL.1994.346316" TargetMode="External"/><Relationship Id="rId258" Type="http://schemas.openxmlformats.org/officeDocument/2006/relationships/hyperlink" Target="http://dx.doi.org/10.1109/VISUAL.1994.346315" TargetMode="External"/><Relationship Id="rId253" Type="http://schemas.openxmlformats.org/officeDocument/2006/relationships/hyperlink" Target="http://dx.doi.org/10.1109/VISUAL.1994.346310" TargetMode="External"/><Relationship Id="rId252" Type="http://schemas.openxmlformats.org/officeDocument/2006/relationships/hyperlink" Target="http://dx.doi.org/10.1109/VISUAL.1994.346309" TargetMode="External"/><Relationship Id="rId251" Type="http://schemas.openxmlformats.org/officeDocument/2006/relationships/hyperlink" Target="http://dx.doi.org/10.1109/VISUAL.1994.346308" TargetMode="External"/><Relationship Id="rId250" Type="http://schemas.openxmlformats.org/officeDocument/2006/relationships/hyperlink" Target="http://dx.doi.org/10.1109/VISUAL.1994.346307" TargetMode="External"/><Relationship Id="rId257" Type="http://schemas.openxmlformats.org/officeDocument/2006/relationships/hyperlink" Target="http://dx.doi.org/10.1109/VISUAL.1994.346314" TargetMode="External"/><Relationship Id="rId256" Type="http://schemas.openxmlformats.org/officeDocument/2006/relationships/hyperlink" Target="http://dx.doi.org/10.1109/VISUAL.1994.346313" TargetMode="External"/><Relationship Id="rId255" Type="http://schemas.openxmlformats.org/officeDocument/2006/relationships/hyperlink" Target="http://dx.doi.org/10.1109/VISUAL.1994.346312" TargetMode="External"/><Relationship Id="rId254" Type="http://schemas.openxmlformats.org/officeDocument/2006/relationships/hyperlink" Target="http://dx.doi.org/10.1109/VISUAL.1994.346311" TargetMode="External"/><Relationship Id="rId293" Type="http://schemas.openxmlformats.org/officeDocument/2006/relationships/hyperlink" Target="http://dx.doi.org/10.1109/INFVIS.1996.559218" TargetMode="External"/><Relationship Id="rId292" Type="http://schemas.openxmlformats.org/officeDocument/2006/relationships/hyperlink" Target="http://dx.doi.org/10.1109/INFVIS.1996.559216" TargetMode="External"/><Relationship Id="rId291" Type="http://schemas.openxmlformats.org/officeDocument/2006/relationships/hyperlink" Target="http://dx.doi.org/10.1109/INFVIS.1996.559215" TargetMode="External"/><Relationship Id="rId290" Type="http://schemas.openxmlformats.org/officeDocument/2006/relationships/hyperlink" Target="http://dx.doi.org/10.1109/INFVIS.1996.559214" TargetMode="External"/><Relationship Id="rId286" Type="http://schemas.openxmlformats.org/officeDocument/2006/relationships/hyperlink" Target="http://dx.doi.org/10.1109/INFVIS.1996.559210" TargetMode="External"/><Relationship Id="rId285" Type="http://schemas.openxmlformats.org/officeDocument/2006/relationships/hyperlink" Target="http://dx.doi.org/10.1109/VISUAL.1994.346342" TargetMode="External"/><Relationship Id="rId284" Type="http://schemas.openxmlformats.org/officeDocument/2006/relationships/hyperlink" Target="http://dx.doi.org/10.1109/VISUAL.1994.346341" TargetMode="External"/><Relationship Id="rId283" Type="http://schemas.openxmlformats.org/officeDocument/2006/relationships/hyperlink" Target="http://dx.doi.org/10.1109/VISUAL.1994.346340" TargetMode="External"/><Relationship Id="rId289" Type="http://schemas.openxmlformats.org/officeDocument/2006/relationships/hyperlink" Target="http://dx.doi.org/10.1109/INFVIS.1996.559213" TargetMode="External"/><Relationship Id="rId288" Type="http://schemas.openxmlformats.org/officeDocument/2006/relationships/hyperlink" Target="http://dx.doi.org/10.1109/INFVIS.1996.559212" TargetMode="External"/><Relationship Id="rId287" Type="http://schemas.openxmlformats.org/officeDocument/2006/relationships/hyperlink" Target="http://dx.doi.org/10.1109/INFVIS.1996.559211" TargetMode="External"/><Relationship Id="rId282" Type="http://schemas.openxmlformats.org/officeDocument/2006/relationships/hyperlink" Target="http://dx.doi.org/10.1109/VISUAL.1994.346339" TargetMode="External"/><Relationship Id="rId281" Type="http://schemas.openxmlformats.org/officeDocument/2006/relationships/hyperlink" Target="http://dx.doi.org/10.1109/VISUAL.1994.346338" TargetMode="External"/><Relationship Id="rId280" Type="http://schemas.openxmlformats.org/officeDocument/2006/relationships/hyperlink" Target="http://dx.doi.org/10.1109/VISUAL.1994.346337" TargetMode="External"/><Relationship Id="rId275" Type="http://schemas.openxmlformats.org/officeDocument/2006/relationships/hyperlink" Target="http://dx.doi.org/10.1109/VISUAL.1994.346332" TargetMode="External"/><Relationship Id="rId274" Type="http://schemas.openxmlformats.org/officeDocument/2006/relationships/hyperlink" Target="http://dx.doi.org/10.1109/VISUAL.1994.346331" TargetMode="External"/><Relationship Id="rId273" Type="http://schemas.openxmlformats.org/officeDocument/2006/relationships/hyperlink" Target="http://dx.doi.org/10.1109/VISUAL.1994.346330" TargetMode="External"/><Relationship Id="rId272" Type="http://schemas.openxmlformats.org/officeDocument/2006/relationships/hyperlink" Target="http://dx.doi.org/10.1109/VISUAL.1994.346329" TargetMode="External"/><Relationship Id="rId279" Type="http://schemas.openxmlformats.org/officeDocument/2006/relationships/hyperlink" Target="http://dx.doi.org/10.1109/VISUAL.1994.346336" TargetMode="External"/><Relationship Id="rId278" Type="http://schemas.openxmlformats.org/officeDocument/2006/relationships/hyperlink" Target="http://dx.doi.org/10.1109/VISUAL.1994.346335" TargetMode="External"/><Relationship Id="rId277" Type="http://schemas.openxmlformats.org/officeDocument/2006/relationships/hyperlink" Target="http://dx.doi.org/10.1109/VISUAL.1994.346334" TargetMode="External"/><Relationship Id="rId276" Type="http://schemas.openxmlformats.org/officeDocument/2006/relationships/hyperlink" Target="http://dx.doi.org/10.1109/VISUAL.1994.346333" TargetMode="External"/><Relationship Id="rId228" Type="http://schemas.openxmlformats.org/officeDocument/2006/relationships/hyperlink" Target="http://dx.doi.org/10.1109/VISUAL.1994.346285" TargetMode="External"/><Relationship Id="rId227" Type="http://schemas.openxmlformats.org/officeDocument/2006/relationships/hyperlink" Target="http://dx.doi.org/10.1109/VISUAL.1994.346284" TargetMode="External"/><Relationship Id="rId226" Type="http://schemas.openxmlformats.org/officeDocument/2006/relationships/hyperlink" Target="http://dx.doi.org/10.1109/VISUAL.1993.398911" TargetMode="External"/><Relationship Id="rId225" Type="http://schemas.openxmlformats.org/officeDocument/2006/relationships/hyperlink" Target="http://dx.doi.org/10.1109/VISUAL.1993.398904" TargetMode="External"/><Relationship Id="rId229" Type="http://schemas.openxmlformats.org/officeDocument/2006/relationships/hyperlink" Target="http://dx.doi.org/10.1109/VISUAL.1994.346286" TargetMode="External"/><Relationship Id="rId220" Type="http://schemas.openxmlformats.org/officeDocument/2006/relationships/hyperlink" Target="http://dx.doi.org/10.1109/VISUAL.1993.398899" TargetMode="External"/><Relationship Id="rId224" Type="http://schemas.openxmlformats.org/officeDocument/2006/relationships/hyperlink" Target="http://dx.doi.org/10.1109/VISUAL.1993.398903" TargetMode="External"/><Relationship Id="rId223" Type="http://schemas.openxmlformats.org/officeDocument/2006/relationships/hyperlink" Target="http://dx.doi.org/10.1109/VISUAL.1993.398902" TargetMode="External"/><Relationship Id="rId222" Type="http://schemas.openxmlformats.org/officeDocument/2006/relationships/hyperlink" Target="http://dx.doi.org/10.1109/VISUAL.1993.398901" TargetMode="External"/><Relationship Id="rId221" Type="http://schemas.openxmlformats.org/officeDocument/2006/relationships/hyperlink" Target="http://dx.doi.org/10.1109/VISUAL.1993.398900" TargetMode="External"/><Relationship Id="rId217" Type="http://schemas.openxmlformats.org/officeDocument/2006/relationships/hyperlink" Target="http://dx.doi.org/10.1109/VISUAL.1993.398896" TargetMode="External"/><Relationship Id="rId216" Type="http://schemas.openxmlformats.org/officeDocument/2006/relationships/hyperlink" Target="http://dx.doi.org/10.1109/VISUAL.1993.398895" TargetMode="External"/><Relationship Id="rId215" Type="http://schemas.openxmlformats.org/officeDocument/2006/relationships/hyperlink" Target="http://dx.doi.org/10.1109/VISUAL.1993.398894" TargetMode="External"/><Relationship Id="rId214" Type="http://schemas.openxmlformats.org/officeDocument/2006/relationships/hyperlink" Target="http://dx.doi.org/10.1109/VISUAL.1993.398893" TargetMode="External"/><Relationship Id="rId219" Type="http://schemas.openxmlformats.org/officeDocument/2006/relationships/hyperlink" Target="http://dx.doi.org/10.1109/VISUAL.1993.398898" TargetMode="External"/><Relationship Id="rId218" Type="http://schemas.openxmlformats.org/officeDocument/2006/relationships/hyperlink" Target="http://dx.doi.org/10.1109/VISUAL.1993.398897" TargetMode="External"/><Relationship Id="rId213" Type="http://schemas.openxmlformats.org/officeDocument/2006/relationships/hyperlink" Target="http://dx.doi.org/10.1109/VISUAL.1993.398892" TargetMode="External"/><Relationship Id="rId212" Type="http://schemas.openxmlformats.org/officeDocument/2006/relationships/hyperlink" Target="http://dx.doi.org/10.1109/VISUAL.1993.398885" TargetMode="External"/><Relationship Id="rId211" Type="http://schemas.openxmlformats.org/officeDocument/2006/relationships/hyperlink" Target="http://dx.doi.org/10.1109/VISUAL.1993.398884" TargetMode="External"/><Relationship Id="rId210" Type="http://schemas.openxmlformats.org/officeDocument/2006/relationships/hyperlink" Target="http://dx.doi.org/10.1109/VISUAL.1993.398883" TargetMode="External"/><Relationship Id="rId249" Type="http://schemas.openxmlformats.org/officeDocument/2006/relationships/hyperlink" Target="http://dx.doi.org/10.1109/VISUAL.1994.346306" TargetMode="External"/><Relationship Id="rId248" Type="http://schemas.openxmlformats.org/officeDocument/2006/relationships/hyperlink" Target="http://dx.doi.org/10.1109/VISUAL.1994.346305" TargetMode="External"/><Relationship Id="rId247" Type="http://schemas.openxmlformats.org/officeDocument/2006/relationships/hyperlink" Target="http://dx.doi.org/10.1109/VISUAL.1994.346304" TargetMode="External"/><Relationship Id="rId242" Type="http://schemas.openxmlformats.org/officeDocument/2006/relationships/hyperlink" Target="http://dx.doi.org/10.1109/VISUAL.1994.346299" TargetMode="External"/><Relationship Id="rId241" Type="http://schemas.openxmlformats.org/officeDocument/2006/relationships/hyperlink" Target="http://dx.doi.org/10.1109/VISUAL.1994.346298" TargetMode="External"/><Relationship Id="rId240" Type="http://schemas.openxmlformats.org/officeDocument/2006/relationships/hyperlink" Target="http://dx.doi.org/10.1109/VISUAL.1994.346297" TargetMode="External"/><Relationship Id="rId246" Type="http://schemas.openxmlformats.org/officeDocument/2006/relationships/hyperlink" Target="http://dx.doi.org/10.1109/VISUAL.1994.346303" TargetMode="External"/><Relationship Id="rId245" Type="http://schemas.openxmlformats.org/officeDocument/2006/relationships/hyperlink" Target="http://dx.doi.org/10.1109/VISUAL.1994.346302" TargetMode="External"/><Relationship Id="rId244" Type="http://schemas.openxmlformats.org/officeDocument/2006/relationships/hyperlink" Target="http://dx.doi.org/10.1109/VISUAL.1994.346301" TargetMode="External"/><Relationship Id="rId243" Type="http://schemas.openxmlformats.org/officeDocument/2006/relationships/hyperlink" Target="http://dx.doi.org/10.1109/VISUAL.1994.346300" TargetMode="External"/><Relationship Id="rId239" Type="http://schemas.openxmlformats.org/officeDocument/2006/relationships/hyperlink" Target="http://dx.doi.org/10.1109/VISUAL.1994.346296" TargetMode="External"/><Relationship Id="rId238" Type="http://schemas.openxmlformats.org/officeDocument/2006/relationships/hyperlink" Target="http://dx.doi.org/10.1109/VISUAL.1994.346295" TargetMode="External"/><Relationship Id="rId237" Type="http://schemas.openxmlformats.org/officeDocument/2006/relationships/hyperlink" Target="http://dx.doi.org/10.1109/VISUAL.1994.346294" TargetMode="External"/><Relationship Id="rId236" Type="http://schemas.openxmlformats.org/officeDocument/2006/relationships/hyperlink" Target="http://dx.doi.org/10.1109/VISUAL.1994.346293" TargetMode="External"/><Relationship Id="rId231" Type="http://schemas.openxmlformats.org/officeDocument/2006/relationships/hyperlink" Target="http://dx.doi.org/10.1109/VISUAL.1994.346288" TargetMode="External"/><Relationship Id="rId230" Type="http://schemas.openxmlformats.org/officeDocument/2006/relationships/hyperlink" Target="http://dx.doi.org/10.1109/VISUAL.1994.346287" TargetMode="External"/><Relationship Id="rId235" Type="http://schemas.openxmlformats.org/officeDocument/2006/relationships/hyperlink" Target="http://dx.doi.org/10.1109/VISUAL.1994.346292" TargetMode="External"/><Relationship Id="rId234" Type="http://schemas.openxmlformats.org/officeDocument/2006/relationships/hyperlink" Target="http://dx.doi.org/10.1109/VISUAL.1994.346291" TargetMode="External"/><Relationship Id="rId233" Type="http://schemas.openxmlformats.org/officeDocument/2006/relationships/hyperlink" Target="http://dx.doi.org/10.1109/VISUAL.1994.346290" TargetMode="External"/><Relationship Id="rId232" Type="http://schemas.openxmlformats.org/officeDocument/2006/relationships/hyperlink" Target="http://dx.doi.org/10.1109/VISUAL.1994.346289" TargetMode="External"/><Relationship Id="rId1004" Type="http://schemas.openxmlformats.org/officeDocument/2006/relationships/hyperlink" Target="http://dx.doi.org/10.1109/VAST.2016.7883518" TargetMode="External"/><Relationship Id="rId1005" Type="http://schemas.openxmlformats.org/officeDocument/2006/relationships/hyperlink" Target="http://dx.doi.org/10.1109/VAST.2016.7883519" TargetMode="External"/><Relationship Id="rId1006" Type="http://schemas.openxmlformats.org/officeDocument/2006/relationships/hyperlink" Target="http://dx.doi.org/10.1109/VAST.2016.7883520" TargetMode="External"/><Relationship Id="rId1007" Type="http://schemas.openxmlformats.org/officeDocument/2006/relationships/drawing" Target="../drawings/drawing8.xml"/><Relationship Id="rId1008" Type="http://schemas.openxmlformats.org/officeDocument/2006/relationships/vmlDrawing" Target="../drawings/vmlDrawing4.vml"/><Relationship Id="rId1000" Type="http://schemas.openxmlformats.org/officeDocument/2006/relationships/hyperlink" Target="http://dx.doi.org/10.1109/VAST.2016.7883514" TargetMode="External"/><Relationship Id="rId1001" Type="http://schemas.openxmlformats.org/officeDocument/2006/relationships/hyperlink" Target="http://dx.doi.org/10.1109/VAST.2016.7883515" TargetMode="External"/><Relationship Id="rId1002" Type="http://schemas.openxmlformats.org/officeDocument/2006/relationships/hyperlink" Target="http://dx.doi.org/10.1109/VAST.2016.7883516" TargetMode="External"/><Relationship Id="rId1003" Type="http://schemas.openxmlformats.org/officeDocument/2006/relationships/hyperlink" Target="http://dx.doi.org/10.1109/VAST.2016.7883517" TargetMode="External"/><Relationship Id="rId206" Type="http://schemas.openxmlformats.org/officeDocument/2006/relationships/hyperlink" Target="http://dx.doi.org/10.1109/VISUAL.1993.398879" TargetMode="External"/><Relationship Id="rId205" Type="http://schemas.openxmlformats.org/officeDocument/2006/relationships/hyperlink" Target="http://dx.doi.org/10.1109/VISUAL.1993.398878" TargetMode="External"/><Relationship Id="rId204" Type="http://schemas.openxmlformats.org/officeDocument/2006/relationships/hyperlink" Target="http://dx.doi.org/10.1109/VISUAL.1993.398877" TargetMode="External"/><Relationship Id="rId203" Type="http://schemas.openxmlformats.org/officeDocument/2006/relationships/hyperlink" Target="http://dx.doi.org/10.1109/VISUAL.1993.398876" TargetMode="External"/><Relationship Id="rId209" Type="http://schemas.openxmlformats.org/officeDocument/2006/relationships/hyperlink" Target="http://dx.doi.org/10.1109/VISUAL.1993.398882" TargetMode="External"/><Relationship Id="rId208" Type="http://schemas.openxmlformats.org/officeDocument/2006/relationships/hyperlink" Target="http://dx.doi.org/10.1109/VISUAL.1993.398881" TargetMode="External"/><Relationship Id="rId207" Type="http://schemas.openxmlformats.org/officeDocument/2006/relationships/hyperlink" Target="http://dx.doi.org/10.1109/VISUAL.1993.398880" TargetMode="External"/><Relationship Id="rId202" Type="http://schemas.openxmlformats.org/officeDocument/2006/relationships/hyperlink" Target="http://dx.doi.org/10.1109/VISUAL.1993.398875" TargetMode="External"/><Relationship Id="rId201" Type="http://schemas.openxmlformats.org/officeDocument/2006/relationships/hyperlink" Target="http://dx.doi.org/10.1109/VISUAL.1993.398874" TargetMode="External"/><Relationship Id="rId200" Type="http://schemas.openxmlformats.org/officeDocument/2006/relationships/hyperlink" Target="http://dx.doi.org/10.1109/VISUAL.1993.398873" TargetMode="External"/><Relationship Id="rId509" Type="http://schemas.openxmlformats.org/officeDocument/2006/relationships/hyperlink" Target="http://dx.doi.org/10.1109/VISUAL.1998.745311" TargetMode="External"/><Relationship Id="rId508" Type="http://schemas.openxmlformats.org/officeDocument/2006/relationships/hyperlink" Target="http://dx.doi.org/10.1109/VISUAL.1998.745310" TargetMode="External"/><Relationship Id="rId503" Type="http://schemas.openxmlformats.org/officeDocument/2006/relationships/hyperlink" Target="http://dx.doi.org/10.1109/VISUAL.1998.745304" TargetMode="External"/><Relationship Id="rId502" Type="http://schemas.openxmlformats.org/officeDocument/2006/relationships/hyperlink" Target="http://dx.doi.org/10.1109/VISUAL.1998.745303" TargetMode="External"/><Relationship Id="rId501" Type="http://schemas.openxmlformats.org/officeDocument/2006/relationships/hyperlink" Target="http://dx.doi.org/10.1109/VISUAL.1998.745302" TargetMode="External"/><Relationship Id="rId500" Type="http://schemas.openxmlformats.org/officeDocument/2006/relationships/hyperlink" Target="http://dx.doi.org/10.1109/VISUAL.1998.745301" TargetMode="External"/><Relationship Id="rId507" Type="http://schemas.openxmlformats.org/officeDocument/2006/relationships/hyperlink" Target="http://dx.doi.org/10.1109/VISUAL.1998.745309" TargetMode="External"/><Relationship Id="rId506" Type="http://schemas.openxmlformats.org/officeDocument/2006/relationships/hyperlink" Target="http://dx.doi.org/10.1109/VISUAL.1998.745307" TargetMode="External"/><Relationship Id="rId505" Type="http://schemas.openxmlformats.org/officeDocument/2006/relationships/hyperlink" Target="http://dx.doi.org/10.1109/VISUAL.1998.745306" TargetMode="External"/><Relationship Id="rId504" Type="http://schemas.openxmlformats.org/officeDocument/2006/relationships/hyperlink" Target="http://dx.doi.org/10.1109/VISUAL.1998.745305" TargetMode="External"/><Relationship Id="rId525" Type="http://schemas.openxmlformats.org/officeDocument/2006/relationships/hyperlink" Target="http://dx.doi.org/10.1109/VISUAL.1998.745327" TargetMode="External"/><Relationship Id="rId524" Type="http://schemas.openxmlformats.org/officeDocument/2006/relationships/hyperlink" Target="http://dx.doi.org/10.1109/VISUAL.1998.745326" TargetMode="External"/><Relationship Id="rId523" Type="http://schemas.openxmlformats.org/officeDocument/2006/relationships/hyperlink" Target="http://dx.doi.org/10.1109/VISUAL.1998.745325" TargetMode="External"/><Relationship Id="rId522" Type="http://schemas.openxmlformats.org/officeDocument/2006/relationships/hyperlink" Target="http://dx.doi.org/10.1109/VISUAL.1998.745324" TargetMode="External"/><Relationship Id="rId529" Type="http://schemas.openxmlformats.org/officeDocument/2006/relationships/hyperlink" Target="http://dx.doi.org/10.1109/VISUAL.1998.745331" TargetMode="External"/><Relationship Id="rId528" Type="http://schemas.openxmlformats.org/officeDocument/2006/relationships/hyperlink" Target="http://dx.doi.org/10.1109/VISUAL.1998.745330" TargetMode="External"/><Relationship Id="rId527" Type="http://schemas.openxmlformats.org/officeDocument/2006/relationships/hyperlink" Target="http://dx.doi.org/10.1109/VISUAL.1998.745329" TargetMode="External"/><Relationship Id="rId526" Type="http://schemas.openxmlformats.org/officeDocument/2006/relationships/hyperlink" Target="http://dx.doi.org/10.1109/VISUAL.1998.745328" TargetMode="External"/><Relationship Id="rId521" Type="http://schemas.openxmlformats.org/officeDocument/2006/relationships/hyperlink" Target="http://dx.doi.org/10.1109/VISUAL.1998.745323" TargetMode="External"/><Relationship Id="rId520" Type="http://schemas.openxmlformats.org/officeDocument/2006/relationships/hyperlink" Target="http://dx.doi.org/10.1109/VISUAL.1998.745322" TargetMode="External"/><Relationship Id="rId519" Type="http://schemas.openxmlformats.org/officeDocument/2006/relationships/hyperlink" Target="http://dx.doi.org/10.1109/VISUAL.1998.745321" TargetMode="External"/><Relationship Id="rId514" Type="http://schemas.openxmlformats.org/officeDocument/2006/relationships/hyperlink" Target="http://dx.doi.org/10.1109/VISUAL.1998.745316" TargetMode="External"/><Relationship Id="rId513" Type="http://schemas.openxmlformats.org/officeDocument/2006/relationships/hyperlink" Target="http://dx.doi.org/10.1109/VISUAL.1998.745315" TargetMode="External"/><Relationship Id="rId512" Type="http://schemas.openxmlformats.org/officeDocument/2006/relationships/hyperlink" Target="http://dx.doi.org/10.1109/VISUAL.1998.745314" TargetMode="External"/><Relationship Id="rId511" Type="http://schemas.openxmlformats.org/officeDocument/2006/relationships/hyperlink" Target="http://dx.doi.org/10.1109/VISUAL.1998.745313" TargetMode="External"/><Relationship Id="rId518" Type="http://schemas.openxmlformats.org/officeDocument/2006/relationships/hyperlink" Target="http://dx.doi.org/10.1109/VISUAL.1998.745320" TargetMode="External"/><Relationship Id="rId517" Type="http://schemas.openxmlformats.org/officeDocument/2006/relationships/hyperlink" Target="http://dx.doi.org/10.1109/VISUAL.1998.745319" TargetMode="External"/><Relationship Id="rId516" Type="http://schemas.openxmlformats.org/officeDocument/2006/relationships/hyperlink" Target="http://dx.doi.org/10.1109/VISUAL.1998.745318" TargetMode="External"/><Relationship Id="rId515" Type="http://schemas.openxmlformats.org/officeDocument/2006/relationships/hyperlink" Target="http://dx.doi.org/10.1109/VISUAL.1998.745317" TargetMode="External"/><Relationship Id="rId510" Type="http://schemas.openxmlformats.org/officeDocument/2006/relationships/hyperlink" Target="http://dx.doi.org/10.1109/VISUAL.1998.745312" TargetMode="External"/><Relationship Id="rId590" Type="http://schemas.openxmlformats.org/officeDocument/2006/relationships/hyperlink" Target="http://dx.doi.org/10.1109/VAST.2011.6102489" TargetMode="External"/><Relationship Id="rId589" Type="http://schemas.openxmlformats.org/officeDocument/2006/relationships/hyperlink" Target="http://dx.doi.org/10.1109/VAST.2011.6102488" TargetMode="External"/><Relationship Id="rId588" Type="http://schemas.openxmlformats.org/officeDocument/2006/relationships/hyperlink" Target="http://dx.doi.org/10.1109/VAST.2011.6102486" TargetMode="External"/><Relationship Id="rId583" Type="http://schemas.openxmlformats.org/officeDocument/2006/relationships/hyperlink" Target="http://dx.doi.org/10.1109/VAST.2011.6102479" TargetMode="External"/><Relationship Id="rId582" Type="http://schemas.openxmlformats.org/officeDocument/2006/relationships/hyperlink" Target="http://dx.doi.org/10.1109/VAST.2011.6102478" TargetMode="External"/><Relationship Id="rId581" Type="http://schemas.openxmlformats.org/officeDocument/2006/relationships/hyperlink" Target="http://dx.doi.org/10.1109/VAST.2011.6102477" TargetMode="External"/><Relationship Id="rId580" Type="http://schemas.openxmlformats.org/officeDocument/2006/relationships/hyperlink" Target="http://dx.doi.org/10.1109/VAST.2011.6102476" TargetMode="External"/><Relationship Id="rId587" Type="http://schemas.openxmlformats.org/officeDocument/2006/relationships/hyperlink" Target="http://dx.doi.org/10.1109/VAST.2011.6102485" TargetMode="External"/><Relationship Id="rId586" Type="http://schemas.openxmlformats.org/officeDocument/2006/relationships/hyperlink" Target="http://dx.doi.org/10.1109/VAST.2011.6102482" TargetMode="External"/><Relationship Id="rId585" Type="http://schemas.openxmlformats.org/officeDocument/2006/relationships/hyperlink" Target="http://dx.doi.org/10.1109/VAST.2011.6102481" TargetMode="External"/><Relationship Id="rId584" Type="http://schemas.openxmlformats.org/officeDocument/2006/relationships/hyperlink" Target="http://dx.doi.org/10.1109/VAST.2011.6102480" TargetMode="External"/><Relationship Id="rId579" Type="http://schemas.openxmlformats.org/officeDocument/2006/relationships/hyperlink" Target="http://dl.acm.org/citation.cfm?id=1947411" TargetMode="External"/><Relationship Id="rId578" Type="http://schemas.openxmlformats.org/officeDocument/2006/relationships/hyperlink" Target="http://doi.ieeecomputersociety.org/10.1109/INFVIS.2003.1249029" TargetMode="External"/><Relationship Id="rId577" Type="http://schemas.openxmlformats.org/officeDocument/2006/relationships/hyperlink" Target="http://doi.ieeecomputersociety.org/10.1109/INFVIS.2003.1249017" TargetMode="External"/><Relationship Id="rId572" Type="http://schemas.openxmlformats.org/officeDocument/2006/relationships/hyperlink" Target="http://doi.ieeecomputersociety.org/10.1109/VISUAL.2001.964541" TargetMode="External"/><Relationship Id="rId571" Type="http://schemas.openxmlformats.org/officeDocument/2006/relationships/hyperlink" Target="http://dl.acm.org/citation.cfm?id=601733&amp;CFID=417306019&amp;CFTOKEN=83091695" TargetMode="External"/><Relationship Id="rId570" Type="http://schemas.openxmlformats.org/officeDocument/2006/relationships/hyperlink" Target="http://dl.acm.org/citation.cfm?id=601721&amp;CFID=417306019&amp;CFTOKEN=83091695" TargetMode="External"/><Relationship Id="rId576" Type="http://schemas.openxmlformats.org/officeDocument/2006/relationships/hyperlink" Target="http://dl.acm.org/citation.cfm?id=1947387" TargetMode="External"/><Relationship Id="rId575" Type="http://schemas.openxmlformats.org/officeDocument/2006/relationships/hyperlink" Target="http://dl.acm.org/citation.cfm?id=1947385" TargetMode="External"/><Relationship Id="rId574" Type="http://schemas.openxmlformats.org/officeDocument/2006/relationships/hyperlink" Target="http://doi.ieeecomputersociety.org/10.1109/VISUAL.2001.964561" TargetMode="External"/><Relationship Id="rId573" Type="http://schemas.openxmlformats.org/officeDocument/2006/relationships/hyperlink" Target="http://doi.ieeecomputersociety.org/10.1109/VISUAL.2001.964560" TargetMode="External"/><Relationship Id="rId599" Type="http://schemas.openxmlformats.org/officeDocument/2006/relationships/hyperlink" Target="http://dx.doi.org/10.1109/TVCG.2014.2346248" TargetMode="External"/><Relationship Id="rId594" Type="http://schemas.openxmlformats.org/officeDocument/2006/relationships/hyperlink" Target="http://dx.doi.org/10.1109/VAST.2011.6102493" TargetMode="External"/><Relationship Id="rId593" Type="http://schemas.openxmlformats.org/officeDocument/2006/relationships/hyperlink" Target="http://dx.doi.org/10.1109/VAST.2011.6102492" TargetMode="External"/><Relationship Id="rId592" Type="http://schemas.openxmlformats.org/officeDocument/2006/relationships/hyperlink" Target="http://dx.doi.org/10.1109/VAST.2011.6102491" TargetMode="External"/><Relationship Id="rId591" Type="http://schemas.openxmlformats.org/officeDocument/2006/relationships/hyperlink" Target="http://dx.doi.org/10.1109/VAST.2011.6102490" TargetMode="External"/><Relationship Id="rId598" Type="http://schemas.openxmlformats.org/officeDocument/2006/relationships/hyperlink" Target="http://dx.doi.org/10.1109/VAST.2011.6102498" TargetMode="External"/><Relationship Id="rId597" Type="http://schemas.openxmlformats.org/officeDocument/2006/relationships/hyperlink" Target="http://dx.doi.org/10.1109/VAST.2011.6102497" TargetMode="External"/><Relationship Id="rId596" Type="http://schemas.openxmlformats.org/officeDocument/2006/relationships/hyperlink" Target="http://dx.doi.org/10.1109/VAST.2011.6102496" TargetMode="External"/><Relationship Id="rId595" Type="http://schemas.openxmlformats.org/officeDocument/2006/relationships/hyperlink" Target="http://dx.doi.org/10.1109/VAST.2011.6102495" TargetMode="External"/><Relationship Id="rId547" Type="http://schemas.openxmlformats.org/officeDocument/2006/relationships/hyperlink" Target="http://dx.doi.org/10.1109/VISUAL.1998.745349" TargetMode="External"/><Relationship Id="rId546" Type="http://schemas.openxmlformats.org/officeDocument/2006/relationships/hyperlink" Target="http://dx.doi.org/10.1109/VISUAL.1998.745348" TargetMode="External"/><Relationship Id="rId545" Type="http://schemas.openxmlformats.org/officeDocument/2006/relationships/hyperlink" Target="http://dx.doi.org/10.1109/VISUAL.1998.745347" TargetMode="External"/><Relationship Id="rId544" Type="http://schemas.openxmlformats.org/officeDocument/2006/relationships/hyperlink" Target="http://dx.doi.org/10.1109/VISUAL.1998.745346" TargetMode="External"/><Relationship Id="rId549" Type="http://schemas.openxmlformats.org/officeDocument/2006/relationships/hyperlink" Target="http://dx.doi.org/10.1109/VISUAL.1998.745351" TargetMode="External"/><Relationship Id="rId548" Type="http://schemas.openxmlformats.org/officeDocument/2006/relationships/hyperlink" Target="http://dx.doi.org/10.1109/VISUAL.1998.745350" TargetMode="External"/><Relationship Id="rId543" Type="http://schemas.openxmlformats.org/officeDocument/2006/relationships/hyperlink" Target="http://dx.doi.org/10.1109/VISUAL.1998.745345" TargetMode="External"/><Relationship Id="rId542" Type="http://schemas.openxmlformats.org/officeDocument/2006/relationships/hyperlink" Target="http://dx.doi.org/10.1109/VISUAL.1998.745344" TargetMode="External"/><Relationship Id="rId541" Type="http://schemas.openxmlformats.org/officeDocument/2006/relationships/hyperlink" Target="http://dx.doi.org/10.1109/VISUAL.1998.745343" TargetMode="External"/><Relationship Id="rId540" Type="http://schemas.openxmlformats.org/officeDocument/2006/relationships/hyperlink" Target="http://dx.doi.org/10.1109/VISUAL.1998.745342" TargetMode="External"/><Relationship Id="rId536" Type="http://schemas.openxmlformats.org/officeDocument/2006/relationships/hyperlink" Target="http://dx.doi.org/10.1109/VISUAL.1998.745338" TargetMode="External"/><Relationship Id="rId535" Type="http://schemas.openxmlformats.org/officeDocument/2006/relationships/hyperlink" Target="http://dx.doi.org/10.1109/VISUAL.1998.745337" TargetMode="External"/><Relationship Id="rId534" Type="http://schemas.openxmlformats.org/officeDocument/2006/relationships/hyperlink" Target="http://dx.doi.org/10.1109/VISUAL.1998.745336" TargetMode="External"/><Relationship Id="rId533" Type="http://schemas.openxmlformats.org/officeDocument/2006/relationships/hyperlink" Target="http://dx.doi.org/10.1109/VISUAL.1998.745335" TargetMode="External"/><Relationship Id="rId539" Type="http://schemas.openxmlformats.org/officeDocument/2006/relationships/hyperlink" Target="http://dx.doi.org/10.1109/VISUAL.1998.745341" TargetMode="External"/><Relationship Id="rId538" Type="http://schemas.openxmlformats.org/officeDocument/2006/relationships/hyperlink" Target="http://dx.doi.org/10.1109/VISUAL.1998.745340" TargetMode="External"/><Relationship Id="rId537" Type="http://schemas.openxmlformats.org/officeDocument/2006/relationships/hyperlink" Target="http://dx.doi.org/10.1109/VISUAL.1998.745339" TargetMode="External"/><Relationship Id="rId532" Type="http://schemas.openxmlformats.org/officeDocument/2006/relationships/hyperlink" Target="http://dx.doi.org/10.1109/VISUAL.1998.745334" TargetMode="External"/><Relationship Id="rId531" Type="http://schemas.openxmlformats.org/officeDocument/2006/relationships/hyperlink" Target="http://dx.doi.org/10.1109/VISUAL.1998.745333" TargetMode="External"/><Relationship Id="rId530" Type="http://schemas.openxmlformats.org/officeDocument/2006/relationships/hyperlink" Target="http://dx.doi.org/10.1109/VISUAL.1998.745332" TargetMode="External"/><Relationship Id="rId569" Type="http://schemas.openxmlformats.org/officeDocument/2006/relationships/hyperlink" Target="http://doi.ieeecomputersociety.org/10.1109/VISUAL.2001.964520" TargetMode="External"/><Relationship Id="rId568" Type="http://schemas.openxmlformats.org/officeDocument/2006/relationships/hyperlink" Target="http://dl.acm.org/citation.cfm?id=601698&amp;CFID=417306019&amp;CFTOKEN=83091695" TargetMode="External"/><Relationship Id="rId567" Type="http://schemas.openxmlformats.org/officeDocument/2006/relationships/hyperlink" Target="http://dl.acm.org/citation.cfm?id=601690&amp;CFID=417306019&amp;CFTOKEN=83091695" TargetMode="External"/><Relationship Id="rId566" Type="http://schemas.openxmlformats.org/officeDocument/2006/relationships/hyperlink" Target="http://dl.acm.org/citation.cfm?id=601681&amp;CFID=417306019&amp;CFTOKEN=83091695" TargetMode="External"/><Relationship Id="rId561" Type="http://schemas.openxmlformats.org/officeDocument/2006/relationships/hyperlink" Target="http://dl.acm.org/citation.cfm?id=375275&amp;CFID=588087244&amp;CFTOKEN=42609106" TargetMode="External"/><Relationship Id="rId560" Type="http://schemas.openxmlformats.org/officeDocument/2006/relationships/hyperlink" Target="http://dl.acm.org/citation.cfm?id=375267&amp;CFID=588087244&amp;CFTOKEN=42609106" TargetMode="External"/><Relationship Id="rId565" Type="http://schemas.openxmlformats.org/officeDocument/2006/relationships/hyperlink" Target="http://dl.acm.org/citation.cfm?id=601680&amp;CFID=417306019&amp;CFTOKEN=83091695" TargetMode="External"/><Relationship Id="rId564" Type="http://schemas.openxmlformats.org/officeDocument/2006/relationships/hyperlink" Target="http://dl.acm.org/citation.cfm?id=601678&amp;CFID=417306019&amp;CFTOKEN=83091695" TargetMode="External"/><Relationship Id="rId563" Type="http://schemas.openxmlformats.org/officeDocument/2006/relationships/hyperlink" Target="http://dl.acm.org/citation.cfm?id=601676" TargetMode="External"/><Relationship Id="rId562" Type="http://schemas.openxmlformats.org/officeDocument/2006/relationships/hyperlink" Target="http://doi.ieeecomputersociety.org/10.1109/VISUAL.2000.885744" TargetMode="External"/><Relationship Id="rId558" Type="http://schemas.openxmlformats.org/officeDocument/2006/relationships/hyperlink" Target="http://dl.acm.org/citation.cfm?id=375238" TargetMode="External"/><Relationship Id="rId557" Type="http://schemas.openxmlformats.org/officeDocument/2006/relationships/hyperlink" Target="http://dl.acm.org/citation.cfm?id=857699" TargetMode="External"/><Relationship Id="rId556" Type="http://schemas.openxmlformats.org/officeDocument/2006/relationships/hyperlink" Target="http://dx.doi.org/10.1109/VISUAL.1999.809894" TargetMode="External"/><Relationship Id="rId555" Type="http://schemas.openxmlformats.org/officeDocument/2006/relationships/hyperlink" Target="http://dx.doi.org/10.1109/VISUAL.1998.745291" TargetMode="External"/><Relationship Id="rId559" Type="http://schemas.openxmlformats.org/officeDocument/2006/relationships/hyperlink" Target="http://dl.acm.org/citation.cfm?id=375249" TargetMode="External"/><Relationship Id="rId550" Type="http://schemas.openxmlformats.org/officeDocument/2006/relationships/hyperlink" Target="http://dx.doi.org/10.1109/VISUAL.1998.745352" TargetMode="External"/><Relationship Id="rId554" Type="http://schemas.openxmlformats.org/officeDocument/2006/relationships/hyperlink" Target="http://dx.doi.org/10.1109/VISUAL.1998.745713" TargetMode="External"/><Relationship Id="rId553" Type="http://schemas.openxmlformats.org/officeDocument/2006/relationships/hyperlink" Target="http://dx.doi.org/10.1109/VISUAL.1998.745355" TargetMode="External"/><Relationship Id="rId552" Type="http://schemas.openxmlformats.org/officeDocument/2006/relationships/hyperlink" Target="http://dx.doi.org/10.1109/VISUAL.1998.745354" TargetMode="External"/><Relationship Id="rId551" Type="http://schemas.openxmlformats.org/officeDocument/2006/relationships/hyperlink" Target="http://dx.doi.org/10.1109/VISUAL.1998.745353" TargetMode="External"/><Relationship Id="rId495" Type="http://schemas.openxmlformats.org/officeDocument/2006/relationships/hyperlink" Target="http://dx.doi.org/10.1109/VISUAL.1998.745296" TargetMode="External"/><Relationship Id="rId494" Type="http://schemas.openxmlformats.org/officeDocument/2006/relationships/hyperlink" Target="http://dx.doi.org/10.1109/VISUAL.1998.745295" TargetMode="External"/><Relationship Id="rId493" Type="http://schemas.openxmlformats.org/officeDocument/2006/relationships/hyperlink" Target="http://dx.doi.org/10.1109/VISUAL.1998.745294" TargetMode="External"/><Relationship Id="rId492" Type="http://schemas.openxmlformats.org/officeDocument/2006/relationships/hyperlink" Target="http://dx.doi.org/10.1109/VISUAL.1998.745293" TargetMode="External"/><Relationship Id="rId499" Type="http://schemas.openxmlformats.org/officeDocument/2006/relationships/hyperlink" Target="http://dx.doi.org/10.1109/VISUAL.1998.745300" TargetMode="External"/><Relationship Id="rId498" Type="http://schemas.openxmlformats.org/officeDocument/2006/relationships/hyperlink" Target="http://dx.doi.org/10.1109/VISUAL.1998.745299" TargetMode="External"/><Relationship Id="rId497" Type="http://schemas.openxmlformats.org/officeDocument/2006/relationships/hyperlink" Target="http://dx.doi.org/10.1109/VISUAL.1998.745298" TargetMode="External"/><Relationship Id="rId496" Type="http://schemas.openxmlformats.org/officeDocument/2006/relationships/hyperlink" Target="http://dx.doi.org/10.1109/VISUAL.1998.745297" TargetMode="External"/><Relationship Id="rId409" Type="http://schemas.openxmlformats.org/officeDocument/2006/relationships/hyperlink" Target="http://dx.doi.org/10.1109/VISUAL.1997.663882" TargetMode="External"/><Relationship Id="rId404" Type="http://schemas.openxmlformats.org/officeDocument/2006/relationships/hyperlink" Target="http://dx.doi.org/10.1109/VISUAL.1997.663874" TargetMode="External"/><Relationship Id="rId403" Type="http://schemas.openxmlformats.org/officeDocument/2006/relationships/hyperlink" Target="http://dx.doi.org/10.1109/VISUAL.1997.663872" TargetMode="External"/><Relationship Id="rId402" Type="http://schemas.openxmlformats.org/officeDocument/2006/relationships/hyperlink" Target="http://dx.doi.org/10.1109/VISUAL.1997.663871" TargetMode="External"/><Relationship Id="rId401" Type="http://schemas.openxmlformats.org/officeDocument/2006/relationships/hyperlink" Target="http://dx.doi.org/10.1109/VISUAL.1997.663869" TargetMode="External"/><Relationship Id="rId408" Type="http://schemas.openxmlformats.org/officeDocument/2006/relationships/hyperlink" Target="http://dx.doi.org/10.1109/VISUAL.1997.663880" TargetMode="External"/><Relationship Id="rId407" Type="http://schemas.openxmlformats.org/officeDocument/2006/relationships/hyperlink" Target="http://dx.doi.org/10.1109/VISUAL.1997.663878" TargetMode="External"/><Relationship Id="rId406" Type="http://schemas.openxmlformats.org/officeDocument/2006/relationships/hyperlink" Target="http://dx.doi.org/10.1109/VISUAL.1997.663876" TargetMode="External"/><Relationship Id="rId405" Type="http://schemas.openxmlformats.org/officeDocument/2006/relationships/hyperlink" Target="http://dx.doi.org/10.1109/VISUAL.1997.663875" TargetMode="External"/><Relationship Id="rId400" Type="http://schemas.openxmlformats.org/officeDocument/2006/relationships/hyperlink" Target="http://dx.doi.org/10.1109/VISUAL.1997.663868" TargetMode="External"/><Relationship Id="rId469" Type="http://schemas.openxmlformats.org/officeDocument/2006/relationships/hyperlink" Target="http://dx.doi.org/10.1109/INFVIS.1998.729561" TargetMode="External"/><Relationship Id="rId468" Type="http://schemas.openxmlformats.org/officeDocument/2006/relationships/hyperlink" Target="http://dx.doi.org/10.1109/INFVIS.1998.729560" TargetMode="External"/><Relationship Id="rId467" Type="http://schemas.openxmlformats.org/officeDocument/2006/relationships/hyperlink" Target="http://dx.doi.org/10.1109/INFVIS.1998.729559" TargetMode="External"/><Relationship Id="rId462" Type="http://schemas.openxmlformats.org/officeDocument/2006/relationships/hyperlink" Target="http://dx.doi.org/10.1109/INFVIS.1998.729554" TargetMode="External"/><Relationship Id="rId461" Type="http://schemas.openxmlformats.org/officeDocument/2006/relationships/hyperlink" Target="http://dx.doi.org/10.1109/INFVIS.1998.729553" TargetMode="External"/><Relationship Id="rId460" Type="http://schemas.openxmlformats.org/officeDocument/2006/relationships/hyperlink" Target="http://dx.doi.org/10.1109/VISUAL.1997.663934" TargetMode="External"/><Relationship Id="rId466" Type="http://schemas.openxmlformats.org/officeDocument/2006/relationships/hyperlink" Target="http://dx.doi.org/10.1109/INFVIS.1998.729558" TargetMode="External"/><Relationship Id="rId465" Type="http://schemas.openxmlformats.org/officeDocument/2006/relationships/hyperlink" Target="http://dx.doi.org/10.1109/INFVIS.1998.729557" TargetMode="External"/><Relationship Id="rId464" Type="http://schemas.openxmlformats.org/officeDocument/2006/relationships/hyperlink" Target="http://dx.doi.org/10.1109/INFVIS.1998.729556" TargetMode="External"/><Relationship Id="rId463" Type="http://schemas.openxmlformats.org/officeDocument/2006/relationships/hyperlink" Target="http://dx.doi.org/10.1109/INFVIS.1998.729555" TargetMode="External"/><Relationship Id="rId459" Type="http://schemas.openxmlformats.org/officeDocument/2006/relationships/hyperlink" Target="http://dx.doi.org/10.1109/VISUAL.1997.663933" TargetMode="External"/><Relationship Id="rId458" Type="http://schemas.openxmlformats.org/officeDocument/2006/relationships/hyperlink" Target="http://dx.doi.org/10.1109/VISUAL.1997.663932" TargetMode="External"/><Relationship Id="rId457" Type="http://schemas.openxmlformats.org/officeDocument/2006/relationships/hyperlink" Target="http://dx.doi.org/10.1109/VISUAL.1997.663931" TargetMode="External"/><Relationship Id="rId456" Type="http://schemas.openxmlformats.org/officeDocument/2006/relationships/hyperlink" Target="http://dx.doi.org/10.1109/VISUAL.1997.663930" TargetMode="External"/><Relationship Id="rId451" Type="http://schemas.openxmlformats.org/officeDocument/2006/relationships/hyperlink" Target="http://dx.doi.org/10.1109/VISUAL.1997.663925" TargetMode="External"/><Relationship Id="rId450" Type="http://schemas.openxmlformats.org/officeDocument/2006/relationships/hyperlink" Target="http://dx.doi.org/10.1109/VISUAL.1997.663924" TargetMode="External"/><Relationship Id="rId455" Type="http://schemas.openxmlformats.org/officeDocument/2006/relationships/hyperlink" Target="http://dx.doi.org/10.1109/VISUAL.1997.663929" TargetMode="External"/><Relationship Id="rId454" Type="http://schemas.openxmlformats.org/officeDocument/2006/relationships/hyperlink" Target="http://dx.doi.org/10.1109/VISUAL.1997.663928" TargetMode="External"/><Relationship Id="rId453" Type="http://schemas.openxmlformats.org/officeDocument/2006/relationships/hyperlink" Target="http://dx.doi.org/10.1109/VISUAL.1997.663927" TargetMode="External"/><Relationship Id="rId452" Type="http://schemas.openxmlformats.org/officeDocument/2006/relationships/hyperlink" Target="http://dx.doi.org/10.1109/VISUAL.1997.663926" TargetMode="External"/><Relationship Id="rId491" Type="http://schemas.openxmlformats.org/officeDocument/2006/relationships/hyperlink" Target="http://dx.doi.org/10.1109/VISUAL.1998.745292" TargetMode="External"/><Relationship Id="rId490" Type="http://schemas.openxmlformats.org/officeDocument/2006/relationships/hyperlink" Target="http://dx.doi.org/10.1109/VISUAL.1998.745291" TargetMode="External"/><Relationship Id="rId489" Type="http://schemas.openxmlformats.org/officeDocument/2006/relationships/hyperlink" Target="http://dx.doi.org/10.1109/VISUAL.1998.745290" TargetMode="External"/><Relationship Id="rId484" Type="http://schemas.openxmlformats.org/officeDocument/2006/relationships/hyperlink" Target="http://dx.doi.org/10.1109/VISUAL.1998.745285" TargetMode="External"/><Relationship Id="rId483" Type="http://schemas.openxmlformats.org/officeDocument/2006/relationships/hyperlink" Target="http://dx.doi.org/10.1109/VISUAL.1998.745284" TargetMode="External"/><Relationship Id="rId482" Type="http://schemas.openxmlformats.org/officeDocument/2006/relationships/hyperlink" Target="http://dx.doi.org/10.1109/VISUAL.1998.745283" TargetMode="External"/><Relationship Id="rId481" Type="http://schemas.openxmlformats.org/officeDocument/2006/relationships/hyperlink" Target="http://dx.doi.org/10.1109/VISUAL.1998.745282" TargetMode="External"/><Relationship Id="rId488" Type="http://schemas.openxmlformats.org/officeDocument/2006/relationships/hyperlink" Target="http://dx.doi.org/10.1109/VISUAL.1998.745289" TargetMode="External"/><Relationship Id="rId487" Type="http://schemas.openxmlformats.org/officeDocument/2006/relationships/hyperlink" Target="http://dx.doi.org/10.1109/VISUAL.1998.745288" TargetMode="External"/><Relationship Id="rId486" Type="http://schemas.openxmlformats.org/officeDocument/2006/relationships/hyperlink" Target="http://dx.doi.org/10.1109/VISUAL.1998.745287" TargetMode="External"/><Relationship Id="rId485" Type="http://schemas.openxmlformats.org/officeDocument/2006/relationships/hyperlink" Target="http://dx.doi.org/10.1109/VISUAL.1998.745286" TargetMode="External"/><Relationship Id="rId480" Type="http://schemas.openxmlformats.org/officeDocument/2006/relationships/hyperlink" Target="http://dx.doi.org/10.1109/VISUAL.1998.745281" TargetMode="External"/><Relationship Id="rId479" Type="http://schemas.openxmlformats.org/officeDocument/2006/relationships/hyperlink" Target="http://dx.doi.org/10.1109/VISUAL.1998.745280" TargetMode="External"/><Relationship Id="rId478" Type="http://schemas.openxmlformats.org/officeDocument/2006/relationships/hyperlink" Target="http://dx.doi.org/10.1109/INFVIS.1998.729570" TargetMode="External"/><Relationship Id="rId473" Type="http://schemas.openxmlformats.org/officeDocument/2006/relationships/hyperlink" Target="http://dx.doi.org/10.1109/INFVIS.1998.729565" TargetMode="External"/><Relationship Id="rId472" Type="http://schemas.openxmlformats.org/officeDocument/2006/relationships/hyperlink" Target="http://dx.doi.org/10.1109/INFVIS.1998.729564" TargetMode="External"/><Relationship Id="rId471" Type="http://schemas.openxmlformats.org/officeDocument/2006/relationships/hyperlink" Target="http://dx.doi.org/10.1109/INFVIS.1998.729563" TargetMode="External"/><Relationship Id="rId470" Type="http://schemas.openxmlformats.org/officeDocument/2006/relationships/hyperlink" Target="http://dx.doi.org/10.1109/INFVIS.1998.729562" TargetMode="External"/><Relationship Id="rId477" Type="http://schemas.openxmlformats.org/officeDocument/2006/relationships/hyperlink" Target="http://dx.doi.org/10.1109/INFVIS.1998.729569" TargetMode="External"/><Relationship Id="rId476" Type="http://schemas.openxmlformats.org/officeDocument/2006/relationships/hyperlink" Target="http://dx.doi.org/10.1109/INFVIS.1998.729568" TargetMode="External"/><Relationship Id="rId475" Type="http://schemas.openxmlformats.org/officeDocument/2006/relationships/hyperlink" Target="http://dx.doi.org/10.1109/INFVIS.1998.729567" TargetMode="External"/><Relationship Id="rId474" Type="http://schemas.openxmlformats.org/officeDocument/2006/relationships/hyperlink" Target="http://dx.doi.org/10.1109/INFVIS.1998.729566" TargetMode="External"/><Relationship Id="rId426" Type="http://schemas.openxmlformats.org/officeDocument/2006/relationships/hyperlink" Target="http://dx.doi.org/10.1109/VISUAL.1997.663900" TargetMode="External"/><Relationship Id="rId425" Type="http://schemas.openxmlformats.org/officeDocument/2006/relationships/hyperlink" Target="http://dx.doi.org/10.1109/VISUAL.1997.663899" TargetMode="External"/><Relationship Id="rId424" Type="http://schemas.openxmlformats.org/officeDocument/2006/relationships/hyperlink" Target="http://dx.doi.org/10.1109/VISUAL.1997.663898" TargetMode="External"/><Relationship Id="rId423" Type="http://schemas.openxmlformats.org/officeDocument/2006/relationships/hyperlink" Target="http://dx.doi.org/10.1109/VISUAL.1997.663897" TargetMode="External"/><Relationship Id="rId429" Type="http://schemas.openxmlformats.org/officeDocument/2006/relationships/hyperlink" Target="http://dx.doi.org/10.1109/VISUAL.1997.663903" TargetMode="External"/><Relationship Id="rId428" Type="http://schemas.openxmlformats.org/officeDocument/2006/relationships/hyperlink" Target="http://dx.doi.org/10.1109/VISUAL.1997.663902" TargetMode="External"/><Relationship Id="rId427" Type="http://schemas.openxmlformats.org/officeDocument/2006/relationships/hyperlink" Target="http://dx.doi.org/10.1109/VISUAL.1997.663901" TargetMode="External"/><Relationship Id="rId422" Type="http://schemas.openxmlformats.org/officeDocument/2006/relationships/hyperlink" Target="http://dx.doi.org/10.1109/VISUAL.1997.663896" TargetMode="External"/><Relationship Id="rId421" Type="http://schemas.openxmlformats.org/officeDocument/2006/relationships/hyperlink" Target="http://dx.doi.org/10.1109/VISUAL.1997.663895" TargetMode="External"/><Relationship Id="rId420" Type="http://schemas.openxmlformats.org/officeDocument/2006/relationships/hyperlink" Target="http://dx.doi.org/10.1109/VISUAL.1997.663894" TargetMode="External"/><Relationship Id="rId415" Type="http://schemas.openxmlformats.org/officeDocument/2006/relationships/hyperlink" Target="http://dx.doi.org/10.1109/VISUAL.1997.663889" TargetMode="External"/><Relationship Id="rId414" Type="http://schemas.openxmlformats.org/officeDocument/2006/relationships/hyperlink" Target="http://dx.doi.org/10.1109/VISUAL.1997.663888" TargetMode="External"/><Relationship Id="rId413" Type="http://schemas.openxmlformats.org/officeDocument/2006/relationships/hyperlink" Target="http://dx.doi.org/10.1109/VISUAL.1997.663887" TargetMode="External"/><Relationship Id="rId412" Type="http://schemas.openxmlformats.org/officeDocument/2006/relationships/hyperlink" Target="http://dx.doi.org/10.1109/VISUAL.1997.663886" TargetMode="External"/><Relationship Id="rId419" Type="http://schemas.openxmlformats.org/officeDocument/2006/relationships/hyperlink" Target="http://dx.doi.org/10.1109/VISUAL.1997.663893" TargetMode="External"/><Relationship Id="rId418" Type="http://schemas.openxmlformats.org/officeDocument/2006/relationships/hyperlink" Target="http://dx.doi.org/10.1109/VISUAL.1997.663892" TargetMode="External"/><Relationship Id="rId417" Type="http://schemas.openxmlformats.org/officeDocument/2006/relationships/hyperlink" Target="http://dx.doi.org/10.1109/VISUAL.1997.663891" TargetMode="External"/><Relationship Id="rId416" Type="http://schemas.openxmlformats.org/officeDocument/2006/relationships/hyperlink" Target="http://dx.doi.org/10.1109/VISUAL.1997.663890" TargetMode="External"/><Relationship Id="rId411" Type="http://schemas.openxmlformats.org/officeDocument/2006/relationships/hyperlink" Target="http://dx.doi.org/10.1109/VISUAL.1997.663885" TargetMode="External"/><Relationship Id="rId410" Type="http://schemas.openxmlformats.org/officeDocument/2006/relationships/hyperlink" Target="http://dx.doi.org/10.1109/VISUAL.1997.663883" TargetMode="External"/><Relationship Id="rId448" Type="http://schemas.openxmlformats.org/officeDocument/2006/relationships/hyperlink" Target="http://dx.doi.org/10.1109/VISUAL.1997.663922" TargetMode="External"/><Relationship Id="rId447" Type="http://schemas.openxmlformats.org/officeDocument/2006/relationships/hyperlink" Target="http://dx.doi.org/10.1109/VISUAL.1997.663921" TargetMode="External"/><Relationship Id="rId446" Type="http://schemas.openxmlformats.org/officeDocument/2006/relationships/hyperlink" Target="http://dx.doi.org/10.1109/VISUAL.1997.663920" TargetMode="External"/><Relationship Id="rId445" Type="http://schemas.openxmlformats.org/officeDocument/2006/relationships/hyperlink" Target="http://dx.doi.org/10.1109/VISUAL.1997.663919" TargetMode="External"/><Relationship Id="rId449" Type="http://schemas.openxmlformats.org/officeDocument/2006/relationships/hyperlink" Target="http://dx.doi.org/10.1109/VISUAL.1997.663923" TargetMode="External"/><Relationship Id="rId440" Type="http://schemas.openxmlformats.org/officeDocument/2006/relationships/hyperlink" Target="http://dx.doi.org/10.1109/VISUAL.1997.663914" TargetMode="External"/><Relationship Id="rId444" Type="http://schemas.openxmlformats.org/officeDocument/2006/relationships/hyperlink" Target="http://dx.doi.org/10.1109/VISUAL.1997.663918" TargetMode="External"/><Relationship Id="rId443" Type="http://schemas.openxmlformats.org/officeDocument/2006/relationships/hyperlink" Target="http://dx.doi.org/10.1109/VISUAL.1997.663917" TargetMode="External"/><Relationship Id="rId442" Type="http://schemas.openxmlformats.org/officeDocument/2006/relationships/hyperlink" Target="http://dx.doi.org/10.1109/VISUAL.1997.663916" TargetMode="External"/><Relationship Id="rId441" Type="http://schemas.openxmlformats.org/officeDocument/2006/relationships/hyperlink" Target="http://dx.doi.org/10.1109/VISUAL.1997.663915" TargetMode="External"/><Relationship Id="rId437" Type="http://schemas.openxmlformats.org/officeDocument/2006/relationships/hyperlink" Target="http://dx.doi.org/10.1109/VISUAL.1997.663911" TargetMode="External"/><Relationship Id="rId436" Type="http://schemas.openxmlformats.org/officeDocument/2006/relationships/hyperlink" Target="http://dx.doi.org/10.1109/VISUAL.1997.663910" TargetMode="External"/><Relationship Id="rId435" Type="http://schemas.openxmlformats.org/officeDocument/2006/relationships/hyperlink" Target="http://dx.doi.org/10.1109/VISUAL.1997.663909" TargetMode="External"/><Relationship Id="rId434" Type="http://schemas.openxmlformats.org/officeDocument/2006/relationships/hyperlink" Target="http://dx.doi.org/10.1109/VISUAL.1997.663908" TargetMode="External"/><Relationship Id="rId439" Type="http://schemas.openxmlformats.org/officeDocument/2006/relationships/hyperlink" Target="http://dx.doi.org/10.1109/VISUAL.1997.663913" TargetMode="External"/><Relationship Id="rId438" Type="http://schemas.openxmlformats.org/officeDocument/2006/relationships/hyperlink" Target="http://dx.doi.org/10.1109/VISUAL.1997.663912" TargetMode="External"/><Relationship Id="rId433" Type="http://schemas.openxmlformats.org/officeDocument/2006/relationships/hyperlink" Target="http://dx.doi.org/10.1109/VISUAL.1997.663907" TargetMode="External"/><Relationship Id="rId432" Type="http://schemas.openxmlformats.org/officeDocument/2006/relationships/hyperlink" Target="http://dx.doi.org/10.1109/VISUAL.1997.663906" TargetMode="External"/><Relationship Id="rId431" Type="http://schemas.openxmlformats.org/officeDocument/2006/relationships/hyperlink" Target="http://dx.doi.org/10.1109/VISUAL.1997.663905" TargetMode="External"/><Relationship Id="rId430" Type="http://schemas.openxmlformats.org/officeDocument/2006/relationships/hyperlink" Target="http://dx.doi.org/10.1109/VISUAL.1997.663904" TargetMode="External"/><Relationship Id="rId1" Type="http://schemas.openxmlformats.org/officeDocument/2006/relationships/comments" Target="../comments4.xml"/><Relationship Id="rId2" Type="http://schemas.openxmlformats.org/officeDocument/2006/relationships/hyperlink" Target="http://dl.acm.org/citation.cfm?id=949606&amp;CFID=522724143&amp;CFTOKEN=98665846" TargetMode="External"/><Relationship Id="rId3" Type="http://schemas.openxmlformats.org/officeDocument/2006/relationships/hyperlink" Target="http://dx.doi.org/10.1109/VISUAL.1990.146359" TargetMode="External"/><Relationship Id="rId4" Type="http://schemas.openxmlformats.org/officeDocument/2006/relationships/hyperlink" Target="http://dx.doi.org/10.1109/VISUAL.1990.146360" TargetMode="External"/><Relationship Id="rId9" Type="http://schemas.openxmlformats.org/officeDocument/2006/relationships/hyperlink" Target="http://dx.doi.org/10.1109/VISUAL.1990.146365" TargetMode="External"/><Relationship Id="rId5" Type="http://schemas.openxmlformats.org/officeDocument/2006/relationships/hyperlink" Target="http://dx.doi.org/10.1109/VISUAL.1990.146361" TargetMode="External"/><Relationship Id="rId6" Type="http://schemas.openxmlformats.org/officeDocument/2006/relationships/hyperlink" Target="http://dx.doi.org/10.1109/VISUAL.1990.146362" TargetMode="External"/><Relationship Id="rId7" Type="http://schemas.openxmlformats.org/officeDocument/2006/relationships/hyperlink" Target="http://dx.doi.org/10.1109/VISUAL.1990.146363" TargetMode="External"/><Relationship Id="rId8" Type="http://schemas.openxmlformats.org/officeDocument/2006/relationships/hyperlink" Target="http://dx.doi.org/10.1109/VISUAL.1990.146364" TargetMode="External"/><Relationship Id="rId808" Type="http://schemas.openxmlformats.org/officeDocument/2006/relationships/hyperlink" Target="http://dx.doi.org/10.1109/TVCG.2015.2467412" TargetMode="External"/><Relationship Id="rId807" Type="http://schemas.openxmlformats.org/officeDocument/2006/relationships/hyperlink" Target="http://dx.doi.org/10.1109/TVCG.2015.2467411" TargetMode="External"/><Relationship Id="rId806" Type="http://schemas.openxmlformats.org/officeDocument/2006/relationships/hyperlink" Target="http://dx.doi.org/10.1109/TVCG.2015.2467331" TargetMode="External"/><Relationship Id="rId805" Type="http://schemas.openxmlformats.org/officeDocument/2006/relationships/hyperlink" Target="http://dx.doi.org/10.1109/TVCG.2015.2467294" TargetMode="External"/><Relationship Id="rId809" Type="http://schemas.openxmlformats.org/officeDocument/2006/relationships/hyperlink" Target="http://dx.doi.org/10.1109/TVCG.2015.2467413" TargetMode="External"/><Relationship Id="rId800" Type="http://schemas.openxmlformats.org/officeDocument/2006/relationships/hyperlink" Target="http://dx.doi.org/10.1109/TVCG.2015.2467203" TargetMode="External"/><Relationship Id="rId804" Type="http://schemas.openxmlformats.org/officeDocument/2006/relationships/hyperlink" Target="http://dx.doi.org/10.1109/TVCG.2015.2467293" TargetMode="External"/><Relationship Id="rId803" Type="http://schemas.openxmlformats.org/officeDocument/2006/relationships/hyperlink" Target="http://dx.doi.org/10.1109/TVCG.2015.2467292" TargetMode="External"/><Relationship Id="rId802" Type="http://schemas.openxmlformats.org/officeDocument/2006/relationships/hyperlink" Target="http://dx.doi.org/10.1109/TVCG.2015.2467291" TargetMode="External"/><Relationship Id="rId801" Type="http://schemas.openxmlformats.org/officeDocument/2006/relationships/hyperlink" Target="http://dx.doi.org/10.1109/TVCG.2015.2467204" TargetMode="External"/><Relationship Id="rId745" Type="http://schemas.openxmlformats.org/officeDocument/2006/relationships/hyperlink" Target="http://dx.doi.org/10.1109/TVCG.2015.2467321" TargetMode="External"/><Relationship Id="rId744" Type="http://schemas.openxmlformats.org/officeDocument/2006/relationships/hyperlink" Target="http://dx.doi.org/10.1109/TVCG.2015.2467271" TargetMode="External"/><Relationship Id="rId743" Type="http://schemas.openxmlformats.org/officeDocument/2006/relationships/hyperlink" Target="http://dx.doi.org/10.1109/TVCG.2015.2467251" TargetMode="External"/><Relationship Id="rId742" Type="http://schemas.openxmlformats.org/officeDocument/2006/relationships/hyperlink" Target="http://dx.doi.org/10.1109/TVCG.2015.2467201" TargetMode="External"/><Relationship Id="rId749" Type="http://schemas.openxmlformats.org/officeDocument/2006/relationships/hyperlink" Target="http://dx.doi.org/10.1109/TVCG.2015.2467325" TargetMode="External"/><Relationship Id="rId748" Type="http://schemas.openxmlformats.org/officeDocument/2006/relationships/hyperlink" Target="http://dx.doi.org/10.1109/TVCG.2015.2467324" TargetMode="External"/><Relationship Id="rId747" Type="http://schemas.openxmlformats.org/officeDocument/2006/relationships/hyperlink" Target="http://dx.doi.org/10.1109/TVCG.2015.2467323" TargetMode="External"/><Relationship Id="rId746" Type="http://schemas.openxmlformats.org/officeDocument/2006/relationships/hyperlink" Target="http://dx.doi.org/10.1109/TVCG.2015.2467322" TargetMode="External"/><Relationship Id="rId741" Type="http://schemas.openxmlformats.org/officeDocument/2006/relationships/hyperlink" Target="http://dx.doi.org/10.1109/TVCG.2015.2467199" TargetMode="External"/><Relationship Id="rId740" Type="http://schemas.openxmlformats.org/officeDocument/2006/relationships/hyperlink" Target="http://dx.doi.org/10.1109/TVCG.2015.2467195" TargetMode="External"/><Relationship Id="rId739" Type="http://schemas.openxmlformats.org/officeDocument/2006/relationships/hyperlink" Target="http://dx.doi.org/10.1109/TVCG.2015.2467191" TargetMode="External"/><Relationship Id="rId734" Type="http://schemas.openxmlformats.org/officeDocument/2006/relationships/hyperlink" Target="http://dx.doi.org/10.1109/TVCG.2015.2467035" TargetMode="External"/><Relationship Id="rId733" Type="http://schemas.openxmlformats.org/officeDocument/2006/relationships/hyperlink" Target="http://dx.doi.org/10.1109/TVCG.2015.2466992" TargetMode="External"/><Relationship Id="rId732" Type="http://schemas.openxmlformats.org/officeDocument/2006/relationships/hyperlink" Target="http://dx.doi.org/10.1109/TVCG.2015.2466971" TargetMode="External"/><Relationship Id="rId731" Type="http://schemas.openxmlformats.org/officeDocument/2006/relationships/hyperlink" Target="http://dx.doi.org/10.1109/VAST.2014.7042496" TargetMode="External"/><Relationship Id="rId738" Type="http://schemas.openxmlformats.org/officeDocument/2006/relationships/hyperlink" Target="http://dx.doi.org/10.1109/TVCG.2015.2467132" TargetMode="External"/><Relationship Id="rId737" Type="http://schemas.openxmlformats.org/officeDocument/2006/relationships/hyperlink" Target="http://dx.doi.org/10.1109/TVCG.2015.2467112" TargetMode="External"/><Relationship Id="rId736" Type="http://schemas.openxmlformats.org/officeDocument/2006/relationships/hyperlink" Target="http://dx.doi.org/10.1109/TVCG.2015.2467091" TargetMode="External"/><Relationship Id="rId735" Type="http://schemas.openxmlformats.org/officeDocument/2006/relationships/hyperlink" Target="http://dx.doi.org/10.1109/TVCG.2015.2467051" TargetMode="External"/><Relationship Id="rId730" Type="http://schemas.openxmlformats.org/officeDocument/2006/relationships/hyperlink" Target="http://dx.doi.org/10.1109/VAST.2014.7042495" TargetMode="External"/><Relationship Id="rId767" Type="http://schemas.openxmlformats.org/officeDocument/2006/relationships/hyperlink" Target="http://dx.doi.org/10.1109/TVCG.2015.2467951" TargetMode="External"/><Relationship Id="rId766" Type="http://schemas.openxmlformats.org/officeDocument/2006/relationships/hyperlink" Target="http://dx.doi.org/10.1109/TVCG.2015.2467911" TargetMode="External"/><Relationship Id="rId765" Type="http://schemas.openxmlformats.org/officeDocument/2006/relationships/hyperlink" Target="http://dx.doi.org/10.1109/TVCG.2015.2467872" TargetMode="External"/><Relationship Id="rId764" Type="http://schemas.openxmlformats.org/officeDocument/2006/relationships/hyperlink" Target="http://dx.doi.org/10.1109/TVCG.2015.2467851" TargetMode="External"/><Relationship Id="rId769" Type="http://schemas.openxmlformats.org/officeDocument/2006/relationships/hyperlink" Target="http://dx.doi.org/10.1109/TVCG.2015.2469125" TargetMode="External"/><Relationship Id="rId768" Type="http://schemas.openxmlformats.org/officeDocument/2006/relationships/hyperlink" Target="http://dx.doi.org/10.1109/TVCG.2015.2467992" TargetMode="External"/><Relationship Id="rId763" Type="http://schemas.openxmlformats.org/officeDocument/2006/relationships/hyperlink" Target="http://dx.doi.org/10.1109/TVCG.2015.2467831" TargetMode="External"/><Relationship Id="rId762" Type="http://schemas.openxmlformats.org/officeDocument/2006/relationships/hyperlink" Target="http://dx.doi.org/10.1109/TVCG.2015.2467811" TargetMode="External"/><Relationship Id="rId761" Type="http://schemas.openxmlformats.org/officeDocument/2006/relationships/hyperlink" Target="http://dx.doi.org/10.1109/TVCG.2015.2467759" TargetMode="External"/><Relationship Id="rId760" Type="http://schemas.openxmlformats.org/officeDocument/2006/relationships/hyperlink" Target="http://dx.doi.org/10.1109/TVCG.2015.2467758" TargetMode="External"/><Relationship Id="rId756" Type="http://schemas.openxmlformats.org/officeDocument/2006/relationships/hyperlink" Target="http://dx.doi.org/10.1109/TVCG.2015.2467732" TargetMode="External"/><Relationship Id="rId755" Type="http://schemas.openxmlformats.org/officeDocument/2006/relationships/hyperlink" Target="http://dx.doi.org/10.1109/TVCG.2015.2467717" TargetMode="External"/><Relationship Id="rId754" Type="http://schemas.openxmlformats.org/officeDocument/2006/relationships/hyperlink" Target="http://dx.doi.org/10.1109/TVCG.2015.2467691" TargetMode="External"/><Relationship Id="rId753" Type="http://schemas.openxmlformats.org/officeDocument/2006/relationships/hyperlink" Target="http://dx.doi.org/10.1109/TVCG.2015.2467671" TargetMode="External"/><Relationship Id="rId759" Type="http://schemas.openxmlformats.org/officeDocument/2006/relationships/hyperlink" Target="http://dx.doi.org/10.1109/TVCG.2015.2467754" TargetMode="External"/><Relationship Id="rId758" Type="http://schemas.openxmlformats.org/officeDocument/2006/relationships/hyperlink" Target="http://dx.doi.org/10.1109/TVCG.2015.2467752" TargetMode="External"/><Relationship Id="rId757" Type="http://schemas.openxmlformats.org/officeDocument/2006/relationships/hyperlink" Target="http://dx.doi.org/10.1109/TVCG.2015.2467751" TargetMode="External"/><Relationship Id="rId752" Type="http://schemas.openxmlformats.org/officeDocument/2006/relationships/hyperlink" Target="http://dx.doi.org/10.1109/TVCG.2015.2467471" TargetMode="External"/><Relationship Id="rId751" Type="http://schemas.openxmlformats.org/officeDocument/2006/relationships/hyperlink" Target="http://dx.doi.org/10.1109/TVCG.2015.2467452" TargetMode="External"/><Relationship Id="rId750" Type="http://schemas.openxmlformats.org/officeDocument/2006/relationships/hyperlink" Target="http://dx.doi.org/10.1109/TVCG.2015.2467451" TargetMode="External"/><Relationship Id="rId709" Type="http://schemas.openxmlformats.org/officeDocument/2006/relationships/hyperlink" Target="http://dx.doi.org/10.1109/TVCG.2014.2346926" TargetMode="External"/><Relationship Id="rId708" Type="http://schemas.openxmlformats.org/officeDocument/2006/relationships/hyperlink" Target="http://dx.doi.org/10.1109/TVCG.2014.2346922" TargetMode="External"/><Relationship Id="rId707" Type="http://schemas.openxmlformats.org/officeDocument/2006/relationships/hyperlink" Target="http://dx.doi.org/10.1109/TVCG.2014.2346920" TargetMode="External"/><Relationship Id="rId706" Type="http://schemas.openxmlformats.org/officeDocument/2006/relationships/hyperlink" Target="http://dx.doi.org/10.1109/TVCG.2014.2346919" TargetMode="External"/><Relationship Id="rId701" Type="http://schemas.openxmlformats.org/officeDocument/2006/relationships/hyperlink" Target="http://dx.doi.org/10.1109/TVCG.2014.2346893" TargetMode="External"/><Relationship Id="rId700" Type="http://schemas.openxmlformats.org/officeDocument/2006/relationships/hyperlink" Target="http://dx.doi.org/10.1109/TVCG.2014.2346755" TargetMode="External"/><Relationship Id="rId705" Type="http://schemas.openxmlformats.org/officeDocument/2006/relationships/hyperlink" Target="http://dx.doi.org/10.1109/TVCG.2014.2346913" TargetMode="External"/><Relationship Id="rId704" Type="http://schemas.openxmlformats.org/officeDocument/2006/relationships/hyperlink" Target="http://dx.doi.org/10.1109/TVCG.2014.2346912" TargetMode="External"/><Relationship Id="rId703" Type="http://schemas.openxmlformats.org/officeDocument/2006/relationships/hyperlink" Target="http://dx.doi.org/10.1109/TVCG.2014.2346911" TargetMode="External"/><Relationship Id="rId702" Type="http://schemas.openxmlformats.org/officeDocument/2006/relationships/hyperlink" Target="http://dx.doi.org/10.1109/TVCG.2014.2346898" TargetMode="External"/><Relationship Id="rId729" Type="http://schemas.openxmlformats.org/officeDocument/2006/relationships/hyperlink" Target="http://dx.doi.org/10.1109/VAST.2014.7042494" TargetMode="External"/><Relationship Id="rId728" Type="http://schemas.openxmlformats.org/officeDocument/2006/relationships/hyperlink" Target="http://dx.doi.org/10.1109/VAST.2014.7042493" TargetMode="External"/><Relationship Id="rId723" Type="http://schemas.openxmlformats.org/officeDocument/2006/relationships/hyperlink" Target="http://dx.doi.org/10.1109/VAST.2014.7042488" TargetMode="External"/><Relationship Id="rId722" Type="http://schemas.openxmlformats.org/officeDocument/2006/relationships/hyperlink" Target="http://dx.doi.org/10.1109/VAST.2014.7042487" TargetMode="External"/><Relationship Id="rId721" Type="http://schemas.openxmlformats.org/officeDocument/2006/relationships/hyperlink" Target="http://dx.doi.org/10.1109/VAST.2014.7042486" TargetMode="External"/><Relationship Id="rId720" Type="http://schemas.openxmlformats.org/officeDocument/2006/relationships/hyperlink" Target="http://dx.doi.org/10.1109/VAST.2014.7042485" TargetMode="External"/><Relationship Id="rId727" Type="http://schemas.openxmlformats.org/officeDocument/2006/relationships/hyperlink" Target="http://dx.doi.org/10.1109/VAST.2014.7042492" TargetMode="External"/><Relationship Id="rId726" Type="http://schemas.openxmlformats.org/officeDocument/2006/relationships/hyperlink" Target="http://dx.doi.org/10.1109/VAST.2014.7042491" TargetMode="External"/><Relationship Id="rId725" Type="http://schemas.openxmlformats.org/officeDocument/2006/relationships/hyperlink" Target="http://dx.doi.org/10.1109/VAST.2014.7042490" TargetMode="External"/><Relationship Id="rId724" Type="http://schemas.openxmlformats.org/officeDocument/2006/relationships/hyperlink" Target="http://dx.doi.org/10.1109/VAST.2014.7042489" TargetMode="External"/><Relationship Id="rId719" Type="http://schemas.openxmlformats.org/officeDocument/2006/relationships/hyperlink" Target="http://dx.doi.org/10.1109/VAST.2014.7042484" TargetMode="External"/><Relationship Id="rId718" Type="http://schemas.openxmlformats.org/officeDocument/2006/relationships/hyperlink" Target="http://dx.doi.org/10.1109/VAST.2014.7042483" TargetMode="External"/><Relationship Id="rId717" Type="http://schemas.openxmlformats.org/officeDocument/2006/relationships/hyperlink" Target="http://dx.doi.org/10.1109/VAST.2014.7042482" TargetMode="External"/><Relationship Id="rId712" Type="http://schemas.openxmlformats.org/officeDocument/2006/relationships/hyperlink" Target="http://dx.doi.org/10.1109/VAST.2014.7042477" TargetMode="External"/><Relationship Id="rId711" Type="http://schemas.openxmlformats.org/officeDocument/2006/relationships/hyperlink" Target="http://dx.doi.org/10.1109/VAST.2014.7042476" TargetMode="External"/><Relationship Id="rId710" Type="http://schemas.openxmlformats.org/officeDocument/2006/relationships/hyperlink" Target="http://dx.doi.org/10.1109/TVCG.2014.2346930" TargetMode="External"/><Relationship Id="rId716" Type="http://schemas.openxmlformats.org/officeDocument/2006/relationships/hyperlink" Target="http://dx.doi.org/10.1109/VAST.2014.7042481" TargetMode="External"/><Relationship Id="rId715" Type="http://schemas.openxmlformats.org/officeDocument/2006/relationships/hyperlink" Target="http://dx.doi.org/10.1109/VAST.2014.7042480" TargetMode="External"/><Relationship Id="rId714" Type="http://schemas.openxmlformats.org/officeDocument/2006/relationships/hyperlink" Target="http://dx.doi.org/10.1109/VAST.2014.7042479" TargetMode="External"/><Relationship Id="rId713" Type="http://schemas.openxmlformats.org/officeDocument/2006/relationships/hyperlink" Target="http://dx.doi.org/10.1109/VAST.2014.7042478" TargetMode="External"/><Relationship Id="rId789" Type="http://schemas.openxmlformats.org/officeDocument/2006/relationships/hyperlink" Target="http://dx.doi.org/10.1109/SciVis.2015.7429512" TargetMode="External"/><Relationship Id="rId788" Type="http://schemas.openxmlformats.org/officeDocument/2006/relationships/hyperlink" Target="http://dx.doi.org/10.1109/SciVis.2015.7429511" TargetMode="External"/><Relationship Id="rId787" Type="http://schemas.openxmlformats.org/officeDocument/2006/relationships/hyperlink" Target="http://dx.doi.org/10.1109/SciVis.2015.7429510" TargetMode="External"/><Relationship Id="rId786" Type="http://schemas.openxmlformats.org/officeDocument/2006/relationships/hyperlink" Target="http://dx.doi.org/10.1109/SciVis.2015.7429509" TargetMode="External"/><Relationship Id="rId781" Type="http://schemas.openxmlformats.org/officeDocument/2006/relationships/hyperlink" Target="http://dx.doi.org/10.1109/SciVis.2015.7429504" TargetMode="External"/><Relationship Id="rId780" Type="http://schemas.openxmlformats.org/officeDocument/2006/relationships/hyperlink" Target="http://dx.doi.org/10.1109/SciVis.2015.7429503" TargetMode="External"/><Relationship Id="rId785" Type="http://schemas.openxmlformats.org/officeDocument/2006/relationships/hyperlink" Target="http://dx.doi.org/10.1109/SciVis.2015.7429508" TargetMode="External"/><Relationship Id="rId784" Type="http://schemas.openxmlformats.org/officeDocument/2006/relationships/hyperlink" Target="http://dx.doi.org/10.1109/SciVis.2015.7429507" TargetMode="External"/><Relationship Id="rId783" Type="http://schemas.openxmlformats.org/officeDocument/2006/relationships/hyperlink" Target="http://dx.doi.org/10.1109/SciVis.2015.7429506" TargetMode="External"/><Relationship Id="rId782" Type="http://schemas.openxmlformats.org/officeDocument/2006/relationships/hyperlink" Target="http://dx.doi.org/10.1109/SciVis.2015.7429505" TargetMode="External"/><Relationship Id="rId778" Type="http://schemas.openxmlformats.org/officeDocument/2006/relationships/hyperlink" Target="http://dx.doi.org/10.1109/SciVis.2015.7429493" TargetMode="External"/><Relationship Id="rId777" Type="http://schemas.openxmlformats.org/officeDocument/2006/relationships/hyperlink" Target="http://dx.doi.org/10.1109/SciVis.2015.7429492" TargetMode="External"/><Relationship Id="rId776" Type="http://schemas.openxmlformats.org/officeDocument/2006/relationships/hyperlink" Target="http://dx.doi.org/10.1109/SciVis.2015.7429491" TargetMode="External"/><Relationship Id="rId775" Type="http://schemas.openxmlformats.org/officeDocument/2006/relationships/hyperlink" Target="http://dx.doi.org/10.1109/SciVis.2015.7429490" TargetMode="External"/><Relationship Id="rId779" Type="http://schemas.openxmlformats.org/officeDocument/2006/relationships/hyperlink" Target="http://dx.doi.org/10.1109/SciVis.2015.7429502" TargetMode="External"/><Relationship Id="rId770" Type="http://schemas.openxmlformats.org/officeDocument/2006/relationships/hyperlink" Target="http://dx.doi.org/10.1109/SciVis.2015.7429485" TargetMode="External"/><Relationship Id="rId774" Type="http://schemas.openxmlformats.org/officeDocument/2006/relationships/hyperlink" Target="http://dx.doi.org/10.1109/SciVis.2015.7429489" TargetMode="External"/><Relationship Id="rId773" Type="http://schemas.openxmlformats.org/officeDocument/2006/relationships/hyperlink" Target="http://dx.doi.org/10.1109/SciVis.2015.7429488" TargetMode="External"/><Relationship Id="rId772" Type="http://schemas.openxmlformats.org/officeDocument/2006/relationships/hyperlink" Target="http://dx.doi.org/10.1109/SciVis.2015.7429487" TargetMode="External"/><Relationship Id="rId771" Type="http://schemas.openxmlformats.org/officeDocument/2006/relationships/hyperlink" Target="http://dx.doi.org/10.1109/SciVis.2015.7429486" TargetMode="External"/><Relationship Id="rId799" Type="http://schemas.openxmlformats.org/officeDocument/2006/relationships/hyperlink" Target="http://dx.doi.org/10.1109/TVCG.2015.2467202" TargetMode="External"/><Relationship Id="rId798" Type="http://schemas.openxmlformats.org/officeDocument/2006/relationships/hyperlink" Target="http://dx.doi.org/10.1109/TVCG.2015.2467200" TargetMode="External"/><Relationship Id="rId797" Type="http://schemas.openxmlformats.org/officeDocument/2006/relationships/hyperlink" Target="http://dx.doi.org/10.1109/TVCG.2015.2467198" TargetMode="External"/><Relationship Id="rId792" Type="http://schemas.openxmlformats.org/officeDocument/2006/relationships/hyperlink" Target="http://dx.doi.org/10.1109/SciVis.2015.7429515" TargetMode="External"/><Relationship Id="rId791" Type="http://schemas.openxmlformats.org/officeDocument/2006/relationships/hyperlink" Target="http://dx.doi.org/10.1109/SciVis.2015.7429514" TargetMode="External"/><Relationship Id="rId790" Type="http://schemas.openxmlformats.org/officeDocument/2006/relationships/hyperlink" Target="http://dx.doi.org/10.1109/SciVis.2015.7429513" TargetMode="External"/><Relationship Id="rId796" Type="http://schemas.openxmlformats.org/officeDocument/2006/relationships/hyperlink" Target="http://dx.doi.org/10.1109/TVCG.2015.2467194" TargetMode="External"/><Relationship Id="rId795" Type="http://schemas.openxmlformats.org/officeDocument/2006/relationships/hyperlink" Target="http://dx.doi.org/10.1109/TVCG.2015.2467153" TargetMode="External"/><Relationship Id="rId794" Type="http://schemas.openxmlformats.org/officeDocument/2006/relationships/hyperlink" Target="http://dx.doi.org/10.1109/TVCG.2015.2467031" TargetMode="External"/><Relationship Id="rId793" Type="http://schemas.openxmlformats.org/officeDocument/2006/relationships/hyperlink" Target="http://dx.doi.org/10.1109/TVCG.2015.2466838" TargetMode="External"/><Relationship Id="rId629" Type="http://schemas.openxmlformats.org/officeDocument/2006/relationships/hyperlink" Target="http://dx.doi.org/10.1109/TVCG.2014.2346433" TargetMode="External"/><Relationship Id="rId624" Type="http://schemas.openxmlformats.org/officeDocument/2006/relationships/hyperlink" Target="http://dx.doi.org/10.1109/TVCG.2014.2346422" TargetMode="External"/><Relationship Id="rId623" Type="http://schemas.openxmlformats.org/officeDocument/2006/relationships/hyperlink" Target="http://dx.doi.org/10.1109/TVCG.2014.2346420" TargetMode="External"/><Relationship Id="rId622" Type="http://schemas.openxmlformats.org/officeDocument/2006/relationships/hyperlink" Target="http://dx.doi.org/10.1109/TVCG.2014.2346419" TargetMode="External"/><Relationship Id="rId621" Type="http://schemas.openxmlformats.org/officeDocument/2006/relationships/hyperlink" Target="http://dx.doi.org/10.1109/TVCG.2014.2346331" TargetMode="External"/><Relationship Id="rId628" Type="http://schemas.openxmlformats.org/officeDocument/2006/relationships/hyperlink" Target="http://dx.doi.org/10.1109/TVCG.2014.2346431" TargetMode="External"/><Relationship Id="rId627" Type="http://schemas.openxmlformats.org/officeDocument/2006/relationships/hyperlink" Target="http://dx.doi.org/10.1109/TVCG.2014.2346428" TargetMode="External"/><Relationship Id="rId626" Type="http://schemas.openxmlformats.org/officeDocument/2006/relationships/hyperlink" Target="http://dx.doi.org/10.1109/TVCG.2014.2346426" TargetMode="External"/><Relationship Id="rId625" Type="http://schemas.openxmlformats.org/officeDocument/2006/relationships/hyperlink" Target="http://dx.doi.org/10.1109/TVCG.2014.2346424" TargetMode="External"/><Relationship Id="rId620" Type="http://schemas.openxmlformats.org/officeDocument/2006/relationships/hyperlink" Target="http://dx.doi.org/10.1109/TVCG.2014.2346325" TargetMode="External"/><Relationship Id="rId619" Type="http://schemas.openxmlformats.org/officeDocument/2006/relationships/hyperlink" Target="http://dx.doi.org/10.1109/TVCG.2014.2346323" TargetMode="External"/><Relationship Id="rId618" Type="http://schemas.openxmlformats.org/officeDocument/2006/relationships/hyperlink" Target="http://dx.doi.org/10.1109/TVCG.2014.2346321" TargetMode="External"/><Relationship Id="rId613" Type="http://schemas.openxmlformats.org/officeDocument/2006/relationships/hyperlink" Target="http://dx.doi.org/10.1109/TVCG.2014.2346297" TargetMode="External"/><Relationship Id="rId612" Type="http://schemas.openxmlformats.org/officeDocument/2006/relationships/hyperlink" Target="http://dx.doi.org/10.1109/TVCG.2014.2346293" TargetMode="External"/><Relationship Id="rId611" Type="http://schemas.openxmlformats.org/officeDocument/2006/relationships/hyperlink" Target="http://dx.doi.org/10.1109/TVCG.2014.2346292" TargetMode="External"/><Relationship Id="rId610" Type="http://schemas.openxmlformats.org/officeDocument/2006/relationships/hyperlink" Target="http://dx.doi.org/10.1109/TVCG.2014.2346291" TargetMode="External"/><Relationship Id="rId617" Type="http://schemas.openxmlformats.org/officeDocument/2006/relationships/hyperlink" Target="http://dx.doi.org/10.1109/TVCG.2014.2346320" TargetMode="External"/><Relationship Id="rId616" Type="http://schemas.openxmlformats.org/officeDocument/2006/relationships/hyperlink" Target="http://dx.doi.org/10.1109/TVCG.2014.2346312" TargetMode="External"/><Relationship Id="rId615" Type="http://schemas.openxmlformats.org/officeDocument/2006/relationships/hyperlink" Target="http://dx.doi.org/10.1109/TVCG.2014.2346311" TargetMode="External"/><Relationship Id="rId614" Type="http://schemas.openxmlformats.org/officeDocument/2006/relationships/hyperlink" Target="http://dx.doi.org/10.1109/TVCG.2014.2346298" TargetMode="External"/><Relationship Id="rId646" Type="http://schemas.openxmlformats.org/officeDocument/2006/relationships/hyperlink" Target="http://dx.doi.org/10.1109/TVCG.2014.2346319" TargetMode="External"/><Relationship Id="rId645" Type="http://schemas.openxmlformats.org/officeDocument/2006/relationships/hyperlink" Target="http://dx.doi.org/10.1109/TVCG.2014.2346318" TargetMode="External"/><Relationship Id="rId644" Type="http://schemas.openxmlformats.org/officeDocument/2006/relationships/hyperlink" Target="http://dx.doi.org/10.1109/TVCG.2014.2346317" TargetMode="External"/><Relationship Id="rId643" Type="http://schemas.openxmlformats.org/officeDocument/2006/relationships/hyperlink" Target="http://dx.doi.org/10.1109/TVCG.2014.2352953" TargetMode="External"/><Relationship Id="rId649" Type="http://schemas.openxmlformats.org/officeDocument/2006/relationships/hyperlink" Target="http://dx.doi.org/10.1109/TVCG.2014.2346332" TargetMode="External"/><Relationship Id="rId648" Type="http://schemas.openxmlformats.org/officeDocument/2006/relationships/hyperlink" Target="http://dx.doi.org/10.1109/TVCG.2014.2346324" TargetMode="External"/><Relationship Id="rId647" Type="http://schemas.openxmlformats.org/officeDocument/2006/relationships/hyperlink" Target="http://dx.doi.org/10.1109/TVCG.2014.2346322" TargetMode="External"/><Relationship Id="rId642" Type="http://schemas.openxmlformats.org/officeDocument/2006/relationships/hyperlink" Target="http://dx.doi.org/10.1109/TVCG.2014.2346998" TargetMode="External"/><Relationship Id="rId641" Type="http://schemas.openxmlformats.org/officeDocument/2006/relationships/hyperlink" Target="http://dx.doi.org/10.1109/TVCG.2014.2346984" TargetMode="External"/><Relationship Id="rId640" Type="http://schemas.openxmlformats.org/officeDocument/2006/relationships/hyperlink" Target="http://dx.doi.org/10.1109/TVCG.2014.2346983" TargetMode="External"/><Relationship Id="rId635" Type="http://schemas.openxmlformats.org/officeDocument/2006/relationships/hyperlink" Target="http://dx.doi.org/10.1109/TVCG.2014.2346452" TargetMode="External"/><Relationship Id="rId634" Type="http://schemas.openxmlformats.org/officeDocument/2006/relationships/hyperlink" Target="http://dx.doi.org/10.1109/TVCG.2014.2346445" TargetMode="External"/><Relationship Id="rId633" Type="http://schemas.openxmlformats.org/officeDocument/2006/relationships/hyperlink" Target="http://dx.doi.org/10.1109/TVCG.2014.2346444" TargetMode="External"/><Relationship Id="rId632" Type="http://schemas.openxmlformats.org/officeDocument/2006/relationships/hyperlink" Target="http://dx.doi.org/10.1109/TVCG.2014.2346441" TargetMode="External"/><Relationship Id="rId639" Type="http://schemas.openxmlformats.org/officeDocument/2006/relationships/hyperlink" Target="http://dx.doi.org/10.1109/TVCG.2014.2346979" TargetMode="External"/><Relationship Id="rId638" Type="http://schemas.openxmlformats.org/officeDocument/2006/relationships/hyperlink" Target="http://dx.doi.org/10.1109/TVCG.2014.2346978" TargetMode="External"/><Relationship Id="rId637" Type="http://schemas.openxmlformats.org/officeDocument/2006/relationships/hyperlink" Target="http://dx.doi.org/10.1109/TVCG.2014.2346456" TargetMode="External"/><Relationship Id="rId636" Type="http://schemas.openxmlformats.org/officeDocument/2006/relationships/hyperlink" Target="http://dx.doi.org/10.1109/TVCG.2014.2346454" TargetMode="External"/><Relationship Id="rId631" Type="http://schemas.openxmlformats.org/officeDocument/2006/relationships/hyperlink" Target="http://dx.doi.org/10.1109/TVCG.2014.2346437" TargetMode="External"/><Relationship Id="rId630" Type="http://schemas.openxmlformats.org/officeDocument/2006/relationships/hyperlink" Target="http://dx.doi.org/10.1109/TVCG.2014.2346435" TargetMode="External"/><Relationship Id="rId609" Type="http://schemas.openxmlformats.org/officeDocument/2006/relationships/hyperlink" Target="http://dx.doi.org/10.1109/TVCG.2014.2346279" TargetMode="External"/><Relationship Id="rId608" Type="http://schemas.openxmlformats.org/officeDocument/2006/relationships/hyperlink" Target="http://dx.doi.org/10.1109/TVCG.2014.2346277" TargetMode="External"/><Relationship Id="rId607" Type="http://schemas.openxmlformats.org/officeDocument/2006/relationships/hyperlink" Target="http://dx.doi.org/10.1109/TVCG.2014.2346276" TargetMode="External"/><Relationship Id="rId602" Type="http://schemas.openxmlformats.org/officeDocument/2006/relationships/hyperlink" Target="http://dx.doi.org/10.1109/TVCG.2014.2346258" TargetMode="External"/><Relationship Id="rId601" Type="http://schemas.openxmlformats.org/officeDocument/2006/relationships/hyperlink" Target="http://dx.doi.org/10.1109/TVCG.2014.2346250" TargetMode="External"/><Relationship Id="rId600" Type="http://schemas.openxmlformats.org/officeDocument/2006/relationships/hyperlink" Target="http://dx.doi.org/10.1109/TVCG.2014.2346249" TargetMode="External"/><Relationship Id="rId606" Type="http://schemas.openxmlformats.org/officeDocument/2006/relationships/hyperlink" Target="http://dx.doi.org/10.1109/TVCG.2014.2346274" TargetMode="External"/><Relationship Id="rId605" Type="http://schemas.openxmlformats.org/officeDocument/2006/relationships/hyperlink" Target="http://dx.doi.org/10.1109/TVCG.2014.2346271" TargetMode="External"/><Relationship Id="rId604" Type="http://schemas.openxmlformats.org/officeDocument/2006/relationships/hyperlink" Target="http://dx.doi.org/10.1109/TVCG.2014.2346265" TargetMode="External"/><Relationship Id="rId603" Type="http://schemas.openxmlformats.org/officeDocument/2006/relationships/hyperlink" Target="http://dx.doi.org/10.1109/TVCG.2014.2346260" TargetMode="External"/><Relationship Id="rId699" Type="http://schemas.openxmlformats.org/officeDocument/2006/relationships/hyperlink" Target="http://dx.doi.org/10.1109/TVCG.2014.2346754" TargetMode="External"/><Relationship Id="rId698" Type="http://schemas.openxmlformats.org/officeDocument/2006/relationships/hyperlink" Target="http://dx.doi.org/10.1109/TVCG.2014.2346753" TargetMode="External"/><Relationship Id="rId693" Type="http://schemas.openxmlformats.org/officeDocument/2006/relationships/hyperlink" Target="http://dx.doi.org/10.1109/TVCG.2014.2346744" TargetMode="External"/><Relationship Id="rId692" Type="http://schemas.openxmlformats.org/officeDocument/2006/relationships/hyperlink" Target="http://dx.doi.org/10.1109/TVCG.2014.2346743" TargetMode="External"/><Relationship Id="rId691" Type="http://schemas.openxmlformats.org/officeDocument/2006/relationships/hyperlink" Target="http://dx.doi.org/10.1109/TVCG.2014.2346682" TargetMode="External"/><Relationship Id="rId690" Type="http://schemas.openxmlformats.org/officeDocument/2006/relationships/hyperlink" Target="http://dx.doi.org/10.1109/TVCG.2014.2346677" TargetMode="External"/><Relationship Id="rId697" Type="http://schemas.openxmlformats.org/officeDocument/2006/relationships/hyperlink" Target="http://dx.doi.org/10.1109/TVCG.2014.2346752" TargetMode="External"/><Relationship Id="rId696" Type="http://schemas.openxmlformats.org/officeDocument/2006/relationships/hyperlink" Target="http://dx.doi.org/10.1109/TVCG.2014.2346751" TargetMode="External"/><Relationship Id="rId695" Type="http://schemas.openxmlformats.org/officeDocument/2006/relationships/hyperlink" Target="http://dx.doi.org/10.1109/TVCG.2014.2346747" TargetMode="External"/><Relationship Id="rId694" Type="http://schemas.openxmlformats.org/officeDocument/2006/relationships/hyperlink" Target="http://dx.doi.org/10.1109/TVCG.2014.2346746" TargetMode="External"/><Relationship Id="rId668" Type="http://schemas.openxmlformats.org/officeDocument/2006/relationships/hyperlink" Target="http://dx.doi.org/10.1109/TVCG.2014.2346446" TargetMode="External"/><Relationship Id="rId667" Type="http://schemas.openxmlformats.org/officeDocument/2006/relationships/hyperlink" Target="http://dx.doi.org/10.1109/TVCG.2014.2346442" TargetMode="External"/><Relationship Id="rId666" Type="http://schemas.openxmlformats.org/officeDocument/2006/relationships/hyperlink" Target="http://dx.doi.org/10.1109/TVCG.2014.2346434" TargetMode="External"/><Relationship Id="rId665" Type="http://schemas.openxmlformats.org/officeDocument/2006/relationships/hyperlink" Target="http://dx.doi.org/10.1109/TVCG.2014.2346432" TargetMode="External"/><Relationship Id="rId669" Type="http://schemas.openxmlformats.org/officeDocument/2006/relationships/hyperlink" Target="http://dx.doi.org/10.1109/TVCG.2014.2346447" TargetMode="External"/><Relationship Id="rId660" Type="http://schemas.openxmlformats.org/officeDocument/2006/relationships/hyperlink" Target="http://dx.doi.org/10.1109/TVCG.2014.2346415" TargetMode="External"/><Relationship Id="rId664" Type="http://schemas.openxmlformats.org/officeDocument/2006/relationships/hyperlink" Target="http://dx.doi.org/10.1109/TVCG.2014.2346425" TargetMode="External"/><Relationship Id="rId663" Type="http://schemas.openxmlformats.org/officeDocument/2006/relationships/hyperlink" Target="http://dx.doi.org/10.1109/TVCG.2014.2346423" TargetMode="External"/><Relationship Id="rId662" Type="http://schemas.openxmlformats.org/officeDocument/2006/relationships/hyperlink" Target="http://dx.doi.org/10.1109/TVCG.2014.2346418" TargetMode="External"/><Relationship Id="rId661" Type="http://schemas.openxmlformats.org/officeDocument/2006/relationships/hyperlink" Target="http://dx.doi.org/10.1109/TVCG.2014.2346416" TargetMode="External"/><Relationship Id="rId657" Type="http://schemas.openxmlformats.org/officeDocument/2006/relationships/hyperlink" Target="http://dx.doi.org/10.1109/TVCG.2014.2346406" TargetMode="External"/><Relationship Id="rId656" Type="http://schemas.openxmlformats.org/officeDocument/2006/relationships/hyperlink" Target="http://dx.doi.org/10.1109/TVCG.2014.2346405" TargetMode="External"/><Relationship Id="rId655" Type="http://schemas.openxmlformats.org/officeDocument/2006/relationships/hyperlink" Target="http://dx.doi.org/10.1109/TVCG.2014.2346404" TargetMode="External"/><Relationship Id="rId654" Type="http://schemas.openxmlformats.org/officeDocument/2006/relationships/hyperlink" Target="http://dx.doi.org/10.1109/TVCG.2014.2346403" TargetMode="External"/><Relationship Id="rId659" Type="http://schemas.openxmlformats.org/officeDocument/2006/relationships/hyperlink" Target="http://dx.doi.org/10.1109/TVCG.2014.2346412" TargetMode="External"/><Relationship Id="rId658" Type="http://schemas.openxmlformats.org/officeDocument/2006/relationships/hyperlink" Target="http://dx.doi.org/10.1109/TVCG.2014.2346411" TargetMode="External"/><Relationship Id="rId653" Type="http://schemas.openxmlformats.org/officeDocument/2006/relationships/hyperlink" Target="http://dx.doi.org/10.1109/TVCG.2014.2346371" TargetMode="External"/><Relationship Id="rId652" Type="http://schemas.openxmlformats.org/officeDocument/2006/relationships/hyperlink" Target="http://dx.doi.org/10.1109/TVCG.2014.2346352" TargetMode="External"/><Relationship Id="rId651" Type="http://schemas.openxmlformats.org/officeDocument/2006/relationships/hyperlink" Target="http://dx.doi.org/10.1109/TVCG.2014.2346351" TargetMode="External"/><Relationship Id="rId650" Type="http://schemas.openxmlformats.org/officeDocument/2006/relationships/hyperlink" Target="http://dx.doi.org/10.1109/TVCG.2014.2346333" TargetMode="External"/><Relationship Id="rId689" Type="http://schemas.openxmlformats.org/officeDocument/2006/relationships/hyperlink" Target="http://dx.doi.org/10.1109/TVCG.2014.2346665" TargetMode="External"/><Relationship Id="rId688" Type="http://schemas.openxmlformats.org/officeDocument/2006/relationships/hyperlink" Target="http://dx.doi.org/10.1109/TVCG.2014.2346660" TargetMode="External"/><Relationship Id="rId687" Type="http://schemas.openxmlformats.org/officeDocument/2006/relationships/hyperlink" Target="http://dx.doi.org/10.1109/TVCG.2014.2346626" TargetMode="External"/><Relationship Id="rId682" Type="http://schemas.openxmlformats.org/officeDocument/2006/relationships/hyperlink" Target="http://dx.doi.org/10.1109/TVCG.2014.2346574" TargetMode="External"/><Relationship Id="rId681" Type="http://schemas.openxmlformats.org/officeDocument/2006/relationships/hyperlink" Target="http://dx.doi.org/10.1109/TVCG.2014.2346573" TargetMode="External"/><Relationship Id="rId680" Type="http://schemas.openxmlformats.org/officeDocument/2006/relationships/hyperlink" Target="http://dx.doi.org/10.1109/TVCG.2014.2346572" TargetMode="External"/><Relationship Id="rId686" Type="http://schemas.openxmlformats.org/officeDocument/2006/relationships/hyperlink" Target="http://dx.doi.org/10.1109/TVCG.2014.2346594" TargetMode="External"/><Relationship Id="rId685" Type="http://schemas.openxmlformats.org/officeDocument/2006/relationships/hyperlink" Target="http://dx.doi.org/10.1109/TVCG.2014.2346591" TargetMode="External"/><Relationship Id="rId684" Type="http://schemas.openxmlformats.org/officeDocument/2006/relationships/hyperlink" Target="http://dx.doi.org/10.1109/TVCG.2014.2346578" TargetMode="External"/><Relationship Id="rId683" Type="http://schemas.openxmlformats.org/officeDocument/2006/relationships/hyperlink" Target="http://dx.doi.org/10.1109/TVCG.2014.2346575" TargetMode="External"/><Relationship Id="rId679" Type="http://schemas.openxmlformats.org/officeDocument/2006/relationships/hyperlink" Target="http://dx.doi.org/10.1109/TVCG.2014.2346482" TargetMode="External"/><Relationship Id="rId678" Type="http://schemas.openxmlformats.org/officeDocument/2006/relationships/hyperlink" Target="http://dx.doi.org/10.1109/TVCG.2014.2346481" TargetMode="External"/><Relationship Id="rId677" Type="http://schemas.openxmlformats.org/officeDocument/2006/relationships/hyperlink" Target="http://dx.doi.org/10.1109/TVCG.2014.2352952" TargetMode="External"/><Relationship Id="rId676" Type="http://schemas.openxmlformats.org/officeDocument/2006/relationships/hyperlink" Target="http://dx.doi.org/10.1109/TVCG.2014.2346459" TargetMode="External"/><Relationship Id="rId671" Type="http://schemas.openxmlformats.org/officeDocument/2006/relationships/hyperlink" Target="http://dx.doi.org/10.1109/TVCG.2014.2346449" TargetMode="External"/><Relationship Id="rId670" Type="http://schemas.openxmlformats.org/officeDocument/2006/relationships/hyperlink" Target="http://dx.doi.org/10.1109/TVCG.2014.2346448" TargetMode="External"/><Relationship Id="rId675" Type="http://schemas.openxmlformats.org/officeDocument/2006/relationships/hyperlink" Target="http://dx.doi.org/10.1109/TVCG.2014.2346458" TargetMode="External"/><Relationship Id="rId674" Type="http://schemas.openxmlformats.org/officeDocument/2006/relationships/hyperlink" Target="http://dx.doi.org/10.1109/TVCG.2014.2346457" TargetMode="External"/><Relationship Id="rId673" Type="http://schemas.openxmlformats.org/officeDocument/2006/relationships/hyperlink" Target="http://dx.doi.org/10.1109/TVCG.2014.2346455" TargetMode="External"/><Relationship Id="rId672" Type="http://schemas.openxmlformats.org/officeDocument/2006/relationships/hyperlink" Target="http://dx.doi.org/10.1109/TVCG.2014.2346451" TargetMode="External"/><Relationship Id="rId190" Type="http://schemas.openxmlformats.org/officeDocument/2006/relationships/hyperlink" Target="http://dx.doi.org/10.1109/VISUAL.1993.398863" TargetMode="External"/><Relationship Id="rId194" Type="http://schemas.openxmlformats.org/officeDocument/2006/relationships/hyperlink" Target="http://dx.doi.org/10.1109/VISUAL.1993.398867" TargetMode="External"/><Relationship Id="rId193" Type="http://schemas.openxmlformats.org/officeDocument/2006/relationships/hyperlink" Target="http://dx.doi.org/10.1109/VISUAL.1993.398866" TargetMode="External"/><Relationship Id="rId192" Type="http://schemas.openxmlformats.org/officeDocument/2006/relationships/hyperlink" Target="http://dx.doi.org/10.1109/VISUAL.1993.398865" TargetMode="External"/><Relationship Id="rId191" Type="http://schemas.openxmlformats.org/officeDocument/2006/relationships/hyperlink" Target="http://dx.doi.org/10.1109/VISUAL.1993.398864" TargetMode="External"/><Relationship Id="rId187" Type="http://schemas.openxmlformats.org/officeDocument/2006/relationships/hyperlink" Target="http://dx.doi.org/10.1109/VISUAL.1993.398860" TargetMode="External"/><Relationship Id="rId186" Type="http://schemas.openxmlformats.org/officeDocument/2006/relationships/hyperlink" Target="http://dx.doi.org/10.1109/VISUAL.1993.398859" TargetMode="External"/><Relationship Id="rId185" Type="http://schemas.openxmlformats.org/officeDocument/2006/relationships/hyperlink" Target="http://dx.doi.org/10.1109/VISUAL.1993.398858" TargetMode="External"/><Relationship Id="rId184" Type="http://schemas.openxmlformats.org/officeDocument/2006/relationships/hyperlink" Target="http://dx.doi.org/10.1109/VISUAL.1993.398857" TargetMode="External"/><Relationship Id="rId189" Type="http://schemas.openxmlformats.org/officeDocument/2006/relationships/hyperlink" Target="http://dx.doi.org/10.1109/VISUAL.1993.398862" TargetMode="External"/><Relationship Id="rId188" Type="http://schemas.openxmlformats.org/officeDocument/2006/relationships/hyperlink" Target="http://dx.doi.org/10.1109/VISUAL.1993.398861" TargetMode="External"/><Relationship Id="rId183" Type="http://schemas.openxmlformats.org/officeDocument/2006/relationships/hyperlink" Target="http://dx.doi.org/10.1109/VISUAL.1993.398856" TargetMode="External"/><Relationship Id="rId182" Type="http://schemas.openxmlformats.org/officeDocument/2006/relationships/hyperlink" Target="http://dx.doi.org/10.1109/VISUAL.1993.398855" TargetMode="External"/><Relationship Id="rId181" Type="http://schemas.openxmlformats.org/officeDocument/2006/relationships/hyperlink" Target="http://dx.doi.org/10.1109/VISUAL.1993.398854" TargetMode="External"/><Relationship Id="rId180" Type="http://schemas.openxmlformats.org/officeDocument/2006/relationships/hyperlink" Target="http://dx.doi.org/10.1109/VISUAL.1993.398853" TargetMode="External"/><Relationship Id="rId176" Type="http://schemas.openxmlformats.org/officeDocument/2006/relationships/hyperlink" Target="http://dx.doi.org/10.1109/VISUAL.1993.398849" TargetMode="External"/><Relationship Id="rId175" Type="http://schemas.openxmlformats.org/officeDocument/2006/relationships/hyperlink" Target="http://dx.doi.org/10.1109/VISUAL.1993.398848" TargetMode="External"/><Relationship Id="rId174" Type="http://schemas.openxmlformats.org/officeDocument/2006/relationships/hyperlink" Target="http://dx.doi.org/10.1109/VISUAL.1993.398847" TargetMode="External"/><Relationship Id="rId173" Type="http://schemas.openxmlformats.org/officeDocument/2006/relationships/hyperlink" Target="http://dx.doi.org/10.1109/VISUAL.1993.398846" TargetMode="External"/><Relationship Id="rId179" Type="http://schemas.openxmlformats.org/officeDocument/2006/relationships/hyperlink" Target="http://dx.doi.org/10.1109/VISUAL.1993.398852" TargetMode="External"/><Relationship Id="rId178" Type="http://schemas.openxmlformats.org/officeDocument/2006/relationships/hyperlink" Target="http://dx.doi.org/10.1109/VISUAL.1993.398851" TargetMode="External"/><Relationship Id="rId177" Type="http://schemas.openxmlformats.org/officeDocument/2006/relationships/hyperlink" Target="http://dx.doi.org/10.1109/VISUAL.1993.398850" TargetMode="External"/><Relationship Id="rId198" Type="http://schemas.openxmlformats.org/officeDocument/2006/relationships/hyperlink" Target="http://dx.doi.org/10.1109/VISUAL.1993.398871" TargetMode="External"/><Relationship Id="rId197" Type="http://schemas.openxmlformats.org/officeDocument/2006/relationships/hyperlink" Target="http://dx.doi.org/10.1109/VISUAL.1993.398870" TargetMode="External"/><Relationship Id="rId196" Type="http://schemas.openxmlformats.org/officeDocument/2006/relationships/hyperlink" Target="http://dx.doi.org/10.1109/VISUAL.1993.398869" TargetMode="External"/><Relationship Id="rId195" Type="http://schemas.openxmlformats.org/officeDocument/2006/relationships/hyperlink" Target="http://dx.doi.org/10.1109/VISUAL.1993.398868" TargetMode="External"/><Relationship Id="rId199" Type="http://schemas.openxmlformats.org/officeDocument/2006/relationships/hyperlink" Target="http://dx.doi.org/10.1109/VISUAL.1993.398872" TargetMode="External"/><Relationship Id="rId150" Type="http://schemas.openxmlformats.org/officeDocument/2006/relationships/hyperlink" Target="http://dx.doi.org/10.1109/VISUAL.1992.235210" TargetMode="External"/><Relationship Id="rId149" Type="http://schemas.openxmlformats.org/officeDocument/2006/relationships/hyperlink" Target="http://dx.doi.org/10.1109/VISUAL.1992.235209" TargetMode="External"/><Relationship Id="rId148" Type="http://schemas.openxmlformats.org/officeDocument/2006/relationships/hyperlink" Target="http://dx.doi.org/10.1109/VISUAL.1992.235208" TargetMode="External"/><Relationship Id="rId143" Type="http://schemas.openxmlformats.org/officeDocument/2006/relationships/hyperlink" Target="http://dx.doi.org/10.1109/VISUAL.1992.235203" TargetMode="External"/><Relationship Id="rId142" Type="http://schemas.openxmlformats.org/officeDocument/2006/relationships/hyperlink" Target="http://dx.doi.org/10.1109/VISUAL.1992.235202" TargetMode="External"/><Relationship Id="rId141" Type="http://schemas.openxmlformats.org/officeDocument/2006/relationships/hyperlink" Target="http://dx.doi.org/10.1109/VISUAL.1992.235201" TargetMode="External"/><Relationship Id="rId140" Type="http://schemas.openxmlformats.org/officeDocument/2006/relationships/hyperlink" Target="http://dx.doi.org/10.1109/VISUAL.1992.235200" TargetMode="External"/><Relationship Id="rId147" Type="http://schemas.openxmlformats.org/officeDocument/2006/relationships/hyperlink" Target="http://dx.doi.org/10.1109/VISUAL.1992.235207" TargetMode="External"/><Relationship Id="rId146" Type="http://schemas.openxmlformats.org/officeDocument/2006/relationships/hyperlink" Target="http://dx.doi.org/10.1109/VISUAL.1992.235206" TargetMode="External"/><Relationship Id="rId145" Type="http://schemas.openxmlformats.org/officeDocument/2006/relationships/hyperlink" Target="http://dx.doi.org/10.1109/VISUAL.1992.235205" TargetMode="External"/><Relationship Id="rId144" Type="http://schemas.openxmlformats.org/officeDocument/2006/relationships/hyperlink" Target="http://dx.doi.org/10.1109/VISUAL.1992.235204" TargetMode="External"/><Relationship Id="rId139" Type="http://schemas.openxmlformats.org/officeDocument/2006/relationships/hyperlink" Target="http://dx.doi.org/10.1109/VISUAL.1992.235199" TargetMode="External"/><Relationship Id="rId138" Type="http://schemas.openxmlformats.org/officeDocument/2006/relationships/hyperlink" Target="http://dx.doi.org/10.1109/VISUAL.1992.235198" TargetMode="External"/><Relationship Id="rId137" Type="http://schemas.openxmlformats.org/officeDocument/2006/relationships/hyperlink" Target="http://dx.doi.org/10.1109/VISUAL.1992.235197" TargetMode="External"/><Relationship Id="rId132" Type="http://schemas.openxmlformats.org/officeDocument/2006/relationships/hyperlink" Target="http://dx.doi.org/10.1109/VISUAL.1992.235192" TargetMode="External"/><Relationship Id="rId131" Type="http://schemas.openxmlformats.org/officeDocument/2006/relationships/hyperlink" Target="http://dx.doi.org/10.1109/VISUAL.1992.235191" TargetMode="External"/><Relationship Id="rId130" Type="http://schemas.openxmlformats.org/officeDocument/2006/relationships/hyperlink" Target="http://dx.doi.org/10.1109/VISUAL.1992.235190" TargetMode="External"/><Relationship Id="rId136" Type="http://schemas.openxmlformats.org/officeDocument/2006/relationships/hyperlink" Target="http://dx.doi.org/10.1109/VISUAL.1992.235196" TargetMode="External"/><Relationship Id="rId135" Type="http://schemas.openxmlformats.org/officeDocument/2006/relationships/hyperlink" Target="http://dx.doi.org/10.1109/VISUAL.1992.235195" TargetMode="External"/><Relationship Id="rId134" Type="http://schemas.openxmlformats.org/officeDocument/2006/relationships/hyperlink" Target="http://dx.doi.org/10.1109/VISUAL.1992.235194" TargetMode="External"/><Relationship Id="rId133" Type="http://schemas.openxmlformats.org/officeDocument/2006/relationships/hyperlink" Target="http://dx.doi.org/10.1109/VISUAL.1992.235193" TargetMode="External"/><Relationship Id="rId172" Type="http://schemas.openxmlformats.org/officeDocument/2006/relationships/hyperlink" Target="http://dx.doi.org/10.1109/VISUAL.1993.398845" TargetMode="External"/><Relationship Id="rId171" Type="http://schemas.openxmlformats.org/officeDocument/2006/relationships/hyperlink" Target="http://dx.doi.org/10.1109/VISUAL.1992.235231" TargetMode="External"/><Relationship Id="rId170" Type="http://schemas.openxmlformats.org/officeDocument/2006/relationships/hyperlink" Target="http://dx.doi.org/10.1109/VISUAL.1992.235230" TargetMode="External"/><Relationship Id="rId165" Type="http://schemas.openxmlformats.org/officeDocument/2006/relationships/hyperlink" Target="http://dx.doi.org/10.1109/VISUAL.1992.235225" TargetMode="External"/><Relationship Id="rId164" Type="http://schemas.openxmlformats.org/officeDocument/2006/relationships/hyperlink" Target="http://dx.doi.org/10.1109/VISUAL.1992.235224" TargetMode="External"/><Relationship Id="rId163" Type="http://schemas.openxmlformats.org/officeDocument/2006/relationships/hyperlink" Target="http://dx.doi.org/10.1109/VISUAL.1992.235223" TargetMode="External"/><Relationship Id="rId162" Type="http://schemas.openxmlformats.org/officeDocument/2006/relationships/hyperlink" Target="http://dx.doi.org/10.1109/VISUAL.1992.235222" TargetMode="External"/><Relationship Id="rId169" Type="http://schemas.openxmlformats.org/officeDocument/2006/relationships/hyperlink" Target="http://dx.doi.org/10.1109/VISUAL.1992.235229" TargetMode="External"/><Relationship Id="rId168" Type="http://schemas.openxmlformats.org/officeDocument/2006/relationships/hyperlink" Target="http://dx.doi.org/10.1109/VISUAL.1992.235228" TargetMode="External"/><Relationship Id="rId167" Type="http://schemas.openxmlformats.org/officeDocument/2006/relationships/hyperlink" Target="http://dx.doi.org/10.1109/VISUAL.1992.235227" TargetMode="External"/><Relationship Id="rId166" Type="http://schemas.openxmlformats.org/officeDocument/2006/relationships/hyperlink" Target="http://dx.doi.org/10.1109/VISUAL.1992.235226" TargetMode="External"/><Relationship Id="rId161" Type="http://schemas.openxmlformats.org/officeDocument/2006/relationships/hyperlink" Target="http://dx.doi.org/10.1109/VISUAL.1992.235221" TargetMode="External"/><Relationship Id="rId160" Type="http://schemas.openxmlformats.org/officeDocument/2006/relationships/hyperlink" Target="http://dx.doi.org/10.1109/VISUAL.1992.235220" TargetMode="External"/><Relationship Id="rId159" Type="http://schemas.openxmlformats.org/officeDocument/2006/relationships/hyperlink" Target="http://dx.doi.org/10.1109/VISUAL.1992.235219" TargetMode="External"/><Relationship Id="rId154" Type="http://schemas.openxmlformats.org/officeDocument/2006/relationships/hyperlink" Target="http://dx.doi.org/10.1109/VISUAL.1992.235214" TargetMode="External"/><Relationship Id="rId153" Type="http://schemas.openxmlformats.org/officeDocument/2006/relationships/hyperlink" Target="http://dx.doi.org/10.1109/VISUAL.1992.235213" TargetMode="External"/><Relationship Id="rId152" Type="http://schemas.openxmlformats.org/officeDocument/2006/relationships/hyperlink" Target="http://dx.doi.org/10.1109/VISUAL.1992.235212" TargetMode="External"/><Relationship Id="rId151" Type="http://schemas.openxmlformats.org/officeDocument/2006/relationships/hyperlink" Target="http://dx.doi.org/10.1109/VISUAL.1992.235211" TargetMode="External"/><Relationship Id="rId158" Type="http://schemas.openxmlformats.org/officeDocument/2006/relationships/hyperlink" Target="http://dx.doi.org/10.1109/VISUAL.1992.235218" TargetMode="External"/><Relationship Id="rId157" Type="http://schemas.openxmlformats.org/officeDocument/2006/relationships/hyperlink" Target="http://dx.doi.org/10.1109/VISUAL.1992.235217" TargetMode="External"/><Relationship Id="rId156" Type="http://schemas.openxmlformats.org/officeDocument/2006/relationships/hyperlink" Target="http://dx.doi.org/10.1109/VISUAL.1992.235216" TargetMode="External"/><Relationship Id="rId155" Type="http://schemas.openxmlformats.org/officeDocument/2006/relationships/hyperlink" Target="http://dx.doi.org/10.1109/VISUAL.1992.235215" TargetMode="External"/><Relationship Id="rId987" Type="http://schemas.openxmlformats.org/officeDocument/2006/relationships/hyperlink" Target="http://dx.doi.org/10.1109/TVCG.2016.2598829" TargetMode="External"/><Relationship Id="rId986" Type="http://schemas.openxmlformats.org/officeDocument/2006/relationships/hyperlink" Target="http://dx.doi.org/10.1109/TVCG.2016.2598828" TargetMode="External"/><Relationship Id="rId985" Type="http://schemas.openxmlformats.org/officeDocument/2006/relationships/hyperlink" Target="http://dx.doi.org/10.1109/TVCG.2016.2598797" TargetMode="External"/><Relationship Id="rId984" Type="http://schemas.openxmlformats.org/officeDocument/2006/relationships/hyperlink" Target="http://dx.doi.org/10.1109/TVCG.2016.2598796" TargetMode="External"/><Relationship Id="rId989" Type="http://schemas.openxmlformats.org/officeDocument/2006/relationships/hyperlink" Target="http://dx.doi.org/10.1109/TVCG.2016.2598831" TargetMode="External"/><Relationship Id="rId988" Type="http://schemas.openxmlformats.org/officeDocument/2006/relationships/hyperlink" Target="http://dx.doi.org/10.1109/TVCG.2016.2598830" TargetMode="External"/><Relationship Id="rId983" Type="http://schemas.openxmlformats.org/officeDocument/2006/relationships/hyperlink" Target="http://dx.doi.org/10.1109/TVCG.2016.2598695" TargetMode="External"/><Relationship Id="rId982" Type="http://schemas.openxmlformats.org/officeDocument/2006/relationships/hyperlink" Target="http://dx.doi.org/10.1109/TVCG.2016.2598664" TargetMode="External"/><Relationship Id="rId981" Type="http://schemas.openxmlformats.org/officeDocument/2006/relationships/hyperlink" Target="http://dx.doi.org/10.1109/TVCG.2016.2598545" TargetMode="External"/><Relationship Id="rId980" Type="http://schemas.openxmlformats.org/officeDocument/2006/relationships/hyperlink" Target="http://dx.doi.org/10.1109/TVCG.2016.2598544" TargetMode="External"/><Relationship Id="rId976" Type="http://schemas.openxmlformats.org/officeDocument/2006/relationships/hyperlink" Target="http://dx.doi.org/10.1109/TVCG.2016.2598479" TargetMode="External"/><Relationship Id="rId975" Type="http://schemas.openxmlformats.org/officeDocument/2006/relationships/hyperlink" Target="http://dx.doi.org/10.1109/TVCG.2016.2598472" TargetMode="External"/><Relationship Id="rId974" Type="http://schemas.openxmlformats.org/officeDocument/2006/relationships/hyperlink" Target="http://dx.doi.org/10.1109/TVCG.2016.2598471" TargetMode="External"/><Relationship Id="rId973" Type="http://schemas.openxmlformats.org/officeDocument/2006/relationships/hyperlink" Target="http://dx.doi.org/10.1109/TVCG.2016.2598470" TargetMode="External"/><Relationship Id="rId979" Type="http://schemas.openxmlformats.org/officeDocument/2006/relationships/hyperlink" Target="http://dx.doi.org/10.1109/TVCG.2016.2598543" TargetMode="External"/><Relationship Id="rId978" Type="http://schemas.openxmlformats.org/officeDocument/2006/relationships/hyperlink" Target="http://dx.doi.org/10.1109/TVCG.2016.2598497" TargetMode="External"/><Relationship Id="rId977" Type="http://schemas.openxmlformats.org/officeDocument/2006/relationships/hyperlink" Target="http://dx.doi.org/10.1109/TVCG.2016.2598495" TargetMode="External"/><Relationship Id="rId972" Type="http://schemas.openxmlformats.org/officeDocument/2006/relationships/hyperlink" Target="http://dx.doi.org/10.1109/TVCG.2016.2598469" TargetMode="External"/><Relationship Id="rId971" Type="http://schemas.openxmlformats.org/officeDocument/2006/relationships/hyperlink" Target="http://dx.doi.org/10.1109/TVCG.2016.2598468" TargetMode="External"/><Relationship Id="rId970" Type="http://schemas.openxmlformats.org/officeDocument/2006/relationships/hyperlink" Target="http://dx.doi.org/10.1109/TVCG.2016.2598467" TargetMode="External"/><Relationship Id="rId998" Type="http://schemas.openxmlformats.org/officeDocument/2006/relationships/hyperlink" Target="http://dx.doi.org/10.1109/VAST.2016.7883512" TargetMode="External"/><Relationship Id="rId997" Type="http://schemas.openxmlformats.org/officeDocument/2006/relationships/hyperlink" Target="http://dx.doi.org/10.1109/VAST.2016.7883511" TargetMode="External"/><Relationship Id="rId996" Type="http://schemas.openxmlformats.org/officeDocument/2006/relationships/hyperlink" Target="http://dx.doi.org/10.1109/VAST.2016.7883510" TargetMode="External"/><Relationship Id="rId995" Type="http://schemas.openxmlformats.org/officeDocument/2006/relationships/hyperlink" Target="http://dx.doi.org/10.1109/VAST.2016.7883509" TargetMode="External"/><Relationship Id="rId999" Type="http://schemas.openxmlformats.org/officeDocument/2006/relationships/hyperlink" Target="http://dx.doi.org/10.1109/VAST.2016.7883513" TargetMode="External"/><Relationship Id="rId990" Type="http://schemas.openxmlformats.org/officeDocument/2006/relationships/hyperlink" Target="http://dx.doi.org/10.1109/TVCG.2016.2598838" TargetMode="External"/><Relationship Id="rId994" Type="http://schemas.openxmlformats.org/officeDocument/2006/relationships/hyperlink" Target="http://dx.doi.org/10.1109/VAST.2016.7883508" TargetMode="External"/><Relationship Id="rId993" Type="http://schemas.openxmlformats.org/officeDocument/2006/relationships/hyperlink" Target="http://dx.doi.org/10.1109/VAST.2016.7883507" TargetMode="External"/><Relationship Id="rId992" Type="http://schemas.openxmlformats.org/officeDocument/2006/relationships/hyperlink" Target="http://dx.doi.org/10.1109/VAST.2016.7883506" TargetMode="External"/><Relationship Id="rId991" Type="http://schemas.openxmlformats.org/officeDocument/2006/relationships/hyperlink" Target="http://dx.doi.org/10.1109/TVCG.2016.2599378" TargetMode="External"/><Relationship Id="rId949" Type="http://schemas.openxmlformats.org/officeDocument/2006/relationships/hyperlink" Target="http://dx.doi.org/10.1109/TVCG.2016.2599017" TargetMode="External"/><Relationship Id="rId948" Type="http://schemas.openxmlformats.org/officeDocument/2006/relationships/hyperlink" Target="http://dx.doi.org/10.1109/TVCG.2016.2599016" TargetMode="External"/><Relationship Id="rId943" Type="http://schemas.openxmlformats.org/officeDocument/2006/relationships/hyperlink" Target="http://dx.doi.org/10.1109/TVCG.2016.2598866" TargetMode="External"/><Relationship Id="rId942" Type="http://schemas.openxmlformats.org/officeDocument/2006/relationships/hyperlink" Target="http://dx.doi.org/10.1109/TVCG.2016.2598827" TargetMode="External"/><Relationship Id="rId941" Type="http://schemas.openxmlformats.org/officeDocument/2006/relationships/hyperlink" Target="http://dx.doi.org/10.1109/TVCG.2016.2598826" TargetMode="External"/><Relationship Id="rId940" Type="http://schemas.openxmlformats.org/officeDocument/2006/relationships/hyperlink" Target="http://dx.doi.org/10.1109/TVCG.2016.2598825" TargetMode="External"/><Relationship Id="rId947" Type="http://schemas.openxmlformats.org/officeDocument/2006/relationships/hyperlink" Target="http://dx.doi.org/10.1109/TVCG.2016.2598998" TargetMode="External"/><Relationship Id="rId946" Type="http://schemas.openxmlformats.org/officeDocument/2006/relationships/hyperlink" Target="http://dx.doi.org/10.1109/TVCG.2016.2598870" TargetMode="External"/><Relationship Id="rId945" Type="http://schemas.openxmlformats.org/officeDocument/2006/relationships/hyperlink" Target="http://dx.doi.org/10.1109/TVCG.2016.2598869" TargetMode="External"/><Relationship Id="rId944" Type="http://schemas.openxmlformats.org/officeDocument/2006/relationships/hyperlink" Target="http://dx.doi.org/10.1109/TVCG.2016.2598868" TargetMode="External"/><Relationship Id="rId939" Type="http://schemas.openxmlformats.org/officeDocument/2006/relationships/hyperlink" Target="http://dx.doi.org/10.1109/TVCG.2016.2598824" TargetMode="External"/><Relationship Id="rId938" Type="http://schemas.openxmlformats.org/officeDocument/2006/relationships/hyperlink" Target="http://dx.doi.org/10.1109/TVCG.2016.2598795" TargetMode="External"/><Relationship Id="rId937" Type="http://schemas.openxmlformats.org/officeDocument/2006/relationships/hyperlink" Target="http://dx.doi.org/10.1109/TVCG.2016.2598791" TargetMode="External"/><Relationship Id="rId932" Type="http://schemas.openxmlformats.org/officeDocument/2006/relationships/hyperlink" Target="http://dx.doi.org/10.1109/TVCG.2016.2598602" TargetMode="External"/><Relationship Id="rId931" Type="http://schemas.openxmlformats.org/officeDocument/2006/relationships/hyperlink" Target="http://dx.doi.org/10.1109/TVCG.2016.2598585" TargetMode="External"/><Relationship Id="rId930" Type="http://schemas.openxmlformats.org/officeDocument/2006/relationships/hyperlink" Target="http://dx.doi.org/10.1109/TVCG.2016.2598448" TargetMode="External"/><Relationship Id="rId936" Type="http://schemas.openxmlformats.org/officeDocument/2006/relationships/hyperlink" Target="http://dx.doi.org/10.1109/TVCG.2016.2598790" TargetMode="External"/><Relationship Id="rId935" Type="http://schemas.openxmlformats.org/officeDocument/2006/relationships/hyperlink" Target="http://dx.doi.org/10.1109/TVCG.2016.2598789" TargetMode="External"/><Relationship Id="rId934" Type="http://schemas.openxmlformats.org/officeDocument/2006/relationships/hyperlink" Target="http://dx.doi.org/10.1109/TVCG.2016.2598604" TargetMode="External"/><Relationship Id="rId933" Type="http://schemas.openxmlformats.org/officeDocument/2006/relationships/hyperlink" Target="http://dx.doi.org/10.1109/TVCG.2016.2598603" TargetMode="External"/><Relationship Id="rId965" Type="http://schemas.openxmlformats.org/officeDocument/2006/relationships/hyperlink" Target="http://dx.doi.org/10.1109/TVCG.2016.2598447" TargetMode="External"/><Relationship Id="rId964" Type="http://schemas.openxmlformats.org/officeDocument/2006/relationships/hyperlink" Target="http://dx.doi.org/10.1109/TVCG.2016.2598446" TargetMode="External"/><Relationship Id="rId963" Type="http://schemas.openxmlformats.org/officeDocument/2006/relationships/hyperlink" Target="http://dx.doi.org/10.1109/TVCG.2016.2598445" TargetMode="External"/><Relationship Id="rId962" Type="http://schemas.openxmlformats.org/officeDocument/2006/relationships/hyperlink" Target="http://dx.doi.org/10.1109/TVCG.2016.2598444" TargetMode="External"/><Relationship Id="rId969" Type="http://schemas.openxmlformats.org/officeDocument/2006/relationships/hyperlink" Target="http://dx.doi.org/10.1109/TVCG.2016.2598466" TargetMode="External"/><Relationship Id="rId968" Type="http://schemas.openxmlformats.org/officeDocument/2006/relationships/hyperlink" Target="http://dx.doi.org/10.1109/TVCG.2016.2598465" TargetMode="External"/><Relationship Id="rId967" Type="http://schemas.openxmlformats.org/officeDocument/2006/relationships/hyperlink" Target="http://dx.doi.org/10.1109/TVCG.2016.2598463" TargetMode="External"/><Relationship Id="rId966" Type="http://schemas.openxmlformats.org/officeDocument/2006/relationships/hyperlink" Target="http://dx.doi.org/10.1109/TVCG.2016.2598460" TargetMode="External"/><Relationship Id="rId961" Type="http://schemas.openxmlformats.org/officeDocument/2006/relationships/hyperlink" Target="http://dx.doi.org/10.1109/TVCG.2016.2598432" TargetMode="External"/><Relationship Id="rId960" Type="http://schemas.openxmlformats.org/officeDocument/2006/relationships/hyperlink" Target="http://dx.doi.org/10.1109/TVCG.2016.2598416" TargetMode="External"/><Relationship Id="rId959" Type="http://schemas.openxmlformats.org/officeDocument/2006/relationships/hyperlink" Target="http://dx.doi.org/10.1109/TVCG.2016.2598415" TargetMode="External"/><Relationship Id="rId954" Type="http://schemas.openxmlformats.org/officeDocument/2006/relationships/hyperlink" Target="http://dx.doi.org/10.1109/TVCG.2016.2599043" TargetMode="External"/><Relationship Id="rId953" Type="http://schemas.openxmlformats.org/officeDocument/2006/relationships/hyperlink" Target="http://dx.doi.org/10.1109/TVCG.2016.2599042" TargetMode="External"/><Relationship Id="rId952" Type="http://schemas.openxmlformats.org/officeDocument/2006/relationships/hyperlink" Target="http://dx.doi.org/10.1109/TVCG.2016.2599041" TargetMode="External"/><Relationship Id="rId951" Type="http://schemas.openxmlformats.org/officeDocument/2006/relationships/hyperlink" Target="http://dx.doi.org/10.1109/TVCG.2016.2599040" TargetMode="External"/><Relationship Id="rId958" Type="http://schemas.openxmlformats.org/officeDocument/2006/relationships/hyperlink" Target="http://dx.doi.org/10.1109/TVCG.2016.2599217" TargetMode="External"/><Relationship Id="rId957" Type="http://schemas.openxmlformats.org/officeDocument/2006/relationships/hyperlink" Target="http://dx.doi.org/10.1109/TVCG.2016.2599214" TargetMode="External"/><Relationship Id="rId956" Type="http://schemas.openxmlformats.org/officeDocument/2006/relationships/hyperlink" Target="http://dx.doi.org/10.1109/TVCG.2016.2599211" TargetMode="External"/><Relationship Id="rId955" Type="http://schemas.openxmlformats.org/officeDocument/2006/relationships/hyperlink" Target="http://dx.doi.org/10.1109/TVCG.2016.2599049" TargetMode="External"/><Relationship Id="rId950" Type="http://schemas.openxmlformats.org/officeDocument/2006/relationships/hyperlink" Target="http://dx.doi.org/10.1109/TVCG.2016.2599018" TargetMode="External"/><Relationship Id="rId107" Type="http://schemas.openxmlformats.org/officeDocument/2006/relationships/hyperlink" Target="http://dx.doi.org/10.1109/VISUAL.1991.175833" TargetMode="External"/><Relationship Id="rId106" Type="http://schemas.openxmlformats.org/officeDocument/2006/relationships/hyperlink" Target="http://dx.doi.org/10.1109/VISUAL.1991.175832" TargetMode="External"/><Relationship Id="rId105" Type="http://schemas.openxmlformats.org/officeDocument/2006/relationships/hyperlink" Target="http://dx.doi.org/10.1109/VISUAL.1991.175831" TargetMode="External"/><Relationship Id="rId104" Type="http://schemas.openxmlformats.org/officeDocument/2006/relationships/hyperlink" Target="http://dx.doi.org/10.1109/VISUAL.1991.175830" TargetMode="External"/><Relationship Id="rId109" Type="http://schemas.openxmlformats.org/officeDocument/2006/relationships/hyperlink" Target="http://dx.doi.org/10.1109/VISUAL.1991.175835" TargetMode="External"/><Relationship Id="rId108" Type="http://schemas.openxmlformats.org/officeDocument/2006/relationships/hyperlink" Target="http://dx.doi.org/10.1109/VISUAL.1991.175834" TargetMode="External"/><Relationship Id="rId103" Type="http://schemas.openxmlformats.org/officeDocument/2006/relationships/hyperlink" Target="http://dx.doi.org/10.1109/VISUAL.1991.175828" TargetMode="External"/><Relationship Id="rId102" Type="http://schemas.openxmlformats.org/officeDocument/2006/relationships/hyperlink" Target="http://dx.doi.org/10.1109/VISUAL.1991.175827" TargetMode="External"/><Relationship Id="rId101" Type="http://schemas.openxmlformats.org/officeDocument/2006/relationships/hyperlink" Target="http://dx.doi.org/10.1109/VISUAL.1991.175826" TargetMode="External"/><Relationship Id="rId100" Type="http://schemas.openxmlformats.org/officeDocument/2006/relationships/hyperlink" Target="http://dx.doi.org/10.1109/VISUAL.1991.175825" TargetMode="External"/><Relationship Id="rId129" Type="http://schemas.openxmlformats.org/officeDocument/2006/relationships/hyperlink" Target="http://dx.doi.org/10.1109/VISUAL.1992.235189" TargetMode="External"/><Relationship Id="rId128" Type="http://schemas.openxmlformats.org/officeDocument/2006/relationships/hyperlink" Target="http://dx.doi.org/10.1109/VISUAL.1992.235188" TargetMode="External"/><Relationship Id="rId127" Type="http://schemas.openxmlformats.org/officeDocument/2006/relationships/hyperlink" Target="http://dx.doi.org/10.1109/VISUAL.1992.235187" TargetMode="External"/><Relationship Id="rId126" Type="http://schemas.openxmlformats.org/officeDocument/2006/relationships/hyperlink" Target="http://dx.doi.org/10.1109/VISUAL.1992.235186" TargetMode="External"/><Relationship Id="rId121" Type="http://schemas.openxmlformats.org/officeDocument/2006/relationships/hyperlink" Target="http://dx.doi.org/10.1109/VISUAL.1992.235181" TargetMode="External"/><Relationship Id="rId120" Type="http://schemas.openxmlformats.org/officeDocument/2006/relationships/hyperlink" Target="http://dx.doi.org/10.1109/VISUAL.1992.235180" TargetMode="External"/><Relationship Id="rId125" Type="http://schemas.openxmlformats.org/officeDocument/2006/relationships/hyperlink" Target="http://dx.doi.org/10.1109/VISUAL.1992.235185" TargetMode="External"/><Relationship Id="rId124" Type="http://schemas.openxmlformats.org/officeDocument/2006/relationships/hyperlink" Target="http://dx.doi.org/10.1109/VISUAL.1992.235184" TargetMode="External"/><Relationship Id="rId123" Type="http://schemas.openxmlformats.org/officeDocument/2006/relationships/hyperlink" Target="http://dx.doi.org/10.1109/VISUAL.1992.235183" TargetMode="External"/><Relationship Id="rId122" Type="http://schemas.openxmlformats.org/officeDocument/2006/relationships/hyperlink" Target="http://dx.doi.org/10.1109/VISUAL.1992.235182" TargetMode="External"/><Relationship Id="rId118" Type="http://schemas.openxmlformats.org/officeDocument/2006/relationships/hyperlink" Target="http://dx.doi.org/10.1109/VISUAL.1992.235178" TargetMode="External"/><Relationship Id="rId117" Type="http://schemas.openxmlformats.org/officeDocument/2006/relationships/hyperlink" Target="http://dx.doi.org/10.1109/VISUAL.1992.235177" TargetMode="External"/><Relationship Id="rId116" Type="http://schemas.openxmlformats.org/officeDocument/2006/relationships/hyperlink" Target="http://dx.doi.org/10.1109/VISUAL.1992.235176" TargetMode="External"/><Relationship Id="rId115" Type="http://schemas.openxmlformats.org/officeDocument/2006/relationships/hyperlink" Target="http://dx.doi.org/10.1109/VISUAL.1992.235175" TargetMode="External"/><Relationship Id="rId119" Type="http://schemas.openxmlformats.org/officeDocument/2006/relationships/hyperlink" Target="http://dx.doi.org/10.1109/VISUAL.1992.235179" TargetMode="External"/><Relationship Id="rId110" Type="http://schemas.openxmlformats.org/officeDocument/2006/relationships/hyperlink" Target="http://dx.doi.org/10.1109/VISUAL.1991.175836" TargetMode="External"/><Relationship Id="rId114" Type="http://schemas.openxmlformats.org/officeDocument/2006/relationships/hyperlink" Target="http://dx.doi.org/10.1109/VISUAL.1992.235174" TargetMode="External"/><Relationship Id="rId113" Type="http://schemas.openxmlformats.org/officeDocument/2006/relationships/hyperlink" Target="http://dx.doi.org/10.1109/VISUAL.1992.235173" TargetMode="External"/><Relationship Id="rId112" Type="http://schemas.openxmlformats.org/officeDocument/2006/relationships/hyperlink" Target="http://dx.doi.org/10.1109/VISUAL.1991.175838" TargetMode="External"/><Relationship Id="rId111" Type="http://schemas.openxmlformats.org/officeDocument/2006/relationships/hyperlink" Target="http://dx.doi.org/10.1109/VISUAL.1991.175837" TargetMode="External"/><Relationship Id="rId907" Type="http://schemas.openxmlformats.org/officeDocument/2006/relationships/hyperlink" Target="http://dx.doi.org/10.1109/TVCG.2016.2598618" TargetMode="External"/><Relationship Id="rId906" Type="http://schemas.openxmlformats.org/officeDocument/2006/relationships/hyperlink" Target="http://dx.doi.org/10.1109/TVCG.2016.2598609" TargetMode="External"/><Relationship Id="rId905" Type="http://schemas.openxmlformats.org/officeDocument/2006/relationships/hyperlink" Target="http://dx.doi.org/10.1109/TVCG.2016.2598608" TargetMode="External"/><Relationship Id="rId904" Type="http://schemas.openxmlformats.org/officeDocument/2006/relationships/hyperlink" Target="http://dx.doi.org/10.1109/TVCG.2016.2598594" TargetMode="External"/><Relationship Id="rId909" Type="http://schemas.openxmlformats.org/officeDocument/2006/relationships/hyperlink" Target="http://dx.doi.org/10.1109/TVCG.2016.2598620" TargetMode="External"/><Relationship Id="rId908" Type="http://schemas.openxmlformats.org/officeDocument/2006/relationships/hyperlink" Target="http://dx.doi.org/10.1109/TVCG.2016.2598619" TargetMode="External"/><Relationship Id="rId903" Type="http://schemas.openxmlformats.org/officeDocument/2006/relationships/hyperlink" Target="http://dx.doi.org/10.1109/TVCG.2016.2598592" TargetMode="External"/><Relationship Id="rId902" Type="http://schemas.openxmlformats.org/officeDocument/2006/relationships/hyperlink" Target="http://dx.doi.org/10.1109/TVCG.2016.2598591" TargetMode="External"/><Relationship Id="rId901" Type="http://schemas.openxmlformats.org/officeDocument/2006/relationships/hyperlink" Target="http://dx.doi.org/10.1109/TVCG.2016.2598590" TargetMode="External"/><Relationship Id="rId900" Type="http://schemas.openxmlformats.org/officeDocument/2006/relationships/hyperlink" Target="http://dx.doi.org/10.1109/TVCG.2016.2598589" TargetMode="External"/><Relationship Id="rId929" Type="http://schemas.openxmlformats.org/officeDocument/2006/relationships/hyperlink" Target="http://dx.doi.org/10.1109/TVCG.2016.2598430" TargetMode="External"/><Relationship Id="rId928" Type="http://schemas.openxmlformats.org/officeDocument/2006/relationships/hyperlink" Target="http://dx.doi.org/10.1109/TVCG.2016.2599338" TargetMode="External"/><Relationship Id="rId927" Type="http://schemas.openxmlformats.org/officeDocument/2006/relationships/hyperlink" Target="http://dx.doi.org/10.1109/TVCG.2016.2599107" TargetMode="External"/><Relationship Id="rId926" Type="http://schemas.openxmlformats.org/officeDocument/2006/relationships/hyperlink" Target="http://dx.doi.org/10.1109/TVCG.2016.2599106" TargetMode="External"/><Relationship Id="rId921" Type="http://schemas.openxmlformats.org/officeDocument/2006/relationships/hyperlink" Target="http://dx.doi.org/10.1109/TVCG.2016.2598919" TargetMode="External"/><Relationship Id="rId920" Type="http://schemas.openxmlformats.org/officeDocument/2006/relationships/hyperlink" Target="http://dx.doi.org/10.1109/TVCG.2016.2598918" TargetMode="External"/><Relationship Id="rId925" Type="http://schemas.openxmlformats.org/officeDocument/2006/relationships/hyperlink" Target="http://dx.doi.org/10.1109/TVCG.2016.2599058" TargetMode="External"/><Relationship Id="rId924" Type="http://schemas.openxmlformats.org/officeDocument/2006/relationships/hyperlink" Target="http://dx.doi.org/10.1109/TVCG.2016.2599030" TargetMode="External"/><Relationship Id="rId923" Type="http://schemas.openxmlformats.org/officeDocument/2006/relationships/hyperlink" Target="http://dx.doi.org/10.1109/TVCG.2016.2598958" TargetMode="External"/><Relationship Id="rId922" Type="http://schemas.openxmlformats.org/officeDocument/2006/relationships/hyperlink" Target="http://dx.doi.org/10.1109/TVCG.2016.2598920" TargetMode="External"/><Relationship Id="rId918" Type="http://schemas.openxmlformats.org/officeDocument/2006/relationships/hyperlink" Target="http://dx.doi.org/10.1109/TVCG.2016.2598885" TargetMode="External"/><Relationship Id="rId917" Type="http://schemas.openxmlformats.org/officeDocument/2006/relationships/hyperlink" Target="http://dx.doi.org/10.1109/TVCG.2016.2598876" TargetMode="External"/><Relationship Id="rId916" Type="http://schemas.openxmlformats.org/officeDocument/2006/relationships/hyperlink" Target="http://dx.doi.org/10.1109/TVCG.2016.2598867" TargetMode="External"/><Relationship Id="rId915" Type="http://schemas.openxmlformats.org/officeDocument/2006/relationships/hyperlink" Target="http://dx.doi.org/10.1109/TVCG.2016.2598862" TargetMode="External"/><Relationship Id="rId919" Type="http://schemas.openxmlformats.org/officeDocument/2006/relationships/hyperlink" Target="http://dx.doi.org/10.1109/TVCG.2016.2598898" TargetMode="External"/><Relationship Id="rId910" Type="http://schemas.openxmlformats.org/officeDocument/2006/relationships/hyperlink" Target="http://dx.doi.org/10.1109/TVCG.2016.2598624" TargetMode="External"/><Relationship Id="rId914" Type="http://schemas.openxmlformats.org/officeDocument/2006/relationships/hyperlink" Target="http://dx.doi.org/10.1109/TVCG.2016.2598839" TargetMode="External"/><Relationship Id="rId913" Type="http://schemas.openxmlformats.org/officeDocument/2006/relationships/hyperlink" Target="http://dx.doi.org/10.1109/TVCG.2016.2598694" TargetMode="External"/><Relationship Id="rId912" Type="http://schemas.openxmlformats.org/officeDocument/2006/relationships/hyperlink" Target="http://dx.doi.org/10.1109/TVCG.2016.2598667" TargetMode="External"/><Relationship Id="rId911" Type="http://schemas.openxmlformats.org/officeDocument/2006/relationships/hyperlink" Target="http://dx.doi.org/10.1109/TVCG.2016.2598647" TargetMode="External"/><Relationship Id="rId866" Type="http://schemas.openxmlformats.org/officeDocument/2006/relationships/hyperlink" Target="http://dx.doi.org/10.1109/VAST.2015.7347631" TargetMode="External"/><Relationship Id="rId865" Type="http://schemas.openxmlformats.org/officeDocument/2006/relationships/hyperlink" Target="http://dx.doi.org/10.1109/VAST.2015.7347630" TargetMode="External"/><Relationship Id="rId864" Type="http://schemas.openxmlformats.org/officeDocument/2006/relationships/hyperlink" Target="http://dx.doi.org/10.1109/VAST.2015.7347629" TargetMode="External"/><Relationship Id="rId863" Type="http://schemas.openxmlformats.org/officeDocument/2006/relationships/hyperlink" Target="http://dx.doi.org/10.1109/VAST.2015.7347628" TargetMode="External"/><Relationship Id="rId869" Type="http://schemas.openxmlformats.org/officeDocument/2006/relationships/hyperlink" Target="http://dx.doi.org/10.1109/VAST.2015.7347634" TargetMode="External"/><Relationship Id="rId868" Type="http://schemas.openxmlformats.org/officeDocument/2006/relationships/hyperlink" Target="http://dx.doi.org/10.1109/VAST.2015.7347633" TargetMode="External"/><Relationship Id="rId867" Type="http://schemas.openxmlformats.org/officeDocument/2006/relationships/hyperlink" Target="http://dx.doi.org/10.1109/VAST.2015.7347632" TargetMode="External"/><Relationship Id="rId862" Type="http://schemas.openxmlformats.org/officeDocument/2006/relationships/hyperlink" Target="http://dx.doi.org/10.1109/VAST.2015.7347627" TargetMode="External"/><Relationship Id="rId861" Type="http://schemas.openxmlformats.org/officeDocument/2006/relationships/hyperlink" Target="http://dx.doi.org/10.1109/VAST.2015.7347626" TargetMode="External"/><Relationship Id="rId860" Type="http://schemas.openxmlformats.org/officeDocument/2006/relationships/hyperlink" Target="http://dx.doi.org/10.1109/VAST.2015.7347625" TargetMode="External"/><Relationship Id="rId855" Type="http://schemas.openxmlformats.org/officeDocument/2006/relationships/hyperlink" Target="http://dx.doi.org/10.1109/TVCG.2015.2468111" TargetMode="External"/><Relationship Id="rId854" Type="http://schemas.openxmlformats.org/officeDocument/2006/relationships/hyperlink" Target="http://dx.doi.org/10.1109/TVCG.2015.2468078" TargetMode="External"/><Relationship Id="rId853" Type="http://schemas.openxmlformats.org/officeDocument/2006/relationships/hyperlink" Target="http://dx.doi.org/10.1109/TVCG.2015.2468011" TargetMode="External"/><Relationship Id="rId852" Type="http://schemas.openxmlformats.org/officeDocument/2006/relationships/hyperlink" Target="http://dx.doi.org/10.1109/TVCG.2015.2467991" TargetMode="External"/><Relationship Id="rId859" Type="http://schemas.openxmlformats.org/officeDocument/2006/relationships/hyperlink" Target="http://dx.doi.org/10.1109/VAST.2015.7347624" TargetMode="External"/><Relationship Id="rId858" Type="http://schemas.openxmlformats.org/officeDocument/2006/relationships/hyperlink" Target="http://dx.doi.org/10.1109/TVCG.2015.2468292" TargetMode="External"/><Relationship Id="rId857" Type="http://schemas.openxmlformats.org/officeDocument/2006/relationships/hyperlink" Target="http://dx.doi.org/10.1109/TVCG.2015.2468291" TargetMode="External"/><Relationship Id="rId856" Type="http://schemas.openxmlformats.org/officeDocument/2006/relationships/hyperlink" Target="http://dx.doi.org/10.1109/TVCG.2015.2468151" TargetMode="External"/><Relationship Id="rId851" Type="http://schemas.openxmlformats.org/officeDocument/2006/relationships/hyperlink" Target="http://dx.doi.org/10.1109/TVCG.2015.2467971" TargetMode="External"/><Relationship Id="rId850" Type="http://schemas.openxmlformats.org/officeDocument/2006/relationships/hyperlink" Target="http://dx.doi.org/10.1109/TVCG.2015.2467954" TargetMode="External"/><Relationship Id="rId888" Type="http://schemas.openxmlformats.org/officeDocument/2006/relationships/hyperlink" Target="http://dx.doi.org/10.1109/VAST.2015.7347686" TargetMode="External"/><Relationship Id="rId887" Type="http://schemas.openxmlformats.org/officeDocument/2006/relationships/hyperlink" Target="http://dx.doi.org/10.1109/VAST.2015.7347685" TargetMode="External"/><Relationship Id="rId886" Type="http://schemas.openxmlformats.org/officeDocument/2006/relationships/hyperlink" Target="http://dx.doi.org/10.1109/VAST.2015.7347684" TargetMode="External"/><Relationship Id="rId885" Type="http://schemas.openxmlformats.org/officeDocument/2006/relationships/hyperlink" Target="http://dx.doi.org/10.1109/VAST.2015.7347683" TargetMode="External"/><Relationship Id="rId889" Type="http://schemas.openxmlformats.org/officeDocument/2006/relationships/hyperlink" Target="http://dx.doi.org/10.1109/VAST.2015.7347687" TargetMode="External"/><Relationship Id="rId880" Type="http://schemas.openxmlformats.org/officeDocument/2006/relationships/hyperlink" Target="http://dx.doi.org/10.1109/VAST.2015.7347678" TargetMode="External"/><Relationship Id="rId884" Type="http://schemas.openxmlformats.org/officeDocument/2006/relationships/hyperlink" Target="http://dx.doi.org/10.1109/VAST.2015.7347682" TargetMode="External"/><Relationship Id="rId883" Type="http://schemas.openxmlformats.org/officeDocument/2006/relationships/hyperlink" Target="http://dx.doi.org/10.1109/VAST.2015.7347681" TargetMode="External"/><Relationship Id="rId882" Type="http://schemas.openxmlformats.org/officeDocument/2006/relationships/hyperlink" Target="http://dx.doi.org/10.1109/VAST.2015.7347680" TargetMode="External"/><Relationship Id="rId881" Type="http://schemas.openxmlformats.org/officeDocument/2006/relationships/hyperlink" Target="http://dx.doi.org/10.1109/VAST.2015.7347679" TargetMode="External"/><Relationship Id="rId877" Type="http://schemas.openxmlformats.org/officeDocument/2006/relationships/hyperlink" Target="http://dx.doi.org/10.1109/VAST.2015.7347675" TargetMode="External"/><Relationship Id="rId876" Type="http://schemas.openxmlformats.org/officeDocument/2006/relationships/hyperlink" Target="http://dx.doi.org/10.1109/VAST.2015.7347674" TargetMode="External"/><Relationship Id="rId875" Type="http://schemas.openxmlformats.org/officeDocument/2006/relationships/hyperlink" Target="http://dx.doi.org/10.1109/VAST.2015.7347673" TargetMode="External"/><Relationship Id="rId874" Type="http://schemas.openxmlformats.org/officeDocument/2006/relationships/hyperlink" Target="http://dx.doi.org/10.1109/VAST.2015.7347672" TargetMode="External"/><Relationship Id="rId879" Type="http://schemas.openxmlformats.org/officeDocument/2006/relationships/hyperlink" Target="http://dx.doi.org/10.1109/VAST.2015.7347677" TargetMode="External"/><Relationship Id="rId878" Type="http://schemas.openxmlformats.org/officeDocument/2006/relationships/hyperlink" Target="http://dx.doi.org/10.1109/VAST.2015.7347676" TargetMode="External"/><Relationship Id="rId873" Type="http://schemas.openxmlformats.org/officeDocument/2006/relationships/hyperlink" Target="http://dx.doi.org/10.1109/VAST.2015.7347671" TargetMode="External"/><Relationship Id="rId872" Type="http://schemas.openxmlformats.org/officeDocument/2006/relationships/hyperlink" Target="http://dx.doi.org/10.1109/VAST.2015.7347637" TargetMode="External"/><Relationship Id="rId871" Type="http://schemas.openxmlformats.org/officeDocument/2006/relationships/hyperlink" Target="http://dx.doi.org/10.1109/VAST.2015.7347636" TargetMode="External"/><Relationship Id="rId870" Type="http://schemas.openxmlformats.org/officeDocument/2006/relationships/hyperlink" Target="http://dx.doi.org/10.1109/VAST.2015.7347635" TargetMode="External"/><Relationship Id="rId829" Type="http://schemas.openxmlformats.org/officeDocument/2006/relationships/hyperlink" Target="http://dx.doi.org/10.1109/TVCG.2015.2467552" TargetMode="External"/><Relationship Id="rId828" Type="http://schemas.openxmlformats.org/officeDocument/2006/relationships/hyperlink" Target="http://dx.doi.org/10.1109/TVCG.2015.2467551" TargetMode="External"/><Relationship Id="rId827" Type="http://schemas.openxmlformats.org/officeDocument/2006/relationships/hyperlink" Target="http://dx.doi.org/10.1109/TVCG.2015.2467531" TargetMode="External"/><Relationship Id="rId822" Type="http://schemas.openxmlformats.org/officeDocument/2006/relationships/hyperlink" Target="http://dx.doi.org/10.1109/TVCG.2015.2467963" TargetMode="External"/><Relationship Id="rId821" Type="http://schemas.openxmlformats.org/officeDocument/2006/relationships/hyperlink" Target="http://dx.doi.org/10.1109/TVCG.2015.2467962" TargetMode="External"/><Relationship Id="rId820" Type="http://schemas.openxmlformats.org/officeDocument/2006/relationships/hyperlink" Target="http://dx.doi.org/10.1109/TVCG.2015.2467961" TargetMode="External"/><Relationship Id="rId826" Type="http://schemas.openxmlformats.org/officeDocument/2006/relationships/hyperlink" Target="http://dx.doi.org/10.1109/TVCG.2015.2467196" TargetMode="External"/><Relationship Id="rId825" Type="http://schemas.openxmlformats.org/officeDocument/2006/relationships/hyperlink" Target="http://dx.doi.org/10.1109/TVCG.2015.2468093" TargetMode="External"/><Relationship Id="rId824" Type="http://schemas.openxmlformats.org/officeDocument/2006/relationships/hyperlink" Target="http://dx.doi.org/10.1109/TVCG.2015.2468091" TargetMode="External"/><Relationship Id="rId823" Type="http://schemas.openxmlformats.org/officeDocument/2006/relationships/hyperlink" Target="http://dx.doi.org/10.1109/TVCG.2015.2468031" TargetMode="External"/><Relationship Id="rId819" Type="http://schemas.openxmlformats.org/officeDocument/2006/relationships/hyperlink" Target="http://dx.doi.org/10.1109/TVCG.2015.2467958" TargetMode="External"/><Relationship Id="rId818" Type="http://schemas.openxmlformats.org/officeDocument/2006/relationships/hyperlink" Target="http://dx.doi.org/10.1109/TVCG.2015.2467952" TargetMode="External"/><Relationship Id="rId817" Type="http://schemas.openxmlformats.org/officeDocument/2006/relationships/hyperlink" Target="http://dx.doi.org/10.1109/TVCG.2015.2467449" TargetMode="External"/><Relationship Id="rId816" Type="http://schemas.openxmlformats.org/officeDocument/2006/relationships/hyperlink" Target="http://dx.doi.org/10.1109/TVCG.2015.2467441" TargetMode="External"/><Relationship Id="rId811" Type="http://schemas.openxmlformats.org/officeDocument/2006/relationships/hyperlink" Target="http://dx.doi.org/10.1109/TVCG.2015.2467432" TargetMode="External"/><Relationship Id="rId810" Type="http://schemas.openxmlformats.org/officeDocument/2006/relationships/hyperlink" Target="http://dx.doi.org/10.1109/TVCG.2015.2467431" TargetMode="External"/><Relationship Id="rId815" Type="http://schemas.openxmlformats.org/officeDocument/2006/relationships/hyperlink" Target="http://dx.doi.org/10.1109/TVCG.2015.2467436" TargetMode="External"/><Relationship Id="rId814" Type="http://schemas.openxmlformats.org/officeDocument/2006/relationships/hyperlink" Target="http://dx.doi.org/10.1109/TVCG.2015.2467435" TargetMode="External"/><Relationship Id="rId813" Type="http://schemas.openxmlformats.org/officeDocument/2006/relationships/hyperlink" Target="http://dx.doi.org/10.1109/TVCG.2015.2467434" TargetMode="External"/><Relationship Id="rId812" Type="http://schemas.openxmlformats.org/officeDocument/2006/relationships/hyperlink" Target="http://dx.doi.org/10.1109/TVCG.2015.2467433" TargetMode="External"/><Relationship Id="rId849" Type="http://schemas.openxmlformats.org/officeDocument/2006/relationships/hyperlink" Target="http://dx.doi.org/10.1109/TVCG.2015.2467931" TargetMode="External"/><Relationship Id="rId844" Type="http://schemas.openxmlformats.org/officeDocument/2006/relationships/hyperlink" Target="http://dx.doi.org/10.1109/TVCG.2015.2467733" TargetMode="External"/><Relationship Id="rId843" Type="http://schemas.openxmlformats.org/officeDocument/2006/relationships/hyperlink" Target="http://dx.doi.org/10.1109/TVCG.2015.2467622" TargetMode="External"/><Relationship Id="rId842" Type="http://schemas.openxmlformats.org/officeDocument/2006/relationships/hyperlink" Target="http://dx.doi.org/10.1109/TVCG.2015.2467621" TargetMode="External"/><Relationship Id="rId841" Type="http://schemas.openxmlformats.org/officeDocument/2006/relationships/hyperlink" Target="http://dx.doi.org/10.1109/TVCG.2015.2467620" TargetMode="External"/><Relationship Id="rId848" Type="http://schemas.openxmlformats.org/officeDocument/2006/relationships/hyperlink" Target="http://dx.doi.org/10.1109/TVCG.2015.2467871" TargetMode="External"/><Relationship Id="rId847" Type="http://schemas.openxmlformats.org/officeDocument/2006/relationships/hyperlink" Target="http://dx.doi.org/10.1109/TVCG.2015.2467813" TargetMode="External"/><Relationship Id="rId846" Type="http://schemas.openxmlformats.org/officeDocument/2006/relationships/hyperlink" Target="http://dx.doi.org/10.1109/TVCG.2015.2467771" TargetMode="External"/><Relationship Id="rId845" Type="http://schemas.openxmlformats.org/officeDocument/2006/relationships/hyperlink" Target="http://dx.doi.org/10.1109/TVCG.2015.2467757" TargetMode="External"/><Relationship Id="rId840" Type="http://schemas.openxmlformats.org/officeDocument/2006/relationships/hyperlink" Target="http://dx.doi.org/10.1109/TVCG.2015.2467619" TargetMode="External"/><Relationship Id="rId839" Type="http://schemas.openxmlformats.org/officeDocument/2006/relationships/hyperlink" Target="http://dx.doi.org/10.1109/TVCG.2015.2467618" TargetMode="External"/><Relationship Id="rId838" Type="http://schemas.openxmlformats.org/officeDocument/2006/relationships/hyperlink" Target="http://dx.doi.org/10.1109/TVCG.2015.2467615" TargetMode="External"/><Relationship Id="rId833" Type="http://schemas.openxmlformats.org/officeDocument/2006/relationships/hyperlink" Target="http://dx.doi.org/10.1109/TVCG.2015.2467591" TargetMode="External"/><Relationship Id="rId832" Type="http://schemas.openxmlformats.org/officeDocument/2006/relationships/hyperlink" Target="http://dx.doi.org/10.1109/TVCG.2015.2467555" TargetMode="External"/><Relationship Id="rId831" Type="http://schemas.openxmlformats.org/officeDocument/2006/relationships/hyperlink" Target="http://dx.doi.org/10.1109/TVCG.2015.2467554" TargetMode="External"/><Relationship Id="rId830" Type="http://schemas.openxmlformats.org/officeDocument/2006/relationships/hyperlink" Target="http://dx.doi.org/10.1109/TVCG.2015.2467553" TargetMode="External"/><Relationship Id="rId837" Type="http://schemas.openxmlformats.org/officeDocument/2006/relationships/hyperlink" Target="http://dx.doi.org/10.1109/TVCG.2015.2467613" TargetMode="External"/><Relationship Id="rId836" Type="http://schemas.openxmlformats.org/officeDocument/2006/relationships/hyperlink" Target="http://dx.doi.org/10.1109/TVCG.2015.2467612" TargetMode="External"/><Relationship Id="rId835" Type="http://schemas.openxmlformats.org/officeDocument/2006/relationships/hyperlink" Target="http://dx.doi.org/10.1109/TVCG.2015.2467611" TargetMode="External"/><Relationship Id="rId834" Type="http://schemas.openxmlformats.org/officeDocument/2006/relationships/hyperlink" Target="http://dx.doi.org/10.1109/TVCG.2015.2467592" TargetMode="External"/><Relationship Id="rId899" Type="http://schemas.openxmlformats.org/officeDocument/2006/relationships/hyperlink" Target="http://dx.doi.org/10.1109/TVCG.2016.2598588" TargetMode="External"/><Relationship Id="rId898" Type="http://schemas.openxmlformats.org/officeDocument/2006/relationships/hyperlink" Target="http://dx.doi.org/10.1109/TVCG.2016.2598587" TargetMode="External"/><Relationship Id="rId897" Type="http://schemas.openxmlformats.org/officeDocument/2006/relationships/hyperlink" Target="http://dx.doi.org/10.1109/TVCG.2016.2598586" TargetMode="External"/><Relationship Id="rId896" Type="http://schemas.openxmlformats.org/officeDocument/2006/relationships/hyperlink" Target="http://dx.doi.org/10.1109/TVCG.2016.2598542" TargetMode="External"/><Relationship Id="rId891" Type="http://schemas.openxmlformats.org/officeDocument/2006/relationships/hyperlink" Target="http://dx.doi.org/10.1109/VAST.2015.7347689" TargetMode="External"/><Relationship Id="rId890" Type="http://schemas.openxmlformats.org/officeDocument/2006/relationships/hyperlink" Target="http://dx.doi.org/10.1109/VAST.2015.7347688" TargetMode="External"/><Relationship Id="rId895" Type="http://schemas.openxmlformats.org/officeDocument/2006/relationships/hyperlink" Target="http://dx.doi.org/10.1109/TVCG.2016.2598541" TargetMode="External"/><Relationship Id="rId894" Type="http://schemas.openxmlformats.org/officeDocument/2006/relationships/hyperlink" Target="http://dx.doi.org/10.1109/TVCG.2016.2598518" TargetMode="External"/><Relationship Id="rId893" Type="http://schemas.openxmlformats.org/officeDocument/2006/relationships/hyperlink" Target="http://dx.doi.org/10.1109/TVCG.2016.2598498" TargetMode="External"/><Relationship Id="rId892" Type="http://schemas.openxmlformats.org/officeDocument/2006/relationships/hyperlink" Target="http://dx.doi.org/10.1109/TVCG.2016.2598496"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8.0"/>
    <col customWidth="1" min="2" max="2" width="10.57"/>
    <col customWidth="1" min="3" max="3" width="33.71"/>
    <col customWidth="1" min="4" max="4" width="39.86"/>
    <col customWidth="1" min="5" max="5" width="16.43"/>
    <col customWidth="1" min="6" max="6" width="6.29"/>
    <col customWidth="1" min="7" max="7" width="6.86"/>
    <col customWidth="1" min="8" max="8" width="14.57"/>
    <col customWidth="1" min="9" max="9" width="52.57"/>
    <col customWidth="1" min="10" max="10" width="26.57"/>
    <col customWidth="1" min="11" max="12" width="28.43"/>
    <col customWidth="1" min="13" max="13" width="32.29"/>
    <col customWidth="1" min="14" max="14" width="18.71"/>
    <col customWidth="1" min="15" max="17" width="18.43"/>
    <col customWidth="1" min="18" max="27" width="14.43"/>
  </cols>
  <sheetData>
    <row r="1" ht="31.5" customHeight="1">
      <c r="A1" s="3" t="s">
        <v>0</v>
      </c>
      <c r="B1" s="4" t="s">
        <v>1</v>
      </c>
      <c r="C1" s="5" t="s">
        <v>2</v>
      </c>
      <c r="D1" s="5" t="s">
        <v>3</v>
      </c>
      <c r="E1" s="6" t="s">
        <v>4</v>
      </c>
      <c r="F1" s="5" t="s">
        <v>5</v>
      </c>
      <c r="G1" s="5" t="s">
        <v>6</v>
      </c>
      <c r="H1" s="5" t="s">
        <v>7</v>
      </c>
      <c r="I1" s="7" t="s">
        <v>8</v>
      </c>
      <c r="J1" s="7" t="s">
        <v>9</v>
      </c>
      <c r="K1" s="7" t="s">
        <v>10</v>
      </c>
      <c r="L1" s="7" t="s">
        <v>11</v>
      </c>
      <c r="M1" s="9" t="s">
        <v>12</v>
      </c>
      <c r="N1" s="10" t="s">
        <v>13</v>
      </c>
      <c r="O1" s="11" t="s">
        <v>99</v>
      </c>
      <c r="P1" s="11" t="s">
        <v>100</v>
      </c>
      <c r="Q1" s="11" t="s">
        <v>101</v>
      </c>
      <c r="R1" s="12" t="s">
        <v>16</v>
      </c>
      <c r="V1" s="13"/>
      <c r="W1" s="13"/>
      <c r="X1" s="13"/>
      <c r="Y1" s="13"/>
      <c r="Z1" s="13"/>
      <c r="AA1" s="13"/>
    </row>
    <row r="2" ht="15.75" customHeight="1">
      <c r="A2" s="14" t="s">
        <v>17</v>
      </c>
      <c r="B2" s="15" t="s">
        <v>102</v>
      </c>
      <c r="C2" s="14" t="s">
        <v>18</v>
      </c>
      <c r="D2" s="16" t="s">
        <v>19</v>
      </c>
      <c r="E2" s="17" t="s">
        <v>20</v>
      </c>
      <c r="F2" s="14">
        <v>457.0</v>
      </c>
      <c r="G2" s="14">
        <v>457.0</v>
      </c>
      <c r="H2" s="14" t="s">
        <v>21</v>
      </c>
      <c r="I2" s="18"/>
      <c r="J2" s="19" t="s">
        <v>22</v>
      </c>
      <c r="K2" s="18"/>
      <c r="L2" s="18"/>
      <c r="M2" s="20"/>
      <c r="N2" s="21"/>
      <c r="O2" s="22">
        <v>0.0</v>
      </c>
      <c r="P2" s="23"/>
      <c r="Q2" s="23"/>
      <c r="R2" s="24"/>
      <c r="S2" s="24"/>
      <c r="T2" s="25"/>
      <c r="U2" s="25"/>
      <c r="V2" s="25"/>
      <c r="W2" s="25"/>
      <c r="X2" s="25"/>
      <c r="Y2" s="25"/>
      <c r="Z2" s="25"/>
      <c r="AA2" s="25"/>
    </row>
    <row r="3" ht="15.75" customHeight="1">
      <c r="A3" s="14" t="s">
        <v>17</v>
      </c>
      <c r="B3" s="15" t="s">
        <v>102</v>
      </c>
      <c r="C3" s="14" t="s">
        <v>24</v>
      </c>
      <c r="D3" s="14" t="s">
        <v>25</v>
      </c>
      <c r="E3" s="26" t="s">
        <v>26</v>
      </c>
      <c r="F3" s="14">
        <v>6.0</v>
      </c>
      <c r="G3" s="14" t="s">
        <v>27</v>
      </c>
      <c r="H3" s="14" t="s">
        <v>28</v>
      </c>
      <c r="I3" s="19" t="s">
        <v>103</v>
      </c>
      <c r="J3" s="19" t="s">
        <v>29</v>
      </c>
      <c r="K3" s="19" t="s">
        <v>104</v>
      </c>
      <c r="L3" s="19" t="s">
        <v>105</v>
      </c>
      <c r="M3" s="20"/>
      <c r="N3" s="27"/>
      <c r="O3" s="22">
        <v>102.0</v>
      </c>
      <c r="P3" s="28">
        <v>23.0</v>
      </c>
      <c r="Q3" s="28">
        <v>11.0</v>
      </c>
      <c r="R3" s="29" t="s">
        <v>106</v>
      </c>
      <c r="S3" s="30"/>
      <c r="T3" s="30"/>
      <c r="U3" s="30"/>
      <c r="V3" s="30"/>
      <c r="W3" s="30"/>
      <c r="X3" s="30"/>
      <c r="Y3" s="30"/>
      <c r="Z3" s="30"/>
      <c r="AA3" s="30"/>
    </row>
    <row r="4" ht="15.75" customHeight="1">
      <c r="A4" s="14" t="s">
        <v>17</v>
      </c>
      <c r="B4" s="15" t="s">
        <v>102</v>
      </c>
      <c r="C4" s="14" t="s">
        <v>31</v>
      </c>
      <c r="D4" s="14" t="s">
        <v>32</v>
      </c>
      <c r="E4" s="26" t="s">
        <v>33</v>
      </c>
      <c r="F4" s="14">
        <v>14.0</v>
      </c>
      <c r="G4" s="14" t="s">
        <v>34</v>
      </c>
      <c r="H4" s="14" t="s">
        <v>28</v>
      </c>
      <c r="I4" s="19" t="s">
        <v>107</v>
      </c>
      <c r="J4" s="19" t="s">
        <v>35</v>
      </c>
      <c r="K4" s="19" t="s">
        <v>108</v>
      </c>
      <c r="L4" s="19" t="s">
        <v>109</v>
      </c>
      <c r="M4" s="20"/>
      <c r="N4" s="27"/>
      <c r="O4" s="22">
        <v>31.0</v>
      </c>
      <c r="P4" s="28">
        <v>29.0</v>
      </c>
      <c r="Q4" s="28">
        <v>20.0</v>
      </c>
      <c r="R4" s="30"/>
      <c r="S4" s="30"/>
      <c r="T4" s="30"/>
      <c r="U4" s="30"/>
      <c r="V4" s="30"/>
      <c r="W4" s="30"/>
      <c r="X4" s="30"/>
      <c r="Y4" s="30"/>
      <c r="Z4" s="30"/>
      <c r="AA4" s="30"/>
    </row>
    <row r="5" ht="15.75" customHeight="1">
      <c r="A5" s="14" t="s">
        <v>17</v>
      </c>
      <c r="B5" s="15" t="s">
        <v>102</v>
      </c>
      <c r="C5" s="14" t="s">
        <v>37</v>
      </c>
      <c r="D5" s="14" t="s">
        <v>38</v>
      </c>
      <c r="E5" s="26" t="s">
        <v>39</v>
      </c>
      <c r="F5" s="14">
        <v>28.0</v>
      </c>
      <c r="G5" s="14" t="s">
        <v>40</v>
      </c>
      <c r="H5" s="14" t="s">
        <v>28</v>
      </c>
      <c r="I5" s="19" t="s">
        <v>110</v>
      </c>
      <c r="J5" s="19" t="s">
        <v>41</v>
      </c>
      <c r="K5" s="19" t="s">
        <v>111</v>
      </c>
      <c r="L5" s="19" t="s">
        <v>112</v>
      </c>
      <c r="M5" s="20"/>
      <c r="N5" s="27"/>
      <c r="O5" s="31"/>
      <c r="P5" s="28">
        <v>24.0</v>
      </c>
      <c r="Q5" s="28">
        <v>2.0</v>
      </c>
      <c r="R5" s="30"/>
      <c r="S5" s="30"/>
      <c r="T5" s="30"/>
      <c r="U5" s="30"/>
      <c r="V5" s="30"/>
      <c r="W5" s="30"/>
      <c r="X5" s="30"/>
      <c r="Y5" s="30"/>
      <c r="Z5" s="30"/>
      <c r="AA5" s="30"/>
    </row>
    <row r="6" ht="15.75" customHeight="1">
      <c r="A6" s="14" t="s">
        <v>17</v>
      </c>
      <c r="B6" s="15" t="s">
        <v>102</v>
      </c>
      <c r="C6" s="14" t="s">
        <v>43</v>
      </c>
      <c r="D6" s="14" t="s">
        <v>44</v>
      </c>
      <c r="E6" s="26" t="s">
        <v>45</v>
      </c>
      <c r="F6" s="14">
        <v>36.0</v>
      </c>
      <c r="G6" s="14" t="s">
        <v>46</v>
      </c>
      <c r="H6" s="14" t="s">
        <v>28</v>
      </c>
      <c r="I6" s="19" t="s">
        <v>113</v>
      </c>
      <c r="J6" s="19" t="s">
        <v>47</v>
      </c>
      <c r="K6" s="19" t="s">
        <v>114</v>
      </c>
      <c r="L6" s="19" t="s">
        <v>115</v>
      </c>
      <c r="M6" s="20"/>
      <c r="N6" s="27"/>
      <c r="O6" s="31"/>
      <c r="P6" s="28">
        <v>3.0</v>
      </c>
      <c r="Q6" s="28">
        <v>9.0</v>
      </c>
      <c r="R6" s="30"/>
      <c r="S6" s="30"/>
      <c r="T6" s="30"/>
      <c r="U6" s="30"/>
      <c r="V6" s="30"/>
      <c r="W6" s="30"/>
      <c r="X6" s="30"/>
      <c r="Y6" s="30"/>
      <c r="Z6" s="30"/>
      <c r="AA6" s="30"/>
    </row>
    <row r="7" ht="15.75" customHeight="1">
      <c r="A7" s="14" t="s">
        <v>17</v>
      </c>
      <c r="B7" s="15" t="s">
        <v>102</v>
      </c>
      <c r="C7" s="14" t="s">
        <v>49</v>
      </c>
      <c r="D7" s="14" t="s">
        <v>50</v>
      </c>
      <c r="E7" s="26" t="s">
        <v>51</v>
      </c>
      <c r="F7" s="14">
        <v>45.0</v>
      </c>
      <c r="G7" s="14" t="s">
        <v>52</v>
      </c>
      <c r="H7" s="14" t="s">
        <v>28</v>
      </c>
      <c r="I7" s="19" t="s">
        <v>116</v>
      </c>
      <c r="J7" s="19" t="s">
        <v>53</v>
      </c>
      <c r="K7" s="19" t="s">
        <v>117</v>
      </c>
      <c r="L7" s="19" t="s">
        <v>118</v>
      </c>
      <c r="M7" s="20" t="s">
        <v>55</v>
      </c>
      <c r="N7" s="27"/>
      <c r="O7" s="22">
        <v>32.0</v>
      </c>
      <c r="P7" s="28">
        <v>7.0</v>
      </c>
      <c r="Q7" s="28">
        <v>35.0</v>
      </c>
      <c r="R7" s="30"/>
      <c r="S7" s="30"/>
      <c r="T7" s="30"/>
      <c r="U7" s="30"/>
      <c r="V7" s="30"/>
      <c r="W7" s="30"/>
      <c r="X7" s="30"/>
      <c r="Y7" s="30"/>
      <c r="Z7" s="30"/>
      <c r="AA7" s="30"/>
    </row>
    <row r="8" ht="15.75" customHeight="1">
      <c r="A8" s="14" t="s">
        <v>17</v>
      </c>
      <c r="B8" s="15" t="s">
        <v>102</v>
      </c>
      <c r="C8" s="14" t="s">
        <v>56</v>
      </c>
      <c r="D8" s="14" t="s">
        <v>57</v>
      </c>
      <c r="E8" s="26" t="s">
        <v>58</v>
      </c>
      <c r="F8" s="14">
        <v>51.0</v>
      </c>
      <c r="G8" s="14" t="s">
        <v>59</v>
      </c>
      <c r="H8" s="14" t="s">
        <v>28</v>
      </c>
      <c r="I8" s="19" t="s">
        <v>119</v>
      </c>
      <c r="J8" s="19" t="s">
        <v>60</v>
      </c>
      <c r="K8" s="19" t="s">
        <v>290</v>
      </c>
      <c r="L8" s="19" t="s">
        <v>291</v>
      </c>
      <c r="M8" s="20"/>
      <c r="N8" s="27"/>
      <c r="O8" s="22">
        <v>50.0</v>
      </c>
      <c r="P8" s="28">
        <v>0.0</v>
      </c>
      <c r="Q8" s="28">
        <v>34.0</v>
      </c>
      <c r="R8" s="30"/>
      <c r="S8" s="30"/>
      <c r="T8" s="30"/>
      <c r="U8" s="30"/>
      <c r="V8" s="30"/>
      <c r="W8" s="30"/>
      <c r="X8" s="30"/>
      <c r="Y8" s="30"/>
      <c r="Z8" s="30"/>
      <c r="AA8" s="30"/>
    </row>
    <row r="9" ht="15.75" customHeight="1">
      <c r="A9" s="14" t="s">
        <v>17</v>
      </c>
      <c r="B9" s="15" t="s">
        <v>102</v>
      </c>
      <c r="C9" s="14" t="s">
        <v>62</v>
      </c>
      <c r="D9" s="14" t="s">
        <v>63</v>
      </c>
      <c r="E9" s="26" t="s">
        <v>64</v>
      </c>
      <c r="F9" s="14">
        <v>59.0</v>
      </c>
      <c r="G9" s="14">
        <v>66.0</v>
      </c>
      <c r="H9" s="14" t="s">
        <v>28</v>
      </c>
      <c r="I9" s="19" t="s">
        <v>292</v>
      </c>
      <c r="J9" s="19" t="s">
        <v>65</v>
      </c>
      <c r="K9" s="19" t="s">
        <v>293</v>
      </c>
      <c r="L9" s="19" t="s">
        <v>294</v>
      </c>
      <c r="M9" s="20"/>
      <c r="N9" s="27"/>
      <c r="O9" s="22">
        <v>105.0</v>
      </c>
      <c r="P9" s="28">
        <v>17.0</v>
      </c>
      <c r="Q9" s="28">
        <v>10.0</v>
      </c>
      <c r="R9" s="30"/>
      <c r="S9" s="30"/>
      <c r="T9" s="30"/>
      <c r="U9" s="30"/>
      <c r="V9" s="30"/>
      <c r="W9" s="30"/>
      <c r="X9" s="30"/>
      <c r="Y9" s="30"/>
      <c r="Z9" s="30"/>
      <c r="AA9" s="30"/>
    </row>
    <row r="10" ht="15.75" customHeight="1">
      <c r="A10" s="14" t="s">
        <v>17</v>
      </c>
      <c r="B10" s="15" t="s">
        <v>102</v>
      </c>
      <c r="C10" s="14" t="s">
        <v>67</v>
      </c>
      <c r="D10" s="14" t="s">
        <v>68</v>
      </c>
      <c r="E10" s="26" t="s">
        <v>69</v>
      </c>
      <c r="F10" s="14">
        <v>67.0</v>
      </c>
      <c r="G10" s="14">
        <v>73.0</v>
      </c>
      <c r="H10" s="14" t="s">
        <v>28</v>
      </c>
      <c r="I10" s="19" t="s">
        <v>295</v>
      </c>
      <c r="J10" s="19" t="s">
        <v>70</v>
      </c>
      <c r="K10" s="19" t="s">
        <v>296</v>
      </c>
      <c r="L10" s="19" t="s">
        <v>297</v>
      </c>
      <c r="M10" s="20"/>
      <c r="N10" s="27"/>
      <c r="O10" s="22">
        <v>4.0</v>
      </c>
      <c r="P10" s="28">
        <v>0.0</v>
      </c>
      <c r="Q10" s="28">
        <v>6.0</v>
      </c>
      <c r="R10" s="30"/>
      <c r="S10" s="30"/>
      <c r="T10" s="30"/>
      <c r="U10" s="30"/>
      <c r="V10" s="30"/>
      <c r="W10" s="30"/>
      <c r="X10" s="30"/>
      <c r="Y10" s="30"/>
      <c r="Z10" s="30"/>
      <c r="AA10" s="30"/>
    </row>
    <row r="11" ht="15.75" customHeight="1">
      <c r="A11" s="14" t="s">
        <v>17</v>
      </c>
      <c r="B11" s="15" t="s">
        <v>102</v>
      </c>
      <c r="C11" s="14" t="s">
        <v>72</v>
      </c>
      <c r="D11" s="14" t="s">
        <v>73</v>
      </c>
      <c r="E11" s="26" t="s">
        <v>74</v>
      </c>
      <c r="F11" s="14">
        <v>74.0</v>
      </c>
      <c r="G11" s="14" t="s">
        <v>75</v>
      </c>
      <c r="H11" s="14" t="s">
        <v>28</v>
      </c>
      <c r="I11" s="19" t="s">
        <v>298</v>
      </c>
      <c r="J11" s="19" t="s">
        <v>76</v>
      </c>
      <c r="K11" s="19" t="s">
        <v>299</v>
      </c>
      <c r="L11" s="19" t="s">
        <v>300</v>
      </c>
      <c r="M11" s="20"/>
      <c r="N11" s="27"/>
      <c r="O11" s="22">
        <v>50.0</v>
      </c>
      <c r="P11" s="28">
        <v>6.0</v>
      </c>
      <c r="Q11" s="28">
        <v>14.0</v>
      </c>
      <c r="R11" s="30"/>
      <c r="S11" s="30"/>
      <c r="T11" s="30"/>
      <c r="U11" s="30"/>
      <c r="V11" s="30"/>
      <c r="W11" s="30"/>
      <c r="X11" s="30"/>
      <c r="Y11" s="30"/>
      <c r="Z11" s="30"/>
      <c r="AA11" s="30"/>
    </row>
    <row r="12" ht="15.75" customHeight="1">
      <c r="A12" s="14" t="s">
        <v>17</v>
      </c>
      <c r="B12" s="15" t="s">
        <v>102</v>
      </c>
      <c r="C12" s="14" t="s">
        <v>78</v>
      </c>
      <c r="D12" s="14" t="s">
        <v>79</v>
      </c>
      <c r="E12" s="26" t="s">
        <v>80</v>
      </c>
      <c r="F12" s="14">
        <v>83.0</v>
      </c>
      <c r="G12" s="14" t="s">
        <v>81</v>
      </c>
      <c r="H12" s="14" t="s">
        <v>28</v>
      </c>
      <c r="I12" s="19" t="s">
        <v>301</v>
      </c>
      <c r="J12" s="19" t="s">
        <v>82</v>
      </c>
      <c r="K12" s="19" t="s">
        <v>302</v>
      </c>
      <c r="L12" s="19" t="s">
        <v>303</v>
      </c>
      <c r="M12" s="20"/>
      <c r="N12" s="27"/>
      <c r="O12" s="22">
        <v>50.0</v>
      </c>
      <c r="P12" s="28">
        <v>5.0</v>
      </c>
      <c r="Q12" s="28">
        <v>8.0</v>
      </c>
      <c r="R12" s="30"/>
      <c r="S12" s="30"/>
      <c r="T12" s="30"/>
      <c r="U12" s="30"/>
      <c r="V12" s="30"/>
      <c r="W12" s="30"/>
      <c r="X12" s="30"/>
      <c r="Y12" s="30"/>
      <c r="Z12" s="30"/>
      <c r="AA12" s="30"/>
    </row>
    <row r="13" ht="15.75" customHeight="1">
      <c r="A13" s="14" t="s">
        <v>17</v>
      </c>
      <c r="B13" s="15" t="s">
        <v>102</v>
      </c>
      <c r="C13" s="14" t="s">
        <v>84</v>
      </c>
      <c r="D13" s="14" t="s">
        <v>85</v>
      </c>
      <c r="E13" s="26" t="s">
        <v>86</v>
      </c>
      <c r="F13" s="14">
        <v>93.0</v>
      </c>
      <c r="G13" s="14" t="s">
        <v>87</v>
      </c>
      <c r="H13" s="14" t="s">
        <v>28</v>
      </c>
      <c r="I13" s="19" t="s">
        <v>304</v>
      </c>
      <c r="J13" s="19" t="s">
        <v>88</v>
      </c>
      <c r="K13" s="19" t="s">
        <v>305</v>
      </c>
      <c r="L13" s="19" t="s">
        <v>306</v>
      </c>
      <c r="M13" s="20"/>
      <c r="N13" s="27"/>
      <c r="O13" s="22">
        <v>13.0</v>
      </c>
      <c r="P13" s="28">
        <v>3.0</v>
      </c>
      <c r="Q13" s="28">
        <v>3.0</v>
      </c>
      <c r="R13" s="30"/>
      <c r="S13" s="30"/>
      <c r="T13" s="30"/>
      <c r="U13" s="30"/>
      <c r="V13" s="30"/>
      <c r="W13" s="30"/>
      <c r="X13" s="30"/>
      <c r="Y13" s="30"/>
      <c r="Z13" s="30"/>
      <c r="AA13" s="30"/>
    </row>
    <row r="14" ht="15.75" customHeight="1">
      <c r="A14" s="14" t="s">
        <v>17</v>
      </c>
      <c r="B14" s="15" t="s">
        <v>102</v>
      </c>
      <c r="C14" s="42" t="s">
        <v>90</v>
      </c>
      <c r="D14" s="14" t="s">
        <v>91</v>
      </c>
      <c r="E14" s="26" t="s">
        <v>92</v>
      </c>
      <c r="F14" s="14">
        <v>97.0</v>
      </c>
      <c r="G14" s="14" t="s">
        <v>93</v>
      </c>
      <c r="H14" s="14" t="s">
        <v>28</v>
      </c>
      <c r="I14" s="19" t="s">
        <v>307</v>
      </c>
      <c r="J14" s="19" t="s">
        <v>94</v>
      </c>
      <c r="K14" s="19" t="s">
        <v>308</v>
      </c>
      <c r="L14" s="19" t="s">
        <v>309</v>
      </c>
      <c r="M14" s="20"/>
      <c r="N14" s="27"/>
      <c r="O14" s="43">
        <v>1.0</v>
      </c>
      <c r="P14" s="28">
        <v>2.0</v>
      </c>
      <c r="Q14" s="28">
        <v>5.0</v>
      </c>
      <c r="R14" s="30"/>
      <c r="S14" s="30"/>
      <c r="T14" s="30"/>
      <c r="U14" s="30"/>
      <c r="V14" s="30"/>
      <c r="W14" s="30"/>
      <c r="X14" s="30"/>
      <c r="Y14" s="30"/>
      <c r="Z14" s="30"/>
      <c r="AA14" s="30"/>
    </row>
    <row r="15" ht="15.75" customHeight="1">
      <c r="A15" s="14" t="s">
        <v>17</v>
      </c>
      <c r="B15" s="15" t="s">
        <v>102</v>
      </c>
      <c r="C15" s="14" t="s">
        <v>96</v>
      </c>
      <c r="D15" s="14" t="s">
        <v>97</v>
      </c>
      <c r="E15" s="26" t="s">
        <v>98</v>
      </c>
      <c r="F15" s="14">
        <v>107.0</v>
      </c>
      <c r="G15" s="14">
        <v>113.0</v>
      </c>
      <c r="H15" s="14" t="s">
        <v>28</v>
      </c>
      <c r="I15" s="19" t="s">
        <v>310</v>
      </c>
      <c r="J15" s="19" t="s">
        <v>143</v>
      </c>
      <c r="K15" s="19" t="s">
        <v>311</v>
      </c>
      <c r="L15" s="19" t="s">
        <v>312</v>
      </c>
      <c r="M15" s="20"/>
      <c r="N15" s="27"/>
      <c r="O15" s="22">
        <v>50.0</v>
      </c>
      <c r="P15" s="28">
        <v>11.0</v>
      </c>
      <c r="Q15" s="28">
        <v>7.0</v>
      </c>
      <c r="R15" s="30"/>
      <c r="S15" s="30"/>
      <c r="T15" s="30"/>
      <c r="U15" s="30"/>
      <c r="V15" s="30"/>
      <c r="W15" s="30"/>
      <c r="X15" s="30"/>
      <c r="Y15" s="30"/>
      <c r="Z15" s="30"/>
      <c r="AA15" s="30"/>
    </row>
    <row r="16" ht="15.75" customHeight="1">
      <c r="A16" s="14" t="s">
        <v>17</v>
      </c>
      <c r="B16" s="15" t="s">
        <v>102</v>
      </c>
      <c r="C16" s="14" t="s">
        <v>145</v>
      </c>
      <c r="D16" s="14" t="s">
        <v>146</v>
      </c>
      <c r="E16" s="26" t="s">
        <v>147</v>
      </c>
      <c r="F16" s="14">
        <v>114.0</v>
      </c>
      <c r="G16" s="14">
        <v>123.0</v>
      </c>
      <c r="H16" s="14" t="s">
        <v>28</v>
      </c>
      <c r="I16" s="19" t="s">
        <v>313</v>
      </c>
      <c r="J16" s="19" t="s">
        <v>148</v>
      </c>
      <c r="K16" s="19" t="s">
        <v>314</v>
      </c>
      <c r="L16" s="19" t="s">
        <v>315</v>
      </c>
      <c r="M16" s="20"/>
      <c r="N16" s="27"/>
      <c r="O16" s="43">
        <v>43.0</v>
      </c>
      <c r="P16" s="28">
        <v>10.0</v>
      </c>
      <c r="Q16" s="28">
        <v>21.0</v>
      </c>
      <c r="R16" s="30"/>
      <c r="S16" s="30"/>
      <c r="T16" s="30"/>
      <c r="U16" s="30"/>
      <c r="V16" s="30"/>
      <c r="W16" s="30"/>
      <c r="X16" s="30"/>
      <c r="Y16" s="30"/>
      <c r="Z16" s="30"/>
      <c r="AA16" s="30"/>
    </row>
    <row r="17" ht="15.75" customHeight="1">
      <c r="A17" s="14" t="s">
        <v>17</v>
      </c>
      <c r="B17" s="15" t="s">
        <v>102</v>
      </c>
      <c r="C17" s="14" t="s">
        <v>150</v>
      </c>
      <c r="D17" s="14" t="s">
        <v>151</v>
      </c>
      <c r="E17" s="26" t="s">
        <v>152</v>
      </c>
      <c r="F17" s="14">
        <v>124.0</v>
      </c>
      <c r="G17" s="14" t="s">
        <v>153</v>
      </c>
      <c r="H17" s="14" t="s">
        <v>28</v>
      </c>
      <c r="I17" s="19" t="s">
        <v>316</v>
      </c>
      <c r="J17" s="19" t="s">
        <v>154</v>
      </c>
      <c r="K17" s="19" t="s">
        <v>317</v>
      </c>
      <c r="L17" s="19" t="s">
        <v>318</v>
      </c>
      <c r="M17" s="20"/>
      <c r="N17" s="27"/>
      <c r="O17" s="22">
        <v>47.0</v>
      </c>
      <c r="P17" s="28">
        <v>12.0</v>
      </c>
      <c r="Q17" s="28">
        <v>22.0</v>
      </c>
      <c r="R17" s="30"/>
      <c r="S17" s="30"/>
      <c r="T17" s="30"/>
      <c r="U17" s="30"/>
      <c r="V17" s="30"/>
      <c r="W17" s="30"/>
      <c r="X17" s="30"/>
      <c r="Y17" s="30"/>
      <c r="Z17" s="30"/>
      <c r="AA17" s="30"/>
    </row>
    <row r="18" ht="15.75" customHeight="1">
      <c r="A18" s="14" t="s">
        <v>17</v>
      </c>
      <c r="B18" s="15" t="s">
        <v>102</v>
      </c>
      <c r="C18" s="14" t="s">
        <v>156</v>
      </c>
      <c r="D18" s="14" t="s">
        <v>157</v>
      </c>
      <c r="E18" s="26" t="s">
        <v>158</v>
      </c>
      <c r="F18" s="14">
        <v>131.0</v>
      </c>
      <c r="G18" s="14">
        <v>138.0</v>
      </c>
      <c r="H18" s="14" t="s">
        <v>28</v>
      </c>
      <c r="I18" s="19" t="s">
        <v>319</v>
      </c>
      <c r="J18" s="19" t="s">
        <v>159</v>
      </c>
      <c r="K18" s="19" t="s">
        <v>320</v>
      </c>
      <c r="L18" s="19" t="s">
        <v>321</v>
      </c>
      <c r="M18" s="20"/>
      <c r="N18" s="27"/>
      <c r="O18" s="22">
        <v>33.0</v>
      </c>
      <c r="P18" s="28">
        <v>13.0</v>
      </c>
      <c r="Q18" s="28">
        <v>32.0</v>
      </c>
      <c r="R18" s="30"/>
      <c r="S18" s="30"/>
      <c r="T18" s="30"/>
      <c r="U18" s="30"/>
      <c r="V18" s="30"/>
      <c r="W18" s="30"/>
      <c r="X18" s="30"/>
      <c r="Y18" s="30"/>
      <c r="Z18" s="30"/>
      <c r="AA18" s="30"/>
    </row>
    <row r="19" ht="15.75" customHeight="1">
      <c r="A19" s="14" t="s">
        <v>17</v>
      </c>
      <c r="B19" s="15" t="s">
        <v>102</v>
      </c>
      <c r="C19" s="14" t="s">
        <v>161</v>
      </c>
      <c r="D19" s="14" t="s">
        <v>162</v>
      </c>
      <c r="E19" s="26" t="s">
        <v>163</v>
      </c>
      <c r="F19" s="14">
        <v>139.0</v>
      </c>
      <c r="G19" s="14" t="s">
        <v>164</v>
      </c>
      <c r="H19" s="14" t="s">
        <v>28</v>
      </c>
      <c r="I19" s="19" t="s">
        <v>322</v>
      </c>
      <c r="J19" s="19" t="s">
        <v>165</v>
      </c>
      <c r="K19" s="19" t="s">
        <v>323</v>
      </c>
      <c r="L19" s="19" t="s">
        <v>324</v>
      </c>
      <c r="M19" s="20"/>
      <c r="N19" s="27"/>
      <c r="O19" s="22">
        <v>353.0</v>
      </c>
      <c r="P19" s="28">
        <v>90.0</v>
      </c>
      <c r="Q19" s="28">
        <v>6.0</v>
      </c>
      <c r="R19" s="30"/>
      <c r="S19" s="30"/>
      <c r="T19" s="30"/>
      <c r="U19" s="30"/>
      <c r="V19" s="30"/>
      <c r="W19" s="30"/>
      <c r="X19" s="30"/>
      <c r="Y19" s="30"/>
      <c r="Z19" s="30"/>
      <c r="AA19" s="30"/>
    </row>
    <row r="20" ht="15.75" customHeight="1">
      <c r="A20" s="14" t="s">
        <v>17</v>
      </c>
      <c r="B20" s="15" t="s">
        <v>102</v>
      </c>
      <c r="C20" s="14" t="s">
        <v>167</v>
      </c>
      <c r="D20" s="14" t="s">
        <v>168</v>
      </c>
      <c r="E20" s="26" t="s">
        <v>169</v>
      </c>
      <c r="F20" s="14">
        <v>144.0</v>
      </c>
      <c r="G20" s="14" t="s">
        <v>170</v>
      </c>
      <c r="H20" s="14" t="s">
        <v>28</v>
      </c>
      <c r="I20" s="19" t="s">
        <v>325</v>
      </c>
      <c r="J20" s="19" t="s">
        <v>171</v>
      </c>
      <c r="K20" s="19" t="s">
        <v>326</v>
      </c>
      <c r="L20" s="19" t="s">
        <v>327</v>
      </c>
      <c r="M20" s="20"/>
      <c r="N20" s="27"/>
      <c r="O20" s="43">
        <v>0.0</v>
      </c>
      <c r="P20" s="28">
        <v>5.0</v>
      </c>
      <c r="Q20" s="28">
        <v>5.0</v>
      </c>
      <c r="R20" s="30"/>
      <c r="S20" s="30"/>
      <c r="T20" s="30"/>
      <c r="U20" s="30"/>
      <c r="V20" s="30"/>
      <c r="W20" s="30"/>
      <c r="X20" s="30"/>
      <c r="Y20" s="30"/>
      <c r="Z20" s="30"/>
      <c r="AA20" s="30"/>
    </row>
    <row r="21" ht="15.75" customHeight="1">
      <c r="A21" s="14" t="s">
        <v>17</v>
      </c>
      <c r="B21" s="15" t="s">
        <v>102</v>
      </c>
      <c r="C21" s="14" t="s">
        <v>173</v>
      </c>
      <c r="D21" s="14" t="s">
        <v>174</v>
      </c>
      <c r="E21" s="26" t="s">
        <v>175</v>
      </c>
      <c r="F21" s="14">
        <v>150.0</v>
      </c>
      <c r="G21" s="14" t="s">
        <v>176</v>
      </c>
      <c r="H21" s="14" t="s">
        <v>28</v>
      </c>
      <c r="I21" s="19" t="s">
        <v>328</v>
      </c>
      <c r="J21" s="19" t="s">
        <v>177</v>
      </c>
      <c r="K21" s="19" t="s">
        <v>329</v>
      </c>
      <c r="L21" s="19" t="s">
        <v>330</v>
      </c>
      <c r="M21" s="20"/>
      <c r="N21" s="27"/>
      <c r="O21" s="22">
        <v>108.0</v>
      </c>
      <c r="P21" s="28">
        <v>17.0</v>
      </c>
      <c r="Q21" s="28">
        <v>21.0</v>
      </c>
      <c r="R21" s="30"/>
      <c r="S21" s="30"/>
      <c r="T21" s="30"/>
      <c r="U21" s="30"/>
      <c r="V21" s="30"/>
      <c r="W21" s="30"/>
      <c r="X21" s="30"/>
      <c r="Y21" s="30"/>
      <c r="Z21" s="30"/>
      <c r="AA21" s="30"/>
    </row>
    <row r="22" ht="15.75" customHeight="1">
      <c r="A22" s="14" t="s">
        <v>17</v>
      </c>
      <c r="B22" s="15" t="s">
        <v>102</v>
      </c>
      <c r="C22" s="14" t="s">
        <v>179</v>
      </c>
      <c r="D22" s="14" t="s">
        <v>180</v>
      </c>
      <c r="E22" s="26" t="s">
        <v>181</v>
      </c>
      <c r="F22" s="14">
        <v>160.0</v>
      </c>
      <c r="G22" s="14" t="s">
        <v>182</v>
      </c>
      <c r="H22" s="14" t="s">
        <v>28</v>
      </c>
      <c r="I22" s="19" t="s">
        <v>331</v>
      </c>
      <c r="J22" s="19" t="s">
        <v>183</v>
      </c>
      <c r="K22" s="19" t="s">
        <v>332</v>
      </c>
      <c r="L22" s="19" t="s">
        <v>333</v>
      </c>
      <c r="M22" s="20"/>
      <c r="N22" s="27"/>
      <c r="O22" s="22">
        <v>50.0</v>
      </c>
      <c r="P22" s="28">
        <v>10.0</v>
      </c>
      <c r="Q22" s="28">
        <v>29.0</v>
      </c>
      <c r="R22" s="30"/>
      <c r="S22" s="30"/>
      <c r="T22" s="30"/>
      <c r="U22" s="30"/>
      <c r="V22" s="30"/>
      <c r="W22" s="30"/>
      <c r="X22" s="30"/>
      <c r="Y22" s="30"/>
      <c r="Z22" s="30"/>
      <c r="AA22" s="30"/>
    </row>
    <row r="23" ht="15.75" customHeight="1">
      <c r="A23" s="14" t="s">
        <v>17</v>
      </c>
      <c r="B23" s="15" t="s">
        <v>102</v>
      </c>
      <c r="C23" s="14" t="s">
        <v>185</v>
      </c>
      <c r="D23" s="14" t="s">
        <v>186</v>
      </c>
      <c r="E23" s="26" t="s">
        <v>187</v>
      </c>
      <c r="F23" s="14">
        <v>168.0</v>
      </c>
      <c r="G23" s="14">
        <v>175.0</v>
      </c>
      <c r="H23" s="14" t="s">
        <v>28</v>
      </c>
      <c r="I23" s="19" t="s">
        <v>334</v>
      </c>
      <c r="J23" s="19" t="s">
        <v>188</v>
      </c>
      <c r="K23" s="19" t="s">
        <v>335</v>
      </c>
      <c r="L23" s="19" t="s">
        <v>336</v>
      </c>
      <c r="M23" s="20"/>
      <c r="N23" s="27"/>
      <c r="O23" s="31"/>
      <c r="P23" s="28">
        <v>6.0</v>
      </c>
      <c r="Q23" s="28">
        <v>20.0</v>
      </c>
      <c r="R23" s="30"/>
      <c r="S23" s="30"/>
      <c r="T23" s="30"/>
      <c r="U23" s="30"/>
      <c r="V23" s="30"/>
      <c r="W23" s="30"/>
      <c r="X23" s="30"/>
      <c r="Y23" s="30"/>
      <c r="Z23" s="30"/>
      <c r="AA23" s="30"/>
    </row>
    <row r="24" ht="15.75" customHeight="1">
      <c r="A24" s="14" t="s">
        <v>17</v>
      </c>
      <c r="B24" s="15" t="s">
        <v>102</v>
      </c>
      <c r="C24" s="14" t="s">
        <v>190</v>
      </c>
      <c r="D24" s="14" t="s">
        <v>191</v>
      </c>
      <c r="E24" s="26" t="s">
        <v>192</v>
      </c>
      <c r="F24" s="14">
        <v>176.0</v>
      </c>
      <c r="G24" s="14">
        <v>186.0</v>
      </c>
      <c r="H24" s="14" t="s">
        <v>28</v>
      </c>
      <c r="I24" s="19" t="s">
        <v>337</v>
      </c>
      <c r="J24" s="19" t="s">
        <v>193</v>
      </c>
      <c r="K24" s="19" t="s">
        <v>338</v>
      </c>
      <c r="L24" s="19" t="s">
        <v>339</v>
      </c>
      <c r="M24" s="20"/>
      <c r="N24" s="27"/>
      <c r="O24" s="31"/>
      <c r="P24" s="28">
        <v>3.0</v>
      </c>
      <c r="Q24" s="28">
        <v>13.0</v>
      </c>
      <c r="R24" s="30"/>
      <c r="S24" s="30"/>
      <c r="T24" s="30"/>
      <c r="U24" s="30"/>
      <c r="V24" s="30"/>
      <c r="W24" s="30"/>
      <c r="X24" s="30"/>
      <c r="Y24" s="30"/>
      <c r="Z24" s="30"/>
      <c r="AA24" s="30"/>
    </row>
    <row r="25" ht="15.75" customHeight="1">
      <c r="A25" s="14" t="s">
        <v>17</v>
      </c>
      <c r="B25" s="15" t="s">
        <v>102</v>
      </c>
      <c r="C25" s="14" t="s">
        <v>195</v>
      </c>
      <c r="D25" s="14" t="s">
        <v>196</v>
      </c>
      <c r="E25" s="26" t="s">
        <v>197</v>
      </c>
      <c r="F25" s="14">
        <v>187.0</v>
      </c>
      <c r="G25" s="14" t="s">
        <v>198</v>
      </c>
      <c r="H25" s="14" t="s">
        <v>28</v>
      </c>
      <c r="I25" s="19" t="s">
        <v>340</v>
      </c>
      <c r="J25" s="19" t="s">
        <v>199</v>
      </c>
      <c r="K25" s="19" t="s">
        <v>341</v>
      </c>
      <c r="L25" s="19" t="s">
        <v>342</v>
      </c>
      <c r="M25" s="20"/>
      <c r="N25" s="27"/>
      <c r="O25" s="22">
        <v>67.0</v>
      </c>
      <c r="P25" s="28">
        <v>2.0</v>
      </c>
      <c r="Q25" s="28">
        <v>8.0</v>
      </c>
      <c r="R25" s="30"/>
      <c r="S25" s="30"/>
      <c r="T25" s="30"/>
      <c r="U25" s="30"/>
      <c r="V25" s="30"/>
      <c r="W25" s="30"/>
      <c r="X25" s="30"/>
      <c r="Y25" s="30"/>
      <c r="Z25" s="30"/>
      <c r="AA25" s="30"/>
    </row>
    <row r="26" ht="15.75" customHeight="1">
      <c r="A26" s="14" t="s">
        <v>17</v>
      </c>
      <c r="B26" s="15" t="s">
        <v>102</v>
      </c>
      <c r="C26" s="14" t="s">
        <v>201</v>
      </c>
      <c r="D26" s="14" t="s">
        <v>202</v>
      </c>
      <c r="E26" s="26" t="s">
        <v>203</v>
      </c>
      <c r="F26" s="14">
        <v>194.0</v>
      </c>
      <c r="G26" s="14" t="s">
        <v>204</v>
      </c>
      <c r="H26" s="14" t="s">
        <v>28</v>
      </c>
      <c r="I26" s="19" t="s">
        <v>351</v>
      </c>
      <c r="J26" s="19" t="s">
        <v>205</v>
      </c>
      <c r="K26" s="19" t="s">
        <v>352</v>
      </c>
      <c r="L26" s="19" t="s">
        <v>353</v>
      </c>
      <c r="M26" s="20"/>
      <c r="N26" s="27"/>
      <c r="O26" s="22">
        <v>50.0</v>
      </c>
      <c r="P26" s="28">
        <v>2.0</v>
      </c>
      <c r="Q26" s="28">
        <v>12.0</v>
      </c>
      <c r="R26" s="30"/>
      <c r="S26" s="30"/>
      <c r="T26" s="30"/>
      <c r="U26" s="30"/>
      <c r="V26" s="30"/>
      <c r="W26" s="30"/>
      <c r="X26" s="30"/>
      <c r="Y26" s="30"/>
      <c r="Z26" s="30"/>
      <c r="AA26" s="30"/>
    </row>
    <row r="27" ht="15.75" customHeight="1">
      <c r="A27" s="14" t="s">
        <v>17</v>
      </c>
      <c r="B27" s="15" t="s">
        <v>102</v>
      </c>
      <c r="C27" s="14" t="s">
        <v>207</v>
      </c>
      <c r="D27" s="14" t="s">
        <v>208</v>
      </c>
      <c r="E27" s="26" t="s">
        <v>209</v>
      </c>
      <c r="F27" s="14">
        <v>202.0</v>
      </c>
      <c r="G27" s="14" t="s">
        <v>210</v>
      </c>
      <c r="H27" s="14" t="s">
        <v>28</v>
      </c>
      <c r="I27" s="19" t="s">
        <v>360</v>
      </c>
      <c r="J27" s="19" t="s">
        <v>211</v>
      </c>
      <c r="K27" s="19" t="s">
        <v>363</v>
      </c>
      <c r="L27" s="19" t="s">
        <v>364</v>
      </c>
      <c r="M27" s="20"/>
      <c r="N27" s="27"/>
      <c r="O27" s="22">
        <v>12.0</v>
      </c>
      <c r="P27" s="28">
        <v>5.0</v>
      </c>
      <c r="Q27" s="28">
        <v>15.0</v>
      </c>
      <c r="R27" s="30"/>
      <c r="S27" s="30"/>
      <c r="T27" s="30"/>
      <c r="U27" s="30"/>
      <c r="V27" s="30"/>
      <c r="W27" s="30"/>
      <c r="X27" s="30"/>
      <c r="Y27" s="30"/>
      <c r="Z27" s="30"/>
      <c r="AA27" s="30"/>
    </row>
    <row r="28" ht="15.75" customHeight="1">
      <c r="A28" s="14" t="s">
        <v>17</v>
      </c>
      <c r="B28" s="15" t="s">
        <v>102</v>
      </c>
      <c r="C28" s="14" t="s">
        <v>213</v>
      </c>
      <c r="D28" s="14" t="s">
        <v>214</v>
      </c>
      <c r="E28" s="26" t="s">
        <v>215</v>
      </c>
      <c r="F28" s="14">
        <v>209.0</v>
      </c>
      <c r="G28" s="14" t="s">
        <v>216</v>
      </c>
      <c r="H28" s="14" t="s">
        <v>28</v>
      </c>
      <c r="I28" s="19" t="s">
        <v>370</v>
      </c>
      <c r="J28" s="19" t="s">
        <v>217</v>
      </c>
      <c r="K28" s="19" t="s">
        <v>372</v>
      </c>
      <c r="L28" s="19" t="s">
        <v>373</v>
      </c>
      <c r="M28" s="20"/>
      <c r="N28" s="27"/>
      <c r="O28" s="31"/>
      <c r="P28" s="28">
        <v>4.0</v>
      </c>
      <c r="Q28" s="28">
        <v>11.0</v>
      </c>
      <c r="R28" s="30"/>
      <c r="S28" s="30"/>
      <c r="T28" s="30"/>
      <c r="U28" s="30"/>
      <c r="V28" s="30"/>
      <c r="W28" s="30"/>
      <c r="X28" s="30"/>
      <c r="Y28" s="30"/>
      <c r="Z28" s="30"/>
      <c r="AA28" s="30"/>
    </row>
    <row r="29" ht="15.75" customHeight="1">
      <c r="A29" s="14" t="s">
        <v>17</v>
      </c>
      <c r="B29" s="15" t="s">
        <v>102</v>
      </c>
      <c r="C29" s="14" t="s">
        <v>219</v>
      </c>
      <c r="D29" s="14" t="s">
        <v>220</v>
      </c>
      <c r="E29" s="26" t="s">
        <v>221</v>
      </c>
      <c r="F29" s="14">
        <v>219.0</v>
      </c>
      <c r="G29" s="14" t="s">
        <v>222</v>
      </c>
      <c r="H29" s="14" t="s">
        <v>28</v>
      </c>
      <c r="I29" s="19" t="s">
        <v>380</v>
      </c>
      <c r="J29" s="19" t="s">
        <v>223</v>
      </c>
      <c r="K29" s="19" t="s">
        <v>381</v>
      </c>
      <c r="L29" s="19" t="s">
        <v>382</v>
      </c>
      <c r="M29" s="20"/>
      <c r="N29" s="27"/>
      <c r="O29" s="22">
        <v>50.0</v>
      </c>
      <c r="P29" s="28">
        <v>0.0</v>
      </c>
      <c r="Q29" s="28">
        <v>9.0</v>
      </c>
      <c r="R29" s="30"/>
      <c r="S29" s="30"/>
      <c r="T29" s="30"/>
      <c r="U29" s="30"/>
      <c r="V29" s="30"/>
      <c r="W29" s="30"/>
      <c r="X29" s="30"/>
      <c r="Y29" s="30"/>
      <c r="Z29" s="30"/>
      <c r="AA29" s="30"/>
    </row>
    <row r="30" ht="15.75" customHeight="1">
      <c r="A30" s="14" t="s">
        <v>17</v>
      </c>
      <c r="B30" s="15" t="s">
        <v>102</v>
      </c>
      <c r="C30" s="14" t="s">
        <v>225</v>
      </c>
      <c r="D30" s="14" t="s">
        <v>226</v>
      </c>
      <c r="E30" s="26" t="s">
        <v>227</v>
      </c>
      <c r="F30" s="14">
        <v>230.0</v>
      </c>
      <c r="G30" s="14">
        <v>237.0</v>
      </c>
      <c r="H30" s="14" t="s">
        <v>28</v>
      </c>
      <c r="I30" s="19" t="s">
        <v>388</v>
      </c>
      <c r="J30" s="19" t="s">
        <v>228</v>
      </c>
      <c r="K30" s="19" t="s">
        <v>389</v>
      </c>
      <c r="L30" s="19" t="s">
        <v>390</v>
      </c>
      <c r="M30" s="20"/>
      <c r="N30" s="27"/>
      <c r="O30" s="22">
        <v>347.0</v>
      </c>
      <c r="P30" s="28">
        <v>89.0</v>
      </c>
      <c r="Q30" s="28">
        <v>16.0</v>
      </c>
      <c r="R30" s="30"/>
      <c r="S30" s="30"/>
      <c r="T30" s="30"/>
      <c r="U30" s="30"/>
      <c r="V30" s="30"/>
      <c r="W30" s="30"/>
      <c r="X30" s="30"/>
      <c r="Y30" s="30"/>
      <c r="Z30" s="30"/>
      <c r="AA30" s="30"/>
    </row>
    <row r="31" ht="15.75" customHeight="1">
      <c r="A31" s="14" t="s">
        <v>17</v>
      </c>
      <c r="B31" s="15" t="s">
        <v>102</v>
      </c>
      <c r="C31" s="14" t="s">
        <v>230</v>
      </c>
      <c r="D31" s="14" t="s">
        <v>231</v>
      </c>
      <c r="E31" s="26" t="s">
        <v>232</v>
      </c>
      <c r="F31" s="14">
        <v>238.0</v>
      </c>
      <c r="G31" s="14" t="s">
        <v>233</v>
      </c>
      <c r="H31" s="14" t="s">
        <v>28</v>
      </c>
      <c r="I31" s="19" t="s">
        <v>396</v>
      </c>
      <c r="J31" s="19" t="s">
        <v>234</v>
      </c>
      <c r="K31" s="19" t="s">
        <v>397</v>
      </c>
      <c r="L31" s="19" t="s">
        <v>398</v>
      </c>
      <c r="M31" s="20"/>
      <c r="N31" s="27"/>
      <c r="O31" s="31"/>
      <c r="P31" s="28">
        <v>32.0</v>
      </c>
      <c r="Q31" s="28">
        <v>5.0</v>
      </c>
      <c r="R31" s="30"/>
      <c r="S31" s="30"/>
      <c r="T31" s="30"/>
      <c r="U31" s="30"/>
      <c r="V31" s="30"/>
      <c r="W31" s="30"/>
      <c r="X31" s="30"/>
      <c r="Y31" s="30"/>
      <c r="Z31" s="30"/>
      <c r="AA31" s="30"/>
    </row>
    <row r="32" ht="15.75" customHeight="1">
      <c r="A32" s="14" t="s">
        <v>17</v>
      </c>
      <c r="B32" s="15" t="s">
        <v>102</v>
      </c>
      <c r="C32" s="14" t="s">
        <v>236</v>
      </c>
      <c r="D32" s="14" t="s">
        <v>55</v>
      </c>
      <c r="E32" s="26" t="s">
        <v>237</v>
      </c>
      <c r="F32" s="14">
        <v>247.0</v>
      </c>
      <c r="G32" s="14" t="s">
        <v>238</v>
      </c>
      <c r="H32" s="14" t="s">
        <v>28</v>
      </c>
      <c r="I32" s="19" t="s">
        <v>405</v>
      </c>
      <c r="J32" s="19" t="s">
        <v>239</v>
      </c>
      <c r="K32" s="19" t="s">
        <v>407</v>
      </c>
      <c r="L32" s="19" t="s">
        <v>118</v>
      </c>
      <c r="M32" s="20"/>
      <c r="N32" s="27"/>
      <c r="O32" s="22">
        <v>50.0</v>
      </c>
      <c r="P32" s="28">
        <v>7.0</v>
      </c>
      <c r="Q32" s="28">
        <v>31.0</v>
      </c>
      <c r="R32" s="30"/>
      <c r="S32" s="30"/>
      <c r="T32" s="30"/>
      <c r="U32" s="30"/>
      <c r="V32" s="30"/>
      <c r="W32" s="30"/>
      <c r="X32" s="30"/>
      <c r="Y32" s="30"/>
      <c r="Z32" s="30"/>
      <c r="AA32" s="30"/>
    </row>
    <row r="33" ht="15.75" customHeight="1">
      <c r="A33" s="14" t="s">
        <v>17</v>
      </c>
      <c r="B33" s="15" t="s">
        <v>102</v>
      </c>
      <c r="C33" s="14" t="s">
        <v>240</v>
      </c>
      <c r="D33" s="14" t="s">
        <v>241</v>
      </c>
      <c r="E33" s="26" t="s">
        <v>242</v>
      </c>
      <c r="F33" s="14">
        <v>255.0</v>
      </c>
      <c r="G33" s="14" t="s">
        <v>243</v>
      </c>
      <c r="H33" s="14" t="s">
        <v>28</v>
      </c>
      <c r="I33" s="19" t="s">
        <v>417</v>
      </c>
      <c r="J33" s="19" t="s">
        <v>244</v>
      </c>
      <c r="K33" s="19" t="s">
        <v>418</v>
      </c>
      <c r="L33" s="19" t="s">
        <v>419</v>
      </c>
      <c r="M33" s="20"/>
      <c r="N33" s="27"/>
      <c r="O33" s="22">
        <v>50.0</v>
      </c>
      <c r="P33" s="28">
        <v>10.0</v>
      </c>
      <c r="Q33" s="28">
        <v>3.0</v>
      </c>
      <c r="R33" s="30"/>
      <c r="S33" s="30"/>
      <c r="T33" s="30"/>
      <c r="U33" s="30"/>
      <c r="V33" s="30"/>
      <c r="W33" s="30"/>
      <c r="X33" s="30"/>
      <c r="Y33" s="30"/>
      <c r="Z33" s="30"/>
      <c r="AA33" s="30"/>
    </row>
    <row r="34" ht="15.75" customHeight="1">
      <c r="A34" s="14" t="s">
        <v>17</v>
      </c>
      <c r="B34" s="15" t="s">
        <v>102</v>
      </c>
      <c r="C34" s="14" t="s">
        <v>246</v>
      </c>
      <c r="D34" s="14" t="s">
        <v>247</v>
      </c>
      <c r="E34" s="26" t="s">
        <v>248</v>
      </c>
      <c r="F34" s="14">
        <v>263.0</v>
      </c>
      <c r="G34" s="14" t="s">
        <v>249</v>
      </c>
      <c r="H34" s="14" t="s">
        <v>28</v>
      </c>
      <c r="I34" s="19" t="s">
        <v>425</v>
      </c>
      <c r="J34" s="19" t="s">
        <v>250</v>
      </c>
      <c r="K34" s="19" t="s">
        <v>426</v>
      </c>
      <c r="L34" s="19" t="s">
        <v>427</v>
      </c>
      <c r="M34" s="20"/>
      <c r="N34" s="27"/>
      <c r="O34" s="22">
        <v>3.0</v>
      </c>
      <c r="P34" s="28">
        <v>2.0</v>
      </c>
      <c r="Q34" s="28">
        <v>17.0</v>
      </c>
      <c r="R34" s="30"/>
      <c r="S34" s="30"/>
      <c r="T34" s="30"/>
      <c r="U34" s="30"/>
      <c r="V34" s="30"/>
      <c r="W34" s="30"/>
      <c r="X34" s="30"/>
      <c r="Y34" s="30"/>
      <c r="Z34" s="30"/>
      <c r="AA34" s="30"/>
    </row>
    <row r="35" ht="15.75" customHeight="1">
      <c r="A35" s="14" t="s">
        <v>17</v>
      </c>
      <c r="B35" s="15" t="s">
        <v>102</v>
      </c>
      <c r="C35" s="14" t="s">
        <v>252</v>
      </c>
      <c r="D35" s="14" t="s">
        <v>253</v>
      </c>
      <c r="E35" s="26" t="s">
        <v>254</v>
      </c>
      <c r="F35" s="14">
        <v>273.0</v>
      </c>
      <c r="G35" s="14" t="s">
        <v>255</v>
      </c>
      <c r="H35" s="14" t="s">
        <v>28</v>
      </c>
      <c r="I35" s="19" t="s">
        <v>433</v>
      </c>
      <c r="J35" s="19" t="s">
        <v>435</v>
      </c>
      <c r="K35" s="19" t="s">
        <v>436</v>
      </c>
      <c r="L35" s="19" t="s">
        <v>438</v>
      </c>
      <c r="M35" s="20"/>
      <c r="N35" s="27"/>
      <c r="O35" s="31"/>
      <c r="P35" s="28">
        <v>11.0</v>
      </c>
      <c r="Q35" s="28">
        <v>24.0</v>
      </c>
      <c r="R35" s="30"/>
      <c r="S35" s="30"/>
      <c r="T35" s="30"/>
      <c r="U35" s="30"/>
      <c r="V35" s="30"/>
      <c r="W35" s="30"/>
      <c r="X35" s="30"/>
      <c r="Y35" s="30"/>
      <c r="Z35" s="30"/>
      <c r="AA35" s="30"/>
    </row>
    <row r="36" ht="15.75" customHeight="1">
      <c r="A36" s="14" t="s">
        <v>17</v>
      </c>
      <c r="B36" s="15" t="s">
        <v>102</v>
      </c>
      <c r="C36" s="14" t="s">
        <v>258</v>
      </c>
      <c r="D36" s="14" t="s">
        <v>259</v>
      </c>
      <c r="E36" s="26" t="s">
        <v>260</v>
      </c>
      <c r="F36" s="14">
        <v>281.0</v>
      </c>
      <c r="G36" s="14" t="s">
        <v>261</v>
      </c>
      <c r="H36" s="14" t="s">
        <v>28</v>
      </c>
      <c r="I36" s="19" t="s">
        <v>442</v>
      </c>
      <c r="J36" s="19" t="s">
        <v>262</v>
      </c>
      <c r="K36" s="19" t="s">
        <v>443</v>
      </c>
      <c r="L36" s="19" t="s">
        <v>444</v>
      </c>
      <c r="M36" s="20"/>
      <c r="N36" s="27"/>
      <c r="O36" s="22">
        <v>50.0</v>
      </c>
      <c r="P36" s="28">
        <v>0.0</v>
      </c>
      <c r="Q36" s="28">
        <v>7.0</v>
      </c>
      <c r="R36" s="30"/>
      <c r="S36" s="30"/>
      <c r="T36" s="30"/>
      <c r="U36" s="30"/>
      <c r="V36" s="30"/>
      <c r="W36" s="30"/>
      <c r="X36" s="30"/>
      <c r="Y36" s="30"/>
      <c r="Z36" s="30"/>
      <c r="AA36" s="30"/>
    </row>
    <row r="37" ht="15.75" customHeight="1">
      <c r="A37" s="14" t="s">
        <v>17</v>
      </c>
      <c r="B37" s="15" t="s">
        <v>102</v>
      </c>
      <c r="C37" s="14" t="s">
        <v>264</v>
      </c>
      <c r="D37" s="14" t="s">
        <v>265</v>
      </c>
      <c r="E37" s="26" t="s">
        <v>266</v>
      </c>
      <c r="F37" s="14">
        <v>289.0</v>
      </c>
      <c r="G37" s="14" t="s">
        <v>267</v>
      </c>
      <c r="H37" s="14" t="s">
        <v>28</v>
      </c>
      <c r="I37" s="19" t="s">
        <v>451</v>
      </c>
      <c r="J37" s="19" t="s">
        <v>268</v>
      </c>
      <c r="K37" s="19" t="s">
        <v>452</v>
      </c>
      <c r="L37" s="19" t="s">
        <v>453</v>
      </c>
      <c r="M37" s="20"/>
      <c r="N37" s="27"/>
      <c r="O37" s="22">
        <v>0.0</v>
      </c>
      <c r="P37" s="28">
        <v>0.0</v>
      </c>
      <c r="Q37" s="28">
        <v>15.0</v>
      </c>
      <c r="R37" s="30"/>
      <c r="S37" s="30"/>
      <c r="T37" s="30"/>
      <c r="U37" s="30"/>
      <c r="V37" s="30"/>
      <c r="W37" s="30"/>
      <c r="X37" s="30"/>
      <c r="Y37" s="30"/>
      <c r="Z37" s="30"/>
      <c r="AA37" s="30"/>
    </row>
    <row r="38" ht="15.75" customHeight="1">
      <c r="A38" s="14" t="s">
        <v>17</v>
      </c>
      <c r="B38" s="15" t="s">
        <v>102</v>
      </c>
      <c r="C38" s="14" t="s">
        <v>270</v>
      </c>
      <c r="D38" s="14" t="s">
        <v>271</v>
      </c>
      <c r="E38" s="26" t="s">
        <v>272</v>
      </c>
      <c r="F38" s="14">
        <v>298.0</v>
      </c>
      <c r="G38" s="14" t="s">
        <v>273</v>
      </c>
      <c r="H38" s="14" t="s">
        <v>28</v>
      </c>
      <c r="I38" s="19" t="s">
        <v>460</v>
      </c>
      <c r="J38" s="19" t="s">
        <v>274</v>
      </c>
      <c r="K38" s="19" t="s">
        <v>462</v>
      </c>
      <c r="L38" s="19" t="s">
        <v>464</v>
      </c>
      <c r="M38" s="20"/>
      <c r="N38" s="27"/>
      <c r="O38" s="22">
        <v>3.0</v>
      </c>
      <c r="P38" s="28">
        <v>1.0</v>
      </c>
      <c r="Q38" s="28">
        <v>15.0</v>
      </c>
      <c r="R38" s="30"/>
      <c r="S38" s="30"/>
      <c r="T38" s="30"/>
      <c r="U38" s="30"/>
      <c r="V38" s="30"/>
      <c r="W38" s="30"/>
      <c r="X38" s="30"/>
      <c r="Y38" s="30"/>
      <c r="Z38" s="30"/>
      <c r="AA38" s="30"/>
    </row>
    <row r="39" ht="15.75" customHeight="1">
      <c r="A39" s="14" t="s">
        <v>17</v>
      </c>
      <c r="B39" s="15" t="s">
        <v>102</v>
      </c>
      <c r="C39" s="14" t="s">
        <v>276</v>
      </c>
      <c r="D39" s="14" t="s">
        <v>277</v>
      </c>
      <c r="E39" s="26" t="s">
        <v>278</v>
      </c>
      <c r="F39" s="14">
        <v>307.0</v>
      </c>
      <c r="G39" s="14" t="s">
        <v>279</v>
      </c>
      <c r="H39" s="14" t="s">
        <v>28</v>
      </c>
      <c r="I39" s="19" t="s">
        <v>472</v>
      </c>
      <c r="J39" s="19" t="s">
        <v>280</v>
      </c>
      <c r="K39" s="19" t="s">
        <v>473</v>
      </c>
      <c r="L39" s="19" t="s">
        <v>474</v>
      </c>
      <c r="M39" s="20"/>
      <c r="N39" s="27"/>
      <c r="O39" s="22">
        <v>53.0</v>
      </c>
      <c r="P39" s="28">
        <v>9.0</v>
      </c>
      <c r="Q39" s="28">
        <v>14.0</v>
      </c>
      <c r="R39" s="30"/>
      <c r="S39" s="30"/>
      <c r="T39" s="30"/>
      <c r="U39" s="30"/>
      <c r="V39" s="30"/>
      <c r="W39" s="30"/>
      <c r="X39" s="30"/>
      <c r="Y39" s="30"/>
      <c r="Z39" s="30"/>
      <c r="AA39" s="30"/>
    </row>
    <row r="40" ht="15.75" customHeight="1">
      <c r="A40" s="14" t="s">
        <v>17</v>
      </c>
      <c r="B40" s="15" t="s">
        <v>102</v>
      </c>
      <c r="C40" s="14" t="s">
        <v>282</v>
      </c>
      <c r="D40" s="14" t="s">
        <v>283</v>
      </c>
      <c r="E40" s="26" t="s">
        <v>284</v>
      </c>
      <c r="F40" s="14">
        <v>315.0</v>
      </c>
      <c r="G40" s="14">
        <v>322.0</v>
      </c>
      <c r="H40" s="14" t="s">
        <v>28</v>
      </c>
      <c r="I40" s="19" t="s">
        <v>481</v>
      </c>
      <c r="J40" s="19" t="s">
        <v>285</v>
      </c>
      <c r="K40" s="19" t="s">
        <v>482</v>
      </c>
      <c r="L40" s="19" t="s">
        <v>483</v>
      </c>
      <c r="M40" s="20"/>
      <c r="N40" s="27"/>
      <c r="O40" s="22">
        <v>0.0</v>
      </c>
      <c r="P40" s="28">
        <v>0.0</v>
      </c>
      <c r="Q40" s="28">
        <v>14.0</v>
      </c>
      <c r="R40" s="30"/>
      <c r="S40" s="30"/>
      <c r="T40" s="30"/>
      <c r="U40" s="30"/>
      <c r="V40" s="30"/>
      <c r="W40" s="30"/>
      <c r="X40" s="30"/>
      <c r="Y40" s="30"/>
      <c r="Z40" s="30"/>
      <c r="AA40" s="30"/>
    </row>
    <row r="41" ht="15.75" customHeight="1">
      <c r="A41" s="14" t="s">
        <v>17</v>
      </c>
      <c r="B41" s="15" t="s">
        <v>102</v>
      </c>
      <c r="C41" s="14" t="s">
        <v>287</v>
      </c>
      <c r="D41" s="14" t="s">
        <v>288</v>
      </c>
      <c r="E41" s="26" t="s">
        <v>289</v>
      </c>
      <c r="F41" s="14">
        <v>323.0</v>
      </c>
      <c r="G41" s="14" t="s">
        <v>343</v>
      </c>
      <c r="H41" s="14" t="s">
        <v>28</v>
      </c>
      <c r="I41" s="19" t="s">
        <v>489</v>
      </c>
      <c r="J41" s="19" t="s">
        <v>344</v>
      </c>
      <c r="K41" s="19" t="s">
        <v>491</v>
      </c>
      <c r="L41" s="19" t="s">
        <v>493</v>
      </c>
      <c r="M41" s="20"/>
      <c r="N41" s="27"/>
      <c r="O41" s="31"/>
      <c r="P41" s="28">
        <v>4.0</v>
      </c>
      <c r="Q41" s="28">
        <v>8.0</v>
      </c>
      <c r="R41" s="30"/>
      <c r="S41" s="30"/>
      <c r="T41" s="30"/>
      <c r="U41" s="30"/>
      <c r="V41" s="30"/>
      <c r="W41" s="30"/>
      <c r="X41" s="30"/>
      <c r="Y41" s="30"/>
      <c r="Z41" s="30"/>
      <c r="AA41" s="30"/>
    </row>
    <row r="42" ht="15.75" customHeight="1">
      <c r="A42" s="14" t="s">
        <v>17</v>
      </c>
      <c r="B42" s="15" t="s">
        <v>102</v>
      </c>
      <c r="C42" s="42" t="s">
        <v>346</v>
      </c>
      <c r="D42" s="14" t="s">
        <v>347</v>
      </c>
      <c r="E42" s="26" t="s">
        <v>348</v>
      </c>
      <c r="F42" s="14">
        <v>329.0</v>
      </c>
      <c r="G42" s="14">
        <v>337.0</v>
      </c>
      <c r="H42" s="14" t="s">
        <v>28</v>
      </c>
      <c r="I42" s="19" t="s">
        <v>504</v>
      </c>
      <c r="J42" s="19" t="s">
        <v>349</v>
      </c>
      <c r="K42" s="19" t="s">
        <v>505</v>
      </c>
      <c r="L42" s="19" t="s">
        <v>506</v>
      </c>
      <c r="M42" s="20"/>
      <c r="N42" s="27"/>
      <c r="O42" s="22">
        <v>56.0</v>
      </c>
      <c r="P42" s="28">
        <v>19.0</v>
      </c>
      <c r="Q42" s="28">
        <v>36.0</v>
      </c>
      <c r="R42" s="30"/>
      <c r="S42" s="30"/>
      <c r="T42" s="30"/>
      <c r="U42" s="30"/>
      <c r="V42" s="30"/>
      <c r="W42" s="30"/>
      <c r="X42" s="30"/>
      <c r="Y42" s="30"/>
      <c r="Z42" s="30"/>
      <c r="AA42" s="30"/>
    </row>
    <row r="43" ht="15.75" customHeight="1">
      <c r="A43" s="14" t="s">
        <v>17</v>
      </c>
      <c r="B43" s="15" t="s">
        <v>102</v>
      </c>
      <c r="C43" s="14" t="s">
        <v>354</v>
      </c>
      <c r="D43" s="14" t="s">
        <v>355</v>
      </c>
      <c r="E43" s="26" t="s">
        <v>356</v>
      </c>
      <c r="F43" s="14">
        <v>338.0</v>
      </c>
      <c r="G43" s="14">
        <v>341.0</v>
      </c>
      <c r="H43" s="14" t="s">
        <v>28</v>
      </c>
      <c r="I43" s="19" t="s">
        <v>513</v>
      </c>
      <c r="J43" s="19" t="s">
        <v>357</v>
      </c>
      <c r="K43" s="19" t="s">
        <v>514</v>
      </c>
      <c r="L43" s="19" t="s">
        <v>515</v>
      </c>
      <c r="M43" s="20"/>
      <c r="N43" s="27"/>
      <c r="O43" s="22">
        <v>50.0</v>
      </c>
      <c r="P43" s="28">
        <v>0.0</v>
      </c>
      <c r="Q43" s="28">
        <v>8.0</v>
      </c>
      <c r="R43" s="30"/>
      <c r="S43" s="30"/>
      <c r="T43" s="30"/>
      <c r="U43" s="30"/>
      <c r="V43" s="30"/>
      <c r="W43" s="30"/>
      <c r="X43" s="30"/>
      <c r="Y43" s="30"/>
      <c r="Z43" s="30"/>
      <c r="AA43" s="30"/>
    </row>
    <row r="44" ht="15.75" customHeight="1">
      <c r="A44" s="14" t="s">
        <v>17</v>
      </c>
      <c r="B44" s="15" t="s">
        <v>102</v>
      </c>
      <c r="C44" s="14" t="s">
        <v>359</v>
      </c>
      <c r="D44" s="14" t="s">
        <v>361</v>
      </c>
      <c r="E44" s="26" t="s">
        <v>362</v>
      </c>
      <c r="F44" s="14">
        <v>342.0</v>
      </c>
      <c r="G44" s="14" t="s">
        <v>365</v>
      </c>
      <c r="H44" s="14" t="s">
        <v>28</v>
      </c>
      <c r="I44" s="19" t="s">
        <v>523</v>
      </c>
      <c r="J44" s="19" t="s">
        <v>366</v>
      </c>
      <c r="K44" s="19" t="s">
        <v>525</v>
      </c>
      <c r="L44" s="19" t="s">
        <v>527</v>
      </c>
      <c r="M44" s="20"/>
      <c r="N44" s="27"/>
      <c r="O44" s="22">
        <v>4.0</v>
      </c>
      <c r="P44" s="28">
        <v>1.0</v>
      </c>
      <c r="Q44" s="28">
        <v>27.0</v>
      </c>
      <c r="R44" s="30"/>
      <c r="S44" s="30"/>
      <c r="T44" s="30"/>
      <c r="U44" s="30"/>
      <c r="V44" s="30"/>
      <c r="W44" s="30"/>
      <c r="X44" s="30"/>
      <c r="Y44" s="30"/>
      <c r="Z44" s="30"/>
      <c r="AA44" s="30"/>
    </row>
    <row r="45" ht="15.75" customHeight="1">
      <c r="A45" s="14" t="s">
        <v>17</v>
      </c>
      <c r="B45" s="15" t="s">
        <v>102</v>
      </c>
      <c r="C45" s="14" t="s">
        <v>368</v>
      </c>
      <c r="D45" s="14" t="s">
        <v>369</v>
      </c>
      <c r="E45" s="26" t="s">
        <v>371</v>
      </c>
      <c r="F45" s="14">
        <v>353.0</v>
      </c>
      <c r="G45" s="14" t="s">
        <v>374</v>
      </c>
      <c r="H45" s="14" t="s">
        <v>28</v>
      </c>
      <c r="I45" s="19" t="s">
        <v>534</v>
      </c>
      <c r="J45" s="19" t="s">
        <v>375</v>
      </c>
      <c r="K45" s="19" t="s">
        <v>537</v>
      </c>
      <c r="L45" s="19" t="s">
        <v>539</v>
      </c>
      <c r="M45" s="20"/>
      <c r="N45" s="27"/>
      <c r="O45" s="22">
        <v>14.0</v>
      </c>
      <c r="P45" s="28">
        <v>5.0</v>
      </c>
      <c r="Q45" s="28">
        <v>19.0</v>
      </c>
      <c r="R45" s="30"/>
      <c r="S45" s="30"/>
      <c r="T45" s="30"/>
      <c r="U45" s="30"/>
      <c r="V45" s="30"/>
      <c r="W45" s="30"/>
      <c r="X45" s="30"/>
      <c r="Y45" s="30"/>
      <c r="Z45" s="30"/>
      <c r="AA45" s="30"/>
    </row>
    <row r="46" ht="15.75" customHeight="1">
      <c r="A46" s="14" t="s">
        <v>17</v>
      </c>
      <c r="B46" s="15" t="s">
        <v>102</v>
      </c>
      <c r="C46" s="14" t="s">
        <v>377</v>
      </c>
      <c r="D46" s="14" t="s">
        <v>378</v>
      </c>
      <c r="E46" s="26" t="s">
        <v>379</v>
      </c>
      <c r="F46" s="14">
        <v>361.0</v>
      </c>
      <c r="G46" s="14">
        <v>378.0</v>
      </c>
      <c r="H46" s="14" t="s">
        <v>28</v>
      </c>
      <c r="I46" s="19" t="s">
        <v>541</v>
      </c>
      <c r="J46" s="19" t="s">
        <v>383</v>
      </c>
      <c r="K46" s="19" t="s">
        <v>543</v>
      </c>
      <c r="L46" s="19" t="s">
        <v>545</v>
      </c>
      <c r="M46" s="20"/>
      <c r="N46" s="27"/>
      <c r="O46" s="22">
        <v>920.0</v>
      </c>
      <c r="P46" s="28">
        <v>308.0</v>
      </c>
      <c r="Q46" s="28">
        <v>47.0</v>
      </c>
      <c r="R46" s="30"/>
      <c r="S46" s="30"/>
      <c r="T46" s="30"/>
      <c r="U46" s="30"/>
      <c r="V46" s="30"/>
      <c r="W46" s="30"/>
      <c r="X46" s="30"/>
      <c r="Y46" s="30"/>
      <c r="Z46" s="30"/>
      <c r="AA46" s="30"/>
    </row>
    <row r="47" ht="15.75" customHeight="1">
      <c r="A47" s="14" t="s">
        <v>17</v>
      </c>
      <c r="B47" s="15" t="s">
        <v>102</v>
      </c>
      <c r="C47" s="14" t="s">
        <v>385</v>
      </c>
      <c r="D47" s="14" t="s">
        <v>386</v>
      </c>
      <c r="E47" s="26" t="s">
        <v>387</v>
      </c>
      <c r="F47" s="14">
        <v>379.0</v>
      </c>
      <c r="G47" s="14">
        <v>386.0</v>
      </c>
      <c r="H47" s="14" t="s">
        <v>28</v>
      </c>
      <c r="I47" s="19" t="s">
        <v>553</v>
      </c>
      <c r="J47" s="19" t="s">
        <v>391</v>
      </c>
      <c r="K47" s="19" t="s">
        <v>554</v>
      </c>
      <c r="L47" s="19" t="s">
        <v>555</v>
      </c>
      <c r="M47" s="20"/>
      <c r="N47" s="27"/>
      <c r="O47" s="22">
        <v>50.0</v>
      </c>
      <c r="P47" s="28">
        <v>0.0</v>
      </c>
      <c r="Q47" s="28">
        <v>25.0</v>
      </c>
      <c r="R47" s="30"/>
      <c r="S47" s="30"/>
      <c r="T47" s="30"/>
      <c r="U47" s="30"/>
      <c r="V47" s="30"/>
      <c r="W47" s="30"/>
      <c r="X47" s="30"/>
      <c r="Y47" s="30"/>
      <c r="Z47" s="30"/>
      <c r="AA47" s="30"/>
    </row>
    <row r="48" ht="15.75" customHeight="1">
      <c r="A48" s="14" t="s">
        <v>17</v>
      </c>
      <c r="B48" s="15" t="s">
        <v>102</v>
      </c>
      <c r="C48" s="14" t="s">
        <v>393</v>
      </c>
      <c r="D48" s="14" t="s">
        <v>394</v>
      </c>
      <c r="E48" s="26" t="s">
        <v>395</v>
      </c>
      <c r="F48" s="14">
        <v>422.0</v>
      </c>
      <c r="G48" s="14" t="s">
        <v>399</v>
      </c>
      <c r="H48" s="14" t="s">
        <v>28</v>
      </c>
      <c r="I48" s="19" t="s">
        <v>561</v>
      </c>
      <c r="J48" s="19" t="s">
        <v>400</v>
      </c>
      <c r="K48" s="19" t="s">
        <v>562</v>
      </c>
      <c r="L48" s="19" t="s">
        <v>563</v>
      </c>
      <c r="M48" s="20"/>
      <c r="N48" s="27"/>
      <c r="O48" s="31"/>
      <c r="P48" s="28">
        <v>0.0</v>
      </c>
      <c r="Q48" s="28">
        <v>3.0</v>
      </c>
      <c r="R48" s="30"/>
      <c r="S48" s="30"/>
      <c r="T48" s="30"/>
      <c r="U48" s="30"/>
      <c r="V48" s="30"/>
      <c r="W48" s="30"/>
      <c r="X48" s="30"/>
      <c r="Y48" s="30"/>
      <c r="Z48" s="30"/>
      <c r="AA48" s="30"/>
    </row>
    <row r="49" ht="15.75" customHeight="1">
      <c r="A49" s="14" t="s">
        <v>17</v>
      </c>
      <c r="B49" s="15" t="s">
        <v>102</v>
      </c>
      <c r="C49" s="14" t="s">
        <v>402</v>
      </c>
      <c r="D49" s="14" t="s">
        <v>403</v>
      </c>
      <c r="E49" s="26" t="s">
        <v>404</v>
      </c>
      <c r="F49" s="14">
        <v>424.0</v>
      </c>
      <c r="G49" s="14">
        <v>428.0</v>
      </c>
      <c r="H49" s="14" t="s">
        <v>28</v>
      </c>
      <c r="I49" s="19" t="s">
        <v>570</v>
      </c>
      <c r="J49" s="19" t="s">
        <v>406</v>
      </c>
      <c r="K49" s="19" t="s">
        <v>572</v>
      </c>
      <c r="L49" s="19" t="s">
        <v>574</v>
      </c>
      <c r="M49" s="20"/>
      <c r="N49" s="27"/>
      <c r="O49" s="31"/>
      <c r="P49" s="28">
        <v>2.0</v>
      </c>
      <c r="Q49" s="28">
        <v>10.0</v>
      </c>
      <c r="R49" s="30"/>
      <c r="S49" s="30"/>
      <c r="T49" s="30"/>
      <c r="U49" s="30"/>
      <c r="V49" s="30"/>
      <c r="W49" s="30"/>
      <c r="X49" s="30"/>
      <c r="Y49" s="30"/>
      <c r="Z49" s="30"/>
      <c r="AA49" s="30"/>
    </row>
    <row r="50" ht="15.75" customHeight="1">
      <c r="A50" s="14" t="s">
        <v>17</v>
      </c>
      <c r="B50" s="15" t="s">
        <v>102</v>
      </c>
      <c r="C50" s="14" t="s">
        <v>409</v>
      </c>
      <c r="D50" s="14" t="s">
        <v>410</v>
      </c>
      <c r="E50" s="26" t="s">
        <v>411</v>
      </c>
      <c r="F50" s="14">
        <v>429.0</v>
      </c>
      <c r="G50" s="14"/>
      <c r="H50" s="14" t="s">
        <v>28</v>
      </c>
      <c r="I50" s="19" t="s">
        <v>578</v>
      </c>
      <c r="J50" s="19" t="s">
        <v>412</v>
      </c>
      <c r="K50" s="19" t="s">
        <v>579</v>
      </c>
      <c r="L50" s="19" t="s">
        <v>580</v>
      </c>
      <c r="M50" s="20"/>
      <c r="N50" s="27"/>
      <c r="O50" s="31"/>
      <c r="P50" s="28">
        <v>0.0</v>
      </c>
      <c r="Q50" s="28">
        <v>0.0</v>
      </c>
      <c r="R50" s="30"/>
      <c r="S50" s="30"/>
      <c r="T50" s="30"/>
      <c r="U50" s="30"/>
      <c r="V50" s="30"/>
      <c r="W50" s="30"/>
      <c r="X50" s="30"/>
      <c r="Y50" s="30"/>
      <c r="Z50" s="30"/>
      <c r="AA50" s="30"/>
    </row>
    <row r="51" ht="15.75" customHeight="1">
      <c r="A51" s="14" t="s">
        <v>17</v>
      </c>
      <c r="B51" s="15" t="s">
        <v>102</v>
      </c>
      <c r="C51" s="14" t="s">
        <v>414</v>
      </c>
      <c r="D51" s="14" t="s">
        <v>415</v>
      </c>
      <c r="E51" s="26" t="s">
        <v>416</v>
      </c>
      <c r="F51" s="14">
        <v>430.0</v>
      </c>
      <c r="G51" s="14">
        <v>434.0</v>
      </c>
      <c r="H51" s="14" t="s">
        <v>28</v>
      </c>
      <c r="I51" s="19" t="s">
        <v>581</v>
      </c>
      <c r="J51" s="19" t="s">
        <v>420</v>
      </c>
      <c r="K51" s="19" t="s">
        <v>582</v>
      </c>
      <c r="L51" s="19" t="s">
        <v>583</v>
      </c>
      <c r="M51" s="20"/>
      <c r="N51" s="27"/>
      <c r="O51" s="43">
        <v>0.0</v>
      </c>
      <c r="P51" s="28">
        <v>1.0</v>
      </c>
      <c r="Q51" s="28">
        <v>10.0</v>
      </c>
      <c r="R51" s="30"/>
      <c r="S51" s="30"/>
      <c r="T51" s="30"/>
      <c r="U51" s="30"/>
      <c r="V51" s="30"/>
      <c r="W51" s="30"/>
      <c r="X51" s="30"/>
      <c r="Y51" s="30"/>
      <c r="Z51" s="30"/>
      <c r="AA51" s="30"/>
    </row>
    <row r="52" ht="15.75" customHeight="1">
      <c r="A52" s="14" t="s">
        <v>17</v>
      </c>
      <c r="B52" s="15" t="s">
        <v>102</v>
      </c>
      <c r="C52" s="14" t="s">
        <v>422</v>
      </c>
      <c r="D52" s="14" t="s">
        <v>423</v>
      </c>
      <c r="E52" s="26" t="s">
        <v>424</v>
      </c>
      <c r="F52" s="14">
        <v>435.0</v>
      </c>
      <c r="G52" s="14" t="s">
        <v>428</v>
      </c>
      <c r="H52" s="14" t="s">
        <v>28</v>
      </c>
      <c r="I52" s="19" t="s">
        <v>584</v>
      </c>
      <c r="J52" s="19" t="s">
        <v>429</v>
      </c>
      <c r="K52" s="19" t="s">
        <v>585</v>
      </c>
      <c r="L52" s="18"/>
      <c r="M52" s="20"/>
      <c r="N52" s="27"/>
      <c r="O52" s="31"/>
      <c r="P52" s="28">
        <v>6.0</v>
      </c>
      <c r="Q52" s="28">
        <v>5.0</v>
      </c>
      <c r="R52" s="30"/>
      <c r="S52" s="30"/>
      <c r="T52" s="30"/>
      <c r="U52" s="30"/>
      <c r="V52" s="30"/>
      <c r="W52" s="30"/>
      <c r="X52" s="30"/>
      <c r="Y52" s="30"/>
      <c r="Z52" s="30"/>
      <c r="AA52" s="30"/>
    </row>
    <row r="53" ht="15.75" customHeight="1">
      <c r="A53" s="14" t="s">
        <v>17</v>
      </c>
      <c r="B53" s="15" t="s">
        <v>102</v>
      </c>
      <c r="C53" s="14" t="s">
        <v>430</v>
      </c>
      <c r="D53" s="14" t="s">
        <v>431</v>
      </c>
      <c r="E53" s="26" t="s">
        <v>432</v>
      </c>
      <c r="F53" s="14">
        <v>440.0</v>
      </c>
      <c r="G53" s="14">
        <v>442.0</v>
      </c>
      <c r="H53" s="14" t="s">
        <v>28</v>
      </c>
      <c r="I53" s="19" t="s">
        <v>586</v>
      </c>
      <c r="J53" s="19" t="s">
        <v>434</v>
      </c>
      <c r="K53" s="19" t="s">
        <v>587</v>
      </c>
      <c r="L53" s="19" t="s">
        <v>588</v>
      </c>
      <c r="M53" s="20"/>
      <c r="N53" s="27"/>
      <c r="O53" s="31"/>
      <c r="P53" s="28">
        <v>0.0</v>
      </c>
      <c r="Q53" s="28">
        <v>3.0</v>
      </c>
      <c r="R53" s="30"/>
      <c r="S53" s="30"/>
      <c r="T53" s="30"/>
      <c r="U53" s="30"/>
      <c r="V53" s="30"/>
      <c r="W53" s="30"/>
      <c r="X53" s="30"/>
      <c r="Y53" s="30"/>
      <c r="Z53" s="30"/>
      <c r="AA53" s="30"/>
    </row>
    <row r="54" ht="15.75" customHeight="1">
      <c r="A54" s="14" t="s">
        <v>17</v>
      </c>
      <c r="B54" s="15" t="s">
        <v>102</v>
      </c>
      <c r="C54" s="14" t="s">
        <v>439</v>
      </c>
      <c r="D54" s="14" t="s">
        <v>440</v>
      </c>
      <c r="E54" s="26" t="s">
        <v>441</v>
      </c>
      <c r="F54" s="14">
        <v>443.0</v>
      </c>
      <c r="G54" s="14" t="s">
        <v>445</v>
      </c>
      <c r="H54" s="14" t="s">
        <v>28</v>
      </c>
      <c r="I54" s="19" t="s">
        <v>589</v>
      </c>
      <c r="J54" s="19" t="s">
        <v>446</v>
      </c>
      <c r="K54" s="19" t="s">
        <v>590</v>
      </c>
      <c r="L54" s="19" t="s">
        <v>591</v>
      </c>
      <c r="M54" s="20"/>
      <c r="N54" s="27"/>
      <c r="O54" s="22">
        <v>0.0</v>
      </c>
      <c r="P54" s="28">
        <v>0.0</v>
      </c>
      <c r="Q54" s="28">
        <v>9.0</v>
      </c>
      <c r="R54" s="30"/>
      <c r="S54" s="30"/>
      <c r="T54" s="30"/>
      <c r="U54" s="30"/>
      <c r="V54" s="30"/>
      <c r="W54" s="30"/>
      <c r="X54" s="30"/>
      <c r="Y54" s="30"/>
      <c r="Z54" s="30"/>
      <c r="AA54" s="30"/>
    </row>
    <row r="55" ht="15.75" customHeight="1">
      <c r="A55" s="14" t="s">
        <v>17</v>
      </c>
      <c r="B55" s="15" t="s">
        <v>102</v>
      </c>
      <c r="C55" s="14" t="s">
        <v>448</v>
      </c>
      <c r="D55" s="14" t="s">
        <v>449</v>
      </c>
      <c r="E55" s="26" t="s">
        <v>450</v>
      </c>
      <c r="F55" s="14">
        <v>449.0</v>
      </c>
      <c r="G55" s="14">
        <v>456.0</v>
      </c>
      <c r="H55" s="14" t="s">
        <v>28</v>
      </c>
      <c r="I55" s="19" t="s">
        <v>592</v>
      </c>
      <c r="J55" s="19" t="s">
        <v>454</v>
      </c>
      <c r="K55" s="19" t="s">
        <v>593</v>
      </c>
      <c r="L55" s="19" t="s">
        <v>594</v>
      </c>
      <c r="M55" s="20"/>
      <c r="N55" s="27"/>
      <c r="O55" s="22">
        <v>50.0</v>
      </c>
      <c r="P55" s="28">
        <v>2.0</v>
      </c>
      <c r="Q55" s="28">
        <v>4.0</v>
      </c>
      <c r="R55" s="30"/>
      <c r="S55" s="30"/>
      <c r="T55" s="30"/>
      <c r="U55" s="30"/>
      <c r="V55" s="30"/>
      <c r="W55" s="30"/>
      <c r="X55" s="30"/>
      <c r="Y55" s="30"/>
      <c r="Z55" s="30"/>
      <c r="AA55" s="30"/>
    </row>
    <row r="56" ht="15.75" customHeight="1">
      <c r="A56" s="14" t="s">
        <v>17</v>
      </c>
      <c r="B56" s="15" t="s">
        <v>595</v>
      </c>
      <c r="C56" s="14" t="s">
        <v>455</v>
      </c>
      <c r="D56" s="14" t="s">
        <v>456</v>
      </c>
      <c r="E56" s="26" t="s">
        <v>457</v>
      </c>
      <c r="F56" s="14">
        <v>2.0</v>
      </c>
      <c r="G56" s="14"/>
      <c r="H56" s="14" t="s">
        <v>21</v>
      </c>
      <c r="I56" s="19" t="s">
        <v>596</v>
      </c>
      <c r="J56" s="19" t="s">
        <v>458</v>
      </c>
      <c r="K56" s="19" t="s">
        <v>597</v>
      </c>
      <c r="L56" s="19" t="s">
        <v>598</v>
      </c>
      <c r="M56" s="20"/>
      <c r="N56" s="27"/>
      <c r="O56" s="31"/>
      <c r="P56" s="28">
        <v>1.0</v>
      </c>
      <c r="Q56" s="28">
        <v>0.0</v>
      </c>
      <c r="R56" s="30"/>
      <c r="S56" s="30"/>
      <c r="T56" s="30"/>
      <c r="U56" s="30"/>
      <c r="V56" s="30"/>
      <c r="W56" s="30"/>
      <c r="X56" s="30"/>
      <c r="Y56" s="30"/>
      <c r="Z56" s="30"/>
      <c r="AA56" s="30"/>
    </row>
    <row r="57" ht="15.75" customHeight="1">
      <c r="A57" s="14" t="s">
        <v>17</v>
      </c>
      <c r="B57" s="15" t="s">
        <v>595</v>
      </c>
      <c r="C57" s="14" t="s">
        <v>461</v>
      </c>
      <c r="D57" s="14" t="s">
        <v>463</v>
      </c>
      <c r="E57" s="26" t="s">
        <v>465</v>
      </c>
      <c r="F57" s="14">
        <v>12.0</v>
      </c>
      <c r="G57" s="14" t="s">
        <v>466</v>
      </c>
      <c r="H57" s="14" t="s">
        <v>28</v>
      </c>
      <c r="I57" s="19" t="s">
        <v>599</v>
      </c>
      <c r="J57" s="19" t="s">
        <v>467</v>
      </c>
      <c r="K57" s="19" t="s">
        <v>600</v>
      </c>
      <c r="L57" s="19" t="s">
        <v>601</v>
      </c>
      <c r="M57" s="20"/>
      <c r="N57" s="27"/>
      <c r="O57" s="31"/>
      <c r="P57" s="28">
        <v>5.0</v>
      </c>
      <c r="Q57" s="28">
        <v>8.0</v>
      </c>
      <c r="R57" s="30"/>
      <c r="S57" s="30"/>
      <c r="T57" s="30"/>
      <c r="U57" s="30"/>
      <c r="V57" s="30"/>
      <c r="W57" s="30"/>
      <c r="X57" s="30"/>
      <c r="Y57" s="30"/>
      <c r="Z57" s="30"/>
      <c r="AA57" s="30"/>
    </row>
    <row r="58" ht="15.75" customHeight="1">
      <c r="A58" s="14" t="s">
        <v>17</v>
      </c>
      <c r="B58" s="15" t="s">
        <v>595</v>
      </c>
      <c r="C58" s="14" t="s">
        <v>469</v>
      </c>
      <c r="D58" s="14" t="s">
        <v>470</v>
      </c>
      <c r="E58" s="26" t="s">
        <v>471</v>
      </c>
      <c r="F58" s="14">
        <v>17.0</v>
      </c>
      <c r="G58" s="14" t="s">
        <v>475</v>
      </c>
      <c r="H58" s="14" t="s">
        <v>28</v>
      </c>
      <c r="I58" s="19" t="s">
        <v>602</v>
      </c>
      <c r="J58" s="19" t="s">
        <v>476</v>
      </c>
      <c r="K58" s="19" t="s">
        <v>603</v>
      </c>
      <c r="L58" s="19" t="s">
        <v>506</v>
      </c>
      <c r="M58" s="20"/>
      <c r="N58" s="27"/>
      <c r="O58" s="22">
        <v>244.0</v>
      </c>
      <c r="P58" s="28">
        <v>46.0</v>
      </c>
      <c r="Q58" s="28">
        <v>11.0</v>
      </c>
      <c r="R58" s="29" t="s">
        <v>106</v>
      </c>
      <c r="S58" s="30"/>
      <c r="T58" s="30"/>
      <c r="U58" s="30"/>
      <c r="V58" s="30"/>
      <c r="W58" s="30"/>
      <c r="X58" s="30"/>
      <c r="Y58" s="30"/>
      <c r="Z58" s="30"/>
      <c r="AA58" s="30"/>
    </row>
    <row r="59" ht="15.75" customHeight="1">
      <c r="A59" s="14" t="s">
        <v>17</v>
      </c>
      <c r="B59" s="15" t="s">
        <v>595</v>
      </c>
      <c r="C59" s="14" t="s">
        <v>478</v>
      </c>
      <c r="D59" s="14" t="s">
        <v>479</v>
      </c>
      <c r="E59" s="26" t="s">
        <v>480</v>
      </c>
      <c r="F59" s="14">
        <v>25.0</v>
      </c>
      <c r="G59" s="14">
        <v>32.0</v>
      </c>
      <c r="H59" s="14" t="s">
        <v>28</v>
      </c>
      <c r="I59" s="19" t="s">
        <v>604</v>
      </c>
      <c r="J59" s="19" t="s">
        <v>484</v>
      </c>
      <c r="K59" s="19" t="s">
        <v>605</v>
      </c>
      <c r="L59" s="19" t="s">
        <v>606</v>
      </c>
      <c r="M59" s="20"/>
      <c r="N59" s="27"/>
      <c r="O59" s="22">
        <v>50.0</v>
      </c>
      <c r="P59" s="28">
        <v>4.0</v>
      </c>
      <c r="Q59" s="28">
        <v>27.0</v>
      </c>
      <c r="R59" s="30"/>
      <c r="S59" s="30"/>
      <c r="T59" s="30"/>
      <c r="U59" s="30"/>
      <c r="V59" s="30"/>
      <c r="W59" s="30"/>
      <c r="X59" s="30"/>
      <c r="Y59" s="30"/>
      <c r="Z59" s="30"/>
      <c r="AA59" s="30"/>
    </row>
    <row r="60" ht="15.75" customHeight="1">
      <c r="A60" s="14" t="s">
        <v>17</v>
      </c>
      <c r="B60" s="15" t="s">
        <v>595</v>
      </c>
      <c r="C60" s="14" t="s">
        <v>486</v>
      </c>
      <c r="D60" s="14" t="s">
        <v>487</v>
      </c>
      <c r="E60" s="26" t="s">
        <v>488</v>
      </c>
      <c r="F60" s="14">
        <v>33.0</v>
      </c>
      <c r="G60" s="14" t="s">
        <v>490</v>
      </c>
      <c r="H60" s="14" t="s">
        <v>28</v>
      </c>
      <c r="I60" s="19" t="s">
        <v>607</v>
      </c>
      <c r="J60" s="19" t="s">
        <v>492</v>
      </c>
      <c r="K60" s="19" t="s">
        <v>608</v>
      </c>
      <c r="L60" s="18"/>
      <c r="M60" s="20" t="s">
        <v>495</v>
      </c>
      <c r="N60" s="27"/>
      <c r="O60" s="22">
        <v>296.0</v>
      </c>
      <c r="P60" s="28">
        <v>93.0</v>
      </c>
      <c r="Q60" s="28">
        <v>44.0</v>
      </c>
      <c r="R60" s="30"/>
      <c r="S60" s="30"/>
      <c r="T60" s="30"/>
      <c r="U60" s="30"/>
      <c r="V60" s="30"/>
      <c r="W60" s="30"/>
      <c r="X60" s="30"/>
      <c r="Y60" s="30"/>
      <c r="Z60" s="30"/>
      <c r="AA60" s="30"/>
    </row>
    <row r="61" ht="15.75" customHeight="1">
      <c r="A61" s="14" t="s">
        <v>17</v>
      </c>
      <c r="B61" s="15" t="s">
        <v>595</v>
      </c>
      <c r="C61" s="14" t="s">
        <v>496</v>
      </c>
      <c r="D61" s="14" t="s">
        <v>497</v>
      </c>
      <c r="E61" s="26" t="s">
        <v>498</v>
      </c>
      <c r="F61" s="14">
        <v>42.0</v>
      </c>
      <c r="G61" s="14">
        <v>49.0</v>
      </c>
      <c r="H61" s="14" t="s">
        <v>28</v>
      </c>
      <c r="I61" s="19" t="s">
        <v>609</v>
      </c>
      <c r="J61" s="19" t="s">
        <v>499</v>
      </c>
      <c r="K61" s="19" t="s">
        <v>610</v>
      </c>
      <c r="L61" s="19" t="s">
        <v>611</v>
      </c>
      <c r="M61" s="20"/>
      <c r="N61" s="27"/>
      <c r="O61" s="22">
        <v>50.0</v>
      </c>
      <c r="P61" s="28">
        <v>0.0</v>
      </c>
      <c r="Q61" s="28">
        <v>8.0</v>
      </c>
      <c r="R61" s="30"/>
      <c r="S61" s="30"/>
      <c r="T61" s="30"/>
      <c r="U61" s="30"/>
      <c r="V61" s="30"/>
      <c r="W61" s="30"/>
      <c r="X61" s="30"/>
      <c r="Y61" s="30"/>
      <c r="Z61" s="30"/>
      <c r="AA61" s="30"/>
    </row>
    <row r="62" ht="15.75" customHeight="1">
      <c r="A62" s="14" t="s">
        <v>17</v>
      </c>
      <c r="B62" s="15" t="s">
        <v>595</v>
      </c>
      <c r="C62" s="14" t="s">
        <v>501</v>
      </c>
      <c r="D62" s="14" t="s">
        <v>502</v>
      </c>
      <c r="E62" s="26" t="s">
        <v>503</v>
      </c>
      <c r="F62" s="14">
        <v>50.0</v>
      </c>
      <c r="G62" s="14" t="s">
        <v>507</v>
      </c>
      <c r="H62" s="14" t="s">
        <v>28</v>
      </c>
      <c r="I62" s="19" t="s">
        <v>612</v>
      </c>
      <c r="J62" s="19" t="s">
        <v>613</v>
      </c>
      <c r="K62" s="19" t="s">
        <v>614</v>
      </c>
      <c r="L62" s="19" t="s">
        <v>615</v>
      </c>
      <c r="M62" s="20"/>
      <c r="N62" s="27"/>
      <c r="O62" s="43">
        <v>88.0</v>
      </c>
      <c r="P62" s="28">
        <v>24.0</v>
      </c>
      <c r="Q62" s="28">
        <v>24.0</v>
      </c>
      <c r="R62" s="30"/>
      <c r="S62" s="30"/>
      <c r="T62" s="30"/>
      <c r="U62" s="30"/>
      <c r="V62" s="30"/>
      <c r="W62" s="30"/>
      <c r="X62" s="30"/>
      <c r="Y62" s="30"/>
      <c r="Z62" s="30"/>
      <c r="AA62" s="30"/>
    </row>
    <row r="63" ht="15.75" customHeight="1">
      <c r="A63" s="14" t="s">
        <v>17</v>
      </c>
      <c r="B63" s="15" t="s">
        <v>595</v>
      </c>
      <c r="C63" s="14" t="s">
        <v>510</v>
      </c>
      <c r="D63" s="14" t="s">
        <v>511</v>
      </c>
      <c r="E63" s="26" t="s">
        <v>512</v>
      </c>
      <c r="F63" s="14">
        <v>58.0</v>
      </c>
      <c r="G63" s="14" t="s">
        <v>516</v>
      </c>
      <c r="H63" s="14" t="s">
        <v>28</v>
      </c>
      <c r="I63" s="19" t="s">
        <v>616</v>
      </c>
      <c r="J63" s="19" t="s">
        <v>517</v>
      </c>
      <c r="K63" s="19" t="s">
        <v>617</v>
      </c>
      <c r="L63" s="19" t="s">
        <v>618</v>
      </c>
      <c r="M63" s="20"/>
      <c r="N63" s="27"/>
      <c r="O63" s="22">
        <v>32.0</v>
      </c>
      <c r="P63" s="28">
        <v>10.0</v>
      </c>
      <c r="Q63" s="28">
        <v>13.0</v>
      </c>
      <c r="R63" s="30"/>
      <c r="S63" s="30"/>
      <c r="T63" s="30"/>
      <c r="U63" s="30"/>
      <c r="V63" s="30"/>
      <c r="W63" s="30"/>
      <c r="X63" s="30"/>
      <c r="Y63" s="30"/>
      <c r="Z63" s="30"/>
      <c r="AA63" s="30"/>
    </row>
    <row r="64" ht="15.75" customHeight="1">
      <c r="A64" s="14" t="s">
        <v>17</v>
      </c>
      <c r="B64" s="15" t="s">
        <v>595</v>
      </c>
      <c r="C64" s="14" t="s">
        <v>519</v>
      </c>
      <c r="D64" s="14" t="s">
        <v>520</v>
      </c>
      <c r="E64" s="26" t="s">
        <v>521</v>
      </c>
      <c r="F64" s="14">
        <v>68.0</v>
      </c>
      <c r="G64" s="14" t="s">
        <v>522</v>
      </c>
      <c r="H64" s="14" t="s">
        <v>28</v>
      </c>
      <c r="I64" s="19" t="s">
        <v>619</v>
      </c>
      <c r="J64" s="19" t="s">
        <v>524</v>
      </c>
      <c r="K64" s="19" t="s">
        <v>620</v>
      </c>
      <c r="L64" s="19" t="s">
        <v>621</v>
      </c>
      <c r="M64" s="20" t="s">
        <v>247</v>
      </c>
      <c r="N64" s="27"/>
      <c r="O64" s="31"/>
      <c r="P64" s="28">
        <v>22.0</v>
      </c>
      <c r="Q64" s="28">
        <v>21.0</v>
      </c>
      <c r="R64" s="30"/>
      <c r="S64" s="30"/>
      <c r="T64" s="30"/>
      <c r="U64" s="30"/>
      <c r="V64" s="30"/>
      <c r="W64" s="30"/>
      <c r="X64" s="30"/>
      <c r="Y64" s="30"/>
      <c r="Z64" s="30"/>
      <c r="AA64" s="30"/>
    </row>
    <row r="65" ht="15.75" customHeight="1">
      <c r="A65" s="14" t="s">
        <v>17</v>
      </c>
      <c r="B65" s="15" t="s">
        <v>595</v>
      </c>
      <c r="C65" s="14" t="s">
        <v>528</v>
      </c>
      <c r="D65" s="14" t="s">
        <v>529</v>
      </c>
      <c r="E65" s="26" t="s">
        <v>530</v>
      </c>
      <c r="F65" s="14">
        <v>76.0</v>
      </c>
      <c r="G65" s="14" t="s">
        <v>531</v>
      </c>
      <c r="H65" s="14" t="s">
        <v>28</v>
      </c>
      <c r="I65" s="19" t="s">
        <v>622</v>
      </c>
      <c r="J65" s="19" t="s">
        <v>532</v>
      </c>
      <c r="K65" s="19" t="s">
        <v>623</v>
      </c>
      <c r="L65" s="19" t="s">
        <v>624</v>
      </c>
      <c r="M65" s="20" t="s">
        <v>369</v>
      </c>
      <c r="N65" s="27"/>
      <c r="O65" s="22">
        <v>0.0</v>
      </c>
      <c r="P65" s="28">
        <v>1.0</v>
      </c>
      <c r="Q65" s="28">
        <v>28.0</v>
      </c>
      <c r="R65" s="30"/>
      <c r="S65" s="30"/>
      <c r="T65" s="30"/>
      <c r="U65" s="30"/>
      <c r="V65" s="30"/>
      <c r="W65" s="30"/>
      <c r="X65" s="30"/>
      <c r="Y65" s="30"/>
      <c r="Z65" s="30"/>
      <c r="AA65" s="30"/>
    </row>
    <row r="66" ht="15.75" customHeight="1">
      <c r="A66" s="14" t="s">
        <v>17</v>
      </c>
      <c r="B66" s="15" t="s">
        <v>595</v>
      </c>
      <c r="C66" s="14" t="s">
        <v>535</v>
      </c>
      <c r="D66" s="14" t="s">
        <v>536</v>
      </c>
      <c r="E66" s="26" t="s">
        <v>538</v>
      </c>
      <c r="F66" s="14">
        <v>83.0</v>
      </c>
      <c r="G66" s="14" t="s">
        <v>540</v>
      </c>
      <c r="H66" s="14" t="s">
        <v>28</v>
      </c>
      <c r="I66" s="19" t="s">
        <v>625</v>
      </c>
      <c r="J66" s="19" t="s">
        <v>53</v>
      </c>
      <c r="K66" s="19" t="s">
        <v>117</v>
      </c>
      <c r="L66" s="19" t="s">
        <v>118</v>
      </c>
      <c r="M66" s="20" t="s">
        <v>50</v>
      </c>
      <c r="N66" s="27"/>
      <c r="O66" s="22">
        <v>697.0</v>
      </c>
      <c r="P66" s="28">
        <v>146.0</v>
      </c>
      <c r="Q66" s="28">
        <v>16.0</v>
      </c>
      <c r="R66" s="30"/>
      <c r="S66" s="30"/>
      <c r="T66" s="30"/>
      <c r="U66" s="30"/>
      <c r="V66" s="30"/>
      <c r="W66" s="30"/>
      <c r="X66" s="30"/>
      <c r="Y66" s="30"/>
      <c r="Z66" s="30"/>
      <c r="AA66" s="30"/>
    </row>
    <row r="67" ht="15.75" customHeight="1">
      <c r="A67" s="14" t="s">
        <v>17</v>
      </c>
      <c r="B67" s="15" t="s">
        <v>595</v>
      </c>
      <c r="C67" s="14" t="s">
        <v>542</v>
      </c>
      <c r="D67" s="14" t="s">
        <v>544</v>
      </c>
      <c r="E67" s="26" t="s">
        <v>546</v>
      </c>
      <c r="F67" s="14">
        <v>94.0</v>
      </c>
      <c r="G67" s="14" t="s">
        <v>547</v>
      </c>
      <c r="H67" s="14" t="s">
        <v>28</v>
      </c>
      <c r="I67" s="19" t="s">
        <v>626</v>
      </c>
      <c r="J67" s="19" t="s">
        <v>548</v>
      </c>
      <c r="K67" s="19" t="s">
        <v>627</v>
      </c>
      <c r="L67" s="19" t="s">
        <v>628</v>
      </c>
      <c r="M67" s="20"/>
      <c r="N67" s="27"/>
      <c r="O67" s="22">
        <v>50.0</v>
      </c>
      <c r="P67" s="28">
        <v>6.0</v>
      </c>
      <c r="Q67" s="28">
        <v>11.0</v>
      </c>
      <c r="R67" s="30"/>
      <c r="S67" s="30"/>
      <c r="T67" s="30"/>
      <c r="U67" s="30"/>
      <c r="V67" s="30"/>
      <c r="W67" s="30"/>
      <c r="X67" s="30"/>
      <c r="Y67" s="30"/>
      <c r="Z67" s="30"/>
      <c r="AA67" s="30"/>
    </row>
    <row r="68" ht="15.75" customHeight="1">
      <c r="A68" s="14" t="s">
        <v>17</v>
      </c>
      <c r="B68" s="15" t="s">
        <v>595</v>
      </c>
      <c r="C68" s="14" t="s">
        <v>550</v>
      </c>
      <c r="D68" s="14" t="s">
        <v>551</v>
      </c>
      <c r="E68" s="26" t="s">
        <v>552</v>
      </c>
      <c r="F68" s="14">
        <v>102.0</v>
      </c>
      <c r="G68" s="14">
        <v>108.0</v>
      </c>
      <c r="H68" s="14" t="s">
        <v>28</v>
      </c>
      <c r="I68" s="19" t="s">
        <v>629</v>
      </c>
      <c r="J68" s="19" t="s">
        <v>556</v>
      </c>
      <c r="K68" s="19" t="s">
        <v>630</v>
      </c>
      <c r="L68" s="19" t="s">
        <v>631</v>
      </c>
      <c r="M68" s="20"/>
      <c r="N68" s="27"/>
      <c r="O68" s="22">
        <v>50.0</v>
      </c>
      <c r="P68" s="28">
        <v>0.0</v>
      </c>
      <c r="Q68" s="28">
        <v>3.0</v>
      </c>
      <c r="R68" s="30"/>
      <c r="S68" s="30"/>
      <c r="T68" s="30"/>
      <c r="U68" s="30"/>
      <c r="V68" s="30"/>
      <c r="W68" s="30"/>
      <c r="X68" s="30"/>
      <c r="Y68" s="30"/>
      <c r="Z68" s="30"/>
      <c r="AA68" s="30"/>
    </row>
    <row r="69" ht="15.75" customHeight="1">
      <c r="A69" s="14" t="s">
        <v>17</v>
      </c>
      <c r="B69" s="15" t="s">
        <v>595</v>
      </c>
      <c r="C69" s="14" t="s">
        <v>558</v>
      </c>
      <c r="D69" s="14" t="s">
        <v>559</v>
      </c>
      <c r="E69" s="26" t="s">
        <v>560</v>
      </c>
      <c r="F69" s="14">
        <v>109.0</v>
      </c>
      <c r="G69" s="14" t="s">
        <v>564</v>
      </c>
      <c r="H69" s="14" t="s">
        <v>28</v>
      </c>
      <c r="I69" s="19" t="s">
        <v>632</v>
      </c>
      <c r="J69" s="19" t="s">
        <v>565</v>
      </c>
      <c r="K69" s="19" t="s">
        <v>633</v>
      </c>
      <c r="L69" s="19" t="s">
        <v>634</v>
      </c>
      <c r="M69" s="20"/>
      <c r="N69" s="27"/>
      <c r="O69" s="22">
        <v>50.0</v>
      </c>
      <c r="P69" s="28">
        <v>2.0</v>
      </c>
      <c r="Q69" s="28">
        <v>7.0</v>
      </c>
      <c r="R69" s="30"/>
      <c r="S69" s="30"/>
      <c r="T69" s="30"/>
      <c r="U69" s="30"/>
      <c r="V69" s="30"/>
      <c r="W69" s="30"/>
      <c r="X69" s="30"/>
      <c r="Y69" s="30"/>
      <c r="Z69" s="30"/>
      <c r="AA69" s="30"/>
    </row>
    <row r="70" ht="15.75" customHeight="1">
      <c r="A70" s="14" t="s">
        <v>17</v>
      </c>
      <c r="B70" s="15" t="s">
        <v>595</v>
      </c>
      <c r="C70" s="14" t="s">
        <v>566</v>
      </c>
      <c r="D70" s="14" t="s">
        <v>567</v>
      </c>
      <c r="E70" s="26" t="s">
        <v>568</v>
      </c>
      <c r="F70" s="14">
        <v>116.0</v>
      </c>
      <c r="G70" s="14" t="s">
        <v>569</v>
      </c>
      <c r="H70" s="14" t="s">
        <v>28</v>
      </c>
      <c r="I70" s="19" t="s">
        <v>635</v>
      </c>
      <c r="J70" s="19" t="s">
        <v>571</v>
      </c>
      <c r="K70" s="19" t="s">
        <v>636</v>
      </c>
      <c r="L70" s="19" t="s">
        <v>637</v>
      </c>
      <c r="M70" s="20"/>
      <c r="N70" s="27"/>
      <c r="O70" s="22">
        <v>50.0</v>
      </c>
      <c r="P70" s="28">
        <v>1.0</v>
      </c>
      <c r="Q70" s="28">
        <v>14.0</v>
      </c>
      <c r="R70" s="30"/>
      <c r="S70" s="30"/>
      <c r="T70" s="30"/>
      <c r="U70" s="30"/>
      <c r="V70" s="30"/>
      <c r="W70" s="30"/>
      <c r="X70" s="30"/>
      <c r="Y70" s="30"/>
      <c r="Z70" s="30"/>
      <c r="AA70" s="30"/>
    </row>
    <row r="71" ht="15.75" customHeight="1">
      <c r="A71" s="14" t="s">
        <v>17</v>
      </c>
      <c r="B71" s="15" t="s">
        <v>595</v>
      </c>
      <c r="C71" s="14" t="s">
        <v>575</v>
      </c>
      <c r="D71" s="14" t="s">
        <v>576</v>
      </c>
      <c r="E71" s="26" t="s">
        <v>577</v>
      </c>
      <c r="F71" s="14">
        <v>126.0</v>
      </c>
      <c r="G71" s="14" t="s">
        <v>638</v>
      </c>
      <c r="H71" s="14" t="s">
        <v>28</v>
      </c>
      <c r="I71" s="19" t="s">
        <v>639</v>
      </c>
      <c r="J71" s="19" t="s">
        <v>640</v>
      </c>
      <c r="K71" s="19" t="s">
        <v>641</v>
      </c>
      <c r="L71" s="19" t="s">
        <v>642</v>
      </c>
      <c r="M71" s="20"/>
      <c r="N71" s="27"/>
      <c r="O71" s="22">
        <v>134.0</v>
      </c>
      <c r="P71" s="28">
        <v>35.0</v>
      </c>
      <c r="Q71" s="28">
        <v>10.0</v>
      </c>
      <c r="R71" s="30"/>
      <c r="S71" s="30"/>
      <c r="T71" s="30"/>
      <c r="U71" s="30"/>
      <c r="V71" s="30"/>
      <c r="W71" s="30"/>
      <c r="X71" s="30"/>
      <c r="Y71" s="30"/>
      <c r="Z71" s="30"/>
      <c r="AA71" s="30"/>
    </row>
    <row r="72" ht="15.75" customHeight="1">
      <c r="A72" s="14" t="s">
        <v>17</v>
      </c>
      <c r="B72" s="15" t="s">
        <v>595</v>
      </c>
      <c r="C72" s="14" t="s">
        <v>643</v>
      </c>
      <c r="D72" s="14" t="s">
        <v>644</v>
      </c>
      <c r="E72" s="26" t="s">
        <v>645</v>
      </c>
      <c r="F72" s="14">
        <v>133.0</v>
      </c>
      <c r="G72" s="14" t="s">
        <v>646</v>
      </c>
      <c r="H72" s="14" t="s">
        <v>28</v>
      </c>
      <c r="I72" s="19" t="s">
        <v>647</v>
      </c>
      <c r="J72" s="19" t="s">
        <v>648</v>
      </c>
      <c r="K72" s="19" t="s">
        <v>649</v>
      </c>
      <c r="L72" s="19" t="s">
        <v>634</v>
      </c>
      <c r="M72" s="20" t="s">
        <v>650</v>
      </c>
      <c r="N72" s="27"/>
      <c r="O72" s="22">
        <v>74.0</v>
      </c>
      <c r="P72" s="28">
        <v>20.0</v>
      </c>
      <c r="Q72" s="28">
        <v>9.0</v>
      </c>
      <c r="R72" s="30"/>
      <c r="S72" s="30"/>
      <c r="T72" s="30"/>
      <c r="U72" s="30"/>
      <c r="V72" s="30"/>
      <c r="W72" s="30"/>
      <c r="X72" s="30"/>
      <c r="Y72" s="30"/>
      <c r="Z72" s="30"/>
      <c r="AA72" s="30"/>
    </row>
    <row r="73" ht="15.75" customHeight="1">
      <c r="A73" s="14" t="s">
        <v>17</v>
      </c>
      <c r="B73" s="15" t="s">
        <v>595</v>
      </c>
      <c r="C73" s="14" t="s">
        <v>651</v>
      </c>
      <c r="D73" s="14" t="s">
        <v>652</v>
      </c>
      <c r="E73" s="26" t="s">
        <v>653</v>
      </c>
      <c r="F73" s="14">
        <v>140.0</v>
      </c>
      <c r="G73" s="14">
        <v>147.0</v>
      </c>
      <c r="H73" s="14" t="s">
        <v>28</v>
      </c>
      <c r="I73" s="19" t="s">
        <v>654</v>
      </c>
      <c r="J73" s="19" t="s">
        <v>655</v>
      </c>
      <c r="K73" s="19" t="s">
        <v>656</v>
      </c>
      <c r="L73" s="19" t="s">
        <v>657</v>
      </c>
      <c r="M73" s="20"/>
      <c r="N73" s="27"/>
      <c r="O73" s="31"/>
      <c r="P73" s="28">
        <v>1.0</v>
      </c>
      <c r="Q73" s="28">
        <v>12.0</v>
      </c>
      <c r="R73" s="30"/>
      <c r="S73" s="30"/>
      <c r="T73" s="30"/>
      <c r="U73" s="30"/>
      <c r="V73" s="30"/>
      <c r="W73" s="30"/>
      <c r="X73" s="30"/>
      <c r="Y73" s="30"/>
      <c r="Z73" s="30"/>
      <c r="AA73" s="30"/>
    </row>
    <row r="74" ht="15.75" customHeight="1">
      <c r="A74" s="14" t="s">
        <v>17</v>
      </c>
      <c r="B74" s="15" t="s">
        <v>595</v>
      </c>
      <c r="C74" s="14" t="s">
        <v>659</v>
      </c>
      <c r="D74" s="14" t="s">
        <v>660</v>
      </c>
      <c r="E74" s="26" t="s">
        <v>661</v>
      </c>
      <c r="F74" s="14">
        <v>148.0</v>
      </c>
      <c r="G74" s="14">
        <v>153.0</v>
      </c>
      <c r="H74" s="14" t="s">
        <v>28</v>
      </c>
      <c r="I74" s="19" t="s">
        <v>662</v>
      </c>
      <c r="J74" s="19" t="s">
        <v>663</v>
      </c>
      <c r="K74" s="19" t="s">
        <v>664</v>
      </c>
      <c r="L74" s="19" t="s">
        <v>666</v>
      </c>
      <c r="M74" s="20"/>
      <c r="N74" s="27"/>
      <c r="O74" s="31"/>
      <c r="P74" s="28">
        <v>9.0</v>
      </c>
      <c r="Q74" s="28">
        <v>8.0</v>
      </c>
      <c r="R74" s="30"/>
      <c r="S74" s="30"/>
      <c r="T74" s="30"/>
      <c r="U74" s="30"/>
      <c r="V74" s="30"/>
      <c r="W74" s="30"/>
      <c r="X74" s="30"/>
      <c r="Y74" s="30"/>
      <c r="Z74" s="30"/>
      <c r="AA74" s="30"/>
    </row>
    <row r="75" ht="15.75" customHeight="1">
      <c r="A75" s="14" t="s">
        <v>17</v>
      </c>
      <c r="B75" s="15" t="s">
        <v>595</v>
      </c>
      <c r="C75" s="14" t="s">
        <v>667</v>
      </c>
      <c r="D75" s="14" t="s">
        <v>668</v>
      </c>
      <c r="E75" s="26" t="s">
        <v>669</v>
      </c>
      <c r="F75" s="14">
        <v>156.0</v>
      </c>
      <c r="G75" s="14" t="s">
        <v>671</v>
      </c>
      <c r="H75" s="14" t="s">
        <v>28</v>
      </c>
      <c r="I75" s="19" t="s">
        <v>672</v>
      </c>
      <c r="J75" s="19" t="s">
        <v>673</v>
      </c>
      <c r="K75" s="19" t="s">
        <v>674</v>
      </c>
      <c r="L75" s="19" t="s">
        <v>675</v>
      </c>
      <c r="M75" s="20"/>
      <c r="N75" s="27"/>
      <c r="O75" s="22">
        <v>211.0</v>
      </c>
      <c r="P75" s="28">
        <v>73.0</v>
      </c>
      <c r="Q75" s="28">
        <v>34.0</v>
      </c>
      <c r="R75" s="30"/>
      <c r="S75" s="30"/>
      <c r="T75" s="30"/>
      <c r="U75" s="30"/>
      <c r="V75" s="30"/>
      <c r="W75" s="30"/>
      <c r="X75" s="30"/>
      <c r="Y75" s="30"/>
      <c r="Z75" s="30"/>
      <c r="AA75" s="30"/>
    </row>
    <row r="76" ht="15.75" customHeight="1">
      <c r="A76" s="14" t="s">
        <v>17</v>
      </c>
      <c r="B76" s="15" t="s">
        <v>595</v>
      </c>
      <c r="C76" s="14" t="s">
        <v>676</v>
      </c>
      <c r="D76" s="14" t="s">
        <v>677</v>
      </c>
      <c r="E76" s="26" t="s">
        <v>678</v>
      </c>
      <c r="F76" s="14">
        <v>164.0</v>
      </c>
      <c r="G76" s="14" t="s">
        <v>680</v>
      </c>
      <c r="H76" s="14" t="s">
        <v>28</v>
      </c>
      <c r="I76" s="19" t="s">
        <v>681</v>
      </c>
      <c r="J76" s="19" t="s">
        <v>682</v>
      </c>
      <c r="K76" s="19" t="s">
        <v>683</v>
      </c>
      <c r="L76" s="19" t="s">
        <v>684</v>
      </c>
      <c r="M76" s="20"/>
      <c r="N76" s="27"/>
      <c r="O76" s="22">
        <v>214.0</v>
      </c>
      <c r="P76" s="28">
        <v>25.0</v>
      </c>
      <c r="Q76" s="28">
        <v>16.0</v>
      </c>
      <c r="R76" s="30"/>
      <c r="S76" s="30"/>
      <c r="T76" s="30"/>
      <c r="U76" s="30"/>
      <c r="V76" s="30"/>
      <c r="W76" s="30"/>
      <c r="X76" s="30"/>
      <c r="Y76" s="30"/>
      <c r="Z76" s="30"/>
      <c r="AA76" s="30"/>
    </row>
    <row r="77" ht="15.75" customHeight="1">
      <c r="A77" s="14" t="s">
        <v>17</v>
      </c>
      <c r="B77" s="15" t="s">
        <v>595</v>
      </c>
      <c r="C77" s="14" t="s">
        <v>685</v>
      </c>
      <c r="D77" s="14" t="s">
        <v>686</v>
      </c>
      <c r="E77" s="26" t="s">
        <v>687</v>
      </c>
      <c r="F77" s="14">
        <v>171.0</v>
      </c>
      <c r="G77" s="14" t="s">
        <v>689</v>
      </c>
      <c r="H77" s="14" t="s">
        <v>28</v>
      </c>
      <c r="I77" s="19" t="s">
        <v>690</v>
      </c>
      <c r="J77" s="19" t="s">
        <v>691</v>
      </c>
      <c r="K77" s="19" t="s">
        <v>692</v>
      </c>
      <c r="L77" s="19" t="s">
        <v>693</v>
      </c>
      <c r="M77" s="20"/>
      <c r="N77" s="27"/>
      <c r="O77" s="31"/>
      <c r="P77" s="28">
        <v>11.0</v>
      </c>
      <c r="Q77" s="28">
        <v>9.0</v>
      </c>
      <c r="R77" s="30"/>
      <c r="S77" s="30"/>
      <c r="T77" s="30"/>
      <c r="U77" s="30"/>
      <c r="V77" s="30"/>
      <c r="W77" s="30"/>
      <c r="X77" s="30"/>
      <c r="Y77" s="30"/>
      <c r="Z77" s="30"/>
      <c r="AA77" s="30"/>
    </row>
    <row r="78" ht="15.75" customHeight="1">
      <c r="A78" s="14" t="s">
        <v>17</v>
      </c>
      <c r="B78" s="15" t="s">
        <v>595</v>
      </c>
      <c r="C78" s="14" t="s">
        <v>694</v>
      </c>
      <c r="D78" s="14" t="s">
        <v>695</v>
      </c>
      <c r="E78" s="26" t="s">
        <v>696</v>
      </c>
      <c r="F78" s="14">
        <v>179.0</v>
      </c>
      <c r="G78" s="14">
        <v>186.0</v>
      </c>
      <c r="H78" s="14" t="s">
        <v>28</v>
      </c>
      <c r="I78" s="19" t="s">
        <v>698</v>
      </c>
      <c r="J78" s="19" t="s">
        <v>699</v>
      </c>
      <c r="K78" s="19" t="s">
        <v>700</v>
      </c>
      <c r="L78" s="19" t="s">
        <v>701</v>
      </c>
      <c r="M78" s="20"/>
      <c r="N78" s="27"/>
      <c r="O78" s="22">
        <v>50.0</v>
      </c>
      <c r="P78" s="28">
        <v>2.0</v>
      </c>
      <c r="Q78" s="28">
        <v>10.0</v>
      </c>
      <c r="R78" s="30"/>
      <c r="S78" s="30"/>
      <c r="T78" s="30"/>
      <c r="U78" s="30"/>
      <c r="V78" s="30"/>
      <c r="W78" s="30"/>
      <c r="X78" s="30"/>
      <c r="Y78" s="30"/>
      <c r="Z78" s="30"/>
      <c r="AA78" s="30"/>
    </row>
    <row r="79" ht="15.75" customHeight="1">
      <c r="A79" s="14" t="s">
        <v>17</v>
      </c>
      <c r="B79" s="15" t="s">
        <v>595</v>
      </c>
      <c r="C79" s="14" t="s">
        <v>702</v>
      </c>
      <c r="D79" s="14" t="s">
        <v>703</v>
      </c>
      <c r="E79" s="26" t="s">
        <v>704</v>
      </c>
      <c r="F79" s="14">
        <v>188.0</v>
      </c>
      <c r="G79" s="14" t="s">
        <v>706</v>
      </c>
      <c r="H79" s="14" t="s">
        <v>28</v>
      </c>
      <c r="I79" s="19" t="s">
        <v>707</v>
      </c>
      <c r="J79" s="19" t="s">
        <v>171</v>
      </c>
      <c r="K79" s="19" t="s">
        <v>326</v>
      </c>
      <c r="L79" s="19" t="s">
        <v>708</v>
      </c>
      <c r="M79" s="20"/>
      <c r="N79" s="27"/>
      <c r="O79" s="31"/>
      <c r="P79" s="28">
        <v>1.0</v>
      </c>
      <c r="Q79" s="28">
        <v>8.0</v>
      </c>
      <c r="R79" s="30"/>
      <c r="S79" s="30"/>
      <c r="T79" s="30"/>
      <c r="U79" s="30"/>
      <c r="V79" s="30"/>
      <c r="W79" s="30"/>
      <c r="X79" s="30"/>
      <c r="Y79" s="30"/>
      <c r="Z79" s="30"/>
      <c r="AA79" s="30"/>
    </row>
    <row r="80" ht="15.75" customHeight="1">
      <c r="A80" s="14" t="s">
        <v>17</v>
      </c>
      <c r="B80" s="15" t="s">
        <v>595</v>
      </c>
      <c r="C80" s="14" t="s">
        <v>710</v>
      </c>
      <c r="D80" s="14" t="s">
        <v>711</v>
      </c>
      <c r="E80" s="26" t="s">
        <v>712</v>
      </c>
      <c r="F80" s="14">
        <v>194.0</v>
      </c>
      <c r="G80" s="14">
        <v>201.0</v>
      </c>
      <c r="H80" s="14" t="s">
        <v>28</v>
      </c>
      <c r="I80" s="19" t="s">
        <v>714</v>
      </c>
      <c r="J80" s="19" t="s">
        <v>715</v>
      </c>
      <c r="K80" s="19" t="s">
        <v>716</v>
      </c>
      <c r="L80" s="19" t="s">
        <v>717</v>
      </c>
      <c r="M80" s="20"/>
      <c r="N80" s="27"/>
      <c r="O80" s="22">
        <v>2.0</v>
      </c>
      <c r="P80" s="28">
        <v>3.0</v>
      </c>
      <c r="Q80" s="28">
        <v>20.0</v>
      </c>
      <c r="R80" s="30"/>
      <c r="S80" s="30"/>
      <c r="T80" s="30"/>
      <c r="U80" s="30"/>
      <c r="V80" s="30"/>
      <c r="W80" s="30"/>
      <c r="X80" s="30"/>
      <c r="Y80" s="30"/>
      <c r="Z80" s="30"/>
      <c r="AA80" s="30"/>
    </row>
    <row r="81" ht="15.75" customHeight="1">
      <c r="A81" s="14" t="s">
        <v>17</v>
      </c>
      <c r="B81" s="15" t="s">
        <v>595</v>
      </c>
      <c r="C81" s="14" t="s">
        <v>718</v>
      </c>
      <c r="D81" s="14" t="s">
        <v>719</v>
      </c>
      <c r="E81" s="26" t="s">
        <v>720</v>
      </c>
      <c r="F81" s="14">
        <v>202.0</v>
      </c>
      <c r="G81" s="14" t="s">
        <v>722</v>
      </c>
      <c r="H81" s="14" t="s">
        <v>28</v>
      </c>
      <c r="I81" s="19" t="s">
        <v>723</v>
      </c>
      <c r="J81" s="19" t="s">
        <v>724</v>
      </c>
      <c r="K81" s="19" t="s">
        <v>725</v>
      </c>
      <c r="L81" s="19" t="s">
        <v>726</v>
      </c>
      <c r="M81" s="20"/>
      <c r="N81" s="27"/>
      <c r="O81" s="22">
        <v>50.0</v>
      </c>
      <c r="P81" s="28">
        <v>6.0</v>
      </c>
      <c r="Q81" s="28">
        <v>10.0</v>
      </c>
      <c r="R81" s="30"/>
      <c r="S81" s="30"/>
      <c r="T81" s="30"/>
      <c r="U81" s="30"/>
      <c r="V81" s="30"/>
      <c r="W81" s="30"/>
      <c r="X81" s="30"/>
      <c r="Y81" s="30"/>
      <c r="Z81" s="30"/>
      <c r="AA81" s="30"/>
    </row>
    <row r="82" ht="15.75" customHeight="1">
      <c r="A82" s="14" t="s">
        <v>17</v>
      </c>
      <c r="B82" s="15" t="s">
        <v>595</v>
      </c>
      <c r="C82" s="14" t="s">
        <v>727</v>
      </c>
      <c r="D82" s="14" t="s">
        <v>728</v>
      </c>
      <c r="E82" s="26" t="s">
        <v>729</v>
      </c>
      <c r="F82" s="14">
        <v>210.0</v>
      </c>
      <c r="G82" s="14">
        <v>215.0</v>
      </c>
      <c r="H82" s="14" t="s">
        <v>28</v>
      </c>
      <c r="I82" s="19" t="s">
        <v>731</v>
      </c>
      <c r="J82" s="19" t="s">
        <v>732</v>
      </c>
      <c r="K82" s="19" t="s">
        <v>733</v>
      </c>
      <c r="L82" s="19" t="s">
        <v>734</v>
      </c>
      <c r="M82" s="20"/>
      <c r="N82" s="27"/>
      <c r="O82" s="22">
        <v>1.0</v>
      </c>
      <c r="P82" s="28">
        <v>1.0</v>
      </c>
      <c r="Q82" s="28">
        <v>10.0</v>
      </c>
      <c r="R82" s="30"/>
      <c r="S82" s="30"/>
      <c r="T82" s="30"/>
      <c r="U82" s="30"/>
      <c r="V82" s="30"/>
      <c r="W82" s="30"/>
      <c r="X82" s="30"/>
      <c r="Y82" s="30"/>
      <c r="Z82" s="30"/>
      <c r="AA82" s="30"/>
    </row>
    <row r="83" ht="15.75" customHeight="1">
      <c r="A83" s="14" t="s">
        <v>17</v>
      </c>
      <c r="B83" s="15" t="s">
        <v>595</v>
      </c>
      <c r="C83" s="14" t="s">
        <v>735</v>
      </c>
      <c r="D83" s="14" t="s">
        <v>736</v>
      </c>
      <c r="E83" s="26" t="s">
        <v>737</v>
      </c>
      <c r="F83" s="14">
        <v>218.0</v>
      </c>
      <c r="G83" s="14" t="s">
        <v>740</v>
      </c>
      <c r="H83" s="14" t="s">
        <v>28</v>
      </c>
      <c r="I83" s="19" t="s">
        <v>741</v>
      </c>
      <c r="J83" s="19" t="s">
        <v>239</v>
      </c>
      <c r="K83" s="19" t="s">
        <v>407</v>
      </c>
      <c r="L83" s="19" t="s">
        <v>118</v>
      </c>
      <c r="M83" s="20" t="s">
        <v>742</v>
      </c>
      <c r="N83" s="27"/>
      <c r="O83" s="22">
        <v>50.0</v>
      </c>
      <c r="P83" s="28">
        <v>4.0</v>
      </c>
      <c r="Q83" s="28">
        <v>23.0</v>
      </c>
      <c r="R83" s="30"/>
      <c r="S83" s="30"/>
      <c r="T83" s="30"/>
      <c r="U83" s="30"/>
      <c r="V83" s="30"/>
      <c r="W83" s="30"/>
      <c r="X83" s="30"/>
      <c r="Y83" s="30"/>
      <c r="Z83" s="30"/>
      <c r="AA83" s="30"/>
    </row>
    <row r="84" ht="15.75" customHeight="1">
      <c r="A84" s="14" t="s">
        <v>17</v>
      </c>
      <c r="B84" s="15" t="s">
        <v>595</v>
      </c>
      <c r="C84" s="14" t="s">
        <v>743</v>
      </c>
      <c r="D84" s="14" t="s">
        <v>744</v>
      </c>
      <c r="E84" s="26" t="s">
        <v>745</v>
      </c>
      <c r="F84" s="14">
        <v>226.0</v>
      </c>
      <c r="G84" s="14" t="s">
        <v>746</v>
      </c>
      <c r="H84" s="14" t="s">
        <v>28</v>
      </c>
      <c r="I84" s="19" t="s">
        <v>747</v>
      </c>
      <c r="J84" s="19" t="s">
        <v>748</v>
      </c>
      <c r="K84" s="19" t="s">
        <v>749</v>
      </c>
      <c r="L84" s="19" t="s">
        <v>333</v>
      </c>
      <c r="M84" s="20"/>
      <c r="N84" s="27"/>
      <c r="O84" s="31"/>
      <c r="P84" s="28">
        <v>11.0</v>
      </c>
      <c r="Q84" s="28">
        <v>24.0</v>
      </c>
      <c r="R84" s="30"/>
      <c r="S84" s="30"/>
      <c r="T84" s="30"/>
      <c r="U84" s="30"/>
      <c r="V84" s="30"/>
      <c r="W84" s="30"/>
      <c r="X84" s="30"/>
      <c r="Y84" s="30"/>
      <c r="Z84" s="30"/>
      <c r="AA84" s="30"/>
    </row>
    <row r="85" ht="15.75" customHeight="1">
      <c r="A85" s="14" t="s">
        <v>17</v>
      </c>
      <c r="B85" s="15" t="s">
        <v>595</v>
      </c>
      <c r="C85" s="14" t="s">
        <v>750</v>
      </c>
      <c r="D85" s="14" t="s">
        <v>751</v>
      </c>
      <c r="E85" s="26" t="s">
        <v>752</v>
      </c>
      <c r="F85" s="14">
        <v>232.0</v>
      </c>
      <c r="G85" s="14" t="s">
        <v>754</v>
      </c>
      <c r="H85" s="14" t="s">
        <v>28</v>
      </c>
      <c r="I85" s="19" t="s">
        <v>755</v>
      </c>
      <c r="J85" s="19" t="s">
        <v>756</v>
      </c>
      <c r="K85" s="19" t="s">
        <v>757</v>
      </c>
      <c r="L85" s="19" t="s">
        <v>758</v>
      </c>
      <c r="M85" s="20"/>
      <c r="N85" s="27"/>
      <c r="O85" s="43">
        <v>50.0</v>
      </c>
      <c r="P85" s="28">
        <v>5.0</v>
      </c>
      <c r="Q85" s="28">
        <v>13.0</v>
      </c>
      <c r="R85" s="30"/>
      <c r="S85" s="30"/>
      <c r="T85" s="30"/>
      <c r="U85" s="30"/>
      <c r="V85" s="30"/>
      <c r="W85" s="30"/>
      <c r="X85" s="30"/>
      <c r="Y85" s="30"/>
      <c r="Z85" s="30"/>
      <c r="AA85" s="30"/>
    </row>
    <row r="86" ht="15.75" customHeight="1">
      <c r="A86" s="14" t="s">
        <v>17</v>
      </c>
      <c r="B86" s="15" t="s">
        <v>595</v>
      </c>
      <c r="C86" s="14" t="s">
        <v>759</v>
      </c>
      <c r="D86" s="14" t="s">
        <v>760</v>
      </c>
      <c r="E86" s="26" t="s">
        <v>761</v>
      </c>
      <c r="F86" s="14">
        <v>239.0</v>
      </c>
      <c r="G86" s="14">
        <v>245.0</v>
      </c>
      <c r="H86" s="14" t="s">
        <v>28</v>
      </c>
      <c r="I86" s="19" t="s">
        <v>763</v>
      </c>
      <c r="J86" s="19" t="s">
        <v>764</v>
      </c>
      <c r="K86" s="19" t="s">
        <v>765</v>
      </c>
      <c r="L86" s="19" t="s">
        <v>766</v>
      </c>
      <c r="M86" s="20" t="s">
        <v>767</v>
      </c>
      <c r="N86" s="27"/>
      <c r="O86" s="22">
        <v>15.0</v>
      </c>
      <c r="P86" s="28">
        <v>8.0</v>
      </c>
      <c r="Q86" s="28">
        <v>16.0</v>
      </c>
      <c r="R86" s="30"/>
      <c r="S86" s="30"/>
      <c r="T86" s="30"/>
      <c r="U86" s="30"/>
      <c r="V86" s="30"/>
      <c r="W86" s="30"/>
      <c r="X86" s="30"/>
      <c r="Y86" s="30"/>
      <c r="Z86" s="30"/>
      <c r="AA86" s="30"/>
    </row>
    <row r="87" ht="15.75" customHeight="1">
      <c r="A87" s="14" t="s">
        <v>17</v>
      </c>
      <c r="B87" s="15" t="s">
        <v>595</v>
      </c>
      <c r="C87" s="14" t="s">
        <v>768</v>
      </c>
      <c r="D87" s="14" t="s">
        <v>769</v>
      </c>
      <c r="E87" s="26" t="s">
        <v>770</v>
      </c>
      <c r="F87" s="14">
        <v>248.0</v>
      </c>
      <c r="G87" s="14">
        <v>254.0</v>
      </c>
      <c r="H87" s="14" t="s">
        <v>28</v>
      </c>
      <c r="I87" s="19" t="s">
        <v>772</v>
      </c>
      <c r="J87" s="19" t="s">
        <v>773</v>
      </c>
      <c r="K87" s="19" t="s">
        <v>774</v>
      </c>
      <c r="L87" s="19" t="s">
        <v>775</v>
      </c>
      <c r="M87" s="20"/>
      <c r="N87" s="27"/>
      <c r="O87" s="22">
        <v>50.0</v>
      </c>
      <c r="P87" s="28">
        <v>8.0</v>
      </c>
      <c r="Q87" s="28">
        <v>7.0</v>
      </c>
      <c r="R87" s="30"/>
      <c r="S87" s="30"/>
      <c r="T87" s="30"/>
      <c r="U87" s="30"/>
      <c r="V87" s="30"/>
      <c r="W87" s="30"/>
      <c r="X87" s="30"/>
      <c r="Y87" s="30"/>
      <c r="Z87" s="30"/>
      <c r="AA87" s="30"/>
    </row>
    <row r="88" ht="15.75" customHeight="1">
      <c r="A88" s="14" t="s">
        <v>17</v>
      </c>
      <c r="B88" s="15" t="s">
        <v>595</v>
      </c>
      <c r="C88" s="14" t="s">
        <v>777</v>
      </c>
      <c r="D88" s="14" t="s">
        <v>778</v>
      </c>
      <c r="E88" s="26" t="s">
        <v>779</v>
      </c>
      <c r="F88" s="14">
        <v>255.0</v>
      </c>
      <c r="G88" s="14">
        <v>261.0</v>
      </c>
      <c r="H88" s="14" t="s">
        <v>28</v>
      </c>
      <c r="I88" s="19" t="s">
        <v>782</v>
      </c>
      <c r="J88" s="19" t="s">
        <v>780</v>
      </c>
      <c r="K88" s="19" t="s">
        <v>783</v>
      </c>
      <c r="L88" s="19" t="s">
        <v>784</v>
      </c>
      <c r="M88" s="20"/>
      <c r="N88" s="27"/>
      <c r="O88" s="22">
        <v>50.0</v>
      </c>
      <c r="P88" s="28">
        <v>10.0</v>
      </c>
      <c r="Q88" s="28">
        <v>8.0</v>
      </c>
      <c r="R88" s="30"/>
      <c r="S88" s="30"/>
      <c r="T88" s="30"/>
      <c r="U88" s="30"/>
      <c r="V88" s="30"/>
      <c r="W88" s="30"/>
      <c r="X88" s="30"/>
      <c r="Y88" s="30"/>
      <c r="Z88" s="30"/>
      <c r="AA88" s="30"/>
    </row>
    <row r="89" ht="15.75" customHeight="1">
      <c r="A89" s="14" t="s">
        <v>17</v>
      </c>
      <c r="B89" s="15" t="s">
        <v>595</v>
      </c>
      <c r="C89" s="14" t="s">
        <v>785</v>
      </c>
      <c r="D89" s="14" t="s">
        <v>786</v>
      </c>
      <c r="E89" s="26" t="s">
        <v>787</v>
      </c>
      <c r="F89" s="14">
        <v>262.0</v>
      </c>
      <c r="G89" s="14">
        <v>267.0</v>
      </c>
      <c r="H89" s="14" t="s">
        <v>28</v>
      </c>
      <c r="I89" s="19" t="s">
        <v>792</v>
      </c>
      <c r="J89" s="19" t="s">
        <v>788</v>
      </c>
      <c r="K89" s="19" t="s">
        <v>794</v>
      </c>
      <c r="L89" s="19" t="s">
        <v>795</v>
      </c>
      <c r="M89" s="20"/>
      <c r="N89" s="27"/>
      <c r="O89" s="22">
        <v>59.0</v>
      </c>
      <c r="P89" s="28">
        <v>10.0</v>
      </c>
      <c r="Q89" s="28">
        <v>8.0</v>
      </c>
      <c r="R89" s="30"/>
      <c r="S89" s="30"/>
      <c r="T89" s="30"/>
      <c r="U89" s="30"/>
      <c r="V89" s="30"/>
      <c r="W89" s="30"/>
      <c r="X89" s="30"/>
      <c r="Y89" s="30"/>
      <c r="Z89" s="30"/>
      <c r="AA89" s="30"/>
    </row>
    <row r="90" ht="15.75" customHeight="1">
      <c r="A90" s="14" t="s">
        <v>17</v>
      </c>
      <c r="B90" s="15" t="s">
        <v>595</v>
      </c>
      <c r="C90" s="14" t="s">
        <v>790</v>
      </c>
      <c r="D90" s="14" t="s">
        <v>791</v>
      </c>
      <c r="E90" s="26" t="s">
        <v>793</v>
      </c>
      <c r="F90" s="14">
        <v>268.0</v>
      </c>
      <c r="G90" s="14" t="s">
        <v>796</v>
      </c>
      <c r="H90" s="14" t="s">
        <v>28</v>
      </c>
      <c r="I90" s="19" t="s">
        <v>802</v>
      </c>
      <c r="J90" s="19" t="s">
        <v>803</v>
      </c>
      <c r="K90" s="19" t="s">
        <v>804</v>
      </c>
      <c r="L90" s="19" t="s">
        <v>805</v>
      </c>
      <c r="M90" s="20"/>
      <c r="N90" s="27"/>
      <c r="O90" s="22">
        <v>50.0</v>
      </c>
      <c r="P90" s="28">
        <v>5.0</v>
      </c>
      <c r="Q90" s="28">
        <v>8.0</v>
      </c>
      <c r="R90" s="30"/>
      <c r="S90" s="30"/>
      <c r="T90" s="30"/>
      <c r="U90" s="30"/>
      <c r="V90" s="30"/>
      <c r="W90" s="30"/>
      <c r="X90" s="30"/>
      <c r="Y90" s="30"/>
      <c r="Z90" s="30"/>
      <c r="AA90" s="30"/>
    </row>
    <row r="91" ht="15.75" customHeight="1">
      <c r="A91" s="14" t="s">
        <v>17</v>
      </c>
      <c r="B91" s="15" t="s">
        <v>595</v>
      </c>
      <c r="C91" s="14" t="s">
        <v>799</v>
      </c>
      <c r="D91" s="14" t="s">
        <v>800</v>
      </c>
      <c r="E91" s="26" t="s">
        <v>801</v>
      </c>
      <c r="F91" s="14">
        <v>276.0</v>
      </c>
      <c r="G91" s="14">
        <v>283.0</v>
      </c>
      <c r="H91" s="14" t="s">
        <v>28</v>
      </c>
      <c r="I91" s="19" t="s">
        <v>811</v>
      </c>
      <c r="J91" s="19" t="s">
        <v>806</v>
      </c>
      <c r="K91" s="19" t="s">
        <v>812</v>
      </c>
      <c r="L91" s="19" t="s">
        <v>813</v>
      </c>
      <c r="M91" s="20" t="s">
        <v>760</v>
      </c>
      <c r="N91" s="27"/>
      <c r="O91" s="22">
        <v>10.0</v>
      </c>
      <c r="P91" s="28">
        <v>5.0</v>
      </c>
      <c r="Q91" s="28">
        <v>29.0</v>
      </c>
      <c r="R91" s="30"/>
      <c r="S91" s="30"/>
      <c r="T91" s="30"/>
      <c r="U91" s="30"/>
      <c r="V91" s="30"/>
      <c r="W91" s="30"/>
      <c r="X91" s="30"/>
      <c r="Y91" s="30"/>
      <c r="Z91" s="30"/>
      <c r="AA91" s="30"/>
    </row>
    <row r="92" ht="15.75" customHeight="1">
      <c r="A92" s="14" t="s">
        <v>17</v>
      </c>
      <c r="B92" s="15" t="s">
        <v>595</v>
      </c>
      <c r="C92" s="14" t="s">
        <v>808</v>
      </c>
      <c r="D92" s="14" t="s">
        <v>809</v>
      </c>
      <c r="E92" s="26" t="s">
        <v>810</v>
      </c>
      <c r="F92" s="14">
        <v>284.0</v>
      </c>
      <c r="G92" s="14">
        <v>291.0</v>
      </c>
      <c r="H92" s="14" t="s">
        <v>28</v>
      </c>
      <c r="I92" s="19" t="s">
        <v>819</v>
      </c>
      <c r="J92" s="19" t="s">
        <v>814</v>
      </c>
      <c r="K92" s="19" t="s">
        <v>822</v>
      </c>
      <c r="L92" s="19" t="s">
        <v>823</v>
      </c>
      <c r="M92" s="20"/>
      <c r="N92" s="27"/>
      <c r="O92" s="22">
        <v>1791.0</v>
      </c>
      <c r="P92" s="28">
        <v>351.0</v>
      </c>
      <c r="Q92" s="28">
        <v>23.0</v>
      </c>
      <c r="R92" s="30"/>
      <c r="S92" s="30"/>
      <c r="T92" s="30"/>
      <c r="U92" s="30"/>
      <c r="V92" s="30"/>
      <c r="W92" s="30"/>
      <c r="X92" s="30"/>
      <c r="Y92" s="30"/>
      <c r="Z92" s="30"/>
      <c r="AA92" s="30"/>
    </row>
    <row r="93" ht="15.75" customHeight="1">
      <c r="A93" s="14" t="s">
        <v>17</v>
      </c>
      <c r="B93" s="15" t="s">
        <v>595</v>
      </c>
      <c r="C93" s="14" t="s">
        <v>816</v>
      </c>
      <c r="D93" s="14" t="s">
        <v>817</v>
      </c>
      <c r="E93" s="26" t="s">
        <v>818</v>
      </c>
      <c r="F93" s="14">
        <v>292.0</v>
      </c>
      <c r="G93" s="14">
        <v>296.0</v>
      </c>
      <c r="H93" s="14" t="s">
        <v>28</v>
      </c>
      <c r="I93" s="19" t="s">
        <v>832</v>
      </c>
      <c r="J93" s="19" t="s">
        <v>820</v>
      </c>
      <c r="K93" s="19" t="s">
        <v>833</v>
      </c>
      <c r="L93" s="19" t="s">
        <v>834</v>
      </c>
      <c r="M93" s="20"/>
      <c r="N93" s="27"/>
      <c r="O93" s="22">
        <v>50.0</v>
      </c>
      <c r="P93" s="28">
        <v>0.0</v>
      </c>
      <c r="Q93" s="28">
        <v>4.0</v>
      </c>
      <c r="R93" s="30"/>
      <c r="S93" s="30"/>
      <c r="T93" s="30"/>
      <c r="U93" s="30"/>
      <c r="V93" s="30"/>
      <c r="W93" s="30"/>
      <c r="X93" s="30"/>
      <c r="Y93" s="30"/>
      <c r="Z93" s="30"/>
      <c r="AA93" s="30"/>
    </row>
    <row r="94" ht="15.75" customHeight="1">
      <c r="A94" s="14" t="s">
        <v>17</v>
      </c>
      <c r="B94" s="15" t="s">
        <v>595</v>
      </c>
      <c r="C94" s="14" t="s">
        <v>824</v>
      </c>
      <c r="D94" s="14" t="s">
        <v>825</v>
      </c>
      <c r="E94" s="26" t="s">
        <v>826</v>
      </c>
      <c r="F94" s="14">
        <v>298.0</v>
      </c>
      <c r="G94" s="14">
        <v>305.0</v>
      </c>
      <c r="H94" s="14" t="s">
        <v>28</v>
      </c>
      <c r="I94" s="19" t="s">
        <v>842</v>
      </c>
      <c r="J94" s="19" t="s">
        <v>827</v>
      </c>
      <c r="K94" s="19" t="s">
        <v>843</v>
      </c>
      <c r="L94" s="19" t="s">
        <v>844</v>
      </c>
      <c r="M94" s="20"/>
      <c r="N94" s="27"/>
      <c r="O94" s="22">
        <v>112.0</v>
      </c>
      <c r="P94" s="28">
        <v>29.0</v>
      </c>
      <c r="Q94" s="28">
        <v>8.0</v>
      </c>
      <c r="R94" s="30"/>
      <c r="S94" s="30"/>
      <c r="T94" s="30"/>
      <c r="U94" s="30"/>
      <c r="V94" s="30"/>
      <c r="W94" s="30"/>
      <c r="X94" s="30"/>
      <c r="Y94" s="30"/>
      <c r="Z94" s="30"/>
      <c r="AA94" s="30"/>
    </row>
    <row r="95" ht="15.75" customHeight="1">
      <c r="A95" s="14" t="s">
        <v>17</v>
      </c>
      <c r="B95" s="15" t="s">
        <v>595</v>
      </c>
      <c r="C95" s="14" t="s">
        <v>829</v>
      </c>
      <c r="D95" s="14" t="s">
        <v>830</v>
      </c>
      <c r="E95" s="26" t="s">
        <v>831</v>
      </c>
      <c r="F95" s="14">
        <v>306.0</v>
      </c>
      <c r="G95" s="14" t="s">
        <v>835</v>
      </c>
      <c r="H95" s="14" t="s">
        <v>28</v>
      </c>
      <c r="I95" s="19" t="s">
        <v>850</v>
      </c>
      <c r="J95" s="19" t="s">
        <v>836</v>
      </c>
      <c r="K95" s="19" t="s">
        <v>851</v>
      </c>
      <c r="L95" s="19" t="s">
        <v>852</v>
      </c>
      <c r="M95" s="20"/>
      <c r="N95" s="44" t="s">
        <v>838</v>
      </c>
      <c r="O95" s="22">
        <v>50.0</v>
      </c>
      <c r="P95" s="28">
        <v>6.0</v>
      </c>
      <c r="Q95" s="28">
        <v>22.0</v>
      </c>
      <c r="R95" s="30"/>
      <c r="S95" s="30"/>
      <c r="T95" s="30"/>
      <c r="U95" s="30"/>
      <c r="V95" s="30"/>
      <c r="W95" s="30"/>
      <c r="X95" s="30"/>
      <c r="Y95" s="30"/>
      <c r="Z95" s="30"/>
      <c r="AA95" s="30"/>
    </row>
    <row r="96" ht="15.75" customHeight="1">
      <c r="A96" s="14" t="s">
        <v>17</v>
      </c>
      <c r="B96" s="15" t="s">
        <v>595</v>
      </c>
      <c r="C96" s="14" t="s">
        <v>839</v>
      </c>
      <c r="D96" s="14" t="s">
        <v>840</v>
      </c>
      <c r="E96" s="26" t="s">
        <v>841</v>
      </c>
      <c r="F96" s="14">
        <v>314.0</v>
      </c>
      <c r="G96" s="14" t="s">
        <v>845</v>
      </c>
      <c r="H96" s="14" t="s">
        <v>28</v>
      </c>
      <c r="I96" s="19" t="s">
        <v>864</v>
      </c>
      <c r="J96" s="19" t="s">
        <v>846</v>
      </c>
      <c r="K96" s="19" t="s">
        <v>865</v>
      </c>
      <c r="L96" s="18"/>
      <c r="M96" s="20"/>
      <c r="N96" s="27"/>
      <c r="O96" s="22">
        <v>32.0</v>
      </c>
      <c r="P96" s="28">
        <v>5.0</v>
      </c>
      <c r="Q96" s="28">
        <v>2.0</v>
      </c>
      <c r="R96" s="30"/>
      <c r="S96" s="30"/>
      <c r="T96" s="30"/>
      <c r="U96" s="30"/>
      <c r="V96" s="30"/>
      <c r="W96" s="30"/>
      <c r="X96" s="30"/>
      <c r="Y96" s="30"/>
      <c r="Z96" s="30"/>
      <c r="AA96" s="30"/>
    </row>
    <row r="97" ht="15.75" customHeight="1">
      <c r="A97" s="14" t="s">
        <v>17</v>
      </c>
      <c r="B97" s="15" t="s">
        <v>595</v>
      </c>
      <c r="C97" s="14" t="s">
        <v>847</v>
      </c>
      <c r="D97" s="14" t="s">
        <v>848</v>
      </c>
      <c r="E97" s="26" t="s">
        <v>849</v>
      </c>
      <c r="F97" s="14">
        <v>321.0</v>
      </c>
      <c r="G97" s="14" t="s">
        <v>853</v>
      </c>
      <c r="H97" s="14" t="s">
        <v>28</v>
      </c>
      <c r="I97" s="19" t="s">
        <v>871</v>
      </c>
      <c r="J97" s="19" t="s">
        <v>854</v>
      </c>
      <c r="K97" s="19" t="s">
        <v>872</v>
      </c>
      <c r="L97" s="19" t="s">
        <v>873</v>
      </c>
      <c r="M97" s="20" t="s">
        <v>91</v>
      </c>
      <c r="N97" s="27"/>
      <c r="O97" s="22">
        <v>50.0</v>
      </c>
      <c r="P97" s="28">
        <v>12.0</v>
      </c>
      <c r="Q97" s="28">
        <v>22.0</v>
      </c>
      <c r="R97" s="30"/>
      <c r="S97" s="30"/>
      <c r="T97" s="30"/>
      <c r="U97" s="30"/>
      <c r="V97" s="30"/>
      <c r="W97" s="30"/>
      <c r="X97" s="30"/>
      <c r="Y97" s="30"/>
      <c r="Z97" s="30"/>
      <c r="AA97" s="30"/>
    </row>
    <row r="98" ht="15.75" customHeight="1">
      <c r="A98" s="14" t="s">
        <v>17</v>
      </c>
      <c r="B98" s="15" t="s">
        <v>595</v>
      </c>
      <c r="C98" s="14" t="s">
        <v>856</v>
      </c>
      <c r="D98" s="14" t="s">
        <v>857</v>
      </c>
      <c r="E98" s="26" t="s">
        <v>858</v>
      </c>
      <c r="F98" s="14">
        <v>330.0</v>
      </c>
      <c r="G98" s="14">
        <v>335.0</v>
      </c>
      <c r="H98" s="14" t="s">
        <v>21</v>
      </c>
      <c r="I98" s="19" t="s">
        <v>882</v>
      </c>
      <c r="J98" s="19" t="s">
        <v>859</v>
      </c>
      <c r="K98" s="19" t="s">
        <v>885</v>
      </c>
      <c r="L98" s="18"/>
      <c r="M98" s="20"/>
      <c r="N98" s="27"/>
      <c r="O98" s="31"/>
      <c r="P98" s="28">
        <v>3.0</v>
      </c>
      <c r="Q98" s="28">
        <v>12.0</v>
      </c>
      <c r="R98" s="30"/>
      <c r="S98" s="30"/>
      <c r="T98" s="30"/>
      <c r="U98" s="30"/>
      <c r="V98" s="30"/>
      <c r="W98" s="30"/>
      <c r="X98" s="30"/>
      <c r="Y98" s="30"/>
      <c r="Z98" s="30"/>
      <c r="AA98" s="30"/>
    </row>
    <row r="99" ht="15.75" customHeight="1">
      <c r="A99" s="14" t="s">
        <v>17</v>
      </c>
      <c r="B99" s="15" t="s">
        <v>595</v>
      </c>
      <c r="C99" s="14" t="s">
        <v>861</v>
      </c>
      <c r="D99" s="14" t="s">
        <v>862</v>
      </c>
      <c r="E99" s="26" t="s">
        <v>863</v>
      </c>
      <c r="F99" s="14">
        <v>336.0</v>
      </c>
      <c r="G99" s="14">
        <v>339.0</v>
      </c>
      <c r="H99" s="14" t="s">
        <v>21</v>
      </c>
      <c r="I99" s="19" t="s">
        <v>890</v>
      </c>
      <c r="J99" s="19" t="s">
        <v>866</v>
      </c>
      <c r="K99" s="19" t="s">
        <v>891</v>
      </c>
      <c r="L99" s="19" t="s">
        <v>892</v>
      </c>
      <c r="M99" s="20"/>
      <c r="N99" s="27"/>
      <c r="O99" s="31"/>
      <c r="P99" s="28">
        <v>2.0</v>
      </c>
      <c r="Q99" s="28">
        <v>0.0</v>
      </c>
      <c r="R99" s="30"/>
      <c r="S99" s="30"/>
      <c r="T99" s="30"/>
      <c r="U99" s="30"/>
      <c r="V99" s="30"/>
      <c r="W99" s="30"/>
      <c r="X99" s="30"/>
      <c r="Y99" s="30"/>
      <c r="Z99" s="30"/>
      <c r="AA99" s="30"/>
    </row>
    <row r="100" ht="15.75" customHeight="1">
      <c r="A100" s="14" t="s">
        <v>17</v>
      </c>
      <c r="B100" s="15" t="s">
        <v>595</v>
      </c>
      <c r="C100" s="14" t="s">
        <v>868</v>
      </c>
      <c r="D100" s="14" t="s">
        <v>869</v>
      </c>
      <c r="E100" s="26" t="s">
        <v>870</v>
      </c>
      <c r="F100" s="14">
        <v>340.0</v>
      </c>
      <c r="G100" s="14">
        <v>344.0</v>
      </c>
      <c r="H100" s="14" t="s">
        <v>21</v>
      </c>
      <c r="I100" s="19" t="s">
        <v>897</v>
      </c>
      <c r="J100" s="19" t="s">
        <v>874</v>
      </c>
      <c r="K100" s="19" t="s">
        <v>900</v>
      </c>
      <c r="L100" s="19" t="s">
        <v>901</v>
      </c>
      <c r="M100" s="20"/>
      <c r="N100" s="27"/>
      <c r="O100" s="31"/>
      <c r="P100" s="28">
        <v>1.0</v>
      </c>
      <c r="Q100" s="28">
        <v>0.0</v>
      </c>
      <c r="R100" s="30"/>
      <c r="S100" s="30"/>
      <c r="T100" s="30"/>
      <c r="U100" s="30"/>
      <c r="V100" s="30"/>
      <c r="W100" s="30"/>
      <c r="X100" s="30"/>
      <c r="Y100" s="30"/>
      <c r="Z100" s="30"/>
      <c r="AA100" s="30"/>
    </row>
    <row r="101" ht="15.75" customHeight="1">
      <c r="A101" s="14" t="s">
        <v>17</v>
      </c>
      <c r="B101" s="15" t="s">
        <v>595</v>
      </c>
      <c r="C101" s="14" t="s">
        <v>876</v>
      </c>
      <c r="D101" s="14" t="s">
        <v>877</v>
      </c>
      <c r="E101" s="26" t="s">
        <v>878</v>
      </c>
      <c r="F101" s="14">
        <v>345.0</v>
      </c>
      <c r="G101" s="14">
        <v>347.0</v>
      </c>
      <c r="H101" s="14" t="s">
        <v>21</v>
      </c>
      <c r="I101" s="19" t="s">
        <v>911</v>
      </c>
      <c r="J101" s="19" t="s">
        <v>879</v>
      </c>
      <c r="K101" s="19" t="s">
        <v>879</v>
      </c>
      <c r="L101" s="18"/>
      <c r="M101" s="20"/>
      <c r="N101" s="27"/>
      <c r="O101" s="31"/>
      <c r="P101" s="28">
        <v>0.0</v>
      </c>
      <c r="Q101" s="28">
        <v>0.0</v>
      </c>
      <c r="R101" s="30"/>
      <c r="S101" s="30"/>
      <c r="T101" s="30"/>
      <c r="U101" s="30"/>
      <c r="V101" s="30"/>
      <c r="W101" s="30"/>
      <c r="X101" s="30"/>
      <c r="Y101" s="30"/>
      <c r="Z101" s="30"/>
      <c r="AA101" s="30"/>
    </row>
    <row r="102" ht="15.75" customHeight="1">
      <c r="A102" s="14" t="s">
        <v>17</v>
      </c>
      <c r="B102" s="15" t="s">
        <v>595</v>
      </c>
      <c r="C102" s="14" t="s">
        <v>881</v>
      </c>
      <c r="D102" s="14" t="s">
        <v>883</v>
      </c>
      <c r="E102" s="26" t="s">
        <v>884</v>
      </c>
      <c r="F102" s="14">
        <v>348.0</v>
      </c>
      <c r="G102" s="14">
        <v>353.0</v>
      </c>
      <c r="H102" s="14" t="s">
        <v>21</v>
      </c>
      <c r="I102" s="19" t="s">
        <v>922</v>
      </c>
      <c r="J102" s="19" t="s">
        <v>886</v>
      </c>
      <c r="K102" s="19" t="s">
        <v>923</v>
      </c>
      <c r="L102" s="18"/>
      <c r="M102" s="20"/>
      <c r="N102" s="27"/>
      <c r="O102" s="31"/>
      <c r="P102" s="28">
        <v>3.0</v>
      </c>
      <c r="Q102" s="28">
        <v>17.0</v>
      </c>
      <c r="R102" s="30"/>
      <c r="S102" s="30"/>
      <c r="T102" s="30"/>
      <c r="U102" s="30"/>
      <c r="V102" s="30"/>
      <c r="W102" s="30"/>
      <c r="X102" s="30"/>
      <c r="Y102" s="30"/>
      <c r="Z102" s="30"/>
      <c r="AA102" s="30"/>
    </row>
    <row r="103" ht="15.75" customHeight="1">
      <c r="A103" s="14" t="s">
        <v>17</v>
      </c>
      <c r="B103" s="15" t="s">
        <v>595</v>
      </c>
      <c r="C103" s="14" t="s">
        <v>887</v>
      </c>
      <c r="D103" s="14" t="s">
        <v>888</v>
      </c>
      <c r="E103" s="26" t="s">
        <v>889</v>
      </c>
      <c r="F103" s="14">
        <v>354.0</v>
      </c>
      <c r="G103" s="14">
        <v>357.0</v>
      </c>
      <c r="H103" s="14" t="s">
        <v>21</v>
      </c>
      <c r="I103" s="19" t="s">
        <v>933</v>
      </c>
      <c r="J103" s="19" t="s">
        <v>893</v>
      </c>
      <c r="K103" s="19" t="s">
        <v>934</v>
      </c>
      <c r="L103" s="18"/>
      <c r="M103" s="20"/>
      <c r="N103" s="27"/>
      <c r="O103" s="31"/>
      <c r="P103" s="28">
        <v>0.0</v>
      </c>
      <c r="Q103" s="28">
        <v>4.0</v>
      </c>
      <c r="R103" s="30"/>
      <c r="S103" s="30"/>
      <c r="T103" s="30"/>
      <c r="U103" s="30"/>
      <c r="V103" s="30"/>
      <c r="W103" s="30"/>
      <c r="X103" s="30"/>
      <c r="Y103" s="30"/>
      <c r="Z103" s="30"/>
      <c r="AA103" s="30"/>
    </row>
    <row r="104" ht="15.75" customHeight="1">
      <c r="A104" s="14" t="s">
        <v>17</v>
      </c>
      <c r="B104" s="15" t="s">
        <v>595</v>
      </c>
      <c r="C104" s="14" t="s">
        <v>894</v>
      </c>
      <c r="D104" s="14" t="s">
        <v>895</v>
      </c>
      <c r="E104" s="26" t="s">
        <v>896</v>
      </c>
      <c r="F104" s="14">
        <v>360.0</v>
      </c>
      <c r="G104" s="14" t="s">
        <v>898</v>
      </c>
      <c r="H104" s="14" t="s">
        <v>28</v>
      </c>
      <c r="I104" s="19" t="s">
        <v>940</v>
      </c>
      <c r="J104" s="19" t="s">
        <v>899</v>
      </c>
      <c r="K104" s="19" t="s">
        <v>941</v>
      </c>
      <c r="L104" s="19" t="s">
        <v>315</v>
      </c>
      <c r="M104" s="20"/>
      <c r="N104" s="27"/>
      <c r="O104" s="31"/>
      <c r="P104" s="28">
        <v>1.0</v>
      </c>
      <c r="Q104" s="28">
        <v>3.0</v>
      </c>
      <c r="R104" s="30"/>
      <c r="S104" s="30"/>
      <c r="T104" s="30"/>
      <c r="U104" s="30"/>
      <c r="V104" s="30"/>
      <c r="W104" s="30"/>
      <c r="X104" s="30"/>
      <c r="Y104" s="30"/>
      <c r="Z104" s="30"/>
      <c r="AA104" s="30"/>
    </row>
    <row r="105" ht="15.75" customHeight="1">
      <c r="A105" s="14" t="s">
        <v>17</v>
      </c>
      <c r="B105" s="15" t="s">
        <v>595</v>
      </c>
      <c r="C105" s="14" t="s">
        <v>902</v>
      </c>
      <c r="D105" s="14" t="s">
        <v>903</v>
      </c>
      <c r="E105" s="26" t="s">
        <v>904</v>
      </c>
      <c r="F105" s="14">
        <v>364.0</v>
      </c>
      <c r="G105" s="14" t="s">
        <v>905</v>
      </c>
      <c r="H105" s="14" t="s">
        <v>28</v>
      </c>
      <c r="I105" s="19" t="s">
        <v>948</v>
      </c>
      <c r="J105" s="19" t="s">
        <v>906</v>
      </c>
      <c r="K105" s="19" t="s">
        <v>949</v>
      </c>
      <c r="L105" s="19" t="s">
        <v>950</v>
      </c>
      <c r="M105" s="20"/>
      <c r="N105" s="27"/>
      <c r="O105" s="22">
        <v>0.0</v>
      </c>
      <c r="P105" s="28">
        <v>0.0</v>
      </c>
      <c r="Q105" s="28">
        <v>2.0</v>
      </c>
      <c r="R105" s="30"/>
      <c r="S105" s="30"/>
      <c r="T105" s="30"/>
      <c r="U105" s="30"/>
      <c r="V105" s="30"/>
      <c r="W105" s="30"/>
      <c r="X105" s="30"/>
      <c r="Y105" s="30"/>
      <c r="Z105" s="30"/>
      <c r="AA105" s="30"/>
    </row>
    <row r="106" ht="15.75" customHeight="1">
      <c r="A106" s="14" t="s">
        <v>17</v>
      </c>
      <c r="B106" s="15" t="s">
        <v>595</v>
      </c>
      <c r="C106" s="14" t="s">
        <v>908</v>
      </c>
      <c r="D106" s="14" t="s">
        <v>909</v>
      </c>
      <c r="E106" s="26" t="s">
        <v>910</v>
      </c>
      <c r="F106" s="14">
        <v>368.0</v>
      </c>
      <c r="G106" s="14">
        <v>371.0</v>
      </c>
      <c r="H106" s="14" t="s">
        <v>28</v>
      </c>
      <c r="I106" s="19" t="s">
        <v>961</v>
      </c>
      <c r="J106" s="19" t="s">
        <v>912</v>
      </c>
      <c r="K106" s="19" t="s">
        <v>962</v>
      </c>
      <c r="L106" s="19" t="s">
        <v>963</v>
      </c>
      <c r="M106" s="20"/>
      <c r="N106" s="27"/>
      <c r="O106" s="22">
        <v>0.0</v>
      </c>
      <c r="P106" s="28">
        <v>0.0</v>
      </c>
      <c r="Q106" s="28">
        <v>0.0</v>
      </c>
      <c r="R106" s="30"/>
      <c r="S106" s="30"/>
      <c r="T106" s="30"/>
      <c r="U106" s="30"/>
      <c r="V106" s="30"/>
      <c r="W106" s="30"/>
      <c r="X106" s="30"/>
      <c r="Y106" s="30"/>
      <c r="Z106" s="30"/>
      <c r="AA106" s="30"/>
    </row>
    <row r="107" ht="15.75" customHeight="1">
      <c r="A107" s="14" t="s">
        <v>17</v>
      </c>
      <c r="B107" s="15" t="s">
        <v>595</v>
      </c>
      <c r="C107" s="14" t="s">
        <v>914</v>
      </c>
      <c r="D107" s="14" t="s">
        <v>915</v>
      </c>
      <c r="E107" s="26" t="s">
        <v>916</v>
      </c>
      <c r="F107" s="14">
        <v>372.0</v>
      </c>
      <c r="G107" s="14" t="s">
        <v>917</v>
      </c>
      <c r="H107" s="14" t="s">
        <v>28</v>
      </c>
      <c r="I107" s="19" t="s">
        <v>974</v>
      </c>
      <c r="J107" s="19" t="s">
        <v>429</v>
      </c>
      <c r="K107" s="19" t="s">
        <v>585</v>
      </c>
      <c r="L107" s="19" t="s">
        <v>977</v>
      </c>
      <c r="M107" s="20"/>
      <c r="N107" s="27"/>
      <c r="O107" s="31"/>
      <c r="P107" s="28">
        <v>6.0</v>
      </c>
      <c r="Q107" s="28">
        <v>5.0</v>
      </c>
      <c r="R107" s="30"/>
      <c r="S107" s="30"/>
      <c r="T107" s="30"/>
      <c r="U107" s="30"/>
      <c r="V107" s="30"/>
      <c r="W107" s="30"/>
      <c r="X107" s="30"/>
      <c r="Y107" s="30"/>
      <c r="Z107" s="30"/>
      <c r="AA107" s="30"/>
    </row>
    <row r="108" ht="15.75" customHeight="1">
      <c r="A108" s="14" t="s">
        <v>17</v>
      </c>
      <c r="B108" s="15" t="s">
        <v>595</v>
      </c>
      <c r="C108" s="14" t="s">
        <v>919</v>
      </c>
      <c r="D108" s="14" t="s">
        <v>920</v>
      </c>
      <c r="E108" s="26" t="s">
        <v>921</v>
      </c>
      <c r="F108" s="14">
        <v>379.0</v>
      </c>
      <c r="G108" s="14">
        <v>382.0</v>
      </c>
      <c r="H108" s="14" t="s">
        <v>28</v>
      </c>
      <c r="I108" s="19" t="s">
        <v>983</v>
      </c>
      <c r="J108" s="19" t="s">
        <v>924</v>
      </c>
      <c r="K108" s="19" t="s">
        <v>984</v>
      </c>
      <c r="L108" s="19" t="s">
        <v>985</v>
      </c>
      <c r="M108" s="20"/>
      <c r="N108" s="27"/>
      <c r="O108" s="43">
        <v>0.0</v>
      </c>
      <c r="P108" s="28">
        <v>2.0</v>
      </c>
      <c r="Q108" s="28">
        <v>4.0</v>
      </c>
      <c r="R108" s="30"/>
      <c r="S108" s="30"/>
      <c r="T108" s="30"/>
      <c r="U108" s="30"/>
      <c r="V108" s="30"/>
      <c r="W108" s="30"/>
      <c r="X108" s="30"/>
      <c r="Y108" s="30"/>
      <c r="Z108" s="30"/>
      <c r="AA108" s="30"/>
    </row>
    <row r="109" ht="15.75" customHeight="1">
      <c r="A109" s="14" t="s">
        <v>17</v>
      </c>
      <c r="B109" s="15" t="s">
        <v>595</v>
      </c>
      <c r="C109" s="14" t="s">
        <v>926</v>
      </c>
      <c r="D109" s="14" t="s">
        <v>927</v>
      </c>
      <c r="E109" s="26" t="s">
        <v>928</v>
      </c>
      <c r="F109" s="14">
        <v>383.0</v>
      </c>
      <c r="G109" s="14">
        <v>386.0</v>
      </c>
      <c r="H109" s="14" t="s">
        <v>28</v>
      </c>
      <c r="I109" s="19" t="s">
        <v>990</v>
      </c>
      <c r="J109" s="19" t="s">
        <v>929</v>
      </c>
      <c r="K109" s="19" t="s">
        <v>991</v>
      </c>
      <c r="L109" s="18"/>
      <c r="M109" s="20"/>
      <c r="N109" s="27"/>
      <c r="O109" s="31"/>
      <c r="P109" s="28">
        <v>0.0</v>
      </c>
      <c r="Q109" s="28">
        <v>4.0</v>
      </c>
      <c r="R109" s="30"/>
      <c r="S109" s="30"/>
      <c r="T109" s="30"/>
      <c r="U109" s="30"/>
      <c r="V109" s="30"/>
      <c r="W109" s="30"/>
      <c r="X109" s="30"/>
      <c r="Y109" s="30"/>
      <c r="Z109" s="30"/>
      <c r="AA109" s="30"/>
    </row>
    <row r="110" ht="15.75" customHeight="1">
      <c r="A110" s="14" t="s">
        <v>17</v>
      </c>
      <c r="B110" s="15" t="s">
        <v>595</v>
      </c>
      <c r="C110" s="14" t="s">
        <v>930</v>
      </c>
      <c r="D110" s="14" t="s">
        <v>931</v>
      </c>
      <c r="E110" s="26" t="s">
        <v>932</v>
      </c>
      <c r="F110" s="14">
        <v>387.0</v>
      </c>
      <c r="G110" s="14">
        <v>391.0</v>
      </c>
      <c r="H110" s="14" t="s">
        <v>28</v>
      </c>
      <c r="I110" s="19" t="s">
        <v>997</v>
      </c>
      <c r="J110" s="19" t="s">
        <v>935</v>
      </c>
      <c r="K110" s="19" t="s">
        <v>998</v>
      </c>
      <c r="L110" s="19" t="s">
        <v>999</v>
      </c>
      <c r="M110" s="20"/>
      <c r="N110" s="27"/>
      <c r="O110" s="22">
        <v>50.0</v>
      </c>
      <c r="P110" s="28">
        <v>1.0</v>
      </c>
      <c r="Q110" s="28">
        <v>9.0</v>
      </c>
      <c r="R110" s="30"/>
      <c r="S110" s="30"/>
      <c r="T110" s="30"/>
      <c r="U110" s="30"/>
      <c r="V110" s="30"/>
      <c r="W110" s="30"/>
      <c r="X110" s="30"/>
      <c r="Y110" s="30"/>
      <c r="Z110" s="30"/>
      <c r="AA110" s="30"/>
    </row>
    <row r="111" ht="15.75" customHeight="1">
      <c r="A111" s="14" t="s">
        <v>17</v>
      </c>
      <c r="B111" s="15" t="s">
        <v>595</v>
      </c>
      <c r="C111" s="14" t="s">
        <v>937</v>
      </c>
      <c r="D111" s="14" t="s">
        <v>938</v>
      </c>
      <c r="E111" s="26" t="s">
        <v>939</v>
      </c>
      <c r="F111" s="14">
        <v>392.0</v>
      </c>
      <c r="G111" s="14" t="s">
        <v>942</v>
      </c>
      <c r="H111" s="14" t="s">
        <v>28</v>
      </c>
      <c r="I111" s="19" t="s">
        <v>1005</v>
      </c>
      <c r="J111" s="19" t="s">
        <v>943</v>
      </c>
      <c r="K111" s="19" t="s">
        <v>1006</v>
      </c>
      <c r="L111" s="19" t="s">
        <v>1007</v>
      </c>
      <c r="M111" s="20"/>
      <c r="N111" s="27"/>
      <c r="O111" s="22">
        <v>50.0</v>
      </c>
      <c r="P111" s="28">
        <v>10.0</v>
      </c>
      <c r="Q111" s="28">
        <v>8.0</v>
      </c>
      <c r="R111" s="30"/>
      <c r="S111" s="30"/>
      <c r="T111" s="30"/>
      <c r="U111" s="30"/>
      <c r="V111" s="30"/>
      <c r="W111" s="30"/>
      <c r="X111" s="30"/>
      <c r="Y111" s="30"/>
      <c r="Z111" s="30"/>
      <c r="AA111" s="30"/>
    </row>
    <row r="112" ht="15.75" customHeight="1">
      <c r="A112" s="14" t="s">
        <v>17</v>
      </c>
      <c r="B112" s="15" t="s">
        <v>595</v>
      </c>
      <c r="C112" s="14" t="s">
        <v>945</v>
      </c>
      <c r="D112" s="14" t="s">
        <v>946</v>
      </c>
      <c r="E112" s="26" t="s">
        <v>947</v>
      </c>
      <c r="F112" s="14">
        <v>398.0</v>
      </c>
      <c r="G112" s="14">
        <v>404.0</v>
      </c>
      <c r="H112" s="14" t="s">
        <v>28</v>
      </c>
      <c r="I112" s="19" t="s">
        <v>1013</v>
      </c>
      <c r="J112" s="19" t="s">
        <v>951</v>
      </c>
      <c r="K112" s="19" t="s">
        <v>951</v>
      </c>
      <c r="L112" s="19" t="s">
        <v>1016</v>
      </c>
      <c r="M112" s="20"/>
      <c r="N112" s="27"/>
      <c r="O112" s="22">
        <v>50.0</v>
      </c>
      <c r="P112" s="28">
        <v>0.0</v>
      </c>
      <c r="Q112" s="28">
        <v>6.0</v>
      </c>
      <c r="R112" s="30"/>
      <c r="S112" s="30"/>
      <c r="T112" s="30"/>
      <c r="U112" s="30"/>
      <c r="V112" s="30"/>
      <c r="W112" s="30"/>
      <c r="X112" s="30"/>
      <c r="Y112" s="30"/>
      <c r="Z112" s="30"/>
      <c r="AA112" s="30"/>
    </row>
    <row r="113" ht="15.75" customHeight="1">
      <c r="A113" s="14" t="s">
        <v>17</v>
      </c>
      <c r="B113" s="15" t="s">
        <v>1020</v>
      </c>
      <c r="C113" s="14" t="s">
        <v>953</v>
      </c>
      <c r="D113" s="14" t="s">
        <v>954</v>
      </c>
      <c r="E113" s="26" t="s">
        <v>955</v>
      </c>
      <c r="F113" s="14">
        <v>441.0</v>
      </c>
      <c r="G113" s="14">
        <v>445.0</v>
      </c>
      <c r="H113" s="14" t="s">
        <v>28</v>
      </c>
      <c r="I113" s="19" t="s">
        <v>1021</v>
      </c>
      <c r="J113" s="19" t="s">
        <v>956</v>
      </c>
      <c r="K113" s="19" t="s">
        <v>1022</v>
      </c>
      <c r="L113" s="19" t="s">
        <v>1023</v>
      </c>
      <c r="M113" s="20"/>
      <c r="N113" s="27"/>
      <c r="O113" s="31"/>
      <c r="P113" s="28">
        <v>0.0</v>
      </c>
      <c r="Q113" s="28">
        <v>6.0</v>
      </c>
      <c r="R113" s="30"/>
      <c r="S113" s="30"/>
      <c r="T113" s="30"/>
      <c r="U113" s="30"/>
      <c r="V113" s="30"/>
      <c r="W113" s="30"/>
      <c r="X113" s="30"/>
      <c r="Y113" s="30"/>
      <c r="Z113" s="30"/>
      <c r="AA113" s="30"/>
    </row>
    <row r="114" ht="15.75" customHeight="1">
      <c r="A114" s="14" t="s">
        <v>17</v>
      </c>
      <c r="B114" s="15" t="s">
        <v>1020</v>
      </c>
      <c r="C114" s="14" t="s">
        <v>958</v>
      </c>
      <c r="D114" s="14" t="s">
        <v>959</v>
      </c>
      <c r="E114" s="26" t="s">
        <v>960</v>
      </c>
      <c r="F114" s="14">
        <v>436.0</v>
      </c>
      <c r="G114" s="14">
        <v>440.0</v>
      </c>
      <c r="H114" s="14" t="s">
        <v>28</v>
      </c>
      <c r="I114" s="19" t="s">
        <v>1033</v>
      </c>
      <c r="J114" s="19" t="s">
        <v>964</v>
      </c>
      <c r="K114" s="19" t="s">
        <v>1034</v>
      </c>
      <c r="L114" s="19" t="s">
        <v>1035</v>
      </c>
      <c r="M114" s="20" t="s">
        <v>966</v>
      </c>
      <c r="N114" s="27"/>
      <c r="O114" s="43">
        <v>0.0</v>
      </c>
      <c r="P114" s="28">
        <v>3.0</v>
      </c>
      <c r="Q114" s="28">
        <v>14.0</v>
      </c>
      <c r="R114" s="30"/>
      <c r="S114" s="30"/>
      <c r="T114" s="30"/>
      <c r="U114" s="30"/>
      <c r="V114" s="30"/>
      <c r="W114" s="30"/>
      <c r="X114" s="30"/>
      <c r="Y114" s="30"/>
      <c r="Z114" s="30"/>
      <c r="AA114" s="30"/>
    </row>
    <row r="115" ht="15.75" customHeight="1">
      <c r="A115" s="14" t="s">
        <v>17</v>
      </c>
      <c r="B115" s="15" t="s">
        <v>1020</v>
      </c>
      <c r="C115" s="14" t="s">
        <v>967</v>
      </c>
      <c r="D115" s="14" t="s">
        <v>968</v>
      </c>
      <c r="E115" s="26" t="s">
        <v>969</v>
      </c>
      <c r="F115" s="14">
        <v>428.0</v>
      </c>
      <c r="G115" s="14">
        <v>435.0</v>
      </c>
      <c r="H115" s="14" t="s">
        <v>28</v>
      </c>
      <c r="I115" s="19" t="s">
        <v>1050</v>
      </c>
      <c r="J115" s="19" t="s">
        <v>970</v>
      </c>
      <c r="K115" s="19" t="s">
        <v>1051</v>
      </c>
      <c r="L115" s="18"/>
      <c r="M115" s="20" t="s">
        <v>972</v>
      </c>
      <c r="N115" s="27"/>
      <c r="O115" s="22">
        <v>1.0</v>
      </c>
      <c r="P115" s="28">
        <v>0.0</v>
      </c>
      <c r="Q115" s="28">
        <v>2.0</v>
      </c>
      <c r="R115" s="30"/>
      <c r="S115" s="30"/>
      <c r="T115" s="30"/>
      <c r="U115" s="30"/>
      <c r="V115" s="30"/>
      <c r="W115" s="30"/>
      <c r="X115" s="30"/>
      <c r="Y115" s="30"/>
      <c r="Z115" s="30"/>
      <c r="AA115" s="30"/>
    </row>
    <row r="116" ht="15.75" customHeight="1">
      <c r="A116" s="14" t="s">
        <v>17</v>
      </c>
      <c r="B116" s="15" t="s">
        <v>1020</v>
      </c>
      <c r="C116" s="14" t="s">
        <v>973</v>
      </c>
      <c r="D116" s="14" t="s">
        <v>975</v>
      </c>
      <c r="E116" s="26" t="s">
        <v>976</v>
      </c>
      <c r="F116" s="14">
        <v>424.0</v>
      </c>
      <c r="G116" s="14">
        <v>427.0</v>
      </c>
      <c r="H116" s="14" t="s">
        <v>28</v>
      </c>
      <c r="I116" s="19" t="s">
        <v>1060</v>
      </c>
      <c r="J116" s="19" t="s">
        <v>978</v>
      </c>
      <c r="K116" s="19" t="s">
        <v>978</v>
      </c>
      <c r="L116" s="19" t="s">
        <v>1062</v>
      </c>
      <c r="M116" s="20"/>
      <c r="N116" s="27"/>
      <c r="O116" s="22">
        <v>1.0</v>
      </c>
      <c r="P116" s="28">
        <v>0.0</v>
      </c>
      <c r="Q116" s="28">
        <v>11.0</v>
      </c>
      <c r="R116" s="30"/>
      <c r="S116" s="30"/>
      <c r="T116" s="30"/>
      <c r="U116" s="30"/>
      <c r="V116" s="30"/>
      <c r="W116" s="30"/>
      <c r="X116" s="30"/>
      <c r="Y116" s="30"/>
      <c r="Z116" s="30"/>
      <c r="AA116" s="30"/>
    </row>
    <row r="117" ht="15.75" customHeight="1">
      <c r="A117" s="14" t="s">
        <v>17</v>
      </c>
      <c r="B117" s="15" t="s">
        <v>1020</v>
      </c>
      <c r="C117" s="14" t="s">
        <v>980</v>
      </c>
      <c r="D117" s="14" t="s">
        <v>981</v>
      </c>
      <c r="E117" s="26" t="s">
        <v>982</v>
      </c>
      <c r="F117" s="14">
        <v>419.0</v>
      </c>
      <c r="G117" s="14">
        <v>423.0</v>
      </c>
      <c r="H117" s="14" t="s">
        <v>28</v>
      </c>
      <c r="I117" s="19" t="s">
        <v>1069</v>
      </c>
      <c r="J117" s="19" t="s">
        <v>986</v>
      </c>
      <c r="K117" s="19" t="s">
        <v>1070</v>
      </c>
      <c r="L117" s="19" t="s">
        <v>1071</v>
      </c>
      <c r="M117" s="20" t="s">
        <v>760</v>
      </c>
      <c r="N117" s="27"/>
      <c r="O117" s="22">
        <v>43.0</v>
      </c>
      <c r="P117" s="28">
        <v>0.0</v>
      </c>
      <c r="Q117" s="28">
        <v>18.0</v>
      </c>
      <c r="R117" s="30"/>
      <c r="S117" s="30"/>
      <c r="T117" s="30"/>
      <c r="U117" s="30"/>
      <c r="V117" s="30"/>
      <c r="W117" s="30"/>
      <c r="X117" s="30"/>
      <c r="Y117" s="30"/>
      <c r="Z117" s="30"/>
      <c r="AA117" s="30"/>
    </row>
    <row r="118" ht="15.75" customHeight="1">
      <c r="A118" s="14" t="s">
        <v>17</v>
      </c>
      <c r="B118" s="15" t="s">
        <v>1020</v>
      </c>
      <c r="C118" s="14" t="s">
        <v>987</v>
      </c>
      <c r="D118" s="14" t="s">
        <v>988</v>
      </c>
      <c r="E118" s="26" t="s">
        <v>989</v>
      </c>
      <c r="F118" s="14">
        <v>411.0</v>
      </c>
      <c r="G118" s="14">
        <v>418.0</v>
      </c>
      <c r="H118" s="14" t="s">
        <v>28</v>
      </c>
      <c r="I118" s="19" t="s">
        <v>1082</v>
      </c>
      <c r="J118" s="19" t="s">
        <v>992</v>
      </c>
      <c r="K118" s="19" t="s">
        <v>1086</v>
      </c>
      <c r="L118" s="19" t="s">
        <v>1087</v>
      </c>
      <c r="M118" s="20"/>
      <c r="N118" s="27"/>
      <c r="O118" s="31"/>
      <c r="P118" s="28">
        <v>8.0</v>
      </c>
      <c r="Q118" s="28">
        <v>10.0</v>
      </c>
      <c r="R118" s="30"/>
      <c r="S118" s="30"/>
      <c r="T118" s="30"/>
      <c r="U118" s="30"/>
      <c r="V118" s="30"/>
      <c r="W118" s="30"/>
      <c r="X118" s="30"/>
      <c r="Y118" s="30"/>
      <c r="Z118" s="30"/>
      <c r="AA118" s="30"/>
    </row>
    <row r="119" ht="15.75" customHeight="1">
      <c r="A119" s="14" t="s">
        <v>17</v>
      </c>
      <c r="B119" s="15" t="s">
        <v>1020</v>
      </c>
      <c r="C119" s="14" t="s">
        <v>994</v>
      </c>
      <c r="D119" s="14" t="s">
        <v>995</v>
      </c>
      <c r="E119" s="26" t="s">
        <v>996</v>
      </c>
      <c r="F119" s="14">
        <v>404.0</v>
      </c>
      <c r="G119" s="14">
        <v>410.0</v>
      </c>
      <c r="H119" s="14" t="s">
        <v>28</v>
      </c>
      <c r="I119" s="19" t="s">
        <v>1089</v>
      </c>
      <c r="J119" s="19" t="s">
        <v>1000</v>
      </c>
      <c r="K119" s="19" t="s">
        <v>1091</v>
      </c>
      <c r="L119" s="19" t="s">
        <v>1092</v>
      </c>
      <c r="M119" s="20"/>
      <c r="N119" s="27"/>
      <c r="O119" s="43">
        <v>0.0</v>
      </c>
      <c r="P119" s="28">
        <v>1.0</v>
      </c>
      <c r="Q119" s="28">
        <v>14.0</v>
      </c>
      <c r="R119" s="30"/>
      <c r="S119" s="30"/>
      <c r="T119" s="30"/>
      <c r="U119" s="30"/>
      <c r="V119" s="30"/>
      <c r="W119" s="30"/>
      <c r="X119" s="30"/>
      <c r="Y119" s="30"/>
      <c r="Z119" s="30"/>
      <c r="AA119" s="30"/>
    </row>
    <row r="120" ht="15.75" customHeight="1">
      <c r="A120" s="14" t="s">
        <v>17</v>
      </c>
      <c r="B120" s="15" t="s">
        <v>1020</v>
      </c>
      <c r="C120" s="14" t="s">
        <v>1002</v>
      </c>
      <c r="D120" s="14" t="s">
        <v>1003</v>
      </c>
      <c r="E120" s="26" t="s">
        <v>1004</v>
      </c>
      <c r="F120" s="14">
        <v>398.0</v>
      </c>
      <c r="G120" s="14">
        <v>403.0</v>
      </c>
      <c r="H120" s="14" t="s">
        <v>28</v>
      </c>
      <c r="I120" s="19" t="s">
        <v>1102</v>
      </c>
      <c r="J120" s="19" t="s">
        <v>1008</v>
      </c>
      <c r="K120" s="19" t="s">
        <v>1008</v>
      </c>
      <c r="L120" s="19" t="s">
        <v>1103</v>
      </c>
      <c r="M120" s="20" t="s">
        <v>895</v>
      </c>
      <c r="N120" s="27"/>
      <c r="O120" s="31"/>
      <c r="P120" s="28">
        <v>0.0</v>
      </c>
      <c r="Q120" s="28">
        <v>5.0</v>
      </c>
      <c r="R120" s="30"/>
      <c r="S120" s="30"/>
      <c r="T120" s="30"/>
      <c r="U120" s="30"/>
      <c r="V120" s="30"/>
      <c r="W120" s="30"/>
      <c r="X120" s="30"/>
      <c r="Y120" s="30"/>
      <c r="Z120" s="30"/>
      <c r="AA120" s="30"/>
    </row>
    <row r="121" ht="15.75" customHeight="1">
      <c r="A121" s="14" t="s">
        <v>17</v>
      </c>
      <c r="B121" s="15" t="s">
        <v>1020</v>
      </c>
      <c r="C121" s="14" t="s">
        <v>1010</v>
      </c>
      <c r="D121" s="14" t="s">
        <v>1011</v>
      </c>
      <c r="E121" s="26" t="s">
        <v>1012</v>
      </c>
      <c r="F121" s="14">
        <v>390.0</v>
      </c>
      <c r="G121" s="14">
        <v>397.0</v>
      </c>
      <c r="H121" s="14" t="s">
        <v>28</v>
      </c>
      <c r="I121" s="19" t="s">
        <v>1114</v>
      </c>
      <c r="J121" s="19" t="s">
        <v>1014</v>
      </c>
      <c r="K121" s="19" t="s">
        <v>1115</v>
      </c>
      <c r="L121" s="19" t="s">
        <v>1116</v>
      </c>
      <c r="M121" s="20"/>
      <c r="N121" s="27"/>
      <c r="O121" s="22">
        <v>50.0</v>
      </c>
      <c r="P121" s="28">
        <v>1.0</v>
      </c>
      <c r="Q121" s="28">
        <v>9.0</v>
      </c>
      <c r="R121" s="30"/>
      <c r="S121" s="30"/>
      <c r="T121" s="30"/>
      <c r="U121" s="30"/>
      <c r="V121" s="30"/>
      <c r="W121" s="30"/>
      <c r="X121" s="30"/>
      <c r="Y121" s="30"/>
      <c r="Z121" s="30"/>
      <c r="AA121" s="30"/>
    </row>
    <row r="122" ht="15.75" customHeight="1">
      <c r="A122" s="14" t="s">
        <v>17</v>
      </c>
      <c r="B122" s="15" t="s">
        <v>1020</v>
      </c>
      <c r="C122" s="14" t="s">
        <v>1017</v>
      </c>
      <c r="D122" s="14" t="s">
        <v>1018</v>
      </c>
      <c r="E122" s="26" t="s">
        <v>1019</v>
      </c>
      <c r="F122" s="14">
        <v>384.0</v>
      </c>
      <c r="G122" s="14">
        <v>388.0</v>
      </c>
      <c r="H122" s="14" t="s">
        <v>21</v>
      </c>
      <c r="I122" s="19" t="s">
        <v>1127</v>
      </c>
      <c r="J122" s="19" t="s">
        <v>1024</v>
      </c>
      <c r="K122" s="19" t="s">
        <v>1128</v>
      </c>
      <c r="L122" s="18"/>
      <c r="M122" s="20"/>
      <c r="N122" s="27"/>
      <c r="O122" s="31"/>
      <c r="P122" s="28">
        <v>6.0</v>
      </c>
      <c r="Q122" s="28">
        <v>0.0</v>
      </c>
      <c r="R122" s="30"/>
      <c r="S122" s="30"/>
      <c r="T122" s="30"/>
      <c r="U122" s="30"/>
      <c r="V122" s="30"/>
      <c r="W122" s="30"/>
      <c r="X122" s="30"/>
      <c r="Y122" s="30"/>
      <c r="Z122" s="30"/>
      <c r="AA122" s="30"/>
    </row>
    <row r="123" ht="15.75" customHeight="1">
      <c r="A123" s="14" t="s">
        <v>17</v>
      </c>
      <c r="B123" s="15" t="s">
        <v>1020</v>
      </c>
      <c r="C123" s="14" t="s">
        <v>1025</v>
      </c>
      <c r="D123" s="14" t="s">
        <v>1026</v>
      </c>
      <c r="E123" s="26" t="s">
        <v>1027</v>
      </c>
      <c r="F123" s="14">
        <v>380.0</v>
      </c>
      <c r="G123" s="14">
        <v>383.0</v>
      </c>
      <c r="H123" s="14" t="s">
        <v>21</v>
      </c>
      <c r="I123" s="19" t="s">
        <v>1139</v>
      </c>
      <c r="J123" s="19" t="s">
        <v>1028</v>
      </c>
      <c r="K123" s="19" t="s">
        <v>1141</v>
      </c>
      <c r="L123" s="19" t="s">
        <v>1143</v>
      </c>
      <c r="M123" s="20"/>
      <c r="N123" s="27"/>
      <c r="O123" s="31"/>
      <c r="P123" s="28">
        <v>0.0</v>
      </c>
      <c r="Q123" s="28">
        <v>0.0</v>
      </c>
      <c r="R123" s="30"/>
      <c r="S123" s="30"/>
      <c r="T123" s="30"/>
      <c r="U123" s="30"/>
      <c r="V123" s="30"/>
      <c r="W123" s="30"/>
      <c r="X123" s="30"/>
      <c r="Y123" s="30"/>
      <c r="Z123" s="30"/>
      <c r="AA123" s="30"/>
    </row>
    <row r="124" ht="15.75" customHeight="1">
      <c r="A124" s="14" t="s">
        <v>17</v>
      </c>
      <c r="B124" s="15" t="s">
        <v>1020</v>
      </c>
      <c r="C124" s="14" t="s">
        <v>1030</v>
      </c>
      <c r="D124" s="14" t="s">
        <v>1031</v>
      </c>
      <c r="E124" s="26" t="s">
        <v>1032</v>
      </c>
      <c r="F124" s="14">
        <v>375.0</v>
      </c>
      <c r="G124" s="14">
        <v>379.0</v>
      </c>
      <c r="H124" s="14" t="s">
        <v>21</v>
      </c>
      <c r="I124" s="19" t="s">
        <v>1150</v>
      </c>
      <c r="J124" s="19" t="s">
        <v>1036</v>
      </c>
      <c r="K124" s="19" t="s">
        <v>1151</v>
      </c>
      <c r="L124" s="18"/>
      <c r="M124" s="20"/>
      <c r="N124" s="27"/>
      <c r="O124" s="31"/>
      <c r="P124" s="28">
        <v>0.0</v>
      </c>
      <c r="Q124" s="28">
        <v>0.0</v>
      </c>
      <c r="R124" s="30"/>
      <c r="S124" s="30"/>
      <c r="T124" s="30"/>
      <c r="U124" s="30"/>
      <c r="V124" s="30"/>
      <c r="W124" s="30"/>
      <c r="X124" s="30"/>
      <c r="Y124" s="30"/>
      <c r="Z124" s="30"/>
      <c r="AA124" s="30"/>
    </row>
    <row r="125" ht="15.75" customHeight="1">
      <c r="A125" s="14" t="s">
        <v>17</v>
      </c>
      <c r="B125" s="15" t="s">
        <v>1020</v>
      </c>
      <c r="C125" s="14" t="s">
        <v>1037</v>
      </c>
      <c r="D125" s="14" t="s">
        <v>1038</v>
      </c>
      <c r="E125" s="26" t="s">
        <v>1039</v>
      </c>
      <c r="F125" s="14">
        <v>372.0</v>
      </c>
      <c r="G125" s="14">
        <v>374.0</v>
      </c>
      <c r="H125" s="14" t="s">
        <v>21</v>
      </c>
      <c r="I125" s="19" t="s">
        <v>1163</v>
      </c>
      <c r="J125" s="19" t="s">
        <v>1040</v>
      </c>
      <c r="K125" s="19" t="s">
        <v>1164</v>
      </c>
      <c r="L125" s="19" t="s">
        <v>1165</v>
      </c>
      <c r="M125" s="20"/>
      <c r="N125" s="27"/>
      <c r="O125" s="31"/>
      <c r="P125" s="28">
        <v>2.0</v>
      </c>
      <c r="Q125" s="28">
        <v>0.0</v>
      </c>
      <c r="R125" s="30"/>
      <c r="S125" s="30"/>
      <c r="T125" s="30"/>
      <c r="U125" s="30"/>
      <c r="V125" s="30"/>
      <c r="W125" s="30"/>
      <c r="X125" s="30"/>
      <c r="Y125" s="30"/>
      <c r="Z125" s="30"/>
      <c r="AA125" s="30"/>
    </row>
    <row r="126" ht="15.75" customHeight="1">
      <c r="A126" s="14" t="s">
        <v>17</v>
      </c>
      <c r="B126" s="15" t="s">
        <v>1020</v>
      </c>
      <c r="C126" s="14" t="s">
        <v>1042</v>
      </c>
      <c r="D126" s="14" t="s">
        <v>1043</v>
      </c>
      <c r="E126" s="26" t="s">
        <v>1044</v>
      </c>
      <c r="F126" s="14">
        <v>366.0</v>
      </c>
      <c r="G126" s="14">
        <v>371.0</v>
      </c>
      <c r="H126" s="14" t="s">
        <v>21</v>
      </c>
      <c r="I126" s="19" t="s">
        <v>1172</v>
      </c>
      <c r="J126" s="19" t="s">
        <v>1045</v>
      </c>
      <c r="K126" s="19" t="s">
        <v>1175</v>
      </c>
      <c r="L126" s="19" t="s">
        <v>1176</v>
      </c>
      <c r="M126" s="20"/>
      <c r="N126" s="27"/>
      <c r="O126" s="31"/>
      <c r="P126" s="28">
        <v>4.0</v>
      </c>
      <c r="Q126" s="28">
        <v>11.0</v>
      </c>
      <c r="R126" s="30"/>
      <c r="S126" s="30"/>
      <c r="T126" s="30"/>
      <c r="U126" s="30"/>
      <c r="V126" s="30"/>
      <c r="W126" s="30"/>
      <c r="X126" s="30"/>
      <c r="Y126" s="30"/>
      <c r="Z126" s="30"/>
      <c r="AA126" s="30"/>
    </row>
    <row r="127" ht="15.75" customHeight="1">
      <c r="A127" s="14" t="s">
        <v>17</v>
      </c>
      <c r="B127" s="15" t="s">
        <v>1020</v>
      </c>
      <c r="C127" s="14" t="s">
        <v>1047</v>
      </c>
      <c r="D127" s="14" t="s">
        <v>1048</v>
      </c>
      <c r="E127" s="26" t="s">
        <v>1049</v>
      </c>
      <c r="F127" s="14">
        <v>362.0</v>
      </c>
      <c r="G127" s="14">
        <v>365.0</v>
      </c>
      <c r="H127" s="14" t="s">
        <v>21</v>
      </c>
      <c r="I127" s="19" t="s">
        <v>1186</v>
      </c>
      <c r="J127" s="19" t="s">
        <v>1052</v>
      </c>
      <c r="K127" s="19" t="s">
        <v>1187</v>
      </c>
      <c r="L127" s="18"/>
      <c r="M127" s="20"/>
      <c r="N127" s="27"/>
      <c r="O127" s="31"/>
      <c r="P127" s="28">
        <v>4.0</v>
      </c>
      <c r="Q127" s="28">
        <v>0.0</v>
      </c>
      <c r="R127" s="30"/>
      <c r="S127" s="30"/>
      <c r="T127" s="30"/>
      <c r="U127" s="30"/>
      <c r="V127" s="30"/>
      <c r="W127" s="30"/>
      <c r="X127" s="30"/>
      <c r="Y127" s="30"/>
      <c r="Z127" s="30"/>
      <c r="AA127" s="30"/>
    </row>
    <row r="128" ht="15.75" customHeight="1">
      <c r="A128" s="14" t="s">
        <v>17</v>
      </c>
      <c r="B128" s="15" t="s">
        <v>1020</v>
      </c>
      <c r="C128" s="14" t="s">
        <v>1053</v>
      </c>
      <c r="D128" s="14" t="s">
        <v>1054</v>
      </c>
      <c r="E128" s="26" t="s">
        <v>1055</v>
      </c>
      <c r="F128" s="14">
        <v>356.0</v>
      </c>
      <c r="G128" s="14">
        <v>360.0</v>
      </c>
      <c r="H128" s="14" t="s">
        <v>28</v>
      </c>
      <c r="I128" s="19" t="s">
        <v>1198</v>
      </c>
      <c r="J128" s="19" t="s">
        <v>1056</v>
      </c>
      <c r="K128" s="19" t="s">
        <v>1200</v>
      </c>
      <c r="L128" s="19" t="s">
        <v>1201</v>
      </c>
      <c r="M128" s="20"/>
      <c r="N128" s="27"/>
      <c r="O128" s="43">
        <v>0.0</v>
      </c>
      <c r="P128" s="28">
        <v>2.0</v>
      </c>
      <c r="Q128" s="28">
        <v>10.0</v>
      </c>
      <c r="R128" s="30"/>
      <c r="S128" s="30"/>
      <c r="T128" s="30"/>
      <c r="U128" s="30"/>
      <c r="V128" s="30"/>
      <c r="W128" s="30"/>
      <c r="X128" s="30"/>
      <c r="Y128" s="30"/>
      <c r="Z128" s="30"/>
      <c r="AA128" s="30"/>
    </row>
    <row r="129" ht="15.75" customHeight="1">
      <c r="A129" s="14" t="s">
        <v>17</v>
      </c>
      <c r="B129" s="15" t="s">
        <v>1020</v>
      </c>
      <c r="C129" s="14" t="s">
        <v>1058</v>
      </c>
      <c r="D129" s="14" t="s">
        <v>1059</v>
      </c>
      <c r="E129" s="26" t="s">
        <v>1061</v>
      </c>
      <c r="F129" s="14">
        <v>349.0</v>
      </c>
      <c r="G129" s="14">
        <v>355.0</v>
      </c>
      <c r="H129" s="14" t="s">
        <v>28</v>
      </c>
      <c r="I129" s="19" t="s">
        <v>1211</v>
      </c>
      <c r="J129" s="19" t="s">
        <v>1063</v>
      </c>
      <c r="K129" s="19" t="s">
        <v>1213</v>
      </c>
      <c r="L129" s="19" t="s">
        <v>1214</v>
      </c>
      <c r="M129" s="20" t="s">
        <v>1065</v>
      </c>
      <c r="N129" s="27"/>
      <c r="O129" s="31"/>
      <c r="P129" s="28">
        <v>9.0</v>
      </c>
      <c r="Q129" s="28">
        <v>28.0</v>
      </c>
      <c r="R129" s="30"/>
      <c r="S129" s="30"/>
      <c r="T129" s="30"/>
      <c r="U129" s="30"/>
      <c r="V129" s="30"/>
      <c r="W129" s="30"/>
      <c r="X129" s="30"/>
      <c r="Y129" s="30"/>
      <c r="Z129" s="30"/>
      <c r="AA129" s="30"/>
    </row>
    <row r="130" ht="15.75" customHeight="1">
      <c r="A130" s="14" t="s">
        <v>17</v>
      </c>
      <c r="B130" s="15" t="s">
        <v>1020</v>
      </c>
      <c r="C130" s="14" t="s">
        <v>1066</v>
      </c>
      <c r="D130" s="14" t="s">
        <v>1067</v>
      </c>
      <c r="E130" s="26" t="s">
        <v>1068</v>
      </c>
      <c r="F130" s="14">
        <v>340.0</v>
      </c>
      <c r="G130" s="14">
        <v>348.0</v>
      </c>
      <c r="H130" s="14" t="s">
        <v>28</v>
      </c>
      <c r="I130" s="19" t="s">
        <v>1226</v>
      </c>
      <c r="J130" s="19" t="s">
        <v>1072</v>
      </c>
      <c r="K130" s="19" t="s">
        <v>1227</v>
      </c>
      <c r="L130" s="19" t="s">
        <v>1228</v>
      </c>
      <c r="M130" s="20"/>
      <c r="N130" s="27"/>
      <c r="O130" s="22">
        <v>50.0</v>
      </c>
      <c r="P130" s="28">
        <v>9.0</v>
      </c>
      <c r="Q130" s="28">
        <v>12.0</v>
      </c>
      <c r="R130" s="30"/>
      <c r="S130" s="30"/>
      <c r="T130" s="30"/>
      <c r="U130" s="30"/>
      <c r="V130" s="30"/>
      <c r="W130" s="30"/>
      <c r="X130" s="30"/>
      <c r="Y130" s="30"/>
      <c r="Z130" s="30"/>
      <c r="AA130" s="30"/>
    </row>
    <row r="131" ht="15.75" customHeight="1">
      <c r="A131" s="14" t="s">
        <v>17</v>
      </c>
      <c r="B131" s="15" t="s">
        <v>1020</v>
      </c>
      <c r="C131" s="14" t="s">
        <v>1074</v>
      </c>
      <c r="D131" s="14" t="s">
        <v>1075</v>
      </c>
      <c r="E131" s="26" t="s">
        <v>1076</v>
      </c>
      <c r="F131" s="14">
        <v>333.0</v>
      </c>
      <c r="G131" s="14">
        <v>339.0</v>
      </c>
      <c r="H131" s="14" t="s">
        <v>28</v>
      </c>
      <c r="I131" s="19" t="s">
        <v>1236</v>
      </c>
      <c r="J131" s="19" t="s">
        <v>188</v>
      </c>
      <c r="K131" s="19" t="s">
        <v>1237</v>
      </c>
      <c r="L131" s="19" t="s">
        <v>1238</v>
      </c>
      <c r="M131" s="20"/>
      <c r="N131" s="27"/>
      <c r="O131" s="31"/>
      <c r="P131" s="28">
        <v>7.0</v>
      </c>
      <c r="Q131" s="28">
        <v>14.0</v>
      </c>
      <c r="R131" s="30"/>
      <c r="S131" s="30"/>
      <c r="T131" s="30"/>
      <c r="U131" s="30"/>
      <c r="V131" s="30"/>
      <c r="W131" s="30"/>
      <c r="X131" s="30"/>
      <c r="Y131" s="30"/>
      <c r="Z131" s="30"/>
      <c r="AA131" s="30"/>
    </row>
    <row r="132" ht="15.75" customHeight="1">
      <c r="A132" s="14" t="s">
        <v>17</v>
      </c>
      <c r="B132" s="15" t="s">
        <v>1020</v>
      </c>
      <c r="C132" s="14" t="s">
        <v>1078</v>
      </c>
      <c r="D132" s="14" t="s">
        <v>1079</v>
      </c>
      <c r="E132" s="26" t="s">
        <v>1080</v>
      </c>
      <c r="F132" s="14">
        <v>324.0</v>
      </c>
      <c r="G132" s="14">
        <v>331.0</v>
      </c>
      <c r="H132" s="14" t="s">
        <v>28</v>
      </c>
      <c r="I132" s="19" t="s">
        <v>1250</v>
      </c>
      <c r="J132" s="19" t="s">
        <v>1081</v>
      </c>
      <c r="K132" s="19" t="s">
        <v>1251</v>
      </c>
      <c r="L132" s="19" t="s">
        <v>795</v>
      </c>
      <c r="M132" s="20"/>
      <c r="N132" s="27"/>
      <c r="O132" s="43">
        <v>0.0</v>
      </c>
      <c r="P132" s="28">
        <v>1.0</v>
      </c>
      <c r="Q132" s="28">
        <v>10.0</v>
      </c>
      <c r="R132" s="30"/>
      <c r="S132" s="30"/>
      <c r="T132" s="30"/>
      <c r="U132" s="30"/>
      <c r="V132" s="30"/>
      <c r="W132" s="30"/>
      <c r="X132" s="30"/>
      <c r="Y132" s="30"/>
      <c r="Z132" s="30"/>
      <c r="AA132" s="30"/>
    </row>
    <row r="133" ht="15.75" customHeight="1">
      <c r="A133" s="14" t="s">
        <v>17</v>
      </c>
      <c r="B133" s="15" t="s">
        <v>1020</v>
      </c>
      <c r="C133" s="14" t="s">
        <v>1083</v>
      </c>
      <c r="D133" s="14" t="s">
        <v>1084</v>
      </c>
      <c r="E133" s="26" t="s">
        <v>1085</v>
      </c>
      <c r="F133" s="14">
        <v>316.0</v>
      </c>
      <c r="G133" s="14">
        <v>323.0</v>
      </c>
      <c r="H133" s="14" t="s">
        <v>28</v>
      </c>
      <c r="I133" s="19" t="s">
        <v>1262</v>
      </c>
      <c r="J133" s="19" t="s">
        <v>1088</v>
      </c>
      <c r="K133" s="19" t="s">
        <v>1263</v>
      </c>
      <c r="L133" s="19" t="s">
        <v>105</v>
      </c>
      <c r="M133" s="20" t="s">
        <v>1090</v>
      </c>
      <c r="N133" s="27"/>
      <c r="O133" s="22">
        <v>73.0</v>
      </c>
      <c r="P133" s="28">
        <v>27.0</v>
      </c>
      <c r="Q133" s="28">
        <v>17.0</v>
      </c>
      <c r="R133" s="29" t="s">
        <v>1264</v>
      </c>
      <c r="S133" s="30"/>
      <c r="T133" s="30"/>
      <c r="U133" s="30"/>
      <c r="V133" s="30"/>
      <c r="W133" s="30"/>
      <c r="X133" s="30"/>
      <c r="Y133" s="30"/>
      <c r="Z133" s="30"/>
      <c r="AA133" s="30"/>
    </row>
    <row r="134" ht="15.75" customHeight="1">
      <c r="A134" s="14" t="s">
        <v>17</v>
      </c>
      <c r="B134" s="15" t="s">
        <v>1020</v>
      </c>
      <c r="C134" s="14" t="s">
        <v>1094</v>
      </c>
      <c r="D134" s="14" t="s">
        <v>1095</v>
      </c>
      <c r="E134" s="26" t="s">
        <v>1096</v>
      </c>
      <c r="F134" s="14">
        <v>308.0</v>
      </c>
      <c r="G134" s="14">
        <v>315.0</v>
      </c>
      <c r="H134" s="14" t="s">
        <v>28</v>
      </c>
      <c r="I134" s="19" t="s">
        <v>1275</v>
      </c>
      <c r="J134" s="19" t="s">
        <v>1097</v>
      </c>
      <c r="K134" s="19" t="s">
        <v>1276</v>
      </c>
      <c r="L134" s="19" t="s">
        <v>1277</v>
      </c>
      <c r="M134" s="20"/>
      <c r="N134" s="27"/>
      <c r="O134" s="22">
        <v>50.0</v>
      </c>
      <c r="P134" s="28">
        <v>1.0</v>
      </c>
      <c r="Q134" s="28">
        <v>15.0</v>
      </c>
      <c r="R134" s="30"/>
      <c r="S134" s="30"/>
      <c r="T134" s="30"/>
      <c r="U134" s="30"/>
      <c r="V134" s="30"/>
      <c r="W134" s="30"/>
      <c r="X134" s="30"/>
      <c r="Y134" s="30"/>
      <c r="Z134" s="30"/>
      <c r="AA134" s="30"/>
    </row>
    <row r="135" ht="15.75" customHeight="1">
      <c r="A135" s="14" t="s">
        <v>17</v>
      </c>
      <c r="B135" s="15" t="s">
        <v>1020</v>
      </c>
      <c r="C135" s="14" t="s">
        <v>1099</v>
      </c>
      <c r="D135" s="14" t="s">
        <v>1100</v>
      </c>
      <c r="E135" s="26" t="s">
        <v>1101</v>
      </c>
      <c r="F135" s="14">
        <v>299.0</v>
      </c>
      <c r="G135" s="14">
        <v>306.0</v>
      </c>
      <c r="H135" s="14" t="s">
        <v>28</v>
      </c>
      <c r="I135" s="19" t="s">
        <v>1283</v>
      </c>
      <c r="J135" s="19" t="s">
        <v>1104</v>
      </c>
      <c r="K135" s="19" t="s">
        <v>1284</v>
      </c>
      <c r="L135" s="19" t="s">
        <v>1285</v>
      </c>
      <c r="M135" s="20" t="s">
        <v>800</v>
      </c>
      <c r="N135" s="27"/>
      <c r="O135" s="22">
        <v>0.0</v>
      </c>
      <c r="P135" s="28">
        <v>0.0</v>
      </c>
      <c r="Q135" s="28">
        <v>20.0</v>
      </c>
      <c r="R135" s="30"/>
      <c r="S135" s="30"/>
      <c r="T135" s="30"/>
      <c r="U135" s="30"/>
      <c r="V135" s="30"/>
      <c r="W135" s="30"/>
      <c r="X135" s="30"/>
      <c r="Y135" s="30"/>
      <c r="Z135" s="30"/>
      <c r="AA135" s="30"/>
    </row>
    <row r="136" ht="15.75" customHeight="1">
      <c r="A136" s="14" t="s">
        <v>17</v>
      </c>
      <c r="B136" s="15" t="s">
        <v>1020</v>
      </c>
      <c r="C136" s="14" t="s">
        <v>1106</v>
      </c>
      <c r="D136" s="14" t="s">
        <v>1107</v>
      </c>
      <c r="E136" s="26" t="s">
        <v>1108</v>
      </c>
      <c r="F136" s="14">
        <v>291.0</v>
      </c>
      <c r="G136" s="14">
        <v>298.0</v>
      </c>
      <c r="H136" s="14" t="s">
        <v>28</v>
      </c>
      <c r="I136" s="19" t="s">
        <v>1296</v>
      </c>
      <c r="J136" s="19" t="s">
        <v>1109</v>
      </c>
      <c r="K136" s="19" t="s">
        <v>1297</v>
      </c>
      <c r="L136" s="19" t="s">
        <v>1298</v>
      </c>
      <c r="M136" s="20" t="s">
        <v>470</v>
      </c>
      <c r="N136" s="27"/>
      <c r="O136" s="22">
        <v>36.0</v>
      </c>
      <c r="P136" s="28">
        <v>4.0</v>
      </c>
      <c r="Q136" s="28">
        <v>14.0</v>
      </c>
      <c r="R136" s="30"/>
      <c r="S136" s="30"/>
      <c r="T136" s="30"/>
      <c r="U136" s="30"/>
      <c r="V136" s="30"/>
      <c r="W136" s="30"/>
      <c r="X136" s="30"/>
      <c r="Y136" s="30"/>
      <c r="Z136" s="30"/>
      <c r="AA136" s="30"/>
    </row>
    <row r="137" ht="15.75" customHeight="1">
      <c r="A137" s="14" t="s">
        <v>17</v>
      </c>
      <c r="B137" s="15" t="s">
        <v>1020</v>
      </c>
      <c r="C137" s="14" t="s">
        <v>1111</v>
      </c>
      <c r="D137" s="14" t="s">
        <v>1112</v>
      </c>
      <c r="E137" s="26" t="s">
        <v>1113</v>
      </c>
      <c r="F137" s="14">
        <v>283.0</v>
      </c>
      <c r="G137" s="14">
        <v>290.0</v>
      </c>
      <c r="H137" s="14" t="s">
        <v>28</v>
      </c>
      <c r="I137" s="19" t="s">
        <v>1309</v>
      </c>
      <c r="J137" s="19" t="s">
        <v>1117</v>
      </c>
      <c r="K137" s="19" t="s">
        <v>1310</v>
      </c>
      <c r="L137" s="19" t="s">
        <v>1311</v>
      </c>
      <c r="M137" s="20" t="s">
        <v>830</v>
      </c>
      <c r="N137" s="27"/>
      <c r="O137" s="22">
        <v>38.0</v>
      </c>
      <c r="P137" s="28">
        <v>6.0</v>
      </c>
      <c r="Q137" s="28">
        <v>11.0</v>
      </c>
      <c r="R137" s="30"/>
      <c r="S137" s="30"/>
      <c r="T137" s="30"/>
      <c r="U137" s="30"/>
      <c r="V137" s="30"/>
      <c r="W137" s="30"/>
      <c r="X137" s="30"/>
      <c r="Y137" s="30"/>
      <c r="Z137" s="30"/>
      <c r="AA137" s="30"/>
    </row>
    <row r="138" ht="15.75" customHeight="1">
      <c r="A138" s="14" t="s">
        <v>17</v>
      </c>
      <c r="B138" s="15" t="s">
        <v>1020</v>
      </c>
      <c r="C138" s="14" t="s">
        <v>1119</v>
      </c>
      <c r="D138" s="14" t="s">
        <v>1120</v>
      </c>
      <c r="E138" s="26" t="s">
        <v>1121</v>
      </c>
      <c r="F138" s="14">
        <v>274.0</v>
      </c>
      <c r="G138" s="14">
        <v>281.0</v>
      </c>
      <c r="H138" s="14" t="s">
        <v>28</v>
      </c>
      <c r="I138" s="19" t="s">
        <v>1320</v>
      </c>
      <c r="J138" s="19" t="s">
        <v>1122</v>
      </c>
      <c r="K138" s="19" t="s">
        <v>1122</v>
      </c>
      <c r="L138" s="19" t="s">
        <v>1322</v>
      </c>
      <c r="M138" s="20"/>
      <c r="N138" s="27"/>
      <c r="O138" s="31"/>
      <c r="P138" s="28">
        <v>13.0</v>
      </c>
      <c r="Q138" s="28">
        <v>17.0</v>
      </c>
      <c r="R138" s="30"/>
      <c r="S138" s="30"/>
      <c r="T138" s="30"/>
      <c r="U138" s="30"/>
      <c r="V138" s="30"/>
      <c r="W138" s="30"/>
      <c r="X138" s="30"/>
      <c r="Y138" s="30"/>
      <c r="Z138" s="30"/>
      <c r="AA138" s="30"/>
    </row>
    <row r="139" ht="15.75" customHeight="1">
      <c r="A139" s="14" t="s">
        <v>17</v>
      </c>
      <c r="B139" s="15" t="s">
        <v>1020</v>
      </c>
      <c r="C139" s="14" t="s">
        <v>1124</v>
      </c>
      <c r="D139" s="14" t="s">
        <v>1125</v>
      </c>
      <c r="E139" s="26" t="s">
        <v>1126</v>
      </c>
      <c r="F139" s="14">
        <v>268.0</v>
      </c>
      <c r="G139" s="14">
        <v>273.0</v>
      </c>
      <c r="H139" s="14" t="s">
        <v>28</v>
      </c>
      <c r="I139" s="19" t="s">
        <v>1330</v>
      </c>
      <c r="J139" s="19" t="s">
        <v>171</v>
      </c>
      <c r="K139" s="19" t="s">
        <v>326</v>
      </c>
      <c r="L139" s="19" t="s">
        <v>708</v>
      </c>
      <c r="M139" s="20"/>
      <c r="N139" s="27"/>
      <c r="O139" s="22">
        <v>59.0</v>
      </c>
      <c r="P139" s="28">
        <v>15.0</v>
      </c>
      <c r="Q139" s="28">
        <v>6.0</v>
      </c>
      <c r="R139" s="30"/>
      <c r="S139" s="30"/>
      <c r="T139" s="30"/>
      <c r="U139" s="30"/>
      <c r="V139" s="30"/>
      <c r="W139" s="30"/>
      <c r="X139" s="30"/>
      <c r="Y139" s="30"/>
      <c r="Z139" s="30"/>
      <c r="AA139" s="30"/>
    </row>
    <row r="140" ht="15.75" customHeight="1">
      <c r="A140" s="14" t="s">
        <v>17</v>
      </c>
      <c r="B140" s="15" t="s">
        <v>1020</v>
      </c>
      <c r="C140" s="14" t="s">
        <v>1129</v>
      </c>
      <c r="D140" s="14" t="s">
        <v>1130</v>
      </c>
      <c r="E140" s="26" t="s">
        <v>1131</v>
      </c>
      <c r="F140" s="14">
        <v>260.0</v>
      </c>
      <c r="G140" s="14">
        <v>267.0</v>
      </c>
      <c r="H140" s="14" t="s">
        <v>28</v>
      </c>
      <c r="I140" s="19" t="s">
        <v>1342</v>
      </c>
      <c r="J140" s="19" t="s">
        <v>1132</v>
      </c>
      <c r="K140" s="19" t="s">
        <v>1343</v>
      </c>
      <c r="L140" s="19" t="s">
        <v>1344</v>
      </c>
      <c r="M140" s="20"/>
      <c r="N140" s="27"/>
      <c r="O140" s="22">
        <v>12.0</v>
      </c>
      <c r="P140" s="28">
        <v>1.0</v>
      </c>
      <c r="Q140" s="28">
        <v>17.0</v>
      </c>
      <c r="R140" s="30"/>
      <c r="S140" s="30"/>
      <c r="T140" s="30"/>
      <c r="U140" s="30"/>
      <c r="V140" s="30"/>
      <c r="W140" s="30"/>
      <c r="X140" s="30"/>
      <c r="Y140" s="30"/>
      <c r="Z140" s="30"/>
      <c r="AA140" s="30"/>
    </row>
    <row r="141" ht="15.75" customHeight="1">
      <c r="A141" s="14" t="s">
        <v>17</v>
      </c>
      <c r="B141" s="15" t="s">
        <v>1020</v>
      </c>
      <c r="C141" s="14" t="s">
        <v>1134</v>
      </c>
      <c r="D141" s="14" t="s">
        <v>1135</v>
      </c>
      <c r="E141" s="26" t="s">
        <v>1136</v>
      </c>
      <c r="F141" s="14">
        <v>252.0</v>
      </c>
      <c r="G141" s="14">
        <v>259.0</v>
      </c>
      <c r="H141" s="14" t="s">
        <v>28</v>
      </c>
      <c r="I141" s="19" t="s">
        <v>1361</v>
      </c>
      <c r="J141" s="19" t="s">
        <v>1137</v>
      </c>
      <c r="K141" s="19" t="s">
        <v>1362</v>
      </c>
      <c r="L141" s="19" t="s">
        <v>1363</v>
      </c>
      <c r="M141" s="20" t="s">
        <v>208</v>
      </c>
      <c r="N141" s="27"/>
      <c r="O141" s="43">
        <v>50.0</v>
      </c>
      <c r="P141" s="28">
        <v>9.0</v>
      </c>
      <c r="Q141" s="28">
        <v>13.0</v>
      </c>
      <c r="R141" s="30"/>
      <c r="S141" s="30"/>
      <c r="T141" s="30"/>
      <c r="U141" s="30"/>
      <c r="V141" s="30"/>
      <c r="W141" s="30"/>
      <c r="X141" s="30"/>
      <c r="Y141" s="30"/>
      <c r="Z141" s="30"/>
      <c r="AA141" s="30"/>
    </row>
    <row r="142" ht="15.75" customHeight="1">
      <c r="A142" s="14" t="s">
        <v>17</v>
      </c>
      <c r="B142" s="15" t="s">
        <v>1020</v>
      </c>
      <c r="C142" s="14" t="s">
        <v>1140</v>
      </c>
      <c r="D142" s="14" t="s">
        <v>1142</v>
      </c>
      <c r="E142" s="26" t="s">
        <v>1144</v>
      </c>
      <c r="F142" s="14">
        <v>243.0</v>
      </c>
      <c r="G142" s="14">
        <v>250.0</v>
      </c>
      <c r="H142" s="14" t="s">
        <v>28</v>
      </c>
      <c r="I142" s="19" t="s">
        <v>1369</v>
      </c>
      <c r="J142" s="19" t="s">
        <v>1145</v>
      </c>
      <c r="K142" s="19" t="s">
        <v>1370</v>
      </c>
      <c r="L142" s="19" t="s">
        <v>506</v>
      </c>
      <c r="M142" s="20" t="s">
        <v>1146</v>
      </c>
      <c r="N142" s="27"/>
      <c r="O142" s="22">
        <v>50.0</v>
      </c>
      <c r="P142" s="28">
        <v>10.0</v>
      </c>
      <c r="Q142" s="28">
        <v>15.0</v>
      </c>
      <c r="R142" s="30"/>
      <c r="S142" s="30"/>
      <c r="T142" s="30"/>
      <c r="U142" s="30"/>
      <c r="V142" s="30"/>
      <c r="W142" s="30"/>
      <c r="X142" s="30"/>
      <c r="Y142" s="30"/>
      <c r="Z142" s="30"/>
      <c r="AA142" s="30"/>
    </row>
    <row r="143" ht="15.75" customHeight="1">
      <c r="A143" s="14" t="s">
        <v>17</v>
      </c>
      <c r="B143" s="15" t="s">
        <v>1020</v>
      </c>
      <c r="C143" s="14" t="s">
        <v>1147</v>
      </c>
      <c r="D143" s="14" t="s">
        <v>1148</v>
      </c>
      <c r="E143" s="26" t="s">
        <v>1149</v>
      </c>
      <c r="F143" s="14">
        <v>235.0</v>
      </c>
      <c r="G143" s="14">
        <v>242.0</v>
      </c>
      <c r="H143" s="14" t="s">
        <v>28</v>
      </c>
      <c r="I143" s="19" t="s">
        <v>1381</v>
      </c>
      <c r="J143" s="19" t="s">
        <v>1152</v>
      </c>
      <c r="K143" s="19" t="s">
        <v>1382</v>
      </c>
      <c r="L143" s="19" t="s">
        <v>1383</v>
      </c>
      <c r="M143" s="20" t="s">
        <v>355</v>
      </c>
      <c r="N143" s="27"/>
      <c r="O143" s="22">
        <v>125.0</v>
      </c>
      <c r="P143" s="28">
        <v>36.0</v>
      </c>
      <c r="Q143" s="28">
        <v>15.0</v>
      </c>
      <c r="R143" s="30"/>
      <c r="S143" s="30"/>
      <c r="T143" s="30"/>
      <c r="U143" s="30"/>
      <c r="V143" s="30"/>
      <c r="W143" s="30"/>
      <c r="X143" s="30"/>
      <c r="Y143" s="30"/>
      <c r="Z143" s="30"/>
      <c r="AA143" s="30"/>
    </row>
    <row r="144" ht="15.75" customHeight="1">
      <c r="A144" s="14" t="s">
        <v>17</v>
      </c>
      <c r="B144" s="15" t="s">
        <v>1020</v>
      </c>
      <c r="C144" s="14" t="s">
        <v>1154</v>
      </c>
      <c r="D144" s="14" t="s">
        <v>1155</v>
      </c>
      <c r="E144" s="26" t="s">
        <v>1156</v>
      </c>
      <c r="F144" s="14">
        <v>227.0</v>
      </c>
      <c r="G144" s="14">
        <v>234.0</v>
      </c>
      <c r="H144" s="14" t="s">
        <v>28</v>
      </c>
      <c r="I144" s="19" t="s">
        <v>1394</v>
      </c>
      <c r="J144" s="19" t="s">
        <v>1157</v>
      </c>
      <c r="K144" s="19" t="s">
        <v>1395</v>
      </c>
      <c r="L144" s="19" t="s">
        <v>1092</v>
      </c>
      <c r="M144" s="20" t="s">
        <v>1159</v>
      </c>
      <c r="N144" s="27"/>
      <c r="O144" s="22">
        <v>50.0</v>
      </c>
      <c r="P144" s="28">
        <v>9.0</v>
      </c>
      <c r="Q144" s="28">
        <v>10.0</v>
      </c>
      <c r="R144" s="30"/>
      <c r="S144" s="30"/>
      <c r="T144" s="30"/>
      <c r="U144" s="30"/>
      <c r="V144" s="30"/>
      <c r="W144" s="30"/>
      <c r="X144" s="30"/>
      <c r="Y144" s="30"/>
      <c r="Z144" s="30"/>
      <c r="AA144" s="30"/>
    </row>
    <row r="145" ht="15.75" customHeight="1">
      <c r="A145" s="14" t="s">
        <v>17</v>
      </c>
      <c r="B145" s="15" t="s">
        <v>1020</v>
      </c>
      <c r="C145" s="14" t="s">
        <v>1160</v>
      </c>
      <c r="D145" s="14" t="s">
        <v>1161</v>
      </c>
      <c r="E145" s="26" t="s">
        <v>1162</v>
      </c>
      <c r="F145" s="14">
        <v>219.0</v>
      </c>
      <c r="G145" s="14">
        <v>226.0</v>
      </c>
      <c r="H145" s="14" t="s">
        <v>28</v>
      </c>
      <c r="I145" s="19" t="s">
        <v>1402</v>
      </c>
      <c r="J145" s="19" t="s">
        <v>1166</v>
      </c>
      <c r="K145" s="19" t="s">
        <v>1404</v>
      </c>
      <c r="L145" s="19" t="s">
        <v>1405</v>
      </c>
      <c r="M145" s="20" t="s">
        <v>1168</v>
      </c>
      <c r="N145" s="27"/>
      <c r="O145" s="22">
        <v>50.0</v>
      </c>
      <c r="P145" s="28">
        <v>9.0</v>
      </c>
      <c r="Q145" s="28">
        <v>21.0</v>
      </c>
      <c r="R145" s="30"/>
      <c r="S145" s="30"/>
      <c r="T145" s="30"/>
      <c r="U145" s="30"/>
      <c r="V145" s="30"/>
      <c r="W145" s="30"/>
      <c r="X145" s="30"/>
      <c r="Y145" s="30"/>
      <c r="Z145" s="30"/>
      <c r="AA145" s="30"/>
    </row>
    <row r="146" ht="15.75" customHeight="1">
      <c r="A146" s="14" t="s">
        <v>17</v>
      </c>
      <c r="B146" s="15" t="s">
        <v>1020</v>
      </c>
      <c r="C146" s="14" t="s">
        <v>1169</v>
      </c>
      <c r="D146" s="14" t="s">
        <v>1170</v>
      </c>
      <c r="E146" s="26" t="s">
        <v>1171</v>
      </c>
      <c r="F146" s="14">
        <v>210.0</v>
      </c>
      <c r="G146" s="14">
        <v>217.0</v>
      </c>
      <c r="H146" s="14" t="s">
        <v>28</v>
      </c>
      <c r="I146" s="19" t="s">
        <v>1412</v>
      </c>
      <c r="J146" s="19" t="s">
        <v>1173</v>
      </c>
      <c r="K146" s="19" t="s">
        <v>1415</v>
      </c>
      <c r="L146" s="19" t="s">
        <v>1417</v>
      </c>
      <c r="M146" s="20"/>
      <c r="N146" s="27"/>
      <c r="O146" s="22">
        <v>50.0</v>
      </c>
      <c r="P146" s="28">
        <v>4.0</v>
      </c>
      <c r="Q146" s="28">
        <v>13.0</v>
      </c>
      <c r="R146" s="30"/>
      <c r="S146" s="30"/>
      <c r="T146" s="30"/>
      <c r="U146" s="30"/>
      <c r="V146" s="30"/>
      <c r="W146" s="30"/>
      <c r="X146" s="30"/>
      <c r="Y146" s="30"/>
      <c r="Z146" s="30"/>
      <c r="AA146" s="30"/>
    </row>
    <row r="147" ht="15.75" customHeight="1">
      <c r="A147" s="14" t="s">
        <v>17</v>
      </c>
      <c r="B147" s="15" t="s">
        <v>1020</v>
      </c>
      <c r="C147" s="14" t="s">
        <v>1177</v>
      </c>
      <c r="D147" s="14" t="s">
        <v>1178</v>
      </c>
      <c r="E147" s="26" t="s">
        <v>1179</v>
      </c>
      <c r="F147" s="14">
        <v>202.0</v>
      </c>
      <c r="G147" s="14">
        <v>209.0</v>
      </c>
      <c r="H147" s="14" t="s">
        <v>28</v>
      </c>
      <c r="I147" s="19" t="s">
        <v>1424</v>
      </c>
      <c r="J147" s="19" t="s">
        <v>1180</v>
      </c>
      <c r="K147" s="19" t="s">
        <v>1425</v>
      </c>
      <c r="L147" s="19" t="s">
        <v>1426</v>
      </c>
      <c r="M147" s="20" t="s">
        <v>1182</v>
      </c>
      <c r="N147" s="27"/>
      <c r="O147" s="22">
        <v>52.0</v>
      </c>
      <c r="P147" s="28">
        <v>12.0</v>
      </c>
      <c r="Q147" s="28">
        <v>8.0</v>
      </c>
      <c r="R147" s="30"/>
      <c r="S147" s="30"/>
      <c r="T147" s="30"/>
      <c r="U147" s="30"/>
      <c r="V147" s="30"/>
      <c r="W147" s="30"/>
      <c r="X147" s="30"/>
      <c r="Y147" s="30"/>
      <c r="Z147" s="30"/>
      <c r="AA147" s="30"/>
    </row>
    <row r="148" ht="15.75" customHeight="1">
      <c r="A148" s="14" t="s">
        <v>17</v>
      </c>
      <c r="B148" s="15" t="s">
        <v>1020</v>
      </c>
      <c r="C148" s="14" t="s">
        <v>1183</v>
      </c>
      <c r="D148" s="14" t="s">
        <v>1184</v>
      </c>
      <c r="E148" s="26" t="s">
        <v>1185</v>
      </c>
      <c r="F148" s="14">
        <v>194.0</v>
      </c>
      <c r="G148" s="14">
        <v>201.0</v>
      </c>
      <c r="H148" s="14" t="s">
        <v>28</v>
      </c>
      <c r="I148" s="19" t="s">
        <v>1432</v>
      </c>
      <c r="J148" s="19" t="s">
        <v>1188</v>
      </c>
      <c r="K148" s="19" t="s">
        <v>1433</v>
      </c>
      <c r="L148" s="19" t="s">
        <v>1434</v>
      </c>
      <c r="M148" s="20"/>
      <c r="N148" s="44" t="s">
        <v>1190</v>
      </c>
      <c r="O148" s="22">
        <v>16.0</v>
      </c>
      <c r="P148" s="28">
        <v>1.0</v>
      </c>
      <c r="Q148" s="28">
        <v>15.0</v>
      </c>
      <c r="R148" s="30"/>
      <c r="S148" s="30"/>
      <c r="T148" s="30"/>
      <c r="U148" s="30"/>
      <c r="V148" s="30"/>
      <c r="W148" s="30"/>
      <c r="X148" s="30"/>
      <c r="Y148" s="30"/>
      <c r="Z148" s="30"/>
      <c r="AA148" s="30"/>
    </row>
    <row r="149" ht="15.75" customHeight="1">
      <c r="A149" s="14" t="s">
        <v>17</v>
      </c>
      <c r="B149" s="15" t="s">
        <v>1020</v>
      </c>
      <c r="C149" s="14" t="s">
        <v>1191</v>
      </c>
      <c r="D149" s="14" t="s">
        <v>1192</v>
      </c>
      <c r="E149" s="26" t="s">
        <v>1193</v>
      </c>
      <c r="F149" s="14">
        <v>186.0</v>
      </c>
      <c r="G149" s="14">
        <v>193.0</v>
      </c>
      <c r="H149" s="14" t="s">
        <v>28</v>
      </c>
      <c r="I149" s="19" t="s">
        <v>1439</v>
      </c>
      <c r="J149" s="19" t="s">
        <v>1194</v>
      </c>
      <c r="K149" s="19" t="s">
        <v>1440</v>
      </c>
      <c r="L149" s="19" t="s">
        <v>1441</v>
      </c>
      <c r="M149" s="20"/>
      <c r="N149" s="27"/>
      <c r="O149" s="22">
        <v>50.0</v>
      </c>
      <c r="P149" s="28">
        <v>4.0</v>
      </c>
      <c r="Q149" s="28">
        <v>18.0</v>
      </c>
      <c r="R149" s="30"/>
      <c r="S149" s="30"/>
      <c r="T149" s="30"/>
      <c r="U149" s="30"/>
      <c r="V149" s="30"/>
      <c r="W149" s="30"/>
      <c r="X149" s="30"/>
      <c r="Y149" s="30"/>
      <c r="Z149" s="30"/>
      <c r="AA149" s="30"/>
    </row>
    <row r="150" ht="15.75" customHeight="1">
      <c r="A150" s="14" t="s">
        <v>17</v>
      </c>
      <c r="B150" s="15" t="s">
        <v>1020</v>
      </c>
      <c r="C150" s="14" t="s">
        <v>1196</v>
      </c>
      <c r="D150" s="14" t="s">
        <v>1197</v>
      </c>
      <c r="E150" s="26" t="s">
        <v>1199</v>
      </c>
      <c r="F150" s="14">
        <v>179.0</v>
      </c>
      <c r="G150" s="14">
        <v>184.0</v>
      </c>
      <c r="H150" s="14" t="s">
        <v>28</v>
      </c>
      <c r="I150" s="19" t="s">
        <v>1451</v>
      </c>
      <c r="J150" s="19" t="s">
        <v>1202</v>
      </c>
      <c r="K150" s="19" t="s">
        <v>1454</v>
      </c>
      <c r="L150" s="19" t="s">
        <v>1383</v>
      </c>
      <c r="M150" s="20" t="s">
        <v>487</v>
      </c>
      <c r="N150" s="44" t="s">
        <v>1203</v>
      </c>
      <c r="O150" s="22">
        <v>79.0</v>
      </c>
      <c r="P150" s="28">
        <v>24.0</v>
      </c>
      <c r="Q150" s="28">
        <v>11.0</v>
      </c>
      <c r="R150" s="30"/>
      <c r="S150" s="30"/>
      <c r="T150" s="30"/>
      <c r="U150" s="30"/>
      <c r="V150" s="30"/>
      <c r="W150" s="30"/>
      <c r="X150" s="30"/>
      <c r="Y150" s="30"/>
      <c r="Z150" s="30"/>
      <c r="AA150" s="30"/>
    </row>
    <row r="151" ht="15.75" customHeight="1">
      <c r="A151" s="14" t="s">
        <v>17</v>
      </c>
      <c r="B151" s="15" t="s">
        <v>1020</v>
      </c>
      <c r="C151" s="14" t="s">
        <v>1204</v>
      </c>
      <c r="D151" s="14" t="s">
        <v>1205</v>
      </c>
      <c r="E151" s="26" t="s">
        <v>1206</v>
      </c>
      <c r="F151" s="14">
        <v>171.0</v>
      </c>
      <c r="G151" s="14">
        <v>178.0</v>
      </c>
      <c r="H151" s="14" t="s">
        <v>28</v>
      </c>
      <c r="I151" s="19" t="s">
        <v>1461</v>
      </c>
      <c r="J151" s="19" t="s">
        <v>1207</v>
      </c>
      <c r="K151" s="19" t="s">
        <v>1463</v>
      </c>
      <c r="L151" s="19" t="s">
        <v>1298</v>
      </c>
      <c r="M151" s="20" t="s">
        <v>1208</v>
      </c>
      <c r="N151" s="27"/>
      <c r="O151" s="22">
        <v>282.0</v>
      </c>
      <c r="P151" s="28">
        <v>83.0</v>
      </c>
      <c r="Q151" s="28">
        <v>14.0</v>
      </c>
      <c r="R151" s="30"/>
      <c r="S151" s="30"/>
      <c r="T151" s="30"/>
      <c r="U151" s="30"/>
      <c r="V151" s="30"/>
      <c r="W151" s="30"/>
      <c r="X151" s="30"/>
      <c r="Y151" s="30"/>
      <c r="Z151" s="30"/>
      <c r="AA151" s="30"/>
    </row>
    <row r="152" ht="15.75" customHeight="1">
      <c r="A152" s="14" t="s">
        <v>17</v>
      </c>
      <c r="B152" s="15" t="s">
        <v>1020</v>
      </c>
      <c r="C152" s="14" t="s">
        <v>1209</v>
      </c>
      <c r="D152" s="14" t="s">
        <v>1210</v>
      </c>
      <c r="E152" s="26" t="s">
        <v>1212</v>
      </c>
      <c r="F152" s="14">
        <v>164.0</v>
      </c>
      <c r="G152" s="14">
        <v>170.0</v>
      </c>
      <c r="H152" s="14" t="s">
        <v>28</v>
      </c>
      <c r="I152" s="19" t="s">
        <v>1473</v>
      </c>
      <c r="J152" s="19" t="s">
        <v>1215</v>
      </c>
      <c r="K152" s="19" t="s">
        <v>1474</v>
      </c>
      <c r="L152" s="19" t="s">
        <v>628</v>
      </c>
      <c r="M152" s="20"/>
      <c r="N152" s="27"/>
      <c r="O152" s="22">
        <v>50.0</v>
      </c>
      <c r="P152" s="28">
        <v>1.0</v>
      </c>
      <c r="Q152" s="28">
        <v>16.0</v>
      </c>
      <c r="R152" s="30"/>
      <c r="S152" s="30"/>
      <c r="T152" s="30"/>
      <c r="U152" s="30"/>
      <c r="V152" s="30"/>
      <c r="W152" s="30"/>
      <c r="X152" s="30"/>
      <c r="Y152" s="30"/>
      <c r="Z152" s="30"/>
      <c r="AA152" s="30"/>
    </row>
    <row r="153" ht="15.75" customHeight="1">
      <c r="A153" s="14" t="s">
        <v>17</v>
      </c>
      <c r="B153" s="15" t="s">
        <v>1020</v>
      </c>
      <c r="C153" s="14" t="s">
        <v>1217</v>
      </c>
      <c r="D153" s="14" t="s">
        <v>1218</v>
      </c>
      <c r="E153" s="26" t="s">
        <v>1219</v>
      </c>
      <c r="F153" s="14">
        <v>156.0</v>
      </c>
      <c r="G153" s="14">
        <v>163.0</v>
      </c>
      <c r="H153" s="14" t="s">
        <v>28</v>
      </c>
      <c r="I153" s="19" t="s">
        <v>1481</v>
      </c>
      <c r="J153" s="19" t="s">
        <v>1220</v>
      </c>
      <c r="K153" s="19" t="s">
        <v>1220</v>
      </c>
      <c r="L153" s="19" t="s">
        <v>1484</v>
      </c>
      <c r="M153" s="20" t="s">
        <v>470</v>
      </c>
      <c r="N153" s="27"/>
      <c r="O153" s="22">
        <v>12.0</v>
      </c>
      <c r="P153" s="28">
        <v>6.0</v>
      </c>
      <c r="Q153" s="28">
        <v>9.0</v>
      </c>
      <c r="R153" s="30"/>
      <c r="S153" s="30"/>
      <c r="T153" s="30"/>
      <c r="U153" s="30"/>
      <c r="V153" s="30"/>
      <c r="W153" s="30"/>
      <c r="X153" s="30"/>
      <c r="Y153" s="30"/>
      <c r="Z153" s="30"/>
      <c r="AA153" s="30"/>
    </row>
    <row r="154" ht="15.75" customHeight="1">
      <c r="A154" s="14" t="s">
        <v>17</v>
      </c>
      <c r="B154" s="15" t="s">
        <v>1020</v>
      </c>
      <c r="C154" s="14" t="s">
        <v>1222</v>
      </c>
      <c r="D154" s="14" t="s">
        <v>1223</v>
      </c>
      <c r="E154" s="26" t="s">
        <v>1224</v>
      </c>
      <c r="F154" s="14">
        <v>147.0</v>
      </c>
      <c r="G154" s="14">
        <v>154.0</v>
      </c>
      <c r="H154" s="14" t="s">
        <v>28</v>
      </c>
      <c r="I154" s="19" t="s">
        <v>1491</v>
      </c>
      <c r="J154" s="19" t="s">
        <v>1225</v>
      </c>
      <c r="K154" s="19" t="s">
        <v>1494</v>
      </c>
      <c r="L154" s="19" t="s">
        <v>1417</v>
      </c>
      <c r="M154" s="20" t="s">
        <v>174</v>
      </c>
      <c r="N154" s="27"/>
      <c r="O154" s="22">
        <v>50.0</v>
      </c>
      <c r="P154" s="28">
        <v>2.0</v>
      </c>
      <c r="Q154" s="28">
        <v>15.0</v>
      </c>
      <c r="R154" s="30"/>
      <c r="S154" s="30"/>
      <c r="T154" s="30"/>
      <c r="U154" s="30"/>
      <c r="V154" s="30"/>
      <c r="W154" s="30"/>
      <c r="X154" s="30"/>
      <c r="Y154" s="30"/>
      <c r="Z154" s="30"/>
      <c r="AA154" s="30"/>
    </row>
    <row r="155" ht="15.75" customHeight="1">
      <c r="A155" s="14" t="s">
        <v>17</v>
      </c>
      <c r="B155" s="15" t="s">
        <v>1020</v>
      </c>
      <c r="C155" s="14" t="s">
        <v>1229</v>
      </c>
      <c r="D155" s="14" t="s">
        <v>972</v>
      </c>
      <c r="E155" s="26" t="s">
        <v>1230</v>
      </c>
      <c r="F155" s="14">
        <v>139.0</v>
      </c>
      <c r="G155" s="14">
        <v>146.0</v>
      </c>
      <c r="H155" s="14" t="s">
        <v>28</v>
      </c>
      <c r="I155" s="19" t="s">
        <v>1500</v>
      </c>
      <c r="J155" s="19" t="s">
        <v>1231</v>
      </c>
      <c r="K155" s="19" t="s">
        <v>1501</v>
      </c>
      <c r="L155" s="19" t="s">
        <v>1502</v>
      </c>
      <c r="M155" s="20"/>
      <c r="N155" s="27"/>
      <c r="O155" s="22">
        <v>68.0</v>
      </c>
      <c r="P155" s="28">
        <v>14.0</v>
      </c>
      <c r="Q155" s="28">
        <v>9.0</v>
      </c>
      <c r="R155" s="30"/>
      <c r="S155" s="30"/>
      <c r="T155" s="30"/>
      <c r="U155" s="30"/>
      <c r="V155" s="30"/>
      <c r="W155" s="30"/>
      <c r="X155" s="30"/>
      <c r="Y155" s="30"/>
      <c r="Z155" s="30"/>
      <c r="AA155" s="30"/>
    </row>
    <row r="156" ht="15.75" customHeight="1">
      <c r="A156" s="14" t="s">
        <v>17</v>
      </c>
      <c r="B156" s="15" t="s">
        <v>1020</v>
      </c>
      <c r="C156" s="14" t="s">
        <v>1233</v>
      </c>
      <c r="D156" s="14" t="s">
        <v>1234</v>
      </c>
      <c r="E156" s="26" t="s">
        <v>1235</v>
      </c>
      <c r="F156" s="14">
        <v>132.0</v>
      </c>
      <c r="G156" s="14">
        <v>138.0</v>
      </c>
      <c r="H156" s="14" t="s">
        <v>28</v>
      </c>
      <c r="I156" s="19" t="s">
        <v>1507</v>
      </c>
      <c r="J156" s="19" t="s">
        <v>1239</v>
      </c>
      <c r="K156" s="19" t="s">
        <v>1239</v>
      </c>
      <c r="L156" s="19" t="s">
        <v>1508</v>
      </c>
      <c r="M156" s="20"/>
      <c r="N156" s="44" t="s">
        <v>1241</v>
      </c>
      <c r="O156" s="31"/>
      <c r="P156" s="28">
        <v>1.0</v>
      </c>
      <c r="Q156" s="28">
        <v>4.0</v>
      </c>
      <c r="R156" s="30"/>
      <c r="S156" s="30"/>
      <c r="T156" s="30"/>
      <c r="U156" s="30"/>
      <c r="V156" s="30"/>
      <c r="W156" s="30"/>
      <c r="X156" s="30"/>
      <c r="Y156" s="30"/>
      <c r="Z156" s="30"/>
      <c r="AA156" s="30"/>
    </row>
    <row r="157" ht="15.75" customHeight="1">
      <c r="A157" s="14" t="s">
        <v>17</v>
      </c>
      <c r="B157" s="15" t="s">
        <v>1020</v>
      </c>
      <c r="C157" s="14" t="s">
        <v>1242</v>
      </c>
      <c r="D157" s="14" t="s">
        <v>1243</v>
      </c>
      <c r="E157" s="26" t="s">
        <v>1244</v>
      </c>
      <c r="F157" s="14">
        <v>124.0</v>
      </c>
      <c r="G157" s="14">
        <v>131.0</v>
      </c>
      <c r="H157" s="14" t="s">
        <v>28</v>
      </c>
      <c r="I157" s="19" t="s">
        <v>1514</v>
      </c>
      <c r="J157" s="19" t="s">
        <v>1245</v>
      </c>
      <c r="K157" s="19" t="s">
        <v>1515</v>
      </c>
      <c r="L157" s="19" t="s">
        <v>823</v>
      </c>
      <c r="M157" s="20" t="s">
        <v>1246</v>
      </c>
      <c r="N157" s="27"/>
      <c r="O157" s="22">
        <v>94.0</v>
      </c>
      <c r="P157" s="28">
        <v>24.0</v>
      </c>
      <c r="Q157" s="28">
        <v>16.0</v>
      </c>
      <c r="R157" s="30"/>
      <c r="S157" s="30"/>
      <c r="T157" s="30"/>
      <c r="U157" s="30"/>
      <c r="V157" s="30"/>
      <c r="W157" s="30"/>
      <c r="X157" s="30"/>
      <c r="Y157" s="30"/>
      <c r="Z157" s="30"/>
      <c r="AA157" s="30"/>
    </row>
    <row r="158" ht="15.75" customHeight="1">
      <c r="A158" s="14" t="s">
        <v>17</v>
      </c>
      <c r="B158" s="15" t="s">
        <v>1020</v>
      </c>
      <c r="C158" s="14" t="s">
        <v>1247</v>
      </c>
      <c r="D158" s="14" t="s">
        <v>1248</v>
      </c>
      <c r="E158" s="26" t="s">
        <v>1249</v>
      </c>
      <c r="F158" s="14">
        <v>115.0</v>
      </c>
      <c r="G158" s="14">
        <v>122.0</v>
      </c>
      <c r="H158" s="14" t="s">
        <v>28</v>
      </c>
      <c r="I158" s="19" t="s">
        <v>1526</v>
      </c>
      <c r="J158" s="19" t="s">
        <v>1527</v>
      </c>
      <c r="K158" s="19" t="s">
        <v>1528</v>
      </c>
      <c r="L158" s="18"/>
      <c r="M158" s="20"/>
      <c r="N158" s="27"/>
      <c r="O158" s="22">
        <v>50.0</v>
      </c>
      <c r="P158" s="28">
        <v>0.0</v>
      </c>
      <c r="Q158" s="28">
        <v>24.0</v>
      </c>
      <c r="R158" s="30"/>
      <c r="S158" s="30"/>
      <c r="T158" s="30"/>
      <c r="U158" s="30"/>
      <c r="V158" s="30"/>
      <c r="W158" s="30"/>
      <c r="X158" s="30"/>
      <c r="Y158" s="30"/>
      <c r="Z158" s="30"/>
      <c r="AA158" s="30"/>
    </row>
    <row r="159" ht="15.75" customHeight="1">
      <c r="A159" s="14" t="s">
        <v>17</v>
      </c>
      <c r="B159" s="15" t="s">
        <v>1020</v>
      </c>
      <c r="C159" s="14" t="s">
        <v>1254</v>
      </c>
      <c r="D159" s="14" t="s">
        <v>1182</v>
      </c>
      <c r="E159" s="26" t="s">
        <v>1255</v>
      </c>
      <c r="F159" s="14">
        <v>107.0</v>
      </c>
      <c r="G159" s="14">
        <v>114.0</v>
      </c>
      <c r="H159" s="14" t="s">
        <v>28</v>
      </c>
      <c r="I159" s="19" t="s">
        <v>1534</v>
      </c>
      <c r="J159" s="19" t="s">
        <v>1256</v>
      </c>
      <c r="K159" s="19" t="s">
        <v>1535</v>
      </c>
      <c r="L159" s="19" t="s">
        <v>1536</v>
      </c>
      <c r="M159" s="20" t="s">
        <v>1258</v>
      </c>
      <c r="N159" s="27"/>
      <c r="O159" s="22">
        <v>189.0</v>
      </c>
      <c r="P159" s="28">
        <v>51.0</v>
      </c>
      <c r="Q159" s="28">
        <v>8.0</v>
      </c>
      <c r="R159" s="30"/>
      <c r="S159" s="30"/>
      <c r="T159" s="30"/>
      <c r="U159" s="30"/>
      <c r="V159" s="30"/>
      <c r="W159" s="30"/>
      <c r="X159" s="30"/>
      <c r="Y159" s="30"/>
      <c r="Z159" s="30"/>
      <c r="AA159" s="30"/>
    </row>
    <row r="160" ht="15.75" customHeight="1">
      <c r="A160" s="14" t="s">
        <v>17</v>
      </c>
      <c r="B160" s="15" t="s">
        <v>1020</v>
      </c>
      <c r="C160" s="14" t="s">
        <v>1259</v>
      </c>
      <c r="D160" s="14" t="s">
        <v>1260</v>
      </c>
      <c r="E160" s="26" t="s">
        <v>1261</v>
      </c>
      <c r="F160" s="14">
        <v>99.0</v>
      </c>
      <c r="G160" s="14">
        <v>106.0</v>
      </c>
      <c r="H160" s="14" t="s">
        <v>28</v>
      </c>
      <c r="I160" s="19" t="s">
        <v>1553</v>
      </c>
      <c r="J160" s="19" t="s">
        <v>1265</v>
      </c>
      <c r="K160" s="19" t="s">
        <v>1554</v>
      </c>
      <c r="L160" s="18"/>
      <c r="M160" s="20"/>
      <c r="N160" s="27"/>
      <c r="O160" s="22">
        <v>50.0</v>
      </c>
      <c r="P160" s="28">
        <v>2.0</v>
      </c>
      <c r="Q160" s="28">
        <v>21.0</v>
      </c>
      <c r="R160" s="30"/>
      <c r="S160" s="30"/>
      <c r="T160" s="30"/>
      <c r="U160" s="30"/>
      <c r="V160" s="30"/>
      <c r="W160" s="30"/>
      <c r="X160" s="30"/>
      <c r="Y160" s="30"/>
      <c r="Z160" s="30"/>
      <c r="AA160" s="30"/>
    </row>
    <row r="161" ht="15.75" customHeight="1">
      <c r="A161" s="14" t="s">
        <v>17</v>
      </c>
      <c r="B161" s="15" t="s">
        <v>1020</v>
      </c>
      <c r="C161" s="14" t="s">
        <v>1266</v>
      </c>
      <c r="D161" s="14" t="s">
        <v>1267</v>
      </c>
      <c r="E161" s="26" t="s">
        <v>1268</v>
      </c>
      <c r="F161" s="14">
        <v>93.0</v>
      </c>
      <c r="G161" s="14">
        <v>98.0</v>
      </c>
      <c r="H161" s="14" t="s">
        <v>28</v>
      </c>
      <c r="I161" s="19" t="s">
        <v>1562</v>
      </c>
      <c r="J161" s="19" t="s">
        <v>1269</v>
      </c>
      <c r="K161" s="19" t="s">
        <v>1564</v>
      </c>
      <c r="L161" s="19" t="s">
        <v>1566</v>
      </c>
      <c r="M161" s="20" t="s">
        <v>1271</v>
      </c>
      <c r="N161" s="27"/>
      <c r="O161" s="22">
        <v>43.0</v>
      </c>
      <c r="P161" s="28">
        <v>11.0</v>
      </c>
      <c r="Q161" s="28">
        <v>12.0</v>
      </c>
      <c r="R161" s="30"/>
      <c r="S161" s="30"/>
      <c r="T161" s="30"/>
      <c r="U161" s="30"/>
      <c r="V161" s="30"/>
      <c r="W161" s="30"/>
      <c r="X161" s="30"/>
      <c r="Y161" s="30"/>
      <c r="Z161" s="30"/>
      <c r="AA161" s="30"/>
    </row>
    <row r="162" ht="15.75" customHeight="1">
      <c r="A162" s="14" t="s">
        <v>17</v>
      </c>
      <c r="B162" s="15" t="s">
        <v>1020</v>
      </c>
      <c r="C162" s="14" t="s">
        <v>1272</v>
      </c>
      <c r="D162" s="14" t="s">
        <v>1273</v>
      </c>
      <c r="E162" s="26" t="s">
        <v>1274</v>
      </c>
      <c r="F162" s="14">
        <v>84.0</v>
      </c>
      <c r="G162" s="14">
        <v>91.0</v>
      </c>
      <c r="H162" s="14" t="s">
        <v>28</v>
      </c>
      <c r="I162" s="19" t="s">
        <v>1574</v>
      </c>
      <c r="J162" s="19" t="s">
        <v>854</v>
      </c>
      <c r="K162" s="19" t="s">
        <v>872</v>
      </c>
      <c r="L162" s="19" t="s">
        <v>1575</v>
      </c>
      <c r="M162" s="20" t="s">
        <v>1279</v>
      </c>
      <c r="N162" s="27"/>
      <c r="O162" s="22">
        <v>37.0</v>
      </c>
      <c r="P162" s="28">
        <v>15.0</v>
      </c>
      <c r="Q162" s="28">
        <v>17.0</v>
      </c>
      <c r="R162" s="30"/>
      <c r="S162" s="30"/>
      <c r="T162" s="30"/>
      <c r="U162" s="30"/>
      <c r="V162" s="30"/>
      <c r="W162" s="30"/>
      <c r="X162" s="30"/>
      <c r="Y162" s="30"/>
      <c r="Z162" s="30"/>
      <c r="AA162" s="30"/>
    </row>
    <row r="163" ht="15.75" customHeight="1">
      <c r="A163" s="14" t="s">
        <v>17</v>
      </c>
      <c r="B163" s="15" t="s">
        <v>1020</v>
      </c>
      <c r="C163" s="14" t="s">
        <v>1280</v>
      </c>
      <c r="D163" s="14" t="s">
        <v>1281</v>
      </c>
      <c r="E163" s="26" t="s">
        <v>1282</v>
      </c>
      <c r="F163" s="14">
        <v>77.0</v>
      </c>
      <c r="G163" s="14">
        <v>83.0</v>
      </c>
      <c r="H163" s="14" t="s">
        <v>28</v>
      </c>
      <c r="I163" s="19" t="s">
        <v>1583</v>
      </c>
      <c r="J163" s="19" t="s">
        <v>1286</v>
      </c>
      <c r="K163" s="19" t="s">
        <v>1587</v>
      </c>
      <c r="L163" s="19" t="s">
        <v>1588</v>
      </c>
      <c r="M163" s="20" t="s">
        <v>536</v>
      </c>
      <c r="N163" s="27"/>
      <c r="O163" s="22">
        <v>93.0</v>
      </c>
      <c r="P163" s="28">
        <v>27.0</v>
      </c>
      <c r="Q163" s="28">
        <v>7.0</v>
      </c>
      <c r="R163" s="30"/>
      <c r="S163" s="30"/>
      <c r="T163" s="30"/>
      <c r="U163" s="30"/>
      <c r="V163" s="30"/>
      <c r="W163" s="30"/>
      <c r="X163" s="30"/>
      <c r="Y163" s="30"/>
      <c r="Z163" s="30"/>
      <c r="AA163" s="30"/>
    </row>
    <row r="164" ht="15.75" customHeight="1">
      <c r="A164" s="14" t="s">
        <v>17</v>
      </c>
      <c r="B164" s="15" t="s">
        <v>1020</v>
      </c>
      <c r="C164" s="14" t="s">
        <v>1288</v>
      </c>
      <c r="D164" s="14" t="s">
        <v>1289</v>
      </c>
      <c r="E164" s="26" t="s">
        <v>1290</v>
      </c>
      <c r="F164" s="14">
        <v>70.0</v>
      </c>
      <c r="G164" s="14">
        <v>76.0</v>
      </c>
      <c r="H164" s="14" t="s">
        <v>28</v>
      </c>
      <c r="I164" s="19" t="s">
        <v>1594</v>
      </c>
      <c r="J164" s="19" t="s">
        <v>1291</v>
      </c>
      <c r="K164" s="19" t="s">
        <v>1597</v>
      </c>
      <c r="L164" s="19" t="s">
        <v>342</v>
      </c>
      <c r="M164" s="20"/>
      <c r="N164" s="27"/>
      <c r="O164" s="22">
        <v>22.0</v>
      </c>
      <c r="P164" s="28">
        <v>5.0</v>
      </c>
      <c r="Q164" s="28">
        <v>6.0</v>
      </c>
      <c r="R164" s="30"/>
      <c r="S164" s="30"/>
      <c r="T164" s="30"/>
      <c r="U164" s="30"/>
      <c r="V164" s="30"/>
      <c r="W164" s="30"/>
      <c r="X164" s="30"/>
      <c r="Y164" s="30"/>
      <c r="Z164" s="30"/>
      <c r="AA164" s="30"/>
    </row>
    <row r="165" ht="15.75" customHeight="1">
      <c r="A165" s="14" t="s">
        <v>17</v>
      </c>
      <c r="B165" s="15" t="s">
        <v>1020</v>
      </c>
      <c r="C165" s="14" t="s">
        <v>1293</v>
      </c>
      <c r="D165" s="14" t="s">
        <v>1294</v>
      </c>
      <c r="E165" s="26" t="s">
        <v>1295</v>
      </c>
      <c r="F165" s="14">
        <v>62.0</v>
      </c>
      <c r="G165" s="14">
        <v>68.0</v>
      </c>
      <c r="H165" s="14" t="s">
        <v>28</v>
      </c>
      <c r="I165" s="19" t="s">
        <v>1606</v>
      </c>
      <c r="J165" s="19" t="s">
        <v>1299</v>
      </c>
      <c r="K165" s="19" t="s">
        <v>1607</v>
      </c>
      <c r="L165" s="19" t="s">
        <v>1608</v>
      </c>
      <c r="M165" s="20"/>
      <c r="N165" s="27"/>
      <c r="O165" s="22">
        <v>69.0</v>
      </c>
      <c r="P165" s="28">
        <v>18.0</v>
      </c>
      <c r="Q165" s="28">
        <v>14.0</v>
      </c>
      <c r="R165" s="30"/>
      <c r="S165" s="30"/>
      <c r="T165" s="30"/>
      <c r="U165" s="30"/>
      <c r="V165" s="30"/>
      <c r="W165" s="30"/>
      <c r="X165" s="30"/>
      <c r="Y165" s="30"/>
      <c r="Z165" s="30"/>
      <c r="AA165" s="30"/>
    </row>
    <row r="166" ht="15.75" customHeight="1">
      <c r="A166" s="14" t="s">
        <v>17</v>
      </c>
      <c r="B166" s="15" t="s">
        <v>1020</v>
      </c>
      <c r="C166" s="14" t="s">
        <v>1301</v>
      </c>
      <c r="D166" s="14" t="s">
        <v>1302</v>
      </c>
      <c r="E166" s="26" t="s">
        <v>1303</v>
      </c>
      <c r="F166" s="14">
        <v>54.0</v>
      </c>
      <c r="G166" s="14">
        <v>61.0</v>
      </c>
      <c r="H166" s="14" t="s">
        <v>28</v>
      </c>
      <c r="I166" s="19" t="s">
        <v>1618</v>
      </c>
      <c r="J166" s="19" t="s">
        <v>1304</v>
      </c>
      <c r="K166" s="19" t="s">
        <v>1619</v>
      </c>
      <c r="L166" s="19" t="s">
        <v>1620</v>
      </c>
      <c r="M166" s="20" t="s">
        <v>25</v>
      </c>
      <c r="N166" s="27"/>
      <c r="O166" s="22">
        <v>66.0</v>
      </c>
      <c r="P166" s="28">
        <v>18.0</v>
      </c>
      <c r="Q166" s="28">
        <v>23.0</v>
      </c>
      <c r="R166" s="30"/>
      <c r="S166" s="30"/>
      <c r="T166" s="30"/>
      <c r="U166" s="30"/>
      <c r="V166" s="30"/>
      <c r="W166" s="30"/>
      <c r="X166" s="30"/>
      <c r="Y166" s="30"/>
      <c r="Z166" s="30"/>
      <c r="AA166" s="30"/>
    </row>
    <row r="167" ht="15.75" customHeight="1">
      <c r="A167" s="14" t="s">
        <v>17</v>
      </c>
      <c r="B167" s="15" t="s">
        <v>1020</v>
      </c>
      <c r="C167" s="14" t="s">
        <v>1306</v>
      </c>
      <c r="D167" s="14" t="s">
        <v>1307</v>
      </c>
      <c r="E167" s="26" t="s">
        <v>1308</v>
      </c>
      <c r="F167" s="14">
        <v>46.0</v>
      </c>
      <c r="G167" s="14">
        <v>53.0</v>
      </c>
      <c r="H167" s="14" t="s">
        <v>28</v>
      </c>
      <c r="I167" s="19" t="s">
        <v>1629</v>
      </c>
      <c r="J167" s="19" t="s">
        <v>1312</v>
      </c>
      <c r="K167" s="19" t="s">
        <v>1632</v>
      </c>
      <c r="L167" s="19" t="s">
        <v>1633</v>
      </c>
      <c r="M167" s="20" t="s">
        <v>1314</v>
      </c>
      <c r="N167" s="27"/>
      <c r="O167" s="22">
        <v>50.0</v>
      </c>
      <c r="P167" s="28">
        <v>8.0</v>
      </c>
      <c r="Q167" s="28">
        <v>22.0</v>
      </c>
      <c r="R167" s="30"/>
      <c r="S167" s="30"/>
      <c r="T167" s="30"/>
      <c r="U167" s="30"/>
      <c r="V167" s="30"/>
      <c r="W167" s="30"/>
      <c r="X167" s="30"/>
      <c r="Y167" s="30"/>
      <c r="Z167" s="30"/>
      <c r="AA167" s="30"/>
    </row>
    <row r="168" ht="15.75" customHeight="1">
      <c r="A168" s="14" t="s">
        <v>17</v>
      </c>
      <c r="B168" s="15" t="s">
        <v>1020</v>
      </c>
      <c r="C168" s="14" t="s">
        <v>1315</v>
      </c>
      <c r="D168" s="14" t="s">
        <v>1316</v>
      </c>
      <c r="E168" s="26" t="s">
        <v>1317</v>
      </c>
      <c r="F168" s="14">
        <v>37.0</v>
      </c>
      <c r="G168" s="14">
        <v>44.0</v>
      </c>
      <c r="H168" s="14" t="s">
        <v>28</v>
      </c>
      <c r="I168" s="19" t="s">
        <v>1635</v>
      </c>
      <c r="J168" s="19" t="s">
        <v>1318</v>
      </c>
      <c r="K168" s="19" t="s">
        <v>1637</v>
      </c>
      <c r="L168" s="19" t="s">
        <v>1638</v>
      </c>
      <c r="M168" s="20" t="s">
        <v>825</v>
      </c>
      <c r="N168" s="27"/>
      <c r="O168" s="22">
        <v>67.0</v>
      </c>
      <c r="P168" s="28">
        <v>19.0</v>
      </c>
      <c r="Q168" s="28">
        <v>27.0</v>
      </c>
      <c r="R168" s="30"/>
      <c r="S168" s="30"/>
      <c r="T168" s="30"/>
      <c r="U168" s="30"/>
      <c r="V168" s="30"/>
      <c r="W168" s="30"/>
      <c r="X168" s="30"/>
      <c r="Y168" s="30"/>
      <c r="Z168" s="30"/>
      <c r="AA168" s="30"/>
    </row>
    <row r="169" ht="15.75" customHeight="1">
      <c r="A169" s="14" t="s">
        <v>17</v>
      </c>
      <c r="B169" s="15" t="s">
        <v>1020</v>
      </c>
      <c r="C169" s="14" t="s">
        <v>1321</v>
      </c>
      <c r="D169" s="14" t="s">
        <v>1323</v>
      </c>
      <c r="E169" s="26" t="s">
        <v>1324</v>
      </c>
      <c r="F169" s="14">
        <v>29.0</v>
      </c>
      <c r="G169" s="14">
        <v>36.0</v>
      </c>
      <c r="H169" s="14" t="s">
        <v>28</v>
      </c>
      <c r="I169" s="19" t="s">
        <v>1647</v>
      </c>
      <c r="J169" s="19" t="s">
        <v>1325</v>
      </c>
      <c r="K169" s="19" t="s">
        <v>1648</v>
      </c>
      <c r="L169" s="19" t="s">
        <v>1649</v>
      </c>
      <c r="M169" s="20"/>
      <c r="N169" s="27"/>
      <c r="O169" s="22">
        <v>53.0</v>
      </c>
      <c r="P169" s="28">
        <v>9.0</v>
      </c>
      <c r="Q169" s="28">
        <v>17.0</v>
      </c>
      <c r="R169" s="30"/>
      <c r="S169" s="30"/>
      <c r="T169" s="30"/>
      <c r="U169" s="30"/>
      <c r="V169" s="30"/>
      <c r="W169" s="30"/>
      <c r="X169" s="30"/>
      <c r="Y169" s="30"/>
      <c r="Z169" s="30"/>
      <c r="AA169" s="30"/>
    </row>
    <row r="170" ht="15.75" customHeight="1">
      <c r="A170" s="14" t="s">
        <v>17</v>
      </c>
      <c r="B170" s="15" t="s">
        <v>1020</v>
      </c>
      <c r="C170" s="14" t="s">
        <v>1327</v>
      </c>
      <c r="D170" s="14" t="s">
        <v>1328</v>
      </c>
      <c r="E170" s="26" t="s">
        <v>1329</v>
      </c>
      <c r="F170" s="14">
        <v>21.0</v>
      </c>
      <c r="G170" s="14">
        <v>28.0</v>
      </c>
      <c r="H170" s="14" t="s">
        <v>28</v>
      </c>
      <c r="I170" s="19" t="s">
        <v>1655</v>
      </c>
      <c r="J170" s="19" t="s">
        <v>1331</v>
      </c>
      <c r="K170" s="19" t="s">
        <v>1656</v>
      </c>
      <c r="L170" s="19" t="s">
        <v>1657</v>
      </c>
      <c r="M170" s="20"/>
      <c r="N170" s="27"/>
      <c r="O170" s="22">
        <v>73.0</v>
      </c>
      <c r="P170" s="28">
        <v>27.0</v>
      </c>
      <c r="Q170" s="28">
        <v>17.0</v>
      </c>
      <c r="R170" s="30"/>
      <c r="S170" s="30"/>
      <c r="T170" s="30"/>
      <c r="U170" s="30"/>
      <c r="V170" s="30"/>
      <c r="W170" s="30"/>
      <c r="X170" s="30"/>
      <c r="Y170" s="30"/>
      <c r="Z170" s="30"/>
      <c r="AA170" s="30"/>
    </row>
    <row r="171" ht="15.75" customHeight="1">
      <c r="A171" s="14" t="s">
        <v>17</v>
      </c>
      <c r="B171" s="15" t="s">
        <v>1020</v>
      </c>
      <c r="C171" s="14" t="s">
        <v>1333</v>
      </c>
      <c r="D171" s="14" t="s">
        <v>1334</v>
      </c>
      <c r="E171" s="26" t="s">
        <v>1335</v>
      </c>
      <c r="F171" s="14">
        <v>13.0</v>
      </c>
      <c r="G171" s="14">
        <v>20.0</v>
      </c>
      <c r="H171" s="14" t="s">
        <v>28</v>
      </c>
      <c r="I171" s="19" t="s">
        <v>1668</v>
      </c>
      <c r="J171" s="19" t="s">
        <v>1336</v>
      </c>
      <c r="K171" s="19" t="s">
        <v>1669</v>
      </c>
      <c r="L171" s="19" t="s">
        <v>1670</v>
      </c>
      <c r="M171" s="20" t="s">
        <v>1338</v>
      </c>
      <c r="N171" s="27"/>
      <c r="O171" s="22">
        <v>156.0</v>
      </c>
      <c r="P171" s="28">
        <v>26.0</v>
      </c>
      <c r="Q171" s="28">
        <v>16.0</v>
      </c>
      <c r="R171" s="30"/>
      <c r="S171" s="30"/>
      <c r="T171" s="30"/>
      <c r="U171" s="30"/>
      <c r="V171" s="30"/>
      <c r="W171" s="30"/>
      <c r="X171" s="30"/>
      <c r="Y171" s="30"/>
      <c r="Z171" s="30"/>
      <c r="AA171" s="30"/>
    </row>
    <row r="172" ht="15.75" customHeight="1">
      <c r="A172" s="14" t="s">
        <v>17</v>
      </c>
      <c r="B172" s="15" t="s">
        <v>1671</v>
      </c>
      <c r="C172" s="14" t="s">
        <v>1339</v>
      </c>
      <c r="D172" s="14" t="s">
        <v>1340</v>
      </c>
      <c r="E172" s="26" t="s">
        <v>1341</v>
      </c>
      <c r="F172" s="14">
        <v>11.0</v>
      </c>
      <c r="G172" s="14">
        <v>18.0</v>
      </c>
      <c r="H172" s="14" t="s">
        <v>28</v>
      </c>
      <c r="I172" s="19" t="s">
        <v>1677</v>
      </c>
      <c r="J172" s="19" t="s">
        <v>1345</v>
      </c>
      <c r="K172" s="19" t="s">
        <v>1678</v>
      </c>
      <c r="L172" s="19" t="s">
        <v>1679</v>
      </c>
      <c r="M172" s="20" t="s">
        <v>511</v>
      </c>
      <c r="N172" s="27"/>
      <c r="O172" s="22">
        <v>101.0</v>
      </c>
      <c r="P172" s="28">
        <v>24.0</v>
      </c>
      <c r="Q172" s="28">
        <v>22.0</v>
      </c>
      <c r="R172" s="24"/>
      <c r="S172" s="24"/>
      <c r="T172" s="45"/>
      <c r="U172" s="45"/>
      <c r="V172" s="45"/>
      <c r="W172" s="45"/>
      <c r="X172" s="45"/>
      <c r="Y172" s="45"/>
      <c r="Z172" s="45"/>
      <c r="AA172" s="45"/>
    </row>
    <row r="173" ht="15.75" customHeight="1">
      <c r="A173" s="14" t="s">
        <v>17</v>
      </c>
      <c r="B173" s="15" t="s">
        <v>1671</v>
      </c>
      <c r="C173" s="14" t="s">
        <v>1347</v>
      </c>
      <c r="D173" s="14" t="s">
        <v>1348</v>
      </c>
      <c r="E173" s="26" t="s">
        <v>1349</v>
      </c>
      <c r="F173" s="14">
        <v>19.0</v>
      </c>
      <c r="G173" s="14">
        <v>24.0</v>
      </c>
      <c r="H173" s="14" t="s">
        <v>28</v>
      </c>
      <c r="I173" s="19" t="s">
        <v>1700</v>
      </c>
      <c r="J173" s="19" t="s">
        <v>1350</v>
      </c>
      <c r="K173" s="19" t="s">
        <v>1701</v>
      </c>
      <c r="L173" s="19" t="s">
        <v>1702</v>
      </c>
      <c r="M173" s="20" t="s">
        <v>1352</v>
      </c>
      <c r="N173" s="27"/>
      <c r="O173" s="22">
        <v>148.0</v>
      </c>
      <c r="P173" s="28">
        <v>33.0</v>
      </c>
      <c r="Q173" s="28">
        <v>13.0</v>
      </c>
      <c r="R173" s="24"/>
      <c r="S173" s="24"/>
      <c r="T173" s="45"/>
      <c r="U173" s="45"/>
      <c r="V173" s="45"/>
      <c r="W173" s="45"/>
      <c r="X173" s="45"/>
      <c r="Y173" s="45"/>
      <c r="Z173" s="45"/>
      <c r="AA173" s="45"/>
    </row>
    <row r="174" ht="15.75" customHeight="1">
      <c r="A174" s="14" t="s">
        <v>17</v>
      </c>
      <c r="B174" s="15" t="s">
        <v>1671</v>
      </c>
      <c r="C174" s="14" t="s">
        <v>1353</v>
      </c>
      <c r="D174" s="14" t="s">
        <v>1354</v>
      </c>
      <c r="E174" s="26" t="s">
        <v>1355</v>
      </c>
      <c r="F174" s="14">
        <v>25.0</v>
      </c>
      <c r="G174" s="14">
        <v>30.0</v>
      </c>
      <c r="H174" s="14" t="s">
        <v>28</v>
      </c>
      <c r="I174" s="19" t="s">
        <v>1714</v>
      </c>
      <c r="J174" s="19" t="s">
        <v>1715</v>
      </c>
      <c r="K174" s="19" t="s">
        <v>1716</v>
      </c>
      <c r="L174" s="19" t="s">
        <v>1717</v>
      </c>
      <c r="M174" s="20"/>
      <c r="N174" s="27"/>
      <c r="O174" s="22">
        <v>6.0</v>
      </c>
      <c r="P174" s="28">
        <v>4.0</v>
      </c>
      <c r="Q174" s="28">
        <v>9.0</v>
      </c>
      <c r="R174" s="24"/>
      <c r="S174" s="24"/>
      <c r="T174" s="45"/>
      <c r="U174" s="45"/>
      <c r="V174" s="45"/>
      <c r="W174" s="45"/>
      <c r="X174" s="45"/>
      <c r="Y174" s="45"/>
      <c r="Z174" s="45"/>
      <c r="AA174" s="45"/>
    </row>
    <row r="175" ht="15.75" customHeight="1">
      <c r="A175" s="14" t="s">
        <v>17</v>
      </c>
      <c r="B175" s="15" t="s">
        <v>1671</v>
      </c>
      <c r="C175" s="14" t="s">
        <v>1358</v>
      </c>
      <c r="D175" s="14" t="s">
        <v>1359</v>
      </c>
      <c r="E175" s="26" t="s">
        <v>1360</v>
      </c>
      <c r="F175" s="14">
        <v>32.0</v>
      </c>
      <c r="G175" s="14">
        <v>38.0</v>
      </c>
      <c r="H175" s="14" t="s">
        <v>28</v>
      </c>
      <c r="I175" s="19" t="s">
        <v>1728</v>
      </c>
      <c r="J175" s="19" t="s">
        <v>1364</v>
      </c>
      <c r="K175" s="19" t="s">
        <v>1729</v>
      </c>
      <c r="L175" s="19" t="s">
        <v>1298</v>
      </c>
      <c r="M175" s="20" t="s">
        <v>1365</v>
      </c>
      <c r="N175" s="27"/>
      <c r="O175" s="22">
        <v>16.0</v>
      </c>
      <c r="P175" s="28">
        <v>14.0</v>
      </c>
      <c r="Q175" s="28">
        <v>20.0</v>
      </c>
      <c r="R175" s="24"/>
      <c r="S175" s="24"/>
      <c r="T175" s="45"/>
      <c r="U175" s="45"/>
      <c r="V175" s="45"/>
      <c r="W175" s="45"/>
      <c r="X175" s="45"/>
      <c r="Y175" s="45"/>
      <c r="Z175" s="45"/>
      <c r="AA175" s="45"/>
    </row>
    <row r="176" ht="15.75" customHeight="1">
      <c r="A176" s="14" t="s">
        <v>17</v>
      </c>
      <c r="B176" s="15" t="s">
        <v>1671</v>
      </c>
      <c r="C176" s="14" t="s">
        <v>1366</v>
      </c>
      <c r="D176" s="14" t="s">
        <v>1367</v>
      </c>
      <c r="E176" s="26" t="s">
        <v>1368</v>
      </c>
      <c r="F176" s="14">
        <v>39.0</v>
      </c>
      <c r="G176" s="14">
        <v>45.0</v>
      </c>
      <c r="H176" s="14" t="s">
        <v>28</v>
      </c>
      <c r="I176" s="19" t="s">
        <v>1740</v>
      </c>
      <c r="J176" s="19" t="s">
        <v>1371</v>
      </c>
      <c r="K176" s="19" t="s">
        <v>1741</v>
      </c>
      <c r="L176" s="19" t="s">
        <v>1742</v>
      </c>
      <c r="M176" s="20" t="s">
        <v>1373</v>
      </c>
      <c r="N176" s="27"/>
      <c r="O176" s="22">
        <v>215.0</v>
      </c>
      <c r="P176" s="28">
        <v>50.0</v>
      </c>
      <c r="Q176" s="28">
        <v>12.0</v>
      </c>
      <c r="R176" s="24"/>
      <c r="S176" s="24"/>
      <c r="T176" s="45"/>
      <c r="U176" s="45"/>
      <c r="V176" s="45"/>
      <c r="W176" s="45"/>
      <c r="X176" s="45"/>
      <c r="Y176" s="45"/>
      <c r="Z176" s="45"/>
      <c r="AA176" s="45"/>
    </row>
    <row r="177" ht="15.75" customHeight="1">
      <c r="A177" s="14" t="s">
        <v>17</v>
      </c>
      <c r="B177" s="15" t="s">
        <v>1671</v>
      </c>
      <c r="C177" s="14" t="s">
        <v>1374</v>
      </c>
      <c r="D177" s="14" t="s">
        <v>1375</v>
      </c>
      <c r="E177" s="26" t="s">
        <v>1376</v>
      </c>
      <c r="F177" s="14">
        <v>46.0</v>
      </c>
      <c r="G177" s="14">
        <v>52.0</v>
      </c>
      <c r="H177" s="14" t="s">
        <v>28</v>
      </c>
      <c r="I177" s="19" t="s">
        <v>1748</v>
      </c>
      <c r="J177" s="19" t="s">
        <v>1377</v>
      </c>
      <c r="K177" s="19" t="s">
        <v>1749</v>
      </c>
      <c r="L177" s="19" t="s">
        <v>1742</v>
      </c>
      <c r="M177" s="20"/>
      <c r="N177" s="27"/>
      <c r="O177" s="22">
        <v>64.0</v>
      </c>
      <c r="P177" s="28">
        <v>15.0</v>
      </c>
      <c r="Q177" s="28">
        <v>23.0</v>
      </c>
      <c r="R177" s="24"/>
      <c r="S177" s="24"/>
      <c r="T177" s="45"/>
      <c r="U177" s="45"/>
      <c r="V177" s="45"/>
      <c r="W177" s="45"/>
      <c r="X177" s="45"/>
      <c r="Y177" s="45"/>
      <c r="Z177" s="45"/>
      <c r="AA177" s="45"/>
    </row>
    <row r="178" ht="15.75" customHeight="1">
      <c r="A178" s="14" t="s">
        <v>17</v>
      </c>
      <c r="B178" s="15" t="s">
        <v>1671</v>
      </c>
      <c r="C178" s="14" t="s">
        <v>1378</v>
      </c>
      <c r="D178" s="14" t="s">
        <v>1379</v>
      </c>
      <c r="E178" s="26" t="s">
        <v>1380</v>
      </c>
      <c r="F178" s="14">
        <v>54.0</v>
      </c>
      <c r="G178" s="14">
        <v>61.0</v>
      </c>
      <c r="H178" s="14" t="s">
        <v>28</v>
      </c>
      <c r="I178" s="19" t="s">
        <v>1761</v>
      </c>
      <c r="J178" s="19" t="s">
        <v>1384</v>
      </c>
      <c r="K178" s="19" t="s">
        <v>1762</v>
      </c>
      <c r="L178" s="19" t="s">
        <v>1763</v>
      </c>
      <c r="M178" s="20"/>
      <c r="N178" s="27"/>
      <c r="O178" s="22">
        <v>43.0</v>
      </c>
      <c r="P178" s="28">
        <v>20.0</v>
      </c>
      <c r="Q178" s="28">
        <v>26.0</v>
      </c>
      <c r="R178" s="24"/>
      <c r="S178" s="24"/>
      <c r="T178" s="45"/>
      <c r="U178" s="45"/>
      <c r="V178" s="45"/>
      <c r="W178" s="45"/>
      <c r="X178" s="45"/>
      <c r="Y178" s="45"/>
      <c r="Z178" s="45"/>
      <c r="AA178" s="45"/>
    </row>
    <row r="179" ht="15.75" customHeight="1">
      <c r="A179" s="14" t="s">
        <v>17</v>
      </c>
      <c r="B179" s="15" t="s">
        <v>1671</v>
      </c>
      <c r="C179" s="14" t="s">
        <v>1386</v>
      </c>
      <c r="D179" s="14" t="s">
        <v>1387</v>
      </c>
      <c r="E179" s="26" t="s">
        <v>1388</v>
      </c>
      <c r="F179" s="14">
        <v>62.0</v>
      </c>
      <c r="G179" s="14">
        <v>69.0</v>
      </c>
      <c r="H179" s="14" t="s">
        <v>28</v>
      </c>
      <c r="I179" s="19" t="s">
        <v>1776</v>
      </c>
      <c r="J179" s="19" t="s">
        <v>1389</v>
      </c>
      <c r="K179" s="19" t="s">
        <v>1777</v>
      </c>
      <c r="L179" s="19" t="s">
        <v>1778</v>
      </c>
      <c r="M179" s="20" t="s">
        <v>1334</v>
      </c>
      <c r="N179" s="27"/>
      <c r="O179" s="22">
        <v>178.0</v>
      </c>
      <c r="P179" s="28">
        <v>41.0</v>
      </c>
      <c r="Q179" s="28">
        <v>16.0</v>
      </c>
      <c r="R179" s="24"/>
      <c r="S179" s="24"/>
      <c r="T179" s="45"/>
      <c r="U179" s="45"/>
      <c r="V179" s="45"/>
      <c r="W179" s="45"/>
      <c r="X179" s="45"/>
      <c r="Y179" s="45"/>
      <c r="Z179" s="45"/>
      <c r="AA179" s="45"/>
    </row>
    <row r="180" ht="15.75" customHeight="1">
      <c r="A180" s="14" t="s">
        <v>17</v>
      </c>
      <c r="B180" s="15" t="s">
        <v>1671</v>
      </c>
      <c r="C180" s="14" t="s">
        <v>1391</v>
      </c>
      <c r="D180" s="14" t="s">
        <v>1392</v>
      </c>
      <c r="E180" s="26" t="s">
        <v>1393</v>
      </c>
      <c r="F180" s="14">
        <v>70.0</v>
      </c>
      <c r="G180" s="14">
        <v>77.0</v>
      </c>
      <c r="H180" s="14" t="s">
        <v>28</v>
      </c>
      <c r="I180" s="19" t="s">
        <v>1791</v>
      </c>
      <c r="J180" s="19" t="s">
        <v>1396</v>
      </c>
      <c r="K180" s="19" t="s">
        <v>1792</v>
      </c>
      <c r="L180" s="19" t="s">
        <v>1793</v>
      </c>
      <c r="M180" s="20" t="s">
        <v>1398</v>
      </c>
      <c r="N180" s="27"/>
      <c r="O180" s="43">
        <v>50.0</v>
      </c>
      <c r="P180" s="28">
        <v>17.0</v>
      </c>
      <c r="Q180" s="28">
        <v>21.0</v>
      </c>
      <c r="R180" s="24"/>
      <c r="S180" s="24"/>
      <c r="T180" s="45"/>
      <c r="U180" s="45"/>
      <c r="V180" s="45"/>
      <c r="W180" s="45"/>
      <c r="X180" s="45"/>
      <c r="Y180" s="45"/>
      <c r="Z180" s="45"/>
      <c r="AA180" s="45"/>
    </row>
    <row r="181" ht="15.75" customHeight="1">
      <c r="A181" s="14" t="s">
        <v>17</v>
      </c>
      <c r="B181" s="15" t="s">
        <v>1671</v>
      </c>
      <c r="C181" s="14" t="s">
        <v>1399</v>
      </c>
      <c r="D181" s="14" t="s">
        <v>1400</v>
      </c>
      <c r="E181" s="26" t="s">
        <v>1401</v>
      </c>
      <c r="F181" s="14">
        <v>78.0</v>
      </c>
      <c r="G181" s="14">
        <v>84.0</v>
      </c>
      <c r="H181" s="14" t="s">
        <v>28</v>
      </c>
      <c r="I181" s="19" t="s">
        <v>1807</v>
      </c>
      <c r="J181" s="19" t="s">
        <v>1403</v>
      </c>
      <c r="K181" s="19" t="s">
        <v>1808</v>
      </c>
      <c r="L181" s="19" t="s">
        <v>294</v>
      </c>
      <c r="M181" s="20" t="s">
        <v>1067</v>
      </c>
      <c r="N181" s="44" t="s">
        <v>1406</v>
      </c>
      <c r="O181" s="22">
        <v>171.0</v>
      </c>
      <c r="P181" s="28">
        <v>34.0</v>
      </c>
      <c r="Q181" s="28">
        <v>20.0</v>
      </c>
      <c r="R181" s="24"/>
      <c r="S181" s="24"/>
      <c r="T181" s="45"/>
      <c r="U181" s="45"/>
      <c r="V181" s="45"/>
      <c r="W181" s="45"/>
      <c r="X181" s="45"/>
      <c r="Y181" s="45"/>
      <c r="Z181" s="45"/>
      <c r="AA181" s="45"/>
    </row>
    <row r="182" ht="15.75" customHeight="1">
      <c r="A182" s="14" t="s">
        <v>17</v>
      </c>
      <c r="B182" s="15" t="s">
        <v>1671</v>
      </c>
      <c r="C182" s="14" t="s">
        <v>1407</v>
      </c>
      <c r="D182" s="14" t="s">
        <v>1408</v>
      </c>
      <c r="E182" s="26" t="s">
        <v>1409</v>
      </c>
      <c r="F182" s="14">
        <v>86.0</v>
      </c>
      <c r="G182" s="14">
        <v>93.0</v>
      </c>
      <c r="H182" s="14" t="s">
        <v>28</v>
      </c>
      <c r="I182" s="19" t="s">
        <v>1818</v>
      </c>
      <c r="J182" s="19" t="s">
        <v>1410</v>
      </c>
      <c r="K182" s="19" t="s">
        <v>1821</v>
      </c>
      <c r="L182" s="19" t="s">
        <v>1822</v>
      </c>
      <c r="M182" s="20"/>
      <c r="N182" s="27"/>
      <c r="O182" s="22">
        <v>34.0</v>
      </c>
      <c r="P182" s="28">
        <v>7.0</v>
      </c>
      <c r="Q182" s="28">
        <v>15.0</v>
      </c>
      <c r="R182" s="24"/>
      <c r="S182" s="24"/>
      <c r="T182" s="45"/>
      <c r="U182" s="45"/>
      <c r="V182" s="45"/>
      <c r="W182" s="45"/>
      <c r="X182" s="45"/>
      <c r="Y182" s="45"/>
      <c r="Z182" s="45"/>
      <c r="AA182" s="45"/>
    </row>
    <row r="183" ht="15.75" customHeight="1">
      <c r="A183" s="14" t="s">
        <v>17</v>
      </c>
      <c r="B183" s="15" t="s">
        <v>1671</v>
      </c>
      <c r="C183" s="14" t="s">
        <v>1413</v>
      </c>
      <c r="D183" s="14" t="s">
        <v>1414</v>
      </c>
      <c r="E183" s="26" t="s">
        <v>1416</v>
      </c>
      <c r="F183" s="14">
        <v>94.0</v>
      </c>
      <c r="G183" s="14">
        <v>101.0</v>
      </c>
      <c r="H183" s="14" t="s">
        <v>28</v>
      </c>
      <c r="I183" s="19" t="s">
        <v>1830</v>
      </c>
      <c r="J183" s="19" t="s">
        <v>1418</v>
      </c>
      <c r="K183" s="19" t="s">
        <v>1832</v>
      </c>
      <c r="L183" s="19" t="s">
        <v>1835</v>
      </c>
      <c r="M183" s="20" t="s">
        <v>1420</v>
      </c>
      <c r="N183" s="27"/>
      <c r="O183" s="22">
        <v>6.0</v>
      </c>
      <c r="P183" s="28">
        <v>5.0</v>
      </c>
      <c r="Q183" s="28">
        <v>12.0</v>
      </c>
      <c r="R183" s="24"/>
      <c r="S183" s="24"/>
      <c r="T183" s="45"/>
      <c r="U183" s="45"/>
      <c r="V183" s="45"/>
      <c r="W183" s="45"/>
      <c r="X183" s="45"/>
      <c r="Y183" s="45"/>
      <c r="Z183" s="45"/>
      <c r="AA183" s="45"/>
    </row>
    <row r="184" ht="15.75" customHeight="1">
      <c r="A184" s="14" t="s">
        <v>17</v>
      </c>
      <c r="B184" s="15" t="s">
        <v>1671</v>
      </c>
      <c r="C184" s="14" t="s">
        <v>1421</v>
      </c>
      <c r="D184" s="14" t="s">
        <v>1422</v>
      </c>
      <c r="E184" s="26" t="s">
        <v>1423</v>
      </c>
      <c r="F184" s="14">
        <v>102.0</v>
      </c>
      <c r="G184" s="14">
        <v>109.0</v>
      </c>
      <c r="H184" s="14" t="s">
        <v>28</v>
      </c>
      <c r="I184" s="19" t="s">
        <v>1850</v>
      </c>
      <c r="J184" s="19" t="s">
        <v>1427</v>
      </c>
      <c r="K184" s="19" t="s">
        <v>1851</v>
      </c>
      <c r="L184" s="19" t="s">
        <v>1852</v>
      </c>
      <c r="M184" s="20" t="s">
        <v>1159</v>
      </c>
      <c r="N184" s="27"/>
      <c r="O184" s="22">
        <v>118.0</v>
      </c>
      <c r="P184" s="28">
        <v>25.0</v>
      </c>
      <c r="Q184" s="28">
        <v>15.0</v>
      </c>
      <c r="R184" s="24"/>
      <c r="S184" s="24"/>
      <c r="T184" s="45"/>
      <c r="U184" s="45"/>
      <c r="V184" s="45"/>
      <c r="W184" s="45"/>
      <c r="X184" s="45"/>
      <c r="Y184" s="45"/>
      <c r="Z184" s="45"/>
      <c r="AA184" s="45"/>
    </row>
    <row r="185" ht="15.75" customHeight="1">
      <c r="A185" s="14" t="s">
        <v>17</v>
      </c>
      <c r="B185" s="15" t="s">
        <v>1671</v>
      </c>
      <c r="C185" s="14" t="s">
        <v>1429</v>
      </c>
      <c r="D185" s="14" t="s">
        <v>1430</v>
      </c>
      <c r="E185" s="26" t="s">
        <v>1431</v>
      </c>
      <c r="F185" s="14">
        <v>110.0</v>
      </c>
      <c r="G185" s="14">
        <v>117.0</v>
      </c>
      <c r="H185" s="14" t="s">
        <v>28</v>
      </c>
      <c r="I185" s="19" t="s">
        <v>1862</v>
      </c>
      <c r="J185" s="19" t="s">
        <v>1435</v>
      </c>
      <c r="K185" s="19" t="s">
        <v>1864</v>
      </c>
      <c r="L185" s="19" t="s">
        <v>1763</v>
      </c>
      <c r="M185" s="20" t="s">
        <v>972</v>
      </c>
      <c r="N185" s="27"/>
      <c r="O185" s="31"/>
      <c r="P185" s="28">
        <v>2.0</v>
      </c>
      <c r="Q185" s="28">
        <v>28.0</v>
      </c>
      <c r="R185" s="24"/>
      <c r="S185" s="24"/>
      <c r="T185" s="45"/>
      <c r="U185" s="45"/>
      <c r="V185" s="45"/>
      <c r="W185" s="45"/>
      <c r="X185" s="45"/>
      <c r="Y185" s="45"/>
      <c r="Z185" s="45"/>
      <c r="AA185" s="45"/>
    </row>
    <row r="186" ht="15.75" customHeight="1">
      <c r="A186" s="14" t="s">
        <v>17</v>
      </c>
      <c r="B186" s="15" t="s">
        <v>1671</v>
      </c>
      <c r="C186" s="14" t="s">
        <v>1436</v>
      </c>
      <c r="D186" s="14" t="s">
        <v>1437</v>
      </c>
      <c r="E186" s="26" t="s">
        <v>1438</v>
      </c>
      <c r="F186" s="14">
        <v>119.0</v>
      </c>
      <c r="G186" s="14">
        <v>125.0</v>
      </c>
      <c r="H186" s="14" t="s">
        <v>28</v>
      </c>
      <c r="I186" s="19" t="s">
        <v>1875</v>
      </c>
      <c r="J186" s="19" t="s">
        <v>1442</v>
      </c>
      <c r="K186" s="19" t="s">
        <v>1878</v>
      </c>
      <c r="L186" s="19" t="s">
        <v>1879</v>
      </c>
      <c r="M186" s="20" t="s">
        <v>1444</v>
      </c>
      <c r="N186" s="27"/>
      <c r="O186" s="22">
        <v>50.0</v>
      </c>
      <c r="P186" s="28">
        <v>52.0</v>
      </c>
      <c r="Q186" s="28">
        <v>9.0</v>
      </c>
      <c r="R186" s="24"/>
      <c r="S186" s="24"/>
      <c r="T186" s="45"/>
      <c r="U186" s="45"/>
      <c r="V186" s="45"/>
      <c r="W186" s="45"/>
      <c r="X186" s="45"/>
      <c r="Y186" s="45"/>
      <c r="Z186" s="45"/>
      <c r="AA186" s="45"/>
    </row>
    <row r="187" ht="15.75" customHeight="1">
      <c r="A187" s="14" t="s">
        <v>17</v>
      </c>
      <c r="B187" s="15" t="s">
        <v>1671</v>
      </c>
      <c r="C187" s="14" t="s">
        <v>1445</v>
      </c>
      <c r="D187" s="14" t="s">
        <v>1446</v>
      </c>
      <c r="E187" s="26" t="s">
        <v>1447</v>
      </c>
      <c r="F187" s="14">
        <v>126.0</v>
      </c>
      <c r="G187" s="14">
        <v>133.0</v>
      </c>
      <c r="H187" s="14" t="s">
        <v>28</v>
      </c>
      <c r="I187" s="19" t="s">
        <v>1894</v>
      </c>
      <c r="J187" s="19" t="s">
        <v>1448</v>
      </c>
      <c r="K187" s="19" t="s">
        <v>1895</v>
      </c>
      <c r="L187" s="19" t="s">
        <v>1896</v>
      </c>
      <c r="M187" s="20" t="s">
        <v>1182</v>
      </c>
      <c r="N187" s="27"/>
      <c r="O187" s="22">
        <v>15.0</v>
      </c>
      <c r="P187" s="28">
        <v>9.0</v>
      </c>
      <c r="Q187" s="28">
        <v>27.0</v>
      </c>
      <c r="R187" s="24"/>
      <c r="S187" s="24"/>
      <c r="T187" s="45"/>
      <c r="U187" s="45"/>
      <c r="V187" s="45"/>
      <c r="W187" s="45"/>
      <c r="X187" s="45"/>
      <c r="Y187" s="45"/>
      <c r="Z187" s="45"/>
      <c r="AA187" s="45"/>
    </row>
    <row r="188" ht="15.75" customHeight="1">
      <c r="A188" s="14" t="s">
        <v>17</v>
      </c>
      <c r="B188" s="15" t="s">
        <v>1671</v>
      </c>
      <c r="C188" s="14" t="s">
        <v>1450</v>
      </c>
      <c r="D188" s="14" t="s">
        <v>1452</v>
      </c>
      <c r="E188" s="26" t="s">
        <v>1453</v>
      </c>
      <c r="F188" s="14">
        <v>134.0</v>
      </c>
      <c r="G188" s="14">
        <v>141.0</v>
      </c>
      <c r="H188" s="14" t="s">
        <v>28</v>
      </c>
      <c r="I188" s="19" t="s">
        <v>1904</v>
      </c>
      <c r="J188" s="19" t="s">
        <v>1455</v>
      </c>
      <c r="K188" s="19" t="s">
        <v>1905</v>
      </c>
      <c r="L188" s="19" t="s">
        <v>1906</v>
      </c>
      <c r="M188" s="20"/>
      <c r="N188" s="27"/>
      <c r="O188" s="31"/>
      <c r="P188" s="28">
        <v>2.0</v>
      </c>
      <c r="Q188" s="28">
        <v>10.0</v>
      </c>
      <c r="R188" s="24"/>
      <c r="S188" s="24"/>
      <c r="T188" s="45"/>
      <c r="U188" s="45"/>
      <c r="V188" s="45"/>
      <c r="W188" s="45"/>
      <c r="X188" s="45"/>
      <c r="Y188" s="45"/>
      <c r="Z188" s="45"/>
      <c r="AA188" s="45"/>
    </row>
    <row r="189" ht="15.75" customHeight="1">
      <c r="A189" s="14" t="s">
        <v>17</v>
      </c>
      <c r="B189" s="15" t="s">
        <v>1671</v>
      </c>
      <c r="C189" s="14" t="s">
        <v>1457</v>
      </c>
      <c r="D189" s="14" t="s">
        <v>1458</v>
      </c>
      <c r="E189" s="26" t="s">
        <v>1459</v>
      </c>
      <c r="F189" s="14">
        <v>142.0</v>
      </c>
      <c r="G189" s="14">
        <v>148.0</v>
      </c>
      <c r="H189" s="14" t="s">
        <v>28</v>
      </c>
      <c r="I189" s="19" t="s">
        <v>1920</v>
      </c>
      <c r="J189" s="19" t="s">
        <v>1460</v>
      </c>
      <c r="K189" s="19" t="s">
        <v>1921</v>
      </c>
      <c r="L189" s="19" t="s">
        <v>294</v>
      </c>
      <c r="M189" s="20" t="s">
        <v>1334</v>
      </c>
      <c r="N189" s="44" t="s">
        <v>1462</v>
      </c>
      <c r="O189" s="22">
        <v>49.0</v>
      </c>
      <c r="P189" s="28">
        <v>6.0</v>
      </c>
      <c r="Q189" s="28">
        <v>11.0</v>
      </c>
      <c r="R189" s="24"/>
      <c r="S189" s="24"/>
      <c r="T189" s="45"/>
      <c r="U189" s="45"/>
      <c r="V189" s="45"/>
      <c r="W189" s="45"/>
      <c r="X189" s="45"/>
      <c r="Y189" s="45"/>
      <c r="Z189" s="45"/>
      <c r="AA189" s="45"/>
    </row>
    <row r="190" ht="15.75" customHeight="1">
      <c r="A190" s="14" t="s">
        <v>17</v>
      </c>
      <c r="B190" s="15" t="s">
        <v>1671</v>
      </c>
      <c r="C190" s="14" t="s">
        <v>1464</v>
      </c>
      <c r="D190" s="14" t="s">
        <v>1465</v>
      </c>
      <c r="E190" s="26" t="s">
        <v>1466</v>
      </c>
      <c r="F190" s="14">
        <v>150.0</v>
      </c>
      <c r="G190" s="14">
        <v>157.0</v>
      </c>
      <c r="H190" s="14" t="s">
        <v>28</v>
      </c>
      <c r="I190" s="19" t="s">
        <v>1961</v>
      </c>
      <c r="J190" s="19" t="s">
        <v>1467</v>
      </c>
      <c r="K190" s="19" t="s">
        <v>1962</v>
      </c>
      <c r="L190" s="19" t="s">
        <v>1963</v>
      </c>
      <c r="M190" s="20"/>
      <c r="N190" s="44" t="s">
        <v>1469</v>
      </c>
      <c r="O190" s="22">
        <v>198.0</v>
      </c>
      <c r="P190" s="28">
        <v>16.0</v>
      </c>
      <c r="Q190" s="28">
        <v>12.0</v>
      </c>
      <c r="R190" s="24"/>
      <c r="S190" s="24"/>
      <c r="T190" s="45"/>
      <c r="U190" s="45"/>
      <c r="V190" s="45"/>
      <c r="W190" s="45"/>
      <c r="X190" s="45"/>
      <c r="Y190" s="45"/>
      <c r="Z190" s="45"/>
      <c r="AA190" s="45"/>
    </row>
    <row r="191" ht="15.75" customHeight="1">
      <c r="A191" s="14" t="s">
        <v>17</v>
      </c>
      <c r="B191" s="15" t="s">
        <v>1671</v>
      </c>
      <c r="C191" s="14" t="s">
        <v>1470</v>
      </c>
      <c r="D191" s="14" t="s">
        <v>1471</v>
      </c>
      <c r="E191" s="26" t="s">
        <v>1472</v>
      </c>
      <c r="F191" s="14">
        <v>158.0</v>
      </c>
      <c r="G191" s="14">
        <v>165.0</v>
      </c>
      <c r="H191" s="14" t="s">
        <v>28</v>
      </c>
      <c r="I191" s="19" t="s">
        <v>1975</v>
      </c>
      <c r="J191" s="19" t="s">
        <v>1475</v>
      </c>
      <c r="K191" s="19" t="s">
        <v>1977</v>
      </c>
      <c r="L191" s="19" t="s">
        <v>1980</v>
      </c>
      <c r="M191" s="20" t="s">
        <v>1477</v>
      </c>
      <c r="N191" s="27"/>
      <c r="O191" s="22">
        <v>38.0</v>
      </c>
      <c r="P191" s="28">
        <v>6.0</v>
      </c>
      <c r="Q191" s="28">
        <v>18.0</v>
      </c>
      <c r="R191" s="24"/>
      <c r="S191" s="24"/>
      <c r="T191" s="45"/>
      <c r="U191" s="45"/>
      <c r="V191" s="45"/>
      <c r="W191" s="45"/>
      <c r="X191" s="45"/>
      <c r="Y191" s="45"/>
      <c r="Z191" s="45"/>
      <c r="AA191" s="45"/>
    </row>
    <row r="192" ht="15.75" customHeight="1">
      <c r="A192" s="14" t="s">
        <v>17</v>
      </c>
      <c r="B192" s="15" t="s">
        <v>1671</v>
      </c>
      <c r="C192" s="14" t="s">
        <v>1478</v>
      </c>
      <c r="D192" s="14" t="s">
        <v>1479</v>
      </c>
      <c r="E192" s="26" t="s">
        <v>1480</v>
      </c>
      <c r="F192" s="14">
        <v>166.0</v>
      </c>
      <c r="G192" s="14">
        <v>173.0</v>
      </c>
      <c r="H192" s="14" t="s">
        <v>28</v>
      </c>
      <c r="I192" s="19" t="s">
        <v>1995</v>
      </c>
      <c r="J192" s="19" t="s">
        <v>1482</v>
      </c>
      <c r="K192" s="19" t="s">
        <v>1996</v>
      </c>
      <c r="L192" s="19" t="s">
        <v>2003</v>
      </c>
      <c r="M192" s="20"/>
      <c r="N192" s="27"/>
      <c r="O192" s="22">
        <v>50.0</v>
      </c>
      <c r="P192" s="28">
        <v>0.0</v>
      </c>
      <c r="Q192" s="28">
        <v>24.0</v>
      </c>
      <c r="R192" s="24"/>
      <c r="S192" s="24"/>
      <c r="T192" s="45"/>
      <c r="U192" s="45"/>
      <c r="V192" s="45"/>
      <c r="W192" s="45"/>
      <c r="X192" s="45"/>
      <c r="Y192" s="45"/>
      <c r="Z192" s="45"/>
      <c r="AA192" s="45"/>
    </row>
    <row r="193" ht="15.75" customHeight="1">
      <c r="A193" s="14" t="s">
        <v>17</v>
      </c>
      <c r="B193" s="15" t="s">
        <v>1671</v>
      </c>
      <c r="C193" s="14" t="s">
        <v>1485</v>
      </c>
      <c r="D193" s="14" t="s">
        <v>1486</v>
      </c>
      <c r="E193" s="26" t="s">
        <v>1487</v>
      </c>
      <c r="F193" s="14">
        <v>174.0</v>
      </c>
      <c r="G193" s="14">
        <v>181.0</v>
      </c>
      <c r="H193" s="14" t="s">
        <v>28</v>
      </c>
      <c r="I193" s="19" t="s">
        <v>2010</v>
      </c>
      <c r="J193" s="19" t="s">
        <v>1488</v>
      </c>
      <c r="K193" s="19" t="s">
        <v>2011</v>
      </c>
      <c r="L193" s="19" t="s">
        <v>2013</v>
      </c>
      <c r="M193" s="20"/>
      <c r="N193" s="27"/>
      <c r="O193" s="22">
        <v>9.0</v>
      </c>
      <c r="P193" s="28">
        <v>1.0</v>
      </c>
      <c r="Q193" s="28">
        <v>20.0</v>
      </c>
      <c r="R193" s="24"/>
      <c r="S193" s="24"/>
      <c r="T193" s="45"/>
      <c r="U193" s="45"/>
      <c r="V193" s="45"/>
      <c r="W193" s="45"/>
      <c r="X193" s="45"/>
      <c r="Y193" s="45"/>
      <c r="Z193" s="45"/>
      <c r="AA193" s="45"/>
    </row>
    <row r="194" ht="15.75" customHeight="1">
      <c r="A194" s="14" t="s">
        <v>17</v>
      </c>
      <c r="B194" s="15" t="s">
        <v>1671</v>
      </c>
      <c r="C194" s="14" t="s">
        <v>1490</v>
      </c>
      <c r="D194" s="14" t="s">
        <v>1492</v>
      </c>
      <c r="E194" s="26" t="s">
        <v>1493</v>
      </c>
      <c r="F194" s="14">
        <v>183.0</v>
      </c>
      <c r="G194" s="14">
        <v>188.0</v>
      </c>
      <c r="H194" s="14" t="s">
        <v>28</v>
      </c>
      <c r="I194" s="19" t="s">
        <v>2030</v>
      </c>
      <c r="J194" s="19" t="s">
        <v>1495</v>
      </c>
      <c r="K194" s="19" t="s">
        <v>2031</v>
      </c>
      <c r="L194" s="19" t="s">
        <v>2032</v>
      </c>
      <c r="M194" s="20"/>
      <c r="N194" s="27"/>
      <c r="O194" s="43">
        <v>50.0</v>
      </c>
      <c r="P194" s="28">
        <v>6.0</v>
      </c>
      <c r="Q194" s="28">
        <v>10.0</v>
      </c>
      <c r="R194" s="24"/>
      <c r="S194" s="24"/>
      <c r="T194" s="45"/>
      <c r="U194" s="45"/>
      <c r="V194" s="45"/>
      <c r="W194" s="45"/>
      <c r="X194" s="45"/>
      <c r="Y194" s="45"/>
      <c r="Z194" s="45"/>
      <c r="AA194" s="45"/>
    </row>
    <row r="195" ht="15.75" customHeight="1">
      <c r="A195" s="14" t="s">
        <v>17</v>
      </c>
      <c r="B195" s="15" t="s">
        <v>1671</v>
      </c>
      <c r="C195" s="14" t="s">
        <v>1497</v>
      </c>
      <c r="D195" s="14" t="s">
        <v>1498</v>
      </c>
      <c r="E195" s="26" t="s">
        <v>1499</v>
      </c>
      <c r="F195" s="14">
        <v>189.0</v>
      </c>
      <c r="G195" s="14">
        <v>195.0</v>
      </c>
      <c r="H195" s="14" t="s">
        <v>28</v>
      </c>
      <c r="I195" s="19" t="s">
        <v>2038</v>
      </c>
      <c r="J195" s="19" t="s">
        <v>1503</v>
      </c>
      <c r="K195" s="19" t="s">
        <v>2039</v>
      </c>
      <c r="L195" s="19" t="s">
        <v>1588</v>
      </c>
      <c r="M195" s="20" t="s">
        <v>1281</v>
      </c>
      <c r="N195" s="27"/>
      <c r="O195" s="22">
        <v>211.0</v>
      </c>
      <c r="P195" s="28">
        <v>39.0</v>
      </c>
      <c r="Q195" s="28">
        <v>8.0</v>
      </c>
      <c r="R195" s="24"/>
      <c r="S195" s="24"/>
      <c r="T195" s="45"/>
      <c r="U195" s="45"/>
      <c r="V195" s="45"/>
      <c r="W195" s="45"/>
      <c r="X195" s="45"/>
      <c r="Y195" s="45"/>
      <c r="Z195" s="45"/>
      <c r="AA195" s="45"/>
    </row>
    <row r="196" ht="15.75" customHeight="1">
      <c r="A196" s="14" t="s">
        <v>17</v>
      </c>
      <c r="B196" s="15" t="s">
        <v>1671</v>
      </c>
      <c r="C196" s="14" t="s">
        <v>1504</v>
      </c>
      <c r="D196" s="14" t="s">
        <v>1505</v>
      </c>
      <c r="E196" s="26" t="s">
        <v>1506</v>
      </c>
      <c r="F196" s="14">
        <v>196.0</v>
      </c>
      <c r="G196" s="14">
        <v>203.0</v>
      </c>
      <c r="H196" s="14" t="s">
        <v>28</v>
      </c>
      <c r="I196" s="19" t="s">
        <v>2046</v>
      </c>
      <c r="J196" s="19" t="s">
        <v>1509</v>
      </c>
      <c r="K196" s="19" t="s">
        <v>2047</v>
      </c>
      <c r="L196" s="19" t="s">
        <v>873</v>
      </c>
      <c r="M196" s="20" t="s">
        <v>1510</v>
      </c>
      <c r="N196" s="27"/>
      <c r="O196" s="22">
        <v>70.0</v>
      </c>
      <c r="P196" s="28">
        <v>20.0</v>
      </c>
      <c r="Q196" s="28">
        <v>9.0</v>
      </c>
      <c r="R196" s="24"/>
      <c r="S196" s="24"/>
      <c r="T196" s="45"/>
      <c r="U196" s="45"/>
      <c r="V196" s="45"/>
      <c r="W196" s="45"/>
      <c r="X196" s="45"/>
      <c r="Y196" s="45"/>
      <c r="Z196" s="45"/>
      <c r="AA196" s="45"/>
    </row>
    <row r="197" ht="15.75" customHeight="1">
      <c r="A197" s="14" t="s">
        <v>17</v>
      </c>
      <c r="B197" s="15" t="s">
        <v>1671</v>
      </c>
      <c r="C197" s="14" t="s">
        <v>1511</v>
      </c>
      <c r="D197" s="14" t="s">
        <v>1512</v>
      </c>
      <c r="E197" s="26" t="s">
        <v>1513</v>
      </c>
      <c r="F197" s="14">
        <v>204.0</v>
      </c>
      <c r="G197" s="14">
        <v>210.0</v>
      </c>
      <c r="H197" s="14" t="s">
        <v>28</v>
      </c>
      <c r="I197" s="19" t="s">
        <v>2054</v>
      </c>
      <c r="J197" s="19" t="s">
        <v>1516</v>
      </c>
      <c r="K197" s="19" t="s">
        <v>2055</v>
      </c>
      <c r="L197" s="19" t="s">
        <v>2056</v>
      </c>
      <c r="M197" s="20" t="s">
        <v>1518</v>
      </c>
      <c r="N197" s="27"/>
      <c r="O197" s="22">
        <v>184.0</v>
      </c>
      <c r="P197" s="28">
        <v>39.0</v>
      </c>
      <c r="Q197" s="28">
        <v>13.0</v>
      </c>
      <c r="R197" s="24"/>
      <c r="S197" s="24"/>
      <c r="T197" s="45"/>
      <c r="U197" s="45"/>
      <c r="V197" s="45"/>
      <c r="W197" s="45"/>
      <c r="X197" s="45"/>
      <c r="Y197" s="45"/>
      <c r="Z197" s="45"/>
      <c r="AA197" s="45"/>
    </row>
    <row r="198" ht="15.75" customHeight="1">
      <c r="A198" s="14" t="s">
        <v>17</v>
      </c>
      <c r="B198" s="15" t="s">
        <v>1671</v>
      </c>
      <c r="C198" s="14" t="s">
        <v>1519</v>
      </c>
      <c r="D198" s="14" t="s">
        <v>1520</v>
      </c>
      <c r="E198" s="26" t="s">
        <v>1521</v>
      </c>
      <c r="F198" s="14">
        <v>212.0</v>
      </c>
      <c r="G198" s="14">
        <v>219.0</v>
      </c>
      <c r="H198" s="14" t="s">
        <v>28</v>
      </c>
      <c r="I198" s="19" t="s">
        <v>2065</v>
      </c>
      <c r="J198" s="19" t="s">
        <v>1522</v>
      </c>
      <c r="K198" s="19" t="s">
        <v>2069</v>
      </c>
      <c r="L198" s="19" t="s">
        <v>105</v>
      </c>
      <c r="M198" s="20"/>
      <c r="N198" s="27"/>
      <c r="O198" s="22">
        <v>50.0</v>
      </c>
      <c r="P198" s="28">
        <v>0.0</v>
      </c>
      <c r="Q198" s="28">
        <v>22.0</v>
      </c>
      <c r="R198" s="24"/>
      <c r="S198" s="24"/>
      <c r="T198" s="45"/>
      <c r="U198" s="45"/>
      <c r="V198" s="45"/>
      <c r="W198" s="45"/>
      <c r="X198" s="45"/>
      <c r="Y198" s="45"/>
      <c r="Z198" s="45"/>
      <c r="AA198" s="45"/>
    </row>
    <row r="199" ht="15.75" customHeight="1">
      <c r="A199" s="14" t="s">
        <v>17</v>
      </c>
      <c r="B199" s="15" t="s">
        <v>1671</v>
      </c>
      <c r="C199" s="14" t="s">
        <v>1523</v>
      </c>
      <c r="D199" s="14" t="s">
        <v>1524</v>
      </c>
      <c r="E199" s="26" t="s">
        <v>1525</v>
      </c>
      <c r="F199" s="14">
        <v>220.0</v>
      </c>
      <c r="G199" s="14">
        <v>227.0</v>
      </c>
      <c r="H199" s="14" t="s">
        <v>28</v>
      </c>
      <c r="I199" s="19" t="s">
        <v>2079</v>
      </c>
      <c r="J199" s="19" t="s">
        <v>1529</v>
      </c>
      <c r="K199" s="19" t="s">
        <v>2083</v>
      </c>
      <c r="L199" s="19" t="s">
        <v>2084</v>
      </c>
      <c r="M199" s="20" t="s">
        <v>157</v>
      </c>
      <c r="N199" s="27"/>
      <c r="O199" s="31"/>
      <c r="P199" s="28">
        <v>37.0</v>
      </c>
      <c r="Q199" s="28">
        <v>17.0</v>
      </c>
      <c r="R199" s="24"/>
      <c r="S199" s="24"/>
      <c r="T199" s="45"/>
      <c r="U199" s="45"/>
      <c r="V199" s="45"/>
      <c r="W199" s="45"/>
      <c r="X199" s="45"/>
      <c r="Y199" s="45"/>
      <c r="Z199" s="45"/>
      <c r="AA199" s="45"/>
    </row>
    <row r="200" ht="15.75" customHeight="1">
      <c r="A200" s="14" t="s">
        <v>17</v>
      </c>
      <c r="B200" s="15" t="s">
        <v>1671</v>
      </c>
      <c r="C200" s="14" t="s">
        <v>1531</v>
      </c>
      <c r="D200" s="14" t="s">
        <v>1532</v>
      </c>
      <c r="E200" s="26" t="s">
        <v>1533</v>
      </c>
      <c r="F200" s="14">
        <v>228.0</v>
      </c>
      <c r="G200" s="14">
        <v>235.0</v>
      </c>
      <c r="H200" s="14" t="s">
        <v>28</v>
      </c>
      <c r="I200" s="19" t="s">
        <v>2091</v>
      </c>
      <c r="J200" s="19" t="s">
        <v>1537</v>
      </c>
      <c r="K200" s="19" t="s">
        <v>2093</v>
      </c>
      <c r="L200" s="19" t="s">
        <v>2095</v>
      </c>
      <c r="M200" s="20" t="s">
        <v>1539</v>
      </c>
      <c r="N200" s="27"/>
      <c r="O200" s="22">
        <v>50.0</v>
      </c>
      <c r="P200" s="28">
        <v>0.0</v>
      </c>
      <c r="Q200" s="28">
        <v>19.0</v>
      </c>
      <c r="R200" s="24"/>
      <c r="S200" s="24"/>
      <c r="T200" s="45"/>
      <c r="U200" s="45"/>
      <c r="V200" s="45"/>
      <c r="W200" s="45"/>
      <c r="X200" s="45"/>
      <c r="Y200" s="45"/>
      <c r="Z200" s="45"/>
      <c r="AA200" s="45"/>
    </row>
    <row r="201" ht="15.75" customHeight="1">
      <c r="A201" s="14" t="s">
        <v>17</v>
      </c>
      <c r="B201" s="15" t="s">
        <v>1671</v>
      </c>
      <c r="C201" s="14" t="s">
        <v>1540</v>
      </c>
      <c r="D201" s="14" t="s">
        <v>1541</v>
      </c>
      <c r="E201" s="26" t="s">
        <v>1542</v>
      </c>
      <c r="F201" s="14">
        <v>236.0</v>
      </c>
      <c r="G201" s="14">
        <v>243.0</v>
      </c>
      <c r="H201" s="14" t="s">
        <v>28</v>
      </c>
      <c r="I201" s="19" t="s">
        <v>2103</v>
      </c>
      <c r="J201" s="19" t="s">
        <v>1543</v>
      </c>
      <c r="K201" s="19" t="s">
        <v>2104</v>
      </c>
      <c r="L201" s="19" t="s">
        <v>2084</v>
      </c>
      <c r="M201" s="20" t="s">
        <v>1544</v>
      </c>
      <c r="N201" s="27"/>
      <c r="O201" s="31"/>
      <c r="P201" s="28">
        <v>19.0</v>
      </c>
      <c r="Q201" s="28">
        <v>28.0</v>
      </c>
      <c r="R201" s="24"/>
      <c r="S201" s="24"/>
      <c r="T201" s="45"/>
      <c r="U201" s="45"/>
      <c r="V201" s="45"/>
      <c r="W201" s="45"/>
      <c r="X201" s="45"/>
      <c r="Y201" s="45"/>
      <c r="Z201" s="45"/>
      <c r="AA201" s="45"/>
    </row>
    <row r="202" ht="15.75" customHeight="1">
      <c r="A202" s="14" t="s">
        <v>17</v>
      </c>
      <c r="B202" s="15" t="s">
        <v>1671</v>
      </c>
      <c r="C202" s="14" t="s">
        <v>1545</v>
      </c>
      <c r="D202" s="14" t="s">
        <v>1546</v>
      </c>
      <c r="E202" s="26" t="s">
        <v>1547</v>
      </c>
      <c r="F202" s="14">
        <v>245.0</v>
      </c>
      <c r="G202" s="14">
        <v>252.0</v>
      </c>
      <c r="H202" s="14" t="s">
        <v>28</v>
      </c>
      <c r="I202" s="19" t="s">
        <v>2117</v>
      </c>
      <c r="J202" s="19" t="s">
        <v>1304</v>
      </c>
      <c r="K202" s="19" t="s">
        <v>1619</v>
      </c>
      <c r="L202" s="19" t="s">
        <v>2118</v>
      </c>
      <c r="M202" s="20" t="s">
        <v>1549</v>
      </c>
      <c r="N202" s="27"/>
      <c r="O202" s="22">
        <v>173.0</v>
      </c>
      <c r="P202" s="28">
        <v>40.0</v>
      </c>
      <c r="Q202" s="28">
        <v>13.0</v>
      </c>
      <c r="R202" s="24"/>
      <c r="S202" s="24"/>
      <c r="T202" s="45"/>
      <c r="U202" s="45"/>
      <c r="V202" s="45"/>
      <c r="W202" s="45"/>
      <c r="X202" s="45"/>
      <c r="Y202" s="45"/>
      <c r="Z202" s="45"/>
      <c r="AA202" s="45"/>
    </row>
    <row r="203" ht="15.75" customHeight="1">
      <c r="A203" s="14" t="s">
        <v>17</v>
      </c>
      <c r="B203" s="15" t="s">
        <v>1671</v>
      </c>
      <c r="C203" s="14" t="s">
        <v>1550</v>
      </c>
      <c r="D203" s="14" t="s">
        <v>1551</v>
      </c>
      <c r="E203" s="26" t="s">
        <v>1552</v>
      </c>
      <c r="F203" s="14">
        <v>253.0</v>
      </c>
      <c r="G203" s="14">
        <v>260.0</v>
      </c>
      <c r="H203" s="14" t="s">
        <v>28</v>
      </c>
      <c r="I203" s="19" t="s">
        <v>2132</v>
      </c>
      <c r="J203" s="19" t="s">
        <v>1312</v>
      </c>
      <c r="K203" s="19" t="s">
        <v>2133</v>
      </c>
      <c r="L203" s="19" t="s">
        <v>2134</v>
      </c>
      <c r="M203" s="20" t="s">
        <v>1556</v>
      </c>
      <c r="N203" s="27"/>
      <c r="O203" s="31"/>
      <c r="P203" s="28">
        <v>6.0</v>
      </c>
      <c r="Q203" s="28">
        <v>18.0</v>
      </c>
      <c r="R203" s="24"/>
      <c r="S203" s="24"/>
      <c r="T203" s="45"/>
      <c r="U203" s="45"/>
      <c r="V203" s="45"/>
      <c r="W203" s="45"/>
      <c r="X203" s="45"/>
      <c r="Y203" s="45"/>
      <c r="Z203" s="45"/>
      <c r="AA203" s="45"/>
    </row>
    <row r="204" ht="15.75" customHeight="1">
      <c r="A204" s="14" t="s">
        <v>17</v>
      </c>
      <c r="B204" s="15" t="s">
        <v>1671</v>
      </c>
      <c r="C204" s="14" t="s">
        <v>1557</v>
      </c>
      <c r="D204" s="14" t="s">
        <v>1558</v>
      </c>
      <c r="E204" s="26" t="s">
        <v>1559</v>
      </c>
      <c r="F204" s="14">
        <v>261.0</v>
      </c>
      <c r="G204" s="14">
        <v>266.0</v>
      </c>
      <c r="H204" s="14" t="s">
        <v>28</v>
      </c>
      <c r="I204" s="19" t="s">
        <v>2146</v>
      </c>
      <c r="J204" s="19" t="s">
        <v>1560</v>
      </c>
      <c r="K204" s="19" t="s">
        <v>2147</v>
      </c>
      <c r="L204" s="19" t="s">
        <v>2149</v>
      </c>
      <c r="M204" s="20"/>
      <c r="N204" s="27"/>
      <c r="O204" s="43">
        <v>1.0</v>
      </c>
      <c r="P204" s="28">
        <v>73.0</v>
      </c>
      <c r="Q204" s="28">
        <v>6.0</v>
      </c>
      <c r="R204" s="46" t="s">
        <v>1264</v>
      </c>
      <c r="S204" s="24"/>
      <c r="T204" s="45"/>
      <c r="U204" s="45"/>
      <c r="V204" s="45"/>
      <c r="W204" s="45"/>
      <c r="X204" s="45"/>
      <c r="Y204" s="45"/>
      <c r="Z204" s="45"/>
      <c r="AA204" s="45"/>
    </row>
    <row r="205" ht="15.75" customHeight="1">
      <c r="A205" s="14" t="s">
        <v>17</v>
      </c>
      <c r="B205" s="15" t="s">
        <v>1671</v>
      </c>
      <c r="C205" s="14" t="s">
        <v>1563</v>
      </c>
      <c r="D205" s="14" t="s">
        <v>1565</v>
      </c>
      <c r="E205" s="26" t="s">
        <v>1567</v>
      </c>
      <c r="F205" s="14">
        <v>268.0</v>
      </c>
      <c r="G205" s="14">
        <v>274.0</v>
      </c>
      <c r="H205" s="14" t="s">
        <v>28</v>
      </c>
      <c r="I205" s="19" t="s">
        <v>2169</v>
      </c>
      <c r="J205" s="19" t="s">
        <v>2171</v>
      </c>
      <c r="K205" s="19" t="s">
        <v>2173</v>
      </c>
      <c r="L205" s="19" t="s">
        <v>2174</v>
      </c>
      <c r="M205" s="20" t="s">
        <v>1570</v>
      </c>
      <c r="N205" s="27"/>
      <c r="O205" s="31"/>
      <c r="P205" s="28">
        <v>5.0</v>
      </c>
      <c r="Q205" s="28">
        <v>20.0</v>
      </c>
      <c r="R205" s="46" t="s">
        <v>106</v>
      </c>
      <c r="S205" s="24"/>
      <c r="T205" s="45"/>
      <c r="U205" s="45"/>
      <c r="V205" s="45"/>
      <c r="W205" s="45"/>
      <c r="X205" s="45"/>
      <c r="Y205" s="45"/>
      <c r="Z205" s="45"/>
      <c r="AA205" s="45"/>
    </row>
    <row r="206" ht="15.75" customHeight="1">
      <c r="A206" s="14" t="s">
        <v>17</v>
      </c>
      <c r="B206" s="15" t="s">
        <v>1671</v>
      </c>
      <c r="C206" s="14" t="s">
        <v>1571</v>
      </c>
      <c r="D206" s="14" t="s">
        <v>1572</v>
      </c>
      <c r="E206" s="26" t="s">
        <v>1573</v>
      </c>
      <c r="F206" s="14">
        <v>275.0</v>
      </c>
      <c r="G206" s="14">
        <v>282.0</v>
      </c>
      <c r="H206" s="14" t="s">
        <v>28</v>
      </c>
      <c r="I206" s="19" t="s">
        <v>2175</v>
      </c>
      <c r="J206" s="19" t="s">
        <v>1576</v>
      </c>
      <c r="K206" s="19" t="s">
        <v>2176</v>
      </c>
      <c r="L206" s="19" t="s">
        <v>2177</v>
      </c>
      <c r="M206" s="20" t="s">
        <v>736</v>
      </c>
      <c r="N206" s="27"/>
      <c r="O206" s="22">
        <v>50.0</v>
      </c>
      <c r="P206" s="28">
        <v>4.0</v>
      </c>
      <c r="Q206" s="28">
        <v>21.0</v>
      </c>
      <c r="R206" s="24"/>
      <c r="S206" s="24"/>
      <c r="T206" s="45"/>
      <c r="U206" s="45"/>
      <c r="V206" s="45"/>
      <c r="W206" s="45"/>
      <c r="X206" s="45"/>
      <c r="Y206" s="45"/>
      <c r="Z206" s="45"/>
      <c r="AA206" s="45"/>
    </row>
    <row r="207" ht="15.75" customHeight="1">
      <c r="A207" s="14" t="s">
        <v>17</v>
      </c>
      <c r="B207" s="15" t="s">
        <v>1671</v>
      </c>
      <c r="C207" s="14" t="s">
        <v>1578</v>
      </c>
      <c r="D207" s="14" t="s">
        <v>1579</v>
      </c>
      <c r="E207" s="26" t="s">
        <v>1580</v>
      </c>
      <c r="F207" s="14">
        <v>283.0</v>
      </c>
      <c r="G207" s="14">
        <v>290.0</v>
      </c>
      <c r="H207" s="14" t="s">
        <v>28</v>
      </c>
      <c r="I207" s="19" t="s">
        <v>2182</v>
      </c>
      <c r="J207" s="19" t="s">
        <v>1581</v>
      </c>
      <c r="K207" s="19" t="s">
        <v>2184</v>
      </c>
      <c r="L207" s="19" t="s">
        <v>2185</v>
      </c>
      <c r="M207" s="20" t="s">
        <v>1302</v>
      </c>
      <c r="N207" s="27"/>
      <c r="O207" s="22">
        <v>50.0</v>
      </c>
      <c r="P207" s="28">
        <v>10.0</v>
      </c>
      <c r="Q207" s="28">
        <v>17.0</v>
      </c>
      <c r="R207" s="24"/>
      <c r="S207" s="24"/>
      <c r="T207" s="45"/>
      <c r="U207" s="45"/>
      <c r="V207" s="45"/>
      <c r="W207" s="45"/>
      <c r="X207" s="45"/>
      <c r="Y207" s="45"/>
      <c r="Z207" s="45"/>
      <c r="AA207" s="45"/>
    </row>
    <row r="208" ht="15.75" customHeight="1">
      <c r="A208" s="14" t="s">
        <v>17</v>
      </c>
      <c r="B208" s="15" t="s">
        <v>1671</v>
      </c>
      <c r="C208" s="14" t="s">
        <v>1584</v>
      </c>
      <c r="D208" s="14" t="s">
        <v>1585</v>
      </c>
      <c r="E208" s="26" t="s">
        <v>1586</v>
      </c>
      <c r="F208" s="14">
        <v>291.0</v>
      </c>
      <c r="G208" s="14">
        <v>298.0</v>
      </c>
      <c r="H208" s="14" t="s">
        <v>28</v>
      </c>
      <c r="I208" s="19" t="s">
        <v>2191</v>
      </c>
      <c r="J208" s="19" t="s">
        <v>1589</v>
      </c>
      <c r="K208" s="19" t="s">
        <v>2192</v>
      </c>
      <c r="L208" s="19" t="s">
        <v>2193</v>
      </c>
      <c r="M208" s="20"/>
      <c r="N208" s="27"/>
      <c r="O208" s="22">
        <v>12.0</v>
      </c>
      <c r="P208" s="28">
        <v>2.0</v>
      </c>
      <c r="Q208" s="28">
        <v>9.0</v>
      </c>
      <c r="R208" s="24"/>
      <c r="S208" s="24"/>
      <c r="T208" s="45"/>
      <c r="U208" s="45"/>
      <c r="V208" s="45"/>
      <c r="W208" s="45"/>
      <c r="X208" s="45"/>
      <c r="Y208" s="45"/>
      <c r="Z208" s="45"/>
      <c r="AA208" s="45"/>
    </row>
    <row r="209" ht="15.75" customHeight="1">
      <c r="A209" s="14" t="s">
        <v>17</v>
      </c>
      <c r="B209" s="15" t="s">
        <v>1671</v>
      </c>
      <c r="C209" s="14" t="s">
        <v>1591</v>
      </c>
      <c r="D209" s="14" t="s">
        <v>1592</v>
      </c>
      <c r="E209" s="26" t="s">
        <v>1593</v>
      </c>
      <c r="F209" s="14">
        <v>300.0</v>
      </c>
      <c r="G209" s="14">
        <v>307.0</v>
      </c>
      <c r="H209" s="14" t="s">
        <v>28</v>
      </c>
      <c r="I209" s="19" t="s">
        <v>2206</v>
      </c>
      <c r="J209" s="19" t="s">
        <v>1595</v>
      </c>
      <c r="K209" s="19" t="s">
        <v>2207</v>
      </c>
      <c r="L209" s="19" t="s">
        <v>2208</v>
      </c>
      <c r="M209" s="20"/>
      <c r="N209" s="27"/>
      <c r="O209" s="31"/>
      <c r="P209" s="28">
        <v>6.0</v>
      </c>
      <c r="Q209" s="28">
        <v>19.0</v>
      </c>
      <c r="R209" s="24"/>
      <c r="S209" s="24"/>
      <c r="T209" s="45"/>
      <c r="U209" s="45"/>
      <c r="V209" s="45"/>
      <c r="W209" s="45"/>
      <c r="X209" s="45"/>
      <c r="Y209" s="45"/>
      <c r="Z209" s="45"/>
      <c r="AA209" s="45"/>
    </row>
    <row r="210" ht="15.75" customHeight="1">
      <c r="A210" s="14" t="s">
        <v>17</v>
      </c>
      <c r="B210" s="15" t="s">
        <v>1671</v>
      </c>
      <c r="C210" s="14" t="s">
        <v>1598</v>
      </c>
      <c r="D210" s="14" t="s">
        <v>1599</v>
      </c>
      <c r="E210" s="26" t="s">
        <v>1600</v>
      </c>
      <c r="F210" s="14">
        <v>308.0</v>
      </c>
      <c r="G210" s="14">
        <v>315.0</v>
      </c>
      <c r="H210" s="14" t="s">
        <v>28</v>
      </c>
      <c r="I210" s="19" t="s">
        <v>2214</v>
      </c>
      <c r="J210" s="19" t="s">
        <v>1601</v>
      </c>
      <c r="K210" s="19" t="s">
        <v>2217</v>
      </c>
      <c r="L210" s="19" t="s">
        <v>2218</v>
      </c>
      <c r="M210" s="20"/>
      <c r="N210" s="27"/>
      <c r="O210" s="22">
        <v>10.0</v>
      </c>
      <c r="P210" s="28">
        <v>7.0</v>
      </c>
      <c r="Q210" s="28">
        <v>14.0</v>
      </c>
      <c r="R210" s="24"/>
      <c r="S210" s="24"/>
      <c r="T210" s="45"/>
      <c r="U210" s="45"/>
      <c r="V210" s="45"/>
      <c r="W210" s="45"/>
      <c r="X210" s="45"/>
      <c r="Y210" s="45"/>
      <c r="Z210" s="45"/>
      <c r="AA210" s="45"/>
    </row>
    <row r="211" ht="15.75" customHeight="1">
      <c r="A211" s="14" t="s">
        <v>17</v>
      </c>
      <c r="B211" s="15" t="s">
        <v>1671</v>
      </c>
      <c r="C211" s="14" t="s">
        <v>1603</v>
      </c>
      <c r="D211" s="14" t="s">
        <v>1604</v>
      </c>
      <c r="E211" s="26" t="s">
        <v>1605</v>
      </c>
      <c r="F211" s="14">
        <v>316.0</v>
      </c>
      <c r="G211" s="14">
        <v>323.0</v>
      </c>
      <c r="H211" s="14" t="s">
        <v>28</v>
      </c>
      <c r="I211" s="19" t="s">
        <v>2227</v>
      </c>
      <c r="J211" s="19" t="s">
        <v>1609</v>
      </c>
      <c r="K211" s="19" t="s">
        <v>2228</v>
      </c>
      <c r="L211" s="19" t="s">
        <v>2229</v>
      </c>
      <c r="M211" s="20" t="s">
        <v>544</v>
      </c>
      <c r="N211" s="27"/>
      <c r="O211" s="31"/>
      <c r="P211" s="28">
        <v>0.0</v>
      </c>
      <c r="Q211" s="28">
        <v>21.0</v>
      </c>
      <c r="R211" s="24"/>
      <c r="S211" s="24"/>
      <c r="T211" s="45"/>
      <c r="U211" s="45"/>
      <c r="V211" s="45"/>
      <c r="W211" s="45"/>
      <c r="X211" s="45"/>
      <c r="Y211" s="45"/>
      <c r="Z211" s="45"/>
      <c r="AA211" s="45"/>
    </row>
    <row r="212" ht="15.75" customHeight="1">
      <c r="A212" s="14" t="s">
        <v>17</v>
      </c>
      <c r="B212" s="15" t="s">
        <v>1671</v>
      </c>
      <c r="C212" s="14" t="s">
        <v>1611</v>
      </c>
      <c r="D212" s="14" t="s">
        <v>1612</v>
      </c>
      <c r="E212" s="26" t="s">
        <v>1613</v>
      </c>
      <c r="F212" s="14">
        <v>324.0</v>
      </c>
      <c r="G212" s="14">
        <v>331.0</v>
      </c>
      <c r="H212" s="14" t="s">
        <v>28</v>
      </c>
      <c r="I212" s="19" t="s">
        <v>2238</v>
      </c>
      <c r="J212" s="19" t="s">
        <v>1614</v>
      </c>
      <c r="K212" s="19" t="s">
        <v>2241</v>
      </c>
      <c r="L212" s="19" t="s">
        <v>1588</v>
      </c>
      <c r="M212" s="20"/>
      <c r="N212" s="27"/>
      <c r="O212" s="22">
        <v>50.0</v>
      </c>
      <c r="P212" s="28">
        <v>3.0</v>
      </c>
      <c r="Q212" s="28">
        <v>21.0</v>
      </c>
      <c r="R212" s="24"/>
      <c r="S212" s="24"/>
      <c r="T212" s="45"/>
      <c r="U212" s="45"/>
      <c r="V212" s="45"/>
      <c r="W212" s="45"/>
      <c r="X212" s="45"/>
      <c r="Y212" s="45"/>
      <c r="Z212" s="45"/>
      <c r="AA212" s="45"/>
    </row>
    <row r="213" ht="15.75" customHeight="1">
      <c r="A213" s="14" t="s">
        <v>17</v>
      </c>
      <c r="B213" s="15" t="s">
        <v>1671</v>
      </c>
      <c r="C213" s="14" t="s">
        <v>1615</v>
      </c>
      <c r="D213" s="14" t="s">
        <v>1616</v>
      </c>
      <c r="E213" s="26" t="s">
        <v>1617</v>
      </c>
      <c r="F213" s="14">
        <v>362.0</v>
      </c>
      <c r="G213" s="14">
        <v>365.0</v>
      </c>
      <c r="H213" s="14" t="s">
        <v>28</v>
      </c>
      <c r="I213" s="19" t="s">
        <v>2247</v>
      </c>
      <c r="J213" s="19" t="s">
        <v>1621</v>
      </c>
      <c r="K213" s="19" t="s">
        <v>1621</v>
      </c>
      <c r="L213" s="19" t="s">
        <v>2249</v>
      </c>
      <c r="M213" s="20"/>
      <c r="N213" s="27"/>
      <c r="O213" s="31"/>
      <c r="P213" s="28">
        <v>1.0</v>
      </c>
      <c r="Q213" s="28">
        <v>5.0</v>
      </c>
      <c r="R213" s="24"/>
      <c r="S213" s="24"/>
      <c r="T213" s="45"/>
      <c r="U213" s="45"/>
      <c r="V213" s="45"/>
      <c r="W213" s="45"/>
      <c r="X213" s="45"/>
      <c r="Y213" s="45"/>
      <c r="Z213" s="45"/>
      <c r="AA213" s="45"/>
    </row>
    <row r="214" ht="15.75" customHeight="1">
      <c r="A214" s="14" t="s">
        <v>17</v>
      </c>
      <c r="B214" s="15" t="s">
        <v>1671</v>
      </c>
      <c r="C214" s="14" t="s">
        <v>1623</v>
      </c>
      <c r="D214" s="14" t="s">
        <v>1624</v>
      </c>
      <c r="E214" s="26" t="s">
        <v>1625</v>
      </c>
      <c r="F214" s="14">
        <v>366.0</v>
      </c>
      <c r="G214" s="14">
        <v>369.0</v>
      </c>
      <c r="H214" s="14" t="s">
        <v>28</v>
      </c>
      <c r="I214" s="19" t="s">
        <v>2255</v>
      </c>
      <c r="J214" s="19" t="s">
        <v>1626</v>
      </c>
      <c r="K214" s="19" t="s">
        <v>1626</v>
      </c>
      <c r="L214" s="19" t="s">
        <v>2256</v>
      </c>
      <c r="M214" s="20"/>
      <c r="N214" s="27"/>
      <c r="O214" s="31"/>
      <c r="P214" s="28">
        <v>1.0</v>
      </c>
      <c r="Q214" s="28">
        <v>14.0</v>
      </c>
      <c r="R214" s="24"/>
      <c r="S214" s="24"/>
      <c r="T214" s="45"/>
      <c r="U214" s="45"/>
      <c r="V214" s="45"/>
      <c r="W214" s="45"/>
      <c r="X214" s="45"/>
      <c r="Y214" s="45"/>
      <c r="Z214" s="45"/>
      <c r="AA214" s="45"/>
    </row>
    <row r="215" ht="15.75" customHeight="1">
      <c r="A215" s="14" t="s">
        <v>17</v>
      </c>
      <c r="B215" s="15" t="s">
        <v>1671</v>
      </c>
      <c r="C215" s="14" t="s">
        <v>1628</v>
      </c>
      <c r="D215" s="14" t="s">
        <v>1630</v>
      </c>
      <c r="E215" s="26" t="s">
        <v>1631</v>
      </c>
      <c r="F215" s="14">
        <v>370.0</v>
      </c>
      <c r="G215" s="14">
        <v>373.0</v>
      </c>
      <c r="H215" s="14" t="s">
        <v>28</v>
      </c>
      <c r="I215" s="19" t="s">
        <v>2262</v>
      </c>
      <c r="J215" s="19" t="s">
        <v>1634</v>
      </c>
      <c r="K215" s="19" t="s">
        <v>2263</v>
      </c>
      <c r="L215" s="19" t="s">
        <v>2264</v>
      </c>
      <c r="M215" s="20"/>
      <c r="N215" s="27"/>
      <c r="O215" s="31"/>
      <c r="P215" s="28">
        <v>2.0</v>
      </c>
      <c r="Q215" s="28">
        <v>7.0</v>
      </c>
      <c r="R215" s="24"/>
      <c r="S215" s="24"/>
      <c r="T215" s="45"/>
      <c r="U215" s="45"/>
      <c r="V215" s="45"/>
      <c r="W215" s="45"/>
      <c r="X215" s="45"/>
      <c r="Y215" s="45"/>
      <c r="Z215" s="45"/>
      <c r="AA215" s="45"/>
    </row>
    <row r="216" ht="15.75" customHeight="1">
      <c r="A216" s="14" t="s">
        <v>17</v>
      </c>
      <c r="B216" s="15" t="s">
        <v>1671</v>
      </c>
      <c r="C216" s="14" t="s">
        <v>1639</v>
      </c>
      <c r="D216" s="14" t="s">
        <v>1640</v>
      </c>
      <c r="E216" s="26" t="s">
        <v>1641</v>
      </c>
      <c r="F216" s="14">
        <v>374.0</v>
      </c>
      <c r="G216" s="14">
        <v>377.0</v>
      </c>
      <c r="H216" s="14" t="s">
        <v>28</v>
      </c>
      <c r="I216" s="19" t="s">
        <v>2276</v>
      </c>
      <c r="J216" s="19" t="s">
        <v>1642</v>
      </c>
      <c r="K216" s="19" t="s">
        <v>2277</v>
      </c>
      <c r="L216" s="19" t="s">
        <v>2278</v>
      </c>
      <c r="M216" s="20"/>
      <c r="N216" s="27"/>
      <c r="O216" s="22">
        <v>50.0</v>
      </c>
      <c r="P216" s="28">
        <v>5.0</v>
      </c>
      <c r="Q216" s="28">
        <v>5.0</v>
      </c>
      <c r="R216" s="24"/>
      <c r="S216" s="24"/>
      <c r="T216" s="45"/>
      <c r="U216" s="45"/>
      <c r="V216" s="45"/>
      <c r="W216" s="45"/>
      <c r="X216" s="45"/>
      <c r="Y216" s="45"/>
      <c r="Z216" s="45"/>
      <c r="AA216" s="45"/>
    </row>
    <row r="217" ht="15.75" customHeight="1">
      <c r="A217" s="14" t="s">
        <v>17</v>
      </c>
      <c r="B217" s="15" t="s">
        <v>1671</v>
      </c>
      <c r="C217" s="14" t="s">
        <v>1644</v>
      </c>
      <c r="D217" s="14" t="s">
        <v>1645</v>
      </c>
      <c r="E217" s="26" t="s">
        <v>1646</v>
      </c>
      <c r="F217" s="14">
        <v>406.0</v>
      </c>
      <c r="G217" s="14">
        <v>409.0</v>
      </c>
      <c r="H217" s="14" t="s">
        <v>28</v>
      </c>
      <c r="I217" s="19" t="s">
        <v>2286</v>
      </c>
      <c r="J217" s="19" t="s">
        <v>1650</v>
      </c>
      <c r="K217" s="19" t="s">
        <v>2291</v>
      </c>
      <c r="L217" s="19" t="s">
        <v>2293</v>
      </c>
      <c r="M217" s="20" t="s">
        <v>470</v>
      </c>
      <c r="N217" s="27"/>
      <c r="O217" s="31"/>
      <c r="P217" s="28">
        <v>0.0</v>
      </c>
      <c r="Q217" s="28">
        <v>10.0</v>
      </c>
      <c r="R217" s="24"/>
      <c r="S217" s="24"/>
      <c r="T217" s="45"/>
      <c r="U217" s="45"/>
      <c r="V217" s="45"/>
      <c r="W217" s="45"/>
      <c r="X217" s="45"/>
      <c r="Y217" s="45"/>
      <c r="Z217" s="45"/>
      <c r="AA217" s="45"/>
    </row>
    <row r="218" ht="15.75" customHeight="1">
      <c r="A218" s="14" t="s">
        <v>17</v>
      </c>
      <c r="B218" s="15" t="s">
        <v>1671</v>
      </c>
      <c r="C218" s="14" t="s">
        <v>1652</v>
      </c>
      <c r="D218" s="14" t="s">
        <v>1653</v>
      </c>
      <c r="E218" s="26" t="s">
        <v>1654</v>
      </c>
      <c r="F218" s="14">
        <v>382.0</v>
      </c>
      <c r="G218" s="14">
        <v>385.0</v>
      </c>
      <c r="H218" s="14" t="s">
        <v>28</v>
      </c>
      <c r="I218" s="19" t="s">
        <v>2307</v>
      </c>
      <c r="J218" s="19" t="s">
        <v>1658</v>
      </c>
      <c r="K218" s="19" t="s">
        <v>1658</v>
      </c>
      <c r="L218" s="19" t="s">
        <v>2308</v>
      </c>
      <c r="M218" s="20"/>
      <c r="N218" s="27"/>
      <c r="O218" s="31"/>
      <c r="P218" s="28">
        <v>0.0</v>
      </c>
      <c r="Q218" s="28">
        <v>4.0</v>
      </c>
      <c r="R218" s="24"/>
      <c r="S218" s="24"/>
      <c r="T218" s="45"/>
      <c r="U218" s="45"/>
      <c r="V218" s="45"/>
      <c r="W218" s="45"/>
      <c r="X218" s="45"/>
      <c r="Y218" s="45"/>
      <c r="Z218" s="45"/>
      <c r="AA218" s="45"/>
    </row>
    <row r="219" ht="15.75" customHeight="1">
      <c r="A219" s="14" t="s">
        <v>17</v>
      </c>
      <c r="B219" s="15" t="s">
        <v>1671</v>
      </c>
      <c r="C219" s="14" t="s">
        <v>1660</v>
      </c>
      <c r="D219" s="14" t="s">
        <v>1661</v>
      </c>
      <c r="E219" s="26" t="s">
        <v>1662</v>
      </c>
      <c r="F219" s="14">
        <v>386.0</v>
      </c>
      <c r="G219" s="14">
        <v>390.0</v>
      </c>
      <c r="H219" s="14" t="s">
        <v>28</v>
      </c>
      <c r="I219" s="19" t="s">
        <v>2315</v>
      </c>
      <c r="J219" s="19" t="s">
        <v>1663</v>
      </c>
      <c r="K219" s="19" t="s">
        <v>2316</v>
      </c>
      <c r="L219" s="19" t="s">
        <v>2317</v>
      </c>
      <c r="M219" s="20"/>
      <c r="N219" s="27"/>
      <c r="O219" s="22">
        <v>0.0</v>
      </c>
      <c r="P219" s="28">
        <v>0.0</v>
      </c>
      <c r="Q219" s="28">
        <v>5.0</v>
      </c>
      <c r="R219" s="24"/>
      <c r="S219" s="24"/>
      <c r="T219" s="45"/>
      <c r="U219" s="45"/>
      <c r="V219" s="45"/>
      <c r="W219" s="45"/>
      <c r="X219" s="45"/>
      <c r="Y219" s="45"/>
      <c r="Z219" s="45"/>
      <c r="AA219" s="45"/>
    </row>
    <row r="220" ht="15.75" customHeight="1">
      <c r="A220" s="14" t="s">
        <v>17</v>
      </c>
      <c r="B220" s="15" t="s">
        <v>1671</v>
      </c>
      <c r="C220" s="14" t="s">
        <v>1665</v>
      </c>
      <c r="D220" s="14" t="s">
        <v>1666</v>
      </c>
      <c r="E220" s="26" t="s">
        <v>1667</v>
      </c>
      <c r="F220" s="14">
        <v>391.0</v>
      </c>
      <c r="G220" s="14">
        <v>396.0</v>
      </c>
      <c r="H220" s="14" t="s">
        <v>28</v>
      </c>
      <c r="I220" s="19" t="s">
        <v>2330</v>
      </c>
      <c r="J220" s="19" t="s">
        <v>1672</v>
      </c>
      <c r="K220" s="19" t="s">
        <v>2331</v>
      </c>
      <c r="L220" s="19" t="s">
        <v>2332</v>
      </c>
      <c r="M220" s="20" t="s">
        <v>1182</v>
      </c>
      <c r="N220" s="27"/>
      <c r="O220" s="22">
        <v>4.0</v>
      </c>
      <c r="P220" s="28">
        <v>0.0</v>
      </c>
      <c r="Q220" s="28">
        <v>10.0</v>
      </c>
      <c r="R220" s="24"/>
      <c r="S220" s="24"/>
      <c r="T220" s="45"/>
      <c r="U220" s="45"/>
      <c r="V220" s="45"/>
      <c r="W220" s="45"/>
      <c r="X220" s="45"/>
      <c r="Y220" s="45"/>
      <c r="Z220" s="45"/>
      <c r="AA220" s="45"/>
    </row>
    <row r="221" ht="15.75" customHeight="1">
      <c r="A221" s="14" t="s">
        <v>17</v>
      </c>
      <c r="B221" s="15" t="s">
        <v>1671</v>
      </c>
      <c r="C221" s="14" t="s">
        <v>1674</v>
      </c>
      <c r="D221" s="14" t="s">
        <v>1675</v>
      </c>
      <c r="E221" s="26" t="s">
        <v>1676</v>
      </c>
      <c r="F221" s="14">
        <v>397.0</v>
      </c>
      <c r="G221" s="14">
        <v>401.0</v>
      </c>
      <c r="H221" s="14" t="s">
        <v>28</v>
      </c>
      <c r="I221" s="19" t="s">
        <v>2336</v>
      </c>
      <c r="J221" s="19" t="s">
        <v>1680</v>
      </c>
      <c r="K221" s="19" t="s">
        <v>2337</v>
      </c>
      <c r="L221" s="19" t="s">
        <v>2339</v>
      </c>
      <c r="M221" s="20"/>
      <c r="N221" s="27"/>
      <c r="O221" s="31"/>
      <c r="P221" s="28">
        <v>2.0</v>
      </c>
      <c r="Q221" s="28">
        <v>4.0</v>
      </c>
      <c r="R221" s="24"/>
      <c r="S221" s="24"/>
      <c r="T221" s="45"/>
      <c r="U221" s="45"/>
      <c r="V221" s="45"/>
      <c r="W221" s="45"/>
      <c r="X221" s="45"/>
      <c r="Y221" s="45"/>
      <c r="Z221" s="45"/>
      <c r="AA221" s="45"/>
    </row>
    <row r="222" ht="15.75" customHeight="1">
      <c r="A222" s="14" t="s">
        <v>17</v>
      </c>
      <c r="B222" s="15" t="s">
        <v>1671</v>
      </c>
      <c r="C222" s="14" t="s">
        <v>1682</v>
      </c>
      <c r="D222" s="14" t="s">
        <v>1683</v>
      </c>
      <c r="E222" s="26" t="s">
        <v>1684</v>
      </c>
      <c r="F222" s="14">
        <v>402.0</v>
      </c>
      <c r="G222" s="14">
        <v>405.0</v>
      </c>
      <c r="H222" s="14" t="s">
        <v>28</v>
      </c>
      <c r="I222" s="19" t="s">
        <v>2348</v>
      </c>
      <c r="J222" s="19" t="s">
        <v>1685</v>
      </c>
      <c r="K222" s="19" t="s">
        <v>2349</v>
      </c>
      <c r="L222" s="19" t="s">
        <v>2350</v>
      </c>
      <c r="M222" s="20"/>
      <c r="N222" s="27"/>
      <c r="O222" s="22">
        <v>50.0</v>
      </c>
      <c r="P222" s="28">
        <v>6.0</v>
      </c>
      <c r="Q222" s="28">
        <v>7.0</v>
      </c>
      <c r="R222" s="24"/>
      <c r="S222" s="24"/>
      <c r="T222" s="45"/>
      <c r="U222" s="45"/>
      <c r="V222" s="45"/>
      <c r="W222" s="45"/>
      <c r="X222" s="45"/>
      <c r="Y222" s="45"/>
      <c r="Z222" s="45"/>
      <c r="AA222" s="45"/>
    </row>
    <row r="223" ht="15.75" customHeight="1">
      <c r="A223" s="14" t="s">
        <v>17</v>
      </c>
      <c r="B223" s="15" t="s">
        <v>1671</v>
      </c>
      <c r="C223" s="14" t="s">
        <v>1687</v>
      </c>
      <c r="D223" s="14" t="s">
        <v>1688</v>
      </c>
      <c r="E223" s="26" t="s">
        <v>1689</v>
      </c>
      <c r="F223" s="14">
        <v>410.0</v>
      </c>
      <c r="G223" s="14">
        <v>415.0</v>
      </c>
      <c r="H223" s="14" t="s">
        <v>28</v>
      </c>
      <c r="I223" s="19" t="s">
        <v>2358</v>
      </c>
      <c r="J223" s="19" t="s">
        <v>1690</v>
      </c>
      <c r="K223" s="19" t="s">
        <v>2369</v>
      </c>
      <c r="L223" s="19" t="s">
        <v>2373</v>
      </c>
      <c r="M223" s="20"/>
      <c r="N223" s="27"/>
      <c r="O223" s="22">
        <v>94.0</v>
      </c>
      <c r="P223" s="28">
        <v>25.0</v>
      </c>
      <c r="Q223" s="28">
        <v>11.0</v>
      </c>
      <c r="R223" s="46" t="s">
        <v>2374</v>
      </c>
      <c r="S223" s="24"/>
      <c r="T223" s="45"/>
      <c r="U223" s="45"/>
      <c r="V223" s="45"/>
      <c r="W223" s="45"/>
      <c r="X223" s="45"/>
      <c r="Y223" s="45"/>
      <c r="Z223" s="45"/>
      <c r="AA223" s="45"/>
    </row>
    <row r="224" ht="15.75" customHeight="1">
      <c r="A224" s="14" t="s">
        <v>17</v>
      </c>
      <c r="B224" s="15" t="s">
        <v>1671</v>
      </c>
      <c r="C224" s="14" t="s">
        <v>1692</v>
      </c>
      <c r="D224" s="14" t="s">
        <v>1693</v>
      </c>
      <c r="E224" s="26" t="s">
        <v>1694</v>
      </c>
      <c r="F224" s="14">
        <v>416.0</v>
      </c>
      <c r="G224" s="14">
        <v>419.0</v>
      </c>
      <c r="H224" s="14" t="s">
        <v>28</v>
      </c>
      <c r="I224" s="19" t="s">
        <v>2380</v>
      </c>
      <c r="J224" s="19" t="s">
        <v>1695</v>
      </c>
      <c r="K224" s="19" t="s">
        <v>2381</v>
      </c>
      <c r="L224" s="19" t="s">
        <v>2383</v>
      </c>
      <c r="M224" s="20"/>
      <c r="N224" s="27"/>
      <c r="O224" s="22">
        <v>13.0</v>
      </c>
      <c r="P224" s="28">
        <v>6.0</v>
      </c>
      <c r="Q224" s="28">
        <v>9.0</v>
      </c>
      <c r="R224" s="24"/>
      <c r="S224" s="24"/>
      <c r="T224" s="45"/>
      <c r="U224" s="45"/>
      <c r="V224" s="45"/>
      <c r="W224" s="45"/>
      <c r="X224" s="45"/>
      <c r="Y224" s="45"/>
      <c r="Z224" s="45"/>
      <c r="AA224" s="45"/>
    </row>
    <row r="225" ht="15.75" customHeight="1">
      <c r="A225" s="14" t="s">
        <v>17</v>
      </c>
      <c r="B225" s="15" t="s">
        <v>1671</v>
      </c>
      <c r="C225" s="14" t="s">
        <v>1697</v>
      </c>
      <c r="D225" s="14" t="s">
        <v>1698</v>
      </c>
      <c r="E225" s="26" t="s">
        <v>1699</v>
      </c>
      <c r="F225" s="14">
        <v>420.0</v>
      </c>
      <c r="G225" s="14">
        <v>423.0</v>
      </c>
      <c r="H225" s="14" t="s">
        <v>28</v>
      </c>
      <c r="I225" s="19" t="s">
        <v>2394</v>
      </c>
      <c r="J225" s="19" t="s">
        <v>1703</v>
      </c>
      <c r="K225" s="19" t="s">
        <v>2395</v>
      </c>
      <c r="L225" s="19" t="s">
        <v>2396</v>
      </c>
      <c r="M225" s="20"/>
      <c r="N225" s="27"/>
      <c r="O225" s="31"/>
      <c r="P225" s="28">
        <v>3.0</v>
      </c>
      <c r="Q225" s="28">
        <v>13.0</v>
      </c>
      <c r="R225" s="24"/>
      <c r="S225" s="24"/>
      <c r="T225" s="45"/>
      <c r="U225" s="45"/>
      <c r="V225" s="45"/>
      <c r="W225" s="45"/>
      <c r="X225" s="45"/>
      <c r="Y225" s="45"/>
      <c r="Z225" s="45"/>
      <c r="AA225" s="45"/>
    </row>
    <row r="226" ht="15.75" customHeight="1">
      <c r="A226" s="14" t="s">
        <v>17</v>
      </c>
      <c r="B226" s="15" t="s">
        <v>1671</v>
      </c>
      <c r="C226" s="14" t="s">
        <v>1705</v>
      </c>
      <c r="D226" s="14" t="s">
        <v>1706</v>
      </c>
      <c r="E226" s="26" t="s">
        <v>1707</v>
      </c>
      <c r="F226" s="14">
        <v>378.0</v>
      </c>
      <c r="G226" s="14">
        <v>381.0</v>
      </c>
      <c r="H226" s="14" t="s">
        <v>28</v>
      </c>
      <c r="I226" s="19" t="s">
        <v>2404</v>
      </c>
      <c r="J226" s="19" t="s">
        <v>1708</v>
      </c>
      <c r="K226" s="19" t="s">
        <v>2408</v>
      </c>
      <c r="L226" s="19" t="s">
        <v>2409</v>
      </c>
      <c r="M226" s="20" t="s">
        <v>1710</v>
      </c>
      <c r="N226" s="27"/>
      <c r="O226" s="22">
        <v>50.0</v>
      </c>
      <c r="P226" s="28">
        <v>0.0</v>
      </c>
      <c r="Q226" s="28">
        <v>7.0</v>
      </c>
      <c r="R226" s="24"/>
      <c r="S226" s="24"/>
      <c r="T226" s="45"/>
      <c r="U226" s="45"/>
      <c r="V226" s="45"/>
      <c r="W226" s="45"/>
      <c r="X226" s="45"/>
      <c r="Y226" s="45"/>
      <c r="Z226" s="45"/>
      <c r="AA226" s="45"/>
    </row>
    <row r="227" ht="15.75" customHeight="1">
      <c r="A227" s="14" t="s">
        <v>17</v>
      </c>
      <c r="B227" s="15" t="s">
        <v>2410</v>
      </c>
      <c r="C227" s="14" t="s">
        <v>1711</v>
      </c>
      <c r="D227" s="14" t="s">
        <v>1712</v>
      </c>
      <c r="E227" s="26" t="s">
        <v>1713</v>
      </c>
      <c r="F227" s="14">
        <v>400.0</v>
      </c>
      <c r="G227" s="14">
        <v>403.0</v>
      </c>
      <c r="H227" s="14" t="s">
        <v>21</v>
      </c>
      <c r="I227" s="19" t="s">
        <v>2415</v>
      </c>
      <c r="J227" s="19" t="s">
        <v>1718</v>
      </c>
      <c r="K227" s="19" t="s">
        <v>2417</v>
      </c>
      <c r="L227" s="19" t="s">
        <v>2418</v>
      </c>
      <c r="M227" s="20"/>
      <c r="N227" s="21"/>
      <c r="O227" s="31"/>
      <c r="P227" s="28">
        <v>2.0</v>
      </c>
      <c r="Q227" s="28">
        <v>3.0</v>
      </c>
      <c r="R227" s="24"/>
      <c r="S227" s="24"/>
      <c r="T227" s="47"/>
      <c r="U227" s="47"/>
      <c r="V227" s="47"/>
      <c r="W227" s="47"/>
      <c r="X227" s="47"/>
      <c r="Y227" s="47"/>
      <c r="Z227" s="47"/>
      <c r="AA227" s="47"/>
    </row>
    <row r="228" ht="15.75" customHeight="1">
      <c r="A228" s="14" t="s">
        <v>17</v>
      </c>
      <c r="B228" s="15" t="s">
        <v>2410</v>
      </c>
      <c r="C228" s="14" t="s">
        <v>1720</v>
      </c>
      <c r="D228" s="14" t="s">
        <v>1721</v>
      </c>
      <c r="E228" s="26" t="s">
        <v>1722</v>
      </c>
      <c r="F228" s="14">
        <v>414.0</v>
      </c>
      <c r="G228" s="14">
        <v>418.0</v>
      </c>
      <c r="H228" s="14" t="s">
        <v>21</v>
      </c>
      <c r="I228" s="19" t="s">
        <v>2437</v>
      </c>
      <c r="J228" s="19" t="s">
        <v>1723</v>
      </c>
      <c r="K228" s="19" t="s">
        <v>2438</v>
      </c>
      <c r="L228" s="19" t="s">
        <v>1298</v>
      </c>
      <c r="M228" s="20"/>
      <c r="N228" s="21"/>
      <c r="O228" s="43">
        <v>0.0</v>
      </c>
      <c r="P228" s="28">
        <v>4.0</v>
      </c>
      <c r="Q228" s="28">
        <v>0.0</v>
      </c>
      <c r="R228" s="24"/>
      <c r="S228" s="24"/>
      <c r="T228" s="47"/>
      <c r="U228" s="47"/>
      <c r="V228" s="47"/>
      <c r="W228" s="47"/>
      <c r="X228" s="47"/>
      <c r="Y228" s="47"/>
      <c r="Z228" s="47"/>
      <c r="AA228" s="47"/>
    </row>
    <row r="229" ht="15.75" customHeight="1">
      <c r="A229" s="14" t="s">
        <v>17</v>
      </c>
      <c r="B229" s="15" t="s">
        <v>2410</v>
      </c>
      <c r="C229" s="14" t="s">
        <v>1725</v>
      </c>
      <c r="D229" s="14" t="s">
        <v>1726</v>
      </c>
      <c r="E229" s="26" t="s">
        <v>1727</v>
      </c>
      <c r="F229" s="14">
        <v>410.0</v>
      </c>
      <c r="G229" s="14">
        <v>413.0</v>
      </c>
      <c r="H229" s="14" t="s">
        <v>21</v>
      </c>
      <c r="I229" s="19" t="s">
        <v>2446</v>
      </c>
      <c r="J229" s="19" t="s">
        <v>1730</v>
      </c>
      <c r="K229" s="19" t="s">
        <v>2447</v>
      </c>
      <c r="L229" s="19" t="s">
        <v>2448</v>
      </c>
      <c r="M229" s="20"/>
      <c r="N229" s="21"/>
      <c r="O229" s="43">
        <v>0.0</v>
      </c>
      <c r="P229" s="28">
        <v>1.0</v>
      </c>
      <c r="Q229" s="28">
        <v>22.0</v>
      </c>
      <c r="R229" s="24"/>
      <c r="S229" s="24"/>
      <c r="T229" s="47"/>
      <c r="U229" s="47"/>
      <c r="V229" s="47"/>
      <c r="W229" s="47"/>
      <c r="X229" s="47"/>
      <c r="Y229" s="47"/>
      <c r="Z229" s="47"/>
      <c r="AA229" s="47"/>
    </row>
    <row r="230" ht="15.75" customHeight="1">
      <c r="A230" s="14" t="s">
        <v>17</v>
      </c>
      <c r="B230" s="15" t="s">
        <v>2410</v>
      </c>
      <c r="C230" s="14" t="s">
        <v>1732</v>
      </c>
      <c r="D230" s="14" t="s">
        <v>1733</v>
      </c>
      <c r="E230" s="26" t="s">
        <v>1734</v>
      </c>
      <c r="F230" s="14">
        <v>404.0</v>
      </c>
      <c r="G230" s="14">
        <v>409.0</v>
      </c>
      <c r="H230" s="14" t="s">
        <v>21</v>
      </c>
      <c r="I230" s="19" t="s">
        <v>2456</v>
      </c>
      <c r="J230" s="19" t="s">
        <v>1735</v>
      </c>
      <c r="K230" s="19" t="s">
        <v>2457</v>
      </c>
      <c r="L230" s="19" t="s">
        <v>2458</v>
      </c>
      <c r="M230" s="20"/>
      <c r="N230" s="21"/>
      <c r="O230" s="31"/>
      <c r="P230" s="28">
        <v>0.0</v>
      </c>
      <c r="Q230" s="28">
        <v>29.0</v>
      </c>
      <c r="R230" s="24"/>
      <c r="S230" s="24"/>
      <c r="T230" s="47"/>
      <c r="U230" s="47"/>
      <c r="V230" s="47"/>
      <c r="W230" s="47"/>
      <c r="X230" s="47"/>
      <c r="Y230" s="47"/>
      <c r="Z230" s="47"/>
      <c r="AA230" s="47"/>
    </row>
    <row r="231" ht="15.75" customHeight="1">
      <c r="A231" s="14" t="s">
        <v>17</v>
      </c>
      <c r="B231" s="15" t="s">
        <v>2410</v>
      </c>
      <c r="C231" s="14" t="s">
        <v>1737</v>
      </c>
      <c r="D231" s="14" t="s">
        <v>1738</v>
      </c>
      <c r="E231" s="26" t="s">
        <v>1739</v>
      </c>
      <c r="F231" s="14">
        <v>396.0</v>
      </c>
      <c r="G231" s="14">
        <v>399.0</v>
      </c>
      <c r="H231" s="14" t="s">
        <v>21</v>
      </c>
      <c r="I231" s="19" t="s">
        <v>2470</v>
      </c>
      <c r="J231" s="19" t="s">
        <v>1743</v>
      </c>
      <c r="K231" s="19" t="s">
        <v>2471</v>
      </c>
      <c r="L231" s="19" t="s">
        <v>2472</v>
      </c>
      <c r="M231" s="20"/>
      <c r="N231" s="21"/>
      <c r="O231" s="31"/>
      <c r="P231" s="28">
        <v>1.0</v>
      </c>
      <c r="Q231" s="28">
        <v>3.0</v>
      </c>
      <c r="R231" s="24"/>
      <c r="S231" s="24"/>
      <c r="T231" s="47"/>
      <c r="U231" s="47"/>
      <c r="V231" s="47"/>
      <c r="W231" s="47"/>
      <c r="X231" s="47"/>
      <c r="Y231" s="47"/>
      <c r="Z231" s="47"/>
      <c r="AA231" s="47"/>
    </row>
    <row r="232" ht="15.75" customHeight="1">
      <c r="A232" s="14" t="s">
        <v>17</v>
      </c>
      <c r="B232" s="15" t="s">
        <v>2410</v>
      </c>
      <c r="C232" s="14" t="s">
        <v>1745</v>
      </c>
      <c r="D232" s="14" t="s">
        <v>1746</v>
      </c>
      <c r="E232" s="26" t="s">
        <v>1747</v>
      </c>
      <c r="F232" s="14">
        <v>392.0</v>
      </c>
      <c r="G232" s="14">
        <v>395.0</v>
      </c>
      <c r="H232" s="14" t="s">
        <v>21</v>
      </c>
      <c r="I232" s="19" t="s">
        <v>2481</v>
      </c>
      <c r="J232" s="19" t="s">
        <v>1750</v>
      </c>
      <c r="K232" s="19" t="s">
        <v>2482</v>
      </c>
      <c r="L232" s="19" t="s">
        <v>2485</v>
      </c>
      <c r="M232" s="20"/>
      <c r="N232" s="21"/>
      <c r="O232" s="31"/>
      <c r="P232" s="28">
        <v>1.0</v>
      </c>
      <c r="Q232" s="28">
        <v>0.0</v>
      </c>
      <c r="R232" s="24"/>
      <c r="S232" s="24"/>
      <c r="T232" s="47"/>
      <c r="U232" s="47"/>
      <c r="V232" s="47"/>
      <c r="W232" s="47"/>
      <c r="X232" s="47"/>
      <c r="Y232" s="47"/>
      <c r="Z232" s="47"/>
      <c r="AA232" s="47"/>
    </row>
    <row r="233" ht="15.75" customHeight="1">
      <c r="A233" s="14" t="s">
        <v>17</v>
      </c>
      <c r="B233" s="15" t="s">
        <v>2410</v>
      </c>
      <c r="C233" s="14" t="s">
        <v>1752</v>
      </c>
      <c r="D233" s="14" t="s">
        <v>1753</v>
      </c>
      <c r="E233" s="26" t="s">
        <v>1754</v>
      </c>
      <c r="F233" s="14">
        <v>386.0</v>
      </c>
      <c r="G233" s="14" t="s">
        <v>1755</v>
      </c>
      <c r="H233" s="14" t="s">
        <v>28</v>
      </c>
      <c r="I233" s="19" t="s">
        <v>2493</v>
      </c>
      <c r="J233" s="19" t="s">
        <v>1756</v>
      </c>
      <c r="K233" s="19" t="s">
        <v>2494</v>
      </c>
      <c r="L233" s="19" t="s">
        <v>2495</v>
      </c>
      <c r="M233" s="20"/>
      <c r="N233" s="21"/>
      <c r="O233" s="22">
        <v>50.0</v>
      </c>
      <c r="P233" s="28">
        <v>0.0</v>
      </c>
      <c r="Q233" s="28">
        <v>3.0</v>
      </c>
      <c r="R233" s="24"/>
      <c r="S233" s="24"/>
      <c r="T233" s="47"/>
      <c r="U233" s="47"/>
      <c r="V233" s="47"/>
      <c r="W233" s="47"/>
      <c r="X233" s="47"/>
      <c r="Y233" s="47"/>
      <c r="Z233" s="47"/>
      <c r="AA233" s="47"/>
    </row>
    <row r="234" ht="15.75" customHeight="1">
      <c r="A234" s="14" t="s">
        <v>17</v>
      </c>
      <c r="B234" s="15" t="s">
        <v>2410</v>
      </c>
      <c r="C234" s="14" t="s">
        <v>1758</v>
      </c>
      <c r="D234" s="14" t="s">
        <v>1759</v>
      </c>
      <c r="E234" s="26" t="s">
        <v>1760</v>
      </c>
      <c r="F234" s="14">
        <v>382.0</v>
      </c>
      <c r="G234" s="14" t="s">
        <v>1764</v>
      </c>
      <c r="H234" s="14" t="s">
        <v>28</v>
      </c>
      <c r="I234" s="19" t="s">
        <v>2501</v>
      </c>
      <c r="J234" s="19" t="s">
        <v>1765</v>
      </c>
      <c r="K234" s="19" t="s">
        <v>2502</v>
      </c>
      <c r="L234" s="19" t="s">
        <v>2503</v>
      </c>
      <c r="M234" s="20"/>
      <c r="N234" s="21"/>
      <c r="O234" s="22">
        <v>33.0</v>
      </c>
      <c r="P234" s="28">
        <v>0.0</v>
      </c>
      <c r="Q234" s="28">
        <v>5.0</v>
      </c>
      <c r="R234" s="24"/>
      <c r="S234" s="24"/>
      <c r="T234" s="47"/>
      <c r="U234" s="47"/>
      <c r="V234" s="47"/>
      <c r="W234" s="47"/>
      <c r="X234" s="47"/>
      <c r="Y234" s="47"/>
      <c r="Z234" s="47"/>
      <c r="AA234" s="47"/>
    </row>
    <row r="235" ht="15.75" customHeight="1">
      <c r="A235" s="14" t="s">
        <v>17</v>
      </c>
      <c r="B235" s="15" t="s">
        <v>2410</v>
      </c>
      <c r="C235" s="14" t="s">
        <v>1767</v>
      </c>
      <c r="D235" s="14" t="s">
        <v>1768</v>
      </c>
      <c r="E235" s="26" t="s">
        <v>1769</v>
      </c>
      <c r="F235" s="14">
        <v>379.0</v>
      </c>
      <c r="G235" s="14" t="s">
        <v>1770</v>
      </c>
      <c r="H235" s="14" t="s">
        <v>28</v>
      </c>
      <c r="I235" s="19" t="s">
        <v>2504</v>
      </c>
      <c r="J235" s="19" t="s">
        <v>1771</v>
      </c>
      <c r="K235" s="19" t="s">
        <v>2505</v>
      </c>
      <c r="L235" s="19" t="s">
        <v>2506</v>
      </c>
      <c r="M235" s="20"/>
      <c r="N235" s="21"/>
      <c r="O235" s="43">
        <v>0.0</v>
      </c>
      <c r="P235" s="28">
        <v>3.0</v>
      </c>
      <c r="Q235" s="28">
        <v>6.0</v>
      </c>
      <c r="R235" s="24"/>
      <c r="S235" s="24"/>
      <c r="T235" s="47"/>
      <c r="U235" s="47"/>
      <c r="V235" s="47"/>
      <c r="W235" s="47"/>
      <c r="X235" s="47"/>
      <c r="Y235" s="47"/>
      <c r="Z235" s="47"/>
      <c r="AA235" s="47"/>
    </row>
    <row r="236" ht="15.75" customHeight="1">
      <c r="A236" s="14" t="s">
        <v>17</v>
      </c>
      <c r="B236" s="15" t="s">
        <v>2410</v>
      </c>
      <c r="C236" s="14" t="s">
        <v>1773</v>
      </c>
      <c r="D236" s="14" t="s">
        <v>1774</v>
      </c>
      <c r="E236" s="26" t="s">
        <v>1775</v>
      </c>
      <c r="F236" s="14">
        <v>374.0</v>
      </c>
      <c r="G236" s="14" t="s">
        <v>1779</v>
      </c>
      <c r="H236" s="14" t="s">
        <v>28</v>
      </c>
      <c r="I236" s="19" t="s">
        <v>2507</v>
      </c>
      <c r="J236" s="19" t="s">
        <v>1780</v>
      </c>
      <c r="K236" s="19" t="s">
        <v>2508</v>
      </c>
      <c r="L236" s="19" t="s">
        <v>2509</v>
      </c>
      <c r="M236" s="20"/>
      <c r="N236" s="21"/>
      <c r="O236" s="43">
        <v>0.0</v>
      </c>
      <c r="P236" s="28">
        <v>1.0</v>
      </c>
      <c r="Q236" s="28">
        <v>16.0</v>
      </c>
      <c r="R236" s="24"/>
      <c r="S236" s="24"/>
      <c r="T236" s="47"/>
      <c r="U236" s="47"/>
      <c r="V236" s="47"/>
      <c r="W236" s="47"/>
      <c r="X236" s="47"/>
      <c r="Y236" s="47"/>
      <c r="Z236" s="47"/>
      <c r="AA236" s="47"/>
    </row>
    <row r="237" ht="18.0" customHeight="1">
      <c r="A237" s="14" t="s">
        <v>17</v>
      </c>
      <c r="B237" s="15" t="s">
        <v>2410</v>
      </c>
      <c r="C237" s="14" t="s">
        <v>1782</v>
      </c>
      <c r="D237" s="14" t="s">
        <v>1783</v>
      </c>
      <c r="E237" s="26" t="s">
        <v>1784</v>
      </c>
      <c r="F237" s="14">
        <v>369.0</v>
      </c>
      <c r="G237" s="14" t="s">
        <v>1785</v>
      </c>
      <c r="H237" s="14" t="s">
        <v>28</v>
      </c>
      <c r="I237" s="19" t="s">
        <v>2510</v>
      </c>
      <c r="J237" s="19" t="s">
        <v>1786</v>
      </c>
      <c r="K237" s="19" t="s">
        <v>2511</v>
      </c>
      <c r="L237" s="19" t="s">
        <v>2512</v>
      </c>
      <c r="M237" s="20" t="s">
        <v>1316</v>
      </c>
      <c r="N237" s="21"/>
      <c r="O237" s="43">
        <v>4.0</v>
      </c>
      <c r="P237" s="28">
        <v>3.0</v>
      </c>
      <c r="Q237" s="28">
        <v>10.0</v>
      </c>
      <c r="R237" s="46" t="s">
        <v>2513</v>
      </c>
      <c r="S237" s="24"/>
      <c r="T237" s="47"/>
      <c r="U237" s="47"/>
      <c r="V237" s="47"/>
      <c r="W237" s="47"/>
      <c r="X237" s="47"/>
      <c r="Y237" s="47"/>
      <c r="Z237" s="47"/>
      <c r="AA237" s="47"/>
    </row>
    <row r="238" ht="15.75" customHeight="1">
      <c r="A238" s="14" t="s">
        <v>17</v>
      </c>
      <c r="B238" s="15" t="s">
        <v>2410</v>
      </c>
      <c r="C238" s="14" t="s">
        <v>1788</v>
      </c>
      <c r="D238" s="14" t="s">
        <v>1789</v>
      </c>
      <c r="E238" s="26" t="s">
        <v>1790</v>
      </c>
      <c r="F238" s="14">
        <v>364.0</v>
      </c>
      <c r="G238" s="14" t="s">
        <v>1794</v>
      </c>
      <c r="H238" s="14" t="s">
        <v>28</v>
      </c>
      <c r="I238" s="19" t="s">
        <v>2520</v>
      </c>
      <c r="J238" s="19" t="s">
        <v>1795</v>
      </c>
      <c r="K238" s="19" t="s">
        <v>2521</v>
      </c>
      <c r="L238" s="19" t="s">
        <v>2522</v>
      </c>
      <c r="M238" s="20"/>
      <c r="N238" s="21"/>
      <c r="O238" s="43">
        <v>89.0</v>
      </c>
      <c r="P238" s="28">
        <v>22.0</v>
      </c>
      <c r="Q238" s="28">
        <v>13.0</v>
      </c>
      <c r="R238" s="24"/>
      <c r="S238" s="24"/>
      <c r="T238" s="47"/>
      <c r="U238" s="47"/>
      <c r="V238" s="47"/>
      <c r="W238" s="47"/>
      <c r="X238" s="47"/>
      <c r="Y238" s="47"/>
      <c r="Z238" s="47"/>
      <c r="AA238" s="47"/>
    </row>
    <row r="239" ht="15.75" customHeight="1">
      <c r="A239" s="14" t="s">
        <v>17</v>
      </c>
      <c r="B239" s="15" t="s">
        <v>2410</v>
      </c>
      <c r="C239" s="14" t="s">
        <v>1797</v>
      </c>
      <c r="D239" s="14" t="s">
        <v>1798</v>
      </c>
      <c r="E239" s="26" t="s">
        <v>1799</v>
      </c>
      <c r="F239" s="14">
        <v>359.0</v>
      </c>
      <c r="G239" s="14" t="s">
        <v>1800</v>
      </c>
      <c r="H239" s="14" t="s">
        <v>28</v>
      </c>
      <c r="I239" s="19" t="s">
        <v>2530</v>
      </c>
      <c r="J239" s="19" t="s">
        <v>1801</v>
      </c>
      <c r="K239" s="19" t="s">
        <v>2531</v>
      </c>
      <c r="L239" s="19" t="s">
        <v>2532</v>
      </c>
      <c r="M239" s="20" t="s">
        <v>1803</v>
      </c>
      <c r="N239" s="21"/>
      <c r="O239" s="43">
        <v>0.0</v>
      </c>
      <c r="P239" s="28">
        <v>0.0</v>
      </c>
      <c r="Q239" s="28">
        <v>14.0</v>
      </c>
      <c r="R239" s="24"/>
      <c r="S239" s="24"/>
      <c r="T239" s="47"/>
      <c r="U239" s="47"/>
      <c r="V239" s="47"/>
      <c r="W239" s="47"/>
      <c r="X239" s="47"/>
      <c r="Y239" s="47"/>
      <c r="Z239" s="47"/>
      <c r="AA239" s="47"/>
    </row>
    <row r="240" ht="15.75" customHeight="1">
      <c r="A240" s="14" t="s">
        <v>17</v>
      </c>
      <c r="B240" s="15" t="s">
        <v>2410</v>
      </c>
      <c r="C240" s="14" t="s">
        <v>1804</v>
      </c>
      <c r="D240" s="14" t="s">
        <v>1805</v>
      </c>
      <c r="E240" s="26" t="s">
        <v>1806</v>
      </c>
      <c r="F240" s="14">
        <v>355.0</v>
      </c>
      <c r="G240" s="14" t="s">
        <v>1809</v>
      </c>
      <c r="H240" s="14" t="s">
        <v>28</v>
      </c>
      <c r="I240" s="19" t="s">
        <v>2537</v>
      </c>
      <c r="J240" s="19" t="s">
        <v>1810</v>
      </c>
      <c r="K240" s="19" t="s">
        <v>2540</v>
      </c>
      <c r="L240" s="19" t="s">
        <v>2541</v>
      </c>
      <c r="M240" s="20" t="s">
        <v>1812</v>
      </c>
      <c r="N240" s="21"/>
      <c r="O240" s="43">
        <v>5.0</v>
      </c>
      <c r="P240" s="28">
        <v>5.0</v>
      </c>
      <c r="Q240" s="28">
        <v>11.0</v>
      </c>
      <c r="R240" s="24"/>
      <c r="S240" s="24"/>
      <c r="T240" s="47"/>
      <c r="U240" s="47"/>
      <c r="V240" s="47"/>
      <c r="W240" s="47"/>
      <c r="X240" s="47"/>
      <c r="Y240" s="47"/>
      <c r="Z240" s="47"/>
      <c r="AA240" s="47"/>
    </row>
    <row r="241" ht="15.75" customHeight="1">
      <c r="A241" s="14" t="s">
        <v>17</v>
      </c>
      <c r="B241" s="15" t="s">
        <v>2410</v>
      </c>
      <c r="C241" s="14" t="s">
        <v>1813</v>
      </c>
      <c r="D241" s="14" t="s">
        <v>1814</v>
      </c>
      <c r="E241" s="26" t="s">
        <v>1815</v>
      </c>
      <c r="F241" s="14">
        <v>350.0</v>
      </c>
      <c r="G241" s="14" t="s">
        <v>1816</v>
      </c>
      <c r="H241" s="14" t="s">
        <v>28</v>
      </c>
      <c r="I241" s="19" t="s">
        <v>2543</v>
      </c>
      <c r="J241" s="19" t="s">
        <v>1672</v>
      </c>
      <c r="K241" s="19" t="s">
        <v>2331</v>
      </c>
      <c r="L241" s="19" t="s">
        <v>1092</v>
      </c>
      <c r="M241" s="20" t="s">
        <v>1182</v>
      </c>
      <c r="N241" s="21"/>
      <c r="O241" s="43">
        <v>50.0</v>
      </c>
      <c r="P241" s="28">
        <v>5.0</v>
      </c>
      <c r="Q241" s="28">
        <v>17.0</v>
      </c>
      <c r="R241" s="24"/>
      <c r="S241" s="24"/>
      <c r="T241" s="47"/>
      <c r="U241" s="47"/>
      <c r="V241" s="47"/>
      <c r="W241" s="47"/>
      <c r="X241" s="47"/>
      <c r="Y241" s="47"/>
      <c r="Z241" s="47"/>
      <c r="AA241" s="47"/>
    </row>
    <row r="242" ht="15.75" customHeight="1">
      <c r="A242" s="14" t="s">
        <v>17</v>
      </c>
      <c r="B242" s="15" t="s">
        <v>2410</v>
      </c>
      <c r="C242" s="14" t="s">
        <v>1817</v>
      </c>
      <c r="D242" s="14" t="s">
        <v>1819</v>
      </c>
      <c r="E242" s="26" t="s">
        <v>1820</v>
      </c>
      <c r="F242" s="14">
        <v>345.0</v>
      </c>
      <c r="G242" s="14">
        <v>348.0</v>
      </c>
      <c r="H242" s="14" t="s">
        <v>28</v>
      </c>
      <c r="I242" s="19" t="s">
        <v>2552</v>
      </c>
      <c r="J242" s="19" t="s">
        <v>2554</v>
      </c>
      <c r="K242" s="19" t="s">
        <v>2556</v>
      </c>
      <c r="L242" s="19" t="s">
        <v>2558</v>
      </c>
      <c r="M242" s="20"/>
      <c r="N242" s="21"/>
      <c r="O242" s="22">
        <v>6.0</v>
      </c>
      <c r="P242" s="28">
        <v>0.0</v>
      </c>
      <c r="Q242" s="28">
        <v>6.0</v>
      </c>
      <c r="R242" s="24"/>
      <c r="S242" s="24"/>
      <c r="T242" s="47"/>
      <c r="U242" s="47"/>
      <c r="V242" s="47"/>
      <c r="W242" s="47"/>
      <c r="X242" s="47"/>
      <c r="Y242" s="47"/>
      <c r="Z242" s="47"/>
      <c r="AA242" s="47"/>
    </row>
    <row r="243" ht="15.75" customHeight="1">
      <c r="A243" s="14" t="s">
        <v>17</v>
      </c>
      <c r="B243" s="15" t="s">
        <v>2410</v>
      </c>
      <c r="C243" s="14" t="s">
        <v>1825</v>
      </c>
      <c r="D243" s="14" t="s">
        <v>1826</v>
      </c>
      <c r="E243" s="26" t="s">
        <v>1827</v>
      </c>
      <c r="F243" s="14">
        <v>341.0</v>
      </c>
      <c r="G243" s="14" t="s">
        <v>1828</v>
      </c>
      <c r="H243" s="14" t="s">
        <v>28</v>
      </c>
      <c r="I243" s="19" t="s">
        <v>2567</v>
      </c>
      <c r="J243" s="19" t="s">
        <v>1829</v>
      </c>
      <c r="K243" s="19" t="s">
        <v>2568</v>
      </c>
      <c r="L243" s="19" t="s">
        <v>2569</v>
      </c>
      <c r="M243" s="20"/>
      <c r="N243" s="21"/>
      <c r="O243" s="43">
        <v>50.0</v>
      </c>
      <c r="P243" s="28">
        <v>1.0</v>
      </c>
      <c r="Q243" s="28">
        <v>1.0</v>
      </c>
      <c r="R243" s="24"/>
      <c r="S243" s="24"/>
      <c r="T243" s="47"/>
      <c r="U243" s="47"/>
      <c r="V243" s="47"/>
      <c r="W243" s="47"/>
      <c r="X243" s="47"/>
      <c r="Y243" s="47"/>
      <c r="Z243" s="47"/>
      <c r="AA243" s="47"/>
    </row>
    <row r="244" ht="15.75" customHeight="1">
      <c r="A244" s="14" t="s">
        <v>17</v>
      </c>
      <c r="B244" s="15" t="s">
        <v>2410</v>
      </c>
      <c r="C244" s="14" t="s">
        <v>1833</v>
      </c>
      <c r="D244" s="14" t="s">
        <v>1834</v>
      </c>
      <c r="E244" s="26" t="s">
        <v>1836</v>
      </c>
      <c r="F244" s="14">
        <v>337.0</v>
      </c>
      <c r="G244" s="14" t="s">
        <v>1837</v>
      </c>
      <c r="H244" s="14" t="s">
        <v>28</v>
      </c>
      <c r="I244" s="19" t="s">
        <v>2570</v>
      </c>
      <c r="J244" s="19" t="s">
        <v>1838</v>
      </c>
      <c r="K244" s="19" t="s">
        <v>2571</v>
      </c>
      <c r="L244" s="19" t="s">
        <v>2572</v>
      </c>
      <c r="M244" s="20"/>
      <c r="N244" s="48" t="s">
        <v>1840</v>
      </c>
      <c r="O244" s="43">
        <v>6.0</v>
      </c>
      <c r="P244" s="28">
        <v>3.0</v>
      </c>
      <c r="Q244" s="28">
        <v>8.0</v>
      </c>
      <c r="R244" s="24"/>
      <c r="S244" s="24"/>
      <c r="T244" s="47"/>
      <c r="U244" s="47"/>
      <c r="V244" s="47"/>
      <c r="W244" s="47"/>
      <c r="X244" s="47"/>
      <c r="Y244" s="47"/>
      <c r="Z244" s="47"/>
      <c r="AA244" s="47"/>
    </row>
    <row r="245" ht="15.75" customHeight="1">
      <c r="A245" s="14" t="s">
        <v>17</v>
      </c>
      <c r="B245" s="15" t="s">
        <v>2410</v>
      </c>
      <c r="C245" s="14" t="s">
        <v>1841</v>
      </c>
      <c r="D245" s="14" t="s">
        <v>1842</v>
      </c>
      <c r="E245" s="26" t="s">
        <v>1843</v>
      </c>
      <c r="F245" s="14">
        <v>326.0</v>
      </c>
      <c r="G245" s="14">
        <v>333.0</v>
      </c>
      <c r="H245" s="14" t="s">
        <v>28</v>
      </c>
      <c r="I245" s="19" t="s">
        <v>2581</v>
      </c>
      <c r="J245" s="19" t="s">
        <v>1844</v>
      </c>
      <c r="K245" s="19" t="s">
        <v>2582</v>
      </c>
      <c r="L245" s="19" t="s">
        <v>2583</v>
      </c>
      <c r="M245" s="20" t="s">
        <v>1846</v>
      </c>
      <c r="N245" s="21"/>
      <c r="O245" s="22">
        <v>541.0</v>
      </c>
      <c r="P245" s="28">
        <v>151.0</v>
      </c>
      <c r="Q245" s="28">
        <v>16.0</v>
      </c>
      <c r="R245" s="24"/>
      <c r="S245" s="24"/>
      <c r="T245" s="47"/>
      <c r="U245" s="47"/>
      <c r="V245" s="47"/>
      <c r="W245" s="47"/>
      <c r="X245" s="47"/>
      <c r="Y245" s="47"/>
      <c r="Z245" s="47"/>
      <c r="AA245" s="47"/>
    </row>
    <row r="246" ht="15.75" customHeight="1">
      <c r="A246" s="14" t="s">
        <v>17</v>
      </c>
      <c r="B246" s="15" t="s">
        <v>2410</v>
      </c>
      <c r="C246" s="14" t="s">
        <v>1847</v>
      </c>
      <c r="D246" s="14" t="s">
        <v>1848</v>
      </c>
      <c r="E246" s="26" t="s">
        <v>1849</v>
      </c>
      <c r="F246" s="14">
        <v>318.0</v>
      </c>
      <c r="G246" s="14" t="s">
        <v>1853</v>
      </c>
      <c r="H246" s="14" t="s">
        <v>28</v>
      </c>
      <c r="I246" s="19" t="s">
        <v>2589</v>
      </c>
      <c r="J246" s="19" t="s">
        <v>1854</v>
      </c>
      <c r="K246" s="19" t="s">
        <v>2590</v>
      </c>
      <c r="L246" s="19" t="s">
        <v>2591</v>
      </c>
      <c r="M246" s="20" t="s">
        <v>1856</v>
      </c>
      <c r="N246" s="21"/>
      <c r="O246" s="22">
        <v>50.0</v>
      </c>
      <c r="P246" s="28">
        <v>2.0</v>
      </c>
      <c r="Q246" s="28">
        <v>15.0</v>
      </c>
      <c r="R246" s="24"/>
      <c r="S246" s="24"/>
      <c r="T246" s="47"/>
      <c r="U246" s="47"/>
      <c r="V246" s="47"/>
      <c r="W246" s="47"/>
      <c r="X246" s="47"/>
      <c r="Y246" s="47"/>
      <c r="Z246" s="47"/>
      <c r="AA246" s="47"/>
    </row>
    <row r="247" ht="15.75" customHeight="1">
      <c r="A247" s="14" t="s">
        <v>17</v>
      </c>
      <c r="B247" s="15" t="s">
        <v>2410</v>
      </c>
      <c r="C247" s="14" t="s">
        <v>1857</v>
      </c>
      <c r="D247" s="14" t="s">
        <v>1858</v>
      </c>
      <c r="E247" s="26" t="s">
        <v>1859</v>
      </c>
      <c r="F247" s="14">
        <v>310.0</v>
      </c>
      <c r="G247" s="14">
        <v>317.0</v>
      </c>
      <c r="H247" s="14" t="s">
        <v>28</v>
      </c>
      <c r="I247" s="19" t="s">
        <v>2599</v>
      </c>
      <c r="J247" s="19" t="s">
        <v>1231</v>
      </c>
      <c r="K247" s="19" t="s">
        <v>2600</v>
      </c>
      <c r="L247" s="19" t="s">
        <v>2601</v>
      </c>
      <c r="M247" s="20" t="s">
        <v>1861</v>
      </c>
      <c r="N247" s="21"/>
      <c r="O247" s="22">
        <v>52.0</v>
      </c>
      <c r="P247" s="28">
        <v>15.0</v>
      </c>
      <c r="Q247" s="28">
        <v>18.0</v>
      </c>
      <c r="R247" s="24"/>
      <c r="S247" s="24"/>
      <c r="T247" s="47"/>
      <c r="U247" s="47"/>
      <c r="V247" s="47"/>
      <c r="W247" s="47"/>
      <c r="X247" s="47"/>
      <c r="Y247" s="47"/>
      <c r="Z247" s="47"/>
      <c r="AA247" s="47"/>
    </row>
    <row r="248" ht="15.75" customHeight="1">
      <c r="A248" s="14" t="s">
        <v>17</v>
      </c>
      <c r="B248" s="15" t="s">
        <v>2410</v>
      </c>
      <c r="C248" s="42" t="s">
        <v>2603</v>
      </c>
      <c r="D248" s="14" t="s">
        <v>1865</v>
      </c>
      <c r="E248" s="26" t="s">
        <v>1866</v>
      </c>
      <c r="F248" s="14">
        <v>302.0</v>
      </c>
      <c r="G248" s="14" t="s">
        <v>1867</v>
      </c>
      <c r="H248" s="14" t="s">
        <v>28</v>
      </c>
      <c r="I248" s="19" t="s">
        <v>2608</v>
      </c>
      <c r="J248" s="19" t="s">
        <v>1868</v>
      </c>
      <c r="K248" s="19" t="s">
        <v>2609</v>
      </c>
      <c r="L248" s="19" t="s">
        <v>2610</v>
      </c>
      <c r="M248" s="20" t="s">
        <v>1870</v>
      </c>
      <c r="N248" s="21"/>
      <c r="O248" s="43">
        <v>50.0</v>
      </c>
      <c r="P248" s="28">
        <v>6.0</v>
      </c>
      <c r="Q248" s="28">
        <v>18.0</v>
      </c>
      <c r="R248" s="24"/>
      <c r="S248" s="24"/>
      <c r="T248" s="47"/>
      <c r="U248" s="47"/>
      <c r="V248" s="47"/>
      <c r="W248" s="47"/>
      <c r="X248" s="47"/>
      <c r="Y248" s="47"/>
      <c r="Z248" s="47"/>
      <c r="AA248" s="47"/>
    </row>
    <row r="249" ht="15.75" customHeight="1">
      <c r="A249" s="14" t="s">
        <v>17</v>
      </c>
      <c r="B249" s="15" t="s">
        <v>2410</v>
      </c>
      <c r="C249" s="14" t="s">
        <v>1871</v>
      </c>
      <c r="D249" s="14" t="s">
        <v>1872</v>
      </c>
      <c r="E249" s="26" t="s">
        <v>1873</v>
      </c>
      <c r="F249" s="14">
        <v>293.0</v>
      </c>
      <c r="G249" s="14" t="s">
        <v>1874</v>
      </c>
      <c r="H249" s="14" t="s">
        <v>28</v>
      </c>
      <c r="I249" s="19" t="s">
        <v>2620</v>
      </c>
      <c r="J249" s="19" t="s">
        <v>1876</v>
      </c>
      <c r="K249" s="19" t="s">
        <v>2622</v>
      </c>
      <c r="L249" s="19" t="s">
        <v>2623</v>
      </c>
      <c r="M249" s="20"/>
      <c r="N249" s="21"/>
      <c r="O249" s="22">
        <v>17.0</v>
      </c>
      <c r="P249" s="28">
        <v>2.0</v>
      </c>
      <c r="Q249" s="28">
        <v>12.0</v>
      </c>
      <c r="R249" s="24"/>
      <c r="S249" s="24"/>
      <c r="T249" s="47"/>
      <c r="U249" s="47"/>
      <c r="V249" s="47"/>
      <c r="W249" s="47"/>
      <c r="X249" s="47"/>
      <c r="Y249" s="47"/>
      <c r="Z249" s="47"/>
      <c r="AA249" s="47"/>
    </row>
    <row r="250" ht="15.75" customHeight="1">
      <c r="A250" s="14" t="s">
        <v>17</v>
      </c>
      <c r="B250" s="15" t="s">
        <v>2410</v>
      </c>
      <c r="C250" s="14" t="s">
        <v>1880</v>
      </c>
      <c r="D250" s="14" t="s">
        <v>1881</v>
      </c>
      <c r="E250" s="26" t="s">
        <v>1882</v>
      </c>
      <c r="F250" s="14">
        <v>288.0</v>
      </c>
      <c r="G250" s="14">
        <v>292.0</v>
      </c>
      <c r="H250" s="14" t="s">
        <v>28</v>
      </c>
      <c r="I250" s="19" t="s">
        <v>2633</v>
      </c>
      <c r="J250" s="19" t="s">
        <v>1883</v>
      </c>
      <c r="K250" s="19" t="s">
        <v>2634</v>
      </c>
      <c r="L250" s="19" t="s">
        <v>2635</v>
      </c>
      <c r="M250" s="20" t="s">
        <v>536</v>
      </c>
      <c r="N250" s="21"/>
      <c r="O250" s="31"/>
      <c r="P250" s="28">
        <v>14.0</v>
      </c>
      <c r="Q250" s="28">
        <v>7.0</v>
      </c>
      <c r="R250" s="24"/>
      <c r="S250" s="24"/>
      <c r="T250" s="47"/>
      <c r="U250" s="47"/>
      <c r="V250" s="47"/>
      <c r="W250" s="47"/>
      <c r="X250" s="47"/>
      <c r="Y250" s="47"/>
      <c r="Z250" s="47"/>
      <c r="AA250" s="47"/>
    </row>
    <row r="251" ht="15.75" customHeight="1">
      <c r="A251" s="14" t="s">
        <v>17</v>
      </c>
      <c r="B251" s="15" t="s">
        <v>2410</v>
      </c>
      <c r="C251" s="14" t="s">
        <v>1885</v>
      </c>
      <c r="D251" s="14" t="s">
        <v>1886</v>
      </c>
      <c r="E251" s="26" t="s">
        <v>1887</v>
      </c>
      <c r="F251" s="14">
        <v>281.0</v>
      </c>
      <c r="G251" s="14" t="s">
        <v>1888</v>
      </c>
      <c r="H251" s="14" t="s">
        <v>28</v>
      </c>
      <c r="I251" s="19" t="s">
        <v>2641</v>
      </c>
      <c r="J251" s="19" t="s">
        <v>1889</v>
      </c>
      <c r="K251" s="19" t="s">
        <v>2643</v>
      </c>
      <c r="L251" s="19" t="s">
        <v>2644</v>
      </c>
      <c r="M251" s="20" t="s">
        <v>1281</v>
      </c>
      <c r="N251" s="21"/>
      <c r="O251" s="22">
        <v>274.0</v>
      </c>
      <c r="P251" s="28">
        <v>44.0</v>
      </c>
      <c r="Q251" s="28">
        <v>16.0</v>
      </c>
      <c r="R251" s="24"/>
      <c r="S251" s="24"/>
      <c r="T251" s="47"/>
      <c r="U251" s="47"/>
      <c r="V251" s="47"/>
      <c r="W251" s="47"/>
      <c r="X251" s="47"/>
      <c r="Y251" s="47"/>
      <c r="Z251" s="47"/>
      <c r="AA251" s="47"/>
    </row>
    <row r="252" ht="15.75" customHeight="1">
      <c r="A252" s="14" t="s">
        <v>17</v>
      </c>
      <c r="B252" s="15" t="s">
        <v>2410</v>
      </c>
      <c r="C252" s="14" t="s">
        <v>1891</v>
      </c>
      <c r="D252" s="14" t="s">
        <v>1892</v>
      </c>
      <c r="E252" s="26" t="s">
        <v>1893</v>
      </c>
      <c r="F252" s="14">
        <v>273.0</v>
      </c>
      <c r="G252" s="14" t="s">
        <v>1897</v>
      </c>
      <c r="H252" s="14" t="s">
        <v>28</v>
      </c>
      <c r="I252" s="19" t="s">
        <v>2650</v>
      </c>
      <c r="J252" s="19" t="s">
        <v>1898</v>
      </c>
      <c r="K252" s="19" t="s">
        <v>2651</v>
      </c>
      <c r="L252" s="19" t="s">
        <v>2652</v>
      </c>
      <c r="M252" s="20" t="s">
        <v>1900</v>
      </c>
      <c r="N252" s="21"/>
      <c r="O252" s="22">
        <v>20.0</v>
      </c>
      <c r="P252" s="28">
        <v>6.0</v>
      </c>
      <c r="Q252" s="28">
        <v>16.0</v>
      </c>
      <c r="R252" s="24"/>
      <c r="S252" s="24"/>
      <c r="T252" s="47"/>
      <c r="U252" s="47"/>
      <c r="V252" s="47"/>
      <c r="W252" s="47"/>
      <c r="X252" s="47"/>
      <c r="Y252" s="47"/>
      <c r="Z252" s="47"/>
      <c r="AA252" s="47"/>
    </row>
    <row r="253" ht="15.75" customHeight="1">
      <c r="A253" s="14" t="s">
        <v>17</v>
      </c>
      <c r="B253" s="15" t="s">
        <v>2410</v>
      </c>
      <c r="C253" s="14" t="s">
        <v>1901</v>
      </c>
      <c r="D253" s="14" t="s">
        <v>1902</v>
      </c>
      <c r="E253" s="26" t="s">
        <v>1903</v>
      </c>
      <c r="F253" s="14">
        <v>265.0</v>
      </c>
      <c r="G253" s="14" t="s">
        <v>1907</v>
      </c>
      <c r="H253" s="14" t="s">
        <v>28</v>
      </c>
      <c r="I253" s="19" t="s">
        <v>2658</v>
      </c>
      <c r="J253" s="19" t="s">
        <v>1908</v>
      </c>
      <c r="K253" s="19" t="s">
        <v>2659</v>
      </c>
      <c r="L253" s="19" t="s">
        <v>2660</v>
      </c>
      <c r="M253" s="20" t="s">
        <v>1910</v>
      </c>
      <c r="N253" s="48" t="s">
        <v>1911</v>
      </c>
      <c r="O253" s="31"/>
      <c r="P253" s="28">
        <v>1.0</v>
      </c>
      <c r="Q253" s="28">
        <v>14.0</v>
      </c>
      <c r="R253" s="24"/>
      <c r="S253" s="24"/>
      <c r="T253" s="47"/>
      <c r="U253" s="47"/>
      <c r="V253" s="47"/>
      <c r="W253" s="47"/>
      <c r="X253" s="47"/>
      <c r="Y253" s="47"/>
      <c r="Z253" s="47"/>
      <c r="AA253" s="47"/>
    </row>
    <row r="254" ht="15.75" customHeight="1">
      <c r="A254" s="14" t="s">
        <v>17</v>
      </c>
      <c r="B254" s="15" t="s">
        <v>2410</v>
      </c>
      <c r="C254" s="14" t="s">
        <v>1912</v>
      </c>
      <c r="D254" s="14" t="s">
        <v>1913</v>
      </c>
      <c r="E254" s="26" t="s">
        <v>1914</v>
      </c>
      <c r="F254" s="14">
        <v>257.0</v>
      </c>
      <c r="G254" s="14" t="s">
        <v>1915</v>
      </c>
      <c r="H254" s="14" t="s">
        <v>28</v>
      </c>
      <c r="I254" s="19" t="s">
        <v>2667</v>
      </c>
      <c r="J254" s="19" t="s">
        <v>1364</v>
      </c>
      <c r="K254" s="19" t="s">
        <v>1729</v>
      </c>
      <c r="L254" s="19" t="s">
        <v>1298</v>
      </c>
      <c r="M254" s="20" t="s">
        <v>1916</v>
      </c>
      <c r="N254" s="21"/>
      <c r="O254" s="22">
        <v>120.0</v>
      </c>
      <c r="P254" s="28">
        <v>31.0</v>
      </c>
      <c r="Q254" s="28">
        <v>15.0</v>
      </c>
      <c r="R254" s="24"/>
      <c r="S254" s="24"/>
      <c r="T254" s="47"/>
      <c r="U254" s="47"/>
      <c r="V254" s="47"/>
      <c r="W254" s="47"/>
      <c r="X254" s="47"/>
      <c r="Y254" s="47"/>
      <c r="Z254" s="47"/>
      <c r="AA254" s="47"/>
    </row>
    <row r="255" ht="15.75" customHeight="1">
      <c r="A255" s="14" t="s">
        <v>17</v>
      </c>
      <c r="B255" s="15" t="s">
        <v>2410</v>
      </c>
      <c r="C255" s="14" t="s">
        <v>1917</v>
      </c>
      <c r="D255" s="14" t="s">
        <v>1918</v>
      </c>
      <c r="E255" s="26" t="s">
        <v>1919</v>
      </c>
      <c r="F255" s="14">
        <v>248.0</v>
      </c>
      <c r="G255" s="14" t="s">
        <v>1922</v>
      </c>
      <c r="H255" s="14" t="s">
        <v>28</v>
      </c>
      <c r="I255" s="19" t="s">
        <v>2674</v>
      </c>
      <c r="J255" s="19" t="s">
        <v>1923</v>
      </c>
      <c r="K255" s="19" t="s">
        <v>2675</v>
      </c>
      <c r="L255" s="19" t="s">
        <v>1383</v>
      </c>
      <c r="M255" s="20" t="s">
        <v>1924</v>
      </c>
      <c r="N255" s="21"/>
      <c r="O255" s="22">
        <v>107.0</v>
      </c>
      <c r="P255" s="28">
        <v>32.0</v>
      </c>
      <c r="Q255" s="28">
        <v>10.0</v>
      </c>
      <c r="R255" s="24"/>
      <c r="S255" s="24"/>
      <c r="T255" s="47"/>
      <c r="U255" s="47"/>
      <c r="V255" s="47"/>
      <c r="W255" s="47"/>
      <c r="X255" s="47"/>
      <c r="Y255" s="47"/>
      <c r="Z255" s="47"/>
      <c r="AA255" s="47"/>
    </row>
    <row r="256" ht="15.75" customHeight="1">
      <c r="A256" s="14" t="s">
        <v>17</v>
      </c>
      <c r="B256" s="15" t="s">
        <v>2410</v>
      </c>
      <c r="C256" s="14" t="s">
        <v>1925</v>
      </c>
      <c r="D256" s="14" t="s">
        <v>1926</v>
      </c>
      <c r="E256" s="26" t="s">
        <v>1927</v>
      </c>
      <c r="F256" s="14">
        <v>240.0</v>
      </c>
      <c r="G256" s="14" t="s">
        <v>1928</v>
      </c>
      <c r="H256" s="14" t="s">
        <v>28</v>
      </c>
      <c r="I256" s="19" t="s">
        <v>2682</v>
      </c>
      <c r="J256" s="19" t="s">
        <v>1929</v>
      </c>
      <c r="K256" s="19" t="s">
        <v>2683</v>
      </c>
      <c r="L256" s="19" t="s">
        <v>2684</v>
      </c>
      <c r="M256" s="20" t="s">
        <v>1931</v>
      </c>
      <c r="N256" s="21"/>
      <c r="O256" s="22">
        <v>120.0</v>
      </c>
      <c r="P256" s="28">
        <v>28.0</v>
      </c>
      <c r="Q256" s="28">
        <v>17.0</v>
      </c>
      <c r="R256" s="46" t="s">
        <v>106</v>
      </c>
      <c r="S256" s="24"/>
      <c r="T256" s="47"/>
      <c r="U256" s="47"/>
      <c r="V256" s="47"/>
      <c r="W256" s="47"/>
      <c r="X256" s="47"/>
      <c r="Y256" s="47"/>
      <c r="Z256" s="47"/>
      <c r="AA256" s="47"/>
    </row>
    <row r="257" ht="15.75" customHeight="1">
      <c r="A257" s="14" t="s">
        <v>17</v>
      </c>
      <c r="B257" s="15" t="s">
        <v>2410</v>
      </c>
      <c r="C257" s="14" t="s">
        <v>1932</v>
      </c>
      <c r="D257" s="14" t="s">
        <v>1933</v>
      </c>
      <c r="E257" s="26" t="s">
        <v>1934</v>
      </c>
      <c r="F257" s="14">
        <v>232.0</v>
      </c>
      <c r="G257" s="14" t="s">
        <v>1935</v>
      </c>
      <c r="H257" s="14" t="s">
        <v>28</v>
      </c>
      <c r="I257" s="19" t="s">
        <v>2890</v>
      </c>
      <c r="J257" s="19" t="s">
        <v>1936</v>
      </c>
      <c r="K257" s="19" t="s">
        <v>2893</v>
      </c>
      <c r="L257" s="19" t="s">
        <v>2894</v>
      </c>
      <c r="M257" s="20"/>
      <c r="N257" s="21"/>
      <c r="O257" s="22">
        <v>38.0</v>
      </c>
      <c r="P257" s="28">
        <v>7.0</v>
      </c>
      <c r="Q257" s="28">
        <v>18.0</v>
      </c>
      <c r="R257" s="24"/>
      <c r="S257" s="24"/>
      <c r="T257" s="47"/>
      <c r="U257" s="47"/>
      <c r="V257" s="47"/>
      <c r="W257" s="47"/>
      <c r="X257" s="47"/>
      <c r="Y257" s="47"/>
      <c r="Z257" s="47"/>
      <c r="AA257" s="47"/>
    </row>
    <row r="258" ht="15.75" customHeight="1">
      <c r="A258" s="14" t="s">
        <v>17</v>
      </c>
      <c r="B258" s="15" t="s">
        <v>2410</v>
      </c>
      <c r="C258" s="14" t="s">
        <v>1938</v>
      </c>
      <c r="D258" s="14" t="s">
        <v>1939</v>
      </c>
      <c r="E258" s="26" t="s">
        <v>1940</v>
      </c>
      <c r="F258" s="14">
        <v>225.0</v>
      </c>
      <c r="G258" s="14" t="s">
        <v>1941</v>
      </c>
      <c r="H258" s="14" t="s">
        <v>28</v>
      </c>
      <c r="I258" s="19" t="s">
        <v>2902</v>
      </c>
      <c r="J258" s="19" t="s">
        <v>1942</v>
      </c>
      <c r="K258" s="19" t="s">
        <v>2904</v>
      </c>
      <c r="L258" s="19" t="s">
        <v>2906</v>
      </c>
      <c r="M258" s="20" t="s">
        <v>1944</v>
      </c>
      <c r="N258" s="21"/>
      <c r="O258" s="22">
        <v>97.0</v>
      </c>
      <c r="P258" s="28">
        <v>15.0</v>
      </c>
      <c r="Q258" s="28">
        <v>11.0</v>
      </c>
      <c r="R258" s="24"/>
      <c r="S258" s="24"/>
      <c r="T258" s="47"/>
      <c r="U258" s="47"/>
      <c r="V258" s="47"/>
      <c r="W258" s="47"/>
      <c r="X258" s="47"/>
      <c r="Y258" s="47"/>
      <c r="Z258" s="47"/>
      <c r="AA258" s="47"/>
    </row>
    <row r="259" ht="15.75" customHeight="1">
      <c r="A259" s="14" t="s">
        <v>17</v>
      </c>
      <c r="B259" s="15" t="s">
        <v>2410</v>
      </c>
      <c r="C259" s="14" t="s">
        <v>1945</v>
      </c>
      <c r="D259" s="14" t="s">
        <v>1946</v>
      </c>
      <c r="E259" s="26" t="s">
        <v>1947</v>
      </c>
      <c r="F259" s="14">
        <v>217.0</v>
      </c>
      <c r="G259" s="14" t="s">
        <v>1948</v>
      </c>
      <c r="H259" s="14" t="s">
        <v>28</v>
      </c>
      <c r="I259" s="19" t="s">
        <v>2910</v>
      </c>
      <c r="J259" s="19" t="s">
        <v>1949</v>
      </c>
      <c r="K259" s="19" t="s">
        <v>2912</v>
      </c>
      <c r="L259" s="19" t="s">
        <v>2914</v>
      </c>
      <c r="M259" s="20" t="s">
        <v>1951</v>
      </c>
      <c r="N259" s="21"/>
      <c r="O259" s="22">
        <v>50.0</v>
      </c>
      <c r="P259" s="28">
        <v>6.0</v>
      </c>
      <c r="Q259" s="28">
        <v>26.0</v>
      </c>
      <c r="R259" s="24"/>
      <c r="S259" s="24"/>
      <c r="T259" s="47"/>
      <c r="U259" s="47"/>
      <c r="V259" s="47"/>
      <c r="W259" s="47"/>
      <c r="X259" s="47"/>
      <c r="Y259" s="47"/>
      <c r="Z259" s="47"/>
      <c r="AA259" s="47"/>
    </row>
    <row r="260" ht="15.75" customHeight="1">
      <c r="A260" s="14" t="s">
        <v>17</v>
      </c>
      <c r="B260" s="15" t="s">
        <v>2410</v>
      </c>
      <c r="C260" s="14" t="s">
        <v>1952</v>
      </c>
      <c r="D260" s="14" t="s">
        <v>1953</v>
      </c>
      <c r="E260" s="26" t="s">
        <v>1954</v>
      </c>
      <c r="F260" s="14">
        <v>212.0</v>
      </c>
      <c r="G260" s="14" t="s">
        <v>1955</v>
      </c>
      <c r="H260" s="14" t="s">
        <v>28</v>
      </c>
      <c r="I260" s="19" t="s">
        <v>2927</v>
      </c>
      <c r="J260" s="19" t="s">
        <v>1956</v>
      </c>
      <c r="K260" s="19" t="s">
        <v>2929</v>
      </c>
      <c r="L260" s="19" t="s">
        <v>2932</v>
      </c>
      <c r="M260" s="20"/>
      <c r="N260" s="21"/>
      <c r="O260" s="22">
        <v>50.0</v>
      </c>
      <c r="P260" s="28">
        <v>6.0</v>
      </c>
      <c r="Q260" s="28">
        <v>17.0</v>
      </c>
      <c r="R260" s="24"/>
      <c r="S260" s="24"/>
      <c r="T260" s="47"/>
      <c r="U260" s="47"/>
      <c r="V260" s="47"/>
      <c r="W260" s="47"/>
      <c r="X260" s="47"/>
      <c r="Y260" s="47"/>
      <c r="Z260" s="47"/>
      <c r="AA260" s="47"/>
    </row>
    <row r="261" ht="15.75" customHeight="1">
      <c r="A261" s="14" t="s">
        <v>17</v>
      </c>
      <c r="B261" s="15" t="s">
        <v>2410</v>
      </c>
      <c r="C261" s="14" t="s">
        <v>1958</v>
      </c>
      <c r="D261" s="14" t="s">
        <v>1959</v>
      </c>
      <c r="E261" s="26" t="s">
        <v>1960</v>
      </c>
      <c r="F261" s="14">
        <v>205.0</v>
      </c>
      <c r="G261" s="14" t="s">
        <v>1964</v>
      </c>
      <c r="H261" s="14" t="s">
        <v>28</v>
      </c>
      <c r="I261" s="19" t="s">
        <v>2933</v>
      </c>
      <c r="J261" s="19" t="s">
        <v>1965</v>
      </c>
      <c r="K261" s="19" t="s">
        <v>2934</v>
      </c>
      <c r="L261" s="19" t="s">
        <v>2935</v>
      </c>
      <c r="M261" s="20" t="s">
        <v>668</v>
      </c>
      <c r="N261" s="21"/>
      <c r="O261" s="22">
        <v>50.0</v>
      </c>
      <c r="P261" s="28">
        <v>8.0</v>
      </c>
      <c r="Q261" s="28">
        <v>10.0</v>
      </c>
      <c r="R261" s="24"/>
      <c r="S261" s="24"/>
      <c r="T261" s="47"/>
      <c r="U261" s="47"/>
      <c r="V261" s="47"/>
      <c r="W261" s="47"/>
      <c r="X261" s="47"/>
      <c r="Y261" s="47"/>
      <c r="Z261" s="47"/>
      <c r="AA261" s="47"/>
    </row>
    <row r="262" ht="15.75" customHeight="1">
      <c r="A262" s="14" t="s">
        <v>17</v>
      </c>
      <c r="B262" s="15" t="s">
        <v>2410</v>
      </c>
      <c r="C262" s="14" t="s">
        <v>1967</v>
      </c>
      <c r="D262" s="14" t="s">
        <v>1968</v>
      </c>
      <c r="E262" s="26" t="s">
        <v>1969</v>
      </c>
      <c r="F262" s="14">
        <v>196.0</v>
      </c>
      <c r="G262" s="14">
        <v>203.0</v>
      </c>
      <c r="H262" s="14" t="s">
        <v>28</v>
      </c>
      <c r="I262" s="19" t="s">
        <v>2937</v>
      </c>
      <c r="J262" s="19" t="s">
        <v>2939</v>
      </c>
      <c r="K262" s="19" t="s">
        <v>2940</v>
      </c>
      <c r="L262" s="19" t="s">
        <v>294</v>
      </c>
      <c r="M262" s="20" t="s">
        <v>1971</v>
      </c>
      <c r="N262" s="21"/>
      <c r="O262" s="22">
        <v>30.0</v>
      </c>
      <c r="P262" s="28">
        <v>6.0</v>
      </c>
      <c r="Q262" s="28">
        <v>13.0</v>
      </c>
      <c r="R262" s="24"/>
      <c r="S262" s="24"/>
      <c r="T262" s="47"/>
      <c r="U262" s="47"/>
      <c r="V262" s="47"/>
      <c r="W262" s="47"/>
      <c r="X262" s="47"/>
      <c r="Y262" s="47"/>
      <c r="Z262" s="47"/>
      <c r="AA262" s="47"/>
    </row>
    <row r="263" ht="15.75" customHeight="1">
      <c r="A263" s="14" t="s">
        <v>17</v>
      </c>
      <c r="B263" s="15" t="s">
        <v>2410</v>
      </c>
      <c r="C263" s="14" t="s">
        <v>1972</v>
      </c>
      <c r="D263" s="14" t="s">
        <v>1973</v>
      </c>
      <c r="E263" s="26" t="s">
        <v>1974</v>
      </c>
      <c r="F263" s="14">
        <v>188.0</v>
      </c>
      <c r="G263" s="14" t="s">
        <v>1976</v>
      </c>
      <c r="H263" s="14" t="s">
        <v>28</v>
      </c>
      <c r="I263" s="19" t="s">
        <v>2951</v>
      </c>
      <c r="J263" s="19" t="s">
        <v>2952</v>
      </c>
      <c r="K263" s="19" t="s">
        <v>2953</v>
      </c>
      <c r="L263" s="19" t="s">
        <v>2954</v>
      </c>
      <c r="M263" s="20" t="s">
        <v>1387</v>
      </c>
      <c r="N263" s="21"/>
      <c r="O263" s="22">
        <v>42.0</v>
      </c>
      <c r="P263" s="28">
        <v>16.0</v>
      </c>
      <c r="Q263" s="28">
        <v>21.0</v>
      </c>
      <c r="R263" s="24"/>
      <c r="S263" s="24"/>
      <c r="T263" s="47"/>
      <c r="U263" s="47"/>
      <c r="V263" s="47"/>
      <c r="W263" s="47"/>
      <c r="X263" s="47"/>
      <c r="Y263" s="47"/>
      <c r="Z263" s="47"/>
      <c r="AA263" s="47"/>
    </row>
    <row r="264" ht="15.75" customHeight="1">
      <c r="A264" s="14" t="s">
        <v>17</v>
      </c>
      <c r="B264" s="15" t="s">
        <v>2410</v>
      </c>
      <c r="C264" s="14" t="s">
        <v>1981</v>
      </c>
      <c r="D264" s="14" t="s">
        <v>1982</v>
      </c>
      <c r="E264" s="26" t="s">
        <v>1983</v>
      </c>
      <c r="F264" s="14">
        <v>180.0</v>
      </c>
      <c r="G264" s="14" t="s">
        <v>1984</v>
      </c>
      <c r="H264" s="14" t="s">
        <v>28</v>
      </c>
      <c r="I264" s="19" t="s">
        <v>2963</v>
      </c>
      <c r="J264" s="19" t="s">
        <v>1985</v>
      </c>
      <c r="K264" s="19" t="s">
        <v>2967</v>
      </c>
      <c r="L264" s="19" t="s">
        <v>474</v>
      </c>
      <c r="M264" s="20" t="s">
        <v>1986</v>
      </c>
      <c r="N264" s="21"/>
      <c r="O264" s="22">
        <v>120.0</v>
      </c>
      <c r="P264" s="28">
        <v>29.0</v>
      </c>
      <c r="Q264" s="28">
        <v>14.0</v>
      </c>
      <c r="R264" s="24"/>
      <c r="S264" s="24"/>
      <c r="T264" s="47"/>
      <c r="U264" s="47"/>
      <c r="V264" s="47"/>
      <c r="W264" s="47"/>
      <c r="X264" s="47"/>
      <c r="Y264" s="47"/>
      <c r="Z264" s="47"/>
      <c r="AA264" s="47"/>
    </row>
    <row r="265" ht="15.75" customHeight="1">
      <c r="A265" s="14" t="s">
        <v>17</v>
      </c>
      <c r="B265" s="15" t="s">
        <v>2410</v>
      </c>
      <c r="C265" s="14" t="s">
        <v>1987</v>
      </c>
      <c r="D265" s="14" t="s">
        <v>1988</v>
      </c>
      <c r="E265" s="26" t="s">
        <v>1989</v>
      </c>
      <c r="F265" s="14">
        <v>172.0</v>
      </c>
      <c r="G265" s="14" t="s">
        <v>1990</v>
      </c>
      <c r="H265" s="14" t="s">
        <v>28</v>
      </c>
      <c r="I265" s="19" t="s">
        <v>2972</v>
      </c>
      <c r="J265" s="19" t="s">
        <v>1991</v>
      </c>
      <c r="K265" s="19" t="s">
        <v>2975</v>
      </c>
      <c r="L265" s="19" t="s">
        <v>312</v>
      </c>
      <c r="M265" s="20"/>
      <c r="N265" s="21"/>
      <c r="O265" s="22">
        <v>50.0</v>
      </c>
      <c r="P265" s="28">
        <v>15.0</v>
      </c>
      <c r="Q265" s="28">
        <v>18.0</v>
      </c>
      <c r="R265" s="24"/>
      <c r="S265" s="24"/>
      <c r="T265" s="47"/>
      <c r="U265" s="47"/>
      <c r="V265" s="47"/>
      <c r="W265" s="47"/>
      <c r="X265" s="47"/>
      <c r="Y265" s="47"/>
      <c r="Z265" s="47"/>
      <c r="AA265" s="47"/>
    </row>
    <row r="266" ht="15.75" customHeight="1">
      <c r="A266" s="14" t="s">
        <v>17</v>
      </c>
      <c r="B266" s="15" t="s">
        <v>2410</v>
      </c>
      <c r="C266" s="14" t="s">
        <v>1992</v>
      </c>
      <c r="D266" s="14" t="s">
        <v>1993</v>
      </c>
      <c r="E266" s="26" t="s">
        <v>1994</v>
      </c>
      <c r="F266" s="14">
        <v>164.0</v>
      </c>
      <c r="G266" s="14" t="s">
        <v>1997</v>
      </c>
      <c r="H266" s="14" t="s">
        <v>28</v>
      </c>
      <c r="I266" s="19" t="s">
        <v>2983</v>
      </c>
      <c r="J266" s="19" t="s">
        <v>1998</v>
      </c>
      <c r="K266" s="19" t="s">
        <v>2984</v>
      </c>
      <c r="L266" s="19" t="s">
        <v>2985</v>
      </c>
      <c r="M266" s="20"/>
      <c r="N266" s="21"/>
      <c r="O266" s="22">
        <v>50.0</v>
      </c>
      <c r="P266" s="28">
        <v>3.0</v>
      </c>
      <c r="Q266" s="28">
        <v>19.0</v>
      </c>
      <c r="R266" s="24"/>
      <c r="S266" s="24"/>
      <c r="T266" s="47"/>
      <c r="U266" s="47"/>
      <c r="V266" s="47"/>
      <c r="W266" s="47"/>
      <c r="X266" s="47"/>
      <c r="Y266" s="47"/>
      <c r="Z266" s="47"/>
      <c r="AA266" s="47"/>
    </row>
    <row r="267" ht="15.75" customHeight="1">
      <c r="A267" s="14" t="s">
        <v>17</v>
      </c>
      <c r="B267" s="15" t="s">
        <v>2410</v>
      </c>
      <c r="C267" s="14" t="s">
        <v>2000</v>
      </c>
      <c r="D267" s="14" t="s">
        <v>2001</v>
      </c>
      <c r="E267" s="26" t="s">
        <v>2002</v>
      </c>
      <c r="F267" s="14">
        <v>156.0</v>
      </c>
      <c r="G267" s="14" t="s">
        <v>2004</v>
      </c>
      <c r="H267" s="14" t="s">
        <v>28</v>
      </c>
      <c r="I267" s="19" t="s">
        <v>2992</v>
      </c>
      <c r="J267" s="19" t="s">
        <v>2005</v>
      </c>
      <c r="K267" s="19" t="s">
        <v>2993</v>
      </c>
      <c r="L267" s="19" t="s">
        <v>873</v>
      </c>
      <c r="M267" s="20" t="s">
        <v>2006</v>
      </c>
      <c r="N267" s="21"/>
      <c r="O267" s="22">
        <v>16.0</v>
      </c>
      <c r="P267" s="28">
        <v>6.0</v>
      </c>
      <c r="Q267" s="28">
        <v>20.0</v>
      </c>
      <c r="R267" s="24"/>
      <c r="S267" s="24"/>
      <c r="T267" s="47"/>
      <c r="U267" s="47"/>
      <c r="V267" s="47"/>
      <c r="W267" s="47"/>
      <c r="X267" s="47"/>
      <c r="Y267" s="47"/>
      <c r="Z267" s="47"/>
      <c r="AA267" s="47"/>
    </row>
    <row r="268" ht="15.75" customHeight="1">
      <c r="A268" s="14" t="s">
        <v>17</v>
      </c>
      <c r="B268" s="15" t="s">
        <v>2410</v>
      </c>
      <c r="C268" s="14" t="s">
        <v>2007</v>
      </c>
      <c r="D268" s="14" t="s">
        <v>2008</v>
      </c>
      <c r="E268" s="26" t="s">
        <v>2009</v>
      </c>
      <c r="F268" s="14">
        <v>149.0</v>
      </c>
      <c r="G268" s="14" t="s">
        <v>2012</v>
      </c>
      <c r="H268" s="14" t="s">
        <v>28</v>
      </c>
      <c r="I268" s="19" t="s">
        <v>3004</v>
      </c>
      <c r="J268" s="19" t="s">
        <v>2014</v>
      </c>
      <c r="K268" s="19" t="s">
        <v>3005</v>
      </c>
      <c r="L268" s="19" t="s">
        <v>3006</v>
      </c>
      <c r="M268" s="20"/>
      <c r="N268" s="21"/>
      <c r="O268" s="22">
        <v>8.0</v>
      </c>
      <c r="P268" s="28">
        <v>2.0</v>
      </c>
      <c r="Q268" s="28">
        <v>29.0</v>
      </c>
      <c r="R268" s="24"/>
      <c r="S268" s="24"/>
      <c r="T268" s="47"/>
      <c r="U268" s="47"/>
      <c r="V268" s="47"/>
      <c r="W268" s="47"/>
      <c r="X268" s="47"/>
      <c r="Y268" s="47"/>
      <c r="Z268" s="47"/>
      <c r="AA268" s="47"/>
    </row>
    <row r="269" ht="15.75" customHeight="1">
      <c r="A269" s="14" t="s">
        <v>17</v>
      </c>
      <c r="B269" s="15" t="s">
        <v>2410</v>
      </c>
      <c r="C269" s="14" t="s">
        <v>2016</v>
      </c>
      <c r="D269" s="14" t="s">
        <v>2017</v>
      </c>
      <c r="E269" s="26" t="s">
        <v>2018</v>
      </c>
      <c r="F269" s="14">
        <v>140.0</v>
      </c>
      <c r="G269" s="14" t="s">
        <v>2019</v>
      </c>
      <c r="H269" s="14" t="s">
        <v>28</v>
      </c>
      <c r="I269" s="19" t="s">
        <v>3019</v>
      </c>
      <c r="J269" s="19" t="s">
        <v>1088</v>
      </c>
      <c r="K269" s="19" t="s">
        <v>1263</v>
      </c>
      <c r="L269" s="19" t="s">
        <v>3020</v>
      </c>
      <c r="M269" s="20" t="s">
        <v>487</v>
      </c>
      <c r="N269" s="21"/>
      <c r="O269" s="22">
        <v>145.0</v>
      </c>
      <c r="P269" s="28">
        <v>46.0</v>
      </c>
      <c r="Q269" s="28">
        <v>11.0</v>
      </c>
      <c r="R269" s="46" t="s">
        <v>106</v>
      </c>
      <c r="S269" s="24"/>
      <c r="T269" s="47"/>
      <c r="U269" s="47"/>
      <c r="V269" s="47"/>
      <c r="W269" s="47"/>
      <c r="X269" s="47"/>
      <c r="Y269" s="47"/>
      <c r="Z269" s="47"/>
      <c r="AA269" s="47"/>
    </row>
    <row r="270" ht="15.75" customHeight="1">
      <c r="A270" s="14" t="s">
        <v>17</v>
      </c>
      <c r="B270" s="15" t="s">
        <v>2410</v>
      </c>
      <c r="C270" s="14" t="s">
        <v>2021</v>
      </c>
      <c r="D270" s="14" t="s">
        <v>2022</v>
      </c>
      <c r="E270" s="26" t="s">
        <v>2023</v>
      </c>
      <c r="F270" s="14">
        <v>132.0</v>
      </c>
      <c r="G270" s="14" t="s">
        <v>2024</v>
      </c>
      <c r="H270" s="14" t="s">
        <v>28</v>
      </c>
      <c r="I270" s="19" t="s">
        <v>3028</v>
      </c>
      <c r="J270" s="19" t="s">
        <v>2025</v>
      </c>
      <c r="K270" s="19" t="s">
        <v>3031</v>
      </c>
      <c r="L270" s="19" t="s">
        <v>3033</v>
      </c>
      <c r="M270" s="20" t="s">
        <v>487</v>
      </c>
      <c r="N270" s="21"/>
      <c r="O270" s="22">
        <v>98.0</v>
      </c>
      <c r="P270" s="28">
        <v>34.0</v>
      </c>
      <c r="Q270" s="28">
        <v>15.0</v>
      </c>
      <c r="R270" s="24"/>
      <c r="S270" s="24"/>
      <c r="T270" s="47"/>
      <c r="U270" s="47"/>
      <c r="V270" s="47"/>
      <c r="W270" s="47"/>
      <c r="X270" s="47"/>
      <c r="Y270" s="47"/>
      <c r="Z270" s="47"/>
      <c r="AA270" s="47"/>
    </row>
    <row r="271" ht="15.75" customHeight="1">
      <c r="A271" s="14" t="s">
        <v>17</v>
      </c>
      <c r="B271" s="15" t="s">
        <v>2410</v>
      </c>
      <c r="C271" s="14" t="s">
        <v>2027</v>
      </c>
      <c r="D271" s="14" t="s">
        <v>2028</v>
      </c>
      <c r="E271" s="26" t="s">
        <v>2029</v>
      </c>
      <c r="F271" s="14">
        <v>124.0</v>
      </c>
      <c r="G271" s="14" t="s">
        <v>2033</v>
      </c>
      <c r="H271" s="14" t="s">
        <v>28</v>
      </c>
      <c r="I271" s="19" t="s">
        <v>3039</v>
      </c>
      <c r="J271" s="19" t="s">
        <v>2034</v>
      </c>
      <c r="K271" s="19" t="s">
        <v>3040</v>
      </c>
      <c r="L271" s="19" t="s">
        <v>3033</v>
      </c>
      <c r="M271" s="20"/>
      <c r="N271" s="21"/>
      <c r="O271" s="22">
        <v>50.0</v>
      </c>
      <c r="P271" s="28">
        <v>6.0</v>
      </c>
      <c r="Q271" s="28">
        <v>13.0</v>
      </c>
      <c r="R271" s="24"/>
      <c r="S271" s="24"/>
      <c r="T271" s="47"/>
      <c r="U271" s="47"/>
      <c r="V271" s="47"/>
      <c r="W271" s="47"/>
      <c r="X271" s="47"/>
      <c r="Y271" s="47"/>
      <c r="Z271" s="47"/>
      <c r="AA271" s="47"/>
    </row>
    <row r="272" ht="15.75" customHeight="1">
      <c r="A272" s="14" t="s">
        <v>17</v>
      </c>
      <c r="B272" s="15" t="s">
        <v>2410</v>
      </c>
      <c r="C272" s="14" t="s">
        <v>2035</v>
      </c>
      <c r="D272" s="14" t="s">
        <v>2036</v>
      </c>
      <c r="E272" s="26" t="s">
        <v>2037</v>
      </c>
      <c r="F272" s="14">
        <v>117.0</v>
      </c>
      <c r="G272" s="14" t="s">
        <v>2040</v>
      </c>
      <c r="H272" s="14" t="s">
        <v>28</v>
      </c>
      <c r="I272" s="19" t="s">
        <v>3053</v>
      </c>
      <c r="J272" s="19" t="s">
        <v>2041</v>
      </c>
      <c r="K272" s="19" t="s">
        <v>3054</v>
      </c>
      <c r="L272" s="19" t="s">
        <v>3055</v>
      </c>
      <c r="M272" s="20" t="s">
        <v>1294</v>
      </c>
      <c r="N272" s="21"/>
      <c r="O272" s="31"/>
      <c r="P272" s="28">
        <v>16.0</v>
      </c>
      <c r="Q272" s="28">
        <v>23.0</v>
      </c>
      <c r="R272" s="24"/>
      <c r="S272" s="24"/>
      <c r="T272" s="47"/>
      <c r="U272" s="47"/>
      <c r="V272" s="47"/>
      <c r="W272" s="47"/>
      <c r="X272" s="47"/>
      <c r="Y272" s="47"/>
      <c r="Z272" s="47"/>
      <c r="AA272" s="47"/>
    </row>
    <row r="273" ht="15.75" customHeight="1">
      <c r="A273" s="14" t="s">
        <v>17</v>
      </c>
      <c r="B273" s="15" t="s">
        <v>2410</v>
      </c>
      <c r="C273" s="14" t="s">
        <v>2043</v>
      </c>
      <c r="D273" s="14" t="s">
        <v>2044</v>
      </c>
      <c r="E273" s="26" t="s">
        <v>2045</v>
      </c>
      <c r="F273" s="14">
        <v>108.0</v>
      </c>
      <c r="G273" s="14" t="s">
        <v>2048</v>
      </c>
      <c r="H273" s="14" t="s">
        <v>28</v>
      </c>
      <c r="I273" s="19" t="s">
        <v>3062</v>
      </c>
      <c r="J273" s="19" t="s">
        <v>2049</v>
      </c>
      <c r="K273" s="19" t="s">
        <v>3063</v>
      </c>
      <c r="L273" s="19" t="s">
        <v>873</v>
      </c>
      <c r="M273" s="20" t="s">
        <v>2050</v>
      </c>
      <c r="N273" s="21"/>
      <c r="O273" s="22">
        <v>50.0</v>
      </c>
      <c r="P273" s="28">
        <v>9.0</v>
      </c>
      <c r="Q273" s="28">
        <v>15.0</v>
      </c>
      <c r="R273" s="24"/>
      <c r="S273" s="24"/>
      <c r="T273" s="47"/>
      <c r="U273" s="47"/>
      <c r="V273" s="47"/>
      <c r="W273" s="47"/>
      <c r="X273" s="47"/>
      <c r="Y273" s="47"/>
      <c r="Z273" s="47"/>
      <c r="AA273" s="47"/>
    </row>
    <row r="274" ht="15.75" customHeight="1">
      <c r="A274" s="14" t="s">
        <v>17</v>
      </c>
      <c r="B274" s="15" t="s">
        <v>2410</v>
      </c>
      <c r="C274" s="14" t="s">
        <v>2051</v>
      </c>
      <c r="D274" s="14" t="s">
        <v>2052</v>
      </c>
      <c r="E274" s="26" t="s">
        <v>2053</v>
      </c>
      <c r="F274" s="14">
        <v>100.0</v>
      </c>
      <c r="G274" s="14" t="s">
        <v>2057</v>
      </c>
      <c r="H274" s="14" t="s">
        <v>28</v>
      </c>
      <c r="I274" s="19" t="s">
        <v>3178</v>
      </c>
      <c r="J274" s="19" t="s">
        <v>2058</v>
      </c>
      <c r="K274" s="19" t="s">
        <v>3179</v>
      </c>
      <c r="L274" s="19" t="s">
        <v>3180</v>
      </c>
      <c r="M274" s="20" t="s">
        <v>1379</v>
      </c>
      <c r="N274" s="21"/>
      <c r="O274" s="22">
        <v>372.0</v>
      </c>
      <c r="P274" s="28">
        <v>113.0</v>
      </c>
      <c r="Q274" s="28">
        <v>19.0</v>
      </c>
      <c r="R274" s="24"/>
      <c r="S274" s="24"/>
      <c r="T274" s="47"/>
      <c r="U274" s="47"/>
      <c r="V274" s="47"/>
      <c r="W274" s="47"/>
      <c r="X274" s="47"/>
      <c r="Y274" s="47"/>
      <c r="Z274" s="47"/>
      <c r="AA274" s="47"/>
    </row>
    <row r="275" ht="15.75" customHeight="1">
      <c r="A275" s="14" t="s">
        <v>17</v>
      </c>
      <c r="B275" s="15" t="s">
        <v>2410</v>
      </c>
      <c r="C275" s="14" t="s">
        <v>2059</v>
      </c>
      <c r="D275" s="14" t="s">
        <v>2060</v>
      </c>
      <c r="E275" s="26" t="s">
        <v>2061</v>
      </c>
      <c r="F275" s="14">
        <v>93.0</v>
      </c>
      <c r="G275" s="14" t="s">
        <v>2062</v>
      </c>
      <c r="H275" s="14" t="s">
        <v>28</v>
      </c>
      <c r="I275" s="19" t="s">
        <v>3192</v>
      </c>
      <c r="J275" s="19" t="s">
        <v>2063</v>
      </c>
      <c r="K275" s="19" t="s">
        <v>3193</v>
      </c>
      <c r="L275" s="19" t="s">
        <v>3194</v>
      </c>
      <c r="M275" s="20" t="s">
        <v>1340</v>
      </c>
      <c r="N275" s="21"/>
      <c r="O275" s="22">
        <v>50.0</v>
      </c>
      <c r="P275" s="28">
        <v>14.0</v>
      </c>
      <c r="Q275" s="28">
        <v>15.0</v>
      </c>
      <c r="R275" s="24"/>
      <c r="S275" s="24"/>
      <c r="T275" s="47"/>
      <c r="U275" s="47"/>
      <c r="V275" s="47"/>
      <c r="W275" s="47"/>
      <c r="X275" s="47"/>
      <c r="Y275" s="47"/>
      <c r="Z275" s="47"/>
      <c r="AA275" s="47"/>
    </row>
    <row r="276" ht="15.75" customHeight="1">
      <c r="A276" s="14" t="s">
        <v>17</v>
      </c>
      <c r="B276" s="15" t="s">
        <v>2410</v>
      </c>
      <c r="C276" s="14" t="s">
        <v>2066</v>
      </c>
      <c r="D276" s="14" t="s">
        <v>2067</v>
      </c>
      <c r="E276" s="26" t="s">
        <v>2068</v>
      </c>
      <c r="F276" s="14">
        <v>85.0</v>
      </c>
      <c r="G276" s="14" t="s">
        <v>2070</v>
      </c>
      <c r="H276" s="14" t="s">
        <v>28</v>
      </c>
      <c r="I276" s="19" t="s">
        <v>3205</v>
      </c>
      <c r="J276" s="19" t="s">
        <v>2071</v>
      </c>
      <c r="K276" s="19" t="s">
        <v>3206</v>
      </c>
      <c r="L276" s="19" t="s">
        <v>333</v>
      </c>
      <c r="M276" s="20" t="s">
        <v>1400</v>
      </c>
      <c r="N276" s="21"/>
      <c r="O276" s="22">
        <v>182.0</v>
      </c>
      <c r="P276" s="28">
        <v>22.0</v>
      </c>
      <c r="Q276" s="28">
        <v>9.0</v>
      </c>
      <c r="R276" s="24"/>
      <c r="S276" s="24"/>
      <c r="T276" s="47"/>
      <c r="U276" s="47"/>
      <c r="V276" s="47"/>
      <c r="W276" s="47"/>
      <c r="X276" s="47"/>
      <c r="Y276" s="47"/>
      <c r="Z276" s="47"/>
      <c r="AA276" s="47"/>
    </row>
    <row r="277" ht="15.75" customHeight="1">
      <c r="A277" s="14" t="s">
        <v>17</v>
      </c>
      <c r="B277" s="15" t="s">
        <v>2410</v>
      </c>
      <c r="C277" s="14" t="s">
        <v>2072</v>
      </c>
      <c r="D277" s="14" t="s">
        <v>2073</v>
      </c>
      <c r="E277" s="26" t="s">
        <v>2074</v>
      </c>
      <c r="F277" s="14">
        <v>77.0</v>
      </c>
      <c r="G277" s="14" t="s">
        <v>2075</v>
      </c>
      <c r="H277" s="14" t="s">
        <v>28</v>
      </c>
      <c r="I277" s="19" t="s">
        <v>3210</v>
      </c>
      <c r="J277" s="19" t="s">
        <v>2076</v>
      </c>
      <c r="K277" s="19" t="s">
        <v>3211</v>
      </c>
      <c r="L277" s="19" t="s">
        <v>3212</v>
      </c>
      <c r="M277" s="20" t="s">
        <v>2078</v>
      </c>
      <c r="N277" s="21"/>
      <c r="O277" s="22">
        <v>55.0</v>
      </c>
      <c r="P277" s="28">
        <v>12.0</v>
      </c>
      <c r="Q277" s="28">
        <v>7.0</v>
      </c>
      <c r="R277" s="24"/>
      <c r="S277" s="24"/>
      <c r="T277" s="47"/>
      <c r="U277" s="47"/>
      <c r="V277" s="47"/>
      <c r="W277" s="47"/>
      <c r="X277" s="47"/>
      <c r="Y277" s="47"/>
      <c r="Z277" s="47"/>
      <c r="AA277" s="47"/>
    </row>
    <row r="278" ht="15.75" customHeight="1">
      <c r="A278" s="14" t="s">
        <v>17</v>
      </c>
      <c r="B278" s="15" t="s">
        <v>2410</v>
      </c>
      <c r="C278" s="14" t="s">
        <v>2080</v>
      </c>
      <c r="D278" s="14" t="s">
        <v>2081</v>
      </c>
      <c r="E278" s="26" t="s">
        <v>2082</v>
      </c>
      <c r="F278" s="14">
        <v>69.0</v>
      </c>
      <c r="G278" s="14" t="s">
        <v>2085</v>
      </c>
      <c r="H278" s="14" t="s">
        <v>28</v>
      </c>
      <c r="I278" s="19" t="s">
        <v>3221</v>
      </c>
      <c r="J278" s="19" t="s">
        <v>2086</v>
      </c>
      <c r="K278" s="19" t="s">
        <v>3224</v>
      </c>
      <c r="L278" s="19" t="s">
        <v>3225</v>
      </c>
      <c r="M278" s="20"/>
      <c r="N278" s="21"/>
      <c r="O278" s="22">
        <v>19.0</v>
      </c>
      <c r="P278" s="28">
        <v>2.0</v>
      </c>
      <c r="Q278" s="28">
        <v>25.0</v>
      </c>
      <c r="R278" s="24"/>
      <c r="S278" s="24"/>
      <c r="T278" s="47"/>
      <c r="U278" s="47"/>
      <c r="V278" s="47"/>
      <c r="W278" s="47"/>
      <c r="X278" s="47"/>
      <c r="Y278" s="47"/>
      <c r="Z278" s="47"/>
      <c r="AA278" s="47"/>
    </row>
    <row r="279" ht="15.75" customHeight="1">
      <c r="A279" s="14" t="s">
        <v>17</v>
      </c>
      <c r="B279" s="15" t="s">
        <v>2410</v>
      </c>
      <c r="C279" s="14" t="s">
        <v>2088</v>
      </c>
      <c r="D279" s="14" t="s">
        <v>2089</v>
      </c>
      <c r="E279" s="26" t="s">
        <v>2090</v>
      </c>
      <c r="F279" s="14">
        <v>61.0</v>
      </c>
      <c r="G279" s="14">
        <v>68.0</v>
      </c>
      <c r="H279" s="14" t="s">
        <v>28</v>
      </c>
      <c r="I279" s="19" t="s">
        <v>3231</v>
      </c>
      <c r="J279" s="19" t="s">
        <v>2092</v>
      </c>
      <c r="K279" s="19" t="s">
        <v>3232</v>
      </c>
      <c r="L279" s="19" t="s">
        <v>3233</v>
      </c>
      <c r="M279" s="20"/>
      <c r="N279" s="21"/>
      <c r="O279" s="22">
        <v>50.0</v>
      </c>
      <c r="P279" s="28">
        <v>3.0</v>
      </c>
      <c r="Q279" s="28">
        <v>16.0</v>
      </c>
      <c r="R279" s="24"/>
      <c r="S279" s="24"/>
      <c r="T279" s="47"/>
      <c r="U279" s="47"/>
      <c r="V279" s="47"/>
      <c r="W279" s="47"/>
      <c r="X279" s="47"/>
      <c r="Y279" s="47"/>
      <c r="Z279" s="47"/>
      <c r="AA279" s="47"/>
    </row>
    <row r="280" ht="15.75" customHeight="1">
      <c r="A280" s="14" t="s">
        <v>17</v>
      </c>
      <c r="B280" s="15" t="s">
        <v>2410</v>
      </c>
      <c r="C280" s="14" t="s">
        <v>2096</v>
      </c>
      <c r="D280" s="14" t="s">
        <v>2097</v>
      </c>
      <c r="E280" s="26" t="s">
        <v>2098</v>
      </c>
      <c r="F280" s="14">
        <v>52.0</v>
      </c>
      <c r="G280" s="14">
        <v>59.0</v>
      </c>
      <c r="H280" s="14" t="s">
        <v>28</v>
      </c>
      <c r="I280" s="19" t="s">
        <v>3242</v>
      </c>
      <c r="J280" s="19" t="s">
        <v>2099</v>
      </c>
      <c r="K280" s="19" t="s">
        <v>3243</v>
      </c>
      <c r="L280" s="19" t="s">
        <v>3244</v>
      </c>
      <c r="M280" s="20"/>
      <c r="N280" s="21"/>
      <c r="O280" s="22">
        <v>50.0</v>
      </c>
      <c r="P280" s="28">
        <v>2.0</v>
      </c>
      <c r="Q280" s="28">
        <v>12.0</v>
      </c>
      <c r="R280" s="24"/>
      <c r="S280" s="24"/>
      <c r="T280" s="47"/>
      <c r="U280" s="47"/>
      <c r="V280" s="47"/>
      <c r="W280" s="47"/>
      <c r="X280" s="47"/>
      <c r="Y280" s="47"/>
      <c r="Z280" s="47"/>
      <c r="AA280" s="47"/>
    </row>
    <row r="281" ht="15.75" customHeight="1">
      <c r="A281" s="14" t="s">
        <v>17</v>
      </c>
      <c r="B281" s="15" t="s">
        <v>2410</v>
      </c>
      <c r="C281" s="14" t="s">
        <v>2100</v>
      </c>
      <c r="D281" s="14" t="s">
        <v>2101</v>
      </c>
      <c r="E281" s="26" t="s">
        <v>2102</v>
      </c>
      <c r="F281" s="14">
        <v>46.0</v>
      </c>
      <c r="G281" s="14" t="s">
        <v>2105</v>
      </c>
      <c r="H281" s="14" t="s">
        <v>28</v>
      </c>
      <c r="I281" s="19" t="s">
        <v>3253</v>
      </c>
      <c r="J281" s="19" t="s">
        <v>2106</v>
      </c>
      <c r="K281" s="19" t="s">
        <v>3254</v>
      </c>
      <c r="L281" s="19" t="s">
        <v>3255</v>
      </c>
      <c r="M281" s="20" t="s">
        <v>2108</v>
      </c>
      <c r="N281" s="21"/>
      <c r="O281" s="22">
        <v>3.0</v>
      </c>
      <c r="P281" s="28">
        <v>3.0</v>
      </c>
      <c r="Q281" s="28">
        <v>10.0</v>
      </c>
      <c r="R281" s="24"/>
      <c r="S281" s="24"/>
      <c r="T281" s="47"/>
      <c r="U281" s="47"/>
      <c r="V281" s="47"/>
      <c r="W281" s="47"/>
      <c r="X281" s="47"/>
      <c r="Y281" s="47"/>
      <c r="Z281" s="47"/>
      <c r="AA281" s="47"/>
    </row>
    <row r="282" ht="15.75" customHeight="1">
      <c r="A282" s="14" t="s">
        <v>17</v>
      </c>
      <c r="B282" s="15" t="s">
        <v>2410</v>
      </c>
      <c r="C282" s="14" t="s">
        <v>2109</v>
      </c>
      <c r="D282" s="14" t="s">
        <v>2110</v>
      </c>
      <c r="E282" s="26" t="s">
        <v>2111</v>
      </c>
      <c r="F282" s="14">
        <v>40.0</v>
      </c>
      <c r="G282" s="14" t="s">
        <v>2112</v>
      </c>
      <c r="H282" s="14" t="s">
        <v>28</v>
      </c>
      <c r="I282" s="19" t="s">
        <v>3261</v>
      </c>
      <c r="J282" s="19" t="s">
        <v>2113</v>
      </c>
      <c r="K282" s="19" t="s">
        <v>3262</v>
      </c>
      <c r="L282" s="19" t="s">
        <v>3255</v>
      </c>
      <c r="M282" s="20"/>
      <c r="N282" s="21"/>
      <c r="O282" s="22">
        <v>116.0</v>
      </c>
      <c r="P282" s="28">
        <v>31.0</v>
      </c>
      <c r="Q282" s="28">
        <v>17.0</v>
      </c>
      <c r="R282" s="24"/>
      <c r="S282" s="24"/>
      <c r="T282" s="47"/>
      <c r="U282" s="47"/>
      <c r="V282" s="47"/>
      <c r="W282" s="47"/>
      <c r="X282" s="47"/>
      <c r="Y282" s="47"/>
      <c r="Z282" s="47"/>
      <c r="AA282" s="47"/>
    </row>
    <row r="283" ht="15.75" customHeight="1">
      <c r="A283" s="14" t="s">
        <v>17</v>
      </c>
      <c r="B283" s="15" t="s">
        <v>2410</v>
      </c>
      <c r="C283" s="14" t="s">
        <v>2114</v>
      </c>
      <c r="D283" s="14" t="s">
        <v>2115</v>
      </c>
      <c r="E283" s="26" t="s">
        <v>2116</v>
      </c>
      <c r="F283" s="14">
        <v>31.0</v>
      </c>
      <c r="G283" s="14" t="s">
        <v>2119</v>
      </c>
      <c r="H283" s="14" t="s">
        <v>28</v>
      </c>
      <c r="I283" s="19" t="s">
        <v>3273</v>
      </c>
      <c r="J283" s="19" t="s">
        <v>3274</v>
      </c>
      <c r="K283" s="19" t="s">
        <v>3275</v>
      </c>
      <c r="L283" s="19" t="s">
        <v>3276</v>
      </c>
      <c r="M283" s="20" t="s">
        <v>2122</v>
      </c>
      <c r="N283" s="21"/>
      <c r="O283" s="22">
        <v>139.0</v>
      </c>
      <c r="P283" s="28">
        <v>30.0</v>
      </c>
      <c r="Q283" s="28">
        <v>15.0</v>
      </c>
      <c r="R283" s="24"/>
      <c r="S283" s="24"/>
      <c r="T283" s="47"/>
      <c r="U283" s="47"/>
      <c r="V283" s="47"/>
      <c r="W283" s="47"/>
      <c r="X283" s="47"/>
      <c r="Y283" s="47"/>
      <c r="Z283" s="47"/>
      <c r="AA283" s="47"/>
    </row>
    <row r="284" ht="15.75" customHeight="1">
      <c r="A284" s="14" t="s">
        <v>17</v>
      </c>
      <c r="B284" s="15" t="s">
        <v>2410</v>
      </c>
      <c r="C284" s="14" t="s">
        <v>2123</v>
      </c>
      <c r="D284" s="14" t="s">
        <v>2124</v>
      </c>
      <c r="E284" s="26" t="s">
        <v>2125</v>
      </c>
      <c r="F284" s="14">
        <v>21.0</v>
      </c>
      <c r="G284" s="14" t="s">
        <v>2126</v>
      </c>
      <c r="H284" s="14" t="s">
        <v>28</v>
      </c>
      <c r="I284" s="19" t="s">
        <v>3282</v>
      </c>
      <c r="J284" s="19" t="s">
        <v>2127</v>
      </c>
      <c r="K284" s="19" t="s">
        <v>3285</v>
      </c>
      <c r="L284" s="19" t="s">
        <v>3286</v>
      </c>
      <c r="M284" s="20"/>
      <c r="N284" s="21"/>
      <c r="O284" s="22">
        <v>55.0</v>
      </c>
      <c r="P284" s="28">
        <v>10.0</v>
      </c>
      <c r="Q284" s="28">
        <v>11.0</v>
      </c>
      <c r="R284" s="24"/>
      <c r="S284" s="24"/>
      <c r="T284" s="47"/>
      <c r="U284" s="47"/>
      <c r="V284" s="47"/>
      <c r="W284" s="47"/>
      <c r="X284" s="47"/>
      <c r="Y284" s="47"/>
      <c r="Z284" s="47"/>
      <c r="AA284" s="47"/>
    </row>
    <row r="285" ht="15.75" customHeight="1">
      <c r="A285" s="14" t="s">
        <v>17</v>
      </c>
      <c r="B285" s="15" t="s">
        <v>2410</v>
      </c>
      <c r="C285" s="14" t="s">
        <v>2129</v>
      </c>
      <c r="D285" s="14" t="s">
        <v>2130</v>
      </c>
      <c r="E285" s="26" t="s">
        <v>2131</v>
      </c>
      <c r="F285" s="14">
        <v>13.0</v>
      </c>
      <c r="G285" s="14">
        <v>20.0</v>
      </c>
      <c r="H285" s="14" t="s">
        <v>28</v>
      </c>
      <c r="I285" s="19" t="s">
        <v>3295</v>
      </c>
      <c r="J285" s="19" t="s">
        <v>2135</v>
      </c>
      <c r="K285" s="19" t="s">
        <v>3296</v>
      </c>
      <c r="L285" s="19" t="s">
        <v>3297</v>
      </c>
      <c r="M285" s="20" t="s">
        <v>1334</v>
      </c>
      <c r="N285" s="21"/>
      <c r="O285" s="31"/>
      <c r="P285" s="28">
        <v>8.0</v>
      </c>
      <c r="Q285" s="28">
        <v>27.0</v>
      </c>
      <c r="R285" s="24"/>
      <c r="S285" s="24"/>
      <c r="T285" s="47"/>
      <c r="U285" s="47"/>
      <c r="V285" s="47"/>
      <c r="W285" s="47"/>
      <c r="X285" s="47"/>
      <c r="Y285" s="47"/>
      <c r="Z285" s="47"/>
      <c r="AA285" s="47"/>
    </row>
    <row r="286" ht="15.75" customHeight="1">
      <c r="A286" s="14" t="s">
        <v>2137</v>
      </c>
      <c r="B286" s="15" t="s">
        <v>3298</v>
      </c>
      <c r="C286" s="14" t="s">
        <v>2138</v>
      </c>
      <c r="D286" s="14" t="s">
        <v>2139</v>
      </c>
      <c r="E286" s="49" t="str">
        <f>HYPERLINK("http://dx.doi.org/10.1109/INFVIS.1995.528680","http://dx.doi.org/10.1109/INFVIS.1995.528680")</f>
        <v>http://dx.doi.org/10.1109/INFVIS.1995.528680</v>
      </c>
      <c r="F286" s="50">
        <v>4.0</v>
      </c>
      <c r="G286" s="50">
        <v>10.0</v>
      </c>
      <c r="H286" s="14" t="s">
        <v>28</v>
      </c>
      <c r="I286" s="19" t="s">
        <v>3312</v>
      </c>
      <c r="J286" s="19" t="s">
        <v>2141</v>
      </c>
      <c r="K286" s="19" t="s">
        <v>3313</v>
      </c>
      <c r="L286" s="19" t="s">
        <v>3314</v>
      </c>
      <c r="M286" s="20"/>
      <c r="N286" s="27"/>
      <c r="O286" s="31"/>
      <c r="P286" s="28">
        <v>12.0</v>
      </c>
      <c r="Q286" s="28">
        <v>10.0</v>
      </c>
      <c r="R286" s="16"/>
      <c r="S286" s="16"/>
      <c r="T286" s="16"/>
      <c r="U286" s="16"/>
      <c r="V286" s="16"/>
      <c r="W286" s="16"/>
      <c r="X286" s="16"/>
      <c r="Y286" s="16"/>
      <c r="Z286" s="16"/>
      <c r="AA286" s="16"/>
    </row>
    <row r="287" ht="15.75" customHeight="1">
      <c r="A287" s="14" t="s">
        <v>2137</v>
      </c>
      <c r="B287" s="15" t="s">
        <v>3298</v>
      </c>
      <c r="C287" s="14" t="s">
        <v>2143</v>
      </c>
      <c r="D287" s="14" t="s">
        <v>2144</v>
      </c>
      <c r="E287" s="49" t="str">
        <f>HYPERLINK("http://dx.doi.org/10.1109/INFVIS.1995.528681","http://dx.doi.org/10.1109/INFVIS.1995.528681")</f>
        <v>http://dx.doi.org/10.1109/INFVIS.1995.528681</v>
      </c>
      <c r="F287" s="50">
        <v>11.0</v>
      </c>
      <c r="G287" s="50">
        <v>18.0</v>
      </c>
      <c r="H287" s="14" t="s">
        <v>28</v>
      </c>
      <c r="I287" s="19" t="s">
        <v>3315</v>
      </c>
      <c r="J287" s="19" t="s">
        <v>2148</v>
      </c>
      <c r="K287" s="19" t="s">
        <v>3316</v>
      </c>
      <c r="L287" s="19" t="s">
        <v>3317</v>
      </c>
      <c r="M287" s="20" t="s">
        <v>2151</v>
      </c>
      <c r="N287" s="27"/>
      <c r="O287" s="22">
        <v>19.0</v>
      </c>
      <c r="P287" s="28">
        <v>4.0</v>
      </c>
      <c r="Q287" s="28">
        <v>18.0</v>
      </c>
      <c r="R287" s="16"/>
      <c r="S287" s="16"/>
      <c r="T287" s="16"/>
      <c r="U287" s="16"/>
      <c r="V287" s="16"/>
      <c r="W287" s="16"/>
      <c r="X287" s="16"/>
      <c r="Y287" s="16"/>
      <c r="Z287" s="16"/>
      <c r="AA287" s="16"/>
    </row>
    <row r="288" ht="15.75" customHeight="1">
      <c r="A288" s="14" t="s">
        <v>2137</v>
      </c>
      <c r="B288" s="15" t="s">
        <v>3298</v>
      </c>
      <c r="C288" s="14" t="s">
        <v>2152</v>
      </c>
      <c r="D288" s="14" t="s">
        <v>2153</v>
      </c>
      <c r="E288" s="49" t="str">
        <f>HYPERLINK("http://dx.doi.org/10.1109/INFVIS.1995.528682","http://dx.doi.org/10.1109/INFVIS.1995.528682")</f>
        <v>http://dx.doi.org/10.1109/INFVIS.1995.528682</v>
      </c>
      <c r="F288" s="50">
        <v>19.0</v>
      </c>
      <c r="G288" s="50">
        <v>25.0</v>
      </c>
      <c r="H288" s="14" t="s">
        <v>28</v>
      </c>
      <c r="I288" s="19" t="s">
        <v>3318</v>
      </c>
      <c r="J288" s="19" t="s">
        <v>2155</v>
      </c>
      <c r="K288" s="19" t="s">
        <v>2155</v>
      </c>
      <c r="L288" s="19" t="s">
        <v>3319</v>
      </c>
      <c r="M288" s="20"/>
      <c r="N288" s="27"/>
      <c r="O288" s="31"/>
      <c r="P288" s="28">
        <v>6.0</v>
      </c>
      <c r="Q288" s="28">
        <v>10.0</v>
      </c>
      <c r="R288" s="16"/>
      <c r="S288" s="16"/>
      <c r="T288" s="16"/>
      <c r="U288" s="16"/>
      <c r="V288" s="16"/>
      <c r="W288" s="16"/>
      <c r="X288" s="16"/>
      <c r="Y288" s="16"/>
      <c r="Z288" s="16"/>
      <c r="AA288" s="16"/>
    </row>
    <row r="289" ht="15.75" customHeight="1">
      <c r="A289" s="14" t="s">
        <v>2137</v>
      </c>
      <c r="B289" s="15" t="s">
        <v>3298</v>
      </c>
      <c r="C289" s="14" t="s">
        <v>2157</v>
      </c>
      <c r="D289" s="14" t="s">
        <v>2158</v>
      </c>
      <c r="E289" s="49" t="str">
        <f>HYPERLINK("http://dx.doi.org/10.1109/INFVIS.1995.528683","http://dx.doi.org/10.1109/INFVIS.1995.528683")</f>
        <v>http://dx.doi.org/10.1109/INFVIS.1995.528683</v>
      </c>
      <c r="F289" s="50">
        <v>26.0</v>
      </c>
      <c r="G289" s="50">
        <v>33.0</v>
      </c>
      <c r="H289" s="14" t="s">
        <v>28</v>
      </c>
      <c r="I289" s="19" t="s">
        <v>3320</v>
      </c>
      <c r="J289" s="19" t="s">
        <v>3321</v>
      </c>
      <c r="K289" s="19" t="s">
        <v>3322</v>
      </c>
      <c r="L289" s="19" t="s">
        <v>3323</v>
      </c>
      <c r="M289" s="20"/>
      <c r="N289" s="27"/>
      <c r="O289" s="31"/>
      <c r="P289" s="28">
        <v>2.0</v>
      </c>
      <c r="Q289" s="28">
        <v>15.0</v>
      </c>
      <c r="R289" s="16"/>
      <c r="S289" s="16"/>
      <c r="T289" s="16"/>
      <c r="U289" s="16"/>
      <c r="V289" s="16"/>
      <c r="W289" s="16"/>
      <c r="X289" s="16"/>
      <c r="Y289" s="16"/>
      <c r="Z289" s="16"/>
      <c r="AA289" s="16"/>
    </row>
    <row r="290" ht="15.75" customHeight="1">
      <c r="A290" s="14" t="s">
        <v>2137</v>
      </c>
      <c r="B290" s="15" t="s">
        <v>3298</v>
      </c>
      <c r="C290" s="14" t="s">
        <v>2162</v>
      </c>
      <c r="D290" s="14" t="s">
        <v>2163</v>
      </c>
      <c r="E290" s="49" t="str">
        <f>HYPERLINK("http://dx.doi.org/10.1109/INFVIS.1995.528684","http://dx.doi.org/10.1109/INFVIS.1995.528684")</f>
        <v>http://dx.doi.org/10.1109/INFVIS.1995.528684</v>
      </c>
      <c r="F290" s="50">
        <v>36.0</v>
      </c>
      <c r="G290" s="50">
        <v>42.0</v>
      </c>
      <c r="H290" s="14" t="s">
        <v>28</v>
      </c>
      <c r="I290" s="19" t="s">
        <v>3330</v>
      </c>
      <c r="J290" s="19" t="s">
        <v>2165</v>
      </c>
      <c r="K290" s="19" t="s">
        <v>3331</v>
      </c>
      <c r="L290" s="19" t="s">
        <v>3332</v>
      </c>
      <c r="M290" s="20"/>
      <c r="N290" s="51" t="s">
        <v>2167</v>
      </c>
      <c r="O290" s="22">
        <v>21.0</v>
      </c>
      <c r="P290" s="28">
        <v>5.0</v>
      </c>
      <c r="Q290" s="28">
        <v>16.0</v>
      </c>
      <c r="R290" s="16"/>
      <c r="S290" s="16"/>
      <c r="T290" s="16"/>
      <c r="U290" s="16"/>
      <c r="V290" s="16"/>
      <c r="W290" s="16"/>
      <c r="X290" s="16"/>
      <c r="Y290" s="16"/>
      <c r="Z290" s="16"/>
      <c r="AA290" s="16"/>
    </row>
    <row r="291" ht="15.75" customHeight="1">
      <c r="A291" s="14" t="s">
        <v>2137</v>
      </c>
      <c r="B291" s="15" t="s">
        <v>3298</v>
      </c>
      <c r="C291" s="14" t="s">
        <v>2168</v>
      </c>
      <c r="D291" s="14" t="s">
        <v>2170</v>
      </c>
      <c r="E291" s="49" t="str">
        <f>HYPERLINK("http://dx.doi.org/10.1109/INFVIS.1995.528685","http://dx.doi.org/10.1109/INFVIS.1995.528685")</f>
        <v>http://dx.doi.org/10.1109/INFVIS.1995.528685</v>
      </c>
      <c r="F291" s="50">
        <v>43.0</v>
      </c>
      <c r="G291" s="50">
        <v>50.0</v>
      </c>
      <c r="H291" s="14" t="s">
        <v>28</v>
      </c>
      <c r="I291" s="19" t="s">
        <v>3338</v>
      </c>
      <c r="J291" s="19" t="s">
        <v>2178</v>
      </c>
      <c r="K291" s="19" t="s">
        <v>3339</v>
      </c>
      <c r="L291" s="19" t="s">
        <v>3340</v>
      </c>
      <c r="M291" s="20" t="s">
        <v>1988</v>
      </c>
      <c r="N291" s="27"/>
      <c r="O291" s="31"/>
      <c r="P291" s="28">
        <v>14.0</v>
      </c>
      <c r="Q291" s="28">
        <v>19.0</v>
      </c>
      <c r="R291" s="16"/>
      <c r="S291" s="16"/>
      <c r="T291" s="16"/>
      <c r="U291" s="16"/>
      <c r="V291" s="16"/>
      <c r="W291" s="16"/>
      <c r="X291" s="16"/>
      <c r="Y291" s="16"/>
      <c r="Z291" s="16"/>
      <c r="AA291" s="16"/>
    </row>
    <row r="292" ht="15.75" customHeight="1">
      <c r="A292" s="14" t="s">
        <v>2137</v>
      </c>
      <c r="B292" s="15" t="s">
        <v>3298</v>
      </c>
      <c r="C292" s="14" t="s">
        <v>2180</v>
      </c>
      <c r="D292" s="14" t="s">
        <v>2181</v>
      </c>
      <c r="E292" s="49" t="str">
        <f>HYPERLINK("http://dx.doi.org/10.1109/INFVIS.1995.528686","http://dx.doi.org/10.1109/INFVIS.1995.528686")</f>
        <v>http://dx.doi.org/10.1109/INFVIS.1995.528686</v>
      </c>
      <c r="F292" s="50">
        <v>51.0</v>
      </c>
      <c r="G292" s="50">
        <v>58.0</v>
      </c>
      <c r="H292" s="14" t="s">
        <v>28</v>
      </c>
      <c r="I292" s="19" t="s">
        <v>3345</v>
      </c>
      <c r="J292" s="19" t="s">
        <v>2186</v>
      </c>
      <c r="K292" s="19" t="s">
        <v>3346</v>
      </c>
      <c r="L292" s="19" t="s">
        <v>3347</v>
      </c>
      <c r="M292" s="20" t="s">
        <v>1465</v>
      </c>
      <c r="N292" s="27"/>
      <c r="O292" s="22">
        <v>796.0</v>
      </c>
      <c r="P292" s="28">
        <v>177.0</v>
      </c>
      <c r="Q292" s="28">
        <v>11.0</v>
      </c>
      <c r="R292" s="52" t="s">
        <v>1093</v>
      </c>
      <c r="S292" s="16"/>
      <c r="T292" s="16"/>
      <c r="U292" s="16"/>
      <c r="V292" s="16"/>
      <c r="W292" s="16"/>
      <c r="X292" s="16"/>
      <c r="Y292" s="16"/>
      <c r="Z292" s="16"/>
      <c r="AA292" s="16"/>
    </row>
    <row r="293" ht="15.75" customHeight="1">
      <c r="A293" s="14" t="s">
        <v>2137</v>
      </c>
      <c r="B293" s="15" t="s">
        <v>3298</v>
      </c>
      <c r="C293" s="14" t="s">
        <v>2188</v>
      </c>
      <c r="D293" s="14" t="s">
        <v>2189</v>
      </c>
      <c r="E293" s="49" t="str">
        <f>HYPERLINK("http://dx.doi.org/10.1109/INFVIS.1995.528687","http://dx.doi.org/10.1109/INFVIS.1995.528687")</f>
        <v>http://dx.doi.org/10.1109/INFVIS.1995.528687</v>
      </c>
      <c r="F293" s="50">
        <v>59.0</v>
      </c>
      <c r="G293" s="50">
        <v>64.0</v>
      </c>
      <c r="H293" s="14" t="s">
        <v>28</v>
      </c>
      <c r="I293" s="19" t="s">
        <v>3353</v>
      </c>
      <c r="J293" s="19" t="s">
        <v>2194</v>
      </c>
      <c r="K293" s="19" t="s">
        <v>3354</v>
      </c>
      <c r="L293" s="19" t="s">
        <v>3355</v>
      </c>
      <c r="M293" s="20"/>
      <c r="N293" s="53" t="s">
        <v>2196</v>
      </c>
      <c r="O293" s="22">
        <v>50.0</v>
      </c>
      <c r="P293" s="28">
        <v>1.0</v>
      </c>
      <c r="Q293" s="28">
        <v>13.0</v>
      </c>
      <c r="R293" s="16"/>
      <c r="S293" s="16"/>
      <c r="T293" s="16"/>
      <c r="U293" s="16"/>
      <c r="V293" s="16"/>
      <c r="W293" s="16"/>
      <c r="X293" s="16"/>
      <c r="Y293" s="16"/>
      <c r="Z293" s="16"/>
      <c r="AA293" s="16"/>
    </row>
    <row r="294" ht="15.75" customHeight="1">
      <c r="A294" s="14" t="s">
        <v>2137</v>
      </c>
      <c r="B294" s="15" t="s">
        <v>3298</v>
      </c>
      <c r="C294" s="14" t="s">
        <v>2197</v>
      </c>
      <c r="D294" s="14" t="s">
        <v>2198</v>
      </c>
      <c r="E294" s="49" t="str">
        <f>HYPERLINK("http://dx.doi.org/10.1109/INFVIS.1995.528688","http://dx.doi.org/10.1109/INFVIS.1995.528688")</f>
        <v>http://dx.doi.org/10.1109/INFVIS.1995.528688</v>
      </c>
      <c r="F294" s="50">
        <v>66.0</v>
      </c>
      <c r="G294" s="50">
        <v>73.0</v>
      </c>
      <c r="H294" s="14" t="s">
        <v>28</v>
      </c>
      <c r="I294" s="19" t="s">
        <v>3365</v>
      </c>
      <c r="J294" s="19" t="s">
        <v>2200</v>
      </c>
      <c r="K294" s="19" t="s">
        <v>3366</v>
      </c>
      <c r="L294" s="19" t="s">
        <v>3367</v>
      </c>
      <c r="M294" s="20" t="s">
        <v>2202</v>
      </c>
      <c r="N294" s="27"/>
      <c r="O294" s="22">
        <v>204.0</v>
      </c>
      <c r="P294" s="28">
        <v>54.0</v>
      </c>
      <c r="Q294" s="28">
        <v>28.0</v>
      </c>
      <c r="R294" s="16"/>
      <c r="S294" s="16"/>
      <c r="T294" s="16"/>
      <c r="U294" s="16"/>
      <c r="V294" s="16"/>
      <c r="W294" s="16"/>
      <c r="X294" s="16"/>
      <c r="Y294" s="16"/>
      <c r="Z294" s="16"/>
      <c r="AA294" s="16"/>
    </row>
    <row r="295" ht="15.75" customHeight="1">
      <c r="A295" s="14" t="s">
        <v>2137</v>
      </c>
      <c r="B295" s="15" t="s">
        <v>3298</v>
      </c>
      <c r="C295" s="14" t="s">
        <v>2203</v>
      </c>
      <c r="D295" s="14" t="s">
        <v>2204</v>
      </c>
      <c r="E295" s="49" t="str">
        <f>HYPERLINK("http://dx.doi.org/10.1109/INFVIS.1995.528689","http://dx.doi.org/10.1109/INFVIS.1995.528689")</f>
        <v>http://dx.doi.org/10.1109/INFVIS.1995.528689</v>
      </c>
      <c r="F295" s="50">
        <v>74.0</v>
      </c>
      <c r="G295" s="50">
        <v>81.0</v>
      </c>
      <c r="H295" s="14" t="s">
        <v>28</v>
      </c>
      <c r="I295" s="19" t="s">
        <v>3373</v>
      </c>
      <c r="J295" s="19" t="s">
        <v>3375</v>
      </c>
      <c r="K295" s="19" t="s">
        <v>3376</v>
      </c>
      <c r="L295" s="19" t="s">
        <v>3377</v>
      </c>
      <c r="M295" s="20"/>
      <c r="N295" s="27"/>
      <c r="O295" s="22">
        <v>185.0</v>
      </c>
      <c r="P295" s="28">
        <v>22.0</v>
      </c>
      <c r="Q295" s="28">
        <v>10.0</v>
      </c>
      <c r="R295" s="16"/>
      <c r="S295" s="16"/>
      <c r="T295" s="16"/>
      <c r="U295" s="16"/>
      <c r="V295" s="16"/>
      <c r="W295" s="16"/>
      <c r="X295" s="16"/>
      <c r="Y295" s="16"/>
      <c r="Z295" s="16"/>
      <c r="AA295" s="16"/>
    </row>
    <row r="296" ht="15.75" customHeight="1">
      <c r="A296" s="14" t="s">
        <v>2137</v>
      </c>
      <c r="B296" s="15" t="s">
        <v>3298</v>
      </c>
      <c r="C296" s="14" t="s">
        <v>2211</v>
      </c>
      <c r="D296" s="14" t="s">
        <v>2212</v>
      </c>
      <c r="E296" s="49" t="str">
        <f>HYPERLINK("http://dx.doi.org/10.1109/INFVIS.1995.528690","http://dx.doi.org/10.1109/INFVIS.1995.528690")</f>
        <v>http://dx.doi.org/10.1109/INFVIS.1995.528690</v>
      </c>
      <c r="F296" s="50">
        <v>82.0</v>
      </c>
      <c r="G296" s="50">
        <v>88.0</v>
      </c>
      <c r="H296" s="14" t="s">
        <v>28</v>
      </c>
      <c r="I296" s="19" t="s">
        <v>3383</v>
      </c>
      <c r="J296" s="19" t="s">
        <v>2215</v>
      </c>
      <c r="K296" s="19" t="s">
        <v>3385</v>
      </c>
      <c r="L296" s="19" t="s">
        <v>3386</v>
      </c>
      <c r="M296" s="20" t="s">
        <v>1858</v>
      </c>
      <c r="N296" s="27"/>
      <c r="O296" s="22">
        <v>50.0</v>
      </c>
      <c r="P296" s="28">
        <v>8.0</v>
      </c>
      <c r="Q296" s="28">
        <v>16.0</v>
      </c>
      <c r="R296" s="16"/>
      <c r="S296" s="16"/>
      <c r="T296" s="16"/>
      <c r="U296" s="16"/>
      <c r="V296" s="16"/>
      <c r="W296" s="16"/>
      <c r="X296" s="16"/>
      <c r="Y296" s="16"/>
      <c r="Z296" s="16"/>
      <c r="AA296" s="16"/>
    </row>
    <row r="297" ht="15.75" customHeight="1">
      <c r="A297" s="14" t="s">
        <v>2137</v>
      </c>
      <c r="B297" s="15" t="s">
        <v>3298</v>
      </c>
      <c r="C297" s="14" t="s">
        <v>2219</v>
      </c>
      <c r="D297" s="14" t="s">
        <v>2220</v>
      </c>
      <c r="E297" s="49" t="str">
        <f>HYPERLINK("http://dx.doi.org/10.1109/INFVIS.1995.528691","http://dx.doi.org/10.1109/INFVIS.1995.528691")</f>
        <v>http://dx.doi.org/10.1109/INFVIS.1995.528691</v>
      </c>
      <c r="F297" s="50">
        <v>90.0</v>
      </c>
      <c r="G297" s="50">
        <v>96.0</v>
      </c>
      <c r="H297" s="14" t="s">
        <v>28</v>
      </c>
      <c r="I297" s="19" t="s">
        <v>3393</v>
      </c>
      <c r="J297" s="19" t="s">
        <v>2222</v>
      </c>
      <c r="K297" s="19" t="s">
        <v>3394</v>
      </c>
      <c r="L297" s="19" t="s">
        <v>3395</v>
      </c>
      <c r="M297" s="20"/>
      <c r="N297" s="27"/>
      <c r="O297" s="22">
        <v>247.0</v>
      </c>
      <c r="P297" s="28">
        <v>31.0</v>
      </c>
      <c r="Q297" s="28">
        <v>8.0</v>
      </c>
      <c r="R297" s="16"/>
      <c r="S297" s="16"/>
      <c r="T297" s="16"/>
      <c r="U297" s="16"/>
      <c r="V297" s="16"/>
      <c r="W297" s="16"/>
      <c r="X297" s="16"/>
      <c r="Y297" s="16"/>
      <c r="Z297" s="16"/>
      <c r="AA297" s="16"/>
    </row>
    <row r="298" ht="15.75" customHeight="1">
      <c r="A298" s="14" t="s">
        <v>2137</v>
      </c>
      <c r="B298" s="15" t="s">
        <v>3298</v>
      </c>
      <c r="C298" s="14" t="s">
        <v>2224</v>
      </c>
      <c r="D298" s="14" t="s">
        <v>2225</v>
      </c>
      <c r="E298" s="49" t="str">
        <f>HYPERLINK("http://dx.doi.org/10.1109/INFVIS.1995.528692","http://dx.doi.org/10.1109/INFVIS.1995.528692")</f>
        <v>http://dx.doi.org/10.1109/INFVIS.1995.528692</v>
      </c>
      <c r="F298" s="50">
        <v>97.0</v>
      </c>
      <c r="G298" s="50">
        <v>104.0</v>
      </c>
      <c r="H298" s="14" t="s">
        <v>28</v>
      </c>
      <c r="I298" s="19" t="s">
        <v>3400</v>
      </c>
      <c r="J298" s="19" t="s">
        <v>2230</v>
      </c>
      <c r="K298" s="19" t="s">
        <v>2230</v>
      </c>
      <c r="L298" s="19" t="s">
        <v>3404</v>
      </c>
      <c r="M298" s="20" t="s">
        <v>2232</v>
      </c>
      <c r="N298" s="27"/>
      <c r="O298" s="31"/>
      <c r="P298" s="28">
        <v>19.0</v>
      </c>
      <c r="Q298" s="28">
        <v>27.0</v>
      </c>
      <c r="R298" s="16"/>
      <c r="S298" s="16"/>
      <c r="T298" s="16"/>
      <c r="U298" s="16"/>
      <c r="V298" s="16"/>
      <c r="W298" s="16"/>
      <c r="X298" s="16"/>
      <c r="Y298" s="16"/>
      <c r="Z298" s="16"/>
      <c r="AA298" s="16"/>
    </row>
    <row r="299" ht="15.75" customHeight="1">
      <c r="A299" s="14" t="s">
        <v>2137</v>
      </c>
      <c r="B299" s="15" t="s">
        <v>3298</v>
      </c>
      <c r="C299" s="14" t="s">
        <v>2233</v>
      </c>
      <c r="D299" s="14" t="s">
        <v>2234</v>
      </c>
      <c r="E299" s="49" t="str">
        <f>HYPERLINK("http://dx.doi.org/10.1109/INFVIS.1995.528693","http://dx.doi.org/10.1109/INFVIS.1995.528693")</f>
        <v>http://dx.doi.org/10.1109/INFVIS.1995.528693</v>
      </c>
      <c r="F299" s="50">
        <v>105.0</v>
      </c>
      <c r="G299" s="50">
        <v>111.0</v>
      </c>
      <c r="H299" s="14" t="s">
        <v>28</v>
      </c>
      <c r="I299" s="19" t="s">
        <v>3406</v>
      </c>
      <c r="J299" s="19" t="s">
        <v>2236</v>
      </c>
      <c r="K299" s="19" t="s">
        <v>3408</v>
      </c>
      <c r="L299" s="19" t="s">
        <v>3410</v>
      </c>
      <c r="M299" s="20" t="s">
        <v>809</v>
      </c>
      <c r="N299" s="27"/>
      <c r="O299" s="22">
        <v>50.0</v>
      </c>
      <c r="P299" s="28">
        <v>4.0</v>
      </c>
      <c r="Q299" s="28">
        <v>4.0</v>
      </c>
      <c r="R299" s="16"/>
      <c r="S299" s="16"/>
      <c r="T299" s="16"/>
      <c r="U299" s="16"/>
      <c r="V299" s="16"/>
      <c r="W299" s="16"/>
      <c r="X299" s="16"/>
      <c r="Y299" s="16"/>
      <c r="Z299" s="16"/>
      <c r="AA299" s="16"/>
    </row>
    <row r="300" ht="15.75" customHeight="1">
      <c r="A300" s="14" t="s">
        <v>2137</v>
      </c>
      <c r="B300" s="15" t="s">
        <v>3298</v>
      </c>
      <c r="C300" s="14" t="s">
        <v>2239</v>
      </c>
      <c r="D300" s="14" t="s">
        <v>2240</v>
      </c>
      <c r="E300" s="49" t="str">
        <f>HYPERLINK("http://dx.doi.org/10.1109/INFVIS.1995.528694","http://dx.doi.org/10.1109/INFVIS.1995.528694")</f>
        <v>http://dx.doi.org/10.1109/INFVIS.1995.528694</v>
      </c>
      <c r="F300" s="50">
        <v>112.0</v>
      </c>
      <c r="G300" s="50">
        <v>114.0</v>
      </c>
      <c r="H300" s="14" t="s">
        <v>28</v>
      </c>
      <c r="I300" s="19" t="s">
        <v>3414</v>
      </c>
      <c r="J300" s="19" t="s">
        <v>2243</v>
      </c>
      <c r="K300" s="19" t="s">
        <v>3415</v>
      </c>
      <c r="L300" s="19" t="s">
        <v>3416</v>
      </c>
      <c r="M300" s="20" t="s">
        <v>1541</v>
      </c>
      <c r="N300" s="27"/>
      <c r="O300" s="22">
        <v>0.0</v>
      </c>
      <c r="P300" s="28">
        <v>0.0</v>
      </c>
      <c r="Q300" s="28">
        <v>8.0</v>
      </c>
      <c r="R300" s="16"/>
      <c r="S300" s="16"/>
      <c r="T300" s="16"/>
      <c r="U300" s="16"/>
      <c r="V300" s="16"/>
      <c r="W300" s="16"/>
      <c r="X300" s="16"/>
      <c r="Y300" s="16"/>
      <c r="Z300" s="16"/>
      <c r="AA300" s="16"/>
    </row>
    <row r="301" ht="15.75" customHeight="1">
      <c r="A301" s="14" t="s">
        <v>2137</v>
      </c>
      <c r="B301" s="15" t="s">
        <v>3298</v>
      </c>
      <c r="C301" s="14" t="s">
        <v>2245</v>
      </c>
      <c r="D301" s="14" t="s">
        <v>2246</v>
      </c>
      <c r="E301" s="49" t="str">
        <f>HYPERLINK("http://dx.doi.org/10.1109/INFVIS.1995.528695","http://dx.doi.org/10.1109/INFVIS.1995.528695")</f>
        <v>http://dx.doi.org/10.1109/INFVIS.1995.528695</v>
      </c>
      <c r="F301" s="50">
        <v>115.0</v>
      </c>
      <c r="G301" s="50">
        <v>121.0</v>
      </c>
      <c r="H301" s="14" t="s">
        <v>28</v>
      </c>
      <c r="I301" s="19" t="s">
        <v>3423</v>
      </c>
      <c r="J301" s="19" t="s">
        <v>2250</v>
      </c>
      <c r="K301" s="19" t="s">
        <v>3424</v>
      </c>
      <c r="L301" s="19" t="s">
        <v>3425</v>
      </c>
      <c r="M301" s="20"/>
      <c r="N301" s="27"/>
      <c r="O301" s="22">
        <v>50.0</v>
      </c>
      <c r="P301" s="28">
        <v>3.0</v>
      </c>
      <c r="Q301" s="28">
        <v>15.0</v>
      </c>
      <c r="R301" s="16"/>
      <c r="S301" s="16"/>
      <c r="T301" s="16"/>
      <c r="U301" s="16"/>
      <c r="V301" s="16"/>
      <c r="W301" s="16"/>
      <c r="X301" s="16"/>
      <c r="Y301" s="16"/>
      <c r="Z301" s="16"/>
      <c r="AA301" s="16"/>
    </row>
    <row r="302" ht="15.75" customHeight="1">
      <c r="A302" s="14" t="s">
        <v>2137</v>
      </c>
      <c r="B302" s="15" t="s">
        <v>3298</v>
      </c>
      <c r="C302" s="14" t="s">
        <v>2252</v>
      </c>
      <c r="D302" s="14" t="s">
        <v>2253</v>
      </c>
      <c r="E302" s="49" t="str">
        <f>HYPERLINK("http://dx.doi.org/10.1109/INFVIS.1995.528696","http://dx.doi.org/10.1109/INFVIS.1995.528696")</f>
        <v>http://dx.doi.org/10.1109/INFVIS.1995.528696</v>
      </c>
      <c r="F302" s="50">
        <v>122.0</v>
      </c>
      <c r="G302" s="50">
        <v>128.0</v>
      </c>
      <c r="H302" s="14" t="s">
        <v>28</v>
      </c>
      <c r="I302" s="19" t="s">
        <v>3431</v>
      </c>
      <c r="J302" s="19" t="s">
        <v>2257</v>
      </c>
      <c r="K302" s="19" t="s">
        <v>3433</v>
      </c>
      <c r="L302" s="19" t="s">
        <v>3434</v>
      </c>
      <c r="M302" s="20"/>
      <c r="N302" s="27"/>
      <c r="O302" s="22">
        <v>50.0</v>
      </c>
      <c r="P302" s="28">
        <v>7.0</v>
      </c>
      <c r="Q302" s="28">
        <v>7.0</v>
      </c>
      <c r="R302" s="16"/>
      <c r="S302" s="16"/>
      <c r="T302" s="16"/>
      <c r="U302" s="16"/>
      <c r="V302" s="16"/>
      <c r="W302" s="16"/>
      <c r="X302" s="16"/>
      <c r="Y302" s="16"/>
      <c r="Z302" s="16"/>
      <c r="AA302" s="16"/>
    </row>
    <row r="303" ht="15.75" customHeight="1">
      <c r="A303" s="14" t="s">
        <v>2137</v>
      </c>
      <c r="B303" s="15" t="s">
        <v>3298</v>
      </c>
      <c r="C303" s="14" t="s">
        <v>2259</v>
      </c>
      <c r="D303" s="14" t="s">
        <v>2260</v>
      </c>
      <c r="E303" s="49" t="str">
        <f>HYPERLINK("http://dx.doi.org/10.1109/INFVIS.1995.528697","http://dx.doi.org/10.1109/INFVIS.1995.528697")</f>
        <v>http://dx.doi.org/10.1109/INFVIS.1995.528697</v>
      </c>
      <c r="F303" s="50">
        <v>129.0</v>
      </c>
      <c r="G303" s="50">
        <v>131.0</v>
      </c>
      <c r="H303" s="14" t="s">
        <v>28</v>
      </c>
      <c r="I303" s="19" t="s">
        <v>3437</v>
      </c>
      <c r="J303" s="19" t="s">
        <v>2265</v>
      </c>
      <c r="K303" s="19" t="s">
        <v>3439</v>
      </c>
      <c r="L303" s="19" t="s">
        <v>3440</v>
      </c>
      <c r="M303" s="20" t="s">
        <v>1512</v>
      </c>
      <c r="N303" s="27"/>
      <c r="O303" s="22">
        <v>50.0</v>
      </c>
      <c r="P303" s="28">
        <v>12.0</v>
      </c>
      <c r="Q303" s="28">
        <v>8.0</v>
      </c>
      <c r="R303" s="16"/>
      <c r="S303" s="16"/>
      <c r="T303" s="16"/>
      <c r="U303" s="16"/>
      <c r="V303" s="16"/>
      <c r="W303" s="16"/>
      <c r="X303" s="16"/>
      <c r="Y303" s="16"/>
      <c r="Z303" s="16"/>
      <c r="AA303" s="16"/>
    </row>
    <row r="304" ht="15.75" customHeight="1">
      <c r="A304" s="14" t="s">
        <v>17</v>
      </c>
      <c r="B304" s="15" t="s">
        <v>3298</v>
      </c>
      <c r="C304" s="14" t="s">
        <v>2267</v>
      </c>
      <c r="D304" s="14" t="s">
        <v>2268</v>
      </c>
      <c r="E304" s="49" t="str">
        <f>HYPERLINK("http://dx.doi.org/10.1109/VISUAL.1995.480789","http://dx.doi.org/10.1109/VISUAL.1995.480789")</f>
        <v>http://dx.doi.org/10.1109/VISUAL.1995.480789</v>
      </c>
      <c r="F304" s="50">
        <v>3.0</v>
      </c>
      <c r="G304" s="14" t="s">
        <v>2270</v>
      </c>
      <c r="H304" s="14" t="s">
        <v>28</v>
      </c>
      <c r="I304" s="19" t="s">
        <v>3444</v>
      </c>
      <c r="J304" s="19" t="s">
        <v>2271</v>
      </c>
      <c r="K304" s="19" t="s">
        <v>2271</v>
      </c>
      <c r="L304" s="19" t="s">
        <v>3446</v>
      </c>
      <c r="M304" s="20"/>
      <c r="N304" s="27"/>
      <c r="O304" s="22">
        <v>53.0</v>
      </c>
      <c r="P304" s="28">
        <v>16.0</v>
      </c>
      <c r="Q304" s="28">
        <v>22.0</v>
      </c>
      <c r="R304" s="16"/>
      <c r="S304" s="16"/>
      <c r="T304" s="16"/>
      <c r="U304" s="16"/>
      <c r="V304" s="16"/>
      <c r="W304" s="16"/>
      <c r="X304" s="16"/>
      <c r="Y304" s="16"/>
      <c r="Z304" s="16"/>
      <c r="AA304" s="16"/>
    </row>
    <row r="305" ht="15.75" customHeight="1">
      <c r="A305" s="14" t="s">
        <v>17</v>
      </c>
      <c r="B305" s="15" t="s">
        <v>3298</v>
      </c>
      <c r="C305" s="14" t="s">
        <v>2273</v>
      </c>
      <c r="D305" s="14" t="s">
        <v>2274</v>
      </c>
      <c r="E305" s="49" t="str">
        <f>HYPERLINK("http://dx.doi.org/10.1109/VISUAL.1995.480790","http://dx.doi.org/10.1109/VISUAL.1995.480790")</f>
        <v>http://dx.doi.org/10.1109/VISUAL.1995.480790</v>
      </c>
      <c r="F305" s="50">
        <v>11.0</v>
      </c>
      <c r="G305" s="14" t="s">
        <v>2279</v>
      </c>
      <c r="H305" s="14" t="s">
        <v>28</v>
      </c>
      <c r="I305" s="19" t="s">
        <v>3451</v>
      </c>
      <c r="J305" s="19" t="s">
        <v>2280</v>
      </c>
      <c r="K305" s="19" t="s">
        <v>3452</v>
      </c>
      <c r="L305" s="19" t="s">
        <v>3453</v>
      </c>
      <c r="M305" s="20"/>
      <c r="N305" s="27"/>
      <c r="O305" s="22">
        <v>64.0</v>
      </c>
      <c r="P305" s="28">
        <v>16.0</v>
      </c>
      <c r="Q305" s="28">
        <v>17.0</v>
      </c>
      <c r="R305" s="16"/>
      <c r="S305" s="16"/>
      <c r="T305" s="16"/>
      <c r="U305" s="16"/>
      <c r="V305" s="16"/>
      <c r="W305" s="16"/>
      <c r="X305" s="16"/>
      <c r="Y305" s="16"/>
      <c r="Z305" s="16"/>
      <c r="AA305" s="16"/>
    </row>
    <row r="306" ht="15.75" customHeight="1">
      <c r="A306" s="14" t="s">
        <v>17</v>
      </c>
      <c r="B306" s="15" t="s">
        <v>3298</v>
      </c>
      <c r="C306" s="14" t="s">
        <v>2282</v>
      </c>
      <c r="D306" s="14" t="s">
        <v>2283</v>
      </c>
      <c r="E306" s="49" t="str">
        <f>HYPERLINK("http://dx.doi.org/10.1109/VISUAL.1995.480791","http://dx.doi.org/10.1109/VISUAL.1995.480791")</f>
        <v>http://dx.doi.org/10.1109/VISUAL.1995.480791</v>
      </c>
      <c r="F306" s="50">
        <v>19.0</v>
      </c>
      <c r="G306" s="14" t="s">
        <v>2285</v>
      </c>
      <c r="H306" s="14" t="s">
        <v>28</v>
      </c>
      <c r="I306" s="19" t="s">
        <v>3459</v>
      </c>
      <c r="J306" s="19" t="s">
        <v>2287</v>
      </c>
      <c r="K306" s="19" t="s">
        <v>3460</v>
      </c>
      <c r="L306" s="19" t="s">
        <v>3461</v>
      </c>
      <c r="M306" s="20"/>
      <c r="N306" s="27"/>
      <c r="O306" s="22">
        <v>50.0</v>
      </c>
      <c r="P306" s="28">
        <v>3.0</v>
      </c>
      <c r="Q306" s="28">
        <v>12.0</v>
      </c>
      <c r="R306" s="16"/>
      <c r="S306" s="16"/>
      <c r="T306" s="16"/>
      <c r="U306" s="16"/>
      <c r="V306" s="16"/>
      <c r="W306" s="16"/>
      <c r="X306" s="16"/>
      <c r="Y306" s="16"/>
      <c r="Z306" s="16"/>
      <c r="AA306" s="16"/>
    </row>
    <row r="307" ht="15.75" customHeight="1">
      <c r="A307" s="14" t="s">
        <v>17</v>
      </c>
      <c r="B307" s="15" t="s">
        <v>3298</v>
      </c>
      <c r="C307" s="14" t="s">
        <v>2289</v>
      </c>
      <c r="D307" s="14" t="s">
        <v>2290</v>
      </c>
      <c r="E307" s="49" t="str">
        <f>HYPERLINK("http://dx.doi.org/10.1109/VISUAL.1995.480792","http://dx.doi.org/10.1109/VISUAL.1995.480792")</f>
        <v>http://dx.doi.org/10.1109/VISUAL.1995.480792</v>
      </c>
      <c r="F307" s="50">
        <v>27.0</v>
      </c>
      <c r="G307" s="14" t="s">
        <v>2294</v>
      </c>
      <c r="H307" s="14" t="s">
        <v>28</v>
      </c>
      <c r="I307" s="19" t="s">
        <v>3467</v>
      </c>
      <c r="J307" s="19" t="s">
        <v>2295</v>
      </c>
      <c r="K307" s="19" t="s">
        <v>3469</v>
      </c>
      <c r="L307" s="19" t="s">
        <v>3470</v>
      </c>
      <c r="M307" s="20" t="s">
        <v>2297</v>
      </c>
      <c r="N307" s="27"/>
      <c r="O307" s="22">
        <v>64.0</v>
      </c>
      <c r="P307" s="28">
        <v>17.0</v>
      </c>
      <c r="Q307" s="28">
        <v>14.0</v>
      </c>
      <c r="R307" s="16"/>
      <c r="S307" s="16"/>
      <c r="T307" s="16"/>
      <c r="U307" s="16"/>
      <c r="V307" s="16"/>
      <c r="W307" s="16"/>
      <c r="X307" s="16"/>
      <c r="Y307" s="16"/>
      <c r="Z307" s="16"/>
      <c r="AA307" s="16"/>
    </row>
    <row r="308" ht="15.75" customHeight="1">
      <c r="A308" s="14" t="s">
        <v>17</v>
      </c>
      <c r="B308" s="15" t="s">
        <v>3298</v>
      </c>
      <c r="C308" s="14" t="s">
        <v>2298</v>
      </c>
      <c r="D308" s="14" t="s">
        <v>2299</v>
      </c>
      <c r="E308" s="49" t="str">
        <f>HYPERLINK("http://dx.doi.org/10.1109/VISUAL.1995.480793","http://dx.doi.org/10.1109/VISUAL.1995.480793")</f>
        <v>http://dx.doi.org/10.1109/VISUAL.1995.480793</v>
      </c>
      <c r="F308" s="50">
        <v>36.0</v>
      </c>
      <c r="G308" s="14" t="s">
        <v>2301</v>
      </c>
      <c r="H308" s="14" t="s">
        <v>28</v>
      </c>
      <c r="I308" s="19" t="s">
        <v>3475</v>
      </c>
      <c r="J308" s="19" t="s">
        <v>2302</v>
      </c>
      <c r="K308" s="19" t="s">
        <v>3478</v>
      </c>
      <c r="L308" s="19" t="s">
        <v>3480</v>
      </c>
      <c r="M308" s="20" t="s">
        <v>1565</v>
      </c>
      <c r="N308" s="27"/>
      <c r="O308" s="22">
        <v>50.0</v>
      </c>
      <c r="P308" s="28">
        <v>5.0</v>
      </c>
      <c r="Q308" s="28">
        <v>19.0</v>
      </c>
      <c r="R308" s="16"/>
      <c r="S308" s="16"/>
      <c r="T308" s="16"/>
      <c r="U308" s="16"/>
      <c r="V308" s="16"/>
      <c r="W308" s="16"/>
      <c r="X308" s="16"/>
      <c r="Y308" s="16"/>
      <c r="Z308" s="16"/>
      <c r="AA308" s="16"/>
    </row>
    <row r="309" ht="15.75" customHeight="1">
      <c r="A309" s="14" t="s">
        <v>17</v>
      </c>
      <c r="B309" s="15" t="s">
        <v>3298</v>
      </c>
      <c r="C309" s="14" t="s">
        <v>2304</v>
      </c>
      <c r="D309" s="14" t="s">
        <v>2305</v>
      </c>
      <c r="E309" s="49" t="str">
        <f>HYPERLINK("http://dx.doi.org/10.1109/VISUAL.1995.480794","http://dx.doi.org/10.1109/VISUAL.1995.480794")</f>
        <v>http://dx.doi.org/10.1109/VISUAL.1995.480794</v>
      </c>
      <c r="F309" s="50">
        <v>44.0</v>
      </c>
      <c r="G309" s="14" t="s">
        <v>2309</v>
      </c>
      <c r="H309" s="14" t="s">
        <v>28</v>
      </c>
      <c r="I309" s="19" t="s">
        <v>3487</v>
      </c>
      <c r="J309" s="19" t="s">
        <v>2310</v>
      </c>
      <c r="K309" s="19" t="s">
        <v>3488</v>
      </c>
      <c r="L309" s="19" t="s">
        <v>3489</v>
      </c>
      <c r="M309" s="20" t="s">
        <v>1599</v>
      </c>
      <c r="N309" s="27"/>
      <c r="O309" s="22">
        <v>15.0</v>
      </c>
      <c r="P309" s="28">
        <v>6.0</v>
      </c>
      <c r="Q309" s="28">
        <v>19.0</v>
      </c>
      <c r="R309" s="16"/>
      <c r="S309" s="16"/>
      <c r="T309" s="16"/>
      <c r="U309" s="16"/>
      <c r="V309" s="16"/>
      <c r="W309" s="16"/>
      <c r="X309" s="16"/>
      <c r="Y309" s="16"/>
      <c r="Z309" s="16"/>
      <c r="AA309" s="16"/>
    </row>
    <row r="310" ht="15.75" customHeight="1">
      <c r="A310" s="14" t="s">
        <v>17</v>
      </c>
      <c r="B310" s="15" t="s">
        <v>3298</v>
      </c>
      <c r="C310" s="14" t="s">
        <v>2312</v>
      </c>
      <c r="D310" s="14" t="s">
        <v>2313</v>
      </c>
      <c r="E310" s="49" t="str">
        <f>HYPERLINK("http://dx.doi.org/10.1109/VISUAL.1995.480795","http://dx.doi.org/10.1109/VISUAL.1995.480795")</f>
        <v>http://dx.doi.org/10.1109/VISUAL.1995.480795</v>
      </c>
      <c r="F310" s="50">
        <v>52.0</v>
      </c>
      <c r="G310" s="14" t="s">
        <v>2318</v>
      </c>
      <c r="H310" s="14" t="s">
        <v>28</v>
      </c>
      <c r="I310" s="19" t="s">
        <v>3495</v>
      </c>
      <c r="J310" s="19" t="s">
        <v>2319</v>
      </c>
      <c r="K310" s="19" t="s">
        <v>3496</v>
      </c>
      <c r="L310" s="19" t="s">
        <v>3497</v>
      </c>
      <c r="M310" s="20"/>
      <c r="N310" s="27"/>
      <c r="O310" s="22">
        <v>169.0</v>
      </c>
      <c r="P310" s="28">
        <v>49.0</v>
      </c>
      <c r="Q310" s="28">
        <v>19.0</v>
      </c>
      <c r="R310" s="16"/>
      <c r="S310" s="16"/>
      <c r="T310" s="16"/>
      <c r="U310" s="16"/>
      <c r="V310" s="16"/>
      <c r="W310" s="16"/>
      <c r="X310" s="16"/>
      <c r="Y310" s="16"/>
      <c r="Z310" s="16"/>
      <c r="AA310" s="16"/>
    </row>
    <row r="311" ht="15.75" customHeight="1">
      <c r="A311" s="14" t="s">
        <v>17</v>
      </c>
      <c r="B311" s="15" t="s">
        <v>3298</v>
      </c>
      <c r="C311" s="14" t="s">
        <v>2321</v>
      </c>
      <c r="D311" s="14" t="s">
        <v>2322</v>
      </c>
      <c r="E311" s="49" t="str">
        <f>HYPERLINK("http://dx.doi.org/10.1109/VISUAL.1995.480796","http://dx.doi.org/10.1109/VISUAL.1995.480796")</f>
        <v>http://dx.doi.org/10.1109/VISUAL.1995.480796</v>
      </c>
      <c r="F311" s="50">
        <v>61.0</v>
      </c>
      <c r="G311" s="14" t="s">
        <v>2324</v>
      </c>
      <c r="H311" s="14" t="s">
        <v>28</v>
      </c>
      <c r="I311" s="19" t="s">
        <v>3502</v>
      </c>
      <c r="J311" s="19" t="s">
        <v>2325</v>
      </c>
      <c r="K311" s="19" t="s">
        <v>3504</v>
      </c>
      <c r="L311" s="19" t="s">
        <v>333</v>
      </c>
      <c r="M311" s="20" t="s">
        <v>2326</v>
      </c>
      <c r="N311" s="27"/>
      <c r="O311" s="22">
        <v>50.0</v>
      </c>
      <c r="P311" s="28">
        <v>12.0</v>
      </c>
      <c r="Q311" s="28">
        <v>24.0</v>
      </c>
      <c r="R311" s="16"/>
      <c r="S311" s="16"/>
      <c r="T311" s="16"/>
      <c r="U311" s="16"/>
      <c r="V311" s="16"/>
      <c r="W311" s="16"/>
      <c r="X311" s="16"/>
      <c r="Y311" s="16"/>
      <c r="Z311" s="16"/>
      <c r="AA311" s="16"/>
    </row>
    <row r="312" ht="15.75" customHeight="1">
      <c r="A312" s="14" t="s">
        <v>17</v>
      </c>
      <c r="B312" s="15" t="s">
        <v>3298</v>
      </c>
      <c r="C312" s="14" t="s">
        <v>2327</v>
      </c>
      <c r="D312" s="14" t="s">
        <v>2328</v>
      </c>
      <c r="E312" s="49" t="str">
        <f>HYPERLINK("http://dx.doi.org/10.1109/VISUAL.1995.480797","http://dx.doi.org/10.1109/VISUAL.1995.480797")</f>
        <v>http://dx.doi.org/10.1109/VISUAL.1995.480797</v>
      </c>
      <c r="F312" s="50">
        <v>69.0</v>
      </c>
      <c r="G312" s="14" t="s">
        <v>2333</v>
      </c>
      <c r="H312" s="14" t="s">
        <v>28</v>
      </c>
      <c r="I312" s="19" t="s">
        <v>3912</v>
      </c>
      <c r="J312" s="19" t="s">
        <v>2334</v>
      </c>
      <c r="K312" s="19" t="s">
        <v>2334</v>
      </c>
      <c r="L312" s="19" t="s">
        <v>3913</v>
      </c>
      <c r="M312" s="20" t="s">
        <v>174</v>
      </c>
      <c r="N312" s="27"/>
      <c r="O312" s="22">
        <v>29.0</v>
      </c>
      <c r="P312" s="28">
        <v>7.0</v>
      </c>
      <c r="Q312" s="28">
        <v>13.0</v>
      </c>
      <c r="R312" s="16"/>
      <c r="S312" s="16"/>
      <c r="T312" s="16"/>
      <c r="U312" s="16"/>
      <c r="V312" s="16"/>
      <c r="W312" s="16"/>
      <c r="X312" s="16"/>
      <c r="Y312" s="16"/>
      <c r="Z312" s="16"/>
      <c r="AA312" s="16"/>
    </row>
    <row r="313" ht="15.75" customHeight="1">
      <c r="A313" s="14" t="s">
        <v>17</v>
      </c>
      <c r="B313" s="15" t="s">
        <v>3298</v>
      </c>
      <c r="C313" s="14" t="s">
        <v>2338</v>
      </c>
      <c r="D313" s="14" t="s">
        <v>2340</v>
      </c>
      <c r="E313" s="49" t="str">
        <f>HYPERLINK("http://dx.doi.org/10.1109/VISUAL.1995.480798","http://dx.doi.org/10.1109/VISUAL.1995.480798")</f>
        <v>http://dx.doi.org/10.1109/VISUAL.1995.480798</v>
      </c>
      <c r="F313" s="50">
        <v>77.0</v>
      </c>
      <c r="G313" s="14" t="s">
        <v>2342</v>
      </c>
      <c r="H313" s="14" t="s">
        <v>28</v>
      </c>
      <c r="I313" s="19" t="s">
        <v>3914</v>
      </c>
      <c r="J313" s="19" t="s">
        <v>2343</v>
      </c>
      <c r="K313" s="19" t="s">
        <v>3915</v>
      </c>
      <c r="L313" s="19" t="s">
        <v>3916</v>
      </c>
      <c r="M313" s="20"/>
      <c r="N313" s="27"/>
      <c r="O313" s="22">
        <v>56.0</v>
      </c>
      <c r="P313" s="28">
        <v>16.0</v>
      </c>
      <c r="Q313" s="28">
        <v>20.0</v>
      </c>
      <c r="R313" s="16"/>
      <c r="S313" s="16"/>
      <c r="T313" s="16"/>
      <c r="U313" s="16"/>
      <c r="V313" s="16"/>
      <c r="W313" s="16"/>
      <c r="X313" s="16"/>
      <c r="Y313" s="16"/>
      <c r="Z313" s="16"/>
      <c r="AA313" s="16"/>
    </row>
    <row r="314" ht="15.75" customHeight="1">
      <c r="A314" s="14" t="s">
        <v>17</v>
      </c>
      <c r="B314" s="15" t="s">
        <v>3298</v>
      </c>
      <c r="C314" s="14" t="s">
        <v>2345</v>
      </c>
      <c r="D314" s="14" t="s">
        <v>2346</v>
      </c>
      <c r="E314" s="49" t="str">
        <f>HYPERLINK("http://dx.doi.org/10.1109/VISUAL.1995.480799","http://dx.doi.org/10.1109/VISUAL.1995.480799")</f>
        <v>http://dx.doi.org/10.1109/VISUAL.1995.480799</v>
      </c>
      <c r="F314" s="50">
        <v>86.0</v>
      </c>
      <c r="G314" s="14" t="s">
        <v>2351</v>
      </c>
      <c r="H314" s="14" t="s">
        <v>28</v>
      </c>
      <c r="I314" s="19" t="s">
        <v>3917</v>
      </c>
      <c r="J314" s="19" t="s">
        <v>3918</v>
      </c>
      <c r="K314" s="19" t="s">
        <v>3919</v>
      </c>
      <c r="L314" s="19" t="s">
        <v>3920</v>
      </c>
      <c r="M314" s="20"/>
      <c r="N314" s="51" t="s">
        <v>2354</v>
      </c>
      <c r="O314" s="22">
        <v>34.0</v>
      </c>
      <c r="P314" s="28">
        <v>7.0</v>
      </c>
      <c r="Q314" s="28">
        <v>12.0</v>
      </c>
      <c r="R314" s="16"/>
      <c r="S314" s="16"/>
      <c r="T314" s="16"/>
      <c r="U314" s="16"/>
      <c r="V314" s="16"/>
      <c r="W314" s="16"/>
      <c r="X314" s="16"/>
      <c r="Y314" s="16"/>
      <c r="Z314" s="16"/>
      <c r="AA314" s="16"/>
    </row>
    <row r="315" ht="15.75" customHeight="1">
      <c r="A315" s="14" t="s">
        <v>17</v>
      </c>
      <c r="B315" s="15" t="s">
        <v>3298</v>
      </c>
      <c r="C315" s="14" t="s">
        <v>2355</v>
      </c>
      <c r="D315" s="14" t="s">
        <v>2356</v>
      </c>
      <c r="E315" s="49" t="str">
        <f>HYPERLINK("http://dx.doi.org/10.1109/VISUAL.1995.480800","http://dx.doi.org/10.1109/VISUAL.1995.480800")</f>
        <v>http://dx.doi.org/10.1109/VISUAL.1995.480800</v>
      </c>
      <c r="F315" s="50">
        <v>94.0</v>
      </c>
      <c r="G315" s="14" t="s">
        <v>2359</v>
      </c>
      <c r="H315" s="14" t="s">
        <v>28</v>
      </c>
      <c r="I315" s="19" t="s">
        <v>3921</v>
      </c>
      <c r="J315" s="19" t="s">
        <v>2360</v>
      </c>
      <c r="K315" s="19" t="s">
        <v>3922</v>
      </c>
      <c r="L315" s="19" t="s">
        <v>3923</v>
      </c>
      <c r="M315" s="20"/>
      <c r="N315" s="27"/>
      <c r="O315" s="22">
        <v>269.0</v>
      </c>
      <c r="P315" s="28">
        <v>31.0</v>
      </c>
      <c r="Q315" s="28">
        <v>19.0</v>
      </c>
      <c r="R315" s="16"/>
      <c r="S315" s="16"/>
      <c r="T315" s="16"/>
      <c r="U315" s="16"/>
      <c r="V315" s="16"/>
      <c r="W315" s="16"/>
      <c r="X315" s="16"/>
      <c r="Y315" s="16"/>
      <c r="Z315" s="16"/>
      <c r="AA315" s="16"/>
    </row>
    <row r="316" ht="15.75" customHeight="1">
      <c r="A316" s="14" t="s">
        <v>17</v>
      </c>
      <c r="B316" s="15" t="s">
        <v>3298</v>
      </c>
      <c r="C316" s="14" t="s">
        <v>2362</v>
      </c>
      <c r="D316" s="14" t="s">
        <v>2363</v>
      </c>
      <c r="E316" s="49" t="str">
        <f>HYPERLINK("http://dx.doi.org/10.1109/VISUAL.1995.480801","http://dx.doi.org/10.1109/VISUAL.1995.480801")</f>
        <v>http://dx.doi.org/10.1109/VISUAL.1995.480801</v>
      </c>
      <c r="F316" s="50">
        <v>101.0</v>
      </c>
      <c r="G316" s="50">
        <v>108.0</v>
      </c>
      <c r="H316" s="14" t="s">
        <v>28</v>
      </c>
      <c r="I316" s="19" t="s">
        <v>3924</v>
      </c>
      <c r="J316" s="19" t="s">
        <v>2365</v>
      </c>
      <c r="K316" s="19" t="s">
        <v>3925</v>
      </c>
      <c r="L316" s="19" t="s">
        <v>3926</v>
      </c>
      <c r="M316" s="20" t="s">
        <v>2367</v>
      </c>
      <c r="N316" s="51" t="s">
        <v>2368</v>
      </c>
      <c r="O316" s="22">
        <v>55.0</v>
      </c>
      <c r="P316" s="28">
        <v>14.0</v>
      </c>
      <c r="Q316" s="28">
        <v>23.0</v>
      </c>
      <c r="R316" s="16"/>
      <c r="S316" s="16"/>
      <c r="T316" s="16"/>
      <c r="U316" s="16"/>
      <c r="V316" s="16"/>
      <c r="W316" s="16"/>
      <c r="X316" s="16"/>
      <c r="Y316" s="16"/>
      <c r="Z316" s="16"/>
      <c r="AA316" s="16"/>
    </row>
    <row r="317" ht="15.75" customHeight="1">
      <c r="A317" s="14" t="s">
        <v>17</v>
      </c>
      <c r="B317" s="15" t="s">
        <v>3298</v>
      </c>
      <c r="C317" s="14" t="s">
        <v>2370</v>
      </c>
      <c r="D317" s="14" t="s">
        <v>2371</v>
      </c>
      <c r="E317" s="49" t="str">
        <f>HYPERLINK("http://dx.doi.org/10.1109/VISUAL.1995.480802","http://dx.doi.org/10.1109/VISUAL.1995.480802")</f>
        <v>http://dx.doi.org/10.1109/VISUAL.1995.480802</v>
      </c>
      <c r="F317" s="50">
        <v>110.0</v>
      </c>
      <c r="G317" s="50">
        <v>117.0</v>
      </c>
      <c r="H317" s="14" t="s">
        <v>28</v>
      </c>
      <c r="I317" s="19" t="s">
        <v>3927</v>
      </c>
      <c r="J317" s="19" t="s">
        <v>2375</v>
      </c>
      <c r="K317" s="19" t="s">
        <v>3928</v>
      </c>
      <c r="L317" s="19" t="s">
        <v>3929</v>
      </c>
      <c r="M317" s="20"/>
      <c r="N317" s="27"/>
      <c r="O317" s="22">
        <v>70.0</v>
      </c>
      <c r="P317" s="28">
        <v>26.0</v>
      </c>
      <c r="Q317" s="28">
        <v>47.0</v>
      </c>
      <c r="R317" s="16"/>
      <c r="S317" s="16"/>
      <c r="T317" s="16"/>
      <c r="U317" s="16"/>
      <c r="V317" s="16"/>
      <c r="W317" s="16"/>
      <c r="X317" s="16"/>
      <c r="Y317" s="16"/>
      <c r="Z317" s="16"/>
      <c r="AA317" s="16"/>
    </row>
    <row r="318" ht="15.75" customHeight="1">
      <c r="A318" s="14" t="s">
        <v>17</v>
      </c>
      <c r="B318" s="15" t="s">
        <v>3298</v>
      </c>
      <c r="C318" s="14" t="s">
        <v>2377</v>
      </c>
      <c r="D318" s="14" t="s">
        <v>2378</v>
      </c>
      <c r="E318" s="49" t="str">
        <f>HYPERLINK("http://dx.doi.org/10.1109/VISUAL.1995.480803","http://dx.doi.org/10.1109/VISUAL.1995.480803")</f>
        <v>http://dx.doi.org/10.1109/VISUAL.1995.480803</v>
      </c>
      <c r="F318" s="50">
        <v>118.0</v>
      </c>
      <c r="G318" s="14" t="s">
        <v>2382</v>
      </c>
      <c r="H318" s="14" t="s">
        <v>28</v>
      </c>
      <c r="I318" s="19" t="s">
        <v>3930</v>
      </c>
      <c r="J318" s="19" t="s">
        <v>2384</v>
      </c>
      <c r="K318" s="19" t="s">
        <v>3931</v>
      </c>
      <c r="L318" s="19" t="s">
        <v>312</v>
      </c>
      <c r="M318" s="20" t="s">
        <v>2385</v>
      </c>
      <c r="N318" s="27"/>
      <c r="O318" s="22">
        <v>238.0</v>
      </c>
      <c r="P318" s="28">
        <v>62.0</v>
      </c>
      <c r="Q318" s="28">
        <v>24.0</v>
      </c>
      <c r="R318" s="16"/>
      <c r="S318" s="16"/>
      <c r="T318" s="16"/>
      <c r="U318" s="16"/>
      <c r="V318" s="16"/>
      <c r="W318" s="16"/>
      <c r="X318" s="16"/>
      <c r="Y318" s="16"/>
      <c r="Z318" s="16"/>
      <c r="AA318" s="16"/>
    </row>
    <row r="319" ht="15.75" customHeight="1">
      <c r="A319" s="14" t="s">
        <v>17</v>
      </c>
      <c r="B319" s="15" t="s">
        <v>3298</v>
      </c>
      <c r="C319" s="14" t="s">
        <v>2386</v>
      </c>
      <c r="D319" s="14" t="s">
        <v>2387</v>
      </c>
      <c r="E319" s="49" t="str">
        <f>HYPERLINK("http://dx.doi.org/10.1109/VISUAL.1995.480804","http://dx.doi.org/10.1109/VISUAL.1995.480804")</f>
        <v>http://dx.doi.org/10.1109/VISUAL.1995.480804</v>
      </c>
      <c r="F319" s="50">
        <v>126.0</v>
      </c>
      <c r="G319" s="14" t="s">
        <v>2389</v>
      </c>
      <c r="H319" s="14" t="s">
        <v>28</v>
      </c>
      <c r="I319" s="19" t="s">
        <v>3932</v>
      </c>
      <c r="J319" s="19" t="s">
        <v>2049</v>
      </c>
      <c r="K319" s="19" t="s">
        <v>3063</v>
      </c>
      <c r="L319" s="19" t="s">
        <v>873</v>
      </c>
      <c r="M319" s="20" t="s">
        <v>2390</v>
      </c>
      <c r="N319" s="27"/>
      <c r="O319" s="22">
        <v>50.0</v>
      </c>
      <c r="P319" s="28">
        <v>5.0</v>
      </c>
      <c r="Q319" s="28">
        <v>19.0</v>
      </c>
      <c r="R319" s="16"/>
      <c r="S319" s="16"/>
      <c r="T319" s="16"/>
      <c r="U319" s="16"/>
      <c r="V319" s="16"/>
      <c r="W319" s="16"/>
      <c r="X319" s="16"/>
      <c r="Y319" s="16"/>
      <c r="Z319" s="16"/>
      <c r="AA319" s="16"/>
    </row>
    <row r="320" ht="15.75" customHeight="1">
      <c r="A320" s="14" t="s">
        <v>17</v>
      </c>
      <c r="B320" s="15" t="s">
        <v>3298</v>
      </c>
      <c r="C320" s="14" t="s">
        <v>2391</v>
      </c>
      <c r="D320" s="14" t="s">
        <v>2392</v>
      </c>
      <c r="E320" s="49" t="str">
        <f>HYPERLINK("http://dx.doi.org/10.1109/VISUAL.1995.480805","http://dx.doi.org/10.1109/VISUAL.1995.480805")</f>
        <v>http://dx.doi.org/10.1109/VISUAL.1995.480805</v>
      </c>
      <c r="F320" s="50">
        <v>135.0</v>
      </c>
      <c r="G320" s="14" t="s">
        <v>2397</v>
      </c>
      <c r="H320" s="14" t="s">
        <v>28</v>
      </c>
      <c r="I320" s="19" t="s">
        <v>3933</v>
      </c>
      <c r="J320" s="19" t="s">
        <v>2398</v>
      </c>
      <c r="K320" s="19" t="s">
        <v>3934</v>
      </c>
      <c r="L320" s="19" t="s">
        <v>3935</v>
      </c>
      <c r="M320" s="20" t="s">
        <v>2067</v>
      </c>
      <c r="N320" s="27"/>
      <c r="O320" s="22">
        <v>183.0</v>
      </c>
      <c r="P320" s="28">
        <v>34.0</v>
      </c>
      <c r="Q320" s="28">
        <v>19.0</v>
      </c>
      <c r="R320" s="16"/>
      <c r="S320" s="16"/>
      <c r="T320" s="16"/>
      <c r="U320" s="16"/>
      <c r="V320" s="16"/>
      <c r="W320" s="16"/>
      <c r="X320" s="16"/>
      <c r="Y320" s="16"/>
      <c r="Z320" s="16"/>
      <c r="AA320" s="16"/>
    </row>
    <row r="321" ht="15.75" customHeight="1">
      <c r="A321" s="14" t="s">
        <v>17</v>
      </c>
      <c r="B321" s="15" t="s">
        <v>3298</v>
      </c>
      <c r="C321" s="14" t="s">
        <v>2400</v>
      </c>
      <c r="D321" s="14" t="s">
        <v>2401</v>
      </c>
      <c r="E321" s="49" t="str">
        <f>HYPERLINK("http://dx.doi.org/10.1109/VISUAL.1995.480806","http://dx.doi.org/10.1109/VISUAL.1995.480806")</f>
        <v>http://dx.doi.org/10.1109/VISUAL.1995.480806</v>
      </c>
      <c r="F321" s="50">
        <v>143.0</v>
      </c>
      <c r="G321" s="14" t="s">
        <v>2403</v>
      </c>
      <c r="H321" s="14" t="s">
        <v>28</v>
      </c>
      <c r="I321" s="19" t="s">
        <v>3936</v>
      </c>
      <c r="J321" s="19" t="s">
        <v>1985</v>
      </c>
      <c r="K321" s="19" t="s">
        <v>2967</v>
      </c>
      <c r="L321" s="19" t="s">
        <v>474</v>
      </c>
      <c r="M321" s="20" t="s">
        <v>520</v>
      </c>
      <c r="N321" s="27"/>
      <c r="O321" s="22">
        <v>129.0</v>
      </c>
      <c r="P321" s="28">
        <v>30.0</v>
      </c>
      <c r="Q321" s="28">
        <v>6.0</v>
      </c>
      <c r="R321" s="16"/>
      <c r="S321" s="16"/>
      <c r="T321" s="16"/>
      <c r="U321" s="16"/>
      <c r="V321" s="16"/>
      <c r="W321" s="16"/>
      <c r="X321" s="16"/>
      <c r="Y321" s="16"/>
      <c r="Z321" s="16"/>
      <c r="AA321" s="16"/>
    </row>
    <row r="322" ht="15.75" customHeight="1">
      <c r="A322" s="14" t="s">
        <v>17</v>
      </c>
      <c r="B322" s="15" t="s">
        <v>3298</v>
      </c>
      <c r="C322" s="14" t="s">
        <v>2405</v>
      </c>
      <c r="D322" s="14" t="s">
        <v>2406</v>
      </c>
      <c r="E322" s="49" t="str">
        <f>HYPERLINK("http://dx.doi.org/10.1109/VISUAL.1995.480807","http://dx.doi.org/10.1109/VISUAL.1995.480807")</f>
        <v>http://dx.doi.org/10.1109/VISUAL.1995.480807</v>
      </c>
      <c r="F322" s="50">
        <v>151.0</v>
      </c>
      <c r="G322" s="14" t="s">
        <v>2411</v>
      </c>
      <c r="H322" s="14" t="s">
        <v>28</v>
      </c>
      <c r="I322" s="19" t="s">
        <v>3937</v>
      </c>
      <c r="J322" s="19" t="s">
        <v>2412</v>
      </c>
      <c r="K322" s="19" t="s">
        <v>3938</v>
      </c>
      <c r="L322" s="19" t="s">
        <v>3939</v>
      </c>
      <c r="M322" s="20" t="s">
        <v>2414</v>
      </c>
      <c r="N322" s="53" t="s">
        <v>2416</v>
      </c>
      <c r="O322" s="22">
        <v>54.0</v>
      </c>
      <c r="P322" s="28">
        <v>19.0</v>
      </c>
      <c r="Q322" s="28">
        <v>17.0</v>
      </c>
      <c r="R322" s="16"/>
      <c r="S322" s="16"/>
      <c r="T322" s="16"/>
      <c r="U322" s="16"/>
      <c r="V322" s="16"/>
      <c r="W322" s="16"/>
      <c r="X322" s="16"/>
      <c r="Y322" s="16"/>
      <c r="Z322" s="16"/>
      <c r="AA322" s="16"/>
    </row>
    <row r="323" ht="15.75" customHeight="1">
      <c r="A323" s="14" t="s">
        <v>17</v>
      </c>
      <c r="B323" s="15" t="s">
        <v>3298</v>
      </c>
      <c r="C323" s="14" t="s">
        <v>2419</v>
      </c>
      <c r="D323" s="14" t="s">
        <v>2420</v>
      </c>
      <c r="E323" s="49" t="str">
        <f>HYPERLINK("http://dx.doi.org/10.1109/VISUAL.1995.480808","http://dx.doi.org/10.1109/VISUAL.1995.480808")</f>
        <v>http://dx.doi.org/10.1109/VISUAL.1995.480808</v>
      </c>
      <c r="F323" s="50">
        <v>159.0</v>
      </c>
      <c r="G323" s="14" t="s">
        <v>2422</v>
      </c>
      <c r="H323" s="14" t="s">
        <v>28</v>
      </c>
      <c r="I323" s="19" t="s">
        <v>3940</v>
      </c>
      <c r="J323" s="19" t="s">
        <v>2423</v>
      </c>
      <c r="K323" s="19" t="s">
        <v>3941</v>
      </c>
      <c r="L323" s="19" t="s">
        <v>3942</v>
      </c>
      <c r="M323" s="20" t="s">
        <v>2425</v>
      </c>
      <c r="N323" s="27"/>
      <c r="O323" s="22">
        <v>10.0</v>
      </c>
      <c r="P323" s="28">
        <v>1.0</v>
      </c>
      <c r="Q323" s="28">
        <v>15.0</v>
      </c>
      <c r="R323" s="16"/>
      <c r="S323" s="16"/>
      <c r="T323" s="16"/>
      <c r="U323" s="16"/>
      <c r="V323" s="16"/>
      <c r="W323" s="16"/>
      <c r="X323" s="16"/>
      <c r="Y323" s="16"/>
      <c r="Z323" s="16"/>
      <c r="AA323" s="16"/>
    </row>
    <row r="324" ht="15.75" customHeight="1">
      <c r="A324" s="14" t="s">
        <v>17</v>
      </c>
      <c r="B324" s="15" t="s">
        <v>3298</v>
      </c>
      <c r="C324" s="14" t="s">
        <v>2426</v>
      </c>
      <c r="D324" s="14" t="s">
        <v>2427</v>
      </c>
      <c r="E324" s="49" t="str">
        <f>HYPERLINK("http://dx.doi.org/10.1109/VISUAL.1995.480809","http://dx.doi.org/10.1109/VISUAL.1995.480809")</f>
        <v>http://dx.doi.org/10.1109/VISUAL.1995.480809</v>
      </c>
      <c r="F324" s="50">
        <v>168.0</v>
      </c>
      <c r="G324" s="14" t="s">
        <v>2429</v>
      </c>
      <c r="H324" s="14" t="s">
        <v>28</v>
      </c>
      <c r="I324" s="19" t="s">
        <v>3943</v>
      </c>
      <c r="J324" s="19" t="s">
        <v>3944</v>
      </c>
      <c r="K324" s="19" t="s">
        <v>3945</v>
      </c>
      <c r="L324" s="19" t="s">
        <v>3946</v>
      </c>
      <c r="M324" s="20" t="s">
        <v>2432</v>
      </c>
      <c r="N324" s="53" t="s">
        <v>2433</v>
      </c>
      <c r="O324" s="31"/>
      <c r="P324" s="28">
        <v>26.0</v>
      </c>
      <c r="Q324" s="28">
        <v>21.0</v>
      </c>
      <c r="R324" s="16"/>
      <c r="S324" s="16"/>
      <c r="T324" s="16"/>
      <c r="U324" s="16"/>
      <c r="V324" s="16"/>
      <c r="W324" s="16"/>
      <c r="X324" s="16"/>
      <c r="Y324" s="16"/>
      <c r="Z324" s="16"/>
      <c r="AA324" s="16"/>
    </row>
    <row r="325" ht="15.75" customHeight="1">
      <c r="A325" s="14" t="s">
        <v>17</v>
      </c>
      <c r="B325" s="15" t="s">
        <v>3298</v>
      </c>
      <c r="C325" s="14" t="s">
        <v>2434</v>
      </c>
      <c r="D325" s="14" t="s">
        <v>2435</v>
      </c>
      <c r="E325" s="49" t="str">
        <f>HYPERLINK("http://dx.doi.org/10.1109/VISUAL.1995.480810","http://dx.doi.org/10.1109/VISUAL.1995.480810")</f>
        <v>http://dx.doi.org/10.1109/VISUAL.1995.480810</v>
      </c>
      <c r="F325" s="50">
        <v>176.0</v>
      </c>
      <c r="G325" s="14" t="s">
        <v>2439</v>
      </c>
      <c r="H325" s="14" t="s">
        <v>28</v>
      </c>
      <c r="I325" s="19" t="s">
        <v>3947</v>
      </c>
      <c r="J325" s="19" t="s">
        <v>3948</v>
      </c>
      <c r="K325" s="19" t="s">
        <v>3949</v>
      </c>
      <c r="L325" s="19" t="s">
        <v>3950</v>
      </c>
      <c r="M325" s="20" t="s">
        <v>2442</v>
      </c>
      <c r="N325" s="27"/>
      <c r="O325" s="22">
        <v>50.0</v>
      </c>
      <c r="P325" s="28">
        <v>9.0</v>
      </c>
      <c r="Q325" s="28">
        <v>19.0</v>
      </c>
      <c r="R325" s="16"/>
      <c r="S325" s="16"/>
      <c r="T325" s="16"/>
      <c r="U325" s="16"/>
      <c r="V325" s="16"/>
      <c r="W325" s="16"/>
      <c r="X325" s="16"/>
      <c r="Y325" s="16"/>
      <c r="Z325" s="16"/>
      <c r="AA325" s="16"/>
    </row>
    <row r="326" ht="15.75" customHeight="1">
      <c r="A326" s="14" t="s">
        <v>17</v>
      </c>
      <c r="B326" s="15" t="s">
        <v>3298</v>
      </c>
      <c r="C326" s="14" t="s">
        <v>2443</v>
      </c>
      <c r="D326" s="14" t="s">
        <v>2444</v>
      </c>
      <c r="E326" s="49" t="str">
        <f>HYPERLINK("http://dx.doi.org/10.1109/VISUAL.1995.480811","http://dx.doi.org/10.1109/VISUAL.1995.480811")</f>
        <v>http://dx.doi.org/10.1109/VISUAL.1995.480811</v>
      </c>
      <c r="F326" s="50">
        <v>184.0</v>
      </c>
      <c r="G326" s="14" t="s">
        <v>2449</v>
      </c>
      <c r="H326" s="14" t="s">
        <v>28</v>
      </c>
      <c r="I326" s="19" t="s">
        <v>3951</v>
      </c>
      <c r="J326" s="19" t="s">
        <v>2450</v>
      </c>
      <c r="K326" s="19" t="s">
        <v>3952</v>
      </c>
      <c r="L326" s="19" t="s">
        <v>3953</v>
      </c>
      <c r="M326" s="20" t="s">
        <v>2452</v>
      </c>
      <c r="N326" s="27"/>
      <c r="O326" s="22">
        <v>24.0</v>
      </c>
      <c r="P326" s="28">
        <v>7.0</v>
      </c>
      <c r="Q326" s="28">
        <v>19.0</v>
      </c>
      <c r="R326" s="16"/>
      <c r="S326" s="16"/>
      <c r="T326" s="16"/>
      <c r="U326" s="16"/>
      <c r="V326" s="16"/>
      <c r="W326" s="16"/>
      <c r="X326" s="16"/>
      <c r="Y326" s="16"/>
      <c r="Z326" s="16"/>
      <c r="AA326" s="16"/>
    </row>
    <row r="327" ht="15.75" customHeight="1">
      <c r="A327" s="14" t="s">
        <v>17</v>
      </c>
      <c r="B327" s="15" t="s">
        <v>3298</v>
      </c>
      <c r="C327" s="14" t="s">
        <v>2453</v>
      </c>
      <c r="D327" s="14" t="s">
        <v>2454</v>
      </c>
      <c r="E327" s="49" t="str">
        <f>HYPERLINK("http://dx.doi.org/10.1109/VISUAL.1995.480812","http://dx.doi.org/10.1109/VISUAL.1995.480812")</f>
        <v>http://dx.doi.org/10.1109/VISUAL.1995.480812</v>
      </c>
      <c r="F327" s="50">
        <v>192.0</v>
      </c>
      <c r="G327" s="50">
        <v>199.0</v>
      </c>
      <c r="H327" s="14" t="s">
        <v>28</v>
      </c>
      <c r="I327" s="19" t="s">
        <v>3954</v>
      </c>
      <c r="J327" s="19" t="s">
        <v>2459</v>
      </c>
      <c r="K327" s="19" t="s">
        <v>3955</v>
      </c>
      <c r="L327" s="19" t="s">
        <v>3956</v>
      </c>
      <c r="M327" s="20" t="s">
        <v>1340</v>
      </c>
      <c r="N327" s="27"/>
      <c r="O327" s="31"/>
      <c r="P327" s="28">
        <v>21.0</v>
      </c>
      <c r="Q327" s="28">
        <v>14.0</v>
      </c>
      <c r="R327" s="16"/>
      <c r="S327" s="16"/>
      <c r="T327" s="16"/>
      <c r="U327" s="16"/>
      <c r="V327" s="16"/>
      <c r="W327" s="16"/>
      <c r="X327" s="16"/>
      <c r="Y327" s="16"/>
      <c r="Z327" s="16"/>
      <c r="AA327" s="16"/>
    </row>
    <row r="328" ht="15.75" customHeight="1">
      <c r="A328" s="14" t="s">
        <v>17</v>
      </c>
      <c r="B328" s="15" t="s">
        <v>3298</v>
      </c>
      <c r="C328" s="14" t="s">
        <v>2461</v>
      </c>
      <c r="D328" s="14" t="s">
        <v>2462</v>
      </c>
      <c r="E328" s="49" t="str">
        <f>HYPERLINK("http://dx.doi.org/10.1109/VISUAL.1995.480813","http://dx.doi.org/10.1109/VISUAL.1995.480813")</f>
        <v>http://dx.doi.org/10.1109/VISUAL.1995.480813</v>
      </c>
      <c r="F328" s="50">
        <v>201.0</v>
      </c>
      <c r="G328" s="14" t="s">
        <v>2464</v>
      </c>
      <c r="H328" s="14" t="s">
        <v>28</v>
      </c>
      <c r="I328" s="19" t="s">
        <v>3957</v>
      </c>
      <c r="J328" s="19" t="s">
        <v>3958</v>
      </c>
      <c r="K328" s="19" t="s">
        <v>3959</v>
      </c>
      <c r="L328" s="19" t="s">
        <v>3480</v>
      </c>
      <c r="M328" s="20" t="s">
        <v>2466</v>
      </c>
      <c r="N328" s="27"/>
      <c r="O328" s="22">
        <v>53.0</v>
      </c>
      <c r="P328" s="28">
        <v>7.0</v>
      </c>
      <c r="Q328" s="28">
        <v>25.0</v>
      </c>
      <c r="R328" s="16"/>
      <c r="S328" s="16"/>
      <c r="T328" s="16"/>
      <c r="U328" s="16"/>
      <c r="V328" s="16"/>
      <c r="W328" s="16"/>
      <c r="X328" s="16"/>
      <c r="Y328" s="16"/>
      <c r="Z328" s="16"/>
      <c r="AA328" s="16"/>
    </row>
    <row r="329" ht="15.75" customHeight="1">
      <c r="A329" s="14" t="s">
        <v>17</v>
      </c>
      <c r="B329" s="15" t="s">
        <v>3298</v>
      </c>
      <c r="C329" s="14" t="s">
        <v>2467</v>
      </c>
      <c r="D329" s="14" t="s">
        <v>2468</v>
      </c>
      <c r="E329" s="49" t="str">
        <f>HYPERLINK("http://dx.doi.org/10.1109/VISUAL.1995.480814","http://dx.doi.org/10.1109/VISUAL.1995.480814")</f>
        <v>http://dx.doi.org/10.1109/VISUAL.1995.480814</v>
      </c>
      <c r="F329" s="50">
        <v>209.0</v>
      </c>
      <c r="G329" s="14" t="s">
        <v>2473</v>
      </c>
      <c r="H329" s="14" t="s">
        <v>28</v>
      </c>
      <c r="I329" s="19" t="s">
        <v>3960</v>
      </c>
      <c r="J329" s="19" t="s">
        <v>2474</v>
      </c>
      <c r="K329" s="19" t="s">
        <v>3961</v>
      </c>
      <c r="L329" s="19" t="s">
        <v>3962</v>
      </c>
      <c r="M329" s="20"/>
      <c r="N329" s="27"/>
      <c r="O329" s="22">
        <v>64.0</v>
      </c>
      <c r="P329" s="28">
        <v>11.0</v>
      </c>
      <c r="Q329" s="28">
        <v>10.0</v>
      </c>
      <c r="R329" s="16"/>
      <c r="S329" s="16"/>
      <c r="T329" s="16"/>
      <c r="U329" s="16"/>
      <c r="V329" s="16"/>
      <c r="W329" s="16"/>
      <c r="X329" s="16"/>
      <c r="Y329" s="16"/>
      <c r="Z329" s="16"/>
      <c r="AA329" s="16"/>
    </row>
    <row r="330" ht="15.75" customHeight="1">
      <c r="A330" s="14" t="s">
        <v>17</v>
      </c>
      <c r="B330" s="15" t="s">
        <v>3298</v>
      </c>
      <c r="C330" s="14" t="s">
        <v>2476</v>
      </c>
      <c r="D330" s="14" t="s">
        <v>2151</v>
      </c>
      <c r="E330" s="49" t="str">
        <f>HYPERLINK("http://dx.doi.org/10.1109/VISUAL.1995.480815","http://dx.doi.org/10.1109/VISUAL.1995.480815")</f>
        <v>http://dx.doi.org/10.1109/VISUAL.1995.480815</v>
      </c>
      <c r="F330" s="50">
        <v>217.0</v>
      </c>
      <c r="G330" s="14" t="s">
        <v>2478</v>
      </c>
      <c r="H330" s="14" t="s">
        <v>28</v>
      </c>
      <c r="I330" s="19" t="s">
        <v>3963</v>
      </c>
      <c r="J330" s="19" t="s">
        <v>2479</v>
      </c>
      <c r="K330" s="19" t="s">
        <v>3964</v>
      </c>
      <c r="L330" s="19" t="s">
        <v>3965</v>
      </c>
      <c r="M330" s="20" t="s">
        <v>2144</v>
      </c>
      <c r="N330" s="27"/>
      <c r="O330" s="22">
        <v>18.0</v>
      </c>
      <c r="P330" s="28">
        <v>1.0</v>
      </c>
      <c r="Q330" s="28">
        <v>11.0</v>
      </c>
      <c r="R330" s="16"/>
      <c r="S330" s="16"/>
      <c r="T330" s="16"/>
      <c r="U330" s="16"/>
      <c r="V330" s="16"/>
      <c r="W330" s="16"/>
      <c r="X330" s="16"/>
      <c r="Y330" s="16"/>
      <c r="Z330" s="16"/>
      <c r="AA330" s="16"/>
    </row>
    <row r="331" ht="15.75" customHeight="1">
      <c r="A331" s="14" t="s">
        <v>17</v>
      </c>
      <c r="B331" s="15" t="s">
        <v>3298</v>
      </c>
      <c r="C331" s="14" t="s">
        <v>2483</v>
      </c>
      <c r="D331" s="14" t="s">
        <v>2484</v>
      </c>
      <c r="E331" s="49" t="str">
        <f>HYPERLINK("http://dx.doi.org/10.1109/VISUAL.1995.480816","http://dx.doi.org/10.1109/VISUAL.1995.480816")</f>
        <v>http://dx.doi.org/10.1109/VISUAL.1995.480816</v>
      </c>
      <c r="F331" s="50">
        <v>224.0</v>
      </c>
      <c r="G331" s="14" t="s">
        <v>2487</v>
      </c>
      <c r="H331" s="14" t="s">
        <v>28</v>
      </c>
      <c r="I331" s="19" t="s">
        <v>3966</v>
      </c>
      <c r="J331" s="19" t="s">
        <v>2488</v>
      </c>
      <c r="K331" s="19" t="s">
        <v>3967</v>
      </c>
      <c r="L331" s="19" t="s">
        <v>3968</v>
      </c>
      <c r="M331" s="20" t="s">
        <v>769</v>
      </c>
      <c r="N331" s="27"/>
      <c r="O331" s="31"/>
      <c r="P331" s="28">
        <v>2.0</v>
      </c>
      <c r="Q331" s="28">
        <v>13.0</v>
      </c>
      <c r="R331" s="16"/>
      <c r="S331" s="16"/>
      <c r="T331" s="16"/>
      <c r="U331" s="16"/>
      <c r="V331" s="16"/>
      <c r="W331" s="16"/>
      <c r="X331" s="16"/>
      <c r="Y331" s="16"/>
      <c r="Z331" s="16"/>
      <c r="AA331" s="16"/>
    </row>
    <row r="332" ht="15.75" customHeight="1">
      <c r="A332" s="14" t="s">
        <v>17</v>
      </c>
      <c r="B332" s="15" t="s">
        <v>3298</v>
      </c>
      <c r="C332" s="14" t="s">
        <v>2490</v>
      </c>
      <c r="D332" s="14" t="s">
        <v>2491</v>
      </c>
      <c r="E332" s="49" t="str">
        <f>HYPERLINK("http://dx.doi.org/10.1109/VISUAL.1995.480817","http://dx.doi.org/10.1109/VISUAL.1995.480817")</f>
        <v>http://dx.doi.org/10.1109/VISUAL.1995.480817</v>
      </c>
      <c r="F332" s="50">
        <v>233.0</v>
      </c>
      <c r="G332" s="14" t="s">
        <v>2496</v>
      </c>
      <c r="H332" s="14" t="s">
        <v>28</v>
      </c>
      <c r="I332" s="19" t="s">
        <v>3969</v>
      </c>
      <c r="J332" s="19" t="s">
        <v>1371</v>
      </c>
      <c r="K332" s="19" t="s">
        <v>1741</v>
      </c>
      <c r="L332" s="19" t="s">
        <v>3970</v>
      </c>
      <c r="M332" s="20" t="s">
        <v>2497</v>
      </c>
      <c r="N332" s="27"/>
      <c r="O332" s="22">
        <v>125.0</v>
      </c>
      <c r="P332" s="28">
        <v>33.0</v>
      </c>
      <c r="Q332" s="28">
        <v>7.0</v>
      </c>
      <c r="R332" s="16"/>
      <c r="S332" s="16"/>
      <c r="T332" s="16"/>
      <c r="U332" s="16"/>
      <c r="V332" s="16"/>
      <c r="W332" s="16"/>
      <c r="X332" s="16"/>
      <c r="Y332" s="16"/>
      <c r="Z332" s="16"/>
      <c r="AA332" s="16"/>
    </row>
    <row r="333" ht="15.75" customHeight="1">
      <c r="A333" s="14" t="s">
        <v>17</v>
      </c>
      <c r="B333" s="15" t="s">
        <v>3298</v>
      </c>
      <c r="C333" s="14" t="s">
        <v>2498</v>
      </c>
      <c r="D333" s="14" t="s">
        <v>2499</v>
      </c>
      <c r="E333" s="49" t="str">
        <f>HYPERLINK("http://dx.doi.org/10.1109/VISUAL.1995.480818","http://dx.doi.org/10.1109/VISUAL.1995.480818")</f>
        <v>http://dx.doi.org/10.1109/VISUAL.1995.480818</v>
      </c>
      <c r="F333" s="50">
        <v>240.0</v>
      </c>
      <c r="G333" s="14" t="s">
        <v>2514</v>
      </c>
      <c r="H333" s="14" t="s">
        <v>28</v>
      </c>
      <c r="I333" s="19" t="s">
        <v>3971</v>
      </c>
      <c r="J333" s="19" t="s">
        <v>2515</v>
      </c>
      <c r="K333" s="19" t="s">
        <v>3972</v>
      </c>
      <c r="L333" s="19" t="s">
        <v>333</v>
      </c>
      <c r="M333" s="20" t="s">
        <v>2516</v>
      </c>
      <c r="N333" s="27"/>
      <c r="O333" s="22">
        <v>50.0</v>
      </c>
      <c r="P333" s="28">
        <v>2.0</v>
      </c>
      <c r="Q333" s="28">
        <v>18.0</v>
      </c>
      <c r="R333" s="16"/>
      <c r="S333" s="16"/>
      <c r="T333" s="16"/>
      <c r="U333" s="16"/>
      <c r="V333" s="16"/>
      <c r="W333" s="16"/>
      <c r="X333" s="16"/>
      <c r="Y333" s="16"/>
      <c r="Z333" s="16"/>
      <c r="AA333" s="16"/>
    </row>
    <row r="334" ht="15.75" customHeight="1">
      <c r="A334" s="14" t="s">
        <v>17</v>
      </c>
      <c r="B334" s="15" t="s">
        <v>3298</v>
      </c>
      <c r="C334" s="14" t="s">
        <v>2517</v>
      </c>
      <c r="D334" s="14" t="s">
        <v>2518</v>
      </c>
      <c r="E334" s="49" t="str">
        <f>HYPERLINK("http://dx.doi.org/10.1109/VISUAL.1995.480819","http://dx.doi.org/10.1109/VISUAL.1995.480819")</f>
        <v>http://dx.doi.org/10.1109/VISUAL.1995.480819</v>
      </c>
      <c r="F334" s="50">
        <v>248.0</v>
      </c>
      <c r="G334" s="14" t="s">
        <v>2523</v>
      </c>
      <c r="H334" s="14" t="s">
        <v>28</v>
      </c>
      <c r="I334" s="19" t="s">
        <v>3973</v>
      </c>
      <c r="J334" s="19" t="s">
        <v>2524</v>
      </c>
      <c r="K334" s="19" t="s">
        <v>3974</v>
      </c>
      <c r="L334" s="19" t="s">
        <v>3975</v>
      </c>
      <c r="M334" s="20" t="s">
        <v>2526</v>
      </c>
      <c r="N334" s="27"/>
      <c r="O334" s="22">
        <v>50.0</v>
      </c>
      <c r="P334" s="28">
        <v>11.0</v>
      </c>
      <c r="Q334" s="28">
        <v>13.0</v>
      </c>
      <c r="R334" s="16"/>
      <c r="S334" s="16"/>
      <c r="T334" s="16"/>
      <c r="U334" s="16"/>
      <c r="V334" s="16"/>
      <c r="W334" s="16"/>
      <c r="X334" s="16"/>
      <c r="Y334" s="16"/>
      <c r="Z334" s="16"/>
      <c r="AA334" s="16"/>
    </row>
    <row r="335" ht="15.75" customHeight="1">
      <c r="A335" s="14" t="s">
        <v>17</v>
      </c>
      <c r="B335" s="15" t="s">
        <v>3298</v>
      </c>
      <c r="C335" s="14" t="s">
        <v>2527</v>
      </c>
      <c r="D335" s="14" t="s">
        <v>2528</v>
      </c>
      <c r="E335" s="49" t="str">
        <f>HYPERLINK("http://dx.doi.org/10.1109/VISUAL.1995.480820","http://dx.doi.org/10.1109/VISUAL.1995.480820")</f>
        <v>http://dx.doi.org/10.1109/VISUAL.1995.480820</v>
      </c>
      <c r="F335" s="50">
        <v>254.0</v>
      </c>
      <c r="G335" s="14" t="s">
        <v>2533</v>
      </c>
      <c r="H335" s="14" t="s">
        <v>28</v>
      </c>
      <c r="I335" s="19" t="s">
        <v>3976</v>
      </c>
      <c r="J335" s="19" t="s">
        <v>2534</v>
      </c>
      <c r="K335" s="19" t="s">
        <v>3977</v>
      </c>
      <c r="L335" s="19" t="s">
        <v>3978</v>
      </c>
      <c r="M335" s="20"/>
      <c r="N335" s="53" t="s">
        <v>2536</v>
      </c>
      <c r="O335" s="22">
        <v>24.0</v>
      </c>
      <c r="P335" s="28">
        <v>5.0</v>
      </c>
      <c r="Q335" s="28">
        <v>7.0</v>
      </c>
      <c r="R335" s="16"/>
      <c r="S335" s="16"/>
      <c r="T335" s="16"/>
      <c r="U335" s="16"/>
      <c r="V335" s="16"/>
      <c r="W335" s="16"/>
      <c r="X335" s="16"/>
      <c r="Y335" s="16"/>
      <c r="Z335" s="16"/>
      <c r="AA335" s="16"/>
    </row>
    <row r="336" ht="15.75" customHeight="1">
      <c r="A336" s="14" t="s">
        <v>17</v>
      </c>
      <c r="B336" s="15" t="s">
        <v>3298</v>
      </c>
      <c r="C336" s="14" t="s">
        <v>2538</v>
      </c>
      <c r="D336" s="14" t="s">
        <v>2539</v>
      </c>
      <c r="E336" s="49" t="str">
        <f>HYPERLINK("http://dx.doi.org/10.1109/VISUAL.1995.480821","http://dx.doi.org/10.1109/VISUAL.1995.480821")</f>
        <v>http://dx.doi.org/10.1109/VISUAL.1995.480821</v>
      </c>
      <c r="F336" s="50">
        <v>263.0</v>
      </c>
      <c r="G336" s="14" t="s">
        <v>2544</v>
      </c>
      <c r="H336" s="14" t="s">
        <v>28</v>
      </c>
      <c r="I336" s="19" t="s">
        <v>3979</v>
      </c>
      <c r="J336" s="19" t="s">
        <v>2545</v>
      </c>
      <c r="K336" s="19" t="s">
        <v>3980</v>
      </c>
      <c r="L336" s="19" t="s">
        <v>634</v>
      </c>
      <c r="M336" s="20" t="s">
        <v>2546</v>
      </c>
      <c r="N336" s="27"/>
      <c r="O336" s="22">
        <v>167.0</v>
      </c>
      <c r="P336" s="28">
        <v>42.0</v>
      </c>
      <c r="Q336" s="28">
        <v>15.0</v>
      </c>
      <c r="R336" s="16"/>
      <c r="S336" s="16"/>
      <c r="T336" s="16"/>
      <c r="U336" s="16"/>
      <c r="V336" s="16"/>
      <c r="W336" s="16"/>
      <c r="X336" s="16"/>
      <c r="Y336" s="16"/>
      <c r="Z336" s="16"/>
      <c r="AA336" s="16"/>
    </row>
    <row r="337" ht="15.75" customHeight="1">
      <c r="A337" s="14" t="s">
        <v>17</v>
      </c>
      <c r="B337" s="15" t="s">
        <v>3298</v>
      </c>
      <c r="C337" s="14" t="s">
        <v>2547</v>
      </c>
      <c r="D337" s="14" t="s">
        <v>2548</v>
      </c>
      <c r="E337" s="49" t="str">
        <f>HYPERLINK("http://dx.doi.org/10.1109/VISUAL.1995.485139","http://dx.doi.org/10.1109/VISUAL.1995.485139")</f>
        <v>http://dx.doi.org/10.1109/VISUAL.1995.485139</v>
      </c>
      <c r="F337" s="50">
        <v>271.0</v>
      </c>
      <c r="G337" s="54"/>
      <c r="H337" s="14" t="s">
        <v>28</v>
      </c>
      <c r="I337" s="18"/>
      <c r="J337" s="19" t="s">
        <v>2550</v>
      </c>
      <c r="K337" s="19" t="s">
        <v>3981</v>
      </c>
      <c r="L337" s="18"/>
      <c r="M337" s="20" t="s">
        <v>2551</v>
      </c>
      <c r="N337" s="27"/>
      <c r="O337" s="22">
        <v>224.0</v>
      </c>
      <c r="P337" s="28">
        <v>72.0</v>
      </c>
      <c r="Q337" s="28">
        <v>9.0</v>
      </c>
      <c r="R337" s="16"/>
      <c r="S337" s="16"/>
      <c r="T337" s="16"/>
      <c r="U337" s="16"/>
      <c r="V337" s="16"/>
      <c r="W337" s="16"/>
      <c r="X337" s="16"/>
      <c r="Y337" s="16"/>
      <c r="Z337" s="16"/>
      <c r="AA337" s="16"/>
    </row>
    <row r="338" ht="15.75" customHeight="1">
      <c r="A338" s="14" t="s">
        <v>17</v>
      </c>
      <c r="B338" s="15" t="s">
        <v>3298</v>
      </c>
      <c r="C338" s="14" t="s">
        <v>2553</v>
      </c>
      <c r="D338" s="14" t="s">
        <v>2555</v>
      </c>
      <c r="E338" s="49" t="str">
        <f>HYPERLINK("http://dx.doi.org/10.1109/VISUAL.1995.485140","http://dx.doi.org/10.1109/VISUAL.1995.485140")</f>
        <v>http://dx.doi.org/10.1109/VISUAL.1995.485140</v>
      </c>
      <c r="F338" s="50">
        <v>279.0</v>
      </c>
      <c r="G338" s="14" t="s">
        <v>2559</v>
      </c>
      <c r="H338" s="14" t="s">
        <v>28</v>
      </c>
      <c r="I338" s="19" t="s">
        <v>3982</v>
      </c>
      <c r="J338" s="19" t="s">
        <v>2560</v>
      </c>
      <c r="K338" s="19" t="s">
        <v>3983</v>
      </c>
      <c r="L338" s="19" t="s">
        <v>3984</v>
      </c>
      <c r="M338" s="20" t="s">
        <v>2562</v>
      </c>
      <c r="N338" s="53" t="s">
        <v>2563</v>
      </c>
      <c r="O338" s="22">
        <v>279.0</v>
      </c>
      <c r="P338" s="28">
        <v>66.0</v>
      </c>
      <c r="Q338" s="28">
        <v>30.0</v>
      </c>
      <c r="R338" s="16"/>
      <c r="S338" s="16"/>
      <c r="T338" s="16"/>
      <c r="U338" s="16"/>
      <c r="V338" s="16"/>
      <c r="W338" s="16"/>
      <c r="X338" s="16"/>
      <c r="Y338" s="16"/>
      <c r="Z338" s="16"/>
      <c r="AA338" s="16"/>
    </row>
    <row r="339" ht="15.75" customHeight="1">
      <c r="A339" s="14" t="s">
        <v>17</v>
      </c>
      <c r="B339" s="15" t="s">
        <v>3298</v>
      </c>
      <c r="C339" s="14" t="s">
        <v>2564</v>
      </c>
      <c r="D339" s="14" t="s">
        <v>2565</v>
      </c>
      <c r="E339" s="49" t="str">
        <f>HYPERLINK("http://dx.doi.org/10.1109/VISUAL.1995.485141","http://dx.doi.org/10.1109/VISUAL.1995.485141")</f>
        <v>http://dx.doi.org/10.1109/VISUAL.1995.485141</v>
      </c>
      <c r="F339" s="50">
        <v>288.0</v>
      </c>
      <c r="G339" s="14" t="s">
        <v>2573</v>
      </c>
      <c r="H339" s="14" t="s">
        <v>28</v>
      </c>
      <c r="I339" s="19" t="s">
        <v>4019</v>
      </c>
      <c r="J339" s="19" t="s">
        <v>2574</v>
      </c>
      <c r="K339" s="19" t="s">
        <v>4020</v>
      </c>
      <c r="L339" s="19" t="s">
        <v>4021</v>
      </c>
      <c r="M339" s="20" t="s">
        <v>2576</v>
      </c>
      <c r="N339" s="51" t="s">
        <v>2577</v>
      </c>
      <c r="O339" s="22">
        <v>168.0</v>
      </c>
      <c r="P339" s="28">
        <v>49.0</v>
      </c>
      <c r="Q339" s="28">
        <v>25.0</v>
      </c>
      <c r="R339" s="16"/>
      <c r="S339" s="16"/>
      <c r="T339" s="16"/>
      <c r="U339" s="16"/>
      <c r="V339" s="16"/>
      <c r="W339" s="16"/>
      <c r="X339" s="16"/>
      <c r="Y339" s="16"/>
      <c r="Z339" s="16"/>
      <c r="AA339" s="16"/>
    </row>
    <row r="340" ht="15.75" customHeight="1">
      <c r="A340" s="14" t="s">
        <v>17</v>
      </c>
      <c r="B340" s="15" t="s">
        <v>3298</v>
      </c>
      <c r="C340" s="14" t="s">
        <v>2578</v>
      </c>
      <c r="D340" s="14" t="s">
        <v>2579</v>
      </c>
      <c r="E340" s="49" t="str">
        <f>HYPERLINK("http://dx.doi.org/10.1109/VISUAL.1995.485142","http://dx.doi.org/10.1109/VISUAL.1995.485142")</f>
        <v>http://dx.doi.org/10.1109/VISUAL.1995.485142</v>
      </c>
      <c r="F340" s="50">
        <v>296.0</v>
      </c>
      <c r="G340" s="14" t="s">
        <v>2584</v>
      </c>
      <c r="H340" s="14" t="s">
        <v>28</v>
      </c>
      <c r="I340" s="19" t="s">
        <v>4034</v>
      </c>
      <c r="J340" s="19" t="s">
        <v>2585</v>
      </c>
      <c r="K340" s="19" t="s">
        <v>4035</v>
      </c>
      <c r="L340" s="19" t="s">
        <v>4036</v>
      </c>
      <c r="M340" s="20" t="s">
        <v>1323</v>
      </c>
      <c r="N340" s="27"/>
      <c r="O340" s="22">
        <v>157.0</v>
      </c>
      <c r="P340" s="28">
        <v>20.0</v>
      </c>
      <c r="Q340" s="28">
        <v>18.0</v>
      </c>
      <c r="R340" s="16"/>
      <c r="S340" s="16"/>
      <c r="T340" s="16"/>
      <c r="U340" s="16"/>
      <c r="V340" s="16"/>
      <c r="W340" s="16"/>
      <c r="X340" s="16"/>
      <c r="Y340" s="16"/>
      <c r="Z340" s="16"/>
      <c r="AA340" s="16"/>
    </row>
    <row r="341" ht="15.75" customHeight="1">
      <c r="A341" s="14" t="s">
        <v>17</v>
      </c>
      <c r="B341" s="15" t="s">
        <v>3298</v>
      </c>
      <c r="C341" s="14" t="s">
        <v>2586</v>
      </c>
      <c r="D341" s="14" t="s">
        <v>2587</v>
      </c>
      <c r="E341" s="49" t="str">
        <f>HYPERLINK("http://dx.doi.org/10.1109/VISUAL.1995.485143","http://dx.doi.org/10.1109/VISUAL.1995.485143")</f>
        <v>http://dx.doi.org/10.1109/VISUAL.1995.485143</v>
      </c>
      <c r="F341" s="50">
        <v>304.0</v>
      </c>
      <c r="G341" s="14" t="s">
        <v>2592</v>
      </c>
      <c r="H341" s="14" t="s">
        <v>28</v>
      </c>
      <c r="I341" s="19" t="s">
        <v>4037</v>
      </c>
      <c r="J341" s="19" t="s">
        <v>2593</v>
      </c>
      <c r="K341" s="19" t="s">
        <v>4038</v>
      </c>
      <c r="L341" s="19" t="s">
        <v>4039</v>
      </c>
      <c r="M341" s="20" t="s">
        <v>2595</v>
      </c>
      <c r="N341" s="27"/>
      <c r="O341" s="22">
        <v>0.0</v>
      </c>
      <c r="P341" s="28">
        <v>10.0</v>
      </c>
      <c r="Q341" s="28">
        <v>16.0</v>
      </c>
      <c r="R341" s="16"/>
      <c r="S341" s="16"/>
      <c r="T341" s="16"/>
      <c r="U341" s="16"/>
      <c r="V341" s="16"/>
      <c r="W341" s="16"/>
      <c r="X341" s="16"/>
      <c r="Y341" s="16"/>
      <c r="Z341" s="16"/>
      <c r="AA341" s="16"/>
    </row>
    <row r="342" ht="15.75" customHeight="1">
      <c r="A342" s="14" t="s">
        <v>17</v>
      </c>
      <c r="B342" s="15" t="s">
        <v>3298</v>
      </c>
      <c r="C342" s="14" t="s">
        <v>2596</v>
      </c>
      <c r="D342" s="14" t="s">
        <v>2597</v>
      </c>
      <c r="E342" s="49" t="str">
        <f>HYPERLINK("http://dx.doi.org/10.1109/VISUAL.1995.485144","http://dx.doi.org/10.1109/VISUAL.1995.485144")</f>
        <v>http://dx.doi.org/10.1109/VISUAL.1995.485144</v>
      </c>
      <c r="F342" s="50">
        <v>313.0</v>
      </c>
      <c r="G342" s="54"/>
      <c r="H342" s="14" t="s">
        <v>28</v>
      </c>
      <c r="I342" s="18"/>
      <c r="J342" s="19" t="s">
        <v>2602</v>
      </c>
      <c r="K342" s="19" t="s">
        <v>4045</v>
      </c>
      <c r="L342" s="18"/>
      <c r="M342" s="20" t="s">
        <v>2604</v>
      </c>
      <c r="N342" s="27"/>
      <c r="O342" s="22">
        <v>31.0</v>
      </c>
      <c r="P342" s="28">
        <v>9.0</v>
      </c>
      <c r="Q342" s="28">
        <v>12.0</v>
      </c>
      <c r="R342" s="16"/>
      <c r="S342" s="16"/>
      <c r="T342" s="16"/>
      <c r="U342" s="16"/>
      <c r="V342" s="16"/>
      <c r="W342" s="16"/>
      <c r="X342" s="16"/>
      <c r="Y342" s="16"/>
      <c r="Z342" s="16"/>
      <c r="AA342" s="16"/>
    </row>
    <row r="343" ht="15.75" customHeight="1">
      <c r="A343" s="14" t="s">
        <v>17</v>
      </c>
      <c r="B343" s="15" t="s">
        <v>3298</v>
      </c>
      <c r="C343" s="14" t="s">
        <v>2605</v>
      </c>
      <c r="D343" s="14" t="s">
        <v>2606</v>
      </c>
      <c r="E343" s="49" t="str">
        <f>HYPERLINK("http://dx.doi.org/10.1109/VISUAL.1995.485145","http://dx.doi.org/10.1109/VISUAL.1995.485145")</f>
        <v>http://dx.doi.org/10.1109/VISUAL.1995.485145</v>
      </c>
      <c r="F343" s="50">
        <v>321.0</v>
      </c>
      <c r="G343" s="14" t="s">
        <v>2611</v>
      </c>
      <c r="H343" s="14" t="s">
        <v>28</v>
      </c>
      <c r="I343" s="19" t="s">
        <v>4051</v>
      </c>
      <c r="J343" s="19" t="s">
        <v>2612</v>
      </c>
      <c r="K343" s="19" t="s">
        <v>4054</v>
      </c>
      <c r="L343" s="19" t="s">
        <v>4056</v>
      </c>
      <c r="M343" s="20" t="s">
        <v>2614</v>
      </c>
      <c r="N343" s="27"/>
      <c r="O343" s="22">
        <v>52.0</v>
      </c>
      <c r="P343" s="28">
        <v>12.0</v>
      </c>
      <c r="Q343" s="28">
        <v>20.0</v>
      </c>
      <c r="R343" s="16"/>
      <c r="S343" s="16"/>
      <c r="T343" s="16"/>
      <c r="U343" s="16"/>
      <c r="V343" s="16"/>
      <c r="W343" s="16"/>
      <c r="X343" s="16"/>
      <c r="Y343" s="16"/>
      <c r="Z343" s="16"/>
      <c r="AA343" s="16"/>
    </row>
    <row r="344" ht="15.75" customHeight="1">
      <c r="A344" s="14" t="s">
        <v>17</v>
      </c>
      <c r="B344" s="15" t="s">
        <v>3298</v>
      </c>
      <c r="C344" s="14" t="s">
        <v>2615</v>
      </c>
      <c r="D344" s="14" t="s">
        <v>2616</v>
      </c>
      <c r="E344" s="49" t="str">
        <f>HYPERLINK("http://dx.doi.org/10.1109/VISUAL.1995.485146","http://dx.doi.org/10.1109/VISUAL.1995.485146")</f>
        <v>http://dx.doi.org/10.1109/VISUAL.1995.485146</v>
      </c>
      <c r="F344" s="50">
        <v>329.0</v>
      </c>
      <c r="G344" s="14" t="s">
        <v>2618</v>
      </c>
      <c r="H344" s="14" t="s">
        <v>28</v>
      </c>
      <c r="I344" s="19" t="s">
        <v>4063</v>
      </c>
      <c r="J344" s="19" t="s">
        <v>2619</v>
      </c>
      <c r="K344" s="19" t="s">
        <v>4064</v>
      </c>
      <c r="L344" s="19" t="s">
        <v>3975</v>
      </c>
      <c r="M344" s="20" t="s">
        <v>2621</v>
      </c>
      <c r="N344" s="27"/>
      <c r="O344" s="22">
        <v>85.0</v>
      </c>
      <c r="P344" s="28">
        <v>10.0</v>
      </c>
      <c r="Q344" s="28">
        <v>14.0</v>
      </c>
      <c r="R344" s="16"/>
      <c r="S344" s="16"/>
      <c r="T344" s="16"/>
      <c r="U344" s="16"/>
      <c r="V344" s="16"/>
      <c r="W344" s="16"/>
      <c r="X344" s="16"/>
      <c r="Y344" s="16"/>
      <c r="Z344" s="16"/>
      <c r="AA344" s="16"/>
    </row>
    <row r="345" ht="15.75" customHeight="1">
      <c r="A345" s="14" t="s">
        <v>17</v>
      </c>
      <c r="B345" s="15" t="s">
        <v>3298</v>
      </c>
      <c r="C345" s="14" t="s">
        <v>2624</v>
      </c>
      <c r="D345" s="14" t="s">
        <v>2625</v>
      </c>
      <c r="E345" s="49" t="str">
        <f>HYPERLINK("http://dx.doi.org/10.1109/VISUAL.1995.485147","http://dx.doi.org/10.1109/VISUAL.1995.485147")</f>
        <v>http://dx.doi.org/10.1109/VISUAL.1995.485147</v>
      </c>
      <c r="F345" s="50">
        <v>338.0</v>
      </c>
      <c r="G345" s="14" t="s">
        <v>2627</v>
      </c>
      <c r="H345" s="14" t="s">
        <v>28</v>
      </c>
      <c r="I345" s="19" t="s">
        <v>4073</v>
      </c>
      <c r="J345" s="19" t="s">
        <v>4074</v>
      </c>
      <c r="K345" s="19" t="s">
        <v>4075</v>
      </c>
      <c r="L345" s="19" t="s">
        <v>4076</v>
      </c>
      <c r="M345" s="20" t="s">
        <v>1465</v>
      </c>
      <c r="N345" s="27"/>
      <c r="O345" s="31"/>
      <c r="P345" s="28">
        <v>0.0</v>
      </c>
      <c r="Q345" s="28">
        <v>4.0</v>
      </c>
      <c r="R345" s="16"/>
      <c r="S345" s="16"/>
      <c r="T345" s="16"/>
      <c r="U345" s="16"/>
      <c r="V345" s="16"/>
      <c r="W345" s="16"/>
      <c r="X345" s="16"/>
      <c r="Y345" s="16"/>
      <c r="Z345" s="16"/>
      <c r="AA345" s="16"/>
    </row>
    <row r="346" ht="15.75" customHeight="1">
      <c r="A346" s="14" t="s">
        <v>17</v>
      </c>
      <c r="B346" s="15" t="s">
        <v>3298</v>
      </c>
      <c r="C346" s="14" t="s">
        <v>2630</v>
      </c>
      <c r="D346" s="14" t="s">
        <v>2631</v>
      </c>
      <c r="E346" s="49" t="str">
        <f>HYPERLINK("http://dx.doi.org/10.1109/VISUAL.1995.485148","http://dx.doi.org/10.1109/VISUAL.1995.485148")</f>
        <v>http://dx.doi.org/10.1109/VISUAL.1995.485148</v>
      </c>
      <c r="F346" s="50">
        <v>342.0</v>
      </c>
      <c r="G346" s="14" t="s">
        <v>2636</v>
      </c>
      <c r="H346" s="14" t="s">
        <v>28</v>
      </c>
      <c r="I346" s="19" t="s">
        <v>4083</v>
      </c>
      <c r="J346" s="19" t="s">
        <v>2637</v>
      </c>
      <c r="K346" s="19" t="s">
        <v>4085</v>
      </c>
      <c r="L346" s="19" t="s">
        <v>2532</v>
      </c>
      <c r="M346" s="20"/>
      <c r="N346" s="27"/>
      <c r="O346" s="22">
        <v>13.0</v>
      </c>
      <c r="P346" s="28">
        <v>2.0</v>
      </c>
      <c r="Q346" s="28">
        <v>10.0</v>
      </c>
      <c r="R346" s="16"/>
      <c r="S346" s="16"/>
      <c r="T346" s="16"/>
      <c r="U346" s="16"/>
      <c r="V346" s="16"/>
      <c r="W346" s="16"/>
      <c r="X346" s="16"/>
      <c r="Y346" s="16"/>
      <c r="Z346" s="16"/>
      <c r="AA346" s="16"/>
    </row>
    <row r="347" ht="15.75" customHeight="1">
      <c r="A347" s="14" t="s">
        <v>17</v>
      </c>
      <c r="B347" s="15" t="s">
        <v>3298</v>
      </c>
      <c r="C347" s="14" t="s">
        <v>2639</v>
      </c>
      <c r="D347" s="14" t="s">
        <v>2640</v>
      </c>
      <c r="E347" s="49" t="str">
        <f>HYPERLINK("http://dx.doi.org/10.1109/VISUAL.1995.485149","http://dx.doi.org/10.1109/VISUAL.1995.485149")</f>
        <v>http://dx.doi.org/10.1109/VISUAL.1995.485149</v>
      </c>
      <c r="F347" s="50">
        <v>346.0</v>
      </c>
      <c r="G347" s="50">
        <v>349.0</v>
      </c>
      <c r="H347" s="14" t="s">
        <v>28</v>
      </c>
      <c r="I347" s="19" t="s">
        <v>4086</v>
      </c>
      <c r="J347" s="19" t="s">
        <v>4087</v>
      </c>
      <c r="K347" s="19" t="s">
        <v>4088</v>
      </c>
      <c r="L347" s="19" t="s">
        <v>4089</v>
      </c>
      <c r="M347" s="20"/>
      <c r="N347" s="27"/>
      <c r="O347" s="22">
        <v>0.0</v>
      </c>
      <c r="P347" s="28">
        <v>0.0</v>
      </c>
      <c r="Q347" s="28">
        <v>6.0</v>
      </c>
      <c r="R347" s="16"/>
      <c r="S347" s="16"/>
      <c r="T347" s="16"/>
      <c r="U347" s="16"/>
      <c r="V347" s="16"/>
      <c r="W347" s="16"/>
      <c r="X347" s="16"/>
      <c r="Y347" s="16"/>
      <c r="Z347" s="16"/>
      <c r="AA347" s="16"/>
    </row>
    <row r="348" ht="15.75" customHeight="1">
      <c r="A348" s="14" t="s">
        <v>17</v>
      </c>
      <c r="B348" s="15" t="s">
        <v>3298</v>
      </c>
      <c r="C348" s="14" t="s">
        <v>2647</v>
      </c>
      <c r="D348" s="14" t="s">
        <v>2648</v>
      </c>
      <c r="E348" s="49" t="str">
        <f>HYPERLINK("http://dx.doi.org/10.1109/VISUAL.1995.485150","http://dx.doi.org/10.1109/VISUAL.1995.485150")</f>
        <v>http://dx.doi.org/10.1109/VISUAL.1995.485150</v>
      </c>
      <c r="F348" s="50">
        <v>351.0</v>
      </c>
      <c r="G348" s="14" t="s">
        <v>2653</v>
      </c>
      <c r="H348" s="14" t="s">
        <v>28</v>
      </c>
      <c r="I348" s="19" t="s">
        <v>4098</v>
      </c>
      <c r="J348" s="19" t="s">
        <v>154</v>
      </c>
      <c r="K348" s="19" t="s">
        <v>4099</v>
      </c>
      <c r="L348" s="19" t="s">
        <v>4100</v>
      </c>
      <c r="M348" s="20"/>
      <c r="N348" s="27"/>
      <c r="O348" s="31"/>
      <c r="P348" s="28">
        <v>1.0</v>
      </c>
      <c r="Q348" s="28">
        <v>7.0</v>
      </c>
      <c r="R348" s="16"/>
      <c r="S348" s="16"/>
      <c r="T348" s="16"/>
      <c r="U348" s="16"/>
      <c r="V348" s="16"/>
      <c r="W348" s="16"/>
      <c r="X348" s="16"/>
      <c r="Y348" s="16"/>
      <c r="Z348" s="16"/>
      <c r="AA348" s="16"/>
    </row>
    <row r="349" ht="15.75" customHeight="1">
      <c r="A349" s="14" t="s">
        <v>17</v>
      </c>
      <c r="B349" s="15" t="s">
        <v>3298</v>
      </c>
      <c r="C349" s="14" t="s">
        <v>2655</v>
      </c>
      <c r="D349" s="14" t="s">
        <v>2656</v>
      </c>
      <c r="E349" s="49" t="str">
        <f>HYPERLINK("http://dx.doi.org/10.1109/VISUAL.1995.485151","http://dx.doi.org/10.1109/VISUAL.1995.485151")</f>
        <v>http://dx.doi.org/10.1109/VISUAL.1995.485151</v>
      </c>
      <c r="F349" s="50">
        <v>355.0</v>
      </c>
      <c r="G349" s="14" t="s">
        <v>2661</v>
      </c>
      <c r="H349" s="14" t="s">
        <v>28</v>
      </c>
      <c r="I349" s="19" t="s">
        <v>4106</v>
      </c>
      <c r="J349" s="19" t="s">
        <v>2662</v>
      </c>
      <c r="K349" s="19" t="s">
        <v>4109</v>
      </c>
      <c r="L349" s="19" t="s">
        <v>4110</v>
      </c>
      <c r="M349" s="20" t="s">
        <v>1630</v>
      </c>
      <c r="N349" s="27"/>
      <c r="O349" s="31"/>
      <c r="P349" s="28">
        <v>3.0</v>
      </c>
      <c r="Q349" s="28">
        <v>11.0</v>
      </c>
      <c r="R349" s="16"/>
      <c r="S349" s="16"/>
      <c r="T349" s="16"/>
      <c r="U349" s="16"/>
      <c r="V349" s="16"/>
      <c r="W349" s="16"/>
      <c r="X349" s="16"/>
      <c r="Y349" s="16"/>
      <c r="Z349" s="16"/>
      <c r="AA349" s="16"/>
    </row>
    <row r="350" ht="15.75" customHeight="1">
      <c r="A350" s="14" t="s">
        <v>17</v>
      </c>
      <c r="B350" s="15" t="s">
        <v>3298</v>
      </c>
      <c r="C350" s="14" t="s">
        <v>2664</v>
      </c>
      <c r="D350" s="14" t="s">
        <v>2665</v>
      </c>
      <c r="E350" s="49" t="str">
        <f>HYPERLINK("http://dx.doi.org/10.1109/VISUAL.1995.485152","http://dx.doi.org/10.1109/VISUAL.1995.485152")</f>
        <v>http://dx.doi.org/10.1109/VISUAL.1995.485152</v>
      </c>
      <c r="F350" s="50">
        <v>359.0</v>
      </c>
      <c r="G350" s="14" t="s">
        <v>2668</v>
      </c>
      <c r="H350" s="14" t="s">
        <v>28</v>
      </c>
      <c r="I350" s="19" t="s">
        <v>4117</v>
      </c>
      <c r="J350" s="19" t="s">
        <v>2669</v>
      </c>
      <c r="K350" s="19" t="s">
        <v>4118</v>
      </c>
      <c r="L350" s="19" t="s">
        <v>4119</v>
      </c>
      <c r="M350" s="20"/>
      <c r="N350" s="27"/>
      <c r="O350" s="22">
        <v>50.0</v>
      </c>
      <c r="P350" s="28">
        <v>4.0</v>
      </c>
      <c r="Q350" s="28">
        <v>9.0</v>
      </c>
      <c r="R350" s="16"/>
      <c r="S350" s="16"/>
      <c r="T350" s="16"/>
      <c r="U350" s="16"/>
      <c r="V350" s="16"/>
      <c r="W350" s="16"/>
      <c r="X350" s="16"/>
      <c r="Y350" s="16"/>
      <c r="Z350" s="16"/>
      <c r="AA350" s="16"/>
    </row>
    <row r="351" ht="15.75" customHeight="1">
      <c r="A351" s="14" t="s">
        <v>17</v>
      </c>
      <c r="B351" s="15" t="s">
        <v>3298</v>
      </c>
      <c r="C351" s="14" t="s">
        <v>2671</v>
      </c>
      <c r="D351" s="14" t="s">
        <v>2672</v>
      </c>
      <c r="E351" s="49" t="str">
        <f>HYPERLINK("http://dx.doi.org/10.1109/VISUAL.1995.485153","http://dx.doi.org/10.1109/VISUAL.1995.485153")</f>
        <v>http://dx.doi.org/10.1109/VISUAL.1995.485153</v>
      </c>
      <c r="F351" s="50">
        <v>364.0</v>
      </c>
      <c r="G351" s="14" t="s">
        <v>2676</v>
      </c>
      <c r="H351" s="14" t="s">
        <v>28</v>
      </c>
      <c r="I351" s="19" t="s">
        <v>4126</v>
      </c>
      <c r="J351" s="19" t="s">
        <v>2677</v>
      </c>
      <c r="K351" s="19" t="s">
        <v>4127</v>
      </c>
      <c r="L351" s="19" t="s">
        <v>2532</v>
      </c>
      <c r="M351" s="20"/>
      <c r="N351" s="27"/>
      <c r="O351" s="22">
        <v>50.0</v>
      </c>
      <c r="P351" s="28">
        <v>1.0</v>
      </c>
      <c r="Q351" s="28">
        <v>6.0</v>
      </c>
      <c r="R351" s="16"/>
      <c r="S351" s="16"/>
      <c r="T351" s="16"/>
      <c r="U351" s="16"/>
      <c r="V351" s="16"/>
      <c r="W351" s="16"/>
      <c r="X351" s="16"/>
      <c r="Y351" s="16"/>
      <c r="Z351" s="16"/>
      <c r="AA351" s="16"/>
    </row>
    <row r="352" ht="15.75" customHeight="1">
      <c r="A352" s="14" t="s">
        <v>17</v>
      </c>
      <c r="B352" s="15" t="s">
        <v>3298</v>
      </c>
      <c r="C352" s="14" t="s">
        <v>2679</v>
      </c>
      <c r="D352" s="14" t="s">
        <v>2680</v>
      </c>
      <c r="E352" s="49" t="str">
        <f>HYPERLINK("http://dx.doi.org/10.1109/VISUAL.1995.485154","http://dx.doi.org/10.1109/VISUAL.1995.485154")</f>
        <v>http://dx.doi.org/10.1109/VISUAL.1995.485154</v>
      </c>
      <c r="F352" s="50">
        <v>368.0</v>
      </c>
      <c r="G352" s="14" t="s">
        <v>2685</v>
      </c>
      <c r="H352" s="14" t="s">
        <v>28</v>
      </c>
      <c r="I352" s="19" t="s">
        <v>4133</v>
      </c>
      <c r="J352" s="19" t="s">
        <v>2171</v>
      </c>
      <c r="K352" s="19" t="s">
        <v>2173</v>
      </c>
      <c r="L352" s="19" t="s">
        <v>4134</v>
      </c>
      <c r="M352" s="20" t="s">
        <v>1161</v>
      </c>
      <c r="N352" s="27"/>
      <c r="O352" s="22">
        <v>74.0</v>
      </c>
      <c r="P352" s="28">
        <v>17.0</v>
      </c>
      <c r="Q352" s="28">
        <v>9.0</v>
      </c>
      <c r="R352" s="16"/>
      <c r="S352" s="16"/>
      <c r="T352" s="16"/>
      <c r="U352" s="16"/>
      <c r="V352" s="16"/>
      <c r="W352" s="16"/>
      <c r="X352" s="16"/>
      <c r="Y352" s="16"/>
      <c r="Z352" s="16"/>
      <c r="AA352" s="16"/>
    </row>
    <row r="353" ht="15.75" customHeight="1">
      <c r="A353" s="14" t="s">
        <v>17</v>
      </c>
      <c r="B353" s="15" t="s">
        <v>3298</v>
      </c>
      <c r="C353" s="14" t="s">
        <v>2687</v>
      </c>
      <c r="D353" s="14" t="s">
        <v>2688</v>
      </c>
      <c r="E353" s="49" t="str">
        <f>HYPERLINK("http://dx.doi.org/10.1109/VISUAL.1995.485155","http://dx.doi.org/10.1109/VISUAL.1995.485155")</f>
        <v>http://dx.doi.org/10.1109/VISUAL.1995.485155</v>
      </c>
      <c r="F353" s="50">
        <v>374.0</v>
      </c>
      <c r="G353" s="14" t="s">
        <v>2690</v>
      </c>
      <c r="H353" s="14" t="s">
        <v>28</v>
      </c>
      <c r="I353" s="19" t="s">
        <v>4141</v>
      </c>
      <c r="J353" s="19" t="s">
        <v>2691</v>
      </c>
      <c r="K353" s="19" t="s">
        <v>4142</v>
      </c>
      <c r="L353" s="19" t="s">
        <v>4143</v>
      </c>
      <c r="M353" s="20"/>
      <c r="N353" s="27"/>
      <c r="O353" s="22">
        <v>50.0</v>
      </c>
      <c r="P353" s="28">
        <v>3.0</v>
      </c>
      <c r="Q353" s="28">
        <v>3.0</v>
      </c>
      <c r="R353" s="16"/>
      <c r="S353" s="16"/>
      <c r="T353" s="16"/>
      <c r="U353" s="16"/>
      <c r="V353" s="16"/>
      <c r="W353" s="16"/>
      <c r="X353" s="16"/>
      <c r="Y353" s="16"/>
      <c r="Z353" s="16"/>
      <c r="AA353" s="16"/>
    </row>
    <row r="354" ht="15.75" customHeight="1">
      <c r="A354" s="14" t="s">
        <v>17</v>
      </c>
      <c r="B354" s="15" t="s">
        <v>3298</v>
      </c>
      <c r="C354" s="14" t="s">
        <v>2693</v>
      </c>
      <c r="D354" s="14" t="s">
        <v>2694</v>
      </c>
      <c r="E354" s="49" t="str">
        <f>HYPERLINK("http://dx.doi.org/10.1109/VISUAL.1995.485156","http://dx.doi.org/10.1109/VISUAL.1995.485156")</f>
        <v>http://dx.doi.org/10.1109/VISUAL.1995.485156</v>
      </c>
      <c r="F354" s="50">
        <v>379.0</v>
      </c>
      <c r="G354" s="14" t="s">
        <v>2696</v>
      </c>
      <c r="H354" s="14" t="s">
        <v>28</v>
      </c>
      <c r="I354" s="19" t="s">
        <v>4150</v>
      </c>
      <c r="J354" s="19" t="s">
        <v>2697</v>
      </c>
      <c r="K354" s="19" t="s">
        <v>4151</v>
      </c>
      <c r="L354" s="19" t="s">
        <v>4110</v>
      </c>
      <c r="M354" s="20" t="s">
        <v>2698</v>
      </c>
      <c r="N354" s="27"/>
      <c r="O354" s="31"/>
      <c r="P354" s="28">
        <v>2.0</v>
      </c>
      <c r="Q354" s="28">
        <v>12.0</v>
      </c>
      <c r="R354" s="16"/>
      <c r="S354" s="16"/>
      <c r="T354" s="16"/>
      <c r="U354" s="16"/>
      <c r="V354" s="16"/>
      <c r="W354" s="16"/>
      <c r="X354" s="16"/>
      <c r="Y354" s="16"/>
      <c r="Z354" s="16"/>
      <c r="AA354" s="16"/>
    </row>
    <row r="355" ht="15.75" customHeight="1">
      <c r="A355" s="14" t="s">
        <v>17</v>
      </c>
      <c r="B355" s="15" t="s">
        <v>3298</v>
      </c>
      <c r="C355" s="14" t="s">
        <v>2699</v>
      </c>
      <c r="D355" s="14" t="s">
        <v>2700</v>
      </c>
      <c r="E355" s="49" t="str">
        <f>HYPERLINK("http://dx.doi.org/10.1109/VISUAL.1995.485157","http://dx.doi.org/10.1109/VISUAL.1995.485157")</f>
        <v>http://dx.doi.org/10.1109/VISUAL.1995.485157</v>
      </c>
      <c r="F355" s="50">
        <v>383.0</v>
      </c>
      <c r="G355" s="14" t="s">
        <v>2702</v>
      </c>
      <c r="H355" s="14" t="s">
        <v>28</v>
      </c>
      <c r="I355" s="19" t="s">
        <v>4171</v>
      </c>
      <c r="J355" s="19" t="s">
        <v>2703</v>
      </c>
      <c r="K355" s="19" t="s">
        <v>4173</v>
      </c>
      <c r="L355" s="19" t="s">
        <v>4174</v>
      </c>
      <c r="M355" s="20"/>
      <c r="N355" s="27"/>
      <c r="O355" s="43">
        <v>25.0</v>
      </c>
      <c r="P355" s="28">
        <v>7.0</v>
      </c>
      <c r="Q355" s="28">
        <v>5.0</v>
      </c>
      <c r="R355" s="16"/>
      <c r="S355" s="16"/>
      <c r="T355" s="16"/>
      <c r="U355" s="16"/>
      <c r="V355" s="16"/>
      <c r="W355" s="16"/>
      <c r="X355" s="16"/>
      <c r="Y355" s="16"/>
      <c r="Z355" s="16"/>
      <c r="AA355" s="16"/>
    </row>
    <row r="356" ht="15.75" customHeight="1">
      <c r="A356" s="14" t="s">
        <v>17</v>
      </c>
      <c r="B356" s="15" t="s">
        <v>3298</v>
      </c>
      <c r="C356" s="14" t="s">
        <v>2705</v>
      </c>
      <c r="D356" s="14" t="s">
        <v>2706</v>
      </c>
      <c r="E356" s="49" t="str">
        <f>HYPERLINK("http://dx.doi.org/10.1109/VISUAL.1995.485158","http://dx.doi.org/10.1109/VISUAL.1995.485158")</f>
        <v>http://dx.doi.org/10.1109/VISUAL.1995.485158</v>
      </c>
      <c r="F356" s="50">
        <v>388.0</v>
      </c>
      <c r="G356" s="14" t="s">
        <v>2708</v>
      </c>
      <c r="H356" s="14" t="s">
        <v>28</v>
      </c>
      <c r="I356" s="19" t="s">
        <v>4180</v>
      </c>
      <c r="J356" s="19" t="s">
        <v>2709</v>
      </c>
      <c r="K356" s="19" t="s">
        <v>4181</v>
      </c>
      <c r="L356" s="19" t="s">
        <v>4182</v>
      </c>
      <c r="M356" s="20"/>
      <c r="N356" s="27"/>
      <c r="O356" s="31"/>
      <c r="P356" s="28">
        <v>2.0</v>
      </c>
      <c r="Q356" s="28">
        <v>6.0</v>
      </c>
      <c r="R356" s="16"/>
      <c r="S356" s="16"/>
      <c r="T356" s="16"/>
      <c r="U356" s="16"/>
      <c r="V356" s="16"/>
      <c r="W356" s="16"/>
      <c r="X356" s="16"/>
      <c r="Y356" s="16"/>
      <c r="Z356" s="16"/>
      <c r="AA356" s="16"/>
    </row>
    <row r="357" ht="15.75" customHeight="1">
      <c r="A357" s="14" t="s">
        <v>17</v>
      </c>
      <c r="B357" s="15" t="s">
        <v>3298</v>
      </c>
      <c r="C357" s="14" t="s">
        <v>2710</v>
      </c>
      <c r="D357" s="14" t="s">
        <v>2711</v>
      </c>
      <c r="E357" s="49" t="str">
        <f>HYPERLINK("http://dx.doi.org/10.1109/VISUAL.1995.485169","http://dx.doi.org/10.1109/VISUAL.1995.485169")</f>
        <v>http://dx.doi.org/10.1109/VISUAL.1995.485169</v>
      </c>
      <c r="F357" s="50">
        <v>393.0</v>
      </c>
      <c r="G357" s="14" t="s">
        <v>2713</v>
      </c>
      <c r="H357" s="14" t="s">
        <v>28</v>
      </c>
      <c r="I357" s="19" t="s">
        <v>4183</v>
      </c>
      <c r="J357" s="19" t="s">
        <v>2714</v>
      </c>
      <c r="K357" s="19" t="s">
        <v>4184</v>
      </c>
      <c r="L357" s="19" t="s">
        <v>4185</v>
      </c>
      <c r="M357" s="20"/>
      <c r="N357" s="27"/>
      <c r="O357" s="22">
        <v>50.0</v>
      </c>
      <c r="P357" s="28">
        <v>2.0</v>
      </c>
      <c r="Q357" s="28">
        <v>9.0</v>
      </c>
      <c r="R357" s="16"/>
      <c r="S357" s="16"/>
      <c r="T357" s="16"/>
      <c r="U357" s="16"/>
      <c r="V357" s="16"/>
      <c r="W357" s="16"/>
      <c r="X357" s="16"/>
      <c r="Y357" s="16"/>
      <c r="Z357" s="16"/>
      <c r="AA357" s="16"/>
    </row>
    <row r="358" ht="15.75" customHeight="1">
      <c r="A358" s="14" t="s">
        <v>17</v>
      </c>
      <c r="B358" s="15" t="s">
        <v>3298</v>
      </c>
      <c r="C358" s="14" t="s">
        <v>2716</v>
      </c>
      <c r="D358" s="14" t="s">
        <v>2717</v>
      </c>
      <c r="E358" s="49" t="str">
        <f>HYPERLINK("http://dx.doi.org/10.1109/VISUAL.1995.485170","http://dx.doi.org/10.1109/VISUAL.1995.485170")</f>
        <v>http://dx.doi.org/10.1109/VISUAL.1995.485170</v>
      </c>
      <c r="F358" s="50">
        <v>397.0</v>
      </c>
      <c r="G358" s="14" t="s">
        <v>2719</v>
      </c>
      <c r="H358" s="14" t="s">
        <v>28</v>
      </c>
      <c r="I358" s="19" t="s">
        <v>4186</v>
      </c>
      <c r="J358" s="19" t="s">
        <v>2720</v>
      </c>
      <c r="K358" s="19" t="s">
        <v>4187</v>
      </c>
      <c r="L358" s="19" t="s">
        <v>4188</v>
      </c>
      <c r="M358" s="20"/>
      <c r="N358" s="27"/>
      <c r="O358" s="43">
        <v>3.0</v>
      </c>
      <c r="P358" s="28">
        <v>5.0</v>
      </c>
      <c r="Q358" s="28">
        <v>4.0</v>
      </c>
      <c r="R358" s="16"/>
      <c r="S358" s="16"/>
      <c r="T358" s="16"/>
      <c r="U358" s="16"/>
      <c r="V358" s="16"/>
      <c r="W358" s="16"/>
      <c r="X358" s="16"/>
      <c r="Y358" s="16"/>
      <c r="Z358" s="16"/>
      <c r="AA358" s="16"/>
    </row>
    <row r="359" ht="15.75" customHeight="1">
      <c r="A359" s="14" t="s">
        <v>17</v>
      </c>
      <c r="B359" s="15" t="s">
        <v>3298</v>
      </c>
      <c r="C359" s="14" t="s">
        <v>2722</v>
      </c>
      <c r="D359" s="14" t="s">
        <v>2723</v>
      </c>
      <c r="E359" s="49" t="str">
        <f>HYPERLINK("http://dx.doi.org/10.1109/VISUAL.1995.485171","http://dx.doi.org/10.1109/VISUAL.1995.485171")</f>
        <v>http://dx.doi.org/10.1109/VISUAL.1995.485171</v>
      </c>
      <c r="F359" s="50">
        <v>400.0</v>
      </c>
      <c r="G359" s="14" t="s">
        <v>2725</v>
      </c>
      <c r="H359" s="14" t="s">
        <v>28</v>
      </c>
      <c r="I359" s="19" t="s">
        <v>4189</v>
      </c>
      <c r="J359" s="19" t="s">
        <v>2726</v>
      </c>
      <c r="K359" s="19" t="s">
        <v>4190</v>
      </c>
      <c r="L359" s="19" t="s">
        <v>291</v>
      </c>
      <c r="M359" s="20"/>
      <c r="N359" s="27"/>
      <c r="O359" s="43">
        <v>0.0</v>
      </c>
      <c r="P359" s="28">
        <v>0.0</v>
      </c>
      <c r="Q359" s="28">
        <v>6.0</v>
      </c>
      <c r="R359" s="16"/>
      <c r="S359" s="16"/>
      <c r="T359" s="16"/>
      <c r="U359" s="16"/>
      <c r="V359" s="16"/>
      <c r="W359" s="16"/>
      <c r="X359" s="16"/>
      <c r="Y359" s="16"/>
      <c r="Z359" s="16"/>
      <c r="AA359" s="16"/>
    </row>
    <row r="360" ht="15.75" customHeight="1">
      <c r="A360" s="14" t="s">
        <v>2137</v>
      </c>
      <c r="B360" s="15" t="s">
        <v>4191</v>
      </c>
      <c r="C360" s="14" t="s">
        <v>2727</v>
      </c>
      <c r="D360" s="14" t="s">
        <v>2728</v>
      </c>
      <c r="E360" s="26" t="s">
        <v>2729</v>
      </c>
      <c r="F360" s="14">
        <v>3.0</v>
      </c>
      <c r="G360" s="14" t="s">
        <v>2730</v>
      </c>
      <c r="H360" s="14" t="s">
        <v>28</v>
      </c>
      <c r="I360" s="19" t="s">
        <v>4192</v>
      </c>
      <c r="J360" s="19" t="s">
        <v>2731</v>
      </c>
      <c r="K360" s="19" t="s">
        <v>4193</v>
      </c>
      <c r="L360" s="19" t="s">
        <v>4194</v>
      </c>
      <c r="M360" s="20" t="s">
        <v>2733</v>
      </c>
      <c r="N360" s="44" t="s">
        <v>2734</v>
      </c>
      <c r="O360" s="22">
        <v>230.0</v>
      </c>
      <c r="P360" s="28">
        <v>34.0</v>
      </c>
      <c r="Q360" s="28">
        <v>13.0</v>
      </c>
      <c r="R360" s="29" t="s">
        <v>1093</v>
      </c>
      <c r="S360" s="30"/>
      <c r="T360" s="30"/>
      <c r="U360" s="30"/>
      <c r="V360" s="30"/>
      <c r="W360" s="30"/>
      <c r="X360" s="30"/>
      <c r="Y360" s="30"/>
      <c r="Z360" s="30"/>
      <c r="AA360" s="30"/>
    </row>
    <row r="361" ht="15.75" customHeight="1">
      <c r="A361" s="14" t="s">
        <v>2137</v>
      </c>
      <c r="B361" s="15" t="s">
        <v>4191</v>
      </c>
      <c r="C361" s="14" t="s">
        <v>2735</v>
      </c>
      <c r="D361" s="14" t="s">
        <v>2736</v>
      </c>
      <c r="E361" s="26" t="s">
        <v>2737</v>
      </c>
      <c r="F361" s="14">
        <v>13.0</v>
      </c>
      <c r="G361" s="14" t="s">
        <v>2738</v>
      </c>
      <c r="H361" s="14" t="s">
        <v>28</v>
      </c>
      <c r="I361" s="19" t="s">
        <v>4195</v>
      </c>
      <c r="J361" s="19" t="s">
        <v>2739</v>
      </c>
      <c r="K361" s="19" t="s">
        <v>4196</v>
      </c>
      <c r="L361" s="19" t="s">
        <v>4197</v>
      </c>
      <c r="M361" s="20" t="s">
        <v>162</v>
      </c>
      <c r="N361" s="27"/>
      <c r="O361" s="22">
        <v>79.0</v>
      </c>
      <c r="P361" s="28">
        <v>9.0</v>
      </c>
      <c r="Q361" s="28">
        <v>13.0</v>
      </c>
      <c r="R361" s="30"/>
      <c r="S361" s="30"/>
      <c r="T361" s="30"/>
      <c r="U361" s="30"/>
      <c r="V361" s="30"/>
      <c r="W361" s="30"/>
      <c r="X361" s="30"/>
      <c r="Y361" s="30"/>
      <c r="Z361" s="30"/>
      <c r="AA361" s="30"/>
    </row>
    <row r="362" ht="15.75" customHeight="1">
      <c r="A362" s="14" t="s">
        <v>2137</v>
      </c>
      <c r="B362" s="15" t="s">
        <v>4191</v>
      </c>
      <c r="C362" s="14" t="s">
        <v>2740</v>
      </c>
      <c r="D362" s="14" t="s">
        <v>2741</v>
      </c>
      <c r="E362" s="26" t="s">
        <v>2742</v>
      </c>
      <c r="F362" s="14">
        <v>21.0</v>
      </c>
      <c r="G362" s="14" t="s">
        <v>2743</v>
      </c>
      <c r="H362" s="14" t="s">
        <v>28</v>
      </c>
      <c r="I362" s="19" t="s">
        <v>4198</v>
      </c>
      <c r="J362" s="19" t="s">
        <v>4199</v>
      </c>
      <c r="K362" s="19" t="s">
        <v>4200</v>
      </c>
      <c r="L362" s="19" t="s">
        <v>4201</v>
      </c>
      <c r="M362" s="20" t="s">
        <v>2745</v>
      </c>
      <c r="N362" s="44" t="s">
        <v>2746</v>
      </c>
      <c r="O362" s="22">
        <v>50.0</v>
      </c>
      <c r="P362" s="28">
        <v>5.0</v>
      </c>
      <c r="Q362" s="28">
        <v>12.0</v>
      </c>
      <c r="R362" s="30"/>
      <c r="S362" s="30"/>
      <c r="T362" s="30"/>
      <c r="U362" s="30"/>
      <c r="V362" s="30"/>
      <c r="W362" s="30"/>
      <c r="X362" s="30"/>
      <c r="Y362" s="30"/>
      <c r="Z362" s="30"/>
      <c r="AA362" s="30"/>
    </row>
    <row r="363" ht="15.75" customHeight="1">
      <c r="A363" s="14" t="s">
        <v>2137</v>
      </c>
      <c r="B363" s="15" t="s">
        <v>4191</v>
      </c>
      <c r="C363" s="14" t="s">
        <v>2747</v>
      </c>
      <c r="D363" s="14" t="s">
        <v>2748</v>
      </c>
      <c r="E363" s="26" t="s">
        <v>2749</v>
      </c>
      <c r="F363" s="14">
        <v>29.0</v>
      </c>
      <c r="G363" s="14">
        <v>36.0</v>
      </c>
      <c r="H363" s="14" t="s">
        <v>28</v>
      </c>
      <c r="I363" s="19" t="s">
        <v>4202</v>
      </c>
      <c r="J363" s="19" t="s">
        <v>2750</v>
      </c>
      <c r="K363" s="19" t="s">
        <v>4203</v>
      </c>
      <c r="L363" s="19" t="s">
        <v>4194</v>
      </c>
      <c r="M363" s="20" t="s">
        <v>2752</v>
      </c>
      <c r="N363" s="44" t="s">
        <v>2753</v>
      </c>
      <c r="O363" s="22">
        <v>122.0</v>
      </c>
      <c r="P363" s="28">
        <v>32.0</v>
      </c>
      <c r="Q363" s="28">
        <v>10.0</v>
      </c>
      <c r="R363" s="30"/>
      <c r="S363" s="30"/>
      <c r="T363" s="30"/>
      <c r="U363" s="30"/>
      <c r="V363" s="30"/>
      <c r="W363" s="30"/>
      <c r="X363" s="30"/>
      <c r="Y363" s="30"/>
      <c r="Z363" s="30"/>
      <c r="AA363" s="30"/>
    </row>
    <row r="364" ht="15.75" customHeight="1">
      <c r="A364" s="14" t="s">
        <v>2137</v>
      </c>
      <c r="B364" s="15" t="s">
        <v>4191</v>
      </c>
      <c r="C364" s="14" t="s">
        <v>2754</v>
      </c>
      <c r="D364" s="14" t="s">
        <v>2755</v>
      </c>
      <c r="E364" s="26" t="s">
        <v>2756</v>
      </c>
      <c r="F364" s="14">
        <v>38.0</v>
      </c>
      <c r="G364" s="14">
        <v>45.0</v>
      </c>
      <c r="H364" s="14" t="s">
        <v>28</v>
      </c>
      <c r="I364" s="19" t="s">
        <v>4208</v>
      </c>
      <c r="J364" s="19" t="s">
        <v>2757</v>
      </c>
      <c r="K364" s="19" t="s">
        <v>4209</v>
      </c>
      <c r="L364" s="19" t="s">
        <v>4210</v>
      </c>
      <c r="M364" s="20"/>
      <c r="N364" s="27"/>
      <c r="O364" s="31"/>
      <c r="P364" s="28">
        <v>38.0</v>
      </c>
      <c r="Q364" s="28">
        <v>17.0</v>
      </c>
      <c r="R364" s="30"/>
      <c r="S364" s="30"/>
      <c r="T364" s="30"/>
      <c r="U364" s="30"/>
      <c r="V364" s="30"/>
      <c r="W364" s="30"/>
      <c r="X364" s="30"/>
      <c r="Y364" s="30"/>
      <c r="Z364" s="30"/>
      <c r="AA364" s="30"/>
    </row>
    <row r="365" ht="15.75" customHeight="1">
      <c r="A365" s="14" t="s">
        <v>2137</v>
      </c>
      <c r="B365" s="15" t="s">
        <v>4191</v>
      </c>
      <c r="C365" s="14" t="s">
        <v>2758</v>
      </c>
      <c r="D365" s="14" t="s">
        <v>2759</v>
      </c>
      <c r="E365" s="26" t="s">
        <v>2760</v>
      </c>
      <c r="F365" s="14">
        <v>46.0</v>
      </c>
      <c r="G365" s="14" t="s">
        <v>2761</v>
      </c>
      <c r="H365" s="14" t="s">
        <v>28</v>
      </c>
      <c r="I365" s="19" t="s">
        <v>4216</v>
      </c>
      <c r="J365" s="19" t="s">
        <v>2762</v>
      </c>
      <c r="K365" s="19" t="s">
        <v>4217</v>
      </c>
      <c r="L365" s="19" t="s">
        <v>2532</v>
      </c>
      <c r="M365" s="20"/>
      <c r="N365" s="44" t="s">
        <v>2763</v>
      </c>
      <c r="O365" s="22">
        <v>110.0</v>
      </c>
      <c r="P365" s="28">
        <v>13.0</v>
      </c>
      <c r="Q365" s="28">
        <v>21.0</v>
      </c>
      <c r="R365" s="30"/>
      <c r="S365" s="30"/>
      <c r="T365" s="30"/>
      <c r="U365" s="30"/>
      <c r="V365" s="30"/>
      <c r="W365" s="30"/>
      <c r="X365" s="30"/>
      <c r="Y365" s="30"/>
      <c r="Z365" s="30"/>
      <c r="AA365" s="30"/>
    </row>
    <row r="366" ht="15.75" customHeight="1">
      <c r="A366" s="14" t="s">
        <v>2137</v>
      </c>
      <c r="B366" s="15" t="s">
        <v>4191</v>
      </c>
      <c r="C366" s="14" t="s">
        <v>2764</v>
      </c>
      <c r="D366" s="14" t="s">
        <v>2765</v>
      </c>
      <c r="E366" s="26" t="s">
        <v>2766</v>
      </c>
      <c r="F366" s="14">
        <v>54.0</v>
      </c>
      <c r="G366" s="14" t="s">
        <v>2767</v>
      </c>
      <c r="H366" s="14" t="s">
        <v>28</v>
      </c>
      <c r="I366" s="19" t="s">
        <v>4224</v>
      </c>
      <c r="J366" s="19" t="s">
        <v>2768</v>
      </c>
      <c r="K366" s="19" t="s">
        <v>4226</v>
      </c>
      <c r="L366" s="19" t="s">
        <v>4227</v>
      </c>
      <c r="M366" s="20"/>
      <c r="N366" s="27"/>
      <c r="O366" s="22">
        <v>102.0</v>
      </c>
      <c r="P366" s="28">
        <v>32.0</v>
      </c>
      <c r="Q366" s="28">
        <v>14.0</v>
      </c>
      <c r="R366" s="30"/>
      <c r="S366" s="30"/>
      <c r="T366" s="30"/>
      <c r="U366" s="30"/>
      <c r="V366" s="30"/>
      <c r="W366" s="30"/>
      <c r="X366" s="30"/>
      <c r="Y366" s="30"/>
      <c r="Z366" s="30"/>
      <c r="AA366" s="30"/>
    </row>
    <row r="367" ht="15.75" customHeight="1">
      <c r="A367" s="14" t="s">
        <v>2137</v>
      </c>
      <c r="B367" s="15" t="s">
        <v>4191</v>
      </c>
      <c r="C367" s="14" t="s">
        <v>2770</v>
      </c>
      <c r="D367" s="14" t="s">
        <v>2771</v>
      </c>
      <c r="E367" s="26" t="s">
        <v>2772</v>
      </c>
      <c r="F367" s="14">
        <v>62.0</v>
      </c>
      <c r="G367" s="14" t="s">
        <v>2773</v>
      </c>
      <c r="H367" s="14" t="s">
        <v>21</v>
      </c>
      <c r="I367" s="19" t="s">
        <v>4236</v>
      </c>
      <c r="J367" s="19" t="s">
        <v>2774</v>
      </c>
      <c r="K367" s="19" t="s">
        <v>4239</v>
      </c>
      <c r="L367" s="19" t="s">
        <v>4240</v>
      </c>
      <c r="M367" s="20"/>
      <c r="N367" s="27"/>
      <c r="O367" s="22">
        <v>50.0</v>
      </c>
      <c r="P367" s="28">
        <v>5.0</v>
      </c>
      <c r="Q367" s="28">
        <v>6.0</v>
      </c>
      <c r="R367" s="30"/>
      <c r="S367" s="30"/>
      <c r="T367" s="30"/>
      <c r="U367" s="30"/>
      <c r="V367" s="30"/>
      <c r="W367" s="30"/>
      <c r="X367" s="30"/>
      <c r="Y367" s="30"/>
      <c r="Z367" s="30"/>
      <c r="AA367" s="30"/>
    </row>
    <row r="368" ht="15.75" customHeight="1">
      <c r="A368" s="14" t="s">
        <v>2137</v>
      </c>
      <c r="B368" s="15" t="s">
        <v>4191</v>
      </c>
      <c r="C368" s="14" t="s">
        <v>2776</v>
      </c>
      <c r="D368" s="14" t="s">
        <v>2777</v>
      </c>
      <c r="E368" s="26" t="s">
        <v>2778</v>
      </c>
      <c r="F368" s="14">
        <v>64.0</v>
      </c>
      <c r="G368" s="14" t="s">
        <v>2779</v>
      </c>
      <c r="H368" s="14" t="s">
        <v>21</v>
      </c>
      <c r="I368" s="19" t="s">
        <v>4263</v>
      </c>
      <c r="J368" s="19" t="s">
        <v>2780</v>
      </c>
      <c r="K368" s="19" t="s">
        <v>4269</v>
      </c>
      <c r="L368" s="19" t="s">
        <v>4270</v>
      </c>
      <c r="M368" s="20"/>
      <c r="N368" s="27"/>
      <c r="O368" s="22">
        <v>50.0</v>
      </c>
      <c r="P368" s="28">
        <v>8.0</v>
      </c>
      <c r="Q368" s="28">
        <v>2.0</v>
      </c>
      <c r="R368" s="30"/>
      <c r="S368" s="30"/>
      <c r="T368" s="30"/>
      <c r="U368" s="30"/>
      <c r="V368" s="30"/>
      <c r="W368" s="30"/>
      <c r="X368" s="30"/>
      <c r="Y368" s="30"/>
      <c r="Z368" s="30"/>
      <c r="AA368" s="30"/>
    </row>
    <row r="369" ht="15.75" customHeight="1">
      <c r="A369" s="14" t="s">
        <v>2137</v>
      </c>
      <c r="B369" s="15" t="s">
        <v>4191</v>
      </c>
      <c r="C369" s="14" t="s">
        <v>2782</v>
      </c>
      <c r="D369" s="14" t="s">
        <v>2783</v>
      </c>
      <c r="E369" s="26" t="s">
        <v>2784</v>
      </c>
      <c r="F369" s="14">
        <v>66.0</v>
      </c>
      <c r="G369" s="14" t="s">
        <v>2785</v>
      </c>
      <c r="H369" s="14" t="s">
        <v>21</v>
      </c>
      <c r="I369" s="19" t="s">
        <v>4281</v>
      </c>
      <c r="J369" s="19" t="s">
        <v>2786</v>
      </c>
      <c r="K369" s="19" t="s">
        <v>4283</v>
      </c>
      <c r="L369" s="19" t="s">
        <v>4284</v>
      </c>
      <c r="M369" s="20"/>
      <c r="N369" s="27"/>
      <c r="O369" s="22">
        <v>50.0</v>
      </c>
      <c r="P369" s="28">
        <v>6.0</v>
      </c>
      <c r="Q369" s="28">
        <v>6.0</v>
      </c>
      <c r="R369" s="30"/>
      <c r="S369" s="30"/>
      <c r="T369" s="30"/>
      <c r="U369" s="30"/>
      <c r="V369" s="30"/>
      <c r="W369" s="30"/>
      <c r="X369" s="30"/>
      <c r="Y369" s="30"/>
      <c r="Z369" s="30"/>
      <c r="AA369" s="30"/>
    </row>
    <row r="370" ht="15.75" customHeight="1">
      <c r="A370" s="14" t="s">
        <v>2137</v>
      </c>
      <c r="B370" s="15" t="s">
        <v>4191</v>
      </c>
      <c r="C370" s="14" t="s">
        <v>2788</v>
      </c>
      <c r="D370" s="14" t="s">
        <v>2789</v>
      </c>
      <c r="E370" s="26" t="s">
        <v>2790</v>
      </c>
      <c r="F370" s="14">
        <v>68.0</v>
      </c>
      <c r="G370" s="14" t="s">
        <v>2791</v>
      </c>
      <c r="H370" s="14" t="s">
        <v>21</v>
      </c>
      <c r="I370" s="19" t="s">
        <v>4291</v>
      </c>
      <c r="J370" s="19" t="s">
        <v>2792</v>
      </c>
      <c r="K370" s="19" t="s">
        <v>4292</v>
      </c>
      <c r="L370" s="19" t="s">
        <v>4293</v>
      </c>
      <c r="M370" s="20"/>
      <c r="N370" s="27"/>
      <c r="O370" s="22">
        <v>50.0</v>
      </c>
      <c r="P370" s="28">
        <v>0.0</v>
      </c>
      <c r="Q370" s="28">
        <v>6.0</v>
      </c>
      <c r="R370" s="30"/>
      <c r="S370" s="30"/>
      <c r="T370" s="30"/>
      <c r="U370" s="30"/>
      <c r="V370" s="30"/>
      <c r="W370" s="30"/>
      <c r="X370" s="30"/>
      <c r="Y370" s="30"/>
      <c r="Z370" s="30"/>
      <c r="AA370" s="30"/>
    </row>
    <row r="371" ht="15.75" customHeight="1">
      <c r="A371" s="14" t="s">
        <v>2137</v>
      </c>
      <c r="B371" s="15" t="s">
        <v>4191</v>
      </c>
      <c r="C371" s="14" t="s">
        <v>2794</v>
      </c>
      <c r="D371" s="14" t="s">
        <v>2795</v>
      </c>
      <c r="E371" s="26" t="s">
        <v>2796</v>
      </c>
      <c r="F371" s="14">
        <v>70.0</v>
      </c>
      <c r="G371" s="14" t="s">
        <v>2797</v>
      </c>
      <c r="H371" s="14" t="s">
        <v>21</v>
      </c>
      <c r="I371" s="19" t="s">
        <v>4305</v>
      </c>
      <c r="J371" s="19" t="s">
        <v>2798</v>
      </c>
      <c r="K371" s="19" t="s">
        <v>4306</v>
      </c>
      <c r="L371" s="19" t="s">
        <v>3480</v>
      </c>
      <c r="M371" s="20"/>
      <c r="N371" s="27"/>
      <c r="O371" s="22">
        <v>63.0</v>
      </c>
      <c r="P371" s="28">
        <v>11.0</v>
      </c>
      <c r="Q371" s="28">
        <v>11.0</v>
      </c>
      <c r="R371" s="30"/>
      <c r="S371" s="30"/>
      <c r="T371" s="30"/>
      <c r="U371" s="30"/>
      <c r="V371" s="30"/>
      <c r="W371" s="30"/>
      <c r="X371" s="30"/>
      <c r="Y371" s="30"/>
      <c r="Z371" s="30"/>
      <c r="AA371" s="30"/>
    </row>
    <row r="372" ht="15.75" customHeight="1">
      <c r="A372" s="14" t="s">
        <v>2137</v>
      </c>
      <c r="B372" s="15" t="s">
        <v>4191</v>
      </c>
      <c r="C372" s="14" t="s">
        <v>2799</v>
      </c>
      <c r="D372" s="14" t="s">
        <v>2800</v>
      </c>
      <c r="E372" s="26" t="s">
        <v>2801</v>
      </c>
      <c r="F372" s="14">
        <v>72.0</v>
      </c>
      <c r="G372" s="14" t="s">
        <v>2802</v>
      </c>
      <c r="H372" s="14" t="s">
        <v>21</v>
      </c>
      <c r="I372" s="19" t="s">
        <v>4307</v>
      </c>
      <c r="J372" s="19" t="s">
        <v>2803</v>
      </c>
      <c r="K372" s="19" t="s">
        <v>4308</v>
      </c>
      <c r="L372" s="19" t="s">
        <v>2583</v>
      </c>
      <c r="M372" s="20"/>
      <c r="N372" s="27"/>
      <c r="O372" s="22">
        <v>68.0</v>
      </c>
      <c r="P372" s="28">
        <v>15.0</v>
      </c>
      <c r="Q372" s="28">
        <v>5.0</v>
      </c>
      <c r="R372" s="30"/>
      <c r="S372" s="30"/>
      <c r="T372" s="30"/>
      <c r="U372" s="30"/>
      <c r="V372" s="30"/>
      <c r="W372" s="30"/>
      <c r="X372" s="30"/>
      <c r="Y372" s="30"/>
      <c r="Z372" s="30"/>
      <c r="AA372" s="30"/>
    </row>
    <row r="373" ht="15.75" customHeight="1">
      <c r="A373" s="14" t="s">
        <v>2137</v>
      </c>
      <c r="B373" s="15" t="s">
        <v>4191</v>
      </c>
      <c r="C373" s="14" t="s">
        <v>2805</v>
      </c>
      <c r="D373" s="14" t="s">
        <v>2806</v>
      </c>
      <c r="E373" s="26" t="s">
        <v>2807</v>
      </c>
      <c r="F373" s="14">
        <v>74.0</v>
      </c>
      <c r="G373" s="14" t="s">
        <v>2808</v>
      </c>
      <c r="H373" s="14" t="s">
        <v>21</v>
      </c>
      <c r="I373" s="19" t="s">
        <v>4309</v>
      </c>
      <c r="J373" s="19" t="s">
        <v>2809</v>
      </c>
      <c r="K373" s="19" t="s">
        <v>4310</v>
      </c>
      <c r="L373" s="19" t="s">
        <v>4311</v>
      </c>
      <c r="M373" s="20"/>
      <c r="N373" s="27"/>
      <c r="O373" s="22">
        <v>17.0</v>
      </c>
      <c r="P373" s="28">
        <v>4.0</v>
      </c>
      <c r="Q373" s="28">
        <v>5.0</v>
      </c>
      <c r="R373" s="30"/>
      <c r="S373" s="30"/>
      <c r="T373" s="30"/>
      <c r="U373" s="30"/>
      <c r="V373" s="30"/>
      <c r="W373" s="30"/>
      <c r="X373" s="30"/>
      <c r="Y373" s="30"/>
      <c r="Z373" s="30"/>
      <c r="AA373" s="30"/>
    </row>
    <row r="374" ht="18.75" customHeight="1">
      <c r="A374" s="14" t="s">
        <v>2137</v>
      </c>
      <c r="B374" s="15" t="s">
        <v>4191</v>
      </c>
      <c r="C374" s="42" t="s">
        <v>4312</v>
      </c>
      <c r="D374" s="14" t="s">
        <v>2812</v>
      </c>
      <c r="E374" s="26" t="s">
        <v>2813</v>
      </c>
      <c r="F374" s="14">
        <v>77.0</v>
      </c>
      <c r="G374" s="14" t="s">
        <v>2814</v>
      </c>
      <c r="H374" s="14" t="s">
        <v>28</v>
      </c>
      <c r="I374" s="19" t="s">
        <v>4313</v>
      </c>
      <c r="J374" s="19" t="s">
        <v>2815</v>
      </c>
      <c r="K374" s="19" t="s">
        <v>4314</v>
      </c>
      <c r="L374" s="19" t="s">
        <v>4315</v>
      </c>
      <c r="M374" s="20" t="s">
        <v>2817</v>
      </c>
      <c r="N374" s="27"/>
      <c r="O374" s="31"/>
      <c r="P374" s="28">
        <v>4.0</v>
      </c>
      <c r="Q374" s="28">
        <v>11.0</v>
      </c>
      <c r="R374" s="30"/>
      <c r="S374" s="30"/>
      <c r="T374" s="30"/>
      <c r="U374" s="30"/>
      <c r="V374" s="30"/>
      <c r="W374" s="30"/>
      <c r="X374" s="30"/>
      <c r="Y374" s="30"/>
      <c r="Z374" s="30"/>
      <c r="AA374" s="30"/>
    </row>
    <row r="375" ht="15.75" customHeight="1">
      <c r="A375" s="14" t="s">
        <v>2137</v>
      </c>
      <c r="B375" s="15" t="s">
        <v>4191</v>
      </c>
      <c r="C375" s="14" t="s">
        <v>2818</v>
      </c>
      <c r="D375" s="14" t="s">
        <v>2819</v>
      </c>
      <c r="E375" s="26" t="s">
        <v>2820</v>
      </c>
      <c r="F375" s="14">
        <v>85.0</v>
      </c>
      <c r="G375" s="14" t="s">
        <v>2821</v>
      </c>
      <c r="H375" s="14" t="s">
        <v>28</v>
      </c>
      <c r="I375" s="19" t="s">
        <v>4316</v>
      </c>
      <c r="J375" s="19" t="s">
        <v>2822</v>
      </c>
      <c r="K375" s="19" t="s">
        <v>4317</v>
      </c>
      <c r="L375" s="19" t="s">
        <v>4318</v>
      </c>
      <c r="M375" s="20" t="s">
        <v>2260</v>
      </c>
      <c r="N375" s="27"/>
      <c r="O375" s="22">
        <v>97.0</v>
      </c>
      <c r="P375" s="28">
        <v>27.0</v>
      </c>
      <c r="Q375" s="28">
        <v>12.0</v>
      </c>
      <c r="R375" s="30"/>
      <c r="S375" s="30"/>
      <c r="T375" s="30"/>
      <c r="U375" s="30"/>
      <c r="V375" s="30"/>
      <c r="W375" s="30"/>
      <c r="X375" s="30"/>
      <c r="Y375" s="30"/>
      <c r="Z375" s="30"/>
      <c r="AA375" s="30"/>
    </row>
    <row r="376" ht="15.75" customHeight="1">
      <c r="A376" s="14" t="s">
        <v>2137</v>
      </c>
      <c r="B376" s="15" t="s">
        <v>4191</v>
      </c>
      <c r="C376" s="14" t="s">
        <v>2824</v>
      </c>
      <c r="D376" s="14" t="s">
        <v>2825</v>
      </c>
      <c r="E376" s="26" t="s">
        <v>2826</v>
      </c>
      <c r="F376" s="14">
        <v>93.0</v>
      </c>
      <c r="G376" s="14" t="s">
        <v>2827</v>
      </c>
      <c r="H376" s="14" t="s">
        <v>28</v>
      </c>
      <c r="I376" s="19" t="s">
        <v>4319</v>
      </c>
      <c r="J376" s="19" t="s">
        <v>2828</v>
      </c>
      <c r="K376" s="19" t="s">
        <v>4320</v>
      </c>
      <c r="L376" s="19" t="s">
        <v>4321</v>
      </c>
      <c r="M376" s="20"/>
      <c r="N376" s="27"/>
      <c r="O376" s="22">
        <v>50.0</v>
      </c>
      <c r="P376" s="28">
        <v>6.0</v>
      </c>
      <c r="Q376" s="28">
        <v>8.0</v>
      </c>
      <c r="R376" s="30"/>
      <c r="S376" s="30"/>
      <c r="T376" s="30"/>
      <c r="U376" s="30"/>
      <c r="V376" s="30"/>
      <c r="W376" s="30"/>
      <c r="X376" s="30"/>
      <c r="Y376" s="30"/>
      <c r="Z376" s="30"/>
      <c r="AA376" s="30"/>
    </row>
    <row r="377" ht="15.75" customHeight="1">
      <c r="A377" s="14" t="s">
        <v>2137</v>
      </c>
      <c r="B377" s="15" t="s">
        <v>4191</v>
      </c>
      <c r="C377" s="14" t="s">
        <v>2830</v>
      </c>
      <c r="D377" s="14" t="s">
        <v>2831</v>
      </c>
      <c r="E377" s="26" t="s">
        <v>2832</v>
      </c>
      <c r="F377" s="14">
        <v>100.0</v>
      </c>
      <c r="G377" s="14" t="s">
        <v>2833</v>
      </c>
      <c r="H377" s="14" t="s">
        <v>28</v>
      </c>
      <c r="I377" s="19" t="s">
        <v>4322</v>
      </c>
      <c r="J377" s="19" t="s">
        <v>2834</v>
      </c>
      <c r="K377" s="19" t="s">
        <v>4323</v>
      </c>
      <c r="L377" s="19" t="s">
        <v>4324</v>
      </c>
      <c r="M377" s="20"/>
      <c r="N377" s="27"/>
      <c r="O377" s="31"/>
      <c r="P377" s="28">
        <v>8.0</v>
      </c>
      <c r="Q377" s="28">
        <v>10.0</v>
      </c>
      <c r="R377" s="30"/>
      <c r="S377" s="30"/>
      <c r="T377" s="30"/>
      <c r="U377" s="30"/>
      <c r="V377" s="30"/>
      <c r="W377" s="30"/>
      <c r="X377" s="30"/>
      <c r="Y377" s="30"/>
      <c r="Z377" s="30"/>
      <c r="AA377" s="30"/>
    </row>
    <row r="378" ht="15.75" customHeight="1">
      <c r="A378" s="14" t="s">
        <v>2137</v>
      </c>
      <c r="B378" s="15" t="s">
        <v>4191</v>
      </c>
      <c r="C378" s="14" t="s">
        <v>2836</v>
      </c>
      <c r="D378" s="14" t="s">
        <v>2837</v>
      </c>
      <c r="E378" s="26" t="s">
        <v>2838</v>
      </c>
      <c r="F378" s="14">
        <v>108.0</v>
      </c>
      <c r="G378" s="14" t="s">
        <v>2839</v>
      </c>
      <c r="H378" s="14" t="s">
        <v>28</v>
      </c>
      <c r="I378" s="19" t="s">
        <v>4325</v>
      </c>
      <c r="J378" s="19" t="s">
        <v>2840</v>
      </c>
      <c r="K378" s="19" t="s">
        <v>4326</v>
      </c>
      <c r="L378" s="19" t="s">
        <v>4327</v>
      </c>
      <c r="M378" s="20" t="s">
        <v>809</v>
      </c>
      <c r="N378" s="27"/>
      <c r="O378" s="22">
        <v>50.0</v>
      </c>
      <c r="P378" s="28">
        <v>2.0</v>
      </c>
      <c r="Q378" s="28">
        <v>11.0</v>
      </c>
      <c r="R378" s="30"/>
      <c r="S378" s="30"/>
      <c r="T378" s="30"/>
      <c r="U378" s="30"/>
      <c r="V378" s="30"/>
      <c r="W378" s="30"/>
      <c r="X378" s="30"/>
      <c r="Y378" s="30"/>
      <c r="Z378" s="30"/>
      <c r="AA378" s="30"/>
    </row>
    <row r="379" ht="15.75" customHeight="1">
      <c r="A379" s="14" t="s">
        <v>17</v>
      </c>
      <c r="B379" s="15" t="s">
        <v>4191</v>
      </c>
      <c r="C379" s="14" t="s">
        <v>2842</v>
      </c>
      <c r="D379" s="14" t="s">
        <v>2843</v>
      </c>
      <c r="E379" s="26" t="s">
        <v>2844</v>
      </c>
      <c r="F379" s="14">
        <v>21.0</v>
      </c>
      <c r="G379" s="14">
        <v>28.0</v>
      </c>
      <c r="H379" s="14" t="s">
        <v>28</v>
      </c>
      <c r="I379" s="19" t="s">
        <v>4328</v>
      </c>
      <c r="J379" s="19" t="s">
        <v>2845</v>
      </c>
      <c r="K379" s="19" t="s">
        <v>4329</v>
      </c>
      <c r="L379" s="19" t="s">
        <v>4330</v>
      </c>
      <c r="M379" s="20"/>
      <c r="N379" s="44" t="s">
        <v>2847</v>
      </c>
      <c r="O379" s="31"/>
      <c r="P379" s="28">
        <v>24.0</v>
      </c>
      <c r="Q379" s="28">
        <v>12.0</v>
      </c>
      <c r="R379" s="30"/>
      <c r="S379" s="30"/>
      <c r="T379" s="30"/>
      <c r="U379" s="30"/>
      <c r="V379" s="30"/>
      <c r="W379" s="30"/>
      <c r="X379" s="30"/>
      <c r="Y379" s="30"/>
      <c r="Z379" s="30"/>
      <c r="AA379" s="30"/>
    </row>
    <row r="380" ht="15.75" customHeight="1">
      <c r="A380" s="14" t="s">
        <v>17</v>
      </c>
      <c r="B380" s="15" t="s">
        <v>4191</v>
      </c>
      <c r="C380" s="14" t="s">
        <v>2848</v>
      </c>
      <c r="D380" s="14" t="s">
        <v>2849</v>
      </c>
      <c r="E380" s="26" t="s">
        <v>2850</v>
      </c>
      <c r="F380" s="14">
        <v>29.0</v>
      </c>
      <c r="G380" s="14">
        <v>35.0</v>
      </c>
      <c r="H380" s="14" t="s">
        <v>28</v>
      </c>
      <c r="I380" s="19" t="s">
        <v>4331</v>
      </c>
      <c r="J380" s="19" t="s">
        <v>2851</v>
      </c>
      <c r="K380" s="19" t="s">
        <v>4332</v>
      </c>
      <c r="L380" s="19" t="s">
        <v>4333</v>
      </c>
      <c r="M380" s="20"/>
      <c r="N380" s="27"/>
      <c r="O380" s="22">
        <v>50.0</v>
      </c>
      <c r="P380" s="28">
        <v>0.0</v>
      </c>
      <c r="Q380" s="28">
        <v>26.0</v>
      </c>
      <c r="R380" s="30"/>
      <c r="S380" s="30"/>
      <c r="T380" s="30"/>
      <c r="U380" s="30"/>
      <c r="V380" s="30"/>
      <c r="W380" s="30"/>
      <c r="X380" s="30"/>
      <c r="Y380" s="30"/>
      <c r="Z380" s="30"/>
      <c r="AA380" s="30"/>
    </row>
    <row r="381" ht="15.75" customHeight="1">
      <c r="A381" s="14" t="s">
        <v>17</v>
      </c>
      <c r="B381" s="15" t="s">
        <v>4191</v>
      </c>
      <c r="C381" s="14" t="s">
        <v>2853</v>
      </c>
      <c r="D381" s="14" t="s">
        <v>2854</v>
      </c>
      <c r="E381" s="26" t="s">
        <v>2855</v>
      </c>
      <c r="F381" s="14">
        <v>37.0</v>
      </c>
      <c r="G381" s="14">
        <v>42.0</v>
      </c>
      <c r="H381" s="14" t="s">
        <v>28</v>
      </c>
      <c r="I381" s="19" t="s">
        <v>4334</v>
      </c>
      <c r="J381" s="19" t="s">
        <v>2856</v>
      </c>
      <c r="K381" s="19" t="s">
        <v>4335</v>
      </c>
      <c r="L381" s="19" t="s">
        <v>4336</v>
      </c>
      <c r="M381" s="20"/>
      <c r="N381" s="27"/>
      <c r="O381" s="31"/>
      <c r="P381" s="28">
        <v>23.0</v>
      </c>
      <c r="Q381" s="28">
        <v>18.0</v>
      </c>
      <c r="R381" s="30"/>
      <c r="S381" s="30"/>
      <c r="T381" s="30"/>
      <c r="U381" s="30"/>
      <c r="V381" s="30"/>
      <c r="W381" s="30"/>
      <c r="X381" s="30"/>
      <c r="Y381" s="30"/>
      <c r="Z381" s="30"/>
      <c r="AA381" s="30"/>
    </row>
    <row r="382" ht="15.75" customHeight="1">
      <c r="A382" s="14" t="s">
        <v>17</v>
      </c>
      <c r="B382" s="15" t="s">
        <v>4191</v>
      </c>
      <c r="C382" s="14" t="s">
        <v>2858</v>
      </c>
      <c r="D382" s="14" t="s">
        <v>2859</v>
      </c>
      <c r="E382" s="26" t="s">
        <v>2860</v>
      </c>
      <c r="F382" s="14">
        <v>43.0</v>
      </c>
      <c r="G382" s="14">
        <v>48.0</v>
      </c>
      <c r="H382" s="14" t="s">
        <v>28</v>
      </c>
      <c r="I382" s="19" t="s">
        <v>4337</v>
      </c>
      <c r="J382" s="19" t="s">
        <v>2861</v>
      </c>
      <c r="K382" s="19" t="s">
        <v>4338</v>
      </c>
      <c r="L382" s="19" t="s">
        <v>4339</v>
      </c>
      <c r="M382" s="20"/>
      <c r="N382" s="27"/>
      <c r="O382" s="22">
        <v>65.0</v>
      </c>
      <c r="P382" s="28">
        <v>20.0</v>
      </c>
      <c r="Q382" s="28">
        <v>6.0</v>
      </c>
      <c r="R382" s="30"/>
      <c r="S382" s="30"/>
      <c r="T382" s="30"/>
      <c r="U382" s="30"/>
      <c r="V382" s="30"/>
      <c r="W382" s="30"/>
      <c r="X382" s="30"/>
      <c r="Y382" s="30"/>
      <c r="Z382" s="30"/>
      <c r="AA382" s="30"/>
    </row>
    <row r="383" ht="15.75" customHeight="1">
      <c r="A383" s="14" t="s">
        <v>17</v>
      </c>
      <c r="B383" s="15" t="s">
        <v>4191</v>
      </c>
      <c r="C383" s="14" t="s">
        <v>2863</v>
      </c>
      <c r="D383" s="14" t="s">
        <v>2864</v>
      </c>
      <c r="E383" s="26" t="s">
        <v>2865</v>
      </c>
      <c r="F383" s="14">
        <v>49.0</v>
      </c>
      <c r="G383" s="14">
        <v>56.0</v>
      </c>
      <c r="H383" s="14" t="s">
        <v>28</v>
      </c>
      <c r="I383" s="19" t="s">
        <v>4347</v>
      </c>
      <c r="J383" s="19" t="s">
        <v>1460</v>
      </c>
      <c r="K383" s="19" t="s">
        <v>4348</v>
      </c>
      <c r="L383" s="19" t="s">
        <v>3480</v>
      </c>
      <c r="M383" s="20" t="s">
        <v>2115</v>
      </c>
      <c r="N383" s="27"/>
      <c r="O383" s="22">
        <v>50.0</v>
      </c>
      <c r="P383" s="28">
        <v>10.0</v>
      </c>
      <c r="Q383" s="28">
        <v>17.0</v>
      </c>
      <c r="R383" s="30"/>
      <c r="S383" s="30"/>
      <c r="T383" s="30"/>
      <c r="U383" s="30"/>
      <c r="V383" s="30"/>
      <c r="W383" s="30"/>
      <c r="X383" s="30"/>
      <c r="Y383" s="30"/>
      <c r="Z383" s="30"/>
      <c r="AA383" s="30"/>
    </row>
    <row r="384" ht="15.75" customHeight="1">
      <c r="A384" s="14" t="s">
        <v>17</v>
      </c>
      <c r="B384" s="15" t="s">
        <v>4191</v>
      </c>
      <c r="C384" s="14" t="s">
        <v>2866</v>
      </c>
      <c r="D384" s="14" t="s">
        <v>2867</v>
      </c>
      <c r="E384" s="26" t="s">
        <v>2868</v>
      </c>
      <c r="F384" s="14">
        <v>57.0</v>
      </c>
      <c r="G384" s="14">
        <v>63.0</v>
      </c>
      <c r="H384" s="14" t="s">
        <v>28</v>
      </c>
      <c r="I384" s="19" t="s">
        <v>4355</v>
      </c>
      <c r="J384" s="19" t="s">
        <v>2869</v>
      </c>
      <c r="K384" s="19" t="s">
        <v>4357</v>
      </c>
      <c r="L384" s="19" t="s">
        <v>4358</v>
      </c>
      <c r="M384" s="20" t="s">
        <v>2871</v>
      </c>
      <c r="N384" s="44" t="s">
        <v>2872</v>
      </c>
      <c r="O384" s="22">
        <v>67.0</v>
      </c>
      <c r="P384" s="28">
        <v>26.0</v>
      </c>
      <c r="Q384" s="28">
        <v>31.0</v>
      </c>
      <c r="R384" s="30"/>
      <c r="S384" s="30"/>
      <c r="T384" s="30"/>
      <c r="U384" s="30"/>
      <c r="V384" s="30"/>
      <c r="W384" s="30"/>
      <c r="X384" s="30"/>
      <c r="Y384" s="30"/>
      <c r="Z384" s="30"/>
      <c r="AA384" s="30"/>
    </row>
    <row r="385" ht="15.75" customHeight="1">
      <c r="A385" s="14" t="s">
        <v>17</v>
      </c>
      <c r="B385" s="15" t="s">
        <v>4191</v>
      </c>
      <c r="C385" s="14" t="s">
        <v>2873</v>
      </c>
      <c r="D385" s="67" t="s">
        <v>2874</v>
      </c>
      <c r="E385" s="68" t="str">
        <f>HYPERLINK("http://doi.ieeecomputersociety.org/10.1109/VISUAL.1996.567608","http://doi.ieeecomputersociety.org/10.1109/VISUAL.1996.567608")</f>
        <v>http://doi.ieeecomputersociety.org/10.1109/VISUAL.1996.567608</v>
      </c>
      <c r="F385" s="50">
        <v>65.0</v>
      </c>
      <c r="G385" s="50">
        <v>72.0</v>
      </c>
      <c r="H385" s="14" t="s">
        <v>28</v>
      </c>
      <c r="I385" s="19" t="s">
        <v>4378</v>
      </c>
      <c r="J385" s="19" t="s">
        <v>2876</v>
      </c>
      <c r="K385" s="19" t="s">
        <v>4379</v>
      </c>
      <c r="L385" s="19" t="s">
        <v>4381</v>
      </c>
      <c r="M385" s="20" t="s">
        <v>2878</v>
      </c>
      <c r="N385" s="21"/>
      <c r="O385" s="22">
        <v>91.0</v>
      </c>
      <c r="P385" s="28">
        <v>17.0</v>
      </c>
      <c r="Q385" s="28">
        <v>0.0</v>
      </c>
      <c r="R385" s="30"/>
      <c r="S385" s="30"/>
      <c r="T385" s="30"/>
      <c r="U385" s="30"/>
      <c r="V385" s="30"/>
      <c r="W385" s="30"/>
      <c r="X385" s="30"/>
      <c r="Y385" s="30"/>
      <c r="Z385" s="30"/>
      <c r="AA385" s="30"/>
    </row>
    <row r="386" ht="15.75" customHeight="1">
      <c r="A386" s="14" t="s">
        <v>17</v>
      </c>
      <c r="B386" s="15" t="s">
        <v>4191</v>
      </c>
      <c r="C386" s="14" t="s">
        <v>2879</v>
      </c>
      <c r="D386" s="14" t="s">
        <v>2880</v>
      </c>
      <c r="E386" s="26" t="s">
        <v>2881</v>
      </c>
      <c r="F386" s="14">
        <v>73.0</v>
      </c>
      <c r="G386" s="14">
        <v>80.0</v>
      </c>
      <c r="H386" s="14" t="s">
        <v>28</v>
      </c>
      <c r="I386" s="19" t="s">
        <v>4384</v>
      </c>
      <c r="J386" s="19" t="s">
        <v>2882</v>
      </c>
      <c r="K386" s="19" t="s">
        <v>4389</v>
      </c>
      <c r="L386" s="19" t="s">
        <v>4391</v>
      </c>
      <c r="M386" s="20" t="s">
        <v>2067</v>
      </c>
      <c r="N386" s="44" t="s">
        <v>2884</v>
      </c>
      <c r="O386" s="31"/>
      <c r="P386" s="28">
        <v>8.0</v>
      </c>
      <c r="Q386" s="28">
        <v>25.0</v>
      </c>
      <c r="R386" s="30"/>
      <c r="S386" s="30"/>
      <c r="T386" s="30"/>
      <c r="U386" s="30"/>
      <c r="V386" s="30"/>
      <c r="W386" s="30"/>
      <c r="X386" s="30"/>
      <c r="Y386" s="30"/>
      <c r="Z386" s="30"/>
      <c r="AA386" s="30"/>
    </row>
    <row r="387" ht="15.75" customHeight="1">
      <c r="A387" s="14" t="s">
        <v>17</v>
      </c>
      <c r="B387" s="15" t="s">
        <v>4191</v>
      </c>
      <c r="C387" s="14" t="s">
        <v>2885</v>
      </c>
      <c r="D387" s="14" t="s">
        <v>2886</v>
      </c>
      <c r="E387" s="26" t="s">
        <v>2887</v>
      </c>
      <c r="F387" s="14">
        <v>81.0</v>
      </c>
      <c r="G387" s="14">
        <v>86.0</v>
      </c>
      <c r="H387" s="14" t="s">
        <v>28</v>
      </c>
      <c r="I387" s="19" t="s">
        <v>4398</v>
      </c>
      <c r="J387" s="19" t="s">
        <v>2888</v>
      </c>
      <c r="K387" s="19" t="s">
        <v>4399</v>
      </c>
      <c r="L387" s="19" t="s">
        <v>4400</v>
      </c>
      <c r="M387" s="20" t="s">
        <v>2130</v>
      </c>
      <c r="N387" s="27"/>
      <c r="O387" s="31"/>
      <c r="P387" s="28">
        <v>25.0</v>
      </c>
      <c r="Q387" s="28">
        <v>14.0</v>
      </c>
      <c r="R387" s="30"/>
      <c r="S387" s="30"/>
      <c r="T387" s="30"/>
      <c r="U387" s="30"/>
      <c r="V387" s="30"/>
      <c r="W387" s="30"/>
      <c r="X387" s="30"/>
      <c r="Y387" s="30"/>
      <c r="Z387" s="30"/>
      <c r="AA387" s="30"/>
    </row>
    <row r="388" ht="15.75" customHeight="1">
      <c r="A388" s="14" t="s">
        <v>17</v>
      </c>
      <c r="B388" s="15" t="s">
        <v>4191</v>
      </c>
      <c r="C388" s="14" t="s">
        <v>2891</v>
      </c>
      <c r="D388" s="14" t="s">
        <v>2892</v>
      </c>
      <c r="E388" s="26" t="s">
        <v>2895</v>
      </c>
      <c r="F388" s="14">
        <v>87.0</v>
      </c>
      <c r="G388" s="14">
        <v>92.0</v>
      </c>
      <c r="H388" s="14" t="s">
        <v>28</v>
      </c>
      <c r="I388" s="19" t="s">
        <v>4410</v>
      </c>
      <c r="J388" s="19" t="s">
        <v>2896</v>
      </c>
      <c r="K388" s="19" t="s">
        <v>4412</v>
      </c>
      <c r="L388" s="19" t="s">
        <v>4413</v>
      </c>
      <c r="M388" s="20" t="s">
        <v>2204</v>
      </c>
      <c r="N388" s="44" t="s">
        <v>2898</v>
      </c>
      <c r="O388" s="22">
        <v>71.0</v>
      </c>
      <c r="P388" s="28">
        <v>15.0</v>
      </c>
      <c r="Q388" s="28">
        <v>10.0</v>
      </c>
      <c r="R388" s="30"/>
      <c r="S388" s="30"/>
      <c r="T388" s="30"/>
      <c r="U388" s="30"/>
      <c r="V388" s="30"/>
      <c r="W388" s="30"/>
      <c r="X388" s="30"/>
      <c r="Y388" s="30"/>
      <c r="Z388" s="30"/>
      <c r="AA388" s="30"/>
    </row>
    <row r="389" ht="15.75" customHeight="1">
      <c r="A389" s="14" t="s">
        <v>17</v>
      </c>
      <c r="B389" s="15" t="s">
        <v>4191</v>
      </c>
      <c r="C389" s="14" t="s">
        <v>2899</v>
      </c>
      <c r="D389" s="67" t="s">
        <v>2900</v>
      </c>
      <c r="E389" s="68" t="s">
        <v>2901</v>
      </c>
      <c r="F389" s="50">
        <v>93.0</v>
      </c>
      <c r="G389" s="50">
        <v>100.0</v>
      </c>
      <c r="H389" s="14" t="s">
        <v>28</v>
      </c>
      <c r="I389" s="19" t="s">
        <v>4422</v>
      </c>
      <c r="J389" s="19" t="s">
        <v>2903</v>
      </c>
      <c r="K389" s="19" t="s">
        <v>4424</v>
      </c>
      <c r="L389" s="19" t="s">
        <v>4425</v>
      </c>
      <c r="M389" s="20" t="s">
        <v>2905</v>
      </c>
      <c r="N389" s="21"/>
      <c r="O389" s="22">
        <v>318.0</v>
      </c>
      <c r="P389" s="28">
        <v>41.0</v>
      </c>
      <c r="Q389" s="28">
        <v>0.0</v>
      </c>
      <c r="R389" s="30"/>
      <c r="S389" s="30"/>
      <c r="T389" s="30"/>
      <c r="U389" s="30"/>
      <c r="V389" s="30"/>
      <c r="W389" s="30"/>
      <c r="X389" s="30"/>
      <c r="Y389" s="30"/>
      <c r="Z389" s="30"/>
      <c r="AA389" s="30"/>
    </row>
    <row r="390" ht="15.75" customHeight="1">
      <c r="A390" s="14" t="s">
        <v>17</v>
      </c>
      <c r="B390" s="15" t="s">
        <v>4191</v>
      </c>
      <c r="C390" s="14" t="s">
        <v>2907</v>
      </c>
      <c r="D390" s="67" t="s">
        <v>2908</v>
      </c>
      <c r="E390" s="68" t="s">
        <v>2909</v>
      </c>
      <c r="F390" s="50">
        <v>101.0</v>
      </c>
      <c r="G390" s="50">
        <v>106.0</v>
      </c>
      <c r="H390" s="14" t="s">
        <v>28</v>
      </c>
      <c r="I390" s="19" t="s">
        <v>4432</v>
      </c>
      <c r="J390" s="19" t="s">
        <v>2911</v>
      </c>
      <c r="K390" s="19" t="s">
        <v>4433</v>
      </c>
      <c r="L390" s="19" t="s">
        <v>1363</v>
      </c>
      <c r="M390" s="20"/>
      <c r="N390" s="21"/>
      <c r="O390" s="22">
        <v>96.0</v>
      </c>
      <c r="P390" s="28">
        <v>11.0</v>
      </c>
      <c r="Q390" s="28">
        <v>0.0</v>
      </c>
      <c r="R390" s="30"/>
      <c r="S390" s="30"/>
      <c r="T390" s="30"/>
      <c r="U390" s="30"/>
      <c r="V390" s="30"/>
      <c r="W390" s="30"/>
      <c r="X390" s="30"/>
      <c r="Y390" s="30"/>
      <c r="Z390" s="30"/>
      <c r="AA390" s="30"/>
    </row>
    <row r="391" ht="15.75" customHeight="1">
      <c r="A391" s="14" t="s">
        <v>17</v>
      </c>
      <c r="B391" s="15" t="s">
        <v>4191</v>
      </c>
      <c r="C391" s="14" t="s">
        <v>2915</v>
      </c>
      <c r="D391" s="14" t="s">
        <v>2916</v>
      </c>
      <c r="E391" s="26" t="s">
        <v>2917</v>
      </c>
      <c r="F391" s="14">
        <v>107.0</v>
      </c>
      <c r="G391" s="14">
        <v>113.0</v>
      </c>
      <c r="H391" s="14" t="s">
        <v>28</v>
      </c>
      <c r="I391" s="19" t="s">
        <v>4447</v>
      </c>
      <c r="J391" s="19" t="s">
        <v>4448</v>
      </c>
      <c r="K391" s="19" t="s">
        <v>4449</v>
      </c>
      <c r="L391" s="19" t="s">
        <v>4450</v>
      </c>
      <c r="M391" s="20" t="s">
        <v>2920</v>
      </c>
      <c r="N391" s="27"/>
      <c r="O391" s="31"/>
      <c r="P391" s="28">
        <v>52.0</v>
      </c>
      <c r="Q391" s="28">
        <v>15.0</v>
      </c>
      <c r="R391" s="29" t="s">
        <v>106</v>
      </c>
      <c r="S391" s="30"/>
      <c r="T391" s="30"/>
      <c r="U391" s="30"/>
      <c r="V391" s="30"/>
      <c r="W391" s="30"/>
      <c r="X391" s="30"/>
      <c r="Y391" s="30"/>
      <c r="Z391" s="30"/>
      <c r="AA391" s="30"/>
    </row>
    <row r="392" ht="15.75" customHeight="1">
      <c r="A392" s="14" t="s">
        <v>17</v>
      </c>
      <c r="B392" s="15" t="s">
        <v>4191</v>
      </c>
      <c r="C392" s="14" t="s">
        <v>2921</v>
      </c>
      <c r="D392" s="14" t="s">
        <v>2922</v>
      </c>
      <c r="E392" s="26" t="s">
        <v>2923</v>
      </c>
      <c r="F392" s="14">
        <v>115.0</v>
      </c>
      <c r="G392" s="14">
        <v>120.0</v>
      </c>
      <c r="H392" s="14" t="s">
        <v>28</v>
      </c>
      <c r="I392" s="19" t="s">
        <v>4456</v>
      </c>
      <c r="J392" s="19" t="s">
        <v>4457</v>
      </c>
      <c r="K392" s="19" t="s">
        <v>4458</v>
      </c>
      <c r="L392" s="19" t="s">
        <v>4459</v>
      </c>
      <c r="M392" s="20" t="s">
        <v>2926</v>
      </c>
      <c r="N392" s="27"/>
      <c r="O392" s="31"/>
      <c r="P392" s="28">
        <v>2.0</v>
      </c>
      <c r="Q392" s="28">
        <v>26.0</v>
      </c>
      <c r="R392" s="30"/>
      <c r="S392" s="30"/>
      <c r="T392" s="30"/>
      <c r="U392" s="30"/>
      <c r="V392" s="30"/>
      <c r="W392" s="30"/>
      <c r="X392" s="30"/>
      <c r="Y392" s="30"/>
      <c r="Z392" s="30"/>
      <c r="AA392" s="30"/>
    </row>
    <row r="393" ht="15.75" customHeight="1">
      <c r="A393" s="14" t="s">
        <v>17</v>
      </c>
      <c r="B393" s="15" t="s">
        <v>4191</v>
      </c>
      <c r="C393" s="14" t="s">
        <v>2928</v>
      </c>
      <c r="D393" s="14" t="s">
        <v>2930</v>
      </c>
      <c r="E393" s="26" t="s">
        <v>2931</v>
      </c>
      <c r="F393" s="14">
        <v>121.0</v>
      </c>
      <c r="G393" s="14">
        <v>126.0</v>
      </c>
      <c r="H393" s="14" t="s">
        <v>28</v>
      </c>
      <c r="I393" s="19" t="s">
        <v>4467</v>
      </c>
      <c r="J393" s="19" t="s">
        <v>2936</v>
      </c>
      <c r="K393" s="19" t="s">
        <v>4468</v>
      </c>
      <c r="L393" s="19" t="s">
        <v>4469</v>
      </c>
      <c r="M393" s="20" t="s">
        <v>1926</v>
      </c>
      <c r="N393" s="27"/>
      <c r="O393" s="22">
        <v>37.0</v>
      </c>
      <c r="P393" s="28">
        <v>16.0</v>
      </c>
      <c r="Q393" s="28">
        <v>7.0</v>
      </c>
      <c r="R393" s="30"/>
      <c r="S393" s="30"/>
      <c r="T393" s="30"/>
      <c r="U393" s="30"/>
      <c r="V393" s="30"/>
      <c r="W393" s="30"/>
      <c r="X393" s="30"/>
      <c r="Y393" s="30"/>
      <c r="Z393" s="30"/>
      <c r="AA393" s="30"/>
    </row>
    <row r="394" ht="15.75" customHeight="1">
      <c r="A394" s="14" t="s">
        <v>17</v>
      </c>
      <c r="B394" s="15" t="s">
        <v>4191</v>
      </c>
      <c r="C394" s="14" t="s">
        <v>2941</v>
      </c>
      <c r="D394" s="14" t="s">
        <v>2942</v>
      </c>
      <c r="E394" s="26" t="s">
        <v>2943</v>
      </c>
      <c r="F394" s="14">
        <v>127.0</v>
      </c>
      <c r="G394" s="14">
        <v>131.0</v>
      </c>
      <c r="H394" s="14" t="s">
        <v>28</v>
      </c>
      <c r="I394" s="19" t="s">
        <v>4474</v>
      </c>
      <c r="J394" s="19" t="s">
        <v>2944</v>
      </c>
      <c r="K394" s="19" t="s">
        <v>4475</v>
      </c>
      <c r="L394" s="19" t="s">
        <v>4476</v>
      </c>
      <c r="M394" s="20" t="s">
        <v>2946</v>
      </c>
      <c r="N394" s="44" t="s">
        <v>2947</v>
      </c>
      <c r="O394" s="31"/>
      <c r="P394" s="28">
        <v>69.0</v>
      </c>
      <c r="Q394" s="28">
        <v>20.0</v>
      </c>
      <c r="R394" s="30"/>
      <c r="S394" s="30"/>
      <c r="T394" s="30"/>
      <c r="U394" s="30"/>
      <c r="V394" s="30"/>
      <c r="W394" s="30"/>
      <c r="X394" s="30"/>
      <c r="Y394" s="30"/>
      <c r="Z394" s="30"/>
      <c r="AA394" s="30"/>
    </row>
    <row r="395" ht="15.75" customHeight="1">
      <c r="A395" s="14" t="s">
        <v>17</v>
      </c>
      <c r="B395" s="15" t="s">
        <v>4191</v>
      </c>
      <c r="C395" s="14" t="s">
        <v>2948</v>
      </c>
      <c r="D395" s="14" t="s">
        <v>2949</v>
      </c>
      <c r="E395" s="26" t="s">
        <v>2950</v>
      </c>
      <c r="F395" s="14">
        <v>133.0</v>
      </c>
      <c r="G395" s="14">
        <v>140.0</v>
      </c>
      <c r="H395" s="14" t="s">
        <v>28</v>
      </c>
      <c r="I395" s="19" t="s">
        <v>4484</v>
      </c>
      <c r="J395" s="19" t="s">
        <v>2955</v>
      </c>
      <c r="K395" s="19" t="s">
        <v>4485</v>
      </c>
      <c r="L395" s="19" t="s">
        <v>4486</v>
      </c>
      <c r="M395" s="20" t="s">
        <v>2957</v>
      </c>
      <c r="N395" s="44" t="s">
        <v>2958</v>
      </c>
      <c r="O395" s="22">
        <v>0.0</v>
      </c>
      <c r="P395" s="28">
        <v>9.0</v>
      </c>
      <c r="Q395" s="28">
        <v>19.0</v>
      </c>
      <c r="R395" s="30"/>
      <c r="S395" s="30"/>
      <c r="T395" s="30"/>
      <c r="U395" s="30"/>
      <c r="V395" s="30"/>
      <c r="W395" s="30"/>
      <c r="X395" s="30"/>
      <c r="Y395" s="30"/>
      <c r="Z395" s="30"/>
      <c r="AA395" s="30"/>
    </row>
    <row r="396" ht="15.75" customHeight="1">
      <c r="A396" s="14" t="s">
        <v>17</v>
      </c>
      <c r="B396" s="15" t="s">
        <v>4191</v>
      </c>
      <c r="C396" s="14" t="s">
        <v>2959</v>
      </c>
      <c r="D396" s="14" t="s">
        <v>2960</v>
      </c>
      <c r="E396" s="26" t="s">
        <v>2961</v>
      </c>
      <c r="F396" s="14">
        <v>141.0</v>
      </c>
      <c r="G396" s="14">
        <v>148.0</v>
      </c>
      <c r="H396" s="14" t="s">
        <v>28</v>
      </c>
      <c r="I396" s="19" t="s">
        <v>4492</v>
      </c>
      <c r="J396" s="19" t="s">
        <v>2450</v>
      </c>
      <c r="K396" s="19" t="s">
        <v>3952</v>
      </c>
      <c r="L396" s="19" t="s">
        <v>4311</v>
      </c>
      <c r="M396" s="20" t="s">
        <v>2962</v>
      </c>
      <c r="N396" s="27"/>
      <c r="O396" s="22">
        <v>50.0</v>
      </c>
      <c r="P396" s="28">
        <v>23.0</v>
      </c>
      <c r="Q396" s="28">
        <v>18.0</v>
      </c>
      <c r="R396" s="30"/>
      <c r="S396" s="30"/>
      <c r="T396" s="30"/>
      <c r="U396" s="30"/>
      <c r="V396" s="30"/>
      <c r="W396" s="30"/>
      <c r="X396" s="30"/>
      <c r="Y396" s="30"/>
      <c r="Z396" s="30"/>
      <c r="AA396" s="30"/>
    </row>
    <row r="397" ht="15.75" customHeight="1">
      <c r="A397" s="14" t="s">
        <v>17</v>
      </c>
      <c r="B397" s="15" t="s">
        <v>4191</v>
      </c>
      <c r="C397" s="14" t="s">
        <v>2964</v>
      </c>
      <c r="D397" s="14" t="s">
        <v>2965</v>
      </c>
      <c r="E397" s="26" t="s">
        <v>2966</v>
      </c>
      <c r="F397" s="14">
        <v>149.0</v>
      </c>
      <c r="G397" s="14">
        <v>156.0</v>
      </c>
      <c r="H397" s="14" t="s">
        <v>28</v>
      </c>
      <c r="I397" s="19" t="s">
        <v>4497</v>
      </c>
      <c r="J397" s="19" t="s">
        <v>2968</v>
      </c>
      <c r="K397" s="19" t="s">
        <v>4498</v>
      </c>
      <c r="L397" s="19" t="s">
        <v>4499</v>
      </c>
      <c r="M397" s="20"/>
      <c r="N397" s="44" t="s">
        <v>2970</v>
      </c>
      <c r="O397" s="31"/>
      <c r="P397" s="28">
        <v>7.0</v>
      </c>
      <c r="Q397" s="28">
        <v>35.0</v>
      </c>
      <c r="R397" s="30"/>
      <c r="S397" s="30"/>
      <c r="T397" s="30"/>
      <c r="U397" s="30"/>
      <c r="V397" s="30"/>
      <c r="W397" s="30"/>
      <c r="X397" s="30"/>
      <c r="Y397" s="30"/>
      <c r="Z397" s="30"/>
      <c r="AA397" s="30"/>
    </row>
    <row r="398" ht="15.75" customHeight="1">
      <c r="A398" s="14" t="s">
        <v>17</v>
      </c>
      <c r="B398" s="15" t="s">
        <v>4191</v>
      </c>
      <c r="C398" s="14" t="s">
        <v>2971</v>
      </c>
      <c r="D398" s="14" t="s">
        <v>2973</v>
      </c>
      <c r="E398" s="26" t="s">
        <v>2974</v>
      </c>
      <c r="F398" s="14">
        <v>157.0</v>
      </c>
      <c r="G398" s="14">
        <v>164.0</v>
      </c>
      <c r="H398" s="14" t="s">
        <v>28</v>
      </c>
      <c r="I398" s="19" t="s">
        <v>4508</v>
      </c>
      <c r="J398" s="19" t="s">
        <v>2976</v>
      </c>
      <c r="K398" s="19" t="s">
        <v>4511</v>
      </c>
      <c r="L398" s="19" t="s">
        <v>4513</v>
      </c>
      <c r="M398" s="20" t="s">
        <v>2978</v>
      </c>
      <c r="N398" s="44" t="s">
        <v>2979</v>
      </c>
      <c r="O398" s="22">
        <v>91.0</v>
      </c>
      <c r="P398" s="28">
        <v>27.0</v>
      </c>
      <c r="Q398" s="28">
        <v>34.0</v>
      </c>
      <c r="R398" s="30"/>
      <c r="S398" s="30"/>
      <c r="T398" s="30"/>
      <c r="U398" s="30"/>
      <c r="V398" s="30"/>
      <c r="W398" s="30"/>
      <c r="X398" s="30"/>
      <c r="Y398" s="30"/>
      <c r="Z398" s="30"/>
      <c r="AA398" s="30"/>
    </row>
    <row r="399" ht="15.75" customHeight="1">
      <c r="A399" s="14" t="s">
        <v>17</v>
      </c>
      <c r="B399" s="15" t="s">
        <v>4191</v>
      </c>
      <c r="C399" s="14" t="s">
        <v>2980</v>
      </c>
      <c r="D399" s="14" t="s">
        <v>2981</v>
      </c>
      <c r="E399" s="26" t="s">
        <v>2982</v>
      </c>
      <c r="F399" s="14">
        <v>165.0</v>
      </c>
      <c r="G399" s="14">
        <v>172.0</v>
      </c>
      <c r="H399" s="14" t="s">
        <v>28</v>
      </c>
      <c r="I399" s="19" t="s">
        <v>4521</v>
      </c>
      <c r="J399" s="19" t="s">
        <v>2986</v>
      </c>
      <c r="K399" s="19" t="s">
        <v>4522</v>
      </c>
      <c r="L399" s="19" t="s">
        <v>4336</v>
      </c>
      <c r="M399" s="20" t="s">
        <v>2067</v>
      </c>
      <c r="N399" s="44" t="s">
        <v>2988</v>
      </c>
      <c r="O399" s="22">
        <v>50.0</v>
      </c>
      <c r="P399" s="28">
        <v>14.0</v>
      </c>
      <c r="Q399" s="28">
        <v>21.0</v>
      </c>
      <c r="R399" s="30"/>
      <c r="S399" s="30"/>
      <c r="T399" s="30"/>
      <c r="U399" s="30"/>
      <c r="V399" s="30"/>
      <c r="W399" s="30"/>
      <c r="X399" s="30"/>
      <c r="Y399" s="30"/>
      <c r="Z399" s="30"/>
      <c r="AA399" s="30"/>
    </row>
    <row r="400" ht="15.75" customHeight="1">
      <c r="A400" s="14" t="s">
        <v>17</v>
      </c>
      <c r="B400" s="15" t="s">
        <v>4191</v>
      </c>
      <c r="C400" s="14" t="s">
        <v>2989</v>
      </c>
      <c r="D400" s="14" t="s">
        <v>2990</v>
      </c>
      <c r="E400" s="26" t="s">
        <v>2991</v>
      </c>
      <c r="F400" s="14">
        <v>173.0</v>
      </c>
      <c r="G400" s="14">
        <v>180.0</v>
      </c>
      <c r="H400" s="14" t="s">
        <v>28</v>
      </c>
      <c r="I400" s="19" t="s">
        <v>4533</v>
      </c>
      <c r="J400" s="19" t="s">
        <v>2994</v>
      </c>
      <c r="K400" s="19" t="s">
        <v>4536</v>
      </c>
      <c r="L400" s="19" t="s">
        <v>4327</v>
      </c>
      <c r="M400" s="20" t="s">
        <v>2995</v>
      </c>
      <c r="N400" s="27"/>
      <c r="O400" s="22">
        <v>38.0</v>
      </c>
      <c r="P400" s="28">
        <v>17.0</v>
      </c>
      <c r="Q400" s="28">
        <v>15.0</v>
      </c>
      <c r="R400" s="30"/>
      <c r="S400" s="30"/>
      <c r="T400" s="30"/>
      <c r="U400" s="30"/>
      <c r="V400" s="30"/>
      <c r="W400" s="30"/>
      <c r="X400" s="30"/>
      <c r="Y400" s="30"/>
      <c r="Z400" s="30"/>
      <c r="AA400" s="30"/>
    </row>
    <row r="401" ht="15.75" customHeight="1">
      <c r="A401" s="14" t="s">
        <v>17</v>
      </c>
      <c r="B401" s="15" t="s">
        <v>4191</v>
      </c>
      <c r="C401" s="14" t="s">
        <v>2996</v>
      </c>
      <c r="D401" s="14" t="s">
        <v>2997</v>
      </c>
      <c r="E401" s="26" t="s">
        <v>2998</v>
      </c>
      <c r="F401" s="14">
        <v>181.0</v>
      </c>
      <c r="G401" s="14">
        <v>188.0</v>
      </c>
      <c r="H401" s="14" t="s">
        <v>28</v>
      </c>
      <c r="I401" s="19" t="s">
        <v>4543</v>
      </c>
      <c r="J401" s="19" t="s">
        <v>2999</v>
      </c>
      <c r="K401" s="19" t="s">
        <v>4544</v>
      </c>
      <c r="L401" s="19" t="s">
        <v>4545</v>
      </c>
      <c r="M401" s="20" t="s">
        <v>2371</v>
      </c>
      <c r="N401" s="27"/>
      <c r="O401" s="31"/>
      <c r="P401" s="28">
        <v>5.0</v>
      </c>
      <c r="Q401" s="28">
        <v>24.0</v>
      </c>
      <c r="R401" s="30"/>
      <c r="S401" s="30"/>
      <c r="T401" s="30"/>
      <c r="U401" s="30"/>
      <c r="V401" s="30"/>
      <c r="W401" s="30"/>
      <c r="X401" s="30"/>
      <c r="Y401" s="30"/>
      <c r="Z401" s="30"/>
      <c r="AA401" s="30"/>
    </row>
    <row r="402" ht="15.75" customHeight="1">
      <c r="A402" s="14" t="s">
        <v>17</v>
      </c>
      <c r="B402" s="15" t="s">
        <v>4191</v>
      </c>
      <c r="C402" s="14" t="s">
        <v>3001</v>
      </c>
      <c r="D402" s="14" t="s">
        <v>3002</v>
      </c>
      <c r="E402" s="26" t="s">
        <v>3003</v>
      </c>
      <c r="F402" s="14">
        <v>189.0</v>
      </c>
      <c r="G402" s="14">
        <v>195.0</v>
      </c>
      <c r="H402" s="14" t="s">
        <v>28</v>
      </c>
      <c r="I402" s="19" t="s">
        <v>4552</v>
      </c>
      <c r="J402" s="19" t="s">
        <v>3007</v>
      </c>
      <c r="K402" s="19" t="s">
        <v>4554</v>
      </c>
      <c r="L402" s="19" t="s">
        <v>4556</v>
      </c>
      <c r="M402" s="20" t="s">
        <v>3009</v>
      </c>
      <c r="N402" s="44" t="s">
        <v>3010</v>
      </c>
      <c r="O402" s="31"/>
      <c r="P402" s="28">
        <v>16.0</v>
      </c>
      <c r="Q402" s="28">
        <v>56.0</v>
      </c>
      <c r="R402" s="30"/>
      <c r="S402" s="30"/>
      <c r="T402" s="30"/>
      <c r="U402" s="30"/>
      <c r="V402" s="30"/>
      <c r="W402" s="30"/>
      <c r="X402" s="30"/>
      <c r="Y402" s="30"/>
      <c r="Z402" s="30"/>
      <c r="AA402" s="30"/>
    </row>
    <row r="403" ht="15.75" customHeight="1">
      <c r="A403" s="14" t="s">
        <v>17</v>
      </c>
      <c r="B403" s="15" t="s">
        <v>4191</v>
      </c>
      <c r="C403" s="14" t="s">
        <v>3011</v>
      </c>
      <c r="D403" s="14" t="s">
        <v>3012</v>
      </c>
      <c r="E403" s="26" t="s">
        <v>3013</v>
      </c>
      <c r="F403" s="14">
        <v>197.0</v>
      </c>
      <c r="G403" s="14">
        <v>204.0</v>
      </c>
      <c r="H403" s="14" t="s">
        <v>28</v>
      </c>
      <c r="I403" s="19" t="s">
        <v>4562</v>
      </c>
      <c r="J403" s="19" t="s">
        <v>3014</v>
      </c>
      <c r="K403" s="19" t="s">
        <v>4563</v>
      </c>
      <c r="L403" s="19" t="s">
        <v>4564</v>
      </c>
      <c r="M403" s="20" t="s">
        <v>2290</v>
      </c>
      <c r="N403" s="27"/>
      <c r="O403" s="22">
        <v>50.0</v>
      </c>
      <c r="P403" s="28">
        <v>93.0</v>
      </c>
      <c r="Q403" s="28">
        <v>17.0</v>
      </c>
      <c r="R403" s="30"/>
      <c r="S403" s="30"/>
      <c r="T403" s="30"/>
      <c r="U403" s="30"/>
      <c r="V403" s="30"/>
      <c r="W403" s="30"/>
      <c r="X403" s="30"/>
      <c r="Y403" s="30"/>
      <c r="Z403" s="30"/>
      <c r="AA403" s="30"/>
    </row>
    <row r="404" ht="15.75" customHeight="1">
      <c r="A404" s="14" t="s">
        <v>17</v>
      </c>
      <c r="B404" s="15" t="s">
        <v>4191</v>
      </c>
      <c r="C404" s="14" t="s">
        <v>3016</v>
      </c>
      <c r="D404" s="14" t="s">
        <v>3017</v>
      </c>
      <c r="E404" s="26" t="s">
        <v>3018</v>
      </c>
      <c r="F404" s="14">
        <v>205.0</v>
      </c>
      <c r="G404" s="14">
        <v>210.0</v>
      </c>
      <c r="H404" s="14" t="s">
        <v>28</v>
      </c>
      <c r="I404" s="19" t="s">
        <v>4574</v>
      </c>
      <c r="J404" s="19" t="s">
        <v>3021</v>
      </c>
      <c r="K404" s="19" t="s">
        <v>4575</v>
      </c>
      <c r="L404" s="19" t="s">
        <v>4284</v>
      </c>
      <c r="M404" s="20" t="s">
        <v>2565</v>
      </c>
      <c r="N404" s="27"/>
      <c r="O404" s="22">
        <v>0.0</v>
      </c>
      <c r="P404" s="28">
        <v>9.0</v>
      </c>
      <c r="Q404" s="28">
        <v>20.0</v>
      </c>
      <c r="R404" s="30"/>
      <c r="S404" s="30"/>
      <c r="T404" s="30"/>
      <c r="U404" s="30"/>
      <c r="V404" s="30"/>
      <c r="W404" s="30"/>
      <c r="X404" s="30"/>
      <c r="Y404" s="30"/>
      <c r="Z404" s="30"/>
      <c r="AA404" s="30"/>
    </row>
    <row r="405" ht="15.75" customHeight="1">
      <c r="A405" s="14" t="s">
        <v>17</v>
      </c>
      <c r="B405" s="15" t="s">
        <v>4191</v>
      </c>
      <c r="C405" s="14" t="s">
        <v>3023</v>
      </c>
      <c r="D405" s="14" t="s">
        <v>3024</v>
      </c>
      <c r="E405" s="26" t="s">
        <v>3025</v>
      </c>
      <c r="F405" s="14">
        <v>211.0</v>
      </c>
      <c r="G405" s="14">
        <v>218.0</v>
      </c>
      <c r="H405" s="14" t="s">
        <v>28</v>
      </c>
      <c r="I405" s="19" t="s">
        <v>4581</v>
      </c>
      <c r="J405" s="19" t="s">
        <v>2319</v>
      </c>
      <c r="K405" s="19" t="s">
        <v>3496</v>
      </c>
      <c r="L405" s="19" t="s">
        <v>4583</v>
      </c>
      <c r="M405" s="20" t="s">
        <v>3027</v>
      </c>
      <c r="N405" s="27"/>
      <c r="O405" s="31"/>
      <c r="P405" s="28">
        <v>19.0</v>
      </c>
      <c r="Q405" s="28">
        <v>33.0</v>
      </c>
      <c r="R405" s="30"/>
      <c r="S405" s="30"/>
      <c r="T405" s="30"/>
      <c r="U405" s="30"/>
      <c r="V405" s="30"/>
      <c r="W405" s="30"/>
      <c r="X405" s="30"/>
      <c r="Y405" s="30"/>
      <c r="Z405" s="30"/>
      <c r="AA405" s="30"/>
    </row>
    <row r="406" ht="15.75" customHeight="1">
      <c r="A406" s="14" t="s">
        <v>17</v>
      </c>
      <c r="B406" s="15" t="s">
        <v>4191</v>
      </c>
      <c r="C406" s="14" t="s">
        <v>3029</v>
      </c>
      <c r="D406" s="14" t="s">
        <v>3030</v>
      </c>
      <c r="E406" s="26" t="s">
        <v>3032</v>
      </c>
      <c r="F406" s="14">
        <v>219.0</v>
      </c>
      <c r="G406" s="14">
        <v>225.0</v>
      </c>
      <c r="H406" s="14" t="s">
        <v>28</v>
      </c>
      <c r="I406" s="19" t="s">
        <v>4589</v>
      </c>
      <c r="J406" s="19" t="s">
        <v>1137</v>
      </c>
      <c r="K406" s="19" t="s">
        <v>1362</v>
      </c>
      <c r="L406" s="19" t="s">
        <v>4590</v>
      </c>
      <c r="M406" s="20" t="s">
        <v>3035</v>
      </c>
      <c r="N406" s="27"/>
      <c r="O406" s="31"/>
      <c r="P406" s="28">
        <v>14.0</v>
      </c>
      <c r="Q406" s="28">
        <v>15.0</v>
      </c>
      <c r="R406" s="30"/>
      <c r="S406" s="30"/>
      <c r="T406" s="30"/>
      <c r="U406" s="30"/>
      <c r="V406" s="30"/>
      <c r="W406" s="30"/>
      <c r="X406" s="30"/>
      <c r="Y406" s="30"/>
      <c r="Z406" s="30"/>
      <c r="AA406" s="30"/>
    </row>
    <row r="407" ht="15.75" customHeight="1">
      <c r="A407" s="14" t="s">
        <v>17</v>
      </c>
      <c r="B407" s="15" t="s">
        <v>4191</v>
      </c>
      <c r="C407" s="14" t="s">
        <v>3036</v>
      </c>
      <c r="D407" s="16" t="s">
        <v>3037</v>
      </c>
      <c r="E407" s="49" t="str">
        <f>HYPERLINK("http://dx.doi.org/10.1109/VISUAL.1996.568113","http://dx.doi.org/10.1109/VISUAL.1996.568113")</f>
        <v>http://dx.doi.org/10.1109/VISUAL.1996.568113</v>
      </c>
      <c r="F407" s="50">
        <v>227.0</v>
      </c>
      <c r="G407" s="50">
        <v>234.0</v>
      </c>
      <c r="H407" s="14" t="s">
        <v>28</v>
      </c>
      <c r="I407" s="19" t="s">
        <v>4599</v>
      </c>
      <c r="J407" s="19" t="s">
        <v>3041</v>
      </c>
      <c r="K407" s="19" t="s">
        <v>4601</v>
      </c>
      <c r="L407" s="19" t="s">
        <v>3480</v>
      </c>
      <c r="M407" s="20"/>
      <c r="N407" s="21"/>
      <c r="O407" s="31"/>
      <c r="P407" s="28">
        <v>0.0</v>
      </c>
      <c r="Q407" s="28">
        <v>0.0</v>
      </c>
      <c r="R407" s="30"/>
      <c r="S407" s="30"/>
      <c r="T407" s="30"/>
      <c r="U407" s="30"/>
      <c r="V407" s="30"/>
      <c r="W407" s="30"/>
      <c r="X407" s="30"/>
      <c r="Y407" s="30"/>
      <c r="Z407" s="30"/>
      <c r="AA407" s="30"/>
    </row>
    <row r="408" ht="15.75" customHeight="1">
      <c r="A408" s="14" t="s">
        <v>17</v>
      </c>
      <c r="B408" s="15" t="s">
        <v>4191</v>
      </c>
      <c r="C408" s="14" t="s">
        <v>3043</v>
      </c>
      <c r="D408" s="14" t="s">
        <v>3044</v>
      </c>
      <c r="E408" s="26" t="s">
        <v>3045</v>
      </c>
      <c r="F408" s="14">
        <v>235.0</v>
      </c>
      <c r="G408" s="14">
        <v>240.0</v>
      </c>
      <c r="H408" s="14" t="s">
        <v>28</v>
      </c>
      <c r="I408" s="19" t="s">
        <v>4612</v>
      </c>
      <c r="J408" s="19" t="s">
        <v>3046</v>
      </c>
      <c r="K408" s="19" t="s">
        <v>4613</v>
      </c>
      <c r="L408" s="19" t="s">
        <v>1363</v>
      </c>
      <c r="M408" s="20" t="s">
        <v>3048</v>
      </c>
      <c r="N408" s="44" t="s">
        <v>3049</v>
      </c>
      <c r="O408" s="22">
        <v>65.0</v>
      </c>
      <c r="P408" s="28">
        <v>8.0</v>
      </c>
      <c r="Q408" s="28">
        <v>24.0</v>
      </c>
      <c r="R408" s="30"/>
      <c r="S408" s="30"/>
      <c r="T408" s="30"/>
      <c r="U408" s="30"/>
      <c r="V408" s="30"/>
      <c r="W408" s="30"/>
      <c r="X408" s="30"/>
      <c r="Y408" s="30"/>
      <c r="Z408" s="30"/>
      <c r="AA408" s="30"/>
    </row>
    <row r="409" ht="15.75" customHeight="1">
      <c r="A409" s="14" t="s">
        <v>17</v>
      </c>
      <c r="B409" s="15" t="s">
        <v>4191</v>
      </c>
      <c r="C409" s="14" t="s">
        <v>3050</v>
      </c>
      <c r="D409" s="67" t="s">
        <v>3051</v>
      </c>
      <c r="E409" s="68" t="str">
        <f>HYPERLINK("http://doi.ieeecomputersociety.org/10.1109/VISUAL.1996.568115","http://doi.ieeecomputersociety.org/10.1109/VISUAL.1996.568115")</f>
        <v>http://doi.ieeecomputersociety.org/10.1109/VISUAL.1996.568115</v>
      </c>
      <c r="F409" s="50">
        <v>241.0</v>
      </c>
      <c r="G409" s="50">
        <v>247.0</v>
      </c>
      <c r="H409" s="14" t="s">
        <v>28</v>
      </c>
      <c r="I409" s="19" t="s">
        <v>4623</v>
      </c>
      <c r="J409" s="19" t="s">
        <v>3056</v>
      </c>
      <c r="K409" s="19" t="s">
        <v>4624</v>
      </c>
      <c r="L409" s="19" t="s">
        <v>1298</v>
      </c>
      <c r="M409" s="20" t="s">
        <v>3058</v>
      </c>
      <c r="N409" s="21"/>
      <c r="O409" s="22">
        <v>26.0</v>
      </c>
      <c r="P409" s="28">
        <v>7.0</v>
      </c>
      <c r="Q409" s="28">
        <v>0.0</v>
      </c>
      <c r="R409" s="30"/>
      <c r="S409" s="30"/>
      <c r="T409" s="30"/>
      <c r="U409" s="30"/>
      <c r="V409" s="30"/>
      <c r="W409" s="30"/>
      <c r="X409" s="30"/>
      <c r="Y409" s="30"/>
      <c r="Z409" s="30"/>
      <c r="AA409" s="30"/>
    </row>
    <row r="410" ht="15.75" customHeight="1">
      <c r="A410" s="14" t="s">
        <v>17</v>
      </c>
      <c r="B410" s="15" t="s">
        <v>4191</v>
      </c>
      <c r="C410" s="14" t="s">
        <v>3059</v>
      </c>
      <c r="D410" s="14" t="s">
        <v>3060</v>
      </c>
      <c r="E410" s="26" t="s">
        <v>3061</v>
      </c>
      <c r="F410" s="14">
        <v>249.0</v>
      </c>
      <c r="G410" s="14">
        <v>254.0</v>
      </c>
      <c r="H410" s="14" t="s">
        <v>28</v>
      </c>
      <c r="I410" s="19" t="s">
        <v>4719</v>
      </c>
      <c r="J410" s="19" t="s">
        <v>3064</v>
      </c>
      <c r="K410" s="19" t="s">
        <v>4720</v>
      </c>
      <c r="L410" s="19" t="s">
        <v>4721</v>
      </c>
      <c r="M410" s="20" t="s">
        <v>3066</v>
      </c>
      <c r="N410" s="44" t="s">
        <v>3067</v>
      </c>
      <c r="O410" s="22">
        <v>155.0</v>
      </c>
      <c r="P410" s="28">
        <v>31.0</v>
      </c>
      <c r="Q410" s="28">
        <v>34.0</v>
      </c>
      <c r="R410" s="30"/>
      <c r="S410" s="30"/>
      <c r="T410" s="30"/>
      <c r="U410" s="30"/>
      <c r="V410" s="30"/>
      <c r="W410" s="30"/>
      <c r="X410" s="30"/>
      <c r="Y410" s="30"/>
      <c r="Z410" s="30"/>
      <c r="AA410" s="30"/>
    </row>
    <row r="411" ht="15.75" customHeight="1">
      <c r="A411" s="14" t="s">
        <v>17</v>
      </c>
      <c r="B411" s="15" t="s">
        <v>4191</v>
      </c>
      <c r="C411" s="14" t="s">
        <v>3068</v>
      </c>
      <c r="D411" s="14" t="s">
        <v>3069</v>
      </c>
      <c r="E411" s="26" t="s">
        <v>3070</v>
      </c>
      <c r="F411" s="14">
        <v>255.0</v>
      </c>
      <c r="G411" s="14">
        <v>261.0</v>
      </c>
      <c r="H411" s="14" t="s">
        <v>28</v>
      </c>
      <c r="I411" s="19" t="s">
        <v>4722</v>
      </c>
      <c r="J411" s="19" t="s">
        <v>3071</v>
      </c>
      <c r="K411" s="19" t="s">
        <v>4723</v>
      </c>
      <c r="L411" s="19" t="s">
        <v>1298</v>
      </c>
      <c r="M411" s="20" t="s">
        <v>2606</v>
      </c>
      <c r="N411" s="27"/>
      <c r="O411" s="22">
        <v>67.0</v>
      </c>
      <c r="P411" s="28">
        <v>12.0</v>
      </c>
      <c r="Q411" s="28">
        <v>12.0</v>
      </c>
      <c r="R411" s="30"/>
      <c r="S411" s="30"/>
      <c r="T411" s="30"/>
      <c r="U411" s="30"/>
      <c r="V411" s="30"/>
      <c r="W411" s="30"/>
      <c r="X411" s="30"/>
      <c r="Y411" s="30"/>
      <c r="Z411" s="30"/>
      <c r="AA411" s="30"/>
    </row>
    <row r="412" ht="15.75" customHeight="1">
      <c r="A412" s="14" t="s">
        <v>17</v>
      </c>
      <c r="B412" s="15" t="s">
        <v>4191</v>
      </c>
      <c r="C412" s="14" t="s">
        <v>3072</v>
      </c>
      <c r="D412" s="14" t="s">
        <v>3073</v>
      </c>
      <c r="E412" s="26" t="s">
        <v>3074</v>
      </c>
      <c r="F412" s="14">
        <v>263.0</v>
      </c>
      <c r="G412" s="14">
        <v>270.0</v>
      </c>
      <c r="H412" s="14" t="s">
        <v>28</v>
      </c>
      <c r="I412" s="19" t="s">
        <v>4724</v>
      </c>
      <c r="J412" s="19" t="s">
        <v>3075</v>
      </c>
      <c r="K412" s="19" t="s">
        <v>4725</v>
      </c>
      <c r="L412" s="19" t="s">
        <v>4726</v>
      </c>
      <c r="M412" s="20" t="s">
        <v>3077</v>
      </c>
      <c r="N412" s="27"/>
      <c r="O412" s="22">
        <v>50.0</v>
      </c>
      <c r="P412" s="28">
        <v>65.0</v>
      </c>
      <c r="Q412" s="28">
        <v>22.0</v>
      </c>
      <c r="R412" s="30"/>
      <c r="S412" s="30"/>
      <c r="T412" s="30"/>
      <c r="U412" s="30"/>
      <c r="V412" s="30"/>
      <c r="W412" s="30"/>
      <c r="X412" s="30"/>
      <c r="Y412" s="30"/>
      <c r="Z412" s="30"/>
      <c r="AA412" s="30"/>
    </row>
    <row r="413" ht="15.75" customHeight="1">
      <c r="A413" s="14" t="s">
        <v>17</v>
      </c>
      <c r="B413" s="15" t="s">
        <v>4191</v>
      </c>
      <c r="C413" s="14" t="s">
        <v>3078</v>
      </c>
      <c r="D413" s="14" t="s">
        <v>3079</v>
      </c>
      <c r="E413" s="26" t="s">
        <v>3080</v>
      </c>
      <c r="F413" s="14">
        <v>271.0</v>
      </c>
      <c r="G413" s="14">
        <v>277.0</v>
      </c>
      <c r="H413" s="14" t="s">
        <v>28</v>
      </c>
      <c r="I413" s="19" t="s">
        <v>4727</v>
      </c>
      <c r="J413" s="19" t="s">
        <v>3081</v>
      </c>
      <c r="K413" s="19" t="s">
        <v>4728</v>
      </c>
      <c r="L413" s="19" t="s">
        <v>3975</v>
      </c>
      <c r="M413" s="20" t="s">
        <v>3082</v>
      </c>
      <c r="N413" s="44" t="s">
        <v>3083</v>
      </c>
      <c r="O413" s="22">
        <v>50.0</v>
      </c>
      <c r="P413" s="28">
        <v>3.0</v>
      </c>
      <c r="Q413" s="28">
        <v>30.0</v>
      </c>
      <c r="R413" s="30"/>
      <c r="S413" s="30"/>
      <c r="T413" s="30"/>
      <c r="U413" s="30"/>
      <c r="V413" s="30"/>
      <c r="W413" s="30"/>
      <c r="X413" s="30"/>
      <c r="Y413" s="30"/>
      <c r="Z413" s="30"/>
      <c r="AA413" s="30"/>
    </row>
    <row r="414" ht="15.75" customHeight="1">
      <c r="A414" s="14" t="s">
        <v>17</v>
      </c>
      <c r="B414" s="15" t="s">
        <v>4191</v>
      </c>
      <c r="C414" s="14" t="s">
        <v>3084</v>
      </c>
      <c r="D414" s="67" t="s">
        <v>3085</v>
      </c>
      <c r="E414" s="68" t="s">
        <v>3086</v>
      </c>
      <c r="F414" s="50">
        <v>279.0</v>
      </c>
      <c r="G414" s="50">
        <v>286.0</v>
      </c>
      <c r="H414" s="14" t="s">
        <v>28</v>
      </c>
      <c r="I414" s="19" t="s">
        <v>4731</v>
      </c>
      <c r="J414" s="19" t="s">
        <v>3087</v>
      </c>
      <c r="K414" s="19" t="s">
        <v>4732</v>
      </c>
      <c r="L414" s="19" t="s">
        <v>527</v>
      </c>
      <c r="M414" s="20"/>
      <c r="N414" s="21"/>
      <c r="O414" s="22">
        <v>50.0</v>
      </c>
      <c r="P414" s="28">
        <v>3.0</v>
      </c>
      <c r="Q414" s="28">
        <v>0.0</v>
      </c>
      <c r="R414" s="30"/>
      <c r="S414" s="30"/>
      <c r="T414" s="30"/>
      <c r="U414" s="30"/>
      <c r="V414" s="30"/>
      <c r="W414" s="30"/>
      <c r="X414" s="30"/>
      <c r="Y414" s="30"/>
      <c r="Z414" s="30"/>
      <c r="AA414" s="30"/>
    </row>
    <row r="415" ht="15.75" customHeight="1">
      <c r="A415" s="14" t="s">
        <v>17</v>
      </c>
      <c r="B415" s="15" t="s">
        <v>4191</v>
      </c>
      <c r="C415" s="14" t="s">
        <v>3089</v>
      </c>
      <c r="D415" s="14" t="s">
        <v>3090</v>
      </c>
      <c r="E415" s="26" t="s">
        <v>3091</v>
      </c>
      <c r="F415" s="14">
        <v>287.0</v>
      </c>
      <c r="G415" s="14">
        <v>294.0</v>
      </c>
      <c r="H415" s="14" t="s">
        <v>28</v>
      </c>
      <c r="I415" s="19" t="s">
        <v>4733</v>
      </c>
      <c r="J415" s="19" t="s">
        <v>3092</v>
      </c>
      <c r="K415" s="19" t="s">
        <v>4735</v>
      </c>
      <c r="L415" s="19" t="s">
        <v>4736</v>
      </c>
      <c r="M415" s="20" t="s">
        <v>3094</v>
      </c>
      <c r="N415" s="27"/>
      <c r="O415" s="31"/>
      <c r="P415" s="28">
        <v>55.0</v>
      </c>
      <c r="Q415" s="28">
        <v>10.0</v>
      </c>
      <c r="R415" s="30"/>
      <c r="S415" s="30"/>
      <c r="T415" s="30"/>
      <c r="U415" s="30"/>
      <c r="V415" s="30"/>
      <c r="W415" s="30"/>
      <c r="X415" s="30"/>
      <c r="Y415" s="30"/>
      <c r="Z415" s="30"/>
      <c r="AA415" s="30"/>
    </row>
    <row r="416" ht="15.75" customHeight="1">
      <c r="A416" s="14" t="s">
        <v>17</v>
      </c>
      <c r="B416" s="15" t="s">
        <v>4191</v>
      </c>
      <c r="C416" s="78" t="s">
        <v>3095</v>
      </c>
      <c r="D416" s="67" t="s">
        <v>3096</v>
      </c>
      <c r="E416" s="68" t="s">
        <v>3097</v>
      </c>
      <c r="F416" s="50">
        <v>295.0</v>
      </c>
      <c r="G416" s="50">
        <v>302.0</v>
      </c>
      <c r="H416" s="14" t="s">
        <v>28</v>
      </c>
      <c r="I416" s="19" t="s">
        <v>4738</v>
      </c>
      <c r="J416" s="19" t="s">
        <v>4739</v>
      </c>
      <c r="K416" s="19" t="s">
        <v>4740</v>
      </c>
      <c r="L416" s="19" t="s">
        <v>4741</v>
      </c>
      <c r="M416" s="20"/>
      <c r="N416" s="21"/>
      <c r="O416" s="22">
        <v>50.0</v>
      </c>
      <c r="P416" s="28">
        <v>1.0</v>
      </c>
      <c r="Q416" s="28">
        <v>0.0</v>
      </c>
      <c r="R416" s="30"/>
      <c r="S416" s="30"/>
      <c r="T416" s="30"/>
      <c r="U416" s="30"/>
      <c r="V416" s="30"/>
      <c r="W416" s="30"/>
      <c r="X416" s="30"/>
      <c r="Y416" s="30"/>
      <c r="Z416" s="30"/>
      <c r="AA416" s="30"/>
    </row>
    <row r="417" ht="15.75" customHeight="1">
      <c r="A417" s="14" t="s">
        <v>17</v>
      </c>
      <c r="B417" s="15" t="s">
        <v>4191</v>
      </c>
      <c r="C417" s="14" t="s">
        <v>3100</v>
      </c>
      <c r="D417" s="67" t="s">
        <v>3101</v>
      </c>
      <c r="E417" s="68" t="str">
        <f>HYPERLINK("http://doi.ieeecomputersociety.org/10.1109/VISUAL.1996.568123","http://doi.ieeecomputersociety.org/10.1109/VISUAL.1996.568123")</f>
        <v>http://doi.ieeecomputersociety.org/10.1109/VISUAL.1996.568123</v>
      </c>
      <c r="F417" s="50">
        <v>303.0</v>
      </c>
      <c r="G417" s="50">
        <v>310.0</v>
      </c>
      <c r="H417" s="14" t="s">
        <v>28</v>
      </c>
      <c r="I417" s="19" t="s">
        <v>4743</v>
      </c>
      <c r="J417" s="19" t="s">
        <v>3103</v>
      </c>
      <c r="K417" s="19" t="s">
        <v>4744</v>
      </c>
      <c r="L417" s="19" t="s">
        <v>4745</v>
      </c>
      <c r="M417" s="20" t="s">
        <v>520</v>
      </c>
      <c r="N417" s="21"/>
      <c r="O417" s="22">
        <v>65.0</v>
      </c>
      <c r="P417" s="28">
        <v>15.0</v>
      </c>
      <c r="Q417" s="28">
        <v>0.0</v>
      </c>
      <c r="R417" s="30"/>
      <c r="S417" s="30"/>
      <c r="T417" s="30"/>
      <c r="U417" s="30"/>
      <c r="V417" s="30"/>
      <c r="W417" s="30"/>
      <c r="X417" s="30"/>
      <c r="Y417" s="30"/>
      <c r="Z417" s="30"/>
      <c r="AA417" s="30"/>
    </row>
    <row r="418" ht="15.75" customHeight="1">
      <c r="A418" s="14" t="s">
        <v>17</v>
      </c>
      <c r="B418" s="15" t="s">
        <v>4191</v>
      </c>
      <c r="C418" s="14" t="s">
        <v>3105</v>
      </c>
      <c r="D418" s="14" t="s">
        <v>3106</v>
      </c>
      <c r="E418" s="26" t="s">
        <v>3107</v>
      </c>
      <c r="F418" s="14">
        <v>311.0</v>
      </c>
      <c r="G418" s="14">
        <v>318.0</v>
      </c>
      <c r="H418" s="14" t="s">
        <v>28</v>
      </c>
      <c r="I418" s="19" t="s">
        <v>4746</v>
      </c>
      <c r="J418" s="19" t="s">
        <v>4747</v>
      </c>
      <c r="K418" s="19" t="s">
        <v>4749</v>
      </c>
      <c r="L418" s="19" t="s">
        <v>3950</v>
      </c>
      <c r="M418" s="20" t="s">
        <v>1886</v>
      </c>
      <c r="N418" s="44" t="s">
        <v>3110</v>
      </c>
      <c r="O418" s="31"/>
      <c r="P418" s="28">
        <v>55.0</v>
      </c>
      <c r="Q418" s="28">
        <v>13.0</v>
      </c>
      <c r="R418" s="30"/>
      <c r="S418" s="30"/>
      <c r="T418" s="30"/>
      <c r="U418" s="30"/>
      <c r="V418" s="30"/>
      <c r="W418" s="30"/>
      <c r="X418" s="30"/>
      <c r="Y418" s="30"/>
      <c r="Z418" s="30"/>
      <c r="AA418" s="30"/>
    </row>
    <row r="419" ht="15.75" customHeight="1">
      <c r="A419" s="14" t="s">
        <v>17</v>
      </c>
      <c r="B419" s="15" t="s">
        <v>4191</v>
      </c>
      <c r="C419" s="14" t="s">
        <v>3111</v>
      </c>
      <c r="D419" s="14" t="s">
        <v>3112</v>
      </c>
      <c r="E419" s="26" t="s">
        <v>3113</v>
      </c>
      <c r="F419" s="14">
        <v>319.0</v>
      </c>
      <c r="G419" s="14">
        <v>326.0</v>
      </c>
      <c r="H419" s="14" t="s">
        <v>28</v>
      </c>
      <c r="I419" s="19" t="s">
        <v>4750</v>
      </c>
      <c r="J419" s="19" t="s">
        <v>3114</v>
      </c>
      <c r="K419" s="19" t="s">
        <v>4751</v>
      </c>
      <c r="L419" s="19" t="s">
        <v>4752</v>
      </c>
      <c r="M419" s="20"/>
      <c r="N419" s="27"/>
      <c r="O419" s="22">
        <v>338.0</v>
      </c>
      <c r="P419" s="28">
        <v>61.0</v>
      </c>
      <c r="Q419" s="28">
        <v>13.0</v>
      </c>
      <c r="R419" s="30"/>
      <c r="S419" s="30"/>
      <c r="T419" s="30"/>
      <c r="U419" s="30"/>
      <c r="V419" s="30"/>
      <c r="W419" s="30"/>
      <c r="X419" s="30"/>
      <c r="Y419" s="30"/>
      <c r="Z419" s="30"/>
      <c r="AA419" s="30"/>
    </row>
    <row r="420" ht="15.75" customHeight="1">
      <c r="A420" s="14" t="s">
        <v>17</v>
      </c>
      <c r="B420" s="15" t="s">
        <v>4191</v>
      </c>
      <c r="C420" s="14" t="s">
        <v>3115</v>
      </c>
      <c r="D420" s="14" t="s">
        <v>3116</v>
      </c>
      <c r="E420" s="26" t="s">
        <v>3117</v>
      </c>
      <c r="F420" s="14">
        <v>327.0</v>
      </c>
      <c r="G420" s="14">
        <v>334.0</v>
      </c>
      <c r="H420" s="14" t="s">
        <v>28</v>
      </c>
      <c r="I420" s="19" t="s">
        <v>4754</v>
      </c>
      <c r="J420" s="19" t="s">
        <v>3118</v>
      </c>
      <c r="K420" s="19" t="s">
        <v>4755</v>
      </c>
      <c r="L420" s="19" t="s">
        <v>4752</v>
      </c>
      <c r="M420" s="20" t="s">
        <v>3120</v>
      </c>
      <c r="N420" s="27"/>
      <c r="O420" s="22">
        <v>50.0</v>
      </c>
      <c r="P420" s="28">
        <v>98.0</v>
      </c>
      <c r="Q420" s="28">
        <v>23.0</v>
      </c>
      <c r="R420" s="30"/>
      <c r="S420" s="30"/>
      <c r="T420" s="30"/>
      <c r="U420" s="30"/>
      <c r="V420" s="30"/>
      <c r="W420" s="30"/>
      <c r="X420" s="30"/>
      <c r="Y420" s="30"/>
      <c r="Z420" s="30"/>
      <c r="AA420" s="30"/>
    </row>
    <row r="421" ht="15.75" customHeight="1">
      <c r="A421" s="14" t="s">
        <v>17</v>
      </c>
      <c r="B421" s="15" t="s">
        <v>4191</v>
      </c>
      <c r="C421" s="14" t="s">
        <v>3121</v>
      </c>
      <c r="D421" s="14" t="s">
        <v>3122</v>
      </c>
      <c r="E421" s="26" t="s">
        <v>3123</v>
      </c>
      <c r="F421" s="14">
        <v>335.0</v>
      </c>
      <c r="G421" s="14">
        <v>342.0</v>
      </c>
      <c r="H421" s="14" t="s">
        <v>28</v>
      </c>
      <c r="I421" s="19" t="s">
        <v>4756</v>
      </c>
      <c r="J421" s="19" t="s">
        <v>3124</v>
      </c>
      <c r="K421" s="19" t="s">
        <v>4758</v>
      </c>
      <c r="L421" s="19" t="s">
        <v>4381</v>
      </c>
      <c r="M421" s="20" t="s">
        <v>1886</v>
      </c>
      <c r="N421" s="27"/>
      <c r="O421" s="22">
        <v>0.0</v>
      </c>
      <c r="P421" s="28">
        <v>64.0</v>
      </c>
      <c r="Q421" s="28">
        <v>7.0</v>
      </c>
      <c r="R421" s="30"/>
      <c r="S421" s="30"/>
      <c r="T421" s="30"/>
      <c r="U421" s="30"/>
      <c r="V421" s="30"/>
      <c r="W421" s="30"/>
      <c r="X421" s="30"/>
      <c r="Y421" s="30"/>
      <c r="Z421" s="30"/>
      <c r="AA421" s="30"/>
    </row>
    <row r="422" ht="15.75" customHeight="1">
      <c r="A422" s="14" t="s">
        <v>17</v>
      </c>
      <c r="B422" s="15" t="s">
        <v>4191</v>
      </c>
      <c r="C422" s="14" t="s">
        <v>3126</v>
      </c>
      <c r="D422" s="14" t="s">
        <v>3127</v>
      </c>
      <c r="E422" s="26" t="s">
        <v>3128</v>
      </c>
      <c r="F422" s="14">
        <v>345.0</v>
      </c>
      <c r="G422" s="14">
        <v>349.0</v>
      </c>
      <c r="H422" s="14" t="s">
        <v>28</v>
      </c>
      <c r="I422" s="19" t="s">
        <v>4765</v>
      </c>
      <c r="J422" s="19" t="s">
        <v>3129</v>
      </c>
      <c r="K422" s="19" t="s">
        <v>4766</v>
      </c>
      <c r="L422" s="19" t="s">
        <v>3461</v>
      </c>
      <c r="M422" s="20" t="s">
        <v>470</v>
      </c>
      <c r="N422" s="27"/>
      <c r="O422" s="22">
        <v>50.0</v>
      </c>
      <c r="P422" s="28">
        <v>10.0</v>
      </c>
      <c r="Q422" s="28">
        <v>12.0</v>
      </c>
      <c r="R422" s="30"/>
      <c r="S422" s="30"/>
      <c r="T422" s="30"/>
      <c r="U422" s="30"/>
      <c r="V422" s="30"/>
      <c r="W422" s="30"/>
      <c r="X422" s="30"/>
      <c r="Y422" s="30"/>
      <c r="Z422" s="30"/>
      <c r="AA422" s="30"/>
    </row>
    <row r="423" ht="15.75" customHeight="1">
      <c r="A423" s="14" t="s">
        <v>17</v>
      </c>
      <c r="B423" s="15" t="s">
        <v>4191</v>
      </c>
      <c r="C423" s="14" t="s">
        <v>3131</v>
      </c>
      <c r="D423" s="14" t="s">
        <v>3132</v>
      </c>
      <c r="E423" s="26" t="s">
        <v>3133</v>
      </c>
      <c r="F423" s="14">
        <v>351.0</v>
      </c>
      <c r="G423" s="14">
        <v>354.0</v>
      </c>
      <c r="H423" s="14" t="s">
        <v>28</v>
      </c>
      <c r="I423" s="19" t="s">
        <v>4774</v>
      </c>
      <c r="J423" s="19" t="s">
        <v>3134</v>
      </c>
      <c r="K423" s="19" t="s">
        <v>4775</v>
      </c>
      <c r="L423" s="19" t="s">
        <v>4776</v>
      </c>
      <c r="M423" s="20" t="s">
        <v>3136</v>
      </c>
      <c r="N423" s="27"/>
      <c r="O423" s="31"/>
      <c r="P423" s="28">
        <v>0.0</v>
      </c>
      <c r="Q423" s="28">
        <v>8.0</v>
      </c>
      <c r="R423" s="30"/>
      <c r="S423" s="30"/>
      <c r="T423" s="30"/>
      <c r="U423" s="30"/>
      <c r="V423" s="30"/>
      <c r="W423" s="30"/>
      <c r="X423" s="30"/>
      <c r="Y423" s="30"/>
      <c r="Z423" s="30"/>
      <c r="AA423" s="30"/>
    </row>
    <row r="424" ht="15.75" customHeight="1">
      <c r="A424" s="14" t="s">
        <v>17</v>
      </c>
      <c r="B424" s="15" t="s">
        <v>4191</v>
      </c>
      <c r="C424" s="14" t="s">
        <v>3137</v>
      </c>
      <c r="D424" s="14" t="s">
        <v>3138</v>
      </c>
      <c r="E424" s="26" t="s">
        <v>3139</v>
      </c>
      <c r="F424" s="14">
        <v>355.0</v>
      </c>
      <c r="G424" s="14">
        <v>357.0</v>
      </c>
      <c r="H424" s="14" t="s">
        <v>28</v>
      </c>
      <c r="I424" s="19" t="s">
        <v>4782</v>
      </c>
      <c r="J424" s="19" t="s">
        <v>3140</v>
      </c>
      <c r="K424" s="19" t="s">
        <v>4783</v>
      </c>
      <c r="L424" s="18"/>
      <c r="M424" s="20"/>
      <c r="N424" s="27"/>
      <c r="O424" s="31"/>
      <c r="P424" s="28">
        <v>2.0</v>
      </c>
      <c r="Q424" s="28">
        <v>10.0</v>
      </c>
      <c r="R424" s="30"/>
      <c r="S424" s="30"/>
      <c r="T424" s="30"/>
      <c r="U424" s="30"/>
      <c r="V424" s="30"/>
      <c r="W424" s="30"/>
      <c r="X424" s="30"/>
      <c r="Y424" s="30"/>
      <c r="Z424" s="30"/>
      <c r="AA424" s="30"/>
    </row>
    <row r="425" ht="15.75" customHeight="1">
      <c r="A425" s="14" t="s">
        <v>17</v>
      </c>
      <c r="B425" s="15" t="s">
        <v>4191</v>
      </c>
      <c r="C425" s="14" t="s">
        <v>3141</v>
      </c>
      <c r="D425" s="14" t="s">
        <v>3142</v>
      </c>
      <c r="E425" s="26" t="s">
        <v>3143</v>
      </c>
      <c r="F425" s="14">
        <v>359.0</v>
      </c>
      <c r="G425" s="14">
        <v>362.0</v>
      </c>
      <c r="H425" s="14" t="s">
        <v>28</v>
      </c>
      <c r="I425" s="19" t="s">
        <v>4795</v>
      </c>
      <c r="J425" s="19" t="s">
        <v>3144</v>
      </c>
      <c r="K425" s="19" t="s">
        <v>4796</v>
      </c>
      <c r="L425" s="19" t="s">
        <v>1092</v>
      </c>
      <c r="M425" s="20"/>
      <c r="N425" s="27"/>
      <c r="O425" s="31"/>
      <c r="P425" s="28">
        <v>2.0</v>
      </c>
      <c r="Q425" s="28">
        <v>2.0</v>
      </c>
      <c r="R425" s="30"/>
      <c r="S425" s="30"/>
      <c r="T425" s="30"/>
      <c r="U425" s="30"/>
      <c r="V425" s="30"/>
      <c r="W425" s="30"/>
      <c r="X425" s="30"/>
      <c r="Y425" s="30"/>
      <c r="Z425" s="30"/>
      <c r="AA425" s="30"/>
    </row>
    <row r="426" ht="15.75" customHeight="1">
      <c r="A426" s="14" t="s">
        <v>17</v>
      </c>
      <c r="B426" s="15" t="s">
        <v>4191</v>
      </c>
      <c r="C426" s="14" t="s">
        <v>3146</v>
      </c>
      <c r="D426" s="67" t="s">
        <v>3147</v>
      </c>
      <c r="E426" s="68" t="s">
        <v>3148</v>
      </c>
      <c r="F426" s="50">
        <v>363.0</v>
      </c>
      <c r="G426" s="50">
        <v>366.0</v>
      </c>
      <c r="H426" s="14" t="s">
        <v>28</v>
      </c>
      <c r="I426" s="19" t="s">
        <v>4804</v>
      </c>
      <c r="J426" s="19" t="s">
        <v>4806</v>
      </c>
      <c r="K426" s="19" t="s">
        <v>4807</v>
      </c>
      <c r="L426" s="19" t="s">
        <v>4808</v>
      </c>
      <c r="M426" s="20" t="s">
        <v>2115</v>
      </c>
      <c r="N426" s="21"/>
      <c r="O426" s="22">
        <v>27.0</v>
      </c>
      <c r="P426" s="28">
        <v>4.0</v>
      </c>
      <c r="Q426" s="28">
        <v>0.0</v>
      </c>
      <c r="R426" s="30"/>
      <c r="S426" s="30"/>
      <c r="T426" s="30"/>
      <c r="U426" s="30"/>
      <c r="V426" s="30"/>
      <c r="W426" s="30"/>
      <c r="X426" s="30"/>
      <c r="Y426" s="30"/>
      <c r="Z426" s="30"/>
      <c r="AA426" s="30"/>
    </row>
    <row r="427" ht="15.75" customHeight="1">
      <c r="A427" s="14" t="s">
        <v>17</v>
      </c>
      <c r="B427" s="15" t="s">
        <v>4191</v>
      </c>
      <c r="C427" s="14" t="s">
        <v>3150</v>
      </c>
      <c r="D427" s="14" t="s">
        <v>3151</v>
      </c>
      <c r="E427" s="26" t="s">
        <v>3152</v>
      </c>
      <c r="F427" s="14">
        <v>367.0</v>
      </c>
      <c r="G427" s="14">
        <v>370.0</v>
      </c>
      <c r="H427" s="14" t="s">
        <v>28</v>
      </c>
      <c r="I427" s="19" t="s">
        <v>4814</v>
      </c>
      <c r="J427" s="19" t="s">
        <v>3153</v>
      </c>
      <c r="K427" s="19" t="s">
        <v>4815</v>
      </c>
      <c r="L427" s="19" t="s">
        <v>4816</v>
      </c>
      <c r="M427" s="20"/>
      <c r="N427" s="44" t="s">
        <v>3155</v>
      </c>
      <c r="O427" s="22">
        <v>17.0</v>
      </c>
      <c r="P427" s="28">
        <v>4.0</v>
      </c>
      <c r="Q427" s="28">
        <v>4.0</v>
      </c>
      <c r="R427" s="30"/>
      <c r="S427" s="30"/>
      <c r="T427" s="30"/>
      <c r="U427" s="30"/>
      <c r="V427" s="30"/>
      <c r="W427" s="30"/>
      <c r="X427" s="30"/>
      <c r="Y427" s="30"/>
      <c r="Z427" s="30"/>
      <c r="AA427" s="30"/>
    </row>
    <row r="428" ht="15.75" customHeight="1">
      <c r="A428" s="14" t="s">
        <v>17</v>
      </c>
      <c r="B428" s="15" t="s">
        <v>4191</v>
      </c>
      <c r="C428" s="14" t="s">
        <v>3156</v>
      </c>
      <c r="D428" s="14" t="s">
        <v>3157</v>
      </c>
      <c r="E428" s="26" t="s">
        <v>3158</v>
      </c>
      <c r="F428" s="14">
        <v>371.0</v>
      </c>
      <c r="G428" s="14">
        <v>374.0</v>
      </c>
      <c r="H428" s="14" t="s">
        <v>28</v>
      </c>
      <c r="I428" s="19" t="s">
        <v>4823</v>
      </c>
      <c r="J428" s="19" t="s">
        <v>3159</v>
      </c>
      <c r="K428" s="19" t="s">
        <v>4824</v>
      </c>
      <c r="L428" s="19" t="s">
        <v>4825</v>
      </c>
      <c r="M428" s="20"/>
      <c r="N428" s="27"/>
      <c r="O428" s="31"/>
      <c r="P428" s="28">
        <v>6.0</v>
      </c>
      <c r="Q428" s="28">
        <v>3.0</v>
      </c>
      <c r="R428" s="30"/>
      <c r="S428" s="30"/>
      <c r="T428" s="30"/>
      <c r="U428" s="30"/>
      <c r="V428" s="30"/>
      <c r="W428" s="30"/>
      <c r="X428" s="30"/>
      <c r="Y428" s="30"/>
      <c r="Z428" s="30"/>
      <c r="AA428" s="30"/>
    </row>
    <row r="429" ht="15.75" customHeight="1">
      <c r="A429" s="14" t="s">
        <v>17</v>
      </c>
      <c r="B429" s="15" t="s">
        <v>4191</v>
      </c>
      <c r="C429" s="14" t="s">
        <v>3161</v>
      </c>
      <c r="D429" s="14" t="s">
        <v>3162</v>
      </c>
      <c r="E429" s="26" t="s">
        <v>3163</v>
      </c>
      <c r="F429" s="14">
        <v>375.0</v>
      </c>
      <c r="G429" s="14">
        <v>379.0</v>
      </c>
      <c r="H429" s="14" t="s">
        <v>28</v>
      </c>
      <c r="I429" s="19" t="s">
        <v>4832</v>
      </c>
      <c r="J429" s="19" t="s">
        <v>4833</v>
      </c>
      <c r="K429" s="19" t="s">
        <v>4835</v>
      </c>
      <c r="L429" s="19" t="s">
        <v>4836</v>
      </c>
      <c r="M429" s="20" t="s">
        <v>1323</v>
      </c>
      <c r="N429" s="27"/>
      <c r="O429" s="43">
        <v>50.0</v>
      </c>
      <c r="P429" s="28">
        <v>9.0</v>
      </c>
      <c r="Q429" s="28">
        <v>9.0</v>
      </c>
      <c r="R429" s="30"/>
      <c r="S429" s="30"/>
      <c r="T429" s="30"/>
      <c r="U429" s="30"/>
      <c r="V429" s="30"/>
      <c r="W429" s="30"/>
      <c r="X429" s="30"/>
      <c r="Y429" s="30"/>
      <c r="Z429" s="30"/>
      <c r="AA429" s="30"/>
    </row>
    <row r="430" ht="15.75" customHeight="1">
      <c r="A430" s="14" t="s">
        <v>17</v>
      </c>
      <c r="B430" s="15" t="s">
        <v>4191</v>
      </c>
      <c r="C430" s="14" t="s">
        <v>3165</v>
      </c>
      <c r="D430" s="14" t="s">
        <v>3166</v>
      </c>
      <c r="E430" s="26" t="s">
        <v>3167</v>
      </c>
      <c r="F430" s="14">
        <v>381.0</v>
      </c>
      <c r="G430" s="14">
        <v>384.0</v>
      </c>
      <c r="H430" s="14" t="s">
        <v>28</v>
      </c>
      <c r="I430" s="19" t="s">
        <v>4841</v>
      </c>
      <c r="J430" s="19" t="s">
        <v>3168</v>
      </c>
      <c r="K430" s="19" t="s">
        <v>4843</v>
      </c>
      <c r="L430" s="19" t="s">
        <v>4845</v>
      </c>
      <c r="M430" s="20" t="s">
        <v>487</v>
      </c>
      <c r="N430" s="27"/>
      <c r="O430" s="22">
        <v>79.0</v>
      </c>
      <c r="P430" s="28">
        <v>17.0</v>
      </c>
      <c r="Q430" s="28">
        <v>9.0</v>
      </c>
      <c r="R430" s="29" t="s">
        <v>2374</v>
      </c>
      <c r="S430" s="30"/>
      <c r="T430" s="30"/>
      <c r="U430" s="30"/>
      <c r="V430" s="30"/>
      <c r="W430" s="30"/>
      <c r="X430" s="30"/>
      <c r="Y430" s="30"/>
      <c r="Z430" s="30"/>
      <c r="AA430" s="30"/>
    </row>
    <row r="431" ht="15.75" customHeight="1">
      <c r="A431" s="14" t="s">
        <v>17</v>
      </c>
      <c r="B431" s="15" t="s">
        <v>4191</v>
      </c>
      <c r="C431" s="14" t="s">
        <v>3170</v>
      </c>
      <c r="D431" s="14" t="s">
        <v>3171</v>
      </c>
      <c r="E431" s="26" t="s">
        <v>3172</v>
      </c>
      <c r="F431" s="14">
        <v>385.0</v>
      </c>
      <c r="G431" s="14">
        <v>388.0</v>
      </c>
      <c r="H431" s="14" t="s">
        <v>28</v>
      </c>
      <c r="I431" s="19" t="s">
        <v>4857</v>
      </c>
      <c r="J431" s="19" t="s">
        <v>3173</v>
      </c>
      <c r="K431" s="19" t="s">
        <v>4858</v>
      </c>
      <c r="L431" s="19" t="s">
        <v>4859</v>
      </c>
      <c r="M431" s="20" t="s">
        <v>2060</v>
      </c>
      <c r="N431" s="27"/>
      <c r="O431" s="43">
        <v>50.0</v>
      </c>
      <c r="P431" s="28">
        <v>18.0</v>
      </c>
      <c r="Q431" s="28">
        <v>3.0</v>
      </c>
      <c r="R431" s="30"/>
      <c r="S431" s="30"/>
      <c r="T431" s="30"/>
      <c r="U431" s="30"/>
      <c r="V431" s="30"/>
      <c r="W431" s="30"/>
      <c r="X431" s="30"/>
      <c r="Y431" s="30"/>
      <c r="Z431" s="30"/>
      <c r="AA431" s="30"/>
    </row>
    <row r="432" ht="15.75" customHeight="1">
      <c r="A432" s="14" t="s">
        <v>17</v>
      </c>
      <c r="B432" s="15" t="s">
        <v>4191</v>
      </c>
      <c r="C432" s="14" t="s">
        <v>3175</v>
      </c>
      <c r="D432" s="14" t="s">
        <v>3176</v>
      </c>
      <c r="E432" s="26" t="s">
        <v>3177</v>
      </c>
      <c r="F432" s="14">
        <v>389.0</v>
      </c>
      <c r="G432" s="14">
        <v>392.0</v>
      </c>
      <c r="H432" s="14" t="s">
        <v>28</v>
      </c>
      <c r="I432" s="19" t="s">
        <v>4868</v>
      </c>
      <c r="J432" s="19" t="s">
        <v>3181</v>
      </c>
      <c r="K432" s="19" t="s">
        <v>4869</v>
      </c>
      <c r="L432" s="19" t="s">
        <v>4721</v>
      </c>
      <c r="M432" s="20" t="s">
        <v>2518</v>
      </c>
      <c r="N432" s="44" t="s">
        <v>3183</v>
      </c>
      <c r="O432" s="31"/>
      <c r="P432" s="28">
        <v>8.0</v>
      </c>
      <c r="Q432" s="28">
        <v>8.0</v>
      </c>
      <c r="R432" s="30"/>
      <c r="S432" s="30"/>
      <c r="T432" s="30"/>
      <c r="U432" s="30"/>
      <c r="V432" s="30"/>
      <c r="W432" s="30"/>
      <c r="X432" s="30"/>
      <c r="Y432" s="30"/>
      <c r="Z432" s="30"/>
      <c r="AA432" s="30"/>
    </row>
    <row r="433" ht="15.75" customHeight="1">
      <c r="A433" s="14" t="s">
        <v>17</v>
      </c>
      <c r="B433" s="15" t="s">
        <v>4191</v>
      </c>
      <c r="C433" s="14" t="s">
        <v>3184</v>
      </c>
      <c r="D433" s="14" t="s">
        <v>3185</v>
      </c>
      <c r="E433" s="26" t="s">
        <v>3186</v>
      </c>
      <c r="F433" s="14">
        <v>393.0</v>
      </c>
      <c r="G433" s="14">
        <v>396.0</v>
      </c>
      <c r="H433" s="14" t="s">
        <v>28</v>
      </c>
      <c r="I433" s="19" t="s">
        <v>4879</v>
      </c>
      <c r="J433" s="19" t="s">
        <v>3187</v>
      </c>
      <c r="K433" s="19" t="s">
        <v>4881</v>
      </c>
      <c r="L433" s="19" t="s">
        <v>4882</v>
      </c>
      <c r="M433" s="20" t="s">
        <v>3188</v>
      </c>
      <c r="N433" s="27"/>
      <c r="O433" s="31"/>
      <c r="P433" s="28">
        <v>5.0</v>
      </c>
      <c r="Q433" s="28">
        <v>7.0</v>
      </c>
      <c r="R433" s="30"/>
      <c r="S433" s="30"/>
      <c r="T433" s="30"/>
      <c r="U433" s="30"/>
      <c r="V433" s="30"/>
      <c r="W433" s="30"/>
      <c r="X433" s="30"/>
      <c r="Y433" s="30"/>
      <c r="Z433" s="30"/>
      <c r="AA433" s="30"/>
    </row>
    <row r="434" ht="15.75" customHeight="1">
      <c r="A434" s="14" t="s">
        <v>17</v>
      </c>
      <c r="B434" s="15" t="s">
        <v>4191</v>
      </c>
      <c r="C434" s="14" t="s">
        <v>3189</v>
      </c>
      <c r="D434" s="14" t="s">
        <v>3190</v>
      </c>
      <c r="E434" s="26" t="s">
        <v>3191</v>
      </c>
      <c r="F434" s="14">
        <v>397.0</v>
      </c>
      <c r="G434" s="14">
        <v>400.0</v>
      </c>
      <c r="H434" s="14" t="s">
        <v>28</v>
      </c>
      <c r="I434" s="19" t="s">
        <v>4893</v>
      </c>
      <c r="J434" s="19" t="s">
        <v>3195</v>
      </c>
      <c r="K434" s="19" t="s">
        <v>4894</v>
      </c>
      <c r="L434" s="19" t="s">
        <v>4895</v>
      </c>
      <c r="M434" s="20"/>
      <c r="N434" s="27"/>
      <c r="O434" s="22">
        <v>50.0</v>
      </c>
      <c r="P434" s="28">
        <v>0.0</v>
      </c>
      <c r="Q434" s="28">
        <v>4.0</v>
      </c>
      <c r="R434" s="30"/>
      <c r="S434" s="30"/>
      <c r="T434" s="30"/>
      <c r="U434" s="30"/>
      <c r="V434" s="30"/>
      <c r="W434" s="30"/>
      <c r="X434" s="30"/>
      <c r="Y434" s="30"/>
      <c r="Z434" s="30"/>
      <c r="AA434" s="30"/>
    </row>
    <row r="435" ht="15.75" customHeight="1">
      <c r="A435" s="14" t="s">
        <v>17</v>
      </c>
      <c r="B435" s="15" t="s">
        <v>4191</v>
      </c>
      <c r="C435" s="14" t="s">
        <v>3197</v>
      </c>
      <c r="D435" s="14" t="s">
        <v>3198</v>
      </c>
      <c r="E435" s="26" t="s">
        <v>3199</v>
      </c>
      <c r="F435" s="14">
        <v>401.0</v>
      </c>
      <c r="G435" s="14">
        <v>403.0</v>
      </c>
      <c r="H435" s="14" t="s">
        <v>28</v>
      </c>
      <c r="I435" s="19" t="s">
        <v>4903</v>
      </c>
      <c r="J435" s="19" t="s">
        <v>3200</v>
      </c>
      <c r="K435" s="19" t="s">
        <v>4906</v>
      </c>
      <c r="L435" s="19" t="s">
        <v>4908</v>
      </c>
      <c r="M435" s="20"/>
      <c r="N435" s="27"/>
      <c r="O435" s="31"/>
      <c r="P435" s="28">
        <v>0.0</v>
      </c>
      <c r="Q435" s="28">
        <v>11.0</v>
      </c>
      <c r="R435" s="30"/>
      <c r="S435" s="30"/>
      <c r="T435" s="30"/>
      <c r="U435" s="30"/>
      <c r="V435" s="30"/>
      <c r="W435" s="30"/>
      <c r="X435" s="30"/>
      <c r="Y435" s="30"/>
      <c r="Z435" s="30"/>
      <c r="AA435" s="30"/>
    </row>
    <row r="436" ht="15.75" customHeight="1">
      <c r="A436" s="14" t="s">
        <v>17</v>
      </c>
      <c r="B436" s="15" t="s">
        <v>4191</v>
      </c>
      <c r="C436" s="14" t="s">
        <v>3202</v>
      </c>
      <c r="D436" s="67" t="s">
        <v>3203</v>
      </c>
      <c r="E436" s="81" t="s">
        <v>3204</v>
      </c>
      <c r="F436" s="50">
        <v>405.0</v>
      </c>
      <c r="G436" s="50">
        <v>407.0</v>
      </c>
      <c r="H436" s="14" t="s">
        <v>28</v>
      </c>
      <c r="I436" s="19" t="s">
        <v>4919</v>
      </c>
      <c r="J436" s="19" t="s">
        <v>3200</v>
      </c>
      <c r="K436" s="19" t="s">
        <v>4906</v>
      </c>
      <c r="L436" s="19" t="s">
        <v>4908</v>
      </c>
      <c r="M436" s="20"/>
      <c r="N436" s="21"/>
      <c r="O436" s="22">
        <v>50.0</v>
      </c>
      <c r="P436" s="28">
        <v>1.0</v>
      </c>
      <c r="Q436" s="28">
        <v>0.0</v>
      </c>
      <c r="R436" s="30"/>
      <c r="S436" s="30"/>
      <c r="T436" s="30"/>
      <c r="U436" s="30"/>
      <c r="V436" s="30"/>
      <c r="W436" s="30"/>
      <c r="X436" s="30"/>
      <c r="Y436" s="30"/>
      <c r="Z436" s="30"/>
      <c r="AA436" s="30"/>
    </row>
    <row r="437" ht="15.75" customHeight="1">
      <c r="A437" s="14" t="s">
        <v>17</v>
      </c>
      <c r="B437" s="15" t="s">
        <v>4191</v>
      </c>
      <c r="C437" s="14" t="s">
        <v>3207</v>
      </c>
      <c r="D437" s="14" t="s">
        <v>3208</v>
      </c>
      <c r="E437" s="26" t="s">
        <v>3209</v>
      </c>
      <c r="F437" s="14">
        <v>409.0</v>
      </c>
      <c r="G437" s="14">
        <v>412.0</v>
      </c>
      <c r="H437" s="14" t="s">
        <v>28</v>
      </c>
      <c r="I437" s="19" t="s">
        <v>4929</v>
      </c>
      <c r="J437" s="19" t="s">
        <v>3213</v>
      </c>
      <c r="K437" s="19" t="s">
        <v>4931</v>
      </c>
      <c r="L437" s="19" t="s">
        <v>4932</v>
      </c>
      <c r="M437" s="20"/>
      <c r="N437" s="27"/>
      <c r="O437" s="43">
        <v>50.0</v>
      </c>
      <c r="P437" s="28">
        <v>3.0</v>
      </c>
      <c r="Q437" s="28">
        <v>12.0</v>
      </c>
      <c r="R437" s="30"/>
      <c r="S437" s="30"/>
      <c r="T437" s="30"/>
      <c r="U437" s="30"/>
      <c r="V437" s="30"/>
      <c r="W437" s="30"/>
      <c r="X437" s="30"/>
      <c r="Y437" s="30"/>
      <c r="Z437" s="30"/>
      <c r="AA437" s="30"/>
    </row>
    <row r="438" ht="15.75" customHeight="1">
      <c r="A438" s="14" t="s">
        <v>17</v>
      </c>
      <c r="B438" s="15" t="s">
        <v>4191</v>
      </c>
      <c r="C438" s="14" t="s">
        <v>3215</v>
      </c>
      <c r="D438" s="14" t="s">
        <v>3216</v>
      </c>
      <c r="E438" s="26" t="s">
        <v>3217</v>
      </c>
      <c r="F438" s="14">
        <v>413.0</v>
      </c>
      <c r="G438" s="14">
        <v>416.0</v>
      </c>
      <c r="H438" s="14" t="s">
        <v>28</v>
      </c>
      <c r="I438" s="19" t="s">
        <v>4943</v>
      </c>
      <c r="J438" s="19" t="s">
        <v>3218</v>
      </c>
      <c r="K438" s="19" t="s">
        <v>4944</v>
      </c>
      <c r="L438" s="19" t="s">
        <v>4945</v>
      </c>
      <c r="M438" s="20"/>
      <c r="N438" s="27"/>
      <c r="O438" s="22">
        <v>50.0</v>
      </c>
      <c r="P438" s="28">
        <v>3.0</v>
      </c>
      <c r="Q438" s="28">
        <v>9.0</v>
      </c>
      <c r="R438" s="30"/>
      <c r="S438" s="30"/>
      <c r="T438" s="30"/>
      <c r="U438" s="30"/>
      <c r="V438" s="30"/>
      <c r="W438" s="30"/>
      <c r="X438" s="30"/>
      <c r="Y438" s="30"/>
      <c r="Z438" s="30"/>
      <c r="AA438" s="30"/>
    </row>
    <row r="439" ht="15.75" customHeight="1">
      <c r="A439" s="14" t="s">
        <v>17</v>
      </c>
      <c r="B439" s="15" t="s">
        <v>4191</v>
      </c>
      <c r="C439" s="14" t="s">
        <v>3220</v>
      </c>
      <c r="D439" s="14" t="s">
        <v>3222</v>
      </c>
      <c r="E439" s="26" t="s">
        <v>3223</v>
      </c>
      <c r="F439" s="14">
        <v>417.0</v>
      </c>
      <c r="G439" s="14">
        <v>420.0</v>
      </c>
      <c r="H439" s="14" t="s">
        <v>28</v>
      </c>
      <c r="I439" s="19" t="s">
        <v>4953</v>
      </c>
      <c r="J439" s="19" t="s">
        <v>3226</v>
      </c>
      <c r="K439" s="19" t="s">
        <v>4954</v>
      </c>
      <c r="L439" s="19" t="s">
        <v>4955</v>
      </c>
      <c r="M439" s="20" t="s">
        <v>2565</v>
      </c>
      <c r="N439" s="27"/>
      <c r="O439" s="31"/>
      <c r="P439" s="28">
        <v>2.0</v>
      </c>
      <c r="Q439" s="28">
        <v>5.0</v>
      </c>
      <c r="R439" s="30"/>
      <c r="S439" s="30"/>
      <c r="T439" s="30"/>
      <c r="U439" s="30"/>
      <c r="V439" s="30"/>
      <c r="W439" s="30"/>
      <c r="X439" s="30"/>
      <c r="Y439" s="30"/>
      <c r="Z439" s="30"/>
      <c r="AA439" s="30"/>
    </row>
    <row r="440" ht="15.75" customHeight="1">
      <c r="A440" s="14" t="s">
        <v>17</v>
      </c>
      <c r="B440" s="15" t="s">
        <v>4191</v>
      </c>
      <c r="C440" s="14" t="s">
        <v>3228</v>
      </c>
      <c r="D440" s="14" t="s">
        <v>3229</v>
      </c>
      <c r="E440" s="26" t="s">
        <v>3230</v>
      </c>
      <c r="F440" s="14">
        <v>421.0</v>
      </c>
      <c r="G440" s="14">
        <v>424.0</v>
      </c>
      <c r="H440" s="14" t="s">
        <v>28</v>
      </c>
      <c r="I440" s="19" t="s">
        <v>4961</v>
      </c>
      <c r="J440" s="19" t="s">
        <v>3234</v>
      </c>
      <c r="K440" s="19" t="s">
        <v>4962</v>
      </c>
      <c r="L440" s="19" t="s">
        <v>4963</v>
      </c>
      <c r="M440" s="20"/>
      <c r="N440" s="27"/>
      <c r="O440" s="31"/>
      <c r="P440" s="28">
        <v>0.0</v>
      </c>
      <c r="Q440" s="28">
        <v>5.0</v>
      </c>
      <c r="R440" s="30"/>
      <c r="S440" s="30"/>
      <c r="T440" s="30"/>
      <c r="U440" s="30"/>
      <c r="V440" s="30"/>
      <c r="W440" s="30"/>
      <c r="X440" s="30"/>
      <c r="Y440" s="30"/>
      <c r="Z440" s="30"/>
      <c r="AA440" s="30"/>
    </row>
    <row r="441" ht="15.75" customHeight="1">
      <c r="A441" s="14" t="s">
        <v>17</v>
      </c>
      <c r="B441" s="15" t="s">
        <v>4191</v>
      </c>
      <c r="C441" s="14" t="s">
        <v>3236</v>
      </c>
      <c r="D441" s="14" t="s">
        <v>3237</v>
      </c>
      <c r="E441" s="26" t="s">
        <v>3238</v>
      </c>
      <c r="F441" s="14">
        <v>425.0</v>
      </c>
      <c r="G441" s="14">
        <v>428.0</v>
      </c>
      <c r="H441" s="14" t="s">
        <v>28</v>
      </c>
      <c r="I441" s="19" t="s">
        <v>4970</v>
      </c>
      <c r="J441" s="19" t="s">
        <v>3239</v>
      </c>
      <c r="K441" s="19" t="s">
        <v>4971</v>
      </c>
      <c r="L441" s="19" t="s">
        <v>2532</v>
      </c>
      <c r="M441" s="20"/>
      <c r="N441" s="44" t="s">
        <v>3241</v>
      </c>
      <c r="O441" s="31"/>
      <c r="P441" s="28">
        <v>2.0</v>
      </c>
      <c r="Q441" s="28">
        <v>4.0</v>
      </c>
      <c r="R441" s="30"/>
      <c r="S441" s="30"/>
      <c r="T441" s="30"/>
      <c r="U441" s="30"/>
      <c r="V441" s="30"/>
      <c r="W441" s="30"/>
      <c r="X441" s="30"/>
      <c r="Y441" s="30"/>
      <c r="Z441" s="30"/>
      <c r="AA441" s="30"/>
    </row>
    <row r="442" ht="15.75" customHeight="1">
      <c r="A442" s="14" t="s">
        <v>17</v>
      </c>
      <c r="B442" s="15" t="s">
        <v>4191</v>
      </c>
      <c r="C442" s="14" t="s">
        <v>3245</v>
      </c>
      <c r="D442" s="14" t="s">
        <v>3246</v>
      </c>
      <c r="E442" s="26" t="s">
        <v>3247</v>
      </c>
      <c r="F442" s="14">
        <v>429.0</v>
      </c>
      <c r="G442" s="14">
        <v>432.0</v>
      </c>
      <c r="H442" s="14" t="s">
        <v>28</v>
      </c>
      <c r="I442" s="19" t="s">
        <v>4984</v>
      </c>
      <c r="J442" s="19" t="s">
        <v>3248</v>
      </c>
      <c r="K442" s="19" t="s">
        <v>4985</v>
      </c>
      <c r="L442" s="19" t="s">
        <v>4986</v>
      </c>
      <c r="M442" s="20"/>
      <c r="N442" s="27"/>
      <c r="O442" s="31"/>
      <c r="P442" s="28">
        <v>5.0</v>
      </c>
      <c r="Q442" s="28">
        <v>4.0</v>
      </c>
      <c r="R442" s="30"/>
      <c r="S442" s="30"/>
      <c r="T442" s="30"/>
      <c r="U442" s="30"/>
      <c r="V442" s="30"/>
      <c r="W442" s="30"/>
      <c r="X442" s="30"/>
      <c r="Y442" s="30"/>
      <c r="Z442" s="30"/>
      <c r="AA442" s="30"/>
    </row>
    <row r="443" ht="15.75" customHeight="1">
      <c r="A443" s="14" t="s">
        <v>17</v>
      </c>
      <c r="B443" s="15" t="s">
        <v>4191</v>
      </c>
      <c r="C443" s="14" t="s">
        <v>3250</v>
      </c>
      <c r="D443" s="67" t="s">
        <v>3251</v>
      </c>
      <c r="E443" s="68" t="s">
        <v>3252</v>
      </c>
      <c r="F443" s="14">
        <v>433.0</v>
      </c>
      <c r="G443" s="14">
        <v>438.0</v>
      </c>
      <c r="H443" s="14" t="s">
        <v>28</v>
      </c>
      <c r="I443" s="19" t="s">
        <v>4995</v>
      </c>
      <c r="J443" s="19" t="s">
        <v>3256</v>
      </c>
      <c r="K443" s="19" t="s">
        <v>4998</v>
      </c>
      <c r="L443" s="19" t="s">
        <v>5000</v>
      </c>
      <c r="M443" s="20" t="s">
        <v>2587</v>
      </c>
      <c r="N443" s="21"/>
      <c r="O443" s="22">
        <v>4.0</v>
      </c>
      <c r="P443" s="28">
        <v>1.0</v>
      </c>
      <c r="Q443" s="28">
        <v>0.0</v>
      </c>
      <c r="R443" s="24"/>
      <c r="S443" s="24"/>
      <c r="T443" s="82"/>
      <c r="U443" s="82"/>
      <c r="V443" s="82"/>
      <c r="W443" s="82"/>
      <c r="X443" s="82"/>
      <c r="Y443" s="82"/>
      <c r="Z443" s="82"/>
      <c r="AA443" s="82"/>
    </row>
    <row r="444" ht="15.75" customHeight="1">
      <c r="A444" s="14" t="s">
        <v>17</v>
      </c>
      <c r="B444" s="15" t="s">
        <v>4191</v>
      </c>
      <c r="C444" s="14" t="s">
        <v>3258</v>
      </c>
      <c r="D444" s="14" t="s">
        <v>3259</v>
      </c>
      <c r="E444" s="26" t="s">
        <v>3260</v>
      </c>
      <c r="F444" s="14">
        <v>439.0</v>
      </c>
      <c r="G444" s="14">
        <v>440.0</v>
      </c>
      <c r="H444" s="14" t="s">
        <v>21</v>
      </c>
      <c r="I444" s="18"/>
      <c r="J444" s="19" t="s">
        <v>3263</v>
      </c>
      <c r="K444" s="19" t="s">
        <v>5013</v>
      </c>
      <c r="L444" s="19" t="s">
        <v>5017</v>
      </c>
      <c r="M444" s="20"/>
      <c r="N444" s="27"/>
      <c r="O444" s="43">
        <v>50.0</v>
      </c>
      <c r="P444" s="28">
        <v>3.0</v>
      </c>
      <c r="Q444" s="28">
        <v>0.0</v>
      </c>
      <c r="R444" s="30"/>
      <c r="S444" s="30"/>
      <c r="T444" s="30"/>
      <c r="U444" s="30"/>
      <c r="V444" s="30"/>
      <c r="W444" s="30"/>
      <c r="X444" s="30"/>
      <c r="Y444" s="30"/>
      <c r="Z444" s="30"/>
      <c r="AA444" s="30"/>
    </row>
    <row r="445" ht="15.75" customHeight="1">
      <c r="A445" s="14" t="s">
        <v>17</v>
      </c>
      <c r="B445" s="15" t="s">
        <v>4191</v>
      </c>
      <c r="C445" s="14" t="s">
        <v>3265</v>
      </c>
      <c r="D445" s="14" t="s">
        <v>3266</v>
      </c>
      <c r="E445" s="26" t="s">
        <v>3267</v>
      </c>
      <c r="F445" s="14">
        <v>445.0</v>
      </c>
      <c r="G445" s="14">
        <v>447.0</v>
      </c>
      <c r="H445" s="14" t="s">
        <v>21</v>
      </c>
      <c r="I445" s="18"/>
      <c r="J445" s="19" t="s">
        <v>5025</v>
      </c>
      <c r="K445" s="19" t="s">
        <v>5026</v>
      </c>
      <c r="L445" s="19" t="s">
        <v>5027</v>
      </c>
      <c r="M445" s="20"/>
      <c r="N445" s="27"/>
      <c r="O445" s="22">
        <v>0.0</v>
      </c>
      <c r="P445" s="28">
        <v>1.0</v>
      </c>
      <c r="Q445" s="28">
        <v>12.0</v>
      </c>
      <c r="R445" s="30"/>
      <c r="S445" s="30"/>
      <c r="T445" s="30"/>
      <c r="U445" s="30"/>
      <c r="V445" s="30"/>
      <c r="W445" s="30"/>
      <c r="X445" s="30"/>
      <c r="Y445" s="30"/>
      <c r="Z445" s="30"/>
      <c r="AA445" s="30"/>
    </row>
    <row r="446" ht="15.75" customHeight="1">
      <c r="A446" s="14" t="s">
        <v>17</v>
      </c>
      <c r="B446" s="15" t="s">
        <v>4191</v>
      </c>
      <c r="C446" s="14" t="s">
        <v>3270</v>
      </c>
      <c r="D446" s="14" t="s">
        <v>3271</v>
      </c>
      <c r="E446" s="26" t="s">
        <v>3272</v>
      </c>
      <c r="F446" s="14">
        <v>449.0</v>
      </c>
      <c r="G446" s="14">
        <v>450.0</v>
      </c>
      <c r="H446" s="14" t="s">
        <v>21</v>
      </c>
      <c r="I446" s="18"/>
      <c r="J446" s="19" t="s">
        <v>3277</v>
      </c>
      <c r="K446" s="19" t="s">
        <v>5041</v>
      </c>
      <c r="L446" s="19" t="s">
        <v>5042</v>
      </c>
      <c r="M446" s="20"/>
      <c r="N446" s="27"/>
      <c r="O446" s="31"/>
      <c r="P446" s="28">
        <v>0.0</v>
      </c>
      <c r="Q446" s="28">
        <v>7.0</v>
      </c>
      <c r="R446" s="30"/>
      <c r="S446" s="30"/>
      <c r="T446" s="30"/>
      <c r="U446" s="30"/>
      <c r="V446" s="30"/>
      <c r="W446" s="30"/>
      <c r="X446" s="30"/>
      <c r="Y446" s="30"/>
      <c r="Z446" s="30"/>
      <c r="AA446" s="30"/>
    </row>
    <row r="447" ht="15.75" customHeight="1">
      <c r="A447" s="14" t="s">
        <v>17</v>
      </c>
      <c r="B447" s="15" t="s">
        <v>4191</v>
      </c>
      <c r="C447" s="14" t="s">
        <v>3279</v>
      </c>
      <c r="D447" s="14" t="s">
        <v>3280</v>
      </c>
      <c r="E447" s="26" t="s">
        <v>3281</v>
      </c>
      <c r="F447" s="14">
        <v>451.0</v>
      </c>
      <c r="G447" s="14">
        <v>453.0</v>
      </c>
      <c r="H447" s="14" t="s">
        <v>21</v>
      </c>
      <c r="I447" s="18"/>
      <c r="J447" s="19" t="s">
        <v>5049</v>
      </c>
      <c r="K447" s="19" t="s">
        <v>5050</v>
      </c>
      <c r="L447" s="19" t="s">
        <v>5051</v>
      </c>
      <c r="M447" s="20"/>
      <c r="N447" s="27"/>
      <c r="O447" s="31"/>
      <c r="P447" s="28">
        <v>0.0</v>
      </c>
      <c r="Q447" s="28">
        <v>4.0</v>
      </c>
      <c r="R447" s="30"/>
      <c r="S447" s="30"/>
      <c r="T447" s="30"/>
      <c r="U447" s="30"/>
      <c r="V447" s="30"/>
      <c r="W447" s="30"/>
      <c r="X447" s="30"/>
      <c r="Y447" s="30"/>
      <c r="Z447" s="30"/>
      <c r="AA447" s="30"/>
    </row>
    <row r="448" ht="15.75" customHeight="1">
      <c r="A448" s="14" t="s">
        <v>17</v>
      </c>
      <c r="B448" s="15" t="s">
        <v>4191</v>
      </c>
      <c r="C448" s="14" t="s">
        <v>3287</v>
      </c>
      <c r="D448" s="14" t="s">
        <v>3288</v>
      </c>
      <c r="E448" s="26" t="s">
        <v>3289</v>
      </c>
      <c r="F448" s="14">
        <v>441.0</v>
      </c>
      <c r="G448" s="14">
        <v>443.0</v>
      </c>
      <c r="H448" s="14" t="s">
        <v>21</v>
      </c>
      <c r="I448" s="18"/>
      <c r="J448" s="19" t="s">
        <v>3290</v>
      </c>
      <c r="K448" s="19" t="s">
        <v>5059</v>
      </c>
      <c r="L448" s="19" t="s">
        <v>5060</v>
      </c>
      <c r="M448" s="20"/>
      <c r="N448" s="27"/>
      <c r="O448" s="43">
        <v>0.0</v>
      </c>
      <c r="P448" s="28">
        <v>0.0</v>
      </c>
      <c r="Q448" s="28">
        <v>3.0</v>
      </c>
      <c r="R448" s="30"/>
      <c r="S448" s="30"/>
      <c r="T448" s="30"/>
      <c r="U448" s="30"/>
      <c r="V448" s="30"/>
      <c r="W448" s="30"/>
      <c r="X448" s="30"/>
      <c r="Y448" s="30"/>
      <c r="Z448" s="30"/>
      <c r="AA448" s="30"/>
    </row>
    <row r="449" ht="15.75" customHeight="1">
      <c r="A449" s="14" t="s">
        <v>2137</v>
      </c>
      <c r="B449" s="15" t="s">
        <v>5061</v>
      </c>
      <c r="C449" s="14" t="s">
        <v>3292</v>
      </c>
      <c r="D449" s="14" t="s">
        <v>3293</v>
      </c>
      <c r="E449" s="26" t="s">
        <v>3294</v>
      </c>
      <c r="F449" s="14">
        <v>2.0</v>
      </c>
      <c r="G449" s="14">
        <v>10.0</v>
      </c>
      <c r="H449" s="14" t="s">
        <v>28</v>
      </c>
      <c r="I449" s="19" t="s">
        <v>5068</v>
      </c>
      <c r="J449" s="19" t="s">
        <v>3299</v>
      </c>
      <c r="K449" s="19" t="s">
        <v>5069</v>
      </c>
      <c r="L449" s="19" t="s">
        <v>4318</v>
      </c>
      <c r="M449" s="20" t="s">
        <v>3301</v>
      </c>
      <c r="N449" s="27"/>
      <c r="O449" s="22">
        <v>412.0</v>
      </c>
      <c r="P449" s="28">
        <v>88.0</v>
      </c>
      <c r="Q449" s="28">
        <v>29.0</v>
      </c>
      <c r="R449" s="30"/>
      <c r="S449" s="30"/>
      <c r="T449" s="30"/>
      <c r="U449" s="30"/>
      <c r="V449" s="30"/>
      <c r="W449" s="30"/>
      <c r="X449" s="30"/>
      <c r="Y449" s="30"/>
      <c r="Z449" s="30"/>
      <c r="AA449" s="30"/>
    </row>
    <row r="450" ht="15.75" customHeight="1">
      <c r="A450" s="14" t="s">
        <v>2137</v>
      </c>
      <c r="B450" s="15" t="s">
        <v>5061</v>
      </c>
      <c r="C450" s="14" t="s">
        <v>3302</v>
      </c>
      <c r="D450" s="14" t="s">
        <v>3303</v>
      </c>
      <c r="E450" s="26" t="s">
        <v>3304</v>
      </c>
      <c r="F450" s="14">
        <v>11.0</v>
      </c>
      <c r="G450" s="14">
        <v>16.0</v>
      </c>
      <c r="H450" s="14" t="s">
        <v>28</v>
      </c>
      <c r="I450" s="19" t="s">
        <v>5082</v>
      </c>
      <c r="J450" s="19" t="s">
        <v>3305</v>
      </c>
      <c r="K450" s="19" t="s">
        <v>5083</v>
      </c>
      <c r="L450" s="19" t="s">
        <v>5084</v>
      </c>
      <c r="M450" s="20" t="s">
        <v>3307</v>
      </c>
      <c r="N450" s="44" t="s">
        <v>3308</v>
      </c>
      <c r="O450" s="22">
        <v>64.0</v>
      </c>
      <c r="P450" s="28">
        <v>14.0</v>
      </c>
      <c r="Q450" s="28">
        <v>21.0</v>
      </c>
      <c r="R450" s="30"/>
      <c r="S450" s="30"/>
      <c r="T450" s="30"/>
      <c r="U450" s="30"/>
      <c r="V450" s="30"/>
      <c r="W450" s="30"/>
      <c r="X450" s="30"/>
      <c r="Y450" s="30"/>
      <c r="Z450" s="30"/>
      <c r="AA450" s="30"/>
    </row>
    <row r="451" ht="15.75" customHeight="1">
      <c r="A451" s="14" t="s">
        <v>2137</v>
      </c>
      <c r="B451" s="15" t="s">
        <v>5061</v>
      </c>
      <c r="C451" s="14" t="s">
        <v>3309</v>
      </c>
      <c r="D451" s="14" t="s">
        <v>3310</v>
      </c>
      <c r="E451" s="26" t="s">
        <v>3311</v>
      </c>
      <c r="F451" s="14">
        <v>17.0</v>
      </c>
      <c r="G451" s="14">
        <v>24.0</v>
      </c>
      <c r="H451" s="14" t="s">
        <v>28</v>
      </c>
      <c r="I451" s="19" t="s">
        <v>5091</v>
      </c>
      <c r="J451" s="19" t="s">
        <v>3324</v>
      </c>
      <c r="K451" s="19" t="s">
        <v>5093</v>
      </c>
      <c r="L451" s="19" t="s">
        <v>5095</v>
      </c>
      <c r="M451" s="20" t="s">
        <v>3326</v>
      </c>
      <c r="N451" s="27"/>
      <c r="O451" s="22">
        <v>150.0</v>
      </c>
      <c r="P451" s="28">
        <v>15.0</v>
      </c>
      <c r="Q451" s="28">
        <v>35.0</v>
      </c>
      <c r="R451" s="30"/>
      <c r="S451" s="30"/>
      <c r="T451" s="30"/>
      <c r="U451" s="30"/>
      <c r="V451" s="30"/>
      <c r="W451" s="30"/>
      <c r="X451" s="30"/>
      <c r="Y451" s="30"/>
      <c r="Z451" s="30"/>
      <c r="AA451" s="30"/>
    </row>
    <row r="452" ht="15.75" customHeight="1">
      <c r="A452" s="14" t="s">
        <v>2137</v>
      </c>
      <c r="B452" s="15" t="s">
        <v>5061</v>
      </c>
      <c r="C452" s="14" t="s">
        <v>3327</v>
      </c>
      <c r="D452" s="14" t="s">
        <v>3328</v>
      </c>
      <c r="E452" s="26" t="s">
        <v>3329</v>
      </c>
      <c r="F452" s="14">
        <v>25.0</v>
      </c>
      <c r="G452" s="14">
        <v>28.0</v>
      </c>
      <c r="H452" s="14" t="s">
        <v>28</v>
      </c>
      <c r="I452" s="19" t="s">
        <v>5103</v>
      </c>
      <c r="J452" s="19" t="s">
        <v>3333</v>
      </c>
      <c r="K452" s="19" t="s">
        <v>5104</v>
      </c>
      <c r="L452" s="19" t="s">
        <v>5105</v>
      </c>
      <c r="M452" s="20"/>
      <c r="N452" s="27"/>
      <c r="O452" s="22">
        <v>50.0</v>
      </c>
      <c r="P452" s="28">
        <v>3.0</v>
      </c>
      <c r="Q452" s="28">
        <v>10.0</v>
      </c>
      <c r="R452" s="30"/>
      <c r="S452" s="30"/>
      <c r="T452" s="30"/>
      <c r="U452" s="30"/>
      <c r="V452" s="30"/>
      <c r="W452" s="30"/>
      <c r="X452" s="30"/>
      <c r="Y452" s="30"/>
      <c r="Z452" s="30"/>
      <c r="AA452" s="30"/>
    </row>
    <row r="453" ht="15.75" customHeight="1">
      <c r="A453" s="14" t="s">
        <v>2137</v>
      </c>
      <c r="B453" s="15" t="s">
        <v>5061</v>
      </c>
      <c r="C453" s="14" t="s">
        <v>3335</v>
      </c>
      <c r="D453" s="14" t="s">
        <v>3336</v>
      </c>
      <c r="E453" s="26" t="s">
        <v>3337</v>
      </c>
      <c r="F453" s="14">
        <v>30.0</v>
      </c>
      <c r="G453" s="14">
        <v>37.0</v>
      </c>
      <c r="H453" s="14" t="s">
        <v>28</v>
      </c>
      <c r="I453" s="19" t="s">
        <v>5112</v>
      </c>
      <c r="J453" s="19" t="s">
        <v>3341</v>
      </c>
      <c r="K453" s="19" t="s">
        <v>5113</v>
      </c>
      <c r="L453" s="19" t="s">
        <v>4194</v>
      </c>
      <c r="M453" s="20" t="s">
        <v>1541</v>
      </c>
      <c r="N453" s="27"/>
      <c r="O453" s="22">
        <v>13.0</v>
      </c>
      <c r="P453" s="28">
        <v>2.0</v>
      </c>
      <c r="Q453" s="28">
        <v>14.0</v>
      </c>
      <c r="R453" s="30"/>
      <c r="S453" s="30"/>
      <c r="T453" s="30"/>
      <c r="U453" s="30"/>
      <c r="V453" s="30"/>
      <c r="W453" s="30"/>
      <c r="X453" s="30"/>
      <c r="Y453" s="30"/>
      <c r="Z453" s="30"/>
      <c r="AA453" s="30"/>
    </row>
    <row r="454" ht="15.75" customHeight="1">
      <c r="A454" s="14" t="s">
        <v>2137</v>
      </c>
      <c r="B454" s="15" t="s">
        <v>5061</v>
      </c>
      <c r="C454" s="14" t="s">
        <v>3342</v>
      </c>
      <c r="D454" s="14" t="s">
        <v>3343</v>
      </c>
      <c r="E454" s="26" t="s">
        <v>3344</v>
      </c>
      <c r="F454" s="14">
        <v>38.0</v>
      </c>
      <c r="G454" s="14">
        <v>45.0</v>
      </c>
      <c r="H454" s="14" t="s">
        <v>28</v>
      </c>
      <c r="I454" s="19" t="s">
        <v>5122</v>
      </c>
      <c r="J454" s="19" t="s">
        <v>5123</v>
      </c>
      <c r="K454" s="19" t="s">
        <v>5125</v>
      </c>
      <c r="L454" s="19" t="s">
        <v>2532</v>
      </c>
      <c r="M454" s="20" t="s">
        <v>809</v>
      </c>
      <c r="N454" s="44" t="s">
        <v>3349</v>
      </c>
      <c r="O454" s="22">
        <v>138.0</v>
      </c>
      <c r="P454" s="28">
        <v>23.0</v>
      </c>
      <c r="Q454" s="28">
        <v>31.0</v>
      </c>
      <c r="R454" s="30"/>
      <c r="S454" s="30"/>
      <c r="T454" s="30"/>
      <c r="U454" s="30"/>
      <c r="V454" s="30"/>
      <c r="W454" s="30"/>
      <c r="X454" s="30"/>
      <c r="Y454" s="30"/>
      <c r="Z454" s="30"/>
      <c r="AA454" s="30"/>
    </row>
    <row r="455" ht="15.75" customHeight="1">
      <c r="A455" s="14" t="s">
        <v>2137</v>
      </c>
      <c r="B455" s="15" t="s">
        <v>5061</v>
      </c>
      <c r="C455" s="14" t="s">
        <v>3350</v>
      </c>
      <c r="D455" s="14" t="s">
        <v>3351</v>
      </c>
      <c r="E455" s="26" t="s">
        <v>3352</v>
      </c>
      <c r="F455" s="14">
        <v>46.0</v>
      </c>
      <c r="G455" s="14">
        <v>49.0</v>
      </c>
      <c r="H455" s="14" t="s">
        <v>28</v>
      </c>
      <c r="I455" s="19" t="s">
        <v>5135</v>
      </c>
      <c r="J455" s="19" t="s">
        <v>3356</v>
      </c>
      <c r="K455" s="19" t="s">
        <v>5136</v>
      </c>
      <c r="L455" s="19" t="s">
        <v>5137</v>
      </c>
      <c r="M455" s="20" t="s">
        <v>2728</v>
      </c>
      <c r="N455" s="27"/>
      <c r="O455" s="22">
        <v>50.0</v>
      </c>
      <c r="P455" s="28">
        <v>2.0</v>
      </c>
      <c r="Q455" s="28">
        <v>24.0</v>
      </c>
      <c r="R455" s="30"/>
      <c r="S455" s="30"/>
      <c r="T455" s="30"/>
      <c r="U455" s="30"/>
      <c r="V455" s="30"/>
      <c r="W455" s="30"/>
      <c r="X455" s="30"/>
      <c r="Y455" s="30"/>
      <c r="Z455" s="30"/>
      <c r="AA455" s="30"/>
    </row>
    <row r="456" ht="15.75" customHeight="1">
      <c r="A456" s="14" t="s">
        <v>2137</v>
      </c>
      <c r="B456" s="15" t="s">
        <v>5061</v>
      </c>
      <c r="C456" s="14" t="s">
        <v>3358</v>
      </c>
      <c r="D456" s="14" t="s">
        <v>3359</v>
      </c>
      <c r="E456" s="26" t="s">
        <v>3360</v>
      </c>
      <c r="F456" s="14">
        <v>51.0</v>
      </c>
      <c r="G456" s="14">
        <v>58.0</v>
      </c>
      <c r="H456" s="14" t="s">
        <v>28</v>
      </c>
      <c r="I456" s="19" t="s">
        <v>5144</v>
      </c>
      <c r="J456" s="19" t="s">
        <v>2757</v>
      </c>
      <c r="K456" s="19" t="s">
        <v>4209</v>
      </c>
      <c r="L456" s="19" t="s">
        <v>4210</v>
      </c>
      <c r="M456" s="20" t="s">
        <v>2755</v>
      </c>
      <c r="N456" s="44" t="s">
        <v>3361</v>
      </c>
      <c r="O456" s="31"/>
      <c r="P456" s="28">
        <v>23.0</v>
      </c>
      <c r="Q456" s="28">
        <v>20.0</v>
      </c>
      <c r="R456" s="30"/>
      <c r="S456" s="30"/>
      <c r="T456" s="30"/>
      <c r="U456" s="30"/>
      <c r="V456" s="30"/>
      <c r="W456" s="30"/>
      <c r="X456" s="30"/>
      <c r="Y456" s="30"/>
      <c r="Z456" s="30"/>
      <c r="AA456" s="30"/>
    </row>
    <row r="457" ht="15.75" customHeight="1">
      <c r="A457" s="14" t="s">
        <v>2137</v>
      </c>
      <c r="B457" s="15" t="s">
        <v>5061</v>
      </c>
      <c r="C457" s="14" t="s">
        <v>3362</v>
      </c>
      <c r="D457" s="14" t="s">
        <v>3363</v>
      </c>
      <c r="E457" s="26" t="s">
        <v>3364</v>
      </c>
      <c r="F457" s="14">
        <v>59.0</v>
      </c>
      <c r="G457" s="14">
        <v>63.0</v>
      </c>
      <c r="H457" s="14" t="s">
        <v>28</v>
      </c>
      <c r="I457" s="19" t="s">
        <v>5145</v>
      </c>
      <c r="J457" s="19" t="s">
        <v>3368</v>
      </c>
      <c r="K457" s="19" t="s">
        <v>5146</v>
      </c>
      <c r="L457" s="19" t="s">
        <v>5147</v>
      </c>
      <c r="M457" s="20"/>
      <c r="N457" s="44" t="s">
        <v>3370</v>
      </c>
      <c r="O457" s="22">
        <v>50.0</v>
      </c>
      <c r="P457" s="28">
        <v>4.0</v>
      </c>
      <c r="Q457" s="28">
        <v>6.0</v>
      </c>
      <c r="R457" s="30"/>
      <c r="S457" s="30"/>
      <c r="T457" s="30"/>
      <c r="U457" s="30"/>
      <c r="V457" s="30"/>
      <c r="W457" s="30"/>
      <c r="X457" s="30"/>
      <c r="Y457" s="30"/>
      <c r="Z457" s="30"/>
      <c r="AA457" s="30"/>
    </row>
    <row r="458" ht="15.75" customHeight="1">
      <c r="A458" s="14" t="s">
        <v>2137</v>
      </c>
      <c r="B458" s="15" t="s">
        <v>5061</v>
      </c>
      <c r="C458" s="14" t="s">
        <v>3371</v>
      </c>
      <c r="D458" s="14" t="s">
        <v>3372</v>
      </c>
      <c r="E458" s="26" t="s">
        <v>3374</v>
      </c>
      <c r="F458" s="14">
        <v>65.0</v>
      </c>
      <c r="G458" s="14">
        <v>72.0</v>
      </c>
      <c r="H458" s="14" t="s">
        <v>28</v>
      </c>
      <c r="I458" s="19" t="s">
        <v>5154</v>
      </c>
      <c r="J458" s="19" t="s">
        <v>3378</v>
      </c>
      <c r="K458" s="19" t="s">
        <v>5155</v>
      </c>
      <c r="L458" s="19" t="s">
        <v>5156</v>
      </c>
      <c r="M458" s="20" t="s">
        <v>3380</v>
      </c>
      <c r="N458" s="27"/>
      <c r="O458" s="22">
        <v>50.0</v>
      </c>
      <c r="P458" s="28">
        <v>3.0</v>
      </c>
      <c r="Q458" s="28">
        <v>15.0</v>
      </c>
      <c r="R458" s="30"/>
      <c r="S458" s="30"/>
      <c r="T458" s="30"/>
      <c r="U458" s="30"/>
      <c r="V458" s="30"/>
      <c r="W458" s="30"/>
      <c r="X458" s="30"/>
      <c r="Y458" s="30"/>
      <c r="Z458" s="30"/>
      <c r="AA458" s="30"/>
    </row>
    <row r="459" ht="15.75" customHeight="1">
      <c r="A459" s="14" t="s">
        <v>2137</v>
      </c>
      <c r="B459" s="15" t="s">
        <v>5061</v>
      </c>
      <c r="C459" s="14" t="s">
        <v>3381</v>
      </c>
      <c r="D459" s="14" t="s">
        <v>3382</v>
      </c>
      <c r="E459" s="26" t="s">
        <v>3384</v>
      </c>
      <c r="F459" s="14">
        <v>73.0</v>
      </c>
      <c r="G459" s="14">
        <v>80.0</v>
      </c>
      <c r="H459" s="14" t="s">
        <v>28</v>
      </c>
      <c r="I459" s="19" t="s">
        <v>5164</v>
      </c>
      <c r="J459" s="19" t="s">
        <v>3387</v>
      </c>
      <c r="K459" s="19" t="s">
        <v>5165</v>
      </c>
      <c r="L459" s="19" t="s">
        <v>5166</v>
      </c>
      <c r="M459" s="20" t="s">
        <v>3389</v>
      </c>
      <c r="N459" s="27"/>
      <c r="O459" s="22">
        <v>53.0</v>
      </c>
      <c r="P459" s="28">
        <v>16.0</v>
      </c>
      <c r="Q459" s="28">
        <v>23.0</v>
      </c>
      <c r="R459" s="30"/>
      <c r="S459" s="30"/>
      <c r="T459" s="30"/>
      <c r="U459" s="30"/>
      <c r="V459" s="30"/>
      <c r="W459" s="30"/>
      <c r="X459" s="30"/>
      <c r="Y459" s="30"/>
      <c r="Z459" s="30"/>
      <c r="AA459" s="30"/>
    </row>
    <row r="460" ht="15.75" customHeight="1">
      <c r="A460" s="14" t="s">
        <v>2137</v>
      </c>
      <c r="B460" s="15" t="s">
        <v>5061</v>
      </c>
      <c r="C460" s="14" t="s">
        <v>3390</v>
      </c>
      <c r="D460" s="14" t="s">
        <v>3391</v>
      </c>
      <c r="E460" s="26" t="s">
        <v>3392</v>
      </c>
      <c r="F460" s="14">
        <v>81.0</v>
      </c>
      <c r="G460" s="14">
        <v>86.0</v>
      </c>
      <c r="H460" s="14" t="s">
        <v>28</v>
      </c>
      <c r="I460" s="19" t="s">
        <v>5173</v>
      </c>
      <c r="J460" s="19" t="s">
        <v>3396</v>
      </c>
      <c r="K460" s="19" t="s">
        <v>5174</v>
      </c>
      <c r="L460" s="19" t="s">
        <v>291</v>
      </c>
      <c r="M460" s="20" t="s">
        <v>3398</v>
      </c>
      <c r="N460" s="44" t="s">
        <v>3399</v>
      </c>
      <c r="O460" s="22">
        <v>50.0</v>
      </c>
      <c r="P460" s="28">
        <v>4.0</v>
      </c>
      <c r="Q460" s="28">
        <v>14.0</v>
      </c>
      <c r="R460" s="30"/>
      <c r="S460" s="30"/>
      <c r="T460" s="30"/>
      <c r="U460" s="30"/>
      <c r="V460" s="30"/>
      <c r="W460" s="30"/>
      <c r="X460" s="30"/>
      <c r="Y460" s="30"/>
      <c r="Z460" s="30"/>
      <c r="AA460" s="30"/>
    </row>
    <row r="461" ht="15.75" customHeight="1">
      <c r="A461" s="14" t="s">
        <v>2137</v>
      </c>
      <c r="B461" s="15" t="s">
        <v>5061</v>
      </c>
      <c r="C461" s="14" t="s">
        <v>3401</v>
      </c>
      <c r="D461" s="14" t="s">
        <v>3402</v>
      </c>
      <c r="E461" s="26" t="s">
        <v>3403</v>
      </c>
      <c r="F461" s="14">
        <v>87.0</v>
      </c>
      <c r="G461" s="14">
        <v>90.0</v>
      </c>
      <c r="H461" s="14" t="s">
        <v>28</v>
      </c>
      <c r="I461" s="19" t="s">
        <v>5175</v>
      </c>
      <c r="J461" s="19" t="s">
        <v>3405</v>
      </c>
      <c r="K461" s="19" t="s">
        <v>5176</v>
      </c>
      <c r="L461" s="19" t="s">
        <v>539</v>
      </c>
      <c r="M461" s="20" t="s">
        <v>3407</v>
      </c>
      <c r="N461" s="44" t="s">
        <v>3409</v>
      </c>
      <c r="O461" s="31"/>
      <c r="P461" s="28">
        <v>8.0</v>
      </c>
      <c r="Q461" s="28">
        <v>14.0</v>
      </c>
      <c r="R461" s="30"/>
      <c r="S461" s="30"/>
      <c r="T461" s="30"/>
      <c r="U461" s="30"/>
      <c r="V461" s="30"/>
      <c r="W461" s="30"/>
      <c r="X461" s="30"/>
      <c r="Y461" s="30"/>
      <c r="Z461" s="30"/>
      <c r="AA461" s="30"/>
    </row>
    <row r="462" ht="15.75" customHeight="1">
      <c r="A462" s="14" t="s">
        <v>2137</v>
      </c>
      <c r="B462" s="15" t="s">
        <v>5061</v>
      </c>
      <c r="C462" s="14" t="s">
        <v>3411</v>
      </c>
      <c r="D462" s="14" t="s">
        <v>3412</v>
      </c>
      <c r="E462" s="26" t="s">
        <v>3413</v>
      </c>
      <c r="F462" s="14">
        <v>92.0</v>
      </c>
      <c r="G462" s="14">
        <v>99.0</v>
      </c>
      <c r="H462" s="14" t="s">
        <v>28</v>
      </c>
      <c r="I462" s="19" t="s">
        <v>5177</v>
      </c>
      <c r="J462" s="19" t="s">
        <v>3417</v>
      </c>
      <c r="K462" s="19" t="s">
        <v>5178</v>
      </c>
      <c r="L462" s="19" t="s">
        <v>5147</v>
      </c>
      <c r="M462" s="20" t="s">
        <v>3418</v>
      </c>
      <c r="N462" s="44" t="s">
        <v>3419</v>
      </c>
      <c r="O462" s="22">
        <v>430.0</v>
      </c>
      <c r="P462" s="28">
        <v>69.0</v>
      </c>
      <c r="Q462" s="28">
        <v>24.0</v>
      </c>
      <c r="R462" s="29" t="s">
        <v>1093</v>
      </c>
      <c r="S462" s="30"/>
      <c r="T462" s="30"/>
      <c r="U462" s="30"/>
      <c r="V462" s="30"/>
      <c r="W462" s="30"/>
      <c r="X462" s="30"/>
      <c r="Y462" s="30"/>
      <c r="Z462" s="30"/>
      <c r="AA462" s="30"/>
    </row>
    <row r="463" ht="15.75" customHeight="1">
      <c r="A463" s="14" t="s">
        <v>2137</v>
      </c>
      <c r="B463" s="15" t="s">
        <v>5061</v>
      </c>
      <c r="C463" s="14" t="s">
        <v>3420</v>
      </c>
      <c r="D463" s="14" t="s">
        <v>3421</v>
      </c>
      <c r="E463" s="26" t="s">
        <v>3422</v>
      </c>
      <c r="F463" s="14">
        <v>100.0</v>
      </c>
      <c r="G463" s="14">
        <v>107.0</v>
      </c>
      <c r="H463" s="14" t="s">
        <v>28</v>
      </c>
      <c r="I463" s="19" t="s">
        <v>5180</v>
      </c>
      <c r="J463" s="19" t="s">
        <v>3426</v>
      </c>
      <c r="K463" s="19" t="s">
        <v>5183</v>
      </c>
      <c r="L463" s="19" t="s">
        <v>5185</v>
      </c>
      <c r="M463" s="20" t="s">
        <v>3428</v>
      </c>
      <c r="N463" s="27"/>
      <c r="O463" s="22">
        <v>223.0</v>
      </c>
      <c r="P463" s="28">
        <v>65.0</v>
      </c>
      <c r="Q463" s="28">
        <v>11.0</v>
      </c>
      <c r="R463" s="30"/>
      <c r="S463" s="30"/>
      <c r="T463" s="30"/>
      <c r="U463" s="30"/>
      <c r="V463" s="30"/>
      <c r="W463" s="30"/>
      <c r="X463" s="30"/>
      <c r="Y463" s="30"/>
      <c r="Z463" s="30"/>
      <c r="AA463" s="30"/>
    </row>
    <row r="464" ht="15.75" customHeight="1">
      <c r="A464" s="14" t="s">
        <v>2137</v>
      </c>
      <c r="B464" s="15" t="s">
        <v>5061</v>
      </c>
      <c r="C464" s="14" t="s">
        <v>3429</v>
      </c>
      <c r="D464" s="14" t="s">
        <v>3430</v>
      </c>
      <c r="E464" s="26" t="s">
        <v>3432</v>
      </c>
      <c r="F464" s="14">
        <v>108.0</v>
      </c>
      <c r="G464" s="14">
        <v>111.0</v>
      </c>
      <c r="H464" s="14" t="s">
        <v>28</v>
      </c>
      <c r="I464" s="19" t="s">
        <v>5192</v>
      </c>
      <c r="J464" s="19" t="s">
        <v>3435</v>
      </c>
      <c r="K464" s="19" t="s">
        <v>5193</v>
      </c>
      <c r="L464" s="19" t="s">
        <v>5194</v>
      </c>
      <c r="M464" s="20" t="s">
        <v>3438</v>
      </c>
      <c r="N464" s="27"/>
      <c r="O464" s="31"/>
      <c r="P464" s="28">
        <v>4.0</v>
      </c>
      <c r="Q464" s="28">
        <v>0.0</v>
      </c>
      <c r="R464" s="30"/>
      <c r="S464" s="30"/>
      <c r="T464" s="30"/>
      <c r="U464" s="30"/>
      <c r="V464" s="30"/>
      <c r="W464" s="30"/>
      <c r="X464" s="30"/>
      <c r="Y464" s="30"/>
      <c r="Z464" s="30"/>
      <c r="AA464" s="30"/>
    </row>
    <row r="465" ht="15.75" customHeight="1">
      <c r="A465" s="14" t="s">
        <v>17</v>
      </c>
      <c r="B465" s="15" t="s">
        <v>5061</v>
      </c>
      <c r="C465" s="14" t="s">
        <v>3441</v>
      </c>
      <c r="D465" s="14" t="s">
        <v>3442</v>
      </c>
      <c r="E465" s="26" t="s">
        <v>3443</v>
      </c>
      <c r="F465" s="14">
        <v>19.0</v>
      </c>
      <c r="G465" s="14">
        <v>26.0</v>
      </c>
      <c r="H465" s="14" t="s">
        <v>28</v>
      </c>
      <c r="I465" s="19" t="s">
        <v>5196</v>
      </c>
      <c r="J465" s="19" t="s">
        <v>5198</v>
      </c>
      <c r="K465" s="19" t="s">
        <v>5199</v>
      </c>
      <c r="L465" s="19" t="s">
        <v>4119</v>
      </c>
      <c r="M465" s="20" t="s">
        <v>2052</v>
      </c>
      <c r="N465" s="44" t="s">
        <v>3447</v>
      </c>
      <c r="O465" s="22">
        <v>115.0</v>
      </c>
      <c r="P465" s="28">
        <v>26.0</v>
      </c>
      <c r="Q465" s="28">
        <v>16.0</v>
      </c>
      <c r="R465" s="30"/>
      <c r="S465" s="30"/>
      <c r="T465" s="30"/>
      <c r="U465" s="30"/>
      <c r="V465" s="30"/>
      <c r="W465" s="30"/>
      <c r="X465" s="30"/>
      <c r="Y465" s="30"/>
      <c r="Z465" s="30"/>
      <c r="AA465" s="30"/>
    </row>
    <row r="466" ht="15.75" customHeight="1">
      <c r="A466" s="14" t="s">
        <v>17</v>
      </c>
      <c r="B466" s="15" t="s">
        <v>5061</v>
      </c>
      <c r="C466" s="14" t="s">
        <v>3448</v>
      </c>
      <c r="D466" s="14" t="s">
        <v>3449</v>
      </c>
      <c r="E466" s="26" t="s">
        <v>3450</v>
      </c>
      <c r="F466" s="14">
        <v>27.0</v>
      </c>
      <c r="G466" s="14">
        <v>34.0</v>
      </c>
      <c r="H466" s="14" t="s">
        <v>28</v>
      </c>
      <c r="I466" s="19" t="s">
        <v>5202</v>
      </c>
      <c r="J466" s="19" t="s">
        <v>1460</v>
      </c>
      <c r="K466" s="19" t="s">
        <v>5204</v>
      </c>
      <c r="L466" s="19" t="s">
        <v>4227</v>
      </c>
      <c r="M466" s="20" t="s">
        <v>3454</v>
      </c>
      <c r="N466" s="44" t="s">
        <v>3455</v>
      </c>
      <c r="O466" s="22">
        <v>84.0</v>
      </c>
      <c r="P466" s="28">
        <v>12.0</v>
      </c>
      <c r="Q466" s="28">
        <v>14.0</v>
      </c>
      <c r="R466" s="30"/>
      <c r="S466" s="30"/>
      <c r="T466" s="30"/>
      <c r="U466" s="30"/>
      <c r="V466" s="30"/>
      <c r="W466" s="30"/>
      <c r="X466" s="30"/>
      <c r="Y466" s="30"/>
      <c r="Z466" s="30"/>
      <c r="AA466" s="30"/>
    </row>
    <row r="467" ht="15.75" customHeight="1">
      <c r="A467" s="14" t="s">
        <v>17</v>
      </c>
      <c r="B467" s="15" t="s">
        <v>5061</v>
      </c>
      <c r="C467" s="14" t="s">
        <v>3456</v>
      </c>
      <c r="D467" s="14" t="s">
        <v>3457</v>
      </c>
      <c r="E467" s="26" t="s">
        <v>3458</v>
      </c>
      <c r="F467" s="14">
        <v>35.0</v>
      </c>
      <c r="G467" s="14">
        <v>42.0</v>
      </c>
      <c r="H467" s="14" t="s">
        <v>28</v>
      </c>
      <c r="I467" s="19" t="s">
        <v>5208</v>
      </c>
      <c r="J467" s="19" t="s">
        <v>5209</v>
      </c>
      <c r="K467" s="19" t="s">
        <v>5210</v>
      </c>
      <c r="L467" s="19" t="s">
        <v>5211</v>
      </c>
      <c r="M467" s="20" t="s">
        <v>3464</v>
      </c>
      <c r="N467" s="27"/>
      <c r="O467" s="22">
        <v>29.0</v>
      </c>
      <c r="P467" s="28">
        <v>10.0</v>
      </c>
      <c r="Q467" s="28">
        <v>24.0</v>
      </c>
      <c r="R467" s="30"/>
      <c r="S467" s="30"/>
      <c r="T467" s="30"/>
      <c r="U467" s="30"/>
      <c r="V467" s="30"/>
      <c r="W467" s="30"/>
      <c r="X467" s="30"/>
      <c r="Y467" s="30"/>
      <c r="Z467" s="30"/>
      <c r="AA467" s="30"/>
    </row>
    <row r="468" ht="15.75" customHeight="1">
      <c r="A468" s="14" t="s">
        <v>17</v>
      </c>
      <c r="B468" s="15" t="s">
        <v>5061</v>
      </c>
      <c r="C468" s="14" t="s">
        <v>3465</v>
      </c>
      <c r="D468" s="14" t="s">
        <v>3466</v>
      </c>
      <c r="E468" s="26" t="s">
        <v>3468</v>
      </c>
      <c r="F468" s="14">
        <v>43.0</v>
      </c>
      <c r="G468" s="14">
        <v>50.0</v>
      </c>
      <c r="H468" s="14" t="s">
        <v>28</v>
      </c>
      <c r="I468" s="19" t="s">
        <v>5226</v>
      </c>
      <c r="J468" s="19" t="s">
        <v>3471</v>
      </c>
      <c r="K468" s="19" t="s">
        <v>5228</v>
      </c>
      <c r="L468" s="19" t="s">
        <v>4726</v>
      </c>
      <c r="M468" s="20" t="s">
        <v>3473</v>
      </c>
      <c r="N468" s="44" t="s">
        <v>3474</v>
      </c>
      <c r="O468" s="22">
        <v>50.0</v>
      </c>
      <c r="P468" s="28">
        <v>1.0</v>
      </c>
      <c r="Q468" s="28">
        <v>13.0</v>
      </c>
      <c r="R468" s="30"/>
      <c r="S468" s="30"/>
      <c r="T468" s="30"/>
      <c r="U468" s="30"/>
      <c r="V468" s="30"/>
      <c r="W468" s="30"/>
      <c r="X468" s="30"/>
      <c r="Y468" s="30"/>
      <c r="Z468" s="30"/>
      <c r="AA468" s="30"/>
    </row>
    <row r="469" ht="15.75" customHeight="1">
      <c r="A469" s="14" t="s">
        <v>17</v>
      </c>
      <c r="B469" s="15" t="s">
        <v>5061</v>
      </c>
      <c r="C469" s="14" t="s">
        <v>3476</v>
      </c>
      <c r="D469" s="14" t="s">
        <v>3477</v>
      </c>
      <c r="E469" s="26" t="s">
        <v>3479</v>
      </c>
      <c r="F469" s="14">
        <v>51.0</v>
      </c>
      <c r="G469" s="14">
        <v>57.0</v>
      </c>
      <c r="H469" s="14" t="s">
        <v>28</v>
      </c>
      <c r="I469" s="19" t="s">
        <v>5239</v>
      </c>
      <c r="J469" s="19" t="s">
        <v>3481</v>
      </c>
      <c r="K469" s="19" t="s">
        <v>5242</v>
      </c>
      <c r="L469" s="19" t="s">
        <v>5243</v>
      </c>
      <c r="M469" s="20" t="s">
        <v>3483</v>
      </c>
      <c r="N469" s="27"/>
      <c r="O469" s="22">
        <v>2.0</v>
      </c>
      <c r="P469" s="28">
        <v>1.0</v>
      </c>
      <c r="Q469" s="28">
        <v>12.0</v>
      </c>
      <c r="R469" s="30"/>
      <c r="S469" s="30"/>
      <c r="T469" s="30"/>
      <c r="U469" s="30"/>
      <c r="V469" s="30"/>
      <c r="W469" s="30"/>
      <c r="X469" s="30"/>
      <c r="Y469" s="30"/>
      <c r="Z469" s="30"/>
      <c r="AA469" s="30"/>
    </row>
    <row r="470" ht="15.75" customHeight="1">
      <c r="A470" s="14" t="s">
        <v>17</v>
      </c>
      <c r="B470" s="15" t="s">
        <v>5061</v>
      </c>
      <c r="C470" s="14" t="s">
        <v>3484</v>
      </c>
      <c r="D470" s="14" t="s">
        <v>3485</v>
      </c>
      <c r="E470" s="26" t="s">
        <v>3486</v>
      </c>
      <c r="F470" s="14">
        <v>59.0</v>
      </c>
      <c r="G470" s="14">
        <v>66.0</v>
      </c>
      <c r="H470" s="14" t="s">
        <v>28</v>
      </c>
      <c r="I470" s="19" t="s">
        <v>5249</v>
      </c>
      <c r="J470" s="19" t="s">
        <v>3490</v>
      </c>
      <c r="K470" s="19" t="s">
        <v>5250</v>
      </c>
      <c r="L470" s="19" t="s">
        <v>5251</v>
      </c>
      <c r="M470" s="20" t="s">
        <v>1084</v>
      </c>
      <c r="N470" s="27"/>
      <c r="O470" s="22">
        <v>25.0</v>
      </c>
      <c r="P470" s="28">
        <v>5.0</v>
      </c>
      <c r="Q470" s="28">
        <v>12.0</v>
      </c>
      <c r="R470" s="30"/>
      <c r="S470" s="30"/>
      <c r="T470" s="30"/>
      <c r="U470" s="30"/>
      <c r="V470" s="30"/>
      <c r="W470" s="30"/>
      <c r="X470" s="30"/>
      <c r="Y470" s="30"/>
      <c r="Z470" s="30"/>
      <c r="AA470" s="30"/>
    </row>
    <row r="471" ht="15.75" customHeight="1">
      <c r="A471" s="14" t="s">
        <v>17</v>
      </c>
      <c r="B471" s="15" t="s">
        <v>5061</v>
      </c>
      <c r="C471" s="14" t="s">
        <v>3492</v>
      </c>
      <c r="D471" s="14" t="s">
        <v>3493</v>
      </c>
      <c r="E471" s="26" t="s">
        <v>3494</v>
      </c>
      <c r="F471" s="14">
        <v>67.0</v>
      </c>
      <c r="G471" s="14">
        <v>74.0</v>
      </c>
      <c r="H471" s="14" t="s">
        <v>28</v>
      </c>
      <c r="I471" s="19" t="s">
        <v>5252</v>
      </c>
      <c r="J471" s="19" t="s">
        <v>5253</v>
      </c>
      <c r="K471" s="19" t="s">
        <v>5254</v>
      </c>
      <c r="L471" s="19" t="s">
        <v>5255</v>
      </c>
      <c r="M471" s="20"/>
      <c r="N471" s="27"/>
      <c r="O471" s="22">
        <v>93.0</v>
      </c>
      <c r="P471" s="28">
        <v>17.0</v>
      </c>
      <c r="Q471" s="28">
        <v>7.0</v>
      </c>
      <c r="R471" s="30"/>
      <c r="S471" s="30"/>
      <c r="T471" s="30"/>
      <c r="U471" s="30"/>
      <c r="V471" s="30"/>
      <c r="W471" s="30"/>
      <c r="X471" s="30"/>
      <c r="Y471" s="30"/>
      <c r="Z471" s="30"/>
      <c r="AA471" s="30"/>
    </row>
    <row r="472" ht="15.75" customHeight="1">
      <c r="A472" s="14" t="s">
        <v>17</v>
      </c>
      <c r="B472" s="15" t="s">
        <v>5061</v>
      </c>
      <c r="C472" s="14" t="s">
        <v>3499</v>
      </c>
      <c r="D472" s="14" t="s">
        <v>3500</v>
      </c>
      <c r="E472" s="26" t="s">
        <v>3501</v>
      </c>
      <c r="F472" s="14">
        <v>75.0</v>
      </c>
      <c r="G472" s="14">
        <v>80.0</v>
      </c>
      <c r="H472" s="14" t="s">
        <v>28</v>
      </c>
      <c r="I472" s="19" t="s">
        <v>5256</v>
      </c>
      <c r="J472" s="19" t="s">
        <v>3503</v>
      </c>
      <c r="K472" s="19" t="s">
        <v>3503</v>
      </c>
      <c r="L472" s="19" t="s">
        <v>5257</v>
      </c>
      <c r="M472" s="20" t="s">
        <v>3506</v>
      </c>
      <c r="N472" s="44" t="s">
        <v>3507</v>
      </c>
      <c r="O472" s="22">
        <v>50.0</v>
      </c>
      <c r="P472" s="28">
        <v>3.0</v>
      </c>
      <c r="Q472" s="28">
        <v>17.0</v>
      </c>
      <c r="R472" s="30"/>
      <c r="S472" s="30"/>
      <c r="T472" s="30"/>
      <c r="U472" s="30"/>
      <c r="V472" s="30"/>
      <c r="W472" s="30"/>
      <c r="X472" s="30"/>
      <c r="Y472" s="30"/>
      <c r="Z472" s="30"/>
      <c r="AA472" s="30"/>
    </row>
    <row r="473" ht="15.75" customHeight="1">
      <c r="A473" s="14" t="s">
        <v>17</v>
      </c>
      <c r="B473" s="15" t="s">
        <v>5061</v>
      </c>
      <c r="C473" s="14" t="s">
        <v>3508</v>
      </c>
      <c r="D473" s="14" t="s">
        <v>3509</v>
      </c>
      <c r="E473" s="26" t="s">
        <v>3510</v>
      </c>
      <c r="F473" s="14">
        <v>81.0</v>
      </c>
      <c r="G473" s="14">
        <v>88.0</v>
      </c>
      <c r="H473" s="14" t="s">
        <v>28</v>
      </c>
      <c r="I473" s="19" t="s">
        <v>5258</v>
      </c>
      <c r="J473" s="19" t="s">
        <v>3511</v>
      </c>
      <c r="K473" s="19" t="s">
        <v>5259</v>
      </c>
      <c r="L473" s="19" t="s">
        <v>515</v>
      </c>
      <c r="M473" s="20" t="s">
        <v>3513</v>
      </c>
      <c r="N473" s="44" t="s">
        <v>3514</v>
      </c>
      <c r="O473" s="22">
        <v>1260.0</v>
      </c>
      <c r="P473" s="28">
        <v>170.0</v>
      </c>
      <c r="Q473" s="28">
        <v>19.0</v>
      </c>
      <c r="R473" s="30"/>
      <c r="S473" s="30"/>
      <c r="T473" s="30"/>
      <c r="U473" s="30"/>
      <c r="V473" s="30"/>
      <c r="W473" s="30"/>
      <c r="X473" s="30"/>
      <c r="Y473" s="30"/>
      <c r="Z473" s="30"/>
      <c r="AA473" s="30"/>
    </row>
    <row r="474" ht="15.75" customHeight="1">
      <c r="A474" s="14" t="s">
        <v>17</v>
      </c>
      <c r="B474" s="15" t="s">
        <v>5061</v>
      </c>
      <c r="C474" s="14" t="s">
        <v>3515</v>
      </c>
      <c r="D474" s="14" t="s">
        <v>3516</v>
      </c>
      <c r="E474" s="26" t="s">
        <v>3517</v>
      </c>
      <c r="F474" s="14">
        <v>89.0</v>
      </c>
      <c r="G474" s="14">
        <v>94.0</v>
      </c>
      <c r="H474" s="14" t="s">
        <v>28</v>
      </c>
      <c r="I474" s="19" t="s">
        <v>5269</v>
      </c>
      <c r="J474" s="19" t="s">
        <v>3518</v>
      </c>
      <c r="K474" s="19" t="s">
        <v>5272</v>
      </c>
      <c r="L474" s="19" t="s">
        <v>5274</v>
      </c>
      <c r="M474" s="20" t="s">
        <v>800</v>
      </c>
      <c r="N474" s="44" t="s">
        <v>3520</v>
      </c>
      <c r="O474" s="22">
        <v>9.0</v>
      </c>
      <c r="P474" s="28">
        <v>2.0</v>
      </c>
      <c r="Q474" s="28">
        <v>15.0</v>
      </c>
      <c r="R474" s="30"/>
      <c r="S474" s="30"/>
      <c r="T474" s="30"/>
      <c r="U474" s="30"/>
      <c r="V474" s="30"/>
      <c r="W474" s="30"/>
      <c r="X474" s="30"/>
      <c r="Y474" s="30"/>
      <c r="Z474" s="30"/>
      <c r="AA474" s="30"/>
    </row>
    <row r="475" ht="15.75" customHeight="1">
      <c r="A475" s="14" t="s">
        <v>17</v>
      </c>
      <c r="B475" s="15" t="s">
        <v>5061</v>
      </c>
      <c r="C475" s="14" t="s">
        <v>3521</v>
      </c>
      <c r="D475" s="14" t="s">
        <v>3522</v>
      </c>
      <c r="E475" s="26" t="s">
        <v>3523</v>
      </c>
      <c r="F475" s="14">
        <v>95.0</v>
      </c>
      <c r="G475" s="14">
        <v>102.0</v>
      </c>
      <c r="H475" s="14" t="s">
        <v>28</v>
      </c>
      <c r="I475" s="19" t="s">
        <v>5284</v>
      </c>
      <c r="J475" s="19" t="s">
        <v>3524</v>
      </c>
      <c r="K475" s="19" t="s">
        <v>5286</v>
      </c>
      <c r="L475" s="19" t="s">
        <v>5287</v>
      </c>
      <c r="M475" s="20" t="s">
        <v>2854</v>
      </c>
      <c r="N475" s="44" t="s">
        <v>3526</v>
      </c>
      <c r="O475" s="22">
        <v>85.0</v>
      </c>
      <c r="P475" s="28">
        <v>7.0</v>
      </c>
      <c r="Q475" s="28">
        <v>15.0</v>
      </c>
      <c r="R475" s="30"/>
      <c r="S475" s="30"/>
      <c r="T475" s="30"/>
      <c r="U475" s="30"/>
      <c r="V475" s="30"/>
      <c r="W475" s="30"/>
      <c r="X475" s="30"/>
      <c r="Y475" s="30"/>
      <c r="Z475" s="30"/>
      <c r="AA475" s="30"/>
    </row>
    <row r="476" ht="15.75" customHeight="1">
      <c r="A476" s="14" t="s">
        <v>17</v>
      </c>
      <c r="B476" s="15" t="s">
        <v>5061</v>
      </c>
      <c r="C476" s="14" t="s">
        <v>3527</v>
      </c>
      <c r="D476" s="14" t="s">
        <v>3528</v>
      </c>
      <c r="E476" s="26" t="s">
        <v>3529</v>
      </c>
      <c r="F476" s="14">
        <v>103.0</v>
      </c>
      <c r="G476" s="14">
        <v>110.0</v>
      </c>
      <c r="H476" s="14" t="s">
        <v>28</v>
      </c>
      <c r="I476" s="19" t="s">
        <v>5296</v>
      </c>
      <c r="J476" s="19" t="s">
        <v>3530</v>
      </c>
      <c r="K476" s="19" t="s">
        <v>5298</v>
      </c>
      <c r="L476" s="19" t="s">
        <v>5300</v>
      </c>
      <c r="M476" s="20"/>
      <c r="N476" s="27"/>
      <c r="O476" s="22">
        <v>147.0</v>
      </c>
      <c r="P476" s="28">
        <v>20.0</v>
      </c>
      <c r="Q476" s="28">
        <v>21.0</v>
      </c>
      <c r="R476" s="30"/>
      <c r="S476" s="30"/>
      <c r="T476" s="30"/>
      <c r="U476" s="30"/>
      <c r="V476" s="30"/>
      <c r="W476" s="30"/>
      <c r="X476" s="30"/>
      <c r="Y476" s="30"/>
      <c r="Z476" s="30"/>
      <c r="AA476" s="30"/>
    </row>
    <row r="477" ht="15.75" customHeight="1">
      <c r="A477" s="14" t="s">
        <v>17</v>
      </c>
      <c r="B477" s="15" t="s">
        <v>5061</v>
      </c>
      <c r="C477" s="14" t="s">
        <v>3532</v>
      </c>
      <c r="D477" s="14" t="s">
        <v>3533</v>
      </c>
      <c r="E477" s="26" t="s">
        <v>3534</v>
      </c>
      <c r="F477" s="14">
        <v>111.0</v>
      </c>
      <c r="G477" s="14">
        <v>118.0</v>
      </c>
      <c r="H477" s="14" t="s">
        <v>28</v>
      </c>
      <c r="I477" s="19" t="s">
        <v>5309</v>
      </c>
      <c r="J477" s="19" t="s">
        <v>2450</v>
      </c>
      <c r="K477" s="19" t="s">
        <v>3952</v>
      </c>
      <c r="L477" s="19" t="s">
        <v>4311</v>
      </c>
      <c r="M477" s="20" t="s">
        <v>3535</v>
      </c>
      <c r="N477" s="27"/>
      <c r="O477" s="22">
        <v>52.0</v>
      </c>
      <c r="P477" s="28">
        <v>11.0</v>
      </c>
      <c r="Q477" s="28">
        <v>20.0</v>
      </c>
      <c r="R477" s="30"/>
      <c r="S477" s="30"/>
      <c r="T477" s="30"/>
      <c r="U477" s="30"/>
      <c r="V477" s="30"/>
      <c r="W477" s="30"/>
      <c r="X477" s="30"/>
      <c r="Y477" s="30"/>
      <c r="Z477" s="30"/>
      <c r="AA477" s="30"/>
    </row>
    <row r="478" ht="15.75" customHeight="1">
      <c r="A478" s="14" t="s">
        <v>17</v>
      </c>
      <c r="B478" s="15" t="s">
        <v>5061</v>
      </c>
      <c r="C478" s="14" t="s">
        <v>3536</v>
      </c>
      <c r="D478" s="14" t="s">
        <v>3537</v>
      </c>
      <c r="E478" s="26" t="s">
        <v>3538</v>
      </c>
      <c r="F478" s="14">
        <v>119.0</v>
      </c>
      <c r="G478" s="14">
        <v>125.0</v>
      </c>
      <c r="H478" s="14" t="s">
        <v>28</v>
      </c>
      <c r="I478" s="19" t="s">
        <v>5322</v>
      </c>
      <c r="J478" s="19" t="s">
        <v>5324</v>
      </c>
      <c r="K478" s="19" t="s">
        <v>5326</v>
      </c>
      <c r="L478" s="19" t="s">
        <v>5327</v>
      </c>
      <c r="M478" s="20" t="s">
        <v>3541</v>
      </c>
      <c r="N478" s="27"/>
      <c r="O478" s="31"/>
      <c r="P478" s="28">
        <v>16.0</v>
      </c>
      <c r="Q478" s="28">
        <v>20.0</v>
      </c>
      <c r="R478" s="30"/>
      <c r="S478" s="30"/>
      <c r="T478" s="30"/>
      <c r="U478" s="30"/>
      <c r="V478" s="30"/>
      <c r="W478" s="30"/>
      <c r="X478" s="30"/>
      <c r="Y478" s="30"/>
      <c r="Z478" s="30"/>
      <c r="AA478" s="30"/>
    </row>
    <row r="479" ht="15.75" customHeight="1">
      <c r="A479" s="14" t="s">
        <v>17</v>
      </c>
      <c r="B479" s="15" t="s">
        <v>5061</v>
      </c>
      <c r="C479" s="14" t="s">
        <v>3542</v>
      </c>
      <c r="D479" s="14" t="s">
        <v>3543</v>
      </c>
      <c r="E479" s="26" t="s">
        <v>3544</v>
      </c>
      <c r="F479" s="14">
        <v>127.0</v>
      </c>
      <c r="G479" s="14">
        <v>134.0</v>
      </c>
      <c r="H479" s="14" t="s">
        <v>28</v>
      </c>
      <c r="I479" s="19" t="s">
        <v>5340</v>
      </c>
      <c r="J479" s="19" t="s">
        <v>3545</v>
      </c>
      <c r="K479" s="19" t="s">
        <v>5341</v>
      </c>
      <c r="L479" s="19" t="s">
        <v>5185</v>
      </c>
      <c r="M479" s="20" t="s">
        <v>3547</v>
      </c>
      <c r="N479" s="27"/>
      <c r="O479" s="22">
        <v>50.0</v>
      </c>
      <c r="P479" s="28">
        <v>8.0</v>
      </c>
      <c r="Q479" s="28">
        <v>32.0</v>
      </c>
      <c r="R479" s="30"/>
      <c r="S479" s="30"/>
      <c r="T479" s="30"/>
      <c r="U479" s="30"/>
      <c r="V479" s="30"/>
      <c r="W479" s="30"/>
      <c r="X479" s="30"/>
      <c r="Y479" s="30"/>
      <c r="Z479" s="30"/>
      <c r="AA479" s="30"/>
    </row>
    <row r="480" ht="15.75" customHeight="1">
      <c r="A480" s="14" t="s">
        <v>17</v>
      </c>
      <c r="B480" s="15" t="s">
        <v>5061</v>
      </c>
      <c r="C480" s="14" t="s">
        <v>3548</v>
      </c>
      <c r="D480" s="14" t="s">
        <v>3549</v>
      </c>
      <c r="E480" s="26" t="s">
        <v>3550</v>
      </c>
      <c r="F480" s="14">
        <v>135.0</v>
      </c>
      <c r="G480" s="14">
        <v>142.0</v>
      </c>
      <c r="H480" s="14" t="s">
        <v>28</v>
      </c>
      <c r="I480" s="19" t="s">
        <v>5351</v>
      </c>
      <c r="J480" s="19" t="s">
        <v>3551</v>
      </c>
      <c r="K480" s="19" t="s">
        <v>5354</v>
      </c>
      <c r="L480" s="19" t="s">
        <v>5355</v>
      </c>
      <c r="M480" s="20" t="s">
        <v>3122</v>
      </c>
      <c r="N480" s="44" t="s">
        <v>3553</v>
      </c>
      <c r="O480" s="22">
        <v>162.0</v>
      </c>
      <c r="P480" s="28">
        <v>33.0</v>
      </c>
      <c r="Q480" s="28">
        <v>15.0</v>
      </c>
      <c r="R480" s="30"/>
      <c r="S480" s="30"/>
      <c r="T480" s="30"/>
      <c r="U480" s="30"/>
      <c r="V480" s="30"/>
      <c r="W480" s="30"/>
      <c r="X480" s="30"/>
      <c r="Y480" s="30"/>
      <c r="Z480" s="30"/>
      <c r="AA480" s="30"/>
    </row>
    <row r="481" ht="15.75" customHeight="1">
      <c r="A481" s="14" t="s">
        <v>17</v>
      </c>
      <c r="B481" s="15" t="s">
        <v>5061</v>
      </c>
      <c r="C481" s="14" t="s">
        <v>3554</v>
      </c>
      <c r="D481" s="14" t="s">
        <v>3555</v>
      </c>
      <c r="E481" s="26" t="s">
        <v>3556</v>
      </c>
      <c r="F481" s="14">
        <v>143.0</v>
      </c>
      <c r="G481" s="14">
        <v>149.0</v>
      </c>
      <c r="H481" s="14" t="s">
        <v>28</v>
      </c>
      <c r="I481" s="19" t="s">
        <v>5365</v>
      </c>
      <c r="J481" s="19" t="s">
        <v>3557</v>
      </c>
      <c r="K481" s="19" t="s">
        <v>5366</v>
      </c>
      <c r="L481" s="19" t="s">
        <v>5367</v>
      </c>
      <c r="M481" s="20"/>
      <c r="N481" s="27"/>
      <c r="O481" s="22">
        <v>68.0</v>
      </c>
      <c r="P481" s="28">
        <v>20.0</v>
      </c>
      <c r="Q481" s="28">
        <v>3.0</v>
      </c>
      <c r="R481" s="30"/>
      <c r="S481" s="30"/>
      <c r="T481" s="30"/>
      <c r="U481" s="30"/>
      <c r="V481" s="30"/>
      <c r="W481" s="30"/>
      <c r="X481" s="30"/>
      <c r="Y481" s="30"/>
      <c r="Z481" s="30"/>
      <c r="AA481" s="30"/>
    </row>
    <row r="482" ht="15.75" customHeight="1">
      <c r="A482" s="14" t="s">
        <v>17</v>
      </c>
      <c r="B482" s="15" t="s">
        <v>5061</v>
      </c>
      <c r="C482" s="14" t="s">
        <v>3559</v>
      </c>
      <c r="D482" s="14" t="s">
        <v>3560</v>
      </c>
      <c r="E482" s="26" t="s">
        <v>3561</v>
      </c>
      <c r="F482" s="14">
        <v>151.0</v>
      </c>
      <c r="G482" s="14">
        <v>158.0</v>
      </c>
      <c r="H482" s="14" t="s">
        <v>28</v>
      </c>
      <c r="I482" s="19" t="s">
        <v>5379</v>
      </c>
      <c r="J482" s="19" t="s">
        <v>3562</v>
      </c>
      <c r="K482" s="19" t="s">
        <v>5380</v>
      </c>
      <c r="L482" s="19" t="s">
        <v>5381</v>
      </c>
      <c r="M482" s="20" t="s">
        <v>3564</v>
      </c>
      <c r="N482" s="44" t="s">
        <v>3565</v>
      </c>
      <c r="O482" s="22">
        <v>24.0</v>
      </c>
      <c r="P482" s="28">
        <v>3.0</v>
      </c>
      <c r="Q482" s="28">
        <v>37.0</v>
      </c>
      <c r="R482" s="30"/>
      <c r="S482" s="30"/>
      <c r="T482" s="30"/>
      <c r="U482" s="30"/>
      <c r="V482" s="30"/>
      <c r="W482" s="30"/>
      <c r="X482" s="30"/>
      <c r="Y482" s="30"/>
      <c r="Z482" s="30"/>
      <c r="AA482" s="30"/>
    </row>
    <row r="483" ht="15.75" customHeight="1">
      <c r="A483" s="14" t="s">
        <v>17</v>
      </c>
      <c r="B483" s="15" t="s">
        <v>5061</v>
      </c>
      <c r="C483" s="14" t="s">
        <v>3566</v>
      </c>
      <c r="D483" s="14" t="s">
        <v>3567</v>
      </c>
      <c r="E483" s="26" t="s">
        <v>3568</v>
      </c>
      <c r="F483" s="14">
        <v>159.0</v>
      </c>
      <c r="G483" s="14">
        <v>166.0</v>
      </c>
      <c r="H483" s="14" t="s">
        <v>28</v>
      </c>
      <c r="I483" s="19" t="s">
        <v>5391</v>
      </c>
      <c r="J483" s="19" t="s">
        <v>1137</v>
      </c>
      <c r="K483" s="19" t="s">
        <v>1362</v>
      </c>
      <c r="L483" s="19" t="s">
        <v>5394</v>
      </c>
      <c r="M483" s="20" t="s">
        <v>3570</v>
      </c>
      <c r="N483" s="27"/>
      <c r="O483" s="22">
        <v>8.0</v>
      </c>
      <c r="P483" s="28">
        <v>7.0</v>
      </c>
      <c r="Q483" s="28">
        <v>28.0</v>
      </c>
      <c r="R483" s="30"/>
      <c r="S483" s="30"/>
      <c r="T483" s="30"/>
      <c r="U483" s="30"/>
      <c r="V483" s="30"/>
      <c r="W483" s="30"/>
      <c r="X483" s="30"/>
      <c r="Y483" s="30"/>
      <c r="Z483" s="30"/>
      <c r="AA483" s="30"/>
    </row>
    <row r="484" ht="15.75" customHeight="1">
      <c r="A484" s="14" t="s">
        <v>17</v>
      </c>
      <c r="B484" s="15" t="s">
        <v>5061</v>
      </c>
      <c r="C484" s="14" t="s">
        <v>3571</v>
      </c>
      <c r="D484" s="14" t="s">
        <v>3572</v>
      </c>
      <c r="E484" s="26" t="s">
        <v>3573</v>
      </c>
      <c r="F484" s="14">
        <v>167.0</v>
      </c>
      <c r="G484" s="14">
        <v>173.0</v>
      </c>
      <c r="H484" s="14" t="s">
        <v>28</v>
      </c>
      <c r="I484" s="19" t="s">
        <v>5397</v>
      </c>
      <c r="J484" s="19" t="s">
        <v>3574</v>
      </c>
      <c r="K484" s="19" t="s">
        <v>5398</v>
      </c>
      <c r="L484" s="19" t="s">
        <v>5399</v>
      </c>
      <c r="M484" s="20" t="s">
        <v>3576</v>
      </c>
      <c r="N484" s="44" t="s">
        <v>3577</v>
      </c>
      <c r="O484" s="22">
        <v>141.0</v>
      </c>
      <c r="P484" s="28">
        <v>95.0</v>
      </c>
      <c r="Q484" s="28">
        <v>14.0</v>
      </c>
      <c r="R484" s="30"/>
      <c r="S484" s="30"/>
      <c r="T484" s="30"/>
      <c r="U484" s="30"/>
      <c r="V484" s="30"/>
      <c r="W484" s="30"/>
      <c r="X484" s="30"/>
      <c r="Y484" s="30"/>
      <c r="Z484" s="30"/>
      <c r="AA484" s="30"/>
    </row>
    <row r="485" ht="15.75" customHeight="1">
      <c r="A485" s="14" t="s">
        <v>17</v>
      </c>
      <c r="B485" s="15" t="s">
        <v>5061</v>
      </c>
      <c r="C485" s="14" t="s">
        <v>3578</v>
      </c>
      <c r="D485" s="14" t="s">
        <v>3579</v>
      </c>
      <c r="E485" s="26" t="s">
        <v>3580</v>
      </c>
      <c r="F485" s="14">
        <v>175.0</v>
      </c>
      <c r="G485" s="14">
        <v>182.0</v>
      </c>
      <c r="H485" s="14" t="s">
        <v>28</v>
      </c>
      <c r="I485" s="19" t="s">
        <v>5404</v>
      </c>
      <c r="J485" s="19" t="s">
        <v>3581</v>
      </c>
      <c r="K485" s="19" t="s">
        <v>5405</v>
      </c>
      <c r="L485" s="19" t="s">
        <v>4210</v>
      </c>
      <c r="M485" s="20" t="s">
        <v>2387</v>
      </c>
      <c r="N485" s="44" t="s">
        <v>3582</v>
      </c>
      <c r="O485" s="22">
        <v>166.0</v>
      </c>
      <c r="P485" s="28">
        <v>27.0</v>
      </c>
      <c r="Q485" s="28">
        <v>25.0</v>
      </c>
      <c r="R485" s="30"/>
      <c r="S485" s="30"/>
      <c r="T485" s="30"/>
      <c r="U485" s="30"/>
      <c r="V485" s="30"/>
      <c r="W485" s="30"/>
      <c r="X485" s="30"/>
      <c r="Y485" s="30"/>
      <c r="Z485" s="30"/>
      <c r="AA485" s="30"/>
    </row>
    <row r="486" ht="15.75" customHeight="1">
      <c r="A486" s="14" t="s">
        <v>17</v>
      </c>
      <c r="B486" s="15" t="s">
        <v>5061</v>
      </c>
      <c r="C486" s="14" t="s">
        <v>3583</v>
      </c>
      <c r="D486" s="14" t="s">
        <v>3584</v>
      </c>
      <c r="E486" s="26" t="s">
        <v>3585</v>
      </c>
      <c r="F486" s="14">
        <v>183.0</v>
      </c>
      <c r="G486" s="14">
        <v>189.0</v>
      </c>
      <c r="H486" s="14" t="s">
        <v>28</v>
      </c>
      <c r="I486" s="19" t="s">
        <v>5414</v>
      </c>
      <c r="J486" s="19" t="s">
        <v>3586</v>
      </c>
      <c r="K486" s="19" t="s">
        <v>5415</v>
      </c>
      <c r="L486" s="19" t="s">
        <v>5416</v>
      </c>
      <c r="M486" s="20" t="s">
        <v>3588</v>
      </c>
      <c r="N486" s="44" t="s">
        <v>3589</v>
      </c>
      <c r="O486" s="22">
        <v>59.0</v>
      </c>
      <c r="P486" s="28">
        <v>8.0</v>
      </c>
      <c r="Q486" s="28">
        <v>18.0</v>
      </c>
      <c r="R486" s="30"/>
      <c r="S486" s="30"/>
      <c r="T486" s="30"/>
      <c r="U486" s="30"/>
      <c r="V486" s="30"/>
      <c r="W486" s="30"/>
      <c r="X486" s="30"/>
      <c r="Y486" s="30"/>
      <c r="Z486" s="30"/>
      <c r="AA486" s="30"/>
    </row>
    <row r="487" ht="15.75" customHeight="1">
      <c r="A487" s="14" t="s">
        <v>17</v>
      </c>
      <c r="B487" s="15" t="s">
        <v>5061</v>
      </c>
      <c r="C487" s="14" t="s">
        <v>3590</v>
      </c>
      <c r="D487" s="14" t="s">
        <v>3591</v>
      </c>
      <c r="E487" s="26" t="s">
        <v>3592</v>
      </c>
      <c r="F487" s="14">
        <v>191.0</v>
      </c>
      <c r="G487" s="14">
        <v>196.0</v>
      </c>
      <c r="H487" s="14" t="s">
        <v>28</v>
      </c>
      <c r="I487" s="19" t="s">
        <v>5421</v>
      </c>
      <c r="J487" s="19" t="s">
        <v>3593</v>
      </c>
      <c r="K487" s="19" t="s">
        <v>5422</v>
      </c>
      <c r="L487" s="19" t="s">
        <v>5423</v>
      </c>
      <c r="M487" s="20" t="s">
        <v>174</v>
      </c>
      <c r="N487" s="44" t="s">
        <v>3595</v>
      </c>
      <c r="O487" s="22">
        <v>55.0</v>
      </c>
      <c r="P487" s="28">
        <v>7.0</v>
      </c>
      <c r="Q487" s="28">
        <v>17.0</v>
      </c>
      <c r="R487" s="30"/>
      <c r="S487" s="30"/>
      <c r="T487" s="30"/>
      <c r="U487" s="30"/>
      <c r="V487" s="30"/>
      <c r="W487" s="30"/>
      <c r="X487" s="30"/>
      <c r="Y487" s="30"/>
      <c r="Z487" s="30"/>
      <c r="AA487" s="30"/>
    </row>
    <row r="488" ht="15.75" customHeight="1">
      <c r="A488" s="14" t="s">
        <v>17</v>
      </c>
      <c r="B488" s="15" t="s">
        <v>5061</v>
      </c>
      <c r="C488" s="14" t="s">
        <v>3596</v>
      </c>
      <c r="D488" s="14" t="s">
        <v>3597</v>
      </c>
      <c r="E488" s="26" t="s">
        <v>3598</v>
      </c>
      <c r="F488" s="14">
        <v>197.0</v>
      </c>
      <c r="G488" s="14">
        <v>204.0</v>
      </c>
      <c r="H488" s="14" t="s">
        <v>28</v>
      </c>
      <c r="I488" s="19" t="s">
        <v>5430</v>
      </c>
      <c r="J488" s="19" t="s">
        <v>5431</v>
      </c>
      <c r="K488" s="19" t="s">
        <v>5432</v>
      </c>
      <c r="L488" s="19" t="s">
        <v>5434</v>
      </c>
      <c r="M488" s="20" t="s">
        <v>3601</v>
      </c>
      <c r="N488" s="44" t="s">
        <v>3602</v>
      </c>
      <c r="O488" s="22">
        <v>64.0</v>
      </c>
      <c r="P488" s="28">
        <v>16.0</v>
      </c>
      <c r="Q488" s="28">
        <v>26.0</v>
      </c>
      <c r="R488" s="29" t="s">
        <v>106</v>
      </c>
      <c r="S488" s="30"/>
      <c r="T488" s="30"/>
      <c r="U488" s="30"/>
      <c r="V488" s="30"/>
      <c r="W488" s="30"/>
      <c r="X488" s="30"/>
      <c r="Y488" s="30"/>
      <c r="Z488" s="30"/>
      <c r="AA488" s="30"/>
    </row>
    <row r="489" ht="15.75" customHeight="1">
      <c r="A489" s="14" t="s">
        <v>17</v>
      </c>
      <c r="B489" s="15" t="s">
        <v>5061</v>
      </c>
      <c r="C489" s="14" t="s">
        <v>3603</v>
      </c>
      <c r="D489" s="14" t="s">
        <v>3604</v>
      </c>
      <c r="E489" s="26" t="s">
        <v>3605</v>
      </c>
      <c r="F489" s="14">
        <v>205.0</v>
      </c>
      <c r="G489" s="14">
        <v>212.0</v>
      </c>
      <c r="H489" s="14" t="s">
        <v>28</v>
      </c>
      <c r="I489" s="19" t="s">
        <v>5442</v>
      </c>
      <c r="J489" s="19" t="s">
        <v>3606</v>
      </c>
      <c r="K489" s="19" t="s">
        <v>5443</v>
      </c>
      <c r="L489" s="18"/>
      <c r="M489" s="20" t="s">
        <v>3607</v>
      </c>
      <c r="N489" s="27"/>
      <c r="O489" s="22">
        <v>165.0</v>
      </c>
      <c r="P489" s="28">
        <v>35.0</v>
      </c>
      <c r="Q489" s="28">
        <v>12.0</v>
      </c>
      <c r="R489" s="30"/>
      <c r="S489" s="30"/>
      <c r="T489" s="30"/>
      <c r="U489" s="30"/>
      <c r="V489" s="30"/>
      <c r="W489" s="30"/>
      <c r="X489" s="30"/>
      <c r="Y489" s="30"/>
      <c r="Z489" s="30"/>
      <c r="AA489" s="30"/>
    </row>
    <row r="490" ht="15.75" customHeight="1">
      <c r="A490" s="14" t="s">
        <v>17</v>
      </c>
      <c r="B490" s="15" t="s">
        <v>5061</v>
      </c>
      <c r="C490" s="14" t="s">
        <v>3608</v>
      </c>
      <c r="D490" s="14" t="s">
        <v>3609</v>
      </c>
      <c r="E490" s="26" t="s">
        <v>3610</v>
      </c>
      <c r="F490" s="14">
        <v>213.0</v>
      </c>
      <c r="G490" s="14">
        <v>219.0</v>
      </c>
      <c r="H490" s="14" t="s">
        <v>28</v>
      </c>
      <c r="I490" s="19" t="s">
        <v>5450</v>
      </c>
      <c r="J490" s="19" t="s">
        <v>3611</v>
      </c>
      <c r="K490" s="19" t="s">
        <v>5451</v>
      </c>
      <c r="L490" s="19" t="s">
        <v>4119</v>
      </c>
      <c r="M490" s="20" t="s">
        <v>3613</v>
      </c>
      <c r="N490" s="44" t="s">
        <v>3614</v>
      </c>
      <c r="O490" s="22">
        <v>50.0</v>
      </c>
      <c r="P490" s="28">
        <v>8.0</v>
      </c>
      <c r="Q490" s="28">
        <v>11.0</v>
      </c>
      <c r="R490" s="30"/>
      <c r="S490" s="30"/>
      <c r="T490" s="30"/>
      <c r="U490" s="30"/>
      <c r="V490" s="30"/>
      <c r="W490" s="30"/>
      <c r="X490" s="30"/>
      <c r="Y490" s="30"/>
      <c r="Z490" s="30"/>
      <c r="AA490" s="30"/>
    </row>
    <row r="491" ht="15.75" customHeight="1">
      <c r="A491" s="14" t="s">
        <v>17</v>
      </c>
      <c r="B491" s="15" t="s">
        <v>5061</v>
      </c>
      <c r="C491" s="14" t="s">
        <v>3615</v>
      </c>
      <c r="D491" s="14" t="s">
        <v>3616</v>
      </c>
      <c r="E491" s="26" t="s">
        <v>3617</v>
      </c>
      <c r="F491" s="14">
        <v>221.0</v>
      </c>
      <c r="G491" s="14">
        <v>228.0</v>
      </c>
      <c r="H491" s="14" t="s">
        <v>28</v>
      </c>
      <c r="I491" s="19" t="s">
        <v>5463</v>
      </c>
      <c r="J491" s="19" t="s">
        <v>3618</v>
      </c>
      <c r="K491" s="19" t="s">
        <v>5464</v>
      </c>
      <c r="L491" s="19" t="s">
        <v>483</v>
      </c>
      <c r="M491" s="20" t="s">
        <v>3619</v>
      </c>
      <c r="N491" s="27"/>
      <c r="O491" s="22">
        <v>99.0</v>
      </c>
      <c r="P491" s="28">
        <v>25.0</v>
      </c>
      <c r="Q491" s="28">
        <v>6.0</v>
      </c>
      <c r="R491" s="30"/>
      <c r="S491" s="30"/>
      <c r="T491" s="30"/>
      <c r="U491" s="30"/>
      <c r="V491" s="30"/>
      <c r="W491" s="30"/>
      <c r="X491" s="30"/>
      <c r="Y491" s="30"/>
      <c r="Z491" s="30"/>
      <c r="AA491" s="30"/>
    </row>
    <row r="492" ht="15.75" customHeight="1">
      <c r="A492" s="14" t="s">
        <v>17</v>
      </c>
      <c r="B492" s="15" t="s">
        <v>5061</v>
      </c>
      <c r="C492" s="14" t="s">
        <v>3620</v>
      </c>
      <c r="D492" s="14" t="s">
        <v>3621</v>
      </c>
      <c r="E492" s="26" t="s">
        <v>3622</v>
      </c>
      <c r="F492" s="14">
        <v>229.0</v>
      </c>
      <c r="G492" s="14">
        <v>233.0</v>
      </c>
      <c r="H492" s="14" t="s">
        <v>28</v>
      </c>
      <c r="I492" s="19" t="s">
        <v>5474</v>
      </c>
      <c r="J492" s="19" t="s">
        <v>3623</v>
      </c>
      <c r="K492" s="19" t="s">
        <v>5476</v>
      </c>
      <c r="L492" s="19" t="s">
        <v>5367</v>
      </c>
      <c r="M492" s="20" t="s">
        <v>536</v>
      </c>
      <c r="N492" s="27"/>
      <c r="O492" s="22">
        <v>59.0</v>
      </c>
      <c r="P492" s="28">
        <v>20.0</v>
      </c>
      <c r="Q492" s="28">
        <v>5.0</v>
      </c>
      <c r="R492" s="30"/>
      <c r="S492" s="30"/>
      <c r="T492" s="30"/>
      <c r="U492" s="30"/>
      <c r="V492" s="30"/>
      <c r="W492" s="30"/>
      <c r="X492" s="30"/>
      <c r="Y492" s="30"/>
      <c r="Z492" s="30"/>
      <c r="AA492" s="30"/>
    </row>
    <row r="493" ht="15.75" customHeight="1">
      <c r="A493" s="14" t="s">
        <v>17</v>
      </c>
      <c r="B493" s="15" t="s">
        <v>5061</v>
      </c>
      <c r="C493" s="14" t="s">
        <v>3625</v>
      </c>
      <c r="D493" s="14" t="s">
        <v>3626</v>
      </c>
      <c r="E493" s="26" t="s">
        <v>3627</v>
      </c>
      <c r="F493" s="14">
        <v>235.0</v>
      </c>
      <c r="G493" s="14">
        <v>244.0</v>
      </c>
      <c r="H493" s="14" t="s">
        <v>28</v>
      </c>
      <c r="I493" s="19" t="s">
        <v>5483</v>
      </c>
      <c r="J493" s="19" t="s">
        <v>3628</v>
      </c>
      <c r="K493" s="19" t="s">
        <v>5484</v>
      </c>
      <c r="L493" s="19" t="s">
        <v>1298</v>
      </c>
      <c r="M493" s="20" t="s">
        <v>3629</v>
      </c>
      <c r="N493" s="44" t="s">
        <v>3630</v>
      </c>
      <c r="O493" s="22">
        <v>85.0</v>
      </c>
      <c r="P493" s="28">
        <v>89.0</v>
      </c>
      <c r="Q493" s="28">
        <v>28.0</v>
      </c>
      <c r="R493" s="30"/>
      <c r="S493" s="30"/>
      <c r="T493" s="30"/>
      <c r="U493" s="30"/>
      <c r="V493" s="30"/>
      <c r="W493" s="30"/>
      <c r="X493" s="30"/>
      <c r="Y493" s="30"/>
      <c r="Z493" s="30"/>
      <c r="AA493" s="30"/>
    </row>
    <row r="494" ht="15.75" customHeight="1">
      <c r="A494" s="14" t="s">
        <v>17</v>
      </c>
      <c r="B494" s="15" t="s">
        <v>5061</v>
      </c>
      <c r="C494" s="14" t="s">
        <v>3631</v>
      </c>
      <c r="D494" s="14" t="s">
        <v>3632</v>
      </c>
      <c r="E494" s="26" t="s">
        <v>3633</v>
      </c>
      <c r="F494" s="14">
        <v>245.0</v>
      </c>
      <c r="G494" s="14">
        <v>252.0</v>
      </c>
      <c r="H494" s="14" t="s">
        <v>28</v>
      </c>
      <c r="I494" s="19" t="s">
        <v>5490</v>
      </c>
      <c r="J494" s="19" t="s">
        <v>3634</v>
      </c>
      <c r="K494" s="19" t="s">
        <v>5492</v>
      </c>
      <c r="L494" s="19" t="s">
        <v>3939</v>
      </c>
      <c r="M494" s="20" t="s">
        <v>3636</v>
      </c>
      <c r="N494" s="44" t="s">
        <v>3637</v>
      </c>
      <c r="O494" s="22">
        <v>50.0</v>
      </c>
      <c r="P494" s="28">
        <v>3.0</v>
      </c>
      <c r="Q494" s="28">
        <v>32.0</v>
      </c>
      <c r="R494" s="30"/>
      <c r="S494" s="30"/>
      <c r="T494" s="30"/>
      <c r="U494" s="30"/>
      <c r="V494" s="30"/>
      <c r="W494" s="30"/>
      <c r="X494" s="30"/>
      <c r="Y494" s="30"/>
      <c r="Z494" s="30"/>
      <c r="AA494" s="30"/>
    </row>
    <row r="495" ht="15.75" customHeight="1">
      <c r="A495" s="14" t="s">
        <v>17</v>
      </c>
      <c r="B495" s="15" t="s">
        <v>5061</v>
      </c>
      <c r="C495" s="14" t="s">
        <v>3638</v>
      </c>
      <c r="D495" s="14" t="s">
        <v>3639</v>
      </c>
      <c r="E495" s="26" t="s">
        <v>3640</v>
      </c>
      <c r="F495" s="14">
        <v>253.0</v>
      </c>
      <c r="G495" s="14">
        <v>259.0</v>
      </c>
      <c r="H495" s="14" t="s">
        <v>28</v>
      </c>
      <c r="I495" s="19" t="s">
        <v>5502</v>
      </c>
      <c r="J495" s="19" t="s">
        <v>3641</v>
      </c>
      <c r="K495" s="19" t="s">
        <v>5503</v>
      </c>
      <c r="L495" s="19" t="s">
        <v>5504</v>
      </c>
      <c r="M495" s="20" t="s">
        <v>2539</v>
      </c>
      <c r="N495" s="27"/>
      <c r="O495" s="22">
        <v>178.0</v>
      </c>
      <c r="P495" s="28">
        <v>21.0</v>
      </c>
      <c r="Q495" s="28">
        <v>13.0</v>
      </c>
      <c r="R495" s="30"/>
      <c r="S495" s="30"/>
      <c r="T495" s="30"/>
      <c r="U495" s="30"/>
      <c r="V495" s="30"/>
      <c r="W495" s="30"/>
      <c r="X495" s="30"/>
      <c r="Y495" s="30"/>
      <c r="Z495" s="30"/>
      <c r="AA495" s="30"/>
    </row>
    <row r="496" ht="15.75" customHeight="1">
      <c r="A496" s="14" t="s">
        <v>17</v>
      </c>
      <c r="B496" s="15" t="s">
        <v>5061</v>
      </c>
      <c r="C496" s="14" t="s">
        <v>3643</v>
      </c>
      <c r="D496" s="14" t="s">
        <v>3644</v>
      </c>
      <c r="E496" s="26" t="s">
        <v>3645</v>
      </c>
      <c r="F496" s="14">
        <v>261.0</v>
      </c>
      <c r="G496" s="14">
        <v>267.0</v>
      </c>
      <c r="H496" s="14" t="s">
        <v>28</v>
      </c>
      <c r="I496" s="19" t="s">
        <v>5511</v>
      </c>
      <c r="J496" s="19" t="s">
        <v>3646</v>
      </c>
      <c r="K496" s="19" t="s">
        <v>5512</v>
      </c>
      <c r="L496" s="19" t="s">
        <v>5514</v>
      </c>
      <c r="M496" s="20" t="s">
        <v>38</v>
      </c>
      <c r="N496" s="27"/>
      <c r="O496" s="22">
        <v>54.0</v>
      </c>
      <c r="P496" s="28">
        <v>9.0</v>
      </c>
      <c r="Q496" s="28">
        <v>6.0</v>
      </c>
      <c r="R496" s="30"/>
      <c r="S496" s="30"/>
      <c r="T496" s="30"/>
      <c r="U496" s="30"/>
      <c r="V496" s="30"/>
      <c r="W496" s="30"/>
      <c r="X496" s="30"/>
      <c r="Y496" s="30"/>
      <c r="Z496" s="30"/>
      <c r="AA496" s="30"/>
    </row>
    <row r="497" ht="15.75" customHeight="1">
      <c r="A497" s="14" t="s">
        <v>17</v>
      </c>
      <c r="B497" s="15" t="s">
        <v>5061</v>
      </c>
      <c r="C497" s="14" t="s">
        <v>3648</v>
      </c>
      <c r="D497" s="14" t="s">
        <v>3649</v>
      </c>
      <c r="E497" s="26" t="s">
        <v>3650</v>
      </c>
      <c r="F497" s="14">
        <v>269.0</v>
      </c>
      <c r="G497" s="14">
        <v>275.0</v>
      </c>
      <c r="H497" s="14" t="s">
        <v>28</v>
      </c>
      <c r="I497" s="19" t="s">
        <v>5527</v>
      </c>
      <c r="J497" s="19" t="s">
        <v>5528</v>
      </c>
      <c r="K497" s="19" t="s">
        <v>5529</v>
      </c>
      <c r="L497" s="19" t="s">
        <v>5530</v>
      </c>
      <c r="M497" s="20"/>
      <c r="N497" s="44" t="s">
        <v>3653</v>
      </c>
      <c r="O497" s="22">
        <v>50.0</v>
      </c>
      <c r="P497" s="28">
        <v>0.0</v>
      </c>
      <c r="Q497" s="28">
        <v>16.0</v>
      </c>
      <c r="R497" s="30"/>
      <c r="S497" s="30"/>
      <c r="T497" s="30"/>
      <c r="U497" s="30"/>
      <c r="V497" s="30"/>
      <c r="W497" s="30"/>
      <c r="X497" s="30"/>
      <c r="Y497" s="30"/>
      <c r="Z497" s="30"/>
      <c r="AA497" s="30"/>
    </row>
    <row r="498" ht="15.75" customHeight="1">
      <c r="A498" s="14" t="s">
        <v>17</v>
      </c>
      <c r="B498" s="15" t="s">
        <v>5061</v>
      </c>
      <c r="C498" s="14" t="s">
        <v>3654</v>
      </c>
      <c r="D498" s="14" t="s">
        <v>3655</v>
      </c>
      <c r="E498" s="26" t="s">
        <v>3656</v>
      </c>
      <c r="F498" s="14">
        <v>277.0</v>
      </c>
      <c r="G498" s="14">
        <v>283.0</v>
      </c>
      <c r="H498" s="14" t="s">
        <v>28</v>
      </c>
      <c r="I498" s="19" t="s">
        <v>5538</v>
      </c>
      <c r="J498" s="19" t="s">
        <v>3657</v>
      </c>
      <c r="K498" s="19" t="s">
        <v>5539</v>
      </c>
      <c r="L498" s="19" t="s">
        <v>5156</v>
      </c>
      <c r="M498" s="20"/>
      <c r="N498" s="44" t="s">
        <v>3658</v>
      </c>
      <c r="O498" s="31"/>
      <c r="P498" s="28">
        <v>41.0</v>
      </c>
      <c r="Q498" s="28">
        <v>26.0</v>
      </c>
      <c r="R498" s="30"/>
      <c r="S498" s="30"/>
      <c r="T498" s="30"/>
      <c r="U498" s="30"/>
      <c r="V498" s="30"/>
      <c r="W498" s="30"/>
      <c r="X498" s="30"/>
      <c r="Y498" s="30"/>
      <c r="Z498" s="30"/>
      <c r="AA498" s="30"/>
    </row>
    <row r="499" ht="15.75" customHeight="1">
      <c r="A499" s="14" t="s">
        <v>17</v>
      </c>
      <c r="B499" s="15" t="s">
        <v>5061</v>
      </c>
      <c r="C499" s="14" t="s">
        <v>3659</v>
      </c>
      <c r="D499" s="14" t="s">
        <v>3660</v>
      </c>
      <c r="E499" s="26" t="s">
        <v>3661</v>
      </c>
      <c r="F499" s="14">
        <v>285.0</v>
      </c>
      <c r="G499" s="14">
        <v>292.0</v>
      </c>
      <c r="H499" s="14" t="s">
        <v>28</v>
      </c>
      <c r="I499" s="19" t="s">
        <v>5545</v>
      </c>
      <c r="J499" s="19" t="s">
        <v>3662</v>
      </c>
      <c r="K499" s="19" t="s">
        <v>5546</v>
      </c>
      <c r="L499" s="19" t="s">
        <v>3033</v>
      </c>
      <c r="M499" s="20" t="s">
        <v>2313</v>
      </c>
      <c r="N499" s="27"/>
      <c r="O499" s="22">
        <v>51.0</v>
      </c>
      <c r="P499" s="28">
        <v>4.0</v>
      </c>
      <c r="Q499" s="28">
        <v>26.0</v>
      </c>
      <c r="R499" s="30"/>
      <c r="S499" s="30"/>
      <c r="T499" s="30"/>
      <c r="U499" s="30"/>
      <c r="V499" s="30"/>
      <c r="W499" s="30"/>
      <c r="X499" s="30"/>
      <c r="Y499" s="30"/>
      <c r="Z499" s="30"/>
      <c r="AA499" s="30"/>
    </row>
    <row r="500" ht="15.75" customHeight="1">
      <c r="A500" s="14" t="s">
        <v>17</v>
      </c>
      <c r="B500" s="15" t="s">
        <v>5061</v>
      </c>
      <c r="C500" s="14" t="s">
        <v>3663</v>
      </c>
      <c r="D500" s="14" t="s">
        <v>3664</v>
      </c>
      <c r="E500" s="26" t="s">
        <v>3665</v>
      </c>
      <c r="F500" s="14">
        <v>293.0</v>
      </c>
      <c r="G500" s="14">
        <v>300.0</v>
      </c>
      <c r="H500" s="14" t="s">
        <v>28</v>
      </c>
      <c r="I500" s="19" t="s">
        <v>5553</v>
      </c>
      <c r="J500" s="19" t="s">
        <v>5554</v>
      </c>
      <c r="K500" s="19" t="s">
        <v>5555</v>
      </c>
      <c r="L500" s="19" t="s">
        <v>4752</v>
      </c>
      <c r="M500" s="20" t="s">
        <v>3667</v>
      </c>
      <c r="N500" s="27"/>
      <c r="O500" s="43">
        <v>40.0</v>
      </c>
      <c r="P500" s="28">
        <v>17.0</v>
      </c>
      <c r="Q500" s="28">
        <v>20.0</v>
      </c>
      <c r="R500" s="30"/>
      <c r="S500" s="30"/>
      <c r="T500" s="30"/>
      <c r="U500" s="30"/>
      <c r="V500" s="30"/>
      <c r="W500" s="30"/>
      <c r="X500" s="30"/>
      <c r="Y500" s="30"/>
      <c r="Z500" s="30"/>
      <c r="AA500" s="30"/>
    </row>
    <row r="501" ht="15.75" customHeight="1">
      <c r="A501" s="14" t="s">
        <v>17</v>
      </c>
      <c r="B501" s="15" t="s">
        <v>5061</v>
      </c>
      <c r="C501" s="14" t="s">
        <v>3668</v>
      </c>
      <c r="D501" s="14" t="s">
        <v>3669</v>
      </c>
      <c r="E501" s="26" t="s">
        <v>3670</v>
      </c>
      <c r="F501" s="14">
        <v>301.0</v>
      </c>
      <c r="G501" s="14">
        <v>308.0</v>
      </c>
      <c r="H501" s="14" t="s">
        <v>28</v>
      </c>
      <c r="I501" s="19" t="s">
        <v>5562</v>
      </c>
      <c r="J501" s="19" t="s">
        <v>3671</v>
      </c>
      <c r="K501" s="19" t="s">
        <v>5563</v>
      </c>
      <c r="L501" s="19" t="s">
        <v>5564</v>
      </c>
      <c r="M501" s="20" t="s">
        <v>3673</v>
      </c>
      <c r="N501" s="27"/>
      <c r="O501" s="22">
        <v>13.0</v>
      </c>
      <c r="P501" s="28">
        <v>1.0</v>
      </c>
      <c r="Q501" s="28">
        <v>9.0</v>
      </c>
      <c r="R501" s="30"/>
      <c r="S501" s="30"/>
      <c r="T501" s="30"/>
      <c r="U501" s="30"/>
      <c r="V501" s="30"/>
      <c r="W501" s="30"/>
      <c r="X501" s="30"/>
      <c r="Y501" s="30"/>
      <c r="Z501" s="30"/>
      <c r="AA501" s="30"/>
    </row>
    <row r="502" ht="15.75" customHeight="1">
      <c r="A502" s="14" t="s">
        <v>17</v>
      </c>
      <c r="B502" s="15" t="s">
        <v>5061</v>
      </c>
      <c r="C502" s="14" t="s">
        <v>3674</v>
      </c>
      <c r="D502" s="14" t="s">
        <v>3675</v>
      </c>
      <c r="E502" s="26" t="s">
        <v>3676</v>
      </c>
      <c r="F502" s="14">
        <v>309.0</v>
      </c>
      <c r="G502" s="14">
        <v>316.0</v>
      </c>
      <c r="H502" s="14" t="s">
        <v>28</v>
      </c>
      <c r="I502" s="19" t="s">
        <v>5571</v>
      </c>
      <c r="J502" s="19" t="s">
        <v>5572</v>
      </c>
      <c r="K502" s="19" t="s">
        <v>5573</v>
      </c>
      <c r="L502" s="19" t="s">
        <v>5327</v>
      </c>
      <c r="M502" s="20" t="s">
        <v>3679</v>
      </c>
      <c r="N502" s="27"/>
      <c r="O502" s="22">
        <v>84.0</v>
      </c>
      <c r="P502" s="28">
        <v>15.0</v>
      </c>
      <c r="Q502" s="28">
        <v>18.0</v>
      </c>
      <c r="R502" s="30"/>
      <c r="S502" s="30"/>
      <c r="T502" s="30"/>
      <c r="U502" s="30"/>
      <c r="V502" s="30"/>
      <c r="W502" s="30"/>
      <c r="X502" s="30"/>
      <c r="Y502" s="30"/>
      <c r="Z502" s="30"/>
      <c r="AA502" s="30"/>
    </row>
    <row r="503" ht="15.75" customHeight="1">
      <c r="A503" s="14" t="s">
        <v>17</v>
      </c>
      <c r="B503" s="15" t="s">
        <v>5061</v>
      </c>
      <c r="C503" s="14" t="s">
        <v>3680</v>
      </c>
      <c r="D503" s="14" t="s">
        <v>3681</v>
      </c>
      <c r="E503" s="26" t="s">
        <v>3682</v>
      </c>
      <c r="F503" s="14">
        <v>317.0</v>
      </c>
      <c r="G503" s="14">
        <v>322.0</v>
      </c>
      <c r="H503" s="14" t="s">
        <v>28</v>
      </c>
      <c r="I503" s="19" t="s">
        <v>5586</v>
      </c>
      <c r="J503" s="19" t="s">
        <v>3683</v>
      </c>
      <c r="K503" s="19" t="s">
        <v>5587</v>
      </c>
      <c r="L503" s="19" t="s">
        <v>1298</v>
      </c>
      <c r="M503" s="20" t="s">
        <v>3684</v>
      </c>
      <c r="N503" s="44" t="s">
        <v>3658</v>
      </c>
      <c r="O503" s="22">
        <v>131.0</v>
      </c>
      <c r="P503" s="28">
        <v>18.0</v>
      </c>
      <c r="Q503" s="28">
        <v>10.0</v>
      </c>
      <c r="R503" s="30"/>
      <c r="S503" s="30"/>
      <c r="T503" s="30"/>
      <c r="U503" s="30"/>
      <c r="V503" s="30"/>
      <c r="W503" s="30"/>
      <c r="X503" s="30"/>
      <c r="Y503" s="30"/>
      <c r="Z503" s="30"/>
      <c r="AA503" s="30"/>
    </row>
    <row r="504" ht="15.75" customHeight="1">
      <c r="A504" s="14" t="s">
        <v>17</v>
      </c>
      <c r="B504" s="15" t="s">
        <v>5061</v>
      </c>
      <c r="C504" s="14" t="s">
        <v>3685</v>
      </c>
      <c r="D504" s="14" t="s">
        <v>3686</v>
      </c>
      <c r="E504" s="26" t="s">
        <v>3687</v>
      </c>
      <c r="F504" s="14">
        <v>323.0</v>
      </c>
      <c r="G504" s="14">
        <v>328.0</v>
      </c>
      <c r="H504" s="14" t="s">
        <v>28</v>
      </c>
      <c r="I504" s="19" t="s">
        <v>5599</v>
      </c>
      <c r="J504" s="19" t="s">
        <v>3688</v>
      </c>
      <c r="K504" s="19" t="s">
        <v>5600</v>
      </c>
      <c r="L504" s="19" t="s">
        <v>5601</v>
      </c>
      <c r="M504" s="20" t="s">
        <v>1926</v>
      </c>
      <c r="N504" s="27"/>
      <c r="O504" s="22">
        <v>77.0</v>
      </c>
      <c r="P504" s="28">
        <v>11.0</v>
      </c>
      <c r="Q504" s="28">
        <v>12.0</v>
      </c>
      <c r="R504" s="30"/>
      <c r="S504" s="30"/>
      <c r="T504" s="30"/>
      <c r="U504" s="30"/>
      <c r="V504" s="30"/>
      <c r="W504" s="30"/>
      <c r="X504" s="30"/>
      <c r="Y504" s="30"/>
      <c r="Z504" s="30"/>
      <c r="AA504" s="30"/>
    </row>
    <row r="505" ht="15.75" customHeight="1">
      <c r="A505" s="14" t="s">
        <v>17</v>
      </c>
      <c r="B505" s="15" t="s">
        <v>5061</v>
      </c>
      <c r="C505" s="14" t="s">
        <v>3690</v>
      </c>
      <c r="D505" s="14" t="s">
        <v>3691</v>
      </c>
      <c r="E505" s="26" t="s">
        <v>3692</v>
      </c>
      <c r="F505" s="14">
        <v>329.0</v>
      </c>
      <c r="G505" s="14">
        <v>336.0</v>
      </c>
      <c r="H505" s="14" t="s">
        <v>28</v>
      </c>
      <c r="I505" s="19" t="s">
        <v>5607</v>
      </c>
      <c r="J505" s="19" t="s">
        <v>3693</v>
      </c>
      <c r="K505" s="19" t="s">
        <v>5610</v>
      </c>
      <c r="L505" s="19" t="s">
        <v>5355</v>
      </c>
      <c r="M505" s="20" t="s">
        <v>1340</v>
      </c>
      <c r="N505" s="44" t="s">
        <v>3695</v>
      </c>
      <c r="O505" s="22">
        <v>63.0</v>
      </c>
      <c r="P505" s="28">
        <v>3.0</v>
      </c>
      <c r="Q505" s="28">
        <v>16.0</v>
      </c>
      <c r="R505" s="30"/>
      <c r="S505" s="30"/>
      <c r="T505" s="30"/>
      <c r="U505" s="30"/>
      <c r="V505" s="30"/>
      <c r="W505" s="30"/>
      <c r="X505" s="30"/>
      <c r="Y505" s="30"/>
      <c r="Z505" s="30"/>
      <c r="AA505" s="30"/>
    </row>
    <row r="506" ht="15.75" customHeight="1">
      <c r="A506" s="14" t="s">
        <v>17</v>
      </c>
      <c r="B506" s="15" t="s">
        <v>5061</v>
      </c>
      <c r="C506" s="14" t="s">
        <v>3696</v>
      </c>
      <c r="D506" s="14" t="s">
        <v>3697</v>
      </c>
      <c r="E506" s="26" t="s">
        <v>3698</v>
      </c>
      <c r="F506" s="14">
        <v>337.0</v>
      </c>
      <c r="G506" s="14">
        <v>346.0</v>
      </c>
      <c r="H506" s="14" t="s">
        <v>28</v>
      </c>
      <c r="I506" s="19" t="s">
        <v>5619</v>
      </c>
      <c r="J506" s="19" t="s">
        <v>3699</v>
      </c>
      <c r="K506" s="19" t="s">
        <v>5620</v>
      </c>
      <c r="L506" s="19" t="s">
        <v>5621</v>
      </c>
      <c r="M506" s="20"/>
      <c r="N506" s="44" t="s">
        <v>3700</v>
      </c>
      <c r="O506" s="22">
        <v>46.0</v>
      </c>
      <c r="P506" s="28">
        <v>10.0</v>
      </c>
      <c r="Q506" s="28">
        <v>24.0</v>
      </c>
      <c r="R506" s="30"/>
      <c r="S506" s="30"/>
      <c r="T506" s="30"/>
      <c r="U506" s="30"/>
      <c r="V506" s="30"/>
      <c r="W506" s="30"/>
      <c r="X506" s="30"/>
      <c r="Y506" s="30"/>
      <c r="Z506" s="30"/>
      <c r="AA506" s="30"/>
    </row>
    <row r="507" ht="15.75" customHeight="1">
      <c r="A507" s="14" t="s">
        <v>17</v>
      </c>
      <c r="B507" s="15" t="s">
        <v>5061</v>
      </c>
      <c r="C507" s="14" t="s">
        <v>3701</v>
      </c>
      <c r="D507" s="14" t="s">
        <v>3702</v>
      </c>
      <c r="E507" s="26" t="s">
        <v>3703</v>
      </c>
      <c r="F507" s="14">
        <v>347.0</v>
      </c>
      <c r="G507" s="14">
        <v>354.0</v>
      </c>
      <c r="H507" s="14" t="s">
        <v>28</v>
      </c>
      <c r="I507" s="19" t="s">
        <v>5628</v>
      </c>
      <c r="J507" s="19" t="s">
        <v>3704</v>
      </c>
      <c r="K507" s="19" t="s">
        <v>5629</v>
      </c>
      <c r="L507" s="19" t="s">
        <v>5630</v>
      </c>
      <c r="M507" s="20" t="s">
        <v>3112</v>
      </c>
      <c r="N507" s="27"/>
      <c r="O507" s="22">
        <v>210.0</v>
      </c>
      <c r="P507" s="28">
        <v>51.0</v>
      </c>
      <c r="Q507" s="28">
        <v>11.0</v>
      </c>
      <c r="R507" s="30"/>
      <c r="S507" s="30"/>
      <c r="T507" s="30"/>
      <c r="U507" s="30"/>
      <c r="V507" s="30"/>
      <c r="W507" s="30"/>
      <c r="X507" s="30"/>
      <c r="Y507" s="30"/>
      <c r="Z507" s="30"/>
      <c r="AA507" s="30"/>
    </row>
    <row r="508" ht="15.75" customHeight="1">
      <c r="A508" s="14" t="s">
        <v>17</v>
      </c>
      <c r="B508" s="15" t="s">
        <v>5061</v>
      </c>
      <c r="C508" s="14" t="s">
        <v>3706</v>
      </c>
      <c r="D508" s="14" t="s">
        <v>3707</v>
      </c>
      <c r="E508" s="26" t="s">
        <v>3708</v>
      </c>
      <c r="F508" s="14">
        <v>355.0</v>
      </c>
      <c r="G508" s="14">
        <v>362.0</v>
      </c>
      <c r="H508" s="14" t="s">
        <v>28</v>
      </c>
      <c r="I508" s="19" t="s">
        <v>5631</v>
      </c>
      <c r="J508" s="19" t="s">
        <v>3709</v>
      </c>
      <c r="K508" s="19" t="s">
        <v>5632</v>
      </c>
      <c r="L508" s="19" t="s">
        <v>1363</v>
      </c>
      <c r="M508" s="20" t="s">
        <v>2908</v>
      </c>
      <c r="N508" s="44" t="s">
        <v>3710</v>
      </c>
      <c r="O508" s="22">
        <v>109.0</v>
      </c>
      <c r="P508" s="28">
        <v>16.0</v>
      </c>
      <c r="Q508" s="28">
        <v>13.0</v>
      </c>
      <c r="R508" s="30"/>
      <c r="S508" s="30"/>
      <c r="T508" s="30"/>
      <c r="U508" s="30"/>
      <c r="V508" s="30"/>
      <c r="W508" s="30"/>
      <c r="X508" s="30"/>
      <c r="Y508" s="30"/>
      <c r="Z508" s="30"/>
      <c r="AA508" s="30"/>
    </row>
    <row r="509" ht="15.75" customHeight="1">
      <c r="A509" s="14" t="s">
        <v>17</v>
      </c>
      <c r="B509" s="15" t="s">
        <v>5061</v>
      </c>
      <c r="C509" s="14" t="s">
        <v>3711</v>
      </c>
      <c r="D509" s="14" t="s">
        <v>3712</v>
      </c>
      <c r="E509" s="26" t="s">
        <v>3713</v>
      </c>
      <c r="F509" s="14">
        <v>363.0</v>
      </c>
      <c r="G509" s="14">
        <v>370.0</v>
      </c>
      <c r="H509" s="14" t="s">
        <v>28</v>
      </c>
      <c r="I509" s="19" t="s">
        <v>5633</v>
      </c>
      <c r="J509" s="19" t="s">
        <v>3714</v>
      </c>
      <c r="K509" s="19" t="s">
        <v>5634</v>
      </c>
      <c r="L509" s="19" t="s">
        <v>5635</v>
      </c>
      <c r="M509" s="20"/>
      <c r="N509" s="27"/>
      <c r="O509" s="22">
        <v>185.0</v>
      </c>
      <c r="P509" s="28">
        <v>25.0</v>
      </c>
      <c r="Q509" s="28">
        <v>17.0</v>
      </c>
      <c r="R509" s="30"/>
      <c r="S509" s="30"/>
      <c r="T509" s="30"/>
      <c r="U509" s="30"/>
      <c r="V509" s="30"/>
      <c r="W509" s="30"/>
      <c r="X509" s="30"/>
      <c r="Y509" s="30"/>
      <c r="Z509" s="30"/>
      <c r="AA509" s="30"/>
    </row>
    <row r="510" ht="15.75" customHeight="1">
      <c r="A510" s="14" t="s">
        <v>17</v>
      </c>
      <c r="B510" s="15" t="s">
        <v>5061</v>
      </c>
      <c r="C510" s="14" t="s">
        <v>3716</v>
      </c>
      <c r="D510" s="14" t="s">
        <v>3717</v>
      </c>
      <c r="E510" s="26" t="s">
        <v>3718</v>
      </c>
      <c r="F510" s="14">
        <v>371.0</v>
      </c>
      <c r="G510" s="14">
        <v>377.0</v>
      </c>
      <c r="H510" s="14" t="s">
        <v>28</v>
      </c>
      <c r="I510" s="19" t="s">
        <v>5997</v>
      </c>
      <c r="J510" s="19" t="s">
        <v>3719</v>
      </c>
      <c r="K510" s="19" t="s">
        <v>5999</v>
      </c>
      <c r="L510" s="19" t="s">
        <v>6000</v>
      </c>
      <c r="M510" s="20"/>
      <c r="N510" s="44" t="s">
        <v>3721</v>
      </c>
      <c r="O510" s="22">
        <v>23.0</v>
      </c>
      <c r="P510" s="28">
        <v>4.0</v>
      </c>
      <c r="Q510" s="28">
        <v>17.0</v>
      </c>
      <c r="R510" s="30"/>
      <c r="S510" s="30"/>
      <c r="T510" s="30"/>
      <c r="U510" s="30"/>
      <c r="V510" s="30"/>
      <c r="W510" s="30"/>
      <c r="X510" s="30"/>
      <c r="Y510" s="30"/>
      <c r="Z510" s="30"/>
      <c r="AA510" s="30"/>
    </row>
    <row r="511" ht="15.75" customHeight="1">
      <c r="A511" s="14" t="s">
        <v>17</v>
      </c>
      <c r="B511" s="15" t="s">
        <v>5061</v>
      </c>
      <c r="C511" s="14" t="s">
        <v>3722</v>
      </c>
      <c r="D511" s="14" t="s">
        <v>3723</v>
      </c>
      <c r="E511" s="26" t="s">
        <v>3724</v>
      </c>
      <c r="F511" s="14">
        <v>379.0</v>
      </c>
      <c r="G511" s="14">
        <v>386.0</v>
      </c>
      <c r="H511" s="14" t="s">
        <v>28</v>
      </c>
      <c r="I511" s="19" t="s">
        <v>6008</v>
      </c>
      <c r="J511" s="19" t="s">
        <v>3725</v>
      </c>
      <c r="K511" s="19" t="s">
        <v>6009</v>
      </c>
      <c r="L511" s="19" t="s">
        <v>6010</v>
      </c>
      <c r="M511" s="20" t="s">
        <v>3727</v>
      </c>
      <c r="N511" s="44" t="s">
        <v>3728</v>
      </c>
      <c r="O511" s="22">
        <v>75.0</v>
      </c>
      <c r="P511" s="28">
        <v>24.0</v>
      </c>
      <c r="Q511" s="28">
        <v>16.0</v>
      </c>
      <c r="R511" s="30"/>
      <c r="S511" s="30"/>
      <c r="T511" s="30"/>
      <c r="U511" s="30"/>
      <c r="V511" s="30"/>
      <c r="W511" s="30"/>
      <c r="X511" s="30"/>
      <c r="Y511" s="30"/>
      <c r="Z511" s="30"/>
      <c r="AA511" s="30"/>
    </row>
    <row r="512" ht="15.75" customHeight="1">
      <c r="A512" s="14" t="s">
        <v>17</v>
      </c>
      <c r="B512" s="15" t="s">
        <v>5061</v>
      </c>
      <c r="C512" s="14" t="s">
        <v>3729</v>
      </c>
      <c r="D512" s="14" t="s">
        <v>3730</v>
      </c>
      <c r="E512" s="26" t="s">
        <v>3731</v>
      </c>
      <c r="F512" s="14">
        <v>387.0</v>
      </c>
      <c r="G512" s="14">
        <v>394.0</v>
      </c>
      <c r="H512" s="14" t="s">
        <v>28</v>
      </c>
      <c r="I512" s="19" t="s">
        <v>6017</v>
      </c>
      <c r="J512" s="19" t="s">
        <v>6018</v>
      </c>
      <c r="K512" s="19" t="s">
        <v>6019</v>
      </c>
      <c r="L512" s="19" t="s">
        <v>5211</v>
      </c>
      <c r="M512" s="20" t="s">
        <v>3734</v>
      </c>
      <c r="N512" s="27"/>
      <c r="O512" s="22">
        <v>120.0</v>
      </c>
      <c r="P512" s="28">
        <v>38.0</v>
      </c>
      <c r="Q512" s="28">
        <v>32.0</v>
      </c>
      <c r="R512" s="30"/>
      <c r="S512" s="30"/>
      <c r="T512" s="30"/>
      <c r="U512" s="30"/>
      <c r="V512" s="30"/>
      <c r="W512" s="30"/>
      <c r="X512" s="30"/>
      <c r="Y512" s="30"/>
      <c r="Z512" s="30"/>
      <c r="AA512" s="30"/>
    </row>
    <row r="513" ht="15.75" customHeight="1">
      <c r="A513" s="14" t="s">
        <v>17</v>
      </c>
      <c r="B513" s="15" t="s">
        <v>5061</v>
      </c>
      <c r="C513" s="14" t="s">
        <v>3735</v>
      </c>
      <c r="D513" s="14" t="s">
        <v>3736</v>
      </c>
      <c r="E513" s="26" t="s">
        <v>3737</v>
      </c>
      <c r="F513" s="14">
        <v>395.0</v>
      </c>
      <c r="G513" s="14">
        <v>402.0</v>
      </c>
      <c r="H513" s="14" t="s">
        <v>28</v>
      </c>
      <c r="I513" s="19" t="s">
        <v>6026</v>
      </c>
      <c r="J513" s="19" t="s">
        <v>3738</v>
      </c>
      <c r="K513" s="19" t="s">
        <v>6027</v>
      </c>
      <c r="L513" s="19" t="s">
        <v>6028</v>
      </c>
      <c r="M513" s="20"/>
      <c r="N513" s="44" t="s">
        <v>3740</v>
      </c>
      <c r="O513" s="22">
        <v>129.0</v>
      </c>
      <c r="P513" s="28">
        <v>31.0</v>
      </c>
      <c r="Q513" s="28">
        <v>24.0</v>
      </c>
      <c r="R513" s="30"/>
      <c r="S513" s="30"/>
      <c r="T513" s="30"/>
      <c r="U513" s="30"/>
      <c r="V513" s="30"/>
      <c r="W513" s="30"/>
      <c r="X513" s="30"/>
      <c r="Y513" s="30"/>
      <c r="Z513" s="30"/>
      <c r="AA513" s="30"/>
    </row>
    <row r="514" ht="15.75" customHeight="1">
      <c r="A514" s="14" t="s">
        <v>17</v>
      </c>
      <c r="B514" s="15" t="s">
        <v>5061</v>
      </c>
      <c r="C514" s="14" t="s">
        <v>6029</v>
      </c>
      <c r="D514" s="14" t="s">
        <v>3742</v>
      </c>
      <c r="E514" s="26" t="s">
        <v>3743</v>
      </c>
      <c r="F514" s="14">
        <v>403.0</v>
      </c>
      <c r="G514" s="14">
        <v>410.0</v>
      </c>
      <c r="H514" s="14" t="s">
        <v>28</v>
      </c>
      <c r="I514" s="19" t="s">
        <v>6037</v>
      </c>
      <c r="J514" s="19" t="s">
        <v>3744</v>
      </c>
      <c r="K514" s="19" t="s">
        <v>6040</v>
      </c>
      <c r="L514" s="19" t="s">
        <v>4752</v>
      </c>
      <c r="M514" s="20"/>
      <c r="N514" s="27"/>
      <c r="O514" s="22">
        <v>88.0</v>
      </c>
      <c r="P514" s="28">
        <v>12.0</v>
      </c>
      <c r="Q514" s="28">
        <v>40.0</v>
      </c>
      <c r="R514" s="30"/>
      <c r="S514" s="30"/>
      <c r="T514" s="30"/>
      <c r="U514" s="30"/>
      <c r="V514" s="30"/>
      <c r="W514" s="30"/>
      <c r="X514" s="30"/>
      <c r="Y514" s="30"/>
      <c r="Z514" s="30"/>
      <c r="AA514" s="30"/>
    </row>
    <row r="515" ht="15.75" customHeight="1">
      <c r="A515" s="14" t="s">
        <v>17</v>
      </c>
      <c r="B515" s="15" t="s">
        <v>5061</v>
      </c>
      <c r="C515" s="14" t="s">
        <v>3745</v>
      </c>
      <c r="D515" s="14" t="s">
        <v>3746</v>
      </c>
      <c r="E515" s="26" t="s">
        <v>3747</v>
      </c>
      <c r="F515" s="14">
        <v>413.0</v>
      </c>
      <c r="G515" s="14">
        <v>416.0</v>
      </c>
      <c r="H515" s="14" t="s">
        <v>28</v>
      </c>
      <c r="I515" s="19" t="s">
        <v>6050</v>
      </c>
      <c r="J515" s="19" t="s">
        <v>3748</v>
      </c>
      <c r="K515" s="19" t="s">
        <v>6051</v>
      </c>
      <c r="L515" s="19" t="s">
        <v>1298</v>
      </c>
      <c r="M515" s="20" t="s">
        <v>3749</v>
      </c>
      <c r="N515" s="27"/>
      <c r="O515" s="22">
        <v>50.0</v>
      </c>
      <c r="P515" s="28">
        <v>15.0</v>
      </c>
      <c r="Q515" s="28">
        <v>16.0</v>
      </c>
      <c r="R515" s="29" t="s">
        <v>2374</v>
      </c>
      <c r="S515" s="30"/>
      <c r="T515" s="30"/>
      <c r="U515" s="30"/>
      <c r="V515" s="30"/>
      <c r="W515" s="30"/>
      <c r="X515" s="30"/>
      <c r="Y515" s="30"/>
      <c r="Z515" s="30"/>
      <c r="AA515" s="30"/>
    </row>
    <row r="516" ht="15.75" customHeight="1">
      <c r="A516" s="14" t="s">
        <v>17</v>
      </c>
      <c r="B516" s="15" t="s">
        <v>5061</v>
      </c>
      <c r="C516" s="14" t="s">
        <v>3750</v>
      </c>
      <c r="D516" s="14" t="s">
        <v>3751</v>
      </c>
      <c r="E516" s="26" t="s">
        <v>3752</v>
      </c>
      <c r="F516" s="14">
        <v>417.0</v>
      </c>
      <c r="G516" s="14">
        <v>420.0</v>
      </c>
      <c r="H516" s="14" t="s">
        <v>28</v>
      </c>
      <c r="I516" s="19" t="s">
        <v>6059</v>
      </c>
      <c r="J516" s="19" t="s">
        <v>3753</v>
      </c>
      <c r="K516" s="19" t="s">
        <v>6060</v>
      </c>
      <c r="L516" s="19" t="s">
        <v>6061</v>
      </c>
      <c r="M516" s="20"/>
      <c r="N516" s="27"/>
      <c r="O516" s="22">
        <v>21.0</v>
      </c>
      <c r="P516" s="28">
        <v>6.0</v>
      </c>
      <c r="Q516" s="28">
        <v>0.0</v>
      </c>
      <c r="R516" s="30"/>
      <c r="S516" s="30"/>
      <c r="T516" s="30"/>
      <c r="U516" s="30"/>
      <c r="V516" s="30"/>
      <c r="W516" s="30"/>
      <c r="X516" s="30"/>
      <c r="Y516" s="30"/>
      <c r="Z516" s="30"/>
      <c r="AA516" s="30"/>
    </row>
    <row r="517" ht="15.75" customHeight="1">
      <c r="A517" s="14" t="s">
        <v>17</v>
      </c>
      <c r="B517" s="15" t="s">
        <v>5061</v>
      </c>
      <c r="C517" s="14" t="s">
        <v>3755</v>
      </c>
      <c r="D517" s="14" t="s">
        <v>3756</v>
      </c>
      <c r="E517" s="26" t="s">
        <v>3757</v>
      </c>
      <c r="F517" s="14">
        <v>421.0</v>
      </c>
      <c r="G517" s="14">
        <v>424.0</v>
      </c>
      <c r="H517" s="14" t="s">
        <v>28</v>
      </c>
      <c r="I517" s="19" t="s">
        <v>6066</v>
      </c>
      <c r="J517" s="19" t="s">
        <v>3758</v>
      </c>
      <c r="K517" s="19" t="s">
        <v>6067</v>
      </c>
      <c r="L517" s="18"/>
      <c r="M517" s="20" t="s">
        <v>3759</v>
      </c>
      <c r="N517" s="27"/>
      <c r="O517" s="22">
        <v>200.0</v>
      </c>
      <c r="P517" s="28">
        <v>47.0</v>
      </c>
      <c r="Q517" s="28">
        <v>27.0</v>
      </c>
      <c r="R517" s="30"/>
      <c r="S517" s="30"/>
      <c r="T517" s="30"/>
      <c r="U517" s="30"/>
      <c r="V517" s="30"/>
      <c r="W517" s="30"/>
      <c r="X517" s="30"/>
      <c r="Y517" s="30"/>
      <c r="Z517" s="30"/>
      <c r="AA517" s="30"/>
    </row>
    <row r="518" ht="15.75" customHeight="1">
      <c r="A518" s="14" t="s">
        <v>17</v>
      </c>
      <c r="B518" s="15" t="s">
        <v>5061</v>
      </c>
      <c r="C518" s="14" t="s">
        <v>3760</v>
      </c>
      <c r="D518" s="14" t="s">
        <v>3761</v>
      </c>
      <c r="E518" s="26" t="s">
        <v>3762</v>
      </c>
      <c r="F518" s="14">
        <v>425.0</v>
      </c>
      <c r="G518" s="14">
        <v>428.0</v>
      </c>
      <c r="H518" s="14" t="s">
        <v>28</v>
      </c>
      <c r="I518" s="19" t="s">
        <v>6073</v>
      </c>
      <c r="J518" s="19" t="s">
        <v>3763</v>
      </c>
      <c r="K518" s="19" t="s">
        <v>6074</v>
      </c>
      <c r="L518" s="19" t="s">
        <v>6076</v>
      </c>
      <c r="M518" s="20"/>
      <c r="N518" s="27"/>
      <c r="O518" s="22">
        <v>50.0</v>
      </c>
      <c r="P518" s="28">
        <v>4.0</v>
      </c>
      <c r="Q518" s="28">
        <v>5.0</v>
      </c>
      <c r="R518" s="30"/>
      <c r="S518" s="30"/>
      <c r="T518" s="30"/>
      <c r="U518" s="30"/>
      <c r="V518" s="30"/>
      <c r="W518" s="30"/>
      <c r="X518" s="30"/>
      <c r="Y518" s="30"/>
      <c r="Z518" s="30"/>
      <c r="AA518" s="30"/>
    </row>
    <row r="519" ht="15.75" customHeight="1">
      <c r="A519" s="14" t="s">
        <v>17</v>
      </c>
      <c r="B519" s="15" t="s">
        <v>5061</v>
      </c>
      <c r="C519" s="14" t="s">
        <v>3765</v>
      </c>
      <c r="D519" s="14" t="s">
        <v>3766</v>
      </c>
      <c r="E519" s="26" t="s">
        <v>3767</v>
      </c>
      <c r="F519" s="14">
        <v>429.0</v>
      </c>
      <c r="G519" s="14">
        <v>432.0</v>
      </c>
      <c r="H519" s="14" t="s">
        <v>28</v>
      </c>
      <c r="I519" s="19" t="s">
        <v>6079</v>
      </c>
      <c r="J519" s="19" t="s">
        <v>2450</v>
      </c>
      <c r="K519" s="19" t="s">
        <v>3952</v>
      </c>
      <c r="L519" s="19" t="s">
        <v>4311</v>
      </c>
      <c r="M519" s="20" t="s">
        <v>3768</v>
      </c>
      <c r="N519" s="27"/>
      <c r="O519" s="22">
        <v>16.0</v>
      </c>
      <c r="P519" s="28">
        <v>4.0</v>
      </c>
      <c r="Q519" s="28">
        <v>12.0</v>
      </c>
      <c r="R519" s="30"/>
      <c r="S519" s="30"/>
      <c r="T519" s="30"/>
      <c r="U519" s="30"/>
      <c r="V519" s="30"/>
      <c r="W519" s="30"/>
      <c r="X519" s="30"/>
      <c r="Y519" s="30"/>
      <c r="Z519" s="30"/>
      <c r="AA519" s="30"/>
    </row>
    <row r="520" ht="15.75" customHeight="1">
      <c r="A520" s="14" t="s">
        <v>17</v>
      </c>
      <c r="B520" s="15" t="s">
        <v>5061</v>
      </c>
      <c r="C520" s="14" t="s">
        <v>3769</v>
      </c>
      <c r="D520" s="14" t="s">
        <v>3770</v>
      </c>
      <c r="E520" s="26" t="s">
        <v>3771</v>
      </c>
      <c r="F520" s="14">
        <v>433.0</v>
      </c>
      <c r="G520" s="14">
        <v>436.0</v>
      </c>
      <c r="H520" s="14" t="s">
        <v>28</v>
      </c>
      <c r="I520" s="19" t="s">
        <v>6087</v>
      </c>
      <c r="J520" s="19" t="s">
        <v>3772</v>
      </c>
      <c r="K520" s="19" t="s">
        <v>6089</v>
      </c>
      <c r="L520" s="19" t="s">
        <v>5355</v>
      </c>
      <c r="M520" s="20"/>
      <c r="N520" s="44" t="s">
        <v>3774</v>
      </c>
      <c r="O520" s="22">
        <v>76.0</v>
      </c>
      <c r="P520" s="28">
        <v>2.0</v>
      </c>
      <c r="Q520" s="28">
        <v>11.0</v>
      </c>
      <c r="R520" s="30"/>
      <c r="S520" s="30"/>
      <c r="T520" s="30"/>
      <c r="U520" s="30"/>
      <c r="V520" s="30"/>
      <c r="W520" s="30"/>
      <c r="X520" s="30"/>
      <c r="Y520" s="30"/>
      <c r="Z520" s="30"/>
      <c r="AA520" s="30"/>
    </row>
    <row r="521" ht="15.75" customHeight="1">
      <c r="A521" s="14" t="s">
        <v>17</v>
      </c>
      <c r="B521" s="15" t="s">
        <v>5061</v>
      </c>
      <c r="C521" s="14" t="s">
        <v>3775</v>
      </c>
      <c r="D521" s="14" t="s">
        <v>3776</v>
      </c>
      <c r="E521" s="26" t="s">
        <v>3777</v>
      </c>
      <c r="F521" s="14">
        <v>437.0</v>
      </c>
      <c r="G521" s="14">
        <v>441.0</v>
      </c>
      <c r="H521" s="14" t="s">
        <v>28</v>
      </c>
      <c r="I521" s="19" t="s">
        <v>6096</v>
      </c>
      <c r="J521" s="19" t="s">
        <v>3778</v>
      </c>
      <c r="K521" s="19" t="s">
        <v>6099</v>
      </c>
      <c r="L521" s="19" t="s">
        <v>6100</v>
      </c>
      <c r="M521" s="20" t="s">
        <v>2548</v>
      </c>
      <c r="N521" s="27"/>
      <c r="O521" s="22">
        <v>276.0</v>
      </c>
      <c r="P521" s="28">
        <v>79.0</v>
      </c>
      <c r="Q521" s="28">
        <v>17.0</v>
      </c>
      <c r="R521" s="30"/>
      <c r="S521" s="30"/>
      <c r="T521" s="30"/>
      <c r="U521" s="30"/>
      <c r="V521" s="30"/>
      <c r="W521" s="30"/>
      <c r="X521" s="30"/>
      <c r="Y521" s="30"/>
      <c r="Z521" s="30"/>
      <c r="AA521" s="30"/>
    </row>
    <row r="522" ht="16.5" customHeight="1">
      <c r="A522" s="14" t="s">
        <v>17</v>
      </c>
      <c r="B522" s="15" t="s">
        <v>5061</v>
      </c>
      <c r="C522" s="14" t="s">
        <v>3780</v>
      </c>
      <c r="D522" s="14" t="s">
        <v>3781</v>
      </c>
      <c r="E522" s="26" t="s">
        <v>3782</v>
      </c>
      <c r="F522" s="14">
        <v>443.0</v>
      </c>
      <c r="G522" s="14">
        <v>446.0</v>
      </c>
      <c r="H522" s="14" t="s">
        <v>28</v>
      </c>
      <c r="I522" s="19" t="s">
        <v>6101</v>
      </c>
      <c r="J522" s="19" t="s">
        <v>3783</v>
      </c>
      <c r="K522" s="19" t="s">
        <v>6102</v>
      </c>
      <c r="L522" s="19" t="s">
        <v>6103</v>
      </c>
      <c r="M522" s="20" t="s">
        <v>2274</v>
      </c>
      <c r="N522" s="44" t="s">
        <v>3785</v>
      </c>
      <c r="O522" s="22">
        <v>44.0</v>
      </c>
      <c r="P522" s="28">
        <v>8.0</v>
      </c>
      <c r="Q522" s="28">
        <v>20.0</v>
      </c>
      <c r="R522" s="30"/>
      <c r="S522" s="30"/>
      <c r="T522" s="30"/>
      <c r="U522" s="30"/>
      <c r="V522" s="30"/>
      <c r="W522" s="30"/>
      <c r="X522" s="30"/>
      <c r="Y522" s="30"/>
      <c r="Z522" s="30"/>
      <c r="AA522" s="30"/>
    </row>
    <row r="523" ht="16.5" customHeight="1">
      <c r="A523" s="14" t="s">
        <v>17</v>
      </c>
      <c r="B523" s="15" t="s">
        <v>5061</v>
      </c>
      <c r="C523" s="14" t="s">
        <v>3786</v>
      </c>
      <c r="D523" s="14" t="s">
        <v>3787</v>
      </c>
      <c r="E523" s="26" t="s">
        <v>3788</v>
      </c>
      <c r="F523" s="14">
        <v>447.0</v>
      </c>
      <c r="G523" s="14">
        <v>450.0</v>
      </c>
      <c r="H523" s="14" t="s">
        <v>28</v>
      </c>
      <c r="I523" s="19" t="s">
        <v>6109</v>
      </c>
      <c r="J523" s="19" t="s">
        <v>3789</v>
      </c>
      <c r="K523" s="19" t="s">
        <v>6110</v>
      </c>
      <c r="L523" s="19" t="s">
        <v>4963</v>
      </c>
      <c r="M523" s="20"/>
      <c r="N523" s="27"/>
      <c r="O523" s="22">
        <v>50.0</v>
      </c>
      <c r="P523" s="28">
        <v>2.0</v>
      </c>
      <c r="Q523" s="28">
        <v>8.0</v>
      </c>
      <c r="R523" s="30"/>
      <c r="S523" s="30"/>
      <c r="T523" s="30"/>
      <c r="U523" s="30"/>
      <c r="V523" s="30"/>
      <c r="W523" s="30"/>
      <c r="X523" s="30"/>
      <c r="Y523" s="30"/>
      <c r="Z523" s="30"/>
      <c r="AA523" s="30"/>
    </row>
    <row r="524" ht="1.5" customHeight="1">
      <c r="A524" s="14" t="s">
        <v>17</v>
      </c>
      <c r="B524" s="15" t="s">
        <v>5061</v>
      </c>
      <c r="C524" s="14" t="s">
        <v>3791</v>
      </c>
      <c r="D524" s="14" t="s">
        <v>3792</v>
      </c>
      <c r="E524" s="26" t="s">
        <v>3793</v>
      </c>
      <c r="F524" s="14">
        <v>451.0</v>
      </c>
      <c r="G524" s="14">
        <v>454.0</v>
      </c>
      <c r="H524" s="14" t="s">
        <v>28</v>
      </c>
      <c r="I524" s="19" t="s">
        <v>6116</v>
      </c>
      <c r="J524" s="19" t="s">
        <v>3794</v>
      </c>
      <c r="K524" s="19" t="s">
        <v>6117</v>
      </c>
      <c r="L524" s="19" t="s">
        <v>4932</v>
      </c>
      <c r="M524" s="20" t="s">
        <v>1759</v>
      </c>
      <c r="N524" s="27"/>
      <c r="O524" s="43">
        <v>50.0</v>
      </c>
      <c r="P524" s="28">
        <v>2.0</v>
      </c>
      <c r="Q524" s="28">
        <v>9.0</v>
      </c>
      <c r="R524" s="30"/>
      <c r="S524" s="30"/>
      <c r="T524" s="30"/>
      <c r="U524" s="30"/>
      <c r="V524" s="30"/>
      <c r="W524" s="30"/>
      <c r="X524" s="30"/>
      <c r="Y524" s="30"/>
      <c r="Z524" s="30"/>
      <c r="AA524" s="30"/>
    </row>
    <row r="525">
      <c r="A525" s="14" t="s">
        <v>17</v>
      </c>
      <c r="B525" s="15" t="s">
        <v>5061</v>
      </c>
      <c r="C525" s="14" t="s">
        <v>3796</v>
      </c>
      <c r="D525" s="14" t="s">
        <v>3797</v>
      </c>
      <c r="E525" s="26" t="s">
        <v>3798</v>
      </c>
      <c r="F525" s="14">
        <v>455.0</v>
      </c>
      <c r="G525" s="14">
        <v>458.0</v>
      </c>
      <c r="H525" s="14" t="s">
        <v>28</v>
      </c>
      <c r="I525" s="19" t="s">
        <v>6130</v>
      </c>
      <c r="J525" s="19" t="s">
        <v>3799</v>
      </c>
      <c r="K525" s="19" t="s">
        <v>6131</v>
      </c>
      <c r="L525" s="19" t="s">
        <v>6132</v>
      </c>
      <c r="M525" s="20"/>
      <c r="N525" s="44" t="s">
        <v>3801</v>
      </c>
      <c r="O525" s="22">
        <v>50.0</v>
      </c>
      <c r="P525" s="28">
        <v>1.0</v>
      </c>
      <c r="Q525" s="28">
        <v>13.0</v>
      </c>
      <c r="R525" s="30"/>
      <c r="S525" s="30"/>
      <c r="T525" s="30"/>
      <c r="U525" s="30"/>
      <c r="V525" s="30"/>
      <c r="W525" s="30"/>
      <c r="X525" s="30"/>
      <c r="Y525" s="30"/>
      <c r="Z525" s="30"/>
      <c r="AA525" s="30"/>
    </row>
    <row r="526" ht="15.75" customHeight="1">
      <c r="A526" s="14" t="s">
        <v>17</v>
      </c>
      <c r="B526" s="15" t="s">
        <v>5061</v>
      </c>
      <c r="C526" s="14" t="s">
        <v>3802</v>
      </c>
      <c r="D526" s="14" t="s">
        <v>3803</v>
      </c>
      <c r="E526" s="26" t="s">
        <v>3804</v>
      </c>
      <c r="F526" s="14">
        <v>459.0</v>
      </c>
      <c r="G526" s="14">
        <v>462.0</v>
      </c>
      <c r="H526" s="14" t="s">
        <v>28</v>
      </c>
      <c r="I526" s="19" t="s">
        <v>6258</v>
      </c>
      <c r="J526" s="19" t="s">
        <v>6260</v>
      </c>
      <c r="K526" s="19" t="s">
        <v>6262</v>
      </c>
      <c r="L526" s="19" t="s">
        <v>6264</v>
      </c>
      <c r="M526" s="20" t="s">
        <v>3127</v>
      </c>
      <c r="N526" s="44" t="s">
        <v>3807</v>
      </c>
      <c r="O526" s="22">
        <v>51.0</v>
      </c>
      <c r="P526" s="28">
        <v>13.0</v>
      </c>
      <c r="Q526" s="28">
        <v>17.0</v>
      </c>
      <c r="R526" s="30"/>
      <c r="S526" s="30"/>
      <c r="T526" s="30"/>
      <c r="U526" s="30"/>
      <c r="V526" s="30"/>
      <c r="W526" s="30"/>
      <c r="X526" s="30"/>
      <c r="Y526" s="30"/>
      <c r="Z526" s="30"/>
      <c r="AA526" s="30"/>
    </row>
    <row r="527" ht="15.75" customHeight="1">
      <c r="A527" s="14" t="s">
        <v>17</v>
      </c>
      <c r="B527" s="15" t="s">
        <v>5061</v>
      </c>
      <c r="C527" s="14" t="s">
        <v>3808</v>
      </c>
      <c r="D527" s="14" t="s">
        <v>3809</v>
      </c>
      <c r="E527" s="26" t="s">
        <v>3810</v>
      </c>
      <c r="F527" s="14">
        <v>463.0</v>
      </c>
      <c r="G527" s="14">
        <v>466.0</v>
      </c>
      <c r="H527" s="14" t="s">
        <v>28</v>
      </c>
      <c r="I527" s="19" t="s">
        <v>6298</v>
      </c>
      <c r="J527" s="19" t="s">
        <v>6300</v>
      </c>
      <c r="K527" s="19" t="s">
        <v>6302</v>
      </c>
      <c r="L527" s="19" t="s">
        <v>1092</v>
      </c>
      <c r="M527" s="20"/>
      <c r="N527" s="27"/>
      <c r="O527" s="43">
        <v>5.0</v>
      </c>
      <c r="P527" s="28">
        <v>2.0</v>
      </c>
      <c r="Q527" s="28">
        <v>9.0</v>
      </c>
      <c r="R527" s="30"/>
      <c r="S527" s="30"/>
      <c r="T527" s="30"/>
      <c r="U527" s="30"/>
      <c r="V527" s="30"/>
      <c r="W527" s="30"/>
      <c r="X527" s="30"/>
      <c r="Y527" s="30"/>
      <c r="Z527" s="30"/>
      <c r="AA527" s="30"/>
    </row>
    <row r="528" ht="15.75" customHeight="1">
      <c r="A528" s="14" t="s">
        <v>17</v>
      </c>
      <c r="B528" s="15" t="s">
        <v>5061</v>
      </c>
      <c r="C528" s="14" t="s">
        <v>3812</v>
      </c>
      <c r="D528" s="14" t="s">
        <v>3813</v>
      </c>
      <c r="E528" s="26" t="s">
        <v>3814</v>
      </c>
      <c r="F528" s="14">
        <v>467.0</v>
      </c>
      <c r="G528" s="14">
        <v>470.0</v>
      </c>
      <c r="H528" s="14" t="s">
        <v>28</v>
      </c>
      <c r="I528" s="19" t="s">
        <v>6330</v>
      </c>
      <c r="J528" s="19" t="s">
        <v>3815</v>
      </c>
      <c r="K528" s="19" t="s">
        <v>6332</v>
      </c>
      <c r="L528" s="19" t="s">
        <v>1363</v>
      </c>
      <c r="M528" s="20"/>
      <c r="N528" s="44" t="s">
        <v>3817</v>
      </c>
      <c r="O528" s="22">
        <v>28.0</v>
      </c>
      <c r="P528" s="28">
        <v>14.0</v>
      </c>
      <c r="Q528" s="28">
        <v>6.0</v>
      </c>
      <c r="R528" s="30"/>
      <c r="S528" s="30"/>
      <c r="T528" s="30"/>
      <c r="U528" s="30"/>
      <c r="V528" s="30"/>
      <c r="W528" s="30"/>
      <c r="X528" s="30"/>
      <c r="Y528" s="30"/>
      <c r="Z528" s="30"/>
      <c r="AA528" s="30"/>
    </row>
    <row r="529" ht="15.75" customHeight="1">
      <c r="A529" s="14" t="s">
        <v>17</v>
      </c>
      <c r="B529" s="15" t="s">
        <v>5061</v>
      </c>
      <c r="C529" s="14" t="s">
        <v>3818</v>
      </c>
      <c r="D529" s="14" t="s">
        <v>3819</v>
      </c>
      <c r="E529" s="26" t="s">
        <v>3820</v>
      </c>
      <c r="F529" s="14">
        <v>471.0</v>
      </c>
      <c r="G529" s="14">
        <v>474.0</v>
      </c>
      <c r="H529" s="14" t="s">
        <v>28</v>
      </c>
      <c r="I529" s="19" t="s">
        <v>6355</v>
      </c>
      <c r="J529" s="19" t="s">
        <v>3821</v>
      </c>
      <c r="K529" s="19" t="s">
        <v>6357</v>
      </c>
      <c r="L529" s="19" t="s">
        <v>6359</v>
      </c>
      <c r="M529" s="20"/>
      <c r="N529" s="44" t="s">
        <v>3823</v>
      </c>
      <c r="O529" s="31"/>
      <c r="P529" s="28">
        <v>1.0</v>
      </c>
      <c r="Q529" s="28">
        <v>10.0</v>
      </c>
      <c r="R529" s="30"/>
      <c r="S529" s="30"/>
      <c r="T529" s="30"/>
      <c r="U529" s="30"/>
      <c r="V529" s="30"/>
      <c r="W529" s="30"/>
      <c r="X529" s="30"/>
      <c r="Y529" s="30"/>
      <c r="Z529" s="30"/>
      <c r="AA529" s="30"/>
    </row>
    <row r="530" ht="15.75" customHeight="1">
      <c r="A530" s="14" t="s">
        <v>17</v>
      </c>
      <c r="B530" s="15" t="s">
        <v>5061</v>
      </c>
      <c r="C530" s="14" t="s">
        <v>3824</v>
      </c>
      <c r="D530" s="14" t="s">
        <v>3825</v>
      </c>
      <c r="E530" s="26" t="s">
        <v>3826</v>
      </c>
      <c r="F530" s="14">
        <v>475.0</v>
      </c>
      <c r="G530" s="14">
        <v>478.0</v>
      </c>
      <c r="H530" s="14" t="s">
        <v>28</v>
      </c>
      <c r="I530" s="19" t="s">
        <v>6377</v>
      </c>
      <c r="J530" s="19" t="s">
        <v>3827</v>
      </c>
      <c r="K530" s="19" t="s">
        <v>6379</v>
      </c>
      <c r="L530" s="19" t="s">
        <v>4119</v>
      </c>
      <c r="M530" s="20"/>
      <c r="N530" s="44" t="s">
        <v>3829</v>
      </c>
      <c r="O530" s="22">
        <v>50.0</v>
      </c>
      <c r="P530" s="28">
        <v>0.0</v>
      </c>
      <c r="Q530" s="28">
        <v>14.0</v>
      </c>
      <c r="R530" s="30"/>
      <c r="S530" s="30"/>
      <c r="T530" s="30"/>
      <c r="U530" s="30"/>
      <c r="V530" s="30"/>
      <c r="W530" s="30"/>
      <c r="X530" s="30"/>
      <c r="Y530" s="30"/>
      <c r="Z530" s="30"/>
      <c r="AA530" s="30"/>
    </row>
    <row r="531" ht="15.75" customHeight="1">
      <c r="A531" s="14" t="s">
        <v>17</v>
      </c>
      <c r="B531" s="15" t="s">
        <v>5061</v>
      </c>
      <c r="C531" s="14" t="s">
        <v>3830</v>
      </c>
      <c r="D531" s="14" t="s">
        <v>3831</v>
      </c>
      <c r="E531" s="26" t="s">
        <v>3832</v>
      </c>
      <c r="F531" s="14">
        <v>479.0</v>
      </c>
      <c r="G531" s="14">
        <v>482.0</v>
      </c>
      <c r="H531" s="14" t="s">
        <v>28</v>
      </c>
      <c r="I531" s="19" t="s">
        <v>6411</v>
      </c>
      <c r="J531" s="19" t="s">
        <v>3833</v>
      </c>
      <c r="K531" s="19" t="s">
        <v>6413</v>
      </c>
      <c r="L531" s="19" t="s">
        <v>4590</v>
      </c>
      <c r="M531" s="20" t="s">
        <v>3835</v>
      </c>
      <c r="N531" s="27"/>
      <c r="O531" s="22">
        <v>1.0</v>
      </c>
      <c r="P531" s="28">
        <v>1.0</v>
      </c>
      <c r="Q531" s="28">
        <v>10.0</v>
      </c>
      <c r="R531" s="30"/>
      <c r="S531" s="30"/>
      <c r="T531" s="30"/>
      <c r="U531" s="30"/>
      <c r="V531" s="30"/>
      <c r="W531" s="30"/>
      <c r="X531" s="30"/>
      <c r="Y531" s="30"/>
      <c r="Z531" s="30"/>
      <c r="AA531" s="30"/>
    </row>
    <row r="532" ht="15.75" customHeight="1">
      <c r="A532" s="14" t="s">
        <v>17</v>
      </c>
      <c r="B532" s="15" t="s">
        <v>5061</v>
      </c>
      <c r="C532" s="14" t="s">
        <v>3836</v>
      </c>
      <c r="D532" s="14" t="s">
        <v>3837</v>
      </c>
      <c r="E532" s="26" t="s">
        <v>3838</v>
      </c>
      <c r="F532" s="14">
        <v>483.0</v>
      </c>
      <c r="G532" s="14">
        <v>486.0</v>
      </c>
      <c r="H532" s="14" t="s">
        <v>28</v>
      </c>
      <c r="I532" s="19" t="s">
        <v>6437</v>
      </c>
      <c r="J532" s="19" t="s">
        <v>3839</v>
      </c>
      <c r="K532" s="19" t="s">
        <v>6439</v>
      </c>
      <c r="L532" s="19" t="s">
        <v>6440</v>
      </c>
      <c r="M532" s="20" t="s">
        <v>3841</v>
      </c>
      <c r="N532" s="27"/>
      <c r="O532" s="31"/>
      <c r="P532" s="28">
        <v>0.0</v>
      </c>
      <c r="Q532" s="28">
        <v>9.0</v>
      </c>
      <c r="R532" s="30"/>
      <c r="S532" s="30"/>
      <c r="T532" s="30"/>
      <c r="U532" s="30"/>
      <c r="V532" s="30"/>
      <c r="W532" s="30"/>
      <c r="X532" s="30"/>
      <c r="Y532" s="30"/>
      <c r="Z532" s="30"/>
      <c r="AA532" s="30"/>
    </row>
    <row r="533" ht="15.75" customHeight="1">
      <c r="A533" s="14" t="s">
        <v>17</v>
      </c>
      <c r="B533" s="15" t="s">
        <v>5061</v>
      </c>
      <c r="C533" s="14" t="s">
        <v>3842</v>
      </c>
      <c r="D533" s="14" t="s">
        <v>3843</v>
      </c>
      <c r="E533" s="26" t="s">
        <v>3844</v>
      </c>
      <c r="F533" s="14">
        <v>487.0</v>
      </c>
      <c r="G533" s="14">
        <v>490.0</v>
      </c>
      <c r="H533" s="14" t="s">
        <v>28</v>
      </c>
      <c r="I533" s="19" t="s">
        <v>6465</v>
      </c>
      <c r="J533" s="19" t="s">
        <v>3845</v>
      </c>
      <c r="K533" s="19" t="s">
        <v>6467</v>
      </c>
      <c r="L533" s="19" t="s">
        <v>5211</v>
      </c>
      <c r="M533" s="20" t="s">
        <v>3846</v>
      </c>
      <c r="N533" s="27"/>
      <c r="O533" s="43">
        <v>50.0</v>
      </c>
      <c r="P533" s="28">
        <v>2.0</v>
      </c>
      <c r="Q533" s="28">
        <v>11.0</v>
      </c>
      <c r="R533" s="30"/>
      <c r="S533" s="30"/>
      <c r="T533" s="30"/>
      <c r="U533" s="30"/>
      <c r="V533" s="30"/>
      <c r="W533" s="30"/>
      <c r="X533" s="30"/>
      <c r="Y533" s="30"/>
      <c r="Z533" s="30"/>
      <c r="AA533" s="30"/>
    </row>
    <row r="534" ht="15.75" customHeight="1">
      <c r="A534" s="14" t="s">
        <v>17</v>
      </c>
      <c r="B534" s="15" t="s">
        <v>5061</v>
      </c>
      <c r="C534" s="14" t="s">
        <v>3847</v>
      </c>
      <c r="D534" s="14" t="s">
        <v>3848</v>
      </c>
      <c r="E534" s="26" t="s">
        <v>3849</v>
      </c>
      <c r="F534" s="14">
        <v>491.0</v>
      </c>
      <c r="G534" s="14">
        <v>494.0</v>
      </c>
      <c r="H534" s="14" t="s">
        <v>28</v>
      </c>
      <c r="I534" s="19" t="s">
        <v>6494</v>
      </c>
      <c r="J534" s="19" t="s">
        <v>3850</v>
      </c>
      <c r="K534" s="19" t="s">
        <v>6497</v>
      </c>
      <c r="L534" s="19" t="s">
        <v>1363</v>
      </c>
      <c r="M534" s="20" t="s">
        <v>3851</v>
      </c>
      <c r="N534" s="44" t="s">
        <v>3852</v>
      </c>
      <c r="O534" s="22">
        <v>7.0</v>
      </c>
      <c r="P534" s="28">
        <v>5.0</v>
      </c>
      <c r="Q534" s="28">
        <v>22.0</v>
      </c>
      <c r="R534" s="30"/>
      <c r="S534" s="30"/>
      <c r="T534" s="30"/>
      <c r="U534" s="30"/>
      <c r="V534" s="30"/>
      <c r="W534" s="30"/>
      <c r="X534" s="30"/>
      <c r="Y534" s="30"/>
      <c r="Z534" s="30"/>
      <c r="AA534" s="30"/>
    </row>
    <row r="535" ht="15.75" customHeight="1">
      <c r="A535" s="14" t="s">
        <v>17</v>
      </c>
      <c r="B535" s="15" t="s">
        <v>5061</v>
      </c>
      <c r="C535" s="14" t="s">
        <v>3853</v>
      </c>
      <c r="D535" s="14" t="s">
        <v>3854</v>
      </c>
      <c r="E535" s="26" t="s">
        <v>3855</v>
      </c>
      <c r="F535" s="14">
        <v>495.0</v>
      </c>
      <c r="G535" s="14">
        <v>498.0</v>
      </c>
      <c r="H535" s="14" t="s">
        <v>28</v>
      </c>
      <c r="I535" s="19" t="s">
        <v>6540</v>
      </c>
      <c r="J535" s="19" t="s">
        <v>3856</v>
      </c>
      <c r="K535" s="19" t="s">
        <v>6543</v>
      </c>
      <c r="L535" s="19" t="s">
        <v>6544</v>
      </c>
      <c r="M535" s="20" t="s">
        <v>1579</v>
      </c>
      <c r="N535" s="27"/>
      <c r="O535" s="22">
        <v>62.0</v>
      </c>
      <c r="P535" s="28">
        <v>23.0</v>
      </c>
      <c r="Q535" s="28">
        <v>9.0</v>
      </c>
      <c r="R535" s="30"/>
      <c r="S535" s="30"/>
      <c r="T535" s="30"/>
      <c r="U535" s="30"/>
      <c r="V535" s="30"/>
      <c r="W535" s="30"/>
      <c r="X535" s="30"/>
      <c r="Y535" s="30"/>
      <c r="Z535" s="30"/>
      <c r="AA535" s="30"/>
    </row>
    <row r="536" ht="15.75" customHeight="1">
      <c r="A536" s="14" t="s">
        <v>17</v>
      </c>
      <c r="B536" s="15" t="s">
        <v>5061</v>
      </c>
      <c r="C536" s="14" t="s">
        <v>3858</v>
      </c>
      <c r="D536" s="14" t="s">
        <v>3859</v>
      </c>
      <c r="E536" s="26" t="s">
        <v>3860</v>
      </c>
      <c r="F536" s="14">
        <v>499.0</v>
      </c>
      <c r="G536" s="14">
        <v>503.0</v>
      </c>
      <c r="H536" s="14" t="s">
        <v>28</v>
      </c>
      <c r="I536" s="19" t="s">
        <v>6581</v>
      </c>
      <c r="J536" s="19" t="s">
        <v>3861</v>
      </c>
      <c r="K536" s="19" t="s">
        <v>6583</v>
      </c>
      <c r="L536" s="19" t="s">
        <v>6585</v>
      </c>
      <c r="M536" s="20"/>
      <c r="N536" s="27"/>
      <c r="O536" s="22">
        <v>50.0</v>
      </c>
      <c r="P536" s="28">
        <v>11.0</v>
      </c>
      <c r="Q536" s="28">
        <v>10.0</v>
      </c>
      <c r="R536" s="30"/>
      <c r="S536" s="30"/>
      <c r="T536" s="30"/>
      <c r="U536" s="30"/>
      <c r="V536" s="30"/>
      <c r="W536" s="30"/>
      <c r="X536" s="30"/>
      <c r="Y536" s="30"/>
      <c r="Z536" s="30"/>
      <c r="AA536" s="30"/>
    </row>
    <row r="537" ht="15.75" customHeight="1">
      <c r="A537" s="14" t="s">
        <v>17</v>
      </c>
      <c r="B537" s="15" t="s">
        <v>5061</v>
      </c>
      <c r="C537" s="14" t="s">
        <v>3863</v>
      </c>
      <c r="D537" s="14" t="s">
        <v>3864</v>
      </c>
      <c r="E537" s="26" t="s">
        <v>3865</v>
      </c>
      <c r="F537" s="14">
        <v>507.0</v>
      </c>
      <c r="G537" s="14">
        <v>509.0</v>
      </c>
      <c r="H537" s="14" t="s">
        <v>21</v>
      </c>
      <c r="I537" s="18"/>
      <c r="J537" s="19" t="s">
        <v>3866</v>
      </c>
      <c r="K537" s="19" t="s">
        <v>6610</v>
      </c>
      <c r="L537" s="19" t="s">
        <v>6612</v>
      </c>
      <c r="M537" s="20"/>
      <c r="N537" s="27"/>
      <c r="O537" s="31"/>
      <c r="P537" s="28">
        <v>0.0</v>
      </c>
      <c r="Q537" s="28">
        <v>0.0</v>
      </c>
      <c r="R537" s="30"/>
      <c r="S537" s="30"/>
      <c r="T537" s="30"/>
      <c r="U537" s="30"/>
      <c r="V537" s="30"/>
      <c r="W537" s="30"/>
      <c r="X537" s="30"/>
      <c r="Y537" s="30"/>
      <c r="Z537" s="30"/>
      <c r="AA537" s="30"/>
    </row>
    <row r="538" ht="15.75" customHeight="1">
      <c r="A538" s="14" t="s">
        <v>17</v>
      </c>
      <c r="B538" s="15" t="s">
        <v>5061</v>
      </c>
      <c r="C538" s="14" t="s">
        <v>3868</v>
      </c>
      <c r="D538" s="14" t="s">
        <v>3869</v>
      </c>
      <c r="E538" s="26" t="s">
        <v>3870</v>
      </c>
      <c r="F538" s="14">
        <v>511.0</v>
      </c>
      <c r="G538" s="14">
        <v>513.0</v>
      </c>
      <c r="H538" s="14" t="s">
        <v>21</v>
      </c>
      <c r="I538" s="18"/>
      <c r="J538" s="19" t="s">
        <v>3871</v>
      </c>
      <c r="K538" s="19" t="s">
        <v>6625</v>
      </c>
      <c r="L538" s="19" t="s">
        <v>6626</v>
      </c>
      <c r="M538" s="20"/>
      <c r="N538" s="27"/>
      <c r="O538" s="31"/>
      <c r="P538" s="28">
        <v>1.0</v>
      </c>
      <c r="Q538" s="28">
        <v>7.0</v>
      </c>
      <c r="R538" s="30"/>
      <c r="S538" s="30"/>
      <c r="T538" s="30"/>
      <c r="U538" s="30"/>
      <c r="V538" s="30"/>
      <c r="W538" s="30"/>
      <c r="X538" s="30"/>
      <c r="Y538" s="30"/>
      <c r="Z538" s="30"/>
      <c r="AA538" s="30"/>
    </row>
    <row r="539" ht="15.75" customHeight="1">
      <c r="A539" s="14" t="s">
        <v>17</v>
      </c>
      <c r="B539" s="15" t="s">
        <v>5061</v>
      </c>
      <c r="C539" s="14" t="s">
        <v>3873</v>
      </c>
      <c r="D539" s="14" t="s">
        <v>3874</v>
      </c>
      <c r="E539" s="26" t="s">
        <v>3875</v>
      </c>
      <c r="F539" s="14">
        <v>515.0</v>
      </c>
      <c r="G539" s="14">
        <v>517.0</v>
      </c>
      <c r="H539" s="14" t="s">
        <v>21</v>
      </c>
      <c r="I539" s="18"/>
      <c r="J539" s="19" t="s">
        <v>3876</v>
      </c>
      <c r="K539" s="19" t="s">
        <v>6650</v>
      </c>
      <c r="L539" s="19" t="s">
        <v>6652</v>
      </c>
      <c r="M539" s="20"/>
      <c r="N539" s="27"/>
      <c r="O539" s="22">
        <v>18.0</v>
      </c>
      <c r="P539" s="28">
        <v>0.0</v>
      </c>
      <c r="Q539" s="28">
        <v>10.0</v>
      </c>
      <c r="R539" s="30"/>
      <c r="S539" s="30"/>
      <c r="T539" s="30"/>
      <c r="U539" s="30"/>
      <c r="V539" s="30"/>
      <c r="W539" s="30"/>
      <c r="X539" s="30"/>
      <c r="Y539" s="30"/>
      <c r="Z539" s="30"/>
      <c r="AA539" s="30"/>
    </row>
    <row r="540" ht="15.75" customHeight="1">
      <c r="A540" s="14" t="s">
        <v>2137</v>
      </c>
      <c r="B540" s="15" t="s">
        <v>6656</v>
      </c>
      <c r="C540" s="14" t="s">
        <v>3878</v>
      </c>
      <c r="D540" s="14" t="s">
        <v>3879</v>
      </c>
      <c r="E540" s="26" t="s">
        <v>3880</v>
      </c>
      <c r="F540" s="14">
        <v>3.0</v>
      </c>
      <c r="G540" s="14" t="s">
        <v>3881</v>
      </c>
      <c r="H540" s="14" t="s">
        <v>28</v>
      </c>
      <c r="I540" s="19" t="s">
        <v>6674</v>
      </c>
      <c r="J540" s="19" t="s">
        <v>6675</v>
      </c>
      <c r="K540" s="19" t="s">
        <v>6676</v>
      </c>
      <c r="L540" s="19" t="s">
        <v>6678</v>
      </c>
      <c r="M540" s="20"/>
      <c r="N540" s="44" t="s">
        <v>3884</v>
      </c>
      <c r="O540" s="22">
        <v>76.0</v>
      </c>
      <c r="P540" s="28">
        <v>15.0</v>
      </c>
      <c r="Q540" s="28">
        <v>18.0</v>
      </c>
      <c r="R540" s="84"/>
      <c r="S540" s="84"/>
      <c r="T540" s="84"/>
      <c r="U540" s="84"/>
      <c r="V540" s="84"/>
      <c r="W540" s="84"/>
      <c r="X540" s="84"/>
      <c r="Y540" s="84"/>
      <c r="Z540" s="84"/>
      <c r="AA540" s="84"/>
    </row>
    <row r="541" ht="15.75" customHeight="1">
      <c r="A541" s="14" t="s">
        <v>2137</v>
      </c>
      <c r="B541" s="15" t="s">
        <v>6656</v>
      </c>
      <c r="C541" s="14" t="s">
        <v>3885</v>
      </c>
      <c r="D541" s="14" t="s">
        <v>3886</v>
      </c>
      <c r="E541" s="26" t="s">
        <v>3887</v>
      </c>
      <c r="F541" s="14">
        <v>11.0</v>
      </c>
      <c r="G541" s="14">
        <v>18.0</v>
      </c>
      <c r="H541" s="14" t="s">
        <v>28</v>
      </c>
      <c r="I541" s="19" t="s">
        <v>6721</v>
      </c>
      <c r="J541" s="19" t="s">
        <v>3888</v>
      </c>
      <c r="K541" s="19" t="s">
        <v>6723</v>
      </c>
      <c r="L541" s="19" t="s">
        <v>453</v>
      </c>
      <c r="M541" s="20"/>
      <c r="N541" s="27"/>
      <c r="O541" s="22">
        <v>27.0</v>
      </c>
      <c r="P541" s="28">
        <v>4.0</v>
      </c>
      <c r="Q541" s="28">
        <v>19.0</v>
      </c>
      <c r="R541" s="84"/>
      <c r="S541" s="84"/>
      <c r="T541" s="84"/>
      <c r="U541" s="84"/>
      <c r="V541" s="84"/>
      <c r="W541" s="84"/>
      <c r="X541" s="84"/>
      <c r="Y541" s="84"/>
      <c r="Z541" s="84"/>
      <c r="AA541" s="84"/>
    </row>
    <row r="542" ht="15.75" customHeight="1">
      <c r="A542" s="14" t="s">
        <v>2137</v>
      </c>
      <c r="B542" s="15" t="s">
        <v>6656</v>
      </c>
      <c r="C542" s="14" t="s">
        <v>3889</v>
      </c>
      <c r="D542" s="14" t="s">
        <v>3890</v>
      </c>
      <c r="E542" s="26" t="s">
        <v>3891</v>
      </c>
      <c r="F542" s="14">
        <v>19.0</v>
      </c>
      <c r="G542" s="14" t="s">
        <v>3892</v>
      </c>
      <c r="H542" s="14" t="s">
        <v>28</v>
      </c>
      <c r="I542" s="19" t="s">
        <v>6738</v>
      </c>
      <c r="J542" s="19" t="s">
        <v>3893</v>
      </c>
      <c r="K542" s="19" t="s">
        <v>6740</v>
      </c>
      <c r="L542" s="19" t="s">
        <v>6742</v>
      </c>
      <c r="M542" s="20" t="s">
        <v>3895</v>
      </c>
      <c r="N542" s="44" t="s">
        <v>3896</v>
      </c>
      <c r="O542" s="22">
        <v>76.0</v>
      </c>
      <c r="P542" s="28">
        <v>17.0</v>
      </c>
      <c r="Q542" s="28">
        <v>8.0</v>
      </c>
      <c r="R542" s="84"/>
      <c r="S542" s="84"/>
      <c r="T542" s="84"/>
      <c r="U542" s="84"/>
      <c r="V542" s="84"/>
      <c r="W542" s="84"/>
      <c r="X542" s="84"/>
      <c r="Y542" s="84"/>
      <c r="Z542" s="84"/>
      <c r="AA542" s="84"/>
    </row>
    <row r="543" ht="15.75" customHeight="1">
      <c r="A543" s="14" t="s">
        <v>2137</v>
      </c>
      <c r="B543" s="15" t="s">
        <v>6656</v>
      </c>
      <c r="C543" s="14" t="s">
        <v>3897</v>
      </c>
      <c r="D543" s="14" t="s">
        <v>3898</v>
      </c>
      <c r="E543" s="26" t="s">
        <v>3899</v>
      </c>
      <c r="F543" s="14">
        <v>26.0</v>
      </c>
      <c r="G543" s="14" t="s">
        <v>3900</v>
      </c>
      <c r="H543" s="14" t="s">
        <v>28</v>
      </c>
      <c r="I543" s="19" t="s">
        <v>6772</v>
      </c>
      <c r="J543" s="19" t="s">
        <v>2768</v>
      </c>
      <c r="K543" s="19" t="s">
        <v>4226</v>
      </c>
      <c r="L543" s="19" t="s">
        <v>6775</v>
      </c>
      <c r="M543" s="20" t="s">
        <v>2765</v>
      </c>
      <c r="N543" s="27"/>
      <c r="O543" s="22">
        <v>50.0</v>
      </c>
      <c r="P543" s="28">
        <v>14.0</v>
      </c>
      <c r="Q543" s="28">
        <v>6.0</v>
      </c>
      <c r="R543" s="84"/>
      <c r="S543" s="84"/>
      <c r="T543" s="84"/>
      <c r="U543" s="84"/>
      <c r="V543" s="84"/>
      <c r="W543" s="84"/>
      <c r="X543" s="84"/>
      <c r="Y543" s="84"/>
      <c r="Z543" s="84"/>
      <c r="AA543" s="84"/>
    </row>
    <row r="544" ht="15.75" customHeight="1">
      <c r="A544" s="14" t="s">
        <v>2137</v>
      </c>
      <c r="B544" s="15" t="s">
        <v>6656</v>
      </c>
      <c r="C544" s="14" t="s">
        <v>3902</v>
      </c>
      <c r="D544" s="14" t="s">
        <v>3903</v>
      </c>
      <c r="E544" s="26" t="s">
        <v>3904</v>
      </c>
      <c r="F544" s="14">
        <v>35.0</v>
      </c>
      <c r="G544" s="14" t="s">
        <v>3905</v>
      </c>
      <c r="H544" s="14" t="s">
        <v>28</v>
      </c>
      <c r="I544" s="19" t="s">
        <v>6821</v>
      </c>
      <c r="J544" s="19" t="s">
        <v>3906</v>
      </c>
      <c r="K544" s="19" t="s">
        <v>6823</v>
      </c>
      <c r="L544" s="19" t="s">
        <v>4194</v>
      </c>
      <c r="M544" s="20" t="s">
        <v>3908</v>
      </c>
      <c r="N544" s="27"/>
      <c r="O544" s="22">
        <v>93.0</v>
      </c>
      <c r="P544" s="28">
        <v>27.0</v>
      </c>
      <c r="Q544" s="28">
        <v>13.0</v>
      </c>
      <c r="R544" s="84"/>
      <c r="S544" s="84"/>
      <c r="T544" s="84"/>
      <c r="U544" s="84"/>
      <c r="V544" s="84"/>
      <c r="W544" s="84"/>
      <c r="X544" s="84"/>
      <c r="Y544" s="84"/>
      <c r="Z544" s="84"/>
      <c r="AA544" s="84"/>
    </row>
    <row r="545" ht="15.75" customHeight="1">
      <c r="A545" s="14" t="s">
        <v>2137</v>
      </c>
      <c r="B545" s="15" t="s">
        <v>6656</v>
      </c>
      <c r="C545" s="14" t="s">
        <v>3909</v>
      </c>
      <c r="D545" s="14" t="s">
        <v>3910</v>
      </c>
      <c r="E545" s="26" t="s">
        <v>3911</v>
      </c>
      <c r="F545" s="14">
        <v>44.0</v>
      </c>
      <c r="G545" s="14" t="s">
        <v>3985</v>
      </c>
      <c r="H545" s="14" t="s">
        <v>28</v>
      </c>
      <c r="I545" s="19" t="s">
        <v>6856</v>
      </c>
      <c r="J545" s="19" t="s">
        <v>3986</v>
      </c>
      <c r="K545" s="19" t="s">
        <v>6858</v>
      </c>
      <c r="L545" s="19" t="s">
        <v>515</v>
      </c>
      <c r="M545" s="20" t="s">
        <v>3987</v>
      </c>
      <c r="N545" s="27"/>
      <c r="O545" s="31"/>
      <c r="P545" s="28">
        <v>29.0</v>
      </c>
      <c r="Q545" s="28">
        <v>25.0</v>
      </c>
      <c r="R545" s="84"/>
      <c r="S545" s="84"/>
      <c r="T545" s="84"/>
      <c r="U545" s="84"/>
      <c r="V545" s="84"/>
      <c r="W545" s="84"/>
      <c r="X545" s="84"/>
      <c r="Y545" s="84"/>
      <c r="Z545" s="84"/>
      <c r="AA545" s="84"/>
    </row>
    <row r="546" ht="15.75" customHeight="1">
      <c r="A546" s="14" t="s">
        <v>2137</v>
      </c>
      <c r="B546" s="15" t="s">
        <v>6656</v>
      </c>
      <c r="C546" s="14" t="s">
        <v>3988</v>
      </c>
      <c r="D546" s="14" t="s">
        <v>3989</v>
      </c>
      <c r="E546" s="26" t="s">
        <v>3990</v>
      </c>
      <c r="F546" s="14">
        <v>52.0</v>
      </c>
      <c r="G546" s="14" t="s">
        <v>3991</v>
      </c>
      <c r="H546" s="14" t="s">
        <v>28</v>
      </c>
      <c r="I546" s="19" t="s">
        <v>6886</v>
      </c>
      <c r="J546" s="19" t="s">
        <v>3992</v>
      </c>
      <c r="K546" s="19" t="s">
        <v>6888</v>
      </c>
      <c r="L546" s="19" t="s">
        <v>6890</v>
      </c>
      <c r="M546" s="20" t="s">
        <v>3994</v>
      </c>
      <c r="N546" s="27"/>
      <c r="O546" s="22">
        <v>261.0</v>
      </c>
      <c r="P546" s="28">
        <v>100.0</v>
      </c>
      <c r="Q546" s="28">
        <v>30.0</v>
      </c>
      <c r="R546" s="84"/>
      <c r="S546" s="84"/>
      <c r="T546" s="84"/>
      <c r="U546" s="84"/>
      <c r="V546" s="84"/>
      <c r="W546" s="84"/>
      <c r="X546" s="84"/>
      <c r="Y546" s="84"/>
      <c r="Z546" s="84"/>
      <c r="AA546" s="84"/>
    </row>
    <row r="547" ht="15.75" customHeight="1">
      <c r="A547" s="14" t="s">
        <v>2137</v>
      </c>
      <c r="B547" s="15" t="s">
        <v>6656</v>
      </c>
      <c r="C547" s="14" t="s">
        <v>3995</v>
      </c>
      <c r="D547" s="14" t="s">
        <v>3996</v>
      </c>
      <c r="E547" s="26" t="s">
        <v>3997</v>
      </c>
      <c r="F547" s="14">
        <v>63.0</v>
      </c>
      <c r="G547" s="14">
        <v>70.0</v>
      </c>
      <c r="H547" s="14" t="s">
        <v>28</v>
      </c>
      <c r="I547" s="19" t="s">
        <v>6922</v>
      </c>
      <c r="J547" s="19" t="s">
        <v>3998</v>
      </c>
      <c r="K547" s="19" t="s">
        <v>6924</v>
      </c>
      <c r="L547" s="19" t="s">
        <v>6925</v>
      </c>
      <c r="M547" s="20" t="s">
        <v>4000</v>
      </c>
      <c r="N547" s="44" t="s">
        <v>4001</v>
      </c>
      <c r="O547" s="22">
        <v>248.0</v>
      </c>
      <c r="P547" s="28">
        <v>28.0</v>
      </c>
      <c r="Q547" s="28">
        <v>36.0</v>
      </c>
      <c r="R547" s="85" t="s">
        <v>1093</v>
      </c>
      <c r="S547" s="84"/>
      <c r="T547" s="84"/>
      <c r="U547" s="84"/>
      <c r="V547" s="84"/>
      <c r="W547" s="84"/>
      <c r="X547" s="84"/>
      <c r="Y547" s="84"/>
      <c r="Z547" s="84"/>
      <c r="AA547" s="84"/>
    </row>
    <row r="548" ht="15.75" customHeight="1">
      <c r="A548" s="14" t="s">
        <v>2137</v>
      </c>
      <c r="B548" s="15" t="s">
        <v>6656</v>
      </c>
      <c r="C548" s="14" t="s">
        <v>4002</v>
      </c>
      <c r="D548" s="14" t="s">
        <v>4003</v>
      </c>
      <c r="E548" s="26" t="s">
        <v>4004</v>
      </c>
      <c r="F548" s="14">
        <v>71.0</v>
      </c>
      <c r="G548" s="14" t="s">
        <v>4005</v>
      </c>
      <c r="H548" s="14" t="s">
        <v>28</v>
      </c>
      <c r="I548" s="19" t="s">
        <v>6972</v>
      </c>
      <c r="J548" s="19" t="s">
        <v>4006</v>
      </c>
      <c r="K548" s="19" t="s">
        <v>6974</v>
      </c>
      <c r="L548" s="19" t="s">
        <v>3233</v>
      </c>
      <c r="M548" s="20" t="s">
        <v>3797</v>
      </c>
      <c r="N548" s="27"/>
      <c r="O548" s="31"/>
      <c r="P548" s="28">
        <v>7.0</v>
      </c>
      <c r="Q548" s="28">
        <v>27.0</v>
      </c>
      <c r="R548" s="84"/>
      <c r="S548" s="84"/>
      <c r="T548" s="84"/>
      <c r="U548" s="84"/>
      <c r="V548" s="84"/>
      <c r="W548" s="84"/>
      <c r="X548" s="84"/>
      <c r="Y548" s="84"/>
      <c r="Z548" s="84"/>
      <c r="AA548" s="84"/>
    </row>
    <row r="549" ht="15.75" customHeight="1">
      <c r="A549" s="14" t="s">
        <v>2137</v>
      </c>
      <c r="B549" s="15" t="s">
        <v>6656</v>
      </c>
      <c r="C549" s="14" t="s">
        <v>4008</v>
      </c>
      <c r="D549" s="14" t="s">
        <v>4009</v>
      </c>
      <c r="E549" s="26" t="s">
        <v>4010</v>
      </c>
      <c r="F549" s="14">
        <v>79.0</v>
      </c>
      <c r="G549" s="14" t="s">
        <v>4011</v>
      </c>
      <c r="H549" s="14" t="s">
        <v>28</v>
      </c>
      <c r="I549" s="19" t="s">
        <v>7002</v>
      </c>
      <c r="J549" s="19" t="s">
        <v>4012</v>
      </c>
      <c r="K549" s="19" t="s">
        <v>7004</v>
      </c>
      <c r="L549" s="19" t="s">
        <v>7005</v>
      </c>
      <c r="M549" s="20" t="s">
        <v>4014</v>
      </c>
      <c r="N549" s="44" t="s">
        <v>4015</v>
      </c>
      <c r="O549" s="22">
        <v>28.0</v>
      </c>
      <c r="P549" s="28">
        <v>4.0</v>
      </c>
      <c r="Q549" s="28">
        <v>26.0</v>
      </c>
      <c r="R549" s="84"/>
      <c r="S549" s="84"/>
      <c r="T549" s="84"/>
      <c r="U549" s="84"/>
      <c r="V549" s="84"/>
      <c r="W549" s="84"/>
      <c r="X549" s="84"/>
      <c r="Y549" s="84"/>
      <c r="Z549" s="84"/>
      <c r="AA549" s="84"/>
    </row>
    <row r="550" ht="15.75" customHeight="1">
      <c r="A550" s="14" t="s">
        <v>2137</v>
      </c>
      <c r="B550" s="15" t="s">
        <v>6656</v>
      </c>
      <c r="C550" s="14" t="s">
        <v>4016</v>
      </c>
      <c r="D550" s="14" t="s">
        <v>4017</v>
      </c>
      <c r="E550" s="26" t="s">
        <v>4018</v>
      </c>
      <c r="F550" s="14">
        <v>87.0</v>
      </c>
      <c r="G550" s="14" t="s">
        <v>4022</v>
      </c>
      <c r="H550" s="14" t="s">
        <v>28</v>
      </c>
      <c r="I550" s="19" t="s">
        <v>7034</v>
      </c>
      <c r="J550" s="19" t="s">
        <v>4023</v>
      </c>
      <c r="K550" s="19" t="s">
        <v>7036</v>
      </c>
      <c r="L550" s="19" t="s">
        <v>7037</v>
      </c>
      <c r="M550" s="20" t="s">
        <v>4025</v>
      </c>
      <c r="N550" s="27"/>
      <c r="O550" s="22">
        <v>145.0</v>
      </c>
      <c r="P550" s="28">
        <v>21.0</v>
      </c>
      <c r="Q550" s="28">
        <v>41.0</v>
      </c>
      <c r="R550" s="84"/>
      <c r="S550" s="84"/>
      <c r="T550" s="84"/>
      <c r="U550" s="84"/>
      <c r="V550" s="84"/>
      <c r="W550" s="84"/>
      <c r="X550" s="84"/>
      <c r="Y550" s="84"/>
      <c r="Z550" s="84"/>
      <c r="AA550" s="84"/>
    </row>
    <row r="551" ht="15.75" customHeight="1">
      <c r="A551" s="14" t="s">
        <v>2137</v>
      </c>
      <c r="B551" s="15" t="s">
        <v>6656</v>
      </c>
      <c r="C551" s="14" t="s">
        <v>4026</v>
      </c>
      <c r="D551" s="14" t="s">
        <v>4027</v>
      </c>
      <c r="E551" s="26" t="s">
        <v>4028</v>
      </c>
      <c r="F551" s="14">
        <v>97.0</v>
      </c>
      <c r="G551" s="14">
        <v>101.0</v>
      </c>
      <c r="H551" s="14" t="s">
        <v>28</v>
      </c>
      <c r="I551" s="19" t="s">
        <v>7070</v>
      </c>
      <c r="J551" s="19" t="s">
        <v>4029</v>
      </c>
      <c r="K551" s="19" t="s">
        <v>7072</v>
      </c>
      <c r="L551" s="19" t="s">
        <v>7073</v>
      </c>
      <c r="M551" s="20"/>
      <c r="N551" s="27"/>
      <c r="O551" s="22">
        <v>36.0</v>
      </c>
      <c r="P551" s="28">
        <v>1.0</v>
      </c>
      <c r="Q551" s="28">
        <v>11.0</v>
      </c>
      <c r="R551" s="84"/>
      <c r="S551" s="84"/>
      <c r="T551" s="84"/>
      <c r="U551" s="84"/>
      <c r="V551" s="84"/>
      <c r="W551" s="84"/>
      <c r="X551" s="84"/>
      <c r="Y551" s="84"/>
      <c r="Z551" s="84"/>
      <c r="AA551" s="84"/>
    </row>
    <row r="552" ht="15.75" customHeight="1">
      <c r="A552" s="14" t="s">
        <v>2137</v>
      </c>
      <c r="B552" s="15" t="s">
        <v>6656</v>
      </c>
      <c r="C552" s="14" t="s">
        <v>4031</v>
      </c>
      <c r="D552" s="14" t="s">
        <v>4032</v>
      </c>
      <c r="E552" s="26" t="s">
        <v>4033</v>
      </c>
      <c r="F552" s="14">
        <v>102.0</v>
      </c>
      <c r="G552" s="14" t="s">
        <v>4040</v>
      </c>
      <c r="H552" s="14" t="s">
        <v>28</v>
      </c>
      <c r="I552" s="19" t="s">
        <v>7109</v>
      </c>
      <c r="J552" s="19" t="s">
        <v>3405</v>
      </c>
      <c r="K552" s="19" t="s">
        <v>5176</v>
      </c>
      <c r="L552" s="19" t="s">
        <v>7111</v>
      </c>
      <c r="M552" s="20" t="s">
        <v>226</v>
      </c>
      <c r="N552" s="27"/>
      <c r="O552" s="31"/>
      <c r="P552" s="28">
        <v>7.0</v>
      </c>
      <c r="Q552" s="28">
        <v>12.0</v>
      </c>
      <c r="R552" s="84"/>
      <c r="S552" s="84"/>
      <c r="T552" s="84"/>
      <c r="U552" s="84"/>
      <c r="V552" s="84"/>
      <c r="W552" s="84"/>
      <c r="X552" s="84"/>
      <c r="Y552" s="84"/>
      <c r="Z552" s="84"/>
      <c r="AA552" s="84"/>
    </row>
    <row r="553" ht="15.75" customHeight="1">
      <c r="A553" s="14" t="s">
        <v>2137</v>
      </c>
      <c r="B553" s="15" t="s">
        <v>6656</v>
      </c>
      <c r="C553" s="14" t="s">
        <v>4042</v>
      </c>
      <c r="D553" s="14" t="s">
        <v>4043</v>
      </c>
      <c r="E553" s="26" t="s">
        <v>4044</v>
      </c>
      <c r="F553" s="14">
        <v>106.0</v>
      </c>
      <c r="G553" s="14" t="s">
        <v>4046</v>
      </c>
      <c r="H553" s="14" t="s">
        <v>28</v>
      </c>
      <c r="I553" s="19" t="s">
        <v>7146</v>
      </c>
      <c r="J553" s="19" t="s">
        <v>4047</v>
      </c>
      <c r="K553" s="19" t="s">
        <v>7147</v>
      </c>
      <c r="L553" s="19" t="s">
        <v>7148</v>
      </c>
      <c r="M553" s="20" t="s">
        <v>4049</v>
      </c>
      <c r="N553" s="86" t="s">
        <v>4050</v>
      </c>
      <c r="O553" s="22">
        <v>50.0</v>
      </c>
      <c r="P553" s="28">
        <v>3.0</v>
      </c>
      <c r="Q553" s="28">
        <v>17.0</v>
      </c>
      <c r="R553" s="84"/>
      <c r="S553" s="84"/>
      <c r="T553" s="84"/>
      <c r="U553" s="84"/>
      <c r="V553" s="84"/>
      <c r="W553" s="84"/>
      <c r="X553" s="84"/>
      <c r="Y553" s="84"/>
      <c r="Z553" s="84"/>
      <c r="AA553" s="84"/>
    </row>
    <row r="554" ht="15.75" customHeight="1">
      <c r="A554" s="14" t="s">
        <v>2137</v>
      </c>
      <c r="B554" s="15" t="s">
        <v>6656</v>
      </c>
      <c r="C554" s="14" t="s">
        <v>4052</v>
      </c>
      <c r="D554" s="14" t="s">
        <v>4053</v>
      </c>
      <c r="E554" s="26" t="s">
        <v>4055</v>
      </c>
      <c r="F554" s="14">
        <v>113.0</v>
      </c>
      <c r="G554" s="14" t="s">
        <v>4057</v>
      </c>
      <c r="H554" s="14" t="s">
        <v>28</v>
      </c>
      <c r="I554" s="19" t="s">
        <v>7207</v>
      </c>
      <c r="J554" s="19" t="s">
        <v>4058</v>
      </c>
      <c r="K554" s="19" t="s">
        <v>7209</v>
      </c>
      <c r="L554" s="19" t="s">
        <v>7211</v>
      </c>
      <c r="M554" s="20"/>
      <c r="N554" s="27"/>
      <c r="O554" s="31"/>
      <c r="P554" s="28">
        <v>10.0</v>
      </c>
      <c r="Q554" s="28">
        <v>18.0</v>
      </c>
      <c r="R554" s="84"/>
      <c r="S554" s="84"/>
      <c r="T554" s="84"/>
      <c r="U554" s="84"/>
      <c r="V554" s="84"/>
      <c r="W554" s="84"/>
      <c r="X554" s="84"/>
      <c r="Y554" s="84"/>
      <c r="Z554" s="84"/>
      <c r="AA554" s="84"/>
    </row>
    <row r="555" ht="15.75" customHeight="1">
      <c r="A555" s="14" t="s">
        <v>2137</v>
      </c>
      <c r="B555" s="15" t="s">
        <v>6656</v>
      </c>
      <c r="C555" s="14" t="s">
        <v>4060</v>
      </c>
      <c r="D555" s="14" t="s">
        <v>4061</v>
      </c>
      <c r="E555" s="26" t="s">
        <v>4062</v>
      </c>
      <c r="F555" s="14">
        <v>121.0</v>
      </c>
      <c r="G555" s="14" t="s">
        <v>4065</v>
      </c>
      <c r="H555" s="14" t="s">
        <v>28</v>
      </c>
      <c r="I555" s="19" t="s">
        <v>7237</v>
      </c>
      <c r="J555" s="19" t="s">
        <v>4066</v>
      </c>
      <c r="K555" s="19" t="s">
        <v>7239</v>
      </c>
      <c r="L555" s="19" t="s">
        <v>7248</v>
      </c>
      <c r="M555" s="20" t="s">
        <v>4068</v>
      </c>
      <c r="N555" s="44" t="s">
        <v>4069</v>
      </c>
      <c r="O555" s="22">
        <v>78.0</v>
      </c>
      <c r="P555" s="28">
        <v>15.0</v>
      </c>
      <c r="Q555" s="28">
        <v>26.0</v>
      </c>
      <c r="R555" s="84"/>
      <c r="S555" s="84"/>
      <c r="T555" s="84"/>
      <c r="U555" s="84"/>
      <c r="V555" s="84"/>
      <c r="W555" s="84"/>
      <c r="X555" s="84"/>
      <c r="Y555" s="84"/>
      <c r="Z555" s="84"/>
      <c r="AA555" s="84"/>
    </row>
    <row r="556" ht="15.75" customHeight="1">
      <c r="A556" s="14" t="s">
        <v>2137</v>
      </c>
      <c r="B556" s="15" t="s">
        <v>6656</v>
      </c>
      <c r="C556" s="14" t="s">
        <v>4070</v>
      </c>
      <c r="D556" s="14" t="s">
        <v>4071</v>
      </c>
      <c r="E556" s="26" t="s">
        <v>4072</v>
      </c>
      <c r="F556" s="14">
        <v>130.0</v>
      </c>
      <c r="G556" s="14">
        <v>136.0</v>
      </c>
      <c r="H556" s="14" t="s">
        <v>28</v>
      </c>
      <c r="I556" s="19" t="s">
        <v>7287</v>
      </c>
      <c r="J556" s="19" t="s">
        <v>4077</v>
      </c>
      <c r="K556" s="19" t="s">
        <v>4077</v>
      </c>
      <c r="L556" s="19" t="s">
        <v>7291</v>
      </c>
      <c r="M556" s="20" t="s">
        <v>4079</v>
      </c>
      <c r="N556" s="44" t="s">
        <v>4080</v>
      </c>
      <c r="O556" s="22">
        <v>50.0</v>
      </c>
      <c r="P556" s="28">
        <v>2.0</v>
      </c>
      <c r="Q556" s="28">
        <v>17.0</v>
      </c>
      <c r="R556" s="84"/>
      <c r="S556" s="84"/>
      <c r="T556" s="84"/>
      <c r="U556" s="84"/>
      <c r="V556" s="84"/>
      <c r="W556" s="84"/>
      <c r="X556" s="84"/>
      <c r="Y556" s="84"/>
      <c r="Z556" s="84"/>
      <c r="AA556" s="84"/>
    </row>
    <row r="557" ht="15.75" customHeight="1">
      <c r="A557" s="14" t="s">
        <v>2137</v>
      </c>
      <c r="B557" s="15" t="s">
        <v>6656</v>
      </c>
      <c r="C557" s="14" t="s">
        <v>4081</v>
      </c>
      <c r="D557" s="14" t="s">
        <v>4082</v>
      </c>
      <c r="E557" s="26" t="s">
        <v>4084</v>
      </c>
      <c r="F557" s="14">
        <v>137.0</v>
      </c>
      <c r="G557" s="14" t="s">
        <v>4090</v>
      </c>
      <c r="H557" s="14" t="s">
        <v>28</v>
      </c>
      <c r="I557" s="19" t="s">
        <v>7324</v>
      </c>
      <c r="J557" s="19" t="s">
        <v>4091</v>
      </c>
      <c r="K557" s="19" t="s">
        <v>7327</v>
      </c>
      <c r="L557" s="19" t="s">
        <v>7328</v>
      </c>
      <c r="M557" s="20" t="s">
        <v>4093</v>
      </c>
      <c r="N557" s="44" t="s">
        <v>4094</v>
      </c>
      <c r="O557" s="22">
        <v>108.0</v>
      </c>
      <c r="P557" s="28">
        <v>21.0</v>
      </c>
      <c r="Q557" s="28">
        <v>19.0</v>
      </c>
      <c r="R557" s="84"/>
      <c r="S557" s="84"/>
      <c r="T557" s="84"/>
      <c r="U557" s="84"/>
      <c r="V557" s="84"/>
      <c r="W557" s="84"/>
      <c r="X557" s="84"/>
      <c r="Y557" s="84"/>
      <c r="Z557" s="84"/>
      <c r="AA557" s="84"/>
    </row>
    <row r="558" ht="15.75" customHeight="1">
      <c r="A558" s="14" t="s">
        <v>17</v>
      </c>
      <c r="B558" s="15" t="s">
        <v>6656</v>
      </c>
      <c r="C558" s="14" t="s">
        <v>4095</v>
      </c>
      <c r="D558" s="14" t="s">
        <v>4096</v>
      </c>
      <c r="E558" s="26" t="s">
        <v>4097</v>
      </c>
      <c r="F558" s="14">
        <v>19.0</v>
      </c>
      <c r="G558" s="14">
        <v>26.0</v>
      </c>
      <c r="H558" s="14" t="s">
        <v>28</v>
      </c>
      <c r="I558" s="19" t="s">
        <v>7352</v>
      </c>
      <c r="J558" s="19" t="s">
        <v>4101</v>
      </c>
      <c r="K558" s="19" t="s">
        <v>7355</v>
      </c>
      <c r="L558" s="19" t="s">
        <v>7356</v>
      </c>
      <c r="M558" s="20" t="s">
        <v>4103</v>
      </c>
      <c r="N558" s="44" t="s">
        <v>4104</v>
      </c>
      <c r="O558" s="22">
        <v>473.0</v>
      </c>
      <c r="P558" s="28">
        <v>82.0</v>
      </c>
      <c r="Q558" s="28">
        <v>17.0</v>
      </c>
      <c r="R558" s="84"/>
      <c r="S558" s="84"/>
      <c r="T558" s="84"/>
      <c r="U558" s="84"/>
      <c r="V558" s="84"/>
      <c r="W558" s="84"/>
      <c r="X558" s="84"/>
      <c r="Y558" s="84"/>
      <c r="Z558" s="84"/>
      <c r="AA558" s="84"/>
    </row>
    <row r="559" ht="15.75" customHeight="1">
      <c r="A559" s="14" t="s">
        <v>17</v>
      </c>
      <c r="B559" s="15" t="s">
        <v>6656</v>
      </c>
      <c r="C559" s="14" t="s">
        <v>4105</v>
      </c>
      <c r="D559" s="14" t="s">
        <v>4107</v>
      </c>
      <c r="E559" s="26" t="s">
        <v>4108</v>
      </c>
      <c r="F559" s="14">
        <v>27.0</v>
      </c>
      <c r="G559" s="14">
        <v>33.0</v>
      </c>
      <c r="H559" s="14" t="s">
        <v>28</v>
      </c>
      <c r="I559" s="19" t="s">
        <v>7384</v>
      </c>
      <c r="J559" s="19" t="s">
        <v>4111</v>
      </c>
      <c r="K559" s="19" t="s">
        <v>7386</v>
      </c>
      <c r="L559" s="19" t="s">
        <v>7388</v>
      </c>
      <c r="M559" s="20"/>
      <c r="N559" s="44" t="s">
        <v>4113</v>
      </c>
      <c r="O559" s="22">
        <v>24.0</v>
      </c>
      <c r="P559" s="28">
        <v>5.0</v>
      </c>
      <c r="Q559" s="28">
        <v>21.0</v>
      </c>
      <c r="R559" s="84"/>
      <c r="S559" s="84"/>
      <c r="T559" s="84"/>
      <c r="U559" s="84"/>
      <c r="V559" s="84"/>
      <c r="W559" s="84"/>
      <c r="X559" s="84"/>
      <c r="Y559" s="84"/>
      <c r="Z559" s="84"/>
      <c r="AA559" s="84"/>
    </row>
    <row r="560" ht="15.75" customHeight="1">
      <c r="A560" s="14" t="s">
        <v>17</v>
      </c>
      <c r="B560" s="15" t="s">
        <v>6656</v>
      </c>
      <c r="C560" s="14" t="s">
        <v>4114</v>
      </c>
      <c r="D560" s="14" t="s">
        <v>4115</v>
      </c>
      <c r="E560" s="26" t="s">
        <v>4116</v>
      </c>
      <c r="F560" s="14">
        <v>35.0</v>
      </c>
      <c r="G560" s="14">
        <v>42.0</v>
      </c>
      <c r="H560" s="14" t="s">
        <v>28</v>
      </c>
      <c r="I560" s="19" t="s">
        <v>7419</v>
      </c>
      <c r="J560" s="19" t="s">
        <v>4120</v>
      </c>
      <c r="K560" s="19" t="s">
        <v>7422</v>
      </c>
      <c r="L560" s="19" t="s">
        <v>7424</v>
      </c>
      <c r="M560" s="20" t="s">
        <v>4122</v>
      </c>
      <c r="N560" s="27"/>
      <c r="O560" s="22">
        <v>1004.0</v>
      </c>
      <c r="P560" s="28">
        <v>147.0</v>
      </c>
      <c r="Q560" s="28">
        <v>23.0</v>
      </c>
      <c r="R560" s="30"/>
      <c r="S560" s="30"/>
      <c r="T560" s="30"/>
      <c r="U560" s="30"/>
      <c r="V560" s="30"/>
      <c r="W560" s="30"/>
      <c r="X560" s="30"/>
      <c r="Y560" s="30"/>
      <c r="Z560" s="30"/>
      <c r="AA560" s="30"/>
    </row>
    <row r="561" ht="15.75" customHeight="1">
      <c r="A561" s="14" t="s">
        <v>17</v>
      </c>
      <c r="B561" s="15" t="s">
        <v>6656</v>
      </c>
      <c r="C561" s="14" t="s">
        <v>4123</v>
      </c>
      <c r="D561" s="14" t="s">
        <v>4124</v>
      </c>
      <c r="E561" s="26" t="s">
        <v>4125</v>
      </c>
      <c r="F561" s="14">
        <v>43.0</v>
      </c>
      <c r="G561" s="14">
        <v>50.0</v>
      </c>
      <c r="H561" s="14" t="s">
        <v>28</v>
      </c>
      <c r="I561" s="19" t="s">
        <v>7453</v>
      </c>
      <c r="J561" s="19" t="s">
        <v>3530</v>
      </c>
      <c r="K561" s="19" t="s">
        <v>7455</v>
      </c>
      <c r="L561" s="19" t="s">
        <v>7457</v>
      </c>
      <c r="M561" s="20" t="s">
        <v>4129</v>
      </c>
      <c r="N561" s="27"/>
      <c r="O561" s="22">
        <v>172.0</v>
      </c>
      <c r="P561" s="28">
        <v>32.0</v>
      </c>
      <c r="Q561" s="28">
        <v>23.0</v>
      </c>
      <c r="R561" s="30"/>
      <c r="S561" s="30"/>
      <c r="T561" s="30"/>
      <c r="U561" s="30"/>
      <c r="V561" s="30"/>
      <c r="W561" s="30"/>
      <c r="X561" s="30"/>
      <c r="Y561" s="30"/>
      <c r="Z561" s="30"/>
      <c r="AA561" s="30"/>
    </row>
    <row r="562" ht="15.75" customHeight="1">
      <c r="A562" s="14" t="s">
        <v>17</v>
      </c>
      <c r="B562" s="15" t="s">
        <v>6656</v>
      </c>
      <c r="C562" s="14" t="s">
        <v>4130</v>
      </c>
      <c r="D562" s="14" t="s">
        <v>4131</v>
      </c>
      <c r="E562" s="26" t="s">
        <v>4132</v>
      </c>
      <c r="F562" s="14">
        <v>51.0</v>
      </c>
      <c r="G562" s="14">
        <v>58.0</v>
      </c>
      <c r="H562" s="14" t="s">
        <v>28</v>
      </c>
      <c r="I562" s="19" t="s">
        <v>7483</v>
      </c>
      <c r="J562" s="19" t="s">
        <v>3574</v>
      </c>
      <c r="K562" s="19" t="s">
        <v>5398</v>
      </c>
      <c r="L562" s="19" t="s">
        <v>7484</v>
      </c>
      <c r="M562" s="20" t="s">
        <v>4136</v>
      </c>
      <c r="N562" s="44" t="s">
        <v>4137</v>
      </c>
      <c r="O562" s="22">
        <v>116.0</v>
      </c>
      <c r="P562" s="28">
        <v>18.0</v>
      </c>
      <c r="Q562" s="28">
        <v>31.0</v>
      </c>
      <c r="R562" s="30"/>
      <c r="S562" s="30"/>
      <c r="T562" s="30"/>
      <c r="U562" s="30"/>
      <c r="V562" s="30"/>
      <c r="W562" s="30"/>
      <c r="X562" s="30"/>
      <c r="Y562" s="30"/>
      <c r="Z562" s="30"/>
      <c r="AA562" s="30"/>
    </row>
    <row r="563" ht="15.75" customHeight="1">
      <c r="A563" s="14" t="s">
        <v>17</v>
      </c>
      <c r="B563" s="15" t="s">
        <v>6656</v>
      </c>
      <c r="C563" s="14" t="s">
        <v>4138</v>
      </c>
      <c r="D563" s="14" t="s">
        <v>4139</v>
      </c>
      <c r="E563" s="26" t="s">
        <v>4140</v>
      </c>
      <c r="F563" s="14">
        <v>59.0</v>
      </c>
      <c r="G563" s="14">
        <v>66.0</v>
      </c>
      <c r="H563" s="14" t="s">
        <v>28</v>
      </c>
      <c r="I563" s="19" t="s">
        <v>7517</v>
      </c>
      <c r="J563" s="19" t="s">
        <v>4144</v>
      </c>
      <c r="K563" s="19" t="s">
        <v>7519</v>
      </c>
      <c r="L563" s="19" t="s">
        <v>7520</v>
      </c>
      <c r="M563" s="20" t="s">
        <v>1498</v>
      </c>
      <c r="N563" s="44" t="s">
        <v>4146</v>
      </c>
      <c r="O563" s="22">
        <v>149.0</v>
      </c>
      <c r="P563" s="28">
        <v>21.0</v>
      </c>
      <c r="Q563" s="28">
        <v>29.0</v>
      </c>
      <c r="R563" s="30"/>
      <c r="S563" s="30"/>
      <c r="T563" s="30"/>
      <c r="U563" s="30"/>
      <c r="V563" s="30"/>
      <c r="W563" s="30"/>
      <c r="X563" s="30"/>
      <c r="Y563" s="30"/>
      <c r="Z563" s="30"/>
      <c r="AA563" s="30"/>
    </row>
    <row r="564" ht="15.75" customHeight="1">
      <c r="A564" s="14" t="s">
        <v>17</v>
      </c>
      <c r="B564" s="15" t="s">
        <v>6656</v>
      </c>
      <c r="C564" s="14" t="s">
        <v>4147</v>
      </c>
      <c r="D564" s="14" t="s">
        <v>4148</v>
      </c>
      <c r="E564" s="26" t="s">
        <v>4149</v>
      </c>
      <c r="F564" s="14">
        <v>67.0</v>
      </c>
      <c r="G564" s="14">
        <v>72.0</v>
      </c>
      <c r="H564" s="14" t="s">
        <v>28</v>
      </c>
      <c r="I564" s="19" t="s">
        <v>7545</v>
      </c>
      <c r="J564" s="19" t="s">
        <v>4156</v>
      </c>
      <c r="K564" s="19" t="s">
        <v>7548</v>
      </c>
      <c r="L564" s="19" t="s">
        <v>7549</v>
      </c>
      <c r="M564" s="20"/>
      <c r="N564" s="27"/>
      <c r="O564" s="22">
        <v>59.0</v>
      </c>
      <c r="P564" s="28">
        <v>21.0</v>
      </c>
      <c r="Q564" s="28">
        <v>11.0</v>
      </c>
      <c r="R564" s="30"/>
      <c r="S564" s="30"/>
      <c r="T564" s="30"/>
      <c r="U564" s="30"/>
      <c r="V564" s="30"/>
      <c r="W564" s="30"/>
      <c r="X564" s="30"/>
      <c r="Y564" s="30"/>
      <c r="Z564" s="30"/>
      <c r="AA564" s="30"/>
    </row>
    <row r="565" ht="15.75" customHeight="1">
      <c r="A565" s="14" t="s">
        <v>17</v>
      </c>
      <c r="B565" s="15" t="s">
        <v>6656</v>
      </c>
      <c r="C565" s="14" t="s">
        <v>4160</v>
      </c>
      <c r="D565" s="14" t="s">
        <v>4161</v>
      </c>
      <c r="E565" s="26" t="s">
        <v>4163</v>
      </c>
      <c r="F565" s="14">
        <v>73.0</v>
      </c>
      <c r="G565" s="14">
        <v>77.0</v>
      </c>
      <c r="H565" s="14" t="s">
        <v>28</v>
      </c>
      <c r="I565" s="19" t="s">
        <v>7574</v>
      </c>
      <c r="J565" s="19" t="s">
        <v>4166</v>
      </c>
      <c r="K565" s="19" t="s">
        <v>7576</v>
      </c>
      <c r="L565" s="19" t="s">
        <v>7578</v>
      </c>
      <c r="M565" s="20" t="s">
        <v>2859</v>
      </c>
      <c r="N565" s="44" t="s">
        <v>4204</v>
      </c>
      <c r="O565" s="22">
        <v>50.0</v>
      </c>
      <c r="P565" s="28">
        <v>0.0</v>
      </c>
      <c r="Q565" s="28">
        <v>8.0</v>
      </c>
      <c r="R565" s="30"/>
      <c r="S565" s="30"/>
      <c r="T565" s="30"/>
      <c r="U565" s="30"/>
      <c r="V565" s="30"/>
      <c r="W565" s="30"/>
      <c r="X565" s="30"/>
      <c r="Y565" s="30"/>
      <c r="Z565" s="30"/>
      <c r="AA565" s="30"/>
    </row>
    <row r="566" ht="15.75" customHeight="1">
      <c r="A566" s="14" t="s">
        <v>17</v>
      </c>
      <c r="B566" s="15" t="s">
        <v>6656</v>
      </c>
      <c r="C566" s="14" t="s">
        <v>4205</v>
      </c>
      <c r="D566" s="14" t="s">
        <v>4206</v>
      </c>
      <c r="E566" s="26" t="s">
        <v>4207</v>
      </c>
      <c r="F566" s="14">
        <v>79.0</v>
      </c>
      <c r="G566" s="14">
        <v>86.0</v>
      </c>
      <c r="H566" s="14" t="s">
        <v>28</v>
      </c>
      <c r="I566" s="19" t="s">
        <v>7606</v>
      </c>
      <c r="J566" s="19" t="s">
        <v>2976</v>
      </c>
      <c r="K566" s="19" t="s">
        <v>4511</v>
      </c>
      <c r="L566" s="19" t="s">
        <v>4513</v>
      </c>
      <c r="M566" s="20" t="s">
        <v>4211</v>
      </c>
      <c r="N566" s="44" t="s">
        <v>4212</v>
      </c>
      <c r="O566" s="31"/>
      <c r="P566" s="28">
        <v>25.0</v>
      </c>
      <c r="Q566" s="28">
        <v>33.0</v>
      </c>
      <c r="R566" s="30"/>
      <c r="S566" s="30"/>
      <c r="T566" s="30"/>
      <c r="U566" s="30"/>
      <c r="V566" s="30"/>
      <c r="W566" s="30"/>
      <c r="X566" s="30"/>
      <c r="Y566" s="30"/>
      <c r="Z566" s="30"/>
      <c r="AA566" s="30"/>
    </row>
    <row r="567" ht="15.75" customHeight="1">
      <c r="A567" s="14" t="s">
        <v>17</v>
      </c>
      <c r="B567" s="15" t="s">
        <v>6656</v>
      </c>
      <c r="C567" s="14" t="s">
        <v>4213</v>
      </c>
      <c r="D567" s="14" t="s">
        <v>4214</v>
      </c>
      <c r="E567" s="26" t="s">
        <v>4215</v>
      </c>
      <c r="F567" s="14">
        <v>87.0</v>
      </c>
      <c r="G567" s="14">
        <v>94.0</v>
      </c>
      <c r="H567" s="14" t="s">
        <v>28</v>
      </c>
      <c r="I567" s="19" t="s">
        <v>7633</v>
      </c>
      <c r="J567" s="19" t="s">
        <v>4218</v>
      </c>
      <c r="K567" s="19" t="s">
        <v>7636</v>
      </c>
      <c r="L567" s="19" t="s">
        <v>1298</v>
      </c>
      <c r="M567" s="20" t="s">
        <v>4219</v>
      </c>
      <c r="N567" s="44" t="s">
        <v>4220</v>
      </c>
      <c r="O567" s="22">
        <v>41.0</v>
      </c>
      <c r="P567" s="28">
        <v>17.0</v>
      </c>
      <c r="Q567" s="28">
        <v>16.0</v>
      </c>
      <c r="R567" s="30"/>
      <c r="S567" s="30"/>
      <c r="T567" s="30"/>
      <c r="U567" s="30"/>
      <c r="V567" s="30"/>
      <c r="W567" s="30"/>
      <c r="X567" s="30"/>
      <c r="Y567" s="30"/>
      <c r="Z567" s="30"/>
      <c r="AA567" s="30"/>
    </row>
    <row r="568" ht="15.75" customHeight="1">
      <c r="A568" s="14" t="s">
        <v>17</v>
      </c>
      <c r="B568" s="15" t="s">
        <v>6656</v>
      </c>
      <c r="C568" s="14" t="s">
        <v>4221</v>
      </c>
      <c r="D568" s="14" t="s">
        <v>4222</v>
      </c>
      <c r="E568" s="26" t="s">
        <v>4223</v>
      </c>
      <c r="F568" s="14">
        <v>95.0</v>
      </c>
      <c r="G568" s="14">
        <v>102.0</v>
      </c>
      <c r="H568" s="14" t="s">
        <v>28</v>
      </c>
      <c r="I568" s="19" t="s">
        <v>7655</v>
      </c>
      <c r="J568" s="19" t="s">
        <v>7657</v>
      </c>
      <c r="K568" s="19" t="s">
        <v>7659</v>
      </c>
      <c r="L568" s="19" t="s">
        <v>5530</v>
      </c>
      <c r="M568" s="20" t="s">
        <v>4228</v>
      </c>
      <c r="N568" s="44" t="s">
        <v>4229</v>
      </c>
      <c r="O568" s="22">
        <v>25.0</v>
      </c>
      <c r="P568" s="28">
        <v>6.0</v>
      </c>
      <c r="Q568" s="28">
        <v>20.0</v>
      </c>
      <c r="R568" s="30"/>
      <c r="S568" s="30"/>
      <c r="T568" s="30"/>
      <c r="U568" s="30"/>
      <c r="V568" s="30"/>
      <c r="W568" s="30"/>
      <c r="X568" s="30"/>
      <c r="Y568" s="30"/>
      <c r="Z568" s="30"/>
      <c r="AA568" s="30"/>
    </row>
    <row r="569" ht="15.75" customHeight="1">
      <c r="A569" s="14" t="s">
        <v>17</v>
      </c>
      <c r="B569" s="15" t="s">
        <v>6656</v>
      </c>
      <c r="C569" s="14" t="s">
        <v>4230</v>
      </c>
      <c r="D569" s="30" t="s">
        <v>4231</v>
      </c>
      <c r="E569" s="87" t="s">
        <v>4232</v>
      </c>
      <c r="F569" s="14">
        <v>103.0</v>
      </c>
      <c r="G569" s="14">
        <v>109.0</v>
      </c>
      <c r="H569" s="14" t="s">
        <v>28</v>
      </c>
      <c r="I569" s="19" t="s">
        <v>7725</v>
      </c>
      <c r="J569" s="19" t="s">
        <v>4233</v>
      </c>
      <c r="K569" s="19" t="s">
        <v>7730</v>
      </c>
      <c r="L569" s="19" t="s">
        <v>5251</v>
      </c>
      <c r="M569" s="20" t="s">
        <v>4234</v>
      </c>
      <c r="N569" s="27"/>
      <c r="O569" s="22">
        <v>77.0</v>
      </c>
      <c r="P569" s="28">
        <v>25.0</v>
      </c>
      <c r="Q569" s="28">
        <v>17.0</v>
      </c>
      <c r="R569" s="30"/>
      <c r="S569" s="30"/>
      <c r="T569" s="30"/>
      <c r="U569" s="30"/>
      <c r="V569" s="30"/>
      <c r="W569" s="30"/>
      <c r="X569" s="30"/>
      <c r="Y569" s="30"/>
      <c r="Z569" s="30"/>
      <c r="AA569" s="30"/>
    </row>
    <row r="570" ht="15.75" customHeight="1">
      <c r="A570" s="14" t="s">
        <v>17</v>
      </c>
      <c r="B570" s="15" t="s">
        <v>6656</v>
      </c>
      <c r="C570" s="14" t="s">
        <v>4235</v>
      </c>
      <c r="D570" s="14" t="s">
        <v>4237</v>
      </c>
      <c r="E570" s="26" t="s">
        <v>4238</v>
      </c>
      <c r="F570" s="14">
        <v>111.0</v>
      </c>
      <c r="G570" s="14">
        <v>118.0</v>
      </c>
      <c r="H570" s="14" t="s">
        <v>28</v>
      </c>
      <c r="I570" s="19" t="s">
        <v>7762</v>
      </c>
      <c r="J570" s="19" t="s">
        <v>4241</v>
      </c>
      <c r="K570" s="19" t="s">
        <v>7764</v>
      </c>
      <c r="L570" s="19" t="s">
        <v>7766</v>
      </c>
      <c r="M570" s="20" t="s">
        <v>4243</v>
      </c>
      <c r="N570" s="44" t="s">
        <v>4244</v>
      </c>
      <c r="O570" s="22">
        <v>88.0</v>
      </c>
      <c r="P570" s="28">
        <v>11.0</v>
      </c>
      <c r="Q570" s="28">
        <v>21.0</v>
      </c>
      <c r="R570" s="30"/>
      <c r="S570" s="30"/>
      <c r="T570" s="30"/>
      <c r="U570" s="30"/>
      <c r="V570" s="30"/>
      <c r="W570" s="30"/>
      <c r="X570" s="30"/>
      <c r="Y570" s="30"/>
      <c r="Z570" s="30"/>
      <c r="AA570" s="30"/>
    </row>
    <row r="571" ht="15.75" customHeight="1">
      <c r="A571" s="14" t="s">
        <v>17</v>
      </c>
      <c r="B571" s="15" t="s">
        <v>6656</v>
      </c>
      <c r="C571" s="14" t="s">
        <v>4245</v>
      </c>
      <c r="D571" s="14" t="s">
        <v>4246</v>
      </c>
      <c r="E571" s="26" t="s">
        <v>4247</v>
      </c>
      <c r="F571" s="14">
        <v>119.0</v>
      </c>
      <c r="G571" s="14">
        <v>126.0</v>
      </c>
      <c r="H571" s="14" t="s">
        <v>28</v>
      </c>
      <c r="I571" s="19" t="s">
        <v>7796</v>
      </c>
      <c r="J571" s="19" t="s">
        <v>4248</v>
      </c>
      <c r="K571" s="19" t="s">
        <v>7799</v>
      </c>
      <c r="L571" s="19" t="s">
        <v>7800</v>
      </c>
      <c r="M571" s="20" t="s">
        <v>4250</v>
      </c>
      <c r="N571" s="44" t="s">
        <v>4251</v>
      </c>
      <c r="O571" s="22">
        <v>7.0</v>
      </c>
      <c r="P571" s="28">
        <v>1.0</v>
      </c>
      <c r="Q571" s="28">
        <v>23.0</v>
      </c>
      <c r="R571" s="30"/>
      <c r="S571" s="30"/>
      <c r="T571" s="30"/>
      <c r="U571" s="30"/>
      <c r="V571" s="30"/>
      <c r="W571" s="30"/>
      <c r="X571" s="30"/>
      <c r="Y571" s="30"/>
      <c r="Z571" s="30"/>
      <c r="AA571" s="30"/>
    </row>
    <row r="572" ht="15.75" customHeight="1">
      <c r="A572" s="14" t="s">
        <v>17</v>
      </c>
      <c r="B572" s="15" t="s">
        <v>6656</v>
      </c>
      <c r="C572" s="14" t="s">
        <v>4252</v>
      </c>
      <c r="D572" s="14" t="s">
        <v>4253</v>
      </c>
      <c r="E572" s="26" t="s">
        <v>4254</v>
      </c>
      <c r="F572" s="14">
        <v>127.0</v>
      </c>
      <c r="G572" s="14">
        <v>134.0</v>
      </c>
      <c r="H572" s="14" t="s">
        <v>28</v>
      </c>
      <c r="I572" s="19" t="s">
        <v>9053</v>
      </c>
      <c r="J572" s="19" t="s">
        <v>4255</v>
      </c>
      <c r="K572" s="19" t="s">
        <v>9056</v>
      </c>
      <c r="L572" s="19" t="s">
        <v>9057</v>
      </c>
      <c r="M572" s="20" t="s">
        <v>1135</v>
      </c>
      <c r="N572" s="44" t="s">
        <v>4257</v>
      </c>
      <c r="O572" s="22">
        <v>198.0</v>
      </c>
      <c r="P572" s="28">
        <v>55.0</v>
      </c>
      <c r="Q572" s="28">
        <v>26.0</v>
      </c>
      <c r="R572" s="30"/>
      <c r="S572" s="30"/>
      <c r="T572" s="30"/>
      <c r="U572" s="30"/>
      <c r="V572" s="30"/>
      <c r="W572" s="30"/>
      <c r="X572" s="30"/>
      <c r="Y572" s="30"/>
      <c r="Z572" s="30"/>
      <c r="AA572" s="30"/>
    </row>
    <row r="573" ht="15.75" customHeight="1">
      <c r="A573" s="14" t="s">
        <v>17</v>
      </c>
      <c r="B573" s="15" t="s">
        <v>6656</v>
      </c>
      <c r="C573" s="14" t="s">
        <v>4258</v>
      </c>
      <c r="D573" s="14" t="s">
        <v>4259</v>
      </c>
      <c r="E573" s="26" t="s">
        <v>4260</v>
      </c>
      <c r="F573" s="14">
        <v>135.0</v>
      </c>
      <c r="G573" s="14">
        <v>142.0</v>
      </c>
      <c r="H573" s="14" t="s">
        <v>28</v>
      </c>
      <c r="I573" s="19" t="s">
        <v>9090</v>
      </c>
      <c r="J573" s="19" t="s">
        <v>4261</v>
      </c>
      <c r="K573" s="19" t="s">
        <v>9094</v>
      </c>
      <c r="L573" s="19" t="s">
        <v>9096</v>
      </c>
      <c r="M573" s="20" t="s">
        <v>4264</v>
      </c>
      <c r="N573" s="44" t="s">
        <v>4265</v>
      </c>
      <c r="O573" s="22">
        <v>72.0</v>
      </c>
      <c r="P573" s="28">
        <v>22.0</v>
      </c>
      <c r="Q573" s="28">
        <v>12.0</v>
      </c>
      <c r="R573" s="30"/>
      <c r="S573" s="30"/>
      <c r="T573" s="30"/>
      <c r="U573" s="30"/>
      <c r="V573" s="30"/>
      <c r="W573" s="30"/>
      <c r="X573" s="30"/>
      <c r="Y573" s="30"/>
      <c r="Z573" s="30"/>
      <c r="AA573" s="30"/>
    </row>
    <row r="574" ht="15.75" customHeight="1">
      <c r="A574" s="14" t="s">
        <v>17</v>
      </c>
      <c r="B574" s="15" t="s">
        <v>6656</v>
      </c>
      <c r="C574" s="14" t="s">
        <v>4266</v>
      </c>
      <c r="D574" s="14" t="s">
        <v>4267</v>
      </c>
      <c r="E574" s="26" t="s">
        <v>4268</v>
      </c>
      <c r="F574" s="14">
        <v>143.0</v>
      </c>
      <c r="G574" s="14">
        <v>150.0</v>
      </c>
      <c r="H574" s="14" t="s">
        <v>28</v>
      </c>
      <c r="I574" s="19" t="s">
        <v>9133</v>
      </c>
      <c r="J574" s="19" t="s">
        <v>3168</v>
      </c>
      <c r="K574" s="19" t="s">
        <v>4843</v>
      </c>
      <c r="L574" s="19" t="s">
        <v>9137</v>
      </c>
      <c r="M574" s="20" t="s">
        <v>4272</v>
      </c>
      <c r="N574" s="27"/>
      <c r="O574" s="22">
        <v>159.0</v>
      </c>
      <c r="P574" s="28">
        <v>42.0</v>
      </c>
      <c r="Q574" s="28">
        <v>26.0</v>
      </c>
      <c r="R574" s="30"/>
      <c r="S574" s="30"/>
      <c r="T574" s="30"/>
      <c r="U574" s="30"/>
      <c r="V574" s="30"/>
      <c r="W574" s="30"/>
      <c r="X574" s="30"/>
      <c r="Y574" s="30"/>
      <c r="Z574" s="30"/>
      <c r="AA574" s="30"/>
    </row>
    <row r="575" ht="15.75" customHeight="1">
      <c r="A575" s="14" t="s">
        <v>17</v>
      </c>
      <c r="B575" s="15" t="s">
        <v>6656</v>
      </c>
      <c r="C575" s="14" t="s">
        <v>4273</v>
      </c>
      <c r="D575" s="14" t="s">
        <v>4274</v>
      </c>
      <c r="E575" s="26" t="s">
        <v>4275</v>
      </c>
      <c r="F575" s="14">
        <v>151.0</v>
      </c>
      <c r="G575" s="14">
        <v>158.0</v>
      </c>
      <c r="H575" s="14" t="s">
        <v>28</v>
      </c>
      <c r="I575" s="19" t="s">
        <v>9178</v>
      </c>
      <c r="J575" s="19" t="s">
        <v>4276</v>
      </c>
      <c r="K575" s="19" t="s">
        <v>9181</v>
      </c>
      <c r="L575" s="19" t="s">
        <v>9183</v>
      </c>
      <c r="M575" s="20" t="s">
        <v>4278</v>
      </c>
      <c r="N575" s="27"/>
      <c r="O575" s="22">
        <v>72.0</v>
      </c>
      <c r="P575" s="28">
        <v>23.0</v>
      </c>
      <c r="Q575" s="28">
        <v>19.0</v>
      </c>
      <c r="R575" s="30"/>
      <c r="S575" s="30"/>
      <c r="T575" s="30"/>
      <c r="U575" s="30"/>
      <c r="V575" s="30"/>
      <c r="W575" s="30"/>
      <c r="X575" s="30"/>
      <c r="Y575" s="30"/>
      <c r="Z575" s="30"/>
      <c r="AA575" s="30"/>
    </row>
    <row r="576" ht="15.75" customHeight="1">
      <c r="A576" s="14" t="s">
        <v>17</v>
      </c>
      <c r="B576" s="15" t="s">
        <v>6656</v>
      </c>
      <c r="C576" s="14" t="s">
        <v>4279</v>
      </c>
      <c r="D576" s="14" t="s">
        <v>4280</v>
      </c>
      <c r="E576" s="26" t="s">
        <v>4282</v>
      </c>
      <c r="F576" s="14">
        <v>159.0</v>
      </c>
      <c r="G576" s="14">
        <v>166.0</v>
      </c>
      <c r="H576" s="14" t="s">
        <v>28</v>
      </c>
      <c r="I576" s="19" t="s">
        <v>9214</v>
      </c>
      <c r="J576" s="19" t="s">
        <v>4285</v>
      </c>
      <c r="K576" s="19" t="s">
        <v>9216</v>
      </c>
      <c r="L576" s="19" t="s">
        <v>6061</v>
      </c>
      <c r="M576" s="20" t="s">
        <v>4286</v>
      </c>
      <c r="N576" s="44" t="s">
        <v>4287</v>
      </c>
      <c r="O576" s="22">
        <v>99.0</v>
      </c>
      <c r="P576" s="28">
        <v>21.0</v>
      </c>
      <c r="Q576" s="28">
        <v>18.0</v>
      </c>
      <c r="R576" s="30"/>
      <c r="S576" s="30"/>
      <c r="T576" s="30"/>
      <c r="U576" s="30"/>
      <c r="V576" s="30"/>
      <c r="W576" s="30"/>
      <c r="X576" s="30"/>
      <c r="Y576" s="30"/>
      <c r="Z576" s="30"/>
      <c r="AA576" s="30"/>
    </row>
    <row r="577" ht="15.75" customHeight="1">
      <c r="A577" s="14" t="s">
        <v>17</v>
      </c>
      <c r="B577" s="15" t="s">
        <v>6656</v>
      </c>
      <c r="C577" s="14" t="s">
        <v>4288</v>
      </c>
      <c r="D577" s="14" t="s">
        <v>4289</v>
      </c>
      <c r="E577" s="26" t="s">
        <v>4290</v>
      </c>
      <c r="F577" s="14">
        <v>167.0</v>
      </c>
      <c r="G577" s="14">
        <v>174.0</v>
      </c>
      <c r="H577" s="14" t="s">
        <v>28</v>
      </c>
      <c r="I577" s="19" t="s">
        <v>9245</v>
      </c>
      <c r="J577" s="19" t="s">
        <v>9247</v>
      </c>
      <c r="K577" s="19" t="s">
        <v>9249</v>
      </c>
      <c r="L577" s="18"/>
      <c r="M577" s="20" t="s">
        <v>4295</v>
      </c>
      <c r="N577" s="44" t="s">
        <v>4296</v>
      </c>
      <c r="O577" s="22">
        <v>178.0</v>
      </c>
      <c r="P577" s="28">
        <v>42.0</v>
      </c>
      <c r="Q577" s="28">
        <v>28.0</v>
      </c>
      <c r="R577" s="30"/>
      <c r="S577" s="30"/>
      <c r="T577" s="30"/>
      <c r="U577" s="30"/>
      <c r="V577" s="30"/>
      <c r="W577" s="30"/>
      <c r="X577" s="30"/>
      <c r="Y577" s="30"/>
      <c r="Z577" s="30"/>
      <c r="AA577" s="30"/>
    </row>
    <row r="578" ht="15.75" customHeight="1">
      <c r="A578" s="14" t="s">
        <v>17</v>
      </c>
      <c r="B578" s="15" t="s">
        <v>6656</v>
      </c>
      <c r="C578" s="14" t="s">
        <v>4297</v>
      </c>
      <c r="D578" s="14" t="s">
        <v>4298</v>
      </c>
      <c r="E578" s="26" t="s">
        <v>4299</v>
      </c>
      <c r="F578" s="14">
        <v>175.0</v>
      </c>
      <c r="G578" s="14">
        <v>180.0</v>
      </c>
      <c r="H578" s="14" t="s">
        <v>28</v>
      </c>
      <c r="I578" s="19" t="s">
        <v>9275</v>
      </c>
      <c r="J578" s="19" t="s">
        <v>4300</v>
      </c>
      <c r="K578" s="19" t="s">
        <v>9277</v>
      </c>
      <c r="L578" s="19" t="s">
        <v>1633</v>
      </c>
      <c r="M578" s="20" t="s">
        <v>4301</v>
      </c>
      <c r="N578" s="27"/>
      <c r="O578" s="22">
        <v>136.0</v>
      </c>
      <c r="P578" s="28">
        <v>38.0</v>
      </c>
      <c r="Q578" s="28">
        <v>23.0</v>
      </c>
      <c r="R578" s="30"/>
      <c r="S578" s="30"/>
      <c r="T578" s="30"/>
      <c r="U578" s="30"/>
      <c r="V578" s="30"/>
      <c r="W578" s="30"/>
      <c r="X578" s="30"/>
      <c r="Y578" s="30"/>
      <c r="Z578" s="30"/>
      <c r="AA578" s="30"/>
    </row>
    <row r="579" ht="15.75" customHeight="1">
      <c r="A579" s="14" t="s">
        <v>17</v>
      </c>
      <c r="B579" s="15" t="s">
        <v>6656</v>
      </c>
      <c r="C579" s="14" t="s">
        <v>4302</v>
      </c>
      <c r="D579" s="14" t="s">
        <v>4303</v>
      </c>
      <c r="E579" s="26" t="s">
        <v>4304</v>
      </c>
      <c r="F579" s="14">
        <v>181.0</v>
      </c>
      <c r="G579" s="14">
        <v>188.0</v>
      </c>
      <c r="H579" s="14" t="s">
        <v>28</v>
      </c>
      <c r="I579" s="19" t="s">
        <v>9306</v>
      </c>
      <c r="J579" s="19" t="s">
        <v>4340</v>
      </c>
      <c r="K579" s="19" t="s">
        <v>9310</v>
      </c>
      <c r="L579" s="19" t="s">
        <v>9312</v>
      </c>
      <c r="M579" s="20" t="s">
        <v>4342</v>
      </c>
      <c r="N579" s="44" t="s">
        <v>4343</v>
      </c>
      <c r="O579" s="22">
        <v>66.0</v>
      </c>
      <c r="P579" s="28">
        <v>13.0</v>
      </c>
      <c r="Q579" s="28">
        <v>34.0</v>
      </c>
      <c r="R579" s="30"/>
      <c r="S579" s="30"/>
      <c r="T579" s="30"/>
      <c r="U579" s="30"/>
      <c r="V579" s="30"/>
      <c r="W579" s="30"/>
      <c r="X579" s="30"/>
      <c r="Y579" s="30"/>
      <c r="Z579" s="30"/>
      <c r="AA579" s="30"/>
    </row>
    <row r="580" ht="15.75" customHeight="1">
      <c r="A580" s="14" t="s">
        <v>17</v>
      </c>
      <c r="B580" s="15" t="s">
        <v>6656</v>
      </c>
      <c r="C580" s="14" t="s">
        <v>4344</v>
      </c>
      <c r="D580" s="14" t="s">
        <v>4345</v>
      </c>
      <c r="E580" s="26" t="s">
        <v>4346</v>
      </c>
      <c r="F580" s="14">
        <v>189.0</v>
      </c>
      <c r="G580" s="14">
        <v>196.0</v>
      </c>
      <c r="H580" s="14" t="s">
        <v>28</v>
      </c>
      <c r="I580" s="19" t="s">
        <v>9367</v>
      </c>
      <c r="J580" s="19" t="s">
        <v>4349</v>
      </c>
      <c r="K580" s="19" t="s">
        <v>9370</v>
      </c>
      <c r="L580" s="19" t="s">
        <v>7328</v>
      </c>
      <c r="M580" s="20" t="s">
        <v>4350</v>
      </c>
      <c r="N580" s="44" t="s">
        <v>4351</v>
      </c>
      <c r="O580" s="31"/>
      <c r="P580" s="28">
        <v>26.0</v>
      </c>
      <c r="Q580" s="28">
        <v>24.0</v>
      </c>
      <c r="R580" s="30"/>
      <c r="S580" s="30"/>
      <c r="T580" s="30"/>
      <c r="U580" s="30"/>
      <c r="V580" s="30"/>
      <c r="W580" s="30"/>
      <c r="X580" s="30"/>
      <c r="Y580" s="30"/>
      <c r="Z580" s="30"/>
      <c r="AA580" s="30"/>
    </row>
    <row r="581" ht="15.75" customHeight="1">
      <c r="A581" s="14" t="s">
        <v>17</v>
      </c>
      <c r="B581" s="15" t="s">
        <v>6656</v>
      </c>
      <c r="C581" s="14" t="s">
        <v>4352</v>
      </c>
      <c r="D581" s="14" t="s">
        <v>4353</v>
      </c>
      <c r="E581" s="26" t="s">
        <v>4354</v>
      </c>
      <c r="F581" s="14">
        <v>197.0</v>
      </c>
      <c r="G581" s="14">
        <v>204.0</v>
      </c>
      <c r="H581" s="14" t="s">
        <v>28</v>
      </c>
      <c r="I581" s="19" t="s">
        <v>9419</v>
      </c>
      <c r="J581" s="19" t="s">
        <v>4356</v>
      </c>
      <c r="K581" s="19" t="s">
        <v>9422</v>
      </c>
      <c r="L581" s="19" t="s">
        <v>2509</v>
      </c>
      <c r="M581" s="20"/>
      <c r="N581" s="44" t="s">
        <v>4359</v>
      </c>
      <c r="O581" s="22">
        <v>76.0</v>
      </c>
      <c r="P581" s="28">
        <v>11.0</v>
      </c>
      <c r="Q581" s="28">
        <v>0.0</v>
      </c>
      <c r="R581" s="30"/>
      <c r="S581" s="30"/>
      <c r="T581" s="30"/>
      <c r="U581" s="30"/>
      <c r="V581" s="30"/>
      <c r="W581" s="30"/>
      <c r="X581" s="30"/>
      <c r="Y581" s="30"/>
      <c r="Z581" s="30"/>
      <c r="AA581" s="30"/>
    </row>
    <row r="582" ht="15.75" customHeight="1">
      <c r="A582" s="14" t="s">
        <v>17</v>
      </c>
      <c r="B582" s="15" t="s">
        <v>6656</v>
      </c>
      <c r="C582" s="14" t="s">
        <v>4360</v>
      </c>
      <c r="D582" s="14" t="s">
        <v>4361</v>
      </c>
      <c r="E582" s="26" t="s">
        <v>4362</v>
      </c>
      <c r="F582" s="14">
        <v>205.0</v>
      </c>
      <c r="G582" s="14">
        <v>210.0</v>
      </c>
      <c r="H582" s="14" t="s">
        <v>28</v>
      </c>
      <c r="I582" s="19" t="s">
        <v>9462</v>
      </c>
      <c r="J582" s="19" t="s">
        <v>4363</v>
      </c>
      <c r="K582" s="19" t="s">
        <v>9465</v>
      </c>
      <c r="L582" s="19" t="s">
        <v>9466</v>
      </c>
      <c r="M582" s="20"/>
      <c r="N582" s="44" t="s">
        <v>4365</v>
      </c>
      <c r="O582" s="22">
        <v>50.0</v>
      </c>
      <c r="P582" s="28">
        <v>1.0</v>
      </c>
      <c r="Q582" s="28">
        <v>18.0</v>
      </c>
      <c r="R582" s="30"/>
      <c r="S582" s="30"/>
      <c r="T582" s="30"/>
      <c r="U582" s="30"/>
      <c r="V582" s="30"/>
      <c r="W582" s="30"/>
      <c r="X582" s="30"/>
      <c r="Y582" s="30"/>
      <c r="Z582" s="30"/>
      <c r="AA582" s="30"/>
    </row>
    <row r="583" ht="15.75" customHeight="1">
      <c r="A583" s="14" t="s">
        <v>17</v>
      </c>
      <c r="B583" s="15" t="s">
        <v>6656</v>
      </c>
      <c r="C583" s="14" t="s">
        <v>4366</v>
      </c>
      <c r="D583" s="14" t="s">
        <v>4367</v>
      </c>
      <c r="E583" s="26" t="s">
        <v>4368</v>
      </c>
      <c r="F583" s="14">
        <v>211.0</v>
      </c>
      <c r="G583" s="14">
        <v>215.0</v>
      </c>
      <c r="H583" s="14" t="s">
        <v>28</v>
      </c>
      <c r="I583" s="19" t="s">
        <v>9513</v>
      </c>
      <c r="J583" s="19" t="s">
        <v>4369</v>
      </c>
      <c r="K583" s="19" t="s">
        <v>9516</v>
      </c>
      <c r="L583" s="19" t="s">
        <v>6028</v>
      </c>
      <c r="M583" s="20" t="s">
        <v>3707</v>
      </c>
      <c r="N583" s="44" t="s">
        <v>4371</v>
      </c>
      <c r="O583" s="22">
        <v>63.0</v>
      </c>
      <c r="P583" s="28">
        <v>16.0</v>
      </c>
      <c r="Q583" s="28">
        <v>8.0</v>
      </c>
      <c r="R583" s="30"/>
      <c r="S583" s="30"/>
      <c r="T583" s="30"/>
      <c r="U583" s="30"/>
      <c r="V583" s="30"/>
      <c r="W583" s="30"/>
      <c r="X583" s="30"/>
      <c r="Y583" s="30"/>
      <c r="Z583" s="30"/>
      <c r="AA583" s="30"/>
    </row>
    <row r="584" ht="15.75" customHeight="1">
      <c r="A584" s="14" t="s">
        <v>17</v>
      </c>
      <c r="B584" s="15" t="s">
        <v>6656</v>
      </c>
      <c r="C584" s="14" t="s">
        <v>4372</v>
      </c>
      <c r="D584" s="14" t="s">
        <v>4373</v>
      </c>
      <c r="E584" s="26" t="s">
        <v>4374</v>
      </c>
      <c r="F584" s="14">
        <v>217.0</v>
      </c>
      <c r="G584" s="14">
        <v>224.0</v>
      </c>
      <c r="H584" s="14" t="s">
        <v>28</v>
      </c>
      <c r="I584" s="19" t="s">
        <v>9571</v>
      </c>
      <c r="J584" s="19" t="s">
        <v>4375</v>
      </c>
      <c r="K584" s="19" t="s">
        <v>9575</v>
      </c>
      <c r="L584" s="19" t="s">
        <v>9576</v>
      </c>
      <c r="M584" s="20" t="s">
        <v>3686</v>
      </c>
      <c r="N584" s="44" t="s">
        <v>4377</v>
      </c>
      <c r="O584" s="22">
        <v>24.0</v>
      </c>
      <c r="P584" s="28">
        <v>10.0</v>
      </c>
      <c r="Q584" s="28">
        <v>26.0</v>
      </c>
      <c r="R584" s="30"/>
      <c r="S584" s="30"/>
      <c r="T584" s="30"/>
      <c r="U584" s="30"/>
      <c r="V584" s="30"/>
      <c r="W584" s="30"/>
      <c r="X584" s="30"/>
      <c r="Y584" s="30"/>
      <c r="Z584" s="30"/>
      <c r="AA584" s="30"/>
    </row>
    <row r="585" ht="15.75" customHeight="1">
      <c r="A585" s="14" t="s">
        <v>17</v>
      </c>
      <c r="B585" s="15" t="s">
        <v>6656</v>
      </c>
      <c r="C585" s="14" t="s">
        <v>4380</v>
      </c>
      <c r="D585" s="14" t="s">
        <v>4382</v>
      </c>
      <c r="E585" s="26" t="s">
        <v>4383</v>
      </c>
      <c r="F585" s="14">
        <v>225.0</v>
      </c>
      <c r="G585" s="14">
        <v>231.0</v>
      </c>
      <c r="H585" s="14" t="s">
        <v>28</v>
      </c>
      <c r="I585" s="19" t="s">
        <v>9626</v>
      </c>
      <c r="J585" s="19" t="s">
        <v>4385</v>
      </c>
      <c r="K585" s="19" t="s">
        <v>9629</v>
      </c>
      <c r="L585" s="19" t="s">
        <v>9630</v>
      </c>
      <c r="M585" s="20" t="s">
        <v>4387</v>
      </c>
      <c r="N585" s="27"/>
      <c r="O585" s="22">
        <v>50.0</v>
      </c>
      <c r="P585" s="28">
        <v>4.0</v>
      </c>
      <c r="Q585" s="28">
        <v>18.0</v>
      </c>
      <c r="R585" s="30"/>
      <c r="S585" s="30"/>
      <c r="T585" s="30"/>
      <c r="U585" s="30"/>
      <c r="V585" s="30"/>
      <c r="W585" s="30"/>
      <c r="X585" s="30"/>
      <c r="Y585" s="30"/>
      <c r="Z585" s="30"/>
      <c r="AA585" s="30"/>
    </row>
    <row r="586" ht="15.75" customHeight="1">
      <c r="A586" s="14" t="s">
        <v>17</v>
      </c>
      <c r="B586" s="15" t="s">
        <v>6656</v>
      </c>
      <c r="C586" s="14" t="s">
        <v>4388</v>
      </c>
      <c r="D586" s="14" t="s">
        <v>4390</v>
      </c>
      <c r="E586" s="26" t="s">
        <v>4392</v>
      </c>
      <c r="F586" s="14">
        <v>239.0</v>
      </c>
      <c r="G586" s="14">
        <v>245.0</v>
      </c>
      <c r="H586" s="14" t="s">
        <v>28</v>
      </c>
      <c r="I586" s="19" t="s">
        <v>9689</v>
      </c>
      <c r="J586" s="19" t="s">
        <v>4393</v>
      </c>
      <c r="K586" s="19" t="s">
        <v>9692</v>
      </c>
      <c r="L586" s="19" t="s">
        <v>4119</v>
      </c>
      <c r="M586" s="20" t="s">
        <v>4394</v>
      </c>
      <c r="N586" s="27"/>
      <c r="O586" s="22">
        <v>118.0</v>
      </c>
      <c r="P586" s="28">
        <v>25.0</v>
      </c>
      <c r="Q586" s="28">
        <v>23.0</v>
      </c>
      <c r="R586" s="30"/>
      <c r="S586" s="30"/>
      <c r="T586" s="30"/>
      <c r="U586" s="30"/>
      <c r="V586" s="30"/>
      <c r="W586" s="30"/>
      <c r="X586" s="30"/>
      <c r="Y586" s="30"/>
      <c r="Z586" s="30"/>
      <c r="AA586" s="30"/>
    </row>
    <row r="587" ht="15.75" customHeight="1">
      <c r="A587" s="14" t="s">
        <v>17</v>
      </c>
      <c r="B587" s="15" t="s">
        <v>6656</v>
      </c>
      <c r="C587" s="14" t="s">
        <v>4395</v>
      </c>
      <c r="D587" s="14" t="s">
        <v>4396</v>
      </c>
      <c r="E587" s="26" t="s">
        <v>4397</v>
      </c>
      <c r="F587" s="14">
        <v>247.0</v>
      </c>
      <c r="G587" s="14">
        <v>253.0</v>
      </c>
      <c r="H587" s="14" t="s">
        <v>28</v>
      </c>
      <c r="I587" s="19" t="s">
        <v>9745</v>
      </c>
      <c r="J587" s="19" t="s">
        <v>4401</v>
      </c>
      <c r="K587" s="19" t="s">
        <v>9748</v>
      </c>
      <c r="L587" s="19" t="s">
        <v>6775</v>
      </c>
      <c r="M587" s="20" t="s">
        <v>4403</v>
      </c>
      <c r="N587" s="44" t="s">
        <v>4404</v>
      </c>
      <c r="O587" s="22">
        <v>35.0</v>
      </c>
      <c r="P587" s="28">
        <v>11.0</v>
      </c>
      <c r="Q587" s="28">
        <v>21.0</v>
      </c>
      <c r="R587" s="30"/>
      <c r="S587" s="30"/>
      <c r="T587" s="30"/>
      <c r="U587" s="30"/>
      <c r="V587" s="30"/>
      <c r="W587" s="30"/>
      <c r="X587" s="30"/>
      <c r="Y587" s="30"/>
      <c r="Z587" s="30"/>
      <c r="AA587" s="30"/>
    </row>
    <row r="588" ht="15.75" customHeight="1">
      <c r="A588" s="14" t="s">
        <v>17</v>
      </c>
      <c r="B588" s="15" t="s">
        <v>6656</v>
      </c>
      <c r="C588" s="14" t="s">
        <v>4405</v>
      </c>
      <c r="D588" s="14" t="s">
        <v>4406</v>
      </c>
      <c r="E588" s="26" t="s">
        <v>4407</v>
      </c>
      <c r="F588" s="14">
        <v>255.0</v>
      </c>
      <c r="G588" s="14">
        <v>262.0</v>
      </c>
      <c r="H588" s="14" t="s">
        <v>28</v>
      </c>
      <c r="I588" s="19" t="s">
        <v>9805</v>
      </c>
      <c r="J588" s="19" t="s">
        <v>9808</v>
      </c>
      <c r="K588" s="19" t="s">
        <v>9810</v>
      </c>
      <c r="L588" s="19" t="s">
        <v>9812</v>
      </c>
      <c r="M588" s="20"/>
      <c r="N588" s="44" t="s">
        <v>4411</v>
      </c>
      <c r="O588" s="22">
        <v>143.0</v>
      </c>
      <c r="P588" s="28">
        <v>37.0</v>
      </c>
      <c r="Q588" s="28">
        <v>15.0</v>
      </c>
      <c r="R588" s="30"/>
      <c r="S588" s="30"/>
      <c r="T588" s="30"/>
      <c r="U588" s="30"/>
      <c r="V588" s="30"/>
      <c r="W588" s="30"/>
      <c r="X588" s="30"/>
      <c r="Y588" s="30"/>
      <c r="Z588" s="30"/>
      <c r="AA588" s="30"/>
    </row>
    <row r="589" ht="15.75" customHeight="1">
      <c r="A589" s="14" t="s">
        <v>17</v>
      </c>
      <c r="B589" s="15" t="s">
        <v>6656</v>
      </c>
      <c r="C589" s="14" t="s">
        <v>4414</v>
      </c>
      <c r="D589" s="14" t="s">
        <v>4415</v>
      </c>
      <c r="E589" s="26" t="s">
        <v>4416</v>
      </c>
      <c r="F589" s="14">
        <v>263.0</v>
      </c>
      <c r="G589" s="14">
        <v>269.0</v>
      </c>
      <c r="H589" s="14" t="s">
        <v>28</v>
      </c>
      <c r="I589" s="19" t="s">
        <v>9860</v>
      </c>
      <c r="J589" s="19" t="s">
        <v>4417</v>
      </c>
      <c r="K589" s="19" t="s">
        <v>9863</v>
      </c>
      <c r="L589" s="19" t="s">
        <v>7073</v>
      </c>
      <c r="M589" s="20" t="s">
        <v>3736</v>
      </c>
      <c r="N589" s="44" t="s">
        <v>4419</v>
      </c>
      <c r="O589" s="22">
        <v>612.0</v>
      </c>
      <c r="P589" s="28">
        <v>123.0</v>
      </c>
      <c r="Q589" s="28">
        <v>19.0</v>
      </c>
      <c r="R589" s="30"/>
      <c r="S589" s="30"/>
      <c r="T589" s="30"/>
      <c r="U589" s="30"/>
      <c r="V589" s="30"/>
      <c r="W589" s="30"/>
      <c r="X589" s="30"/>
      <c r="Y589" s="30"/>
      <c r="Z589" s="30"/>
      <c r="AA589" s="30"/>
    </row>
    <row r="590" ht="15.75" customHeight="1">
      <c r="A590" s="14" t="s">
        <v>17</v>
      </c>
      <c r="B590" s="15" t="s">
        <v>6656</v>
      </c>
      <c r="C590" s="14" t="s">
        <v>4420</v>
      </c>
      <c r="D590" s="14" t="s">
        <v>4421</v>
      </c>
      <c r="E590" s="26" t="s">
        <v>4423</v>
      </c>
      <c r="F590" s="14">
        <v>271.0</v>
      </c>
      <c r="G590" s="14">
        <v>278.0</v>
      </c>
      <c r="H590" s="14" t="s">
        <v>28</v>
      </c>
      <c r="I590" s="19" t="s">
        <v>9908</v>
      </c>
      <c r="J590" s="19" t="s">
        <v>4426</v>
      </c>
      <c r="K590" s="19" t="s">
        <v>9911</v>
      </c>
      <c r="L590" s="19" t="s">
        <v>1363</v>
      </c>
      <c r="M590" s="20" t="s">
        <v>4427</v>
      </c>
      <c r="N590" s="44" t="s">
        <v>4428</v>
      </c>
      <c r="O590" s="22">
        <v>50.0</v>
      </c>
      <c r="P590" s="28">
        <v>1.0</v>
      </c>
      <c r="Q590" s="28">
        <v>32.0</v>
      </c>
      <c r="R590" s="30"/>
      <c r="S590" s="30"/>
      <c r="T590" s="30"/>
      <c r="U590" s="30"/>
      <c r="V590" s="30"/>
      <c r="W590" s="30"/>
      <c r="X590" s="30"/>
      <c r="Y590" s="30"/>
      <c r="Z590" s="30"/>
      <c r="AA590" s="30"/>
    </row>
    <row r="591" ht="15.75" customHeight="1">
      <c r="A591" s="14" t="s">
        <v>17</v>
      </c>
      <c r="B591" s="15" t="s">
        <v>6656</v>
      </c>
      <c r="C591" s="14" t="s">
        <v>4429</v>
      </c>
      <c r="D591" s="14" t="s">
        <v>4430</v>
      </c>
      <c r="E591" s="26" t="s">
        <v>4431</v>
      </c>
      <c r="F591" s="14">
        <v>279.0</v>
      </c>
      <c r="G591" s="14">
        <v>286.0</v>
      </c>
      <c r="H591" s="14" t="s">
        <v>28</v>
      </c>
      <c r="I591" s="19" t="s">
        <v>9958</v>
      </c>
      <c r="J591" s="19" t="s">
        <v>4434</v>
      </c>
      <c r="K591" s="19" t="s">
        <v>9960</v>
      </c>
      <c r="L591" s="19" t="s">
        <v>9962</v>
      </c>
      <c r="M591" s="20" t="s">
        <v>4436</v>
      </c>
      <c r="N591" s="27"/>
      <c r="O591" s="22">
        <v>429.0</v>
      </c>
      <c r="P591" s="28">
        <v>94.0</v>
      </c>
      <c r="Q591" s="28">
        <v>22.0</v>
      </c>
      <c r="R591" s="30"/>
      <c r="S591" s="30"/>
      <c r="T591" s="30"/>
      <c r="U591" s="30"/>
      <c r="V591" s="30"/>
      <c r="W591" s="30"/>
      <c r="X591" s="30"/>
      <c r="Y591" s="30"/>
      <c r="Z591" s="30"/>
      <c r="AA591" s="30"/>
    </row>
    <row r="592" ht="15.75" customHeight="1">
      <c r="A592" s="14" t="s">
        <v>17</v>
      </c>
      <c r="B592" s="15" t="s">
        <v>6656</v>
      </c>
      <c r="C592" s="14" t="s">
        <v>4437</v>
      </c>
      <c r="D592" s="14" t="s">
        <v>4438</v>
      </c>
      <c r="E592" s="26" t="s">
        <v>4439</v>
      </c>
      <c r="F592" s="14">
        <v>287.0</v>
      </c>
      <c r="G592" s="14">
        <v>295.0</v>
      </c>
      <c r="H592" s="14" t="s">
        <v>28</v>
      </c>
      <c r="I592" s="19" t="s">
        <v>10009</v>
      </c>
      <c r="J592" s="19" t="s">
        <v>4440</v>
      </c>
      <c r="K592" s="19" t="s">
        <v>10011</v>
      </c>
      <c r="L592" s="19" t="s">
        <v>6010</v>
      </c>
      <c r="M592" s="20" t="s">
        <v>4442</v>
      </c>
      <c r="N592" s="44" t="s">
        <v>4443</v>
      </c>
      <c r="O592" s="22">
        <v>95.0</v>
      </c>
      <c r="P592" s="28">
        <v>20.0</v>
      </c>
      <c r="Q592" s="28">
        <v>18.0</v>
      </c>
      <c r="R592" s="30"/>
      <c r="S592" s="30"/>
      <c r="T592" s="30"/>
      <c r="U592" s="30"/>
      <c r="V592" s="30"/>
      <c r="W592" s="30"/>
      <c r="X592" s="30"/>
      <c r="Y592" s="30"/>
      <c r="Z592" s="30"/>
      <c r="AA592" s="30"/>
    </row>
    <row r="593" ht="15.75" customHeight="1">
      <c r="A593" s="14" t="s">
        <v>17</v>
      </c>
      <c r="B593" s="15" t="s">
        <v>6656</v>
      </c>
      <c r="C593" s="14" t="s">
        <v>4444</v>
      </c>
      <c r="D593" s="14" t="s">
        <v>4445</v>
      </c>
      <c r="E593" s="26" t="s">
        <v>4446</v>
      </c>
      <c r="F593" s="14">
        <v>297.0</v>
      </c>
      <c r="G593" s="14">
        <v>304.0</v>
      </c>
      <c r="H593" s="14" t="s">
        <v>28</v>
      </c>
      <c r="I593" s="19" t="s">
        <v>10063</v>
      </c>
      <c r="J593" s="19" t="s">
        <v>3181</v>
      </c>
      <c r="K593" s="19" t="s">
        <v>4869</v>
      </c>
      <c r="L593" s="19" t="s">
        <v>4721</v>
      </c>
      <c r="M593" s="20" t="s">
        <v>4451</v>
      </c>
      <c r="N593" s="44" t="s">
        <v>4452</v>
      </c>
      <c r="O593" s="22">
        <v>50.0</v>
      </c>
      <c r="P593" s="28">
        <v>9.0</v>
      </c>
      <c r="Q593" s="28">
        <v>32.0</v>
      </c>
      <c r="R593" s="30"/>
      <c r="S593" s="30"/>
      <c r="T593" s="30"/>
      <c r="U593" s="30"/>
      <c r="V593" s="30"/>
      <c r="W593" s="30"/>
      <c r="X593" s="30"/>
      <c r="Y593" s="30"/>
      <c r="Z593" s="30"/>
      <c r="AA593" s="30"/>
    </row>
    <row r="594" ht="15.75" customHeight="1">
      <c r="A594" s="14" t="s">
        <v>17</v>
      </c>
      <c r="B594" s="15" t="s">
        <v>6656</v>
      </c>
      <c r="C594" s="14" t="s">
        <v>4453</v>
      </c>
      <c r="D594" s="14" t="s">
        <v>4454</v>
      </c>
      <c r="E594" s="26" t="s">
        <v>4455</v>
      </c>
      <c r="F594" s="14">
        <v>305.0</v>
      </c>
      <c r="G594" s="14">
        <v>312.0</v>
      </c>
      <c r="H594" s="14" t="s">
        <v>28</v>
      </c>
      <c r="I594" s="19" t="s">
        <v>10120</v>
      </c>
      <c r="J594" s="19" t="s">
        <v>10122</v>
      </c>
      <c r="K594" s="19" t="s">
        <v>10124</v>
      </c>
      <c r="L594" s="19" t="s">
        <v>10125</v>
      </c>
      <c r="M594" s="20" t="s">
        <v>4462</v>
      </c>
      <c r="N594" s="44" t="s">
        <v>4463</v>
      </c>
      <c r="O594" s="22">
        <v>111.0</v>
      </c>
      <c r="P594" s="28">
        <v>18.0</v>
      </c>
      <c r="Q594" s="28">
        <v>22.0</v>
      </c>
      <c r="R594" s="30"/>
      <c r="S594" s="30"/>
      <c r="T594" s="30"/>
      <c r="U594" s="30"/>
      <c r="V594" s="30"/>
      <c r="W594" s="30"/>
      <c r="X594" s="30"/>
      <c r="Y594" s="30"/>
      <c r="Z594" s="30"/>
      <c r="AA594" s="30"/>
    </row>
    <row r="595" ht="15.75" customHeight="1">
      <c r="A595" s="14" t="s">
        <v>17</v>
      </c>
      <c r="B595" s="15" t="s">
        <v>6656</v>
      </c>
      <c r="C595" s="14" t="s">
        <v>4464</v>
      </c>
      <c r="D595" s="14" t="s">
        <v>4465</v>
      </c>
      <c r="E595" s="26" t="s">
        <v>4466</v>
      </c>
      <c r="F595" s="14">
        <v>313.0</v>
      </c>
      <c r="G595" s="14">
        <v>317.0</v>
      </c>
      <c r="H595" s="14" t="s">
        <v>28</v>
      </c>
      <c r="I595" s="19" t="s">
        <v>10175</v>
      </c>
      <c r="J595" s="19" t="s">
        <v>3557</v>
      </c>
      <c r="K595" s="19" t="s">
        <v>10179</v>
      </c>
      <c r="L595" s="19" t="s">
        <v>5367</v>
      </c>
      <c r="M595" s="20" t="s">
        <v>4470</v>
      </c>
      <c r="N595" s="27"/>
      <c r="O595" s="22">
        <v>17.0</v>
      </c>
      <c r="P595" s="28">
        <v>3.0</v>
      </c>
      <c r="Q595" s="28">
        <v>11.0</v>
      </c>
      <c r="R595" s="30"/>
      <c r="S595" s="30"/>
      <c r="T595" s="30"/>
      <c r="U595" s="30"/>
      <c r="V595" s="30"/>
      <c r="W595" s="30"/>
      <c r="X595" s="30"/>
      <c r="Y595" s="30"/>
      <c r="Z595" s="30"/>
      <c r="AA595" s="30"/>
    </row>
    <row r="596" ht="15.75" customHeight="1">
      <c r="A596" s="14" t="s">
        <v>17</v>
      </c>
      <c r="B596" s="15" t="s">
        <v>6656</v>
      </c>
      <c r="C596" s="14" t="s">
        <v>4471</v>
      </c>
      <c r="D596" s="14" t="s">
        <v>4472</v>
      </c>
      <c r="E596" s="26" t="s">
        <v>4473</v>
      </c>
      <c r="F596" s="14">
        <v>319.0</v>
      </c>
      <c r="G596" s="14">
        <v>326.0</v>
      </c>
      <c r="H596" s="14" t="s">
        <v>28</v>
      </c>
      <c r="I596" s="19" t="s">
        <v>10228</v>
      </c>
      <c r="J596" s="19" t="s">
        <v>4477</v>
      </c>
      <c r="K596" s="19" t="s">
        <v>10231</v>
      </c>
      <c r="L596" s="19" t="s">
        <v>10233</v>
      </c>
      <c r="M596" s="20" t="s">
        <v>4479</v>
      </c>
      <c r="N596" s="88" t="s">
        <v>4480</v>
      </c>
      <c r="O596" s="22">
        <v>135.0</v>
      </c>
      <c r="P596" s="28">
        <v>28.0</v>
      </c>
      <c r="Q596" s="28">
        <v>16.0</v>
      </c>
      <c r="R596" s="30"/>
      <c r="S596" s="30"/>
      <c r="T596" s="30"/>
      <c r="U596" s="30"/>
      <c r="V596" s="30"/>
      <c r="W596" s="30"/>
      <c r="X596" s="30"/>
      <c r="Y596" s="30"/>
      <c r="Z596" s="30"/>
      <c r="AA596" s="30"/>
    </row>
    <row r="597" ht="15.75" customHeight="1">
      <c r="A597" s="14" t="s">
        <v>17</v>
      </c>
      <c r="B597" s="15" t="s">
        <v>6656</v>
      </c>
      <c r="C597" s="14" t="s">
        <v>4481</v>
      </c>
      <c r="D597" s="14" t="s">
        <v>4482</v>
      </c>
      <c r="E597" s="26" t="s">
        <v>4483</v>
      </c>
      <c r="F597" s="14">
        <v>327.0</v>
      </c>
      <c r="G597" s="14">
        <v>334.0</v>
      </c>
      <c r="H597" s="14" t="s">
        <v>28</v>
      </c>
      <c r="I597" s="19" t="s">
        <v>10347</v>
      </c>
      <c r="J597" s="19" t="s">
        <v>3581</v>
      </c>
      <c r="K597" s="19" t="s">
        <v>5405</v>
      </c>
      <c r="L597" s="19" t="s">
        <v>10350</v>
      </c>
      <c r="M597" s="20" t="s">
        <v>3579</v>
      </c>
      <c r="N597" s="44" t="s">
        <v>4488</v>
      </c>
      <c r="O597" s="22">
        <v>50.0</v>
      </c>
      <c r="P597" s="28">
        <v>1.0</v>
      </c>
      <c r="Q597" s="28">
        <v>17.0</v>
      </c>
      <c r="R597" s="30"/>
      <c r="S597" s="30"/>
      <c r="T597" s="30"/>
      <c r="U597" s="30"/>
      <c r="V597" s="30"/>
      <c r="W597" s="30"/>
      <c r="X597" s="30"/>
      <c r="Y597" s="30"/>
      <c r="Z597" s="30"/>
      <c r="AA597" s="30"/>
    </row>
    <row r="598" ht="15.75" customHeight="1">
      <c r="A598" s="14" t="s">
        <v>17</v>
      </c>
      <c r="B598" s="15" t="s">
        <v>6656</v>
      </c>
      <c r="C598" s="14" t="s">
        <v>4489</v>
      </c>
      <c r="D598" s="14" t="s">
        <v>4490</v>
      </c>
      <c r="E598" s="26" t="s">
        <v>4491</v>
      </c>
      <c r="F598" s="14">
        <v>335.0</v>
      </c>
      <c r="G598" s="14">
        <v>341.0</v>
      </c>
      <c r="H598" s="14" t="s">
        <v>28</v>
      </c>
      <c r="I598" s="19" t="s">
        <v>10391</v>
      </c>
      <c r="J598" s="19" t="s">
        <v>10393</v>
      </c>
      <c r="K598" s="19" t="s">
        <v>10395</v>
      </c>
      <c r="L598" s="19" t="s">
        <v>5211</v>
      </c>
      <c r="M598" s="20"/>
      <c r="N598" s="27"/>
      <c r="O598" s="22">
        <v>19.0</v>
      </c>
      <c r="P598" s="28">
        <v>5.0</v>
      </c>
      <c r="Q598" s="28">
        <v>20.0</v>
      </c>
      <c r="R598" s="30"/>
      <c r="S598" s="30"/>
      <c r="T598" s="30"/>
      <c r="U598" s="30"/>
      <c r="V598" s="30"/>
      <c r="W598" s="30"/>
      <c r="X598" s="30"/>
      <c r="Y598" s="30"/>
      <c r="Z598" s="30"/>
      <c r="AA598" s="30"/>
    </row>
    <row r="599" ht="15.75" customHeight="1">
      <c r="A599" s="14" t="s">
        <v>17</v>
      </c>
      <c r="B599" s="15" t="s">
        <v>6656</v>
      </c>
      <c r="C599" s="14" t="s">
        <v>4494</v>
      </c>
      <c r="D599" s="14" t="s">
        <v>4495</v>
      </c>
      <c r="E599" s="26" t="s">
        <v>4496</v>
      </c>
      <c r="F599" s="14">
        <v>343.0</v>
      </c>
      <c r="G599" s="14">
        <v>350.0</v>
      </c>
      <c r="H599" s="14" t="s">
        <v>28</v>
      </c>
      <c r="I599" s="19" t="s">
        <v>10450</v>
      </c>
      <c r="J599" s="19" t="s">
        <v>4500</v>
      </c>
      <c r="K599" s="19" t="s">
        <v>10458</v>
      </c>
      <c r="L599" s="19" t="s">
        <v>10460</v>
      </c>
      <c r="M599" s="20"/>
      <c r="N599" s="44" t="s">
        <v>4502</v>
      </c>
      <c r="O599" s="22">
        <v>74.0</v>
      </c>
      <c r="P599" s="28">
        <v>12.0</v>
      </c>
      <c r="Q599" s="28">
        <v>22.0</v>
      </c>
      <c r="R599" s="30"/>
      <c r="S599" s="30"/>
      <c r="T599" s="30"/>
      <c r="U599" s="30"/>
      <c r="V599" s="30"/>
      <c r="W599" s="30"/>
      <c r="X599" s="30"/>
      <c r="Y599" s="30"/>
      <c r="Z599" s="30"/>
      <c r="AA599" s="30"/>
    </row>
    <row r="600" ht="15.75" customHeight="1">
      <c r="A600" s="14" t="s">
        <v>17</v>
      </c>
      <c r="B600" s="15" t="s">
        <v>6656</v>
      </c>
      <c r="C600" s="14" t="s">
        <v>4503</v>
      </c>
      <c r="D600" s="14" t="s">
        <v>4504</v>
      </c>
      <c r="E600" s="26" t="s">
        <v>4505</v>
      </c>
      <c r="F600" s="14">
        <v>351.0</v>
      </c>
      <c r="G600" s="14">
        <v>358.0</v>
      </c>
      <c r="H600" s="14" t="s">
        <v>28</v>
      </c>
      <c r="I600" s="19" t="s">
        <v>10505</v>
      </c>
      <c r="J600" s="19" t="s">
        <v>4506</v>
      </c>
      <c r="K600" s="19" t="s">
        <v>10508</v>
      </c>
      <c r="L600" s="19" t="s">
        <v>9630</v>
      </c>
      <c r="M600" s="20" t="s">
        <v>38</v>
      </c>
      <c r="N600" s="44" t="s">
        <v>4507</v>
      </c>
      <c r="O600" s="22">
        <v>0.0</v>
      </c>
      <c r="P600" s="28">
        <v>5.0</v>
      </c>
      <c r="Q600" s="28">
        <v>11.0</v>
      </c>
      <c r="R600" s="30"/>
      <c r="S600" s="30"/>
      <c r="T600" s="30"/>
      <c r="U600" s="30"/>
      <c r="V600" s="30"/>
      <c r="W600" s="30"/>
      <c r="X600" s="30"/>
      <c r="Y600" s="30"/>
      <c r="Z600" s="30"/>
      <c r="AA600" s="30"/>
    </row>
    <row r="601" ht="15.75" customHeight="1">
      <c r="A601" s="14" t="s">
        <v>17</v>
      </c>
      <c r="B601" s="15" t="s">
        <v>6656</v>
      </c>
      <c r="C601" s="14" t="s">
        <v>4509</v>
      </c>
      <c r="D601" s="14" t="s">
        <v>4510</v>
      </c>
      <c r="E601" s="26" t="s">
        <v>4512</v>
      </c>
      <c r="F601" s="14">
        <v>359.0</v>
      </c>
      <c r="G601" s="14">
        <v>365.0</v>
      </c>
      <c r="H601" s="14" t="s">
        <v>28</v>
      </c>
      <c r="I601" s="19" t="s">
        <v>10537</v>
      </c>
      <c r="J601" s="19" t="s">
        <v>4514</v>
      </c>
      <c r="K601" s="19" t="s">
        <v>10542</v>
      </c>
      <c r="L601" s="19" t="s">
        <v>9630</v>
      </c>
      <c r="M601" s="20" t="s">
        <v>4516</v>
      </c>
      <c r="N601" s="44" t="s">
        <v>4517</v>
      </c>
      <c r="O601" s="22">
        <v>40.0</v>
      </c>
      <c r="P601" s="28">
        <v>7.0</v>
      </c>
      <c r="Q601" s="28">
        <v>15.0</v>
      </c>
      <c r="R601" s="30"/>
      <c r="S601" s="30"/>
      <c r="T601" s="30"/>
      <c r="U601" s="30"/>
      <c r="V601" s="30"/>
      <c r="W601" s="30"/>
      <c r="X601" s="30"/>
      <c r="Y601" s="30"/>
      <c r="Z601" s="30"/>
      <c r="AA601" s="30"/>
    </row>
    <row r="602" ht="15.75" customHeight="1">
      <c r="A602" s="14" t="s">
        <v>17</v>
      </c>
      <c r="B602" s="15" t="s">
        <v>6656</v>
      </c>
      <c r="C602" s="14" t="s">
        <v>4518</v>
      </c>
      <c r="D602" s="14" t="s">
        <v>4519</v>
      </c>
      <c r="E602" s="26" t="s">
        <v>4520</v>
      </c>
      <c r="F602" s="14">
        <v>367.0</v>
      </c>
      <c r="G602" s="14">
        <v>373.0</v>
      </c>
      <c r="H602" s="14" t="s">
        <v>28</v>
      </c>
      <c r="I602" s="19" t="s">
        <v>10588</v>
      </c>
      <c r="J602" s="19" t="s">
        <v>10590</v>
      </c>
      <c r="K602" s="19" t="s">
        <v>10592</v>
      </c>
      <c r="L602" s="19" t="s">
        <v>4119</v>
      </c>
      <c r="M602" s="20"/>
      <c r="N602" s="27"/>
      <c r="O602" s="22">
        <v>8.0</v>
      </c>
      <c r="P602" s="28">
        <v>4.0</v>
      </c>
      <c r="Q602" s="28">
        <v>17.0</v>
      </c>
      <c r="R602" s="30"/>
      <c r="S602" s="30"/>
      <c r="T602" s="30"/>
      <c r="U602" s="30"/>
      <c r="V602" s="30"/>
      <c r="W602" s="30"/>
      <c r="X602" s="30"/>
      <c r="Y602" s="30"/>
      <c r="Z602" s="30"/>
      <c r="AA602" s="30"/>
    </row>
    <row r="603" ht="15.75" customHeight="1">
      <c r="A603" s="14" t="s">
        <v>17</v>
      </c>
      <c r="B603" s="15" t="s">
        <v>6656</v>
      </c>
      <c r="C603" s="14" t="s">
        <v>4525</v>
      </c>
      <c r="D603" s="14" t="s">
        <v>4526</v>
      </c>
      <c r="E603" s="26" t="s">
        <v>4527</v>
      </c>
      <c r="F603" s="14">
        <v>375.0</v>
      </c>
      <c r="G603" s="14">
        <v>382.0</v>
      </c>
      <c r="H603" s="14" t="s">
        <v>28</v>
      </c>
      <c r="I603" s="19" t="s">
        <v>10636</v>
      </c>
      <c r="J603" s="19" t="s">
        <v>4528</v>
      </c>
      <c r="K603" s="19" t="s">
        <v>10640</v>
      </c>
      <c r="L603" s="19" t="s">
        <v>4210</v>
      </c>
      <c r="M603" s="20" t="s">
        <v>4530</v>
      </c>
      <c r="N603" s="44" t="s">
        <v>4531</v>
      </c>
      <c r="O603" s="22">
        <v>34.0</v>
      </c>
      <c r="P603" s="28">
        <v>6.0</v>
      </c>
      <c r="Q603" s="28">
        <v>27.0</v>
      </c>
      <c r="R603" s="30"/>
      <c r="S603" s="30"/>
      <c r="T603" s="30"/>
      <c r="U603" s="30"/>
      <c r="V603" s="30"/>
      <c r="W603" s="30"/>
      <c r="X603" s="30"/>
      <c r="Y603" s="30"/>
      <c r="Z603" s="30"/>
      <c r="AA603" s="30"/>
    </row>
    <row r="604" ht="15.75" customHeight="1">
      <c r="A604" s="14" t="s">
        <v>17</v>
      </c>
      <c r="B604" s="15" t="s">
        <v>6656</v>
      </c>
      <c r="C604" s="14" t="s">
        <v>4532</v>
      </c>
      <c r="D604" s="14" t="s">
        <v>4534</v>
      </c>
      <c r="E604" s="26" t="s">
        <v>4535</v>
      </c>
      <c r="F604" s="14">
        <v>383.0</v>
      </c>
      <c r="G604" s="14">
        <v>390.0</v>
      </c>
      <c r="H604" s="14" t="s">
        <v>28</v>
      </c>
      <c r="I604" s="19" t="s">
        <v>10678</v>
      </c>
      <c r="J604" s="19" t="s">
        <v>10680</v>
      </c>
      <c r="K604" s="19" t="s">
        <v>10682</v>
      </c>
      <c r="L604" s="19" t="s">
        <v>1092</v>
      </c>
      <c r="M604" s="20" t="s">
        <v>4538</v>
      </c>
      <c r="N604" s="44" t="s">
        <v>4539</v>
      </c>
      <c r="O604" s="22">
        <v>116.0</v>
      </c>
      <c r="P604" s="28">
        <v>15.0</v>
      </c>
      <c r="Q604" s="28">
        <v>28.0</v>
      </c>
      <c r="R604" s="30"/>
      <c r="S604" s="30"/>
      <c r="T604" s="30"/>
      <c r="U604" s="30"/>
      <c r="V604" s="30"/>
      <c r="W604" s="30"/>
      <c r="X604" s="30"/>
      <c r="Y604" s="30"/>
      <c r="Z604" s="30"/>
      <c r="AA604" s="30"/>
    </row>
    <row r="605" ht="15.75" customHeight="1">
      <c r="A605" s="14" t="s">
        <v>17</v>
      </c>
      <c r="B605" s="15" t="s">
        <v>6656</v>
      </c>
      <c r="C605" s="14" t="s">
        <v>4540</v>
      </c>
      <c r="D605" s="14" t="s">
        <v>4541</v>
      </c>
      <c r="E605" s="26" t="s">
        <v>4542</v>
      </c>
      <c r="F605" s="14">
        <v>391.0</v>
      </c>
      <c r="G605" s="14">
        <v>396.0</v>
      </c>
      <c r="H605" s="14" t="s">
        <v>28</v>
      </c>
      <c r="I605" s="19" t="s">
        <v>10749</v>
      </c>
      <c r="J605" s="19" t="s">
        <v>4546</v>
      </c>
      <c r="K605" s="19" t="s">
        <v>10752</v>
      </c>
      <c r="L605" s="19" t="s">
        <v>10754</v>
      </c>
      <c r="M605" s="20"/>
      <c r="N605" s="44" t="s">
        <v>4548</v>
      </c>
      <c r="O605" s="22">
        <v>10.0</v>
      </c>
      <c r="P605" s="28">
        <v>4.0</v>
      </c>
      <c r="Q605" s="28">
        <v>15.0</v>
      </c>
      <c r="R605" s="30"/>
      <c r="S605" s="30"/>
      <c r="T605" s="30"/>
      <c r="U605" s="30"/>
      <c r="V605" s="30"/>
      <c r="W605" s="30"/>
      <c r="X605" s="30"/>
      <c r="Y605" s="30"/>
      <c r="Z605" s="30"/>
      <c r="AA605" s="30"/>
    </row>
    <row r="606" ht="15.75" customHeight="1">
      <c r="A606" s="14" t="s">
        <v>17</v>
      </c>
      <c r="B606" s="15" t="s">
        <v>6656</v>
      </c>
      <c r="C606" s="14" t="s">
        <v>4549</v>
      </c>
      <c r="D606" s="14" t="s">
        <v>4550</v>
      </c>
      <c r="E606" s="26" t="s">
        <v>4551</v>
      </c>
      <c r="F606" s="14">
        <v>397.0</v>
      </c>
      <c r="G606" s="14">
        <v>402.0</v>
      </c>
      <c r="H606" s="14" t="s">
        <v>28</v>
      </c>
      <c r="I606" s="19" t="s">
        <v>10805</v>
      </c>
      <c r="J606" s="19" t="s">
        <v>4553</v>
      </c>
      <c r="K606" s="19" t="s">
        <v>10808</v>
      </c>
      <c r="L606" s="19" t="s">
        <v>10810</v>
      </c>
      <c r="M606" s="20" t="s">
        <v>4557</v>
      </c>
      <c r="N606" s="44" t="s">
        <v>4558</v>
      </c>
      <c r="O606" s="22">
        <v>175.0</v>
      </c>
      <c r="P606" s="28">
        <v>37.0</v>
      </c>
      <c r="Q606" s="28">
        <v>16.0</v>
      </c>
      <c r="R606" s="30"/>
      <c r="S606" s="30"/>
      <c r="T606" s="30"/>
      <c r="U606" s="30"/>
      <c r="V606" s="30"/>
      <c r="W606" s="30"/>
      <c r="X606" s="30"/>
      <c r="Y606" s="30"/>
      <c r="Z606" s="30"/>
      <c r="AA606" s="30"/>
    </row>
    <row r="607" ht="15.75" customHeight="1">
      <c r="A607" s="14" t="s">
        <v>17</v>
      </c>
      <c r="B607" s="15" t="s">
        <v>6656</v>
      </c>
      <c r="C607" s="14" t="s">
        <v>4559</v>
      </c>
      <c r="D607" s="14" t="s">
        <v>4560</v>
      </c>
      <c r="E607" s="26" t="s">
        <v>4561</v>
      </c>
      <c r="F607" s="14">
        <v>405.0</v>
      </c>
      <c r="G607" s="14">
        <v>409.0</v>
      </c>
      <c r="H607" s="14" t="s">
        <v>28</v>
      </c>
      <c r="I607" s="19" t="s">
        <v>10852</v>
      </c>
      <c r="J607" s="19" t="s">
        <v>1672</v>
      </c>
      <c r="K607" s="19" t="s">
        <v>2331</v>
      </c>
      <c r="L607" s="19" t="s">
        <v>1092</v>
      </c>
      <c r="M607" s="20" t="s">
        <v>4565</v>
      </c>
      <c r="N607" s="27"/>
      <c r="O607" s="22">
        <v>50.0</v>
      </c>
      <c r="P607" s="28">
        <v>6.0</v>
      </c>
      <c r="Q607" s="28">
        <v>15.0</v>
      </c>
      <c r="R607" s="30"/>
      <c r="S607" s="30"/>
      <c r="T607" s="30"/>
      <c r="U607" s="30"/>
      <c r="V607" s="30"/>
      <c r="W607" s="30"/>
      <c r="X607" s="30"/>
      <c r="Y607" s="30"/>
      <c r="Z607" s="30"/>
      <c r="AA607" s="30"/>
    </row>
    <row r="608" ht="15.75" customHeight="1">
      <c r="A608" s="14" t="s">
        <v>17</v>
      </c>
      <c r="B608" s="15" t="s">
        <v>6656</v>
      </c>
      <c r="C608" s="14" t="s">
        <v>4566</v>
      </c>
      <c r="D608" s="14" t="s">
        <v>4567</v>
      </c>
      <c r="E608" s="26" t="s">
        <v>4568</v>
      </c>
      <c r="F608" s="14">
        <v>411.0</v>
      </c>
      <c r="G608" s="14">
        <v>414.0</v>
      </c>
      <c r="H608" s="14" t="s">
        <v>28</v>
      </c>
      <c r="I608" s="19" t="s">
        <v>10895</v>
      </c>
      <c r="J608" s="19" t="s">
        <v>4569</v>
      </c>
      <c r="K608" s="19" t="s">
        <v>10897</v>
      </c>
      <c r="L608" s="19" t="s">
        <v>1298</v>
      </c>
      <c r="M608" s="20" t="s">
        <v>4570</v>
      </c>
      <c r="N608" s="27"/>
      <c r="O608" s="22">
        <v>50.0</v>
      </c>
      <c r="P608" s="28">
        <v>2.0</v>
      </c>
      <c r="Q608" s="28">
        <v>8.0</v>
      </c>
      <c r="R608" s="30"/>
      <c r="S608" s="30"/>
      <c r="T608" s="30"/>
      <c r="U608" s="30"/>
      <c r="V608" s="30"/>
      <c r="W608" s="30"/>
      <c r="X608" s="30"/>
      <c r="Y608" s="30"/>
      <c r="Z608" s="30"/>
      <c r="AA608" s="30"/>
    </row>
    <row r="609" ht="15.75" customHeight="1">
      <c r="A609" s="14" t="s">
        <v>17</v>
      </c>
      <c r="B609" s="15" t="s">
        <v>6656</v>
      </c>
      <c r="C609" s="14" t="s">
        <v>4571</v>
      </c>
      <c r="D609" s="14" t="s">
        <v>4572</v>
      </c>
      <c r="E609" s="26" t="s">
        <v>4573</v>
      </c>
      <c r="F609" s="14">
        <v>415.0</v>
      </c>
      <c r="G609" s="14">
        <v>418.0</v>
      </c>
      <c r="H609" s="14" t="s">
        <v>28</v>
      </c>
      <c r="I609" s="19" t="s">
        <v>10933</v>
      </c>
      <c r="J609" s="19" t="s">
        <v>4576</v>
      </c>
      <c r="K609" s="19" t="s">
        <v>10936</v>
      </c>
      <c r="L609" s="19" t="s">
        <v>7148</v>
      </c>
      <c r="M609" s="20" t="s">
        <v>4577</v>
      </c>
      <c r="N609" s="27"/>
      <c r="O609" s="22">
        <v>50.0</v>
      </c>
      <c r="P609" s="28">
        <v>10.0</v>
      </c>
      <c r="Q609" s="28">
        <v>10.0</v>
      </c>
      <c r="R609" s="30"/>
      <c r="S609" s="30"/>
      <c r="T609" s="30"/>
      <c r="U609" s="30"/>
      <c r="V609" s="30"/>
      <c r="W609" s="30"/>
      <c r="X609" s="30"/>
      <c r="Y609" s="30"/>
      <c r="Z609" s="30"/>
      <c r="AA609" s="30"/>
    </row>
    <row r="610" ht="15.75" customHeight="1">
      <c r="A610" s="14" t="s">
        <v>17</v>
      </c>
      <c r="B610" s="15" t="s">
        <v>6656</v>
      </c>
      <c r="C610" s="14" t="s">
        <v>4578</v>
      </c>
      <c r="D610" s="14" t="s">
        <v>4579</v>
      </c>
      <c r="E610" s="26" t="s">
        <v>4580</v>
      </c>
      <c r="F610" s="14">
        <v>419.0</v>
      </c>
      <c r="G610" s="14">
        <v>422.0</v>
      </c>
      <c r="H610" s="14" t="s">
        <v>28</v>
      </c>
      <c r="I610" s="19" t="s">
        <v>10976</v>
      </c>
      <c r="J610" s="19" t="s">
        <v>4582</v>
      </c>
      <c r="K610" s="19" t="s">
        <v>10979</v>
      </c>
      <c r="L610" s="19" t="s">
        <v>10981</v>
      </c>
      <c r="M610" s="20" t="s">
        <v>4585</v>
      </c>
      <c r="N610" s="27"/>
      <c r="O610" s="22">
        <v>81.0</v>
      </c>
      <c r="P610" s="28">
        <v>19.0</v>
      </c>
      <c r="Q610" s="28">
        <v>12.0</v>
      </c>
      <c r="R610" s="30"/>
      <c r="S610" s="30"/>
      <c r="T610" s="30"/>
      <c r="U610" s="30"/>
      <c r="V610" s="30"/>
      <c r="W610" s="30"/>
      <c r="X610" s="30"/>
      <c r="Y610" s="30"/>
      <c r="Z610" s="30"/>
      <c r="AA610" s="30"/>
    </row>
    <row r="611" ht="15.75" customHeight="1">
      <c r="A611" s="14" t="s">
        <v>17</v>
      </c>
      <c r="B611" s="15" t="s">
        <v>6656</v>
      </c>
      <c r="C611" s="14" t="s">
        <v>4586</v>
      </c>
      <c r="D611" s="14" t="s">
        <v>4587</v>
      </c>
      <c r="E611" s="26" t="s">
        <v>4588</v>
      </c>
      <c r="F611" s="14">
        <v>423.0</v>
      </c>
      <c r="G611" s="14">
        <v>426.0</v>
      </c>
      <c r="H611" s="14" t="s">
        <v>28</v>
      </c>
      <c r="I611" s="19" t="s">
        <v>11022</v>
      </c>
      <c r="J611" s="19" t="s">
        <v>4591</v>
      </c>
      <c r="K611" s="19" t="s">
        <v>11025</v>
      </c>
      <c r="L611" s="19" t="s">
        <v>2532</v>
      </c>
      <c r="M611" s="20" t="s">
        <v>2755</v>
      </c>
      <c r="N611" s="27"/>
      <c r="O611" s="22">
        <v>50.0</v>
      </c>
      <c r="P611" s="28">
        <v>3.0</v>
      </c>
      <c r="Q611" s="28">
        <v>10.0</v>
      </c>
      <c r="R611" s="30"/>
      <c r="S611" s="30"/>
      <c r="T611" s="30"/>
      <c r="U611" s="30"/>
      <c r="V611" s="30"/>
      <c r="W611" s="30"/>
      <c r="X611" s="30"/>
      <c r="Y611" s="30"/>
      <c r="Z611" s="30"/>
      <c r="AA611" s="30"/>
    </row>
    <row r="612" ht="15.75" customHeight="1">
      <c r="A612" s="14" t="s">
        <v>17</v>
      </c>
      <c r="B612" s="15" t="s">
        <v>6656</v>
      </c>
      <c r="C612" s="14" t="s">
        <v>4592</v>
      </c>
      <c r="D612" s="14" t="s">
        <v>4593</v>
      </c>
      <c r="E612" s="26" t="s">
        <v>4594</v>
      </c>
      <c r="F612" s="14">
        <v>427.0</v>
      </c>
      <c r="G612" s="14">
        <v>430.0</v>
      </c>
      <c r="H612" s="14" t="s">
        <v>28</v>
      </c>
      <c r="I612" s="19" t="s">
        <v>11068</v>
      </c>
      <c r="J612" s="19" t="s">
        <v>4595</v>
      </c>
      <c r="K612" s="19" t="s">
        <v>11071</v>
      </c>
      <c r="L612" s="19" t="s">
        <v>11072</v>
      </c>
      <c r="M612" s="20"/>
      <c r="N612" s="27"/>
      <c r="O612" s="22">
        <v>50.0</v>
      </c>
      <c r="P612" s="28">
        <v>1.0</v>
      </c>
      <c r="Q612" s="28">
        <v>9.0</v>
      </c>
      <c r="R612" s="30"/>
      <c r="S612" s="30"/>
      <c r="T612" s="30"/>
      <c r="U612" s="30"/>
      <c r="V612" s="30"/>
      <c r="W612" s="30"/>
      <c r="X612" s="30"/>
      <c r="Y612" s="30"/>
      <c r="Z612" s="30"/>
      <c r="AA612" s="30"/>
    </row>
    <row r="613" ht="15.75" customHeight="1">
      <c r="A613" s="14" t="s">
        <v>17</v>
      </c>
      <c r="B613" s="15" t="s">
        <v>6656</v>
      </c>
      <c r="C613" s="14" t="s">
        <v>4597</v>
      </c>
      <c r="D613" s="14" t="s">
        <v>4598</v>
      </c>
      <c r="E613" s="26" t="s">
        <v>4600</v>
      </c>
      <c r="F613" s="14">
        <v>431.0</v>
      </c>
      <c r="G613" s="14">
        <v>434.0</v>
      </c>
      <c r="H613" s="14" t="s">
        <v>28</v>
      </c>
      <c r="I613" s="19" t="s">
        <v>11117</v>
      </c>
      <c r="J613" s="19" t="s">
        <v>4602</v>
      </c>
      <c r="K613" s="19" t="s">
        <v>11121</v>
      </c>
      <c r="L613" s="19" t="s">
        <v>11124</v>
      </c>
      <c r="M613" s="20"/>
      <c r="N613" s="27"/>
      <c r="O613" s="22">
        <v>50.0</v>
      </c>
      <c r="P613" s="28">
        <v>2.0</v>
      </c>
      <c r="Q613" s="28">
        <v>14.0</v>
      </c>
      <c r="R613" s="30"/>
      <c r="S613" s="30"/>
      <c r="T613" s="30"/>
      <c r="U613" s="30"/>
      <c r="V613" s="30"/>
      <c r="W613" s="30"/>
      <c r="X613" s="30"/>
      <c r="Y613" s="30"/>
      <c r="Z613" s="30"/>
      <c r="AA613" s="30"/>
    </row>
    <row r="614" ht="15.75" customHeight="1">
      <c r="A614" s="14" t="s">
        <v>17</v>
      </c>
      <c r="B614" s="15" t="s">
        <v>6656</v>
      </c>
      <c r="C614" s="14" t="s">
        <v>4604</v>
      </c>
      <c r="D614" s="14" t="s">
        <v>4605</v>
      </c>
      <c r="E614" s="26" t="s">
        <v>4606</v>
      </c>
      <c r="F614" s="14">
        <v>435.0</v>
      </c>
      <c r="G614" s="14">
        <v>438.0</v>
      </c>
      <c r="H614" s="14" t="s">
        <v>28</v>
      </c>
      <c r="I614" s="19" t="s">
        <v>11132</v>
      </c>
      <c r="J614" s="19" t="s">
        <v>4607</v>
      </c>
      <c r="K614" s="19" t="s">
        <v>11133</v>
      </c>
      <c r="L614" s="19" t="s">
        <v>11134</v>
      </c>
      <c r="M614" s="20" t="s">
        <v>3770</v>
      </c>
      <c r="N614" s="27"/>
      <c r="O614" s="22">
        <v>68.0</v>
      </c>
      <c r="P614" s="28">
        <v>14.0</v>
      </c>
      <c r="Q614" s="28">
        <v>29.0</v>
      </c>
      <c r="R614" s="30"/>
      <c r="S614" s="30"/>
      <c r="T614" s="30"/>
      <c r="U614" s="30"/>
      <c r="V614" s="30"/>
      <c r="W614" s="30"/>
      <c r="X614" s="30"/>
      <c r="Y614" s="30"/>
      <c r="Z614" s="30"/>
      <c r="AA614" s="30"/>
    </row>
    <row r="615" ht="15.75" customHeight="1">
      <c r="A615" s="14" t="s">
        <v>17</v>
      </c>
      <c r="B615" s="15" t="s">
        <v>6656</v>
      </c>
      <c r="C615" s="14" t="s">
        <v>4609</v>
      </c>
      <c r="D615" s="14" t="s">
        <v>4610</v>
      </c>
      <c r="E615" s="26" t="s">
        <v>4611</v>
      </c>
      <c r="F615" s="14">
        <v>439.0</v>
      </c>
      <c r="G615" s="14">
        <v>442.0</v>
      </c>
      <c r="H615" s="14" t="s">
        <v>28</v>
      </c>
      <c r="I615" s="19" t="s">
        <v>11154</v>
      </c>
      <c r="J615" s="19" t="s">
        <v>4614</v>
      </c>
      <c r="K615" s="19" t="s">
        <v>11156</v>
      </c>
      <c r="L615" s="19" t="s">
        <v>11158</v>
      </c>
      <c r="M615" s="20" t="s">
        <v>2900</v>
      </c>
      <c r="N615" s="27"/>
      <c r="O615" s="22">
        <v>50.0</v>
      </c>
      <c r="P615" s="28">
        <v>3.0</v>
      </c>
      <c r="Q615" s="28">
        <v>18.0</v>
      </c>
      <c r="R615" s="30"/>
      <c r="S615" s="30"/>
      <c r="T615" s="30"/>
      <c r="U615" s="30"/>
      <c r="V615" s="30"/>
      <c r="W615" s="30"/>
      <c r="X615" s="30"/>
      <c r="Y615" s="30"/>
      <c r="Z615" s="30"/>
      <c r="AA615" s="30"/>
    </row>
    <row r="616" ht="15.75" customHeight="1">
      <c r="A616" s="14" t="s">
        <v>17</v>
      </c>
      <c r="B616" s="15" t="s">
        <v>6656</v>
      </c>
      <c r="C616" s="14" t="s">
        <v>4616</v>
      </c>
      <c r="D616" s="14" t="s">
        <v>4617</v>
      </c>
      <c r="E616" s="26" t="s">
        <v>4618</v>
      </c>
      <c r="F616" s="14">
        <v>443.0</v>
      </c>
      <c r="G616" s="14">
        <v>446.0</v>
      </c>
      <c r="H616" s="14" t="s">
        <v>28</v>
      </c>
      <c r="I616" s="19" t="s">
        <v>11202</v>
      </c>
      <c r="J616" s="19" t="s">
        <v>4619</v>
      </c>
      <c r="K616" s="19" t="s">
        <v>11204</v>
      </c>
      <c r="L616" s="19" t="s">
        <v>2532</v>
      </c>
      <c r="M616" s="20"/>
      <c r="N616" s="27"/>
      <c r="O616" s="22">
        <v>50.0</v>
      </c>
      <c r="P616" s="28">
        <v>0.0</v>
      </c>
      <c r="Q616" s="28">
        <v>14.0</v>
      </c>
      <c r="R616" s="30"/>
      <c r="S616" s="30"/>
      <c r="T616" s="30"/>
      <c r="U616" s="30"/>
      <c r="V616" s="30"/>
      <c r="W616" s="30"/>
      <c r="X616" s="30"/>
      <c r="Y616" s="30"/>
      <c r="Z616" s="30"/>
      <c r="AA616" s="30"/>
    </row>
    <row r="617" ht="15.75" customHeight="1">
      <c r="A617" s="14" t="s">
        <v>17</v>
      </c>
      <c r="B617" s="15" t="s">
        <v>6656</v>
      </c>
      <c r="C617" s="14" t="s">
        <v>4620</v>
      </c>
      <c r="D617" s="14" t="s">
        <v>4621</v>
      </c>
      <c r="E617" s="26" t="s">
        <v>4622</v>
      </c>
      <c r="F617" s="14">
        <v>447.0</v>
      </c>
      <c r="G617" s="14">
        <v>450.0</v>
      </c>
      <c r="H617" s="14" t="s">
        <v>28</v>
      </c>
      <c r="I617" s="19" t="s">
        <v>11247</v>
      </c>
      <c r="J617" s="19" t="s">
        <v>556</v>
      </c>
      <c r="K617" s="19" t="s">
        <v>630</v>
      </c>
      <c r="L617" s="19" t="s">
        <v>3975</v>
      </c>
      <c r="M617" s="20"/>
      <c r="N617" s="27"/>
      <c r="O617" s="22">
        <v>50.0</v>
      </c>
      <c r="P617" s="28">
        <v>5.0</v>
      </c>
      <c r="Q617" s="28">
        <v>4.0</v>
      </c>
      <c r="R617" s="30"/>
      <c r="S617" s="30"/>
      <c r="T617" s="30"/>
      <c r="U617" s="30"/>
      <c r="V617" s="30"/>
      <c r="W617" s="30"/>
      <c r="X617" s="30"/>
      <c r="Y617" s="30"/>
      <c r="Z617" s="30"/>
      <c r="AA617" s="30"/>
    </row>
    <row r="618" ht="15.75" customHeight="1">
      <c r="A618" s="14" t="s">
        <v>17</v>
      </c>
      <c r="B618" s="15" t="s">
        <v>6656</v>
      </c>
      <c r="C618" s="14" t="s">
        <v>4625</v>
      </c>
      <c r="D618" s="14" t="s">
        <v>4626</v>
      </c>
      <c r="E618" s="26" t="s">
        <v>4627</v>
      </c>
      <c r="F618" s="14">
        <v>451.0</v>
      </c>
      <c r="G618" s="14">
        <v>454.0</v>
      </c>
      <c r="H618" s="14" t="s">
        <v>28</v>
      </c>
      <c r="I618" s="19" t="s">
        <v>11295</v>
      </c>
      <c r="J618" s="19" t="s">
        <v>4628</v>
      </c>
      <c r="K618" s="19" t="s">
        <v>11298</v>
      </c>
      <c r="L618" s="19" t="s">
        <v>11300</v>
      </c>
      <c r="M618" s="20" t="s">
        <v>3516</v>
      </c>
      <c r="N618" s="27"/>
      <c r="O618" s="22">
        <v>4.0</v>
      </c>
      <c r="P618" s="28">
        <v>2.0</v>
      </c>
      <c r="Q618" s="28">
        <v>5.0</v>
      </c>
      <c r="R618" s="30"/>
      <c r="S618" s="30"/>
      <c r="T618" s="30"/>
      <c r="U618" s="30"/>
      <c r="V618" s="30"/>
      <c r="W618" s="30"/>
      <c r="X618" s="30"/>
      <c r="Y618" s="30"/>
      <c r="Z618" s="30"/>
      <c r="AA618" s="30"/>
    </row>
    <row r="619" ht="15.75" customHeight="1">
      <c r="A619" s="14" t="s">
        <v>17</v>
      </c>
      <c r="B619" s="15" t="s">
        <v>6656</v>
      </c>
      <c r="C619" s="14" t="s">
        <v>4630</v>
      </c>
      <c r="D619" s="14" t="s">
        <v>4631</v>
      </c>
      <c r="E619" s="26" t="s">
        <v>4632</v>
      </c>
      <c r="F619" s="14">
        <v>455.0</v>
      </c>
      <c r="G619" s="14">
        <v>458.0</v>
      </c>
      <c r="H619" s="14" t="s">
        <v>28</v>
      </c>
      <c r="I619" s="19" t="s">
        <v>11963</v>
      </c>
      <c r="J619" s="19" t="s">
        <v>4633</v>
      </c>
      <c r="K619" s="19" t="s">
        <v>11964</v>
      </c>
      <c r="L619" s="19" t="s">
        <v>11965</v>
      </c>
      <c r="M619" s="20" t="s">
        <v>4635</v>
      </c>
      <c r="N619" s="27"/>
      <c r="O619" s="22">
        <v>39.0</v>
      </c>
      <c r="P619" s="28">
        <v>5.0</v>
      </c>
      <c r="Q619" s="28">
        <v>9.0</v>
      </c>
      <c r="R619" s="30"/>
      <c r="S619" s="30"/>
      <c r="T619" s="30"/>
      <c r="U619" s="30"/>
      <c r="V619" s="30"/>
      <c r="W619" s="30"/>
      <c r="X619" s="30"/>
      <c r="Y619" s="30"/>
      <c r="Z619" s="30"/>
      <c r="AA619" s="30"/>
    </row>
    <row r="620" ht="15.75" customHeight="1">
      <c r="A620" s="14" t="s">
        <v>17</v>
      </c>
      <c r="B620" s="15" t="s">
        <v>6656</v>
      </c>
      <c r="C620" s="14" t="s">
        <v>4636</v>
      </c>
      <c r="D620" s="14" t="s">
        <v>4637</v>
      </c>
      <c r="E620" s="26" t="s">
        <v>4638</v>
      </c>
      <c r="F620" s="14">
        <v>459.0</v>
      </c>
      <c r="G620" s="14">
        <v>462.0</v>
      </c>
      <c r="H620" s="14" t="s">
        <v>28</v>
      </c>
      <c r="I620" s="19" t="s">
        <v>11966</v>
      </c>
      <c r="J620" s="19" t="s">
        <v>4639</v>
      </c>
      <c r="K620" s="19" t="s">
        <v>11967</v>
      </c>
      <c r="L620" s="19" t="s">
        <v>11968</v>
      </c>
      <c r="M620" s="20"/>
      <c r="N620" s="27"/>
      <c r="O620" s="22">
        <v>50.0</v>
      </c>
      <c r="P620" s="28">
        <v>7.0</v>
      </c>
      <c r="Q620" s="28">
        <v>5.0</v>
      </c>
      <c r="R620" s="29" t="s">
        <v>2374</v>
      </c>
      <c r="S620" s="30"/>
      <c r="T620" s="30"/>
      <c r="U620" s="30"/>
      <c r="V620" s="30"/>
      <c r="W620" s="30"/>
      <c r="X620" s="30"/>
      <c r="Y620" s="30"/>
      <c r="Z620" s="30"/>
      <c r="AA620" s="30"/>
    </row>
    <row r="621" ht="15.75" customHeight="1">
      <c r="A621" s="14" t="s">
        <v>17</v>
      </c>
      <c r="B621" s="15" t="s">
        <v>6656</v>
      </c>
      <c r="C621" s="14" t="s">
        <v>4641</v>
      </c>
      <c r="D621" s="14" t="s">
        <v>4642</v>
      </c>
      <c r="E621" s="26" t="s">
        <v>4643</v>
      </c>
      <c r="F621" s="14">
        <v>463.0</v>
      </c>
      <c r="G621" s="14">
        <v>466.0</v>
      </c>
      <c r="H621" s="14" t="s">
        <v>28</v>
      </c>
      <c r="I621" s="19" t="s">
        <v>11973</v>
      </c>
      <c r="J621" s="19" t="s">
        <v>4644</v>
      </c>
      <c r="K621" s="19" t="s">
        <v>11975</v>
      </c>
      <c r="L621" s="19" t="s">
        <v>3461</v>
      </c>
      <c r="M621" s="20" t="s">
        <v>3127</v>
      </c>
      <c r="N621" s="27"/>
      <c r="O621" s="22">
        <v>50.0</v>
      </c>
      <c r="P621" s="28">
        <v>16.0</v>
      </c>
      <c r="Q621" s="28">
        <v>11.0</v>
      </c>
      <c r="R621" s="30"/>
      <c r="S621" s="30"/>
      <c r="T621" s="30"/>
      <c r="U621" s="30"/>
      <c r="V621" s="30"/>
      <c r="W621" s="30"/>
      <c r="X621" s="30"/>
      <c r="Y621" s="30"/>
      <c r="Z621" s="30"/>
      <c r="AA621" s="30"/>
    </row>
    <row r="622" ht="15.75" customHeight="1">
      <c r="A622" s="14" t="s">
        <v>17</v>
      </c>
      <c r="B622" s="15" t="s">
        <v>6656</v>
      </c>
      <c r="C622" s="14" t="s">
        <v>4645</v>
      </c>
      <c r="D622" s="14" t="s">
        <v>4646</v>
      </c>
      <c r="E622" s="26" t="s">
        <v>4647</v>
      </c>
      <c r="F622" s="14">
        <v>467.0</v>
      </c>
      <c r="G622" s="14">
        <v>470.0</v>
      </c>
      <c r="H622" s="14" t="s">
        <v>28</v>
      </c>
      <c r="I622" s="19" t="s">
        <v>11978</v>
      </c>
      <c r="J622" s="19" t="s">
        <v>4648</v>
      </c>
      <c r="K622" s="19" t="s">
        <v>11979</v>
      </c>
      <c r="L622" s="19" t="s">
        <v>11980</v>
      </c>
      <c r="M622" s="20"/>
      <c r="N622" s="27"/>
      <c r="O622" s="22">
        <v>50.0</v>
      </c>
      <c r="P622" s="28">
        <v>2.0</v>
      </c>
      <c r="Q622" s="28">
        <v>9.0</v>
      </c>
      <c r="R622" s="30"/>
      <c r="S622" s="30"/>
      <c r="T622" s="30"/>
      <c r="U622" s="30"/>
      <c r="V622" s="30"/>
      <c r="W622" s="30"/>
      <c r="X622" s="30"/>
      <c r="Y622" s="30"/>
      <c r="Z622" s="30"/>
      <c r="AA622" s="30"/>
    </row>
    <row r="623" ht="15.75" customHeight="1">
      <c r="A623" s="14" t="s">
        <v>17</v>
      </c>
      <c r="B623" s="15" t="s">
        <v>6656</v>
      </c>
      <c r="C623" s="14" t="s">
        <v>4650</v>
      </c>
      <c r="D623" s="14" t="s">
        <v>4651</v>
      </c>
      <c r="E623" s="26" t="s">
        <v>4652</v>
      </c>
      <c r="F623" s="14">
        <v>471.0</v>
      </c>
      <c r="G623" s="14">
        <v>474.0</v>
      </c>
      <c r="H623" s="14" t="s">
        <v>28</v>
      </c>
      <c r="I623" s="19" t="s">
        <v>11981</v>
      </c>
      <c r="J623" s="19" t="s">
        <v>4653</v>
      </c>
      <c r="K623" s="19" t="s">
        <v>11982</v>
      </c>
      <c r="L623" s="19" t="s">
        <v>4932</v>
      </c>
      <c r="M623" s="20" t="s">
        <v>4655</v>
      </c>
      <c r="N623" s="27"/>
      <c r="O623" s="22">
        <v>50.0</v>
      </c>
      <c r="P623" s="28">
        <v>4.0</v>
      </c>
      <c r="Q623" s="28">
        <v>8.0</v>
      </c>
      <c r="R623" s="30"/>
      <c r="S623" s="30"/>
      <c r="T623" s="30"/>
      <c r="U623" s="30"/>
      <c r="V623" s="30"/>
      <c r="W623" s="30"/>
      <c r="X623" s="30"/>
      <c r="Y623" s="30"/>
      <c r="Z623" s="30"/>
      <c r="AA623" s="30"/>
    </row>
    <row r="624" ht="15.75" customHeight="1">
      <c r="A624" s="14" t="s">
        <v>17</v>
      </c>
      <c r="B624" s="15" t="s">
        <v>6656</v>
      </c>
      <c r="C624" s="14" t="s">
        <v>4656</v>
      </c>
      <c r="D624" s="14" t="s">
        <v>4657</v>
      </c>
      <c r="E624" s="26" t="s">
        <v>4658</v>
      </c>
      <c r="F624" s="14">
        <v>475.0</v>
      </c>
      <c r="G624" s="14">
        <v>478.0</v>
      </c>
      <c r="H624" s="14" t="s">
        <v>28</v>
      </c>
      <c r="I624" s="19" t="s">
        <v>11983</v>
      </c>
      <c r="J624" s="19" t="s">
        <v>4659</v>
      </c>
      <c r="K624" s="19" t="s">
        <v>11984</v>
      </c>
      <c r="L624" s="19" t="s">
        <v>11985</v>
      </c>
      <c r="M624" s="20" t="s">
        <v>2565</v>
      </c>
      <c r="N624" s="27"/>
      <c r="O624" s="22">
        <v>8.0</v>
      </c>
      <c r="P624" s="28">
        <v>7.0</v>
      </c>
      <c r="Q624" s="28">
        <v>12.0</v>
      </c>
      <c r="R624" s="30"/>
      <c r="S624" s="30"/>
      <c r="T624" s="30"/>
      <c r="U624" s="30"/>
      <c r="V624" s="30"/>
      <c r="W624" s="30"/>
      <c r="X624" s="30"/>
      <c r="Y624" s="30"/>
      <c r="Z624" s="30"/>
      <c r="AA624" s="30"/>
    </row>
    <row r="625" ht="15.75" customHeight="1">
      <c r="A625" s="14" t="s">
        <v>17</v>
      </c>
      <c r="B625" s="15" t="s">
        <v>6656</v>
      </c>
      <c r="C625" s="14" t="s">
        <v>4661</v>
      </c>
      <c r="D625" s="14" t="s">
        <v>4662</v>
      </c>
      <c r="E625" s="26" t="s">
        <v>4663</v>
      </c>
      <c r="F625" s="14">
        <v>479.0</v>
      </c>
      <c r="G625" s="14">
        <v>481.0</v>
      </c>
      <c r="H625" s="14" t="s">
        <v>28</v>
      </c>
      <c r="I625" s="19" t="s">
        <v>11986</v>
      </c>
      <c r="J625" s="19" t="s">
        <v>4664</v>
      </c>
      <c r="K625" s="19" t="s">
        <v>11987</v>
      </c>
      <c r="L625" s="19" t="s">
        <v>11988</v>
      </c>
      <c r="M625" s="20"/>
      <c r="N625" s="27"/>
      <c r="O625" s="22">
        <v>50.0</v>
      </c>
      <c r="P625" s="28">
        <v>6.0</v>
      </c>
      <c r="Q625" s="28">
        <v>5.0</v>
      </c>
      <c r="R625" s="30"/>
      <c r="S625" s="30"/>
      <c r="T625" s="30"/>
      <c r="U625" s="30"/>
      <c r="V625" s="30"/>
      <c r="W625" s="30"/>
      <c r="X625" s="30"/>
      <c r="Y625" s="30"/>
      <c r="Z625" s="30"/>
      <c r="AA625" s="30"/>
    </row>
    <row r="626" ht="15.75" customHeight="1">
      <c r="A626" s="14" t="s">
        <v>17</v>
      </c>
      <c r="B626" s="15" t="s">
        <v>6656</v>
      </c>
      <c r="C626" s="14" t="s">
        <v>4666</v>
      </c>
      <c r="D626" s="14" t="s">
        <v>4667</v>
      </c>
      <c r="E626" s="26" t="s">
        <v>4668</v>
      </c>
      <c r="F626" s="14">
        <v>483.0</v>
      </c>
      <c r="G626" s="14">
        <v>486.0</v>
      </c>
      <c r="H626" s="14" t="s">
        <v>28</v>
      </c>
      <c r="I626" s="19" t="s">
        <v>11989</v>
      </c>
      <c r="J626" s="19" t="s">
        <v>4669</v>
      </c>
      <c r="K626" s="19" t="s">
        <v>11990</v>
      </c>
      <c r="L626" s="19" t="s">
        <v>11991</v>
      </c>
      <c r="M626" s="20"/>
      <c r="N626" s="27"/>
      <c r="O626" s="22">
        <v>50.0</v>
      </c>
      <c r="P626" s="28">
        <v>1.0</v>
      </c>
      <c r="Q626" s="28">
        <v>9.0</v>
      </c>
      <c r="R626" s="30"/>
      <c r="S626" s="30"/>
      <c r="T626" s="30"/>
      <c r="U626" s="30"/>
      <c r="V626" s="30"/>
      <c r="W626" s="30"/>
      <c r="X626" s="30"/>
      <c r="Y626" s="30"/>
      <c r="Z626" s="30"/>
      <c r="AA626" s="30"/>
    </row>
    <row r="627" ht="15.75" customHeight="1">
      <c r="A627" s="14" t="s">
        <v>17</v>
      </c>
      <c r="B627" s="15" t="s">
        <v>6656</v>
      </c>
      <c r="C627" s="14" t="s">
        <v>4671</v>
      </c>
      <c r="D627" s="14" t="s">
        <v>4672</v>
      </c>
      <c r="E627" s="26" t="s">
        <v>4673</v>
      </c>
      <c r="F627" s="14">
        <v>487.0</v>
      </c>
      <c r="G627" s="14">
        <v>490.0</v>
      </c>
      <c r="H627" s="14" t="s">
        <v>28</v>
      </c>
      <c r="I627" s="19" t="s">
        <v>11992</v>
      </c>
      <c r="J627" s="19" t="s">
        <v>4674</v>
      </c>
      <c r="K627" s="19" t="s">
        <v>11993</v>
      </c>
      <c r="L627" s="19" t="s">
        <v>3461</v>
      </c>
      <c r="M627" s="20"/>
      <c r="N627" s="27"/>
      <c r="O627" s="22">
        <v>28.0</v>
      </c>
      <c r="P627" s="28">
        <v>5.0</v>
      </c>
      <c r="Q627" s="28">
        <v>13.0</v>
      </c>
      <c r="R627" s="30"/>
      <c r="S627" s="30"/>
      <c r="T627" s="30"/>
      <c r="U627" s="30"/>
      <c r="V627" s="30"/>
      <c r="W627" s="30"/>
      <c r="X627" s="30"/>
      <c r="Y627" s="30"/>
      <c r="Z627" s="30"/>
      <c r="AA627" s="30"/>
    </row>
    <row r="628" ht="15.75" customHeight="1">
      <c r="A628" s="14" t="s">
        <v>17</v>
      </c>
      <c r="B628" s="15" t="s">
        <v>6656</v>
      </c>
      <c r="C628" s="14" t="s">
        <v>4676</v>
      </c>
      <c r="D628" s="14" t="s">
        <v>4677</v>
      </c>
      <c r="E628" s="26" t="s">
        <v>4678</v>
      </c>
      <c r="F628" s="14">
        <v>491.0</v>
      </c>
      <c r="G628" s="14">
        <v>494.0</v>
      </c>
      <c r="H628" s="14" t="s">
        <v>28</v>
      </c>
      <c r="I628" s="19" t="s">
        <v>12000</v>
      </c>
      <c r="J628" s="19" t="s">
        <v>4679</v>
      </c>
      <c r="K628" s="19" t="s">
        <v>12001</v>
      </c>
      <c r="L628" s="19" t="s">
        <v>12002</v>
      </c>
      <c r="M628" s="20" t="s">
        <v>4681</v>
      </c>
      <c r="N628" s="27"/>
      <c r="O628" s="22">
        <v>8.0</v>
      </c>
      <c r="P628" s="28">
        <v>6.0</v>
      </c>
      <c r="Q628" s="28">
        <v>13.0</v>
      </c>
      <c r="R628" s="30"/>
      <c r="S628" s="30"/>
      <c r="T628" s="30"/>
      <c r="U628" s="30"/>
      <c r="V628" s="30"/>
      <c r="W628" s="30"/>
      <c r="X628" s="30"/>
      <c r="Y628" s="30"/>
      <c r="Z628" s="30"/>
      <c r="AA628" s="30"/>
    </row>
    <row r="629" ht="15.75" customHeight="1">
      <c r="A629" s="14" t="s">
        <v>17</v>
      </c>
      <c r="B629" s="15" t="s">
        <v>6656</v>
      </c>
      <c r="C629" s="14" t="s">
        <v>4682</v>
      </c>
      <c r="D629" s="14" t="s">
        <v>4683</v>
      </c>
      <c r="E629" s="26" t="s">
        <v>4684</v>
      </c>
      <c r="F629" s="14">
        <v>497.0</v>
      </c>
      <c r="G629" s="14">
        <v>499.0</v>
      </c>
      <c r="H629" s="14" t="s">
        <v>21</v>
      </c>
      <c r="I629" s="18"/>
      <c r="J629" s="19" t="s">
        <v>4685</v>
      </c>
      <c r="K629" s="19" t="s">
        <v>12010</v>
      </c>
      <c r="L629" s="19" t="s">
        <v>12011</v>
      </c>
      <c r="M629" s="20"/>
      <c r="N629" s="27"/>
      <c r="O629" s="22">
        <v>0.0</v>
      </c>
      <c r="P629" s="28">
        <v>0.0</v>
      </c>
      <c r="Q629" s="28">
        <v>0.0</v>
      </c>
      <c r="R629" s="30"/>
      <c r="S629" s="30"/>
      <c r="T629" s="30"/>
      <c r="U629" s="30"/>
      <c r="V629" s="30"/>
      <c r="W629" s="30"/>
      <c r="X629" s="30"/>
      <c r="Y629" s="30"/>
      <c r="Z629" s="30"/>
      <c r="AA629" s="30"/>
    </row>
    <row r="630" ht="15.75" customHeight="1">
      <c r="A630" s="14" t="s">
        <v>17</v>
      </c>
      <c r="B630" s="15" t="s">
        <v>6656</v>
      </c>
      <c r="C630" s="14" t="s">
        <v>4687</v>
      </c>
      <c r="D630" s="14" t="s">
        <v>4688</v>
      </c>
      <c r="E630" s="26" t="s">
        <v>4689</v>
      </c>
      <c r="F630" s="14">
        <v>501.0</v>
      </c>
      <c r="G630" s="14">
        <v>504.0</v>
      </c>
      <c r="H630" s="14" t="s">
        <v>21</v>
      </c>
      <c r="I630" s="18"/>
      <c r="J630" s="19" t="s">
        <v>4690</v>
      </c>
      <c r="K630" s="19" t="s">
        <v>12017</v>
      </c>
      <c r="L630" s="19" t="s">
        <v>2913</v>
      </c>
      <c r="M630" s="20"/>
      <c r="N630" s="27"/>
      <c r="O630" s="22">
        <v>12.0</v>
      </c>
      <c r="P630" s="28">
        <v>1.0</v>
      </c>
      <c r="Q630" s="28">
        <v>0.0</v>
      </c>
      <c r="R630" s="30"/>
      <c r="S630" s="30"/>
      <c r="T630" s="30"/>
      <c r="U630" s="30"/>
      <c r="V630" s="30"/>
      <c r="W630" s="30"/>
      <c r="X630" s="30"/>
      <c r="Y630" s="30"/>
      <c r="Z630" s="30"/>
      <c r="AA630" s="30"/>
    </row>
    <row r="631" ht="15.75" customHeight="1">
      <c r="A631" s="14" t="s">
        <v>17</v>
      </c>
      <c r="B631" s="15" t="s">
        <v>6656</v>
      </c>
      <c r="C631" s="14" t="s">
        <v>4692</v>
      </c>
      <c r="D631" s="14" t="s">
        <v>4693</v>
      </c>
      <c r="E631" s="26" t="s">
        <v>4694</v>
      </c>
      <c r="F631" s="14">
        <v>505.0</v>
      </c>
      <c r="G631" s="14">
        <v>506.0</v>
      </c>
      <c r="H631" s="14" t="s">
        <v>21</v>
      </c>
      <c r="I631" s="18"/>
      <c r="J631" s="19" t="s">
        <v>4695</v>
      </c>
      <c r="K631" s="19" t="s">
        <v>12021</v>
      </c>
      <c r="L631" s="19" t="s">
        <v>12023</v>
      </c>
      <c r="M631" s="20"/>
      <c r="N631" s="27"/>
      <c r="O631" s="22">
        <v>50.0</v>
      </c>
      <c r="P631" s="28">
        <v>1.0</v>
      </c>
      <c r="Q631" s="28">
        <v>0.0</v>
      </c>
      <c r="R631" s="30"/>
      <c r="S631" s="30"/>
      <c r="T631" s="30"/>
      <c r="U631" s="30"/>
      <c r="V631" s="30"/>
      <c r="W631" s="30"/>
      <c r="X631" s="30"/>
      <c r="Y631" s="30"/>
      <c r="Z631" s="30"/>
      <c r="AA631" s="30"/>
    </row>
    <row r="632" ht="15.75" customHeight="1">
      <c r="A632" s="14" t="s">
        <v>17</v>
      </c>
      <c r="B632" s="15" t="s">
        <v>6656</v>
      </c>
      <c r="C632" s="14" t="s">
        <v>4697</v>
      </c>
      <c r="D632" s="14" t="s">
        <v>4698</v>
      </c>
      <c r="E632" s="26" t="s">
        <v>4699</v>
      </c>
      <c r="F632" s="14">
        <v>507.0</v>
      </c>
      <c r="G632" s="14">
        <v>509.0</v>
      </c>
      <c r="H632" s="14" t="s">
        <v>21</v>
      </c>
      <c r="I632" s="18"/>
      <c r="J632" s="19" t="s">
        <v>4700</v>
      </c>
      <c r="K632" s="19" t="s">
        <v>12028</v>
      </c>
      <c r="L632" s="19" t="s">
        <v>12029</v>
      </c>
      <c r="M632" s="20"/>
      <c r="N632" s="27"/>
      <c r="O632" s="22">
        <v>10.0</v>
      </c>
      <c r="P632" s="28">
        <v>1.0</v>
      </c>
      <c r="Q632" s="28">
        <v>2.0</v>
      </c>
      <c r="R632" s="30"/>
      <c r="S632" s="30"/>
      <c r="T632" s="30"/>
      <c r="U632" s="30"/>
      <c r="V632" s="30"/>
      <c r="W632" s="30"/>
      <c r="X632" s="30"/>
      <c r="Y632" s="30"/>
      <c r="Z632" s="30"/>
      <c r="AA632" s="30"/>
    </row>
    <row r="633" ht="15.75" customHeight="1">
      <c r="A633" s="14" t="s">
        <v>17</v>
      </c>
      <c r="B633" s="15" t="s">
        <v>6656</v>
      </c>
      <c r="C633" s="14" t="s">
        <v>4702</v>
      </c>
      <c r="D633" s="14" t="s">
        <v>4703</v>
      </c>
      <c r="E633" s="26" t="s">
        <v>4704</v>
      </c>
      <c r="F633" s="14">
        <v>233.0</v>
      </c>
      <c r="G633" s="14">
        <v>238.0</v>
      </c>
      <c r="H633" s="14" t="s">
        <v>28</v>
      </c>
      <c r="I633" s="19" t="s">
        <v>12037</v>
      </c>
      <c r="J633" s="19" t="s">
        <v>4705</v>
      </c>
      <c r="K633" s="19" t="s">
        <v>12038</v>
      </c>
      <c r="L633" s="19" t="s">
        <v>4736</v>
      </c>
      <c r="M633" s="20" t="s">
        <v>4707</v>
      </c>
      <c r="N633" s="27"/>
      <c r="O633" s="22">
        <v>391.0</v>
      </c>
      <c r="P633" s="28">
        <v>94.0</v>
      </c>
      <c r="Q633" s="28">
        <v>17.0</v>
      </c>
      <c r="R633" s="29" t="s">
        <v>106</v>
      </c>
      <c r="S633" s="30"/>
      <c r="T633" s="30"/>
      <c r="U633" s="30"/>
      <c r="V633" s="30"/>
      <c r="W633" s="30"/>
      <c r="X633" s="30"/>
      <c r="Y633" s="30"/>
      <c r="Z633" s="30"/>
      <c r="AA633" s="30"/>
    </row>
    <row r="634" ht="15.75" customHeight="1">
      <c r="A634" s="14" t="s">
        <v>2137</v>
      </c>
      <c r="B634" s="15" t="s">
        <v>12039</v>
      </c>
      <c r="C634" s="14" t="s">
        <v>4708</v>
      </c>
      <c r="D634" s="14" t="s">
        <v>4709</v>
      </c>
      <c r="E634" s="26" t="str">
        <f t="shared" ref="E634:E652" si="1">"http://dx.doi.org/" &amp; D634</f>
        <v>http://dx.doi.org/10.1109/INFVIS.1999.801851</v>
      </c>
      <c r="F634" s="14">
        <v>4.0</v>
      </c>
      <c r="G634" s="14" t="s">
        <v>4711</v>
      </c>
      <c r="H634" s="14" t="s">
        <v>28</v>
      </c>
      <c r="I634" s="19" t="s">
        <v>12046</v>
      </c>
      <c r="J634" s="19" t="s">
        <v>4712</v>
      </c>
      <c r="K634" s="19" t="s">
        <v>12047</v>
      </c>
      <c r="L634" s="19" t="s">
        <v>12048</v>
      </c>
      <c r="M634" s="20"/>
      <c r="N634" s="27"/>
      <c r="O634" s="31"/>
      <c r="P634" s="28">
        <v>99.0</v>
      </c>
      <c r="Q634" s="28">
        <v>7.0</v>
      </c>
      <c r="R634" s="84"/>
      <c r="S634" s="84"/>
      <c r="T634" s="84"/>
      <c r="U634" s="84"/>
      <c r="V634" s="84"/>
      <c r="W634" s="84"/>
      <c r="X634" s="84"/>
      <c r="Y634" s="84"/>
      <c r="Z634" s="84"/>
      <c r="AA634" s="84"/>
    </row>
    <row r="635" ht="15.75" customHeight="1">
      <c r="A635" s="14" t="s">
        <v>2137</v>
      </c>
      <c r="B635" s="15" t="s">
        <v>12039</v>
      </c>
      <c r="C635" s="14" t="s">
        <v>4714</v>
      </c>
      <c r="D635" s="14" t="s">
        <v>4715</v>
      </c>
      <c r="E635" s="26" t="str">
        <f t="shared" si="1"/>
        <v>http://dx.doi.org/10.1109/INFVIS.1999.801852</v>
      </c>
      <c r="F635" s="14">
        <v>10.0</v>
      </c>
      <c r="G635" s="14" t="s">
        <v>4757</v>
      </c>
      <c r="H635" s="14" t="s">
        <v>28</v>
      </c>
      <c r="I635" s="19" t="s">
        <v>12049</v>
      </c>
      <c r="J635" s="19" t="s">
        <v>4759</v>
      </c>
      <c r="K635" s="19" t="s">
        <v>12050</v>
      </c>
      <c r="L635" s="19" t="s">
        <v>12051</v>
      </c>
      <c r="M635" s="20"/>
      <c r="N635" s="51" t="s">
        <v>4761</v>
      </c>
      <c r="O635" s="22">
        <v>55.0</v>
      </c>
      <c r="P635" s="28">
        <v>7.0</v>
      </c>
      <c r="Q635" s="28">
        <v>15.0</v>
      </c>
      <c r="R635" s="84"/>
      <c r="S635" s="84"/>
      <c r="T635" s="84"/>
      <c r="U635" s="84"/>
      <c r="V635" s="84"/>
      <c r="W635" s="84"/>
      <c r="X635" s="84"/>
      <c r="Y635" s="84"/>
      <c r="Z635" s="84"/>
      <c r="AA635" s="84"/>
    </row>
    <row r="636" ht="15.75" customHeight="1">
      <c r="A636" s="14" t="s">
        <v>2137</v>
      </c>
      <c r="B636" s="15" t="s">
        <v>12039</v>
      </c>
      <c r="C636" s="14" t="s">
        <v>4762</v>
      </c>
      <c r="D636" s="14" t="s">
        <v>4763</v>
      </c>
      <c r="E636" s="26" t="str">
        <f t="shared" si="1"/>
        <v>http://dx.doi.org/10.1109/INFVIS.1999.801853</v>
      </c>
      <c r="F636" s="14">
        <v>18.0</v>
      </c>
      <c r="G636" s="14" t="s">
        <v>4767</v>
      </c>
      <c r="H636" s="14" t="s">
        <v>28</v>
      </c>
      <c r="I636" s="19" t="s">
        <v>12052</v>
      </c>
      <c r="J636" s="19" t="s">
        <v>4768</v>
      </c>
      <c r="K636" s="19" t="s">
        <v>12053</v>
      </c>
      <c r="L636" s="19" t="s">
        <v>5147</v>
      </c>
      <c r="M636" s="20" t="s">
        <v>4769</v>
      </c>
      <c r="N636" s="44" t="s">
        <v>4770</v>
      </c>
      <c r="O636" s="22">
        <v>55.0</v>
      </c>
      <c r="P636" s="28">
        <v>11.0</v>
      </c>
      <c r="Q636" s="28">
        <v>19.0</v>
      </c>
      <c r="R636" s="84"/>
      <c r="S636" s="84"/>
      <c r="T636" s="84"/>
      <c r="U636" s="84"/>
      <c r="V636" s="84"/>
      <c r="W636" s="84"/>
      <c r="X636" s="84"/>
      <c r="Y636" s="84"/>
      <c r="Z636" s="84"/>
      <c r="AA636" s="84"/>
    </row>
    <row r="637" ht="15.75" customHeight="1">
      <c r="A637" s="14" t="s">
        <v>2137</v>
      </c>
      <c r="B637" s="15" t="s">
        <v>12039</v>
      </c>
      <c r="C637" s="14" t="s">
        <v>4771</v>
      </c>
      <c r="D637" s="14" t="s">
        <v>4772</v>
      </c>
      <c r="E637" s="26" t="str">
        <f t="shared" si="1"/>
        <v>http://dx.doi.org/10.1109/INFVIS.1999.801854</v>
      </c>
      <c r="F637" s="14">
        <v>28.0</v>
      </c>
      <c r="G637" s="14">
        <v>35.0</v>
      </c>
      <c r="H637" s="14" t="s">
        <v>28</v>
      </c>
      <c r="I637" s="19" t="s">
        <v>12054</v>
      </c>
      <c r="J637" s="19" t="s">
        <v>4777</v>
      </c>
      <c r="K637" s="19" t="s">
        <v>12055</v>
      </c>
      <c r="L637" s="19" t="s">
        <v>291</v>
      </c>
      <c r="M637" s="20"/>
      <c r="N637" s="44" t="s">
        <v>4778</v>
      </c>
      <c r="O637" s="22">
        <v>238.0</v>
      </c>
      <c r="P637" s="28">
        <v>36.0</v>
      </c>
      <c r="Q637" s="28">
        <v>25.0</v>
      </c>
      <c r="R637" s="84"/>
      <c r="S637" s="84"/>
      <c r="T637" s="84"/>
      <c r="U637" s="84"/>
      <c r="V637" s="84"/>
      <c r="W637" s="84"/>
      <c r="X637" s="84"/>
      <c r="Y637" s="84"/>
      <c r="Z637" s="84"/>
      <c r="AA637" s="84"/>
    </row>
    <row r="638" ht="15.75" customHeight="1">
      <c r="A638" s="14" t="s">
        <v>2137</v>
      </c>
      <c r="B638" s="15" t="s">
        <v>12039</v>
      </c>
      <c r="C638" s="14" t="s">
        <v>4779</v>
      </c>
      <c r="D638" s="14" t="s">
        <v>4780</v>
      </c>
      <c r="E638" s="26" t="str">
        <f t="shared" si="1"/>
        <v>http://dx.doi.org/10.1109/INFVIS.1999.801855</v>
      </c>
      <c r="F638" s="14">
        <v>36.0</v>
      </c>
      <c r="G638" s="14" t="s">
        <v>4784</v>
      </c>
      <c r="H638" s="14" t="s">
        <v>28</v>
      </c>
      <c r="I638" s="19" t="s">
        <v>12056</v>
      </c>
      <c r="J638" s="19" t="s">
        <v>4785</v>
      </c>
      <c r="K638" s="19" t="s">
        <v>12057</v>
      </c>
      <c r="L638" s="19" t="s">
        <v>12058</v>
      </c>
      <c r="M638" s="20"/>
      <c r="N638" s="27"/>
      <c r="O638" s="31"/>
      <c r="P638" s="28">
        <v>28.0</v>
      </c>
      <c r="Q638" s="28">
        <v>17.0</v>
      </c>
      <c r="R638" s="84"/>
      <c r="S638" s="84"/>
      <c r="T638" s="84"/>
      <c r="U638" s="84"/>
      <c r="V638" s="84"/>
      <c r="W638" s="84"/>
      <c r="X638" s="84"/>
      <c r="Y638" s="84"/>
      <c r="Z638" s="84"/>
      <c r="AA638" s="84"/>
    </row>
    <row r="639" ht="15.75" customHeight="1">
      <c r="A639" s="14" t="s">
        <v>2137</v>
      </c>
      <c r="B639" s="15" t="s">
        <v>12039</v>
      </c>
      <c r="C639" s="14" t="s">
        <v>4787</v>
      </c>
      <c r="D639" s="14" t="s">
        <v>4788</v>
      </c>
      <c r="E639" s="26" t="str">
        <f t="shared" si="1"/>
        <v>http://dx.doi.org/10.1109/INFVIS.1999.801856</v>
      </c>
      <c r="F639" s="14">
        <v>44.0</v>
      </c>
      <c r="G639" s="14" t="s">
        <v>4790</v>
      </c>
      <c r="H639" s="14" t="s">
        <v>28</v>
      </c>
      <c r="I639" s="19" t="s">
        <v>12059</v>
      </c>
      <c r="J639" s="19" t="s">
        <v>4791</v>
      </c>
      <c r="K639" s="19" t="s">
        <v>12060</v>
      </c>
      <c r="L639" s="19" t="s">
        <v>12061</v>
      </c>
      <c r="M639" s="20" t="s">
        <v>4793</v>
      </c>
      <c r="N639" s="44" t="s">
        <v>4794</v>
      </c>
      <c r="O639" s="22">
        <v>50.0</v>
      </c>
      <c r="P639" s="28">
        <v>4.0</v>
      </c>
      <c r="Q639" s="28">
        <v>25.0</v>
      </c>
      <c r="R639" s="84"/>
      <c r="S639" s="84"/>
      <c r="T639" s="84"/>
      <c r="U639" s="84"/>
      <c r="V639" s="84"/>
      <c r="W639" s="84"/>
      <c r="X639" s="84"/>
      <c r="Y639" s="84"/>
      <c r="Z639" s="84"/>
      <c r="AA639" s="84"/>
    </row>
    <row r="640" ht="15.75" customHeight="1">
      <c r="A640" s="14" t="s">
        <v>2137</v>
      </c>
      <c r="B640" s="15" t="s">
        <v>12039</v>
      </c>
      <c r="C640" s="14" t="s">
        <v>4797</v>
      </c>
      <c r="D640" s="14" t="s">
        <v>4798</v>
      </c>
      <c r="E640" s="26" t="str">
        <f t="shared" si="1"/>
        <v>http://dx.doi.org/10.1109/INFVIS.1999.801857</v>
      </c>
      <c r="F640" s="14">
        <v>53.0</v>
      </c>
      <c r="G640" s="14" t="s">
        <v>4800</v>
      </c>
      <c r="H640" s="14" t="s">
        <v>28</v>
      </c>
      <c r="I640" s="19" t="s">
        <v>12062</v>
      </c>
      <c r="J640" s="19" t="s">
        <v>12063</v>
      </c>
      <c r="K640" s="19" t="s">
        <v>12064</v>
      </c>
      <c r="L640" s="19" t="s">
        <v>12065</v>
      </c>
      <c r="M640" s="20" t="s">
        <v>4803</v>
      </c>
      <c r="N640" s="51" t="s">
        <v>4805</v>
      </c>
      <c r="O640" s="22">
        <v>42.0</v>
      </c>
      <c r="P640" s="28">
        <v>6.0</v>
      </c>
      <c r="Q640" s="28">
        <v>22.0</v>
      </c>
      <c r="R640" s="84"/>
      <c r="S640" s="84"/>
      <c r="T640" s="84"/>
      <c r="U640" s="84"/>
      <c r="V640" s="84"/>
      <c r="W640" s="84"/>
      <c r="X640" s="84"/>
      <c r="Y640" s="84"/>
      <c r="Z640" s="84"/>
      <c r="AA640" s="84"/>
    </row>
    <row r="641" ht="15.75" customHeight="1">
      <c r="A641" s="14" t="s">
        <v>2137</v>
      </c>
      <c r="B641" s="15" t="s">
        <v>12039</v>
      </c>
      <c r="C641" s="14" t="s">
        <v>4809</v>
      </c>
      <c r="D641" s="14" t="s">
        <v>4810</v>
      </c>
      <c r="E641" s="26" t="str">
        <f t="shared" si="1"/>
        <v>http://dx.doi.org/10.1109/INFVIS.1999.801858</v>
      </c>
      <c r="F641" s="14">
        <v>58.0</v>
      </c>
      <c r="G641" s="14" t="s">
        <v>4812</v>
      </c>
      <c r="H641" s="14" t="s">
        <v>28</v>
      </c>
      <c r="I641" s="19" t="s">
        <v>12066</v>
      </c>
      <c r="J641" s="19" t="s">
        <v>4813</v>
      </c>
      <c r="K641" s="19" t="s">
        <v>12067</v>
      </c>
      <c r="L641" s="19" t="s">
        <v>2583</v>
      </c>
      <c r="M641" s="20" t="s">
        <v>4818</v>
      </c>
      <c r="N641" s="51" t="s">
        <v>4819</v>
      </c>
      <c r="O641" s="22">
        <v>80.0</v>
      </c>
      <c r="P641" s="28">
        <v>12.0</v>
      </c>
      <c r="Q641" s="28">
        <v>17.0</v>
      </c>
      <c r="R641" s="84"/>
      <c r="S641" s="84"/>
      <c r="T641" s="84"/>
      <c r="U641" s="84"/>
      <c r="V641" s="84"/>
      <c r="W641" s="84"/>
      <c r="X641" s="84"/>
      <c r="Y641" s="84"/>
      <c r="Z641" s="84"/>
      <c r="AA641" s="84"/>
    </row>
    <row r="642" ht="15.75" customHeight="1">
      <c r="A642" s="14" t="s">
        <v>2137</v>
      </c>
      <c r="B642" s="15" t="s">
        <v>12039</v>
      </c>
      <c r="C642" s="14" t="s">
        <v>4820</v>
      </c>
      <c r="D642" s="14" t="s">
        <v>4821</v>
      </c>
      <c r="E642" s="26" t="str">
        <f t="shared" si="1"/>
        <v>http://dx.doi.org/10.1109/INFVIS.1999.801859</v>
      </c>
      <c r="F642" s="14">
        <v>65.0</v>
      </c>
      <c r="G642" s="14">
        <v>72.0</v>
      </c>
      <c r="H642" s="14" t="s">
        <v>28</v>
      </c>
      <c r="I642" s="19" t="s">
        <v>12068</v>
      </c>
      <c r="J642" s="19" t="s">
        <v>4826</v>
      </c>
      <c r="K642" s="19" t="s">
        <v>12069</v>
      </c>
      <c r="L642" s="19" t="s">
        <v>4311</v>
      </c>
      <c r="M642" s="20" t="s">
        <v>4827</v>
      </c>
      <c r="N642" s="27"/>
      <c r="O642" s="31"/>
      <c r="P642" s="28">
        <v>12.0</v>
      </c>
      <c r="Q642" s="28">
        <v>16.0</v>
      </c>
      <c r="R642" s="84"/>
      <c r="S642" s="84"/>
      <c r="T642" s="84"/>
      <c r="U642" s="84"/>
      <c r="V642" s="84"/>
      <c r="W642" s="84"/>
      <c r="X642" s="84"/>
      <c r="Y642" s="84"/>
      <c r="Z642" s="84"/>
      <c r="AA642" s="84"/>
    </row>
    <row r="643" ht="15.75" customHeight="1">
      <c r="A643" s="14" t="s">
        <v>2137</v>
      </c>
      <c r="B643" s="15" t="s">
        <v>12039</v>
      </c>
      <c r="C643" s="14" t="s">
        <v>4828</v>
      </c>
      <c r="D643" s="14" t="s">
        <v>4829</v>
      </c>
      <c r="E643" s="26" t="str">
        <f t="shared" si="1"/>
        <v>http://dx.doi.org/10.1109/INFVIS.1999.801860</v>
      </c>
      <c r="F643" s="14">
        <v>73.0</v>
      </c>
      <c r="G643" s="14" t="s">
        <v>4831</v>
      </c>
      <c r="H643" s="14" t="s">
        <v>28</v>
      </c>
      <c r="I643" s="19" t="s">
        <v>12070</v>
      </c>
      <c r="J643" s="19" t="s">
        <v>4834</v>
      </c>
      <c r="K643" s="19" t="s">
        <v>12071</v>
      </c>
      <c r="L643" s="19" t="s">
        <v>12048</v>
      </c>
      <c r="M643" s="20" t="s">
        <v>809</v>
      </c>
      <c r="N643" s="51" t="s">
        <v>4837</v>
      </c>
      <c r="O643" s="22">
        <v>364.0</v>
      </c>
      <c r="P643" s="28">
        <v>73.0</v>
      </c>
      <c r="Q643" s="28">
        <v>11.0</v>
      </c>
      <c r="R643" s="84"/>
      <c r="S643" s="84"/>
      <c r="T643" s="84"/>
      <c r="U643" s="84"/>
      <c r="V643" s="84"/>
      <c r="W643" s="84"/>
      <c r="X643" s="84"/>
      <c r="Y643" s="84"/>
      <c r="Z643" s="84"/>
      <c r="AA643" s="84"/>
    </row>
    <row r="644" ht="15.75" customHeight="1">
      <c r="A644" s="14" t="s">
        <v>2137</v>
      </c>
      <c r="B644" s="15" t="s">
        <v>12039</v>
      </c>
      <c r="C644" s="14" t="s">
        <v>4838</v>
      </c>
      <c r="D644" s="14" t="s">
        <v>4839</v>
      </c>
      <c r="E644" s="26" t="str">
        <f t="shared" si="1"/>
        <v>http://dx.doi.org/10.1109/INFVIS.1999.801861</v>
      </c>
      <c r="F644" s="14">
        <v>79.0</v>
      </c>
      <c r="G644" s="14" t="s">
        <v>4842</v>
      </c>
      <c r="H644" s="14" t="s">
        <v>28</v>
      </c>
      <c r="I644" s="19" t="s">
        <v>12072</v>
      </c>
      <c r="J644" s="19" t="s">
        <v>4844</v>
      </c>
      <c r="K644" s="19" t="s">
        <v>12073</v>
      </c>
      <c r="L644" s="19" t="s">
        <v>12074</v>
      </c>
      <c r="M644" s="20" t="s">
        <v>3310</v>
      </c>
      <c r="N644" s="89" t="s">
        <v>4847</v>
      </c>
      <c r="O644" s="22">
        <v>28.0</v>
      </c>
      <c r="P644" s="28">
        <v>8.0</v>
      </c>
      <c r="Q644" s="28">
        <v>15.0</v>
      </c>
      <c r="R644" s="84"/>
      <c r="S644" s="84"/>
      <c r="T644" s="84"/>
      <c r="U644" s="84"/>
      <c r="V644" s="84"/>
      <c r="W644" s="84"/>
      <c r="X644" s="84"/>
      <c r="Y644" s="84"/>
      <c r="Z644" s="84"/>
      <c r="AA644" s="84"/>
    </row>
    <row r="645" ht="15.75" customHeight="1">
      <c r="A645" s="14" t="s">
        <v>2137</v>
      </c>
      <c r="B645" s="15" t="s">
        <v>12039</v>
      </c>
      <c r="C645" s="14" t="s">
        <v>4848</v>
      </c>
      <c r="D645" s="14" t="s">
        <v>4849</v>
      </c>
      <c r="E645" s="26" t="str">
        <f t="shared" si="1"/>
        <v>http://dx.doi.org/10.1109/INFVIS.1999.801862</v>
      </c>
      <c r="F645" s="14">
        <v>84.0</v>
      </c>
      <c r="G645" s="14">
        <v>91.0</v>
      </c>
      <c r="H645" s="14" t="s">
        <v>28</v>
      </c>
      <c r="I645" s="19" t="s">
        <v>12078</v>
      </c>
      <c r="J645" s="19" t="s">
        <v>4851</v>
      </c>
      <c r="K645" s="19" t="s">
        <v>12081</v>
      </c>
      <c r="L645" s="19" t="s">
        <v>7073</v>
      </c>
      <c r="M645" s="20" t="s">
        <v>3391</v>
      </c>
      <c r="N645" s="44" t="s">
        <v>4853</v>
      </c>
      <c r="O645" s="22">
        <v>21.0</v>
      </c>
      <c r="P645" s="28">
        <v>8.0</v>
      </c>
      <c r="Q645" s="28">
        <v>15.0</v>
      </c>
      <c r="R645" s="84"/>
      <c r="S645" s="84"/>
      <c r="T645" s="84"/>
      <c r="U645" s="84"/>
      <c r="V645" s="84"/>
      <c r="W645" s="84"/>
      <c r="X645" s="84"/>
      <c r="Y645" s="84"/>
      <c r="Z645" s="84"/>
      <c r="AA645" s="84"/>
    </row>
    <row r="646" ht="15.75" customHeight="1">
      <c r="A646" s="14" t="s">
        <v>2137</v>
      </c>
      <c r="B646" s="15" t="s">
        <v>12039</v>
      </c>
      <c r="C646" s="14" t="s">
        <v>4854</v>
      </c>
      <c r="D646" s="14" t="s">
        <v>4855</v>
      </c>
      <c r="E646" s="26" t="str">
        <f t="shared" si="1"/>
        <v>http://dx.doi.org/10.1109/INFVIS.1999.801863</v>
      </c>
      <c r="F646" s="14">
        <v>92.0</v>
      </c>
      <c r="G646" s="14" t="s">
        <v>4860</v>
      </c>
      <c r="H646" s="14" t="s">
        <v>28</v>
      </c>
      <c r="I646" s="19" t="s">
        <v>12083</v>
      </c>
      <c r="J646" s="19" t="s">
        <v>4861</v>
      </c>
      <c r="K646" s="19" t="s">
        <v>12084</v>
      </c>
      <c r="L646" s="19" t="s">
        <v>12085</v>
      </c>
      <c r="M646" s="20" t="s">
        <v>4863</v>
      </c>
      <c r="N646" s="90" t="s">
        <v>4864</v>
      </c>
      <c r="O646" s="22">
        <v>15.0</v>
      </c>
      <c r="P646" s="28">
        <v>5.0</v>
      </c>
      <c r="Q646" s="28">
        <v>17.0</v>
      </c>
      <c r="R646" s="84"/>
      <c r="S646" s="84"/>
      <c r="T646" s="84"/>
      <c r="U646" s="84"/>
      <c r="V646" s="84"/>
      <c r="W646" s="84"/>
      <c r="X646" s="84"/>
      <c r="Y646" s="84"/>
      <c r="Z646" s="84"/>
      <c r="AA646" s="84"/>
    </row>
    <row r="647" ht="15.75" customHeight="1">
      <c r="A647" s="14" t="s">
        <v>2137</v>
      </c>
      <c r="B647" s="15" t="s">
        <v>12039</v>
      </c>
      <c r="C647" s="14" t="s">
        <v>4865</v>
      </c>
      <c r="D647" s="14" t="s">
        <v>4866</v>
      </c>
      <c r="E647" s="26" t="str">
        <f t="shared" si="1"/>
        <v>http://dx.doi.org/10.1109/INFVIS.1999.801864</v>
      </c>
      <c r="F647" s="14">
        <v>100.0</v>
      </c>
      <c r="G647" s="14" t="s">
        <v>4870</v>
      </c>
      <c r="H647" s="14" t="s">
        <v>28</v>
      </c>
      <c r="I647" s="19" t="s">
        <v>12093</v>
      </c>
      <c r="J647" s="19" t="s">
        <v>4871</v>
      </c>
      <c r="K647" s="19" t="s">
        <v>12094</v>
      </c>
      <c r="L647" s="19" t="s">
        <v>12095</v>
      </c>
      <c r="M647" s="20"/>
      <c r="N647" s="44" t="s">
        <v>4873</v>
      </c>
      <c r="O647" s="31"/>
      <c r="P647" s="28">
        <v>3.0</v>
      </c>
      <c r="Q647" s="28">
        <v>15.0</v>
      </c>
      <c r="R647" s="84"/>
      <c r="S647" s="84"/>
      <c r="T647" s="84"/>
      <c r="U647" s="84"/>
      <c r="V647" s="84"/>
      <c r="W647" s="84"/>
      <c r="X647" s="84"/>
      <c r="Y647" s="84"/>
      <c r="Z647" s="84"/>
      <c r="AA647" s="84"/>
    </row>
    <row r="648" ht="15.75" customHeight="1">
      <c r="A648" s="14" t="s">
        <v>2137</v>
      </c>
      <c r="B648" s="15" t="s">
        <v>12039</v>
      </c>
      <c r="C648" s="14" t="s">
        <v>4874</v>
      </c>
      <c r="D648" s="14" t="s">
        <v>4875</v>
      </c>
      <c r="E648" s="26" t="str">
        <f t="shared" si="1"/>
        <v>http://dx.doi.org/10.1109/INFVIS.1999.801865</v>
      </c>
      <c r="F648" s="14">
        <v>112.0</v>
      </c>
      <c r="G648" s="14" t="s">
        <v>4877</v>
      </c>
      <c r="H648" s="14" t="s">
        <v>28</v>
      </c>
      <c r="I648" s="19" t="s">
        <v>12096</v>
      </c>
      <c r="J648" s="19" t="s">
        <v>4878</v>
      </c>
      <c r="K648" s="19" t="s">
        <v>12097</v>
      </c>
      <c r="L648" s="19" t="s">
        <v>5185</v>
      </c>
      <c r="M648" s="20" t="s">
        <v>3421</v>
      </c>
      <c r="N648" s="27"/>
      <c r="O648" s="22">
        <v>50.0</v>
      </c>
      <c r="P648" s="28">
        <v>10.0</v>
      </c>
      <c r="Q648" s="28">
        <v>9.0</v>
      </c>
      <c r="R648" s="84"/>
      <c r="S648" s="84"/>
      <c r="T648" s="84"/>
      <c r="U648" s="84"/>
      <c r="V648" s="84"/>
      <c r="W648" s="84"/>
      <c r="X648" s="84"/>
      <c r="Y648" s="84"/>
      <c r="Z648" s="84"/>
      <c r="AA648" s="84"/>
    </row>
    <row r="649" ht="15.75" customHeight="1">
      <c r="A649" s="14" t="s">
        <v>2137</v>
      </c>
      <c r="B649" s="15" t="s">
        <v>12039</v>
      </c>
      <c r="C649" s="14" t="s">
        <v>4883</v>
      </c>
      <c r="D649" s="14" t="s">
        <v>4884</v>
      </c>
      <c r="E649" s="26" t="str">
        <f t="shared" si="1"/>
        <v>http://dx.doi.org/10.1109/INFVIS.1999.801866</v>
      </c>
      <c r="F649" s="14">
        <v>120.0</v>
      </c>
      <c r="G649" s="14" t="s">
        <v>4886</v>
      </c>
      <c r="H649" s="14" t="s">
        <v>28</v>
      </c>
      <c r="I649" s="19" t="s">
        <v>12104</v>
      </c>
      <c r="J649" s="19" t="s">
        <v>4887</v>
      </c>
      <c r="K649" s="19" t="s">
        <v>12105</v>
      </c>
      <c r="L649" s="19" t="s">
        <v>7328</v>
      </c>
      <c r="M649" s="20" t="s">
        <v>4889</v>
      </c>
      <c r="N649" s="27"/>
      <c r="O649" s="22">
        <v>214.0</v>
      </c>
      <c r="P649" s="28">
        <v>17.0</v>
      </c>
      <c r="Q649" s="28">
        <v>18.0</v>
      </c>
      <c r="R649" s="84"/>
      <c r="S649" s="84"/>
      <c r="T649" s="84"/>
      <c r="U649" s="84"/>
      <c r="V649" s="84"/>
      <c r="W649" s="84"/>
      <c r="X649" s="84"/>
      <c r="Y649" s="84"/>
      <c r="Z649" s="84"/>
      <c r="AA649" s="84"/>
    </row>
    <row r="650" ht="15.75" customHeight="1">
      <c r="A650" s="14" t="s">
        <v>2137</v>
      </c>
      <c r="B650" s="15" t="s">
        <v>12039</v>
      </c>
      <c r="C650" s="14" t="s">
        <v>4890</v>
      </c>
      <c r="D650" s="14" t="s">
        <v>4891</v>
      </c>
      <c r="E650" s="26" t="str">
        <f t="shared" si="1"/>
        <v>http://dx.doi.org/10.1109/INFVIS.1999.801867</v>
      </c>
      <c r="F650" s="14">
        <v>124.0</v>
      </c>
      <c r="G650" s="14" t="s">
        <v>4896</v>
      </c>
      <c r="H650" s="14" t="s">
        <v>28</v>
      </c>
      <c r="I650" s="19" t="s">
        <v>12108</v>
      </c>
      <c r="J650" s="19" t="s">
        <v>4897</v>
      </c>
      <c r="K650" s="19" t="s">
        <v>12110</v>
      </c>
      <c r="L650" s="19" t="s">
        <v>12111</v>
      </c>
      <c r="M650" s="20" t="s">
        <v>4899</v>
      </c>
      <c r="N650" s="27"/>
      <c r="O650" s="22">
        <v>50.0</v>
      </c>
      <c r="P650" s="28">
        <v>4.0</v>
      </c>
      <c r="Q650" s="28">
        <v>9.0</v>
      </c>
      <c r="R650" s="84"/>
      <c r="S650" s="84"/>
      <c r="T650" s="84"/>
      <c r="U650" s="84"/>
      <c r="V650" s="84"/>
      <c r="W650" s="84"/>
      <c r="X650" s="84"/>
      <c r="Y650" s="84"/>
      <c r="Z650" s="84"/>
      <c r="AA650" s="84"/>
    </row>
    <row r="651" ht="15.75" customHeight="1">
      <c r="A651" s="14" t="s">
        <v>2137</v>
      </c>
      <c r="B651" s="15" t="s">
        <v>12039</v>
      </c>
      <c r="C651" s="14" t="s">
        <v>4900</v>
      </c>
      <c r="D651" s="14" t="s">
        <v>4901</v>
      </c>
      <c r="E651" s="26" t="str">
        <f t="shared" si="1"/>
        <v>http://dx.doi.org/10.1109/INFVIS.1999.801868</v>
      </c>
      <c r="F651" s="14">
        <v>128.0</v>
      </c>
      <c r="G651" s="14">
        <v>131.0</v>
      </c>
      <c r="H651" s="14" t="s">
        <v>28</v>
      </c>
      <c r="I651" s="19" t="s">
        <v>12115</v>
      </c>
      <c r="J651" s="19" t="s">
        <v>4904</v>
      </c>
      <c r="K651" s="19" t="s">
        <v>12116</v>
      </c>
      <c r="L651" s="19" t="s">
        <v>12117</v>
      </c>
      <c r="M651" s="20" t="s">
        <v>4907</v>
      </c>
      <c r="N651" s="90" t="s">
        <v>4909</v>
      </c>
      <c r="O651" s="22">
        <v>50.0</v>
      </c>
      <c r="P651" s="28">
        <v>1.0</v>
      </c>
      <c r="Q651" s="28">
        <v>11.0</v>
      </c>
      <c r="R651" s="84"/>
      <c r="S651" s="84"/>
      <c r="T651" s="84"/>
      <c r="U651" s="84"/>
      <c r="V651" s="84"/>
      <c r="W651" s="84"/>
      <c r="X651" s="84"/>
      <c r="Y651" s="84"/>
      <c r="Z651" s="84"/>
      <c r="AA651" s="84"/>
    </row>
    <row r="652" ht="15.75" customHeight="1">
      <c r="A652" s="14" t="s">
        <v>2137</v>
      </c>
      <c r="B652" s="15" t="s">
        <v>12039</v>
      </c>
      <c r="C652" s="14" t="s">
        <v>4910</v>
      </c>
      <c r="D652" s="14" t="s">
        <v>4911</v>
      </c>
      <c r="E652" s="26" t="str">
        <f t="shared" si="1"/>
        <v>http://dx.doi.org/10.1109/INFVIS.1999.801869</v>
      </c>
      <c r="F652" s="14">
        <v>132.0</v>
      </c>
      <c r="G652" s="14" t="s">
        <v>4913</v>
      </c>
      <c r="H652" s="14" t="s">
        <v>28</v>
      </c>
      <c r="I652" s="19" t="s">
        <v>12118</v>
      </c>
      <c r="J652" s="19" t="s">
        <v>12119</v>
      </c>
      <c r="K652" s="19" t="s">
        <v>12120</v>
      </c>
      <c r="L652" s="19" t="s">
        <v>4318</v>
      </c>
      <c r="M652" s="20"/>
      <c r="N652" s="27"/>
      <c r="O652" s="22">
        <v>50.0</v>
      </c>
      <c r="P652" s="28">
        <v>11.0</v>
      </c>
      <c r="Q652" s="28">
        <v>17.0</v>
      </c>
      <c r="R652" s="84"/>
      <c r="S652" s="84"/>
      <c r="T652" s="84"/>
      <c r="U652" s="84"/>
      <c r="V652" s="84"/>
      <c r="W652" s="84"/>
      <c r="X652" s="84"/>
      <c r="Y652" s="84"/>
      <c r="Z652" s="84"/>
      <c r="AA652" s="84"/>
    </row>
    <row r="653" ht="15.75" customHeight="1">
      <c r="A653" s="14" t="s">
        <v>17</v>
      </c>
      <c r="B653" s="15" t="s">
        <v>12039</v>
      </c>
      <c r="C653" s="14" t="s">
        <v>4916</v>
      </c>
      <c r="D653" s="91" t="s">
        <v>4917</v>
      </c>
      <c r="E653" s="81" t="s">
        <v>4918</v>
      </c>
      <c r="F653" s="50">
        <v>67.0</v>
      </c>
      <c r="G653" s="54">
        <v>72.0</v>
      </c>
      <c r="H653" s="14" t="s">
        <v>28</v>
      </c>
      <c r="I653" s="18"/>
      <c r="J653" s="19" t="s">
        <v>4920</v>
      </c>
      <c r="K653" s="18"/>
      <c r="L653" s="18"/>
      <c r="M653" s="20" t="s">
        <v>3112</v>
      </c>
      <c r="N653" s="51" t="s">
        <v>4921</v>
      </c>
      <c r="O653" s="22">
        <v>219.0</v>
      </c>
      <c r="P653" s="23"/>
      <c r="Q653" s="23"/>
      <c r="R653" s="92"/>
      <c r="S653" s="92"/>
      <c r="T653" s="93"/>
      <c r="U653" s="93"/>
      <c r="V653" s="93"/>
      <c r="W653" s="93"/>
      <c r="X653" s="93"/>
      <c r="Y653" s="93"/>
      <c r="Z653" s="93"/>
      <c r="AA653" s="93"/>
    </row>
    <row r="654" ht="15.75" customHeight="1">
      <c r="A654" s="14" t="s">
        <v>17</v>
      </c>
      <c r="B654" s="15" t="s">
        <v>12039</v>
      </c>
      <c r="C654" s="14" t="s">
        <v>4922</v>
      </c>
      <c r="D654" s="14" t="s">
        <v>4923</v>
      </c>
      <c r="E654" s="26" t="str">
        <f t="shared" ref="E654:E657" si="2">"http://dx.doi.org/" &amp; D654</f>
        <v>http://dx.doi.org/10.1109/VISUAL.1999.809863</v>
      </c>
      <c r="F654" s="14">
        <v>19.0</v>
      </c>
      <c r="G654" s="14" t="s">
        <v>4925</v>
      </c>
      <c r="H654" s="14" t="s">
        <v>28</v>
      </c>
      <c r="I654" s="19" t="s">
        <v>12140</v>
      </c>
      <c r="J654" s="19" t="s">
        <v>12141</v>
      </c>
      <c r="K654" s="19" t="s">
        <v>12142</v>
      </c>
      <c r="L654" s="19" t="s">
        <v>12144</v>
      </c>
      <c r="M654" s="20" t="s">
        <v>4928</v>
      </c>
      <c r="N654" s="51" t="s">
        <v>4930</v>
      </c>
      <c r="O654" s="22">
        <v>131.0</v>
      </c>
      <c r="P654" s="28">
        <v>41.0</v>
      </c>
      <c r="Q654" s="28">
        <v>15.0</v>
      </c>
      <c r="R654" s="84"/>
      <c r="S654" s="84"/>
      <c r="T654" s="84"/>
      <c r="U654" s="84"/>
      <c r="V654" s="84"/>
      <c r="W654" s="84"/>
      <c r="X654" s="84"/>
      <c r="Y654" s="84"/>
      <c r="Z654" s="84"/>
      <c r="AA654" s="84"/>
    </row>
    <row r="655" ht="15.75" customHeight="1">
      <c r="A655" s="14" t="s">
        <v>17</v>
      </c>
      <c r="B655" s="15" t="s">
        <v>12039</v>
      </c>
      <c r="C655" s="14" t="s">
        <v>4933</v>
      </c>
      <c r="D655" s="14" t="s">
        <v>4934</v>
      </c>
      <c r="E655" s="26" t="str">
        <f t="shared" si="2"/>
        <v>http://dx.doi.org/10.1109/VISUAL.1999.809864</v>
      </c>
      <c r="F655" s="14">
        <v>27.0</v>
      </c>
      <c r="G655" s="14">
        <v>506.0</v>
      </c>
      <c r="H655" s="14" t="s">
        <v>28</v>
      </c>
      <c r="I655" s="19" t="s">
        <v>12145</v>
      </c>
      <c r="J655" s="19" t="s">
        <v>4936</v>
      </c>
      <c r="K655" s="19" t="s">
        <v>12146</v>
      </c>
      <c r="L655" s="19" t="s">
        <v>12147</v>
      </c>
      <c r="M655" s="20" t="s">
        <v>4938</v>
      </c>
      <c r="N655" s="51" t="s">
        <v>4939</v>
      </c>
      <c r="O655" s="22">
        <v>28.0</v>
      </c>
      <c r="P655" s="28">
        <v>10.0</v>
      </c>
      <c r="Q655" s="28">
        <v>21.0</v>
      </c>
      <c r="R655" s="84"/>
      <c r="S655" s="84"/>
      <c r="T655" s="84"/>
      <c r="U655" s="84"/>
      <c r="V655" s="84"/>
      <c r="W655" s="84"/>
      <c r="X655" s="84"/>
      <c r="Y655" s="84"/>
      <c r="Z655" s="84"/>
      <c r="AA655" s="84"/>
    </row>
    <row r="656" ht="15.75" customHeight="1">
      <c r="A656" s="14" t="s">
        <v>17</v>
      </c>
      <c r="B656" s="15" t="s">
        <v>12039</v>
      </c>
      <c r="C656" s="14" t="s">
        <v>4940</v>
      </c>
      <c r="D656" s="14" t="s">
        <v>4941</v>
      </c>
      <c r="E656" s="26" t="str">
        <f t="shared" si="2"/>
        <v>http://dx.doi.org/10.1109/VISUAL.1999.809865</v>
      </c>
      <c r="F656" s="14">
        <v>35.0</v>
      </c>
      <c r="G656" s="14">
        <v>507.0</v>
      </c>
      <c r="H656" s="14" t="s">
        <v>28</v>
      </c>
      <c r="I656" s="19" t="s">
        <v>12154</v>
      </c>
      <c r="J656" s="19" t="s">
        <v>4946</v>
      </c>
      <c r="K656" s="19" t="s">
        <v>12155</v>
      </c>
      <c r="L656" s="19" t="s">
        <v>12156</v>
      </c>
      <c r="M656" s="20" t="s">
        <v>4948</v>
      </c>
      <c r="N656" s="51" t="s">
        <v>4949</v>
      </c>
      <c r="O656" s="22">
        <v>182.0</v>
      </c>
      <c r="P656" s="28">
        <v>51.0</v>
      </c>
      <c r="Q656" s="28">
        <v>14.0</v>
      </c>
      <c r="R656" s="84"/>
      <c r="S656" s="84"/>
      <c r="T656" s="84"/>
      <c r="U656" s="84"/>
      <c r="V656" s="84"/>
      <c r="W656" s="84"/>
      <c r="X656" s="84"/>
      <c r="Y656" s="84"/>
      <c r="Z656" s="84"/>
      <c r="AA656" s="84"/>
    </row>
    <row r="657" ht="15.75" customHeight="1">
      <c r="A657" s="14" t="s">
        <v>17</v>
      </c>
      <c r="B657" s="15" t="s">
        <v>12039</v>
      </c>
      <c r="C657" s="14" t="s">
        <v>4950</v>
      </c>
      <c r="D657" s="14" t="s">
        <v>4951</v>
      </c>
      <c r="E657" s="26" t="str">
        <f t="shared" si="2"/>
        <v>http://dx.doi.org/10.1109/VISUAL.1999.809866</v>
      </c>
      <c r="F657" s="14">
        <v>43.0</v>
      </c>
      <c r="G657" s="14">
        <v>508.0</v>
      </c>
      <c r="H657" s="14" t="s">
        <v>28</v>
      </c>
      <c r="I657" s="19" t="s">
        <v>12157</v>
      </c>
      <c r="J657" s="19" t="s">
        <v>4813</v>
      </c>
      <c r="K657" s="19" t="s">
        <v>12067</v>
      </c>
      <c r="L657" s="19" t="s">
        <v>2583</v>
      </c>
      <c r="M657" s="20" t="s">
        <v>4956</v>
      </c>
      <c r="N657" s="51" t="s">
        <v>4957</v>
      </c>
      <c r="O657" s="22">
        <v>512.0</v>
      </c>
      <c r="P657" s="28">
        <v>58.0</v>
      </c>
      <c r="Q657" s="28">
        <v>32.0</v>
      </c>
      <c r="R657" s="84"/>
      <c r="S657" s="84"/>
      <c r="T657" s="84"/>
      <c r="U657" s="84"/>
      <c r="V657" s="84"/>
      <c r="W657" s="84"/>
      <c r="X657" s="84"/>
      <c r="Y657" s="84"/>
      <c r="Z657" s="84"/>
      <c r="AA657" s="84"/>
    </row>
    <row r="658" ht="15.75" customHeight="1">
      <c r="A658" s="14" t="s">
        <v>17</v>
      </c>
      <c r="B658" s="15" t="s">
        <v>12039</v>
      </c>
      <c r="C658" s="14" t="s">
        <v>4958</v>
      </c>
      <c r="D658" s="67" t="s">
        <v>4959</v>
      </c>
      <c r="E658" s="81" t="s">
        <v>4960</v>
      </c>
      <c r="F658" s="50">
        <v>51.0</v>
      </c>
      <c r="G658" s="54">
        <v>58.0</v>
      </c>
      <c r="H658" s="14" t="s">
        <v>28</v>
      </c>
      <c r="I658" s="19" t="s">
        <v>12165</v>
      </c>
      <c r="J658" s="19" t="s">
        <v>12166</v>
      </c>
      <c r="K658" s="19" t="s">
        <v>12167</v>
      </c>
      <c r="L658" s="19" t="s">
        <v>12168</v>
      </c>
      <c r="M658" s="20" t="s">
        <v>4966</v>
      </c>
      <c r="N658" s="27"/>
      <c r="O658" s="22">
        <v>103.0</v>
      </c>
      <c r="P658" s="28">
        <v>17.0</v>
      </c>
      <c r="Q658" s="28">
        <v>0.0</v>
      </c>
      <c r="R658" s="92"/>
      <c r="S658" s="92"/>
      <c r="T658" s="93"/>
      <c r="U658" s="93"/>
      <c r="V658" s="93"/>
      <c r="W658" s="93"/>
      <c r="X658" s="93"/>
      <c r="Y658" s="93"/>
      <c r="Z658" s="93"/>
      <c r="AA658" s="93"/>
    </row>
    <row r="659" ht="15.75" customHeight="1">
      <c r="A659" s="14" t="s">
        <v>17</v>
      </c>
      <c r="B659" s="15" t="s">
        <v>12039</v>
      </c>
      <c r="C659" s="14" t="s">
        <v>4967</v>
      </c>
      <c r="D659" s="14" t="s">
        <v>4968</v>
      </c>
      <c r="E659" s="26" t="str">
        <f t="shared" ref="E659:E663" si="3">"http://dx.doi.org/" &amp; D659</f>
        <v>http://dx.doi.org/10.1109/VISUAL.1999.809869</v>
      </c>
      <c r="F659" s="14">
        <v>59.0</v>
      </c>
      <c r="G659" s="14">
        <v>510.0</v>
      </c>
      <c r="H659" s="14" t="s">
        <v>28</v>
      </c>
      <c r="I659" s="19" t="s">
        <v>12174</v>
      </c>
      <c r="J659" s="19" t="s">
        <v>4120</v>
      </c>
      <c r="K659" s="19" t="s">
        <v>7422</v>
      </c>
      <c r="L659" s="18"/>
      <c r="M659" s="20" t="s">
        <v>4972</v>
      </c>
      <c r="N659" s="53" t="s">
        <v>4973</v>
      </c>
      <c r="O659" s="31"/>
      <c r="P659" s="28">
        <v>97.0</v>
      </c>
      <c r="Q659" s="28">
        <v>18.0</v>
      </c>
      <c r="R659" s="94"/>
      <c r="S659" s="94"/>
      <c r="T659" s="95"/>
      <c r="U659" s="95"/>
      <c r="V659" s="95"/>
      <c r="W659" s="95"/>
      <c r="X659" s="95"/>
      <c r="Y659" s="95"/>
      <c r="Z659" s="95"/>
      <c r="AA659" s="95"/>
    </row>
    <row r="660" ht="15.75" customHeight="1">
      <c r="A660" s="14" t="s">
        <v>17</v>
      </c>
      <c r="B660" s="15" t="s">
        <v>12039</v>
      </c>
      <c r="C660" s="14" t="s">
        <v>4974</v>
      </c>
      <c r="D660" s="14" t="s">
        <v>4975</v>
      </c>
      <c r="E660" s="26" t="str">
        <f t="shared" si="3"/>
        <v>http://dx.doi.org/10.1109/VISUAL.1999.809870</v>
      </c>
      <c r="F660" s="14">
        <v>73.0</v>
      </c>
      <c r="G660" s="14">
        <v>512.0</v>
      </c>
      <c r="H660" s="14" t="s">
        <v>28</v>
      </c>
      <c r="I660" s="19" t="s">
        <v>12183</v>
      </c>
      <c r="J660" s="19" t="s">
        <v>12184</v>
      </c>
      <c r="K660" s="19" t="s">
        <v>12185</v>
      </c>
      <c r="L660" s="19" t="s">
        <v>12186</v>
      </c>
      <c r="M660" s="20" t="s">
        <v>4979</v>
      </c>
      <c r="N660" s="51" t="s">
        <v>4980</v>
      </c>
      <c r="O660" s="22">
        <v>50.0</v>
      </c>
      <c r="P660" s="28">
        <v>13.0</v>
      </c>
      <c r="Q660" s="28">
        <v>16.0</v>
      </c>
      <c r="R660" s="94"/>
      <c r="S660" s="94"/>
      <c r="T660" s="95"/>
      <c r="U660" s="95"/>
      <c r="V660" s="95"/>
      <c r="W660" s="95"/>
      <c r="X660" s="95"/>
      <c r="Y660" s="95"/>
      <c r="Z660" s="95"/>
      <c r="AA660" s="95"/>
    </row>
    <row r="661" ht="15.75" customHeight="1">
      <c r="A661" s="14" t="s">
        <v>17</v>
      </c>
      <c r="B661" s="15" t="s">
        <v>12039</v>
      </c>
      <c r="C661" s="14" t="s">
        <v>4981</v>
      </c>
      <c r="D661" s="14" t="s">
        <v>4982</v>
      </c>
      <c r="E661" s="26" t="str">
        <f t="shared" si="3"/>
        <v>http://dx.doi.org/10.1109/VISUAL.1999.809871</v>
      </c>
      <c r="F661" s="14">
        <v>81.0</v>
      </c>
      <c r="G661" s="14">
        <v>88.0</v>
      </c>
      <c r="H661" s="14" t="s">
        <v>28</v>
      </c>
      <c r="I661" s="19" t="s">
        <v>12193</v>
      </c>
      <c r="J661" s="19" t="s">
        <v>4987</v>
      </c>
      <c r="K661" s="19" t="s">
        <v>4987</v>
      </c>
      <c r="L661" s="19" t="s">
        <v>631</v>
      </c>
      <c r="M661" s="20" t="s">
        <v>4988</v>
      </c>
      <c r="N661" s="51" t="s">
        <v>4989</v>
      </c>
      <c r="O661" s="22">
        <v>126.0</v>
      </c>
      <c r="P661" s="28">
        <v>29.0</v>
      </c>
      <c r="Q661" s="28">
        <v>13.0</v>
      </c>
      <c r="R661" s="84"/>
      <c r="S661" s="84"/>
      <c r="T661" s="84"/>
      <c r="U661" s="84"/>
      <c r="V661" s="84"/>
      <c r="W661" s="84"/>
      <c r="X661" s="84"/>
      <c r="Y661" s="84"/>
      <c r="Z661" s="84"/>
      <c r="AA661" s="84"/>
    </row>
    <row r="662" ht="15.75" customHeight="1">
      <c r="A662" s="14" t="s">
        <v>17</v>
      </c>
      <c r="B662" s="15" t="s">
        <v>12039</v>
      </c>
      <c r="C662" s="14" t="s">
        <v>4990</v>
      </c>
      <c r="D662" s="14" t="s">
        <v>4991</v>
      </c>
      <c r="E662" s="26" t="str">
        <f t="shared" si="3"/>
        <v>http://dx.doi.org/10.1109/VISUAL.1999.809872</v>
      </c>
      <c r="F662" s="14">
        <v>89.0</v>
      </c>
      <c r="G662" s="14">
        <v>514.0</v>
      </c>
      <c r="H662" s="14" t="s">
        <v>28</v>
      </c>
      <c r="I662" s="19" t="s">
        <v>12194</v>
      </c>
      <c r="J662" s="19" t="s">
        <v>4993</v>
      </c>
      <c r="K662" s="19" t="s">
        <v>12195</v>
      </c>
      <c r="L662" s="19" t="s">
        <v>3480</v>
      </c>
      <c r="M662" s="20"/>
      <c r="N662" s="51" t="s">
        <v>4994</v>
      </c>
      <c r="O662" s="22">
        <v>50.0</v>
      </c>
      <c r="P662" s="28">
        <v>6.0</v>
      </c>
      <c r="Q662" s="28">
        <v>17.0</v>
      </c>
      <c r="R662" s="84"/>
      <c r="S662" s="84"/>
      <c r="T662" s="84"/>
      <c r="U662" s="84"/>
      <c r="V662" s="84"/>
      <c r="W662" s="84"/>
      <c r="X662" s="84"/>
      <c r="Y662" s="84"/>
      <c r="Z662" s="84"/>
      <c r="AA662" s="84"/>
    </row>
    <row r="663" ht="15.75" customHeight="1">
      <c r="A663" s="14" t="s">
        <v>17</v>
      </c>
      <c r="B663" s="15" t="s">
        <v>12039</v>
      </c>
      <c r="C663" s="14" t="s">
        <v>4996</v>
      </c>
      <c r="D663" s="14" t="s">
        <v>4997</v>
      </c>
      <c r="E663" s="26" t="str">
        <f t="shared" si="3"/>
        <v>http://dx.doi.org/10.1109/VISUAL.1999.809873</v>
      </c>
      <c r="F663" s="14">
        <v>97.0</v>
      </c>
      <c r="G663" s="14">
        <v>515.0</v>
      </c>
      <c r="H663" s="14" t="s">
        <v>28</v>
      </c>
      <c r="I663" s="19" t="s">
        <v>12202</v>
      </c>
      <c r="J663" s="19" t="s">
        <v>5001</v>
      </c>
      <c r="K663" s="19" t="s">
        <v>12203</v>
      </c>
      <c r="L663" s="19" t="s">
        <v>4963</v>
      </c>
      <c r="M663" s="20" t="s">
        <v>5002</v>
      </c>
      <c r="N663" s="96" t="s">
        <v>5003</v>
      </c>
      <c r="O663" s="22">
        <v>29.0</v>
      </c>
      <c r="P663" s="28">
        <v>11.0</v>
      </c>
      <c r="Q663" s="28">
        <v>20.0</v>
      </c>
      <c r="R663" s="84"/>
      <c r="S663" s="84"/>
      <c r="T663" s="84"/>
      <c r="U663" s="84"/>
      <c r="V663" s="84"/>
      <c r="W663" s="84"/>
      <c r="X663" s="84"/>
      <c r="Y663" s="84"/>
      <c r="Z663" s="84"/>
      <c r="AA663" s="84"/>
    </row>
    <row r="664" ht="15.75" customHeight="1">
      <c r="A664" s="14" t="s">
        <v>17</v>
      </c>
      <c r="B664" s="15" t="s">
        <v>12039</v>
      </c>
      <c r="C664" s="14" t="s">
        <v>5004</v>
      </c>
      <c r="D664" s="97" t="s">
        <v>5005</v>
      </c>
      <c r="E664" s="49" t="s">
        <v>4232</v>
      </c>
      <c r="F664" s="50">
        <v>105.0</v>
      </c>
      <c r="G664" s="54"/>
      <c r="H664" s="14" t="s">
        <v>28</v>
      </c>
      <c r="I664" s="19" t="s">
        <v>12209</v>
      </c>
      <c r="J664" s="19" t="s">
        <v>5006</v>
      </c>
      <c r="K664" s="19" t="s">
        <v>12210</v>
      </c>
      <c r="L664" s="19" t="s">
        <v>12212</v>
      </c>
      <c r="M664" s="20" t="s">
        <v>5007</v>
      </c>
      <c r="N664" s="27"/>
      <c r="O664" s="22">
        <v>50.0</v>
      </c>
      <c r="P664" s="28">
        <v>2.0</v>
      </c>
      <c r="Q664" s="28">
        <v>0.0</v>
      </c>
      <c r="R664" s="16"/>
      <c r="S664" s="16"/>
      <c r="T664" s="16"/>
      <c r="U664" s="16"/>
      <c r="V664" s="16"/>
      <c r="W664" s="16"/>
      <c r="X664" s="16"/>
      <c r="Y664" s="16"/>
      <c r="Z664" s="16"/>
      <c r="AA664" s="16"/>
    </row>
    <row r="665" ht="15.75" customHeight="1">
      <c r="A665" s="14" t="s">
        <v>17</v>
      </c>
      <c r="B665" s="15" t="s">
        <v>12039</v>
      </c>
      <c r="C665" s="14" t="s">
        <v>5008</v>
      </c>
      <c r="D665" s="14" t="s">
        <v>5009</v>
      </c>
      <c r="E665" s="26" t="str">
        <f>"http://dx.doi.org/" &amp; D665</f>
        <v>http://dx.doi.org/10.1109/VISUAL.1999.809875</v>
      </c>
      <c r="F665" s="14">
        <v>115.0</v>
      </c>
      <c r="G665" s="14">
        <v>516.0</v>
      </c>
      <c r="H665" s="14" t="s">
        <v>28</v>
      </c>
      <c r="I665" s="19" t="s">
        <v>12219</v>
      </c>
      <c r="J665" s="19" t="s">
        <v>12220</v>
      </c>
      <c r="K665" s="19" t="s">
        <v>12221</v>
      </c>
      <c r="L665" s="19" t="s">
        <v>1092</v>
      </c>
      <c r="M665" s="20"/>
      <c r="N665" s="51" t="s">
        <v>5012</v>
      </c>
      <c r="O665" s="22">
        <v>51.0</v>
      </c>
      <c r="P665" s="28">
        <v>8.0</v>
      </c>
      <c r="Q665" s="28">
        <v>21.0</v>
      </c>
      <c r="R665" s="84"/>
      <c r="S665" s="84"/>
      <c r="T665" s="84"/>
      <c r="U665" s="84"/>
      <c r="V665" s="84"/>
      <c r="W665" s="84"/>
      <c r="X665" s="84"/>
      <c r="Y665" s="84"/>
      <c r="Z665" s="84"/>
      <c r="AA665" s="84"/>
    </row>
    <row r="666" ht="15.75" customHeight="1">
      <c r="A666" s="14" t="s">
        <v>17</v>
      </c>
      <c r="B666" s="15" t="s">
        <v>12039</v>
      </c>
      <c r="C666" s="14" t="s">
        <v>5014</v>
      </c>
      <c r="D666" s="67" t="s">
        <v>5015</v>
      </c>
      <c r="E666" s="81" t="s">
        <v>5016</v>
      </c>
      <c r="F666" s="50">
        <v>123.0</v>
      </c>
      <c r="G666" s="54">
        <v>130.0</v>
      </c>
      <c r="H666" s="14" t="s">
        <v>28</v>
      </c>
      <c r="I666" s="19" t="s">
        <v>12222</v>
      </c>
      <c r="J666" s="19" t="s">
        <v>5018</v>
      </c>
      <c r="K666" s="19" t="s">
        <v>12224</v>
      </c>
      <c r="L666" s="19" t="s">
        <v>11134</v>
      </c>
      <c r="M666" s="20" t="s">
        <v>5020</v>
      </c>
      <c r="N666" s="51" t="s">
        <v>5021</v>
      </c>
      <c r="O666" s="22">
        <v>64.0</v>
      </c>
      <c r="P666" s="28">
        <v>11.0</v>
      </c>
      <c r="Q666" s="28">
        <v>0.0</v>
      </c>
      <c r="R666" s="16"/>
      <c r="S666" s="16"/>
      <c r="T666" s="16"/>
      <c r="U666" s="16"/>
      <c r="V666" s="16"/>
      <c r="W666" s="16"/>
      <c r="X666" s="16"/>
      <c r="Y666" s="16"/>
      <c r="Z666" s="16"/>
      <c r="AA666" s="16"/>
    </row>
    <row r="667" ht="15.75" customHeight="1">
      <c r="A667" s="14" t="s">
        <v>17</v>
      </c>
      <c r="B667" s="15" t="s">
        <v>12039</v>
      </c>
      <c r="C667" s="14" t="s">
        <v>5022</v>
      </c>
      <c r="D667" s="14" t="s">
        <v>5023</v>
      </c>
      <c r="E667" s="26" t="str">
        <f t="shared" ref="E667:E681" si="4">"http://dx.doi.org/" &amp; D667</f>
        <v>http://dx.doi.org/10.1109/VISUAL.1999.809877</v>
      </c>
      <c r="F667" s="14">
        <v>131.0</v>
      </c>
      <c r="G667" s="14">
        <v>518.0</v>
      </c>
      <c r="H667" s="14" t="s">
        <v>28</v>
      </c>
      <c r="I667" s="19" t="s">
        <v>12231</v>
      </c>
      <c r="J667" s="19" t="s">
        <v>5028</v>
      </c>
      <c r="K667" s="19" t="s">
        <v>12232</v>
      </c>
      <c r="L667" s="19" t="s">
        <v>12233</v>
      </c>
      <c r="M667" s="20" t="s">
        <v>5030</v>
      </c>
      <c r="N667" s="27"/>
      <c r="O667" s="22">
        <v>98.0</v>
      </c>
      <c r="P667" s="28">
        <v>17.0</v>
      </c>
      <c r="Q667" s="28">
        <v>20.0</v>
      </c>
      <c r="R667" s="84"/>
      <c r="S667" s="84"/>
      <c r="T667" s="84"/>
      <c r="U667" s="84"/>
      <c r="V667" s="84"/>
      <c r="W667" s="84"/>
      <c r="X667" s="84"/>
      <c r="Y667" s="84"/>
      <c r="Z667" s="84"/>
      <c r="AA667" s="84"/>
    </row>
    <row r="668" ht="15.75" customHeight="1">
      <c r="A668" s="14" t="s">
        <v>17</v>
      </c>
      <c r="B668" s="15" t="s">
        <v>12039</v>
      </c>
      <c r="C668" s="14" t="s">
        <v>5031</v>
      </c>
      <c r="D668" s="14" t="s">
        <v>5032</v>
      </c>
      <c r="E668" s="26" t="str">
        <f t="shared" si="4"/>
        <v>http://dx.doi.org/10.1109/VISUAL.1999.809878</v>
      </c>
      <c r="F668" s="14">
        <v>139.0</v>
      </c>
      <c r="G668" s="14">
        <v>519.0</v>
      </c>
      <c r="H668" s="14" t="s">
        <v>28</v>
      </c>
      <c r="I668" s="19" t="s">
        <v>12236</v>
      </c>
      <c r="J668" s="19" t="s">
        <v>12238</v>
      </c>
      <c r="K668" s="19" t="s">
        <v>12240</v>
      </c>
      <c r="L668" s="19" t="s">
        <v>12241</v>
      </c>
      <c r="M668" s="20" t="s">
        <v>5036</v>
      </c>
      <c r="N668" s="51" t="s">
        <v>5037</v>
      </c>
      <c r="O668" s="22">
        <v>89.0</v>
      </c>
      <c r="P668" s="28">
        <v>14.0</v>
      </c>
      <c r="Q668" s="28">
        <v>26.0</v>
      </c>
      <c r="R668" s="84"/>
      <c r="S668" s="84"/>
      <c r="T668" s="84"/>
      <c r="U668" s="84"/>
      <c r="V668" s="84"/>
      <c r="W668" s="84"/>
      <c r="X668" s="84"/>
      <c r="Y668" s="84"/>
      <c r="Z668" s="84"/>
      <c r="AA668" s="84"/>
    </row>
    <row r="669" ht="15.75" customHeight="1">
      <c r="A669" s="14" t="s">
        <v>17</v>
      </c>
      <c r="B669" s="15" t="s">
        <v>12039</v>
      </c>
      <c r="C669" s="14" t="s">
        <v>5038</v>
      </c>
      <c r="D669" s="14" t="s">
        <v>5039</v>
      </c>
      <c r="E669" s="26" t="str">
        <f t="shared" si="4"/>
        <v>http://dx.doi.org/10.1109/VISUAL.1999.809879</v>
      </c>
      <c r="F669" s="14">
        <v>147.0</v>
      </c>
      <c r="G669" s="14">
        <v>520.0</v>
      </c>
      <c r="H669" s="14" t="s">
        <v>28</v>
      </c>
      <c r="I669" s="19" t="s">
        <v>12245</v>
      </c>
      <c r="J669" s="19" t="s">
        <v>5043</v>
      </c>
      <c r="K669" s="19" t="s">
        <v>12246</v>
      </c>
      <c r="L669" s="19" t="s">
        <v>4736</v>
      </c>
      <c r="M669" s="20" t="s">
        <v>5044</v>
      </c>
      <c r="N669" s="51" t="s">
        <v>5045</v>
      </c>
      <c r="O669" s="31"/>
      <c r="P669" s="28">
        <v>26.0</v>
      </c>
      <c r="Q669" s="28">
        <v>22.0</v>
      </c>
      <c r="R669" s="84"/>
      <c r="S669" s="84"/>
      <c r="T669" s="84"/>
      <c r="U669" s="84"/>
      <c r="V669" s="84"/>
      <c r="W669" s="84"/>
      <c r="X669" s="84"/>
      <c r="Y669" s="84"/>
      <c r="Z669" s="84"/>
      <c r="AA669" s="84"/>
    </row>
    <row r="670" ht="15.75" customHeight="1">
      <c r="A670" s="14" t="s">
        <v>17</v>
      </c>
      <c r="B670" s="15" t="s">
        <v>12039</v>
      </c>
      <c r="C670" s="14" t="s">
        <v>5046</v>
      </c>
      <c r="D670" s="14" t="s">
        <v>5047</v>
      </c>
      <c r="E670" s="26" t="str">
        <f t="shared" si="4"/>
        <v>http://dx.doi.org/10.1109/VISUAL.1999.809882</v>
      </c>
      <c r="F670" s="14">
        <v>155.0</v>
      </c>
      <c r="G670" s="14">
        <v>521.0</v>
      </c>
      <c r="H670" s="14" t="s">
        <v>28</v>
      </c>
      <c r="I670" s="19" t="s">
        <v>12248</v>
      </c>
      <c r="J670" s="19" t="s">
        <v>5052</v>
      </c>
      <c r="K670" s="19" t="s">
        <v>12249</v>
      </c>
      <c r="L670" s="19" t="s">
        <v>12250</v>
      </c>
      <c r="M670" s="20" t="s">
        <v>5054</v>
      </c>
      <c r="N670" s="51" t="s">
        <v>5055</v>
      </c>
      <c r="O670" s="22">
        <v>24.0</v>
      </c>
      <c r="P670" s="28">
        <v>4.0</v>
      </c>
      <c r="Q670" s="28">
        <v>19.0</v>
      </c>
      <c r="R670" s="84"/>
      <c r="S670" s="84"/>
      <c r="T670" s="84"/>
      <c r="U670" s="84"/>
      <c r="V670" s="84"/>
      <c r="W670" s="84"/>
      <c r="X670" s="84"/>
      <c r="Y670" s="84"/>
      <c r="Z670" s="84"/>
      <c r="AA670" s="84"/>
    </row>
    <row r="671" ht="15.75" customHeight="1">
      <c r="A671" s="14" t="s">
        <v>17</v>
      </c>
      <c r="B671" s="15" t="s">
        <v>12039</v>
      </c>
      <c r="C671" s="14" t="s">
        <v>5056</v>
      </c>
      <c r="D671" s="14" t="s">
        <v>5057</v>
      </c>
      <c r="E671" s="26" t="str">
        <f t="shared" si="4"/>
        <v>http://dx.doi.org/10.1109/VISUAL.1999.809883</v>
      </c>
      <c r="F671" s="14">
        <v>161.0</v>
      </c>
      <c r="G671" s="14">
        <v>522.0</v>
      </c>
      <c r="H671" s="14" t="s">
        <v>28</v>
      </c>
      <c r="I671" s="19" t="s">
        <v>12255</v>
      </c>
      <c r="J671" s="19" t="s">
        <v>5062</v>
      </c>
      <c r="K671" s="19" t="s">
        <v>12256</v>
      </c>
      <c r="L671" s="19" t="s">
        <v>1363</v>
      </c>
      <c r="M671" s="20"/>
      <c r="N671" s="98" t="s">
        <v>5064</v>
      </c>
      <c r="O671" s="22">
        <v>0.0</v>
      </c>
      <c r="P671" s="28">
        <v>125.0</v>
      </c>
      <c r="Q671" s="28">
        <v>21.0</v>
      </c>
      <c r="R671" s="84"/>
      <c r="S671" s="84"/>
      <c r="T671" s="84"/>
      <c r="U671" s="84"/>
      <c r="V671" s="84"/>
      <c r="W671" s="84"/>
      <c r="X671" s="84"/>
      <c r="Y671" s="84"/>
      <c r="Z671" s="84"/>
      <c r="AA671" s="84"/>
    </row>
    <row r="672" ht="15.75" customHeight="1">
      <c r="A672" s="14" t="s">
        <v>17</v>
      </c>
      <c r="B672" s="15" t="s">
        <v>12039</v>
      </c>
      <c r="C672" s="14" t="s">
        <v>5065</v>
      </c>
      <c r="D672" s="14" t="s">
        <v>5066</v>
      </c>
      <c r="E672" s="26" t="str">
        <f t="shared" si="4"/>
        <v>http://dx.doi.org/10.1109/VISUAL.1999.809884</v>
      </c>
      <c r="F672" s="14">
        <v>169.0</v>
      </c>
      <c r="G672" s="14">
        <v>173.0</v>
      </c>
      <c r="H672" s="14" t="s">
        <v>28</v>
      </c>
      <c r="I672" s="19" t="s">
        <v>12257</v>
      </c>
      <c r="J672" s="19" t="s">
        <v>12258</v>
      </c>
      <c r="K672" s="19" t="s">
        <v>12259</v>
      </c>
      <c r="L672" s="19" t="s">
        <v>12260</v>
      </c>
      <c r="M672" s="20" t="s">
        <v>5072</v>
      </c>
      <c r="N672" s="27"/>
      <c r="O672" s="22">
        <v>106.0</v>
      </c>
      <c r="P672" s="28">
        <v>12.0</v>
      </c>
      <c r="Q672" s="28">
        <v>16.0</v>
      </c>
      <c r="R672" s="84"/>
      <c r="S672" s="84"/>
      <c r="T672" s="84"/>
      <c r="U672" s="84"/>
      <c r="V672" s="84"/>
      <c r="W672" s="84"/>
      <c r="X672" s="84"/>
      <c r="Y672" s="84"/>
      <c r="Z672" s="84"/>
      <c r="AA672" s="84"/>
    </row>
    <row r="673" ht="15.75" customHeight="1">
      <c r="A673" s="14" t="s">
        <v>17</v>
      </c>
      <c r="B673" s="15" t="s">
        <v>12039</v>
      </c>
      <c r="C673" s="14" t="s">
        <v>5073</v>
      </c>
      <c r="D673" s="14" t="s">
        <v>5074</v>
      </c>
      <c r="E673" s="26" t="str">
        <f t="shared" si="4"/>
        <v>http://dx.doi.org/10.1109/VISUAL.1999.809885</v>
      </c>
      <c r="F673" s="14">
        <v>175.0</v>
      </c>
      <c r="G673" s="14">
        <v>523.0</v>
      </c>
      <c r="H673" s="14" t="s">
        <v>28</v>
      </c>
      <c r="I673" s="19" t="s">
        <v>12267</v>
      </c>
      <c r="J673" s="19" t="s">
        <v>5076</v>
      </c>
      <c r="K673" s="19" t="s">
        <v>12268</v>
      </c>
      <c r="L673" s="19" t="s">
        <v>12269</v>
      </c>
      <c r="M673" s="20"/>
      <c r="N673" s="51" t="s">
        <v>5078</v>
      </c>
      <c r="O673" s="22">
        <v>118.0</v>
      </c>
      <c r="P673" s="28">
        <v>25.0</v>
      </c>
      <c r="Q673" s="28">
        <v>14.0</v>
      </c>
      <c r="R673" s="84"/>
      <c r="S673" s="84"/>
      <c r="T673" s="84"/>
      <c r="U673" s="84"/>
      <c r="V673" s="84"/>
      <c r="W673" s="84"/>
      <c r="X673" s="84"/>
      <c r="Y673" s="84"/>
      <c r="Z673" s="84"/>
      <c r="AA673" s="84"/>
    </row>
    <row r="674" ht="15.75" customHeight="1">
      <c r="A674" s="14" t="s">
        <v>17</v>
      </c>
      <c r="B674" s="15" t="s">
        <v>12039</v>
      </c>
      <c r="C674" s="14" t="s">
        <v>5079</v>
      </c>
      <c r="D674" s="14" t="s">
        <v>5080</v>
      </c>
      <c r="E674" s="26" t="str">
        <f t="shared" si="4"/>
        <v>http://dx.doi.org/10.1109/VISUAL.1999.809886</v>
      </c>
      <c r="F674" s="14">
        <v>183.0</v>
      </c>
      <c r="G674" s="14">
        <v>524.0</v>
      </c>
      <c r="H674" s="14" t="s">
        <v>28</v>
      </c>
      <c r="I674" s="19" t="s">
        <v>12270</v>
      </c>
      <c r="J674" s="19" t="s">
        <v>5085</v>
      </c>
      <c r="K674" s="19" t="s">
        <v>12271</v>
      </c>
      <c r="L674" s="19" t="s">
        <v>4736</v>
      </c>
      <c r="M674" s="20" t="s">
        <v>5086</v>
      </c>
      <c r="N674" s="27"/>
      <c r="O674" s="22">
        <v>126.0</v>
      </c>
      <c r="P674" s="28">
        <v>36.0</v>
      </c>
      <c r="Q674" s="28">
        <v>22.0</v>
      </c>
      <c r="R674" s="84"/>
      <c r="S674" s="84"/>
      <c r="T674" s="84"/>
      <c r="U674" s="84"/>
      <c r="V674" s="84"/>
      <c r="W674" s="84"/>
      <c r="X674" s="84"/>
      <c r="Y674" s="84"/>
      <c r="Z674" s="84"/>
      <c r="AA674" s="84"/>
    </row>
    <row r="675" ht="15.75" customHeight="1">
      <c r="A675" s="14" t="s">
        <v>17</v>
      </c>
      <c r="B675" s="15" t="s">
        <v>12039</v>
      </c>
      <c r="C675" s="14" t="s">
        <v>5087</v>
      </c>
      <c r="D675" s="14" t="s">
        <v>5088</v>
      </c>
      <c r="E675" s="26" t="str">
        <f t="shared" si="4"/>
        <v>http://dx.doi.org/10.1109/VISUAL.1999.809887</v>
      </c>
      <c r="F675" s="14">
        <v>191.0</v>
      </c>
      <c r="G675" s="14">
        <v>525.0</v>
      </c>
      <c r="H675" s="14" t="s">
        <v>28</v>
      </c>
      <c r="I675" s="19" t="s">
        <v>12278</v>
      </c>
      <c r="J675" s="19" t="s">
        <v>5090</v>
      </c>
      <c r="K675" s="19" t="s">
        <v>12279</v>
      </c>
      <c r="L675" s="19" t="s">
        <v>3480</v>
      </c>
      <c r="M675" s="20" t="s">
        <v>3457</v>
      </c>
      <c r="N675" s="51" t="s">
        <v>5092</v>
      </c>
      <c r="O675" s="22">
        <v>91.0</v>
      </c>
      <c r="P675" s="28">
        <v>10.0</v>
      </c>
      <c r="Q675" s="28">
        <v>21.0</v>
      </c>
      <c r="R675" s="84"/>
      <c r="S675" s="84"/>
      <c r="T675" s="84"/>
      <c r="U675" s="84"/>
      <c r="V675" s="84"/>
      <c r="W675" s="84"/>
      <c r="X675" s="84"/>
      <c r="Y675" s="84"/>
      <c r="Z675" s="84"/>
      <c r="AA675" s="84"/>
    </row>
    <row r="676" ht="15.75" customHeight="1">
      <c r="A676" s="14" t="s">
        <v>17</v>
      </c>
      <c r="B676" s="15" t="s">
        <v>12039</v>
      </c>
      <c r="C676" s="14" t="s">
        <v>5094</v>
      </c>
      <c r="D676" s="14" t="s">
        <v>5096</v>
      </c>
      <c r="E676" s="26" t="str">
        <f t="shared" si="4"/>
        <v>http://dx.doi.org/10.1109/VISUAL.1999.809888</v>
      </c>
      <c r="F676" s="14">
        <v>199.0</v>
      </c>
      <c r="G676" s="14">
        <v>206.0</v>
      </c>
      <c r="H676" s="14" t="s">
        <v>28</v>
      </c>
      <c r="I676" s="19" t="s">
        <v>12280</v>
      </c>
      <c r="J676" s="19" t="s">
        <v>5098</v>
      </c>
      <c r="K676" s="19" t="s">
        <v>12281</v>
      </c>
      <c r="L676" s="19" t="s">
        <v>12282</v>
      </c>
      <c r="M676" s="20"/>
      <c r="N676" s="27"/>
      <c r="O676" s="22">
        <v>10.0</v>
      </c>
      <c r="P676" s="28">
        <v>0.0</v>
      </c>
      <c r="Q676" s="28">
        <v>15.0</v>
      </c>
      <c r="R676" s="84"/>
      <c r="S676" s="84"/>
      <c r="T676" s="84"/>
      <c r="U676" s="84"/>
      <c r="V676" s="84"/>
      <c r="W676" s="84"/>
      <c r="X676" s="84"/>
      <c r="Y676" s="84"/>
      <c r="Z676" s="84"/>
      <c r="AA676" s="84"/>
    </row>
    <row r="677" ht="15.75" customHeight="1">
      <c r="A677" s="14" t="s">
        <v>17</v>
      </c>
      <c r="B677" s="15" t="s">
        <v>12039</v>
      </c>
      <c r="C677" s="54" t="s">
        <v>5100</v>
      </c>
      <c r="D677" s="14" t="s">
        <v>5101</v>
      </c>
      <c r="E677" s="26" t="str">
        <f t="shared" si="4"/>
        <v>http://dx.doi.org/10.1109/VISUAL.1999.809889</v>
      </c>
      <c r="F677" s="14">
        <v>207.0</v>
      </c>
      <c r="G677" s="14">
        <v>526.0</v>
      </c>
      <c r="H677" s="14" t="s">
        <v>28</v>
      </c>
      <c r="I677" s="19" t="s">
        <v>12287</v>
      </c>
      <c r="J677" s="19" t="s">
        <v>12288</v>
      </c>
      <c r="K677" s="19" t="s">
        <v>12289</v>
      </c>
      <c r="L677" s="19" t="s">
        <v>12290</v>
      </c>
      <c r="M677" s="20"/>
      <c r="N677" s="51" t="s">
        <v>5108</v>
      </c>
      <c r="O677" s="31"/>
      <c r="P677" s="28">
        <v>10.0</v>
      </c>
      <c r="Q677" s="28">
        <v>23.0</v>
      </c>
      <c r="R677" s="84"/>
      <c r="S677" s="84"/>
      <c r="T677" s="84"/>
      <c r="U677" s="84"/>
      <c r="V677" s="84"/>
      <c r="W677" s="84"/>
      <c r="X677" s="84"/>
      <c r="Y677" s="84"/>
      <c r="Z677" s="84"/>
      <c r="AA677" s="84"/>
    </row>
    <row r="678" ht="15.75" customHeight="1">
      <c r="A678" s="14" t="s">
        <v>17</v>
      </c>
      <c r="B678" s="15" t="s">
        <v>12039</v>
      </c>
      <c r="C678" s="14" t="s">
        <v>5109</v>
      </c>
      <c r="D678" s="14" t="s">
        <v>5110</v>
      </c>
      <c r="E678" s="26" t="str">
        <f t="shared" si="4"/>
        <v>http://dx.doi.org/10.1109/VISUAL.1999.809890</v>
      </c>
      <c r="F678" s="14">
        <v>215.0</v>
      </c>
      <c r="G678" s="14">
        <v>527.0</v>
      </c>
      <c r="H678" s="14" t="s">
        <v>28</v>
      </c>
      <c r="I678" s="19" t="s">
        <v>12291</v>
      </c>
      <c r="J678" s="19" t="s">
        <v>5114</v>
      </c>
      <c r="K678" s="19" t="s">
        <v>12292</v>
      </c>
      <c r="L678" s="19" t="s">
        <v>12051</v>
      </c>
      <c r="M678" s="20"/>
      <c r="N678" s="27"/>
      <c r="O678" s="22">
        <v>217.0</v>
      </c>
      <c r="P678" s="28">
        <v>43.0</v>
      </c>
      <c r="Q678" s="28">
        <v>26.0</v>
      </c>
      <c r="R678" s="84"/>
      <c r="S678" s="84"/>
      <c r="T678" s="84"/>
      <c r="U678" s="84"/>
      <c r="V678" s="84"/>
      <c r="W678" s="84"/>
      <c r="X678" s="84"/>
      <c r="Y678" s="84"/>
      <c r="Z678" s="84"/>
      <c r="AA678" s="84"/>
    </row>
    <row r="679" ht="15.75" customHeight="1">
      <c r="A679" s="14" t="s">
        <v>17</v>
      </c>
      <c r="B679" s="15" t="s">
        <v>12039</v>
      </c>
      <c r="C679" s="14" t="s">
        <v>5116</v>
      </c>
      <c r="D679" s="14" t="s">
        <v>5117</v>
      </c>
      <c r="E679" s="26" t="str">
        <f t="shared" si="4"/>
        <v>http://dx.doi.org/10.1109/VISUAL.1999.809891</v>
      </c>
      <c r="F679" s="14">
        <v>225.0</v>
      </c>
      <c r="G679" s="14">
        <v>232.0</v>
      </c>
      <c r="H679" s="14" t="s">
        <v>28</v>
      </c>
      <c r="I679" s="19" t="s">
        <v>12293</v>
      </c>
      <c r="J679" s="19" t="s">
        <v>5119</v>
      </c>
      <c r="K679" s="19" t="s">
        <v>12294</v>
      </c>
      <c r="L679" s="19" t="s">
        <v>12295</v>
      </c>
      <c r="M679" s="20" t="s">
        <v>5121</v>
      </c>
      <c r="N679" s="27"/>
      <c r="O679" s="22">
        <v>63.0</v>
      </c>
      <c r="P679" s="28">
        <v>17.0</v>
      </c>
      <c r="Q679" s="28">
        <v>23.0</v>
      </c>
      <c r="R679" s="84"/>
      <c r="S679" s="84"/>
      <c r="T679" s="84"/>
      <c r="U679" s="84"/>
      <c r="V679" s="84"/>
      <c r="W679" s="84"/>
      <c r="X679" s="84"/>
      <c r="Y679" s="84"/>
      <c r="Z679" s="84"/>
      <c r="AA679" s="84"/>
    </row>
    <row r="680" ht="15.75" customHeight="1">
      <c r="A680" s="14" t="s">
        <v>17</v>
      </c>
      <c r="B680" s="15" t="s">
        <v>12039</v>
      </c>
      <c r="C680" s="14" t="s">
        <v>5124</v>
      </c>
      <c r="D680" s="14" t="s">
        <v>5126</v>
      </c>
      <c r="E680" s="26" t="str">
        <f t="shared" si="4"/>
        <v>http://dx.doi.org/10.1109/VISUAL.1999.809892</v>
      </c>
      <c r="F680" s="14">
        <v>233.0</v>
      </c>
      <c r="G680" s="14">
        <v>528.0</v>
      </c>
      <c r="H680" s="14" t="s">
        <v>28</v>
      </c>
      <c r="I680" s="19" t="s">
        <v>12296</v>
      </c>
      <c r="J680" s="19" t="s">
        <v>5128</v>
      </c>
      <c r="K680" s="19" t="s">
        <v>12297</v>
      </c>
      <c r="L680" s="19" t="s">
        <v>5211</v>
      </c>
      <c r="M680" s="20" t="s">
        <v>5130</v>
      </c>
      <c r="N680" s="51" t="s">
        <v>5131</v>
      </c>
      <c r="O680" s="31"/>
      <c r="P680" s="28">
        <v>30.0</v>
      </c>
      <c r="Q680" s="28">
        <v>35.0</v>
      </c>
      <c r="R680" s="84"/>
      <c r="S680" s="84"/>
      <c r="T680" s="84"/>
      <c r="U680" s="84"/>
      <c r="V680" s="84"/>
      <c r="W680" s="84"/>
      <c r="X680" s="84"/>
      <c r="Y680" s="84"/>
      <c r="Z680" s="84"/>
      <c r="AA680" s="84"/>
    </row>
    <row r="681" ht="15.75" customHeight="1">
      <c r="A681" s="14" t="s">
        <v>17</v>
      </c>
      <c r="B681" s="15" t="s">
        <v>12039</v>
      </c>
      <c r="C681" s="14" t="s">
        <v>5132</v>
      </c>
      <c r="D681" s="14" t="s">
        <v>5133</v>
      </c>
      <c r="E681" s="26" t="str">
        <f t="shared" si="4"/>
        <v>http://dx.doi.org/10.1109/VISUAL.1999.809893</v>
      </c>
      <c r="F681" s="14">
        <v>241.0</v>
      </c>
      <c r="G681" s="14">
        <v>529.0</v>
      </c>
      <c r="H681" s="14" t="s">
        <v>28</v>
      </c>
      <c r="I681" s="19" t="s">
        <v>12298</v>
      </c>
      <c r="J681" s="19" t="s">
        <v>5138</v>
      </c>
      <c r="K681" s="19" t="s">
        <v>12299</v>
      </c>
      <c r="L681" s="19" t="s">
        <v>4210</v>
      </c>
      <c r="M681" s="20" t="s">
        <v>5139</v>
      </c>
      <c r="N681" s="51" t="s">
        <v>5140</v>
      </c>
      <c r="O681" s="22">
        <v>58.0</v>
      </c>
      <c r="P681" s="28">
        <v>13.0</v>
      </c>
      <c r="Q681" s="28">
        <v>28.0</v>
      </c>
      <c r="R681" s="84"/>
      <c r="S681" s="84"/>
      <c r="T681" s="84"/>
      <c r="U681" s="84"/>
      <c r="V681" s="84"/>
      <c r="W681" s="84"/>
      <c r="X681" s="84"/>
      <c r="Y681" s="84"/>
      <c r="Z681" s="84"/>
      <c r="AA681" s="84"/>
    </row>
    <row r="682" ht="15.75" customHeight="1">
      <c r="A682" s="14" t="s">
        <v>17</v>
      </c>
      <c r="B682" s="15" t="s">
        <v>12039</v>
      </c>
      <c r="C682" s="14" t="s">
        <v>5141</v>
      </c>
      <c r="D682" s="14" t="s">
        <v>5142</v>
      </c>
      <c r="E682" s="49" t="s">
        <v>5143</v>
      </c>
      <c r="F682" s="50">
        <v>249.0</v>
      </c>
      <c r="G682" s="54">
        <v>253.0</v>
      </c>
      <c r="H682" s="14" t="s">
        <v>28</v>
      </c>
      <c r="I682" s="19" t="s">
        <v>12300</v>
      </c>
      <c r="J682" s="19" t="s">
        <v>5148</v>
      </c>
      <c r="K682" s="19" t="s">
        <v>12301</v>
      </c>
      <c r="L682" s="19" t="s">
        <v>4736</v>
      </c>
      <c r="M682" s="20" t="s">
        <v>5150</v>
      </c>
      <c r="N682" s="27"/>
      <c r="O682" s="22">
        <v>315.0</v>
      </c>
      <c r="P682" s="28">
        <v>32.0</v>
      </c>
      <c r="Q682" s="28">
        <v>0.0</v>
      </c>
      <c r="R682" s="16"/>
      <c r="S682" s="16"/>
      <c r="T682" s="16"/>
      <c r="U682" s="16"/>
      <c r="V682" s="16"/>
      <c r="W682" s="16"/>
      <c r="X682" s="16"/>
      <c r="Y682" s="16"/>
      <c r="Z682" s="16"/>
      <c r="AA682" s="16"/>
    </row>
    <row r="683" ht="15.75" customHeight="1">
      <c r="A683" s="14" t="s">
        <v>17</v>
      </c>
      <c r="B683" s="15" t="s">
        <v>12039</v>
      </c>
      <c r="C683" s="14" t="s">
        <v>5151</v>
      </c>
      <c r="D683" s="67" t="s">
        <v>5152</v>
      </c>
      <c r="E683" s="68" t="str">
        <f>HYPERLINK("http://doi.ieeecomputersociety.org/10.1109/VISUAL.1999.809895","http://doi.ieeecomputersociety.org/10.1109/VISUAL.1999.809895")</f>
        <v>http://doi.ieeecomputersociety.org/10.1109/VISUAL.1999.809895</v>
      </c>
      <c r="F683" s="50">
        <v>255.0</v>
      </c>
      <c r="G683" s="54">
        <v>261.0</v>
      </c>
      <c r="H683" s="14" t="s">
        <v>28</v>
      </c>
      <c r="I683" s="19" t="s">
        <v>12302</v>
      </c>
      <c r="J683" s="19" t="s">
        <v>5157</v>
      </c>
      <c r="K683" s="19" t="s">
        <v>12303</v>
      </c>
      <c r="L683" s="19" t="s">
        <v>5255</v>
      </c>
      <c r="M683" s="20" t="s">
        <v>5159</v>
      </c>
      <c r="N683" s="51" t="s">
        <v>5160</v>
      </c>
      <c r="O683" s="22">
        <v>50.0</v>
      </c>
      <c r="P683" s="28">
        <v>3.0</v>
      </c>
      <c r="Q683" s="28">
        <v>0.0</v>
      </c>
      <c r="R683" s="16"/>
      <c r="S683" s="16"/>
      <c r="T683" s="16"/>
      <c r="U683" s="16"/>
      <c r="V683" s="16"/>
      <c r="W683" s="16"/>
      <c r="X683" s="16"/>
      <c r="Y683" s="16"/>
      <c r="Z683" s="16"/>
      <c r="AA683" s="16"/>
    </row>
    <row r="684" ht="15.75" customHeight="1">
      <c r="A684" s="14" t="s">
        <v>17</v>
      </c>
      <c r="B684" s="15" t="s">
        <v>12039</v>
      </c>
      <c r="C684" s="14" t="s">
        <v>5161</v>
      </c>
      <c r="D684" s="14" t="s">
        <v>5162</v>
      </c>
      <c r="E684" s="26" t="str">
        <f t="shared" ref="E684:E694" si="5">"http://dx.doi.org/" &amp; D684</f>
        <v>http://dx.doi.org/10.1109/VISUAL.1999.809896</v>
      </c>
      <c r="F684" s="14">
        <v>263.0</v>
      </c>
      <c r="G684" s="14">
        <v>532.0</v>
      </c>
      <c r="H684" s="14" t="s">
        <v>28</v>
      </c>
      <c r="I684" s="19" t="s">
        <v>12304</v>
      </c>
      <c r="J684" s="19" t="s">
        <v>5167</v>
      </c>
      <c r="K684" s="19" t="s">
        <v>12305</v>
      </c>
      <c r="L684" s="19" t="s">
        <v>12306</v>
      </c>
      <c r="M684" s="20" t="s">
        <v>5169</v>
      </c>
      <c r="N684" s="27"/>
      <c r="O684" s="22">
        <v>193.0</v>
      </c>
      <c r="P684" s="28">
        <v>71.0</v>
      </c>
      <c r="Q684" s="28">
        <v>29.0</v>
      </c>
      <c r="R684" s="84"/>
      <c r="S684" s="84"/>
      <c r="T684" s="84"/>
      <c r="U684" s="84"/>
      <c r="V684" s="84"/>
      <c r="W684" s="84"/>
      <c r="X684" s="84"/>
      <c r="Y684" s="84"/>
      <c r="Z684" s="84"/>
      <c r="AA684" s="84"/>
    </row>
    <row r="685" ht="15.75" customHeight="1">
      <c r="A685" s="14" t="s">
        <v>17</v>
      </c>
      <c r="B685" s="15" t="s">
        <v>12039</v>
      </c>
      <c r="C685" s="14" t="s">
        <v>5170</v>
      </c>
      <c r="D685" s="14" t="s">
        <v>5171</v>
      </c>
      <c r="E685" s="26" t="str">
        <f t="shared" si="5"/>
        <v>http://dx.doi.org/10.1109/VISUAL.1999.809897</v>
      </c>
      <c r="F685" s="14">
        <v>271.0</v>
      </c>
      <c r="G685" s="14">
        <v>533.0</v>
      </c>
      <c r="H685" s="14" t="s">
        <v>28</v>
      </c>
      <c r="I685" s="19" t="s">
        <v>12307</v>
      </c>
      <c r="J685" s="19" t="s">
        <v>5179</v>
      </c>
      <c r="K685" s="19" t="s">
        <v>12308</v>
      </c>
      <c r="L685" s="19" t="s">
        <v>5255</v>
      </c>
      <c r="M685" s="20" t="s">
        <v>5182</v>
      </c>
      <c r="N685" s="99" t="s">
        <v>5184</v>
      </c>
      <c r="O685" s="22">
        <v>50.0</v>
      </c>
      <c r="P685" s="28">
        <v>12.0</v>
      </c>
      <c r="Q685" s="28">
        <v>13.0</v>
      </c>
      <c r="R685" s="84"/>
      <c r="S685" s="84"/>
      <c r="T685" s="84"/>
      <c r="U685" s="84"/>
      <c r="V685" s="84"/>
      <c r="W685" s="84"/>
      <c r="X685" s="84"/>
      <c r="Y685" s="84"/>
      <c r="Z685" s="84"/>
      <c r="AA685" s="84"/>
    </row>
    <row r="686" ht="15.75" customHeight="1">
      <c r="A686" s="14" t="s">
        <v>17</v>
      </c>
      <c r="B686" s="15" t="s">
        <v>12039</v>
      </c>
      <c r="C686" s="14" t="s">
        <v>5186</v>
      </c>
      <c r="D686" s="14" t="s">
        <v>5187</v>
      </c>
      <c r="E686" s="26" t="str">
        <f t="shared" si="5"/>
        <v>http://dx.doi.org/10.1109/VISUAL.1999.809898</v>
      </c>
      <c r="F686" s="14">
        <v>279.0</v>
      </c>
      <c r="G686" s="14">
        <v>534.0</v>
      </c>
      <c r="H686" s="14" t="s">
        <v>28</v>
      </c>
      <c r="I686" s="19" t="s">
        <v>12309</v>
      </c>
      <c r="J686" s="19" t="s">
        <v>5189</v>
      </c>
      <c r="K686" s="19" t="s">
        <v>12311</v>
      </c>
      <c r="L686" s="19" t="s">
        <v>12312</v>
      </c>
      <c r="M686" s="20" t="s">
        <v>3555</v>
      </c>
      <c r="N686" s="51" t="s">
        <v>5191</v>
      </c>
      <c r="O686" s="22">
        <v>46.0</v>
      </c>
      <c r="P686" s="28">
        <v>8.0</v>
      </c>
      <c r="Q686" s="28">
        <v>7.0</v>
      </c>
      <c r="R686" s="84"/>
      <c r="S686" s="84"/>
      <c r="T686" s="84"/>
      <c r="U686" s="84"/>
      <c r="V686" s="84"/>
      <c r="W686" s="84"/>
      <c r="X686" s="84"/>
      <c r="Y686" s="84"/>
      <c r="Z686" s="84"/>
      <c r="AA686" s="84"/>
    </row>
    <row r="687" ht="15.75" customHeight="1">
      <c r="A687" s="14" t="s">
        <v>17</v>
      </c>
      <c r="B687" s="15" t="s">
        <v>12039</v>
      </c>
      <c r="C687" s="14" t="s">
        <v>5195</v>
      </c>
      <c r="D687" s="14" t="s">
        <v>5197</v>
      </c>
      <c r="E687" s="26" t="str">
        <f t="shared" si="5"/>
        <v>http://dx.doi.org/10.1109/VISUAL.1999.809899</v>
      </c>
      <c r="F687" s="14">
        <v>285.0</v>
      </c>
      <c r="G687" s="14">
        <v>535.0</v>
      </c>
      <c r="H687" s="14" t="s">
        <v>28</v>
      </c>
      <c r="I687" s="19" t="s">
        <v>12315</v>
      </c>
      <c r="J687" s="19" t="s">
        <v>5201</v>
      </c>
      <c r="K687" s="19" t="s">
        <v>12316</v>
      </c>
      <c r="L687" s="19" t="s">
        <v>5367</v>
      </c>
      <c r="M687" s="20" t="s">
        <v>5203</v>
      </c>
      <c r="N687" s="27"/>
      <c r="O687" s="22">
        <v>50.0</v>
      </c>
      <c r="P687" s="28">
        <v>3.0</v>
      </c>
      <c r="Q687" s="28">
        <v>11.0</v>
      </c>
      <c r="R687" s="84"/>
      <c r="S687" s="84"/>
      <c r="T687" s="84"/>
      <c r="U687" s="84"/>
      <c r="V687" s="84"/>
      <c r="W687" s="84"/>
      <c r="X687" s="84"/>
      <c r="Y687" s="84"/>
      <c r="Z687" s="84"/>
      <c r="AA687" s="84"/>
    </row>
    <row r="688" ht="15.75" customHeight="1">
      <c r="A688" s="14" t="s">
        <v>17</v>
      </c>
      <c r="B688" s="15" t="s">
        <v>12039</v>
      </c>
      <c r="C688" s="14" t="s">
        <v>5205</v>
      </c>
      <c r="D688" s="14" t="s">
        <v>5206</v>
      </c>
      <c r="E688" s="26" t="str">
        <f t="shared" si="5"/>
        <v>http://dx.doi.org/10.1109/VISUAL.1999.809900</v>
      </c>
      <c r="F688" s="14">
        <v>291.0</v>
      </c>
      <c r="G688" s="14">
        <v>536.0</v>
      </c>
      <c r="H688" s="14" t="s">
        <v>28</v>
      </c>
      <c r="I688" s="19" t="s">
        <v>12317</v>
      </c>
      <c r="J688" s="19" t="s">
        <v>5212</v>
      </c>
      <c r="K688" s="19" t="s">
        <v>12318</v>
      </c>
      <c r="L688" s="19" t="s">
        <v>4752</v>
      </c>
      <c r="M688" s="20" t="s">
        <v>5214</v>
      </c>
      <c r="N688" s="51" t="s">
        <v>5215</v>
      </c>
      <c r="O688" s="22">
        <v>51.0</v>
      </c>
      <c r="P688" s="28">
        <v>7.0</v>
      </c>
      <c r="Q688" s="28">
        <v>27.0</v>
      </c>
      <c r="R688" s="84"/>
      <c r="S688" s="84"/>
      <c r="T688" s="84"/>
      <c r="U688" s="84"/>
      <c r="V688" s="84"/>
      <c r="W688" s="84"/>
      <c r="X688" s="84"/>
      <c r="Y688" s="84"/>
      <c r="Z688" s="84"/>
      <c r="AA688" s="84"/>
    </row>
    <row r="689" ht="15.75" customHeight="1">
      <c r="A689" s="14" t="s">
        <v>17</v>
      </c>
      <c r="B689" s="15" t="s">
        <v>12039</v>
      </c>
      <c r="C689" s="14" t="s">
        <v>5216</v>
      </c>
      <c r="D689" s="14" t="s">
        <v>5217</v>
      </c>
      <c r="E689" s="26" t="str">
        <f t="shared" si="5"/>
        <v>http://dx.doi.org/10.1109/VISUAL.1999.809901</v>
      </c>
      <c r="F689" s="14">
        <v>299.0</v>
      </c>
      <c r="G689" s="14">
        <v>305.0</v>
      </c>
      <c r="H689" s="14" t="s">
        <v>28</v>
      </c>
      <c r="I689" s="19" t="s">
        <v>12323</v>
      </c>
      <c r="J689" s="19" t="s">
        <v>5219</v>
      </c>
      <c r="K689" s="19" t="s">
        <v>12324</v>
      </c>
      <c r="L689" s="19" t="s">
        <v>11965</v>
      </c>
      <c r="M689" s="20" t="s">
        <v>5221</v>
      </c>
      <c r="N689" s="51" t="s">
        <v>5222</v>
      </c>
      <c r="O689" s="22">
        <v>46.0</v>
      </c>
      <c r="P689" s="28">
        <v>10.0</v>
      </c>
      <c r="Q689" s="28">
        <v>17.0</v>
      </c>
      <c r="R689" s="84"/>
      <c r="S689" s="84"/>
      <c r="T689" s="84"/>
      <c r="U689" s="84"/>
      <c r="V689" s="84"/>
      <c r="W689" s="84"/>
      <c r="X689" s="84"/>
      <c r="Y689" s="84"/>
      <c r="Z689" s="84"/>
      <c r="AA689" s="84"/>
    </row>
    <row r="690" ht="15.75" customHeight="1">
      <c r="A690" s="14" t="s">
        <v>17</v>
      </c>
      <c r="B690" s="15" t="s">
        <v>12039</v>
      </c>
      <c r="C690" s="14" t="s">
        <v>5223</v>
      </c>
      <c r="D690" s="14" t="s">
        <v>5224</v>
      </c>
      <c r="E690" s="26" t="str">
        <f t="shared" si="5"/>
        <v>http://dx.doi.org/10.1109/VISUAL.1999.809902</v>
      </c>
      <c r="F690" s="14">
        <v>307.0</v>
      </c>
      <c r="G690" s="14">
        <v>537.0</v>
      </c>
      <c r="H690" s="14" t="s">
        <v>28</v>
      </c>
      <c r="I690" s="19" t="s">
        <v>12328</v>
      </c>
      <c r="J690" s="19" t="s">
        <v>5227</v>
      </c>
      <c r="K690" s="19" t="s">
        <v>12329</v>
      </c>
      <c r="L690" s="19" t="s">
        <v>7484</v>
      </c>
      <c r="M690" s="20" t="s">
        <v>5229</v>
      </c>
      <c r="N690" s="27"/>
      <c r="O690" s="22">
        <v>220.0</v>
      </c>
      <c r="P690" s="28">
        <v>27.0</v>
      </c>
      <c r="Q690" s="28">
        <v>26.0</v>
      </c>
      <c r="R690" s="84"/>
      <c r="S690" s="84"/>
      <c r="T690" s="84"/>
      <c r="U690" s="84"/>
      <c r="V690" s="84"/>
      <c r="W690" s="84"/>
      <c r="X690" s="84"/>
      <c r="Y690" s="84"/>
      <c r="Z690" s="84"/>
      <c r="AA690" s="84"/>
    </row>
    <row r="691" ht="15.75" customHeight="1">
      <c r="A691" s="14" t="s">
        <v>17</v>
      </c>
      <c r="B691" s="15" t="s">
        <v>12039</v>
      </c>
      <c r="C691" s="14" t="s">
        <v>5230</v>
      </c>
      <c r="D691" s="14" t="s">
        <v>5231</v>
      </c>
      <c r="E691" s="26" t="str">
        <f t="shared" si="5"/>
        <v>http://dx.doi.org/10.1109/VISUAL.1999.809903</v>
      </c>
      <c r="F691" s="14">
        <v>317.0</v>
      </c>
      <c r="G691" s="14">
        <v>538.0</v>
      </c>
      <c r="H691" s="14" t="s">
        <v>28</v>
      </c>
      <c r="I691" s="19" t="s">
        <v>12335</v>
      </c>
      <c r="J691" s="19" t="s">
        <v>3856</v>
      </c>
      <c r="K691" s="19" t="s">
        <v>6543</v>
      </c>
      <c r="L691" s="19" t="s">
        <v>12338</v>
      </c>
      <c r="M691" s="20" t="s">
        <v>5234</v>
      </c>
      <c r="N691" s="51" t="s">
        <v>5235</v>
      </c>
      <c r="O691" s="22">
        <v>50.0</v>
      </c>
      <c r="P691" s="28">
        <v>7.0</v>
      </c>
      <c r="Q691" s="28">
        <v>6.0</v>
      </c>
      <c r="R691" s="84"/>
      <c r="S691" s="84"/>
      <c r="T691" s="84"/>
      <c r="U691" s="84"/>
      <c r="V691" s="84"/>
      <c r="W691" s="84"/>
      <c r="X691" s="84"/>
      <c r="Y691" s="84"/>
      <c r="Z691" s="84"/>
      <c r="AA691" s="84"/>
    </row>
    <row r="692" ht="15.75" customHeight="1">
      <c r="A692" s="14" t="s">
        <v>17</v>
      </c>
      <c r="B692" s="15" t="s">
        <v>12039</v>
      </c>
      <c r="C692" s="14" t="s">
        <v>5236</v>
      </c>
      <c r="D692" s="14" t="s">
        <v>5237</v>
      </c>
      <c r="E692" s="26" t="str">
        <f t="shared" si="5"/>
        <v>http://dx.doi.org/10.1109/VISUAL.1999.809904</v>
      </c>
      <c r="F692" s="14">
        <v>325.0</v>
      </c>
      <c r="G692" s="14">
        <v>539.0</v>
      </c>
      <c r="H692" s="14" t="s">
        <v>28</v>
      </c>
      <c r="I692" s="19" t="s">
        <v>12339</v>
      </c>
      <c r="J692" s="19" t="s">
        <v>12340</v>
      </c>
      <c r="K692" s="19" t="s">
        <v>12341</v>
      </c>
      <c r="L692" s="19" t="s">
        <v>12342</v>
      </c>
      <c r="M692" s="20" t="s">
        <v>5244</v>
      </c>
      <c r="N692" s="51" t="s">
        <v>5245</v>
      </c>
      <c r="O692" s="22">
        <v>87.0</v>
      </c>
      <c r="P692" s="28">
        <v>8.0</v>
      </c>
      <c r="Q692" s="28">
        <v>21.0</v>
      </c>
      <c r="R692" s="84"/>
      <c r="S692" s="84"/>
      <c r="T692" s="84"/>
      <c r="U692" s="84"/>
      <c r="V692" s="84"/>
      <c r="W692" s="84"/>
      <c r="X692" s="84"/>
      <c r="Y692" s="84"/>
      <c r="Z692" s="84"/>
      <c r="AA692" s="84"/>
    </row>
    <row r="693" ht="15.75" customHeight="1">
      <c r="A693" s="14" t="s">
        <v>17</v>
      </c>
      <c r="B693" s="15" t="s">
        <v>12039</v>
      </c>
      <c r="C693" s="54" t="s">
        <v>5246</v>
      </c>
      <c r="D693" s="14" t="s">
        <v>5247</v>
      </c>
      <c r="E693" s="26" t="str">
        <f t="shared" si="5"/>
        <v>http://dx.doi.org/10.1109/VISUAL.1999.809905</v>
      </c>
      <c r="F693" s="14">
        <v>333.0</v>
      </c>
      <c r="G693" s="14">
        <v>540.0</v>
      </c>
      <c r="H693" s="14" t="s">
        <v>28</v>
      </c>
      <c r="I693" s="19" t="s">
        <v>12349</v>
      </c>
      <c r="J693" s="19" t="s">
        <v>5260</v>
      </c>
      <c r="K693" s="19" t="s">
        <v>12350</v>
      </c>
      <c r="L693" s="19" t="s">
        <v>12351</v>
      </c>
      <c r="M693" s="20" t="s">
        <v>4253</v>
      </c>
      <c r="N693" s="27"/>
      <c r="O693" s="22">
        <v>209.0</v>
      </c>
      <c r="P693" s="28">
        <v>30.0</v>
      </c>
      <c r="Q693" s="28">
        <v>31.0</v>
      </c>
      <c r="R693" s="84"/>
      <c r="S693" s="84"/>
      <c r="T693" s="84"/>
      <c r="U693" s="84"/>
      <c r="V693" s="84"/>
      <c r="W693" s="84"/>
      <c r="X693" s="84"/>
      <c r="Y693" s="84"/>
      <c r="Z693" s="84"/>
      <c r="AA693" s="84"/>
    </row>
    <row r="694" ht="15.75" customHeight="1">
      <c r="A694" s="14" t="s">
        <v>17</v>
      </c>
      <c r="B694" s="15" t="s">
        <v>12039</v>
      </c>
      <c r="C694" s="14" t="s">
        <v>5262</v>
      </c>
      <c r="D694" s="14" t="s">
        <v>5263</v>
      </c>
      <c r="E694" s="26" t="str">
        <f t="shared" si="5"/>
        <v>http://dx.doi.org/10.1109/VISUAL.1999.809906</v>
      </c>
      <c r="F694" s="14">
        <v>341.0</v>
      </c>
      <c r="G694" s="14">
        <v>541.0</v>
      </c>
      <c r="H694" s="14" t="s">
        <v>28</v>
      </c>
      <c r="I694" s="19" t="s">
        <v>12352</v>
      </c>
      <c r="J694" s="19" t="s">
        <v>5265</v>
      </c>
      <c r="K694" s="19" t="s">
        <v>12353</v>
      </c>
      <c r="L694" s="19" t="s">
        <v>4721</v>
      </c>
      <c r="M694" s="20" t="s">
        <v>5267</v>
      </c>
      <c r="N694" s="51" t="s">
        <v>5268</v>
      </c>
      <c r="O694" s="31"/>
      <c r="P694" s="28">
        <v>18.0</v>
      </c>
      <c r="Q694" s="28">
        <v>22.0</v>
      </c>
      <c r="R694" s="84"/>
      <c r="S694" s="84"/>
      <c r="T694" s="84"/>
      <c r="U694" s="84"/>
      <c r="V694" s="84"/>
      <c r="W694" s="84"/>
      <c r="X694" s="84"/>
      <c r="Y694" s="84"/>
      <c r="Z694" s="84"/>
      <c r="AA694" s="84"/>
    </row>
    <row r="695" ht="15.75" customHeight="1">
      <c r="A695" s="14" t="s">
        <v>17</v>
      </c>
      <c r="B695" s="15" t="s">
        <v>12039</v>
      </c>
      <c r="C695" s="14" t="s">
        <v>5270</v>
      </c>
      <c r="D695" s="67" t="s">
        <v>5271</v>
      </c>
      <c r="E695" s="68" t="str">
        <f>HYPERLINK("http://doi.ieeecomputersociety.org/10.1109/VISUAL.1999.809907","http://doi.ieeecomputersociety.org/10.1109/VISUAL.1999.809907")</f>
        <v>http://doi.ieeecomputersociety.org/10.1109/VISUAL.1999.809907</v>
      </c>
      <c r="F695" s="50">
        <v>349.0</v>
      </c>
      <c r="G695" s="54">
        <v>354.0</v>
      </c>
      <c r="H695" s="14" t="s">
        <v>28</v>
      </c>
      <c r="I695" s="19" t="s">
        <v>12361</v>
      </c>
      <c r="J695" s="19" t="s">
        <v>4514</v>
      </c>
      <c r="K695" s="19" t="s">
        <v>12362</v>
      </c>
      <c r="L695" s="19" t="s">
        <v>9630</v>
      </c>
      <c r="M695" s="20" t="s">
        <v>487</v>
      </c>
      <c r="N695" s="44" t="s">
        <v>5276</v>
      </c>
      <c r="O695" s="22">
        <v>102.0</v>
      </c>
      <c r="P695" s="28">
        <v>25.0</v>
      </c>
      <c r="Q695" s="28">
        <v>0.0</v>
      </c>
      <c r="R695" s="16"/>
      <c r="S695" s="16"/>
      <c r="T695" s="16"/>
      <c r="U695" s="16"/>
      <c r="V695" s="16"/>
      <c r="W695" s="16"/>
      <c r="X695" s="16"/>
      <c r="Y695" s="16"/>
      <c r="Z695" s="16"/>
      <c r="AA695" s="16"/>
    </row>
    <row r="696" ht="15.75" customHeight="1">
      <c r="A696" s="14" t="s">
        <v>17</v>
      </c>
      <c r="B696" s="15" t="s">
        <v>12039</v>
      </c>
      <c r="C696" s="14" t="s">
        <v>5277</v>
      </c>
      <c r="D696" s="67" t="s">
        <v>5278</v>
      </c>
      <c r="E696" s="68" t="str">
        <f>HYPERLINK("http://doi.ieeecomputersociety.org/10.1109/VISUAL.1999.809908","http://doi.ieeecomputersociety.org/10.1109/VISUAL.1999.809908")</f>
        <v>http://doi.ieeecomputersociety.org/10.1109/VISUAL.1999.809908</v>
      </c>
      <c r="F696" s="50">
        <v>355.0</v>
      </c>
      <c r="G696" s="54"/>
      <c r="H696" s="14" t="s">
        <v>28</v>
      </c>
      <c r="I696" s="19" t="s">
        <v>12368</v>
      </c>
      <c r="J696" s="19" t="s">
        <v>5280</v>
      </c>
      <c r="K696" s="19" t="s">
        <v>12369</v>
      </c>
      <c r="L696" s="19" t="s">
        <v>6010</v>
      </c>
      <c r="M696" s="20"/>
      <c r="N696" s="44" t="s">
        <v>5281</v>
      </c>
      <c r="O696" s="22">
        <v>50.0</v>
      </c>
      <c r="P696" s="28">
        <v>50.0</v>
      </c>
      <c r="Q696" s="28">
        <v>0.0</v>
      </c>
      <c r="R696" s="16"/>
      <c r="S696" s="16"/>
      <c r="T696" s="16"/>
      <c r="U696" s="16"/>
      <c r="V696" s="16"/>
      <c r="W696" s="16"/>
      <c r="X696" s="16"/>
      <c r="Y696" s="16"/>
      <c r="Z696" s="16"/>
      <c r="AA696" s="16"/>
    </row>
    <row r="697" ht="15.75" customHeight="1">
      <c r="A697" s="14" t="s">
        <v>17</v>
      </c>
      <c r="B697" s="15" t="s">
        <v>12039</v>
      </c>
      <c r="C697" s="14" t="s">
        <v>5282</v>
      </c>
      <c r="D697" s="14" t="s">
        <v>5283</v>
      </c>
      <c r="E697" s="26" t="str">
        <f t="shared" ref="E697:E720" si="6">"http://dx.doi.org/" &amp; D697</f>
        <v>http://dx.doi.org/10.1109/VISUAL.1999.809909</v>
      </c>
      <c r="F697" s="14">
        <v>363.0</v>
      </c>
      <c r="G697" s="14">
        <v>544.0</v>
      </c>
      <c r="H697" s="14" t="s">
        <v>28</v>
      </c>
      <c r="I697" s="19" t="s">
        <v>12376</v>
      </c>
      <c r="J697" s="19" t="s">
        <v>12377</v>
      </c>
      <c r="K697" s="19" t="s">
        <v>12378</v>
      </c>
      <c r="L697" s="19" t="s">
        <v>4119</v>
      </c>
      <c r="M697" s="20" t="s">
        <v>5289</v>
      </c>
      <c r="N697" s="27"/>
      <c r="O697" s="22">
        <v>126.0</v>
      </c>
      <c r="P697" s="28">
        <v>27.0</v>
      </c>
      <c r="Q697" s="28">
        <v>35.0</v>
      </c>
      <c r="R697" s="84"/>
      <c r="S697" s="84"/>
      <c r="T697" s="84"/>
      <c r="U697" s="84"/>
      <c r="V697" s="84"/>
      <c r="W697" s="84"/>
      <c r="X697" s="84"/>
      <c r="Y697" s="84"/>
      <c r="Z697" s="84"/>
      <c r="AA697" s="84"/>
    </row>
    <row r="698" ht="15.75" customHeight="1">
      <c r="A698" s="14" t="s">
        <v>17</v>
      </c>
      <c r="B698" s="15" t="s">
        <v>12039</v>
      </c>
      <c r="C698" s="14" t="s">
        <v>5290</v>
      </c>
      <c r="D698" s="14" t="s">
        <v>5291</v>
      </c>
      <c r="E698" s="26" t="str">
        <f t="shared" si="6"/>
        <v>http://dx.doi.org/10.1109/VISUAL.1999.809910</v>
      </c>
      <c r="F698" s="14">
        <v>371.0</v>
      </c>
      <c r="G698" s="14">
        <v>545.0</v>
      </c>
      <c r="H698" s="14" t="s">
        <v>28</v>
      </c>
      <c r="I698" s="19" t="s">
        <v>12386</v>
      </c>
      <c r="J698" s="19" t="s">
        <v>5293</v>
      </c>
      <c r="K698" s="19" t="s">
        <v>12387</v>
      </c>
      <c r="L698" s="19" t="s">
        <v>6061</v>
      </c>
      <c r="M698" s="20" t="s">
        <v>5295</v>
      </c>
      <c r="N698" s="51" t="s">
        <v>5297</v>
      </c>
      <c r="O698" s="22">
        <v>232.0</v>
      </c>
      <c r="P698" s="28">
        <v>59.0</v>
      </c>
      <c r="Q698" s="28">
        <v>15.0</v>
      </c>
      <c r="R698" s="84"/>
      <c r="S698" s="84"/>
      <c r="T698" s="84"/>
      <c r="U698" s="84"/>
      <c r="V698" s="84"/>
      <c r="W698" s="84"/>
      <c r="X698" s="84"/>
      <c r="Y698" s="84"/>
      <c r="Z698" s="84"/>
      <c r="AA698" s="84"/>
    </row>
    <row r="699" ht="15.75" customHeight="1">
      <c r="A699" s="14" t="s">
        <v>17</v>
      </c>
      <c r="B699" s="15" t="s">
        <v>12039</v>
      </c>
      <c r="C699" s="14" t="s">
        <v>5299</v>
      </c>
      <c r="D699" s="14" t="s">
        <v>5301</v>
      </c>
      <c r="E699" s="26" t="str">
        <f t="shared" si="6"/>
        <v>http://dx.doi.org/10.1109/VISUAL.1999.809911</v>
      </c>
      <c r="F699" s="14">
        <v>379.0</v>
      </c>
      <c r="G699" s="14">
        <v>546.0</v>
      </c>
      <c r="H699" s="14" t="s">
        <v>28</v>
      </c>
      <c r="I699" s="19" t="s">
        <v>12388</v>
      </c>
      <c r="J699" s="19" t="s">
        <v>5303</v>
      </c>
      <c r="K699" s="19" t="s">
        <v>12389</v>
      </c>
      <c r="L699" s="19" t="s">
        <v>3480</v>
      </c>
      <c r="M699" s="20" t="s">
        <v>5304</v>
      </c>
      <c r="N699" s="51" t="s">
        <v>5305</v>
      </c>
      <c r="O699" s="22">
        <v>44.0</v>
      </c>
      <c r="P699" s="28">
        <v>20.0</v>
      </c>
      <c r="Q699" s="28">
        <v>14.0</v>
      </c>
      <c r="R699" s="84"/>
      <c r="S699" s="84"/>
      <c r="T699" s="84"/>
      <c r="U699" s="84"/>
      <c r="V699" s="84"/>
      <c r="W699" s="84"/>
      <c r="X699" s="84"/>
      <c r="Y699" s="84"/>
      <c r="Z699" s="84"/>
      <c r="AA699" s="84"/>
    </row>
    <row r="700" ht="15.75" customHeight="1">
      <c r="A700" s="14" t="s">
        <v>17</v>
      </c>
      <c r="B700" s="15" t="s">
        <v>12039</v>
      </c>
      <c r="C700" s="14" t="s">
        <v>5306</v>
      </c>
      <c r="D700" s="14" t="s">
        <v>5307</v>
      </c>
      <c r="E700" s="26" t="str">
        <f t="shared" si="6"/>
        <v>http://dx.doi.org/10.1109/VISUAL.1999.809912</v>
      </c>
      <c r="F700" s="14">
        <v>389.0</v>
      </c>
      <c r="G700" s="14">
        <v>547.0</v>
      </c>
      <c r="H700" s="14" t="s">
        <v>28</v>
      </c>
      <c r="I700" s="19" t="s">
        <v>12397</v>
      </c>
      <c r="J700" s="19" t="s">
        <v>12398</v>
      </c>
      <c r="K700" s="19" t="s">
        <v>12399</v>
      </c>
      <c r="L700" s="19" t="s">
        <v>3950</v>
      </c>
      <c r="M700" s="20" t="s">
        <v>5312</v>
      </c>
      <c r="N700" s="27"/>
      <c r="O700" s="43">
        <v>0.0</v>
      </c>
      <c r="P700" s="28">
        <v>6.0</v>
      </c>
      <c r="Q700" s="28">
        <v>19.0</v>
      </c>
      <c r="R700" s="84"/>
      <c r="S700" s="84"/>
      <c r="T700" s="84"/>
      <c r="U700" s="84"/>
      <c r="V700" s="84"/>
      <c r="W700" s="84"/>
      <c r="X700" s="84"/>
      <c r="Y700" s="84"/>
      <c r="Z700" s="84"/>
      <c r="AA700" s="84"/>
    </row>
    <row r="701" ht="15.75" customHeight="1">
      <c r="A701" s="14" t="s">
        <v>17</v>
      </c>
      <c r="B701" s="15" t="s">
        <v>12039</v>
      </c>
      <c r="C701" s="14" t="s">
        <v>5313</v>
      </c>
      <c r="D701" s="14" t="s">
        <v>5314</v>
      </c>
      <c r="E701" s="26" t="str">
        <f t="shared" si="6"/>
        <v>http://dx.doi.org/10.1109/VISUAL.1999.809913</v>
      </c>
      <c r="F701" s="14">
        <v>393.0</v>
      </c>
      <c r="G701" s="14">
        <v>548.0</v>
      </c>
      <c r="H701" s="14" t="s">
        <v>28</v>
      </c>
      <c r="I701" s="19" t="s">
        <v>12400</v>
      </c>
      <c r="J701" s="19" t="s">
        <v>5316</v>
      </c>
      <c r="K701" s="19" t="s">
        <v>12401</v>
      </c>
      <c r="L701" s="19" t="s">
        <v>12402</v>
      </c>
      <c r="M701" s="20" t="s">
        <v>5318</v>
      </c>
      <c r="N701" s="27"/>
      <c r="O701" s="43">
        <v>0.0</v>
      </c>
      <c r="P701" s="28">
        <v>0.0</v>
      </c>
      <c r="Q701" s="28">
        <v>10.0</v>
      </c>
      <c r="R701" s="84"/>
      <c r="S701" s="84"/>
      <c r="T701" s="84"/>
      <c r="U701" s="84"/>
      <c r="V701" s="84"/>
      <c r="W701" s="84"/>
      <c r="X701" s="84"/>
      <c r="Y701" s="84"/>
      <c r="Z701" s="84"/>
      <c r="AA701" s="84"/>
    </row>
    <row r="702" ht="15.75" customHeight="1">
      <c r="A702" s="14" t="s">
        <v>17</v>
      </c>
      <c r="B702" s="15" t="s">
        <v>12039</v>
      </c>
      <c r="C702" s="14" t="s">
        <v>5319</v>
      </c>
      <c r="D702" s="14" t="s">
        <v>5320</v>
      </c>
      <c r="E702" s="26" t="str">
        <f t="shared" si="6"/>
        <v>http://dx.doi.org/10.1109/VISUAL.1999.809914</v>
      </c>
      <c r="F702" s="14">
        <v>397.0</v>
      </c>
      <c r="G702" s="14">
        <v>549.0</v>
      </c>
      <c r="H702" s="14" t="s">
        <v>28</v>
      </c>
      <c r="I702" s="19" t="s">
        <v>12409</v>
      </c>
      <c r="J702" s="19" t="s">
        <v>5323</v>
      </c>
      <c r="K702" s="19" t="s">
        <v>12411</v>
      </c>
      <c r="L702" s="19" t="s">
        <v>3480</v>
      </c>
      <c r="M702" s="20" t="s">
        <v>5325</v>
      </c>
      <c r="N702" s="27"/>
      <c r="O702" s="22">
        <v>101.0</v>
      </c>
      <c r="P702" s="28">
        <v>20.0</v>
      </c>
      <c r="Q702" s="28">
        <v>17.0</v>
      </c>
      <c r="R702" s="84"/>
      <c r="S702" s="84"/>
      <c r="T702" s="84"/>
      <c r="U702" s="84"/>
      <c r="V702" s="84"/>
      <c r="W702" s="84"/>
      <c r="X702" s="84"/>
      <c r="Y702" s="84"/>
      <c r="Z702" s="84"/>
      <c r="AA702" s="84"/>
    </row>
    <row r="703" ht="15.75" customHeight="1">
      <c r="A703" s="14" t="s">
        <v>17</v>
      </c>
      <c r="B703" s="15" t="s">
        <v>12039</v>
      </c>
      <c r="C703" s="14" t="s">
        <v>5328</v>
      </c>
      <c r="D703" s="14" t="s">
        <v>5329</v>
      </c>
      <c r="E703" s="26" t="str">
        <f t="shared" si="6"/>
        <v>http://dx.doi.org/10.1109/VISUAL.1999.809915</v>
      </c>
      <c r="F703" s="14">
        <v>401.0</v>
      </c>
      <c r="G703" s="14">
        <v>550.0</v>
      </c>
      <c r="H703" s="14" t="s">
        <v>28</v>
      </c>
      <c r="I703" s="19" t="s">
        <v>12412</v>
      </c>
      <c r="J703" s="19" t="s">
        <v>5331</v>
      </c>
      <c r="K703" s="19" t="s">
        <v>12413</v>
      </c>
      <c r="L703" s="19" t="s">
        <v>12414</v>
      </c>
      <c r="M703" s="20"/>
      <c r="N703" s="27"/>
      <c r="O703" s="43">
        <v>0.0</v>
      </c>
      <c r="P703" s="28">
        <v>1.0</v>
      </c>
      <c r="Q703" s="28">
        <v>6.0</v>
      </c>
      <c r="R703" s="84"/>
      <c r="S703" s="84"/>
      <c r="T703" s="84"/>
      <c r="U703" s="84"/>
      <c r="V703" s="84"/>
      <c r="W703" s="84"/>
      <c r="X703" s="84"/>
      <c r="Y703" s="84"/>
      <c r="Z703" s="84"/>
      <c r="AA703" s="84"/>
    </row>
    <row r="704" ht="15.75" customHeight="1">
      <c r="A704" s="14" t="s">
        <v>17</v>
      </c>
      <c r="B704" s="15" t="s">
        <v>12039</v>
      </c>
      <c r="C704" s="14" t="s">
        <v>5333</v>
      </c>
      <c r="D704" s="14" t="s">
        <v>5334</v>
      </c>
      <c r="E704" s="26" t="str">
        <f t="shared" si="6"/>
        <v>http://dx.doi.org/10.1109/VISUAL.1999.809916</v>
      </c>
      <c r="F704" s="14">
        <v>405.0</v>
      </c>
      <c r="G704" s="14">
        <v>551.0</v>
      </c>
      <c r="H704" s="14" t="s">
        <v>28</v>
      </c>
      <c r="I704" s="19" t="s">
        <v>12417</v>
      </c>
      <c r="J704" s="19" t="s">
        <v>5336</v>
      </c>
      <c r="K704" s="19" t="s">
        <v>12419</v>
      </c>
      <c r="L704" s="19" t="s">
        <v>4721</v>
      </c>
      <c r="M704" s="20" t="s">
        <v>3216</v>
      </c>
      <c r="N704" s="27"/>
      <c r="O704" s="22">
        <v>14.0</v>
      </c>
      <c r="P704" s="28">
        <v>7.0</v>
      </c>
      <c r="Q704" s="28">
        <v>12.0</v>
      </c>
      <c r="R704" s="84"/>
      <c r="S704" s="84"/>
      <c r="T704" s="84"/>
      <c r="U704" s="84"/>
      <c r="V704" s="84"/>
      <c r="W704" s="84"/>
      <c r="X704" s="84"/>
      <c r="Y704" s="84"/>
      <c r="Z704" s="84"/>
      <c r="AA704" s="84"/>
    </row>
    <row r="705" ht="15.75" customHeight="1">
      <c r="A705" s="14" t="s">
        <v>17</v>
      </c>
      <c r="B705" s="15" t="s">
        <v>12039</v>
      </c>
      <c r="C705" s="14" t="s">
        <v>5337</v>
      </c>
      <c r="D705" s="14" t="s">
        <v>5338</v>
      </c>
      <c r="E705" s="26" t="str">
        <f t="shared" si="6"/>
        <v>http://dx.doi.org/10.1109/VISUAL.1999.809917</v>
      </c>
      <c r="F705" s="14">
        <v>409.0</v>
      </c>
      <c r="G705" s="14">
        <v>552.0</v>
      </c>
      <c r="H705" s="14" t="s">
        <v>28</v>
      </c>
      <c r="I705" s="19" t="s">
        <v>12423</v>
      </c>
      <c r="J705" s="19" t="s">
        <v>5342</v>
      </c>
      <c r="K705" s="19" t="s">
        <v>12424</v>
      </c>
      <c r="L705" s="19" t="s">
        <v>12425</v>
      </c>
      <c r="M705" s="20" t="s">
        <v>5344</v>
      </c>
      <c r="N705" s="27"/>
      <c r="O705" s="31"/>
      <c r="P705" s="28">
        <v>5.0</v>
      </c>
      <c r="Q705" s="28">
        <v>8.0</v>
      </c>
      <c r="R705" s="84"/>
      <c r="S705" s="84"/>
      <c r="T705" s="84"/>
      <c r="U705" s="84"/>
      <c r="V705" s="84"/>
      <c r="W705" s="84"/>
      <c r="X705" s="84"/>
      <c r="Y705" s="84"/>
      <c r="Z705" s="84"/>
      <c r="AA705" s="84"/>
    </row>
    <row r="706" ht="15.75" customHeight="1">
      <c r="A706" s="14" t="s">
        <v>17</v>
      </c>
      <c r="B706" s="15" t="s">
        <v>12039</v>
      </c>
      <c r="C706" s="14" t="s">
        <v>5345</v>
      </c>
      <c r="D706" s="14" t="s">
        <v>5346</v>
      </c>
      <c r="E706" s="26" t="str">
        <f t="shared" si="6"/>
        <v>http://dx.doi.org/10.1109/VISUAL.1999.809918</v>
      </c>
      <c r="F706" s="14">
        <v>413.0</v>
      </c>
      <c r="G706" s="14">
        <v>553.0</v>
      </c>
      <c r="H706" s="14" t="s">
        <v>28</v>
      </c>
      <c r="I706" s="19" t="s">
        <v>12432</v>
      </c>
      <c r="J706" s="19" t="s">
        <v>5348</v>
      </c>
      <c r="K706" s="19" t="s">
        <v>12434</v>
      </c>
      <c r="L706" s="19" t="s">
        <v>12435</v>
      </c>
      <c r="M706" s="20" t="s">
        <v>3751</v>
      </c>
      <c r="N706" s="27"/>
      <c r="O706" s="31"/>
      <c r="P706" s="28">
        <v>6.0</v>
      </c>
      <c r="Q706" s="28">
        <v>7.0</v>
      </c>
      <c r="R706" s="84"/>
      <c r="S706" s="84"/>
      <c r="T706" s="84"/>
      <c r="U706" s="84"/>
      <c r="V706" s="84"/>
      <c r="W706" s="84"/>
      <c r="X706" s="84"/>
      <c r="Y706" s="84"/>
      <c r="Z706" s="84"/>
      <c r="AA706" s="84"/>
    </row>
    <row r="707" ht="15.75" customHeight="1">
      <c r="A707" s="14" t="s">
        <v>17</v>
      </c>
      <c r="B707" s="15" t="s">
        <v>12039</v>
      </c>
      <c r="C707" s="14" t="s">
        <v>5350</v>
      </c>
      <c r="D707" s="14" t="s">
        <v>5352</v>
      </c>
      <c r="E707" s="26" t="str">
        <f t="shared" si="6"/>
        <v>http://dx.doi.org/10.1109/VISUAL.1999.809919</v>
      </c>
      <c r="F707" s="14">
        <v>417.0</v>
      </c>
      <c r="G707" s="14">
        <v>554.0</v>
      </c>
      <c r="H707" s="14" t="s">
        <v>28</v>
      </c>
      <c r="I707" s="19" t="s">
        <v>12436</v>
      </c>
      <c r="J707" s="19" t="s">
        <v>3856</v>
      </c>
      <c r="K707" s="19" t="s">
        <v>6543</v>
      </c>
      <c r="L707" s="19" t="s">
        <v>12338</v>
      </c>
      <c r="M707" s="20" t="s">
        <v>5356</v>
      </c>
      <c r="N707" s="27"/>
      <c r="O707" s="22">
        <v>12.0</v>
      </c>
      <c r="P707" s="28">
        <v>7.0</v>
      </c>
      <c r="Q707" s="28">
        <v>17.0</v>
      </c>
      <c r="R707" s="84"/>
      <c r="S707" s="84"/>
      <c r="T707" s="84"/>
      <c r="U707" s="84"/>
      <c r="V707" s="84"/>
      <c r="W707" s="84"/>
      <c r="X707" s="84"/>
      <c r="Y707" s="84"/>
      <c r="Z707" s="84"/>
      <c r="AA707" s="84"/>
    </row>
    <row r="708" ht="15.75" customHeight="1">
      <c r="A708" s="14" t="s">
        <v>17</v>
      </c>
      <c r="B708" s="15" t="s">
        <v>12039</v>
      </c>
      <c r="C708" s="14" t="s">
        <v>5357</v>
      </c>
      <c r="D708" s="14" t="s">
        <v>5358</v>
      </c>
      <c r="E708" s="26" t="str">
        <f t="shared" si="6"/>
        <v>http://dx.doi.org/10.1109/VISUAL.1999.809920</v>
      </c>
      <c r="F708" s="14">
        <v>421.0</v>
      </c>
      <c r="G708" s="14">
        <v>423.0</v>
      </c>
      <c r="H708" s="14" t="s">
        <v>28</v>
      </c>
      <c r="I708" s="19" t="s">
        <v>12440</v>
      </c>
      <c r="J708" s="19" t="s">
        <v>5360</v>
      </c>
      <c r="K708" s="19" t="s">
        <v>12444</v>
      </c>
      <c r="L708" s="19" t="s">
        <v>12445</v>
      </c>
      <c r="M708" s="20"/>
      <c r="N708" s="27"/>
      <c r="O708" s="31"/>
      <c r="P708" s="28">
        <v>2.0</v>
      </c>
      <c r="Q708" s="28">
        <v>6.0</v>
      </c>
      <c r="R708" s="84"/>
      <c r="S708" s="84"/>
      <c r="T708" s="84"/>
      <c r="U708" s="84"/>
      <c r="V708" s="84"/>
      <c r="W708" s="84"/>
      <c r="X708" s="84"/>
      <c r="Y708" s="84"/>
      <c r="Z708" s="84"/>
      <c r="AA708" s="84"/>
    </row>
    <row r="709" ht="15.75" customHeight="1">
      <c r="A709" s="14" t="s">
        <v>17</v>
      </c>
      <c r="B709" s="15" t="s">
        <v>12039</v>
      </c>
      <c r="C709" s="14" t="s">
        <v>5362</v>
      </c>
      <c r="D709" s="14" t="s">
        <v>5363</v>
      </c>
      <c r="E709" s="26" t="str">
        <f t="shared" si="6"/>
        <v>http://dx.doi.org/10.1109/VISUAL.1999.809921</v>
      </c>
      <c r="F709" s="14">
        <v>425.0</v>
      </c>
      <c r="G709" s="14">
        <v>555.0</v>
      </c>
      <c r="H709" s="14" t="s">
        <v>28</v>
      </c>
      <c r="I709" s="19" t="s">
        <v>12446</v>
      </c>
      <c r="J709" s="19" t="s">
        <v>5368</v>
      </c>
      <c r="K709" s="19" t="s">
        <v>12447</v>
      </c>
      <c r="L709" s="19" t="s">
        <v>12002</v>
      </c>
      <c r="M709" s="20" t="s">
        <v>5370</v>
      </c>
      <c r="N709" s="27"/>
      <c r="O709" s="22">
        <v>50.0</v>
      </c>
      <c r="P709" s="28">
        <v>4.0</v>
      </c>
      <c r="Q709" s="28">
        <v>8.0</v>
      </c>
      <c r="R709" s="84"/>
      <c r="S709" s="84"/>
      <c r="T709" s="84"/>
      <c r="U709" s="84"/>
      <c r="V709" s="84"/>
      <c r="W709" s="84"/>
      <c r="X709" s="84"/>
      <c r="Y709" s="84"/>
      <c r="Z709" s="84"/>
      <c r="AA709" s="84"/>
    </row>
    <row r="710" ht="15.75" customHeight="1">
      <c r="A710" s="14" t="s">
        <v>17</v>
      </c>
      <c r="B710" s="15" t="s">
        <v>12039</v>
      </c>
      <c r="C710" s="14" t="s">
        <v>5371</v>
      </c>
      <c r="D710" s="14" t="s">
        <v>5372</v>
      </c>
      <c r="E710" s="26" t="str">
        <f t="shared" si="6"/>
        <v>http://dx.doi.org/10.1109/VISUAL.1999.809922</v>
      </c>
      <c r="F710" s="14">
        <v>429.0</v>
      </c>
      <c r="G710" s="14">
        <v>556.0</v>
      </c>
      <c r="H710" s="14" t="s">
        <v>28</v>
      </c>
      <c r="I710" s="19" t="s">
        <v>12454</v>
      </c>
      <c r="J710" s="19" t="s">
        <v>5374</v>
      </c>
      <c r="K710" s="19" t="s">
        <v>12455</v>
      </c>
      <c r="L710" s="19" t="s">
        <v>12456</v>
      </c>
      <c r="M710" s="20"/>
      <c r="N710" s="27"/>
      <c r="O710" s="22">
        <v>4.0</v>
      </c>
      <c r="P710" s="28">
        <v>3.0</v>
      </c>
      <c r="Q710" s="28">
        <v>17.0</v>
      </c>
      <c r="R710" s="84"/>
      <c r="S710" s="84"/>
      <c r="T710" s="84"/>
      <c r="U710" s="84"/>
      <c r="V710" s="84"/>
      <c r="W710" s="84"/>
      <c r="X710" s="84"/>
      <c r="Y710" s="84"/>
      <c r="Z710" s="84"/>
      <c r="AA710" s="84"/>
    </row>
    <row r="711" ht="15.75" customHeight="1">
      <c r="A711" s="14" t="s">
        <v>17</v>
      </c>
      <c r="B711" s="15" t="s">
        <v>12039</v>
      </c>
      <c r="C711" s="14" t="s">
        <v>5376</v>
      </c>
      <c r="D711" s="14" t="s">
        <v>5377</v>
      </c>
      <c r="E711" s="26" t="str">
        <f t="shared" si="6"/>
        <v>http://dx.doi.org/10.1109/VISUAL.1999.809923</v>
      </c>
      <c r="F711" s="14">
        <v>433.0</v>
      </c>
      <c r="G711" s="14">
        <v>557.0</v>
      </c>
      <c r="H711" s="14" t="s">
        <v>28</v>
      </c>
      <c r="I711" s="19" t="s">
        <v>12461</v>
      </c>
      <c r="J711" s="19" t="s">
        <v>5382</v>
      </c>
      <c r="K711" s="19" t="s">
        <v>12464</v>
      </c>
      <c r="L711" s="19" t="s">
        <v>12466</v>
      </c>
      <c r="M711" s="20" t="s">
        <v>3359</v>
      </c>
      <c r="N711" s="27"/>
      <c r="O711" s="22">
        <v>50.0</v>
      </c>
      <c r="P711" s="28">
        <v>6.0</v>
      </c>
      <c r="Q711" s="28">
        <v>12.0</v>
      </c>
      <c r="R711" s="84"/>
      <c r="S711" s="84"/>
      <c r="T711" s="84"/>
      <c r="U711" s="84"/>
      <c r="V711" s="84"/>
      <c r="W711" s="84"/>
      <c r="X711" s="84"/>
      <c r="Y711" s="84"/>
      <c r="Z711" s="84"/>
      <c r="AA711" s="84"/>
    </row>
    <row r="712" ht="15.75" customHeight="1">
      <c r="A712" s="14" t="s">
        <v>17</v>
      </c>
      <c r="B712" s="15" t="s">
        <v>12039</v>
      </c>
      <c r="C712" s="14" t="s">
        <v>5384</v>
      </c>
      <c r="D712" s="14" t="s">
        <v>5385</v>
      </c>
      <c r="E712" s="26" t="str">
        <f t="shared" si="6"/>
        <v>http://dx.doi.org/10.1109/VISUAL.1999.809924</v>
      </c>
      <c r="F712" s="14">
        <v>437.0</v>
      </c>
      <c r="G712" s="14">
        <v>558.0</v>
      </c>
      <c r="H712" s="14" t="s">
        <v>28</v>
      </c>
      <c r="I712" s="19" t="s">
        <v>12467</v>
      </c>
      <c r="J712" s="19" t="s">
        <v>5387</v>
      </c>
      <c r="K712" s="19" t="s">
        <v>12468</v>
      </c>
      <c r="L712" s="19" t="s">
        <v>12469</v>
      </c>
      <c r="M712" s="20" t="s">
        <v>5389</v>
      </c>
      <c r="N712" s="27"/>
      <c r="O712" s="22">
        <v>66.0</v>
      </c>
      <c r="P712" s="28">
        <v>8.0</v>
      </c>
      <c r="Q712" s="28">
        <v>10.0</v>
      </c>
      <c r="R712" s="84"/>
      <c r="S712" s="84"/>
      <c r="T712" s="84"/>
      <c r="U712" s="84"/>
      <c r="V712" s="84"/>
      <c r="W712" s="84"/>
      <c r="X712" s="84"/>
      <c r="Y712" s="84"/>
      <c r="Z712" s="84"/>
      <c r="AA712" s="84"/>
    </row>
    <row r="713" ht="15.75" customHeight="1">
      <c r="A713" s="14" t="s">
        <v>17</v>
      </c>
      <c r="B713" s="15" t="s">
        <v>12039</v>
      </c>
      <c r="C713" s="14" t="s">
        <v>5390</v>
      </c>
      <c r="D713" s="14" t="s">
        <v>5392</v>
      </c>
      <c r="E713" s="26" t="str">
        <f t="shared" si="6"/>
        <v>http://dx.doi.org/10.1109/VISUAL.1999.809925</v>
      </c>
      <c r="F713" s="14">
        <v>441.0</v>
      </c>
      <c r="G713" s="14">
        <v>559.0</v>
      </c>
      <c r="H713" s="14" t="s">
        <v>28</v>
      </c>
      <c r="I713" s="19" t="s">
        <v>12477</v>
      </c>
      <c r="J713" s="19" t="s">
        <v>5395</v>
      </c>
      <c r="K713" s="19" t="s">
        <v>12478</v>
      </c>
      <c r="L713" s="19" t="s">
        <v>12479</v>
      </c>
      <c r="M713" s="20"/>
      <c r="N713" s="27"/>
      <c r="O713" s="22">
        <v>50.0</v>
      </c>
      <c r="P713" s="28">
        <v>0.0</v>
      </c>
      <c r="Q713" s="28">
        <v>12.0</v>
      </c>
      <c r="R713" s="84"/>
      <c r="S713" s="84"/>
      <c r="T713" s="84"/>
      <c r="U713" s="84"/>
      <c r="V713" s="84"/>
      <c r="W713" s="84"/>
      <c r="X713" s="84"/>
      <c r="Y713" s="84"/>
      <c r="Z713" s="84"/>
      <c r="AA713" s="84"/>
    </row>
    <row r="714" ht="15.75" customHeight="1">
      <c r="A714" s="14" t="s">
        <v>17</v>
      </c>
      <c r="B714" s="15" t="s">
        <v>12039</v>
      </c>
      <c r="C714" s="14" t="s">
        <v>5400</v>
      </c>
      <c r="D714" s="14" t="s">
        <v>5401</v>
      </c>
      <c r="E714" s="26" t="str">
        <f t="shared" si="6"/>
        <v>http://dx.doi.org/10.1109/VISUAL.1999.809926</v>
      </c>
      <c r="F714" s="14">
        <v>445.0</v>
      </c>
      <c r="G714" s="14">
        <v>560.0</v>
      </c>
      <c r="H714" s="14" t="s">
        <v>28</v>
      </c>
      <c r="I714" s="19" t="s">
        <v>12480</v>
      </c>
      <c r="J714" s="19" t="s">
        <v>5403</v>
      </c>
      <c r="K714" s="19" t="s">
        <v>12481</v>
      </c>
      <c r="L714" s="19" t="s">
        <v>11988</v>
      </c>
      <c r="M714" s="20" t="s">
        <v>4662</v>
      </c>
      <c r="N714" s="27"/>
      <c r="O714" s="22">
        <v>50.0</v>
      </c>
      <c r="P714" s="28">
        <v>1.0</v>
      </c>
      <c r="Q714" s="28">
        <v>14.0</v>
      </c>
      <c r="R714" s="84"/>
      <c r="S714" s="84"/>
      <c r="T714" s="84"/>
      <c r="U714" s="84"/>
      <c r="V714" s="84"/>
      <c r="W714" s="84"/>
      <c r="X714" s="84"/>
      <c r="Y714" s="84"/>
      <c r="Z714" s="84"/>
      <c r="AA714" s="84"/>
    </row>
    <row r="715" ht="15.75" customHeight="1">
      <c r="A715" s="14" t="s">
        <v>17</v>
      </c>
      <c r="B715" s="15" t="s">
        <v>12039</v>
      </c>
      <c r="C715" s="14" t="s">
        <v>5406</v>
      </c>
      <c r="D715" s="14" t="s">
        <v>5407</v>
      </c>
      <c r="E715" s="26" t="str">
        <f t="shared" si="6"/>
        <v>http://dx.doi.org/10.1109/VISUAL.1999.809927</v>
      </c>
      <c r="F715" s="14">
        <v>449.0</v>
      </c>
      <c r="G715" s="14">
        <v>561.0</v>
      </c>
      <c r="H715" s="14" t="s">
        <v>28</v>
      </c>
      <c r="I715" s="19" t="s">
        <v>12482</v>
      </c>
      <c r="J715" s="19" t="s">
        <v>5409</v>
      </c>
      <c r="K715" s="19" t="s">
        <v>12483</v>
      </c>
      <c r="L715" s="19" t="s">
        <v>12484</v>
      </c>
      <c r="M715" s="20" t="s">
        <v>1512</v>
      </c>
      <c r="N715" s="27"/>
      <c r="O715" s="22">
        <v>69.0</v>
      </c>
      <c r="P715" s="28">
        <v>7.0</v>
      </c>
      <c r="Q715" s="28">
        <v>13.0</v>
      </c>
      <c r="R715" s="84"/>
      <c r="S715" s="84"/>
      <c r="T715" s="84"/>
      <c r="U715" s="84"/>
      <c r="V715" s="84"/>
      <c r="W715" s="84"/>
      <c r="X715" s="84"/>
      <c r="Y715" s="84"/>
      <c r="Z715" s="84"/>
      <c r="AA715" s="84"/>
    </row>
    <row r="716" ht="15.75" customHeight="1">
      <c r="A716" s="14" t="s">
        <v>17</v>
      </c>
      <c r="B716" s="15" t="s">
        <v>12039</v>
      </c>
      <c r="C716" s="14" t="s">
        <v>5411</v>
      </c>
      <c r="D716" s="14" t="s">
        <v>5412</v>
      </c>
      <c r="E716" s="26" t="str">
        <f t="shared" si="6"/>
        <v>http://dx.doi.org/10.1109/VISUAL.1999.809929</v>
      </c>
      <c r="F716" s="14">
        <v>453.0</v>
      </c>
      <c r="G716" s="14">
        <v>562.0</v>
      </c>
      <c r="H716" s="14" t="s">
        <v>28</v>
      </c>
      <c r="I716" s="19" t="s">
        <v>12485</v>
      </c>
      <c r="J716" s="19" t="s">
        <v>5417</v>
      </c>
      <c r="K716" s="19" t="s">
        <v>12486</v>
      </c>
      <c r="L716" s="19" t="s">
        <v>1092</v>
      </c>
      <c r="M716" s="20" t="s">
        <v>2539</v>
      </c>
      <c r="N716" s="27"/>
      <c r="O716" s="22">
        <v>50.0</v>
      </c>
      <c r="P716" s="28">
        <v>3.0</v>
      </c>
      <c r="Q716" s="28">
        <v>7.0</v>
      </c>
      <c r="R716" s="84"/>
      <c r="S716" s="84"/>
      <c r="T716" s="84"/>
      <c r="U716" s="84"/>
      <c r="V716" s="84"/>
      <c r="W716" s="84"/>
      <c r="X716" s="84"/>
      <c r="Y716" s="84"/>
      <c r="Z716" s="84"/>
      <c r="AA716" s="84"/>
    </row>
    <row r="717" ht="15.75" customHeight="1">
      <c r="A717" s="14" t="s">
        <v>17</v>
      </c>
      <c r="B717" s="15" t="s">
        <v>12039</v>
      </c>
      <c r="C717" s="14" t="s">
        <v>5418</v>
      </c>
      <c r="D717" s="14" t="s">
        <v>5419</v>
      </c>
      <c r="E717" s="26" t="str">
        <f t="shared" si="6"/>
        <v>http://dx.doi.org/10.1109/VISUAL.1999.809930</v>
      </c>
      <c r="F717" s="14">
        <v>457.0</v>
      </c>
      <c r="G717" s="14">
        <v>461.0</v>
      </c>
      <c r="H717" s="14" t="s">
        <v>28</v>
      </c>
      <c r="I717" s="19" t="s">
        <v>12487</v>
      </c>
      <c r="J717" s="19" t="s">
        <v>5424</v>
      </c>
      <c r="K717" s="19" t="s">
        <v>12488</v>
      </c>
      <c r="L717" s="19" t="s">
        <v>12489</v>
      </c>
      <c r="M717" s="20" t="s">
        <v>5426</v>
      </c>
      <c r="N717" s="27"/>
      <c r="O717" s="22">
        <v>54.0</v>
      </c>
      <c r="P717" s="28">
        <v>16.0</v>
      </c>
      <c r="Q717" s="28">
        <v>7.0</v>
      </c>
      <c r="R717" s="84"/>
      <c r="S717" s="84"/>
      <c r="T717" s="84"/>
      <c r="U717" s="84"/>
      <c r="V717" s="84"/>
      <c r="W717" s="84"/>
      <c r="X717" s="84"/>
      <c r="Y717" s="84"/>
      <c r="Z717" s="84"/>
      <c r="AA717" s="84"/>
    </row>
    <row r="718" ht="15.75" customHeight="1">
      <c r="A718" s="14" t="s">
        <v>17</v>
      </c>
      <c r="B718" s="15" t="s">
        <v>12039</v>
      </c>
      <c r="C718" s="14" t="s">
        <v>5427</v>
      </c>
      <c r="D718" s="14" t="s">
        <v>5428</v>
      </c>
      <c r="E718" s="26" t="str">
        <f t="shared" si="6"/>
        <v>http://dx.doi.org/10.1109/VISUAL.1999.809931</v>
      </c>
      <c r="F718" s="14">
        <v>463.0</v>
      </c>
      <c r="G718" s="14">
        <v>466.0</v>
      </c>
      <c r="H718" s="14" t="s">
        <v>28</v>
      </c>
      <c r="I718" s="19" t="s">
        <v>12490</v>
      </c>
      <c r="J718" s="19" t="s">
        <v>5433</v>
      </c>
      <c r="K718" s="19" t="s">
        <v>12491</v>
      </c>
      <c r="L718" s="18"/>
      <c r="M718" s="20"/>
      <c r="N718" s="27"/>
      <c r="O718" s="22">
        <v>1.0</v>
      </c>
      <c r="P718" s="28">
        <v>0.0</v>
      </c>
      <c r="Q718" s="28">
        <v>20.0</v>
      </c>
      <c r="R718" s="84"/>
      <c r="S718" s="84"/>
      <c r="T718" s="84"/>
      <c r="U718" s="84"/>
      <c r="V718" s="84"/>
      <c r="W718" s="84"/>
      <c r="X718" s="84"/>
      <c r="Y718" s="84"/>
      <c r="Z718" s="84"/>
      <c r="AA718" s="84"/>
    </row>
    <row r="719" ht="15.75" customHeight="1">
      <c r="A719" s="14" t="s">
        <v>17</v>
      </c>
      <c r="B719" s="15" t="s">
        <v>12039</v>
      </c>
      <c r="C719" s="14" t="s">
        <v>5435</v>
      </c>
      <c r="D719" s="14" t="s">
        <v>5436</v>
      </c>
      <c r="E719" s="26" t="str">
        <f t="shared" si="6"/>
        <v>http://dx.doi.org/10.1109/VISUAL.1999.809932</v>
      </c>
      <c r="F719" s="14">
        <v>467.0</v>
      </c>
      <c r="G719" s="14">
        <v>563.0</v>
      </c>
      <c r="H719" s="14" t="s">
        <v>28</v>
      </c>
      <c r="I719" s="19" t="s">
        <v>12492</v>
      </c>
      <c r="J719" s="19" t="s">
        <v>5438</v>
      </c>
      <c r="K719" s="19" t="s">
        <v>12493</v>
      </c>
      <c r="L719" s="19" t="s">
        <v>3939</v>
      </c>
      <c r="M719" s="20" t="s">
        <v>3037</v>
      </c>
      <c r="N719" s="27"/>
      <c r="O719" s="22">
        <v>132.0</v>
      </c>
      <c r="P719" s="28">
        <v>43.0</v>
      </c>
      <c r="Q719" s="28">
        <v>14.0</v>
      </c>
      <c r="R719" s="84"/>
      <c r="S719" s="84"/>
      <c r="T719" s="84"/>
      <c r="U719" s="84"/>
      <c r="V719" s="84"/>
      <c r="W719" s="84"/>
      <c r="X719" s="84"/>
      <c r="Y719" s="84"/>
      <c r="Z719" s="84"/>
      <c r="AA719" s="84"/>
    </row>
    <row r="720" ht="15.75" customHeight="1">
      <c r="A720" s="14" t="s">
        <v>17</v>
      </c>
      <c r="B720" s="15" t="s">
        <v>12039</v>
      </c>
      <c r="C720" s="14" t="s">
        <v>5439</v>
      </c>
      <c r="D720" s="14" t="s">
        <v>5440</v>
      </c>
      <c r="E720" s="26" t="str">
        <f t="shared" si="6"/>
        <v>http://dx.doi.org/10.1109/VISUAL.1999.809934</v>
      </c>
      <c r="F720" s="14">
        <v>471.0</v>
      </c>
      <c r="G720" s="14">
        <v>564.0</v>
      </c>
      <c r="H720" s="14" t="s">
        <v>28</v>
      </c>
      <c r="I720" s="19" t="s">
        <v>12494</v>
      </c>
      <c r="J720" s="19" t="s">
        <v>5444</v>
      </c>
      <c r="K720" s="19" t="s">
        <v>12495</v>
      </c>
      <c r="L720" s="19" t="s">
        <v>12435</v>
      </c>
      <c r="M720" s="20" t="s">
        <v>5446</v>
      </c>
      <c r="N720" s="27"/>
      <c r="O720" s="22">
        <v>117.0</v>
      </c>
      <c r="P720" s="28">
        <v>14.0</v>
      </c>
      <c r="Q720" s="28">
        <v>14.0</v>
      </c>
      <c r="R720" s="84"/>
      <c r="S720" s="84"/>
      <c r="T720" s="84"/>
      <c r="U720" s="84"/>
      <c r="V720" s="84"/>
      <c r="W720" s="84"/>
      <c r="X720" s="84"/>
      <c r="Y720" s="84"/>
      <c r="Z720" s="84"/>
      <c r="AA720" s="84"/>
    </row>
    <row r="721" ht="15.75" customHeight="1">
      <c r="A721" s="14" t="s">
        <v>17</v>
      </c>
      <c r="B721" s="15" t="s">
        <v>12039</v>
      </c>
      <c r="C721" s="14" t="s">
        <v>5447</v>
      </c>
      <c r="D721" s="67" t="s">
        <v>5448</v>
      </c>
      <c r="E721" s="68" t="str">
        <f>HYPERLINK("http://doi.ieeecomputersociety.org/10.1109/VISUAL.1999.809936","http://doi.ieeecomputersociety.org/10.1109/VISUAL.1999.809936")</f>
        <v>http://doi.ieeecomputersociety.org/10.1109/VISUAL.1999.809936</v>
      </c>
      <c r="F721" s="50">
        <v>475.0</v>
      </c>
      <c r="G721" s="54">
        <v>478.0</v>
      </c>
      <c r="H721" s="14" t="s">
        <v>28</v>
      </c>
      <c r="I721" s="19" t="s">
        <v>12496</v>
      </c>
      <c r="J721" s="19" t="s">
        <v>5452</v>
      </c>
      <c r="K721" s="19" t="s">
        <v>12497</v>
      </c>
      <c r="L721" s="19" t="s">
        <v>2583</v>
      </c>
      <c r="M721" s="20" t="s">
        <v>5454</v>
      </c>
      <c r="N721" s="27"/>
      <c r="O721" s="22">
        <v>50.0</v>
      </c>
      <c r="P721" s="28">
        <v>1.0</v>
      </c>
      <c r="Q721" s="28">
        <v>0.0</v>
      </c>
      <c r="R721" s="16"/>
      <c r="S721" s="16"/>
      <c r="T721" s="16"/>
      <c r="U721" s="16"/>
      <c r="V721" s="16"/>
      <c r="W721" s="16"/>
      <c r="X721" s="16"/>
      <c r="Y721" s="16"/>
      <c r="Z721" s="16"/>
      <c r="AA721" s="16"/>
    </row>
    <row r="722" ht="15.75" customHeight="1">
      <c r="A722" s="14" t="s">
        <v>17</v>
      </c>
      <c r="B722" s="15" t="s">
        <v>12039</v>
      </c>
      <c r="C722" s="14" t="s">
        <v>5455</v>
      </c>
      <c r="D722" s="14" t="s">
        <v>5456</v>
      </c>
      <c r="E722" s="26" t="str">
        <f t="shared" ref="E722:E724" si="7">"http://dx.doi.org/" &amp; D722</f>
        <v>http://dx.doi.org/10.1109/VISUAL.1999.809938</v>
      </c>
      <c r="F722" s="14">
        <v>481.0</v>
      </c>
      <c r="G722" s="14">
        <v>483.0</v>
      </c>
      <c r="H722" s="14" t="s">
        <v>21</v>
      </c>
      <c r="I722" s="18"/>
      <c r="J722" s="19" t="s">
        <v>5458</v>
      </c>
      <c r="K722" s="19" t="s">
        <v>12498</v>
      </c>
      <c r="L722" s="19" t="s">
        <v>12499</v>
      </c>
      <c r="M722" s="20"/>
      <c r="N722" s="27"/>
      <c r="O722" s="43">
        <v>1.0</v>
      </c>
      <c r="P722" s="28">
        <v>1.0</v>
      </c>
      <c r="Q722" s="28">
        <v>0.0</v>
      </c>
      <c r="R722" s="84"/>
      <c r="S722" s="84"/>
      <c r="T722" s="84"/>
      <c r="U722" s="84"/>
      <c r="V722" s="84"/>
      <c r="W722" s="84"/>
      <c r="X722" s="84"/>
      <c r="Y722" s="84"/>
      <c r="Z722" s="84"/>
      <c r="AA722" s="84"/>
    </row>
    <row r="723" ht="15.75" customHeight="1">
      <c r="A723" s="14" t="s">
        <v>17</v>
      </c>
      <c r="B723" s="15" t="s">
        <v>12039</v>
      </c>
      <c r="C723" s="14" t="s">
        <v>5460</v>
      </c>
      <c r="D723" s="14" t="s">
        <v>5461</v>
      </c>
      <c r="E723" s="26" t="str">
        <f t="shared" si="7"/>
        <v>http://dx.doi.org/10.1109/VISUAL.1999.809939</v>
      </c>
      <c r="F723" s="14">
        <v>485.0</v>
      </c>
      <c r="G723" s="14">
        <v>490.0</v>
      </c>
      <c r="H723" s="14" t="s">
        <v>21</v>
      </c>
      <c r="I723" s="18"/>
      <c r="J723" s="19" t="s">
        <v>5465</v>
      </c>
      <c r="K723" s="19" t="s">
        <v>12500</v>
      </c>
      <c r="L723" s="19" t="s">
        <v>12501</v>
      </c>
      <c r="M723" s="20"/>
      <c r="N723" s="27"/>
      <c r="O723" s="31"/>
      <c r="P723" s="28">
        <v>0.0</v>
      </c>
      <c r="Q723" s="28">
        <v>0.0</v>
      </c>
      <c r="R723" s="84"/>
      <c r="S723" s="84"/>
      <c r="T723" s="84"/>
      <c r="U723" s="84"/>
      <c r="V723" s="84"/>
      <c r="W723" s="84"/>
      <c r="X723" s="84"/>
      <c r="Y723" s="84"/>
      <c r="Z723" s="84"/>
      <c r="AA723" s="84"/>
    </row>
    <row r="724" ht="15.75" customHeight="1">
      <c r="A724" s="14" t="s">
        <v>17</v>
      </c>
      <c r="B724" s="15" t="s">
        <v>12039</v>
      </c>
      <c r="C724" s="14" t="s">
        <v>5467</v>
      </c>
      <c r="D724" s="14" t="s">
        <v>5468</v>
      </c>
      <c r="E724" s="26" t="str">
        <f t="shared" si="7"/>
        <v>http://dx.doi.org/10.1109/VISUAL.1999.809940</v>
      </c>
      <c r="F724" s="14">
        <v>491.0</v>
      </c>
      <c r="G724" s="14">
        <v>495.0</v>
      </c>
      <c r="H724" s="14" t="s">
        <v>21</v>
      </c>
      <c r="I724" s="18"/>
      <c r="J724" s="19" t="s">
        <v>5470</v>
      </c>
      <c r="K724" s="19" t="s">
        <v>12504</v>
      </c>
      <c r="L724" s="19" t="s">
        <v>6612</v>
      </c>
      <c r="M724" s="20"/>
      <c r="N724" s="27"/>
      <c r="O724" s="22">
        <v>50.0</v>
      </c>
      <c r="P724" s="28">
        <v>0.0</v>
      </c>
      <c r="Q724" s="28">
        <v>0.0</v>
      </c>
      <c r="R724" s="84"/>
      <c r="S724" s="84"/>
      <c r="T724" s="84"/>
      <c r="U724" s="84"/>
      <c r="V724" s="84"/>
      <c r="W724" s="84"/>
      <c r="X724" s="84"/>
      <c r="Y724" s="84"/>
      <c r="Z724" s="84"/>
      <c r="AA724" s="84"/>
    </row>
    <row r="725" ht="15.75" customHeight="1">
      <c r="A725" s="14" t="s">
        <v>2137</v>
      </c>
      <c r="B725" s="15" t="s">
        <v>12507</v>
      </c>
      <c r="C725" s="14" t="s">
        <v>5472</v>
      </c>
      <c r="D725" s="14" t="s">
        <v>5473</v>
      </c>
      <c r="E725" s="17" t="s">
        <v>5475</v>
      </c>
      <c r="F725" s="14">
        <v>173.0</v>
      </c>
      <c r="G725" s="14"/>
      <c r="H725" s="14" t="s">
        <v>28</v>
      </c>
      <c r="I725" s="18"/>
      <c r="J725" s="19" t="s">
        <v>5477</v>
      </c>
      <c r="K725" s="18"/>
      <c r="L725" s="18"/>
      <c r="M725" s="20" t="s">
        <v>5479</v>
      </c>
      <c r="N725" s="27"/>
      <c r="O725" s="22">
        <v>15.0</v>
      </c>
      <c r="P725" s="23"/>
      <c r="Q725" s="23"/>
      <c r="R725" s="84"/>
      <c r="S725" s="84"/>
      <c r="T725" s="84"/>
      <c r="U725" s="84"/>
      <c r="V725" s="84"/>
      <c r="W725" s="84"/>
      <c r="X725" s="84"/>
      <c r="Y725" s="84"/>
      <c r="Z725" s="84"/>
      <c r="AA725" s="84"/>
    </row>
    <row r="726" ht="15.75" customHeight="1">
      <c r="A726" s="14" t="s">
        <v>2137</v>
      </c>
      <c r="B726" s="15" t="s">
        <v>12507</v>
      </c>
      <c r="C726" s="14" t="s">
        <v>5480</v>
      </c>
      <c r="D726" s="14" t="s">
        <v>5481</v>
      </c>
      <c r="E726" s="26" t="str">
        <f t="shared" ref="E726:E748" si="8">"http://dx.doi.org/" &amp; D726</f>
        <v>http://dx.doi.org/10.1109/INFVIS.2000.885086</v>
      </c>
      <c r="F726" s="14">
        <v>5.0</v>
      </c>
      <c r="G726" s="14">
        <v>14.0</v>
      </c>
      <c r="H726" s="14" t="s">
        <v>28</v>
      </c>
      <c r="I726" s="19" t="s">
        <v>12517</v>
      </c>
      <c r="J726" s="19" t="s">
        <v>5485</v>
      </c>
      <c r="K726" s="19" t="s">
        <v>12518</v>
      </c>
      <c r="L726" s="19" t="s">
        <v>12051</v>
      </c>
      <c r="M726" s="20" t="s">
        <v>2728</v>
      </c>
      <c r="N726" s="27"/>
      <c r="O726" s="22">
        <v>586.0</v>
      </c>
      <c r="P726" s="28">
        <v>12.0</v>
      </c>
      <c r="Q726" s="28">
        <v>29.0</v>
      </c>
      <c r="R726" s="84"/>
      <c r="S726" s="84"/>
      <c r="T726" s="84"/>
      <c r="U726" s="84"/>
      <c r="V726" s="84"/>
      <c r="W726" s="84"/>
      <c r="X726" s="84"/>
      <c r="Y726" s="84"/>
      <c r="Z726" s="84"/>
      <c r="AA726" s="84"/>
    </row>
    <row r="727" ht="15.75" customHeight="1">
      <c r="A727" s="14" t="s">
        <v>2137</v>
      </c>
      <c r="B727" s="15" t="s">
        <v>12507</v>
      </c>
      <c r="C727" s="14" t="s">
        <v>5486</v>
      </c>
      <c r="D727" s="14" t="s">
        <v>5487</v>
      </c>
      <c r="E727" s="26" t="str">
        <f t="shared" si="8"/>
        <v>http://dx.doi.org/10.1109/INFVIS.2000.885087</v>
      </c>
      <c r="F727" s="14">
        <v>15.0</v>
      </c>
      <c r="G727" s="14">
        <v>25.0</v>
      </c>
      <c r="H727" s="14" t="s">
        <v>28</v>
      </c>
      <c r="I727" s="19" t="s">
        <v>12526</v>
      </c>
      <c r="J727" s="19" t="s">
        <v>5489</v>
      </c>
      <c r="K727" s="19" t="s">
        <v>12527</v>
      </c>
      <c r="L727" s="19" t="s">
        <v>4318</v>
      </c>
      <c r="M727" s="20" t="s">
        <v>2198</v>
      </c>
      <c r="N727" s="44" t="s">
        <v>5491</v>
      </c>
      <c r="O727" s="22">
        <v>50.0</v>
      </c>
      <c r="P727" s="28">
        <v>5.0</v>
      </c>
      <c r="Q727" s="28">
        <v>16.0</v>
      </c>
      <c r="R727" s="84"/>
      <c r="S727" s="84"/>
      <c r="T727" s="84"/>
      <c r="U727" s="84"/>
      <c r="V727" s="84"/>
      <c r="W727" s="84"/>
      <c r="X727" s="84"/>
      <c r="Y727" s="84"/>
      <c r="Z727" s="84"/>
      <c r="AA727" s="84"/>
    </row>
    <row r="728" ht="15.75" customHeight="1">
      <c r="A728" s="14" t="s">
        <v>2137</v>
      </c>
      <c r="B728" s="15" t="s">
        <v>12507</v>
      </c>
      <c r="C728" s="14" t="s">
        <v>5493</v>
      </c>
      <c r="D728" s="14" t="s">
        <v>5494</v>
      </c>
      <c r="E728" s="26" t="str">
        <f t="shared" si="8"/>
        <v>http://dx.doi.org/10.1109/INFVIS.2000.885088</v>
      </c>
      <c r="F728" s="14">
        <v>27.0</v>
      </c>
      <c r="G728" s="14">
        <v>36.0</v>
      </c>
      <c r="H728" s="14" t="s">
        <v>28</v>
      </c>
      <c r="I728" s="19" t="s">
        <v>12528</v>
      </c>
      <c r="J728" s="19" t="s">
        <v>12529</v>
      </c>
      <c r="K728" s="19" t="s">
        <v>12530</v>
      </c>
      <c r="L728" s="19" t="s">
        <v>12531</v>
      </c>
      <c r="M728" s="20" t="s">
        <v>5498</v>
      </c>
      <c r="N728" s="27"/>
      <c r="O728" s="22">
        <v>96.0</v>
      </c>
      <c r="P728" s="28">
        <v>17.0</v>
      </c>
      <c r="Q728" s="28">
        <v>25.0</v>
      </c>
      <c r="R728" s="84"/>
      <c r="S728" s="84"/>
      <c r="T728" s="84"/>
      <c r="U728" s="84"/>
      <c r="V728" s="84"/>
      <c r="W728" s="84"/>
      <c r="X728" s="84"/>
      <c r="Y728" s="84"/>
      <c r="Z728" s="84"/>
      <c r="AA728" s="84"/>
    </row>
    <row r="729" ht="15.75" customHeight="1">
      <c r="A729" s="14" t="s">
        <v>2137</v>
      </c>
      <c r="B729" s="15" t="s">
        <v>12507</v>
      </c>
      <c r="C729" s="14" t="s">
        <v>5499</v>
      </c>
      <c r="D729" s="14" t="s">
        <v>5500</v>
      </c>
      <c r="E729" s="26" t="str">
        <f t="shared" si="8"/>
        <v>http://dx.doi.org/10.1109/INFVIS.2000.885089</v>
      </c>
      <c r="F729" s="14">
        <v>39.0</v>
      </c>
      <c r="G729" s="14">
        <v>47.0</v>
      </c>
      <c r="H729" s="14" t="s">
        <v>28</v>
      </c>
      <c r="I729" s="19" t="s">
        <v>12535</v>
      </c>
      <c r="J729" s="19" t="s">
        <v>5505</v>
      </c>
      <c r="K729" s="19" t="s">
        <v>12536</v>
      </c>
      <c r="L729" s="18"/>
      <c r="M729" s="20" t="s">
        <v>5506</v>
      </c>
      <c r="N729" s="88" t="s">
        <v>5507</v>
      </c>
      <c r="O729" s="22">
        <v>50.0</v>
      </c>
      <c r="P729" s="28">
        <v>6.0</v>
      </c>
      <c r="Q729" s="28">
        <v>17.0</v>
      </c>
      <c r="R729" s="84"/>
      <c r="S729" s="84"/>
      <c r="T729" s="84"/>
      <c r="U729" s="84"/>
      <c r="V729" s="84"/>
      <c r="W729" s="84"/>
      <c r="X729" s="84"/>
      <c r="Y729" s="84"/>
      <c r="Z729" s="84"/>
      <c r="AA729" s="84"/>
    </row>
    <row r="730" ht="15.75" customHeight="1">
      <c r="A730" s="14" t="s">
        <v>2137</v>
      </c>
      <c r="B730" s="15" t="s">
        <v>12507</v>
      </c>
      <c r="C730" s="14" t="s">
        <v>5508</v>
      </c>
      <c r="D730" s="14" t="s">
        <v>5509</v>
      </c>
      <c r="E730" s="26" t="str">
        <f t="shared" si="8"/>
        <v>http://dx.doi.org/10.1109/INFVIS.2000.885090</v>
      </c>
      <c r="F730" s="14">
        <v>49.0</v>
      </c>
      <c r="G730" s="14">
        <v>56.0</v>
      </c>
      <c r="H730" s="14" t="s">
        <v>28</v>
      </c>
      <c r="I730" s="19" t="s">
        <v>12540</v>
      </c>
      <c r="J730" s="19" t="s">
        <v>12541</v>
      </c>
      <c r="K730" s="19" t="s">
        <v>12542</v>
      </c>
      <c r="L730" s="19" t="s">
        <v>12544</v>
      </c>
      <c r="M730" s="20" t="s">
        <v>5516</v>
      </c>
      <c r="N730" s="44" t="s">
        <v>5517</v>
      </c>
      <c r="O730" s="22">
        <v>41.0</v>
      </c>
      <c r="P730" s="28">
        <v>9.0</v>
      </c>
      <c r="Q730" s="28">
        <v>18.0</v>
      </c>
      <c r="R730" s="84"/>
      <c r="S730" s="84"/>
      <c r="T730" s="84"/>
      <c r="U730" s="84"/>
      <c r="V730" s="84"/>
      <c r="W730" s="84"/>
      <c r="X730" s="84"/>
      <c r="Y730" s="84"/>
      <c r="Z730" s="84"/>
      <c r="AA730" s="84"/>
    </row>
    <row r="731" ht="15.75" customHeight="1">
      <c r="A731" s="14" t="s">
        <v>2137</v>
      </c>
      <c r="B731" s="15" t="s">
        <v>12507</v>
      </c>
      <c r="C731" s="14" t="s">
        <v>5518</v>
      </c>
      <c r="D731" s="14" t="s">
        <v>5519</v>
      </c>
      <c r="E731" s="26" t="str">
        <f t="shared" si="8"/>
        <v>http://dx.doi.org/10.1109/INFVIS.2000.885091</v>
      </c>
      <c r="F731" s="14">
        <v>57.0</v>
      </c>
      <c r="G731" s="14">
        <v>65.0</v>
      </c>
      <c r="H731" s="14" t="s">
        <v>28</v>
      </c>
      <c r="I731" s="19" t="s">
        <v>12550</v>
      </c>
      <c r="J731" s="19" t="s">
        <v>5521</v>
      </c>
      <c r="K731" s="19" t="s">
        <v>12551</v>
      </c>
      <c r="L731" s="19" t="s">
        <v>12469</v>
      </c>
      <c r="M731" s="20" t="s">
        <v>5523</v>
      </c>
      <c r="N731" s="27"/>
      <c r="O731" s="22">
        <v>459.0</v>
      </c>
      <c r="P731" s="28">
        <v>121.0</v>
      </c>
      <c r="Q731" s="28">
        <v>15.0</v>
      </c>
      <c r="R731" s="84"/>
      <c r="S731" s="84"/>
      <c r="T731" s="84"/>
      <c r="U731" s="84"/>
      <c r="V731" s="84"/>
      <c r="W731" s="84"/>
      <c r="X731" s="84"/>
      <c r="Y731" s="84"/>
      <c r="Z731" s="84"/>
      <c r="AA731" s="84"/>
    </row>
    <row r="732" ht="15.75" customHeight="1">
      <c r="A732" s="14" t="s">
        <v>2137</v>
      </c>
      <c r="B732" s="15" t="s">
        <v>12507</v>
      </c>
      <c r="C732" s="14" t="s">
        <v>5524</v>
      </c>
      <c r="D732" s="14" t="s">
        <v>5525</v>
      </c>
      <c r="E732" s="26" t="str">
        <f t="shared" si="8"/>
        <v>http://dx.doi.org/10.1109/INFVIS.2000.885092</v>
      </c>
      <c r="F732" s="14">
        <v>69.0</v>
      </c>
      <c r="G732" s="14">
        <v>75.0</v>
      </c>
      <c r="H732" s="14" t="s">
        <v>28</v>
      </c>
      <c r="I732" s="19" t="s">
        <v>12557</v>
      </c>
      <c r="J732" s="19" t="s">
        <v>5531</v>
      </c>
      <c r="K732" s="19" t="s">
        <v>12558</v>
      </c>
      <c r="L732" s="19" t="s">
        <v>5147</v>
      </c>
      <c r="M732" s="20" t="s">
        <v>5533</v>
      </c>
      <c r="N732" s="44" t="s">
        <v>5534</v>
      </c>
      <c r="O732" s="31"/>
      <c r="P732" s="28">
        <v>143.0</v>
      </c>
      <c r="Q732" s="28">
        <v>8.0</v>
      </c>
      <c r="R732" s="84"/>
      <c r="S732" s="84"/>
      <c r="T732" s="84"/>
      <c r="U732" s="84"/>
      <c r="V732" s="84"/>
      <c r="W732" s="84"/>
      <c r="X732" s="84"/>
      <c r="Y732" s="84"/>
      <c r="Z732" s="84"/>
      <c r="AA732" s="84"/>
    </row>
    <row r="733" ht="15.75" customHeight="1">
      <c r="A733" s="14" t="s">
        <v>2137</v>
      </c>
      <c r="B733" s="15" t="s">
        <v>12507</v>
      </c>
      <c r="C733" s="14" t="s">
        <v>5535</v>
      </c>
      <c r="D733" s="14" t="s">
        <v>5536</v>
      </c>
      <c r="E733" s="26" t="str">
        <f t="shared" si="8"/>
        <v>http://dx.doi.org/10.1109/INFVIS.2000.885093</v>
      </c>
      <c r="F733" s="14">
        <v>77.0</v>
      </c>
      <c r="G733" s="14">
        <v>83.0</v>
      </c>
      <c r="H733" s="14" t="s">
        <v>28</v>
      </c>
      <c r="I733" s="19" t="s">
        <v>12559</v>
      </c>
      <c r="J733" s="19" t="s">
        <v>5540</v>
      </c>
      <c r="K733" s="19" t="s">
        <v>12560</v>
      </c>
      <c r="L733" s="19" t="s">
        <v>3939</v>
      </c>
      <c r="M733" s="20" t="s">
        <v>5541</v>
      </c>
      <c r="N733" s="27"/>
      <c r="O733" s="22">
        <v>50.0</v>
      </c>
      <c r="P733" s="28">
        <v>6.0</v>
      </c>
      <c r="Q733" s="28">
        <v>20.0</v>
      </c>
      <c r="R733" s="84"/>
      <c r="S733" s="84"/>
      <c r="T733" s="84"/>
      <c r="U733" s="84"/>
      <c r="V733" s="84"/>
      <c r="W733" s="84"/>
      <c r="X733" s="84"/>
      <c r="Y733" s="84"/>
      <c r="Z733" s="84"/>
      <c r="AA733" s="84"/>
    </row>
    <row r="734" ht="15.75" customHeight="1">
      <c r="A734" s="14" t="s">
        <v>2137</v>
      </c>
      <c r="B734" s="15" t="s">
        <v>12507</v>
      </c>
      <c r="C734" s="14" t="s">
        <v>5542</v>
      </c>
      <c r="D734" s="14" t="s">
        <v>5543</v>
      </c>
      <c r="E734" s="26" t="str">
        <f t="shared" si="8"/>
        <v>http://dx.doi.org/10.1109/INFVIS.2000.885094</v>
      </c>
      <c r="F734" s="14">
        <v>85.0</v>
      </c>
      <c r="G734" s="14">
        <v>89.0</v>
      </c>
      <c r="H734" s="14" t="s">
        <v>28</v>
      </c>
      <c r="I734" s="19" t="s">
        <v>12561</v>
      </c>
      <c r="J734" s="19" t="s">
        <v>12562</v>
      </c>
      <c r="K734" s="19" t="s">
        <v>12563</v>
      </c>
      <c r="L734" s="19" t="s">
        <v>12564</v>
      </c>
      <c r="M734" s="20" t="s">
        <v>5549</v>
      </c>
      <c r="N734" s="27"/>
      <c r="O734" s="31"/>
      <c r="P734" s="28">
        <v>4.0</v>
      </c>
      <c r="Q734" s="28">
        <v>28.0</v>
      </c>
      <c r="R734" s="84"/>
      <c r="S734" s="84"/>
      <c r="T734" s="84"/>
      <c r="U734" s="84"/>
      <c r="V734" s="84"/>
      <c r="W734" s="84"/>
      <c r="X734" s="84"/>
      <c r="Y734" s="84"/>
      <c r="Z734" s="84"/>
      <c r="AA734" s="84"/>
    </row>
    <row r="735" ht="15.75" customHeight="1">
      <c r="A735" s="14" t="s">
        <v>2137</v>
      </c>
      <c r="B735" s="15" t="s">
        <v>12507</v>
      </c>
      <c r="C735" s="14" t="s">
        <v>5550</v>
      </c>
      <c r="D735" s="14" t="s">
        <v>5551</v>
      </c>
      <c r="E735" s="26" t="str">
        <f t="shared" si="8"/>
        <v>http://dx.doi.org/10.1109/INFVIS.2000.885095</v>
      </c>
      <c r="F735" s="14">
        <v>91.0</v>
      </c>
      <c r="G735" s="14">
        <v>97.0</v>
      </c>
      <c r="H735" s="14" t="s">
        <v>28</v>
      </c>
      <c r="I735" s="19" t="s">
        <v>12567</v>
      </c>
      <c r="J735" s="19" t="s">
        <v>12569</v>
      </c>
      <c r="K735" s="19" t="s">
        <v>12570</v>
      </c>
      <c r="L735" s="19" t="s">
        <v>12572</v>
      </c>
      <c r="M735" s="20" t="s">
        <v>5558</v>
      </c>
      <c r="N735" s="27"/>
      <c r="O735" s="22">
        <v>115.0</v>
      </c>
      <c r="P735" s="28">
        <v>18.0</v>
      </c>
      <c r="Q735" s="28">
        <v>62.0</v>
      </c>
      <c r="R735" s="84"/>
      <c r="S735" s="84"/>
      <c r="T735" s="84"/>
      <c r="U735" s="84"/>
      <c r="V735" s="84"/>
      <c r="W735" s="84"/>
      <c r="X735" s="84"/>
      <c r="Y735" s="84"/>
      <c r="Z735" s="84"/>
      <c r="AA735" s="84"/>
    </row>
    <row r="736" ht="15.75" customHeight="1">
      <c r="A736" s="14" t="s">
        <v>2137</v>
      </c>
      <c r="B736" s="15" t="s">
        <v>12507</v>
      </c>
      <c r="C736" s="14" t="s">
        <v>5559</v>
      </c>
      <c r="D736" s="14" t="s">
        <v>5560</v>
      </c>
      <c r="E736" s="26" t="str">
        <f t="shared" si="8"/>
        <v>http://dx.doi.org/10.1109/INFVIS.2000.885096</v>
      </c>
      <c r="F736" s="14">
        <v>99.0</v>
      </c>
      <c r="G736" s="14">
        <v>103.0</v>
      </c>
      <c r="H736" s="14" t="s">
        <v>28</v>
      </c>
      <c r="I736" s="19" t="s">
        <v>12573</v>
      </c>
      <c r="J736" s="19" t="s">
        <v>12574</v>
      </c>
      <c r="K736" s="19" t="s">
        <v>12575</v>
      </c>
      <c r="L736" s="19" t="s">
        <v>12576</v>
      </c>
      <c r="M736" s="20" t="s">
        <v>5567</v>
      </c>
      <c r="N736" s="27"/>
      <c r="O736" s="22">
        <v>16.0</v>
      </c>
      <c r="P736" s="28">
        <v>5.0</v>
      </c>
      <c r="Q736" s="28">
        <v>13.0</v>
      </c>
      <c r="R736" s="84"/>
      <c r="S736" s="84"/>
      <c r="T736" s="84"/>
      <c r="U736" s="84"/>
      <c r="V736" s="84"/>
      <c r="W736" s="84"/>
      <c r="X736" s="84"/>
      <c r="Y736" s="84"/>
      <c r="Z736" s="84"/>
      <c r="AA736" s="84"/>
    </row>
    <row r="737" ht="15.75" customHeight="1">
      <c r="A737" s="14" t="s">
        <v>2137</v>
      </c>
      <c r="B737" s="15" t="s">
        <v>12507</v>
      </c>
      <c r="C737" s="14" t="s">
        <v>5568</v>
      </c>
      <c r="D737" s="14" t="s">
        <v>5569</v>
      </c>
      <c r="E737" s="26" t="str">
        <f t="shared" si="8"/>
        <v>http://dx.doi.org/10.1109/INFVIS.2000.885097</v>
      </c>
      <c r="F737" s="14">
        <v>105.0</v>
      </c>
      <c r="G737" s="14">
        <v>111.0</v>
      </c>
      <c r="H737" s="14" t="s">
        <v>28</v>
      </c>
      <c r="I737" s="19" t="s">
        <v>12577</v>
      </c>
      <c r="J737" s="19" t="s">
        <v>5574</v>
      </c>
      <c r="K737" s="19" t="s">
        <v>12578</v>
      </c>
      <c r="L737" s="19" t="s">
        <v>7328</v>
      </c>
      <c r="M737" s="20" t="s">
        <v>5576</v>
      </c>
      <c r="N737" s="27"/>
      <c r="O737" s="22">
        <v>84.0</v>
      </c>
      <c r="P737" s="28">
        <v>11.0</v>
      </c>
      <c r="Q737" s="28">
        <v>14.0</v>
      </c>
      <c r="R737" s="84"/>
      <c r="S737" s="84"/>
      <c r="T737" s="84"/>
      <c r="U737" s="84"/>
      <c r="V737" s="84"/>
      <c r="W737" s="84"/>
      <c r="X737" s="84"/>
      <c r="Y737" s="84"/>
      <c r="Z737" s="84"/>
      <c r="AA737" s="84"/>
    </row>
    <row r="738" ht="15.75" customHeight="1">
      <c r="A738" s="14" t="s">
        <v>2137</v>
      </c>
      <c r="B738" s="15" t="s">
        <v>12507</v>
      </c>
      <c r="C738" s="14" t="s">
        <v>5577</v>
      </c>
      <c r="D738" s="14" t="s">
        <v>5578</v>
      </c>
      <c r="E738" s="26" t="str">
        <f t="shared" si="8"/>
        <v>http://dx.doi.org/10.1109/INFVIS.2000.885098</v>
      </c>
      <c r="F738" s="14">
        <v>115.0</v>
      </c>
      <c r="G738" s="14">
        <v>123.0</v>
      </c>
      <c r="H738" s="14" t="s">
        <v>28</v>
      </c>
      <c r="I738" s="19" t="s">
        <v>12582</v>
      </c>
      <c r="J738" s="19" t="s">
        <v>5580</v>
      </c>
      <c r="K738" s="19" t="s">
        <v>12584</v>
      </c>
      <c r="L738" s="19" t="s">
        <v>12585</v>
      </c>
      <c r="M738" s="20" t="s">
        <v>5582</v>
      </c>
      <c r="N738" s="27"/>
      <c r="O738" s="22">
        <v>172.0</v>
      </c>
      <c r="P738" s="28">
        <v>135.0</v>
      </c>
      <c r="Q738" s="28">
        <v>18.0</v>
      </c>
      <c r="R738" s="84"/>
      <c r="S738" s="84"/>
      <c r="T738" s="84"/>
      <c r="U738" s="84"/>
      <c r="V738" s="84"/>
      <c r="W738" s="84"/>
      <c r="X738" s="84"/>
      <c r="Y738" s="84"/>
      <c r="Z738" s="84"/>
      <c r="AA738" s="84"/>
    </row>
    <row r="739" ht="15.75" customHeight="1">
      <c r="A739" s="14" t="s">
        <v>2137</v>
      </c>
      <c r="B739" s="15" t="s">
        <v>12507</v>
      </c>
      <c r="C739" s="14" t="s">
        <v>5583</v>
      </c>
      <c r="D739" s="14" t="s">
        <v>5584</v>
      </c>
      <c r="E739" s="26" t="str">
        <f t="shared" si="8"/>
        <v>http://dx.doi.org/10.1109/INFVIS.2000.885099</v>
      </c>
      <c r="F739" s="14">
        <v>125.0</v>
      </c>
      <c r="G739" s="14">
        <v>129.0</v>
      </c>
      <c r="H739" s="14" t="s">
        <v>28</v>
      </c>
      <c r="I739" s="19" t="s">
        <v>12587</v>
      </c>
      <c r="J739" s="19" t="s">
        <v>5588</v>
      </c>
      <c r="K739" s="19" t="s">
        <v>12589</v>
      </c>
      <c r="L739" s="19" t="s">
        <v>12590</v>
      </c>
      <c r="M739" s="20"/>
      <c r="N739" s="27"/>
      <c r="O739" s="22">
        <v>98.0</v>
      </c>
      <c r="P739" s="28">
        <v>14.0</v>
      </c>
      <c r="Q739" s="28">
        <v>10.0</v>
      </c>
      <c r="R739" s="84"/>
      <c r="S739" s="84"/>
      <c r="T739" s="84"/>
      <c r="U739" s="84"/>
      <c r="V739" s="84"/>
      <c r="W739" s="84"/>
      <c r="X739" s="84"/>
      <c r="Y739" s="84"/>
      <c r="Z739" s="84"/>
      <c r="AA739" s="84"/>
    </row>
    <row r="740" ht="15.75" customHeight="1">
      <c r="A740" s="14" t="s">
        <v>2137</v>
      </c>
      <c r="B740" s="15" t="s">
        <v>12507</v>
      </c>
      <c r="C740" s="14" t="s">
        <v>5590</v>
      </c>
      <c r="D740" s="14" t="s">
        <v>5591</v>
      </c>
      <c r="E740" s="26" t="str">
        <f t="shared" si="8"/>
        <v>http://dx.doi.org/10.1109/INFVIS.2000.885101</v>
      </c>
      <c r="F740" s="14">
        <v>131.0</v>
      </c>
      <c r="G740" s="14" t="s">
        <v>5593</v>
      </c>
      <c r="H740" s="14" t="s">
        <v>28</v>
      </c>
      <c r="I740" s="19" t="s">
        <v>12591</v>
      </c>
      <c r="J740" s="19" t="s">
        <v>5594</v>
      </c>
      <c r="K740" s="19" t="s">
        <v>12592</v>
      </c>
      <c r="L740" s="19" t="s">
        <v>12593</v>
      </c>
      <c r="M740" s="20"/>
      <c r="N740" s="27"/>
      <c r="O740" s="22">
        <v>30.0</v>
      </c>
      <c r="P740" s="28">
        <v>25.0</v>
      </c>
      <c r="Q740" s="28">
        <v>18.0</v>
      </c>
      <c r="R740" s="84"/>
      <c r="S740" s="84"/>
      <c r="T740" s="84"/>
      <c r="U740" s="84"/>
      <c r="V740" s="84"/>
      <c r="W740" s="84"/>
      <c r="X740" s="84"/>
      <c r="Y740" s="84"/>
      <c r="Z740" s="84"/>
      <c r="AA740" s="84"/>
    </row>
    <row r="741" ht="15.75" customHeight="1">
      <c r="A741" s="14" t="s">
        <v>2137</v>
      </c>
      <c r="B741" s="15" t="s">
        <v>12507</v>
      </c>
      <c r="C741" s="14" t="s">
        <v>5596</v>
      </c>
      <c r="D741" s="14" t="s">
        <v>5597</v>
      </c>
      <c r="E741" s="26" t="str">
        <f t="shared" si="8"/>
        <v>http://dx.doi.org/10.1109/INFVIS.2000.885102</v>
      </c>
      <c r="F741" s="14">
        <v>137.0</v>
      </c>
      <c r="G741" s="14">
        <v>141.0</v>
      </c>
      <c r="H741" s="14" t="s">
        <v>28</v>
      </c>
      <c r="I741" s="19" t="s">
        <v>12594</v>
      </c>
      <c r="J741" s="19" t="s">
        <v>5602</v>
      </c>
      <c r="K741" s="19" t="s">
        <v>12595</v>
      </c>
      <c r="L741" s="19" t="s">
        <v>12597</v>
      </c>
      <c r="M741" s="20"/>
      <c r="N741" s="27"/>
      <c r="O741" s="22">
        <v>105.0</v>
      </c>
      <c r="P741" s="28">
        <v>22.0</v>
      </c>
      <c r="Q741" s="28">
        <v>20.0</v>
      </c>
      <c r="R741" s="84"/>
      <c r="S741" s="84"/>
      <c r="T741" s="84"/>
      <c r="U741" s="84"/>
      <c r="V741" s="84"/>
      <c r="W741" s="84"/>
      <c r="X741" s="84"/>
      <c r="Y741" s="84"/>
      <c r="Z741" s="84"/>
      <c r="AA741" s="84"/>
    </row>
    <row r="742" ht="15.75" customHeight="1">
      <c r="A742" s="14" t="s">
        <v>2137</v>
      </c>
      <c r="B742" s="15" t="s">
        <v>12507</v>
      </c>
      <c r="C742" s="14" t="s">
        <v>5604</v>
      </c>
      <c r="D742" s="14" t="s">
        <v>5605</v>
      </c>
      <c r="E742" s="26" t="str">
        <f t="shared" si="8"/>
        <v>http://dx.doi.org/10.1109/INFVIS.2000.885103</v>
      </c>
      <c r="F742" s="14">
        <v>145.0</v>
      </c>
      <c r="G742" s="14">
        <v>153.0</v>
      </c>
      <c r="H742" s="14" t="s">
        <v>28</v>
      </c>
      <c r="I742" s="19" t="s">
        <v>12604</v>
      </c>
      <c r="J742" s="19" t="s">
        <v>5608</v>
      </c>
      <c r="K742" s="19" t="s">
        <v>12605</v>
      </c>
      <c r="L742" s="19" t="s">
        <v>12606</v>
      </c>
      <c r="M742" s="20" t="s">
        <v>3903</v>
      </c>
      <c r="N742" s="27"/>
      <c r="O742" s="22">
        <v>50.0</v>
      </c>
      <c r="P742" s="28">
        <v>2.0</v>
      </c>
      <c r="Q742" s="28">
        <v>24.0</v>
      </c>
      <c r="R742" s="84"/>
      <c r="S742" s="84"/>
      <c r="T742" s="84"/>
      <c r="U742" s="84"/>
      <c r="V742" s="84"/>
      <c r="W742" s="84"/>
      <c r="X742" s="84"/>
      <c r="Y742" s="84"/>
      <c r="Z742" s="84"/>
      <c r="AA742" s="84"/>
    </row>
    <row r="743" ht="15.75" customHeight="1">
      <c r="A743" s="14" t="s">
        <v>2137</v>
      </c>
      <c r="B743" s="15" t="s">
        <v>12507</v>
      </c>
      <c r="C743" s="14" t="s">
        <v>5611</v>
      </c>
      <c r="D743" s="14" t="s">
        <v>5612</v>
      </c>
      <c r="E743" s="26" t="str">
        <f t="shared" si="8"/>
        <v>http://dx.doi.org/10.1109/INFVIS.2000.885104</v>
      </c>
      <c r="F743" s="14">
        <v>155.0</v>
      </c>
      <c r="G743" s="14">
        <v>165.0</v>
      </c>
      <c r="H743" s="14" t="s">
        <v>28</v>
      </c>
      <c r="I743" s="19" t="s">
        <v>12607</v>
      </c>
      <c r="J743" s="19" t="s">
        <v>5614</v>
      </c>
      <c r="K743" s="19" t="s">
        <v>12608</v>
      </c>
      <c r="L743" s="19" t="s">
        <v>12609</v>
      </c>
      <c r="M743" s="20" t="s">
        <v>3579</v>
      </c>
      <c r="N743" s="27"/>
      <c r="O743" s="22">
        <v>50.0</v>
      </c>
      <c r="P743" s="28">
        <v>6.0</v>
      </c>
      <c r="Q743" s="28">
        <v>14.0</v>
      </c>
      <c r="R743" s="84"/>
      <c r="S743" s="84"/>
      <c r="T743" s="84"/>
      <c r="U743" s="84"/>
      <c r="V743" s="84"/>
      <c r="W743" s="84"/>
      <c r="X743" s="84"/>
      <c r="Y743" s="84"/>
      <c r="Z743" s="84"/>
      <c r="AA743" s="84"/>
    </row>
    <row r="744" ht="15.75" customHeight="1">
      <c r="A744" s="14" t="s">
        <v>2137</v>
      </c>
      <c r="B744" s="15" t="s">
        <v>12507</v>
      </c>
      <c r="C744" s="14" t="s">
        <v>5616</v>
      </c>
      <c r="D744" s="14" t="s">
        <v>5617</v>
      </c>
      <c r="E744" s="26" t="str">
        <f t="shared" si="8"/>
        <v>http://dx.doi.org/10.1109/INFVIS.2000.885105</v>
      </c>
      <c r="F744" s="14">
        <v>167.0</v>
      </c>
      <c r="G744" s="14">
        <v>171.0</v>
      </c>
      <c r="H744" s="14" t="s">
        <v>28</v>
      </c>
      <c r="I744" s="19" t="s">
        <v>12616</v>
      </c>
      <c r="J744" s="19" t="s">
        <v>12617</v>
      </c>
      <c r="K744" s="19" t="s">
        <v>12618</v>
      </c>
      <c r="L744" s="19" t="s">
        <v>12619</v>
      </c>
      <c r="M744" s="20"/>
      <c r="N744" s="88" t="s">
        <v>5624</v>
      </c>
      <c r="O744" s="22">
        <v>50.0</v>
      </c>
      <c r="P744" s="28">
        <v>1.0</v>
      </c>
      <c r="Q744" s="28">
        <v>11.0</v>
      </c>
      <c r="R744" s="84"/>
      <c r="S744" s="84"/>
      <c r="T744" s="84"/>
      <c r="U744" s="84"/>
      <c r="V744" s="84"/>
      <c r="W744" s="84"/>
      <c r="X744" s="84"/>
      <c r="Y744" s="84"/>
      <c r="Z744" s="84"/>
      <c r="AA744" s="84"/>
    </row>
    <row r="745" ht="15.75" customHeight="1">
      <c r="A745" s="14" t="s">
        <v>17</v>
      </c>
      <c r="B745" s="15" t="s">
        <v>12507</v>
      </c>
      <c r="C745" s="14" t="s">
        <v>5625</v>
      </c>
      <c r="D745" s="14" t="s">
        <v>5626</v>
      </c>
      <c r="E745" s="26" t="str">
        <f t="shared" si="8"/>
        <v>http://dx.doi.org/10.1109/VISUAL.2000.885672</v>
      </c>
      <c r="F745" s="14">
        <v>21.0</v>
      </c>
      <c r="G745" s="14">
        <v>28.0</v>
      </c>
      <c r="H745" s="14" t="s">
        <v>28</v>
      </c>
      <c r="I745" s="19" t="s">
        <v>12620</v>
      </c>
      <c r="J745" s="19" t="s">
        <v>12621</v>
      </c>
      <c r="K745" s="19" t="s">
        <v>12622</v>
      </c>
      <c r="L745" s="19" t="s">
        <v>12623</v>
      </c>
      <c r="M745" s="20" t="s">
        <v>4406</v>
      </c>
      <c r="N745" s="44" t="s">
        <v>5638</v>
      </c>
      <c r="O745" s="22">
        <v>50.0</v>
      </c>
      <c r="P745" s="28">
        <v>7.0</v>
      </c>
      <c r="Q745" s="28">
        <v>19.0</v>
      </c>
      <c r="R745" s="84"/>
      <c r="S745" s="84"/>
      <c r="T745" s="84"/>
      <c r="U745" s="84"/>
      <c r="V745" s="84"/>
      <c r="W745" s="84"/>
      <c r="X745" s="84"/>
      <c r="Y745" s="84"/>
      <c r="Z745" s="84"/>
      <c r="AA745" s="84"/>
    </row>
    <row r="746" ht="15.75" customHeight="1">
      <c r="A746" s="14" t="s">
        <v>17</v>
      </c>
      <c r="B746" s="15" t="s">
        <v>12507</v>
      </c>
      <c r="C746" s="14" t="s">
        <v>5639</v>
      </c>
      <c r="D746" s="14" t="s">
        <v>5640</v>
      </c>
      <c r="E746" s="26" t="str">
        <f t="shared" si="8"/>
        <v>http://dx.doi.org/10.1109/VISUAL.2000.885673</v>
      </c>
      <c r="F746" s="14">
        <v>29.0</v>
      </c>
      <c r="G746" s="14">
        <v>36.0</v>
      </c>
      <c r="H746" s="14" t="s">
        <v>28</v>
      </c>
      <c r="I746" s="19" t="s">
        <v>12630</v>
      </c>
      <c r="J746" s="19" t="s">
        <v>5642</v>
      </c>
      <c r="K746" s="19" t="s">
        <v>12631</v>
      </c>
      <c r="L746" s="19" t="s">
        <v>12632</v>
      </c>
      <c r="M746" s="20" t="s">
        <v>5644</v>
      </c>
      <c r="N746" s="44" t="s">
        <v>5645</v>
      </c>
      <c r="O746" s="22">
        <v>50.0</v>
      </c>
      <c r="P746" s="28">
        <v>4.0</v>
      </c>
      <c r="Q746" s="28">
        <v>17.0</v>
      </c>
      <c r="R746" s="84"/>
      <c r="S746" s="84"/>
      <c r="T746" s="84"/>
      <c r="U746" s="84"/>
      <c r="V746" s="84"/>
      <c r="W746" s="84"/>
      <c r="X746" s="84"/>
      <c r="Y746" s="84"/>
      <c r="Z746" s="84"/>
      <c r="AA746" s="84"/>
    </row>
    <row r="747" ht="15.75" customHeight="1">
      <c r="A747" s="100" t="s">
        <v>17</v>
      </c>
      <c r="B747" s="15" t="s">
        <v>12507</v>
      </c>
      <c r="C747" s="100" t="s">
        <v>5646</v>
      </c>
      <c r="D747" s="100" t="s">
        <v>5647</v>
      </c>
      <c r="E747" s="101" t="str">
        <f t="shared" si="8"/>
        <v>http://dx.doi.org/10.1109/VISUAL.2000.885674</v>
      </c>
      <c r="F747" s="100" t="s">
        <v>12647</v>
      </c>
      <c r="G747" s="100" t="s">
        <v>12648</v>
      </c>
      <c r="H747" s="100" t="s">
        <v>28</v>
      </c>
      <c r="I747" s="102" t="s">
        <v>12649</v>
      </c>
      <c r="J747" s="102" t="s">
        <v>5649</v>
      </c>
      <c r="K747" s="102" t="s">
        <v>12650</v>
      </c>
      <c r="L747" s="102" t="s">
        <v>3480</v>
      </c>
      <c r="M747" s="103" t="s">
        <v>5320</v>
      </c>
      <c r="N747" s="104" t="s">
        <v>5650</v>
      </c>
      <c r="O747" s="105">
        <v>68.0</v>
      </c>
      <c r="P747" s="106" t="s">
        <v>12658</v>
      </c>
      <c r="Q747" s="106" t="s">
        <v>12658</v>
      </c>
      <c r="R747" s="107"/>
      <c r="S747" s="107"/>
      <c r="T747" s="107"/>
      <c r="U747" s="107"/>
      <c r="V747" s="107"/>
      <c r="W747" s="107"/>
      <c r="X747" s="107"/>
      <c r="Y747" s="107"/>
      <c r="Z747" s="107"/>
      <c r="AA747" s="107"/>
    </row>
    <row r="748" ht="15.75" customHeight="1">
      <c r="A748" s="14" t="s">
        <v>17</v>
      </c>
      <c r="B748" s="15" t="s">
        <v>12507</v>
      </c>
      <c r="C748" s="14" t="s">
        <v>5651</v>
      </c>
      <c r="D748" s="14" t="s">
        <v>5652</v>
      </c>
      <c r="E748" s="26" t="str">
        <f t="shared" si="8"/>
        <v>http://dx.doi.org/10.1109/VISUAL.2000.885675</v>
      </c>
      <c r="F748" s="14">
        <v>45.0</v>
      </c>
      <c r="G748" s="14">
        <v>52.0</v>
      </c>
      <c r="H748" s="14" t="s">
        <v>28</v>
      </c>
      <c r="I748" s="19" t="s">
        <v>12659</v>
      </c>
      <c r="J748" s="19" t="s">
        <v>5654</v>
      </c>
      <c r="K748" s="19" t="s">
        <v>12660</v>
      </c>
      <c r="L748" s="19" t="s">
        <v>3480</v>
      </c>
      <c r="M748" s="20" t="s">
        <v>5647</v>
      </c>
      <c r="N748" s="27"/>
      <c r="O748" s="22">
        <v>83.0</v>
      </c>
      <c r="P748" s="28">
        <v>11.0</v>
      </c>
      <c r="Q748" s="28">
        <v>18.0</v>
      </c>
      <c r="R748" s="84"/>
      <c r="S748" s="84"/>
      <c r="T748" s="84"/>
      <c r="U748" s="84"/>
      <c r="V748" s="84"/>
      <c r="W748" s="84"/>
      <c r="X748" s="84"/>
      <c r="Y748" s="84"/>
      <c r="Z748" s="84"/>
      <c r="AA748" s="84"/>
    </row>
    <row r="749" ht="15.75" customHeight="1">
      <c r="A749" s="14" t="s">
        <v>17</v>
      </c>
      <c r="B749" s="15" t="s">
        <v>12507</v>
      </c>
      <c r="C749" s="14" t="s">
        <v>5656</v>
      </c>
      <c r="D749" s="67" t="s">
        <v>5657</v>
      </c>
      <c r="E749" s="108" t="str">
        <f>HYPERLINK("http://doi.ieeecomputersociety.org/10.1109/VISUAL.2000.885676","http://doi.ieeecomputersociety.org/10.1109/VISUAL.2000.885676")</f>
        <v>http://doi.ieeecomputersociety.org/10.1109/VISUAL.2000.885676</v>
      </c>
      <c r="F749" s="50">
        <v>53.0</v>
      </c>
      <c r="G749" s="50">
        <v>60.0</v>
      </c>
      <c r="H749" s="14" t="s">
        <v>28</v>
      </c>
      <c r="I749" s="19" t="s">
        <v>12668</v>
      </c>
      <c r="J749" s="19" t="s">
        <v>5659</v>
      </c>
      <c r="K749" s="19" t="s">
        <v>12669</v>
      </c>
      <c r="L749" s="19" t="s">
        <v>12670</v>
      </c>
      <c r="M749" s="20"/>
      <c r="N749" s="48" t="s">
        <v>5661</v>
      </c>
      <c r="O749" s="109"/>
      <c r="P749" s="28">
        <v>3.0</v>
      </c>
      <c r="Q749" s="28">
        <v>0.0</v>
      </c>
      <c r="R749" s="84"/>
      <c r="S749" s="84"/>
      <c r="T749" s="84"/>
      <c r="U749" s="84"/>
      <c r="V749" s="84"/>
      <c r="W749" s="84"/>
      <c r="X749" s="84"/>
      <c r="Y749" s="84"/>
      <c r="Z749" s="84"/>
      <c r="AA749" s="84"/>
    </row>
    <row r="750" ht="15.75" customHeight="1">
      <c r="A750" s="14" t="s">
        <v>17</v>
      </c>
      <c r="B750" s="15" t="s">
        <v>12507</v>
      </c>
      <c r="C750" s="14" t="s">
        <v>5662</v>
      </c>
      <c r="D750" s="14" t="s">
        <v>5663</v>
      </c>
      <c r="E750" s="26" t="str">
        <f t="shared" ref="E750:E764" si="9">"http://dx.doi.org/" &amp; D750</f>
        <v>http://dx.doi.org/10.1109/VISUAL.2000.885677</v>
      </c>
      <c r="F750" s="14">
        <v>61.0</v>
      </c>
      <c r="G750" s="14">
        <v>68.0</v>
      </c>
      <c r="H750" s="14" t="s">
        <v>28</v>
      </c>
      <c r="I750" s="19" t="s">
        <v>12676</v>
      </c>
      <c r="J750" s="19" t="s">
        <v>5665</v>
      </c>
      <c r="K750" s="19" t="s">
        <v>12678</v>
      </c>
      <c r="L750" s="19" t="s">
        <v>12679</v>
      </c>
      <c r="M750" s="20" t="s">
        <v>5667</v>
      </c>
      <c r="N750" s="88" t="s">
        <v>5668</v>
      </c>
      <c r="O750" s="22">
        <v>113.0</v>
      </c>
      <c r="P750" s="28">
        <v>22.0</v>
      </c>
      <c r="Q750" s="28">
        <v>25.0</v>
      </c>
      <c r="R750" s="84"/>
      <c r="S750" s="84"/>
      <c r="T750" s="84"/>
      <c r="U750" s="84"/>
      <c r="V750" s="84"/>
      <c r="W750" s="84"/>
      <c r="X750" s="84"/>
      <c r="Y750" s="84"/>
      <c r="Z750" s="84"/>
      <c r="AA750" s="84"/>
    </row>
    <row r="751" ht="15.75" customHeight="1">
      <c r="A751" s="14" t="s">
        <v>17</v>
      </c>
      <c r="B751" s="15" t="s">
        <v>12507</v>
      </c>
      <c r="C751" s="14" t="s">
        <v>5669</v>
      </c>
      <c r="D751" s="14" t="s">
        <v>5670</v>
      </c>
      <c r="E751" s="26" t="str">
        <f t="shared" si="9"/>
        <v>http://dx.doi.org/10.1109/VISUAL.2000.885678</v>
      </c>
      <c r="F751" s="14">
        <v>69.0</v>
      </c>
      <c r="G751" s="14">
        <v>76.0</v>
      </c>
      <c r="H751" s="14" t="s">
        <v>28</v>
      </c>
      <c r="I751" s="19" t="s">
        <v>12680</v>
      </c>
      <c r="J751" s="19" t="s">
        <v>5672</v>
      </c>
      <c r="K751" s="19" t="s">
        <v>12681</v>
      </c>
      <c r="L751" s="19" t="s">
        <v>12144</v>
      </c>
      <c r="M751" s="20" t="s">
        <v>5674</v>
      </c>
      <c r="N751" s="44" t="s">
        <v>5675</v>
      </c>
      <c r="O751" s="22">
        <v>62.0</v>
      </c>
      <c r="P751" s="28">
        <v>17.0</v>
      </c>
      <c r="Q751" s="28">
        <v>19.0</v>
      </c>
      <c r="R751" s="84"/>
      <c r="S751" s="84"/>
      <c r="T751" s="84"/>
      <c r="U751" s="84"/>
      <c r="V751" s="84"/>
      <c r="W751" s="84"/>
      <c r="X751" s="84"/>
      <c r="Y751" s="84"/>
      <c r="Z751" s="84"/>
      <c r="AA751" s="84"/>
    </row>
    <row r="752" ht="15.75" customHeight="1">
      <c r="A752" s="14" t="s">
        <v>17</v>
      </c>
      <c r="B752" s="15" t="s">
        <v>12507</v>
      </c>
      <c r="C752" s="14" t="s">
        <v>5676</v>
      </c>
      <c r="D752" s="14" t="s">
        <v>5677</v>
      </c>
      <c r="E752" s="26" t="str">
        <f t="shared" si="9"/>
        <v>http://dx.doi.org/10.1109/VISUAL.2000.885679</v>
      </c>
      <c r="F752" s="14">
        <v>77.0</v>
      </c>
      <c r="G752" s="14">
        <v>84.0</v>
      </c>
      <c r="H752" s="14" t="s">
        <v>28</v>
      </c>
      <c r="I752" s="19" t="s">
        <v>12687</v>
      </c>
      <c r="J752" s="19" t="s">
        <v>5679</v>
      </c>
      <c r="K752" s="19" t="s">
        <v>12689</v>
      </c>
      <c r="L752" s="19" t="s">
        <v>4284</v>
      </c>
      <c r="M752" s="20" t="s">
        <v>5681</v>
      </c>
      <c r="N752" s="44" t="s">
        <v>5682</v>
      </c>
      <c r="O752" s="22">
        <v>74.0</v>
      </c>
      <c r="P752" s="28">
        <v>25.0</v>
      </c>
      <c r="Q752" s="28">
        <v>12.0</v>
      </c>
      <c r="R752" s="84"/>
      <c r="S752" s="84"/>
      <c r="T752" s="84"/>
      <c r="U752" s="84"/>
      <c r="V752" s="84"/>
      <c r="W752" s="84"/>
      <c r="X752" s="84"/>
      <c r="Y752" s="84"/>
      <c r="Z752" s="84"/>
      <c r="AA752" s="84"/>
    </row>
    <row r="753" ht="15.75" customHeight="1">
      <c r="A753" s="14" t="s">
        <v>17</v>
      </c>
      <c r="B753" s="15" t="s">
        <v>12507</v>
      </c>
      <c r="C753" s="14" t="s">
        <v>5683</v>
      </c>
      <c r="D753" s="14" t="s">
        <v>5684</v>
      </c>
      <c r="E753" s="26" t="str">
        <f t="shared" si="9"/>
        <v>http://dx.doi.org/10.1109/VISUAL.2000.885680</v>
      </c>
      <c r="F753" s="14">
        <v>85.0</v>
      </c>
      <c r="G753" s="14">
        <v>92.0</v>
      </c>
      <c r="H753" s="14" t="s">
        <v>28</v>
      </c>
      <c r="I753" s="19" t="s">
        <v>12690</v>
      </c>
      <c r="J753" s="19" t="s">
        <v>5686</v>
      </c>
      <c r="K753" s="19" t="s">
        <v>12691</v>
      </c>
      <c r="L753" s="19" t="s">
        <v>12692</v>
      </c>
      <c r="M753" s="20" t="s">
        <v>5688</v>
      </c>
      <c r="N753" s="88" t="s">
        <v>5689</v>
      </c>
      <c r="O753" s="22">
        <v>132.0</v>
      </c>
      <c r="P753" s="28">
        <v>28.0</v>
      </c>
      <c r="Q753" s="28">
        <v>24.0</v>
      </c>
      <c r="R753" s="84"/>
      <c r="S753" s="84"/>
      <c r="T753" s="84"/>
      <c r="U753" s="84"/>
      <c r="V753" s="84"/>
      <c r="W753" s="84"/>
      <c r="X753" s="84"/>
      <c r="Y753" s="84"/>
      <c r="Z753" s="84"/>
      <c r="AA753" s="84"/>
    </row>
    <row r="754" ht="15.75" customHeight="1">
      <c r="A754" s="14" t="s">
        <v>17</v>
      </c>
      <c r="B754" s="15" t="s">
        <v>12507</v>
      </c>
      <c r="C754" s="14" t="s">
        <v>5690</v>
      </c>
      <c r="D754" s="14" t="s">
        <v>5691</v>
      </c>
      <c r="E754" s="26" t="str">
        <f t="shared" si="9"/>
        <v>http://dx.doi.org/10.1109/VISUAL.2000.885681</v>
      </c>
      <c r="F754" s="14">
        <v>93.0</v>
      </c>
      <c r="G754" s="14">
        <v>100.0</v>
      </c>
      <c r="H754" s="14" t="s">
        <v>28</v>
      </c>
      <c r="I754" s="19" t="s">
        <v>12704</v>
      </c>
      <c r="J754" s="19" t="s">
        <v>5693</v>
      </c>
      <c r="K754" s="19" t="s">
        <v>12705</v>
      </c>
      <c r="L754" s="19" t="s">
        <v>12706</v>
      </c>
      <c r="M754" s="20" t="s">
        <v>3730</v>
      </c>
      <c r="N754" s="27"/>
      <c r="O754" s="22">
        <v>53.0</v>
      </c>
      <c r="P754" s="28">
        <v>5.0</v>
      </c>
      <c r="Q754" s="28">
        <v>17.0</v>
      </c>
      <c r="R754" s="84"/>
      <c r="S754" s="84"/>
      <c r="T754" s="84"/>
      <c r="U754" s="84"/>
      <c r="V754" s="84"/>
      <c r="W754" s="84"/>
      <c r="X754" s="84"/>
      <c r="Y754" s="84"/>
      <c r="Z754" s="84"/>
      <c r="AA754" s="84"/>
    </row>
    <row r="755" ht="15.75" customHeight="1">
      <c r="A755" s="14" t="s">
        <v>17</v>
      </c>
      <c r="B755" s="15" t="s">
        <v>12507</v>
      </c>
      <c r="C755" s="14" t="s">
        <v>5695</v>
      </c>
      <c r="D755" s="14" t="s">
        <v>5696</v>
      </c>
      <c r="E755" s="26" t="str">
        <f t="shared" si="9"/>
        <v>http://dx.doi.org/10.1109/VISUAL.2000.885682</v>
      </c>
      <c r="F755" s="14">
        <v>101.0</v>
      </c>
      <c r="G755" s="14">
        <v>108.0</v>
      </c>
      <c r="H755" s="14" t="s">
        <v>28</v>
      </c>
      <c r="I755" s="19" t="s">
        <v>12713</v>
      </c>
      <c r="J755" s="19" t="s">
        <v>5698</v>
      </c>
      <c r="K755" s="19" t="s">
        <v>12714</v>
      </c>
      <c r="L755" s="19" t="s">
        <v>3480</v>
      </c>
      <c r="M755" s="20" t="s">
        <v>4959</v>
      </c>
      <c r="N755" s="44" t="s">
        <v>5699</v>
      </c>
      <c r="O755" s="22">
        <v>50.0</v>
      </c>
      <c r="P755" s="28">
        <v>4.0</v>
      </c>
      <c r="Q755" s="28">
        <v>16.0</v>
      </c>
      <c r="R755" s="84"/>
      <c r="S755" s="84"/>
      <c r="T755" s="84"/>
      <c r="U755" s="84"/>
      <c r="V755" s="84"/>
      <c r="W755" s="84"/>
      <c r="X755" s="84"/>
      <c r="Y755" s="84"/>
      <c r="Z755" s="84"/>
      <c r="AA755" s="84"/>
    </row>
    <row r="756" ht="15.75" customHeight="1">
      <c r="A756" s="14" t="s">
        <v>17</v>
      </c>
      <c r="B756" s="15" t="s">
        <v>12507</v>
      </c>
      <c r="C756" s="14" t="s">
        <v>5700</v>
      </c>
      <c r="D756" s="14" t="s">
        <v>5701</v>
      </c>
      <c r="E756" s="26" t="str">
        <f t="shared" si="9"/>
        <v>http://dx.doi.org/10.1109/VISUAL.2000.885683</v>
      </c>
      <c r="F756" s="14">
        <v>109.0</v>
      </c>
      <c r="G756" s="14">
        <v>116.0</v>
      </c>
      <c r="H756" s="14" t="s">
        <v>28</v>
      </c>
      <c r="I756" s="19" t="s">
        <v>12716</v>
      </c>
      <c r="J756" s="19" t="s">
        <v>12718</v>
      </c>
      <c r="K756" s="19" t="s">
        <v>12720</v>
      </c>
      <c r="L756" s="19" t="s">
        <v>12435</v>
      </c>
      <c r="M756" s="20" t="s">
        <v>5705</v>
      </c>
      <c r="N756" s="88" t="s">
        <v>5706</v>
      </c>
      <c r="O756" s="22">
        <v>214.0</v>
      </c>
      <c r="P756" s="28">
        <v>52.0</v>
      </c>
      <c r="Q756" s="28">
        <v>35.0</v>
      </c>
      <c r="R756" s="84"/>
      <c r="S756" s="84"/>
      <c r="T756" s="84"/>
      <c r="U756" s="84"/>
      <c r="V756" s="84"/>
      <c r="W756" s="84"/>
      <c r="X756" s="84"/>
      <c r="Y756" s="84"/>
      <c r="Z756" s="84"/>
      <c r="AA756" s="84"/>
    </row>
    <row r="757" ht="15.75" customHeight="1">
      <c r="A757" s="14" t="s">
        <v>17</v>
      </c>
      <c r="B757" s="15" t="s">
        <v>12507</v>
      </c>
      <c r="C757" s="14" t="s">
        <v>5707</v>
      </c>
      <c r="D757" s="14" t="s">
        <v>5708</v>
      </c>
      <c r="E757" s="26" t="str">
        <f t="shared" si="9"/>
        <v>http://dx.doi.org/10.1109/VISUAL.2000.885684</v>
      </c>
      <c r="F757" s="14">
        <v>117.0</v>
      </c>
      <c r="G757" s="14">
        <v>124.0</v>
      </c>
      <c r="H757" s="14" t="s">
        <v>28</v>
      </c>
      <c r="I757" s="19" t="s">
        <v>12724</v>
      </c>
      <c r="J757" s="19" t="s">
        <v>5710</v>
      </c>
      <c r="K757" s="19" t="s">
        <v>12725</v>
      </c>
      <c r="L757" s="19" t="s">
        <v>1363</v>
      </c>
      <c r="M757" s="20" t="s">
        <v>5110</v>
      </c>
      <c r="N757" s="44" t="s">
        <v>5711</v>
      </c>
      <c r="O757" s="22">
        <v>147.0</v>
      </c>
      <c r="P757" s="28">
        <v>44.0</v>
      </c>
      <c r="Q757" s="28">
        <v>22.0</v>
      </c>
      <c r="R757" s="84"/>
      <c r="S757" s="84"/>
      <c r="T757" s="84"/>
      <c r="U757" s="84"/>
      <c r="V757" s="84"/>
      <c r="W757" s="84"/>
      <c r="X757" s="84"/>
      <c r="Y757" s="84"/>
      <c r="Z757" s="84"/>
      <c r="AA757" s="84"/>
    </row>
    <row r="758" ht="15.75" customHeight="1">
      <c r="A758" s="14" t="s">
        <v>17</v>
      </c>
      <c r="B758" s="15" t="s">
        <v>12507</v>
      </c>
      <c r="C758" s="14" t="s">
        <v>5712</v>
      </c>
      <c r="D758" s="14" t="s">
        <v>5713</v>
      </c>
      <c r="E758" s="26" t="str">
        <f t="shared" si="9"/>
        <v>http://dx.doi.org/10.1109/VISUAL.2000.885685</v>
      </c>
      <c r="F758" s="14">
        <v>125.0</v>
      </c>
      <c r="G758" s="14">
        <v>130.0</v>
      </c>
      <c r="H758" s="14" t="s">
        <v>28</v>
      </c>
      <c r="I758" s="19" t="s">
        <v>12732</v>
      </c>
      <c r="J758" s="19" t="s">
        <v>5715</v>
      </c>
      <c r="K758" s="19" t="s">
        <v>12734</v>
      </c>
      <c r="L758" s="19" t="s">
        <v>453</v>
      </c>
      <c r="M758" s="20" t="s">
        <v>5057</v>
      </c>
      <c r="N758" s="44" t="s">
        <v>5717</v>
      </c>
      <c r="O758" s="22">
        <v>141.0</v>
      </c>
      <c r="P758" s="28">
        <v>16.0</v>
      </c>
      <c r="Q758" s="28">
        <v>19.0</v>
      </c>
      <c r="R758" s="84"/>
      <c r="S758" s="84"/>
      <c r="T758" s="84"/>
      <c r="U758" s="84"/>
      <c r="V758" s="84"/>
      <c r="W758" s="84"/>
      <c r="X758" s="84"/>
      <c r="Y758" s="84"/>
      <c r="Z758" s="84"/>
      <c r="AA758" s="84"/>
    </row>
    <row r="759" ht="15.75" customHeight="1">
      <c r="A759" s="14" t="s">
        <v>17</v>
      </c>
      <c r="B759" s="15" t="s">
        <v>12507</v>
      </c>
      <c r="C759" s="14" t="s">
        <v>5718</v>
      </c>
      <c r="D759" s="14" t="s">
        <v>5719</v>
      </c>
      <c r="E759" s="26" t="str">
        <f t="shared" si="9"/>
        <v>http://dx.doi.org/10.1109/VISUAL.2000.885686</v>
      </c>
      <c r="F759" s="14">
        <v>131.0</v>
      </c>
      <c r="G759" s="14">
        <v>137.0</v>
      </c>
      <c r="H759" s="14" t="s">
        <v>28</v>
      </c>
      <c r="I759" s="19" t="s">
        <v>12735</v>
      </c>
      <c r="J759" s="19" t="s">
        <v>5721</v>
      </c>
      <c r="K759" s="19" t="s">
        <v>12736</v>
      </c>
      <c r="L759" s="19" t="s">
        <v>12737</v>
      </c>
      <c r="M759" s="20" t="s">
        <v>5723</v>
      </c>
      <c r="N759" s="44" t="s">
        <v>5724</v>
      </c>
      <c r="O759" s="22">
        <v>80.0</v>
      </c>
      <c r="P759" s="28">
        <v>20.0</v>
      </c>
      <c r="Q759" s="28">
        <v>22.0</v>
      </c>
      <c r="R759" s="84"/>
      <c r="S759" s="84"/>
      <c r="T759" s="84"/>
      <c r="U759" s="84"/>
      <c r="V759" s="84"/>
      <c r="W759" s="84"/>
      <c r="X759" s="84"/>
      <c r="Y759" s="84"/>
      <c r="Z759" s="84"/>
      <c r="AA759" s="84"/>
    </row>
    <row r="760" ht="15.75" customHeight="1">
      <c r="A760" s="14" t="s">
        <v>17</v>
      </c>
      <c r="B760" s="15" t="s">
        <v>12507</v>
      </c>
      <c r="C760" s="14" t="s">
        <v>5725</v>
      </c>
      <c r="D760" s="14" t="s">
        <v>5726</v>
      </c>
      <c r="E760" s="26" t="str">
        <f t="shared" si="9"/>
        <v>http://dx.doi.org/10.1109/VISUAL.2000.885687</v>
      </c>
      <c r="F760" s="14">
        <v>139.0</v>
      </c>
      <c r="G760" s="14">
        <v>146.0</v>
      </c>
      <c r="H760" s="14" t="s">
        <v>28</v>
      </c>
      <c r="I760" s="19" t="s">
        <v>12738</v>
      </c>
      <c r="J760" s="19" t="s">
        <v>5728</v>
      </c>
      <c r="K760" s="19" t="s">
        <v>12739</v>
      </c>
      <c r="L760" s="19" t="s">
        <v>1363</v>
      </c>
      <c r="M760" s="20" t="s">
        <v>3012</v>
      </c>
      <c r="N760" s="44" t="s">
        <v>5730</v>
      </c>
      <c r="O760" s="22">
        <v>169.0</v>
      </c>
      <c r="P760" s="28">
        <v>39.0</v>
      </c>
      <c r="Q760" s="28">
        <v>38.0</v>
      </c>
      <c r="R760" s="84"/>
      <c r="S760" s="84"/>
      <c r="T760" s="84"/>
      <c r="U760" s="84"/>
      <c r="V760" s="84"/>
      <c r="W760" s="84"/>
      <c r="X760" s="84"/>
      <c r="Y760" s="84"/>
      <c r="Z760" s="84"/>
      <c r="AA760" s="84"/>
    </row>
    <row r="761" ht="15.75" customHeight="1">
      <c r="A761" s="14" t="s">
        <v>17</v>
      </c>
      <c r="B761" s="15" t="s">
        <v>12507</v>
      </c>
      <c r="C761" s="14" t="s">
        <v>5731</v>
      </c>
      <c r="D761" s="14" t="s">
        <v>5732</v>
      </c>
      <c r="E761" s="26" t="str">
        <f t="shared" si="9"/>
        <v>http://dx.doi.org/10.1109/VISUAL.2000.885688</v>
      </c>
      <c r="F761" s="14">
        <v>147.0</v>
      </c>
      <c r="G761" s="14">
        <v>154.0</v>
      </c>
      <c r="H761" s="14" t="s">
        <v>28</v>
      </c>
      <c r="I761" s="19" t="s">
        <v>12746</v>
      </c>
      <c r="J761" s="19" t="s">
        <v>12747</v>
      </c>
      <c r="K761" s="19" t="s">
        <v>12748</v>
      </c>
      <c r="L761" s="19" t="s">
        <v>12749</v>
      </c>
      <c r="M761" s="20" t="s">
        <v>5736</v>
      </c>
      <c r="N761" s="44" t="s">
        <v>5737</v>
      </c>
      <c r="O761" s="22">
        <v>67.0</v>
      </c>
      <c r="P761" s="28">
        <v>14.0</v>
      </c>
      <c r="Q761" s="28">
        <v>30.0</v>
      </c>
      <c r="R761" s="84"/>
      <c r="S761" s="84"/>
      <c r="T761" s="84"/>
      <c r="U761" s="84"/>
      <c r="V761" s="84"/>
      <c r="W761" s="84"/>
      <c r="X761" s="84"/>
      <c r="Y761" s="84"/>
      <c r="Z761" s="84"/>
      <c r="AA761" s="84"/>
    </row>
    <row r="762" ht="15.75" customHeight="1">
      <c r="A762" s="14" t="s">
        <v>17</v>
      </c>
      <c r="B762" s="15" t="s">
        <v>12507</v>
      </c>
      <c r="C762" s="14" t="s">
        <v>5738</v>
      </c>
      <c r="D762" s="14" t="s">
        <v>5739</v>
      </c>
      <c r="E762" s="26" t="str">
        <f t="shared" si="9"/>
        <v>http://dx.doi.org/10.1109/VISUAL.2000.885689</v>
      </c>
      <c r="F762" s="14">
        <v>155.0</v>
      </c>
      <c r="G762" s="14">
        <v>162.0</v>
      </c>
      <c r="H762" s="14" t="s">
        <v>28</v>
      </c>
      <c r="I762" s="19" t="s">
        <v>12750</v>
      </c>
      <c r="J762" s="19" t="s">
        <v>5741</v>
      </c>
      <c r="K762" s="19" t="s">
        <v>12751</v>
      </c>
      <c r="L762" s="19" t="s">
        <v>12752</v>
      </c>
      <c r="M762" s="20" t="s">
        <v>5743</v>
      </c>
      <c r="N762" s="44" t="s">
        <v>5744</v>
      </c>
      <c r="O762" s="22">
        <v>85.0</v>
      </c>
      <c r="P762" s="28">
        <v>20.0</v>
      </c>
      <c r="Q762" s="28">
        <v>18.0</v>
      </c>
      <c r="R762" s="84"/>
      <c r="S762" s="84"/>
      <c r="T762" s="84"/>
      <c r="U762" s="84"/>
      <c r="V762" s="84"/>
      <c r="W762" s="84"/>
      <c r="X762" s="84"/>
      <c r="Y762" s="84"/>
      <c r="Z762" s="84"/>
      <c r="AA762" s="84"/>
    </row>
    <row r="763" ht="15.75" customHeight="1">
      <c r="A763" s="14" t="s">
        <v>17</v>
      </c>
      <c r="B763" s="15" t="s">
        <v>12507</v>
      </c>
      <c r="C763" s="14" t="s">
        <v>5745</v>
      </c>
      <c r="D763" s="14" t="s">
        <v>5746</v>
      </c>
      <c r="E763" s="26" t="str">
        <f t="shared" si="9"/>
        <v>http://dx.doi.org/10.1109/VISUAL.2000.885690</v>
      </c>
      <c r="F763" s="14">
        <v>163.0</v>
      </c>
      <c r="G763" s="14">
        <v>170.0</v>
      </c>
      <c r="H763" s="14" t="s">
        <v>28</v>
      </c>
      <c r="I763" s="19" t="s">
        <v>12760</v>
      </c>
      <c r="J763" s="19" t="s">
        <v>5265</v>
      </c>
      <c r="K763" s="19" t="s">
        <v>12353</v>
      </c>
      <c r="L763" s="19" t="s">
        <v>12761</v>
      </c>
      <c r="M763" s="20" t="s">
        <v>5749</v>
      </c>
      <c r="N763" s="44" t="s">
        <v>5750</v>
      </c>
      <c r="O763" s="22">
        <v>196.0</v>
      </c>
      <c r="P763" s="28">
        <v>56.0</v>
      </c>
      <c r="Q763" s="28">
        <v>17.0</v>
      </c>
      <c r="R763" s="84"/>
      <c r="S763" s="84"/>
      <c r="T763" s="84"/>
      <c r="U763" s="84"/>
      <c r="V763" s="84"/>
      <c r="W763" s="84"/>
      <c r="X763" s="84"/>
      <c r="Y763" s="84"/>
      <c r="Z763" s="84"/>
      <c r="AA763" s="84"/>
    </row>
    <row r="764" ht="15.75" customHeight="1">
      <c r="A764" s="14" t="s">
        <v>17</v>
      </c>
      <c r="B764" s="15" t="s">
        <v>12507</v>
      </c>
      <c r="C764" s="14" t="s">
        <v>5751</v>
      </c>
      <c r="D764" s="14" t="s">
        <v>5752</v>
      </c>
      <c r="E764" s="26" t="str">
        <f t="shared" si="9"/>
        <v>http://dx.doi.org/10.1109/VISUAL.2000.885691</v>
      </c>
      <c r="F764" s="14">
        <v>171.0</v>
      </c>
      <c r="G764" s="14">
        <v>178.0</v>
      </c>
      <c r="H764" s="14" t="s">
        <v>28</v>
      </c>
      <c r="I764" s="19" t="s">
        <v>12769</v>
      </c>
      <c r="J764" s="19" t="s">
        <v>5754</v>
      </c>
      <c r="K764" s="19" t="s">
        <v>12770</v>
      </c>
      <c r="L764" s="19" t="s">
        <v>12771</v>
      </c>
      <c r="M764" s="20" t="s">
        <v>5020</v>
      </c>
      <c r="N764" s="44" t="s">
        <v>5756</v>
      </c>
      <c r="O764" s="22">
        <v>18.0</v>
      </c>
      <c r="P764" s="28">
        <v>3.0</v>
      </c>
      <c r="Q764" s="28">
        <v>23.0</v>
      </c>
      <c r="R764" s="84"/>
      <c r="S764" s="84"/>
      <c r="T764" s="84"/>
      <c r="U764" s="84"/>
      <c r="V764" s="84"/>
      <c r="W764" s="84"/>
      <c r="X764" s="84"/>
      <c r="Y764" s="84"/>
      <c r="Z764" s="84"/>
      <c r="AA764" s="84"/>
    </row>
    <row r="765" ht="15.75" customHeight="1">
      <c r="A765" s="14" t="s">
        <v>17</v>
      </c>
      <c r="B765" s="15" t="s">
        <v>12507</v>
      </c>
      <c r="C765" s="14" t="s">
        <v>5757</v>
      </c>
      <c r="D765" s="110" t="s">
        <v>5758</v>
      </c>
      <c r="E765" s="68" t="s">
        <v>5759</v>
      </c>
      <c r="F765" s="50">
        <v>179.0</v>
      </c>
      <c r="G765" s="50">
        <v>185.0</v>
      </c>
      <c r="H765" s="14" t="s">
        <v>28</v>
      </c>
      <c r="I765" s="19" t="s">
        <v>12785</v>
      </c>
      <c r="J765" s="19" t="s">
        <v>5760</v>
      </c>
      <c r="K765" s="19" t="s">
        <v>12786</v>
      </c>
      <c r="L765" s="19" t="s">
        <v>12788</v>
      </c>
      <c r="M765" s="20"/>
      <c r="N765" s="48" t="s">
        <v>5762</v>
      </c>
      <c r="O765" s="109"/>
      <c r="P765" s="28">
        <v>13.0</v>
      </c>
      <c r="Q765" s="28">
        <v>0.0</v>
      </c>
      <c r="R765" s="84"/>
      <c r="S765" s="84"/>
      <c r="T765" s="84"/>
      <c r="U765" s="84"/>
      <c r="V765" s="84"/>
      <c r="W765" s="84"/>
      <c r="X765" s="84"/>
      <c r="Y765" s="84"/>
      <c r="Z765" s="84"/>
      <c r="AA765" s="84"/>
    </row>
    <row r="766" ht="15.75" customHeight="1">
      <c r="A766" s="14" t="s">
        <v>17</v>
      </c>
      <c r="B766" s="15" t="s">
        <v>12507</v>
      </c>
      <c r="C766" s="14" t="s">
        <v>5763</v>
      </c>
      <c r="D766" s="14" t="s">
        <v>5764</v>
      </c>
      <c r="E766" s="26" t="str">
        <f t="shared" ref="E766:E773" si="10">"http://dx.doi.org/" &amp; D766</f>
        <v>http://dx.doi.org/10.1109/VISUAL.2000.885693</v>
      </c>
      <c r="F766" s="14">
        <v>187.0</v>
      </c>
      <c r="G766" s="14">
        <v>194.0</v>
      </c>
      <c r="H766" s="14" t="s">
        <v>28</v>
      </c>
      <c r="I766" s="19" t="s">
        <v>12797</v>
      </c>
      <c r="J766" s="19" t="s">
        <v>5766</v>
      </c>
      <c r="K766" s="19" t="s">
        <v>12798</v>
      </c>
      <c r="L766" s="19" t="s">
        <v>12799</v>
      </c>
      <c r="M766" s="20" t="s">
        <v>3037</v>
      </c>
      <c r="N766" s="44" t="s">
        <v>5768</v>
      </c>
      <c r="O766" s="22">
        <v>12.0</v>
      </c>
      <c r="P766" s="28">
        <v>1.0</v>
      </c>
      <c r="Q766" s="28">
        <v>26.0</v>
      </c>
      <c r="R766" s="84"/>
      <c r="S766" s="84"/>
      <c r="T766" s="84"/>
      <c r="U766" s="84"/>
      <c r="V766" s="84"/>
      <c r="W766" s="84"/>
      <c r="X766" s="84"/>
      <c r="Y766" s="84"/>
      <c r="Z766" s="84"/>
      <c r="AA766" s="84"/>
    </row>
    <row r="767" ht="15.75" customHeight="1">
      <c r="A767" s="14" t="s">
        <v>17</v>
      </c>
      <c r="B767" s="15" t="s">
        <v>12507</v>
      </c>
      <c r="C767" s="14" t="s">
        <v>5769</v>
      </c>
      <c r="D767" s="14" t="s">
        <v>5770</v>
      </c>
      <c r="E767" s="26" t="str">
        <f t="shared" si="10"/>
        <v>http://dx.doi.org/10.1109/VISUAL.2000.885694</v>
      </c>
      <c r="F767" s="14">
        <v>195.0</v>
      </c>
      <c r="G767" s="14">
        <v>202.0</v>
      </c>
      <c r="H767" s="14" t="s">
        <v>28</v>
      </c>
      <c r="I767" s="19" t="s">
        <v>12800</v>
      </c>
      <c r="J767" s="19" t="s">
        <v>5772</v>
      </c>
      <c r="K767" s="19" t="s">
        <v>12801</v>
      </c>
      <c r="L767" s="19" t="s">
        <v>12802</v>
      </c>
      <c r="M767" s="20" t="s">
        <v>5774</v>
      </c>
      <c r="N767" s="44" t="s">
        <v>5775</v>
      </c>
      <c r="O767" s="22">
        <v>160.0</v>
      </c>
      <c r="P767" s="28">
        <v>61.0</v>
      </c>
      <c r="Q767" s="28">
        <v>30.0</v>
      </c>
      <c r="R767" s="84"/>
      <c r="S767" s="84"/>
      <c r="T767" s="84"/>
      <c r="U767" s="84"/>
      <c r="V767" s="84"/>
      <c r="W767" s="84"/>
      <c r="X767" s="84"/>
      <c r="Y767" s="84"/>
      <c r="Z767" s="84"/>
      <c r="AA767" s="84"/>
    </row>
    <row r="768" ht="15.75" customHeight="1">
      <c r="A768" s="14" t="s">
        <v>17</v>
      </c>
      <c r="B768" s="15" t="s">
        <v>12507</v>
      </c>
      <c r="C768" s="14" t="s">
        <v>5776</v>
      </c>
      <c r="D768" s="14" t="s">
        <v>5777</v>
      </c>
      <c r="E768" s="26" t="str">
        <f t="shared" si="10"/>
        <v>http://dx.doi.org/10.1109/VISUAL.2000.885696</v>
      </c>
      <c r="F768" s="14">
        <v>203.0</v>
      </c>
      <c r="G768" s="14">
        <v>210.0</v>
      </c>
      <c r="H768" s="14" t="s">
        <v>28</v>
      </c>
      <c r="I768" s="19" t="s">
        <v>12808</v>
      </c>
      <c r="J768" s="19" t="s">
        <v>5779</v>
      </c>
      <c r="K768" s="19" t="s">
        <v>12809</v>
      </c>
      <c r="L768" s="19" t="s">
        <v>12810</v>
      </c>
      <c r="M768" s="20" t="s">
        <v>3024</v>
      </c>
      <c r="N768" s="44" t="s">
        <v>5781</v>
      </c>
      <c r="O768" s="22">
        <v>75.0</v>
      </c>
      <c r="P768" s="28">
        <v>24.0</v>
      </c>
      <c r="Q768" s="28">
        <v>35.0</v>
      </c>
      <c r="R768" s="84"/>
      <c r="S768" s="84"/>
      <c r="T768" s="84"/>
      <c r="U768" s="84"/>
      <c r="V768" s="84"/>
      <c r="W768" s="84"/>
      <c r="X768" s="84"/>
      <c r="Y768" s="84"/>
      <c r="Z768" s="84"/>
      <c r="AA768" s="84"/>
    </row>
    <row r="769" ht="15.75" customHeight="1">
      <c r="A769" s="14" t="s">
        <v>17</v>
      </c>
      <c r="B769" s="15" t="s">
        <v>12507</v>
      </c>
      <c r="C769" s="14" t="s">
        <v>5782</v>
      </c>
      <c r="D769" s="14" t="s">
        <v>5783</v>
      </c>
      <c r="E769" s="26" t="str">
        <f t="shared" si="10"/>
        <v>http://dx.doi.org/10.1109/VISUAL.2000.885697</v>
      </c>
      <c r="F769" s="14">
        <v>211.0</v>
      </c>
      <c r="G769" s="14">
        <v>218.0</v>
      </c>
      <c r="H769" s="14" t="s">
        <v>28</v>
      </c>
      <c r="I769" s="19" t="s">
        <v>12811</v>
      </c>
      <c r="J769" s="19" t="s">
        <v>12812</v>
      </c>
      <c r="K769" s="19" t="s">
        <v>12814</v>
      </c>
      <c r="L769" s="19" t="s">
        <v>12816</v>
      </c>
      <c r="M769" s="20" t="s">
        <v>5787</v>
      </c>
      <c r="N769" s="44" t="s">
        <v>5788</v>
      </c>
      <c r="O769" s="22">
        <v>62.0</v>
      </c>
      <c r="P769" s="28">
        <v>12.0</v>
      </c>
      <c r="Q769" s="28">
        <v>20.0</v>
      </c>
      <c r="R769" s="84"/>
      <c r="S769" s="84"/>
      <c r="T769" s="84"/>
      <c r="U769" s="84"/>
      <c r="V769" s="84"/>
      <c r="W769" s="84"/>
      <c r="X769" s="84"/>
      <c r="Y769" s="84"/>
      <c r="Z769" s="84"/>
      <c r="AA769" s="84"/>
    </row>
    <row r="770" ht="15.75" customHeight="1">
      <c r="A770" s="14" t="s">
        <v>17</v>
      </c>
      <c r="B770" s="15" t="s">
        <v>12507</v>
      </c>
      <c r="C770" s="14" t="s">
        <v>5789</v>
      </c>
      <c r="D770" s="14" t="s">
        <v>5790</v>
      </c>
      <c r="E770" s="26" t="str">
        <f t="shared" si="10"/>
        <v>http://dx.doi.org/10.1109/VISUAL.2000.885698</v>
      </c>
      <c r="F770" s="14">
        <v>219.0</v>
      </c>
      <c r="G770" s="14">
        <v>226.0</v>
      </c>
      <c r="H770" s="14" t="s">
        <v>28</v>
      </c>
      <c r="I770" s="19" t="s">
        <v>12821</v>
      </c>
      <c r="J770" s="19" t="s">
        <v>5792</v>
      </c>
      <c r="K770" s="19" t="s">
        <v>12822</v>
      </c>
      <c r="L770" s="19" t="s">
        <v>4119</v>
      </c>
      <c r="M770" s="20" t="s">
        <v>5793</v>
      </c>
      <c r="N770" s="27"/>
      <c r="O770" s="22">
        <v>77.0</v>
      </c>
      <c r="P770" s="28">
        <v>9.0</v>
      </c>
      <c r="Q770" s="28">
        <v>22.0</v>
      </c>
      <c r="R770" s="84"/>
      <c r="S770" s="84"/>
      <c r="T770" s="84"/>
      <c r="U770" s="84"/>
      <c r="V770" s="84"/>
      <c r="W770" s="84"/>
      <c r="X770" s="84"/>
      <c r="Y770" s="84"/>
      <c r="Z770" s="84"/>
      <c r="AA770" s="84"/>
    </row>
    <row r="771" ht="15.75" customHeight="1">
      <c r="A771" s="14" t="s">
        <v>17</v>
      </c>
      <c r="B771" s="15" t="s">
        <v>12507</v>
      </c>
      <c r="C771" s="14" t="s">
        <v>5794</v>
      </c>
      <c r="D771" s="14" t="s">
        <v>5795</v>
      </c>
      <c r="E771" s="26" t="str">
        <f t="shared" si="10"/>
        <v>http://dx.doi.org/10.1109/VISUAL.2000.885699</v>
      </c>
      <c r="F771" s="14">
        <v>227.0</v>
      </c>
      <c r="G771" s="14">
        <v>234.0</v>
      </c>
      <c r="H771" s="14" t="s">
        <v>28</v>
      </c>
      <c r="I771" s="19" t="s">
        <v>12828</v>
      </c>
      <c r="J771" s="19" t="s">
        <v>12829</v>
      </c>
      <c r="K771" s="19" t="s">
        <v>12830</v>
      </c>
      <c r="L771" s="19" t="s">
        <v>12831</v>
      </c>
      <c r="M771" s="20" t="s">
        <v>5799</v>
      </c>
      <c r="N771" s="44" t="s">
        <v>5800</v>
      </c>
      <c r="O771" s="22">
        <v>128.0</v>
      </c>
      <c r="P771" s="28">
        <v>23.0</v>
      </c>
      <c r="Q771" s="28">
        <v>30.0</v>
      </c>
      <c r="R771" s="84"/>
      <c r="S771" s="84"/>
      <c r="T771" s="84"/>
      <c r="U771" s="84"/>
      <c r="V771" s="84"/>
      <c r="W771" s="84"/>
      <c r="X771" s="84"/>
      <c r="Y771" s="84"/>
      <c r="Z771" s="84"/>
      <c r="AA771" s="84"/>
    </row>
    <row r="772" ht="15.75" customHeight="1">
      <c r="A772" s="14" t="s">
        <v>17</v>
      </c>
      <c r="B772" s="15" t="s">
        <v>12507</v>
      </c>
      <c r="C772" s="14" t="s">
        <v>5801</v>
      </c>
      <c r="D772" s="14" t="s">
        <v>5802</v>
      </c>
      <c r="E772" s="26" t="str">
        <f t="shared" si="10"/>
        <v>http://dx.doi.org/10.1109/VISUAL.2000.885700</v>
      </c>
      <c r="F772" s="14">
        <v>235.0</v>
      </c>
      <c r="G772" s="14">
        <v>242.0</v>
      </c>
      <c r="H772" s="14" t="s">
        <v>28</v>
      </c>
      <c r="I772" s="19" t="s">
        <v>12832</v>
      </c>
      <c r="J772" s="19" t="s">
        <v>12834</v>
      </c>
      <c r="K772" s="19" t="s">
        <v>12835</v>
      </c>
      <c r="L772" s="19" t="s">
        <v>1092</v>
      </c>
      <c r="M772" s="20" t="s">
        <v>4139</v>
      </c>
      <c r="N772" s="88" t="s">
        <v>5805</v>
      </c>
      <c r="O772" s="22">
        <v>50.0</v>
      </c>
      <c r="P772" s="28">
        <v>0.0</v>
      </c>
      <c r="Q772" s="28">
        <v>15.0</v>
      </c>
      <c r="R772" s="84"/>
      <c r="S772" s="84"/>
      <c r="T772" s="84"/>
      <c r="U772" s="84"/>
      <c r="V772" s="84"/>
      <c r="W772" s="84"/>
      <c r="X772" s="84"/>
      <c r="Y772" s="84"/>
      <c r="Z772" s="84"/>
      <c r="AA772" s="84"/>
    </row>
    <row r="773" ht="15.75" customHeight="1">
      <c r="A773" s="14" t="s">
        <v>17</v>
      </c>
      <c r="B773" s="15" t="s">
        <v>12507</v>
      </c>
      <c r="C773" s="14" t="s">
        <v>5806</v>
      </c>
      <c r="D773" s="14" t="s">
        <v>5807</v>
      </c>
      <c r="E773" s="26" t="str">
        <f t="shared" si="10"/>
        <v>http://dx.doi.org/10.1109/VISUAL.2000.885701</v>
      </c>
      <c r="F773" s="14">
        <v>243.0</v>
      </c>
      <c r="G773" s="14">
        <v>250.0</v>
      </c>
      <c r="H773" s="14" t="s">
        <v>28</v>
      </c>
      <c r="I773" s="19" t="s">
        <v>12839</v>
      </c>
      <c r="J773" s="19" t="s">
        <v>5809</v>
      </c>
      <c r="K773" s="19" t="s">
        <v>12840</v>
      </c>
      <c r="L773" s="19" t="s">
        <v>12841</v>
      </c>
      <c r="M773" s="20"/>
      <c r="N773" s="44" t="s">
        <v>5811</v>
      </c>
      <c r="O773" s="22">
        <v>26.0</v>
      </c>
      <c r="P773" s="28">
        <v>4.0</v>
      </c>
      <c r="Q773" s="28">
        <v>19.0</v>
      </c>
      <c r="R773" s="84"/>
      <c r="S773" s="84"/>
      <c r="T773" s="84"/>
      <c r="U773" s="84"/>
      <c r="V773" s="84"/>
      <c r="W773" s="84"/>
      <c r="X773" s="84"/>
      <c r="Y773" s="84"/>
      <c r="Z773" s="84"/>
      <c r="AA773" s="84"/>
    </row>
    <row r="774" ht="15.75" customHeight="1">
      <c r="A774" s="14" t="s">
        <v>17</v>
      </c>
      <c r="B774" s="15" t="s">
        <v>12507</v>
      </c>
      <c r="C774" s="14" t="s">
        <v>5812</v>
      </c>
      <c r="D774" s="110" t="s">
        <v>5813</v>
      </c>
      <c r="E774" s="68" t="s">
        <v>5814</v>
      </c>
      <c r="F774" s="50">
        <v>251.0</v>
      </c>
      <c r="G774" s="50">
        <v>258.0</v>
      </c>
      <c r="H774" s="14" t="s">
        <v>28</v>
      </c>
      <c r="I774" s="19" t="s">
        <v>12846</v>
      </c>
      <c r="J774" s="19" t="s">
        <v>5815</v>
      </c>
      <c r="K774" s="19" t="s">
        <v>12847</v>
      </c>
      <c r="L774" s="19" t="s">
        <v>3480</v>
      </c>
      <c r="M774" s="20" t="s">
        <v>5816</v>
      </c>
      <c r="N774" s="111" t="s">
        <v>5817</v>
      </c>
      <c r="O774" s="22">
        <v>32.0</v>
      </c>
      <c r="P774" s="28">
        <v>0.0</v>
      </c>
      <c r="Q774" s="28">
        <v>0.0</v>
      </c>
      <c r="R774" s="84"/>
      <c r="S774" s="84"/>
      <c r="T774" s="84"/>
      <c r="U774" s="84"/>
      <c r="V774" s="84"/>
      <c r="W774" s="84"/>
      <c r="X774" s="84"/>
      <c r="Y774" s="84"/>
      <c r="Z774" s="84"/>
      <c r="AA774" s="84"/>
    </row>
    <row r="775" ht="15.75" customHeight="1">
      <c r="A775" s="14" t="s">
        <v>17</v>
      </c>
      <c r="B775" s="15" t="s">
        <v>12507</v>
      </c>
      <c r="C775" s="14" t="s">
        <v>5818</v>
      </c>
      <c r="D775" s="14" t="s">
        <v>5819</v>
      </c>
      <c r="E775" s="26" t="str">
        <f t="shared" ref="E775:E784" si="11">"http://dx.doi.org/" &amp; D775</f>
        <v>http://dx.doi.org/10.1109/VISUAL.2000.885703</v>
      </c>
      <c r="F775" s="14">
        <v>259.0</v>
      </c>
      <c r="G775" s="14">
        <v>266.0</v>
      </c>
      <c r="H775" s="14" t="s">
        <v>28</v>
      </c>
      <c r="I775" s="19" t="s">
        <v>12863</v>
      </c>
      <c r="J775" s="19" t="s">
        <v>5821</v>
      </c>
      <c r="K775" s="19" t="s">
        <v>12864</v>
      </c>
      <c r="L775" s="19" t="s">
        <v>12865</v>
      </c>
      <c r="M775" s="20" t="s">
        <v>5823</v>
      </c>
      <c r="N775" s="44" t="s">
        <v>5824</v>
      </c>
      <c r="O775" s="22">
        <v>147.0</v>
      </c>
      <c r="P775" s="28">
        <v>30.0</v>
      </c>
      <c r="Q775" s="28">
        <v>24.0</v>
      </c>
      <c r="R775" s="84"/>
      <c r="S775" s="84"/>
      <c r="T775" s="84"/>
      <c r="U775" s="84"/>
      <c r="V775" s="84"/>
      <c r="W775" s="84"/>
      <c r="X775" s="84"/>
      <c r="Y775" s="84"/>
      <c r="Z775" s="84"/>
      <c r="AA775" s="84"/>
    </row>
    <row r="776" ht="15.75" customHeight="1">
      <c r="A776" s="14" t="s">
        <v>17</v>
      </c>
      <c r="B776" s="15" t="s">
        <v>12507</v>
      </c>
      <c r="C776" s="14" t="s">
        <v>5825</v>
      </c>
      <c r="D776" s="14" t="s">
        <v>5826</v>
      </c>
      <c r="E776" s="26" t="str">
        <f t="shared" si="11"/>
        <v>http://dx.doi.org/10.1109/VISUAL.2000.885704</v>
      </c>
      <c r="F776" s="14">
        <v>267.0</v>
      </c>
      <c r="G776" s="14">
        <v>273.0</v>
      </c>
      <c r="H776" s="14" t="s">
        <v>28</v>
      </c>
      <c r="I776" s="19" t="s">
        <v>12866</v>
      </c>
      <c r="J776" s="19" t="s">
        <v>5828</v>
      </c>
      <c r="K776" s="19" t="s">
        <v>12867</v>
      </c>
      <c r="L776" s="19" t="s">
        <v>539</v>
      </c>
      <c r="M776" s="20" t="s">
        <v>5830</v>
      </c>
      <c r="N776" s="27"/>
      <c r="O776" s="22">
        <v>71.0</v>
      </c>
      <c r="P776" s="28">
        <v>29.0</v>
      </c>
      <c r="Q776" s="28">
        <v>22.0</v>
      </c>
      <c r="R776" s="84"/>
      <c r="S776" s="84"/>
      <c r="T776" s="84"/>
      <c r="U776" s="84"/>
      <c r="V776" s="84"/>
      <c r="W776" s="84"/>
      <c r="X776" s="84"/>
      <c r="Y776" s="84"/>
      <c r="Z776" s="84"/>
      <c r="AA776" s="84"/>
    </row>
    <row r="777" ht="15.75" customHeight="1">
      <c r="A777" s="14" t="s">
        <v>17</v>
      </c>
      <c r="B777" s="15" t="s">
        <v>12507</v>
      </c>
      <c r="C777" s="14" t="s">
        <v>5831</v>
      </c>
      <c r="D777" s="14" t="s">
        <v>5832</v>
      </c>
      <c r="E777" s="26" t="str">
        <f t="shared" si="11"/>
        <v>http://dx.doi.org/10.1109/VISUAL.2000.885705</v>
      </c>
      <c r="F777" s="14">
        <v>275.0</v>
      </c>
      <c r="G777" s="14">
        <v>282.0</v>
      </c>
      <c r="H777" s="14" t="s">
        <v>28</v>
      </c>
      <c r="I777" s="19" t="s">
        <v>12875</v>
      </c>
      <c r="J777" s="19" t="s">
        <v>12876</v>
      </c>
      <c r="K777" s="19" t="s">
        <v>12877</v>
      </c>
      <c r="L777" s="19" t="s">
        <v>9057</v>
      </c>
      <c r="M777" s="20" t="s">
        <v>5819</v>
      </c>
      <c r="N777" s="44" t="s">
        <v>5836</v>
      </c>
      <c r="O777" s="22">
        <v>191.0</v>
      </c>
      <c r="P777" s="28">
        <v>45.0</v>
      </c>
      <c r="Q777" s="28">
        <v>55.0</v>
      </c>
      <c r="R777" s="84"/>
      <c r="S777" s="84"/>
      <c r="T777" s="84"/>
      <c r="U777" s="84"/>
      <c r="V777" s="84"/>
      <c r="W777" s="84"/>
      <c r="X777" s="84"/>
      <c r="Y777" s="84"/>
      <c r="Z777" s="84"/>
      <c r="AA777" s="84"/>
    </row>
    <row r="778" ht="15.75" customHeight="1">
      <c r="A778" s="14" t="s">
        <v>17</v>
      </c>
      <c r="B778" s="15" t="s">
        <v>12507</v>
      </c>
      <c r="C778" s="14" t="s">
        <v>5837</v>
      </c>
      <c r="D778" s="14" t="s">
        <v>5838</v>
      </c>
      <c r="E778" s="26" t="str">
        <f t="shared" si="11"/>
        <v>http://dx.doi.org/10.1109/VISUAL.2000.885706</v>
      </c>
      <c r="F778" s="14">
        <v>283.0</v>
      </c>
      <c r="G778" s="14">
        <v>289.0</v>
      </c>
      <c r="H778" s="14" t="s">
        <v>28</v>
      </c>
      <c r="I778" s="19" t="s">
        <v>12878</v>
      </c>
      <c r="J778" s="19" t="s">
        <v>5840</v>
      </c>
      <c r="K778" s="19" t="s">
        <v>12879</v>
      </c>
      <c r="L778" s="19" t="s">
        <v>12788</v>
      </c>
      <c r="M778" s="20" t="s">
        <v>5842</v>
      </c>
      <c r="N778" s="44" t="s">
        <v>5843</v>
      </c>
      <c r="O778" s="22">
        <v>50.0</v>
      </c>
      <c r="P778" s="28">
        <v>2.0</v>
      </c>
      <c r="Q778" s="28">
        <v>26.0</v>
      </c>
      <c r="R778" s="84"/>
      <c r="S778" s="84"/>
      <c r="T778" s="84"/>
      <c r="U778" s="84"/>
      <c r="V778" s="84"/>
      <c r="W778" s="84"/>
      <c r="X778" s="84"/>
      <c r="Y778" s="84"/>
      <c r="Z778" s="84"/>
      <c r="AA778" s="84"/>
    </row>
    <row r="779" ht="15.75" customHeight="1">
      <c r="A779" s="14" t="s">
        <v>17</v>
      </c>
      <c r="B779" s="15" t="s">
        <v>12507</v>
      </c>
      <c r="C779" s="14" t="s">
        <v>5844</v>
      </c>
      <c r="D779" s="14" t="s">
        <v>5845</v>
      </c>
      <c r="E779" s="26" t="str">
        <f t="shared" si="11"/>
        <v>http://dx.doi.org/10.1109/VISUAL.2000.885707</v>
      </c>
      <c r="F779" s="14">
        <v>291.0</v>
      </c>
      <c r="G779" s="14">
        <v>296.0</v>
      </c>
      <c r="H779" s="14" t="s">
        <v>28</v>
      </c>
      <c r="I779" s="19" t="s">
        <v>12886</v>
      </c>
      <c r="J779" s="19" t="s">
        <v>5847</v>
      </c>
      <c r="K779" s="19" t="s">
        <v>12887</v>
      </c>
      <c r="L779" s="19" t="s">
        <v>11988</v>
      </c>
      <c r="M779" s="20" t="s">
        <v>5849</v>
      </c>
      <c r="N779" s="44" t="s">
        <v>5850</v>
      </c>
      <c r="O779" s="22">
        <v>50.0</v>
      </c>
      <c r="P779" s="28">
        <v>2.0</v>
      </c>
      <c r="Q779" s="28">
        <v>17.0</v>
      </c>
      <c r="R779" s="84"/>
      <c r="S779" s="84"/>
      <c r="T779" s="84"/>
      <c r="U779" s="84"/>
      <c r="V779" s="84"/>
      <c r="W779" s="84"/>
      <c r="X779" s="84"/>
      <c r="Y779" s="84"/>
      <c r="Z779" s="84"/>
      <c r="AA779" s="84"/>
    </row>
    <row r="780" ht="15.75" customHeight="1">
      <c r="A780" s="14" t="s">
        <v>17</v>
      </c>
      <c r="B780" s="15" t="s">
        <v>12507</v>
      </c>
      <c r="C780" s="14" t="s">
        <v>5851</v>
      </c>
      <c r="D780" s="14" t="s">
        <v>5852</v>
      </c>
      <c r="E780" s="26" t="str">
        <f t="shared" si="11"/>
        <v>http://dx.doi.org/10.1109/VISUAL.2000.885708</v>
      </c>
      <c r="F780" s="14">
        <v>297.0</v>
      </c>
      <c r="G780" s="14">
        <v>302.0</v>
      </c>
      <c r="H780" s="14" t="s">
        <v>28</v>
      </c>
      <c r="I780" s="19" t="s">
        <v>12888</v>
      </c>
      <c r="J780" s="19" t="s">
        <v>5854</v>
      </c>
      <c r="K780" s="19" t="s">
        <v>12889</v>
      </c>
      <c r="L780" s="19" t="s">
        <v>4736</v>
      </c>
      <c r="M780" s="20"/>
      <c r="N780" s="44" t="s">
        <v>5856</v>
      </c>
      <c r="O780" s="109"/>
      <c r="P780" s="28">
        <v>4.0</v>
      </c>
      <c r="Q780" s="28">
        <v>6.0</v>
      </c>
      <c r="R780" s="84"/>
      <c r="S780" s="84"/>
      <c r="T780" s="84"/>
      <c r="U780" s="84"/>
      <c r="V780" s="84"/>
      <c r="W780" s="84"/>
      <c r="X780" s="84"/>
      <c r="Y780" s="84"/>
      <c r="Z780" s="84"/>
      <c r="AA780" s="84"/>
    </row>
    <row r="781" ht="15.75" customHeight="1">
      <c r="A781" s="14" t="s">
        <v>17</v>
      </c>
      <c r="B781" s="15" t="s">
        <v>12507</v>
      </c>
      <c r="C781" s="14" t="s">
        <v>5857</v>
      </c>
      <c r="D781" s="14" t="s">
        <v>5858</v>
      </c>
      <c r="E781" s="26" t="str">
        <f t="shared" si="11"/>
        <v>http://dx.doi.org/10.1109/VISUAL.2000.885709</v>
      </c>
      <c r="F781" s="14">
        <v>303.0</v>
      </c>
      <c r="G781" s="14">
        <v>310.0</v>
      </c>
      <c r="H781" s="14" t="s">
        <v>28</v>
      </c>
      <c r="I781" s="19" t="s">
        <v>12895</v>
      </c>
      <c r="J781" s="19" t="s">
        <v>5860</v>
      </c>
      <c r="K781" s="19" t="s">
        <v>12898</v>
      </c>
      <c r="L781" s="19" t="s">
        <v>12899</v>
      </c>
      <c r="M781" s="20" t="s">
        <v>79</v>
      </c>
      <c r="N781" s="44" t="s">
        <v>5862</v>
      </c>
      <c r="O781" s="22">
        <v>22.0</v>
      </c>
      <c r="P781" s="28">
        <v>5.0</v>
      </c>
      <c r="Q781" s="28">
        <v>38.0</v>
      </c>
      <c r="R781" s="84"/>
      <c r="S781" s="84"/>
      <c r="T781" s="84"/>
      <c r="U781" s="84"/>
      <c r="V781" s="84"/>
      <c r="W781" s="84"/>
      <c r="X781" s="84"/>
      <c r="Y781" s="84"/>
      <c r="Z781" s="84"/>
      <c r="AA781" s="84"/>
    </row>
    <row r="782" ht="15.75" customHeight="1">
      <c r="A782" s="14" t="s">
        <v>17</v>
      </c>
      <c r="B782" s="15" t="s">
        <v>12507</v>
      </c>
      <c r="C782" s="14" t="s">
        <v>5863</v>
      </c>
      <c r="D782" s="14" t="s">
        <v>5864</v>
      </c>
      <c r="E782" s="26" t="str">
        <f t="shared" si="11"/>
        <v>http://dx.doi.org/10.1109/VISUAL.2000.885710</v>
      </c>
      <c r="F782" s="14">
        <v>311.0</v>
      </c>
      <c r="G782" s="14">
        <v>318.0</v>
      </c>
      <c r="H782" s="14" t="s">
        <v>28</v>
      </c>
      <c r="I782" s="19" t="s">
        <v>12900</v>
      </c>
      <c r="J782" s="19" t="s">
        <v>5866</v>
      </c>
      <c r="K782" s="19" t="s">
        <v>12901</v>
      </c>
      <c r="L782" s="19" t="s">
        <v>5255</v>
      </c>
      <c r="M782" s="20" t="s">
        <v>1107</v>
      </c>
      <c r="N782" s="44" t="s">
        <v>5868</v>
      </c>
      <c r="O782" s="22">
        <v>50.0</v>
      </c>
      <c r="P782" s="28">
        <v>3.0</v>
      </c>
      <c r="Q782" s="28">
        <v>6.0</v>
      </c>
      <c r="R782" s="84"/>
      <c r="S782" s="84"/>
      <c r="T782" s="84"/>
      <c r="U782" s="84"/>
      <c r="V782" s="84"/>
      <c r="W782" s="84"/>
      <c r="X782" s="84"/>
      <c r="Y782" s="84"/>
      <c r="Z782" s="84"/>
      <c r="AA782" s="84"/>
    </row>
    <row r="783" ht="15.75" customHeight="1">
      <c r="A783" s="14" t="s">
        <v>17</v>
      </c>
      <c r="B783" s="15" t="s">
        <v>12507</v>
      </c>
      <c r="C783" s="14" t="s">
        <v>5869</v>
      </c>
      <c r="D783" s="14" t="s">
        <v>5870</v>
      </c>
      <c r="E783" s="26" t="str">
        <f t="shared" si="11"/>
        <v>http://dx.doi.org/10.1109/VISUAL.2000.885711</v>
      </c>
      <c r="F783" s="14">
        <v>319.0</v>
      </c>
      <c r="G783" s="14">
        <v>326.0</v>
      </c>
      <c r="H783" s="14" t="s">
        <v>28</v>
      </c>
      <c r="I783" s="19" t="s">
        <v>12902</v>
      </c>
      <c r="J783" s="19" t="s">
        <v>5872</v>
      </c>
      <c r="K783" s="19" t="s">
        <v>12903</v>
      </c>
      <c r="L783" s="19" t="s">
        <v>12904</v>
      </c>
      <c r="M783" s="20" t="s">
        <v>5874</v>
      </c>
      <c r="N783" s="44" t="s">
        <v>5875</v>
      </c>
      <c r="O783" s="22">
        <v>121.0</v>
      </c>
      <c r="P783" s="28">
        <v>37.0</v>
      </c>
      <c r="Q783" s="28">
        <v>18.0</v>
      </c>
      <c r="R783" s="84"/>
      <c r="S783" s="84"/>
      <c r="T783" s="84"/>
      <c r="U783" s="84"/>
      <c r="V783" s="84"/>
      <c r="W783" s="84"/>
      <c r="X783" s="84"/>
      <c r="Y783" s="84"/>
      <c r="Z783" s="84"/>
      <c r="AA783" s="84"/>
    </row>
    <row r="784" ht="15.75" customHeight="1">
      <c r="A784" s="14" t="s">
        <v>17</v>
      </c>
      <c r="B784" s="15" t="s">
        <v>12507</v>
      </c>
      <c r="C784" s="14" t="s">
        <v>5876</v>
      </c>
      <c r="D784" s="14" t="s">
        <v>5877</v>
      </c>
      <c r="E784" s="26" t="str">
        <f t="shared" si="11"/>
        <v>http://dx.doi.org/10.1109/VISUAL.2000.885712</v>
      </c>
      <c r="F784" s="14">
        <v>327.0</v>
      </c>
      <c r="G784" s="14">
        <v>333.0</v>
      </c>
      <c r="H784" s="14" t="s">
        <v>28</v>
      </c>
      <c r="I784" s="19" t="s">
        <v>12911</v>
      </c>
      <c r="J784" s="19" t="s">
        <v>5879</v>
      </c>
      <c r="K784" s="19" t="s">
        <v>12912</v>
      </c>
      <c r="L784" s="19" t="s">
        <v>1363</v>
      </c>
      <c r="M784" s="20" t="s">
        <v>5880</v>
      </c>
      <c r="N784" s="44" t="s">
        <v>5881</v>
      </c>
      <c r="O784" s="22">
        <v>79.0</v>
      </c>
      <c r="P784" s="28">
        <v>0.0</v>
      </c>
      <c r="Q784" s="28">
        <v>27.0</v>
      </c>
      <c r="R784" s="84"/>
      <c r="S784" s="84"/>
      <c r="T784" s="84"/>
      <c r="U784" s="84"/>
      <c r="V784" s="84"/>
      <c r="W784" s="84"/>
      <c r="X784" s="84"/>
      <c r="Y784" s="84"/>
      <c r="Z784" s="84"/>
      <c r="AA784" s="84"/>
    </row>
    <row r="785" ht="15.75" customHeight="1">
      <c r="A785" s="14" t="s">
        <v>17</v>
      </c>
      <c r="B785" s="15" t="s">
        <v>12507</v>
      </c>
      <c r="C785" s="112" t="s">
        <v>5882</v>
      </c>
      <c r="D785" s="110" t="s">
        <v>5883</v>
      </c>
      <c r="E785" s="81" t="s">
        <v>5884</v>
      </c>
      <c r="F785" s="50">
        <v>335.0</v>
      </c>
      <c r="G785" s="50">
        <v>342.0</v>
      </c>
      <c r="H785" s="14" t="s">
        <v>28</v>
      </c>
      <c r="I785" s="19" t="s">
        <v>12920</v>
      </c>
      <c r="J785" s="19" t="s">
        <v>5885</v>
      </c>
      <c r="K785" s="19" t="s">
        <v>12921</v>
      </c>
      <c r="L785" s="19" t="s">
        <v>12922</v>
      </c>
      <c r="M785" s="20" t="s">
        <v>5887</v>
      </c>
      <c r="N785" s="21"/>
      <c r="O785" s="22">
        <v>50.0</v>
      </c>
      <c r="P785" s="28">
        <v>0.0</v>
      </c>
      <c r="Q785" s="28">
        <v>0.0</v>
      </c>
      <c r="R785" s="84"/>
      <c r="S785" s="84"/>
      <c r="T785" s="84"/>
      <c r="U785" s="84"/>
      <c r="V785" s="84"/>
      <c r="W785" s="84"/>
      <c r="X785" s="84"/>
      <c r="Y785" s="84"/>
      <c r="Z785" s="84"/>
      <c r="AA785" s="84"/>
    </row>
    <row r="786" ht="15.75" customHeight="1">
      <c r="A786" s="14" t="s">
        <v>17</v>
      </c>
      <c r="B786" s="15" t="s">
        <v>12507</v>
      </c>
      <c r="C786" s="14" t="s">
        <v>5888</v>
      </c>
      <c r="D786" s="14" t="s">
        <v>5889</v>
      </c>
      <c r="E786" s="26" t="str">
        <f>"http://dx.doi.org/" &amp; D786</f>
        <v>http://dx.doi.org/10.1109/VISUAL.2000.885714</v>
      </c>
      <c r="F786" s="14">
        <v>343.0</v>
      </c>
      <c r="G786" s="14">
        <v>350.0</v>
      </c>
      <c r="H786" s="14" t="s">
        <v>28</v>
      </c>
      <c r="I786" s="19" t="s">
        <v>12924</v>
      </c>
      <c r="J786" s="19" t="s">
        <v>5891</v>
      </c>
      <c r="K786" s="19" t="s">
        <v>12927</v>
      </c>
      <c r="L786" s="19" t="s">
        <v>4721</v>
      </c>
      <c r="M786" s="20" t="s">
        <v>5892</v>
      </c>
      <c r="N786" s="44" t="s">
        <v>5893</v>
      </c>
      <c r="O786" s="22">
        <v>53.0</v>
      </c>
      <c r="P786" s="28">
        <v>17.0</v>
      </c>
      <c r="Q786" s="28">
        <v>15.0</v>
      </c>
      <c r="R786" s="84"/>
      <c r="S786" s="84"/>
      <c r="T786" s="84"/>
      <c r="U786" s="84"/>
      <c r="V786" s="84"/>
      <c r="W786" s="84"/>
      <c r="X786" s="84"/>
      <c r="Y786" s="84"/>
      <c r="Z786" s="84"/>
      <c r="AA786" s="84"/>
    </row>
    <row r="787" ht="15.75" customHeight="1">
      <c r="A787" s="14" t="s">
        <v>17</v>
      </c>
      <c r="B787" s="15" t="s">
        <v>12507</v>
      </c>
      <c r="C787" s="14" t="s">
        <v>5894</v>
      </c>
      <c r="D787" s="67" t="s">
        <v>5895</v>
      </c>
      <c r="E787" s="68" t="s">
        <v>5896</v>
      </c>
      <c r="F787" s="50">
        <v>351.0</v>
      </c>
      <c r="G787" s="50">
        <v>358.0</v>
      </c>
      <c r="H787" s="14" t="s">
        <v>28</v>
      </c>
      <c r="I787" s="19" t="s">
        <v>12938</v>
      </c>
      <c r="J787" s="19" t="s">
        <v>12939</v>
      </c>
      <c r="K787" s="19" t="s">
        <v>12940</v>
      </c>
      <c r="L787" s="18"/>
      <c r="M787" s="20" t="s">
        <v>5899</v>
      </c>
      <c r="N787" s="21"/>
      <c r="O787" s="22">
        <v>42.0</v>
      </c>
      <c r="P787" s="28">
        <v>4.0</v>
      </c>
      <c r="Q787" s="28">
        <v>0.0</v>
      </c>
      <c r="R787" s="84"/>
      <c r="S787" s="84"/>
      <c r="T787" s="84"/>
      <c r="U787" s="84"/>
      <c r="V787" s="84"/>
      <c r="W787" s="84"/>
      <c r="X787" s="84"/>
      <c r="Y787" s="84"/>
      <c r="Z787" s="84"/>
      <c r="AA787" s="84"/>
    </row>
    <row r="788" ht="15.75" customHeight="1">
      <c r="A788" s="14" t="s">
        <v>17</v>
      </c>
      <c r="B788" s="15" t="s">
        <v>12507</v>
      </c>
      <c r="C788" s="14" t="s">
        <v>5900</v>
      </c>
      <c r="D788" s="14" t="s">
        <v>5901</v>
      </c>
      <c r="E788" s="26" t="str">
        <f t="shared" ref="E788:E791" si="12">"http://dx.doi.org/" &amp; D788</f>
        <v>http://dx.doi.org/10.1109/VISUAL.2000.885716</v>
      </c>
      <c r="F788" s="14">
        <v>359.0</v>
      </c>
      <c r="G788" s="14">
        <v>366.0</v>
      </c>
      <c r="H788" s="14" t="s">
        <v>28</v>
      </c>
      <c r="I788" s="19" t="s">
        <v>12941</v>
      </c>
      <c r="J788" s="19" t="s">
        <v>5903</v>
      </c>
      <c r="K788" s="19" t="s">
        <v>12942</v>
      </c>
      <c r="L788" s="19" t="s">
        <v>5255</v>
      </c>
      <c r="M788" s="20" t="s">
        <v>5904</v>
      </c>
      <c r="N788" s="44" t="s">
        <v>5905</v>
      </c>
      <c r="O788" s="22">
        <v>140.0</v>
      </c>
      <c r="P788" s="28">
        <v>41.0</v>
      </c>
      <c r="Q788" s="28">
        <v>12.0</v>
      </c>
      <c r="R788" s="84"/>
      <c r="S788" s="84"/>
      <c r="T788" s="84"/>
      <c r="U788" s="84"/>
      <c r="V788" s="84"/>
      <c r="W788" s="84"/>
      <c r="X788" s="84"/>
      <c r="Y788" s="84"/>
      <c r="Z788" s="84"/>
      <c r="AA788" s="84"/>
    </row>
    <row r="789" ht="15.75" customHeight="1">
      <c r="A789" s="14" t="s">
        <v>17</v>
      </c>
      <c r="B789" s="15" t="s">
        <v>12507</v>
      </c>
      <c r="C789" s="14" t="s">
        <v>5906</v>
      </c>
      <c r="D789" s="14" t="s">
        <v>5907</v>
      </c>
      <c r="E789" s="26" t="str">
        <f t="shared" si="12"/>
        <v>http://dx.doi.org/10.1109/VISUAL.2000.885717</v>
      </c>
      <c r="F789" s="14">
        <v>367.0</v>
      </c>
      <c r="G789" s="14">
        <v>372.0</v>
      </c>
      <c r="H789" s="14" t="s">
        <v>28</v>
      </c>
      <c r="I789" s="19" t="s">
        <v>12947</v>
      </c>
      <c r="J789" s="19" t="s">
        <v>5909</v>
      </c>
      <c r="K789" s="19" t="s">
        <v>12949</v>
      </c>
      <c r="L789" s="19" t="s">
        <v>12950</v>
      </c>
      <c r="M789" s="20" t="s">
        <v>5911</v>
      </c>
      <c r="N789" s="44" t="s">
        <v>5912</v>
      </c>
      <c r="O789" s="22">
        <v>37.0</v>
      </c>
      <c r="P789" s="28">
        <v>8.0</v>
      </c>
      <c r="Q789" s="28">
        <v>11.0</v>
      </c>
      <c r="R789" s="84"/>
      <c r="S789" s="84"/>
      <c r="T789" s="84"/>
      <c r="U789" s="84"/>
      <c r="V789" s="84"/>
      <c r="W789" s="84"/>
      <c r="X789" s="84"/>
      <c r="Y789" s="84"/>
      <c r="Z789" s="84"/>
      <c r="AA789" s="84"/>
    </row>
    <row r="790" ht="15.75" customHeight="1">
      <c r="A790" s="14" t="s">
        <v>17</v>
      </c>
      <c r="B790" s="15" t="s">
        <v>12507</v>
      </c>
      <c r="C790" s="14" t="s">
        <v>5913</v>
      </c>
      <c r="D790" s="14" t="s">
        <v>5914</v>
      </c>
      <c r="E790" s="26" t="str">
        <f t="shared" si="12"/>
        <v>http://dx.doi.org/10.1109/VISUAL.2000.885718</v>
      </c>
      <c r="F790" s="14">
        <v>373.0</v>
      </c>
      <c r="G790" s="14">
        <v>380.0</v>
      </c>
      <c r="H790" s="14" t="s">
        <v>28</v>
      </c>
      <c r="I790" s="19" t="s">
        <v>12951</v>
      </c>
      <c r="J790" s="19" t="s">
        <v>5916</v>
      </c>
      <c r="K790" s="19" t="s">
        <v>12952</v>
      </c>
      <c r="L790" s="19" t="s">
        <v>12953</v>
      </c>
      <c r="M790" s="20" t="s">
        <v>4148</v>
      </c>
      <c r="N790" s="44" t="s">
        <v>5918</v>
      </c>
      <c r="O790" s="22">
        <v>46.0</v>
      </c>
      <c r="P790" s="28">
        <v>11.0</v>
      </c>
      <c r="Q790" s="28">
        <v>18.0</v>
      </c>
      <c r="R790" s="84"/>
      <c r="S790" s="84"/>
      <c r="T790" s="84"/>
      <c r="U790" s="84"/>
      <c r="V790" s="84"/>
      <c r="W790" s="84"/>
      <c r="X790" s="84"/>
      <c r="Y790" s="84"/>
      <c r="Z790" s="84"/>
      <c r="AA790" s="84"/>
    </row>
    <row r="791" ht="15.75" customHeight="1">
      <c r="A791" s="14" t="s">
        <v>17</v>
      </c>
      <c r="B791" s="15" t="s">
        <v>12507</v>
      </c>
      <c r="C791" s="14" t="s">
        <v>5919</v>
      </c>
      <c r="D791" s="14" t="s">
        <v>5920</v>
      </c>
      <c r="E791" s="26" t="str">
        <f t="shared" si="12"/>
        <v>http://dx.doi.org/10.1109/VISUAL.2000.885719</v>
      </c>
      <c r="F791" s="14">
        <v>381.0</v>
      </c>
      <c r="G791" s="14">
        <v>387.0</v>
      </c>
      <c r="H791" s="14" t="s">
        <v>28</v>
      </c>
      <c r="I791" s="19" t="s">
        <v>12954</v>
      </c>
      <c r="J791" s="19" t="s">
        <v>5922</v>
      </c>
      <c r="K791" s="19" t="s">
        <v>12955</v>
      </c>
      <c r="L791" s="19" t="s">
        <v>12956</v>
      </c>
      <c r="M791" s="20"/>
      <c r="N791" s="44" t="s">
        <v>5924</v>
      </c>
      <c r="O791" s="22">
        <v>0.0</v>
      </c>
      <c r="P791" s="28">
        <v>0.0</v>
      </c>
      <c r="Q791" s="28">
        <v>12.0</v>
      </c>
      <c r="R791" s="84"/>
      <c r="S791" s="84"/>
      <c r="T791" s="84"/>
      <c r="U791" s="84"/>
      <c r="V791" s="84"/>
      <c r="W791" s="84"/>
      <c r="X791" s="84"/>
      <c r="Y791" s="84"/>
      <c r="Z791" s="84"/>
      <c r="AA791" s="84"/>
    </row>
    <row r="792" ht="13.5" customHeight="1">
      <c r="A792" s="14" t="s">
        <v>17</v>
      </c>
      <c r="B792" s="15" t="s">
        <v>12507</v>
      </c>
      <c r="C792" s="95" t="s">
        <v>5925</v>
      </c>
      <c r="D792" s="67" t="s">
        <v>5926</v>
      </c>
      <c r="E792" s="68" t="s">
        <v>5927</v>
      </c>
      <c r="F792" s="50">
        <v>389.0</v>
      </c>
      <c r="G792" s="50">
        <v>396.0</v>
      </c>
      <c r="H792" s="14" t="s">
        <v>28</v>
      </c>
      <c r="I792" s="19" t="s">
        <v>12963</v>
      </c>
      <c r="J792" s="19" t="s">
        <v>5928</v>
      </c>
      <c r="K792" s="19" t="s">
        <v>12964</v>
      </c>
      <c r="L792" s="19" t="s">
        <v>12965</v>
      </c>
      <c r="M792" s="20" t="s">
        <v>5930</v>
      </c>
      <c r="N792" s="21"/>
      <c r="O792" s="109"/>
      <c r="P792" s="28">
        <v>11.0</v>
      </c>
      <c r="Q792" s="28">
        <v>0.0</v>
      </c>
      <c r="R792" s="84"/>
      <c r="S792" s="84"/>
      <c r="T792" s="84"/>
      <c r="U792" s="84"/>
      <c r="V792" s="84"/>
      <c r="W792" s="84"/>
      <c r="X792" s="84"/>
      <c r="Y792" s="84"/>
      <c r="Z792" s="84"/>
      <c r="AA792" s="84"/>
    </row>
    <row r="793" ht="15.75" customHeight="1">
      <c r="A793" s="14" t="s">
        <v>17</v>
      </c>
      <c r="B793" s="15" t="s">
        <v>12507</v>
      </c>
      <c r="C793" s="14" t="s">
        <v>5931</v>
      </c>
      <c r="D793" s="14" t="s">
        <v>5932</v>
      </c>
      <c r="E793" s="26" t="str">
        <f>"http://dx.doi.org/" &amp; D793</f>
        <v>http://dx.doi.org/10.1109/VISUAL.2000.885721</v>
      </c>
      <c r="F793" s="14">
        <v>397.0</v>
      </c>
      <c r="G793" s="14">
        <v>405.0</v>
      </c>
      <c r="H793" s="14" t="s">
        <v>28</v>
      </c>
      <c r="I793" s="19" t="s">
        <v>12973</v>
      </c>
      <c r="J793" s="19" t="s">
        <v>5934</v>
      </c>
      <c r="K793" s="19" t="s">
        <v>12974</v>
      </c>
      <c r="L793" s="19" t="s">
        <v>12975</v>
      </c>
      <c r="M793" s="20" t="s">
        <v>5237</v>
      </c>
      <c r="N793" s="44" t="s">
        <v>5936</v>
      </c>
      <c r="O793" s="22">
        <v>337.0</v>
      </c>
      <c r="P793" s="28">
        <v>86.0</v>
      </c>
      <c r="Q793" s="28">
        <v>22.0</v>
      </c>
      <c r="R793" s="84"/>
      <c r="S793" s="84"/>
      <c r="T793" s="84"/>
      <c r="U793" s="84"/>
      <c r="V793" s="84"/>
      <c r="W793" s="84"/>
      <c r="X793" s="84"/>
      <c r="Y793" s="84"/>
      <c r="Z793" s="84"/>
      <c r="AA793" s="84"/>
    </row>
    <row r="794" ht="15.75" customHeight="1">
      <c r="A794" s="14" t="s">
        <v>17</v>
      </c>
      <c r="B794" s="15" t="s">
        <v>12507</v>
      </c>
      <c r="C794" s="14" t="s">
        <v>5937</v>
      </c>
      <c r="D794" s="14" t="s">
        <v>5938</v>
      </c>
      <c r="E794" s="49" t="str">
        <f>HYPERLINK("http://doi.ieeecomputersociety.org/10.1109/VISUAL.2000.885722","http://doi.ieeecomputersociety.org/10.1109/VISUAL.2000.885722")</f>
        <v>http://doi.ieeecomputersociety.org/10.1109/VISUAL.2000.885722</v>
      </c>
      <c r="F794" s="50">
        <v>407.0</v>
      </c>
      <c r="G794" s="50">
        <v>414.0</v>
      </c>
      <c r="H794" s="14" t="s">
        <v>28</v>
      </c>
      <c r="I794" s="19" t="s">
        <v>12979</v>
      </c>
      <c r="J794" s="19" t="s">
        <v>5940</v>
      </c>
      <c r="K794" s="19" t="s">
        <v>12981</v>
      </c>
      <c r="L794" s="19" t="s">
        <v>12982</v>
      </c>
      <c r="M794" s="20"/>
      <c r="N794" s="21"/>
      <c r="O794" s="22">
        <v>41.0</v>
      </c>
      <c r="P794" s="28">
        <v>6.0</v>
      </c>
      <c r="Q794" s="28">
        <v>0.0</v>
      </c>
      <c r="R794" s="84"/>
      <c r="S794" s="84"/>
      <c r="T794" s="84"/>
      <c r="U794" s="84"/>
      <c r="V794" s="84"/>
      <c r="W794" s="84"/>
      <c r="X794" s="84"/>
      <c r="Y794" s="84"/>
      <c r="Z794" s="84"/>
      <c r="AA794" s="84"/>
    </row>
    <row r="795" ht="15.75" customHeight="1">
      <c r="A795" s="14" t="s">
        <v>17</v>
      </c>
      <c r="B795" s="15" t="s">
        <v>12507</v>
      </c>
      <c r="C795" s="14" t="s">
        <v>5942</v>
      </c>
      <c r="D795" s="54" t="s">
        <v>5943</v>
      </c>
      <c r="E795" s="49" t="str">
        <f>HYPERLINK("http://doi.ieeecomputersociety.org/10.1109/VISUAL.2000.885723","http://doi.ieeecomputersociety.org/10.1109/VISUAL.2000.885723")</f>
        <v>http://doi.ieeecomputersociety.org/10.1109/VISUAL.2000.885723</v>
      </c>
      <c r="F795" s="50">
        <v>415.0</v>
      </c>
      <c r="G795" s="50">
        <v>422.0</v>
      </c>
      <c r="H795" s="14" t="s">
        <v>28</v>
      </c>
      <c r="I795" s="19" t="s">
        <v>12986</v>
      </c>
      <c r="J795" s="19" t="s">
        <v>5945</v>
      </c>
      <c r="K795" s="19" t="s">
        <v>12987</v>
      </c>
      <c r="L795" s="19" t="s">
        <v>4174</v>
      </c>
      <c r="M795" s="20" t="s">
        <v>5947</v>
      </c>
      <c r="N795" s="111" t="s">
        <v>5948</v>
      </c>
      <c r="O795" s="22">
        <v>50.0</v>
      </c>
      <c r="P795" s="28">
        <v>4.0</v>
      </c>
      <c r="Q795" s="28">
        <v>0.0</v>
      </c>
      <c r="R795" s="84"/>
      <c r="S795" s="84"/>
      <c r="T795" s="84"/>
      <c r="U795" s="84"/>
      <c r="V795" s="84"/>
      <c r="W795" s="84"/>
      <c r="X795" s="84"/>
      <c r="Y795" s="84"/>
      <c r="Z795" s="84"/>
      <c r="AA795" s="84"/>
    </row>
    <row r="796" ht="15.75" customHeight="1">
      <c r="A796" s="14" t="s">
        <v>17</v>
      </c>
      <c r="B796" s="15" t="s">
        <v>12507</v>
      </c>
      <c r="C796" s="14" t="s">
        <v>5949</v>
      </c>
      <c r="D796" s="14" t="s">
        <v>5950</v>
      </c>
      <c r="E796" s="26" t="str">
        <f t="shared" ref="E796:E815" si="13">"http://dx.doi.org/" &amp; D796</f>
        <v>http://dx.doi.org/10.1109/VISUAL.2000.885724</v>
      </c>
      <c r="F796" s="14">
        <v>423.0</v>
      </c>
      <c r="G796" s="14">
        <v>430.0</v>
      </c>
      <c r="H796" s="14" t="s">
        <v>28</v>
      </c>
      <c r="I796" s="19" t="s">
        <v>12995</v>
      </c>
      <c r="J796" s="19" t="s">
        <v>5952</v>
      </c>
      <c r="K796" s="19" t="s">
        <v>12996</v>
      </c>
      <c r="L796" s="19" t="s">
        <v>12997</v>
      </c>
      <c r="M796" s="20" t="s">
        <v>5954</v>
      </c>
      <c r="N796" s="27"/>
      <c r="O796" s="22">
        <v>99.0</v>
      </c>
      <c r="P796" s="28">
        <v>22.0</v>
      </c>
      <c r="Q796" s="28">
        <v>25.0</v>
      </c>
      <c r="R796" s="84"/>
      <c r="S796" s="84"/>
      <c r="T796" s="84"/>
      <c r="U796" s="84"/>
      <c r="V796" s="84"/>
      <c r="W796" s="84"/>
      <c r="X796" s="84"/>
      <c r="Y796" s="84"/>
      <c r="Z796" s="84"/>
      <c r="AA796" s="84"/>
    </row>
    <row r="797" ht="15.75" customHeight="1">
      <c r="A797" s="14" t="s">
        <v>17</v>
      </c>
      <c r="B797" s="15" t="s">
        <v>12507</v>
      </c>
      <c r="C797" s="14" t="s">
        <v>5955</v>
      </c>
      <c r="D797" s="14" t="s">
        <v>5956</v>
      </c>
      <c r="E797" s="26" t="str">
        <f t="shared" si="13"/>
        <v>http://dx.doi.org/10.1109/VISUAL.2000.885725</v>
      </c>
      <c r="F797" s="14">
        <v>433.0</v>
      </c>
      <c r="G797" s="14">
        <v>436.0</v>
      </c>
      <c r="H797" s="14" t="s">
        <v>28</v>
      </c>
      <c r="I797" s="19" t="s">
        <v>12998</v>
      </c>
      <c r="J797" s="19" t="s">
        <v>5958</v>
      </c>
      <c r="K797" s="19" t="s">
        <v>12999</v>
      </c>
      <c r="L797" s="19" t="s">
        <v>9576</v>
      </c>
      <c r="M797" s="20" t="s">
        <v>5959</v>
      </c>
      <c r="N797" s="113" t="s">
        <v>5960</v>
      </c>
      <c r="O797" s="22">
        <v>50.0</v>
      </c>
      <c r="P797" s="28">
        <v>0.0</v>
      </c>
      <c r="Q797" s="28">
        <v>10.0</v>
      </c>
      <c r="R797" s="84"/>
      <c r="S797" s="84"/>
      <c r="T797" s="84"/>
      <c r="U797" s="84"/>
      <c r="V797" s="84"/>
      <c r="W797" s="84"/>
      <c r="X797" s="84"/>
      <c r="Y797" s="84"/>
      <c r="Z797" s="84"/>
      <c r="AA797" s="84"/>
    </row>
    <row r="798" ht="15.75" customHeight="1">
      <c r="A798" s="14" t="s">
        <v>17</v>
      </c>
      <c r="B798" s="15" t="s">
        <v>12507</v>
      </c>
      <c r="C798" s="14" t="s">
        <v>5961</v>
      </c>
      <c r="D798" s="14" t="s">
        <v>5962</v>
      </c>
      <c r="E798" s="26" t="str">
        <f t="shared" si="13"/>
        <v>http://dx.doi.org/10.1109/VISUAL.2000.885726</v>
      </c>
      <c r="F798" s="14">
        <v>437.0</v>
      </c>
      <c r="G798" s="14">
        <v>440.0</v>
      </c>
      <c r="H798" s="14" t="s">
        <v>28</v>
      </c>
      <c r="I798" s="19" t="s">
        <v>13008</v>
      </c>
      <c r="J798" s="19" t="s">
        <v>13010</v>
      </c>
      <c r="K798" s="19" t="s">
        <v>13012</v>
      </c>
      <c r="L798" s="19" t="s">
        <v>5327</v>
      </c>
      <c r="M798" s="20" t="s">
        <v>5301</v>
      </c>
      <c r="N798" s="113" t="s">
        <v>5965</v>
      </c>
      <c r="O798" s="22">
        <v>50.0</v>
      </c>
      <c r="P798" s="28">
        <v>2.0</v>
      </c>
      <c r="Q798" s="28">
        <v>7.0</v>
      </c>
      <c r="R798" s="84"/>
      <c r="S798" s="84"/>
      <c r="T798" s="84"/>
      <c r="U798" s="84"/>
      <c r="V798" s="84"/>
      <c r="W798" s="84"/>
      <c r="X798" s="84"/>
      <c r="Y798" s="84"/>
      <c r="Z798" s="84"/>
      <c r="AA798" s="84"/>
    </row>
    <row r="799" ht="15.75" customHeight="1">
      <c r="A799" s="14" t="s">
        <v>17</v>
      </c>
      <c r="B799" s="15" t="s">
        <v>12507</v>
      </c>
      <c r="C799" s="14" t="s">
        <v>5966</v>
      </c>
      <c r="D799" s="14" t="s">
        <v>5967</v>
      </c>
      <c r="E799" s="26" t="str">
        <f t="shared" si="13"/>
        <v>http://dx.doi.org/10.1109/VISUAL.2000.885727</v>
      </c>
      <c r="F799" s="14">
        <v>441.0</v>
      </c>
      <c r="G799" s="14">
        <v>444.0</v>
      </c>
      <c r="H799" s="14" t="s">
        <v>28</v>
      </c>
      <c r="I799" s="19" t="s">
        <v>13017</v>
      </c>
      <c r="J799" s="19" t="s">
        <v>5969</v>
      </c>
      <c r="K799" s="19" t="s">
        <v>13018</v>
      </c>
      <c r="L799" s="19" t="s">
        <v>13019</v>
      </c>
      <c r="M799" s="20"/>
      <c r="N799" s="113" t="s">
        <v>5971</v>
      </c>
      <c r="O799" s="22">
        <v>18.0</v>
      </c>
      <c r="P799" s="28">
        <v>2.0</v>
      </c>
      <c r="Q799" s="28">
        <v>10.0</v>
      </c>
      <c r="R799" s="84"/>
      <c r="S799" s="84"/>
      <c r="T799" s="84"/>
      <c r="U799" s="84"/>
      <c r="V799" s="84"/>
      <c r="W799" s="84"/>
      <c r="X799" s="84"/>
      <c r="Y799" s="84"/>
      <c r="Z799" s="84"/>
      <c r="AA799" s="84"/>
    </row>
    <row r="800" ht="15.75" customHeight="1">
      <c r="A800" s="14" t="s">
        <v>17</v>
      </c>
      <c r="B800" s="15" t="s">
        <v>12507</v>
      </c>
      <c r="C800" s="14" t="s">
        <v>5972</v>
      </c>
      <c r="D800" s="14" t="s">
        <v>5973</v>
      </c>
      <c r="E800" s="26" t="str">
        <f t="shared" si="13"/>
        <v>http://dx.doi.org/10.1109/VISUAL.2000.885728</v>
      </c>
      <c r="F800" s="14">
        <v>445.0</v>
      </c>
      <c r="G800" s="14">
        <v>448.0</v>
      </c>
      <c r="H800" s="14" t="s">
        <v>28</v>
      </c>
      <c r="I800" s="19" t="s">
        <v>13021</v>
      </c>
      <c r="J800" s="19" t="s">
        <v>5975</v>
      </c>
      <c r="K800" s="19" t="s">
        <v>13023</v>
      </c>
      <c r="L800" s="19" t="s">
        <v>13025</v>
      </c>
      <c r="M800" s="20" t="s">
        <v>1107</v>
      </c>
      <c r="N800" s="113" t="s">
        <v>5977</v>
      </c>
      <c r="O800" s="22">
        <v>30.0</v>
      </c>
      <c r="P800" s="28">
        <v>4.0</v>
      </c>
      <c r="Q800" s="28">
        <v>20.0</v>
      </c>
      <c r="R800" s="84"/>
      <c r="S800" s="84"/>
      <c r="T800" s="84"/>
      <c r="U800" s="84"/>
      <c r="V800" s="84"/>
      <c r="W800" s="84"/>
      <c r="X800" s="84"/>
      <c r="Y800" s="84"/>
      <c r="Z800" s="84"/>
      <c r="AA800" s="84"/>
    </row>
    <row r="801" ht="15.75" customHeight="1">
      <c r="A801" s="14" t="s">
        <v>17</v>
      </c>
      <c r="B801" s="15" t="s">
        <v>12507</v>
      </c>
      <c r="C801" s="14" t="s">
        <v>5978</v>
      </c>
      <c r="D801" s="14" t="s">
        <v>5979</v>
      </c>
      <c r="E801" s="26" t="str">
        <f t="shared" si="13"/>
        <v>http://dx.doi.org/10.1109/VISUAL.2000.885729</v>
      </c>
      <c r="F801" s="14">
        <v>449.0</v>
      </c>
      <c r="G801" s="14">
        <v>452.0</v>
      </c>
      <c r="H801" s="14" t="s">
        <v>28</v>
      </c>
      <c r="I801" s="19" t="s">
        <v>13029</v>
      </c>
      <c r="J801" s="19" t="s">
        <v>5981</v>
      </c>
      <c r="K801" s="19" t="s">
        <v>13030</v>
      </c>
      <c r="L801" s="19" t="s">
        <v>12435</v>
      </c>
      <c r="M801" s="20" t="s">
        <v>3151</v>
      </c>
      <c r="N801" s="113" t="s">
        <v>5983</v>
      </c>
      <c r="O801" s="22">
        <v>85.0</v>
      </c>
      <c r="P801" s="28">
        <v>19.0</v>
      </c>
      <c r="Q801" s="28">
        <v>14.0</v>
      </c>
      <c r="R801" s="84"/>
      <c r="S801" s="84"/>
      <c r="T801" s="84"/>
      <c r="U801" s="84"/>
      <c r="V801" s="84"/>
      <c r="W801" s="84"/>
      <c r="X801" s="84"/>
      <c r="Y801" s="84"/>
      <c r="Z801" s="84"/>
      <c r="AA801" s="84"/>
    </row>
    <row r="802" ht="15.75" customHeight="1">
      <c r="A802" s="14" t="s">
        <v>17</v>
      </c>
      <c r="B802" s="15" t="s">
        <v>12507</v>
      </c>
      <c r="C802" s="14" t="s">
        <v>5984</v>
      </c>
      <c r="D802" s="14" t="s">
        <v>5985</v>
      </c>
      <c r="E802" s="26" t="str">
        <f t="shared" si="13"/>
        <v>http://dx.doi.org/10.1109/VISUAL.2000.885730</v>
      </c>
      <c r="F802" s="14">
        <v>453.0</v>
      </c>
      <c r="G802" s="14">
        <v>456.0</v>
      </c>
      <c r="H802" s="14" t="s">
        <v>28</v>
      </c>
      <c r="I802" s="19" t="s">
        <v>13031</v>
      </c>
      <c r="J802" s="19" t="s">
        <v>5987</v>
      </c>
      <c r="K802" s="19" t="s">
        <v>13032</v>
      </c>
      <c r="L802" s="19" t="s">
        <v>13033</v>
      </c>
      <c r="M802" s="20"/>
      <c r="N802" s="113" t="s">
        <v>5989</v>
      </c>
      <c r="O802" s="22">
        <v>50.0</v>
      </c>
      <c r="P802" s="28">
        <v>1.0</v>
      </c>
      <c r="Q802" s="28">
        <v>20.0</v>
      </c>
      <c r="R802" s="84"/>
      <c r="S802" s="84"/>
      <c r="T802" s="84"/>
      <c r="U802" s="84"/>
      <c r="V802" s="84"/>
      <c r="W802" s="84"/>
      <c r="X802" s="84"/>
      <c r="Y802" s="84"/>
      <c r="Z802" s="84"/>
      <c r="AA802" s="84"/>
    </row>
    <row r="803" ht="15.75" customHeight="1">
      <c r="A803" s="14" t="s">
        <v>17</v>
      </c>
      <c r="B803" s="15" t="s">
        <v>12507</v>
      </c>
      <c r="C803" s="14" t="s">
        <v>5990</v>
      </c>
      <c r="D803" s="14" t="s">
        <v>5991</v>
      </c>
      <c r="E803" s="26" t="str">
        <f t="shared" si="13"/>
        <v>http://dx.doi.org/10.1109/VISUAL.2000.885731</v>
      </c>
      <c r="F803" s="14">
        <v>457.0</v>
      </c>
      <c r="G803" s="14">
        <v>460.0</v>
      </c>
      <c r="H803" s="14" t="s">
        <v>28</v>
      </c>
      <c r="I803" s="19" t="s">
        <v>13039</v>
      </c>
      <c r="J803" s="19" t="s">
        <v>5993</v>
      </c>
      <c r="K803" s="19" t="s">
        <v>13040</v>
      </c>
      <c r="L803" s="19" t="s">
        <v>5137</v>
      </c>
      <c r="M803" s="20" t="s">
        <v>470</v>
      </c>
      <c r="N803" s="27"/>
      <c r="O803" s="22">
        <v>36.0</v>
      </c>
      <c r="P803" s="28">
        <v>7.0</v>
      </c>
      <c r="Q803" s="28">
        <v>17.0</v>
      </c>
      <c r="R803" s="84"/>
      <c r="S803" s="84"/>
      <c r="T803" s="84"/>
      <c r="U803" s="84"/>
      <c r="V803" s="84"/>
      <c r="W803" s="84"/>
      <c r="X803" s="84"/>
      <c r="Y803" s="84"/>
      <c r="Z803" s="84"/>
      <c r="AA803" s="84"/>
    </row>
    <row r="804" ht="15.75" customHeight="1">
      <c r="A804" s="14" t="s">
        <v>17</v>
      </c>
      <c r="B804" s="15" t="s">
        <v>12507</v>
      </c>
      <c r="C804" s="14" t="s">
        <v>5995</v>
      </c>
      <c r="D804" s="14" t="s">
        <v>5996</v>
      </c>
      <c r="E804" s="26" t="str">
        <f t="shared" si="13"/>
        <v>http://dx.doi.org/10.1109/VISUAL.2000.885732</v>
      </c>
      <c r="F804" s="14">
        <v>461.0</v>
      </c>
      <c r="G804" s="14">
        <v>464.0</v>
      </c>
      <c r="H804" s="14" t="s">
        <v>28</v>
      </c>
      <c r="I804" s="19" t="s">
        <v>13041</v>
      </c>
      <c r="J804" s="19" t="s">
        <v>13042</v>
      </c>
      <c r="K804" s="19" t="s">
        <v>13043</v>
      </c>
      <c r="L804" s="19" t="s">
        <v>13044</v>
      </c>
      <c r="M804" s="20" t="s">
        <v>6003</v>
      </c>
      <c r="N804" s="113" t="s">
        <v>6004</v>
      </c>
      <c r="O804" s="22">
        <v>28.0</v>
      </c>
      <c r="P804" s="28">
        <v>6.0</v>
      </c>
      <c r="Q804" s="28">
        <v>13.0</v>
      </c>
      <c r="R804" s="84"/>
      <c r="S804" s="84"/>
      <c r="T804" s="84"/>
      <c r="U804" s="84"/>
      <c r="V804" s="84"/>
      <c r="W804" s="84"/>
      <c r="X804" s="84"/>
      <c r="Y804" s="84"/>
      <c r="Z804" s="84"/>
      <c r="AA804" s="84"/>
    </row>
    <row r="805" ht="15.75" customHeight="1">
      <c r="A805" s="14" t="s">
        <v>17</v>
      </c>
      <c r="B805" s="15" t="s">
        <v>12507</v>
      </c>
      <c r="C805" s="14" t="s">
        <v>6005</v>
      </c>
      <c r="D805" s="14" t="s">
        <v>6006</v>
      </c>
      <c r="E805" s="26" t="str">
        <f t="shared" si="13"/>
        <v>http://dx.doi.org/10.1109/VISUAL.2000.885733</v>
      </c>
      <c r="F805" s="14">
        <v>465.0</v>
      </c>
      <c r="G805" s="14">
        <v>468.0</v>
      </c>
      <c r="H805" s="14" t="s">
        <v>28</v>
      </c>
      <c r="I805" s="19" t="s">
        <v>13045</v>
      </c>
      <c r="J805" s="19" t="s">
        <v>6011</v>
      </c>
      <c r="K805" s="19" t="s">
        <v>13046</v>
      </c>
      <c r="L805" s="19" t="s">
        <v>13047</v>
      </c>
      <c r="M805" s="20"/>
      <c r="N805" s="113" t="s">
        <v>6013</v>
      </c>
      <c r="O805" s="22">
        <v>25.0</v>
      </c>
      <c r="P805" s="28">
        <v>6.0</v>
      </c>
      <c r="Q805" s="28">
        <v>7.0</v>
      </c>
      <c r="R805" s="84"/>
      <c r="S805" s="84"/>
      <c r="T805" s="84"/>
      <c r="U805" s="84"/>
      <c r="V805" s="84"/>
      <c r="W805" s="84"/>
      <c r="X805" s="84"/>
      <c r="Y805" s="84"/>
      <c r="Z805" s="84"/>
      <c r="AA805" s="84"/>
    </row>
    <row r="806" ht="15.75" customHeight="1">
      <c r="A806" s="14" t="s">
        <v>17</v>
      </c>
      <c r="B806" s="15" t="s">
        <v>12507</v>
      </c>
      <c r="C806" s="14" t="s">
        <v>6014</v>
      </c>
      <c r="D806" s="14" t="s">
        <v>6015</v>
      </c>
      <c r="E806" s="26" t="str">
        <f t="shared" si="13"/>
        <v>http://dx.doi.org/10.1109/VISUAL.2000.885734</v>
      </c>
      <c r="F806" s="14">
        <v>469.0</v>
      </c>
      <c r="G806" s="14">
        <v>472.0</v>
      </c>
      <c r="H806" s="14" t="s">
        <v>28</v>
      </c>
      <c r="I806" s="19" t="s">
        <v>13048</v>
      </c>
      <c r="J806" s="19" t="s">
        <v>6020</v>
      </c>
      <c r="K806" s="19" t="s">
        <v>13049</v>
      </c>
      <c r="L806" s="19" t="s">
        <v>13050</v>
      </c>
      <c r="M806" s="20"/>
      <c r="N806" s="113" t="s">
        <v>6022</v>
      </c>
      <c r="O806" s="22">
        <v>50.0</v>
      </c>
      <c r="P806" s="28">
        <v>5.0</v>
      </c>
      <c r="Q806" s="28">
        <v>16.0</v>
      </c>
      <c r="R806" s="84"/>
      <c r="S806" s="84"/>
      <c r="T806" s="84"/>
      <c r="U806" s="84"/>
      <c r="V806" s="84"/>
      <c r="W806" s="84"/>
      <c r="X806" s="84"/>
      <c r="Y806" s="84"/>
      <c r="Z806" s="84"/>
      <c r="AA806" s="84"/>
    </row>
    <row r="807" ht="15.75" customHeight="1">
      <c r="A807" s="14" t="s">
        <v>17</v>
      </c>
      <c r="B807" s="15" t="s">
        <v>12507</v>
      </c>
      <c r="C807" s="14" t="s">
        <v>6023</v>
      </c>
      <c r="D807" s="14" t="s">
        <v>6024</v>
      </c>
      <c r="E807" s="26" t="str">
        <f t="shared" si="13"/>
        <v>http://dx.doi.org/10.1109/VISUAL.2000.885735</v>
      </c>
      <c r="F807" s="14">
        <v>473.0</v>
      </c>
      <c r="G807" s="14">
        <v>476.0</v>
      </c>
      <c r="H807" s="14" t="s">
        <v>28</v>
      </c>
      <c r="I807" s="19" t="s">
        <v>13051</v>
      </c>
      <c r="J807" s="19" t="s">
        <v>6030</v>
      </c>
      <c r="K807" s="19" t="s">
        <v>13052</v>
      </c>
      <c r="L807" s="19" t="s">
        <v>12544</v>
      </c>
      <c r="M807" s="20" t="s">
        <v>6032</v>
      </c>
      <c r="N807" s="113" t="s">
        <v>6033</v>
      </c>
      <c r="O807" s="22">
        <v>8.0</v>
      </c>
      <c r="P807" s="28">
        <v>1.0</v>
      </c>
      <c r="Q807" s="28">
        <v>11.0</v>
      </c>
      <c r="R807" s="84"/>
      <c r="S807" s="84"/>
      <c r="T807" s="84"/>
      <c r="U807" s="84"/>
      <c r="V807" s="84"/>
      <c r="W807" s="84"/>
      <c r="X807" s="84"/>
      <c r="Y807" s="84"/>
      <c r="Z807" s="84"/>
      <c r="AA807" s="84"/>
    </row>
    <row r="808" ht="15.75" customHeight="1">
      <c r="A808" s="14" t="s">
        <v>17</v>
      </c>
      <c r="B808" s="15" t="s">
        <v>12507</v>
      </c>
      <c r="C808" s="14" t="s">
        <v>6034</v>
      </c>
      <c r="D808" s="14" t="s">
        <v>6035</v>
      </c>
      <c r="E808" s="26" t="str">
        <f t="shared" si="13"/>
        <v>http://dx.doi.org/10.1109/VISUAL.2000.885736</v>
      </c>
      <c r="F808" s="14">
        <v>477.0</v>
      </c>
      <c r="G808" s="14">
        <v>480.0</v>
      </c>
      <c r="H808" s="14" t="s">
        <v>28</v>
      </c>
      <c r="I808" s="19" t="s">
        <v>13053</v>
      </c>
      <c r="J808" s="19" t="s">
        <v>1672</v>
      </c>
      <c r="K808" s="19" t="s">
        <v>2331</v>
      </c>
      <c r="L808" s="19" t="s">
        <v>1092</v>
      </c>
      <c r="M808" s="20" t="s">
        <v>6038</v>
      </c>
      <c r="N808" s="113" t="s">
        <v>6039</v>
      </c>
      <c r="O808" s="22">
        <v>15.0</v>
      </c>
      <c r="P808" s="28">
        <v>8.0</v>
      </c>
      <c r="Q808" s="28">
        <v>13.0</v>
      </c>
      <c r="R808" s="84"/>
      <c r="S808" s="84"/>
      <c r="T808" s="84"/>
      <c r="U808" s="84"/>
      <c r="V808" s="84"/>
      <c r="W808" s="84"/>
      <c r="X808" s="84"/>
      <c r="Y808" s="84"/>
      <c r="Z808" s="84"/>
      <c r="AA808" s="84"/>
    </row>
    <row r="809" ht="15.75" customHeight="1">
      <c r="A809" s="14" t="s">
        <v>17</v>
      </c>
      <c r="B809" s="15" t="s">
        <v>12507</v>
      </c>
      <c r="C809" s="14" t="s">
        <v>6041</v>
      </c>
      <c r="D809" s="14" t="s">
        <v>6042</v>
      </c>
      <c r="E809" s="26" t="str">
        <f t="shared" si="13"/>
        <v>http://dx.doi.org/10.1109/VISUAL.2000.885737</v>
      </c>
      <c r="F809" s="14">
        <v>481.0</v>
      </c>
      <c r="G809" s="14">
        <v>484.0</v>
      </c>
      <c r="H809" s="14" t="s">
        <v>28</v>
      </c>
      <c r="I809" s="19" t="s">
        <v>13054</v>
      </c>
      <c r="J809" s="19" t="s">
        <v>6044</v>
      </c>
      <c r="K809" s="19" t="s">
        <v>13055</v>
      </c>
      <c r="L809" s="19" t="s">
        <v>11985</v>
      </c>
      <c r="M809" s="20" t="s">
        <v>6045</v>
      </c>
      <c r="N809" s="113" t="s">
        <v>6046</v>
      </c>
      <c r="O809" s="22">
        <v>50.0</v>
      </c>
      <c r="P809" s="28">
        <v>4.0</v>
      </c>
      <c r="Q809" s="28">
        <v>22.0</v>
      </c>
      <c r="R809" s="84"/>
      <c r="S809" s="84"/>
      <c r="T809" s="84"/>
      <c r="U809" s="84"/>
      <c r="V809" s="84"/>
      <c r="W809" s="84"/>
      <c r="X809" s="84"/>
      <c r="Y809" s="84"/>
      <c r="Z809" s="84"/>
      <c r="AA809" s="84"/>
    </row>
    <row r="810" ht="15.75" customHeight="1">
      <c r="A810" s="14" t="s">
        <v>17</v>
      </c>
      <c r="B810" s="15" t="s">
        <v>12507</v>
      </c>
      <c r="C810" s="14" t="s">
        <v>6047</v>
      </c>
      <c r="D810" s="14" t="s">
        <v>6048</v>
      </c>
      <c r="E810" s="26" t="str">
        <f t="shared" si="13"/>
        <v>http://dx.doi.org/10.1109/VISUAL.2000.885738</v>
      </c>
      <c r="F810" s="14">
        <v>485.0</v>
      </c>
      <c r="G810" s="14">
        <v>488.0</v>
      </c>
      <c r="H810" s="14" t="s">
        <v>28</v>
      </c>
      <c r="I810" s="19" t="s">
        <v>13056</v>
      </c>
      <c r="J810" s="19" t="s">
        <v>6052</v>
      </c>
      <c r="K810" s="19" t="s">
        <v>13057</v>
      </c>
      <c r="L810" s="19" t="s">
        <v>7328</v>
      </c>
      <c r="M810" s="20" t="s">
        <v>6054</v>
      </c>
      <c r="N810" s="113" t="s">
        <v>6055</v>
      </c>
      <c r="O810" s="22">
        <v>19.0</v>
      </c>
      <c r="P810" s="28">
        <v>0.0</v>
      </c>
      <c r="Q810" s="28">
        <v>8.0</v>
      </c>
      <c r="R810" s="84"/>
      <c r="S810" s="84"/>
      <c r="T810" s="84"/>
      <c r="U810" s="84"/>
      <c r="V810" s="84"/>
      <c r="W810" s="84"/>
      <c r="X810" s="84"/>
      <c r="Y810" s="84"/>
      <c r="Z810" s="84"/>
      <c r="AA810" s="84"/>
    </row>
    <row r="811" ht="15.75" customHeight="1">
      <c r="A811" s="14" t="s">
        <v>17</v>
      </c>
      <c r="B811" s="15" t="s">
        <v>12507</v>
      </c>
      <c r="C811" s="14" t="s">
        <v>6056</v>
      </c>
      <c r="D811" s="14" t="s">
        <v>6057</v>
      </c>
      <c r="E811" s="26" t="str">
        <f t="shared" si="13"/>
        <v>http://dx.doi.org/10.1109/VISUAL.2000.885739</v>
      </c>
      <c r="F811" s="14">
        <v>489.0</v>
      </c>
      <c r="G811" s="14">
        <v>492.0</v>
      </c>
      <c r="H811" s="14" t="s">
        <v>28</v>
      </c>
      <c r="I811" s="19" t="s">
        <v>13058</v>
      </c>
      <c r="J811" s="19" t="s">
        <v>6062</v>
      </c>
      <c r="K811" s="19" t="s">
        <v>13059</v>
      </c>
      <c r="L811" s="19" t="s">
        <v>1092</v>
      </c>
      <c r="M811" s="20" t="s">
        <v>6064</v>
      </c>
      <c r="N811" s="113" t="s">
        <v>6065</v>
      </c>
      <c r="O811" s="22">
        <v>112.0</v>
      </c>
      <c r="P811" s="28">
        <v>30.0</v>
      </c>
      <c r="Q811" s="28">
        <v>18.0</v>
      </c>
      <c r="R811" s="84"/>
      <c r="S811" s="84"/>
      <c r="T811" s="84"/>
      <c r="U811" s="84"/>
      <c r="V811" s="84"/>
      <c r="W811" s="84"/>
      <c r="X811" s="84"/>
      <c r="Y811" s="84"/>
      <c r="Z811" s="84"/>
      <c r="AA811" s="84"/>
    </row>
    <row r="812" ht="15.75" customHeight="1">
      <c r="A812" s="14" t="s">
        <v>17</v>
      </c>
      <c r="B812" s="15" t="s">
        <v>12507</v>
      </c>
      <c r="C812" s="14" t="s">
        <v>6068</v>
      </c>
      <c r="D812" s="14" t="s">
        <v>6069</v>
      </c>
      <c r="E812" s="26" t="str">
        <f t="shared" si="13"/>
        <v>http://dx.doi.org/10.1109/VISUAL.2000.885740</v>
      </c>
      <c r="F812" s="14">
        <v>493.0</v>
      </c>
      <c r="G812" s="14">
        <v>496.0</v>
      </c>
      <c r="H812" s="14" t="s">
        <v>28</v>
      </c>
      <c r="I812" s="19" t="s">
        <v>13060</v>
      </c>
      <c r="J812" s="19" t="s">
        <v>6071</v>
      </c>
      <c r="K812" s="19" t="s">
        <v>13061</v>
      </c>
      <c r="L812" s="19" t="s">
        <v>12802</v>
      </c>
      <c r="M812" s="20" t="s">
        <v>6072</v>
      </c>
      <c r="N812" s="27"/>
      <c r="O812" s="109"/>
      <c r="P812" s="28">
        <v>10.0</v>
      </c>
      <c r="Q812" s="28">
        <v>14.0</v>
      </c>
      <c r="R812" s="84"/>
      <c r="S812" s="84"/>
      <c r="T812" s="84"/>
      <c r="U812" s="84"/>
      <c r="V812" s="84"/>
      <c r="W812" s="84"/>
      <c r="X812" s="84"/>
      <c r="Y812" s="84"/>
      <c r="Z812" s="84"/>
      <c r="AA812" s="84"/>
    </row>
    <row r="813" ht="15.75" customHeight="1">
      <c r="A813" s="14" t="s">
        <v>17</v>
      </c>
      <c r="B813" s="15" t="s">
        <v>12507</v>
      </c>
      <c r="C813" s="14" t="s">
        <v>6075</v>
      </c>
      <c r="D813" s="14" t="s">
        <v>6077</v>
      </c>
      <c r="E813" s="26" t="str">
        <f t="shared" si="13"/>
        <v>http://dx.doi.org/10.1109/VISUAL.2000.885741</v>
      </c>
      <c r="F813" s="14">
        <v>497.0</v>
      </c>
      <c r="G813" s="14">
        <v>500.0</v>
      </c>
      <c r="H813" s="14" t="s">
        <v>28</v>
      </c>
      <c r="I813" s="19" t="s">
        <v>13062</v>
      </c>
      <c r="J813" s="19" t="s">
        <v>1104</v>
      </c>
      <c r="K813" s="19" t="s">
        <v>1284</v>
      </c>
      <c r="L813" s="19" t="s">
        <v>11300</v>
      </c>
      <c r="M813" s="20"/>
      <c r="N813" s="113" t="s">
        <v>6081</v>
      </c>
      <c r="O813" s="22">
        <v>50.0</v>
      </c>
      <c r="P813" s="28">
        <v>1.0</v>
      </c>
      <c r="Q813" s="28">
        <v>8.0</v>
      </c>
      <c r="R813" s="84"/>
      <c r="S813" s="84"/>
      <c r="T813" s="84"/>
      <c r="U813" s="84"/>
      <c r="V813" s="84"/>
      <c r="W813" s="84"/>
      <c r="X813" s="84"/>
      <c r="Y813" s="84"/>
      <c r="Z813" s="84"/>
      <c r="AA813" s="84"/>
    </row>
    <row r="814" ht="15.75" customHeight="1">
      <c r="A814" s="14" t="s">
        <v>17</v>
      </c>
      <c r="B814" s="15" t="s">
        <v>12507</v>
      </c>
      <c r="C814" s="14" t="s">
        <v>6082</v>
      </c>
      <c r="D814" s="14" t="s">
        <v>6083</v>
      </c>
      <c r="E814" s="26" t="str">
        <f t="shared" si="13"/>
        <v>http://dx.doi.org/10.1109/VISUAL.2000.885742</v>
      </c>
      <c r="F814" s="14">
        <v>501.0</v>
      </c>
      <c r="G814" s="14">
        <v>504.0</v>
      </c>
      <c r="H814" s="14" t="s">
        <v>28</v>
      </c>
      <c r="I814" s="19" t="s">
        <v>13063</v>
      </c>
      <c r="J814" s="19" t="s">
        <v>6085</v>
      </c>
      <c r="K814" s="19" t="s">
        <v>13064</v>
      </c>
      <c r="L814" s="19" t="s">
        <v>12144</v>
      </c>
      <c r="M814" s="20" t="s">
        <v>2916</v>
      </c>
      <c r="N814" s="113" t="s">
        <v>6086</v>
      </c>
      <c r="O814" s="22">
        <v>18.0</v>
      </c>
      <c r="P814" s="28">
        <v>6.0</v>
      </c>
      <c r="Q814" s="28">
        <v>8.0</v>
      </c>
      <c r="R814" s="84"/>
      <c r="S814" s="84"/>
      <c r="T814" s="84"/>
      <c r="U814" s="84"/>
      <c r="V814" s="84"/>
      <c r="W814" s="84"/>
      <c r="X814" s="84"/>
      <c r="Y814" s="84"/>
      <c r="Z814" s="84"/>
      <c r="AA814" s="84"/>
    </row>
    <row r="815" ht="15.75" customHeight="1">
      <c r="A815" s="14" t="s">
        <v>17</v>
      </c>
      <c r="B815" s="15" t="s">
        <v>12507</v>
      </c>
      <c r="C815" s="14" t="s">
        <v>6088</v>
      </c>
      <c r="D815" s="14" t="s">
        <v>6090</v>
      </c>
      <c r="E815" s="26" t="str">
        <f t="shared" si="13"/>
        <v>http://dx.doi.org/10.1109/VISUAL.2000.885743</v>
      </c>
      <c r="F815" s="14">
        <v>505.0</v>
      </c>
      <c r="G815" s="14">
        <v>508.0</v>
      </c>
      <c r="H815" s="14" t="s">
        <v>28</v>
      </c>
      <c r="I815" s="19" t="s">
        <v>13065</v>
      </c>
      <c r="J815" s="19" t="s">
        <v>5403</v>
      </c>
      <c r="K815" s="19" t="s">
        <v>12481</v>
      </c>
      <c r="L815" s="19" t="s">
        <v>13066</v>
      </c>
      <c r="M815" s="20" t="s">
        <v>6093</v>
      </c>
      <c r="N815" s="114" t="s">
        <v>6094</v>
      </c>
      <c r="O815" s="22">
        <v>5.0</v>
      </c>
      <c r="P815" s="28">
        <v>1.0</v>
      </c>
      <c r="Q815" s="28">
        <v>9.0</v>
      </c>
      <c r="R815" s="84"/>
      <c r="S815" s="84"/>
      <c r="T815" s="84"/>
      <c r="U815" s="84"/>
      <c r="V815" s="84"/>
      <c r="W815" s="84"/>
      <c r="X815" s="84"/>
      <c r="Y815" s="84"/>
      <c r="Z815" s="84"/>
      <c r="AA815" s="84"/>
    </row>
    <row r="816" ht="15.75" customHeight="1">
      <c r="A816" s="14" t="s">
        <v>17</v>
      </c>
      <c r="B816" s="15" t="s">
        <v>12507</v>
      </c>
      <c r="C816" s="14" t="s">
        <v>6095</v>
      </c>
      <c r="D816" s="97" t="s">
        <v>6097</v>
      </c>
      <c r="E816" s="68" t="s">
        <v>6098</v>
      </c>
      <c r="F816" s="50">
        <v>509.0</v>
      </c>
      <c r="G816" s="50">
        <v>512.0</v>
      </c>
      <c r="H816" s="14" t="s">
        <v>28</v>
      </c>
      <c r="I816" s="19" t="s">
        <v>13103</v>
      </c>
      <c r="J816" s="19" t="s">
        <v>6104</v>
      </c>
      <c r="K816" s="19" t="s">
        <v>13104</v>
      </c>
      <c r="L816" s="18"/>
      <c r="M816" s="20" t="s">
        <v>2900</v>
      </c>
      <c r="N816" s="27"/>
      <c r="O816" s="109"/>
      <c r="P816" s="28">
        <v>0.0</v>
      </c>
      <c r="Q816" s="28">
        <v>0.0</v>
      </c>
      <c r="R816" s="84"/>
      <c r="S816" s="84"/>
      <c r="T816" s="84"/>
      <c r="U816" s="84"/>
      <c r="V816" s="84"/>
      <c r="W816" s="84"/>
      <c r="X816" s="84"/>
      <c r="Y816" s="84"/>
      <c r="Z816" s="84"/>
      <c r="AA816" s="84"/>
    </row>
    <row r="817" ht="15.75" customHeight="1">
      <c r="A817" s="14" t="s">
        <v>17</v>
      </c>
      <c r="B817" s="15" t="s">
        <v>12507</v>
      </c>
      <c r="C817" s="14" t="s">
        <v>6106</v>
      </c>
      <c r="D817" s="14" t="s">
        <v>6107</v>
      </c>
      <c r="E817" s="26" t="str">
        <f t="shared" ref="E817:E844" si="14">"http://dx.doi.org/" &amp; D817</f>
        <v>http://dx.doi.org/10.1109/VISUAL.2000.885745</v>
      </c>
      <c r="F817" s="14">
        <v>513.0</v>
      </c>
      <c r="G817" s="14">
        <v>516.0</v>
      </c>
      <c r="H817" s="14" t="s">
        <v>28</v>
      </c>
      <c r="I817" s="19" t="s">
        <v>13106</v>
      </c>
      <c r="J817" s="19" t="s">
        <v>1672</v>
      </c>
      <c r="K817" s="19" t="s">
        <v>2331</v>
      </c>
      <c r="L817" s="19" t="s">
        <v>1092</v>
      </c>
      <c r="M817" s="20" t="s">
        <v>6111</v>
      </c>
      <c r="N817" s="113" t="s">
        <v>6112</v>
      </c>
      <c r="O817" s="22">
        <v>50.0</v>
      </c>
      <c r="P817" s="28">
        <v>10.0</v>
      </c>
      <c r="Q817" s="28">
        <v>10.0</v>
      </c>
      <c r="R817" s="84"/>
      <c r="S817" s="84"/>
      <c r="T817" s="84"/>
      <c r="U817" s="84"/>
      <c r="V817" s="84"/>
      <c r="W817" s="84"/>
      <c r="X817" s="84"/>
      <c r="Y817" s="84"/>
      <c r="Z817" s="84"/>
      <c r="AA817" s="84"/>
    </row>
    <row r="818" ht="15.75" customHeight="1">
      <c r="A818" s="14" t="s">
        <v>2137</v>
      </c>
      <c r="B818" s="15" t="s">
        <v>13113</v>
      </c>
      <c r="C818" s="14" t="s">
        <v>6113</v>
      </c>
      <c r="D818" s="14" t="s">
        <v>6114</v>
      </c>
      <c r="E818" s="26" t="str">
        <f t="shared" si="14"/>
        <v>http://dx.doi.org/10.1109/INFVIS.2001.963272</v>
      </c>
      <c r="F818" s="14">
        <v>3.0</v>
      </c>
      <c r="G818" s="14">
        <v>3.0</v>
      </c>
      <c r="H818" s="14" t="s">
        <v>21</v>
      </c>
      <c r="I818" s="18"/>
      <c r="J818" s="19" t="s">
        <v>6118</v>
      </c>
      <c r="K818" s="19" t="s">
        <v>13114</v>
      </c>
      <c r="L818" s="19" t="s">
        <v>13115</v>
      </c>
      <c r="M818" s="20"/>
      <c r="N818" s="27"/>
      <c r="O818" s="22">
        <v>50.0</v>
      </c>
      <c r="P818" s="28">
        <v>0.0</v>
      </c>
      <c r="Q818" s="28">
        <v>0.0</v>
      </c>
      <c r="R818" s="84"/>
      <c r="S818" s="84"/>
      <c r="T818" s="84"/>
      <c r="U818" s="84"/>
      <c r="V818" s="84"/>
      <c r="W818" s="84"/>
      <c r="X818" s="84"/>
      <c r="Y818" s="84"/>
      <c r="Z818" s="84"/>
      <c r="AA818" s="84"/>
    </row>
    <row r="819" ht="15.75" customHeight="1">
      <c r="A819" s="14" t="s">
        <v>2137</v>
      </c>
      <c r="B819" s="15" t="s">
        <v>13113</v>
      </c>
      <c r="C819" s="14" t="s">
        <v>6120</v>
      </c>
      <c r="D819" s="14" t="s">
        <v>6121</v>
      </c>
      <c r="E819" s="26" t="str">
        <f t="shared" si="14"/>
        <v>http://dx.doi.org/10.1109/INFVIS.2001.963273</v>
      </c>
      <c r="F819" s="14">
        <v>7.0</v>
      </c>
      <c r="G819" s="14">
        <v>13.0</v>
      </c>
      <c r="H819" s="14" t="s">
        <v>28</v>
      </c>
      <c r="I819" s="18"/>
      <c r="J819" s="19" t="s">
        <v>13116</v>
      </c>
      <c r="K819" s="19" t="s">
        <v>13117</v>
      </c>
      <c r="L819" s="19" t="s">
        <v>13118</v>
      </c>
      <c r="M819" s="20" t="s">
        <v>6125</v>
      </c>
      <c r="N819" s="44" t="s">
        <v>6126</v>
      </c>
      <c r="O819" s="22">
        <v>356.0</v>
      </c>
      <c r="P819" s="28">
        <v>99.0</v>
      </c>
      <c r="Q819" s="28">
        <v>16.0</v>
      </c>
      <c r="R819" s="84"/>
      <c r="S819" s="84"/>
      <c r="T819" s="84"/>
      <c r="U819" s="84"/>
      <c r="V819" s="84"/>
      <c r="W819" s="84"/>
      <c r="X819" s="84"/>
      <c r="Y819" s="84"/>
      <c r="Z819" s="84"/>
      <c r="AA819" s="84"/>
    </row>
    <row r="820" ht="15.75" customHeight="1">
      <c r="A820" s="14" t="s">
        <v>2137</v>
      </c>
      <c r="B820" s="15" t="s">
        <v>13113</v>
      </c>
      <c r="C820" s="14" t="s">
        <v>6127</v>
      </c>
      <c r="D820" s="14" t="s">
        <v>6128</v>
      </c>
      <c r="E820" s="26" t="str">
        <f t="shared" si="14"/>
        <v>http://dx.doi.org/10.1109/INFVIS.2001.963274</v>
      </c>
      <c r="F820" s="14">
        <v>15.0</v>
      </c>
      <c r="G820" s="14">
        <v>22.0</v>
      </c>
      <c r="H820" s="14" t="s">
        <v>28</v>
      </c>
      <c r="I820" s="18"/>
      <c r="J820" s="19" t="s">
        <v>6133</v>
      </c>
      <c r="K820" s="19" t="s">
        <v>13119</v>
      </c>
      <c r="L820" s="19" t="s">
        <v>13120</v>
      </c>
      <c r="M820" s="20" t="s">
        <v>6135</v>
      </c>
      <c r="N820" s="27"/>
      <c r="O820" s="22">
        <v>79.0</v>
      </c>
      <c r="P820" s="28">
        <v>31.0</v>
      </c>
      <c r="Q820" s="28">
        <v>35.0</v>
      </c>
      <c r="R820" s="84"/>
      <c r="S820" s="84"/>
      <c r="T820" s="84"/>
      <c r="U820" s="84"/>
      <c r="V820" s="84"/>
      <c r="W820" s="84"/>
      <c r="X820" s="84"/>
      <c r="Y820" s="84"/>
      <c r="Z820" s="84"/>
      <c r="AA820" s="84"/>
    </row>
    <row r="821" ht="15.75" customHeight="1">
      <c r="A821" s="14" t="s">
        <v>2137</v>
      </c>
      <c r="B821" s="15" t="s">
        <v>13113</v>
      </c>
      <c r="C821" s="14" t="s">
        <v>6136</v>
      </c>
      <c r="D821" s="14" t="s">
        <v>6137</v>
      </c>
      <c r="E821" s="26" t="str">
        <f t="shared" si="14"/>
        <v>http://dx.doi.org/10.1109/INFVIS.2001.963275</v>
      </c>
      <c r="F821" s="14">
        <v>23.0</v>
      </c>
      <c r="G821" s="14">
        <v>30.0</v>
      </c>
      <c r="H821" s="14" t="s">
        <v>28</v>
      </c>
      <c r="I821" s="18"/>
      <c r="J821" s="19" t="s">
        <v>6139</v>
      </c>
      <c r="K821" s="19" t="s">
        <v>13122</v>
      </c>
      <c r="L821" s="19" t="s">
        <v>13123</v>
      </c>
      <c r="M821" s="20" t="s">
        <v>2181</v>
      </c>
      <c r="N821" s="27"/>
      <c r="O821" s="22">
        <v>106.0</v>
      </c>
      <c r="P821" s="28">
        <v>14.0</v>
      </c>
      <c r="Q821" s="28">
        <v>19.0</v>
      </c>
      <c r="R821" s="84"/>
      <c r="S821" s="84"/>
      <c r="T821" s="84"/>
      <c r="U821" s="84"/>
      <c r="V821" s="84"/>
      <c r="W821" s="84"/>
      <c r="X821" s="84"/>
      <c r="Y821" s="84"/>
      <c r="Z821" s="84"/>
      <c r="AA821" s="84"/>
    </row>
    <row r="822" ht="15.75" customHeight="1">
      <c r="A822" s="14" t="s">
        <v>2137</v>
      </c>
      <c r="B822" s="15" t="s">
        <v>13113</v>
      </c>
      <c r="C822" s="14" t="s">
        <v>6141</v>
      </c>
      <c r="D822" s="14" t="s">
        <v>6142</v>
      </c>
      <c r="E822" s="26" t="str">
        <f t="shared" si="14"/>
        <v>http://dx.doi.org/10.1109/INFVIS.2001.963277</v>
      </c>
      <c r="F822" s="14">
        <v>33.0</v>
      </c>
      <c r="G822" s="14">
        <v>36.0</v>
      </c>
      <c r="H822" s="14" t="s">
        <v>28</v>
      </c>
      <c r="I822" s="18"/>
      <c r="J822" s="19" t="s">
        <v>6261</v>
      </c>
      <c r="K822" s="19" t="s">
        <v>13130</v>
      </c>
      <c r="L822" s="19" t="s">
        <v>13131</v>
      </c>
      <c r="M822" s="20"/>
      <c r="N822" s="27"/>
      <c r="O822" s="22">
        <v>31.0</v>
      </c>
      <c r="P822" s="28">
        <v>7.0</v>
      </c>
      <c r="Q822" s="28">
        <v>5.0</v>
      </c>
      <c r="R822" s="84"/>
      <c r="S822" s="84"/>
      <c r="T822" s="84"/>
      <c r="U822" s="84"/>
      <c r="V822" s="84"/>
      <c r="W822" s="84"/>
      <c r="X822" s="84"/>
      <c r="Y822" s="84"/>
      <c r="Z822" s="84"/>
      <c r="AA822" s="84"/>
    </row>
    <row r="823" ht="15.75" customHeight="1">
      <c r="A823" s="14" t="s">
        <v>2137</v>
      </c>
      <c r="B823" s="15" t="s">
        <v>13113</v>
      </c>
      <c r="C823" s="14" t="s">
        <v>6270</v>
      </c>
      <c r="D823" s="14" t="s">
        <v>6272</v>
      </c>
      <c r="E823" s="26" t="str">
        <f t="shared" si="14"/>
        <v>http://dx.doi.org/10.1109/INFVIS.2001.963278</v>
      </c>
      <c r="F823" s="14">
        <v>37.0</v>
      </c>
      <c r="G823" s="14">
        <v>40.0</v>
      </c>
      <c r="H823" s="14" t="s">
        <v>28</v>
      </c>
      <c r="I823" s="18"/>
      <c r="J823" s="19" t="s">
        <v>3986</v>
      </c>
      <c r="K823" s="19" t="s">
        <v>6858</v>
      </c>
      <c r="L823" s="19" t="s">
        <v>13137</v>
      </c>
      <c r="M823" s="20" t="s">
        <v>6343</v>
      </c>
      <c r="N823" s="27"/>
      <c r="O823" s="109"/>
      <c r="P823" s="28">
        <v>6.0</v>
      </c>
      <c r="Q823" s="28">
        <v>16.0</v>
      </c>
      <c r="R823" s="84"/>
      <c r="S823" s="84"/>
      <c r="T823" s="84"/>
      <c r="U823" s="84"/>
      <c r="V823" s="84"/>
      <c r="W823" s="84"/>
      <c r="X823" s="84"/>
      <c r="Y823" s="84"/>
      <c r="Z823" s="84"/>
      <c r="AA823" s="84"/>
    </row>
    <row r="824" ht="15.75" customHeight="1">
      <c r="A824" s="14" t="s">
        <v>2137</v>
      </c>
      <c r="B824" s="15" t="s">
        <v>13113</v>
      </c>
      <c r="C824" s="14" t="s">
        <v>6349</v>
      </c>
      <c r="D824" s="14" t="s">
        <v>6351</v>
      </c>
      <c r="E824" s="26" t="str">
        <f t="shared" si="14"/>
        <v>http://dx.doi.org/10.1109/INFVIS.2001.963279</v>
      </c>
      <c r="F824" s="14">
        <v>43.0</v>
      </c>
      <c r="G824" s="14">
        <v>50.0</v>
      </c>
      <c r="H824" s="14" t="s">
        <v>28</v>
      </c>
      <c r="I824" s="18"/>
      <c r="J824" s="19" t="s">
        <v>6381</v>
      </c>
      <c r="K824" s="19" t="s">
        <v>13139</v>
      </c>
      <c r="L824" s="19" t="s">
        <v>13140</v>
      </c>
      <c r="M824" s="20" t="s">
        <v>3293</v>
      </c>
      <c r="N824" s="44" t="s">
        <v>6385</v>
      </c>
      <c r="O824" s="22">
        <v>365.0</v>
      </c>
      <c r="P824" s="28">
        <v>23.0</v>
      </c>
      <c r="Q824" s="28">
        <v>22.0</v>
      </c>
      <c r="R824" s="84"/>
      <c r="S824" s="84"/>
      <c r="T824" s="84"/>
      <c r="U824" s="84"/>
      <c r="V824" s="84"/>
      <c r="W824" s="84"/>
      <c r="X824" s="84"/>
      <c r="Y824" s="84"/>
      <c r="Z824" s="84"/>
      <c r="AA824" s="84"/>
    </row>
    <row r="825" ht="15.75" customHeight="1">
      <c r="A825" s="14" t="s">
        <v>2137</v>
      </c>
      <c r="B825" s="15" t="s">
        <v>13113</v>
      </c>
      <c r="C825" s="14" t="s">
        <v>6395</v>
      </c>
      <c r="D825" s="14" t="s">
        <v>6397</v>
      </c>
      <c r="E825" s="26" t="str">
        <f t="shared" si="14"/>
        <v>http://dx.doi.org/10.1109/INFVIS.2001.963280</v>
      </c>
      <c r="F825" s="14">
        <v>51.0</v>
      </c>
      <c r="G825" s="14">
        <v>58.0</v>
      </c>
      <c r="H825" s="14" t="s">
        <v>28</v>
      </c>
      <c r="I825" s="18"/>
      <c r="J825" s="19" t="s">
        <v>6431</v>
      </c>
      <c r="K825" s="19" t="s">
        <v>13141</v>
      </c>
      <c r="L825" s="19" t="s">
        <v>13142</v>
      </c>
      <c r="M825" s="20"/>
      <c r="N825" s="44" t="s">
        <v>6444</v>
      </c>
      <c r="O825" s="22">
        <v>50.0</v>
      </c>
      <c r="P825" s="28">
        <v>1.0</v>
      </c>
      <c r="Q825" s="28">
        <v>31.0</v>
      </c>
      <c r="R825" s="84"/>
      <c r="S825" s="84"/>
      <c r="T825" s="84"/>
      <c r="U825" s="84"/>
      <c r="V825" s="84"/>
      <c r="W825" s="84"/>
      <c r="X825" s="84"/>
      <c r="Y825" s="84"/>
      <c r="Z825" s="84"/>
      <c r="AA825" s="84"/>
    </row>
    <row r="826" ht="15.75" customHeight="1">
      <c r="A826" s="14" t="s">
        <v>2137</v>
      </c>
      <c r="B826" s="15" t="s">
        <v>13113</v>
      </c>
      <c r="C826" s="14" t="s">
        <v>6447</v>
      </c>
      <c r="D826" s="14" t="s">
        <v>6449</v>
      </c>
      <c r="E826" s="26" t="str">
        <f t="shared" si="14"/>
        <v>http://dx.doi.org/10.1109/INFVIS.2001.963281</v>
      </c>
      <c r="F826" s="14">
        <v>59.0</v>
      </c>
      <c r="G826" s="14">
        <v>66.0</v>
      </c>
      <c r="H826" s="14" t="s">
        <v>28</v>
      </c>
      <c r="I826" s="18"/>
      <c r="J826" s="19" t="s">
        <v>6481</v>
      </c>
      <c r="K826" s="19" t="s">
        <v>13143</v>
      </c>
      <c r="L826" s="19" t="s">
        <v>13144</v>
      </c>
      <c r="M826" s="20" t="s">
        <v>3301</v>
      </c>
      <c r="N826" s="27"/>
      <c r="O826" s="109"/>
      <c r="P826" s="28">
        <v>8.0</v>
      </c>
      <c r="Q826" s="28">
        <v>13.0</v>
      </c>
      <c r="R826" s="84"/>
      <c r="S826" s="84"/>
      <c r="T826" s="84"/>
      <c r="U826" s="84"/>
      <c r="V826" s="84"/>
      <c r="W826" s="84"/>
      <c r="X826" s="84"/>
      <c r="Y826" s="84"/>
      <c r="Z826" s="84"/>
      <c r="AA826" s="84"/>
    </row>
    <row r="827" ht="15.75" customHeight="1">
      <c r="A827" s="14" t="s">
        <v>2137</v>
      </c>
      <c r="B827" s="15" t="s">
        <v>13113</v>
      </c>
      <c r="C827" s="14" t="s">
        <v>6487</v>
      </c>
      <c r="D827" s="14" t="s">
        <v>6488</v>
      </c>
      <c r="E827" s="26" t="str">
        <f t="shared" si="14"/>
        <v>http://dx.doi.org/10.1109/INFVIS.2001.963282</v>
      </c>
      <c r="F827" s="14">
        <v>67.0</v>
      </c>
      <c r="G827" s="14">
        <v>70.0</v>
      </c>
      <c r="H827" s="14" t="s">
        <v>28</v>
      </c>
      <c r="I827" s="18"/>
      <c r="J827" s="19" t="s">
        <v>6512</v>
      </c>
      <c r="K827" s="19" t="s">
        <v>13150</v>
      </c>
      <c r="L827" s="19" t="s">
        <v>13151</v>
      </c>
      <c r="M827" s="20" t="s">
        <v>5500</v>
      </c>
      <c r="N827" s="44" t="s">
        <v>6519</v>
      </c>
      <c r="O827" s="22">
        <v>50.0</v>
      </c>
      <c r="P827" s="28">
        <v>7.0</v>
      </c>
      <c r="Q827" s="28">
        <v>13.0</v>
      </c>
      <c r="R827" s="84"/>
      <c r="S827" s="84"/>
      <c r="T827" s="84"/>
      <c r="U827" s="84"/>
      <c r="V827" s="84"/>
      <c r="W827" s="84"/>
      <c r="X827" s="84"/>
      <c r="Y827" s="84"/>
      <c r="Z827" s="84"/>
      <c r="AA827" s="84"/>
    </row>
    <row r="828" ht="15.75" customHeight="1">
      <c r="A828" s="14" t="s">
        <v>2137</v>
      </c>
      <c r="B828" s="15" t="s">
        <v>13113</v>
      </c>
      <c r="C828" s="14" t="s">
        <v>6526</v>
      </c>
      <c r="D828" s="14" t="s">
        <v>6527</v>
      </c>
      <c r="E828" s="26" t="str">
        <f t="shared" si="14"/>
        <v>http://dx.doi.org/10.1109/INFVIS.2001.963283</v>
      </c>
      <c r="F828" s="14">
        <v>73.0</v>
      </c>
      <c r="G828" s="14">
        <v>78.0</v>
      </c>
      <c r="H828" s="14" t="s">
        <v>28</v>
      </c>
      <c r="I828" s="18"/>
      <c r="J828" s="19" t="s">
        <v>6555</v>
      </c>
      <c r="K828" s="19" t="s">
        <v>13158</v>
      </c>
      <c r="L828" s="19" t="s">
        <v>13159</v>
      </c>
      <c r="M828" s="20" t="s">
        <v>6558</v>
      </c>
      <c r="N828" s="44" t="s">
        <v>6560</v>
      </c>
      <c r="O828" s="22">
        <v>254.0</v>
      </c>
      <c r="P828" s="28">
        <v>77.0</v>
      </c>
      <c r="Q828" s="28">
        <v>11.0</v>
      </c>
      <c r="R828" s="84"/>
      <c r="S828" s="84"/>
      <c r="T828" s="84"/>
      <c r="U828" s="84"/>
      <c r="V828" s="84"/>
      <c r="W828" s="84"/>
      <c r="X828" s="84"/>
      <c r="Y828" s="84"/>
      <c r="Z828" s="84"/>
      <c r="AA828" s="84"/>
    </row>
    <row r="829" ht="15.75" customHeight="1">
      <c r="A829" s="14" t="s">
        <v>2137</v>
      </c>
      <c r="B829" s="15" t="s">
        <v>13113</v>
      </c>
      <c r="C829" s="14" t="s">
        <v>6563</v>
      </c>
      <c r="D829" s="14" t="s">
        <v>6565</v>
      </c>
      <c r="E829" s="26" t="str">
        <f t="shared" si="14"/>
        <v>http://dx.doi.org/10.1109/INFVIS.2001.963284</v>
      </c>
      <c r="F829" s="14">
        <v>79.0</v>
      </c>
      <c r="G829" s="14">
        <v>86.0</v>
      </c>
      <c r="H829" s="14" t="s">
        <v>28</v>
      </c>
      <c r="I829" s="18"/>
      <c r="J829" s="19" t="s">
        <v>13161</v>
      </c>
      <c r="K829" s="19" t="s">
        <v>13162</v>
      </c>
      <c r="L829" s="19" t="s">
        <v>13163</v>
      </c>
      <c r="M829" s="20" t="s">
        <v>6749</v>
      </c>
      <c r="N829" s="44" t="s">
        <v>6751</v>
      </c>
      <c r="O829" s="22">
        <v>50.0</v>
      </c>
      <c r="P829" s="28">
        <v>10.0</v>
      </c>
      <c r="Q829" s="28">
        <v>17.0</v>
      </c>
      <c r="R829" s="84"/>
      <c r="S829" s="84"/>
      <c r="T829" s="84"/>
      <c r="U829" s="84"/>
      <c r="V829" s="84"/>
      <c r="W829" s="84"/>
      <c r="X829" s="84"/>
      <c r="Y829" s="84"/>
      <c r="Z829" s="84"/>
      <c r="AA829" s="84"/>
    </row>
    <row r="830" ht="15.75" customHeight="1">
      <c r="A830" s="14" t="s">
        <v>2137</v>
      </c>
      <c r="B830" s="15" t="s">
        <v>13113</v>
      </c>
      <c r="C830" s="14" t="s">
        <v>6755</v>
      </c>
      <c r="D830" s="14" t="s">
        <v>6757</v>
      </c>
      <c r="E830" s="26" t="str">
        <f t="shared" si="14"/>
        <v>http://dx.doi.org/10.1109/INFVIS.2001.963285</v>
      </c>
      <c r="F830" s="14">
        <v>87.0</v>
      </c>
      <c r="G830" s="14">
        <v>94.0</v>
      </c>
      <c r="H830" s="14" t="s">
        <v>28</v>
      </c>
      <c r="I830" s="18"/>
      <c r="J830" s="19" t="s">
        <v>6785</v>
      </c>
      <c r="K830" s="19" t="s">
        <v>13164</v>
      </c>
      <c r="L830" s="19" t="s">
        <v>13144</v>
      </c>
      <c r="M830" s="20" t="s">
        <v>6788</v>
      </c>
      <c r="N830" s="44" t="s">
        <v>6789</v>
      </c>
      <c r="O830" s="22">
        <v>154.0</v>
      </c>
      <c r="P830" s="28">
        <v>30.0</v>
      </c>
      <c r="Q830" s="28">
        <v>14.0</v>
      </c>
      <c r="R830" s="84"/>
      <c r="S830" s="84"/>
      <c r="T830" s="84"/>
      <c r="U830" s="84"/>
      <c r="V830" s="84"/>
      <c r="W830" s="84"/>
      <c r="X830" s="84"/>
      <c r="Y830" s="84"/>
      <c r="Z830" s="84"/>
      <c r="AA830" s="84"/>
    </row>
    <row r="831" ht="15.75" customHeight="1">
      <c r="A831" s="14" t="s">
        <v>2137</v>
      </c>
      <c r="B831" s="15" t="s">
        <v>13113</v>
      </c>
      <c r="C831" s="14" t="s">
        <v>6792</v>
      </c>
      <c r="D831" s="14" t="s">
        <v>6794</v>
      </c>
      <c r="E831" s="26" t="str">
        <f t="shared" si="14"/>
        <v>http://dx.doi.org/10.1109/INFVIS.2001.963286</v>
      </c>
      <c r="F831" s="14">
        <v>97.0</v>
      </c>
      <c r="G831" s="14">
        <v>104.0</v>
      </c>
      <c r="H831" s="14" t="s">
        <v>28</v>
      </c>
      <c r="I831" s="18"/>
      <c r="J831" s="19" t="s">
        <v>6829</v>
      </c>
      <c r="K831" s="19" t="s">
        <v>13171</v>
      </c>
      <c r="L831" s="19" t="s">
        <v>13172</v>
      </c>
      <c r="M831" s="20" t="s">
        <v>6833</v>
      </c>
      <c r="N831" s="44" t="s">
        <v>6834</v>
      </c>
      <c r="O831" s="22">
        <v>169.0</v>
      </c>
      <c r="P831" s="28">
        <v>29.0</v>
      </c>
      <c r="Q831" s="28">
        <v>26.0</v>
      </c>
      <c r="R831" s="84"/>
      <c r="S831" s="84"/>
      <c r="T831" s="84"/>
      <c r="U831" s="84"/>
      <c r="V831" s="84"/>
      <c r="W831" s="84"/>
      <c r="X831" s="84"/>
      <c r="Y831" s="84"/>
      <c r="Z831" s="84"/>
      <c r="AA831" s="84"/>
    </row>
    <row r="832" ht="15.75" customHeight="1">
      <c r="A832" s="14" t="s">
        <v>2137</v>
      </c>
      <c r="B832" s="15" t="s">
        <v>13113</v>
      </c>
      <c r="C832" s="14" t="s">
        <v>6837</v>
      </c>
      <c r="D832" s="14" t="s">
        <v>6839</v>
      </c>
      <c r="E832" s="26" t="str">
        <f t="shared" si="14"/>
        <v>http://dx.doi.org/10.1109/INFVIS.2001.963287</v>
      </c>
      <c r="F832" s="14">
        <v>105.0</v>
      </c>
      <c r="G832" s="14">
        <v>112.0</v>
      </c>
      <c r="H832" s="14" t="s">
        <v>28</v>
      </c>
      <c r="I832" s="18"/>
      <c r="J832" s="19" t="s">
        <v>6865</v>
      </c>
      <c r="K832" s="19" t="s">
        <v>13173</v>
      </c>
      <c r="L832" s="19" t="s">
        <v>13174</v>
      </c>
      <c r="M832" s="20" t="s">
        <v>6868</v>
      </c>
      <c r="N832" s="27"/>
      <c r="O832" s="22">
        <v>110.0</v>
      </c>
      <c r="P832" s="28">
        <v>26.0</v>
      </c>
      <c r="Q832" s="28">
        <v>15.0</v>
      </c>
      <c r="R832" s="84"/>
      <c r="S832" s="84"/>
      <c r="T832" s="84"/>
      <c r="U832" s="84"/>
      <c r="V832" s="84"/>
      <c r="W832" s="84"/>
      <c r="X832" s="84"/>
      <c r="Y832" s="84"/>
      <c r="Z832" s="84"/>
      <c r="AA832" s="84"/>
    </row>
    <row r="833" ht="15.75" customHeight="1">
      <c r="A833" s="14" t="s">
        <v>2137</v>
      </c>
      <c r="B833" s="15" t="s">
        <v>13113</v>
      </c>
      <c r="C833" s="14" t="s">
        <v>6871</v>
      </c>
      <c r="D833" s="14" t="s">
        <v>6873</v>
      </c>
      <c r="E833" s="26" t="str">
        <f t="shared" si="14"/>
        <v>http://dx.doi.org/10.1109/INFVIS.2001.963288</v>
      </c>
      <c r="F833" s="14">
        <v>113.0</v>
      </c>
      <c r="G833" s="14">
        <v>120.0</v>
      </c>
      <c r="H833" s="14" t="s">
        <v>28</v>
      </c>
      <c r="I833" s="18"/>
      <c r="J833" s="19" t="s">
        <v>6904</v>
      </c>
      <c r="K833" s="19" t="s">
        <v>13175</v>
      </c>
      <c r="L833" s="19" t="s">
        <v>13176</v>
      </c>
      <c r="M833" s="20" t="s">
        <v>6908</v>
      </c>
      <c r="N833" s="27"/>
      <c r="O833" s="22">
        <v>81.0</v>
      </c>
      <c r="P833" s="28">
        <v>13.0</v>
      </c>
      <c r="Q833" s="28">
        <v>19.0</v>
      </c>
      <c r="R833" s="84"/>
      <c r="S833" s="84"/>
      <c r="T833" s="84"/>
      <c r="U833" s="84"/>
      <c r="V833" s="84"/>
      <c r="W833" s="84"/>
      <c r="X833" s="84"/>
      <c r="Y833" s="84"/>
      <c r="Z833" s="84"/>
      <c r="AA833" s="84"/>
    </row>
    <row r="834" ht="15.75" customHeight="1">
      <c r="A834" s="14" t="s">
        <v>2137</v>
      </c>
      <c r="B834" s="15" t="s">
        <v>13113</v>
      </c>
      <c r="C834" s="14" t="s">
        <v>6912</v>
      </c>
      <c r="D834" s="14" t="s">
        <v>6913</v>
      </c>
      <c r="E834" s="26" t="str">
        <f t="shared" si="14"/>
        <v>http://dx.doi.org/10.1109/INFVIS.2001.963289</v>
      </c>
      <c r="F834" s="14">
        <v>123.0</v>
      </c>
      <c r="G834" s="14">
        <v>130.0</v>
      </c>
      <c r="H834" s="14" t="s">
        <v>28</v>
      </c>
      <c r="I834" s="19" t="s">
        <v>13183</v>
      </c>
      <c r="J834" s="19" t="s">
        <v>6926</v>
      </c>
      <c r="K834" s="19" t="s">
        <v>13184</v>
      </c>
      <c r="L834" s="19" t="s">
        <v>13140</v>
      </c>
      <c r="M834" s="20" t="s">
        <v>2198</v>
      </c>
      <c r="N834" s="27"/>
      <c r="O834" s="22">
        <v>111.0</v>
      </c>
      <c r="P834" s="28">
        <v>28.0</v>
      </c>
      <c r="Q834" s="28">
        <v>13.0</v>
      </c>
      <c r="R834" s="84"/>
      <c r="S834" s="84"/>
      <c r="T834" s="84"/>
      <c r="U834" s="84"/>
      <c r="V834" s="84"/>
      <c r="W834" s="84"/>
      <c r="X834" s="84"/>
      <c r="Y834" s="84"/>
      <c r="Z834" s="84"/>
      <c r="AA834" s="84"/>
    </row>
    <row r="835" ht="15.75" customHeight="1">
      <c r="A835" s="14" t="s">
        <v>2137</v>
      </c>
      <c r="B835" s="15" t="s">
        <v>13113</v>
      </c>
      <c r="C835" s="14" t="s">
        <v>6928</v>
      </c>
      <c r="D835" s="14" t="s">
        <v>6929</v>
      </c>
      <c r="E835" s="26" t="str">
        <f t="shared" si="14"/>
        <v>http://dx.doi.org/10.1109/INFVIS.2001.963290</v>
      </c>
      <c r="F835" s="14">
        <v>131.0</v>
      </c>
      <c r="G835" s="14">
        <v>138.0</v>
      </c>
      <c r="H835" s="14" t="s">
        <v>28</v>
      </c>
      <c r="I835" s="18"/>
      <c r="J835" s="19" t="s">
        <v>6943</v>
      </c>
      <c r="K835" s="19" t="s">
        <v>13185</v>
      </c>
      <c r="L835" s="19" t="s">
        <v>13186</v>
      </c>
      <c r="M835" s="20" t="s">
        <v>6946</v>
      </c>
      <c r="N835" s="27"/>
      <c r="O835" s="22">
        <v>45.0</v>
      </c>
      <c r="P835" s="28">
        <v>30.0</v>
      </c>
      <c r="Q835" s="28">
        <v>8.0</v>
      </c>
      <c r="R835" s="84"/>
      <c r="S835" s="84"/>
      <c r="T835" s="84"/>
      <c r="U835" s="84"/>
      <c r="V835" s="84"/>
      <c r="W835" s="84"/>
      <c r="X835" s="84"/>
      <c r="Y835" s="84"/>
      <c r="Z835" s="84"/>
      <c r="AA835" s="84"/>
    </row>
    <row r="836" ht="15.75" customHeight="1">
      <c r="A836" s="14" t="s">
        <v>2137</v>
      </c>
      <c r="B836" s="15" t="s">
        <v>13113</v>
      </c>
      <c r="C836" s="14" t="s">
        <v>6948</v>
      </c>
      <c r="D836" s="14" t="s">
        <v>6949</v>
      </c>
      <c r="E836" s="26" t="str">
        <f t="shared" si="14"/>
        <v>http://dx.doi.org/10.1109/INFVIS.2001.963291</v>
      </c>
      <c r="F836" s="14">
        <v>139.0</v>
      </c>
      <c r="G836" s="14">
        <v>145.0</v>
      </c>
      <c r="H836" s="14" t="s">
        <v>28</v>
      </c>
      <c r="I836" s="19" t="s">
        <v>13219</v>
      </c>
      <c r="J836" s="19" t="s">
        <v>6962</v>
      </c>
      <c r="K836" s="19" t="s">
        <v>13220</v>
      </c>
      <c r="L836" s="19" t="s">
        <v>13221</v>
      </c>
      <c r="M836" s="20"/>
      <c r="N836" s="27"/>
      <c r="O836" s="22">
        <v>89.0</v>
      </c>
      <c r="P836" s="28">
        <v>29.0</v>
      </c>
      <c r="Q836" s="28">
        <v>11.0</v>
      </c>
      <c r="R836" s="84"/>
      <c r="S836" s="84"/>
      <c r="T836" s="84"/>
      <c r="U836" s="84"/>
      <c r="V836" s="84"/>
      <c r="W836" s="84"/>
      <c r="X836" s="84"/>
      <c r="Y836" s="84"/>
      <c r="Z836" s="84"/>
      <c r="AA836" s="84"/>
    </row>
    <row r="837" ht="15.75" customHeight="1">
      <c r="A837" s="14" t="s">
        <v>2137</v>
      </c>
      <c r="B837" s="15" t="s">
        <v>13113</v>
      </c>
      <c r="C837" s="14" t="s">
        <v>6967</v>
      </c>
      <c r="D837" s="14" t="s">
        <v>6968</v>
      </c>
      <c r="E837" s="26" t="str">
        <f t="shared" si="14"/>
        <v>http://dx.doi.org/10.1109/INFVIS.2001.963292</v>
      </c>
      <c r="F837" s="14">
        <v>149.0</v>
      </c>
      <c r="G837" s="14">
        <v>152.0</v>
      </c>
      <c r="H837" s="14" t="s">
        <v>28</v>
      </c>
      <c r="I837" s="18"/>
      <c r="J837" s="19" t="s">
        <v>6943</v>
      </c>
      <c r="K837" s="19" t="s">
        <v>13185</v>
      </c>
      <c r="L837" s="19" t="s">
        <v>13186</v>
      </c>
      <c r="M837" s="20"/>
      <c r="N837" s="27"/>
      <c r="O837" s="22">
        <v>50.0</v>
      </c>
      <c r="P837" s="28">
        <v>8.0</v>
      </c>
      <c r="Q837" s="28">
        <v>4.0</v>
      </c>
      <c r="R837" s="84"/>
      <c r="S837" s="84"/>
      <c r="T837" s="84"/>
      <c r="U837" s="84"/>
      <c r="V837" s="84"/>
      <c r="W837" s="84"/>
      <c r="X837" s="84"/>
      <c r="Y837" s="84"/>
      <c r="Z837" s="84"/>
      <c r="AA837" s="84"/>
    </row>
    <row r="838" ht="15.75" customHeight="1">
      <c r="A838" s="14" t="s">
        <v>2137</v>
      </c>
      <c r="B838" s="15" t="s">
        <v>13113</v>
      </c>
      <c r="C838" s="14" t="s">
        <v>6991</v>
      </c>
      <c r="D838" s="14" t="s">
        <v>6992</v>
      </c>
      <c r="E838" s="26" t="str">
        <f t="shared" si="14"/>
        <v>http://dx.doi.org/10.1109/INFVIS.2001.963293</v>
      </c>
      <c r="F838" s="14">
        <v>153.0</v>
      </c>
      <c r="G838" s="14">
        <v>156.0</v>
      </c>
      <c r="H838" s="14" t="s">
        <v>28</v>
      </c>
      <c r="I838" s="18"/>
      <c r="J838" s="19" t="s">
        <v>7010</v>
      </c>
      <c r="K838" s="19" t="s">
        <v>13222</v>
      </c>
      <c r="L838" s="19" t="s">
        <v>13223</v>
      </c>
      <c r="M838" s="20" t="s">
        <v>7013</v>
      </c>
      <c r="N838" s="27"/>
      <c r="O838" s="22">
        <v>15.0</v>
      </c>
      <c r="P838" s="28">
        <v>4.0</v>
      </c>
      <c r="Q838" s="28">
        <v>17.0</v>
      </c>
      <c r="R838" s="84"/>
      <c r="S838" s="84"/>
      <c r="T838" s="84"/>
      <c r="U838" s="84"/>
      <c r="V838" s="84"/>
      <c r="W838" s="84"/>
      <c r="X838" s="84"/>
      <c r="Y838" s="84"/>
      <c r="Z838" s="84"/>
      <c r="AA838" s="84"/>
    </row>
    <row r="839" ht="15.75" customHeight="1">
      <c r="A839" s="14" t="s">
        <v>2137</v>
      </c>
      <c r="B839" s="15" t="s">
        <v>13113</v>
      </c>
      <c r="C839" s="14" t="s">
        <v>7016</v>
      </c>
      <c r="D839" s="14" t="s">
        <v>7018</v>
      </c>
      <c r="E839" s="26" t="str">
        <f t="shared" si="14"/>
        <v>http://dx.doi.org/10.1109/INFVIS.2001.963294</v>
      </c>
      <c r="F839" s="14">
        <v>159.0</v>
      </c>
      <c r="G839" s="14">
        <v>162.0</v>
      </c>
      <c r="H839" s="14" t="s">
        <v>28</v>
      </c>
      <c r="I839" s="18"/>
      <c r="J839" s="19" t="s">
        <v>7042</v>
      </c>
      <c r="K839" s="19" t="s">
        <v>13230</v>
      </c>
      <c r="L839" s="19" t="s">
        <v>13231</v>
      </c>
      <c r="M839" s="20" t="s">
        <v>4017</v>
      </c>
      <c r="N839" s="27"/>
      <c r="O839" s="22">
        <v>41.0</v>
      </c>
      <c r="P839" s="28">
        <v>9.0</v>
      </c>
      <c r="Q839" s="28">
        <v>5.0</v>
      </c>
      <c r="R839" s="84"/>
      <c r="S839" s="84"/>
      <c r="T839" s="84"/>
      <c r="U839" s="84"/>
      <c r="V839" s="84"/>
      <c r="W839" s="84"/>
      <c r="X839" s="84"/>
      <c r="Y839" s="84"/>
      <c r="Z839" s="84"/>
      <c r="AA839" s="84"/>
    </row>
    <row r="840" ht="15.75" customHeight="1">
      <c r="A840" s="14" t="s">
        <v>2137</v>
      </c>
      <c r="B840" s="15" t="s">
        <v>13113</v>
      </c>
      <c r="C840" s="14" t="s">
        <v>7046</v>
      </c>
      <c r="D840" s="14" t="s">
        <v>7053</v>
      </c>
      <c r="E840" s="26" t="str">
        <f t="shared" si="14"/>
        <v>http://dx.doi.org/10.1109/INFVIS.2001.963295</v>
      </c>
      <c r="F840" s="14">
        <v>163.0</v>
      </c>
      <c r="G840" s="14">
        <v>166.0</v>
      </c>
      <c r="H840" s="14" t="s">
        <v>28</v>
      </c>
      <c r="I840" s="18"/>
      <c r="J840" s="19" t="s">
        <v>7075</v>
      </c>
      <c r="K840" s="19" t="s">
        <v>13232</v>
      </c>
      <c r="L840" s="19" t="s">
        <v>5761</v>
      </c>
      <c r="M840" s="20"/>
      <c r="N840" s="27"/>
      <c r="O840" s="22">
        <v>50.0</v>
      </c>
      <c r="P840" s="28">
        <v>3.0</v>
      </c>
      <c r="Q840" s="28">
        <v>13.0</v>
      </c>
      <c r="R840" s="84"/>
      <c r="S840" s="84"/>
      <c r="T840" s="84"/>
      <c r="U840" s="84"/>
      <c r="V840" s="84"/>
      <c r="W840" s="84"/>
      <c r="X840" s="84"/>
      <c r="Y840" s="84"/>
      <c r="Z840" s="84"/>
      <c r="AA840" s="84"/>
    </row>
    <row r="841" ht="15.75" customHeight="1">
      <c r="A841" s="14" t="s">
        <v>2137</v>
      </c>
      <c r="B841" s="15" t="s">
        <v>13113</v>
      </c>
      <c r="C841" s="14" t="s">
        <v>7078</v>
      </c>
      <c r="D841" s="14" t="s">
        <v>7080</v>
      </c>
      <c r="E841" s="26" t="str">
        <f t="shared" si="14"/>
        <v>http://dx.doi.org/10.1109/INFVIS.2001.963296</v>
      </c>
      <c r="F841" s="14">
        <v>169.0</v>
      </c>
      <c r="G841" s="14">
        <v>170.0</v>
      </c>
      <c r="H841" s="14" t="s">
        <v>21</v>
      </c>
      <c r="I841" s="18"/>
      <c r="J841" s="19" t="s">
        <v>7096</v>
      </c>
      <c r="K841" s="19" t="s">
        <v>13233</v>
      </c>
      <c r="L841" s="19" t="s">
        <v>13234</v>
      </c>
      <c r="M841" s="20"/>
      <c r="N841" s="27"/>
      <c r="O841" s="109"/>
      <c r="P841" s="28">
        <v>0.0</v>
      </c>
      <c r="Q841" s="28">
        <v>0.0</v>
      </c>
      <c r="R841" s="84"/>
      <c r="S841" s="84"/>
      <c r="T841" s="84"/>
      <c r="U841" s="84"/>
      <c r="V841" s="84"/>
      <c r="W841" s="84"/>
      <c r="X841" s="84"/>
      <c r="Y841" s="84"/>
      <c r="Z841" s="84"/>
      <c r="AA841" s="84"/>
    </row>
    <row r="842" ht="15.75" customHeight="1">
      <c r="A842" s="14" t="s">
        <v>17</v>
      </c>
      <c r="B842" s="15" t="s">
        <v>13113</v>
      </c>
      <c r="C842" s="14" t="s">
        <v>7099</v>
      </c>
      <c r="D842" s="14" t="s">
        <v>7101</v>
      </c>
      <c r="E842" s="26" t="str">
        <f t="shared" si="14"/>
        <v>http://dx.doi.org/10.1109/VISUAL.2001.964489</v>
      </c>
      <c r="F842" s="50">
        <v>21.0</v>
      </c>
      <c r="G842" s="50">
        <v>28.0</v>
      </c>
      <c r="H842" s="14" t="s">
        <v>28</v>
      </c>
      <c r="I842" s="19" t="s">
        <v>13239</v>
      </c>
      <c r="J842" s="19" t="s">
        <v>13240</v>
      </c>
      <c r="K842" s="19" t="s">
        <v>13241</v>
      </c>
      <c r="L842" s="19" t="s">
        <v>13243</v>
      </c>
      <c r="M842" s="20" t="s">
        <v>7123</v>
      </c>
      <c r="N842" s="44" t="s">
        <v>7129</v>
      </c>
      <c r="O842" s="22">
        <v>822.0</v>
      </c>
      <c r="P842" s="28">
        <v>183.0</v>
      </c>
      <c r="Q842" s="28">
        <v>46.0</v>
      </c>
      <c r="R842" s="84"/>
      <c r="S842" s="84"/>
      <c r="T842" s="84"/>
      <c r="U842" s="84"/>
      <c r="V842" s="84"/>
      <c r="W842" s="84"/>
      <c r="X842" s="84"/>
      <c r="Y842" s="84"/>
      <c r="Z842" s="84"/>
      <c r="AA842" s="84"/>
    </row>
    <row r="843" ht="15.75" customHeight="1">
      <c r="A843" s="14" t="s">
        <v>17</v>
      </c>
      <c r="B843" s="15" t="s">
        <v>13113</v>
      </c>
      <c r="C843" s="14" t="s">
        <v>7132</v>
      </c>
      <c r="D843" s="14" t="s">
        <v>7133</v>
      </c>
      <c r="E843" s="26" t="str">
        <f t="shared" si="14"/>
        <v>http://dx.doi.org/10.1109/VISUAL.2001.964490</v>
      </c>
      <c r="F843" s="50">
        <v>29.0</v>
      </c>
      <c r="G843" s="50">
        <v>36.0</v>
      </c>
      <c r="H843" s="14" t="s">
        <v>28</v>
      </c>
      <c r="I843" s="19" t="s">
        <v>13246</v>
      </c>
      <c r="J843" s="19" t="s">
        <v>7156</v>
      </c>
      <c r="K843" s="19" t="s">
        <v>13247</v>
      </c>
      <c r="L843" s="19" t="s">
        <v>12982</v>
      </c>
      <c r="M843" s="20" t="s">
        <v>7159</v>
      </c>
      <c r="N843" s="44" t="s">
        <v>7161</v>
      </c>
      <c r="O843" s="22">
        <v>150.0</v>
      </c>
      <c r="P843" s="28">
        <v>30.0</v>
      </c>
      <c r="Q843" s="28">
        <v>21.0</v>
      </c>
      <c r="R843" s="84"/>
      <c r="S843" s="84"/>
      <c r="T843" s="84"/>
      <c r="U843" s="84"/>
      <c r="V843" s="84"/>
      <c r="W843" s="84"/>
      <c r="X843" s="84"/>
      <c r="Y843" s="84"/>
      <c r="Z843" s="84"/>
      <c r="AA843" s="84"/>
    </row>
    <row r="844" ht="15.75" customHeight="1">
      <c r="A844" s="14" t="s">
        <v>17</v>
      </c>
      <c r="B844" s="15" t="s">
        <v>13113</v>
      </c>
      <c r="C844" s="14" t="s">
        <v>7165</v>
      </c>
      <c r="D844" s="14" t="s">
        <v>7166</v>
      </c>
      <c r="E844" s="26" t="str">
        <f t="shared" si="14"/>
        <v>http://dx.doi.org/10.1109/VISUAL.2001.964491</v>
      </c>
      <c r="F844" s="50">
        <v>37.0</v>
      </c>
      <c r="G844" s="50">
        <v>44.0</v>
      </c>
      <c r="H844" s="14" t="s">
        <v>28</v>
      </c>
      <c r="I844" s="19" t="s">
        <v>13248</v>
      </c>
      <c r="J844" s="19" t="s">
        <v>7192</v>
      </c>
      <c r="K844" s="19" t="s">
        <v>13249</v>
      </c>
      <c r="L844" s="19" t="s">
        <v>13251</v>
      </c>
      <c r="M844" s="20" t="s">
        <v>7196</v>
      </c>
      <c r="N844" s="44" t="s">
        <v>7197</v>
      </c>
      <c r="O844" s="22">
        <v>117.0</v>
      </c>
      <c r="P844" s="28">
        <v>26.0</v>
      </c>
      <c r="Q844" s="28">
        <v>27.0</v>
      </c>
      <c r="R844" s="84"/>
      <c r="S844" s="84"/>
      <c r="T844" s="84"/>
      <c r="U844" s="84"/>
      <c r="V844" s="84"/>
      <c r="W844" s="84"/>
      <c r="X844" s="84"/>
      <c r="Y844" s="84"/>
      <c r="Z844" s="84"/>
      <c r="AA844" s="84"/>
    </row>
    <row r="845" ht="15.75" customHeight="1">
      <c r="A845" s="14" t="s">
        <v>17</v>
      </c>
      <c r="B845" s="15" t="s">
        <v>13113</v>
      </c>
      <c r="C845" s="14" t="s">
        <v>7200</v>
      </c>
      <c r="D845" s="67" t="s">
        <v>7202</v>
      </c>
      <c r="E845" s="68" t="s">
        <v>7204</v>
      </c>
      <c r="F845" s="50">
        <v>45.0</v>
      </c>
      <c r="G845" s="50">
        <v>52.0</v>
      </c>
      <c r="H845" s="14" t="s">
        <v>28</v>
      </c>
      <c r="I845" s="19" t="s">
        <v>13258</v>
      </c>
      <c r="J845" s="19" t="s">
        <v>7232</v>
      </c>
      <c r="K845" s="19" t="s">
        <v>13259</v>
      </c>
      <c r="L845" s="19" t="s">
        <v>13260</v>
      </c>
      <c r="M845" s="20" t="s">
        <v>4115</v>
      </c>
      <c r="N845" s="48" t="s">
        <v>7235</v>
      </c>
      <c r="O845" s="22">
        <v>142.0</v>
      </c>
      <c r="P845" s="28">
        <v>16.0</v>
      </c>
      <c r="Q845" s="28">
        <v>33.0</v>
      </c>
      <c r="R845" s="94"/>
      <c r="S845" s="94"/>
      <c r="T845" s="115"/>
      <c r="U845" s="115"/>
      <c r="V845" s="115"/>
      <c r="W845" s="115"/>
      <c r="X845" s="115"/>
      <c r="Y845" s="115"/>
      <c r="Z845" s="115"/>
      <c r="AA845" s="115"/>
    </row>
    <row r="846" ht="15.75" customHeight="1">
      <c r="A846" s="14" t="s">
        <v>17</v>
      </c>
      <c r="B846" s="15" t="s">
        <v>13113</v>
      </c>
      <c r="C846" s="14" t="s">
        <v>7246</v>
      </c>
      <c r="D846" s="67" t="s">
        <v>7249</v>
      </c>
      <c r="E846" s="68" t="s">
        <v>7204</v>
      </c>
      <c r="F846" s="50">
        <v>53.0</v>
      </c>
      <c r="G846" s="50">
        <v>60.0</v>
      </c>
      <c r="H846" s="14" t="s">
        <v>28</v>
      </c>
      <c r="I846" s="19" t="s">
        <v>13287</v>
      </c>
      <c r="J846" s="19" t="s">
        <v>5741</v>
      </c>
      <c r="K846" s="19" t="s">
        <v>13288</v>
      </c>
      <c r="L846" s="19" t="s">
        <v>13289</v>
      </c>
      <c r="M846" s="20" t="s">
        <v>7286</v>
      </c>
      <c r="N846" s="21"/>
      <c r="O846" s="22">
        <v>93.0</v>
      </c>
      <c r="P846" s="28">
        <v>19.0</v>
      </c>
      <c r="Q846" s="28">
        <v>13.0</v>
      </c>
      <c r="R846" s="94"/>
      <c r="S846" s="94"/>
      <c r="T846" s="115"/>
      <c r="U846" s="115"/>
      <c r="V846" s="115"/>
      <c r="W846" s="115"/>
      <c r="X846" s="115"/>
      <c r="Y846" s="115"/>
      <c r="Z846" s="115"/>
      <c r="AA846" s="115"/>
    </row>
    <row r="847" ht="15.75" customHeight="1">
      <c r="A847" s="14" t="s">
        <v>17</v>
      </c>
      <c r="B847" s="15" t="s">
        <v>13113</v>
      </c>
      <c r="C847" s="14" t="s">
        <v>7290</v>
      </c>
      <c r="D847" s="14" t="s">
        <v>7292</v>
      </c>
      <c r="E847" s="26" t="str">
        <f>"http://dx.doi.org/" &amp; D847</f>
        <v>http://dx.doi.org/10.1109/VISUAL.2001.964494</v>
      </c>
      <c r="F847" s="50">
        <v>61.0</v>
      </c>
      <c r="G847" s="50">
        <v>68.0</v>
      </c>
      <c r="H847" s="14" t="s">
        <v>28</v>
      </c>
      <c r="I847" s="19" t="s">
        <v>13297</v>
      </c>
      <c r="J847" s="19" t="s">
        <v>13298</v>
      </c>
      <c r="K847" s="19" t="s">
        <v>13299</v>
      </c>
      <c r="L847" s="19" t="s">
        <v>13300</v>
      </c>
      <c r="M847" s="20" t="s">
        <v>7631</v>
      </c>
      <c r="N847" s="44" t="s">
        <v>7632</v>
      </c>
      <c r="O847" s="22">
        <v>50.0</v>
      </c>
      <c r="P847" s="28">
        <v>5.0</v>
      </c>
      <c r="Q847" s="28">
        <v>20.0</v>
      </c>
      <c r="R847" s="84"/>
      <c r="S847" s="84"/>
      <c r="T847" s="84"/>
      <c r="U847" s="84"/>
      <c r="V847" s="84"/>
      <c r="W847" s="84"/>
      <c r="X847" s="84"/>
      <c r="Y847" s="84"/>
      <c r="Z847" s="84"/>
      <c r="AA847" s="84"/>
    </row>
    <row r="848" ht="15.75" customHeight="1">
      <c r="A848" s="14" t="s">
        <v>17</v>
      </c>
      <c r="B848" s="15" t="s">
        <v>13113</v>
      </c>
      <c r="C848" s="14" t="s">
        <v>7634</v>
      </c>
      <c r="D848" s="67" t="s">
        <v>7635</v>
      </c>
      <c r="E848" s="68" t="s">
        <v>7637</v>
      </c>
      <c r="F848" s="50">
        <v>69.0</v>
      </c>
      <c r="G848" s="50">
        <v>74.0</v>
      </c>
      <c r="H848" s="14" t="s">
        <v>28</v>
      </c>
      <c r="I848" s="19" t="s">
        <v>13306</v>
      </c>
      <c r="J848" s="19" t="s">
        <v>7665</v>
      </c>
      <c r="K848" s="19" t="s">
        <v>13307</v>
      </c>
      <c r="L848" s="19" t="s">
        <v>13308</v>
      </c>
      <c r="M848" s="20" t="s">
        <v>7667</v>
      </c>
      <c r="N848" s="48" t="s">
        <v>7669</v>
      </c>
      <c r="O848" s="22">
        <v>50.0</v>
      </c>
      <c r="P848" s="28">
        <v>4.0</v>
      </c>
      <c r="Q848" s="28">
        <v>12.0</v>
      </c>
      <c r="R848" s="94"/>
      <c r="S848" s="94"/>
      <c r="T848" s="115"/>
      <c r="U848" s="115"/>
      <c r="V848" s="115"/>
      <c r="W848" s="115"/>
      <c r="X848" s="115"/>
      <c r="Y848" s="115"/>
      <c r="Z848" s="115"/>
      <c r="AA848" s="115"/>
    </row>
    <row r="849" ht="15.75" customHeight="1">
      <c r="A849" s="14" t="s">
        <v>17</v>
      </c>
      <c r="B849" s="15" t="s">
        <v>13113</v>
      </c>
      <c r="C849" s="14" t="s">
        <v>7673</v>
      </c>
      <c r="D849" s="67" t="s">
        <v>7675</v>
      </c>
      <c r="E849" s="68" t="s">
        <v>7677</v>
      </c>
      <c r="F849" s="50">
        <v>75.0</v>
      </c>
      <c r="G849" s="50">
        <v>82.0</v>
      </c>
      <c r="H849" s="14" t="s">
        <v>28</v>
      </c>
      <c r="I849" s="19" t="s">
        <v>13316</v>
      </c>
      <c r="J849" s="19" t="s">
        <v>7720</v>
      </c>
      <c r="K849" s="19" t="s">
        <v>13317</v>
      </c>
      <c r="L849" s="19" t="s">
        <v>13318</v>
      </c>
      <c r="M849" s="20" t="s">
        <v>3655</v>
      </c>
      <c r="N849" s="48" t="s">
        <v>7723</v>
      </c>
      <c r="O849" s="22">
        <v>50.0</v>
      </c>
      <c r="P849" s="28">
        <v>13.0</v>
      </c>
      <c r="Q849" s="28">
        <v>26.0</v>
      </c>
      <c r="R849" s="94"/>
      <c r="S849" s="94"/>
      <c r="T849" s="115"/>
      <c r="U849" s="115"/>
      <c r="V849" s="115"/>
      <c r="W849" s="115"/>
      <c r="X849" s="115"/>
      <c r="Y849" s="115"/>
      <c r="Z849" s="115"/>
      <c r="AA849" s="115"/>
    </row>
    <row r="850" ht="15.75" customHeight="1">
      <c r="A850" s="14" t="s">
        <v>17</v>
      </c>
      <c r="B850" s="15" t="s">
        <v>13113</v>
      </c>
      <c r="C850" s="14" t="s">
        <v>7727</v>
      </c>
      <c r="D850" s="14" t="s">
        <v>7728</v>
      </c>
      <c r="E850" s="26" t="str">
        <f t="shared" ref="E850:E855" si="15">"http://dx.doi.org/" &amp; D850</f>
        <v>http://dx.doi.org/10.1109/VISUAL.2001.964497</v>
      </c>
      <c r="F850" s="50">
        <v>83.0</v>
      </c>
      <c r="G850" s="50">
        <v>90.0</v>
      </c>
      <c r="H850" s="14" t="s">
        <v>28</v>
      </c>
      <c r="I850" s="19" t="s">
        <v>13319</v>
      </c>
      <c r="J850" s="19" t="s">
        <v>7757</v>
      </c>
      <c r="K850" s="19" t="s">
        <v>13320</v>
      </c>
      <c r="L850" s="19" t="s">
        <v>13321</v>
      </c>
      <c r="M850" s="20" t="s">
        <v>7761</v>
      </c>
      <c r="N850" s="44" t="s">
        <v>7763</v>
      </c>
      <c r="O850" s="22">
        <v>50.0</v>
      </c>
      <c r="P850" s="28">
        <v>3.0</v>
      </c>
      <c r="Q850" s="28">
        <v>35.0</v>
      </c>
      <c r="R850" s="84"/>
      <c r="S850" s="84"/>
      <c r="T850" s="84"/>
      <c r="U850" s="84"/>
      <c r="V850" s="84"/>
      <c r="W850" s="84"/>
      <c r="X850" s="84"/>
      <c r="Y850" s="84"/>
      <c r="Z850" s="84"/>
      <c r="AA850" s="84"/>
    </row>
    <row r="851" ht="15.75" customHeight="1">
      <c r="A851" s="14" t="s">
        <v>17</v>
      </c>
      <c r="B851" s="15" t="s">
        <v>13113</v>
      </c>
      <c r="C851" s="14" t="s">
        <v>7767</v>
      </c>
      <c r="D851" s="14" t="s">
        <v>7770</v>
      </c>
      <c r="E851" s="26" t="str">
        <f t="shared" si="15"/>
        <v>http://dx.doi.org/10.1109/VISUAL.2001.964498</v>
      </c>
      <c r="F851" s="50">
        <v>91.0</v>
      </c>
      <c r="G851" s="50">
        <v>98.0</v>
      </c>
      <c r="H851" s="14" t="s">
        <v>28</v>
      </c>
      <c r="I851" s="19" t="s">
        <v>13322</v>
      </c>
      <c r="J851" s="19" t="s">
        <v>13323</v>
      </c>
      <c r="K851" s="19" t="s">
        <v>13324</v>
      </c>
      <c r="L851" s="19" t="s">
        <v>13325</v>
      </c>
      <c r="M851" s="20" t="s">
        <v>2052</v>
      </c>
      <c r="N851" s="44" t="s">
        <v>7811</v>
      </c>
      <c r="O851" s="22">
        <v>127.0</v>
      </c>
      <c r="P851" s="28">
        <v>12.0</v>
      </c>
      <c r="Q851" s="28">
        <v>20.0</v>
      </c>
      <c r="R851" s="84"/>
      <c r="S851" s="84"/>
      <c r="T851" s="84"/>
      <c r="U851" s="84"/>
      <c r="V851" s="84"/>
      <c r="W851" s="84"/>
      <c r="X851" s="84"/>
      <c r="Y851" s="84"/>
      <c r="Z851" s="84"/>
      <c r="AA851" s="84"/>
    </row>
    <row r="852" ht="15.75" customHeight="1">
      <c r="A852" s="14" t="s">
        <v>17</v>
      </c>
      <c r="B852" s="15" t="s">
        <v>13113</v>
      </c>
      <c r="C852" s="14" t="s">
        <v>7814</v>
      </c>
      <c r="D852" s="14" t="s">
        <v>7816</v>
      </c>
      <c r="E852" s="26" t="str">
        <f t="shared" si="15"/>
        <v>http://dx.doi.org/10.1109/VISUAL.2001.964499</v>
      </c>
      <c r="F852" s="50">
        <v>99.0</v>
      </c>
      <c r="G852" s="50">
        <v>106.0</v>
      </c>
      <c r="H852" s="14" t="s">
        <v>28</v>
      </c>
      <c r="I852" s="19" t="s">
        <v>13332</v>
      </c>
      <c r="J852" s="19" t="s">
        <v>13333</v>
      </c>
      <c r="K852" s="19" t="s">
        <v>13334</v>
      </c>
      <c r="L852" s="19" t="s">
        <v>4726</v>
      </c>
      <c r="M852" s="20" t="s">
        <v>7838</v>
      </c>
      <c r="N852" s="27"/>
      <c r="O852" s="22">
        <v>37.0</v>
      </c>
      <c r="P852" s="28">
        <v>10.0</v>
      </c>
      <c r="Q852" s="28">
        <v>27.0</v>
      </c>
      <c r="R852" s="84"/>
      <c r="S852" s="84"/>
      <c r="T852" s="84"/>
      <c r="U852" s="84"/>
      <c r="V852" s="84"/>
      <c r="W852" s="84"/>
      <c r="X852" s="84"/>
      <c r="Y852" s="84"/>
      <c r="Z852" s="84"/>
      <c r="AA852" s="84"/>
    </row>
    <row r="853" ht="15.75" customHeight="1">
      <c r="A853" s="14" t="s">
        <v>17</v>
      </c>
      <c r="B853" s="15" t="s">
        <v>13113</v>
      </c>
      <c r="C853" s="14" t="s">
        <v>7841</v>
      </c>
      <c r="D853" s="14" t="s">
        <v>7842</v>
      </c>
      <c r="E853" s="26" t="str">
        <f t="shared" si="15"/>
        <v>http://dx.doi.org/10.1109/VISUAL.2001.964500</v>
      </c>
      <c r="F853" s="50">
        <v>107.0</v>
      </c>
      <c r="G853" s="50">
        <v>112.0</v>
      </c>
      <c r="H853" s="14" t="s">
        <v>28</v>
      </c>
      <c r="I853" s="19" t="s">
        <v>13335</v>
      </c>
      <c r="J853" s="19" t="s">
        <v>7888</v>
      </c>
      <c r="K853" s="19" t="s">
        <v>13336</v>
      </c>
      <c r="L853" s="19" t="s">
        <v>13337</v>
      </c>
      <c r="M853" s="20" t="s">
        <v>5932</v>
      </c>
      <c r="N853" s="44" t="s">
        <v>7892</v>
      </c>
      <c r="O853" s="22">
        <v>63.0</v>
      </c>
      <c r="P853" s="28">
        <v>7.0</v>
      </c>
      <c r="Q853" s="28">
        <v>26.0</v>
      </c>
      <c r="R853" s="84"/>
      <c r="S853" s="84"/>
      <c r="T853" s="84"/>
      <c r="U853" s="84"/>
      <c r="V853" s="84"/>
      <c r="W853" s="84"/>
      <c r="X853" s="84"/>
      <c r="Y853" s="84"/>
      <c r="Z853" s="84"/>
      <c r="AA853" s="84"/>
    </row>
    <row r="854" ht="15.75" customHeight="1">
      <c r="A854" s="14" t="s">
        <v>17</v>
      </c>
      <c r="B854" s="15" t="s">
        <v>13113</v>
      </c>
      <c r="C854" s="14" t="s">
        <v>7895</v>
      </c>
      <c r="D854" s="14" t="s">
        <v>7897</v>
      </c>
      <c r="E854" s="26" t="str">
        <f t="shared" si="15"/>
        <v>http://dx.doi.org/10.1109/VISUAL.2001.964501</v>
      </c>
      <c r="F854" s="50">
        <v>113.0</v>
      </c>
      <c r="G854" s="50">
        <v>120.0</v>
      </c>
      <c r="H854" s="14" t="s">
        <v>28</v>
      </c>
      <c r="I854" s="19" t="s">
        <v>13345</v>
      </c>
      <c r="J854" s="19" t="s">
        <v>7933</v>
      </c>
      <c r="K854" s="19" t="s">
        <v>13346</v>
      </c>
      <c r="L854" s="19" t="s">
        <v>13347</v>
      </c>
      <c r="M854" s="20" t="s">
        <v>7937</v>
      </c>
      <c r="N854" s="44" t="s">
        <v>7939</v>
      </c>
      <c r="O854" s="22">
        <v>50.0</v>
      </c>
      <c r="P854" s="28">
        <v>2.0</v>
      </c>
      <c r="Q854" s="28">
        <v>14.0</v>
      </c>
      <c r="R854" s="84"/>
      <c r="S854" s="84"/>
      <c r="T854" s="84"/>
      <c r="U854" s="84"/>
      <c r="V854" s="84"/>
      <c r="W854" s="84"/>
      <c r="X854" s="84"/>
      <c r="Y854" s="84"/>
      <c r="Z854" s="84"/>
      <c r="AA854" s="84"/>
    </row>
    <row r="855" ht="15.75" customHeight="1">
      <c r="A855" s="14" t="s">
        <v>17</v>
      </c>
      <c r="B855" s="15" t="s">
        <v>13113</v>
      </c>
      <c r="C855" s="14" t="s">
        <v>7942</v>
      </c>
      <c r="D855" s="14" t="s">
        <v>7944</v>
      </c>
      <c r="E855" s="26" t="str">
        <f t="shared" si="15"/>
        <v>http://dx.doi.org/10.1109/VISUAL.2001.964502</v>
      </c>
      <c r="F855" s="50">
        <v>121.0</v>
      </c>
      <c r="G855" s="50">
        <v>126.0</v>
      </c>
      <c r="H855" s="14" t="s">
        <v>28</v>
      </c>
      <c r="I855" s="19" t="s">
        <v>13355</v>
      </c>
      <c r="J855" s="19" t="s">
        <v>13356</v>
      </c>
      <c r="K855" s="19" t="s">
        <v>13357</v>
      </c>
      <c r="L855" s="19" t="s">
        <v>13358</v>
      </c>
      <c r="M855" s="20" t="s">
        <v>7981</v>
      </c>
      <c r="N855" s="44" t="s">
        <v>7983</v>
      </c>
      <c r="O855" s="22">
        <v>141.0</v>
      </c>
      <c r="P855" s="28">
        <v>34.0</v>
      </c>
      <c r="Q855" s="28">
        <v>32.0</v>
      </c>
      <c r="R855" s="84"/>
      <c r="S855" s="84"/>
      <c r="T855" s="84"/>
      <c r="U855" s="84"/>
      <c r="V855" s="84"/>
      <c r="W855" s="84"/>
      <c r="X855" s="84"/>
      <c r="Y855" s="84"/>
      <c r="Z855" s="84"/>
      <c r="AA855" s="84"/>
    </row>
    <row r="856" ht="15.75" customHeight="1">
      <c r="A856" s="14" t="s">
        <v>17</v>
      </c>
      <c r="B856" s="15" t="s">
        <v>13113</v>
      </c>
      <c r="C856" s="14" t="s">
        <v>7987</v>
      </c>
      <c r="D856" s="67" t="s">
        <v>7989</v>
      </c>
      <c r="E856" s="68" t="s">
        <v>7991</v>
      </c>
      <c r="F856" s="50">
        <v>127.0</v>
      </c>
      <c r="G856" s="50">
        <v>134.0</v>
      </c>
      <c r="H856" s="14" t="s">
        <v>28</v>
      </c>
      <c r="I856" s="19" t="s">
        <v>13365</v>
      </c>
      <c r="J856" s="19" t="s">
        <v>8039</v>
      </c>
      <c r="K856" s="19" t="s">
        <v>13366</v>
      </c>
      <c r="L856" s="19" t="s">
        <v>1896</v>
      </c>
      <c r="M856" s="20" t="s">
        <v>8042</v>
      </c>
      <c r="N856" s="48" t="s">
        <v>8044</v>
      </c>
      <c r="O856" s="22">
        <v>181.0</v>
      </c>
      <c r="P856" s="28">
        <v>37.0</v>
      </c>
      <c r="Q856" s="28">
        <v>24.0</v>
      </c>
      <c r="R856" s="94"/>
      <c r="S856" s="94"/>
      <c r="T856" s="115"/>
      <c r="U856" s="115"/>
      <c r="V856" s="115"/>
      <c r="W856" s="115"/>
      <c r="X856" s="115"/>
      <c r="Y856" s="115"/>
      <c r="Z856" s="115"/>
      <c r="AA856" s="115"/>
    </row>
    <row r="857" ht="15.75" customHeight="1">
      <c r="A857" s="14" t="s">
        <v>17</v>
      </c>
      <c r="B857" s="15" t="s">
        <v>13113</v>
      </c>
      <c r="C857" s="14" t="s">
        <v>8048</v>
      </c>
      <c r="D857" s="14" t="s">
        <v>8049</v>
      </c>
      <c r="E857" s="26" t="str">
        <f t="shared" ref="E857:E861" si="16">"http://dx.doi.org/" &amp; D857</f>
        <v>http://dx.doi.org/10.1109/VISUAL.2001.964504</v>
      </c>
      <c r="F857" s="50">
        <v>135.0</v>
      </c>
      <c r="G857" s="50">
        <v>142.0</v>
      </c>
      <c r="H857" s="14" t="s">
        <v>28</v>
      </c>
      <c r="I857" s="19" t="s">
        <v>13372</v>
      </c>
      <c r="J857" s="19" t="s">
        <v>8082</v>
      </c>
      <c r="K857" s="19" t="s">
        <v>13373</v>
      </c>
      <c r="L857" s="19" t="s">
        <v>6028</v>
      </c>
      <c r="M857" s="20"/>
      <c r="N857" s="44" t="s">
        <v>8088</v>
      </c>
      <c r="O857" s="22">
        <v>64.0</v>
      </c>
      <c r="P857" s="28">
        <v>15.0</v>
      </c>
      <c r="Q857" s="28">
        <v>22.0</v>
      </c>
      <c r="R857" s="84"/>
      <c r="S857" s="84"/>
      <c r="T857" s="84"/>
      <c r="U857" s="84"/>
      <c r="V857" s="84"/>
      <c r="W857" s="84"/>
      <c r="X857" s="84"/>
      <c r="Y857" s="84"/>
      <c r="Z857" s="84"/>
      <c r="AA857" s="84"/>
    </row>
    <row r="858" ht="15.75" customHeight="1">
      <c r="A858" s="14" t="s">
        <v>17</v>
      </c>
      <c r="B858" s="15" t="s">
        <v>13113</v>
      </c>
      <c r="C858" s="14" t="s">
        <v>8092</v>
      </c>
      <c r="D858" s="14" t="s">
        <v>8094</v>
      </c>
      <c r="E858" s="26" t="str">
        <f t="shared" si="16"/>
        <v>http://dx.doi.org/10.1109/VISUAL.2001.964505</v>
      </c>
      <c r="F858" s="50">
        <v>143.0</v>
      </c>
      <c r="G858" s="50">
        <v>150.0</v>
      </c>
      <c r="H858" s="14" t="s">
        <v>28</v>
      </c>
      <c r="I858" s="19" t="s">
        <v>13374</v>
      </c>
      <c r="J858" s="19" t="s">
        <v>8132</v>
      </c>
      <c r="K858" s="19" t="s">
        <v>13375</v>
      </c>
      <c r="L858" s="19" t="s">
        <v>5137</v>
      </c>
      <c r="M858" s="20" t="s">
        <v>8138</v>
      </c>
      <c r="N858" s="44" t="s">
        <v>8250</v>
      </c>
      <c r="O858" s="22">
        <v>55.0</v>
      </c>
      <c r="P858" s="28">
        <v>13.0</v>
      </c>
      <c r="Q858" s="28">
        <v>13.0</v>
      </c>
      <c r="R858" s="84"/>
      <c r="S858" s="84"/>
      <c r="T858" s="84"/>
      <c r="U858" s="84"/>
      <c r="V858" s="84"/>
      <c r="W858" s="84"/>
      <c r="X858" s="84"/>
      <c r="Y858" s="84"/>
      <c r="Z858" s="84"/>
      <c r="AA858" s="84"/>
    </row>
    <row r="859" ht="15.75" customHeight="1">
      <c r="A859" s="14" t="s">
        <v>17</v>
      </c>
      <c r="B859" s="15" t="s">
        <v>13113</v>
      </c>
      <c r="C859" s="14" t="s">
        <v>8261</v>
      </c>
      <c r="D859" s="14" t="s">
        <v>8263</v>
      </c>
      <c r="E859" s="26" t="str">
        <f t="shared" si="16"/>
        <v>http://dx.doi.org/10.1109/VISUAL.2001.964506</v>
      </c>
      <c r="F859" s="50">
        <v>151.0</v>
      </c>
      <c r="G859" s="50">
        <v>158.0</v>
      </c>
      <c r="H859" s="14" t="s">
        <v>28</v>
      </c>
      <c r="I859" s="19" t="s">
        <v>13382</v>
      </c>
      <c r="J859" s="19" t="s">
        <v>8306</v>
      </c>
      <c r="K859" s="19" t="s">
        <v>13383</v>
      </c>
      <c r="L859" s="19" t="s">
        <v>2906</v>
      </c>
      <c r="M859" s="20" t="s">
        <v>8310</v>
      </c>
      <c r="N859" s="44" t="s">
        <v>8312</v>
      </c>
      <c r="O859" s="22">
        <v>71.0</v>
      </c>
      <c r="P859" s="28">
        <v>20.0</v>
      </c>
      <c r="Q859" s="28">
        <v>13.0</v>
      </c>
      <c r="R859" s="84"/>
      <c r="S859" s="84"/>
      <c r="T859" s="84"/>
      <c r="U859" s="84"/>
      <c r="V859" s="84"/>
      <c r="W859" s="84"/>
      <c r="X859" s="84"/>
      <c r="Y859" s="84"/>
      <c r="Z859" s="84"/>
      <c r="AA859" s="84"/>
    </row>
    <row r="860" ht="15.75" customHeight="1">
      <c r="A860" s="14" t="s">
        <v>17</v>
      </c>
      <c r="B860" s="15" t="s">
        <v>13113</v>
      </c>
      <c r="C860" s="14" t="s">
        <v>8315</v>
      </c>
      <c r="D860" s="14" t="s">
        <v>8317</v>
      </c>
      <c r="E860" s="26" t="str">
        <f t="shared" si="16"/>
        <v>http://dx.doi.org/10.1109/VISUAL.2001.964507</v>
      </c>
      <c r="F860" s="50">
        <v>159.0</v>
      </c>
      <c r="G860" s="50">
        <v>166.0</v>
      </c>
      <c r="H860" s="14" t="s">
        <v>28</v>
      </c>
      <c r="I860" s="19" t="s">
        <v>13384</v>
      </c>
      <c r="J860" s="19" t="s">
        <v>5903</v>
      </c>
      <c r="K860" s="19" t="s">
        <v>12942</v>
      </c>
      <c r="L860" s="19" t="s">
        <v>2906</v>
      </c>
      <c r="M860" s="20" t="s">
        <v>8351</v>
      </c>
      <c r="N860" s="44" t="s">
        <v>8353</v>
      </c>
      <c r="O860" s="22">
        <v>145.0</v>
      </c>
      <c r="P860" s="28">
        <v>45.0</v>
      </c>
      <c r="Q860" s="28">
        <v>10.0</v>
      </c>
      <c r="R860" s="84"/>
      <c r="S860" s="84"/>
      <c r="T860" s="84"/>
      <c r="U860" s="84"/>
      <c r="V860" s="84"/>
      <c r="W860" s="84"/>
      <c r="X860" s="84"/>
      <c r="Y860" s="84"/>
      <c r="Z860" s="84"/>
      <c r="AA860" s="84"/>
    </row>
    <row r="861" ht="15.75" customHeight="1">
      <c r="A861" s="14" t="s">
        <v>17</v>
      </c>
      <c r="B861" s="15" t="s">
        <v>13113</v>
      </c>
      <c r="C861" s="14" t="s">
        <v>8356</v>
      </c>
      <c r="D861" s="14" t="s">
        <v>8358</v>
      </c>
      <c r="E861" s="26" t="str">
        <f t="shared" si="16"/>
        <v>http://dx.doi.org/10.1109/VISUAL.2001.964508</v>
      </c>
      <c r="F861" s="50">
        <v>167.0</v>
      </c>
      <c r="G861" s="50">
        <v>554.0</v>
      </c>
      <c r="H861" s="14" t="s">
        <v>28</v>
      </c>
      <c r="I861" s="19" t="s">
        <v>13392</v>
      </c>
      <c r="J861" s="19" t="s">
        <v>8382</v>
      </c>
      <c r="K861" s="19" t="s">
        <v>13393</v>
      </c>
      <c r="L861" s="19" t="s">
        <v>13394</v>
      </c>
      <c r="M861" s="20" t="s">
        <v>8385</v>
      </c>
      <c r="N861" s="44" t="s">
        <v>8386</v>
      </c>
      <c r="O861" s="22">
        <v>235.0</v>
      </c>
      <c r="P861" s="28">
        <v>43.0</v>
      </c>
      <c r="Q861" s="28">
        <v>30.0</v>
      </c>
      <c r="R861" s="84"/>
      <c r="S861" s="84"/>
      <c r="T861" s="84"/>
      <c r="U861" s="84"/>
      <c r="V861" s="84"/>
      <c r="W861" s="84"/>
      <c r="X861" s="84"/>
      <c r="Y861" s="84"/>
      <c r="Z861" s="84"/>
      <c r="AA861" s="84"/>
    </row>
    <row r="862" ht="15.75" customHeight="1">
      <c r="A862" s="14" t="s">
        <v>17</v>
      </c>
      <c r="B862" s="15" t="s">
        <v>13113</v>
      </c>
      <c r="C862" s="14" t="s">
        <v>8390</v>
      </c>
      <c r="D862" s="54" t="s">
        <v>8392</v>
      </c>
      <c r="E862" s="49" t="s">
        <v>8394</v>
      </c>
      <c r="F862" s="50">
        <v>175.0</v>
      </c>
      <c r="G862" s="50">
        <v>182.0</v>
      </c>
      <c r="H862" s="14" t="s">
        <v>28</v>
      </c>
      <c r="I862" s="19" t="s">
        <v>13402</v>
      </c>
      <c r="J862" s="19" t="s">
        <v>8442</v>
      </c>
      <c r="K862" s="19" t="s">
        <v>13404</v>
      </c>
      <c r="L862" s="19" t="s">
        <v>13406</v>
      </c>
      <c r="M862" s="20" t="s">
        <v>8444</v>
      </c>
      <c r="N862" s="48" t="s">
        <v>8446</v>
      </c>
      <c r="O862" s="22">
        <v>64.0</v>
      </c>
      <c r="P862" s="28">
        <v>14.0</v>
      </c>
      <c r="Q862" s="28">
        <v>26.0</v>
      </c>
      <c r="R862" s="94"/>
      <c r="S862" s="94"/>
      <c r="T862" s="95"/>
      <c r="U862" s="95"/>
      <c r="V862" s="95"/>
      <c r="W862" s="95"/>
      <c r="X862" s="95"/>
      <c r="Y862" s="95"/>
      <c r="Z862" s="95"/>
      <c r="AA862" s="95"/>
    </row>
    <row r="863" ht="15.75" customHeight="1">
      <c r="A863" s="14" t="s">
        <v>17</v>
      </c>
      <c r="B863" s="15" t="s">
        <v>13113</v>
      </c>
      <c r="C863" s="14" t="s">
        <v>8449</v>
      </c>
      <c r="D863" s="14" t="s">
        <v>8451</v>
      </c>
      <c r="E863" s="26" t="str">
        <f t="shared" ref="E863:E872" si="17">"http://dx.doi.org/" &amp; D863</f>
        <v>http://dx.doi.org/10.1109/VISUAL.2001.964510</v>
      </c>
      <c r="F863" s="50">
        <v>183.0</v>
      </c>
      <c r="G863" s="50">
        <v>190.0</v>
      </c>
      <c r="H863" s="14" t="s">
        <v>28</v>
      </c>
      <c r="I863" s="19" t="s">
        <v>13412</v>
      </c>
      <c r="J863" s="19" t="s">
        <v>8482</v>
      </c>
      <c r="K863" s="19" t="s">
        <v>13414</v>
      </c>
      <c r="L863" s="19" t="s">
        <v>13415</v>
      </c>
      <c r="M863" s="20" t="s">
        <v>2378</v>
      </c>
      <c r="N863" s="44" t="s">
        <v>8487</v>
      </c>
      <c r="O863" s="22">
        <v>57.0</v>
      </c>
      <c r="P863" s="28">
        <v>15.0</v>
      </c>
      <c r="Q863" s="28">
        <v>25.0</v>
      </c>
      <c r="R863" s="84"/>
      <c r="S863" s="84"/>
      <c r="T863" s="84"/>
      <c r="U863" s="84"/>
      <c r="V863" s="84"/>
      <c r="W863" s="84"/>
      <c r="X863" s="84"/>
      <c r="Y863" s="84"/>
      <c r="Z863" s="84"/>
      <c r="AA863" s="84"/>
    </row>
    <row r="864" ht="15.75" customHeight="1">
      <c r="A864" s="14" t="s">
        <v>17</v>
      </c>
      <c r="B864" s="15" t="s">
        <v>13113</v>
      </c>
      <c r="C864" s="14" t="s">
        <v>8490</v>
      </c>
      <c r="D864" s="14" t="s">
        <v>8492</v>
      </c>
      <c r="E864" s="26" t="str">
        <f t="shared" si="17"/>
        <v>http://dx.doi.org/10.1109/VISUAL.2001.964511</v>
      </c>
      <c r="F864" s="50">
        <v>191.0</v>
      </c>
      <c r="G864" s="50">
        <v>198.0</v>
      </c>
      <c r="H864" s="14" t="s">
        <v>28</v>
      </c>
      <c r="I864" s="19" t="s">
        <v>13422</v>
      </c>
      <c r="J864" s="19" t="s">
        <v>13423</v>
      </c>
      <c r="K864" s="19" t="s">
        <v>13424</v>
      </c>
      <c r="L864" s="19" t="s">
        <v>13425</v>
      </c>
      <c r="M864" s="20" t="s">
        <v>2867</v>
      </c>
      <c r="N864" s="44" t="s">
        <v>8511</v>
      </c>
      <c r="O864" s="22">
        <v>27.0</v>
      </c>
      <c r="P864" s="28">
        <v>3.0</v>
      </c>
      <c r="Q864" s="28">
        <v>28.0</v>
      </c>
      <c r="R864" s="84"/>
      <c r="S864" s="84"/>
      <c r="T864" s="84"/>
      <c r="U864" s="84"/>
      <c r="V864" s="84"/>
      <c r="W864" s="84"/>
      <c r="X864" s="84"/>
      <c r="Y864" s="84"/>
      <c r="Z864" s="84"/>
      <c r="AA864" s="84"/>
    </row>
    <row r="865" ht="15.75" customHeight="1">
      <c r="A865" s="14" t="s">
        <v>17</v>
      </c>
      <c r="B865" s="15" t="s">
        <v>13113</v>
      </c>
      <c r="C865" s="14" t="s">
        <v>8513</v>
      </c>
      <c r="D865" s="14" t="s">
        <v>8515</v>
      </c>
      <c r="E865" s="26" t="str">
        <f t="shared" si="17"/>
        <v>http://dx.doi.org/10.1109/VISUAL.2001.964512</v>
      </c>
      <c r="F865" s="50">
        <v>199.0</v>
      </c>
      <c r="G865" s="50">
        <v>206.0</v>
      </c>
      <c r="H865" s="14" t="s">
        <v>28</v>
      </c>
      <c r="I865" s="19" t="s">
        <v>13426</v>
      </c>
      <c r="J865" s="19" t="s">
        <v>8544</v>
      </c>
      <c r="K865" s="19" t="s">
        <v>13427</v>
      </c>
      <c r="L865" s="19" t="s">
        <v>13428</v>
      </c>
      <c r="M865" s="20" t="s">
        <v>2867</v>
      </c>
      <c r="N865" s="27"/>
      <c r="O865" s="22">
        <v>29.0</v>
      </c>
      <c r="P865" s="28">
        <v>6.0</v>
      </c>
      <c r="Q865" s="28">
        <v>15.0</v>
      </c>
      <c r="R865" s="84"/>
      <c r="S865" s="84"/>
      <c r="T865" s="84"/>
      <c r="U865" s="84"/>
      <c r="V865" s="84"/>
      <c r="W865" s="84"/>
      <c r="X865" s="84"/>
      <c r="Y865" s="84"/>
      <c r="Z865" s="84"/>
      <c r="AA865" s="84"/>
    </row>
    <row r="866" ht="15.75" customHeight="1">
      <c r="A866" s="14" t="s">
        <v>17</v>
      </c>
      <c r="B866" s="15" t="s">
        <v>13113</v>
      </c>
      <c r="C866" s="14" t="s">
        <v>8549</v>
      </c>
      <c r="D866" s="14" t="s">
        <v>8550</v>
      </c>
      <c r="E866" s="26" t="str">
        <f t="shared" si="17"/>
        <v>http://dx.doi.org/10.1109/VISUAL.2001.964513</v>
      </c>
      <c r="F866" s="50">
        <v>207.0</v>
      </c>
      <c r="G866" s="50">
        <v>213.0</v>
      </c>
      <c r="H866" s="14" t="s">
        <v>28</v>
      </c>
      <c r="I866" s="19" t="s">
        <v>13435</v>
      </c>
      <c r="J866" s="19" t="s">
        <v>13436</v>
      </c>
      <c r="K866" s="19" t="s">
        <v>13437</v>
      </c>
      <c r="L866" s="19" t="s">
        <v>13438</v>
      </c>
      <c r="M866" s="20" t="s">
        <v>8586</v>
      </c>
      <c r="N866" s="44" t="s">
        <v>8587</v>
      </c>
      <c r="O866" s="22">
        <v>36.0</v>
      </c>
      <c r="P866" s="28">
        <v>7.0</v>
      </c>
      <c r="Q866" s="28">
        <v>16.0</v>
      </c>
      <c r="R866" s="84"/>
      <c r="S866" s="84"/>
      <c r="T866" s="84"/>
      <c r="U866" s="84"/>
      <c r="V866" s="84"/>
      <c r="W866" s="84"/>
      <c r="X866" s="84"/>
      <c r="Y866" s="84"/>
      <c r="Z866" s="84"/>
      <c r="AA866" s="84"/>
    </row>
    <row r="867" ht="15.75" customHeight="1">
      <c r="A867" s="14" t="s">
        <v>17</v>
      </c>
      <c r="B867" s="15" t="s">
        <v>13113</v>
      </c>
      <c r="C867" s="14" t="s">
        <v>8590</v>
      </c>
      <c r="D867" s="14" t="s">
        <v>8592</v>
      </c>
      <c r="E867" s="26" t="str">
        <f t="shared" si="17"/>
        <v>http://dx.doi.org/10.1109/VISUAL.2001.964514</v>
      </c>
      <c r="F867" s="50">
        <v>215.0</v>
      </c>
      <c r="G867" s="50">
        <v>222.0</v>
      </c>
      <c r="H867" s="14" t="s">
        <v>28</v>
      </c>
      <c r="I867" s="19" t="s">
        <v>13439</v>
      </c>
      <c r="J867" s="19" t="s">
        <v>8622</v>
      </c>
      <c r="K867" s="19" t="s">
        <v>13440</v>
      </c>
      <c r="L867" s="19" t="s">
        <v>13441</v>
      </c>
      <c r="M867" s="20" t="s">
        <v>5701</v>
      </c>
      <c r="N867" s="44" t="s">
        <v>8626</v>
      </c>
      <c r="O867" s="22">
        <v>36.0</v>
      </c>
      <c r="P867" s="28">
        <v>10.0</v>
      </c>
      <c r="Q867" s="28">
        <v>18.0</v>
      </c>
      <c r="R867" s="84"/>
      <c r="S867" s="84"/>
      <c r="T867" s="84"/>
      <c r="U867" s="84"/>
      <c r="V867" s="84"/>
      <c r="W867" s="84"/>
      <c r="X867" s="84"/>
      <c r="Y867" s="84"/>
      <c r="Z867" s="84"/>
      <c r="AA867" s="84"/>
    </row>
    <row r="868" ht="15.75" customHeight="1">
      <c r="A868" s="14" t="s">
        <v>17</v>
      </c>
      <c r="B868" s="15" t="s">
        <v>13113</v>
      </c>
      <c r="C868" s="14" t="s">
        <v>8629</v>
      </c>
      <c r="D868" s="14" t="s">
        <v>8631</v>
      </c>
      <c r="E868" s="26" t="str">
        <f t="shared" si="17"/>
        <v>http://dx.doi.org/10.1109/VISUAL.2001.964515</v>
      </c>
      <c r="F868" s="50">
        <v>223.0</v>
      </c>
      <c r="G868" s="50">
        <v>230.0</v>
      </c>
      <c r="H868" s="14" t="s">
        <v>28</v>
      </c>
      <c r="I868" s="19" t="s">
        <v>13449</v>
      </c>
      <c r="J868" s="19" t="s">
        <v>8658</v>
      </c>
      <c r="K868" s="19" t="s">
        <v>13450</v>
      </c>
      <c r="L868" s="19" t="s">
        <v>13451</v>
      </c>
      <c r="M868" s="20" t="s">
        <v>8662</v>
      </c>
      <c r="N868" s="44" t="s">
        <v>8663</v>
      </c>
      <c r="O868" s="22">
        <v>85.0</v>
      </c>
      <c r="P868" s="28">
        <v>22.0</v>
      </c>
      <c r="Q868" s="28">
        <v>13.0</v>
      </c>
      <c r="R868" s="84"/>
      <c r="S868" s="84"/>
      <c r="T868" s="84"/>
      <c r="U868" s="84"/>
      <c r="V868" s="84"/>
      <c r="W868" s="84"/>
      <c r="X868" s="84"/>
      <c r="Y868" s="84"/>
      <c r="Z868" s="84"/>
      <c r="AA868" s="84"/>
    </row>
    <row r="869" ht="15.75" customHeight="1">
      <c r="A869" s="14" t="s">
        <v>17</v>
      </c>
      <c r="B869" s="15" t="s">
        <v>13113</v>
      </c>
      <c r="C869" s="14" t="s">
        <v>8666</v>
      </c>
      <c r="D869" s="14" t="s">
        <v>8668</v>
      </c>
      <c r="E869" s="26" t="str">
        <f t="shared" si="17"/>
        <v>http://dx.doi.org/10.1109/VISUAL.2001.964516</v>
      </c>
      <c r="F869" s="50">
        <v>231.0</v>
      </c>
      <c r="G869" s="50">
        <v>238.0</v>
      </c>
      <c r="H869" s="14" t="s">
        <v>28</v>
      </c>
      <c r="I869" s="19" t="s">
        <v>13457</v>
      </c>
      <c r="J869" s="19" t="s">
        <v>8694</v>
      </c>
      <c r="K869" s="19" t="s">
        <v>13458</v>
      </c>
      <c r="L869" s="19" t="s">
        <v>13459</v>
      </c>
      <c r="M869" s="20" t="s">
        <v>8695</v>
      </c>
      <c r="N869" s="44" t="s">
        <v>8696</v>
      </c>
      <c r="O869" s="22">
        <v>80.0</v>
      </c>
      <c r="P869" s="28">
        <v>22.0</v>
      </c>
      <c r="Q869" s="28">
        <v>13.0</v>
      </c>
      <c r="R869" s="84"/>
      <c r="S869" s="84"/>
      <c r="T869" s="84"/>
      <c r="U869" s="84"/>
      <c r="V869" s="84"/>
      <c r="W869" s="84"/>
      <c r="X869" s="84"/>
      <c r="Y869" s="84"/>
      <c r="Z869" s="84"/>
      <c r="AA869" s="84"/>
    </row>
    <row r="870" ht="15.75" customHeight="1">
      <c r="A870" s="14" t="s">
        <v>17</v>
      </c>
      <c r="B870" s="15" t="s">
        <v>13113</v>
      </c>
      <c r="C870" s="14" t="s">
        <v>8697</v>
      </c>
      <c r="D870" s="14" t="s">
        <v>8698</v>
      </c>
      <c r="E870" s="26" t="str">
        <f t="shared" si="17"/>
        <v>http://dx.doi.org/10.1109/VISUAL.2001.964517</v>
      </c>
      <c r="F870" s="50">
        <v>239.0</v>
      </c>
      <c r="G870" s="50">
        <v>246.0</v>
      </c>
      <c r="H870" s="14" t="s">
        <v>28</v>
      </c>
      <c r="I870" s="19" t="s">
        <v>13460</v>
      </c>
      <c r="J870" s="19" t="s">
        <v>8740</v>
      </c>
      <c r="K870" s="19" t="s">
        <v>13461</v>
      </c>
      <c r="L870" s="19" t="s">
        <v>13462</v>
      </c>
      <c r="M870" s="20" t="s">
        <v>8744</v>
      </c>
      <c r="N870" s="44" t="s">
        <v>8746</v>
      </c>
      <c r="O870" s="22">
        <v>136.0</v>
      </c>
      <c r="P870" s="28">
        <v>12.0</v>
      </c>
      <c r="Q870" s="28">
        <v>27.0</v>
      </c>
      <c r="R870" s="84"/>
      <c r="S870" s="84"/>
      <c r="T870" s="84"/>
      <c r="U870" s="84"/>
      <c r="V870" s="84"/>
      <c r="W870" s="84"/>
      <c r="X870" s="84"/>
      <c r="Y870" s="84"/>
      <c r="Z870" s="84"/>
      <c r="AA870" s="84"/>
    </row>
    <row r="871" ht="15.75" customHeight="1">
      <c r="A871" s="14" t="s">
        <v>17</v>
      </c>
      <c r="B871" s="15" t="s">
        <v>13113</v>
      </c>
      <c r="C871" s="14" t="s">
        <v>8749</v>
      </c>
      <c r="D871" s="14" t="s">
        <v>8751</v>
      </c>
      <c r="E871" s="26" t="str">
        <f t="shared" si="17"/>
        <v>http://dx.doi.org/10.1109/VISUAL.2001.964518</v>
      </c>
      <c r="F871" s="50">
        <v>247.0</v>
      </c>
      <c r="G871" s="50">
        <v>254.0</v>
      </c>
      <c r="H871" s="14" t="s">
        <v>28</v>
      </c>
      <c r="I871" s="19" t="s">
        <v>13469</v>
      </c>
      <c r="J871" s="19" t="s">
        <v>8789</v>
      </c>
      <c r="K871" s="19" t="s">
        <v>13470</v>
      </c>
      <c r="L871" s="19" t="s">
        <v>4119</v>
      </c>
      <c r="M871" s="20" t="s">
        <v>8793</v>
      </c>
      <c r="N871" s="44" t="s">
        <v>8795</v>
      </c>
      <c r="O871" s="22">
        <v>66.0</v>
      </c>
      <c r="P871" s="28">
        <v>8.0</v>
      </c>
      <c r="Q871" s="28">
        <v>22.0</v>
      </c>
      <c r="R871" s="84"/>
      <c r="S871" s="84"/>
      <c r="T871" s="84"/>
      <c r="U871" s="84"/>
      <c r="V871" s="84"/>
      <c r="W871" s="84"/>
      <c r="X871" s="84"/>
      <c r="Y871" s="84"/>
      <c r="Z871" s="84"/>
      <c r="AA871" s="84"/>
    </row>
    <row r="872" ht="15.75" customHeight="1">
      <c r="A872" s="14" t="s">
        <v>17</v>
      </c>
      <c r="B872" s="15" t="s">
        <v>13113</v>
      </c>
      <c r="C872" s="14" t="s">
        <v>8798</v>
      </c>
      <c r="D872" s="14" t="s">
        <v>8800</v>
      </c>
      <c r="E872" s="26" t="str">
        <f t="shared" si="17"/>
        <v>http://dx.doi.org/10.1109/VISUAL.2001.964519</v>
      </c>
      <c r="F872" s="50">
        <v>255.0</v>
      </c>
      <c r="G872" s="50">
        <v>262.0</v>
      </c>
      <c r="H872" s="14" t="s">
        <v>28</v>
      </c>
      <c r="I872" s="19" t="s">
        <v>13471</v>
      </c>
      <c r="J872" s="19" t="s">
        <v>9324</v>
      </c>
      <c r="K872" s="19" t="s">
        <v>13472</v>
      </c>
      <c r="L872" s="19" t="s">
        <v>13473</v>
      </c>
      <c r="M872" s="20" t="s">
        <v>9328</v>
      </c>
      <c r="N872" s="44" t="s">
        <v>9330</v>
      </c>
      <c r="O872" s="22">
        <v>514.0</v>
      </c>
      <c r="P872" s="28">
        <v>123.0</v>
      </c>
      <c r="Q872" s="28">
        <v>34.0</v>
      </c>
      <c r="R872" s="85" t="s">
        <v>106</v>
      </c>
      <c r="S872" s="84"/>
      <c r="T872" s="84"/>
      <c r="U872" s="84"/>
      <c r="V872" s="84"/>
      <c r="W872" s="84"/>
      <c r="X872" s="84"/>
      <c r="Y872" s="84"/>
      <c r="Z872" s="84"/>
      <c r="AA872" s="84"/>
    </row>
    <row r="873" ht="15.75" customHeight="1">
      <c r="A873" s="14" t="s">
        <v>17</v>
      </c>
      <c r="B873" s="15" t="s">
        <v>13113</v>
      </c>
      <c r="C873" s="14" t="s">
        <v>9334</v>
      </c>
      <c r="D873" s="97" t="s">
        <v>9336</v>
      </c>
      <c r="E873" s="68" t="s">
        <v>9342</v>
      </c>
      <c r="F873" s="50">
        <v>263.0</v>
      </c>
      <c r="G873" s="50">
        <v>270.0</v>
      </c>
      <c r="H873" s="14" t="s">
        <v>28</v>
      </c>
      <c r="I873" s="19" t="s">
        <v>13480</v>
      </c>
      <c r="J873" s="19" t="s">
        <v>9393</v>
      </c>
      <c r="K873" s="19" t="s">
        <v>13481</v>
      </c>
      <c r="L873" s="19" t="s">
        <v>13482</v>
      </c>
      <c r="M873" s="20" t="s">
        <v>9395</v>
      </c>
      <c r="N873" s="48" t="s">
        <v>9397</v>
      </c>
      <c r="O873" s="22">
        <v>115.0</v>
      </c>
      <c r="P873" s="28">
        <v>24.0</v>
      </c>
      <c r="Q873" s="28">
        <v>23.0</v>
      </c>
      <c r="R873" s="94"/>
      <c r="S873" s="94"/>
      <c r="T873" s="115"/>
      <c r="U873" s="115"/>
      <c r="V873" s="115"/>
      <c r="W873" s="115"/>
      <c r="X873" s="115"/>
      <c r="Y873" s="115"/>
      <c r="Z873" s="115"/>
      <c r="AA873" s="115"/>
    </row>
    <row r="874" ht="15.75" customHeight="1">
      <c r="A874" s="14" t="s">
        <v>17</v>
      </c>
      <c r="B874" s="15" t="s">
        <v>13113</v>
      </c>
      <c r="C874" s="14" t="s">
        <v>9401</v>
      </c>
      <c r="D874" s="14" t="s">
        <v>9405</v>
      </c>
      <c r="E874" s="26" t="str">
        <f t="shared" ref="E874:E879" si="18">"http://dx.doi.org/" &amp; D874</f>
        <v>http://dx.doi.org/10.1109/VISUAL.2001.964521</v>
      </c>
      <c r="F874" s="50">
        <v>271.0</v>
      </c>
      <c r="G874" s="50">
        <v>278.0</v>
      </c>
      <c r="H874" s="14" t="s">
        <v>28</v>
      </c>
      <c r="I874" s="19" t="s">
        <v>13489</v>
      </c>
      <c r="J874" s="19" t="s">
        <v>13490</v>
      </c>
      <c r="K874" s="19" t="s">
        <v>13491</v>
      </c>
      <c r="L874" s="19" t="s">
        <v>13492</v>
      </c>
      <c r="M874" s="20" t="s">
        <v>9434</v>
      </c>
      <c r="N874" s="44" t="s">
        <v>9436</v>
      </c>
      <c r="O874" s="109"/>
      <c r="P874" s="28">
        <v>15.0</v>
      </c>
      <c r="Q874" s="28">
        <v>36.0</v>
      </c>
      <c r="R874" s="84"/>
      <c r="S874" s="84"/>
      <c r="T874" s="84"/>
      <c r="U874" s="84"/>
      <c r="V874" s="84"/>
      <c r="W874" s="84"/>
      <c r="X874" s="84"/>
      <c r="Y874" s="84"/>
      <c r="Z874" s="84"/>
      <c r="AA874" s="84"/>
    </row>
    <row r="875" ht="15.75" customHeight="1">
      <c r="A875" s="14" t="s">
        <v>17</v>
      </c>
      <c r="B875" s="15" t="s">
        <v>13113</v>
      </c>
      <c r="C875" s="14" t="s">
        <v>9439</v>
      </c>
      <c r="D875" s="14" t="s">
        <v>9441</v>
      </c>
      <c r="E875" s="26" t="str">
        <f t="shared" si="18"/>
        <v>http://dx.doi.org/10.1109/VISUAL.2001.964522</v>
      </c>
      <c r="F875" s="50">
        <v>279.0</v>
      </c>
      <c r="G875" s="50">
        <v>286.0</v>
      </c>
      <c r="H875" s="14" t="s">
        <v>28</v>
      </c>
      <c r="I875" s="19" t="s">
        <v>13500</v>
      </c>
      <c r="J875" s="19" t="s">
        <v>9477</v>
      </c>
      <c r="K875" s="19" t="s">
        <v>13501</v>
      </c>
      <c r="L875" s="19" t="s">
        <v>13502</v>
      </c>
      <c r="M875" s="20" t="s">
        <v>9479</v>
      </c>
      <c r="N875" s="44" t="s">
        <v>9481</v>
      </c>
      <c r="O875" s="22">
        <v>50.0</v>
      </c>
      <c r="P875" s="28">
        <v>5.0</v>
      </c>
      <c r="Q875" s="28">
        <v>23.0</v>
      </c>
      <c r="R875" s="84"/>
      <c r="S875" s="84"/>
      <c r="T875" s="84"/>
      <c r="U875" s="84"/>
      <c r="V875" s="84"/>
      <c r="W875" s="84"/>
      <c r="X875" s="84"/>
      <c r="Y875" s="84"/>
      <c r="Z875" s="84"/>
      <c r="AA875" s="84"/>
    </row>
    <row r="876" ht="15.75" customHeight="1">
      <c r="A876" s="14" t="s">
        <v>17</v>
      </c>
      <c r="B876" s="15" t="s">
        <v>13113</v>
      </c>
      <c r="C876" s="14" t="s">
        <v>9484</v>
      </c>
      <c r="D876" s="14" t="s">
        <v>9486</v>
      </c>
      <c r="E876" s="26" t="str">
        <f t="shared" si="18"/>
        <v>http://dx.doi.org/10.1109/VISUAL.2001.964523</v>
      </c>
      <c r="F876" s="50">
        <v>287.0</v>
      </c>
      <c r="G876" s="50">
        <v>294.0</v>
      </c>
      <c r="H876" s="14" t="s">
        <v>28</v>
      </c>
      <c r="I876" s="19" t="s">
        <v>13507</v>
      </c>
      <c r="J876" s="19" t="s">
        <v>5940</v>
      </c>
      <c r="K876" s="19" t="s">
        <v>12981</v>
      </c>
      <c r="L876" s="19" t="s">
        <v>13510</v>
      </c>
      <c r="M876" s="20" t="s">
        <v>9524</v>
      </c>
      <c r="N876" s="44" t="s">
        <v>9526</v>
      </c>
      <c r="O876" s="109"/>
      <c r="P876" s="28">
        <v>30.0</v>
      </c>
      <c r="Q876" s="28">
        <v>21.0</v>
      </c>
      <c r="R876" s="84"/>
      <c r="S876" s="84"/>
      <c r="T876" s="84"/>
      <c r="U876" s="84"/>
      <c r="V876" s="84"/>
      <c r="W876" s="84"/>
      <c r="X876" s="84"/>
      <c r="Y876" s="84"/>
      <c r="Z876" s="84"/>
      <c r="AA876" s="84"/>
    </row>
    <row r="877" ht="15.75" customHeight="1">
      <c r="A877" s="14" t="s">
        <v>17</v>
      </c>
      <c r="B877" s="15" t="s">
        <v>13113</v>
      </c>
      <c r="C877" s="14" t="s">
        <v>9531</v>
      </c>
      <c r="D877" s="14" t="s">
        <v>9533</v>
      </c>
      <c r="E877" s="26" t="str">
        <f t="shared" si="18"/>
        <v>http://dx.doi.org/10.1109/VISUAL.2001.964524</v>
      </c>
      <c r="F877" s="50">
        <v>295.0</v>
      </c>
      <c r="G877" s="50">
        <v>302.0</v>
      </c>
      <c r="H877" s="14" t="s">
        <v>28</v>
      </c>
      <c r="I877" s="19" t="s">
        <v>13512</v>
      </c>
      <c r="J877" s="19" t="s">
        <v>9569</v>
      </c>
      <c r="K877" s="19" t="s">
        <v>13513</v>
      </c>
      <c r="L877" s="19" t="s">
        <v>13514</v>
      </c>
      <c r="M877" s="20" t="s">
        <v>5832</v>
      </c>
      <c r="N877" s="27"/>
      <c r="O877" s="22">
        <v>50.0</v>
      </c>
      <c r="P877" s="28">
        <v>8.0</v>
      </c>
      <c r="Q877" s="28">
        <v>27.0</v>
      </c>
      <c r="R877" s="84"/>
      <c r="S877" s="84"/>
      <c r="T877" s="84"/>
      <c r="U877" s="84"/>
      <c r="V877" s="84"/>
      <c r="W877" s="84"/>
      <c r="X877" s="84"/>
      <c r="Y877" s="84"/>
      <c r="Z877" s="84"/>
      <c r="AA877" s="84"/>
    </row>
    <row r="878" ht="15.75" customHeight="1">
      <c r="A878" s="14" t="s">
        <v>17</v>
      </c>
      <c r="B878" s="15" t="s">
        <v>13113</v>
      </c>
      <c r="C878" s="14" t="s">
        <v>9579</v>
      </c>
      <c r="D878" s="14" t="s">
        <v>9581</v>
      </c>
      <c r="E878" s="26" t="str">
        <f t="shared" si="18"/>
        <v>http://dx.doi.org/10.1109/VISUAL.2001.964525</v>
      </c>
      <c r="F878" s="50">
        <v>303.0</v>
      </c>
      <c r="G878" s="50">
        <v>310.0</v>
      </c>
      <c r="H878" s="14" t="s">
        <v>28</v>
      </c>
      <c r="I878" s="19" t="s">
        <v>13521</v>
      </c>
      <c r="J878" s="19" t="s">
        <v>9612</v>
      </c>
      <c r="K878" s="19" t="s">
        <v>13522</v>
      </c>
      <c r="L878" s="19" t="s">
        <v>13523</v>
      </c>
      <c r="M878" s="20" t="s">
        <v>9616</v>
      </c>
      <c r="N878" s="44" t="s">
        <v>9618</v>
      </c>
      <c r="O878" s="22">
        <v>14.0</v>
      </c>
      <c r="P878" s="28">
        <v>2.0</v>
      </c>
      <c r="Q878" s="28">
        <v>21.0</v>
      </c>
      <c r="R878" s="84"/>
      <c r="S878" s="84"/>
      <c r="T878" s="84"/>
      <c r="U878" s="84"/>
      <c r="V878" s="84"/>
      <c r="W878" s="84"/>
      <c r="X878" s="84"/>
      <c r="Y878" s="84"/>
      <c r="Z878" s="84"/>
      <c r="AA878" s="84"/>
    </row>
    <row r="879" ht="15.75" customHeight="1">
      <c r="A879" s="14" t="s">
        <v>17</v>
      </c>
      <c r="B879" s="15" t="s">
        <v>13113</v>
      </c>
      <c r="C879" s="14" t="s">
        <v>9621</v>
      </c>
      <c r="D879" s="14" t="s">
        <v>9623</v>
      </c>
      <c r="E879" s="26" t="str">
        <f t="shared" si="18"/>
        <v>http://dx.doi.org/10.1109/VISUAL.2001.964526</v>
      </c>
      <c r="F879" s="50">
        <v>311.0</v>
      </c>
      <c r="G879" s="50">
        <v>318.0</v>
      </c>
      <c r="H879" s="14" t="s">
        <v>28</v>
      </c>
      <c r="I879" s="19" t="s">
        <v>13524</v>
      </c>
      <c r="J879" s="19" t="s">
        <v>9654</v>
      </c>
      <c r="K879" s="19" t="s">
        <v>13527</v>
      </c>
      <c r="L879" s="19" t="s">
        <v>2208</v>
      </c>
      <c r="M879" s="20" t="s">
        <v>9657</v>
      </c>
      <c r="N879" s="27"/>
      <c r="O879" s="109"/>
      <c r="P879" s="28">
        <v>9.0</v>
      </c>
      <c r="Q879" s="28">
        <v>33.0</v>
      </c>
      <c r="R879" s="84"/>
      <c r="S879" s="84"/>
      <c r="T879" s="84"/>
      <c r="U879" s="84"/>
      <c r="V879" s="84"/>
      <c r="W879" s="84"/>
      <c r="X879" s="84"/>
      <c r="Y879" s="84"/>
      <c r="Z879" s="84"/>
      <c r="AA879" s="84"/>
    </row>
    <row r="880" ht="15.75" customHeight="1">
      <c r="A880" s="14" t="s">
        <v>17</v>
      </c>
      <c r="B880" s="15" t="s">
        <v>13113</v>
      </c>
      <c r="C880" s="14" t="s">
        <v>9660</v>
      </c>
      <c r="D880" s="67" t="s">
        <v>9662</v>
      </c>
      <c r="E880" s="68" t="s">
        <v>9664</v>
      </c>
      <c r="F880" s="50">
        <v>319.0</v>
      </c>
      <c r="G880" s="50">
        <v>324.0</v>
      </c>
      <c r="H880" s="14" t="s">
        <v>28</v>
      </c>
      <c r="I880" s="19" t="s">
        <v>13539</v>
      </c>
      <c r="J880" s="19" t="s">
        <v>13540</v>
      </c>
      <c r="K880" s="19" t="s">
        <v>13541</v>
      </c>
      <c r="L880" s="18"/>
      <c r="M880" s="20"/>
      <c r="N880" s="48" t="s">
        <v>9716</v>
      </c>
      <c r="O880" s="22">
        <v>141.0</v>
      </c>
      <c r="P880" s="28">
        <v>16.0</v>
      </c>
      <c r="Q880" s="28">
        <v>18.0</v>
      </c>
      <c r="R880" s="94"/>
      <c r="S880" s="94"/>
      <c r="T880" s="115"/>
      <c r="U880" s="115"/>
      <c r="V880" s="115"/>
      <c r="W880" s="115"/>
      <c r="X880" s="115"/>
      <c r="Y880" s="115"/>
      <c r="Z880" s="115"/>
      <c r="AA880" s="115"/>
    </row>
    <row r="881" ht="15.75" customHeight="1">
      <c r="A881" s="14" t="s">
        <v>17</v>
      </c>
      <c r="B881" s="15" t="s">
        <v>13113</v>
      </c>
      <c r="C881" s="14" t="s">
        <v>9720</v>
      </c>
      <c r="D881" s="14" t="s">
        <v>9721</v>
      </c>
      <c r="E881" s="26" t="str">
        <f t="shared" ref="E881:E888" si="19">"http://dx.doi.org/" &amp; D881</f>
        <v>http://dx.doi.org/10.1109/VISUAL.2001.964528</v>
      </c>
      <c r="F881" s="50">
        <v>325.0</v>
      </c>
      <c r="G881" s="50">
        <v>332.0</v>
      </c>
      <c r="H881" s="14" t="s">
        <v>28</v>
      </c>
      <c r="I881" s="19" t="s">
        <v>13549</v>
      </c>
      <c r="J881" s="19" t="s">
        <v>9752</v>
      </c>
      <c r="K881" s="19" t="s">
        <v>13550</v>
      </c>
      <c r="L881" s="19" t="s">
        <v>13551</v>
      </c>
      <c r="M881" s="20" t="s">
        <v>4975</v>
      </c>
      <c r="N881" s="44" t="s">
        <v>9756</v>
      </c>
      <c r="O881" s="22">
        <v>50.0</v>
      </c>
      <c r="P881" s="28">
        <v>0.0</v>
      </c>
      <c r="Q881" s="28">
        <v>17.0</v>
      </c>
      <c r="R881" s="84"/>
      <c r="S881" s="84"/>
      <c r="T881" s="84"/>
      <c r="U881" s="84"/>
      <c r="V881" s="84"/>
      <c r="W881" s="84"/>
      <c r="X881" s="84"/>
      <c r="Y881" s="84"/>
      <c r="Z881" s="84"/>
      <c r="AA881" s="84"/>
    </row>
    <row r="882" ht="15.75" customHeight="1">
      <c r="A882" s="14" t="s">
        <v>17</v>
      </c>
      <c r="B882" s="15" t="s">
        <v>13113</v>
      </c>
      <c r="C882" s="14" t="s">
        <v>9759</v>
      </c>
      <c r="D882" s="14" t="s">
        <v>9761</v>
      </c>
      <c r="E882" s="26" t="str">
        <f t="shared" si="19"/>
        <v>http://dx.doi.org/10.1109/VISUAL.2001.964529</v>
      </c>
      <c r="F882" s="50">
        <v>333.0</v>
      </c>
      <c r="G882" s="50">
        <v>340.0</v>
      </c>
      <c r="H882" s="14" t="s">
        <v>28</v>
      </c>
      <c r="I882" s="19" t="s">
        <v>13556</v>
      </c>
      <c r="J882" s="19" t="s">
        <v>13557</v>
      </c>
      <c r="K882" s="19" t="s">
        <v>13558</v>
      </c>
      <c r="L882" s="18"/>
      <c r="M882" s="20"/>
      <c r="N882" s="44" t="s">
        <v>9797</v>
      </c>
      <c r="O882" s="22">
        <v>61.0</v>
      </c>
      <c r="P882" s="28">
        <v>8.0</v>
      </c>
      <c r="Q882" s="28">
        <v>34.0</v>
      </c>
      <c r="R882" s="84"/>
      <c r="S882" s="84"/>
      <c r="T882" s="84"/>
      <c r="U882" s="84"/>
      <c r="V882" s="84"/>
      <c r="W882" s="84"/>
      <c r="X882" s="84"/>
      <c r="Y882" s="84"/>
      <c r="Z882" s="84"/>
      <c r="AA882" s="84"/>
    </row>
    <row r="883" ht="15.75" customHeight="1">
      <c r="A883" s="14" t="s">
        <v>17</v>
      </c>
      <c r="B883" s="15" t="s">
        <v>13113</v>
      </c>
      <c r="C883" s="14" t="s">
        <v>9801</v>
      </c>
      <c r="D883" s="14" t="s">
        <v>9803</v>
      </c>
      <c r="E883" s="26" t="str">
        <f t="shared" si="19"/>
        <v>http://dx.doi.org/10.1109/VISUAL.2001.964530</v>
      </c>
      <c r="F883" s="50">
        <v>341.0</v>
      </c>
      <c r="G883" s="50">
        <v>348.0</v>
      </c>
      <c r="H883" s="14" t="s">
        <v>28</v>
      </c>
      <c r="I883" s="19" t="s">
        <v>13562</v>
      </c>
      <c r="J883" s="19" t="s">
        <v>13563</v>
      </c>
      <c r="K883" s="19" t="s">
        <v>13564</v>
      </c>
      <c r="L883" s="19" t="s">
        <v>13565</v>
      </c>
      <c r="M883" s="20" t="s">
        <v>3509</v>
      </c>
      <c r="N883" s="44" t="s">
        <v>9855</v>
      </c>
      <c r="O883" s="109"/>
      <c r="P883" s="28">
        <v>14.0</v>
      </c>
      <c r="Q883" s="28">
        <v>46.0</v>
      </c>
      <c r="R883" s="84"/>
      <c r="S883" s="84"/>
      <c r="T883" s="84"/>
      <c r="U883" s="84"/>
      <c r="V883" s="84"/>
      <c r="W883" s="84"/>
      <c r="X883" s="84"/>
      <c r="Y883" s="84"/>
      <c r="Z883" s="84"/>
      <c r="AA883" s="84"/>
    </row>
    <row r="884" ht="15.75" customHeight="1">
      <c r="A884" s="14" t="s">
        <v>17</v>
      </c>
      <c r="B884" s="15" t="s">
        <v>13113</v>
      </c>
      <c r="C884" s="14" t="s">
        <v>9858</v>
      </c>
      <c r="D884" s="14" t="s">
        <v>9861</v>
      </c>
      <c r="E884" s="26" t="str">
        <f t="shared" si="19"/>
        <v>http://dx.doi.org/10.1109/VISUAL.2001.964531</v>
      </c>
      <c r="F884" s="50">
        <v>349.0</v>
      </c>
      <c r="G884" s="50">
        <v>356.0</v>
      </c>
      <c r="H884" s="14" t="s">
        <v>28</v>
      </c>
      <c r="I884" s="19" t="s">
        <v>13573</v>
      </c>
      <c r="J884" s="19" t="s">
        <v>13574</v>
      </c>
      <c r="K884" s="19" t="s">
        <v>13575</v>
      </c>
      <c r="L884" s="19" t="s">
        <v>13576</v>
      </c>
      <c r="M884" s="20" t="s">
        <v>3584</v>
      </c>
      <c r="N884" s="44" t="s">
        <v>9907</v>
      </c>
      <c r="O884" s="22">
        <v>119.0</v>
      </c>
      <c r="P884" s="28">
        <v>27.0</v>
      </c>
      <c r="Q884" s="28">
        <v>29.0</v>
      </c>
      <c r="R884" s="84"/>
      <c r="S884" s="84"/>
      <c r="T884" s="84"/>
      <c r="U884" s="84"/>
      <c r="V884" s="84"/>
      <c r="W884" s="84"/>
      <c r="X884" s="84"/>
      <c r="Y884" s="84"/>
      <c r="Z884" s="84"/>
      <c r="AA884" s="84"/>
    </row>
    <row r="885" ht="15.75" customHeight="1">
      <c r="A885" s="14" t="s">
        <v>17</v>
      </c>
      <c r="B885" s="15" t="s">
        <v>13113</v>
      </c>
      <c r="C885" s="14" t="s">
        <v>9912</v>
      </c>
      <c r="D885" s="14" t="s">
        <v>9914</v>
      </c>
      <c r="E885" s="26" t="str">
        <f t="shared" si="19"/>
        <v>http://dx.doi.org/10.1109/VISUAL.2001.964532</v>
      </c>
      <c r="F885" s="50">
        <v>357.0</v>
      </c>
      <c r="G885" s="50">
        <v>262.0</v>
      </c>
      <c r="H885" s="14" t="s">
        <v>28</v>
      </c>
      <c r="I885" s="19" t="s">
        <v>13584</v>
      </c>
      <c r="J885" s="19" t="s">
        <v>9948</v>
      </c>
      <c r="K885" s="19" t="s">
        <v>13585</v>
      </c>
      <c r="L885" s="19" t="s">
        <v>13586</v>
      </c>
      <c r="M885" s="20" t="s">
        <v>9952</v>
      </c>
      <c r="N885" s="44" t="s">
        <v>9954</v>
      </c>
      <c r="O885" s="22">
        <v>53.0</v>
      </c>
      <c r="P885" s="28">
        <v>12.0</v>
      </c>
      <c r="Q885" s="28">
        <v>21.0</v>
      </c>
      <c r="R885" s="84"/>
      <c r="S885" s="84"/>
      <c r="T885" s="84"/>
      <c r="U885" s="84"/>
      <c r="V885" s="84"/>
      <c r="W885" s="84"/>
      <c r="X885" s="84"/>
      <c r="Y885" s="84"/>
      <c r="Z885" s="84"/>
      <c r="AA885" s="84"/>
    </row>
    <row r="886" ht="15.75" customHeight="1">
      <c r="A886" s="14" t="s">
        <v>17</v>
      </c>
      <c r="B886" s="15" t="s">
        <v>13113</v>
      </c>
      <c r="C886" s="14" t="s">
        <v>9955</v>
      </c>
      <c r="D886" s="14" t="s">
        <v>9956</v>
      </c>
      <c r="E886" s="26" t="str">
        <f t="shared" si="19"/>
        <v>http://dx.doi.org/10.1109/VISUAL.2001.964533</v>
      </c>
      <c r="F886" s="50">
        <v>363.0</v>
      </c>
      <c r="G886" s="50">
        <v>370.0</v>
      </c>
      <c r="H886" s="14" t="s">
        <v>28</v>
      </c>
      <c r="I886" s="19" t="s">
        <v>13593</v>
      </c>
      <c r="J886" s="19" t="s">
        <v>9982</v>
      </c>
      <c r="K886" s="19" t="s">
        <v>13594</v>
      </c>
      <c r="L886" s="19" t="s">
        <v>13595</v>
      </c>
      <c r="M886" s="20" t="s">
        <v>9987</v>
      </c>
      <c r="N886" s="27"/>
      <c r="O886" s="22">
        <v>447.0</v>
      </c>
      <c r="P886" s="28">
        <v>65.0</v>
      </c>
      <c r="Q886" s="28">
        <v>26.0</v>
      </c>
      <c r="R886" s="84"/>
      <c r="S886" s="84"/>
      <c r="T886" s="84"/>
      <c r="U886" s="84"/>
      <c r="V886" s="84"/>
      <c r="W886" s="84"/>
      <c r="X886" s="84"/>
      <c r="Y886" s="84"/>
      <c r="Z886" s="84"/>
      <c r="AA886" s="84"/>
    </row>
    <row r="887" ht="15.75" customHeight="1">
      <c r="A887" s="14" t="s">
        <v>17</v>
      </c>
      <c r="B887" s="15" t="s">
        <v>13113</v>
      </c>
      <c r="C887" s="14" t="s">
        <v>9990</v>
      </c>
      <c r="D887" s="14" t="s">
        <v>9993</v>
      </c>
      <c r="E887" s="26" t="str">
        <f t="shared" si="19"/>
        <v>http://dx.doi.org/10.1109/VISUAL.2001.964534</v>
      </c>
      <c r="F887" s="50">
        <v>371.0</v>
      </c>
      <c r="G887" s="50">
        <v>378.0</v>
      </c>
      <c r="H887" s="14" t="s">
        <v>28</v>
      </c>
      <c r="I887" s="19" t="s">
        <v>13602</v>
      </c>
      <c r="J887" s="19" t="s">
        <v>13604</v>
      </c>
      <c r="K887" s="19" t="s">
        <v>13605</v>
      </c>
      <c r="L887" s="19" t="s">
        <v>13606</v>
      </c>
      <c r="M887" s="20" t="s">
        <v>10030</v>
      </c>
      <c r="N887" s="27"/>
      <c r="O887" s="22">
        <v>83.0</v>
      </c>
      <c r="P887" s="28">
        <v>13.0</v>
      </c>
      <c r="Q887" s="28">
        <v>44.0</v>
      </c>
      <c r="R887" s="84"/>
      <c r="S887" s="84"/>
      <c r="T887" s="84"/>
      <c r="U887" s="84"/>
      <c r="V887" s="84"/>
      <c r="W887" s="84"/>
      <c r="X887" s="84"/>
      <c r="Y887" s="84"/>
      <c r="Z887" s="84"/>
      <c r="AA887" s="84"/>
    </row>
    <row r="888" ht="15.75" customHeight="1">
      <c r="A888" s="14" t="s">
        <v>17</v>
      </c>
      <c r="B888" s="15" t="s">
        <v>13113</v>
      </c>
      <c r="C888" s="14" t="s">
        <v>10033</v>
      </c>
      <c r="D888" s="14" t="s">
        <v>10035</v>
      </c>
      <c r="E888" s="26" t="str">
        <f t="shared" si="19"/>
        <v>http://dx.doi.org/10.1109/VISUAL.2001.964535</v>
      </c>
      <c r="F888" s="50">
        <v>379.0</v>
      </c>
      <c r="G888" s="50">
        <v>386.0</v>
      </c>
      <c r="H888" s="14" t="s">
        <v>28</v>
      </c>
      <c r="I888" s="19" t="s">
        <v>13607</v>
      </c>
      <c r="J888" s="19" t="s">
        <v>10067</v>
      </c>
      <c r="K888" s="19" t="s">
        <v>13608</v>
      </c>
      <c r="L888" s="19" t="s">
        <v>13609</v>
      </c>
      <c r="M888" s="20" t="s">
        <v>10071</v>
      </c>
      <c r="N888" s="44" t="s">
        <v>10073</v>
      </c>
      <c r="O888" s="22">
        <v>6.0</v>
      </c>
      <c r="P888" s="28">
        <v>1.0</v>
      </c>
      <c r="Q888" s="28">
        <v>25.0</v>
      </c>
      <c r="R888" s="84"/>
      <c r="S888" s="84"/>
      <c r="T888" s="84"/>
      <c r="U888" s="84"/>
      <c r="V888" s="84"/>
      <c r="W888" s="84"/>
      <c r="X888" s="84"/>
      <c r="Y888" s="84"/>
      <c r="Z888" s="84"/>
      <c r="AA888" s="84"/>
    </row>
    <row r="889" ht="15.75" customHeight="1">
      <c r="A889" s="14" t="s">
        <v>17</v>
      </c>
      <c r="B889" s="15" t="s">
        <v>13113</v>
      </c>
      <c r="C889" s="14" t="s">
        <v>10077</v>
      </c>
      <c r="D889" s="67" t="s">
        <v>10078</v>
      </c>
      <c r="E889" s="68" t="s">
        <v>10080</v>
      </c>
      <c r="F889" s="50">
        <v>387.0</v>
      </c>
      <c r="G889" s="50">
        <v>394.0</v>
      </c>
      <c r="H889" s="14" t="s">
        <v>28</v>
      </c>
      <c r="I889" s="19" t="s">
        <v>13613</v>
      </c>
      <c r="J889" s="19" t="s">
        <v>10130</v>
      </c>
      <c r="K889" s="19" t="s">
        <v>13616</v>
      </c>
      <c r="L889" s="19" t="s">
        <v>13618</v>
      </c>
      <c r="M889" s="20" t="s">
        <v>10132</v>
      </c>
      <c r="N889" s="48" t="s">
        <v>10134</v>
      </c>
      <c r="O889" s="22">
        <v>50.0</v>
      </c>
      <c r="P889" s="28">
        <v>1.0</v>
      </c>
      <c r="Q889" s="28">
        <v>24.0</v>
      </c>
      <c r="R889" s="94"/>
      <c r="S889" s="94"/>
      <c r="T889" s="115"/>
      <c r="U889" s="115"/>
      <c r="V889" s="115"/>
      <c r="W889" s="115"/>
      <c r="X889" s="115"/>
      <c r="Y889" s="115"/>
      <c r="Z889" s="115"/>
      <c r="AA889" s="115"/>
    </row>
    <row r="890" ht="15.75" customHeight="1">
      <c r="A890" s="14" t="s">
        <v>17</v>
      </c>
      <c r="B890" s="15" t="s">
        <v>13113</v>
      </c>
      <c r="C890" s="14" t="s">
        <v>10137</v>
      </c>
      <c r="D890" s="14" t="s">
        <v>10139</v>
      </c>
      <c r="E890" s="26" t="str">
        <f t="shared" ref="E890:E892" si="20">"http://dx.doi.org/" &amp; D890</f>
        <v>http://dx.doi.org/10.1109/VISUAL.2001.964538</v>
      </c>
      <c r="F890" s="50">
        <v>395.0</v>
      </c>
      <c r="G890" s="50">
        <v>402.0</v>
      </c>
      <c r="H890" s="14" t="s">
        <v>28</v>
      </c>
      <c r="I890" s="19" t="s">
        <v>13626</v>
      </c>
      <c r="J890" s="19" t="s">
        <v>10174</v>
      </c>
      <c r="K890" s="19" t="s">
        <v>13627</v>
      </c>
      <c r="L890" s="19" t="s">
        <v>13628</v>
      </c>
      <c r="M890" s="20" t="s">
        <v>3781</v>
      </c>
      <c r="N890" s="44" t="s">
        <v>10180</v>
      </c>
      <c r="O890" s="22">
        <v>139.0</v>
      </c>
      <c r="P890" s="28">
        <v>36.0</v>
      </c>
      <c r="Q890" s="28">
        <v>22.0</v>
      </c>
      <c r="R890" s="84"/>
      <c r="S890" s="84"/>
      <c r="T890" s="84"/>
      <c r="U890" s="84"/>
      <c r="V890" s="84"/>
      <c r="W890" s="84"/>
      <c r="X890" s="84"/>
      <c r="Y890" s="84"/>
      <c r="Z890" s="84"/>
      <c r="AA890" s="84"/>
    </row>
    <row r="891" ht="15.75" customHeight="1">
      <c r="A891" s="14" t="s">
        <v>17</v>
      </c>
      <c r="B891" s="15" t="s">
        <v>13113</v>
      </c>
      <c r="C891" s="14" t="s">
        <v>10183</v>
      </c>
      <c r="D891" s="14" t="s">
        <v>10185</v>
      </c>
      <c r="E891" s="26" t="str">
        <f t="shared" si="20"/>
        <v>http://dx.doi.org/10.1109/VISUAL.2001.964539</v>
      </c>
      <c r="F891" s="50">
        <v>403.0</v>
      </c>
      <c r="G891" s="50">
        <v>410.0</v>
      </c>
      <c r="H891" s="14" t="s">
        <v>28</v>
      </c>
      <c r="I891" s="19" t="s">
        <v>13629</v>
      </c>
      <c r="J891" s="19" t="s">
        <v>10216</v>
      </c>
      <c r="K891" s="19" t="s">
        <v>13631</v>
      </c>
      <c r="L891" s="19" t="s">
        <v>13633</v>
      </c>
      <c r="M891" s="20" t="s">
        <v>10220</v>
      </c>
      <c r="N891" s="44" t="s">
        <v>10221</v>
      </c>
      <c r="O891" s="22">
        <v>41.0</v>
      </c>
      <c r="P891" s="28">
        <v>2.0</v>
      </c>
      <c r="Q891" s="28">
        <v>21.0</v>
      </c>
      <c r="R891" s="84"/>
      <c r="S891" s="84"/>
      <c r="T891" s="84"/>
      <c r="U891" s="84"/>
      <c r="V891" s="84"/>
      <c r="W891" s="84"/>
      <c r="X891" s="84"/>
      <c r="Y891" s="84"/>
      <c r="Z891" s="84"/>
      <c r="AA891" s="84"/>
    </row>
    <row r="892" ht="15.75" customHeight="1">
      <c r="A892" s="14" t="s">
        <v>17</v>
      </c>
      <c r="B892" s="15" t="s">
        <v>13113</v>
      </c>
      <c r="C892" s="14" t="s">
        <v>10225</v>
      </c>
      <c r="D892" s="14" t="s">
        <v>10226</v>
      </c>
      <c r="E892" s="26" t="str">
        <f t="shared" si="20"/>
        <v>http://dx.doi.org/10.1109/VISUAL.2001.964540</v>
      </c>
      <c r="F892" s="50">
        <v>411.0</v>
      </c>
      <c r="G892" s="50">
        <v>418.0</v>
      </c>
      <c r="H892" s="14" t="s">
        <v>28</v>
      </c>
      <c r="I892" s="19" t="s">
        <v>13638</v>
      </c>
      <c r="J892" s="19" t="s">
        <v>13639</v>
      </c>
      <c r="K892" s="19" t="s">
        <v>13640</v>
      </c>
      <c r="L892" s="19" t="s">
        <v>13641</v>
      </c>
      <c r="M892" s="20" t="s">
        <v>10261</v>
      </c>
      <c r="N892" s="44" t="s">
        <v>10262</v>
      </c>
      <c r="O892" s="22">
        <v>132.0</v>
      </c>
      <c r="P892" s="28">
        <v>11.0</v>
      </c>
      <c r="Q892" s="28">
        <v>19.0</v>
      </c>
      <c r="R892" s="84"/>
      <c r="S892" s="84"/>
      <c r="T892" s="84"/>
      <c r="U892" s="84"/>
      <c r="V892" s="84"/>
      <c r="W892" s="84"/>
      <c r="X892" s="84"/>
      <c r="Y892" s="84"/>
      <c r="Z892" s="84"/>
      <c r="AA892" s="84"/>
    </row>
    <row r="893" ht="15.75" customHeight="1">
      <c r="A893" s="14" t="s">
        <v>17</v>
      </c>
      <c r="B893" s="15" t="s">
        <v>13113</v>
      </c>
      <c r="C893" s="14" t="s">
        <v>10265</v>
      </c>
      <c r="D893" s="67" t="s">
        <v>10266</v>
      </c>
      <c r="E893" s="68" t="s">
        <v>10269</v>
      </c>
      <c r="F893" s="50">
        <v>421.0</v>
      </c>
      <c r="G893" s="50">
        <v>424.0</v>
      </c>
      <c r="H893" s="14" t="s">
        <v>28</v>
      </c>
      <c r="I893" s="19" t="s">
        <v>13655</v>
      </c>
      <c r="J893" s="19" t="s">
        <v>10528</v>
      </c>
      <c r="K893" s="19" t="s">
        <v>13657</v>
      </c>
      <c r="L893" s="19" t="s">
        <v>13658</v>
      </c>
      <c r="M893" s="20"/>
      <c r="N893" s="48" t="s">
        <v>10530</v>
      </c>
      <c r="O893" s="22">
        <v>50.0</v>
      </c>
      <c r="P893" s="28">
        <v>3.0</v>
      </c>
      <c r="Q893" s="28">
        <v>4.0</v>
      </c>
      <c r="R893" s="84"/>
      <c r="S893" s="84"/>
      <c r="T893" s="84"/>
      <c r="U893" s="84"/>
      <c r="V893" s="84"/>
      <c r="W893" s="84"/>
      <c r="X893" s="84"/>
      <c r="Y893" s="84"/>
      <c r="Z893" s="84"/>
      <c r="AA893" s="84"/>
    </row>
    <row r="894" ht="15.75" customHeight="1">
      <c r="A894" s="14" t="s">
        <v>17</v>
      </c>
      <c r="B894" s="15" t="s">
        <v>13113</v>
      </c>
      <c r="C894" s="14" t="s">
        <v>10533</v>
      </c>
      <c r="D894" s="14" t="s">
        <v>10534</v>
      </c>
      <c r="E894" s="26" t="str">
        <f t="shared" ref="E894:E910" si="21">"http://dx.doi.org/" &amp; D894</f>
        <v>http://dx.doi.org/10.1109/VISUAL.2001.964542</v>
      </c>
      <c r="F894" s="50">
        <v>425.0</v>
      </c>
      <c r="G894" s="50">
        <v>428.0</v>
      </c>
      <c r="H894" s="14" t="s">
        <v>28</v>
      </c>
      <c r="I894" s="19" t="s">
        <v>13664</v>
      </c>
      <c r="J894" s="19" t="s">
        <v>10578</v>
      </c>
      <c r="K894" s="19" t="s">
        <v>13667</v>
      </c>
      <c r="L894" s="19" t="s">
        <v>12435</v>
      </c>
      <c r="M894" s="20" t="s">
        <v>5979</v>
      </c>
      <c r="N894" s="44" t="s">
        <v>10582</v>
      </c>
      <c r="O894" s="22">
        <v>50.0</v>
      </c>
      <c r="P894" s="28">
        <v>1.0</v>
      </c>
      <c r="Q894" s="28">
        <v>11.0</v>
      </c>
      <c r="R894" s="84"/>
      <c r="S894" s="84"/>
      <c r="T894" s="84"/>
      <c r="U894" s="84"/>
      <c r="V894" s="84"/>
      <c r="W894" s="84"/>
      <c r="X894" s="84"/>
      <c r="Y894" s="84"/>
      <c r="Z894" s="84"/>
      <c r="AA894" s="84"/>
    </row>
    <row r="895" ht="15.75" customHeight="1">
      <c r="A895" s="14" t="s">
        <v>17</v>
      </c>
      <c r="B895" s="15" t="s">
        <v>13113</v>
      </c>
      <c r="C895" s="14" t="s">
        <v>10586</v>
      </c>
      <c r="D895" s="14" t="s">
        <v>10587</v>
      </c>
      <c r="E895" s="26" t="str">
        <f t="shared" si="21"/>
        <v>http://dx.doi.org/10.1109/VISUAL.2001.964543</v>
      </c>
      <c r="F895" s="50">
        <v>429.0</v>
      </c>
      <c r="G895" s="50">
        <v>432.0</v>
      </c>
      <c r="H895" s="14" t="s">
        <v>28</v>
      </c>
      <c r="I895" s="19" t="s">
        <v>13673</v>
      </c>
      <c r="J895" s="19" t="s">
        <v>10623</v>
      </c>
      <c r="K895" s="19" t="s">
        <v>13674</v>
      </c>
      <c r="L895" s="19" t="s">
        <v>13675</v>
      </c>
      <c r="M895" s="20" t="s">
        <v>5352</v>
      </c>
      <c r="N895" s="44" t="s">
        <v>10628</v>
      </c>
      <c r="O895" s="22">
        <v>50.0</v>
      </c>
      <c r="P895" s="28">
        <v>3.0</v>
      </c>
      <c r="Q895" s="28">
        <v>8.0</v>
      </c>
      <c r="R895" s="84"/>
      <c r="S895" s="84"/>
      <c r="T895" s="84"/>
      <c r="U895" s="84"/>
      <c r="V895" s="84"/>
      <c r="W895" s="84"/>
      <c r="X895" s="84"/>
      <c r="Y895" s="84"/>
      <c r="Z895" s="84"/>
      <c r="AA895" s="84"/>
    </row>
    <row r="896" ht="15.75" customHeight="1">
      <c r="A896" s="14" t="s">
        <v>17</v>
      </c>
      <c r="B896" s="15" t="s">
        <v>13113</v>
      </c>
      <c r="C896" s="14" t="s">
        <v>10631</v>
      </c>
      <c r="D896" s="14" t="s">
        <v>10633</v>
      </c>
      <c r="E896" s="26" t="str">
        <f t="shared" si="21"/>
        <v>http://dx.doi.org/10.1109/VISUAL.2001.964544</v>
      </c>
      <c r="F896" s="50">
        <v>433.0</v>
      </c>
      <c r="G896" s="50">
        <v>436.0</v>
      </c>
      <c r="H896" s="14" t="s">
        <v>28</v>
      </c>
      <c r="I896" s="19" t="s">
        <v>13682</v>
      </c>
      <c r="J896" s="19" t="s">
        <v>13683</v>
      </c>
      <c r="K896" s="19" t="s">
        <v>13684</v>
      </c>
      <c r="L896" s="19" t="s">
        <v>13685</v>
      </c>
      <c r="M896" s="20"/>
      <c r="N896" s="44" t="s">
        <v>10674</v>
      </c>
      <c r="O896" s="109"/>
      <c r="P896" s="28">
        <v>0.0</v>
      </c>
      <c r="Q896" s="28">
        <v>19.0</v>
      </c>
      <c r="R896" s="84"/>
      <c r="S896" s="84"/>
      <c r="T896" s="84"/>
      <c r="U896" s="84"/>
      <c r="V896" s="84"/>
      <c r="W896" s="84"/>
      <c r="X896" s="84"/>
      <c r="Y896" s="84"/>
      <c r="Z896" s="84"/>
      <c r="AA896" s="84"/>
    </row>
    <row r="897" ht="15.75" customHeight="1">
      <c r="A897" s="14" t="s">
        <v>17</v>
      </c>
      <c r="B897" s="15" t="s">
        <v>13113</v>
      </c>
      <c r="C897" s="14" t="s">
        <v>10675</v>
      </c>
      <c r="D897" s="14" t="s">
        <v>10676</v>
      </c>
      <c r="E897" s="26" t="str">
        <f t="shared" si="21"/>
        <v>http://dx.doi.org/10.1109/VISUAL.2001.964545</v>
      </c>
      <c r="F897" s="50">
        <v>437.0</v>
      </c>
      <c r="G897" s="50">
        <v>440.0</v>
      </c>
      <c r="H897" s="14" t="s">
        <v>28</v>
      </c>
      <c r="I897" s="19" t="s">
        <v>13692</v>
      </c>
      <c r="J897" s="19" t="s">
        <v>13693</v>
      </c>
      <c r="K897" s="19" t="s">
        <v>13694</v>
      </c>
      <c r="L897" s="18"/>
      <c r="M897" s="20" t="s">
        <v>10711</v>
      </c>
      <c r="N897" s="44" t="s">
        <v>10712</v>
      </c>
      <c r="O897" s="22">
        <v>77.0</v>
      </c>
      <c r="P897" s="28">
        <v>25.0</v>
      </c>
      <c r="Q897" s="28">
        <v>14.0</v>
      </c>
      <c r="R897" s="84"/>
      <c r="S897" s="84"/>
      <c r="T897" s="84"/>
      <c r="U897" s="84"/>
      <c r="V897" s="84"/>
      <c r="W897" s="84"/>
      <c r="X897" s="84"/>
      <c r="Y897" s="84"/>
      <c r="Z897" s="84"/>
      <c r="AA897" s="84"/>
    </row>
    <row r="898" ht="15.75" customHeight="1">
      <c r="A898" s="14" t="s">
        <v>17</v>
      </c>
      <c r="B898" s="15" t="s">
        <v>13113</v>
      </c>
      <c r="C898" s="14" t="s">
        <v>10716</v>
      </c>
      <c r="D898" s="14" t="s">
        <v>10718</v>
      </c>
      <c r="E898" s="26" t="str">
        <f t="shared" si="21"/>
        <v>http://dx.doi.org/10.1109/VISUAL.2001.964546</v>
      </c>
      <c r="F898" s="50">
        <v>441.0</v>
      </c>
      <c r="G898" s="50">
        <v>444.0</v>
      </c>
      <c r="H898" s="14" t="s">
        <v>28</v>
      </c>
      <c r="I898" s="19" t="s">
        <v>13802</v>
      </c>
      <c r="J898" s="19" t="s">
        <v>4514</v>
      </c>
      <c r="K898" s="19" t="s">
        <v>10542</v>
      </c>
      <c r="L898" s="19" t="s">
        <v>13803</v>
      </c>
      <c r="M898" s="20" t="s">
        <v>6024</v>
      </c>
      <c r="N898" s="44" t="s">
        <v>10779</v>
      </c>
      <c r="O898" s="109"/>
      <c r="P898" s="28">
        <v>3.0</v>
      </c>
      <c r="Q898" s="28">
        <v>8.0</v>
      </c>
      <c r="R898" s="84"/>
      <c r="S898" s="84"/>
      <c r="T898" s="84"/>
      <c r="U898" s="84"/>
      <c r="V898" s="84"/>
      <c r="W898" s="84"/>
      <c r="X898" s="84"/>
      <c r="Y898" s="84"/>
      <c r="Z898" s="84"/>
      <c r="AA898" s="84"/>
    </row>
    <row r="899" ht="15.75" customHeight="1">
      <c r="A899" s="14" t="s">
        <v>17</v>
      </c>
      <c r="B899" s="15" t="s">
        <v>13113</v>
      </c>
      <c r="C899" s="14" t="s">
        <v>10783</v>
      </c>
      <c r="D899" s="14" t="s">
        <v>10784</v>
      </c>
      <c r="E899" s="26" t="str">
        <f t="shared" si="21"/>
        <v>http://dx.doi.org/10.1109/VISUAL.2001.964547</v>
      </c>
      <c r="F899" s="50">
        <v>445.0</v>
      </c>
      <c r="G899" s="50">
        <v>448.0</v>
      </c>
      <c r="H899" s="14" t="s">
        <v>28</v>
      </c>
      <c r="I899" s="19" t="s">
        <v>13804</v>
      </c>
      <c r="J899" s="19" t="s">
        <v>10819</v>
      </c>
      <c r="K899" s="19" t="s">
        <v>13805</v>
      </c>
      <c r="L899" s="19" t="s">
        <v>312</v>
      </c>
      <c r="M899" s="20" t="s">
        <v>2299</v>
      </c>
      <c r="N899" s="44" t="s">
        <v>10822</v>
      </c>
      <c r="O899" s="22">
        <v>6.0</v>
      </c>
      <c r="P899" s="28">
        <v>1.0</v>
      </c>
      <c r="Q899" s="28">
        <v>12.0</v>
      </c>
      <c r="R899" s="84"/>
      <c r="S899" s="84"/>
      <c r="T899" s="84"/>
      <c r="U899" s="84"/>
      <c r="V899" s="84"/>
      <c r="W899" s="84"/>
      <c r="X899" s="84"/>
      <c r="Y899" s="84"/>
      <c r="Z899" s="84"/>
      <c r="AA899" s="84"/>
    </row>
    <row r="900" ht="15.75" customHeight="1">
      <c r="A900" s="14" t="s">
        <v>17</v>
      </c>
      <c r="B900" s="15" t="s">
        <v>13113</v>
      </c>
      <c r="C900" s="14" t="s">
        <v>10825</v>
      </c>
      <c r="D900" s="14" t="s">
        <v>10827</v>
      </c>
      <c r="E900" s="26" t="str">
        <f t="shared" si="21"/>
        <v>http://dx.doi.org/10.1109/VISUAL.2001.964548</v>
      </c>
      <c r="F900" s="50">
        <v>449.0</v>
      </c>
      <c r="G900" s="50">
        <v>452.0</v>
      </c>
      <c r="H900" s="14" t="s">
        <v>28</v>
      </c>
      <c r="I900" s="19" t="s">
        <v>13806</v>
      </c>
      <c r="J900" s="19" t="s">
        <v>10857</v>
      </c>
      <c r="K900" s="19" t="s">
        <v>13807</v>
      </c>
      <c r="L900" s="19" t="s">
        <v>13808</v>
      </c>
      <c r="M900" s="20"/>
      <c r="N900" s="44" t="s">
        <v>10861</v>
      </c>
      <c r="O900" s="22">
        <v>41.0</v>
      </c>
      <c r="P900" s="28">
        <v>3.0</v>
      </c>
      <c r="Q900" s="28">
        <v>8.0</v>
      </c>
      <c r="R900" s="84"/>
      <c r="S900" s="84"/>
      <c r="T900" s="84"/>
      <c r="U900" s="84"/>
      <c r="V900" s="84"/>
      <c r="W900" s="84"/>
      <c r="X900" s="84"/>
      <c r="Y900" s="84"/>
      <c r="Z900" s="84"/>
      <c r="AA900" s="84"/>
    </row>
    <row r="901" ht="15.75" customHeight="1">
      <c r="A901" s="14" t="s">
        <v>17</v>
      </c>
      <c r="B901" s="15" t="s">
        <v>13113</v>
      </c>
      <c r="C901" s="14" t="s">
        <v>10864</v>
      </c>
      <c r="D901" s="14" t="s">
        <v>10867</v>
      </c>
      <c r="E901" s="26" t="str">
        <f t="shared" si="21"/>
        <v>http://dx.doi.org/10.1109/VISUAL.2001.964549</v>
      </c>
      <c r="F901" s="50">
        <v>453.0</v>
      </c>
      <c r="G901" s="50">
        <v>456.0</v>
      </c>
      <c r="H901" s="14" t="s">
        <v>28</v>
      </c>
      <c r="I901" s="19" t="s">
        <v>13809</v>
      </c>
      <c r="J901" s="19" t="s">
        <v>10906</v>
      </c>
      <c r="K901" s="19" t="s">
        <v>13810</v>
      </c>
      <c r="L901" s="19" t="s">
        <v>13811</v>
      </c>
      <c r="M901" s="20"/>
      <c r="N901" s="44" t="s">
        <v>10908</v>
      </c>
      <c r="O901" s="22">
        <v>50.0</v>
      </c>
      <c r="P901" s="28">
        <v>3.0</v>
      </c>
      <c r="Q901" s="28">
        <v>12.0</v>
      </c>
      <c r="R901" s="84"/>
      <c r="S901" s="84"/>
      <c r="T901" s="84"/>
      <c r="U901" s="84"/>
      <c r="V901" s="84"/>
      <c r="W901" s="84"/>
      <c r="X901" s="84"/>
      <c r="Y901" s="84"/>
      <c r="Z901" s="84"/>
      <c r="AA901" s="84"/>
    </row>
    <row r="902" ht="15.75" customHeight="1">
      <c r="A902" s="14" t="s">
        <v>17</v>
      </c>
      <c r="B902" s="15" t="s">
        <v>13113</v>
      </c>
      <c r="C902" s="14" t="s">
        <v>10909</v>
      </c>
      <c r="D902" s="14" t="s">
        <v>10911</v>
      </c>
      <c r="E902" s="26" t="str">
        <f t="shared" si="21"/>
        <v>http://dx.doi.org/10.1109/VISUAL.2001.964550</v>
      </c>
      <c r="F902" s="50">
        <v>457.0</v>
      </c>
      <c r="G902" s="50">
        <v>460.0</v>
      </c>
      <c r="H902" s="14" t="s">
        <v>28</v>
      </c>
      <c r="I902" s="19" t="s">
        <v>13812</v>
      </c>
      <c r="J902" s="19" t="s">
        <v>10944</v>
      </c>
      <c r="K902" s="19" t="s">
        <v>13813</v>
      </c>
      <c r="L902" s="19" t="s">
        <v>506</v>
      </c>
      <c r="M902" s="20"/>
      <c r="N902" s="44" t="s">
        <v>10946</v>
      </c>
      <c r="O902" s="22">
        <v>59.0</v>
      </c>
      <c r="P902" s="28">
        <v>11.0</v>
      </c>
      <c r="Q902" s="28">
        <v>15.0</v>
      </c>
      <c r="R902" s="84"/>
      <c r="S902" s="84"/>
      <c r="T902" s="84"/>
      <c r="U902" s="84"/>
      <c r="V902" s="84"/>
      <c r="W902" s="84"/>
      <c r="X902" s="84"/>
      <c r="Y902" s="84"/>
      <c r="Z902" s="84"/>
      <c r="AA902" s="84"/>
    </row>
    <row r="903" ht="15.75" customHeight="1">
      <c r="A903" s="14" t="s">
        <v>17</v>
      </c>
      <c r="B903" s="15" t="s">
        <v>13113</v>
      </c>
      <c r="C903" s="14" t="s">
        <v>10948</v>
      </c>
      <c r="D903" s="14" t="s">
        <v>10950</v>
      </c>
      <c r="E903" s="26" t="str">
        <f t="shared" si="21"/>
        <v>http://dx.doi.org/10.1109/VISUAL.2001.964551</v>
      </c>
      <c r="F903" s="50">
        <v>461.0</v>
      </c>
      <c r="G903" s="50">
        <v>464.0</v>
      </c>
      <c r="H903" s="14" t="s">
        <v>28</v>
      </c>
      <c r="I903" s="19" t="s">
        <v>13814</v>
      </c>
      <c r="J903" s="19" t="s">
        <v>10983</v>
      </c>
      <c r="K903" s="19" t="s">
        <v>13815</v>
      </c>
      <c r="L903" s="19" t="s">
        <v>13816</v>
      </c>
      <c r="M903" s="20" t="s">
        <v>4206</v>
      </c>
      <c r="N903" s="44" t="s">
        <v>10988</v>
      </c>
      <c r="O903" s="22">
        <v>16.0</v>
      </c>
      <c r="P903" s="28">
        <v>5.0</v>
      </c>
      <c r="Q903" s="28">
        <v>9.0</v>
      </c>
      <c r="R903" s="84"/>
      <c r="S903" s="84"/>
      <c r="T903" s="84"/>
      <c r="U903" s="84"/>
      <c r="V903" s="84"/>
      <c r="W903" s="84"/>
      <c r="X903" s="84"/>
      <c r="Y903" s="84"/>
      <c r="Z903" s="84"/>
      <c r="AA903" s="84"/>
    </row>
    <row r="904" ht="15.75" customHeight="1">
      <c r="A904" s="14" t="s">
        <v>17</v>
      </c>
      <c r="B904" s="15" t="s">
        <v>13113</v>
      </c>
      <c r="C904" s="14" t="s">
        <v>10992</v>
      </c>
      <c r="D904" s="14" t="s">
        <v>10993</v>
      </c>
      <c r="E904" s="26" t="str">
        <f t="shared" si="21"/>
        <v>http://dx.doi.org/10.1109/VISUAL.2001.964552</v>
      </c>
      <c r="F904" s="50">
        <v>465.0</v>
      </c>
      <c r="G904" s="50">
        <v>468.0</v>
      </c>
      <c r="H904" s="14" t="s">
        <v>28</v>
      </c>
      <c r="I904" s="19" t="s">
        <v>13817</v>
      </c>
      <c r="J904" s="19" t="s">
        <v>11030</v>
      </c>
      <c r="K904" s="19" t="s">
        <v>13818</v>
      </c>
      <c r="L904" s="19" t="s">
        <v>333</v>
      </c>
      <c r="M904" s="20" t="s">
        <v>11033</v>
      </c>
      <c r="N904" s="27"/>
      <c r="O904" s="22">
        <v>11.0</v>
      </c>
      <c r="P904" s="28">
        <v>4.0</v>
      </c>
      <c r="Q904" s="28">
        <v>11.0</v>
      </c>
      <c r="R904" s="84"/>
      <c r="S904" s="84"/>
      <c r="T904" s="84"/>
      <c r="U904" s="84"/>
      <c r="V904" s="84"/>
      <c r="W904" s="84"/>
      <c r="X904" s="84"/>
      <c r="Y904" s="84"/>
      <c r="Z904" s="84"/>
      <c r="AA904" s="84"/>
    </row>
    <row r="905" ht="15.75" customHeight="1">
      <c r="A905" s="14" t="s">
        <v>17</v>
      </c>
      <c r="B905" s="15" t="s">
        <v>13113</v>
      </c>
      <c r="C905" s="14" t="s">
        <v>11038</v>
      </c>
      <c r="D905" s="14" t="s">
        <v>11040</v>
      </c>
      <c r="E905" s="26" t="str">
        <f t="shared" si="21"/>
        <v>http://dx.doi.org/10.1109/VISUAL.2001.964553</v>
      </c>
      <c r="F905" s="50">
        <v>469.0</v>
      </c>
      <c r="G905" s="50">
        <v>472.0</v>
      </c>
      <c r="H905" s="14" t="s">
        <v>28</v>
      </c>
      <c r="I905" s="19" t="s">
        <v>13819</v>
      </c>
      <c r="J905" s="19" t="s">
        <v>11074</v>
      </c>
      <c r="K905" s="19" t="s">
        <v>13820</v>
      </c>
      <c r="L905" s="19" t="s">
        <v>13821</v>
      </c>
      <c r="M905" s="20"/>
      <c r="N905" s="44" t="s">
        <v>11078</v>
      </c>
      <c r="O905" s="22">
        <v>14.0</v>
      </c>
      <c r="P905" s="28">
        <v>2.0</v>
      </c>
      <c r="Q905" s="28">
        <v>17.0</v>
      </c>
      <c r="R905" s="84"/>
      <c r="S905" s="84"/>
      <c r="T905" s="84"/>
      <c r="U905" s="84"/>
      <c r="V905" s="84"/>
      <c r="W905" s="84"/>
      <c r="X905" s="84"/>
      <c r="Y905" s="84"/>
      <c r="Z905" s="84"/>
      <c r="AA905" s="84"/>
    </row>
    <row r="906" ht="15.75" customHeight="1">
      <c r="A906" s="14" t="s">
        <v>17</v>
      </c>
      <c r="B906" s="15" t="s">
        <v>13113</v>
      </c>
      <c r="C906" s="14" t="s">
        <v>11081</v>
      </c>
      <c r="D906" s="14" t="s">
        <v>11083</v>
      </c>
      <c r="E906" s="26" t="str">
        <f t="shared" si="21"/>
        <v>http://dx.doi.org/10.1109/VISUAL.2001.964554</v>
      </c>
      <c r="F906" s="50">
        <v>473.0</v>
      </c>
      <c r="G906" s="50">
        <v>476.0</v>
      </c>
      <c r="H906" s="14" t="s">
        <v>28</v>
      </c>
      <c r="I906" s="19" t="s">
        <v>13822</v>
      </c>
      <c r="J906" s="19" t="s">
        <v>13823</v>
      </c>
      <c r="K906" s="19" t="s">
        <v>13824</v>
      </c>
      <c r="L906" s="19" t="s">
        <v>2532</v>
      </c>
      <c r="M906" s="20" t="s">
        <v>11120</v>
      </c>
      <c r="N906" s="44" t="s">
        <v>11123</v>
      </c>
      <c r="O906" s="22">
        <v>35.0</v>
      </c>
      <c r="P906" s="28">
        <v>5.0</v>
      </c>
      <c r="Q906" s="28">
        <v>20.0</v>
      </c>
      <c r="R906" s="84"/>
      <c r="S906" s="84"/>
      <c r="T906" s="84"/>
      <c r="U906" s="84"/>
      <c r="V906" s="84"/>
      <c r="W906" s="84"/>
      <c r="X906" s="84"/>
      <c r="Y906" s="84"/>
      <c r="Z906" s="84"/>
      <c r="AA906" s="84"/>
    </row>
    <row r="907" ht="15.75" customHeight="1">
      <c r="A907" s="14" t="s">
        <v>17</v>
      </c>
      <c r="B907" s="15" t="s">
        <v>13113</v>
      </c>
      <c r="C907" s="14" t="s">
        <v>11128</v>
      </c>
      <c r="D907" s="14" t="s">
        <v>11129</v>
      </c>
      <c r="E907" s="26" t="str">
        <f t="shared" si="21"/>
        <v>http://dx.doi.org/10.1109/VISUAL.2001.964555</v>
      </c>
      <c r="F907" s="50">
        <v>477.0</v>
      </c>
      <c r="G907" s="50">
        <v>480.0</v>
      </c>
      <c r="H907" s="14" t="s">
        <v>28</v>
      </c>
      <c r="I907" s="19" t="s">
        <v>13825</v>
      </c>
      <c r="J907" s="19" t="s">
        <v>13826</v>
      </c>
      <c r="K907" s="19" t="s">
        <v>13827</v>
      </c>
      <c r="L907" s="19" t="s">
        <v>13641</v>
      </c>
      <c r="M907" s="20"/>
      <c r="N907" s="44" t="s">
        <v>11137</v>
      </c>
      <c r="O907" s="22">
        <v>66.0</v>
      </c>
      <c r="P907" s="28">
        <v>14.0</v>
      </c>
      <c r="Q907" s="28">
        <v>7.0</v>
      </c>
      <c r="R907" s="84"/>
      <c r="S907" s="84"/>
      <c r="T907" s="84"/>
      <c r="U907" s="84"/>
      <c r="V907" s="84"/>
      <c r="W907" s="84"/>
      <c r="X907" s="84"/>
      <c r="Y907" s="84"/>
      <c r="Z907" s="84"/>
      <c r="AA907" s="84"/>
    </row>
    <row r="908" ht="15.75" customHeight="1">
      <c r="A908" s="14" t="s">
        <v>17</v>
      </c>
      <c r="B908" s="15" t="s">
        <v>13113</v>
      </c>
      <c r="C908" s="14" t="s">
        <v>11138</v>
      </c>
      <c r="D908" s="14" t="s">
        <v>11139</v>
      </c>
      <c r="E908" s="26" t="str">
        <f t="shared" si="21"/>
        <v>http://dx.doi.org/10.1109/VISUAL.2001.964556</v>
      </c>
      <c r="F908" s="50">
        <v>481.0</v>
      </c>
      <c r="G908" s="50">
        <v>484.0</v>
      </c>
      <c r="H908" s="14" t="s">
        <v>28</v>
      </c>
      <c r="I908" s="19" t="s">
        <v>13828</v>
      </c>
      <c r="J908" s="19" t="s">
        <v>11159</v>
      </c>
      <c r="K908" s="19" t="s">
        <v>13831</v>
      </c>
      <c r="L908" s="19" t="s">
        <v>13832</v>
      </c>
      <c r="M908" s="20"/>
      <c r="N908" s="27"/>
      <c r="O908" s="22">
        <v>4.0</v>
      </c>
      <c r="P908" s="28">
        <v>0.0</v>
      </c>
      <c r="Q908" s="28">
        <v>12.0</v>
      </c>
      <c r="R908" s="84"/>
      <c r="S908" s="84"/>
      <c r="T908" s="84"/>
      <c r="U908" s="84"/>
      <c r="V908" s="84"/>
      <c r="W908" s="84"/>
      <c r="X908" s="84"/>
      <c r="Y908" s="84"/>
      <c r="Z908" s="84"/>
      <c r="AA908" s="84"/>
    </row>
    <row r="909" ht="15.75" customHeight="1">
      <c r="A909" s="14" t="s">
        <v>17</v>
      </c>
      <c r="B909" s="15" t="s">
        <v>13113</v>
      </c>
      <c r="C909" s="14" t="s">
        <v>11164</v>
      </c>
      <c r="D909" s="14" t="s">
        <v>11166</v>
      </c>
      <c r="E909" s="26" t="str">
        <f t="shared" si="21"/>
        <v>http://dx.doi.org/10.1109/VISUAL.2001.964557</v>
      </c>
      <c r="F909" s="50">
        <v>485.0</v>
      </c>
      <c r="G909" s="50">
        <v>488.0</v>
      </c>
      <c r="H909" s="14" t="s">
        <v>28</v>
      </c>
      <c r="I909" s="19" t="s">
        <v>13834</v>
      </c>
      <c r="J909" s="19" t="s">
        <v>12621</v>
      </c>
      <c r="K909" s="19" t="s">
        <v>12622</v>
      </c>
      <c r="L909" s="19" t="s">
        <v>13835</v>
      </c>
      <c r="M909" s="20" t="s">
        <v>1354</v>
      </c>
      <c r="N909" s="44" t="s">
        <v>11215</v>
      </c>
      <c r="O909" s="22">
        <v>5.0</v>
      </c>
      <c r="P909" s="28">
        <v>1.0</v>
      </c>
      <c r="Q909" s="28">
        <v>11.0</v>
      </c>
      <c r="R909" s="84"/>
      <c r="S909" s="84"/>
      <c r="T909" s="84"/>
      <c r="U909" s="84"/>
      <c r="V909" s="84"/>
      <c r="W909" s="84"/>
      <c r="X909" s="84"/>
      <c r="Y909" s="84"/>
      <c r="Z909" s="84"/>
      <c r="AA909" s="84"/>
    </row>
    <row r="910" ht="15.75" customHeight="1">
      <c r="A910" s="14" t="s">
        <v>17</v>
      </c>
      <c r="B910" s="15" t="s">
        <v>13113</v>
      </c>
      <c r="C910" s="14" t="s">
        <v>11218</v>
      </c>
      <c r="D910" s="14" t="s">
        <v>11220</v>
      </c>
      <c r="E910" s="26" t="str">
        <f t="shared" si="21"/>
        <v>http://dx.doi.org/10.1109/VISUAL.2001.964559</v>
      </c>
      <c r="F910" s="50">
        <v>489.0</v>
      </c>
      <c r="G910" s="50">
        <v>492.0</v>
      </c>
      <c r="H910" s="14" t="s">
        <v>28</v>
      </c>
      <c r="I910" s="19" t="s">
        <v>13839</v>
      </c>
      <c r="J910" s="19" t="s">
        <v>11257</v>
      </c>
      <c r="K910" s="19" t="s">
        <v>13841</v>
      </c>
      <c r="L910" s="19" t="s">
        <v>13842</v>
      </c>
      <c r="M910" s="20"/>
      <c r="N910" s="44" t="s">
        <v>11260</v>
      </c>
      <c r="O910" s="22">
        <v>10.0</v>
      </c>
      <c r="P910" s="28">
        <v>1.0</v>
      </c>
      <c r="Q910" s="28">
        <v>15.0</v>
      </c>
      <c r="R910" s="84"/>
      <c r="S910" s="84"/>
      <c r="T910" s="84"/>
      <c r="U910" s="84"/>
      <c r="V910" s="84"/>
      <c r="W910" s="84"/>
      <c r="X910" s="84"/>
      <c r="Y910" s="84"/>
      <c r="Z910" s="84"/>
      <c r="AA910" s="84"/>
    </row>
    <row r="911" ht="15.75" customHeight="1">
      <c r="A911" s="14" t="s">
        <v>17</v>
      </c>
      <c r="B911" s="15" t="s">
        <v>13113</v>
      </c>
      <c r="C911" s="14" t="s">
        <v>11263</v>
      </c>
      <c r="D911" s="97" t="s">
        <v>11265</v>
      </c>
      <c r="E911" s="68" t="s">
        <v>11267</v>
      </c>
      <c r="F911" s="50">
        <v>493.0</v>
      </c>
      <c r="G911" s="50">
        <v>496.0</v>
      </c>
      <c r="H911" s="14" t="s">
        <v>28</v>
      </c>
      <c r="I911" s="19" t="s">
        <v>13853</v>
      </c>
      <c r="J911" s="19" t="s">
        <v>11319</v>
      </c>
      <c r="K911" s="19" t="s">
        <v>13854</v>
      </c>
      <c r="L911" s="19" t="s">
        <v>13855</v>
      </c>
      <c r="M911" s="20"/>
      <c r="N911" s="48" t="s">
        <v>11321</v>
      </c>
      <c r="O911" s="22">
        <v>59.0</v>
      </c>
      <c r="P911" s="28">
        <v>7.0</v>
      </c>
      <c r="Q911" s="28">
        <v>9.0</v>
      </c>
      <c r="R911" s="84"/>
      <c r="S911" s="84"/>
      <c r="T911" s="84"/>
      <c r="U911" s="84"/>
      <c r="V911" s="84"/>
      <c r="W911" s="84"/>
      <c r="X911" s="84"/>
      <c r="Y911" s="84"/>
      <c r="Z911" s="84"/>
      <c r="AA911" s="84"/>
    </row>
    <row r="912" ht="15.75" customHeight="1">
      <c r="A912" s="14" t="s">
        <v>17</v>
      </c>
      <c r="B912" s="15" t="s">
        <v>13113</v>
      </c>
      <c r="C912" s="14" t="s">
        <v>11324</v>
      </c>
      <c r="D912" s="67" t="s">
        <v>11326</v>
      </c>
      <c r="E912" s="68" t="s">
        <v>11329</v>
      </c>
      <c r="F912" s="50">
        <v>497.0</v>
      </c>
      <c r="G912" s="50">
        <v>500.0</v>
      </c>
      <c r="H912" s="14" t="s">
        <v>28</v>
      </c>
      <c r="I912" s="19" t="s">
        <v>13863</v>
      </c>
      <c r="J912" s="19" t="s">
        <v>11375</v>
      </c>
      <c r="K912" s="19" t="s">
        <v>13864</v>
      </c>
      <c r="L912" s="19" t="s">
        <v>13865</v>
      </c>
      <c r="M912" s="20"/>
      <c r="N912" s="48" t="s">
        <v>11377</v>
      </c>
      <c r="O912" s="22">
        <v>71.0</v>
      </c>
      <c r="P912" s="28">
        <v>11.0</v>
      </c>
      <c r="Q912" s="28">
        <v>22.0</v>
      </c>
      <c r="R912" s="84"/>
      <c r="S912" s="84"/>
      <c r="T912" s="84"/>
      <c r="U912" s="84"/>
      <c r="V912" s="84"/>
      <c r="W912" s="84"/>
      <c r="X912" s="84"/>
      <c r="Y912" s="84"/>
      <c r="Z912" s="84"/>
      <c r="AA912" s="84"/>
    </row>
    <row r="913" ht="15.75" customHeight="1">
      <c r="A913" s="14" t="s">
        <v>17</v>
      </c>
      <c r="B913" s="15" t="s">
        <v>13113</v>
      </c>
      <c r="C913" s="14" t="s">
        <v>11380</v>
      </c>
      <c r="D913" s="14" t="s">
        <v>11382</v>
      </c>
      <c r="E913" s="26" t="str">
        <f>"http://dx.doi.org/" &amp; D913</f>
        <v>http://dx.doi.org/10.1109/VISUAL.2001.964562</v>
      </c>
      <c r="F913" s="50">
        <v>501.0</v>
      </c>
      <c r="G913" s="50">
        <v>504.0</v>
      </c>
      <c r="H913" s="14" t="s">
        <v>28</v>
      </c>
      <c r="I913" s="19" t="s">
        <v>13871</v>
      </c>
      <c r="J913" s="19" t="s">
        <v>11411</v>
      </c>
      <c r="K913" s="19" t="s">
        <v>13872</v>
      </c>
      <c r="L913" s="19" t="s">
        <v>13873</v>
      </c>
      <c r="M913" s="20"/>
      <c r="N913" s="27"/>
      <c r="O913" s="22">
        <v>50.0</v>
      </c>
      <c r="P913" s="28">
        <v>1.0</v>
      </c>
      <c r="Q913" s="28">
        <v>7.0</v>
      </c>
      <c r="R913" s="84"/>
      <c r="S913" s="84"/>
      <c r="T913" s="84"/>
      <c r="U913" s="84"/>
      <c r="V913" s="84"/>
      <c r="W913" s="84"/>
      <c r="X913" s="84"/>
      <c r="Y913" s="84"/>
      <c r="Z913" s="84"/>
      <c r="AA913" s="84"/>
    </row>
    <row r="914" ht="15.75" customHeight="1">
      <c r="A914" s="14" t="s">
        <v>17</v>
      </c>
      <c r="B914" s="15" t="s">
        <v>13113</v>
      </c>
      <c r="C914" s="14" t="s">
        <v>11416</v>
      </c>
      <c r="D914" s="67" t="s">
        <v>11417</v>
      </c>
      <c r="E914" s="68" t="str">
        <f>HYPERLINK("http://doi.ieeecomputersociety.org/10.1109/VISUAL.2001.964563","http://doi.ieeecomputersociety.org/10.1109/VISUAL.2001.964563")</f>
        <v>http://doi.ieeecomputersociety.org/10.1109/VISUAL.2001.964563</v>
      </c>
      <c r="F914" s="50">
        <v>505.0</v>
      </c>
      <c r="G914" s="50">
        <v>508.0</v>
      </c>
      <c r="H914" s="14" t="s">
        <v>28</v>
      </c>
      <c r="I914" s="19" t="s">
        <v>13879</v>
      </c>
      <c r="J914" s="19" t="s">
        <v>11464</v>
      </c>
      <c r="K914" s="19" t="s">
        <v>13880</v>
      </c>
      <c r="L914" s="19" t="s">
        <v>13881</v>
      </c>
      <c r="M914" s="20" t="s">
        <v>4567</v>
      </c>
      <c r="N914" s="48" t="s">
        <v>11467</v>
      </c>
      <c r="O914" s="22">
        <v>50.0</v>
      </c>
      <c r="P914" s="28">
        <v>1.0</v>
      </c>
      <c r="Q914" s="28">
        <v>11.0</v>
      </c>
      <c r="R914" s="84"/>
      <c r="S914" s="84"/>
      <c r="T914" s="84"/>
      <c r="U914" s="84"/>
      <c r="V914" s="84"/>
      <c r="W914" s="84"/>
      <c r="X914" s="84"/>
      <c r="Y914" s="84"/>
      <c r="Z914" s="84"/>
      <c r="AA914" s="84"/>
    </row>
    <row r="915" ht="15.75" customHeight="1">
      <c r="A915" s="14" t="s">
        <v>17</v>
      </c>
      <c r="B915" s="15" t="s">
        <v>13113</v>
      </c>
      <c r="C915" s="14" t="s">
        <v>11471</v>
      </c>
      <c r="D915" s="14" t="s">
        <v>11473</v>
      </c>
      <c r="E915" s="26" t="str">
        <f t="shared" ref="E915:E1029" si="22">"http://dx.doi.org/" &amp; D915</f>
        <v>http://dx.doi.org/10.1109/VISUAL.2001.964564</v>
      </c>
      <c r="F915" s="50">
        <v>509.0</v>
      </c>
      <c r="G915" s="50">
        <v>601.0</v>
      </c>
      <c r="H915" s="14" t="s">
        <v>28</v>
      </c>
      <c r="I915" s="19" t="s">
        <v>13882</v>
      </c>
      <c r="J915" s="19" t="s">
        <v>11507</v>
      </c>
      <c r="K915" s="19" t="s">
        <v>13883</v>
      </c>
      <c r="L915" s="19" t="s">
        <v>13884</v>
      </c>
      <c r="M915" s="20"/>
      <c r="N915" s="27"/>
      <c r="O915" s="22">
        <v>14.0</v>
      </c>
      <c r="P915" s="28">
        <v>3.0</v>
      </c>
      <c r="Q915" s="28">
        <v>5.0</v>
      </c>
      <c r="R915" s="84"/>
      <c r="S915" s="84"/>
      <c r="T915" s="84"/>
      <c r="U915" s="84"/>
      <c r="V915" s="84"/>
      <c r="W915" s="84"/>
      <c r="X915" s="84"/>
      <c r="Y915" s="84"/>
      <c r="Z915" s="84"/>
      <c r="AA915" s="84"/>
    </row>
    <row r="916" ht="15.75" customHeight="1">
      <c r="A916" s="14" t="s">
        <v>2137</v>
      </c>
      <c r="B916" s="15" t="s">
        <v>13888</v>
      </c>
      <c r="C916" s="14" t="s">
        <v>11512</v>
      </c>
      <c r="D916" s="14" t="s">
        <v>11514</v>
      </c>
      <c r="E916" s="26" t="str">
        <f t="shared" si="22"/>
        <v>http://dx.doi.org/10.1109/INFVIS.2002.1173140</v>
      </c>
      <c r="F916" s="14">
        <v>3.0</v>
      </c>
      <c r="G916" s="14">
        <v>4.0</v>
      </c>
      <c r="H916" s="14" t="s">
        <v>21</v>
      </c>
      <c r="I916" s="19" t="s">
        <v>13892</v>
      </c>
      <c r="J916" s="19" t="s">
        <v>11535</v>
      </c>
      <c r="K916" s="19" t="s">
        <v>13893</v>
      </c>
      <c r="L916" s="19" t="s">
        <v>13894</v>
      </c>
      <c r="M916" s="20"/>
      <c r="N916" s="27"/>
      <c r="O916" s="22">
        <v>50.0</v>
      </c>
      <c r="P916" s="28">
        <v>0.0</v>
      </c>
      <c r="Q916" s="28">
        <v>0.0</v>
      </c>
      <c r="R916" s="84"/>
      <c r="S916" s="84"/>
      <c r="T916" s="84"/>
      <c r="U916" s="84"/>
      <c r="V916" s="84"/>
      <c r="W916" s="84"/>
      <c r="X916" s="84"/>
      <c r="Y916" s="84"/>
      <c r="Z916" s="84"/>
      <c r="AA916" s="84"/>
    </row>
    <row r="917" ht="15.75" customHeight="1">
      <c r="A917" s="14" t="s">
        <v>2137</v>
      </c>
      <c r="B917" s="15" t="s">
        <v>13888</v>
      </c>
      <c r="C917" s="14" t="s">
        <v>11539</v>
      </c>
      <c r="D917" s="14" t="s">
        <v>11541</v>
      </c>
      <c r="E917" s="26" t="str">
        <f t="shared" si="22"/>
        <v>http://dx.doi.org/10.1109/INFVIS.2002.1173141</v>
      </c>
      <c r="F917" s="14">
        <v>7.0</v>
      </c>
      <c r="G917" s="14">
        <v>14.0</v>
      </c>
      <c r="H917" s="14" t="s">
        <v>28</v>
      </c>
      <c r="I917" s="19" t="s">
        <v>13895</v>
      </c>
      <c r="J917" s="19" t="s">
        <v>11581</v>
      </c>
      <c r="K917" s="19" t="s">
        <v>13896</v>
      </c>
      <c r="L917" s="19" t="s">
        <v>13897</v>
      </c>
      <c r="M917" s="20" t="s">
        <v>5481</v>
      </c>
      <c r="N917" s="27"/>
      <c r="O917" s="22">
        <v>66.0</v>
      </c>
      <c r="P917" s="28">
        <v>14.0</v>
      </c>
      <c r="Q917" s="28">
        <v>21.0</v>
      </c>
      <c r="R917" s="85" t="s">
        <v>106</v>
      </c>
      <c r="S917" s="84"/>
      <c r="T917" s="84"/>
      <c r="U917" s="84"/>
      <c r="V917" s="84"/>
      <c r="W917" s="84"/>
      <c r="X917" s="84"/>
      <c r="Y917" s="84"/>
      <c r="Z917" s="84"/>
      <c r="AA917" s="84"/>
    </row>
    <row r="918" ht="15.75" customHeight="1">
      <c r="A918" s="14" t="s">
        <v>2137</v>
      </c>
      <c r="B918" s="15" t="s">
        <v>13888</v>
      </c>
      <c r="C918" s="14" t="s">
        <v>11588</v>
      </c>
      <c r="D918" s="14" t="s">
        <v>11589</v>
      </c>
      <c r="E918" s="26" t="str">
        <f t="shared" si="22"/>
        <v>http://dx.doi.org/10.1109/INFVIS.2002.1173142</v>
      </c>
      <c r="F918" s="14">
        <v>15.0</v>
      </c>
      <c r="G918" s="14">
        <v>22.0</v>
      </c>
      <c r="H918" s="14" t="s">
        <v>28</v>
      </c>
      <c r="I918" s="19" t="s">
        <v>13904</v>
      </c>
      <c r="J918" s="19" t="s">
        <v>11622</v>
      </c>
      <c r="K918" s="19" t="s">
        <v>13905</v>
      </c>
      <c r="L918" s="19" t="s">
        <v>13906</v>
      </c>
      <c r="M918" s="20" t="s">
        <v>11625</v>
      </c>
      <c r="N918" s="27"/>
      <c r="O918" s="22">
        <v>42.0</v>
      </c>
      <c r="P918" s="28">
        <v>5.0</v>
      </c>
      <c r="Q918" s="28">
        <v>20.0</v>
      </c>
      <c r="R918" s="84"/>
      <c r="S918" s="84"/>
      <c r="T918" s="84"/>
      <c r="U918" s="84"/>
      <c r="V918" s="84"/>
      <c r="W918" s="84"/>
      <c r="X918" s="84"/>
      <c r="Y918" s="84"/>
      <c r="Z918" s="84"/>
      <c r="AA918" s="84"/>
    </row>
    <row r="919" ht="15.75" customHeight="1">
      <c r="A919" s="14" t="s">
        <v>2137</v>
      </c>
      <c r="B919" s="15" t="s">
        <v>13888</v>
      </c>
      <c r="C919" s="14" t="s">
        <v>11630</v>
      </c>
      <c r="D919" s="14" t="s">
        <v>11632</v>
      </c>
      <c r="E919" s="26" t="str">
        <f t="shared" si="22"/>
        <v>http://dx.doi.org/10.1109/INFVIS.2002.1173143</v>
      </c>
      <c r="F919" s="14">
        <v>23.0</v>
      </c>
      <c r="G919" s="14">
        <v>30.0</v>
      </c>
      <c r="H919" s="14" t="s">
        <v>28</v>
      </c>
      <c r="I919" s="19" t="s">
        <v>13907</v>
      </c>
      <c r="J919" s="19" t="s">
        <v>11668</v>
      </c>
      <c r="K919" s="19" t="s">
        <v>13908</v>
      </c>
      <c r="L919" s="19" t="s">
        <v>13415</v>
      </c>
      <c r="M919" s="20" t="s">
        <v>2736</v>
      </c>
      <c r="N919" s="27"/>
      <c r="O919" s="22">
        <v>12.0</v>
      </c>
      <c r="P919" s="28">
        <v>2.0</v>
      </c>
      <c r="Q919" s="28">
        <v>23.0</v>
      </c>
      <c r="R919" s="84"/>
      <c r="S919" s="84"/>
      <c r="T919" s="84"/>
      <c r="U919" s="84"/>
      <c r="V919" s="84"/>
      <c r="W919" s="84"/>
      <c r="X919" s="84"/>
      <c r="Y919" s="84"/>
      <c r="Z919" s="84"/>
      <c r="AA919" s="84"/>
    </row>
    <row r="920" ht="15.75" customHeight="1">
      <c r="A920" s="14" t="s">
        <v>2137</v>
      </c>
      <c r="B920" s="15" t="s">
        <v>13888</v>
      </c>
      <c r="C920" s="14" t="s">
        <v>11674</v>
      </c>
      <c r="D920" s="14" t="s">
        <v>11676</v>
      </c>
      <c r="E920" s="26" t="str">
        <f t="shared" si="22"/>
        <v>http://dx.doi.org/10.1109/INFVIS.2002.1173144</v>
      </c>
      <c r="F920" s="14">
        <v>33.0</v>
      </c>
      <c r="G920" s="14">
        <v>36.0</v>
      </c>
      <c r="H920" s="14" t="s">
        <v>28</v>
      </c>
      <c r="I920" s="19" t="s">
        <v>13909</v>
      </c>
      <c r="J920" s="19" t="s">
        <v>13910</v>
      </c>
      <c r="K920" s="19" t="s">
        <v>13911</v>
      </c>
      <c r="L920" s="19" t="s">
        <v>13912</v>
      </c>
      <c r="M920" s="20" t="s">
        <v>11712</v>
      </c>
      <c r="N920" s="27"/>
      <c r="O920" s="22">
        <v>34.0</v>
      </c>
      <c r="P920" s="28">
        <v>5.0</v>
      </c>
      <c r="Q920" s="28">
        <v>8.0</v>
      </c>
      <c r="R920" s="84"/>
      <c r="S920" s="84"/>
      <c r="T920" s="84"/>
      <c r="U920" s="84"/>
      <c r="V920" s="84"/>
      <c r="W920" s="84"/>
      <c r="X920" s="84"/>
      <c r="Y920" s="84"/>
      <c r="Z920" s="84"/>
      <c r="AA920" s="84"/>
    </row>
    <row r="921" ht="15.75" customHeight="1">
      <c r="A921" s="14" t="s">
        <v>2137</v>
      </c>
      <c r="B921" s="15" t="s">
        <v>13888</v>
      </c>
      <c r="C921" s="14" t="s">
        <v>11716</v>
      </c>
      <c r="D921" s="14" t="s">
        <v>11718</v>
      </c>
      <c r="E921" s="26" t="str">
        <f t="shared" si="22"/>
        <v>http://dx.doi.org/10.1109/INFVIS.2002.1173145</v>
      </c>
      <c r="F921" s="14">
        <v>37.0</v>
      </c>
      <c r="G921" s="14">
        <v>40.0</v>
      </c>
      <c r="H921" s="14" t="s">
        <v>28</v>
      </c>
      <c r="I921" s="19" t="s">
        <v>13913</v>
      </c>
      <c r="J921" s="19" t="s">
        <v>11755</v>
      </c>
      <c r="K921" s="19" t="s">
        <v>13914</v>
      </c>
      <c r="L921" s="19" t="s">
        <v>4318</v>
      </c>
      <c r="M921" s="20" t="s">
        <v>11758</v>
      </c>
      <c r="N921" s="44" t="s">
        <v>11760</v>
      </c>
      <c r="O921" s="22">
        <v>86.0</v>
      </c>
      <c r="P921" s="28">
        <v>24.0</v>
      </c>
      <c r="Q921" s="28">
        <v>17.0</v>
      </c>
      <c r="R921" s="84"/>
      <c r="S921" s="84"/>
      <c r="T921" s="84"/>
      <c r="U921" s="84"/>
      <c r="V921" s="84"/>
      <c r="W921" s="84"/>
      <c r="X921" s="84"/>
      <c r="Y921" s="84"/>
      <c r="Z921" s="84"/>
      <c r="AA921" s="84"/>
    </row>
    <row r="922" ht="15.75" customHeight="1">
      <c r="A922" s="14" t="s">
        <v>2137</v>
      </c>
      <c r="B922" s="15" t="s">
        <v>13888</v>
      </c>
      <c r="C922" s="14" t="s">
        <v>11763</v>
      </c>
      <c r="D922" s="14" t="s">
        <v>11765</v>
      </c>
      <c r="E922" s="26" t="str">
        <f t="shared" si="22"/>
        <v>http://dx.doi.org/10.1109/INFVIS.2002.1173146</v>
      </c>
      <c r="F922" s="14">
        <v>43.0</v>
      </c>
      <c r="G922" s="14">
        <v>50.0</v>
      </c>
      <c r="H922" s="14" t="s">
        <v>28</v>
      </c>
      <c r="I922" s="19" t="s">
        <v>13915</v>
      </c>
      <c r="J922" s="19" t="s">
        <v>11797</v>
      </c>
      <c r="K922" s="19" t="s">
        <v>13916</v>
      </c>
      <c r="L922" s="19" t="s">
        <v>12585</v>
      </c>
      <c r="M922" s="20"/>
      <c r="N922" s="27"/>
      <c r="O922" s="22">
        <v>31.0</v>
      </c>
      <c r="P922" s="28">
        <v>4.0</v>
      </c>
      <c r="Q922" s="28">
        <v>31.0</v>
      </c>
      <c r="R922" s="84"/>
      <c r="S922" s="84"/>
      <c r="T922" s="84"/>
      <c r="U922" s="84"/>
      <c r="V922" s="84"/>
      <c r="W922" s="84"/>
      <c r="X922" s="84"/>
      <c r="Y922" s="84"/>
      <c r="Z922" s="84"/>
      <c r="AA922" s="84"/>
    </row>
    <row r="923" ht="15.75" customHeight="1">
      <c r="A923" s="14" t="s">
        <v>2137</v>
      </c>
      <c r="B923" s="15" t="s">
        <v>13888</v>
      </c>
      <c r="C923" s="14" t="s">
        <v>11801</v>
      </c>
      <c r="D923" s="14" t="s">
        <v>11803</v>
      </c>
      <c r="E923" s="26" t="str">
        <f t="shared" si="22"/>
        <v>http://dx.doi.org/10.1109/INFVIS.2002.1173147</v>
      </c>
      <c r="F923" s="14">
        <v>51.0</v>
      </c>
      <c r="G923" s="14">
        <v>56.0</v>
      </c>
      <c r="H923" s="14" t="s">
        <v>28</v>
      </c>
      <c r="I923" s="19" t="s">
        <v>13917</v>
      </c>
      <c r="J923" s="19" t="s">
        <v>11836</v>
      </c>
      <c r="K923" s="19" t="s">
        <v>13918</v>
      </c>
      <c r="L923" s="19" t="s">
        <v>13919</v>
      </c>
      <c r="M923" s="20" t="s">
        <v>6949</v>
      </c>
      <c r="N923" s="27"/>
      <c r="O923" s="22">
        <v>50.0</v>
      </c>
      <c r="P923" s="28">
        <v>0.0</v>
      </c>
      <c r="Q923" s="28">
        <v>12.0</v>
      </c>
      <c r="R923" s="84"/>
      <c r="S923" s="84"/>
      <c r="T923" s="84"/>
      <c r="U923" s="84"/>
      <c r="V923" s="84"/>
      <c r="W923" s="84"/>
      <c r="X923" s="84"/>
      <c r="Y923" s="84"/>
      <c r="Z923" s="84"/>
      <c r="AA923" s="84"/>
    </row>
    <row r="924" ht="15.75" customHeight="1">
      <c r="A924" s="14" t="s">
        <v>2137</v>
      </c>
      <c r="B924" s="15" t="s">
        <v>13888</v>
      </c>
      <c r="C924" s="14" t="s">
        <v>11842</v>
      </c>
      <c r="D924" s="14" t="s">
        <v>11844</v>
      </c>
      <c r="E924" s="26" t="str">
        <f t="shared" si="22"/>
        <v>http://dx.doi.org/10.1109/INFVIS.2002.1173148</v>
      </c>
      <c r="F924" s="14">
        <v>57.0</v>
      </c>
      <c r="G924" s="14">
        <v>64.0</v>
      </c>
      <c r="H924" s="14" t="s">
        <v>28</v>
      </c>
      <c r="I924" s="19" t="s">
        <v>13920</v>
      </c>
      <c r="J924" s="19" t="s">
        <v>11855</v>
      </c>
      <c r="K924" s="19" t="s">
        <v>13921</v>
      </c>
      <c r="L924" s="19" t="s">
        <v>13922</v>
      </c>
      <c r="M924" s="20" t="s">
        <v>2892</v>
      </c>
      <c r="N924" s="27"/>
      <c r="O924" s="22">
        <v>423.0</v>
      </c>
      <c r="P924" s="28">
        <v>80.0</v>
      </c>
      <c r="Q924" s="28">
        <v>23.0</v>
      </c>
      <c r="R924" s="84"/>
      <c r="S924" s="84"/>
      <c r="T924" s="84"/>
      <c r="U924" s="84"/>
      <c r="V924" s="84"/>
      <c r="W924" s="84"/>
      <c r="X924" s="84"/>
      <c r="Y924" s="84"/>
      <c r="Z924" s="84"/>
      <c r="AA924" s="84"/>
    </row>
    <row r="925" ht="15.75" customHeight="1">
      <c r="A925" s="14" t="s">
        <v>2137</v>
      </c>
      <c r="B925" s="15" t="s">
        <v>13888</v>
      </c>
      <c r="C925" s="14" t="s">
        <v>11857</v>
      </c>
      <c r="D925" s="14" t="s">
        <v>11858</v>
      </c>
      <c r="E925" s="26" t="str">
        <f t="shared" si="22"/>
        <v>http://dx.doi.org/10.1109/INFVIS.2002.1173149</v>
      </c>
      <c r="F925" s="14">
        <v>67.0</v>
      </c>
      <c r="G925" s="14">
        <v>70.0</v>
      </c>
      <c r="H925" s="14" t="s">
        <v>28</v>
      </c>
      <c r="I925" s="19" t="s">
        <v>13923</v>
      </c>
      <c r="J925" s="19" t="s">
        <v>13924</v>
      </c>
      <c r="K925" s="19" t="s">
        <v>13925</v>
      </c>
      <c r="L925" s="19" t="s">
        <v>13926</v>
      </c>
      <c r="M925" s="20" t="s">
        <v>11862</v>
      </c>
      <c r="N925" s="44" t="s">
        <v>11863</v>
      </c>
      <c r="O925" s="22">
        <v>50.0</v>
      </c>
      <c r="P925" s="28">
        <v>15.0</v>
      </c>
      <c r="Q925" s="28">
        <v>10.0</v>
      </c>
      <c r="R925" s="84"/>
      <c r="S925" s="84"/>
      <c r="T925" s="84"/>
      <c r="U925" s="84"/>
      <c r="V925" s="84"/>
      <c r="W925" s="84"/>
      <c r="X925" s="84"/>
      <c r="Y925" s="84"/>
      <c r="Z925" s="84"/>
      <c r="AA925" s="84"/>
    </row>
    <row r="926" ht="15.75" customHeight="1">
      <c r="A926" s="14" t="s">
        <v>2137</v>
      </c>
      <c r="B926" s="15" t="s">
        <v>13888</v>
      </c>
      <c r="C926" s="14" t="s">
        <v>11864</v>
      </c>
      <c r="D926" s="14" t="s">
        <v>11865</v>
      </c>
      <c r="E926" s="26" t="str">
        <f t="shared" si="22"/>
        <v>http://dx.doi.org/10.1109/INFVIS.2002.1173150</v>
      </c>
      <c r="F926" s="14">
        <v>71.0</v>
      </c>
      <c r="G926" s="14">
        <v>74.0</v>
      </c>
      <c r="H926" s="14" t="s">
        <v>28</v>
      </c>
      <c r="I926" s="19" t="s">
        <v>13927</v>
      </c>
      <c r="J926" s="19" t="s">
        <v>11867</v>
      </c>
      <c r="K926" s="19" t="s">
        <v>13928</v>
      </c>
      <c r="L926" s="19" t="s">
        <v>13929</v>
      </c>
      <c r="M926" s="20" t="s">
        <v>11869</v>
      </c>
      <c r="N926" s="27"/>
      <c r="O926" s="22">
        <v>103.0</v>
      </c>
      <c r="P926" s="28">
        <v>14.0</v>
      </c>
      <c r="Q926" s="28">
        <v>15.0</v>
      </c>
      <c r="R926" s="84"/>
      <c r="S926" s="84"/>
      <c r="T926" s="84"/>
      <c r="U926" s="84"/>
      <c r="V926" s="84"/>
      <c r="W926" s="84"/>
      <c r="X926" s="84"/>
      <c r="Y926" s="84"/>
      <c r="Z926" s="84"/>
      <c r="AA926" s="84"/>
    </row>
    <row r="927" ht="15.75" customHeight="1">
      <c r="A927" s="14" t="s">
        <v>2137</v>
      </c>
      <c r="B927" s="15" t="s">
        <v>13888</v>
      </c>
      <c r="C927" s="14" t="s">
        <v>11870</v>
      </c>
      <c r="D927" s="14" t="s">
        <v>11871</v>
      </c>
      <c r="E927" s="26" t="str">
        <f t="shared" si="22"/>
        <v>http://dx.doi.org/10.1109/INFVIS.2002.1173151</v>
      </c>
      <c r="F927" s="14">
        <v>77.0</v>
      </c>
      <c r="G927" s="14">
        <v>84.0</v>
      </c>
      <c r="H927" s="14" t="s">
        <v>28</v>
      </c>
      <c r="I927" s="19" t="s">
        <v>13930</v>
      </c>
      <c r="J927" s="19" t="s">
        <v>11873</v>
      </c>
      <c r="K927" s="19" t="s">
        <v>13931</v>
      </c>
      <c r="L927" s="19" t="s">
        <v>13932</v>
      </c>
      <c r="M927" s="20" t="s">
        <v>11874</v>
      </c>
      <c r="N927" s="44" t="s">
        <v>11875</v>
      </c>
      <c r="O927" s="22">
        <v>159.0</v>
      </c>
      <c r="P927" s="28">
        <v>20.0</v>
      </c>
      <c r="Q927" s="28">
        <v>32.0</v>
      </c>
      <c r="R927" s="84"/>
      <c r="S927" s="84"/>
      <c r="T927" s="84"/>
      <c r="U927" s="84"/>
      <c r="V927" s="84"/>
      <c r="W927" s="84"/>
      <c r="X927" s="84"/>
      <c r="Y927" s="84"/>
      <c r="Z927" s="84"/>
      <c r="AA927" s="84"/>
    </row>
    <row r="928" ht="15.75" customHeight="1">
      <c r="A928" s="14" t="s">
        <v>2137</v>
      </c>
      <c r="B928" s="15" t="s">
        <v>13888</v>
      </c>
      <c r="C928" s="14" t="s">
        <v>11876</v>
      </c>
      <c r="D928" s="14" t="s">
        <v>11877</v>
      </c>
      <c r="E928" s="26" t="str">
        <f t="shared" si="22"/>
        <v>http://dx.doi.org/10.1109/INFVIS.2002.1173152</v>
      </c>
      <c r="F928" s="14">
        <v>85.0</v>
      </c>
      <c r="G928" s="14">
        <v>92.0</v>
      </c>
      <c r="H928" s="14" t="s">
        <v>28</v>
      </c>
      <c r="I928" s="19" t="s">
        <v>13933</v>
      </c>
      <c r="J928" s="19" t="s">
        <v>11879</v>
      </c>
      <c r="K928" s="19" t="s">
        <v>11879</v>
      </c>
      <c r="L928" s="19" t="s">
        <v>13935</v>
      </c>
      <c r="M928" s="20" t="s">
        <v>11881</v>
      </c>
      <c r="N928" s="27"/>
      <c r="O928" s="22">
        <v>87.0</v>
      </c>
      <c r="P928" s="28">
        <v>7.0</v>
      </c>
      <c r="Q928" s="28">
        <v>17.0</v>
      </c>
      <c r="R928" s="84"/>
      <c r="S928" s="84"/>
      <c r="T928" s="84"/>
      <c r="U928" s="84"/>
      <c r="V928" s="84"/>
      <c r="W928" s="84"/>
      <c r="X928" s="84"/>
      <c r="Y928" s="84"/>
      <c r="Z928" s="84"/>
      <c r="AA928" s="84"/>
    </row>
    <row r="929" ht="15.75" customHeight="1">
      <c r="A929" s="14" t="s">
        <v>2137</v>
      </c>
      <c r="B929" s="15" t="s">
        <v>13888</v>
      </c>
      <c r="C929" s="14" t="s">
        <v>11882</v>
      </c>
      <c r="D929" s="14" t="s">
        <v>11883</v>
      </c>
      <c r="E929" s="26" t="str">
        <f t="shared" si="22"/>
        <v>http://dx.doi.org/10.1109/INFVIS.2002.1173153</v>
      </c>
      <c r="F929" s="14">
        <v>93.0</v>
      </c>
      <c r="G929" s="14">
        <v>100.0</v>
      </c>
      <c r="H929" s="14" t="s">
        <v>28</v>
      </c>
      <c r="I929" s="19" t="s">
        <v>13940</v>
      </c>
      <c r="J929" s="19" t="s">
        <v>11885</v>
      </c>
      <c r="K929" s="19" t="s">
        <v>13941</v>
      </c>
      <c r="L929" s="19" t="s">
        <v>13942</v>
      </c>
      <c r="M929" s="20" t="s">
        <v>11887</v>
      </c>
      <c r="N929" s="27"/>
      <c r="O929" s="22">
        <v>6.0</v>
      </c>
      <c r="P929" s="28">
        <v>22.0</v>
      </c>
      <c r="Q929" s="28">
        <v>10.0</v>
      </c>
      <c r="R929" s="84"/>
      <c r="S929" s="84"/>
      <c r="T929" s="84"/>
      <c r="U929" s="84"/>
      <c r="V929" s="84"/>
      <c r="W929" s="84"/>
      <c r="X929" s="84"/>
      <c r="Y929" s="84"/>
      <c r="Z929" s="84"/>
      <c r="AA929" s="84"/>
    </row>
    <row r="930" ht="15.75" customHeight="1">
      <c r="A930" s="14" t="s">
        <v>2137</v>
      </c>
      <c r="B930" s="15" t="s">
        <v>13888</v>
      </c>
      <c r="C930" s="14" t="s">
        <v>11888</v>
      </c>
      <c r="D930" s="14" t="s">
        <v>11889</v>
      </c>
      <c r="E930" s="26" t="str">
        <f t="shared" si="22"/>
        <v>http://dx.doi.org/10.1109/INFVIS.2002.1173154</v>
      </c>
      <c r="F930" s="14">
        <v>103.0</v>
      </c>
      <c r="G930" s="14">
        <v>109.0</v>
      </c>
      <c r="H930" s="14" t="s">
        <v>28</v>
      </c>
      <c r="I930" s="19" t="s">
        <v>13943</v>
      </c>
      <c r="J930" s="19" t="s">
        <v>11891</v>
      </c>
      <c r="K930" s="19" t="s">
        <v>13944</v>
      </c>
      <c r="L930" s="19" t="s">
        <v>13945</v>
      </c>
      <c r="M930" s="20" t="s">
        <v>11893</v>
      </c>
      <c r="N930" s="27"/>
      <c r="O930" s="22">
        <v>9.0</v>
      </c>
      <c r="P930" s="28">
        <v>0.0</v>
      </c>
      <c r="Q930" s="28">
        <v>20.0</v>
      </c>
      <c r="R930" s="84"/>
      <c r="S930" s="84"/>
      <c r="T930" s="84"/>
      <c r="U930" s="84"/>
      <c r="V930" s="84"/>
      <c r="W930" s="84"/>
      <c r="X930" s="84"/>
      <c r="Y930" s="84"/>
      <c r="Z930" s="84"/>
      <c r="AA930" s="84"/>
    </row>
    <row r="931" ht="15.75" customHeight="1">
      <c r="A931" s="14" t="s">
        <v>2137</v>
      </c>
      <c r="B931" s="15" t="s">
        <v>13888</v>
      </c>
      <c r="C931" s="14" t="s">
        <v>11894</v>
      </c>
      <c r="D931" s="14" t="s">
        <v>11895</v>
      </c>
      <c r="E931" s="26" t="str">
        <f t="shared" si="22"/>
        <v>http://dx.doi.org/10.1109/INFVIS.2002.1173155</v>
      </c>
      <c r="F931" s="14">
        <v>110.0</v>
      </c>
      <c r="G931" s="14">
        <v>116.0</v>
      </c>
      <c r="H931" s="14" t="s">
        <v>28</v>
      </c>
      <c r="I931" s="19" t="s">
        <v>13946</v>
      </c>
      <c r="J931" s="19" t="s">
        <v>11897</v>
      </c>
      <c r="K931" s="19" t="s">
        <v>13947</v>
      </c>
      <c r="L931" s="19" t="s">
        <v>13948</v>
      </c>
      <c r="M931" s="20" t="s">
        <v>11899</v>
      </c>
      <c r="N931" s="44" t="s">
        <v>11900</v>
      </c>
      <c r="O931" s="22">
        <v>255.0</v>
      </c>
      <c r="P931" s="28">
        <v>74.0</v>
      </c>
      <c r="Q931" s="28">
        <v>11.0</v>
      </c>
      <c r="R931" s="84"/>
      <c r="S931" s="84"/>
      <c r="T931" s="84"/>
      <c r="U931" s="84"/>
      <c r="V931" s="84"/>
      <c r="W931" s="84"/>
      <c r="X931" s="84"/>
      <c r="Y931" s="84"/>
      <c r="Z931" s="84"/>
      <c r="AA931" s="84"/>
    </row>
    <row r="932" ht="15.75" customHeight="1">
      <c r="A932" s="14" t="s">
        <v>2137</v>
      </c>
      <c r="B932" s="15" t="s">
        <v>13888</v>
      </c>
      <c r="C932" s="14" t="s">
        <v>11901</v>
      </c>
      <c r="D932" s="14" t="s">
        <v>11902</v>
      </c>
      <c r="E932" s="26" t="str">
        <f t="shared" si="22"/>
        <v>http://dx.doi.org/10.1109/INFVIS.2002.1173156</v>
      </c>
      <c r="F932" s="14">
        <v>117.0</v>
      </c>
      <c r="G932" s="14">
        <v>124.0</v>
      </c>
      <c r="H932" s="14" t="s">
        <v>28</v>
      </c>
      <c r="I932" s="19" t="s">
        <v>13949</v>
      </c>
      <c r="J932" s="19" t="s">
        <v>11904</v>
      </c>
      <c r="K932" s="19" t="s">
        <v>13950</v>
      </c>
      <c r="L932" s="19" t="s">
        <v>13952</v>
      </c>
      <c r="M932" s="20" t="s">
        <v>11906</v>
      </c>
      <c r="N932" s="27"/>
      <c r="O932" s="22">
        <v>301.0</v>
      </c>
      <c r="P932" s="28">
        <v>76.0</v>
      </c>
      <c r="Q932" s="28">
        <v>25.0</v>
      </c>
      <c r="R932" s="84"/>
      <c r="S932" s="84"/>
      <c r="T932" s="84"/>
      <c r="U932" s="84"/>
      <c r="V932" s="84"/>
      <c r="W932" s="84"/>
      <c r="X932" s="84"/>
      <c r="Y932" s="84"/>
      <c r="Z932" s="84"/>
      <c r="AA932" s="84"/>
    </row>
    <row r="933" ht="15.75" customHeight="1">
      <c r="A933" s="14" t="s">
        <v>2137</v>
      </c>
      <c r="B933" s="15" t="s">
        <v>13888</v>
      </c>
      <c r="C933" s="14" t="s">
        <v>11907</v>
      </c>
      <c r="D933" s="14" t="s">
        <v>11908</v>
      </c>
      <c r="E933" s="26" t="str">
        <f t="shared" si="22"/>
        <v>http://dx.doi.org/10.1109/INFVIS.2002.1173157</v>
      </c>
      <c r="F933" s="14">
        <v>127.0</v>
      </c>
      <c r="G933" s="14">
        <v>130.0</v>
      </c>
      <c r="H933" s="14" t="s">
        <v>28</v>
      </c>
      <c r="I933" s="19" t="s">
        <v>13957</v>
      </c>
      <c r="J933" s="19" t="s">
        <v>11910</v>
      </c>
      <c r="K933" s="19" t="s">
        <v>13958</v>
      </c>
      <c r="L933" s="19" t="s">
        <v>13959</v>
      </c>
      <c r="M933" s="20" t="s">
        <v>11912</v>
      </c>
      <c r="N933" s="44" t="s">
        <v>11913</v>
      </c>
      <c r="O933" s="22">
        <v>264.0</v>
      </c>
      <c r="P933" s="28">
        <v>80.0</v>
      </c>
      <c r="Q933" s="28">
        <v>11.0</v>
      </c>
      <c r="R933" s="84"/>
      <c r="S933" s="84"/>
      <c r="T933" s="84"/>
      <c r="U933" s="84"/>
      <c r="V933" s="84"/>
      <c r="W933" s="84"/>
      <c r="X933" s="84"/>
      <c r="Y933" s="84"/>
      <c r="Z933" s="84"/>
      <c r="AA933" s="84"/>
    </row>
    <row r="934" ht="15.75" customHeight="1">
      <c r="A934" s="14" t="s">
        <v>2137</v>
      </c>
      <c r="B934" s="15" t="s">
        <v>13888</v>
      </c>
      <c r="C934" s="14" t="s">
        <v>11914</v>
      </c>
      <c r="D934" s="14" t="s">
        <v>11915</v>
      </c>
      <c r="E934" s="26" t="str">
        <f t="shared" si="22"/>
        <v>http://dx.doi.org/10.1109/INFVIS.2002.1173158</v>
      </c>
      <c r="F934" s="14">
        <v>131.0</v>
      </c>
      <c r="G934" s="14">
        <v>134.0</v>
      </c>
      <c r="H934" s="14" t="s">
        <v>28</v>
      </c>
      <c r="I934" s="19" t="s">
        <v>13965</v>
      </c>
      <c r="J934" s="19" t="s">
        <v>11917</v>
      </c>
      <c r="K934" s="19" t="s">
        <v>13966</v>
      </c>
      <c r="L934" s="19" t="s">
        <v>13906</v>
      </c>
      <c r="M934" s="20" t="s">
        <v>11918</v>
      </c>
      <c r="N934" s="27"/>
      <c r="O934" s="22">
        <v>28.0</v>
      </c>
      <c r="P934" s="28">
        <v>6.0</v>
      </c>
      <c r="Q934" s="28">
        <v>14.0</v>
      </c>
      <c r="R934" s="84"/>
      <c r="S934" s="84"/>
      <c r="T934" s="84"/>
      <c r="U934" s="84"/>
      <c r="V934" s="84"/>
      <c r="W934" s="84"/>
      <c r="X934" s="84"/>
      <c r="Y934" s="84"/>
      <c r="Z934" s="84"/>
      <c r="AA934" s="84"/>
    </row>
    <row r="935" ht="15.75" customHeight="1">
      <c r="A935" s="14" t="s">
        <v>2137</v>
      </c>
      <c r="B935" s="15" t="s">
        <v>13888</v>
      </c>
      <c r="C935" s="14" t="s">
        <v>11919</v>
      </c>
      <c r="D935" s="14" t="s">
        <v>11920</v>
      </c>
      <c r="E935" s="26" t="str">
        <f t="shared" si="22"/>
        <v>http://dx.doi.org/10.1109/INFVIS.2002.1173159</v>
      </c>
      <c r="F935" s="14">
        <v>137.0</v>
      </c>
      <c r="G935" s="14">
        <v>144.0</v>
      </c>
      <c r="H935" s="14" t="s">
        <v>28</v>
      </c>
      <c r="I935" s="19" t="s">
        <v>13972</v>
      </c>
      <c r="J935" s="19" t="s">
        <v>11922</v>
      </c>
      <c r="K935" s="19" t="s">
        <v>13973</v>
      </c>
      <c r="L935" s="19" t="s">
        <v>13974</v>
      </c>
      <c r="M935" s="20"/>
      <c r="N935" s="44" t="s">
        <v>11924</v>
      </c>
      <c r="O935" s="22">
        <v>158.0</v>
      </c>
      <c r="P935" s="28">
        <v>26.0</v>
      </c>
      <c r="Q935" s="28">
        <v>22.0</v>
      </c>
      <c r="R935" s="84"/>
      <c r="S935" s="84"/>
      <c r="T935" s="84"/>
      <c r="U935" s="84"/>
      <c r="V935" s="84"/>
      <c r="W935" s="84"/>
      <c r="X935" s="84"/>
      <c r="Y935" s="84"/>
      <c r="Z935" s="84"/>
      <c r="AA935" s="84"/>
    </row>
    <row r="936" ht="15.75" customHeight="1">
      <c r="A936" s="14" t="s">
        <v>2137</v>
      </c>
      <c r="B936" s="15" t="s">
        <v>13888</v>
      </c>
      <c r="C936" s="14" t="s">
        <v>11925</v>
      </c>
      <c r="D936" s="14" t="s">
        <v>11926</v>
      </c>
      <c r="E936" s="26" t="str">
        <f t="shared" si="22"/>
        <v>http://dx.doi.org/10.1109/INFVIS.2002.1173160</v>
      </c>
      <c r="F936" s="14">
        <v>145.0</v>
      </c>
      <c r="G936" s="14">
        <v>151.0</v>
      </c>
      <c r="H936" s="14" t="s">
        <v>28</v>
      </c>
      <c r="I936" s="19" t="s">
        <v>13975</v>
      </c>
      <c r="J936" s="19" t="s">
        <v>11928</v>
      </c>
      <c r="K936" s="19" t="s">
        <v>13981</v>
      </c>
      <c r="L936" s="19" t="s">
        <v>13982</v>
      </c>
      <c r="M936" s="20" t="s">
        <v>6351</v>
      </c>
      <c r="N936" s="27"/>
      <c r="O936" s="22">
        <v>195.0</v>
      </c>
      <c r="P936" s="28">
        <v>16.0</v>
      </c>
      <c r="Q936" s="28">
        <v>18.0</v>
      </c>
      <c r="R936" s="84"/>
      <c r="S936" s="84"/>
      <c r="T936" s="84"/>
      <c r="U936" s="84"/>
      <c r="V936" s="84"/>
      <c r="W936" s="84"/>
      <c r="X936" s="84"/>
      <c r="Y936" s="84"/>
      <c r="Z936" s="84"/>
      <c r="AA936" s="84"/>
    </row>
    <row r="937" ht="15.75" customHeight="1">
      <c r="A937" s="14" t="s">
        <v>2137</v>
      </c>
      <c r="B937" s="15" t="s">
        <v>13888</v>
      </c>
      <c r="C937" s="14" t="s">
        <v>11930</v>
      </c>
      <c r="D937" s="14" t="s">
        <v>11931</v>
      </c>
      <c r="E937" s="26" t="str">
        <f t="shared" si="22"/>
        <v>http://dx.doi.org/10.1109/INFVIS.2002.1173161</v>
      </c>
      <c r="F937" s="14">
        <v>152.0</v>
      </c>
      <c r="G937" s="14">
        <v>158.0</v>
      </c>
      <c r="H937" s="14" t="s">
        <v>28</v>
      </c>
      <c r="I937" s="19" t="s">
        <v>13985</v>
      </c>
      <c r="J937" s="19" t="s">
        <v>11933</v>
      </c>
      <c r="K937" s="19" t="s">
        <v>13987</v>
      </c>
      <c r="L937" s="19" t="s">
        <v>13988</v>
      </c>
      <c r="M937" s="20" t="s">
        <v>2942</v>
      </c>
      <c r="N937" s="27"/>
      <c r="O937" s="22">
        <v>88.0</v>
      </c>
      <c r="P937" s="28">
        <v>20.0</v>
      </c>
      <c r="Q937" s="28">
        <v>0.0</v>
      </c>
      <c r="R937" s="84"/>
      <c r="S937" s="84"/>
      <c r="T937" s="84"/>
      <c r="U937" s="84"/>
      <c r="V937" s="84"/>
      <c r="W937" s="84"/>
      <c r="X937" s="84"/>
      <c r="Y937" s="84"/>
      <c r="Z937" s="84"/>
      <c r="AA937" s="84"/>
    </row>
    <row r="938" ht="15.75" customHeight="1">
      <c r="A938" s="14" t="s">
        <v>2137</v>
      </c>
      <c r="B938" s="15" t="s">
        <v>13888</v>
      </c>
      <c r="C938" s="14" t="s">
        <v>11935</v>
      </c>
      <c r="D938" s="14" t="s">
        <v>11936</v>
      </c>
      <c r="E938" s="26" t="str">
        <f t="shared" si="22"/>
        <v>http://dx.doi.org/10.1109/INFVIS.2002.1173162</v>
      </c>
      <c r="F938" s="14">
        <v>161.0</v>
      </c>
      <c r="G938" s="14">
        <v>164.0</v>
      </c>
      <c r="H938" s="14" t="s">
        <v>28</v>
      </c>
      <c r="I938" s="19" t="s">
        <v>13996</v>
      </c>
      <c r="J938" s="19" t="s">
        <v>3906</v>
      </c>
      <c r="K938" s="19" t="s">
        <v>9347</v>
      </c>
      <c r="L938" s="19" t="s">
        <v>13999</v>
      </c>
      <c r="M938" s="20" t="s">
        <v>6121</v>
      </c>
      <c r="N938" s="27"/>
      <c r="O938" s="22">
        <v>50.0</v>
      </c>
      <c r="P938" s="28">
        <v>1.0</v>
      </c>
      <c r="Q938" s="28">
        <v>7.0</v>
      </c>
      <c r="R938" s="84"/>
      <c r="S938" s="84"/>
      <c r="T938" s="84"/>
      <c r="U938" s="84"/>
      <c r="V938" s="84"/>
      <c r="W938" s="84"/>
      <c r="X938" s="84"/>
      <c r="Y938" s="84"/>
      <c r="Z938" s="84"/>
      <c r="AA938" s="84"/>
    </row>
    <row r="939" ht="15.75" customHeight="1">
      <c r="A939" s="14" t="s">
        <v>2137</v>
      </c>
      <c r="B939" s="15" t="s">
        <v>13888</v>
      </c>
      <c r="C939" s="14" t="s">
        <v>11939</v>
      </c>
      <c r="D939" s="14" t="s">
        <v>11940</v>
      </c>
      <c r="E939" s="26" t="str">
        <f t="shared" si="22"/>
        <v>http://dx.doi.org/10.1109/INFVIS.2002.1173163</v>
      </c>
      <c r="F939" s="14">
        <v>165.0</v>
      </c>
      <c r="G939" s="14">
        <v>168.0</v>
      </c>
      <c r="H939" s="14" t="s">
        <v>28</v>
      </c>
      <c r="I939" s="19" t="s">
        <v>14000</v>
      </c>
      <c r="J939" s="19" t="s">
        <v>11942</v>
      </c>
      <c r="K939" s="19" t="s">
        <v>14001</v>
      </c>
      <c r="L939" s="18"/>
      <c r="M939" s="20" t="s">
        <v>6992</v>
      </c>
      <c r="N939" s="27"/>
      <c r="O939" s="109"/>
      <c r="P939" s="28">
        <v>3.0</v>
      </c>
      <c r="Q939" s="28">
        <v>13.0</v>
      </c>
      <c r="R939" s="84"/>
      <c r="S939" s="84"/>
      <c r="T939" s="84"/>
      <c r="U939" s="84"/>
      <c r="V939" s="84"/>
      <c r="W939" s="84"/>
      <c r="X939" s="84"/>
      <c r="Y939" s="84"/>
      <c r="Z939" s="84"/>
      <c r="AA939" s="84"/>
    </row>
    <row r="940" ht="15.75" customHeight="1">
      <c r="A940" s="14" t="s">
        <v>2137</v>
      </c>
      <c r="B940" s="15" t="s">
        <v>13888</v>
      </c>
      <c r="C940" s="14" t="s">
        <v>11943</v>
      </c>
      <c r="D940" s="14" t="s">
        <v>11944</v>
      </c>
      <c r="E940" s="26" t="str">
        <f t="shared" si="22"/>
        <v>http://dx.doi.org/10.1109/INFVIS.2002.1173164</v>
      </c>
      <c r="F940" s="14">
        <v>171.0</v>
      </c>
      <c r="G940" s="14">
        <v>171.0</v>
      </c>
      <c r="H940" s="14" t="s">
        <v>21</v>
      </c>
      <c r="I940" s="18"/>
      <c r="J940" s="19" t="s">
        <v>11946</v>
      </c>
      <c r="K940" s="19" t="s">
        <v>14002</v>
      </c>
      <c r="L940" s="19" t="s">
        <v>14003</v>
      </c>
      <c r="M940" s="20"/>
      <c r="N940" s="27"/>
      <c r="O940" s="22">
        <v>1.0</v>
      </c>
      <c r="P940" s="28">
        <v>0.0</v>
      </c>
      <c r="Q940" s="28">
        <v>0.0</v>
      </c>
      <c r="R940" s="84"/>
      <c r="S940" s="84"/>
      <c r="T940" s="84"/>
      <c r="U940" s="84"/>
      <c r="V940" s="84"/>
      <c r="W940" s="84"/>
      <c r="X940" s="84"/>
      <c r="Y940" s="84"/>
      <c r="Z940" s="84"/>
      <c r="AA940" s="84"/>
    </row>
    <row r="941" ht="15.75" customHeight="1">
      <c r="A941" s="14" t="s">
        <v>17</v>
      </c>
      <c r="B941" s="15" t="s">
        <v>13888</v>
      </c>
      <c r="C941" s="14" t="s">
        <v>11948</v>
      </c>
      <c r="D941" s="14" t="s">
        <v>11949</v>
      </c>
      <c r="E941" s="26" t="str">
        <f t="shared" si="22"/>
        <v>http://dx.doi.org/10.1109/VISUAL.2002.1183752</v>
      </c>
      <c r="F941" s="14">
        <v>21.0</v>
      </c>
      <c r="G941" s="14">
        <v>28.0</v>
      </c>
      <c r="H941" s="14" t="s">
        <v>28</v>
      </c>
      <c r="I941" s="19" t="s">
        <v>14004</v>
      </c>
      <c r="J941" s="19" t="s">
        <v>11951</v>
      </c>
      <c r="K941" s="19" t="s">
        <v>14005</v>
      </c>
      <c r="L941" s="19" t="s">
        <v>14006</v>
      </c>
      <c r="M941" s="20"/>
      <c r="N941" s="44" t="s">
        <v>11953</v>
      </c>
      <c r="O941" s="22">
        <v>61.0</v>
      </c>
      <c r="P941" s="28">
        <v>9.0</v>
      </c>
      <c r="Q941" s="28">
        <v>14.0</v>
      </c>
      <c r="R941" s="84"/>
      <c r="S941" s="84"/>
      <c r="T941" s="84"/>
      <c r="U941" s="84"/>
      <c r="V941" s="84"/>
      <c r="W941" s="84"/>
      <c r="X941" s="84"/>
      <c r="Y941" s="84"/>
      <c r="Z941" s="84"/>
      <c r="AA941" s="84"/>
    </row>
    <row r="942" ht="15.75" customHeight="1">
      <c r="A942" s="14" t="s">
        <v>17</v>
      </c>
      <c r="B942" s="15" t="s">
        <v>13888</v>
      </c>
      <c r="C942" s="14" t="s">
        <v>11954</v>
      </c>
      <c r="D942" s="14" t="s">
        <v>11955</v>
      </c>
      <c r="E942" s="26" t="str">
        <f t="shared" si="22"/>
        <v>http://dx.doi.org/10.1109/VISUAL.2002.1183753</v>
      </c>
      <c r="F942" s="14">
        <v>29.0</v>
      </c>
      <c r="G942" s="14">
        <v>36.0</v>
      </c>
      <c r="H942" s="14" t="s">
        <v>28</v>
      </c>
      <c r="I942" s="19" t="s">
        <v>14007</v>
      </c>
      <c r="J942" s="19" t="s">
        <v>11957</v>
      </c>
      <c r="K942" s="19" t="s">
        <v>14008</v>
      </c>
      <c r="L942" s="19" t="s">
        <v>14009</v>
      </c>
      <c r="M942" s="20"/>
      <c r="N942" s="44" t="s">
        <v>11959</v>
      </c>
      <c r="O942" s="22">
        <v>50.0</v>
      </c>
      <c r="P942" s="28">
        <v>9.0</v>
      </c>
      <c r="Q942" s="28">
        <v>19.0</v>
      </c>
      <c r="R942" s="84"/>
      <c r="S942" s="84"/>
      <c r="T942" s="84"/>
      <c r="U942" s="84"/>
      <c r="V942" s="84"/>
      <c r="W942" s="84"/>
      <c r="X942" s="84"/>
      <c r="Y942" s="84"/>
      <c r="Z942" s="84"/>
      <c r="AA942" s="84"/>
    </row>
    <row r="943" ht="15.75" customHeight="1">
      <c r="A943" s="14" t="s">
        <v>17</v>
      </c>
      <c r="B943" s="15" t="s">
        <v>13888</v>
      </c>
      <c r="C943" s="14" t="s">
        <v>11960</v>
      </c>
      <c r="D943" s="14" t="s">
        <v>11961</v>
      </c>
      <c r="E943" s="26" t="str">
        <f t="shared" si="22"/>
        <v>http://dx.doi.org/10.1109/VISUAL.2002.1183754</v>
      </c>
      <c r="F943" s="14">
        <v>37.0</v>
      </c>
      <c r="G943" s="14">
        <v>44.0</v>
      </c>
      <c r="H943" s="14" t="s">
        <v>28</v>
      </c>
      <c r="I943" s="19" t="s">
        <v>14010</v>
      </c>
      <c r="J943" s="19" t="s">
        <v>14011</v>
      </c>
      <c r="K943" s="19" t="s">
        <v>14012</v>
      </c>
      <c r="L943" s="19" t="s">
        <v>13641</v>
      </c>
      <c r="M943" s="20" t="s">
        <v>11971</v>
      </c>
      <c r="N943" s="44" t="s">
        <v>11972</v>
      </c>
      <c r="O943" s="22">
        <v>225.0</v>
      </c>
      <c r="P943" s="28">
        <v>47.0</v>
      </c>
      <c r="Q943" s="28">
        <v>14.0</v>
      </c>
      <c r="R943" s="84"/>
      <c r="S943" s="84"/>
      <c r="T943" s="84"/>
      <c r="U943" s="84"/>
      <c r="V943" s="84"/>
      <c r="W943" s="84"/>
      <c r="X943" s="84"/>
      <c r="Y943" s="84"/>
      <c r="Z943" s="84"/>
      <c r="AA943" s="84"/>
    </row>
    <row r="944" ht="15.75" customHeight="1">
      <c r="A944" s="14" t="s">
        <v>17</v>
      </c>
      <c r="B944" s="15" t="s">
        <v>13888</v>
      </c>
      <c r="C944" s="14" t="s">
        <v>11974</v>
      </c>
      <c r="D944" s="14" t="s">
        <v>11976</v>
      </c>
      <c r="E944" s="26" t="str">
        <f t="shared" si="22"/>
        <v>http://dx.doi.org/10.1109/VISUAL.2002.1183755</v>
      </c>
      <c r="F944" s="14">
        <v>45.0</v>
      </c>
      <c r="G944" s="14">
        <v>52.0</v>
      </c>
      <c r="H944" s="14" t="s">
        <v>28</v>
      </c>
      <c r="I944" s="19" t="s">
        <v>14013</v>
      </c>
      <c r="J944" s="19" t="s">
        <v>11994</v>
      </c>
      <c r="K944" s="19" t="s">
        <v>14014</v>
      </c>
      <c r="L944" s="19" t="s">
        <v>4726</v>
      </c>
      <c r="M944" s="20" t="s">
        <v>11995</v>
      </c>
      <c r="N944" s="44" t="s">
        <v>11996</v>
      </c>
      <c r="O944" s="22">
        <v>48.0</v>
      </c>
      <c r="P944" s="28">
        <v>7.0</v>
      </c>
      <c r="Q944" s="28">
        <v>27.0</v>
      </c>
      <c r="R944" s="84"/>
      <c r="S944" s="84"/>
      <c r="T944" s="84"/>
      <c r="U944" s="84"/>
      <c r="V944" s="84"/>
      <c r="W944" s="84"/>
      <c r="X944" s="84"/>
      <c r="Y944" s="84"/>
      <c r="Z944" s="84"/>
      <c r="AA944" s="84"/>
    </row>
    <row r="945" ht="15.75" customHeight="1">
      <c r="A945" s="14" t="s">
        <v>17</v>
      </c>
      <c r="B945" s="15" t="s">
        <v>13888</v>
      </c>
      <c r="C945" s="14" t="s">
        <v>11997</v>
      </c>
      <c r="D945" s="14" t="s">
        <v>11998</v>
      </c>
      <c r="E945" s="26" t="str">
        <f t="shared" si="22"/>
        <v>http://dx.doi.org/10.1109/VISUAL.2002.1183757</v>
      </c>
      <c r="F945" s="14">
        <v>53.0</v>
      </c>
      <c r="G945" s="14">
        <v>60.0</v>
      </c>
      <c r="H945" s="14" t="s">
        <v>28</v>
      </c>
      <c r="I945" s="19" t="s">
        <v>14015</v>
      </c>
      <c r="J945" s="19" t="s">
        <v>14016</v>
      </c>
      <c r="K945" s="19" t="s">
        <v>14017</v>
      </c>
      <c r="L945" s="19" t="s">
        <v>14018</v>
      </c>
      <c r="M945" s="20" t="s">
        <v>12005</v>
      </c>
      <c r="N945" s="44" t="s">
        <v>12006</v>
      </c>
      <c r="O945" s="22">
        <v>296.0</v>
      </c>
      <c r="P945" s="28">
        <v>62.0</v>
      </c>
      <c r="Q945" s="28">
        <v>36.0</v>
      </c>
      <c r="R945" s="84"/>
      <c r="S945" s="84"/>
      <c r="T945" s="84"/>
      <c r="U945" s="84"/>
      <c r="V945" s="84"/>
      <c r="W945" s="84"/>
      <c r="X945" s="84"/>
      <c r="Y945" s="84"/>
      <c r="Z945" s="84"/>
      <c r="AA945" s="84"/>
    </row>
    <row r="946" ht="15.75" customHeight="1">
      <c r="A946" s="14" t="s">
        <v>17</v>
      </c>
      <c r="B946" s="15" t="s">
        <v>13888</v>
      </c>
      <c r="C946" s="14" t="s">
        <v>12007</v>
      </c>
      <c r="D946" s="14" t="s">
        <v>12008</v>
      </c>
      <c r="E946" s="26" t="str">
        <f t="shared" si="22"/>
        <v>http://dx.doi.org/10.1109/VISUAL.2002.1183758</v>
      </c>
      <c r="F946" s="14">
        <v>61.0</v>
      </c>
      <c r="G946" s="14">
        <v>68.0</v>
      </c>
      <c r="H946" s="14" t="s">
        <v>28</v>
      </c>
      <c r="I946" s="19" t="s">
        <v>14019</v>
      </c>
      <c r="J946" s="19" t="s">
        <v>12012</v>
      </c>
      <c r="K946" s="19" t="s">
        <v>14020</v>
      </c>
      <c r="L946" s="19" t="s">
        <v>14021</v>
      </c>
      <c r="M946" s="20" t="s">
        <v>12014</v>
      </c>
      <c r="N946" s="44" t="s">
        <v>12015</v>
      </c>
      <c r="O946" s="22">
        <v>87.0</v>
      </c>
      <c r="P946" s="28">
        <v>27.0</v>
      </c>
      <c r="Q946" s="28">
        <v>21.0</v>
      </c>
      <c r="R946" s="84"/>
      <c r="S946" s="84"/>
      <c r="T946" s="84"/>
      <c r="U946" s="84"/>
      <c r="V946" s="84"/>
      <c r="W946" s="84"/>
      <c r="X946" s="84"/>
      <c r="Y946" s="84"/>
      <c r="Z946" s="84"/>
      <c r="AA946" s="84"/>
    </row>
    <row r="947" ht="15.75" customHeight="1">
      <c r="A947" s="14" t="s">
        <v>17</v>
      </c>
      <c r="B947" s="15" t="s">
        <v>13888</v>
      </c>
      <c r="C947" s="14" t="s">
        <v>12016</v>
      </c>
      <c r="D947" s="14" t="s">
        <v>12018</v>
      </c>
      <c r="E947" s="26" t="str">
        <f t="shared" si="22"/>
        <v>http://dx.doi.org/10.1109/VISUAL.2002.1183759</v>
      </c>
      <c r="F947" s="14">
        <v>69.0</v>
      </c>
      <c r="G947" s="14">
        <v>76.0</v>
      </c>
      <c r="H947" s="14" t="s">
        <v>28</v>
      </c>
      <c r="I947" s="19" t="s">
        <v>14022</v>
      </c>
      <c r="J947" s="19" t="s">
        <v>12020</v>
      </c>
      <c r="K947" s="19" t="s">
        <v>14023</v>
      </c>
      <c r="L947" s="19" t="s">
        <v>2208</v>
      </c>
      <c r="M947" s="20" t="s">
        <v>12022</v>
      </c>
      <c r="N947" s="44" t="s">
        <v>12024</v>
      </c>
      <c r="O947" s="22">
        <v>7.0</v>
      </c>
      <c r="P947" s="28">
        <v>21.0</v>
      </c>
      <c r="Q947" s="28">
        <v>37.0</v>
      </c>
      <c r="R947" s="84"/>
      <c r="S947" s="84"/>
      <c r="T947" s="84"/>
      <c r="U947" s="84"/>
      <c r="V947" s="84"/>
      <c r="W947" s="84"/>
      <c r="X947" s="84"/>
      <c r="Y947" s="84"/>
      <c r="Z947" s="84"/>
      <c r="AA947" s="84"/>
    </row>
    <row r="948" ht="15.75" customHeight="1">
      <c r="A948" s="14" t="s">
        <v>17</v>
      </c>
      <c r="B948" s="15" t="s">
        <v>13888</v>
      </c>
      <c r="C948" s="14" t="s">
        <v>12025</v>
      </c>
      <c r="D948" s="14" t="s">
        <v>12026</v>
      </c>
      <c r="E948" s="26" t="str">
        <f t="shared" si="22"/>
        <v>http://dx.doi.org/10.1109/VISUAL.2002.1183760</v>
      </c>
      <c r="F948" s="14">
        <v>77.0</v>
      </c>
      <c r="G948" s="14">
        <v>84.0</v>
      </c>
      <c r="H948" s="14" t="s">
        <v>28</v>
      </c>
      <c r="I948" s="19" t="s">
        <v>14024</v>
      </c>
      <c r="J948" s="19" t="s">
        <v>12030</v>
      </c>
      <c r="K948" s="19" t="s">
        <v>14025</v>
      </c>
      <c r="L948" s="19" t="s">
        <v>13606</v>
      </c>
      <c r="M948" s="20" t="s">
        <v>12032</v>
      </c>
      <c r="N948" s="44" t="s">
        <v>12033</v>
      </c>
      <c r="O948" s="22">
        <v>50.0</v>
      </c>
      <c r="P948" s="28">
        <v>9.0</v>
      </c>
      <c r="Q948" s="28">
        <v>15.0</v>
      </c>
      <c r="R948" s="84"/>
      <c r="S948" s="84"/>
      <c r="T948" s="84"/>
      <c r="U948" s="84"/>
      <c r="V948" s="84"/>
      <c r="W948" s="84"/>
      <c r="X948" s="84"/>
      <c r="Y948" s="84"/>
      <c r="Z948" s="84"/>
      <c r="AA948" s="84"/>
    </row>
    <row r="949" ht="15.75" customHeight="1">
      <c r="A949" s="14" t="s">
        <v>17</v>
      </c>
      <c r="B949" s="15" t="s">
        <v>13888</v>
      </c>
      <c r="C949" s="14" t="s">
        <v>12034</v>
      </c>
      <c r="D949" s="14" t="s">
        <v>12035</v>
      </c>
      <c r="E949" s="26" t="str">
        <f t="shared" si="22"/>
        <v>http://dx.doi.org/10.1109/VISUAL.2002.1183761</v>
      </c>
      <c r="F949" s="14">
        <v>85.0</v>
      </c>
      <c r="G949" s="14">
        <v>92.0</v>
      </c>
      <c r="H949" s="14" t="s">
        <v>28</v>
      </c>
      <c r="I949" s="19" t="s">
        <v>14026</v>
      </c>
      <c r="J949" s="19" t="s">
        <v>12040</v>
      </c>
      <c r="K949" s="19" t="s">
        <v>14027</v>
      </c>
      <c r="L949" s="19" t="s">
        <v>14028</v>
      </c>
      <c r="M949" s="20" t="s">
        <v>12041</v>
      </c>
      <c r="N949" s="44" t="s">
        <v>12042</v>
      </c>
      <c r="O949" s="22">
        <v>50.0</v>
      </c>
      <c r="P949" s="28">
        <v>5.0</v>
      </c>
      <c r="Q949" s="28">
        <v>24.0</v>
      </c>
      <c r="R949" s="84"/>
      <c r="S949" s="84"/>
      <c r="T949" s="84"/>
      <c r="U949" s="84"/>
      <c r="V949" s="84"/>
      <c r="W949" s="84"/>
      <c r="X949" s="84"/>
      <c r="Y949" s="84"/>
      <c r="Z949" s="84"/>
      <c r="AA949" s="84"/>
    </row>
    <row r="950" ht="15.75" customHeight="1">
      <c r="A950" s="14" t="s">
        <v>17</v>
      </c>
      <c r="B950" s="15" t="s">
        <v>13888</v>
      </c>
      <c r="C950" s="14" t="s">
        <v>12043</v>
      </c>
      <c r="D950" s="14" t="s">
        <v>12044</v>
      </c>
      <c r="E950" s="26" t="str">
        <f t="shared" si="22"/>
        <v>http://dx.doi.org/10.1109/VISUAL.2002.1183762</v>
      </c>
      <c r="F950" s="14">
        <v>93.0</v>
      </c>
      <c r="G950" s="14">
        <v>100.0</v>
      </c>
      <c r="H950" s="14" t="s">
        <v>28</v>
      </c>
      <c r="I950" s="19" t="s">
        <v>14029</v>
      </c>
      <c r="J950" s="19" t="s">
        <v>12075</v>
      </c>
      <c r="K950" s="19" t="s">
        <v>14030</v>
      </c>
      <c r="L950" s="19" t="s">
        <v>14031</v>
      </c>
      <c r="M950" s="20" t="s">
        <v>12076</v>
      </c>
      <c r="N950" s="44" t="s">
        <v>12077</v>
      </c>
      <c r="O950" s="22">
        <v>96.0</v>
      </c>
      <c r="P950" s="28">
        <v>16.0</v>
      </c>
      <c r="Q950" s="28">
        <v>17.0</v>
      </c>
      <c r="R950" s="84"/>
      <c r="S950" s="84"/>
      <c r="T950" s="84"/>
      <c r="U950" s="84"/>
      <c r="V950" s="84"/>
      <c r="W950" s="84"/>
      <c r="X950" s="84"/>
      <c r="Y950" s="84"/>
      <c r="Z950" s="84"/>
      <c r="AA950" s="84"/>
    </row>
    <row r="951" ht="15.75" customHeight="1">
      <c r="A951" s="14" t="s">
        <v>17</v>
      </c>
      <c r="B951" s="15" t="s">
        <v>13888</v>
      </c>
      <c r="C951" s="14" t="s">
        <v>12079</v>
      </c>
      <c r="D951" s="14" t="s">
        <v>12080</v>
      </c>
      <c r="E951" s="26" t="str">
        <f t="shared" si="22"/>
        <v>http://dx.doi.org/10.1109/VISUAL.2002.1183763</v>
      </c>
      <c r="F951" s="14">
        <v>101.0</v>
      </c>
      <c r="G951" s="14">
        <v>108.0</v>
      </c>
      <c r="H951" s="14" t="s">
        <v>28</v>
      </c>
      <c r="I951" s="19" t="s">
        <v>14032</v>
      </c>
      <c r="J951" s="19" t="s">
        <v>14033</v>
      </c>
      <c r="K951" s="19" t="s">
        <v>14034</v>
      </c>
      <c r="L951" s="19" t="s">
        <v>14035</v>
      </c>
      <c r="M951" s="20" t="s">
        <v>12088</v>
      </c>
      <c r="N951" s="44" t="s">
        <v>12089</v>
      </c>
      <c r="O951" s="22">
        <v>33.0</v>
      </c>
      <c r="P951" s="28">
        <v>4.0</v>
      </c>
      <c r="Q951" s="28">
        <v>30.0</v>
      </c>
      <c r="R951" s="84"/>
      <c r="S951" s="84"/>
      <c r="T951" s="84"/>
      <c r="U951" s="84"/>
      <c r="V951" s="84"/>
      <c r="W951" s="84"/>
      <c r="X951" s="84"/>
      <c r="Y951" s="84"/>
      <c r="Z951" s="84"/>
      <c r="AA951" s="84"/>
    </row>
    <row r="952" ht="15.75" customHeight="1">
      <c r="A952" s="14" t="s">
        <v>17</v>
      </c>
      <c r="B952" s="15" t="s">
        <v>13888</v>
      </c>
      <c r="C952" s="14" t="s">
        <v>12090</v>
      </c>
      <c r="D952" s="14" t="s">
        <v>12091</v>
      </c>
      <c r="E952" s="26" t="str">
        <f t="shared" si="22"/>
        <v>http://dx.doi.org/10.1109/VISUAL.2002.1183764</v>
      </c>
      <c r="F952" s="14">
        <v>109.0</v>
      </c>
      <c r="G952" s="14">
        <v>116.0</v>
      </c>
      <c r="H952" s="14" t="s">
        <v>28</v>
      </c>
      <c r="I952" s="19" t="s">
        <v>14036</v>
      </c>
      <c r="J952" s="19" t="s">
        <v>12098</v>
      </c>
      <c r="K952" s="19" t="s">
        <v>14037</v>
      </c>
      <c r="L952" s="19" t="s">
        <v>14021</v>
      </c>
      <c r="M952" s="20" t="s">
        <v>253</v>
      </c>
      <c r="N952" s="44" t="s">
        <v>12100</v>
      </c>
      <c r="O952" s="22">
        <v>160.0</v>
      </c>
      <c r="P952" s="28">
        <v>38.0</v>
      </c>
      <c r="Q952" s="28">
        <v>38.0</v>
      </c>
      <c r="R952" s="84"/>
      <c r="S952" s="84"/>
      <c r="T952" s="84"/>
      <c r="U952" s="84"/>
      <c r="V952" s="84"/>
      <c r="W952" s="84"/>
      <c r="X952" s="84"/>
      <c r="Y952" s="84"/>
      <c r="Z952" s="84"/>
      <c r="AA952" s="84"/>
    </row>
    <row r="953" ht="15.75" customHeight="1">
      <c r="A953" s="14" t="s">
        <v>17</v>
      </c>
      <c r="B953" s="15" t="s">
        <v>13888</v>
      </c>
      <c r="C953" s="14" t="s">
        <v>12101</v>
      </c>
      <c r="D953" s="14" t="s">
        <v>12102</v>
      </c>
      <c r="E953" s="26" t="str">
        <f t="shared" si="22"/>
        <v>http://dx.doi.org/10.1109/VISUAL.2002.1183765</v>
      </c>
      <c r="F953" s="14">
        <v>117.0</v>
      </c>
      <c r="G953" s="14">
        <v>124.0</v>
      </c>
      <c r="H953" s="14" t="s">
        <v>28</v>
      </c>
      <c r="I953" s="19" t="s">
        <v>14038</v>
      </c>
      <c r="J953" s="19" t="s">
        <v>12106</v>
      </c>
      <c r="K953" s="19" t="s">
        <v>14039</v>
      </c>
      <c r="L953" s="19" t="s">
        <v>14040</v>
      </c>
      <c r="M953" s="20" t="s">
        <v>12107</v>
      </c>
      <c r="N953" s="44" t="s">
        <v>12109</v>
      </c>
      <c r="O953" s="22">
        <v>100.0</v>
      </c>
      <c r="P953" s="28">
        <v>15.0</v>
      </c>
      <c r="Q953" s="28">
        <v>18.0</v>
      </c>
      <c r="R953" s="84"/>
      <c r="S953" s="84"/>
      <c r="T953" s="84"/>
      <c r="U953" s="84"/>
      <c r="V953" s="84"/>
      <c r="W953" s="84"/>
      <c r="X953" s="84"/>
      <c r="Y953" s="84"/>
      <c r="Z953" s="84"/>
      <c r="AA953" s="84"/>
    </row>
    <row r="954" ht="15.75" customHeight="1">
      <c r="A954" s="14" t="s">
        <v>17</v>
      </c>
      <c r="B954" s="15" t="s">
        <v>13888</v>
      </c>
      <c r="C954" s="14" t="s">
        <v>12112</v>
      </c>
      <c r="D954" s="14" t="s">
        <v>12113</v>
      </c>
      <c r="E954" s="26" t="str">
        <f t="shared" si="22"/>
        <v>http://dx.doi.org/10.1109/VISUAL.2002.1183766</v>
      </c>
      <c r="F954" s="14">
        <v>125.0</v>
      </c>
      <c r="G954" s="14">
        <v>132.0</v>
      </c>
      <c r="H954" s="14" t="s">
        <v>28</v>
      </c>
      <c r="I954" s="19" t="s">
        <v>14041</v>
      </c>
      <c r="J954" s="19" t="s">
        <v>12121</v>
      </c>
      <c r="K954" s="19" t="s">
        <v>14042</v>
      </c>
      <c r="L954" s="19" t="s">
        <v>12788</v>
      </c>
      <c r="M954" s="20"/>
      <c r="N954" s="44" t="s">
        <v>12123</v>
      </c>
      <c r="O954" s="22">
        <v>263.0</v>
      </c>
      <c r="P954" s="28">
        <v>67.0</v>
      </c>
      <c r="Q954" s="28">
        <v>32.0</v>
      </c>
      <c r="R954" s="84"/>
      <c r="S954" s="84"/>
      <c r="T954" s="84"/>
      <c r="U954" s="84"/>
      <c r="V954" s="84"/>
      <c r="W954" s="84"/>
      <c r="X954" s="84"/>
      <c r="Y954" s="84"/>
      <c r="Z954" s="84"/>
      <c r="AA954" s="84"/>
    </row>
    <row r="955" ht="15.75" customHeight="1">
      <c r="A955" s="14" t="s">
        <v>17</v>
      </c>
      <c r="B955" s="15" t="s">
        <v>13888</v>
      </c>
      <c r="C955" s="14" t="s">
        <v>12124</v>
      </c>
      <c r="D955" s="14" t="s">
        <v>12125</v>
      </c>
      <c r="E955" s="26" t="str">
        <f t="shared" si="22"/>
        <v>http://dx.doi.org/10.1109/VISUAL.2002.1183767</v>
      </c>
      <c r="F955" s="14">
        <v>133.0</v>
      </c>
      <c r="G955" s="14">
        <v>140.0</v>
      </c>
      <c r="H955" s="14" t="s">
        <v>28</v>
      </c>
      <c r="I955" s="19" t="s">
        <v>14043</v>
      </c>
      <c r="J955" s="19" t="s">
        <v>12127</v>
      </c>
      <c r="K955" s="19" t="s">
        <v>14044</v>
      </c>
      <c r="L955" s="19" t="s">
        <v>14045</v>
      </c>
      <c r="M955" s="20" t="s">
        <v>12129</v>
      </c>
      <c r="N955" s="44" t="s">
        <v>12130</v>
      </c>
      <c r="O955" s="22">
        <v>66.0</v>
      </c>
      <c r="P955" s="28">
        <v>11.0</v>
      </c>
      <c r="Q955" s="28">
        <v>23.0</v>
      </c>
      <c r="R955" s="84"/>
      <c r="S955" s="84"/>
      <c r="T955" s="84"/>
      <c r="U955" s="84"/>
      <c r="V955" s="84"/>
      <c r="W955" s="84"/>
      <c r="X955" s="84"/>
      <c r="Y955" s="84"/>
      <c r="Z955" s="84"/>
      <c r="AA955" s="84"/>
    </row>
    <row r="956" ht="15.75" customHeight="1">
      <c r="A956" s="14" t="s">
        <v>17</v>
      </c>
      <c r="B956" s="15" t="s">
        <v>13888</v>
      </c>
      <c r="C956" s="14" t="s">
        <v>12131</v>
      </c>
      <c r="D956" s="14" t="s">
        <v>12132</v>
      </c>
      <c r="E956" s="26" t="str">
        <f t="shared" si="22"/>
        <v>http://dx.doi.org/10.1109/VISUAL.2002.1183768</v>
      </c>
      <c r="F956" s="14">
        <v>141.0</v>
      </c>
      <c r="G956" s="14">
        <v>146.0</v>
      </c>
      <c r="H956" s="14" t="s">
        <v>28</v>
      </c>
      <c r="I956" s="19" t="s">
        <v>14046</v>
      </c>
      <c r="J956" s="19" t="s">
        <v>12134</v>
      </c>
      <c r="K956" s="19" t="s">
        <v>14047</v>
      </c>
      <c r="L956" s="19" t="s">
        <v>6028</v>
      </c>
      <c r="M956" s="20" t="s">
        <v>12136</v>
      </c>
      <c r="N956" s="44" t="s">
        <v>12137</v>
      </c>
      <c r="O956" s="22">
        <v>115.0</v>
      </c>
      <c r="P956" s="28">
        <v>29.0</v>
      </c>
      <c r="Q956" s="28">
        <v>37.0</v>
      </c>
      <c r="R956" s="84"/>
      <c r="S956" s="84"/>
      <c r="T956" s="84"/>
      <c r="U956" s="84"/>
      <c r="V956" s="84"/>
      <c r="W956" s="84"/>
      <c r="X956" s="84"/>
      <c r="Y956" s="84"/>
      <c r="Z956" s="84"/>
      <c r="AA956" s="84"/>
    </row>
    <row r="957" ht="15.75" customHeight="1">
      <c r="A957" s="14" t="s">
        <v>17</v>
      </c>
      <c r="B957" s="15" t="s">
        <v>13888</v>
      </c>
      <c r="C957" s="14" t="s">
        <v>12138</v>
      </c>
      <c r="D957" s="14" t="s">
        <v>12139</v>
      </c>
      <c r="E957" s="26" t="str">
        <f t="shared" si="22"/>
        <v>http://dx.doi.org/10.1109/VISUAL.2002.1183769</v>
      </c>
      <c r="F957" s="14">
        <v>147.0</v>
      </c>
      <c r="G957" s="14">
        <v>153.0</v>
      </c>
      <c r="H957" s="14" t="s">
        <v>28</v>
      </c>
      <c r="I957" s="19" t="s">
        <v>14048</v>
      </c>
      <c r="J957" s="19" t="s">
        <v>12148</v>
      </c>
      <c r="K957" s="19" t="s">
        <v>14049</v>
      </c>
      <c r="L957" s="19" t="s">
        <v>14050</v>
      </c>
      <c r="M957" s="20" t="s">
        <v>12149</v>
      </c>
      <c r="N957" s="44" t="s">
        <v>12150</v>
      </c>
      <c r="O957" s="22">
        <v>57.0</v>
      </c>
      <c r="P957" s="28">
        <v>12.0</v>
      </c>
      <c r="Q957" s="28">
        <v>18.0</v>
      </c>
      <c r="R957" s="84"/>
      <c r="S957" s="84"/>
      <c r="T957" s="84"/>
      <c r="U957" s="84"/>
      <c r="V957" s="84"/>
      <c r="W957" s="84"/>
      <c r="X957" s="84"/>
      <c r="Y957" s="84"/>
      <c r="Z957" s="84"/>
      <c r="AA957" s="84"/>
    </row>
    <row r="958" ht="15.75" customHeight="1">
      <c r="A958" s="14" t="s">
        <v>17</v>
      </c>
      <c r="B958" s="15" t="s">
        <v>13888</v>
      </c>
      <c r="C958" s="14" t="s">
        <v>12151</v>
      </c>
      <c r="D958" s="14" t="s">
        <v>12152</v>
      </c>
      <c r="E958" s="26" t="str">
        <f t="shared" si="22"/>
        <v>http://dx.doi.org/10.1109/VISUAL.2002.1183770</v>
      </c>
      <c r="F958" s="14">
        <v>155.0</v>
      </c>
      <c r="G958" s="14">
        <v>162.0</v>
      </c>
      <c r="H958" s="14" t="s">
        <v>28</v>
      </c>
      <c r="I958" s="19" t="s">
        <v>14051</v>
      </c>
      <c r="J958" s="19" t="s">
        <v>12158</v>
      </c>
      <c r="K958" s="19" t="s">
        <v>14052</v>
      </c>
      <c r="L958" s="19" t="s">
        <v>14053</v>
      </c>
      <c r="M958" s="20" t="s">
        <v>12160</v>
      </c>
      <c r="N958" s="44" t="s">
        <v>12161</v>
      </c>
      <c r="O958" s="22">
        <v>61.0</v>
      </c>
      <c r="P958" s="28">
        <v>12.0</v>
      </c>
      <c r="Q958" s="28">
        <v>35.0</v>
      </c>
      <c r="R958" s="84"/>
      <c r="S958" s="84"/>
      <c r="T958" s="84"/>
      <c r="U958" s="84"/>
      <c r="V958" s="84"/>
      <c r="W958" s="84"/>
      <c r="X958" s="84"/>
      <c r="Y958" s="84"/>
      <c r="Z958" s="84"/>
      <c r="AA958" s="84"/>
    </row>
    <row r="959" ht="15.75" customHeight="1">
      <c r="A959" s="14" t="s">
        <v>17</v>
      </c>
      <c r="B959" s="15" t="s">
        <v>13888</v>
      </c>
      <c r="C959" s="14" t="s">
        <v>12162</v>
      </c>
      <c r="D959" s="14" t="s">
        <v>12163</v>
      </c>
      <c r="E959" s="26" t="str">
        <f t="shared" si="22"/>
        <v>http://dx.doi.org/10.1109/VISUAL.2002.1183771</v>
      </c>
      <c r="F959" s="14">
        <v>163.0</v>
      </c>
      <c r="G959" s="14">
        <v>170.0</v>
      </c>
      <c r="H959" s="14" t="s">
        <v>28</v>
      </c>
      <c r="I959" s="19" t="s">
        <v>14054</v>
      </c>
      <c r="J959" s="19" t="s">
        <v>12169</v>
      </c>
      <c r="K959" s="19" t="s">
        <v>14055</v>
      </c>
      <c r="L959" s="19" t="s">
        <v>14056</v>
      </c>
      <c r="M959" s="20" t="s">
        <v>12171</v>
      </c>
      <c r="N959" s="27"/>
      <c r="O959" s="22">
        <v>992.0</v>
      </c>
      <c r="P959" s="28">
        <v>227.0</v>
      </c>
      <c r="Q959" s="28">
        <v>32.0</v>
      </c>
      <c r="R959" s="84"/>
      <c r="S959" s="84"/>
      <c r="T959" s="84"/>
      <c r="U959" s="84"/>
      <c r="V959" s="84"/>
      <c r="W959" s="84"/>
      <c r="X959" s="84"/>
      <c r="Y959" s="84"/>
      <c r="Z959" s="84"/>
      <c r="AA959" s="84"/>
    </row>
    <row r="960" ht="15.75" customHeight="1">
      <c r="A960" s="14" t="s">
        <v>17</v>
      </c>
      <c r="B960" s="15" t="s">
        <v>13888</v>
      </c>
      <c r="C960" s="14" t="s">
        <v>12172</v>
      </c>
      <c r="D960" s="14" t="s">
        <v>12173</v>
      </c>
      <c r="E960" s="26" t="str">
        <f t="shared" si="22"/>
        <v>http://dx.doi.org/10.1109/VISUAL.2002.1183772</v>
      </c>
      <c r="F960" s="14">
        <v>171.0</v>
      </c>
      <c r="G960" s="14">
        <v>178.0</v>
      </c>
      <c r="H960" s="14" t="s">
        <v>28</v>
      </c>
      <c r="I960" s="19" t="s">
        <v>14057</v>
      </c>
      <c r="J960" s="19" t="s">
        <v>12176</v>
      </c>
      <c r="K960" s="19" t="s">
        <v>14058</v>
      </c>
      <c r="L960" s="19" t="s">
        <v>14059</v>
      </c>
      <c r="M960" s="20" t="s">
        <v>12178</v>
      </c>
      <c r="N960" s="44" t="s">
        <v>12179</v>
      </c>
      <c r="O960" s="22">
        <v>75.0</v>
      </c>
      <c r="P960" s="28">
        <v>11.0</v>
      </c>
      <c r="Q960" s="28">
        <v>25.0</v>
      </c>
      <c r="R960" s="84"/>
      <c r="S960" s="84"/>
      <c r="T960" s="84"/>
      <c r="U960" s="84"/>
      <c r="V960" s="84"/>
      <c r="W960" s="84"/>
      <c r="X960" s="84"/>
      <c r="Y960" s="84"/>
      <c r="Z960" s="84"/>
      <c r="AA960" s="84"/>
    </row>
    <row r="961" ht="15.75" customHeight="1">
      <c r="A961" s="14" t="s">
        <v>17</v>
      </c>
      <c r="B961" s="15" t="s">
        <v>13888</v>
      </c>
      <c r="C961" s="14" t="s">
        <v>12180</v>
      </c>
      <c r="D961" s="14" t="s">
        <v>12181</v>
      </c>
      <c r="E961" s="26" t="str">
        <f t="shared" si="22"/>
        <v>http://dx.doi.org/10.1109/VISUAL.2002.1183773</v>
      </c>
      <c r="F961" s="14">
        <v>179.0</v>
      </c>
      <c r="G961" s="14">
        <v>186.0</v>
      </c>
      <c r="H961" s="14" t="s">
        <v>28</v>
      </c>
      <c r="I961" s="19" t="s">
        <v>14060</v>
      </c>
      <c r="J961" s="19" t="s">
        <v>12187</v>
      </c>
      <c r="K961" s="19" t="s">
        <v>14061</v>
      </c>
      <c r="L961" s="19" t="s">
        <v>14062</v>
      </c>
      <c r="M961" s="20"/>
      <c r="N961" s="44" t="s">
        <v>12189</v>
      </c>
      <c r="O961" s="22">
        <v>50.0</v>
      </c>
      <c r="P961" s="28">
        <v>6.0</v>
      </c>
      <c r="Q961" s="28">
        <v>26.0</v>
      </c>
      <c r="R961" s="84"/>
      <c r="S961" s="84"/>
      <c r="T961" s="84"/>
      <c r="U961" s="84"/>
      <c r="V961" s="84"/>
      <c r="W961" s="84"/>
      <c r="X961" s="84"/>
      <c r="Y961" s="84"/>
      <c r="Z961" s="84"/>
      <c r="AA961" s="84"/>
    </row>
    <row r="962" ht="15.75" customHeight="1">
      <c r="A962" s="14" t="s">
        <v>17</v>
      </c>
      <c r="B962" s="15" t="s">
        <v>13888</v>
      </c>
      <c r="C962" s="14" t="s">
        <v>12190</v>
      </c>
      <c r="D962" s="14" t="s">
        <v>12191</v>
      </c>
      <c r="E962" s="26" t="str">
        <f t="shared" si="22"/>
        <v>http://dx.doi.org/10.1109/VISUAL.2002.1183774</v>
      </c>
      <c r="F962" s="14">
        <v>187.0</v>
      </c>
      <c r="G962" s="14">
        <v>194.0</v>
      </c>
      <c r="H962" s="14" t="s">
        <v>28</v>
      </c>
      <c r="I962" s="19" t="s">
        <v>14063</v>
      </c>
      <c r="J962" s="19" t="s">
        <v>12196</v>
      </c>
      <c r="K962" s="19" t="s">
        <v>14064</v>
      </c>
      <c r="L962" s="19" t="s">
        <v>14065</v>
      </c>
      <c r="M962" s="20" t="s">
        <v>3572</v>
      </c>
      <c r="N962" s="44" t="s">
        <v>12198</v>
      </c>
      <c r="O962" s="109"/>
      <c r="P962" s="28">
        <v>21.0</v>
      </c>
      <c r="Q962" s="28">
        <v>13.0</v>
      </c>
      <c r="R962" s="85" t="s">
        <v>1093</v>
      </c>
      <c r="S962" s="84"/>
      <c r="T962" s="84"/>
      <c r="U962" s="84"/>
      <c r="V962" s="84"/>
      <c r="W962" s="84"/>
      <c r="X962" s="84"/>
      <c r="Y962" s="84"/>
      <c r="Z962" s="84"/>
      <c r="AA962" s="84"/>
    </row>
    <row r="963" ht="15.75" customHeight="1">
      <c r="A963" s="14" t="s">
        <v>17</v>
      </c>
      <c r="B963" s="15" t="s">
        <v>13888</v>
      </c>
      <c r="C963" s="14" t="s">
        <v>12199</v>
      </c>
      <c r="D963" s="14" t="s">
        <v>12200</v>
      </c>
      <c r="E963" s="26" t="str">
        <f t="shared" si="22"/>
        <v>http://dx.doi.org/10.1109/VISUAL.2002.1183775</v>
      </c>
      <c r="F963" s="14">
        <v>195.0</v>
      </c>
      <c r="G963" s="14">
        <v>202.0</v>
      </c>
      <c r="H963" s="14" t="s">
        <v>28</v>
      </c>
      <c r="I963" s="19" t="s">
        <v>14066</v>
      </c>
      <c r="J963" s="19" t="s">
        <v>12204</v>
      </c>
      <c r="K963" s="19" t="s">
        <v>14067</v>
      </c>
      <c r="L963" s="19" t="s">
        <v>13462</v>
      </c>
      <c r="M963" s="20"/>
      <c r="N963" s="44" t="s">
        <v>12205</v>
      </c>
      <c r="O963" s="22">
        <v>34.0</v>
      </c>
      <c r="P963" s="28">
        <v>2.0</v>
      </c>
      <c r="Q963" s="28">
        <v>29.0</v>
      </c>
      <c r="R963" s="84"/>
      <c r="S963" s="84"/>
      <c r="T963" s="84"/>
      <c r="U963" s="84"/>
      <c r="V963" s="84"/>
      <c r="W963" s="84"/>
      <c r="X963" s="84"/>
      <c r="Y963" s="84"/>
      <c r="Z963" s="84"/>
      <c r="AA963" s="84"/>
    </row>
    <row r="964" ht="15.75" customHeight="1">
      <c r="A964" s="14" t="s">
        <v>17</v>
      </c>
      <c r="B964" s="15" t="s">
        <v>13888</v>
      </c>
      <c r="C964" s="14" t="s">
        <v>12206</v>
      </c>
      <c r="D964" s="14" t="s">
        <v>12207</v>
      </c>
      <c r="E964" s="26" t="str">
        <f t="shared" si="22"/>
        <v>http://dx.doi.org/10.1109/VISUAL.2002.1183776</v>
      </c>
      <c r="F964" s="14">
        <v>203.0</v>
      </c>
      <c r="G964" s="14">
        <v>210.0</v>
      </c>
      <c r="H964" s="14" t="s">
        <v>28</v>
      </c>
      <c r="I964" s="19" t="s">
        <v>14068</v>
      </c>
      <c r="J964" s="19" t="s">
        <v>14069</v>
      </c>
      <c r="K964" s="19" t="s">
        <v>14070</v>
      </c>
      <c r="L964" s="19" t="s">
        <v>14071</v>
      </c>
      <c r="M964" s="20" t="s">
        <v>12214</v>
      </c>
      <c r="N964" s="44" t="s">
        <v>12215</v>
      </c>
      <c r="O964" s="22">
        <v>81.0</v>
      </c>
      <c r="P964" s="28">
        <v>12.0</v>
      </c>
      <c r="Q964" s="28">
        <v>37.0</v>
      </c>
      <c r="R964" s="84"/>
      <c r="S964" s="84"/>
      <c r="T964" s="84"/>
      <c r="U964" s="84"/>
      <c r="V964" s="84"/>
      <c r="W964" s="84"/>
      <c r="X964" s="84"/>
      <c r="Y964" s="84"/>
      <c r="Z964" s="84"/>
      <c r="AA964" s="84"/>
    </row>
    <row r="965" ht="15.75" customHeight="1">
      <c r="A965" s="14" t="s">
        <v>17</v>
      </c>
      <c r="B965" s="15" t="s">
        <v>13888</v>
      </c>
      <c r="C965" s="14" t="s">
        <v>12216</v>
      </c>
      <c r="D965" s="14" t="s">
        <v>12217</v>
      </c>
      <c r="E965" s="26" t="str">
        <f t="shared" si="22"/>
        <v>http://dx.doi.org/10.1109/VISUAL.2002.1183777</v>
      </c>
      <c r="F965" s="14">
        <v>211.0</v>
      </c>
      <c r="G965" s="14">
        <v>218.0</v>
      </c>
      <c r="H965" s="14" t="s">
        <v>28</v>
      </c>
      <c r="I965" s="19" t="s">
        <v>14072</v>
      </c>
      <c r="J965" s="19" t="s">
        <v>12223</v>
      </c>
      <c r="K965" s="19" t="s">
        <v>14073</v>
      </c>
      <c r="L965" s="19" t="s">
        <v>11991</v>
      </c>
      <c r="M965" s="20" t="s">
        <v>12226</v>
      </c>
      <c r="N965" s="44" t="s">
        <v>12227</v>
      </c>
      <c r="O965" s="22">
        <v>155.0</v>
      </c>
      <c r="P965" s="28">
        <v>27.0</v>
      </c>
      <c r="Q965" s="28">
        <v>34.0</v>
      </c>
      <c r="R965" s="85" t="s">
        <v>106</v>
      </c>
      <c r="S965" s="84"/>
      <c r="T965" s="84"/>
      <c r="U965" s="84"/>
      <c r="V965" s="84"/>
      <c r="W965" s="84"/>
      <c r="X965" s="84"/>
      <c r="Y965" s="84"/>
      <c r="Z965" s="84"/>
      <c r="AA965" s="84"/>
    </row>
    <row r="966" ht="15.75" customHeight="1">
      <c r="A966" s="14" t="s">
        <v>17</v>
      </c>
      <c r="B966" s="15" t="s">
        <v>13888</v>
      </c>
      <c r="C966" s="14" t="s">
        <v>12228</v>
      </c>
      <c r="D966" s="14" t="s">
        <v>12229</v>
      </c>
      <c r="E966" s="26" t="str">
        <f t="shared" si="22"/>
        <v>http://dx.doi.org/10.1109/VISUAL.2002.1183778</v>
      </c>
      <c r="F966" s="14">
        <v>219.0</v>
      </c>
      <c r="G966" s="14">
        <v>226.0</v>
      </c>
      <c r="H966" s="14" t="s">
        <v>28</v>
      </c>
      <c r="I966" s="19" t="s">
        <v>14074</v>
      </c>
      <c r="J966" s="19" t="s">
        <v>12234</v>
      </c>
      <c r="K966" s="19" t="s">
        <v>14075</v>
      </c>
      <c r="L966" s="19" t="s">
        <v>14076</v>
      </c>
      <c r="M966" s="20" t="s">
        <v>12237</v>
      </c>
      <c r="N966" s="44" t="s">
        <v>12239</v>
      </c>
      <c r="O966" s="22">
        <v>235.0</v>
      </c>
      <c r="P966" s="28">
        <v>26.0</v>
      </c>
      <c r="Q966" s="28">
        <v>24.0</v>
      </c>
      <c r="R966" s="84"/>
      <c r="S966" s="84"/>
      <c r="T966" s="84"/>
      <c r="U966" s="84"/>
      <c r="V966" s="84"/>
      <c r="W966" s="84"/>
      <c r="X966" s="84"/>
      <c r="Y966" s="84"/>
      <c r="Z966" s="84"/>
      <c r="AA966" s="84"/>
    </row>
    <row r="967" ht="15.75" customHeight="1">
      <c r="A967" s="14" t="s">
        <v>17</v>
      </c>
      <c r="B967" s="15" t="s">
        <v>13888</v>
      </c>
      <c r="C967" s="14" t="s">
        <v>12242</v>
      </c>
      <c r="D967" s="14" t="s">
        <v>12243</v>
      </c>
      <c r="E967" s="26" t="str">
        <f t="shared" si="22"/>
        <v>http://dx.doi.org/10.1109/VISUAL.2002.1183779</v>
      </c>
      <c r="F967" s="14">
        <v>227.0</v>
      </c>
      <c r="G967" s="14">
        <v>234.0</v>
      </c>
      <c r="H967" s="14" t="s">
        <v>28</v>
      </c>
      <c r="I967" s="19" t="s">
        <v>14077</v>
      </c>
      <c r="J967" s="19" t="s">
        <v>12247</v>
      </c>
      <c r="K967" s="19" t="s">
        <v>14078</v>
      </c>
      <c r="L967" s="19" t="s">
        <v>14079</v>
      </c>
      <c r="M967" s="20" t="s">
        <v>1558</v>
      </c>
      <c r="N967" s="44" t="s">
        <v>12251</v>
      </c>
      <c r="O967" s="22">
        <v>121.0</v>
      </c>
      <c r="P967" s="28">
        <v>9.0</v>
      </c>
      <c r="Q967" s="28">
        <v>23.0</v>
      </c>
      <c r="R967" s="84"/>
      <c r="S967" s="84"/>
      <c r="T967" s="84"/>
      <c r="U967" s="84"/>
      <c r="V967" s="84"/>
      <c r="W967" s="84"/>
      <c r="X967" s="84"/>
      <c r="Y967" s="84"/>
      <c r="Z967" s="84"/>
      <c r="AA967" s="84"/>
    </row>
    <row r="968" ht="15.75" customHeight="1">
      <c r="A968" s="14" t="s">
        <v>17</v>
      </c>
      <c r="B968" s="15" t="s">
        <v>13888</v>
      </c>
      <c r="C968" s="14" t="s">
        <v>12252</v>
      </c>
      <c r="D968" s="14" t="s">
        <v>12253</v>
      </c>
      <c r="E968" s="26" t="str">
        <f t="shared" si="22"/>
        <v>http://dx.doi.org/10.1109/VISUAL.2002.1183780</v>
      </c>
      <c r="F968" s="14">
        <v>235.0</v>
      </c>
      <c r="G968" s="14">
        <v>242.0</v>
      </c>
      <c r="H968" s="14" t="s">
        <v>28</v>
      </c>
      <c r="I968" s="19" t="s">
        <v>14120</v>
      </c>
      <c r="J968" s="19" t="s">
        <v>12261</v>
      </c>
      <c r="K968" s="19" t="s">
        <v>14123</v>
      </c>
      <c r="L968" s="19" t="s">
        <v>14124</v>
      </c>
      <c r="M968" s="20" t="s">
        <v>6006</v>
      </c>
      <c r="N968" s="44" t="s">
        <v>12263</v>
      </c>
      <c r="O968" s="22">
        <v>45.0</v>
      </c>
      <c r="P968" s="28">
        <v>5.0</v>
      </c>
      <c r="Q968" s="28">
        <v>18.0</v>
      </c>
      <c r="R968" s="84"/>
      <c r="S968" s="84"/>
      <c r="T968" s="84"/>
      <c r="U968" s="84"/>
      <c r="V968" s="84"/>
      <c r="W968" s="84"/>
      <c r="X968" s="84"/>
      <c r="Y968" s="84"/>
      <c r="Z968" s="84"/>
      <c r="AA968" s="84"/>
    </row>
    <row r="969" ht="15.75" customHeight="1">
      <c r="A969" s="14" t="s">
        <v>17</v>
      </c>
      <c r="B969" s="15" t="s">
        <v>13888</v>
      </c>
      <c r="C969" s="14" t="s">
        <v>12264</v>
      </c>
      <c r="D969" s="14" t="s">
        <v>12265</v>
      </c>
      <c r="E969" s="26" t="str">
        <f t="shared" si="22"/>
        <v>http://dx.doi.org/10.1109/VISUAL.2002.1183781</v>
      </c>
      <c r="F969" s="14">
        <v>243.0</v>
      </c>
      <c r="G969" s="14">
        <v>250.0</v>
      </c>
      <c r="H969" s="14" t="s">
        <v>28</v>
      </c>
      <c r="I969" s="19" t="s">
        <v>14128</v>
      </c>
      <c r="J969" s="19" t="s">
        <v>12272</v>
      </c>
      <c r="K969" s="19" t="s">
        <v>14129</v>
      </c>
      <c r="L969" s="19" t="s">
        <v>14130</v>
      </c>
      <c r="M969" s="20"/>
      <c r="N969" s="44" t="s">
        <v>12274</v>
      </c>
      <c r="O969" s="22">
        <v>50.0</v>
      </c>
      <c r="P969" s="28">
        <v>7.0</v>
      </c>
      <c r="Q969" s="28">
        <v>19.0</v>
      </c>
      <c r="R969" s="84"/>
      <c r="S969" s="84"/>
      <c r="T969" s="84"/>
      <c r="U969" s="84"/>
      <c r="V969" s="84"/>
      <c r="W969" s="84"/>
      <c r="X969" s="84"/>
      <c r="Y969" s="84"/>
      <c r="Z969" s="84"/>
      <c r="AA969" s="84"/>
    </row>
    <row r="970" ht="15.75" customHeight="1">
      <c r="A970" s="14" t="s">
        <v>17</v>
      </c>
      <c r="B970" s="15" t="s">
        <v>13888</v>
      </c>
      <c r="C970" s="14" t="s">
        <v>12275</v>
      </c>
      <c r="D970" s="14" t="s">
        <v>12276</v>
      </c>
      <c r="E970" s="26" t="str">
        <f t="shared" si="22"/>
        <v>http://dx.doi.org/10.1109/VISUAL.2002.1183782</v>
      </c>
      <c r="F970" s="14">
        <v>251.0</v>
      </c>
      <c r="G970" s="14">
        <v>257.0</v>
      </c>
      <c r="H970" s="14" t="s">
        <v>28</v>
      </c>
      <c r="I970" s="19" t="s">
        <v>14138</v>
      </c>
      <c r="J970" s="19" t="s">
        <v>12283</v>
      </c>
      <c r="K970" s="19" t="s">
        <v>14139</v>
      </c>
      <c r="L970" s="19" t="s">
        <v>5255</v>
      </c>
      <c r="M970" s="20" t="s">
        <v>12285</v>
      </c>
      <c r="N970" s="44" t="s">
        <v>12286</v>
      </c>
      <c r="O970" s="22">
        <v>50.0</v>
      </c>
      <c r="P970" s="28">
        <v>2.0</v>
      </c>
      <c r="Q970" s="28">
        <v>10.0</v>
      </c>
      <c r="R970" s="84"/>
      <c r="S970" s="84"/>
      <c r="T970" s="84"/>
      <c r="U970" s="84"/>
      <c r="V970" s="84"/>
      <c r="W970" s="84"/>
      <c r="X970" s="84"/>
      <c r="Y970" s="84"/>
      <c r="Z970" s="84"/>
      <c r="AA970" s="84"/>
    </row>
    <row r="971" ht="15.75" customHeight="1">
      <c r="A971" s="14" t="s">
        <v>17</v>
      </c>
      <c r="B971" s="15" t="s">
        <v>13888</v>
      </c>
      <c r="C971" s="14" t="s">
        <v>12310</v>
      </c>
      <c r="D971" s="14" t="s">
        <v>12313</v>
      </c>
      <c r="E971" s="26" t="str">
        <f t="shared" si="22"/>
        <v>http://dx.doi.org/10.1109/VISUAL.2002.1183783</v>
      </c>
      <c r="F971" s="14">
        <v>259.0</v>
      </c>
      <c r="G971" s="14">
        <v>265.0</v>
      </c>
      <c r="H971" s="14" t="s">
        <v>28</v>
      </c>
      <c r="I971" s="19" t="s">
        <v>14143</v>
      </c>
      <c r="J971" s="19" t="s">
        <v>12319</v>
      </c>
      <c r="K971" s="19" t="s">
        <v>14145</v>
      </c>
      <c r="L971" s="19" t="s">
        <v>14146</v>
      </c>
      <c r="M971" s="20" t="s">
        <v>12321</v>
      </c>
      <c r="N971" s="44" t="s">
        <v>12322</v>
      </c>
      <c r="O971" s="22">
        <v>135.0</v>
      </c>
      <c r="P971" s="28">
        <v>40.0</v>
      </c>
      <c r="Q971" s="28">
        <v>32.0</v>
      </c>
      <c r="R971" s="84"/>
      <c r="S971" s="84"/>
      <c r="T971" s="84"/>
      <c r="U971" s="84"/>
      <c r="V971" s="84"/>
      <c r="W971" s="84"/>
      <c r="X971" s="84"/>
      <c r="Y971" s="84"/>
      <c r="Z971" s="84"/>
      <c r="AA971" s="84"/>
    </row>
    <row r="972" ht="15.75" customHeight="1">
      <c r="A972" s="14" t="s">
        <v>17</v>
      </c>
      <c r="B972" s="15" t="s">
        <v>13888</v>
      </c>
      <c r="C972" s="14" t="s">
        <v>12325</v>
      </c>
      <c r="D972" s="14" t="s">
        <v>12326</v>
      </c>
      <c r="E972" s="26" t="str">
        <f t="shared" si="22"/>
        <v>http://dx.doi.org/10.1109/VISUAL.2002.1183784</v>
      </c>
      <c r="F972" s="14">
        <v>267.0</v>
      </c>
      <c r="G972" s="14">
        <v>274.0</v>
      </c>
      <c r="H972" s="14" t="s">
        <v>28</v>
      </c>
      <c r="I972" s="19" t="s">
        <v>14150</v>
      </c>
      <c r="J972" s="19" t="s">
        <v>12330</v>
      </c>
      <c r="K972" s="19" t="s">
        <v>14151</v>
      </c>
      <c r="L972" s="19" t="s">
        <v>14152</v>
      </c>
      <c r="M972" s="20" t="s">
        <v>12332</v>
      </c>
      <c r="N972" s="44" t="s">
        <v>12333</v>
      </c>
      <c r="O972" s="22">
        <v>57.0</v>
      </c>
      <c r="P972" s="28">
        <v>12.0</v>
      </c>
      <c r="Q972" s="28">
        <v>28.0</v>
      </c>
      <c r="R972" s="84"/>
      <c r="S972" s="84"/>
      <c r="T972" s="84"/>
      <c r="U972" s="84"/>
      <c r="V972" s="84"/>
      <c r="W972" s="84"/>
      <c r="X972" s="84"/>
      <c r="Y972" s="84"/>
      <c r="Z972" s="84"/>
      <c r="AA972" s="84"/>
    </row>
    <row r="973" ht="15.75" customHeight="1">
      <c r="A973" s="14" t="s">
        <v>17</v>
      </c>
      <c r="B973" s="15" t="s">
        <v>13888</v>
      </c>
      <c r="C973" s="14" t="s">
        <v>12334</v>
      </c>
      <c r="D973" s="14" t="s">
        <v>12336</v>
      </c>
      <c r="E973" s="26" t="str">
        <f t="shared" si="22"/>
        <v>http://dx.doi.org/10.1109/VISUAL.2002.1183785</v>
      </c>
      <c r="F973" s="14">
        <v>275.0</v>
      </c>
      <c r="G973" s="14">
        <v>282.0</v>
      </c>
      <c r="H973" s="14" t="s">
        <v>28</v>
      </c>
      <c r="I973" s="19" t="s">
        <v>14158</v>
      </c>
      <c r="J973" s="19" t="s">
        <v>12343</v>
      </c>
      <c r="K973" s="19" t="s">
        <v>14159</v>
      </c>
      <c r="L973" s="19" t="s">
        <v>12623</v>
      </c>
      <c r="M973" s="20"/>
      <c r="N973" s="44" t="s">
        <v>12345</v>
      </c>
      <c r="O973" s="22">
        <v>111.0</v>
      </c>
      <c r="P973" s="28">
        <v>19.0</v>
      </c>
      <c r="Q973" s="28">
        <v>16.0</v>
      </c>
      <c r="R973" s="84"/>
      <c r="S973" s="84"/>
      <c r="T973" s="84"/>
      <c r="U973" s="84"/>
      <c r="V973" s="84"/>
      <c r="W973" s="84"/>
      <c r="X973" s="84"/>
      <c r="Y973" s="84"/>
      <c r="Z973" s="84"/>
      <c r="AA973" s="84"/>
    </row>
    <row r="974" ht="15.75" customHeight="1">
      <c r="A974" s="14" t="s">
        <v>17</v>
      </c>
      <c r="B974" s="15" t="s">
        <v>13888</v>
      </c>
      <c r="C974" s="14" t="s">
        <v>12346</v>
      </c>
      <c r="D974" s="14" t="s">
        <v>12347</v>
      </c>
      <c r="E974" s="26" t="str">
        <f t="shared" si="22"/>
        <v>http://dx.doi.org/10.1109/VISUAL.2002.1183786</v>
      </c>
      <c r="F974" s="14">
        <v>283.0</v>
      </c>
      <c r="G974" s="14">
        <v>289.0</v>
      </c>
      <c r="H974" s="14" t="s">
        <v>28</v>
      </c>
      <c r="I974" s="19" t="s">
        <v>14166</v>
      </c>
      <c r="J974" s="19" t="s">
        <v>12354</v>
      </c>
      <c r="K974" s="19" t="s">
        <v>14168</v>
      </c>
      <c r="L974" s="19" t="s">
        <v>14169</v>
      </c>
      <c r="M974" s="20" t="s">
        <v>12356</v>
      </c>
      <c r="N974" s="44" t="s">
        <v>12357</v>
      </c>
      <c r="O974" s="22">
        <v>49.0</v>
      </c>
      <c r="P974" s="28">
        <v>14.0</v>
      </c>
      <c r="Q974" s="28">
        <v>20.0</v>
      </c>
      <c r="R974" s="84"/>
      <c r="S974" s="84"/>
      <c r="T974" s="84"/>
      <c r="U974" s="84"/>
      <c r="V974" s="84"/>
      <c r="W974" s="84"/>
      <c r="X974" s="84"/>
      <c r="Y974" s="84"/>
      <c r="Z974" s="84"/>
      <c r="AA974" s="84"/>
    </row>
    <row r="975" ht="15.75" customHeight="1">
      <c r="A975" s="14" t="s">
        <v>17</v>
      </c>
      <c r="B975" s="15" t="s">
        <v>13888</v>
      </c>
      <c r="C975" s="14" t="s">
        <v>12358</v>
      </c>
      <c r="D975" s="14" t="s">
        <v>12359</v>
      </c>
      <c r="E975" s="26" t="str">
        <f t="shared" si="22"/>
        <v>http://dx.doi.org/10.1109/VISUAL.2002.1183787</v>
      </c>
      <c r="F975" s="14">
        <v>291.0</v>
      </c>
      <c r="G975" s="14">
        <v>298.0</v>
      </c>
      <c r="H975" s="14" t="s">
        <v>28</v>
      </c>
      <c r="I975" s="19" t="s">
        <v>14170</v>
      </c>
      <c r="J975" s="19" t="s">
        <v>12363</v>
      </c>
      <c r="K975" s="19" t="s">
        <v>14172</v>
      </c>
      <c r="L975" s="19" t="s">
        <v>5287</v>
      </c>
      <c r="M975" s="20" t="s">
        <v>5943</v>
      </c>
      <c r="N975" s="44" t="s">
        <v>12364</v>
      </c>
      <c r="O975" s="22">
        <v>144.0</v>
      </c>
      <c r="P975" s="28">
        <v>21.0</v>
      </c>
      <c r="Q975" s="28">
        <v>24.0</v>
      </c>
      <c r="R975" s="84"/>
      <c r="S975" s="84"/>
      <c r="T975" s="84"/>
      <c r="U975" s="84"/>
      <c r="V975" s="84"/>
      <c r="W975" s="84"/>
      <c r="X975" s="84"/>
      <c r="Y975" s="84"/>
      <c r="Z975" s="84"/>
      <c r="AA975" s="84"/>
    </row>
    <row r="976" ht="15.75" customHeight="1">
      <c r="A976" s="14" t="s">
        <v>17</v>
      </c>
      <c r="B976" s="15" t="s">
        <v>13888</v>
      </c>
      <c r="C976" s="14" t="s">
        <v>12365</v>
      </c>
      <c r="D976" s="14" t="s">
        <v>12366</v>
      </c>
      <c r="E976" s="26" t="str">
        <f t="shared" si="22"/>
        <v>http://dx.doi.org/10.1109/VISUAL.2002.1183788</v>
      </c>
      <c r="F976" s="14">
        <v>299.0</v>
      </c>
      <c r="G976" s="14">
        <v>306.0</v>
      </c>
      <c r="H976" s="14" t="s">
        <v>28</v>
      </c>
      <c r="I976" s="19" t="s">
        <v>14178</v>
      </c>
      <c r="J976" s="19" t="s">
        <v>12370</v>
      </c>
      <c r="K976" s="19" t="s">
        <v>14179</v>
      </c>
      <c r="L976" s="19" t="s">
        <v>12788</v>
      </c>
      <c r="M976" s="20" t="s">
        <v>12371</v>
      </c>
      <c r="N976" s="44" t="s">
        <v>12372</v>
      </c>
      <c r="O976" s="22">
        <v>67.0</v>
      </c>
      <c r="P976" s="28">
        <v>17.0</v>
      </c>
      <c r="Q976" s="28">
        <v>26.0</v>
      </c>
      <c r="R976" s="84"/>
      <c r="S976" s="84"/>
      <c r="T976" s="84"/>
      <c r="U976" s="84"/>
      <c r="V976" s="84"/>
      <c r="W976" s="84"/>
      <c r="X976" s="84"/>
      <c r="Y976" s="84"/>
      <c r="Z976" s="84"/>
      <c r="AA976" s="84"/>
    </row>
    <row r="977" ht="15.75" customHeight="1">
      <c r="A977" s="14" t="s">
        <v>17</v>
      </c>
      <c r="B977" s="15" t="s">
        <v>13888</v>
      </c>
      <c r="C977" s="14" t="s">
        <v>12373</v>
      </c>
      <c r="D977" s="14" t="s">
        <v>12374</v>
      </c>
      <c r="E977" s="26" t="str">
        <f t="shared" si="22"/>
        <v>http://dx.doi.org/10.1109/VISUAL.2002.1183789</v>
      </c>
      <c r="F977" s="14">
        <v>307.0</v>
      </c>
      <c r="G977" s="14">
        <v>314.0</v>
      </c>
      <c r="H977" s="14" t="s">
        <v>28</v>
      </c>
      <c r="I977" s="19" t="s">
        <v>14186</v>
      </c>
      <c r="J977" s="19" t="s">
        <v>12379</v>
      </c>
      <c r="K977" s="19" t="s">
        <v>14187</v>
      </c>
      <c r="L977" s="19" t="s">
        <v>14053</v>
      </c>
      <c r="M977" s="20" t="s">
        <v>12381</v>
      </c>
      <c r="N977" s="44" t="s">
        <v>12382</v>
      </c>
      <c r="O977" s="22">
        <v>2.0</v>
      </c>
      <c r="P977" s="28">
        <v>22.0</v>
      </c>
      <c r="Q977" s="28">
        <v>19.0</v>
      </c>
      <c r="R977" s="84"/>
      <c r="S977" s="84"/>
      <c r="T977" s="84"/>
      <c r="U977" s="84"/>
      <c r="V977" s="84"/>
      <c r="W977" s="84"/>
      <c r="X977" s="84"/>
      <c r="Y977" s="84"/>
      <c r="Z977" s="84"/>
      <c r="AA977" s="84"/>
    </row>
    <row r="978" ht="15.75" customHeight="1">
      <c r="A978" s="14" t="s">
        <v>17</v>
      </c>
      <c r="B978" s="15" t="s">
        <v>13888</v>
      </c>
      <c r="C978" s="14" t="s">
        <v>12383</v>
      </c>
      <c r="D978" s="14" t="s">
        <v>12384</v>
      </c>
      <c r="E978" s="26" t="str">
        <f t="shared" si="22"/>
        <v>http://dx.doi.org/10.1109/VISUAL.2002.1183790</v>
      </c>
      <c r="F978" s="14">
        <v>315.0</v>
      </c>
      <c r="G978" s="14">
        <v>322.0</v>
      </c>
      <c r="H978" s="14" t="s">
        <v>28</v>
      </c>
      <c r="I978" s="19" t="s">
        <v>14195</v>
      </c>
      <c r="J978" s="19" t="s">
        <v>12390</v>
      </c>
      <c r="K978" s="19" t="s">
        <v>14196</v>
      </c>
      <c r="L978" s="19" t="s">
        <v>14197</v>
      </c>
      <c r="M978" s="20" t="s">
        <v>12392</v>
      </c>
      <c r="N978" s="44" t="s">
        <v>12393</v>
      </c>
      <c r="O978" s="22">
        <v>61.0</v>
      </c>
      <c r="P978" s="28">
        <v>12.0</v>
      </c>
      <c r="Q978" s="28">
        <v>26.0</v>
      </c>
      <c r="R978" s="84"/>
      <c r="S978" s="84"/>
      <c r="T978" s="84"/>
      <c r="U978" s="84"/>
      <c r="V978" s="84"/>
      <c r="W978" s="84"/>
      <c r="X978" s="84"/>
      <c r="Y978" s="84"/>
      <c r="Z978" s="84"/>
      <c r="AA978" s="84"/>
    </row>
    <row r="979" ht="15.75" customHeight="1">
      <c r="A979" s="14" t="s">
        <v>17</v>
      </c>
      <c r="B979" s="15" t="s">
        <v>13888</v>
      </c>
      <c r="C979" s="14" t="s">
        <v>12394</v>
      </c>
      <c r="D979" s="14" t="s">
        <v>12395</v>
      </c>
      <c r="E979" s="26" t="str">
        <f t="shared" si="22"/>
        <v>http://dx.doi.org/10.1109/VISUAL.2002.1183791</v>
      </c>
      <c r="F979" s="14">
        <v>323.0</v>
      </c>
      <c r="G979" s="14">
        <v>330.0</v>
      </c>
      <c r="H979" s="14" t="s">
        <v>28</v>
      </c>
      <c r="I979" s="19" t="s">
        <v>14201</v>
      </c>
      <c r="J979" s="19" t="s">
        <v>12403</v>
      </c>
      <c r="K979" s="19" t="s">
        <v>14204</v>
      </c>
      <c r="L979" s="19" t="s">
        <v>14205</v>
      </c>
      <c r="M979" s="20" t="s">
        <v>12405</v>
      </c>
      <c r="N979" s="44" t="s">
        <v>12406</v>
      </c>
      <c r="O979" s="22">
        <v>75.0</v>
      </c>
      <c r="P979" s="28">
        <v>22.0</v>
      </c>
      <c r="Q979" s="28">
        <v>23.0</v>
      </c>
      <c r="R979" s="84"/>
      <c r="S979" s="84"/>
      <c r="T979" s="84"/>
      <c r="U979" s="84"/>
      <c r="V979" s="84"/>
      <c r="W979" s="84"/>
      <c r="X979" s="84"/>
      <c r="Y979" s="84"/>
      <c r="Z979" s="84"/>
      <c r="AA979" s="84"/>
    </row>
    <row r="980" ht="15.75" customHeight="1">
      <c r="A980" s="14" t="s">
        <v>17</v>
      </c>
      <c r="B980" s="15" t="s">
        <v>13888</v>
      </c>
      <c r="C980" s="14" t="s">
        <v>12407</v>
      </c>
      <c r="D980" s="14" t="s">
        <v>12408</v>
      </c>
      <c r="E980" s="26" t="str">
        <f t="shared" si="22"/>
        <v>http://dx.doi.org/10.1109/VISUAL.2002.1183792</v>
      </c>
      <c r="F980" s="14">
        <v>331.0</v>
      </c>
      <c r="G980" s="14">
        <v>338.0</v>
      </c>
      <c r="H980" s="14" t="s">
        <v>28</v>
      </c>
      <c r="I980" s="19" t="s">
        <v>14206</v>
      </c>
      <c r="J980" s="19" t="s">
        <v>12415</v>
      </c>
      <c r="K980" s="19" t="s">
        <v>14207</v>
      </c>
      <c r="L980" s="19" t="s">
        <v>14208</v>
      </c>
      <c r="M980" s="20" t="s">
        <v>2328</v>
      </c>
      <c r="N980" s="44" t="s">
        <v>12418</v>
      </c>
      <c r="O980" s="22">
        <v>50.0</v>
      </c>
      <c r="P980" s="28">
        <v>10.0</v>
      </c>
      <c r="Q980" s="28">
        <v>37.0</v>
      </c>
      <c r="R980" s="84"/>
      <c r="S980" s="84"/>
      <c r="T980" s="84"/>
      <c r="U980" s="84"/>
      <c r="V980" s="84"/>
      <c r="W980" s="84"/>
      <c r="X980" s="84"/>
      <c r="Y980" s="84"/>
      <c r="Z980" s="84"/>
      <c r="AA980" s="84"/>
    </row>
    <row r="981" ht="15.75" customHeight="1">
      <c r="A981" s="14" t="s">
        <v>17</v>
      </c>
      <c r="B981" s="15" t="s">
        <v>13888</v>
      </c>
      <c r="C981" s="14" t="s">
        <v>12420</v>
      </c>
      <c r="D981" s="14" t="s">
        <v>12421</v>
      </c>
      <c r="E981" s="26" t="str">
        <f t="shared" si="22"/>
        <v>http://dx.doi.org/10.1109/VISUAL.2002.1183793</v>
      </c>
      <c r="F981" s="14">
        <v>339.0</v>
      </c>
      <c r="G981" s="14">
        <v>346.0</v>
      </c>
      <c r="H981" s="14" t="s">
        <v>28</v>
      </c>
      <c r="I981" s="19" t="s">
        <v>14214</v>
      </c>
      <c r="J981" s="19" t="s">
        <v>12426</v>
      </c>
      <c r="K981" s="19" t="s">
        <v>14215</v>
      </c>
      <c r="L981" s="19" t="s">
        <v>14216</v>
      </c>
      <c r="M981" s="20" t="s">
        <v>12428</v>
      </c>
      <c r="N981" s="44" t="s">
        <v>12429</v>
      </c>
      <c r="O981" s="22">
        <v>205.0</v>
      </c>
      <c r="P981" s="28">
        <v>71.0</v>
      </c>
      <c r="Q981" s="28">
        <v>13.0</v>
      </c>
      <c r="R981" s="84"/>
      <c r="S981" s="84"/>
      <c r="T981" s="84"/>
      <c r="U981" s="84"/>
      <c r="V981" s="84"/>
      <c r="W981" s="84"/>
      <c r="X981" s="84"/>
      <c r="Y981" s="84"/>
      <c r="Z981" s="84"/>
      <c r="AA981" s="84"/>
    </row>
    <row r="982" ht="15.75" customHeight="1">
      <c r="A982" s="14" t="s">
        <v>17</v>
      </c>
      <c r="B982" s="15" t="s">
        <v>13888</v>
      </c>
      <c r="C982" s="14" t="s">
        <v>12430</v>
      </c>
      <c r="D982" s="14" t="s">
        <v>12431</v>
      </c>
      <c r="E982" s="26" t="str">
        <f t="shared" si="22"/>
        <v>http://dx.doi.org/10.1109/VISUAL.2002.1183794</v>
      </c>
      <c r="F982" s="14">
        <v>347.0</v>
      </c>
      <c r="G982" s="14">
        <v>354.0</v>
      </c>
      <c r="H982" s="14" t="s">
        <v>28</v>
      </c>
      <c r="I982" s="19" t="s">
        <v>14219</v>
      </c>
      <c r="J982" s="19" t="s">
        <v>12437</v>
      </c>
      <c r="K982" s="19" t="s">
        <v>14221</v>
      </c>
      <c r="L982" s="19" t="s">
        <v>14223</v>
      </c>
      <c r="M982" s="20" t="s">
        <v>12136</v>
      </c>
      <c r="N982" s="44" t="s">
        <v>12439</v>
      </c>
      <c r="O982" s="22">
        <v>66.0</v>
      </c>
      <c r="P982" s="28">
        <v>20.0</v>
      </c>
      <c r="Q982" s="28">
        <v>26.0</v>
      </c>
      <c r="R982" s="84"/>
      <c r="S982" s="84"/>
      <c r="T982" s="84"/>
      <c r="U982" s="84"/>
      <c r="V982" s="84"/>
      <c r="W982" s="84"/>
      <c r="X982" s="84"/>
      <c r="Y982" s="84"/>
      <c r="Z982" s="84"/>
      <c r="AA982" s="84"/>
    </row>
    <row r="983" ht="15.75" customHeight="1">
      <c r="A983" s="14" t="s">
        <v>17</v>
      </c>
      <c r="B983" s="15" t="s">
        <v>13888</v>
      </c>
      <c r="C983" s="14" t="s">
        <v>12441</v>
      </c>
      <c r="D983" s="14" t="s">
        <v>12442</v>
      </c>
      <c r="E983" s="26" t="str">
        <f t="shared" si="22"/>
        <v>http://dx.doi.org/10.1109/VISUAL.2002.1183795</v>
      </c>
      <c r="F983" s="14">
        <v>355.0</v>
      </c>
      <c r="G983" s="14">
        <v>362.0</v>
      </c>
      <c r="H983" s="14" t="s">
        <v>28</v>
      </c>
      <c r="I983" s="19" t="s">
        <v>14225</v>
      </c>
      <c r="J983" s="19" t="s">
        <v>12448</v>
      </c>
      <c r="K983" s="19" t="s">
        <v>14226</v>
      </c>
      <c r="L983" s="19" t="s">
        <v>14227</v>
      </c>
      <c r="M983" s="20"/>
      <c r="N983" s="44" t="s">
        <v>12450</v>
      </c>
      <c r="O983" s="22">
        <v>225.0</v>
      </c>
      <c r="P983" s="28">
        <v>47.0</v>
      </c>
      <c r="Q983" s="28">
        <v>26.0</v>
      </c>
      <c r="R983" s="84"/>
      <c r="S983" s="84"/>
      <c r="T983" s="84"/>
      <c r="U983" s="84"/>
      <c r="V983" s="84"/>
      <c r="W983" s="84"/>
      <c r="X983" s="84"/>
      <c r="Y983" s="84"/>
      <c r="Z983" s="84"/>
      <c r="AA983" s="84"/>
    </row>
    <row r="984" ht="15.75" customHeight="1">
      <c r="A984" s="14" t="s">
        <v>17</v>
      </c>
      <c r="B984" s="15" t="s">
        <v>13888</v>
      </c>
      <c r="C984" s="14" t="s">
        <v>12451</v>
      </c>
      <c r="D984" s="14" t="s">
        <v>12452</v>
      </c>
      <c r="E984" s="26" t="str">
        <f t="shared" si="22"/>
        <v>http://dx.doi.org/10.1109/VISUAL.2002.1183796</v>
      </c>
      <c r="F984" s="14">
        <v>363.0</v>
      </c>
      <c r="G984" s="14">
        <v>370.0</v>
      </c>
      <c r="H984" s="14" t="s">
        <v>28</v>
      </c>
      <c r="I984" s="19" t="s">
        <v>14232</v>
      </c>
      <c r="J984" s="19" t="s">
        <v>12457</v>
      </c>
      <c r="K984" s="19" t="s">
        <v>14233</v>
      </c>
      <c r="L984" s="19" t="s">
        <v>14234</v>
      </c>
      <c r="M984" s="20" t="s">
        <v>12459</v>
      </c>
      <c r="N984" s="44" t="s">
        <v>12460</v>
      </c>
      <c r="O984" s="22">
        <v>73.0</v>
      </c>
      <c r="P984" s="28">
        <v>17.0</v>
      </c>
      <c r="Q984" s="28">
        <v>26.0</v>
      </c>
      <c r="R984" s="84"/>
      <c r="S984" s="84"/>
      <c r="T984" s="84"/>
      <c r="U984" s="84"/>
      <c r="V984" s="84"/>
      <c r="W984" s="84"/>
      <c r="X984" s="84"/>
      <c r="Y984" s="84"/>
      <c r="Z984" s="84"/>
      <c r="AA984" s="84"/>
    </row>
    <row r="985" ht="15.75" customHeight="1">
      <c r="A985" s="14" t="s">
        <v>17</v>
      </c>
      <c r="B985" s="15" t="s">
        <v>13888</v>
      </c>
      <c r="C985" s="14" t="s">
        <v>12462</v>
      </c>
      <c r="D985" s="14" t="s">
        <v>12463</v>
      </c>
      <c r="E985" s="26" t="str">
        <f t="shared" si="22"/>
        <v>http://dx.doi.org/10.1109/VISUAL.2002.1183797</v>
      </c>
      <c r="F985" s="14">
        <v>371.0</v>
      </c>
      <c r="G985" s="14">
        <v>378.0</v>
      </c>
      <c r="H985" s="14" t="s">
        <v>28</v>
      </c>
      <c r="I985" s="19" t="s">
        <v>14235</v>
      </c>
      <c r="J985" s="19" t="s">
        <v>14237</v>
      </c>
      <c r="K985" s="19" t="s">
        <v>14240</v>
      </c>
      <c r="L985" s="19" t="s">
        <v>14241</v>
      </c>
      <c r="M985" s="20" t="s">
        <v>12472</v>
      </c>
      <c r="N985" s="44" t="s">
        <v>12473</v>
      </c>
      <c r="O985" s="22">
        <v>47.0</v>
      </c>
      <c r="P985" s="28">
        <v>10.0</v>
      </c>
      <c r="Q985" s="28">
        <v>19.0</v>
      </c>
      <c r="R985" s="84"/>
      <c r="S985" s="84"/>
      <c r="T985" s="84"/>
      <c r="U985" s="84"/>
      <c r="V985" s="84"/>
      <c r="W985" s="84"/>
      <c r="X985" s="84"/>
      <c r="Y985" s="84"/>
      <c r="Z985" s="84"/>
      <c r="AA985" s="84"/>
    </row>
    <row r="986" ht="15.75" customHeight="1">
      <c r="A986" s="14" t="s">
        <v>17</v>
      </c>
      <c r="B986" s="15" t="s">
        <v>13888</v>
      </c>
      <c r="C986" s="14" t="s">
        <v>12474</v>
      </c>
      <c r="D986" s="14" t="s">
        <v>12475</v>
      </c>
      <c r="E986" s="26" t="str">
        <f t="shared" si="22"/>
        <v>http://dx.doi.org/10.1109/VISUAL.2002.1183798</v>
      </c>
      <c r="F986" s="14">
        <v>379.0</v>
      </c>
      <c r="G986" s="14">
        <v>386.0</v>
      </c>
      <c r="H986" s="14" t="s">
        <v>28</v>
      </c>
      <c r="I986" s="19" t="s">
        <v>14245</v>
      </c>
      <c r="J986" s="19" t="s">
        <v>12502</v>
      </c>
      <c r="K986" s="19" t="s">
        <v>14246</v>
      </c>
      <c r="L986" s="19" t="s">
        <v>14247</v>
      </c>
      <c r="M986" s="20" t="s">
        <v>12503</v>
      </c>
      <c r="N986" s="44" t="s">
        <v>12505</v>
      </c>
      <c r="O986" s="22">
        <v>50.0</v>
      </c>
      <c r="P986" s="28">
        <v>6.0</v>
      </c>
      <c r="Q986" s="28">
        <v>12.0</v>
      </c>
      <c r="R986" s="84"/>
      <c r="S986" s="84"/>
      <c r="T986" s="84"/>
      <c r="U986" s="84"/>
      <c r="V986" s="84"/>
      <c r="W986" s="84"/>
      <c r="X986" s="84"/>
      <c r="Y986" s="84"/>
      <c r="Z986" s="84"/>
      <c r="AA986" s="84"/>
    </row>
    <row r="987" ht="15.75" customHeight="1">
      <c r="A987" s="14" t="s">
        <v>17</v>
      </c>
      <c r="B987" s="15" t="s">
        <v>13888</v>
      </c>
      <c r="C987" s="14" t="s">
        <v>12506</v>
      </c>
      <c r="D987" s="14" t="s">
        <v>12508</v>
      </c>
      <c r="E987" s="26" t="str">
        <f t="shared" si="22"/>
        <v>http://dx.doi.org/10.1109/VISUAL.2002.1183799</v>
      </c>
      <c r="F987" s="14">
        <v>387.0</v>
      </c>
      <c r="G987" s="14">
        <v>394.0</v>
      </c>
      <c r="H987" s="14" t="s">
        <v>28</v>
      </c>
      <c r="I987" s="19" t="s">
        <v>14254</v>
      </c>
      <c r="J987" s="19" t="s">
        <v>12510</v>
      </c>
      <c r="K987" s="19" t="s">
        <v>14255</v>
      </c>
      <c r="L987" s="19" t="s">
        <v>14256</v>
      </c>
      <c r="M987" s="20" t="s">
        <v>12512</v>
      </c>
      <c r="N987" s="44" t="s">
        <v>12513</v>
      </c>
      <c r="O987" s="22">
        <v>154.0</v>
      </c>
      <c r="P987" s="28">
        <v>30.0</v>
      </c>
      <c r="Q987" s="28">
        <v>23.0</v>
      </c>
      <c r="R987" s="84"/>
      <c r="S987" s="84"/>
      <c r="T987" s="84"/>
      <c r="U987" s="84"/>
      <c r="V987" s="84"/>
      <c r="W987" s="84"/>
      <c r="X987" s="84"/>
      <c r="Y987" s="84"/>
      <c r="Z987" s="84"/>
      <c r="AA987" s="84"/>
    </row>
    <row r="988" ht="15.75" customHeight="1">
      <c r="A988" s="14" t="s">
        <v>17</v>
      </c>
      <c r="B988" s="15" t="s">
        <v>13888</v>
      </c>
      <c r="C988" s="14" t="s">
        <v>12514</v>
      </c>
      <c r="D988" s="14" t="s">
        <v>12515</v>
      </c>
      <c r="E988" s="26" t="str">
        <f t="shared" si="22"/>
        <v>http://dx.doi.org/10.1109/VISUAL.2002.1183800</v>
      </c>
      <c r="F988" s="14">
        <v>395.0</v>
      </c>
      <c r="G988" s="14">
        <v>402.0</v>
      </c>
      <c r="H988" s="14" t="s">
        <v>28</v>
      </c>
      <c r="I988" s="19" t="s">
        <v>14257</v>
      </c>
      <c r="J988" s="19" t="s">
        <v>12519</v>
      </c>
      <c r="K988" s="19" t="s">
        <v>14258</v>
      </c>
      <c r="L988" s="19" t="s">
        <v>14260</v>
      </c>
      <c r="M988" s="20" t="s">
        <v>12521</v>
      </c>
      <c r="N988" s="44" t="s">
        <v>12522</v>
      </c>
      <c r="O988" s="22">
        <v>110.0</v>
      </c>
      <c r="P988" s="28">
        <v>25.0</v>
      </c>
      <c r="Q988" s="28">
        <v>28.0</v>
      </c>
      <c r="R988" s="84"/>
      <c r="S988" s="84"/>
      <c r="T988" s="84"/>
      <c r="U988" s="84"/>
      <c r="V988" s="84"/>
      <c r="W988" s="84"/>
      <c r="X988" s="84"/>
      <c r="Y988" s="84"/>
      <c r="Z988" s="84"/>
      <c r="AA988" s="84"/>
    </row>
    <row r="989" ht="15.75" customHeight="1">
      <c r="A989" s="14" t="s">
        <v>17</v>
      </c>
      <c r="B989" s="15" t="s">
        <v>13888</v>
      </c>
      <c r="C989" s="14" t="s">
        <v>12523</v>
      </c>
      <c r="D989" s="14" t="s">
        <v>12524</v>
      </c>
      <c r="E989" s="26" t="str">
        <f t="shared" si="22"/>
        <v>http://dx.doi.org/10.1109/VISUAL.2002.1183801</v>
      </c>
      <c r="F989" s="14">
        <v>403.0</v>
      </c>
      <c r="G989" s="14">
        <v>409.0</v>
      </c>
      <c r="H989" s="14" t="s">
        <v>28</v>
      </c>
      <c r="I989" s="19" t="s">
        <v>14265</v>
      </c>
      <c r="J989" s="19" t="s">
        <v>12532</v>
      </c>
      <c r="K989" s="19" t="s">
        <v>14266</v>
      </c>
      <c r="L989" s="19" t="s">
        <v>2935</v>
      </c>
      <c r="M989" s="20" t="s">
        <v>12533</v>
      </c>
      <c r="N989" s="44" t="s">
        <v>12534</v>
      </c>
      <c r="O989" s="22">
        <v>50.0</v>
      </c>
      <c r="P989" s="28">
        <v>5.0</v>
      </c>
      <c r="Q989" s="28">
        <v>24.0</v>
      </c>
      <c r="R989" s="84"/>
      <c r="S989" s="84"/>
      <c r="T989" s="84"/>
      <c r="U989" s="84"/>
      <c r="V989" s="84"/>
      <c r="W989" s="84"/>
      <c r="X989" s="84"/>
      <c r="Y989" s="84"/>
      <c r="Z989" s="84"/>
      <c r="AA989" s="84"/>
    </row>
    <row r="990" ht="15.75" customHeight="1">
      <c r="A990" s="14" t="s">
        <v>17</v>
      </c>
      <c r="B990" s="15" t="s">
        <v>13888</v>
      </c>
      <c r="C990" s="14" t="s">
        <v>12537</v>
      </c>
      <c r="D990" s="14" t="s">
        <v>12538</v>
      </c>
      <c r="E990" s="26" t="str">
        <f t="shared" si="22"/>
        <v>http://dx.doi.org/10.1109/VISUAL.2002.1183802</v>
      </c>
      <c r="F990" s="14">
        <v>411.0</v>
      </c>
      <c r="G990" s="14">
        <v>418.0</v>
      </c>
      <c r="H990" s="14" t="s">
        <v>28</v>
      </c>
      <c r="I990" s="19" t="s">
        <v>14273</v>
      </c>
      <c r="J990" s="19" t="s">
        <v>12543</v>
      </c>
      <c r="K990" s="19" t="s">
        <v>14274</v>
      </c>
      <c r="L990" s="19" t="s">
        <v>14275</v>
      </c>
      <c r="M990" s="20"/>
      <c r="N990" s="44" t="s">
        <v>12546</v>
      </c>
      <c r="O990" s="22">
        <v>28.0</v>
      </c>
      <c r="P990" s="28">
        <v>5.0</v>
      </c>
      <c r="Q990" s="28">
        <v>15.0</v>
      </c>
      <c r="R990" s="84"/>
      <c r="S990" s="84"/>
      <c r="T990" s="84"/>
      <c r="U990" s="84"/>
      <c r="V990" s="84"/>
      <c r="W990" s="84"/>
      <c r="X990" s="84"/>
      <c r="Y990" s="84"/>
      <c r="Z990" s="84"/>
      <c r="AA990" s="84"/>
    </row>
    <row r="991" ht="15.75" customHeight="1">
      <c r="A991" s="14" t="s">
        <v>17</v>
      </c>
      <c r="B991" s="15" t="s">
        <v>13888</v>
      </c>
      <c r="C991" s="14" t="s">
        <v>12547</v>
      </c>
      <c r="D991" s="14" t="s">
        <v>12548</v>
      </c>
      <c r="E991" s="26" t="str">
        <f t="shared" si="22"/>
        <v>http://dx.doi.org/10.1109/VISUAL.2002.1183803</v>
      </c>
      <c r="F991" s="14">
        <v>419.0</v>
      </c>
      <c r="G991" s="14">
        <v>426.0</v>
      </c>
      <c r="H991" s="14" t="s">
        <v>28</v>
      </c>
      <c r="I991" s="19" t="s">
        <v>14276</v>
      </c>
      <c r="J991" s="19" t="s">
        <v>12552</v>
      </c>
      <c r="K991" s="19" t="s">
        <v>14277</v>
      </c>
      <c r="L991" s="19" t="s">
        <v>13347</v>
      </c>
      <c r="M991" s="20" t="s">
        <v>2378</v>
      </c>
      <c r="N991" s="44" t="s">
        <v>12553</v>
      </c>
      <c r="O991" s="109"/>
      <c r="P991" s="28">
        <v>2.0</v>
      </c>
      <c r="Q991" s="28">
        <v>15.0</v>
      </c>
      <c r="R991" s="84"/>
      <c r="S991" s="84"/>
      <c r="T991" s="84"/>
      <c r="U991" s="84"/>
      <c r="V991" s="84"/>
      <c r="W991" s="84"/>
      <c r="X991" s="84"/>
      <c r="Y991" s="84"/>
      <c r="Z991" s="84"/>
      <c r="AA991" s="84"/>
    </row>
    <row r="992" ht="15.75" customHeight="1">
      <c r="A992" s="14" t="s">
        <v>17</v>
      </c>
      <c r="B992" s="15" t="s">
        <v>13888</v>
      </c>
      <c r="C992" s="14" t="s">
        <v>12554</v>
      </c>
      <c r="D992" s="14" t="s">
        <v>12555</v>
      </c>
      <c r="E992" s="26" t="str">
        <f t="shared" si="22"/>
        <v>http://dx.doi.org/10.1109/VISUAL.2002.1183804</v>
      </c>
      <c r="F992" s="14">
        <v>427.0</v>
      </c>
      <c r="G992" s="14">
        <v>433.0</v>
      </c>
      <c r="H992" s="14" t="s">
        <v>28</v>
      </c>
      <c r="I992" s="19" t="s">
        <v>14284</v>
      </c>
      <c r="J992" s="19" t="s">
        <v>4514</v>
      </c>
      <c r="K992" s="19" t="s">
        <v>10542</v>
      </c>
      <c r="L992" s="19" t="s">
        <v>13803</v>
      </c>
      <c r="M992" s="20" t="s">
        <v>10718</v>
      </c>
      <c r="N992" s="44" t="s">
        <v>12565</v>
      </c>
      <c r="O992" s="31"/>
      <c r="P992" s="28">
        <v>3.0</v>
      </c>
      <c r="Q992" s="28">
        <v>11.0</v>
      </c>
      <c r="R992" s="84"/>
      <c r="S992" s="84"/>
      <c r="T992" s="84"/>
      <c r="U992" s="84"/>
      <c r="V992" s="84"/>
      <c r="W992" s="84"/>
      <c r="X992" s="84"/>
      <c r="Y992" s="84"/>
      <c r="Z992" s="84"/>
      <c r="AA992" s="84"/>
    </row>
    <row r="993" ht="15.75" customHeight="1">
      <c r="A993" s="14" t="s">
        <v>17</v>
      </c>
      <c r="B993" s="15" t="s">
        <v>13888</v>
      </c>
      <c r="C993" s="14" t="s">
        <v>12566</v>
      </c>
      <c r="D993" s="14" t="s">
        <v>12568</v>
      </c>
      <c r="E993" s="26" t="str">
        <f t="shared" si="22"/>
        <v>http://dx.doi.org/10.1109/VISUAL.2002.1183805</v>
      </c>
      <c r="F993" s="14">
        <v>435.0</v>
      </c>
      <c r="G993" s="14">
        <v>442.0</v>
      </c>
      <c r="H993" s="14" t="s">
        <v>28</v>
      </c>
      <c r="I993" s="19" t="s">
        <v>14290</v>
      </c>
      <c r="J993" s="19" t="s">
        <v>12579</v>
      </c>
      <c r="K993" s="19" t="s">
        <v>14291</v>
      </c>
      <c r="L993" s="19" t="s">
        <v>14292</v>
      </c>
      <c r="M993" s="20" t="s">
        <v>6083</v>
      </c>
      <c r="N993" s="44" t="s">
        <v>12581</v>
      </c>
      <c r="O993" s="22">
        <v>50.0</v>
      </c>
      <c r="P993" s="28">
        <v>10.0</v>
      </c>
      <c r="Q993" s="28">
        <v>21.0</v>
      </c>
      <c r="R993" s="84"/>
      <c r="S993" s="84"/>
      <c r="T993" s="84"/>
      <c r="U993" s="84"/>
      <c r="V993" s="84"/>
      <c r="W993" s="84"/>
      <c r="X993" s="84"/>
      <c r="Y993" s="84"/>
      <c r="Z993" s="84"/>
      <c r="AA993" s="84"/>
    </row>
    <row r="994" ht="15.75" customHeight="1">
      <c r="A994" s="14" t="s">
        <v>17</v>
      </c>
      <c r="B994" s="15" t="s">
        <v>13888</v>
      </c>
      <c r="C994" s="14" t="s">
        <v>12583</v>
      </c>
      <c r="D994" s="14" t="s">
        <v>12586</v>
      </c>
      <c r="E994" s="26" t="str">
        <f t="shared" si="22"/>
        <v>http://dx.doi.org/10.1109/VISUAL.2002.1183806</v>
      </c>
      <c r="F994" s="14">
        <v>443.0</v>
      </c>
      <c r="G994" s="14">
        <v>450.0</v>
      </c>
      <c r="H994" s="14" t="s">
        <v>28</v>
      </c>
      <c r="I994" s="19" t="s">
        <v>14298</v>
      </c>
      <c r="J994" s="19" t="s">
        <v>12596</v>
      </c>
      <c r="K994" s="19" t="s">
        <v>14299</v>
      </c>
      <c r="L994" s="19" t="s">
        <v>14300</v>
      </c>
      <c r="M994" s="20" t="s">
        <v>12599</v>
      </c>
      <c r="N994" s="44" t="s">
        <v>12600</v>
      </c>
      <c r="O994" s="22">
        <v>25.0</v>
      </c>
      <c r="P994" s="28">
        <v>7.0</v>
      </c>
      <c r="Q994" s="28">
        <v>11.0</v>
      </c>
      <c r="R994" s="84"/>
      <c r="S994" s="84"/>
      <c r="T994" s="84"/>
      <c r="U994" s="84"/>
      <c r="V994" s="84"/>
      <c r="W994" s="84"/>
      <c r="X994" s="84"/>
      <c r="Y994" s="84"/>
      <c r="Z994" s="84"/>
      <c r="AA994" s="84"/>
    </row>
    <row r="995" ht="15.75" customHeight="1">
      <c r="A995" s="14" t="s">
        <v>17</v>
      </c>
      <c r="B995" s="15" t="s">
        <v>13888</v>
      </c>
      <c r="C995" s="14" t="s">
        <v>12601</v>
      </c>
      <c r="D995" s="14" t="s">
        <v>12602</v>
      </c>
      <c r="E995" s="26" t="str">
        <f t="shared" si="22"/>
        <v>http://dx.doi.org/10.1109/VISUAL.2002.1183807</v>
      </c>
      <c r="F995" s="14">
        <v>451.0</v>
      </c>
      <c r="G995" s="14">
        <v>458.0</v>
      </c>
      <c r="H995" s="14" t="s">
        <v>28</v>
      </c>
      <c r="I995" s="19" t="s">
        <v>14303</v>
      </c>
      <c r="J995" s="19" t="s">
        <v>12610</v>
      </c>
      <c r="K995" s="19" t="s">
        <v>14304</v>
      </c>
      <c r="L995" s="19" t="s">
        <v>1092</v>
      </c>
      <c r="M995" s="20" t="s">
        <v>12611</v>
      </c>
      <c r="N995" s="44" t="s">
        <v>12612</v>
      </c>
      <c r="O995" s="22">
        <v>30.0</v>
      </c>
      <c r="P995" s="28">
        <v>1.0</v>
      </c>
      <c r="Q995" s="28">
        <v>38.0</v>
      </c>
      <c r="R995" s="84"/>
      <c r="S995" s="84"/>
      <c r="T995" s="84"/>
      <c r="U995" s="84"/>
      <c r="V995" s="84"/>
      <c r="W995" s="84"/>
      <c r="X995" s="84"/>
      <c r="Y995" s="84"/>
      <c r="Z995" s="84"/>
      <c r="AA995" s="84"/>
    </row>
    <row r="996" ht="15.75" customHeight="1">
      <c r="A996" s="14" t="s">
        <v>17</v>
      </c>
      <c r="B996" s="15" t="s">
        <v>13888</v>
      </c>
      <c r="C996" s="14" t="s">
        <v>12613</v>
      </c>
      <c r="D996" s="14" t="s">
        <v>12614</v>
      </c>
      <c r="E996" s="26" t="str">
        <f t="shared" si="22"/>
        <v>http://dx.doi.org/10.1109/VISUAL.2002.1183808</v>
      </c>
      <c r="F996" s="14">
        <v>459.0</v>
      </c>
      <c r="G996" s="14">
        <v>466.0</v>
      </c>
      <c r="H996" s="14" t="s">
        <v>28</v>
      </c>
      <c r="I996" s="19" t="s">
        <v>14308</v>
      </c>
      <c r="J996" s="19" t="s">
        <v>12624</v>
      </c>
      <c r="K996" s="19" t="s">
        <v>14309</v>
      </c>
      <c r="L996" s="19" t="s">
        <v>14310</v>
      </c>
      <c r="M996" s="20" t="s">
        <v>536</v>
      </c>
      <c r="N996" s="44" t="s">
        <v>12626</v>
      </c>
      <c r="O996" s="22">
        <v>50.0</v>
      </c>
      <c r="P996" s="28">
        <v>12.0</v>
      </c>
      <c r="Q996" s="28">
        <v>7.0</v>
      </c>
      <c r="R996" s="84"/>
      <c r="S996" s="84"/>
      <c r="T996" s="84"/>
      <c r="U996" s="84"/>
      <c r="V996" s="84"/>
      <c r="W996" s="84"/>
      <c r="X996" s="84"/>
      <c r="Y996" s="84"/>
      <c r="Z996" s="84"/>
      <c r="AA996" s="84"/>
    </row>
    <row r="997" ht="15.75" customHeight="1">
      <c r="A997" s="14" t="s">
        <v>17</v>
      </c>
      <c r="B997" s="15" t="s">
        <v>13888</v>
      </c>
      <c r="C997" s="14" t="s">
        <v>12627</v>
      </c>
      <c r="D997" s="14" t="s">
        <v>12628</v>
      </c>
      <c r="E997" s="26" t="str">
        <f t="shared" si="22"/>
        <v>http://dx.doi.org/10.1109/VISUAL.2002.1183809</v>
      </c>
      <c r="F997" s="14">
        <v>467.0</v>
      </c>
      <c r="G997" s="14">
        <v>474.0</v>
      </c>
      <c r="H997" s="14" t="s">
        <v>28</v>
      </c>
      <c r="I997" s="19" t="s">
        <v>14317</v>
      </c>
      <c r="J997" s="19" t="s">
        <v>12633</v>
      </c>
      <c r="K997" s="19" t="s">
        <v>14318</v>
      </c>
      <c r="L997" s="19" t="s">
        <v>14319</v>
      </c>
      <c r="M997" s="20" t="s">
        <v>12635</v>
      </c>
      <c r="N997" s="44" t="s">
        <v>12636</v>
      </c>
      <c r="O997" s="22">
        <v>26.0</v>
      </c>
      <c r="P997" s="28">
        <v>5.0</v>
      </c>
      <c r="Q997" s="28">
        <v>12.0</v>
      </c>
      <c r="R997" s="84"/>
      <c r="S997" s="84"/>
      <c r="T997" s="84"/>
      <c r="U997" s="84"/>
      <c r="V997" s="84"/>
      <c r="W997" s="84"/>
      <c r="X997" s="84"/>
      <c r="Y997" s="84"/>
      <c r="Z997" s="84"/>
      <c r="AA997" s="84"/>
    </row>
    <row r="998" ht="15.75" customHeight="1">
      <c r="A998" s="14" t="s">
        <v>17</v>
      </c>
      <c r="B998" s="15" t="s">
        <v>13888</v>
      </c>
      <c r="C998" s="14" t="s">
        <v>12637</v>
      </c>
      <c r="D998" s="14" t="s">
        <v>12638</v>
      </c>
      <c r="E998" s="26" t="str">
        <f t="shared" si="22"/>
        <v>http://dx.doi.org/10.1109/VISUAL.2002.1183810</v>
      </c>
      <c r="F998" s="14">
        <v>475.0</v>
      </c>
      <c r="G998" s="14">
        <v>482.0</v>
      </c>
      <c r="H998" s="14" t="s">
        <v>28</v>
      </c>
      <c r="I998" s="19" t="s">
        <v>14320</v>
      </c>
      <c r="J998" s="19" t="s">
        <v>12640</v>
      </c>
      <c r="K998" s="19" t="s">
        <v>14322</v>
      </c>
      <c r="L998" s="19" t="s">
        <v>14324</v>
      </c>
      <c r="M998" s="20" t="s">
        <v>12642</v>
      </c>
      <c r="N998" s="44" t="s">
        <v>12643</v>
      </c>
      <c r="O998" s="22">
        <v>94.0</v>
      </c>
      <c r="P998" s="28">
        <v>21.0</v>
      </c>
      <c r="Q998" s="28">
        <v>23.0</v>
      </c>
      <c r="R998" s="84"/>
      <c r="S998" s="84"/>
      <c r="T998" s="84"/>
      <c r="U998" s="84"/>
      <c r="V998" s="84"/>
      <c r="W998" s="84"/>
      <c r="X998" s="84"/>
      <c r="Y998" s="84"/>
      <c r="Z998" s="84"/>
      <c r="AA998" s="84"/>
    </row>
    <row r="999" ht="15.75" customHeight="1">
      <c r="A999" s="14" t="s">
        <v>17</v>
      </c>
      <c r="B999" s="15" t="s">
        <v>13888</v>
      </c>
      <c r="C999" s="14" t="s">
        <v>12644</v>
      </c>
      <c r="D999" s="14" t="s">
        <v>12645</v>
      </c>
      <c r="E999" s="26" t="str">
        <f t="shared" si="22"/>
        <v>http://dx.doi.org/10.1109/VISUAL.2002.1183811</v>
      </c>
      <c r="F999" s="14">
        <v>485.0</v>
      </c>
      <c r="G999" s="14">
        <v>488.0</v>
      </c>
      <c r="H999" s="14" t="s">
        <v>28</v>
      </c>
      <c r="I999" s="19" t="s">
        <v>14328</v>
      </c>
      <c r="J999" s="19" t="s">
        <v>12651</v>
      </c>
      <c r="K999" s="19" t="s">
        <v>14329</v>
      </c>
      <c r="L999" s="19" t="s">
        <v>14330</v>
      </c>
      <c r="M999" s="20" t="s">
        <v>12653</v>
      </c>
      <c r="N999" s="44" t="s">
        <v>12654</v>
      </c>
      <c r="O999" s="22">
        <v>12.0</v>
      </c>
      <c r="P999" s="28">
        <v>6.0</v>
      </c>
      <c r="Q999" s="28">
        <v>16.0</v>
      </c>
      <c r="R999" s="84"/>
      <c r="S999" s="84"/>
      <c r="T999" s="84"/>
      <c r="U999" s="84"/>
      <c r="V999" s="84"/>
      <c r="W999" s="84"/>
      <c r="X999" s="84"/>
      <c r="Y999" s="84"/>
      <c r="Z999" s="84"/>
      <c r="AA999" s="84"/>
    </row>
    <row r="1000" ht="15.75" customHeight="1">
      <c r="A1000" s="14" t="s">
        <v>17</v>
      </c>
      <c r="B1000" s="15" t="s">
        <v>13888</v>
      </c>
      <c r="C1000" s="14" t="s">
        <v>12655</v>
      </c>
      <c r="D1000" s="14" t="s">
        <v>12656</v>
      </c>
      <c r="E1000" s="26" t="str">
        <f t="shared" si="22"/>
        <v>http://dx.doi.org/10.1109/VISUAL.2002.1183812</v>
      </c>
      <c r="F1000" s="14">
        <v>489.0</v>
      </c>
      <c r="G1000" s="14">
        <v>492.0</v>
      </c>
      <c r="H1000" s="14" t="s">
        <v>28</v>
      </c>
      <c r="I1000" s="19" t="s">
        <v>14337</v>
      </c>
      <c r="J1000" s="19" t="s">
        <v>14338</v>
      </c>
      <c r="K1000" s="19" t="s">
        <v>14339</v>
      </c>
      <c r="L1000" s="19" t="s">
        <v>14340</v>
      </c>
      <c r="M1000" s="20" t="s">
        <v>12663</v>
      </c>
      <c r="N1000" s="44" t="s">
        <v>12664</v>
      </c>
      <c r="O1000" s="22">
        <v>20.0</v>
      </c>
      <c r="P1000" s="28">
        <v>4.0</v>
      </c>
      <c r="Q1000" s="28">
        <v>14.0</v>
      </c>
      <c r="R1000" s="84"/>
      <c r="S1000" s="84"/>
      <c r="T1000" s="84"/>
      <c r="U1000" s="84"/>
      <c r="V1000" s="84"/>
      <c r="W1000" s="84"/>
      <c r="X1000" s="84"/>
      <c r="Y1000" s="84"/>
      <c r="Z1000" s="84"/>
      <c r="AA1000" s="84"/>
    </row>
    <row r="1001" ht="15.75" customHeight="1">
      <c r="A1001" s="14" t="s">
        <v>17</v>
      </c>
      <c r="B1001" s="15" t="s">
        <v>13888</v>
      </c>
      <c r="C1001" s="14" t="s">
        <v>12665</v>
      </c>
      <c r="D1001" s="14" t="s">
        <v>12666</v>
      </c>
      <c r="E1001" s="26" t="str">
        <f t="shared" si="22"/>
        <v>http://dx.doi.org/10.1109/VISUAL.2002.1183813</v>
      </c>
      <c r="F1001" s="14">
        <v>493.0</v>
      </c>
      <c r="G1001" s="14">
        <v>496.0</v>
      </c>
      <c r="H1001" s="14" t="s">
        <v>28</v>
      </c>
      <c r="I1001" s="19" t="s">
        <v>14346</v>
      </c>
      <c r="J1001" s="19" t="s">
        <v>12671</v>
      </c>
      <c r="K1001" s="19" t="s">
        <v>14347</v>
      </c>
      <c r="L1001" s="19" t="s">
        <v>14348</v>
      </c>
      <c r="M1001" s="20" t="s">
        <v>25</v>
      </c>
      <c r="N1001" s="44" t="s">
        <v>12673</v>
      </c>
      <c r="O1001" s="22">
        <v>50.0</v>
      </c>
      <c r="P1001" s="28">
        <v>1.0</v>
      </c>
      <c r="Q1001" s="28">
        <v>16.0</v>
      </c>
      <c r="R1001" s="84"/>
      <c r="S1001" s="84"/>
      <c r="T1001" s="84"/>
      <c r="U1001" s="84"/>
      <c r="V1001" s="84"/>
      <c r="W1001" s="84"/>
      <c r="X1001" s="84"/>
      <c r="Y1001" s="84"/>
      <c r="Z1001" s="84"/>
      <c r="AA1001" s="84"/>
    </row>
    <row r="1002" ht="15.75" customHeight="1">
      <c r="A1002" s="14" t="s">
        <v>17</v>
      </c>
      <c r="B1002" s="15" t="s">
        <v>13888</v>
      </c>
      <c r="C1002" s="14" t="s">
        <v>12674</v>
      </c>
      <c r="D1002" s="14" t="s">
        <v>12675</v>
      </c>
      <c r="E1002" s="26" t="str">
        <f t="shared" si="22"/>
        <v>http://dx.doi.org/10.1109/VISUAL.2002.1183814</v>
      </c>
      <c r="F1002" s="14">
        <v>497.0</v>
      </c>
      <c r="G1002" s="14">
        <v>500.0</v>
      </c>
      <c r="H1002" s="14" t="s">
        <v>28</v>
      </c>
      <c r="I1002" s="19" t="s">
        <v>14349</v>
      </c>
      <c r="J1002" s="19" t="s">
        <v>12682</v>
      </c>
      <c r="K1002" s="19" t="s">
        <v>14351</v>
      </c>
      <c r="L1002" s="19" t="s">
        <v>14045</v>
      </c>
      <c r="M1002" s="20" t="s">
        <v>12684</v>
      </c>
      <c r="N1002" s="44" t="s">
        <v>12130</v>
      </c>
      <c r="O1002" s="22">
        <v>50.0</v>
      </c>
      <c r="P1002" s="28">
        <v>7.0</v>
      </c>
      <c r="Q1002" s="28">
        <v>16.0</v>
      </c>
      <c r="R1002" s="84"/>
      <c r="S1002" s="84"/>
      <c r="T1002" s="84"/>
      <c r="U1002" s="84"/>
      <c r="V1002" s="84"/>
      <c r="W1002" s="84"/>
      <c r="X1002" s="84"/>
      <c r="Y1002" s="84"/>
      <c r="Z1002" s="84"/>
      <c r="AA1002" s="84"/>
    </row>
    <row r="1003" ht="15.75" customHeight="1">
      <c r="A1003" s="14" t="s">
        <v>17</v>
      </c>
      <c r="B1003" s="15" t="s">
        <v>13888</v>
      </c>
      <c r="C1003" s="14" t="s">
        <v>12685</v>
      </c>
      <c r="D1003" s="14" t="s">
        <v>12686</v>
      </c>
      <c r="E1003" s="26" t="str">
        <f t="shared" si="22"/>
        <v>http://dx.doi.org/10.1109/VISUAL.2002.1183815</v>
      </c>
      <c r="F1003" s="14">
        <v>501.0</v>
      </c>
      <c r="G1003" s="14">
        <v>504.0</v>
      </c>
      <c r="H1003" s="14" t="s">
        <v>28</v>
      </c>
      <c r="I1003" s="19" t="s">
        <v>14358</v>
      </c>
      <c r="J1003" s="19" t="s">
        <v>12693</v>
      </c>
      <c r="K1003" s="19" t="s">
        <v>14359</v>
      </c>
      <c r="L1003" s="19" t="s">
        <v>14361</v>
      </c>
      <c r="M1003" s="20" t="s">
        <v>3859</v>
      </c>
      <c r="N1003" s="44" t="s">
        <v>12695</v>
      </c>
      <c r="O1003" s="22">
        <v>50.0</v>
      </c>
      <c r="P1003" s="28">
        <v>4.0</v>
      </c>
      <c r="Q1003" s="28">
        <v>15.0</v>
      </c>
      <c r="R1003" s="84"/>
      <c r="S1003" s="84"/>
      <c r="T1003" s="84"/>
      <c r="U1003" s="84"/>
      <c r="V1003" s="84"/>
      <c r="W1003" s="84"/>
      <c r="X1003" s="84"/>
      <c r="Y1003" s="84"/>
      <c r="Z1003" s="84"/>
      <c r="AA1003" s="84"/>
    </row>
    <row r="1004" ht="15.75" customHeight="1">
      <c r="A1004" s="14" t="s">
        <v>17</v>
      </c>
      <c r="B1004" s="15" t="s">
        <v>13888</v>
      </c>
      <c r="C1004" s="14" t="s">
        <v>12696</v>
      </c>
      <c r="D1004" s="14" t="s">
        <v>12697</v>
      </c>
      <c r="E1004" s="26" t="str">
        <f t="shared" si="22"/>
        <v>http://dx.doi.org/10.1109/VISUAL.2002.1183816</v>
      </c>
      <c r="F1004" s="14">
        <v>505.0</v>
      </c>
      <c r="G1004" s="14">
        <v>508.0</v>
      </c>
      <c r="H1004" s="14" t="s">
        <v>28</v>
      </c>
      <c r="I1004" s="19" t="s">
        <v>14367</v>
      </c>
      <c r="J1004" s="19" t="s">
        <v>12699</v>
      </c>
      <c r="K1004" s="19" t="s">
        <v>14369</v>
      </c>
      <c r="L1004" s="19" t="s">
        <v>14292</v>
      </c>
      <c r="M1004" s="20"/>
      <c r="N1004" s="44" t="s">
        <v>12700</v>
      </c>
      <c r="O1004" s="22">
        <v>85.0</v>
      </c>
      <c r="P1004" s="28">
        <v>16.0</v>
      </c>
      <c r="Q1004" s="28">
        <v>10.0</v>
      </c>
      <c r="R1004" s="84"/>
      <c r="S1004" s="84"/>
      <c r="T1004" s="84"/>
      <c r="U1004" s="84"/>
      <c r="V1004" s="84"/>
      <c r="W1004" s="84"/>
      <c r="X1004" s="84"/>
      <c r="Y1004" s="84"/>
      <c r="Z1004" s="84"/>
      <c r="AA1004" s="84"/>
    </row>
    <row r="1005" ht="15.75" customHeight="1">
      <c r="A1005" s="14" t="s">
        <v>17</v>
      </c>
      <c r="B1005" s="15" t="s">
        <v>13888</v>
      </c>
      <c r="C1005" s="14" t="s">
        <v>12701</v>
      </c>
      <c r="D1005" s="14" t="s">
        <v>12702</v>
      </c>
      <c r="E1005" s="26" t="str">
        <f t="shared" si="22"/>
        <v>http://dx.doi.org/10.1109/VISUAL.2002.1183817</v>
      </c>
      <c r="F1005" s="14">
        <v>509.0</v>
      </c>
      <c r="G1005" s="14">
        <v>512.0</v>
      </c>
      <c r="H1005" s="14" t="s">
        <v>28</v>
      </c>
      <c r="I1005" s="19" t="s">
        <v>14376</v>
      </c>
      <c r="J1005" s="19" t="s">
        <v>12707</v>
      </c>
      <c r="K1005" s="19" t="s">
        <v>14377</v>
      </c>
      <c r="L1005" s="19" t="s">
        <v>14378</v>
      </c>
      <c r="M1005" s="20"/>
      <c r="N1005" s="44" t="s">
        <v>12709</v>
      </c>
      <c r="O1005" s="22">
        <v>50.0</v>
      </c>
      <c r="P1005" s="28">
        <v>3.0</v>
      </c>
      <c r="Q1005" s="28">
        <v>3.0</v>
      </c>
      <c r="R1005" s="84"/>
      <c r="S1005" s="84"/>
      <c r="T1005" s="84"/>
      <c r="U1005" s="84"/>
      <c r="V1005" s="84"/>
      <c r="W1005" s="84"/>
      <c r="X1005" s="84"/>
      <c r="Y1005" s="84"/>
      <c r="Z1005" s="84"/>
      <c r="AA1005" s="84"/>
    </row>
    <row r="1006" ht="15.75" customHeight="1">
      <c r="A1006" s="14" t="s">
        <v>17</v>
      </c>
      <c r="B1006" s="15" t="s">
        <v>13888</v>
      </c>
      <c r="C1006" s="14" t="s">
        <v>12710</v>
      </c>
      <c r="D1006" s="14" t="s">
        <v>12711</v>
      </c>
      <c r="E1006" s="26" t="str">
        <f t="shared" si="22"/>
        <v>http://dx.doi.org/10.1109/VISUAL.2002.1183818</v>
      </c>
      <c r="F1006" s="14">
        <v>513.0</v>
      </c>
      <c r="G1006" s="14">
        <v>516.0</v>
      </c>
      <c r="H1006" s="14" t="s">
        <v>28</v>
      </c>
      <c r="I1006" s="19" t="s">
        <v>14384</v>
      </c>
      <c r="J1006" s="19" t="s">
        <v>12715</v>
      </c>
      <c r="K1006" s="19" t="s">
        <v>14386</v>
      </c>
      <c r="L1006" s="19" t="s">
        <v>14387</v>
      </c>
      <c r="M1006" s="20"/>
      <c r="N1006" s="44" t="s">
        <v>12719</v>
      </c>
      <c r="O1006" s="109"/>
      <c r="P1006" s="28">
        <v>2.0</v>
      </c>
      <c r="Q1006" s="28">
        <v>2.0</v>
      </c>
      <c r="R1006" s="84"/>
      <c r="S1006" s="84"/>
      <c r="T1006" s="84"/>
      <c r="U1006" s="84"/>
      <c r="V1006" s="84"/>
      <c r="W1006" s="84"/>
      <c r="X1006" s="84"/>
      <c r="Y1006" s="84"/>
      <c r="Z1006" s="84"/>
      <c r="AA1006" s="84"/>
    </row>
    <row r="1007" ht="15.75" customHeight="1">
      <c r="A1007" s="14" t="s">
        <v>17</v>
      </c>
      <c r="B1007" s="15" t="s">
        <v>13888</v>
      </c>
      <c r="C1007" s="14" t="s">
        <v>12721</v>
      </c>
      <c r="D1007" s="14" t="s">
        <v>12722</v>
      </c>
      <c r="E1007" s="26" t="str">
        <f t="shared" si="22"/>
        <v>http://dx.doi.org/10.1109/VISUAL.2002.1183819</v>
      </c>
      <c r="F1007" s="14">
        <v>517.0</v>
      </c>
      <c r="G1007" s="14">
        <v>520.0</v>
      </c>
      <c r="H1007" s="14" t="s">
        <v>28</v>
      </c>
      <c r="I1007" s="19" t="s">
        <v>14388</v>
      </c>
      <c r="J1007" s="19" t="s">
        <v>12726</v>
      </c>
      <c r="K1007" s="19" t="s">
        <v>14389</v>
      </c>
      <c r="L1007" s="19" t="s">
        <v>14390</v>
      </c>
      <c r="M1007" s="20" t="s">
        <v>12728</v>
      </c>
      <c r="N1007" s="44" t="s">
        <v>12729</v>
      </c>
      <c r="O1007" s="22">
        <v>50.0</v>
      </c>
      <c r="P1007" s="28">
        <v>5.0</v>
      </c>
      <c r="Q1007" s="28">
        <v>9.0</v>
      </c>
      <c r="R1007" s="84"/>
      <c r="S1007" s="84"/>
      <c r="T1007" s="84"/>
      <c r="U1007" s="84"/>
      <c r="V1007" s="84"/>
      <c r="W1007" s="84"/>
      <c r="X1007" s="84"/>
      <c r="Y1007" s="84"/>
      <c r="Z1007" s="84"/>
      <c r="AA1007" s="84"/>
    </row>
    <row r="1008" ht="15.75" customHeight="1">
      <c r="A1008" s="14" t="s">
        <v>17</v>
      </c>
      <c r="B1008" s="15" t="s">
        <v>13888</v>
      </c>
      <c r="C1008" s="14" t="s">
        <v>12730</v>
      </c>
      <c r="D1008" s="14" t="s">
        <v>12731</v>
      </c>
      <c r="E1008" s="26" t="str">
        <f t="shared" si="22"/>
        <v>http://dx.doi.org/10.1109/VISUAL.2002.1183820</v>
      </c>
      <c r="F1008" s="14">
        <v>521.0</v>
      </c>
      <c r="G1008" s="14">
        <v>524.0</v>
      </c>
      <c r="H1008" s="14" t="s">
        <v>28</v>
      </c>
      <c r="I1008" s="19" t="s">
        <v>14397</v>
      </c>
      <c r="J1008" s="19" t="s">
        <v>12740</v>
      </c>
      <c r="K1008" s="19" t="s">
        <v>14398</v>
      </c>
      <c r="L1008" s="19" t="s">
        <v>14399</v>
      </c>
      <c r="M1008" s="20" t="s">
        <v>1558</v>
      </c>
      <c r="N1008" s="44" t="s">
        <v>12742</v>
      </c>
      <c r="O1008" s="22">
        <v>25.0</v>
      </c>
      <c r="P1008" s="28">
        <v>5.0</v>
      </c>
      <c r="Q1008" s="28">
        <v>10.0</v>
      </c>
      <c r="R1008" s="84"/>
      <c r="S1008" s="84"/>
      <c r="T1008" s="84"/>
      <c r="U1008" s="84"/>
      <c r="V1008" s="84"/>
      <c r="W1008" s="84"/>
      <c r="X1008" s="84"/>
      <c r="Y1008" s="84"/>
      <c r="Z1008" s="84"/>
      <c r="AA1008" s="84"/>
    </row>
    <row r="1009" ht="15.75" customHeight="1">
      <c r="A1009" s="14" t="s">
        <v>17</v>
      </c>
      <c r="B1009" s="15" t="s">
        <v>13888</v>
      </c>
      <c r="C1009" s="14" t="s">
        <v>12743</v>
      </c>
      <c r="D1009" s="14" t="s">
        <v>12744</v>
      </c>
      <c r="E1009" s="26" t="str">
        <f t="shared" si="22"/>
        <v>http://dx.doi.org/10.1109/VISUAL.2002.1183821</v>
      </c>
      <c r="F1009" s="14">
        <v>525.0</v>
      </c>
      <c r="G1009" s="14">
        <v>528.0</v>
      </c>
      <c r="H1009" s="14" t="s">
        <v>28</v>
      </c>
      <c r="I1009" s="19" t="s">
        <v>14400</v>
      </c>
      <c r="J1009" s="19" t="s">
        <v>12753</v>
      </c>
      <c r="K1009" s="19" t="s">
        <v>14403</v>
      </c>
      <c r="L1009" s="19" t="s">
        <v>3935</v>
      </c>
      <c r="M1009" s="20" t="s">
        <v>12755</v>
      </c>
      <c r="N1009" s="44" t="s">
        <v>12756</v>
      </c>
      <c r="O1009" s="22">
        <v>33.0</v>
      </c>
      <c r="P1009" s="28">
        <v>9.0</v>
      </c>
      <c r="Q1009" s="28">
        <v>9.0</v>
      </c>
      <c r="R1009" s="84"/>
      <c r="S1009" s="84"/>
      <c r="T1009" s="84"/>
      <c r="U1009" s="84"/>
      <c r="V1009" s="84"/>
      <c r="W1009" s="84"/>
      <c r="X1009" s="84"/>
      <c r="Y1009" s="84"/>
      <c r="Z1009" s="84"/>
      <c r="AA1009" s="84"/>
    </row>
    <row r="1010" ht="15.75" customHeight="1">
      <c r="A1010" s="14" t="s">
        <v>17</v>
      </c>
      <c r="B1010" s="15" t="s">
        <v>13888</v>
      </c>
      <c r="C1010" s="14" t="s">
        <v>12757</v>
      </c>
      <c r="D1010" s="14" t="s">
        <v>12758</v>
      </c>
      <c r="E1010" s="26" t="str">
        <f t="shared" si="22"/>
        <v>http://dx.doi.org/10.1109/VISUAL.2002.1183822</v>
      </c>
      <c r="F1010" s="14">
        <v>529.0</v>
      </c>
      <c r="G1010" s="14">
        <v>532.0</v>
      </c>
      <c r="H1010" s="14" t="s">
        <v>28</v>
      </c>
      <c r="I1010" s="19" t="s">
        <v>14408</v>
      </c>
      <c r="J1010" s="19" t="s">
        <v>12762</v>
      </c>
      <c r="K1010" s="19" t="s">
        <v>14409</v>
      </c>
      <c r="L1010" s="19" t="s">
        <v>14410</v>
      </c>
      <c r="M1010" s="20" t="s">
        <v>12764</v>
      </c>
      <c r="N1010" s="44" t="s">
        <v>12765</v>
      </c>
      <c r="O1010" s="22">
        <v>11.0</v>
      </c>
      <c r="P1010" s="28">
        <v>2.0</v>
      </c>
      <c r="Q1010" s="28">
        <v>16.0</v>
      </c>
      <c r="R1010" s="84"/>
      <c r="S1010" s="84"/>
      <c r="T1010" s="84"/>
      <c r="U1010" s="84"/>
      <c r="V1010" s="84"/>
      <c r="W1010" s="84"/>
      <c r="X1010" s="84"/>
      <c r="Y1010" s="84"/>
      <c r="Z1010" s="84"/>
      <c r="AA1010" s="84"/>
    </row>
    <row r="1011" ht="15.75" customHeight="1">
      <c r="A1011" s="14" t="s">
        <v>17</v>
      </c>
      <c r="B1011" s="15" t="s">
        <v>13888</v>
      </c>
      <c r="C1011" s="14" t="s">
        <v>12766</v>
      </c>
      <c r="D1011" s="14" t="s">
        <v>12767</v>
      </c>
      <c r="E1011" s="26" t="str">
        <f t="shared" si="22"/>
        <v>http://dx.doi.org/10.1109/VISUAL.2002.1183823</v>
      </c>
      <c r="F1011" s="14">
        <v>533.0</v>
      </c>
      <c r="G1011" s="14">
        <v>536.0</v>
      </c>
      <c r="H1011" s="14" t="s">
        <v>28</v>
      </c>
      <c r="I1011" s="19" t="s">
        <v>14412</v>
      </c>
      <c r="J1011" s="19" t="s">
        <v>12772</v>
      </c>
      <c r="K1011" s="19" t="s">
        <v>14415</v>
      </c>
      <c r="L1011" s="19" t="s">
        <v>14416</v>
      </c>
      <c r="M1011" s="20" t="s">
        <v>12774</v>
      </c>
      <c r="N1011" s="44" t="s">
        <v>12775</v>
      </c>
      <c r="O1011" s="22">
        <v>15.0</v>
      </c>
      <c r="P1011" s="28">
        <v>4.0</v>
      </c>
      <c r="Q1011" s="28">
        <v>16.0</v>
      </c>
      <c r="R1011" s="84"/>
      <c r="S1011" s="84"/>
      <c r="T1011" s="84"/>
      <c r="U1011" s="84"/>
      <c r="V1011" s="84"/>
      <c r="W1011" s="84"/>
      <c r="X1011" s="84"/>
      <c r="Y1011" s="84"/>
      <c r="Z1011" s="84"/>
      <c r="AA1011" s="84"/>
    </row>
    <row r="1012" ht="15.75" customHeight="1">
      <c r="A1012" s="14" t="s">
        <v>17</v>
      </c>
      <c r="B1012" s="15" t="s">
        <v>13888</v>
      </c>
      <c r="C1012" s="14" t="s">
        <v>12776</v>
      </c>
      <c r="D1012" s="14" t="s">
        <v>12777</v>
      </c>
      <c r="E1012" s="26" t="str">
        <f t="shared" si="22"/>
        <v>http://dx.doi.org/10.1109/VISUAL.2002.1183824</v>
      </c>
      <c r="F1012" s="14">
        <v>537.0</v>
      </c>
      <c r="G1012" s="14">
        <v>540.0</v>
      </c>
      <c r="H1012" s="14" t="s">
        <v>28</v>
      </c>
      <c r="I1012" s="19" t="s">
        <v>14418</v>
      </c>
      <c r="J1012" s="19" t="s">
        <v>14419</v>
      </c>
      <c r="K1012" s="19" t="s">
        <v>14420</v>
      </c>
      <c r="L1012" s="19" t="s">
        <v>14421</v>
      </c>
      <c r="M1012" s="20" t="s">
        <v>12731</v>
      </c>
      <c r="N1012" s="44" t="s">
        <v>12781</v>
      </c>
      <c r="O1012" s="22">
        <v>50.0</v>
      </c>
      <c r="P1012" s="28">
        <v>11.0</v>
      </c>
      <c r="Q1012" s="28">
        <v>18.0</v>
      </c>
      <c r="R1012" s="84"/>
      <c r="S1012" s="84"/>
      <c r="T1012" s="84"/>
      <c r="U1012" s="84"/>
      <c r="V1012" s="84"/>
      <c r="W1012" s="84"/>
      <c r="X1012" s="84"/>
      <c r="Y1012" s="84"/>
      <c r="Z1012" s="84"/>
      <c r="AA1012" s="84"/>
    </row>
    <row r="1013" ht="15.75" customHeight="1">
      <c r="A1013" s="14" t="s">
        <v>17</v>
      </c>
      <c r="B1013" s="15" t="s">
        <v>13888</v>
      </c>
      <c r="C1013" s="14" t="s">
        <v>12782</v>
      </c>
      <c r="D1013" s="14" t="s">
        <v>12783</v>
      </c>
      <c r="E1013" s="26" t="str">
        <f t="shared" si="22"/>
        <v>http://dx.doi.org/10.1109/VISUAL.2002.1183825</v>
      </c>
      <c r="F1013" s="14">
        <v>541.0</v>
      </c>
      <c r="G1013" s="14">
        <v>544.0</v>
      </c>
      <c r="H1013" s="14" t="s">
        <v>28</v>
      </c>
      <c r="I1013" s="19" t="s">
        <v>14426</v>
      </c>
      <c r="J1013" s="19" t="s">
        <v>12787</v>
      </c>
      <c r="K1013" s="19" t="s">
        <v>14427</v>
      </c>
      <c r="L1013" s="18"/>
      <c r="M1013" s="20"/>
      <c r="N1013" s="44" t="s">
        <v>12789</v>
      </c>
      <c r="O1013" s="22">
        <v>0.0</v>
      </c>
      <c r="P1013" s="28">
        <v>0.0</v>
      </c>
      <c r="Q1013" s="28">
        <v>11.0</v>
      </c>
      <c r="R1013" s="84"/>
      <c r="S1013" s="84"/>
      <c r="T1013" s="84"/>
      <c r="U1013" s="84"/>
      <c r="V1013" s="84"/>
      <c r="W1013" s="84"/>
      <c r="X1013" s="84"/>
      <c r="Y1013" s="84"/>
      <c r="Z1013" s="84"/>
      <c r="AA1013" s="84"/>
    </row>
    <row r="1014" ht="15.75" customHeight="1">
      <c r="A1014" s="14" t="s">
        <v>17</v>
      </c>
      <c r="B1014" s="15" t="s">
        <v>13888</v>
      </c>
      <c r="C1014" s="14" t="s">
        <v>12790</v>
      </c>
      <c r="D1014" s="14" t="s">
        <v>12791</v>
      </c>
      <c r="E1014" s="26" t="str">
        <f t="shared" si="22"/>
        <v>http://dx.doi.org/10.1109/VISUAL.2002.1183826</v>
      </c>
      <c r="F1014" s="14">
        <v>545.0</v>
      </c>
      <c r="G1014" s="14">
        <v>548.0</v>
      </c>
      <c r="H1014" s="14" t="s">
        <v>28</v>
      </c>
      <c r="I1014" s="19" t="s">
        <v>14428</v>
      </c>
      <c r="J1014" s="19" t="s">
        <v>12621</v>
      </c>
      <c r="K1014" s="19" t="s">
        <v>12622</v>
      </c>
      <c r="L1014" s="19" t="s">
        <v>13835</v>
      </c>
      <c r="M1014" s="20" t="s">
        <v>11166</v>
      </c>
      <c r="N1014" s="44" t="s">
        <v>12793</v>
      </c>
      <c r="O1014" s="22">
        <v>22.0</v>
      </c>
      <c r="P1014" s="28">
        <v>4.0</v>
      </c>
      <c r="Q1014" s="28">
        <v>14.0</v>
      </c>
      <c r="R1014" s="84"/>
      <c r="S1014" s="84"/>
      <c r="T1014" s="84"/>
      <c r="U1014" s="84"/>
      <c r="V1014" s="84"/>
      <c r="W1014" s="84"/>
      <c r="X1014" s="84"/>
      <c r="Y1014" s="84"/>
      <c r="Z1014" s="84"/>
      <c r="AA1014" s="84"/>
    </row>
    <row r="1015" ht="15.75" customHeight="1">
      <c r="A1015" s="14" t="s">
        <v>17</v>
      </c>
      <c r="B1015" s="15" t="s">
        <v>13888</v>
      </c>
      <c r="C1015" s="14" t="s">
        <v>12794</v>
      </c>
      <c r="D1015" s="14" t="s">
        <v>12795</v>
      </c>
      <c r="E1015" s="26" t="str">
        <f t="shared" si="22"/>
        <v>http://dx.doi.org/10.1109/VISUAL.2002.1183827</v>
      </c>
      <c r="F1015" s="14">
        <v>549.0</v>
      </c>
      <c r="G1015" s="14">
        <v>552.0</v>
      </c>
      <c r="H1015" s="14" t="s">
        <v>28</v>
      </c>
      <c r="I1015" s="19" t="s">
        <v>14435</v>
      </c>
      <c r="J1015" s="19" t="s">
        <v>1672</v>
      </c>
      <c r="K1015" s="19" t="s">
        <v>2331</v>
      </c>
      <c r="L1015" s="19" t="s">
        <v>1092</v>
      </c>
      <c r="M1015" s="20" t="s">
        <v>12803</v>
      </c>
      <c r="N1015" s="44" t="s">
        <v>12804</v>
      </c>
      <c r="O1015" s="22">
        <v>4.0</v>
      </c>
      <c r="P1015" s="28">
        <v>2.0</v>
      </c>
      <c r="Q1015" s="28">
        <v>10.0</v>
      </c>
      <c r="R1015" s="84"/>
      <c r="S1015" s="84"/>
      <c r="T1015" s="84"/>
      <c r="U1015" s="84"/>
      <c r="V1015" s="84"/>
      <c r="W1015" s="84"/>
      <c r="X1015" s="84"/>
      <c r="Y1015" s="84"/>
      <c r="Z1015" s="84"/>
      <c r="AA1015" s="84"/>
    </row>
    <row r="1016" ht="15.75" customHeight="1">
      <c r="A1016" s="14" t="s">
        <v>17</v>
      </c>
      <c r="B1016" s="15" t="s">
        <v>13888</v>
      </c>
      <c r="C1016" s="14" t="s">
        <v>12805</v>
      </c>
      <c r="D1016" s="14" t="s">
        <v>12806</v>
      </c>
      <c r="E1016" s="26" t="str">
        <f t="shared" si="22"/>
        <v>http://dx.doi.org/10.1109/VISUAL.2002.1183828</v>
      </c>
      <c r="F1016" s="14">
        <v>553.0</v>
      </c>
      <c r="G1016" s="14">
        <v>556.0</v>
      </c>
      <c r="H1016" s="14" t="s">
        <v>28</v>
      </c>
      <c r="I1016" s="19" t="s">
        <v>14436</v>
      </c>
      <c r="J1016" s="19" t="s">
        <v>12813</v>
      </c>
      <c r="K1016" s="19" t="s">
        <v>14438</v>
      </c>
      <c r="L1016" s="19" t="s">
        <v>14050</v>
      </c>
      <c r="M1016" s="20" t="s">
        <v>9761</v>
      </c>
      <c r="N1016" s="44" t="s">
        <v>12817</v>
      </c>
      <c r="O1016" s="22">
        <v>50.0</v>
      </c>
      <c r="P1016" s="28">
        <v>0.0</v>
      </c>
      <c r="Q1016" s="28">
        <v>12.0</v>
      </c>
      <c r="R1016" s="84"/>
      <c r="S1016" s="84"/>
      <c r="T1016" s="84"/>
      <c r="U1016" s="84"/>
      <c r="V1016" s="84"/>
      <c r="W1016" s="84"/>
      <c r="X1016" s="84"/>
      <c r="Y1016" s="84"/>
      <c r="Z1016" s="84"/>
      <c r="AA1016" s="84"/>
    </row>
    <row r="1017" ht="15.75" customHeight="1">
      <c r="A1017" s="14" t="s">
        <v>17</v>
      </c>
      <c r="B1017" s="15" t="s">
        <v>13888</v>
      </c>
      <c r="C1017" s="14" t="s">
        <v>12818</v>
      </c>
      <c r="D1017" s="14" t="s">
        <v>12819</v>
      </c>
      <c r="E1017" s="26" t="str">
        <f t="shared" si="22"/>
        <v>http://dx.doi.org/10.1109/VISUAL.2002.1183829</v>
      </c>
      <c r="F1017" s="14">
        <v>557.0</v>
      </c>
      <c r="G1017" s="14">
        <v>560.0</v>
      </c>
      <c r="H1017" s="14" t="s">
        <v>28</v>
      </c>
      <c r="I1017" s="19" t="s">
        <v>14443</v>
      </c>
      <c r="J1017" s="19" t="s">
        <v>12823</v>
      </c>
      <c r="K1017" s="19" t="s">
        <v>14444</v>
      </c>
      <c r="L1017" s="19" t="s">
        <v>14031</v>
      </c>
      <c r="M1017" s="20" t="s">
        <v>5346</v>
      </c>
      <c r="N1017" s="44" t="s">
        <v>12824</v>
      </c>
      <c r="O1017" s="22">
        <v>50.0</v>
      </c>
      <c r="P1017" s="28">
        <v>1.0</v>
      </c>
      <c r="Q1017" s="28">
        <v>11.0</v>
      </c>
      <c r="R1017" s="84"/>
      <c r="S1017" s="84"/>
      <c r="T1017" s="84"/>
      <c r="U1017" s="84"/>
      <c r="V1017" s="84"/>
      <c r="W1017" s="84"/>
      <c r="X1017" s="84"/>
      <c r="Y1017" s="84"/>
      <c r="Z1017" s="84"/>
      <c r="AA1017" s="84"/>
    </row>
    <row r="1018" ht="15.75" customHeight="1">
      <c r="A1018" s="14" t="s">
        <v>17</v>
      </c>
      <c r="B1018" s="15" t="s">
        <v>13888</v>
      </c>
      <c r="C1018" s="14" t="s">
        <v>12825</v>
      </c>
      <c r="D1018" s="14" t="s">
        <v>12826</v>
      </c>
      <c r="E1018" s="26" t="str">
        <f t="shared" si="22"/>
        <v>http://dx.doi.org/10.1109/VISUAL.2002.1183830</v>
      </c>
      <c r="F1018" s="14">
        <v>561.0</v>
      </c>
      <c r="G1018" s="14">
        <v>564.0</v>
      </c>
      <c r="H1018" s="14" t="s">
        <v>28</v>
      </c>
      <c r="I1018" s="19" t="s">
        <v>14452</v>
      </c>
      <c r="J1018" s="19" t="s">
        <v>3753</v>
      </c>
      <c r="K1018" s="19" t="s">
        <v>6060</v>
      </c>
      <c r="L1018" s="18"/>
      <c r="M1018" s="20"/>
      <c r="N1018" s="44" t="s">
        <v>12833</v>
      </c>
      <c r="O1018" s="22">
        <v>50.0</v>
      </c>
      <c r="P1018" s="28">
        <v>0.0</v>
      </c>
      <c r="Q1018" s="28">
        <v>8.0</v>
      </c>
      <c r="R1018" s="84"/>
      <c r="S1018" s="84"/>
      <c r="T1018" s="84"/>
      <c r="U1018" s="84"/>
      <c r="V1018" s="84"/>
      <c r="W1018" s="84"/>
      <c r="X1018" s="84"/>
      <c r="Y1018" s="84"/>
      <c r="Z1018" s="84"/>
      <c r="AA1018" s="84"/>
    </row>
    <row r="1019" ht="15.75" customHeight="1">
      <c r="A1019" s="14" t="s">
        <v>2137</v>
      </c>
      <c r="B1019" s="15" t="s">
        <v>14453</v>
      </c>
      <c r="C1019" s="14" t="s">
        <v>12836</v>
      </c>
      <c r="D1019" s="14" t="s">
        <v>12837</v>
      </c>
      <c r="E1019" s="26" t="str">
        <f t="shared" si="22"/>
        <v>http://dx.doi.org/10.1109/INFVIS.2003.1249000</v>
      </c>
      <c r="F1019" s="14"/>
      <c r="G1019" s="14"/>
      <c r="H1019" s="14" t="s">
        <v>21</v>
      </c>
      <c r="I1019" s="19" t="s">
        <v>14454</v>
      </c>
      <c r="J1019" s="19" t="s">
        <v>12842</v>
      </c>
      <c r="K1019" s="18"/>
      <c r="L1019" s="18"/>
      <c r="M1019" s="20"/>
      <c r="N1019" s="27"/>
      <c r="O1019" s="109"/>
      <c r="P1019" s="28">
        <v>0.0</v>
      </c>
      <c r="Q1019" s="28">
        <v>0.0</v>
      </c>
      <c r="R1019" s="84"/>
      <c r="S1019" s="84"/>
      <c r="T1019" s="84"/>
      <c r="U1019" s="84"/>
      <c r="V1019" s="84"/>
      <c r="W1019" s="84"/>
      <c r="X1019" s="84"/>
      <c r="Y1019" s="84"/>
      <c r="Z1019" s="84"/>
      <c r="AA1019" s="84"/>
    </row>
    <row r="1020" ht="15.75" customHeight="1">
      <c r="A1020" s="14" t="s">
        <v>2137</v>
      </c>
      <c r="B1020" s="15" t="s">
        <v>14453</v>
      </c>
      <c r="C1020" s="14" t="s">
        <v>12843</v>
      </c>
      <c r="D1020" s="14" t="s">
        <v>12844</v>
      </c>
      <c r="E1020" s="26" t="str">
        <f t="shared" si="22"/>
        <v>http://dx.doi.org/10.1109/INFVIS.2003.1249001</v>
      </c>
      <c r="F1020" s="14">
        <v>3.0</v>
      </c>
      <c r="G1020" s="14">
        <v>3.0</v>
      </c>
      <c r="H1020" s="14" t="s">
        <v>21</v>
      </c>
      <c r="I1020" s="18"/>
      <c r="J1020" s="19" t="s">
        <v>12848</v>
      </c>
      <c r="K1020" s="19" t="s">
        <v>14460</v>
      </c>
      <c r="L1020" s="19" t="s">
        <v>14461</v>
      </c>
      <c r="M1020" s="20"/>
      <c r="N1020" s="27"/>
      <c r="O1020" s="31"/>
      <c r="P1020" s="28">
        <v>1.0</v>
      </c>
      <c r="Q1020" s="28">
        <v>0.0</v>
      </c>
      <c r="R1020" s="84"/>
      <c r="S1020" s="84"/>
      <c r="T1020" s="84"/>
      <c r="U1020" s="84"/>
      <c r="V1020" s="84"/>
      <c r="W1020" s="84"/>
      <c r="X1020" s="84"/>
      <c r="Y1020" s="84"/>
      <c r="Z1020" s="84"/>
      <c r="AA1020" s="84"/>
    </row>
    <row r="1021" ht="15.75" customHeight="1">
      <c r="A1021" s="14" t="s">
        <v>2137</v>
      </c>
      <c r="B1021" s="15" t="s">
        <v>14453</v>
      </c>
      <c r="C1021" s="14" t="s">
        <v>12850</v>
      </c>
      <c r="D1021" s="14" t="s">
        <v>12851</v>
      </c>
      <c r="E1021" s="26" t="str">
        <f t="shared" si="22"/>
        <v>http://dx.doi.org/10.1109/INFVIS.2003.1249002</v>
      </c>
      <c r="F1021" s="14">
        <v>7.0</v>
      </c>
      <c r="G1021" s="14"/>
      <c r="H1021" s="14" t="s">
        <v>21</v>
      </c>
      <c r="I1021" s="19" t="s">
        <v>14466</v>
      </c>
      <c r="J1021" s="19" t="s">
        <v>12853</v>
      </c>
      <c r="K1021" s="19" t="s">
        <v>14469</v>
      </c>
      <c r="L1021" s="19" t="s">
        <v>14470</v>
      </c>
      <c r="M1021" s="20"/>
      <c r="N1021" s="27"/>
      <c r="O1021" s="22">
        <v>4.0</v>
      </c>
      <c r="P1021" s="28">
        <v>0.0</v>
      </c>
      <c r="Q1021" s="28">
        <v>0.0</v>
      </c>
      <c r="R1021" s="84"/>
      <c r="S1021" s="84"/>
      <c r="T1021" s="84"/>
      <c r="U1021" s="84"/>
      <c r="V1021" s="84"/>
      <c r="W1021" s="84"/>
      <c r="X1021" s="84"/>
      <c r="Y1021" s="84"/>
      <c r="Z1021" s="84"/>
      <c r="AA1021" s="84"/>
    </row>
    <row r="1022" ht="15.75" customHeight="1">
      <c r="A1022" s="14" t="s">
        <v>2137</v>
      </c>
      <c r="B1022" s="15" t="s">
        <v>14453</v>
      </c>
      <c r="C1022" s="14" t="s">
        <v>12855</v>
      </c>
      <c r="D1022" s="14" t="s">
        <v>12856</v>
      </c>
      <c r="E1022" s="26" t="str">
        <f t="shared" si="22"/>
        <v>http://dx.doi.org/10.1109/INFVIS.2003.1249003</v>
      </c>
      <c r="F1022" s="14">
        <v>11.0</v>
      </c>
      <c r="G1022" s="14">
        <v>11.0</v>
      </c>
      <c r="H1022" s="14" t="s">
        <v>21</v>
      </c>
      <c r="I1022" s="18"/>
      <c r="J1022" s="19" t="s">
        <v>12858</v>
      </c>
      <c r="K1022" s="19" t="s">
        <v>14472</v>
      </c>
      <c r="L1022" s="19" t="s">
        <v>14473</v>
      </c>
      <c r="M1022" s="20"/>
      <c r="N1022" s="27"/>
      <c r="O1022" s="109"/>
      <c r="P1022" s="28">
        <v>0.0</v>
      </c>
      <c r="Q1022" s="28">
        <v>0.0</v>
      </c>
      <c r="R1022" s="84"/>
      <c r="S1022" s="84"/>
      <c r="T1022" s="84"/>
      <c r="U1022" s="84"/>
      <c r="V1022" s="84"/>
      <c r="W1022" s="84"/>
      <c r="X1022" s="84"/>
      <c r="Y1022" s="84"/>
      <c r="Z1022" s="84"/>
      <c r="AA1022" s="84"/>
    </row>
    <row r="1023" ht="15.75" customHeight="1">
      <c r="A1023" s="14" t="s">
        <v>2137</v>
      </c>
      <c r="B1023" s="15" t="s">
        <v>14453</v>
      </c>
      <c r="C1023" s="14" t="s">
        <v>12860</v>
      </c>
      <c r="D1023" s="14" t="s">
        <v>12861</v>
      </c>
      <c r="E1023" s="26" t="str">
        <f t="shared" si="22"/>
        <v>http://dx.doi.org/10.1109/INFVIS.2003.1249004</v>
      </c>
      <c r="F1023" s="14">
        <v>15.0</v>
      </c>
      <c r="G1023" s="14">
        <v>23.0</v>
      </c>
      <c r="H1023" s="14" t="s">
        <v>28</v>
      </c>
      <c r="I1023" s="19" t="s">
        <v>14475</v>
      </c>
      <c r="J1023" s="19" t="s">
        <v>12868</v>
      </c>
      <c r="K1023" s="19" t="s">
        <v>14477</v>
      </c>
      <c r="L1023" s="19" t="s">
        <v>14479</v>
      </c>
      <c r="M1023" s="20" t="s">
        <v>12870</v>
      </c>
      <c r="N1023" s="44" t="s">
        <v>12871</v>
      </c>
      <c r="O1023" s="31"/>
      <c r="P1023" s="28">
        <v>26.0</v>
      </c>
      <c r="Q1023" s="28">
        <v>11.0</v>
      </c>
      <c r="R1023" s="85" t="s">
        <v>106</v>
      </c>
      <c r="S1023" s="84"/>
      <c r="T1023" s="84"/>
      <c r="U1023" s="84"/>
      <c r="V1023" s="84"/>
      <c r="W1023" s="84"/>
      <c r="X1023" s="84"/>
      <c r="Y1023" s="84"/>
      <c r="Z1023" s="84"/>
      <c r="AA1023" s="84"/>
    </row>
    <row r="1024" ht="15.75" customHeight="1">
      <c r="A1024" s="14" t="s">
        <v>2137</v>
      </c>
      <c r="B1024" s="15" t="s">
        <v>14453</v>
      </c>
      <c r="C1024" s="14" t="s">
        <v>12872</v>
      </c>
      <c r="D1024" s="14" t="s">
        <v>12873</v>
      </c>
      <c r="E1024" s="26" t="str">
        <f t="shared" si="22"/>
        <v>http://dx.doi.org/10.1109/INFVIS.2003.1249005</v>
      </c>
      <c r="F1024" s="14">
        <v>23.0</v>
      </c>
      <c r="G1024" s="14">
        <v>30.0</v>
      </c>
      <c r="H1024" s="14" t="s">
        <v>28</v>
      </c>
      <c r="I1024" s="19" t="s">
        <v>14481</v>
      </c>
      <c r="J1024" s="19" t="s">
        <v>12880</v>
      </c>
      <c r="K1024" s="19" t="s">
        <v>14482</v>
      </c>
      <c r="L1024" s="19" t="s">
        <v>14483</v>
      </c>
      <c r="M1024" s="20"/>
      <c r="N1024" s="44" t="s">
        <v>12882</v>
      </c>
      <c r="O1024" s="22">
        <v>0.0</v>
      </c>
      <c r="P1024" s="28">
        <v>5.0</v>
      </c>
      <c r="Q1024" s="28">
        <v>39.0</v>
      </c>
      <c r="R1024" s="84"/>
      <c r="S1024" s="84"/>
      <c r="T1024" s="84"/>
      <c r="U1024" s="84"/>
      <c r="V1024" s="84"/>
      <c r="W1024" s="84"/>
      <c r="X1024" s="84"/>
      <c r="Y1024" s="84"/>
      <c r="Z1024" s="84"/>
      <c r="AA1024" s="84"/>
    </row>
    <row r="1025" ht="15.75" customHeight="1">
      <c r="A1025" s="14" t="s">
        <v>2137</v>
      </c>
      <c r="B1025" s="15" t="s">
        <v>14453</v>
      </c>
      <c r="C1025" s="14" t="s">
        <v>12883</v>
      </c>
      <c r="D1025" s="14" t="s">
        <v>12884</v>
      </c>
      <c r="E1025" s="26" t="str">
        <f t="shared" si="22"/>
        <v>http://dx.doi.org/10.1109/INFVIS.2003.1249006</v>
      </c>
      <c r="F1025" s="14">
        <v>31.0</v>
      </c>
      <c r="G1025" s="14">
        <v>38.0</v>
      </c>
      <c r="H1025" s="14" t="s">
        <v>28</v>
      </c>
      <c r="I1025" s="19" t="s">
        <v>14488</v>
      </c>
      <c r="J1025" s="19" t="s">
        <v>12890</v>
      </c>
      <c r="K1025" s="19" t="s">
        <v>14489</v>
      </c>
      <c r="L1025" s="19" t="s">
        <v>14490</v>
      </c>
      <c r="M1025" s="20" t="s">
        <v>12892</v>
      </c>
      <c r="N1025" s="44" t="s">
        <v>12893</v>
      </c>
      <c r="O1025" s="22">
        <v>107.0</v>
      </c>
      <c r="P1025" s="28">
        <v>22.0</v>
      </c>
      <c r="Q1025" s="28">
        <v>49.0</v>
      </c>
      <c r="R1025" s="84"/>
      <c r="S1025" s="84"/>
      <c r="T1025" s="84"/>
      <c r="U1025" s="84"/>
      <c r="V1025" s="84"/>
      <c r="W1025" s="84"/>
      <c r="X1025" s="84"/>
      <c r="Y1025" s="84"/>
      <c r="Z1025" s="84"/>
      <c r="AA1025" s="84"/>
    </row>
    <row r="1026" ht="15.75" customHeight="1">
      <c r="A1026" s="14" t="s">
        <v>2137</v>
      </c>
      <c r="B1026" s="15" t="s">
        <v>14453</v>
      </c>
      <c r="C1026" s="14" t="s">
        <v>12894</v>
      </c>
      <c r="D1026" s="14" t="s">
        <v>12896</v>
      </c>
      <c r="E1026" s="26" t="str">
        <f t="shared" si="22"/>
        <v>http://dx.doi.org/10.1109/INFVIS.2003.1249007</v>
      </c>
      <c r="F1026" s="14">
        <v>41.0</v>
      </c>
      <c r="G1026" s="14">
        <v>48.0</v>
      </c>
      <c r="H1026" s="14" t="s">
        <v>28</v>
      </c>
      <c r="I1026" s="19" t="s">
        <v>14494</v>
      </c>
      <c r="J1026" s="19" t="s">
        <v>12905</v>
      </c>
      <c r="K1026" s="19" t="s">
        <v>14495</v>
      </c>
      <c r="L1026" s="19" t="s">
        <v>13897</v>
      </c>
      <c r="M1026" s="20" t="s">
        <v>12906</v>
      </c>
      <c r="N1026" s="44" t="s">
        <v>12907</v>
      </c>
      <c r="O1026" s="22">
        <v>50.0</v>
      </c>
      <c r="P1026" s="28">
        <v>4.0</v>
      </c>
      <c r="Q1026" s="28">
        <v>30.0</v>
      </c>
      <c r="R1026" s="84"/>
      <c r="S1026" s="84"/>
      <c r="T1026" s="84"/>
      <c r="U1026" s="84"/>
      <c r="V1026" s="84"/>
      <c r="W1026" s="84"/>
      <c r="X1026" s="84"/>
      <c r="Y1026" s="84"/>
      <c r="Z1026" s="84"/>
      <c r="AA1026" s="84"/>
    </row>
    <row r="1027" ht="15.75" customHeight="1">
      <c r="A1027" s="14" t="s">
        <v>2137</v>
      </c>
      <c r="B1027" s="15" t="s">
        <v>14453</v>
      </c>
      <c r="C1027" s="14" t="s">
        <v>12908</v>
      </c>
      <c r="D1027" s="14" t="s">
        <v>12909</v>
      </c>
      <c r="E1027" s="26" t="str">
        <f t="shared" si="22"/>
        <v>http://dx.doi.org/10.1109/INFVIS.2003.1249008</v>
      </c>
      <c r="F1027" s="14">
        <v>51.0</v>
      </c>
      <c r="G1027" s="14">
        <v>58.0</v>
      </c>
      <c r="H1027" s="14" t="s">
        <v>28</v>
      </c>
      <c r="I1027" s="19" t="s">
        <v>14496</v>
      </c>
      <c r="J1027" s="19" t="s">
        <v>12913</v>
      </c>
      <c r="K1027" s="19" t="s">
        <v>14499</v>
      </c>
      <c r="L1027" s="19" t="s">
        <v>14130</v>
      </c>
      <c r="M1027" s="20" t="s">
        <v>12915</v>
      </c>
      <c r="N1027" s="44" t="s">
        <v>12916</v>
      </c>
      <c r="O1027" s="22">
        <v>158.0</v>
      </c>
      <c r="P1027" s="28">
        <v>49.0</v>
      </c>
      <c r="Q1027" s="28">
        <v>22.0</v>
      </c>
      <c r="R1027" s="84"/>
      <c r="S1027" s="84"/>
      <c r="T1027" s="84"/>
      <c r="U1027" s="84"/>
      <c r="V1027" s="84"/>
      <c r="W1027" s="84"/>
      <c r="X1027" s="84"/>
      <c r="Y1027" s="84"/>
      <c r="Z1027" s="84"/>
      <c r="AA1027" s="84"/>
    </row>
    <row r="1028" ht="15.75" customHeight="1">
      <c r="A1028" s="14" t="s">
        <v>2137</v>
      </c>
      <c r="B1028" s="15" t="s">
        <v>14453</v>
      </c>
      <c r="C1028" s="14" t="s">
        <v>12917</v>
      </c>
      <c r="D1028" s="14" t="s">
        <v>12918</v>
      </c>
      <c r="E1028" s="26" t="str">
        <f t="shared" si="22"/>
        <v>http://dx.doi.org/10.1109/INFVIS.2003.1249009</v>
      </c>
      <c r="F1028" s="14">
        <v>59.0</v>
      </c>
      <c r="G1028" s="14">
        <v>66.0</v>
      </c>
      <c r="H1028" s="14" t="s">
        <v>28</v>
      </c>
      <c r="I1028" s="19" t="s">
        <v>14504</v>
      </c>
      <c r="J1028" s="19" t="s">
        <v>5672</v>
      </c>
      <c r="K1028" s="19" t="s">
        <v>12681</v>
      </c>
      <c r="L1028" s="19" t="s">
        <v>14505</v>
      </c>
      <c r="M1028" s="20" t="s">
        <v>12925</v>
      </c>
      <c r="N1028" s="44" t="s">
        <v>12926</v>
      </c>
      <c r="O1028" s="22">
        <v>117.0</v>
      </c>
      <c r="P1028" s="28">
        <v>22.0</v>
      </c>
      <c r="Q1028" s="28">
        <v>34.0</v>
      </c>
      <c r="R1028" s="84"/>
      <c r="S1028" s="84"/>
      <c r="T1028" s="84"/>
      <c r="U1028" s="84"/>
      <c r="V1028" s="84"/>
      <c r="W1028" s="84"/>
      <c r="X1028" s="84"/>
      <c r="Y1028" s="84"/>
      <c r="Z1028" s="84"/>
      <c r="AA1028" s="84"/>
    </row>
    <row r="1029" ht="15.75" customHeight="1">
      <c r="A1029" s="14" t="s">
        <v>2137</v>
      </c>
      <c r="B1029" s="15" t="s">
        <v>14453</v>
      </c>
      <c r="C1029" s="14" t="s">
        <v>12928</v>
      </c>
      <c r="D1029" s="14" t="s">
        <v>12929</v>
      </c>
      <c r="E1029" s="26" t="str">
        <f t="shared" si="22"/>
        <v>http://dx.doi.org/10.1109/INFVIS.2003.1249010</v>
      </c>
      <c r="F1029" s="14">
        <v>67.0</v>
      </c>
      <c r="G1029" s="14">
        <v>74.0</v>
      </c>
      <c r="H1029" s="14" t="s">
        <v>28</v>
      </c>
      <c r="I1029" s="19" t="s">
        <v>14513</v>
      </c>
      <c r="J1029" s="19" t="s">
        <v>12931</v>
      </c>
      <c r="K1029" s="19" t="s">
        <v>14514</v>
      </c>
      <c r="L1029" s="19" t="s">
        <v>14515</v>
      </c>
      <c r="M1029" s="20" t="s">
        <v>12933</v>
      </c>
      <c r="N1029" s="44" t="s">
        <v>12934</v>
      </c>
      <c r="O1029" s="22">
        <v>173.0</v>
      </c>
      <c r="P1029" s="28">
        <v>9.0</v>
      </c>
      <c r="Q1029" s="28">
        <v>44.0</v>
      </c>
      <c r="R1029" s="84"/>
      <c r="S1029" s="84"/>
      <c r="T1029" s="84"/>
      <c r="U1029" s="84"/>
      <c r="V1029" s="84"/>
      <c r="W1029" s="84"/>
      <c r="X1029" s="84"/>
      <c r="Y1029" s="84"/>
      <c r="Z1029" s="84"/>
      <c r="AA1029" s="84"/>
    </row>
    <row r="1030" ht="15.75" customHeight="1">
      <c r="A1030" s="14" t="s">
        <v>2137</v>
      </c>
      <c r="B1030" s="15" t="s">
        <v>14453</v>
      </c>
      <c r="C1030" s="14" t="s">
        <v>12935</v>
      </c>
      <c r="D1030" s="67" t="s">
        <v>12936</v>
      </c>
      <c r="E1030" s="68" t="s">
        <v>12937</v>
      </c>
      <c r="F1030" s="14">
        <v>75.0</v>
      </c>
      <c r="G1030" s="14">
        <v>84.0</v>
      </c>
      <c r="H1030" s="14" t="s">
        <v>28</v>
      </c>
      <c r="I1030" s="19" t="s">
        <v>14524</v>
      </c>
      <c r="J1030" s="19" t="s">
        <v>14525</v>
      </c>
      <c r="K1030" s="19" t="s">
        <v>14526</v>
      </c>
      <c r="L1030" s="19" t="s">
        <v>14527</v>
      </c>
      <c r="M1030" s="20"/>
      <c r="N1030" s="48" t="s">
        <v>12944</v>
      </c>
      <c r="O1030" s="22">
        <v>266.0</v>
      </c>
      <c r="P1030" s="28">
        <v>52.0</v>
      </c>
      <c r="Q1030" s="28">
        <v>18.0</v>
      </c>
      <c r="R1030" s="94"/>
      <c r="S1030" s="94"/>
      <c r="T1030" s="116"/>
      <c r="U1030" s="116"/>
      <c r="V1030" s="116"/>
      <c r="W1030" s="116"/>
      <c r="X1030" s="116"/>
      <c r="Y1030" s="116"/>
      <c r="Z1030" s="116"/>
      <c r="AA1030" s="116"/>
    </row>
    <row r="1031" ht="15.75" customHeight="1">
      <c r="A1031" s="14" t="s">
        <v>2137</v>
      </c>
      <c r="B1031" s="15" t="s">
        <v>14453</v>
      </c>
      <c r="C1031" s="14" t="s">
        <v>12945</v>
      </c>
      <c r="D1031" s="67" t="s">
        <v>12946</v>
      </c>
      <c r="E1031" s="68" t="s">
        <v>12948</v>
      </c>
      <c r="F1031" s="14">
        <v>85.0</v>
      </c>
      <c r="G1031" s="14">
        <v>90.0</v>
      </c>
      <c r="H1031" s="14" t="s">
        <v>28</v>
      </c>
      <c r="I1031" s="19" t="s">
        <v>14548</v>
      </c>
      <c r="J1031" s="19" t="s">
        <v>12957</v>
      </c>
      <c r="K1031" s="19" t="s">
        <v>14549</v>
      </c>
      <c r="L1031" s="19" t="s">
        <v>14550</v>
      </c>
      <c r="M1031" s="20" t="s">
        <v>12958</v>
      </c>
      <c r="N1031" s="48" t="s">
        <v>12959</v>
      </c>
      <c r="O1031" s="22">
        <v>24.0</v>
      </c>
      <c r="P1031" s="28">
        <v>3.0</v>
      </c>
      <c r="Q1031" s="28">
        <v>17.0</v>
      </c>
      <c r="R1031" s="94"/>
      <c r="S1031" s="94"/>
      <c r="T1031" s="116"/>
      <c r="U1031" s="116"/>
      <c r="V1031" s="116"/>
      <c r="W1031" s="116"/>
      <c r="X1031" s="116"/>
      <c r="Y1031" s="116"/>
      <c r="Z1031" s="116"/>
      <c r="AA1031" s="116"/>
    </row>
    <row r="1032" ht="15.75" customHeight="1">
      <c r="A1032" s="14" t="s">
        <v>2137</v>
      </c>
      <c r="B1032" s="15" t="s">
        <v>14453</v>
      </c>
      <c r="C1032" s="14" t="s">
        <v>12960</v>
      </c>
      <c r="D1032" s="14" t="s">
        <v>12961</v>
      </c>
      <c r="E1032" s="26" t="str">
        <f t="shared" ref="E1032:E1035" si="23">"http://dx.doi.org/" &amp; D1032</f>
        <v>http://dx.doi.org/10.1109/INFVIS.2003.1249013</v>
      </c>
      <c r="F1032" s="14">
        <v>91.0</v>
      </c>
      <c r="G1032" s="14">
        <v>96.0</v>
      </c>
      <c r="H1032" s="14" t="s">
        <v>28</v>
      </c>
      <c r="I1032" s="19" t="s">
        <v>14563</v>
      </c>
      <c r="J1032" s="19" t="s">
        <v>12966</v>
      </c>
      <c r="K1032" s="19" t="s">
        <v>14564</v>
      </c>
      <c r="L1032" s="19" t="s">
        <v>14550</v>
      </c>
      <c r="M1032" s="20" t="s">
        <v>12968</v>
      </c>
      <c r="N1032" s="44" t="s">
        <v>12969</v>
      </c>
      <c r="O1032" s="109"/>
      <c r="P1032" s="28">
        <v>1.0</v>
      </c>
      <c r="Q1032" s="28">
        <v>18.0</v>
      </c>
      <c r="R1032" s="84"/>
      <c r="S1032" s="84"/>
      <c r="T1032" s="84"/>
      <c r="U1032" s="84"/>
      <c r="V1032" s="84"/>
      <c r="W1032" s="84"/>
      <c r="X1032" s="84"/>
      <c r="Y1032" s="84"/>
      <c r="Z1032" s="84"/>
      <c r="AA1032" s="84"/>
    </row>
    <row r="1033" ht="15.75" customHeight="1">
      <c r="A1033" s="14" t="s">
        <v>2137</v>
      </c>
      <c r="B1033" s="15" t="s">
        <v>14453</v>
      </c>
      <c r="C1033" s="14" t="s">
        <v>12970</v>
      </c>
      <c r="D1033" s="14" t="s">
        <v>12971</v>
      </c>
      <c r="E1033" s="26" t="str">
        <f t="shared" si="23"/>
        <v>http://dx.doi.org/10.1109/INFVIS.2003.1249014</v>
      </c>
      <c r="F1033" s="14">
        <v>97.0</v>
      </c>
      <c r="G1033" s="14">
        <v>104.0</v>
      </c>
      <c r="H1033" s="14" t="s">
        <v>28</v>
      </c>
      <c r="I1033" s="19" t="s">
        <v>14565</v>
      </c>
      <c r="J1033" s="19" t="s">
        <v>12976</v>
      </c>
      <c r="K1033" s="19" t="s">
        <v>14566</v>
      </c>
      <c r="L1033" s="19" t="s">
        <v>14567</v>
      </c>
      <c r="M1033" s="20" t="s">
        <v>12978</v>
      </c>
      <c r="N1033" s="44" t="s">
        <v>12980</v>
      </c>
      <c r="O1033" s="22">
        <v>59.0</v>
      </c>
      <c r="P1033" s="28">
        <v>9.0</v>
      </c>
      <c r="Q1033" s="28">
        <v>28.0</v>
      </c>
      <c r="R1033" s="84"/>
      <c r="S1033" s="84"/>
      <c r="T1033" s="84"/>
      <c r="U1033" s="84"/>
      <c r="V1033" s="84"/>
      <c r="W1033" s="84"/>
      <c r="X1033" s="84"/>
      <c r="Y1033" s="84"/>
      <c r="Z1033" s="84"/>
      <c r="AA1033" s="84"/>
    </row>
    <row r="1034" ht="15.75" customHeight="1">
      <c r="A1034" s="14" t="s">
        <v>2137</v>
      </c>
      <c r="B1034" s="15" t="s">
        <v>14453</v>
      </c>
      <c r="C1034" s="14" t="s">
        <v>12983</v>
      </c>
      <c r="D1034" s="14" t="s">
        <v>12984</v>
      </c>
      <c r="E1034" s="26" t="str">
        <f t="shared" si="23"/>
        <v>http://dx.doi.org/10.1109/INFVIS.2003.1249015</v>
      </c>
      <c r="F1034" s="14">
        <v>105.0</v>
      </c>
      <c r="G1034" s="14">
        <v>112.0</v>
      </c>
      <c r="H1034" s="14" t="s">
        <v>28</v>
      </c>
      <c r="I1034" s="19" t="s">
        <v>14573</v>
      </c>
      <c r="J1034" s="19" t="s">
        <v>12988</v>
      </c>
      <c r="K1034" s="19" t="s">
        <v>14574</v>
      </c>
      <c r="L1034" s="19" t="s">
        <v>14575</v>
      </c>
      <c r="M1034" s="20" t="s">
        <v>12990</v>
      </c>
      <c r="N1034" s="44" t="s">
        <v>12991</v>
      </c>
      <c r="O1034" s="22">
        <v>196.0</v>
      </c>
      <c r="P1034" s="28">
        <v>17.0</v>
      </c>
      <c r="Q1034" s="28">
        <v>24.0</v>
      </c>
      <c r="R1034" s="84"/>
      <c r="S1034" s="84"/>
      <c r="T1034" s="84"/>
      <c r="U1034" s="84"/>
      <c r="V1034" s="84"/>
      <c r="W1034" s="84"/>
      <c r="X1034" s="84"/>
      <c r="Y1034" s="84"/>
      <c r="Z1034" s="84"/>
      <c r="AA1034" s="84"/>
    </row>
    <row r="1035" ht="15.75" customHeight="1">
      <c r="A1035" s="14" t="s">
        <v>2137</v>
      </c>
      <c r="B1035" s="15" t="s">
        <v>14453</v>
      </c>
      <c r="C1035" s="14" t="s">
        <v>12992</v>
      </c>
      <c r="D1035" s="14" t="s">
        <v>12993</v>
      </c>
      <c r="E1035" s="26" t="str">
        <f t="shared" si="23"/>
        <v>http://dx.doi.org/10.1109/INFVIS.2003.1249016</v>
      </c>
      <c r="F1035" s="14">
        <v>113.0</v>
      </c>
      <c r="G1035" s="14">
        <v>120.0</v>
      </c>
      <c r="H1035" s="14" t="s">
        <v>28</v>
      </c>
      <c r="I1035" s="19" t="s">
        <v>14581</v>
      </c>
      <c r="J1035" s="19" t="s">
        <v>13000</v>
      </c>
      <c r="K1035" s="19" t="s">
        <v>14582</v>
      </c>
      <c r="L1035" s="19" t="s">
        <v>14583</v>
      </c>
      <c r="M1035" s="20" t="s">
        <v>13002</v>
      </c>
      <c r="N1035" s="44" t="s">
        <v>13003</v>
      </c>
      <c r="O1035" s="22">
        <v>92.0</v>
      </c>
      <c r="P1035" s="28">
        <v>7.0</v>
      </c>
      <c r="Q1035" s="28">
        <v>21.0</v>
      </c>
      <c r="R1035" s="84"/>
      <c r="S1035" s="84"/>
      <c r="T1035" s="84"/>
      <c r="U1035" s="84"/>
      <c r="V1035" s="84"/>
      <c r="W1035" s="84"/>
      <c r="X1035" s="84"/>
      <c r="Y1035" s="84"/>
      <c r="Z1035" s="84"/>
      <c r="AA1035" s="84"/>
    </row>
    <row r="1036" ht="15.75" customHeight="1">
      <c r="A1036" s="14" t="s">
        <v>2137</v>
      </c>
      <c r="B1036" s="15" t="s">
        <v>14453</v>
      </c>
      <c r="C1036" s="14" t="s">
        <v>13004</v>
      </c>
      <c r="D1036" s="97" t="s">
        <v>13005</v>
      </c>
      <c r="E1036" s="68" t="s">
        <v>13006</v>
      </c>
      <c r="F1036" s="14">
        <v>121.0</v>
      </c>
      <c r="G1036" s="14">
        <v>128.0</v>
      </c>
      <c r="H1036" s="14" t="s">
        <v>28</v>
      </c>
      <c r="I1036" s="19" t="s">
        <v>14594</v>
      </c>
      <c r="J1036" s="19" t="s">
        <v>13007</v>
      </c>
      <c r="K1036" s="19" t="s">
        <v>14595</v>
      </c>
      <c r="L1036" s="19" t="s">
        <v>14596</v>
      </c>
      <c r="M1036" s="20" t="s">
        <v>13011</v>
      </c>
      <c r="N1036" s="48" t="s">
        <v>13013</v>
      </c>
      <c r="O1036" s="22">
        <v>63.0</v>
      </c>
      <c r="P1036" s="28">
        <v>13.0</v>
      </c>
      <c r="Q1036" s="28">
        <v>9.0</v>
      </c>
      <c r="R1036" s="94"/>
      <c r="S1036" s="94"/>
      <c r="T1036" s="116"/>
      <c r="U1036" s="116"/>
      <c r="V1036" s="116"/>
      <c r="W1036" s="116"/>
      <c r="X1036" s="116"/>
      <c r="Y1036" s="116"/>
      <c r="Z1036" s="116"/>
      <c r="AA1036" s="116"/>
    </row>
    <row r="1037" ht="15.75" customHeight="1">
      <c r="A1037" s="14" t="s">
        <v>2137</v>
      </c>
      <c r="B1037" s="15" t="s">
        <v>14453</v>
      </c>
      <c r="C1037" s="14" t="s">
        <v>13014</v>
      </c>
      <c r="D1037" s="14" t="s">
        <v>13015</v>
      </c>
      <c r="E1037" s="26" t="str">
        <f t="shared" ref="E1037:E1047" si="24">"http://dx.doi.org/" &amp; D1037</f>
        <v>http://dx.doi.org/10.1109/INFVIS.2003.1249018</v>
      </c>
      <c r="F1037" s="14">
        <v>131.0</v>
      </c>
      <c r="G1037" s="14">
        <v>136.0</v>
      </c>
      <c r="H1037" s="14" t="s">
        <v>28</v>
      </c>
      <c r="I1037" s="19" t="s">
        <v>14602</v>
      </c>
      <c r="J1037" s="19" t="s">
        <v>13020</v>
      </c>
      <c r="K1037" s="19" t="s">
        <v>14603</v>
      </c>
      <c r="L1037" s="19" t="s">
        <v>14605</v>
      </c>
      <c r="M1037" s="20" t="s">
        <v>378</v>
      </c>
      <c r="N1037" s="44" t="s">
        <v>13024</v>
      </c>
      <c r="O1037" s="22">
        <v>29.0</v>
      </c>
      <c r="P1037" s="28">
        <v>11.0</v>
      </c>
      <c r="Q1037" s="28">
        <v>24.0</v>
      </c>
      <c r="R1037" s="84"/>
      <c r="S1037" s="84"/>
      <c r="T1037" s="84"/>
      <c r="U1037" s="84"/>
      <c r="V1037" s="84"/>
      <c r="W1037" s="84"/>
      <c r="X1037" s="84"/>
      <c r="Y1037" s="84"/>
      <c r="Z1037" s="84"/>
      <c r="AA1037" s="84"/>
    </row>
    <row r="1038" ht="15.75" customHeight="1">
      <c r="A1038" s="14" t="s">
        <v>2137</v>
      </c>
      <c r="B1038" s="15" t="s">
        <v>14453</v>
      </c>
      <c r="C1038" s="14" t="s">
        <v>13026</v>
      </c>
      <c r="D1038" s="14" t="s">
        <v>13027</v>
      </c>
      <c r="E1038" s="26" t="str">
        <f t="shared" si="24"/>
        <v>http://dx.doi.org/10.1109/INFVIS.2003.1249019</v>
      </c>
      <c r="F1038" s="14">
        <v>137.0</v>
      </c>
      <c r="G1038" s="14">
        <v>144.0</v>
      </c>
      <c r="H1038" s="14" t="s">
        <v>28</v>
      </c>
      <c r="I1038" s="19" t="s">
        <v>14611</v>
      </c>
      <c r="J1038" s="19" t="s">
        <v>13034</v>
      </c>
      <c r="K1038" s="19" t="s">
        <v>14612</v>
      </c>
      <c r="L1038" s="19" t="s">
        <v>14613</v>
      </c>
      <c r="M1038" s="20" t="s">
        <v>4082</v>
      </c>
      <c r="N1038" s="44" t="s">
        <v>13036</v>
      </c>
      <c r="O1038" s="22">
        <v>14.0</v>
      </c>
      <c r="P1038" s="28">
        <v>5.0</v>
      </c>
      <c r="Q1038" s="28">
        <v>17.0</v>
      </c>
      <c r="R1038" s="84"/>
      <c r="S1038" s="84"/>
      <c r="T1038" s="84"/>
      <c r="U1038" s="84"/>
      <c r="V1038" s="84"/>
      <c r="W1038" s="84"/>
      <c r="X1038" s="84"/>
      <c r="Y1038" s="84"/>
      <c r="Z1038" s="84"/>
      <c r="AA1038" s="84"/>
    </row>
    <row r="1039" ht="15.75" customHeight="1">
      <c r="A1039" s="14" t="s">
        <v>2137</v>
      </c>
      <c r="B1039" s="15" t="s">
        <v>14453</v>
      </c>
      <c r="C1039" s="14" t="s">
        <v>13037</v>
      </c>
      <c r="D1039" s="14" t="s">
        <v>13038</v>
      </c>
      <c r="E1039" s="26" t="str">
        <f t="shared" si="24"/>
        <v>http://dx.doi.org/10.1109/INFVIS.2003.1249020</v>
      </c>
      <c r="F1039" s="14">
        <v>147.0</v>
      </c>
      <c r="G1039" s="14">
        <v>153.0</v>
      </c>
      <c r="H1039" s="14" t="s">
        <v>28</v>
      </c>
      <c r="I1039" s="19" t="s">
        <v>14619</v>
      </c>
      <c r="J1039" s="19" t="s">
        <v>13068</v>
      </c>
      <c r="K1039" s="19" t="s">
        <v>14620</v>
      </c>
      <c r="L1039" s="19" t="s">
        <v>14621</v>
      </c>
      <c r="M1039" s="20" t="s">
        <v>4849</v>
      </c>
      <c r="N1039" s="44" t="s">
        <v>13070</v>
      </c>
      <c r="O1039" s="22">
        <v>37.0</v>
      </c>
      <c r="P1039" s="28">
        <v>1.0</v>
      </c>
      <c r="Q1039" s="28">
        <v>16.0</v>
      </c>
      <c r="R1039" s="84"/>
      <c r="S1039" s="84"/>
      <c r="T1039" s="84"/>
      <c r="U1039" s="84"/>
      <c r="V1039" s="84"/>
      <c r="W1039" s="84"/>
      <c r="X1039" s="84"/>
      <c r="Y1039" s="84"/>
      <c r="Z1039" s="84"/>
      <c r="AA1039" s="84"/>
    </row>
    <row r="1040" ht="15.75" customHeight="1">
      <c r="A1040" s="14" t="s">
        <v>2137</v>
      </c>
      <c r="B1040" s="15" t="s">
        <v>14453</v>
      </c>
      <c r="C1040" s="14" t="s">
        <v>13071</v>
      </c>
      <c r="D1040" s="14" t="s">
        <v>13072</v>
      </c>
      <c r="E1040" s="26" t="str">
        <f t="shared" si="24"/>
        <v>http://dx.doi.org/10.1109/INFVIS.2003.1249021</v>
      </c>
      <c r="F1040" s="14">
        <v>155.0</v>
      </c>
      <c r="G1040" s="14">
        <v>162.0</v>
      </c>
      <c r="H1040" s="14" t="s">
        <v>28</v>
      </c>
      <c r="I1040" s="19" t="s">
        <v>14622</v>
      </c>
      <c r="J1040" s="19" t="s">
        <v>13074</v>
      </c>
      <c r="K1040" s="19" t="s">
        <v>14623</v>
      </c>
      <c r="L1040" s="19" t="s">
        <v>14624</v>
      </c>
      <c r="M1040" s="20" t="s">
        <v>3343</v>
      </c>
      <c r="N1040" s="44" t="s">
        <v>13076</v>
      </c>
      <c r="O1040" s="22">
        <v>50.0</v>
      </c>
      <c r="P1040" s="28">
        <v>0.0</v>
      </c>
      <c r="Q1040" s="28">
        <v>17.0</v>
      </c>
      <c r="R1040" s="84"/>
      <c r="S1040" s="84"/>
      <c r="T1040" s="84"/>
      <c r="U1040" s="84"/>
      <c r="V1040" s="84"/>
      <c r="W1040" s="84"/>
      <c r="X1040" s="84"/>
      <c r="Y1040" s="84"/>
      <c r="Z1040" s="84"/>
      <c r="AA1040" s="84"/>
    </row>
    <row r="1041" ht="15.75" customHeight="1">
      <c r="A1041" s="14" t="s">
        <v>2137</v>
      </c>
      <c r="B1041" s="15" t="s">
        <v>14453</v>
      </c>
      <c r="C1041" s="14" t="s">
        <v>13077</v>
      </c>
      <c r="D1041" s="14" t="s">
        <v>13078</v>
      </c>
      <c r="E1041" s="26" t="str">
        <f t="shared" si="24"/>
        <v>http://dx.doi.org/10.1109/INFVIS.2003.1249022</v>
      </c>
      <c r="F1041" s="14">
        <v>163.0</v>
      </c>
      <c r="G1041" s="14">
        <v>170.0</v>
      </c>
      <c r="H1041" s="14" t="s">
        <v>28</v>
      </c>
      <c r="I1041" s="19" t="s">
        <v>14625</v>
      </c>
      <c r="J1041" s="19" t="s">
        <v>13080</v>
      </c>
      <c r="K1041" s="19" t="s">
        <v>14626</v>
      </c>
      <c r="L1041" s="19" t="s">
        <v>14627</v>
      </c>
      <c r="M1041" s="20"/>
      <c r="N1041" s="44" t="s">
        <v>13082</v>
      </c>
      <c r="O1041" s="22">
        <v>50.0</v>
      </c>
      <c r="P1041" s="28">
        <v>0.0</v>
      </c>
      <c r="Q1041" s="28">
        <v>17.0</v>
      </c>
      <c r="R1041" s="84"/>
      <c r="S1041" s="84"/>
      <c r="T1041" s="84"/>
      <c r="U1041" s="84"/>
      <c r="V1041" s="84"/>
      <c r="W1041" s="84"/>
      <c r="X1041" s="84"/>
      <c r="Y1041" s="84"/>
      <c r="Z1041" s="84"/>
      <c r="AA1041" s="84"/>
    </row>
    <row r="1042" ht="15.75" customHeight="1">
      <c r="A1042" s="14" t="s">
        <v>2137</v>
      </c>
      <c r="B1042" s="15" t="s">
        <v>14453</v>
      </c>
      <c r="C1042" s="14" t="s">
        <v>13083</v>
      </c>
      <c r="D1042" s="14" t="s">
        <v>13084</v>
      </c>
      <c r="E1042" s="26" t="str">
        <f t="shared" si="24"/>
        <v>http://dx.doi.org/10.1109/INFVIS.2003.1249023</v>
      </c>
      <c r="F1042" s="14">
        <v>173.0</v>
      </c>
      <c r="G1042" s="14">
        <v>180.0</v>
      </c>
      <c r="H1042" s="14" t="s">
        <v>28</v>
      </c>
      <c r="I1042" s="19" t="s">
        <v>14628</v>
      </c>
      <c r="J1042" s="19" t="s">
        <v>13086</v>
      </c>
      <c r="K1042" s="19" t="s">
        <v>14629</v>
      </c>
      <c r="L1042" s="19" t="s">
        <v>14630</v>
      </c>
      <c r="M1042" s="20" t="s">
        <v>11908</v>
      </c>
      <c r="N1042" s="44" t="s">
        <v>13088</v>
      </c>
      <c r="O1042" s="22">
        <v>32.0</v>
      </c>
      <c r="P1042" s="28">
        <v>11.0</v>
      </c>
      <c r="Q1042" s="28">
        <v>22.0</v>
      </c>
      <c r="R1042" s="84"/>
      <c r="S1042" s="84"/>
      <c r="T1042" s="84"/>
      <c r="U1042" s="84"/>
      <c r="V1042" s="84"/>
      <c r="W1042" s="84"/>
      <c r="X1042" s="84"/>
      <c r="Y1042" s="84"/>
      <c r="Z1042" s="84"/>
      <c r="AA1042" s="84"/>
    </row>
    <row r="1043" ht="15.75" customHeight="1">
      <c r="A1043" s="14" t="s">
        <v>2137</v>
      </c>
      <c r="B1043" s="15" t="s">
        <v>14453</v>
      </c>
      <c r="C1043" s="14" t="s">
        <v>13089</v>
      </c>
      <c r="D1043" s="14" t="s">
        <v>13090</v>
      </c>
      <c r="E1043" s="26" t="str">
        <f t="shared" si="24"/>
        <v>http://dx.doi.org/10.1109/INFVIS.2003.1249024</v>
      </c>
      <c r="F1043" s="14">
        <v>181.0</v>
      </c>
      <c r="G1043" s="14">
        <v>188.0</v>
      </c>
      <c r="H1043" s="14" t="s">
        <v>28</v>
      </c>
      <c r="I1043" s="19" t="s">
        <v>14631</v>
      </c>
      <c r="J1043" s="19" t="s">
        <v>8239</v>
      </c>
      <c r="K1043" s="19" t="s">
        <v>8239</v>
      </c>
      <c r="L1043" s="19" t="s">
        <v>14632</v>
      </c>
      <c r="M1043" s="20" t="s">
        <v>13093</v>
      </c>
      <c r="N1043" s="44" t="s">
        <v>13094</v>
      </c>
      <c r="O1043" s="22">
        <v>50.0</v>
      </c>
      <c r="P1043" s="28">
        <v>0.0</v>
      </c>
      <c r="Q1043" s="28">
        <v>17.0</v>
      </c>
      <c r="R1043" s="84"/>
      <c r="S1043" s="84"/>
      <c r="T1043" s="84"/>
      <c r="U1043" s="84"/>
      <c r="V1043" s="84"/>
      <c r="W1043" s="84"/>
      <c r="X1043" s="84"/>
      <c r="Y1043" s="84"/>
      <c r="Z1043" s="84"/>
      <c r="AA1043" s="84"/>
    </row>
    <row r="1044" ht="15.75" customHeight="1">
      <c r="A1044" s="14" t="s">
        <v>2137</v>
      </c>
      <c r="B1044" s="15" t="s">
        <v>14453</v>
      </c>
      <c r="C1044" s="14" t="s">
        <v>13095</v>
      </c>
      <c r="D1044" s="14" t="s">
        <v>13096</v>
      </c>
      <c r="E1044" s="26" t="str">
        <f t="shared" si="24"/>
        <v>http://dx.doi.org/10.1109/INFVIS.2003.1249025</v>
      </c>
      <c r="F1044" s="14">
        <v>189.0</v>
      </c>
      <c r="G1044" s="14">
        <v>196.0</v>
      </c>
      <c r="H1044" s="14" t="s">
        <v>28</v>
      </c>
      <c r="I1044" s="19" t="s">
        <v>14633</v>
      </c>
      <c r="J1044" s="19" t="s">
        <v>13098</v>
      </c>
      <c r="K1044" s="19" t="s">
        <v>14634</v>
      </c>
      <c r="L1044" s="19" t="s">
        <v>3367</v>
      </c>
      <c r="M1044" s="20" t="s">
        <v>4003</v>
      </c>
      <c r="N1044" s="44" t="s">
        <v>13099</v>
      </c>
      <c r="O1044" s="22">
        <v>50.0</v>
      </c>
      <c r="P1044" s="28">
        <v>15.0</v>
      </c>
      <c r="Q1044" s="28">
        <v>14.0</v>
      </c>
      <c r="R1044" s="84"/>
      <c r="S1044" s="84"/>
      <c r="T1044" s="84"/>
      <c r="U1044" s="84"/>
      <c r="V1044" s="84"/>
      <c r="W1044" s="84"/>
      <c r="X1044" s="84"/>
      <c r="Y1044" s="84"/>
      <c r="Z1044" s="84"/>
      <c r="AA1044" s="84"/>
    </row>
    <row r="1045" ht="15.75" customHeight="1">
      <c r="A1045" s="14" t="s">
        <v>2137</v>
      </c>
      <c r="B1045" s="15" t="s">
        <v>14453</v>
      </c>
      <c r="C1045" s="14" t="s">
        <v>13100</v>
      </c>
      <c r="D1045" s="14" t="s">
        <v>13101</v>
      </c>
      <c r="E1045" s="26" t="str">
        <f t="shared" si="24"/>
        <v>http://dx.doi.org/10.1109/INFVIS.2003.1249026</v>
      </c>
      <c r="F1045" s="14">
        <v>197.0</v>
      </c>
      <c r="G1045" s="14">
        <v>201.0</v>
      </c>
      <c r="H1045" s="14" t="s">
        <v>28</v>
      </c>
      <c r="I1045" s="19" t="s">
        <v>14635</v>
      </c>
      <c r="J1045" s="19" t="s">
        <v>13105</v>
      </c>
      <c r="K1045" s="19" t="s">
        <v>14636</v>
      </c>
      <c r="L1045" s="19" t="s">
        <v>14637</v>
      </c>
      <c r="M1045" s="20" t="s">
        <v>13108</v>
      </c>
      <c r="N1045" s="44" t="s">
        <v>13109</v>
      </c>
      <c r="O1045" s="22">
        <v>19.0</v>
      </c>
      <c r="P1045" s="28">
        <v>7.0</v>
      </c>
      <c r="Q1045" s="28">
        <v>13.0</v>
      </c>
      <c r="R1045" s="84"/>
      <c r="S1045" s="84"/>
      <c r="T1045" s="84"/>
      <c r="U1045" s="84"/>
      <c r="V1045" s="84"/>
      <c r="W1045" s="84"/>
      <c r="X1045" s="84"/>
      <c r="Y1045" s="84"/>
      <c r="Z1045" s="84"/>
      <c r="AA1045" s="84"/>
    </row>
    <row r="1046" ht="15.75" customHeight="1">
      <c r="A1046" s="14" t="s">
        <v>2137</v>
      </c>
      <c r="B1046" s="15" t="s">
        <v>14453</v>
      </c>
      <c r="C1046" s="14" t="s">
        <v>13110</v>
      </c>
      <c r="D1046" s="14" t="s">
        <v>13111</v>
      </c>
      <c r="E1046" s="26" t="str">
        <f t="shared" si="24"/>
        <v>http://dx.doi.org/10.1109/INFVIS.2003.1249027</v>
      </c>
      <c r="F1046" s="14">
        <v>203.0</v>
      </c>
      <c r="G1046" s="14">
        <v>208.0</v>
      </c>
      <c r="H1046" s="14" t="s">
        <v>28</v>
      </c>
      <c r="I1046" s="19" t="s">
        <v>14638</v>
      </c>
      <c r="J1046" s="19" t="s">
        <v>13121</v>
      </c>
      <c r="K1046" s="19" t="s">
        <v>14639</v>
      </c>
      <c r="L1046" s="19" t="s">
        <v>3923</v>
      </c>
      <c r="M1046" s="20" t="s">
        <v>13125</v>
      </c>
      <c r="N1046" s="44" t="s">
        <v>13126</v>
      </c>
      <c r="O1046" s="22">
        <v>20.0</v>
      </c>
      <c r="P1046" s="28">
        <v>11.0</v>
      </c>
      <c r="Q1046" s="28">
        <v>9.0</v>
      </c>
      <c r="R1046" s="84"/>
      <c r="S1046" s="84"/>
      <c r="T1046" s="84"/>
      <c r="U1046" s="84"/>
      <c r="V1046" s="84"/>
      <c r="W1046" s="84"/>
      <c r="X1046" s="84"/>
      <c r="Y1046" s="84"/>
      <c r="Z1046" s="84"/>
      <c r="AA1046" s="84"/>
    </row>
    <row r="1047" ht="15.75" customHeight="1">
      <c r="A1047" s="14" t="s">
        <v>2137</v>
      </c>
      <c r="B1047" s="15" t="s">
        <v>14453</v>
      </c>
      <c r="C1047" s="14" t="s">
        <v>13127</v>
      </c>
      <c r="D1047" s="14" t="s">
        <v>13128</v>
      </c>
      <c r="E1047" s="26" t="str">
        <f t="shared" si="24"/>
        <v>http://dx.doi.org/10.1109/INFVIS.2003.1249028</v>
      </c>
      <c r="F1047" s="14">
        <v>211.0</v>
      </c>
      <c r="G1047" s="14">
        <v>218.0</v>
      </c>
      <c r="H1047" s="14" t="s">
        <v>28</v>
      </c>
      <c r="I1047" s="19" t="s">
        <v>14640</v>
      </c>
      <c r="J1047" s="19" t="s">
        <v>13132</v>
      </c>
      <c r="K1047" s="19" t="s">
        <v>14641</v>
      </c>
      <c r="L1047" s="18"/>
      <c r="M1047" s="20" t="s">
        <v>13133</v>
      </c>
      <c r="N1047" s="44" t="s">
        <v>13134</v>
      </c>
      <c r="O1047" s="22">
        <v>104.0</v>
      </c>
      <c r="P1047" s="28">
        <v>32.0</v>
      </c>
      <c r="Q1047" s="28">
        <v>11.0</v>
      </c>
      <c r="R1047" s="84"/>
      <c r="S1047" s="84"/>
      <c r="T1047" s="84"/>
      <c r="U1047" s="84"/>
      <c r="V1047" s="84"/>
      <c r="W1047" s="84"/>
      <c r="X1047" s="84"/>
      <c r="Y1047" s="84"/>
      <c r="Z1047" s="84"/>
      <c r="AA1047" s="84"/>
    </row>
    <row r="1048" ht="15.75" customHeight="1">
      <c r="A1048" s="14" t="s">
        <v>2137</v>
      </c>
      <c r="B1048" s="15" t="s">
        <v>14453</v>
      </c>
      <c r="C1048" s="14" t="s">
        <v>13135</v>
      </c>
      <c r="D1048" s="117" t="s">
        <v>13136</v>
      </c>
      <c r="E1048" s="17" t="s">
        <v>13138</v>
      </c>
      <c r="F1048" s="14">
        <v>219.0</v>
      </c>
      <c r="G1048" s="14">
        <v>225.0</v>
      </c>
      <c r="H1048" s="14" t="s">
        <v>28</v>
      </c>
      <c r="I1048" s="19" t="s">
        <v>14642</v>
      </c>
      <c r="J1048" s="19" t="s">
        <v>13145</v>
      </c>
      <c r="K1048" s="19" t="s">
        <v>14643</v>
      </c>
      <c r="L1048" s="19" t="s">
        <v>14644</v>
      </c>
      <c r="M1048" s="20" t="s">
        <v>11895</v>
      </c>
      <c r="N1048" s="48" t="s">
        <v>13147</v>
      </c>
      <c r="O1048" s="109"/>
      <c r="P1048" s="28">
        <v>2.0</v>
      </c>
      <c r="Q1048" s="28">
        <v>16.0</v>
      </c>
      <c r="R1048" s="94"/>
      <c r="S1048" s="94"/>
      <c r="T1048" s="116"/>
      <c r="U1048" s="116"/>
      <c r="V1048" s="116"/>
      <c r="W1048" s="116"/>
      <c r="X1048" s="116"/>
      <c r="Y1048" s="116"/>
      <c r="Z1048" s="116"/>
      <c r="AA1048" s="116"/>
    </row>
    <row r="1049" ht="15.75" customHeight="1">
      <c r="A1049" s="14" t="s">
        <v>2137</v>
      </c>
      <c r="B1049" s="15" t="s">
        <v>14453</v>
      </c>
      <c r="C1049" s="14" t="s">
        <v>13148</v>
      </c>
      <c r="D1049" s="14" t="s">
        <v>12870</v>
      </c>
      <c r="E1049" s="26" t="str">
        <f t="shared" ref="E1049:E1050" si="25">"http://dx.doi.org/" &amp; D1049</f>
        <v>http://dx.doi.org/10.1109/INFVIS.2003.1249030</v>
      </c>
      <c r="F1049" s="14">
        <v>227.0</v>
      </c>
      <c r="G1049" s="14">
        <v>232.0</v>
      </c>
      <c r="H1049" s="14" t="s">
        <v>28</v>
      </c>
      <c r="I1049" s="19" t="s">
        <v>14645</v>
      </c>
      <c r="J1049" s="19" t="s">
        <v>13152</v>
      </c>
      <c r="K1049" s="19" t="s">
        <v>14646</v>
      </c>
      <c r="L1049" s="19" t="s">
        <v>14647</v>
      </c>
      <c r="M1049" s="20" t="s">
        <v>13154</v>
      </c>
      <c r="N1049" s="44" t="s">
        <v>13155</v>
      </c>
      <c r="O1049" s="31"/>
      <c r="P1049" s="28">
        <v>28.0</v>
      </c>
      <c r="Q1049" s="28">
        <v>14.0</v>
      </c>
      <c r="R1049" s="84"/>
      <c r="S1049" s="84"/>
      <c r="T1049" s="84"/>
      <c r="U1049" s="84"/>
      <c r="V1049" s="84"/>
      <c r="W1049" s="84"/>
      <c r="X1049" s="84"/>
      <c r="Y1049" s="84"/>
      <c r="Z1049" s="84"/>
      <c r="AA1049" s="84"/>
    </row>
    <row r="1050" ht="15.75" customHeight="1">
      <c r="A1050" s="14" t="s">
        <v>2137</v>
      </c>
      <c r="B1050" s="15" t="s">
        <v>14453</v>
      </c>
      <c r="C1050" s="14" t="s">
        <v>13156</v>
      </c>
      <c r="D1050" s="14" t="s">
        <v>13157</v>
      </c>
      <c r="E1050" s="26" t="str">
        <f t="shared" si="25"/>
        <v>http://dx.doi.org/10.1109/INFVIS.2003.1249031</v>
      </c>
      <c r="F1050" s="14">
        <v>233.0</v>
      </c>
      <c r="G1050" s="14">
        <v>240.0</v>
      </c>
      <c r="H1050" s="14" t="s">
        <v>28</v>
      </c>
      <c r="I1050" s="19" t="s">
        <v>14648</v>
      </c>
      <c r="J1050" s="19" t="s">
        <v>13165</v>
      </c>
      <c r="K1050" s="19" t="s">
        <v>14649</v>
      </c>
      <c r="L1050" s="19" t="s">
        <v>14650</v>
      </c>
      <c r="M1050" s="20"/>
      <c r="N1050" s="44" t="s">
        <v>13167</v>
      </c>
      <c r="O1050" s="22">
        <v>144.0</v>
      </c>
      <c r="P1050" s="28">
        <v>31.0</v>
      </c>
      <c r="Q1050" s="28">
        <v>20.0</v>
      </c>
      <c r="R1050" s="84"/>
      <c r="S1050" s="84"/>
      <c r="T1050" s="84"/>
      <c r="U1050" s="84"/>
      <c r="V1050" s="84"/>
      <c r="W1050" s="84"/>
      <c r="X1050" s="84"/>
      <c r="Y1050" s="84"/>
      <c r="Z1050" s="84"/>
      <c r="AA1050" s="84"/>
    </row>
    <row r="1051" ht="15.75" customHeight="1">
      <c r="A1051" s="14" t="s">
        <v>2137</v>
      </c>
      <c r="B1051" s="15" t="s">
        <v>14453</v>
      </c>
      <c r="C1051" s="14" t="s">
        <v>13168</v>
      </c>
      <c r="D1051" s="67" t="s">
        <v>13169</v>
      </c>
      <c r="E1051" s="68" t="s">
        <v>13170</v>
      </c>
      <c r="F1051" s="14">
        <v>241.0</v>
      </c>
      <c r="G1051" s="14">
        <v>248.0</v>
      </c>
      <c r="H1051" s="14" t="s">
        <v>28</v>
      </c>
      <c r="I1051" s="19" t="s">
        <v>14651</v>
      </c>
      <c r="J1051" s="19" t="s">
        <v>13177</v>
      </c>
      <c r="K1051" s="19" t="s">
        <v>14652</v>
      </c>
      <c r="L1051" s="19" t="s">
        <v>14653</v>
      </c>
      <c r="M1051" s="20"/>
      <c r="N1051" s="48" t="s">
        <v>13179</v>
      </c>
      <c r="O1051" s="109"/>
      <c r="P1051" s="28">
        <v>3.0</v>
      </c>
      <c r="Q1051" s="28">
        <v>33.0</v>
      </c>
      <c r="R1051" s="94"/>
      <c r="S1051" s="94"/>
      <c r="T1051" s="116"/>
      <c r="U1051" s="116"/>
      <c r="V1051" s="116"/>
      <c r="W1051" s="116"/>
      <c r="X1051" s="116"/>
      <c r="Y1051" s="116"/>
      <c r="Z1051" s="116"/>
      <c r="AA1051" s="116"/>
    </row>
    <row r="1052" ht="15.75" customHeight="1">
      <c r="A1052" s="14" t="s">
        <v>17</v>
      </c>
      <c r="B1052" s="15" t="s">
        <v>14453</v>
      </c>
      <c r="C1052" s="14" t="s">
        <v>13180</v>
      </c>
      <c r="D1052" s="14" t="s">
        <v>13181</v>
      </c>
      <c r="E1052" s="26" t="str">
        <f t="shared" ref="E1052:E1593" si="26">"http://dx.doi.org/" &amp; D1052</f>
        <v>http://dx.doi.org/10.1109/VISUAL.2003.1250348</v>
      </c>
      <c r="F1052" s="14"/>
      <c r="G1052" s="14"/>
      <c r="H1052" s="14" t="s">
        <v>21</v>
      </c>
      <c r="I1052" s="19" t="s">
        <v>14654</v>
      </c>
      <c r="J1052" s="19" t="s">
        <v>13187</v>
      </c>
      <c r="K1052" s="18"/>
      <c r="L1052" s="18"/>
      <c r="M1052" s="20"/>
      <c r="N1052" s="27"/>
      <c r="O1052" s="31"/>
      <c r="P1052" s="28">
        <v>0.0</v>
      </c>
      <c r="Q1052" s="28">
        <v>0.0</v>
      </c>
      <c r="R1052" s="84"/>
      <c r="S1052" s="84"/>
      <c r="T1052" s="84"/>
      <c r="U1052" s="84"/>
      <c r="V1052" s="84"/>
      <c r="W1052" s="84"/>
      <c r="X1052" s="84"/>
      <c r="Y1052" s="84"/>
      <c r="Z1052" s="84"/>
      <c r="AA1052" s="84"/>
    </row>
    <row r="1053" ht="15.75" customHeight="1">
      <c r="A1053" s="14" t="s">
        <v>17</v>
      </c>
      <c r="B1053" s="15" t="s">
        <v>14453</v>
      </c>
      <c r="C1053" s="14" t="s">
        <v>13188</v>
      </c>
      <c r="D1053" s="14" t="s">
        <v>13189</v>
      </c>
      <c r="E1053" s="26" t="str">
        <f t="shared" si="26"/>
        <v>http://dx.doi.org/10.1109/VISUAL.2003.1250350</v>
      </c>
      <c r="F1053" s="14">
        <v>21.0</v>
      </c>
      <c r="G1053" s="14">
        <v>24.0</v>
      </c>
      <c r="H1053" s="14" t="s">
        <v>21</v>
      </c>
      <c r="I1053" s="18"/>
      <c r="J1053" s="19" t="s">
        <v>13191</v>
      </c>
      <c r="K1053" s="19" t="s">
        <v>14655</v>
      </c>
      <c r="L1053" s="18"/>
      <c r="M1053" s="20"/>
      <c r="N1053" s="27"/>
      <c r="O1053" s="22">
        <v>1.0</v>
      </c>
      <c r="P1053" s="28">
        <v>0.0</v>
      </c>
      <c r="Q1053" s="28">
        <v>0.0</v>
      </c>
      <c r="R1053" s="84"/>
      <c r="S1053" s="84"/>
      <c r="T1053" s="84"/>
      <c r="U1053" s="84"/>
      <c r="V1053" s="84"/>
      <c r="W1053" s="84"/>
      <c r="X1053" s="84"/>
      <c r="Y1053" s="84"/>
      <c r="Z1053" s="84"/>
      <c r="AA1053" s="84"/>
    </row>
    <row r="1054" ht="15.75" customHeight="1">
      <c r="A1054" s="14" t="s">
        <v>17</v>
      </c>
      <c r="B1054" s="15" t="s">
        <v>14453</v>
      </c>
      <c r="C1054" s="14" t="s">
        <v>13192</v>
      </c>
      <c r="D1054" s="14" t="s">
        <v>13193</v>
      </c>
      <c r="E1054" s="26" t="str">
        <f t="shared" si="26"/>
        <v>http://dx.doi.org/10.1109/VISUAL.2003.1250351</v>
      </c>
      <c r="F1054" s="14">
        <v>27.0</v>
      </c>
      <c r="G1054" s="14">
        <v>34.0</v>
      </c>
      <c r="H1054" s="14" t="s">
        <v>28</v>
      </c>
      <c r="I1054" s="19" t="s">
        <v>14656</v>
      </c>
      <c r="J1054" s="19" t="s">
        <v>13195</v>
      </c>
      <c r="K1054" s="19" t="s">
        <v>14657</v>
      </c>
      <c r="L1054" s="19" t="s">
        <v>14658</v>
      </c>
      <c r="M1054" s="20" t="s">
        <v>11961</v>
      </c>
      <c r="N1054" s="44" t="s">
        <v>13197</v>
      </c>
      <c r="O1054" s="109"/>
      <c r="P1054" s="28">
        <v>5.0</v>
      </c>
      <c r="Q1054" s="28">
        <v>13.0</v>
      </c>
      <c r="R1054" s="84"/>
      <c r="S1054" s="84"/>
      <c r="T1054" s="84"/>
      <c r="U1054" s="84"/>
      <c r="V1054" s="84"/>
      <c r="W1054" s="84"/>
      <c r="X1054" s="84"/>
      <c r="Y1054" s="84"/>
      <c r="Z1054" s="84"/>
      <c r="AA1054" s="84"/>
    </row>
    <row r="1055" ht="15.75" customHeight="1">
      <c r="A1055" s="14" t="s">
        <v>17</v>
      </c>
      <c r="B1055" s="15" t="s">
        <v>14453</v>
      </c>
      <c r="C1055" s="14" t="s">
        <v>13198</v>
      </c>
      <c r="D1055" s="14" t="s">
        <v>13199</v>
      </c>
      <c r="E1055" s="26" t="str">
        <f t="shared" si="26"/>
        <v>http://dx.doi.org/10.1109/VISUAL.2003.1250352</v>
      </c>
      <c r="F1055" s="14">
        <v>35.0</v>
      </c>
      <c r="G1055" s="14">
        <v>42.0</v>
      </c>
      <c r="H1055" s="14" t="s">
        <v>28</v>
      </c>
      <c r="I1055" s="19" t="s">
        <v>14659</v>
      </c>
      <c r="J1055" s="19" t="s">
        <v>13201</v>
      </c>
      <c r="K1055" s="19" t="s">
        <v>14660</v>
      </c>
      <c r="L1055" s="19" t="s">
        <v>14661</v>
      </c>
      <c r="M1055" s="20" t="s">
        <v>7053</v>
      </c>
      <c r="N1055" s="44" t="s">
        <v>13203</v>
      </c>
      <c r="O1055" s="22">
        <v>7.0</v>
      </c>
      <c r="P1055" s="28">
        <v>1.0</v>
      </c>
      <c r="Q1055" s="28">
        <v>20.0</v>
      </c>
      <c r="R1055" s="84"/>
      <c r="S1055" s="84"/>
      <c r="T1055" s="84"/>
      <c r="U1055" s="84"/>
      <c r="V1055" s="84"/>
      <c r="W1055" s="84"/>
      <c r="X1055" s="84"/>
      <c r="Y1055" s="84"/>
      <c r="Z1055" s="84"/>
      <c r="AA1055" s="84"/>
    </row>
    <row r="1056" ht="15.75" customHeight="1">
      <c r="A1056" s="14" t="s">
        <v>17</v>
      </c>
      <c r="B1056" s="15" t="s">
        <v>14453</v>
      </c>
      <c r="C1056" s="14" t="s">
        <v>13204</v>
      </c>
      <c r="D1056" s="14" t="s">
        <v>13205</v>
      </c>
      <c r="E1056" s="26" t="str">
        <f t="shared" si="26"/>
        <v>http://dx.doi.org/10.1109/VISUAL.2003.1250353</v>
      </c>
      <c r="F1056" s="14">
        <v>43.0</v>
      </c>
      <c r="G1056" s="14">
        <v>50.0</v>
      </c>
      <c r="H1056" s="14" t="s">
        <v>28</v>
      </c>
      <c r="I1056" s="19" t="s">
        <v>14662</v>
      </c>
      <c r="J1056" s="19" t="s">
        <v>14663</v>
      </c>
      <c r="K1056" s="19" t="s">
        <v>14664</v>
      </c>
      <c r="L1056" s="19" t="s">
        <v>13641</v>
      </c>
      <c r="M1056" s="20" t="s">
        <v>13208</v>
      </c>
      <c r="N1056" s="44" t="s">
        <v>11972</v>
      </c>
      <c r="O1056" s="22">
        <v>88.0</v>
      </c>
      <c r="P1056" s="28">
        <v>17.0</v>
      </c>
      <c r="Q1056" s="28">
        <v>11.0</v>
      </c>
      <c r="R1056" s="84"/>
      <c r="S1056" s="84"/>
      <c r="T1056" s="84"/>
      <c r="U1056" s="84"/>
      <c r="V1056" s="84"/>
      <c r="W1056" s="84"/>
      <c r="X1056" s="84"/>
      <c r="Y1056" s="84"/>
      <c r="Z1056" s="84"/>
      <c r="AA1056" s="84"/>
    </row>
    <row r="1057" ht="15.75" customHeight="1">
      <c r="A1057" s="14" t="s">
        <v>17</v>
      </c>
      <c r="B1057" s="15" t="s">
        <v>14453</v>
      </c>
      <c r="C1057" s="14" t="s">
        <v>13209</v>
      </c>
      <c r="D1057" s="14" t="s">
        <v>13210</v>
      </c>
      <c r="E1057" s="26" t="str">
        <f t="shared" si="26"/>
        <v>http://dx.doi.org/10.1109/VISUAL.2003.1250354</v>
      </c>
      <c r="F1057" s="14">
        <v>51.0</v>
      </c>
      <c r="G1057" s="14">
        <v>58.0</v>
      </c>
      <c r="H1057" s="14" t="s">
        <v>28</v>
      </c>
      <c r="I1057" s="19" t="s">
        <v>14665</v>
      </c>
      <c r="J1057" s="19" t="s">
        <v>13212</v>
      </c>
      <c r="K1057" s="19" t="s">
        <v>14666</v>
      </c>
      <c r="L1057" s="19" t="s">
        <v>14667</v>
      </c>
      <c r="M1057" s="20" t="s">
        <v>13214</v>
      </c>
      <c r="N1057" s="44" t="s">
        <v>13215</v>
      </c>
      <c r="O1057" s="22">
        <v>42.0</v>
      </c>
      <c r="P1057" s="28">
        <v>12.0</v>
      </c>
      <c r="Q1057" s="28">
        <v>31.0</v>
      </c>
      <c r="R1057" s="84"/>
      <c r="S1057" s="84"/>
      <c r="T1057" s="84"/>
      <c r="U1057" s="84"/>
      <c r="V1057" s="84"/>
      <c r="W1057" s="84"/>
      <c r="X1057" s="84"/>
      <c r="Y1057" s="84"/>
      <c r="Z1057" s="84"/>
      <c r="AA1057" s="84"/>
    </row>
    <row r="1058" ht="15.75" customHeight="1">
      <c r="A1058" s="14" t="s">
        <v>17</v>
      </c>
      <c r="B1058" s="15" t="s">
        <v>14453</v>
      </c>
      <c r="C1058" s="42" t="s">
        <v>14668</v>
      </c>
      <c r="D1058" s="14" t="s">
        <v>13217</v>
      </c>
      <c r="E1058" s="26" t="str">
        <f t="shared" si="26"/>
        <v>http://dx.doi.org/10.1109/VISUAL.2003.1250355</v>
      </c>
      <c r="F1058" s="14">
        <v>59.0</v>
      </c>
      <c r="G1058" s="14">
        <v>66.0</v>
      </c>
      <c r="H1058" s="14" t="s">
        <v>28</v>
      </c>
      <c r="I1058" s="19" t="s">
        <v>14669</v>
      </c>
      <c r="J1058" s="19" t="s">
        <v>13224</v>
      </c>
      <c r="K1058" s="19" t="s">
        <v>14670</v>
      </c>
      <c r="L1058" s="19" t="s">
        <v>12706</v>
      </c>
      <c r="M1058" s="20" t="s">
        <v>536</v>
      </c>
      <c r="N1058" s="44" t="s">
        <v>13226</v>
      </c>
      <c r="O1058" s="109"/>
      <c r="P1058" s="28">
        <v>2.0</v>
      </c>
      <c r="Q1058" s="28">
        <v>20.0</v>
      </c>
      <c r="R1058" s="84"/>
      <c r="S1058" s="84"/>
      <c r="T1058" s="84"/>
      <c r="U1058" s="84"/>
      <c r="V1058" s="84"/>
      <c r="W1058" s="84"/>
      <c r="X1058" s="84"/>
      <c r="Y1058" s="84"/>
      <c r="Z1058" s="84"/>
      <c r="AA1058" s="84"/>
    </row>
    <row r="1059" ht="15.75" customHeight="1">
      <c r="A1059" s="14" t="s">
        <v>17</v>
      </c>
      <c r="B1059" s="15" t="s">
        <v>14453</v>
      </c>
      <c r="C1059" s="14" t="s">
        <v>13227</v>
      </c>
      <c r="D1059" s="14" t="s">
        <v>13228</v>
      </c>
      <c r="E1059" s="26" t="str">
        <f t="shared" si="26"/>
        <v>http://dx.doi.org/10.1109/VISUAL.2003.1250356</v>
      </c>
      <c r="F1059" s="14">
        <v>67.0</v>
      </c>
      <c r="G1059" s="14">
        <v>74.0</v>
      </c>
      <c r="H1059" s="14" t="s">
        <v>28</v>
      </c>
      <c r="I1059" s="19" t="s">
        <v>14671</v>
      </c>
      <c r="J1059" s="19" t="s">
        <v>13235</v>
      </c>
      <c r="K1059" s="19" t="s">
        <v>14672</v>
      </c>
      <c r="L1059" s="19" t="s">
        <v>14673</v>
      </c>
      <c r="M1059" s="20" t="s">
        <v>13237</v>
      </c>
      <c r="N1059" s="44" t="s">
        <v>13238</v>
      </c>
      <c r="O1059" s="22">
        <v>50.0</v>
      </c>
      <c r="P1059" s="28">
        <v>10.0</v>
      </c>
      <c r="Q1059" s="28">
        <v>42.0</v>
      </c>
      <c r="R1059" s="84"/>
      <c r="S1059" s="84"/>
      <c r="T1059" s="84"/>
      <c r="U1059" s="84"/>
      <c r="V1059" s="84"/>
      <c r="W1059" s="84"/>
      <c r="X1059" s="84"/>
      <c r="Y1059" s="84"/>
      <c r="Z1059" s="84"/>
      <c r="AA1059" s="84"/>
    </row>
    <row r="1060" ht="15.75" customHeight="1">
      <c r="A1060" s="14" t="s">
        <v>17</v>
      </c>
      <c r="B1060" s="15" t="s">
        <v>14453</v>
      </c>
      <c r="C1060" s="14" t="s">
        <v>13242</v>
      </c>
      <c r="D1060" s="14" t="s">
        <v>13244</v>
      </c>
      <c r="E1060" s="26" t="str">
        <f t="shared" si="26"/>
        <v>http://dx.doi.org/10.1109/VISUAL.2003.1250357</v>
      </c>
      <c r="F1060" s="14">
        <v>75.0</v>
      </c>
      <c r="G1060" s="14">
        <v>82.0</v>
      </c>
      <c r="H1060" s="14" t="s">
        <v>28</v>
      </c>
      <c r="I1060" s="19" t="s">
        <v>14674</v>
      </c>
      <c r="J1060" s="19" t="s">
        <v>13250</v>
      </c>
      <c r="K1060" s="19" t="s">
        <v>14675</v>
      </c>
      <c r="L1060" s="19" t="s">
        <v>14676</v>
      </c>
      <c r="M1060" s="20" t="s">
        <v>13253</v>
      </c>
      <c r="N1060" s="44" t="s">
        <v>13254</v>
      </c>
      <c r="O1060" s="22">
        <v>134.0</v>
      </c>
      <c r="P1060" s="28">
        <v>27.0</v>
      </c>
      <c r="Q1060" s="28">
        <v>36.0</v>
      </c>
      <c r="R1060" s="84"/>
      <c r="S1060" s="84"/>
      <c r="T1060" s="84"/>
      <c r="U1060" s="84"/>
      <c r="V1060" s="84"/>
      <c r="W1060" s="84"/>
      <c r="X1060" s="84"/>
      <c r="Y1060" s="84"/>
      <c r="Z1060" s="84"/>
      <c r="AA1060" s="84"/>
    </row>
    <row r="1061" ht="15.75" customHeight="1">
      <c r="A1061" s="14" t="s">
        <v>17</v>
      </c>
      <c r="B1061" s="15" t="s">
        <v>14453</v>
      </c>
      <c r="C1061" s="14" t="s">
        <v>13255</v>
      </c>
      <c r="D1061" s="14" t="s">
        <v>13256</v>
      </c>
      <c r="E1061" s="26" t="str">
        <f t="shared" si="26"/>
        <v>http://dx.doi.org/10.1109/VISUAL.2003.1250358</v>
      </c>
      <c r="F1061" s="14">
        <v>83.0</v>
      </c>
      <c r="G1061" s="14">
        <v>90.0</v>
      </c>
      <c r="H1061" s="14" t="s">
        <v>28</v>
      </c>
      <c r="I1061" s="19" t="s">
        <v>14677</v>
      </c>
      <c r="J1061" s="19" t="s">
        <v>13261</v>
      </c>
      <c r="K1061" s="19" t="s">
        <v>14678</v>
      </c>
      <c r="L1061" s="19" t="s">
        <v>14679</v>
      </c>
      <c r="M1061" s="20" t="s">
        <v>13263</v>
      </c>
      <c r="N1061" s="44" t="s">
        <v>13264</v>
      </c>
      <c r="O1061" s="22">
        <v>141.0</v>
      </c>
      <c r="P1061" s="28">
        <v>33.0</v>
      </c>
      <c r="Q1061" s="28">
        <v>16.0</v>
      </c>
      <c r="R1061" s="84"/>
      <c r="S1061" s="84"/>
      <c r="T1061" s="84"/>
      <c r="U1061" s="84"/>
      <c r="V1061" s="84"/>
      <c r="W1061" s="84"/>
      <c r="X1061" s="84"/>
      <c r="Y1061" s="84"/>
      <c r="Z1061" s="84"/>
      <c r="AA1061" s="84"/>
    </row>
    <row r="1062" ht="15.75" customHeight="1">
      <c r="A1062" s="14" t="s">
        <v>17</v>
      </c>
      <c r="B1062" s="15" t="s">
        <v>14453</v>
      </c>
      <c r="C1062" s="42" t="s">
        <v>14680</v>
      </c>
      <c r="D1062" s="14" t="s">
        <v>13266</v>
      </c>
      <c r="E1062" s="26" t="str">
        <f t="shared" si="26"/>
        <v>http://dx.doi.org/10.1109/VISUAL.2003.1250359</v>
      </c>
      <c r="F1062" s="14">
        <v>91.0</v>
      </c>
      <c r="G1062" s="14">
        <v>98.0</v>
      </c>
      <c r="H1062" s="14" t="s">
        <v>28</v>
      </c>
      <c r="I1062" s="19" t="s">
        <v>14681</v>
      </c>
      <c r="J1062" s="19" t="s">
        <v>13268</v>
      </c>
      <c r="K1062" s="19" t="s">
        <v>14682</v>
      </c>
      <c r="L1062" s="19" t="s">
        <v>14683</v>
      </c>
      <c r="M1062" s="20" t="s">
        <v>7101</v>
      </c>
      <c r="N1062" s="44" t="s">
        <v>13270</v>
      </c>
      <c r="O1062" s="109"/>
      <c r="P1062" s="28">
        <v>11.0</v>
      </c>
      <c r="Q1062" s="28">
        <v>21.0</v>
      </c>
      <c r="R1062" s="84"/>
      <c r="S1062" s="84"/>
      <c r="T1062" s="84"/>
      <c r="U1062" s="84"/>
      <c r="V1062" s="84"/>
      <c r="W1062" s="84"/>
      <c r="X1062" s="84"/>
      <c r="Y1062" s="84"/>
      <c r="Z1062" s="84"/>
      <c r="AA1062" s="84"/>
    </row>
    <row r="1063" ht="15.75" customHeight="1">
      <c r="A1063" s="14" t="s">
        <v>17</v>
      </c>
      <c r="B1063" s="15" t="s">
        <v>14453</v>
      </c>
      <c r="C1063" s="14" t="s">
        <v>13271</v>
      </c>
      <c r="D1063" s="14" t="s">
        <v>13272</v>
      </c>
      <c r="E1063" s="26" t="str">
        <f t="shared" si="26"/>
        <v>http://dx.doi.org/10.1109/VISUAL.2003.1250360</v>
      </c>
      <c r="F1063" s="14">
        <v>99.0</v>
      </c>
      <c r="G1063" s="14">
        <v>106.0</v>
      </c>
      <c r="H1063" s="14" t="s">
        <v>28</v>
      </c>
      <c r="I1063" s="19" t="s">
        <v>14684</v>
      </c>
      <c r="J1063" s="19" t="s">
        <v>13274</v>
      </c>
      <c r="K1063" s="19" t="s">
        <v>14685</v>
      </c>
      <c r="L1063" s="19" t="s">
        <v>6028</v>
      </c>
      <c r="M1063" s="20" t="s">
        <v>13275</v>
      </c>
      <c r="N1063" s="44" t="s">
        <v>13276</v>
      </c>
      <c r="O1063" s="22">
        <v>67.0</v>
      </c>
      <c r="P1063" s="28">
        <v>12.0</v>
      </c>
      <c r="Q1063" s="28">
        <v>19.0</v>
      </c>
      <c r="R1063" s="84"/>
      <c r="S1063" s="84"/>
      <c r="T1063" s="84"/>
      <c r="U1063" s="84"/>
      <c r="V1063" s="84"/>
      <c r="W1063" s="84"/>
      <c r="X1063" s="84"/>
      <c r="Y1063" s="84"/>
      <c r="Z1063" s="84"/>
      <c r="AA1063" s="84"/>
    </row>
    <row r="1064" ht="15.75" customHeight="1">
      <c r="A1064" s="14" t="s">
        <v>17</v>
      </c>
      <c r="B1064" s="15" t="s">
        <v>14453</v>
      </c>
      <c r="C1064" s="14" t="s">
        <v>13277</v>
      </c>
      <c r="D1064" s="14" t="s">
        <v>13278</v>
      </c>
      <c r="E1064" s="26" t="str">
        <f t="shared" si="26"/>
        <v>http://dx.doi.org/10.1109/VISUAL.2003.1250361</v>
      </c>
      <c r="F1064" s="14">
        <v>107.0</v>
      </c>
      <c r="G1064" s="14">
        <v>114.0</v>
      </c>
      <c r="H1064" s="14" t="s">
        <v>28</v>
      </c>
      <c r="I1064" s="19" t="s">
        <v>15041</v>
      </c>
      <c r="J1064" s="19" t="s">
        <v>13280</v>
      </c>
      <c r="K1064" s="19" t="s">
        <v>15042</v>
      </c>
      <c r="L1064" s="19" t="s">
        <v>15043</v>
      </c>
      <c r="M1064" s="20" t="s">
        <v>13282</v>
      </c>
      <c r="N1064" s="44" t="s">
        <v>13283</v>
      </c>
      <c r="O1064" s="22">
        <v>79.0</v>
      </c>
      <c r="P1064" s="28">
        <v>25.0</v>
      </c>
      <c r="Q1064" s="28">
        <v>23.0</v>
      </c>
      <c r="R1064" s="84"/>
      <c r="S1064" s="84"/>
      <c r="T1064" s="84"/>
      <c r="U1064" s="84"/>
      <c r="V1064" s="84"/>
      <c r="W1064" s="84"/>
      <c r="X1064" s="84"/>
      <c r="Y1064" s="84"/>
      <c r="Z1064" s="84"/>
      <c r="AA1064" s="84"/>
    </row>
    <row r="1065" ht="15.75" customHeight="1">
      <c r="A1065" s="14" t="s">
        <v>17</v>
      </c>
      <c r="B1065" s="15" t="s">
        <v>14453</v>
      </c>
      <c r="C1065" s="14" t="s">
        <v>13284</v>
      </c>
      <c r="D1065" s="14" t="s">
        <v>13285</v>
      </c>
      <c r="E1065" s="26" t="str">
        <f t="shared" si="26"/>
        <v>http://dx.doi.org/10.1109/VISUAL.2003.1250362</v>
      </c>
      <c r="F1065" s="14">
        <v>115.0</v>
      </c>
      <c r="G1065" s="14">
        <v>121.0</v>
      </c>
      <c r="H1065" s="14" t="s">
        <v>28</v>
      </c>
      <c r="I1065" s="19" t="s">
        <v>15050</v>
      </c>
      <c r="J1065" s="19" t="s">
        <v>13290</v>
      </c>
      <c r="K1065" s="19" t="s">
        <v>15052</v>
      </c>
      <c r="L1065" s="19" t="s">
        <v>15054</v>
      </c>
      <c r="M1065" s="20" t="s">
        <v>13292</v>
      </c>
      <c r="N1065" s="44" t="s">
        <v>13293</v>
      </c>
      <c r="O1065" s="22">
        <v>78.0</v>
      </c>
      <c r="P1065" s="28">
        <v>22.0</v>
      </c>
      <c r="Q1065" s="28">
        <v>19.0</v>
      </c>
      <c r="R1065" s="84"/>
      <c r="S1065" s="84"/>
      <c r="T1065" s="84"/>
      <c r="U1065" s="84"/>
      <c r="V1065" s="84"/>
      <c r="W1065" s="84"/>
      <c r="X1065" s="84"/>
      <c r="Y1065" s="84"/>
      <c r="Z1065" s="84"/>
      <c r="AA1065" s="84"/>
    </row>
    <row r="1066" ht="15.75" customHeight="1">
      <c r="A1066" s="14" t="s">
        <v>17</v>
      </c>
      <c r="B1066" s="15" t="s">
        <v>14453</v>
      </c>
      <c r="C1066" s="14" t="s">
        <v>13294</v>
      </c>
      <c r="D1066" s="14" t="s">
        <v>13295</v>
      </c>
      <c r="E1066" s="26" t="str">
        <f t="shared" si="26"/>
        <v>http://dx.doi.org/10.1109/VISUAL.2003.1250363</v>
      </c>
      <c r="F1066" s="14">
        <v>123.0</v>
      </c>
      <c r="G1066" s="14">
        <v>130.0</v>
      </c>
      <c r="H1066" s="14" t="s">
        <v>28</v>
      </c>
      <c r="I1066" s="19" t="s">
        <v>15060</v>
      </c>
      <c r="J1066" s="19" t="s">
        <v>1304</v>
      </c>
      <c r="K1066" s="19" t="s">
        <v>1619</v>
      </c>
      <c r="L1066" s="19" t="s">
        <v>14647</v>
      </c>
      <c r="M1066" s="20" t="s">
        <v>13301</v>
      </c>
      <c r="N1066" s="44" t="s">
        <v>13302</v>
      </c>
      <c r="O1066" s="109"/>
      <c r="P1066" s="28">
        <v>37.0</v>
      </c>
      <c r="Q1066" s="28">
        <v>37.0</v>
      </c>
      <c r="R1066" s="84"/>
      <c r="S1066" s="84"/>
      <c r="T1066" s="84"/>
      <c r="U1066" s="84"/>
      <c r="V1066" s="84"/>
      <c r="W1066" s="84"/>
      <c r="X1066" s="84"/>
      <c r="Y1066" s="84"/>
      <c r="Z1066" s="84"/>
      <c r="AA1066" s="84"/>
    </row>
    <row r="1067" ht="15.75" customHeight="1">
      <c r="A1067" s="14" t="s">
        <v>17</v>
      </c>
      <c r="B1067" s="15" t="s">
        <v>14453</v>
      </c>
      <c r="C1067" s="14" t="s">
        <v>13303</v>
      </c>
      <c r="D1067" s="14" t="s">
        <v>13304</v>
      </c>
      <c r="E1067" s="26" t="str">
        <f t="shared" si="26"/>
        <v>http://dx.doi.org/10.1109/VISUAL.2003.1250364</v>
      </c>
      <c r="F1067" s="14">
        <v>131.0</v>
      </c>
      <c r="G1067" s="14">
        <v>138.0</v>
      </c>
      <c r="H1067" s="14" t="s">
        <v>28</v>
      </c>
      <c r="I1067" s="19" t="s">
        <v>15067</v>
      </c>
      <c r="J1067" s="19" t="s">
        <v>13309</v>
      </c>
      <c r="K1067" s="19" t="s">
        <v>15068</v>
      </c>
      <c r="L1067" s="19" t="s">
        <v>15069</v>
      </c>
      <c r="M1067" s="20" t="s">
        <v>13311</v>
      </c>
      <c r="N1067" s="44" t="s">
        <v>13312</v>
      </c>
      <c r="O1067" s="22">
        <v>132.0</v>
      </c>
      <c r="P1067" s="28">
        <v>34.0</v>
      </c>
      <c r="Q1067" s="28">
        <v>19.0</v>
      </c>
      <c r="R1067" s="84"/>
      <c r="S1067" s="84"/>
      <c r="T1067" s="84"/>
      <c r="U1067" s="84"/>
      <c r="V1067" s="84"/>
      <c r="W1067" s="84"/>
      <c r="X1067" s="84"/>
      <c r="Y1067" s="84"/>
      <c r="Z1067" s="84"/>
      <c r="AA1067" s="84"/>
    </row>
    <row r="1068" ht="15.75" customHeight="1">
      <c r="A1068" s="14" t="s">
        <v>17</v>
      </c>
      <c r="B1068" s="15" t="s">
        <v>14453</v>
      </c>
      <c r="C1068" s="14" t="s">
        <v>13313</v>
      </c>
      <c r="D1068" s="14" t="s">
        <v>13314</v>
      </c>
      <c r="E1068" s="26" t="str">
        <f t="shared" si="26"/>
        <v>http://dx.doi.org/10.1109/VISUAL.2003.1250365</v>
      </c>
      <c r="F1068" s="14">
        <v>139.0</v>
      </c>
      <c r="G1068" s="14">
        <v>146.0</v>
      </c>
      <c r="H1068" s="14" t="s">
        <v>28</v>
      </c>
      <c r="I1068" s="19" t="s">
        <v>15078</v>
      </c>
      <c r="J1068" s="19" t="s">
        <v>13326</v>
      </c>
      <c r="K1068" s="19" t="s">
        <v>15081</v>
      </c>
      <c r="L1068" s="19" t="s">
        <v>6010</v>
      </c>
      <c r="M1068" s="20" t="s">
        <v>13327</v>
      </c>
      <c r="N1068" s="44" t="s">
        <v>13328</v>
      </c>
      <c r="O1068" s="109"/>
      <c r="P1068" s="28">
        <v>12.0</v>
      </c>
      <c r="Q1068" s="28">
        <v>33.0</v>
      </c>
      <c r="R1068" s="84"/>
      <c r="S1068" s="84"/>
      <c r="T1068" s="84"/>
      <c r="U1068" s="84"/>
      <c r="V1068" s="84"/>
      <c r="W1068" s="84"/>
      <c r="X1068" s="84"/>
      <c r="Y1068" s="84"/>
      <c r="Z1068" s="84"/>
      <c r="AA1068" s="84"/>
    </row>
    <row r="1069" ht="15.75" customHeight="1">
      <c r="A1069" s="14" t="s">
        <v>17</v>
      </c>
      <c r="B1069" s="15" t="s">
        <v>14453</v>
      </c>
      <c r="C1069" s="14" t="s">
        <v>13329</v>
      </c>
      <c r="D1069" s="14" t="s">
        <v>13330</v>
      </c>
      <c r="E1069" s="26" t="str">
        <f t="shared" si="26"/>
        <v>http://dx.doi.org/10.1109/VISUAL.2003.1250366</v>
      </c>
      <c r="F1069" s="14">
        <v>147.0</v>
      </c>
      <c r="G1069" s="14">
        <v>154.0</v>
      </c>
      <c r="H1069" s="14" t="s">
        <v>28</v>
      </c>
      <c r="I1069" s="19" t="s">
        <v>15087</v>
      </c>
      <c r="J1069" s="19" t="s">
        <v>13338</v>
      </c>
      <c r="K1069" s="19" t="s">
        <v>15088</v>
      </c>
      <c r="L1069" s="19" t="s">
        <v>15089</v>
      </c>
      <c r="M1069" s="20" t="s">
        <v>13340</v>
      </c>
      <c r="N1069" s="44" t="s">
        <v>13341</v>
      </c>
      <c r="O1069" s="22">
        <v>181.0</v>
      </c>
      <c r="P1069" s="28">
        <v>30.0</v>
      </c>
      <c r="Q1069" s="28">
        <v>33.0</v>
      </c>
      <c r="R1069" s="84"/>
      <c r="S1069" s="84"/>
      <c r="T1069" s="84"/>
      <c r="U1069" s="84"/>
      <c r="V1069" s="84"/>
      <c r="W1069" s="84"/>
      <c r="X1069" s="84"/>
      <c r="Y1069" s="84"/>
      <c r="Z1069" s="84"/>
      <c r="AA1069" s="84"/>
    </row>
    <row r="1070" ht="15.75" customHeight="1">
      <c r="A1070" s="14" t="s">
        <v>17</v>
      </c>
      <c r="B1070" s="15" t="s">
        <v>14453</v>
      </c>
      <c r="C1070" s="14" t="s">
        <v>13342</v>
      </c>
      <c r="D1070" s="14" t="s">
        <v>13343</v>
      </c>
      <c r="E1070" s="26" t="str">
        <f t="shared" si="26"/>
        <v>http://dx.doi.org/10.1109/VISUAL.2003.1250367</v>
      </c>
      <c r="F1070" s="14">
        <v>155.0</v>
      </c>
      <c r="G1070" s="14">
        <v>162.0</v>
      </c>
      <c r="H1070" s="14" t="s">
        <v>28</v>
      </c>
      <c r="I1070" s="19" t="s">
        <v>15097</v>
      </c>
      <c r="J1070" s="19" t="s">
        <v>13348</v>
      </c>
      <c r="K1070" s="19" t="s">
        <v>15098</v>
      </c>
      <c r="L1070" s="19" t="s">
        <v>15099</v>
      </c>
      <c r="M1070" s="20" t="s">
        <v>13350</v>
      </c>
      <c r="N1070" s="44" t="s">
        <v>13351</v>
      </c>
      <c r="O1070" s="22">
        <v>17.0</v>
      </c>
      <c r="P1070" s="28">
        <v>2.0</v>
      </c>
      <c r="Q1070" s="28">
        <v>33.0</v>
      </c>
      <c r="R1070" s="84"/>
      <c r="S1070" s="84"/>
      <c r="T1070" s="84"/>
      <c r="U1070" s="84"/>
      <c r="V1070" s="84"/>
      <c r="W1070" s="84"/>
      <c r="X1070" s="84"/>
      <c r="Y1070" s="84"/>
      <c r="Z1070" s="84"/>
      <c r="AA1070" s="84"/>
    </row>
    <row r="1071" ht="15.75" customHeight="1">
      <c r="A1071" s="14" t="s">
        <v>17</v>
      </c>
      <c r="B1071" s="15" t="s">
        <v>14453</v>
      </c>
      <c r="C1071" s="14" t="s">
        <v>13352</v>
      </c>
      <c r="D1071" s="14" t="s">
        <v>13353</v>
      </c>
      <c r="E1071" s="26" t="str">
        <f t="shared" si="26"/>
        <v>http://dx.doi.org/10.1109/VISUAL.2003.1250368</v>
      </c>
      <c r="F1071" s="14">
        <v>163.0</v>
      </c>
      <c r="G1071" s="14">
        <v>170.0</v>
      </c>
      <c r="H1071" s="14" t="s">
        <v>28</v>
      </c>
      <c r="I1071" s="19" t="s">
        <v>15103</v>
      </c>
      <c r="J1071" s="19" t="s">
        <v>13359</v>
      </c>
      <c r="K1071" s="19" t="s">
        <v>15106</v>
      </c>
      <c r="L1071" s="19" t="s">
        <v>15107</v>
      </c>
      <c r="M1071" s="20" t="s">
        <v>13360</v>
      </c>
      <c r="N1071" s="44" t="s">
        <v>13361</v>
      </c>
      <c r="O1071" s="22">
        <v>50.0</v>
      </c>
      <c r="P1071" s="28">
        <v>4.0</v>
      </c>
      <c r="Q1071" s="28">
        <v>40.0</v>
      </c>
      <c r="R1071" s="84"/>
      <c r="S1071" s="84"/>
      <c r="T1071" s="84"/>
      <c r="U1071" s="84"/>
      <c r="V1071" s="84"/>
      <c r="W1071" s="84"/>
      <c r="X1071" s="84"/>
      <c r="Y1071" s="84"/>
      <c r="Z1071" s="84"/>
      <c r="AA1071" s="84"/>
    </row>
    <row r="1072" ht="15.75" customHeight="1">
      <c r="A1072" s="14" t="s">
        <v>17</v>
      </c>
      <c r="B1072" s="15" t="s">
        <v>14453</v>
      </c>
      <c r="C1072" s="14" t="s">
        <v>13362</v>
      </c>
      <c r="D1072" s="14" t="s">
        <v>13363</v>
      </c>
      <c r="E1072" s="26" t="str">
        <f t="shared" si="26"/>
        <v>http://dx.doi.org/10.1109/VISUAL.2003.1250369</v>
      </c>
      <c r="F1072" s="14">
        <v>171.0</v>
      </c>
      <c r="G1072" s="14">
        <v>176.0</v>
      </c>
      <c r="H1072" s="14" t="s">
        <v>28</v>
      </c>
      <c r="I1072" s="19" t="s">
        <v>15108</v>
      </c>
      <c r="J1072" s="19" t="s">
        <v>13367</v>
      </c>
      <c r="K1072" s="19" t="s">
        <v>15109</v>
      </c>
      <c r="L1072" s="19" t="s">
        <v>13897</v>
      </c>
      <c r="M1072" s="20" t="s">
        <v>13244</v>
      </c>
      <c r="N1072" s="44" t="s">
        <v>13368</v>
      </c>
      <c r="O1072" s="22">
        <v>133.0</v>
      </c>
      <c r="P1072" s="28">
        <v>32.0</v>
      </c>
      <c r="Q1072" s="28">
        <v>26.0</v>
      </c>
      <c r="R1072" s="84"/>
      <c r="S1072" s="84"/>
      <c r="T1072" s="84"/>
      <c r="U1072" s="84"/>
      <c r="V1072" s="84"/>
      <c r="W1072" s="84"/>
      <c r="X1072" s="84"/>
      <c r="Y1072" s="84"/>
      <c r="Z1072" s="84"/>
      <c r="AA1072" s="84"/>
    </row>
    <row r="1073" ht="15.75" customHeight="1">
      <c r="A1073" s="14" t="s">
        <v>17</v>
      </c>
      <c r="B1073" s="15" t="s">
        <v>14453</v>
      </c>
      <c r="C1073" s="14" t="s">
        <v>13369</v>
      </c>
      <c r="D1073" s="14" t="s">
        <v>13370</v>
      </c>
      <c r="E1073" s="26" t="str">
        <f t="shared" si="26"/>
        <v>http://dx.doi.org/10.1109/VISUAL.2003.1250370</v>
      </c>
      <c r="F1073" s="14">
        <v>177.0</v>
      </c>
      <c r="G1073" s="14">
        <v>184.0</v>
      </c>
      <c r="H1073" s="14" t="s">
        <v>28</v>
      </c>
      <c r="I1073" s="19" t="s">
        <v>15115</v>
      </c>
      <c r="J1073" s="19" t="s">
        <v>15116</v>
      </c>
      <c r="K1073" s="19" t="s">
        <v>15117</v>
      </c>
      <c r="L1073" s="19" t="s">
        <v>15118</v>
      </c>
      <c r="M1073" s="20" t="s">
        <v>5996</v>
      </c>
      <c r="N1073" s="44" t="s">
        <v>13378</v>
      </c>
      <c r="O1073" s="22">
        <v>43.0</v>
      </c>
      <c r="P1073" s="28">
        <v>20.0</v>
      </c>
      <c r="Q1073" s="28">
        <v>17.0</v>
      </c>
      <c r="R1073" s="84"/>
      <c r="S1073" s="84"/>
      <c r="T1073" s="84"/>
      <c r="U1073" s="84"/>
      <c r="V1073" s="84"/>
      <c r="W1073" s="84"/>
      <c r="X1073" s="84"/>
      <c r="Y1073" s="84"/>
      <c r="Z1073" s="84"/>
      <c r="AA1073" s="84"/>
    </row>
    <row r="1074" ht="15.75" customHeight="1">
      <c r="A1074" s="14" t="s">
        <v>17</v>
      </c>
      <c r="B1074" s="15" t="s">
        <v>14453</v>
      </c>
      <c r="C1074" s="14" t="s">
        <v>13379</v>
      </c>
      <c r="D1074" s="14" t="s">
        <v>13380</v>
      </c>
      <c r="E1074" s="26" t="str">
        <f t="shared" si="26"/>
        <v>http://dx.doi.org/10.1109/VISUAL.2003.1250371</v>
      </c>
      <c r="F1074" s="14">
        <v>185.0</v>
      </c>
      <c r="G1074" s="14">
        <v>192.0</v>
      </c>
      <c r="H1074" s="14" t="s">
        <v>28</v>
      </c>
      <c r="I1074" s="19" t="s">
        <v>15126</v>
      </c>
      <c r="J1074" s="19" t="s">
        <v>13385</v>
      </c>
      <c r="K1074" s="19" t="s">
        <v>15127</v>
      </c>
      <c r="L1074" s="19" t="s">
        <v>15128</v>
      </c>
      <c r="M1074" s="20" t="s">
        <v>13387</v>
      </c>
      <c r="N1074" s="44" t="s">
        <v>13388</v>
      </c>
      <c r="O1074" s="22">
        <v>50.0</v>
      </c>
      <c r="P1074" s="28">
        <v>7.0</v>
      </c>
      <c r="Q1074" s="28">
        <v>33.0</v>
      </c>
      <c r="R1074" s="84"/>
      <c r="S1074" s="84"/>
      <c r="T1074" s="84"/>
      <c r="U1074" s="84"/>
      <c r="V1074" s="84"/>
      <c r="W1074" s="84"/>
      <c r="X1074" s="84"/>
      <c r="Y1074" s="84"/>
      <c r="Z1074" s="84"/>
      <c r="AA1074" s="84"/>
    </row>
    <row r="1075" ht="15.75" customHeight="1">
      <c r="A1075" s="14" t="s">
        <v>17</v>
      </c>
      <c r="B1075" s="15" t="s">
        <v>14453</v>
      </c>
      <c r="C1075" s="14" t="s">
        <v>13389</v>
      </c>
      <c r="D1075" s="14" t="s">
        <v>13390</v>
      </c>
      <c r="E1075" s="26" t="str">
        <f t="shared" si="26"/>
        <v>http://dx.doi.org/10.1109/VISUAL.2003.1250372</v>
      </c>
      <c r="F1075" s="14">
        <v>193.0</v>
      </c>
      <c r="G1075" s="14">
        <v>200.0</v>
      </c>
      <c r="H1075" s="14" t="s">
        <v>28</v>
      </c>
      <c r="I1075" s="19" t="s">
        <v>15133</v>
      </c>
      <c r="J1075" s="19" t="s">
        <v>13395</v>
      </c>
      <c r="K1075" s="19" t="s">
        <v>15134</v>
      </c>
      <c r="L1075" s="19" t="s">
        <v>15135</v>
      </c>
      <c r="M1075" s="20" t="s">
        <v>13397</v>
      </c>
      <c r="N1075" s="44" t="s">
        <v>13398</v>
      </c>
      <c r="O1075" s="22">
        <v>54.0</v>
      </c>
      <c r="P1075" s="28">
        <v>23.0</v>
      </c>
      <c r="Q1075" s="28">
        <v>13.0</v>
      </c>
      <c r="R1075" s="84"/>
      <c r="S1075" s="84"/>
      <c r="T1075" s="84"/>
      <c r="U1075" s="84"/>
      <c r="V1075" s="84"/>
      <c r="W1075" s="84"/>
      <c r="X1075" s="84"/>
      <c r="Y1075" s="84"/>
      <c r="Z1075" s="84"/>
      <c r="AA1075" s="84"/>
    </row>
    <row r="1076" ht="15.75" customHeight="1">
      <c r="A1076" s="14" t="s">
        <v>17</v>
      </c>
      <c r="B1076" s="15" t="s">
        <v>14453</v>
      </c>
      <c r="C1076" s="14" t="s">
        <v>13399</v>
      </c>
      <c r="D1076" s="14" t="s">
        <v>13400</v>
      </c>
      <c r="E1076" s="26" t="str">
        <f t="shared" si="26"/>
        <v>http://dx.doi.org/10.1109/VISUAL.2003.1250373</v>
      </c>
      <c r="F1076" s="14">
        <v>201.0</v>
      </c>
      <c r="G1076" s="14">
        <v>208.0</v>
      </c>
      <c r="H1076" s="14" t="s">
        <v>28</v>
      </c>
      <c r="I1076" s="19" t="s">
        <v>15141</v>
      </c>
      <c r="J1076" s="19" t="s">
        <v>13403</v>
      </c>
      <c r="K1076" s="19" t="s">
        <v>15142</v>
      </c>
      <c r="L1076" s="19" t="s">
        <v>15143</v>
      </c>
      <c r="M1076" s="20" t="s">
        <v>13407</v>
      </c>
      <c r="N1076" s="44" t="s">
        <v>13408</v>
      </c>
      <c r="O1076" s="22">
        <v>50.0</v>
      </c>
      <c r="P1076" s="28">
        <v>3.0</v>
      </c>
      <c r="Q1076" s="28">
        <v>15.0</v>
      </c>
      <c r="R1076" s="84"/>
      <c r="S1076" s="84"/>
      <c r="T1076" s="84"/>
      <c r="U1076" s="84"/>
      <c r="V1076" s="84"/>
      <c r="W1076" s="84"/>
      <c r="X1076" s="84"/>
      <c r="Y1076" s="84"/>
      <c r="Z1076" s="84"/>
      <c r="AA1076" s="84"/>
    </row>
    <row r="1077" ht="15.75" customHeight="1">
      <c r="A1077" s="14" t="s">
        <v>17</v>
      </c>
      <c r="B1077" s="15" t="s">
        <v>14453</v>
      </c>
      <c r="C1077" s="14" t="s">
        <v>13409</v>
      </c>
      <c r="D1077" s="14" t="s">
        <v>13410</v>
      </c>
      <c r="E1077" s="26" t="str">
        <f t="shared" si="26"/>
        <v>http://dx.doi.org/10.1109/VISUAL.2003.1250374</v>
      </c>
      <c r="F1077" s="14">
        <v>209.0</v>
      </c>
      <c r="G1077" s="14">
        <v>216.0</v>
      </c>
      <c r="H1077" s="14" t="s">
        <v>28</v>
      </c>
      <c r="I1077" s="19" t="s">
        <v>15150</v>
      </c>
      <c r="J1077" s="19" t="s">
        <v>13413</v>
      </c>
      <c r="K1077" s="19" t="s">
        <v>15152</v>
      </c>
      <c r="L1077" s="19" t="s">
        <v>15153</v>
      </c>
      <c r="M1077" s="20" t="s">
        <v>13417</v>
      </c>
      <c r="N1077" s="44" t="s">
        <v>13418</v>
      </c>
      <c r="O1077" s="22">
        <v>50.0</v>
      </c>
      <c r="P1077" s="28">
        <v>17.0</v>
      </c>
      <c r="Q1077" s="28">
        <v>24.0</v>
      </c>
      <c r="R1077" s="84"/>
      <c r="S1077" s="84"/>
      <c r="T1077" s="84"/>
      <c r="U1077" s="84"/>
      <c r="V1077" s="84"/>
      <c r="W1077" s="84"/>
      <c r="X1077" s="84"/>
      <c r="Y1077" s="84"/>
      <c r="Z1077" s="84"/>
      <c r="AA1077" s="84"/>
    </row>
    <row r="1078" ht="15.75" customHeight="1">
      <c r="A1078" s="14" t="s">
        <v>17</v>
      </c>
      <c r="B1078" s="15" t="s">
        <v>14453</v>
      </c>
      <c r="C1078" s="14" t="s">
        <v>13419</v>
      </c>
      <c r="D1078" s="14" t="s">
        <v>13420</v>
      </c>
      <c r="E1078" s="26" t="str">
        <f t="shared" si="26"/>
        <v>http://dx.doi.org/10.1109/VISUAL.2003.1250375</v>
      </c>
      <c r="F1078" s="14">
        <v>217.0</v>
      </c>
      <c r="G1078" s="14">
        <v>224.0</v>
      </c>
      <c r="H1078" s="14" t="s">
        <v>28</v>
      </c>
      <c r="I1078" s="19" t="s">
        <v>15159</v>
      </c>
      <c r="J1078" s="19" t="s">
        <v>11679</v>
      </c>
      <c r="K1078" s="19" t="s">
        <v>11679</v>
      </c>
      <c r="L1078" s="19" t="s">
        <v>15160</v>
      </c>
      <c r="M1078" s="20" t="s">
        <v>13430</v>
      </c>
      <c r="N1078" s="44" t="s">
        <v>13431</v>
      </c>
      <c r="O1078" s="31"/>
      <c r="P1078" s="28">
        <v>6.0</v>
      </c>
      <c r="Q1078" s="28">
        <v>22.0</v>
      </c>
      <c r="R1078" s="84"/>
      <c r="S1078" s="84"/>
      <c r="T1078" s="84"/>
      <c r="U1078" s="84"/>
      <c r="V1078" s="84"/>
      <c r="W1078" s="84"/>
      <c r="X1078" s="84"/>
      <c r="Y1078" s="84"/>
      <c r="Z1078" s="84"/>
      <c r="AA1078" s="84"/>
    </row>
    <row r="1079" ht="15.75" customHeight="1">
      <c r="A1079" s="14" t="s">
        <v>17</v>
      </c>
      <c r="B1079" s="15" t="s">
        <v>14453</v>
      </c>
      <c r="C1079" s="14" t="s">
        <v>13432</v>
      </c>
      <c r="D1079" s="14" t="s">
        <v>13433</v>
      </c>
      <c r="E1079" s="26" t="str">
        <f t="shared" si="26"/>
        <v>http://dx.doi.org/10.1109/VISUAL.2003.1250376</v>
      </c>
      <c r="F1079" s="14">
        <v>225.0</v>
      </c>
      <c r="G1079" s="14">
        <v>232.0</v>
      </c>
      <c r="H1079" s="14" t="s">
        <v>28</v>
      </c>
      <c r="I1079" s="19" t="s">
        <v>15165</v>
      </c>
      <c r="J1079" s="19" t="s">
        <v>13442</v>
      </c>
      <c r="K1079" s="19" t="s">
        <v>15167</v>
      </c>
      <c r="L1079" s="19" t="s">
        <v>15169</v>
      </c>
      <c r="M1079" s="20" t="s">
        <v>13444</v>
      </c>
      <c r="N1079" s="44" t="s">
        <v>13445</v>
      </c>
      <c r="O1079" s="22">
        <v>169.0</v>
      </c>
      <c r="P1079" s="28">
        <v>43.0</v>
      </c>
      <c r="Q1079" s="28">
        <v>37.0</v>
      </c>
      <c r="R1079" s="84"/>
      <c r="S1079" s="84"/>
      <c r="T1079" s="84"/>
      <c r="U1079" s="84"/>
      <c r="V1079" s="84"/>
      <c r="W1079" s="84"/>
      <c r="X1079" s="84"/>
      <c r="Y1079" s="84"/>
      <c r="Z1079" s="84"/>
      <c r="AA1079" s="84"/>
    </row>
    <row r="1080" ht="15.75" customHeight="1">
      <c r="A1080" s="14" t="s">
        <v>17</v>
      </c>
      <c r="B1080" s="15" t="s">
        <v>14453</v>
      </c>
      <c r="C1080" s="14" t="s">
        <v>13446</v>
      </c>
      <c r="D1080" s="14" t="s">
        <v>13447</v>
      </c>
      <c r="E1080" s="26" t="str">
        <f t="shared" si="26"/>
        <v>http://dx.doi.org/10.1109/VISUAL.2003.1250377</v>
      </c>
      <c r="F1080" s="14">
        <v>233.0</v>
      </c>
      <c r="G1080" s="14">
        <v>240.0</v>
      </c>
      <c r="H1080" s="14" t="s">
        <v>28</v>
      </c>
      <c r="I1080" s="19" t="s">
        <v>15171</v>
      </c>
      <c r="J1080" s="19" t="s">
        <v>4946</v>
      </c>
      <c r="K1080" s="19" t="s">
        <v>15172</v>
      </c>
      <c r="L1080" s="19" t="s">
        <v>13942</v>
      </c>
      <c r="M1080" s="20" t="s">
        <v>13452</v>
      </c>
      <c r="N1080" s="44" t="s">
        <v>13453</v>
      </c>
      <c r="O1080" s="22">
        <v>101.0</v>
      </c>
      <c r="P1080" s="28">
        <v>20.0</v>
      </c>
      <c r="Q1080" s="28">
        <v>10.0</v>
      </c>
      <c r="R1080" s="84"/>
      <c r="S1080" s="84"/>
      <c r="T1080" s="84"/>
      <c r="U1080" s="84"/>
      <c r="V1080" s="84"/>
      <c r="W1080" s="84"/>
      <c r="X1080" s="84"/>
      <c r="Y1080" s="84"/>
      <c r="Z1080" s="84"/>
      <c r="AA1080" s="84"/>
    </row>
    <row r="1081" ht="15.75" customHeight="1">
      <c r="A1081" s="14" t="s">
        <v>17</v>
      </c>
      <c r="B1081" s="15" t="s">
        <v>14453</v>
      </c>
      <c r="C1081" s="14" t="s">
        <v>13454</v>
      </c>
      <c r="D1081" s="14" t="s">
        <v>13455</v>
      </c>
      <c r="E1081" s="26" t="str">
        <f t="shared" si="26"/>
        <v>http://dx.doi.org/10.1109/VISUAL.2003.1250378</v>
      </c>
      <c r="F1081" s="14">
        <v>241.0</v>
      </c>
      <c r="G1081" s="14">
        <v>248.0</v>
      </c>
      <c r="H1081" s="14" t="s">
        <v>28</v>
      </c>
      <c r="I1081" s="19" t="s">
        <v>15180</v>
      </c>
      <c r="J1081" s="19" t="s">
        <v>13463</v>
      </c>
      <c r="K1081" s="19" t="s">
        <v>15181</v>
      </c>
      <c r="L1081" s="19" t="s">
        <v>15153</v>
      </c>
      <c r="M1081" s="20" t="s">
        <v>13464</v>
      </c>
      <c r="N1081" s="44" t="s">
        <v>13465</v>
      </c>
      <c r="O1081" s="22">
        <v>53.0</v>
      </c>
      <c r="P1081" s="28">
        <v>8.0</v>
      </c>
      <c r="Q1081" s="28">
        <v>22.0</v>
      </c>
      <c r="R1081" s="84"/>
      <c r="S1081" s="84"/>
      <c r="T1081" s="84"/>
      <c r="U1081" s="84"/>
      <c r="V1081" s="84"/>
      <c r="W1081" s="84"/>
      <c r="X1081" s="84"/>
      <c r="Y1081" s="84"/>
      <c r="Z1081" s="84"/>
      <c r="AA1081" s="84"/>
    </row>
    <row r="1082" ht="15.75" customHeight="1">
      <c r="A1082" s="14" t="s">
        <v>17</v>
      </c>
      <c r="B1082" s="15" t="s">
        <v>14453</v>
      </c>
      <c r="C1082" s="14" t="s">
        <v>13466</v>
      </c>
      <c r="D1082" s="14" t="s">
        <v>13467</v>
      </c>
      <c r="E1082" s="26" t="str">
        <f t="shared" si="26"/>
        <v>http://dx.doi.org/10.1109/VISUAL.2003.1250379</v>
      </c>
      <c r="F1082" s="14">
        <v>249.0</v>
      </c>
      <c r="G1082" s="14">
        <v>256.0</v>
      </c>
      <c r="H1082" s="14" t="s">
        <v>28</v>
      </c>
      <c r="I1082" s="19" t="s">
        <v>15189</v>
      </c>
      <c r="J1082" s="19" t="s">
        <v>12502</v>
      </c>
      <c r="K1082" s="19" t="s">
        <v>14246</v>
      </c>
      <c r="L1082" s="19" t="s">
        <v>15190</v>
      </c>
      <c r="M1082" s="20" t="s">
        <v>13475</v>
      </c>
      <c r="N1082" s="44" t="s">
        <v>13476</v>
      </c>
      <c r="O1082" s="109"/>
      <c r="P1082" s="28">
        <v>19.0</v>
      </c>
      <c r="Q1082" s="28">
        <v>8.0</v>
      </c>
      <c r="R1082" s="84"/>
      <c r="S1082" s="84"/>
      <c r="T1082" s="84"/>
      <c r="U1082" s="84"/>
      <c r="V1082" s="84"/>
      <c r="W1082" s="84"/>
      <c r="X1082" s="84"/>
      <c r="Y1082" s="84"/>
      <c r="Z1082" s="84"/>
      <c r="AA1082" s="84"/>
    </row>
    <row r="1083" ht="15.75" customHeight="1">
      <c r="A1083" s="14" t="s">
        <v>17</v>
      </c>
      <c r="B1083" s="15" t="s">
        <v>14453</v>
      </c>
      <c r="C1083" s="14" t="s">
        <v>13477</v>
      </c>
      <c r="D1083" s="14" t="s">
        <v>13478</v>
      </c>
      <c r="E1083" s="26" t="str">
        <f t="shared" si="26"/>
        <v>http://dx.doi.org/10.1109/VISUAL.2003.1250380</v>
      </c>
      <c r="F1083" s="14">
        <v>257.0</v>
      </c>
      <c r="G1083" s="14">
        <v>262.0</v>
      </c>
      <c r="H1083" s="14" t="s">
        <v>28</v>
      </c>
      <c r="I1083" s="19" t="s">
        <v>15193</v>
      </c>
      <c r="J1083" s="19" t="s">
        <v>13483</v>
      </c>
      <c r="K1083" s="19" t="s">
        <v>15196</v>
      </c>
      <c r="L1083" s="19" t="s">
        <v>15198</v>
      </c>
      <c r="M1083" s="20" t="s">
        <v>5726</v>
      </c>
      <c r="N1083" s="44" t="s">
        <v>13485</v>
      </c>
      <c r="O1083" s="31"/>
      <c r="P1083" s="28">
        <v>20.0</v>
      </c>
      <c r="Q1083" s="28">
        <v>10.0</v>
      </c>
      <c r="R1083" s="84"/>
      <c r="S1083" s="84"/>
      <c r="T1083" s="84"/>
      <c r="U1083" s="84"/>
      <c r="V1083" s="84"/>
      <c r="W1083" s="84"/>
      <c r="X1083" s="84"/>
      <c r="Y1083" s="84"/>
      <c r="Z1083" s="84"/>
      <c r="AA1083" s="84"/>
    </row>
    <row r="1084" ht="15.75" customHeight="1">
      <c r="A1084" s="14" t="s">
        <v>17</v>
      </c>
      <c r="B1084" s="15" t="s">
        <v>14453</v>
      </c>
      <c r="C1084" s="14" t="s">
        <v>13486</v>
      </c>
      <c r="D1084" s="14" t="s">
        <v>13487</v>
      </c>
      <c r="E1084" s="26" t="str">
        <f t="shared" si="26"/>
        <v>http://dx.doi.org/10.1109/VISUAL.2003.1250381</v>
      </c>
      <c r="F1084" s="14">
        <v>263.0</v>
      </c>
      <c r="G1084" s="14">
        <v>269.0</v>
      </c>
      <c r="H1084" s="14" t="s">
        <v>28</v>
      </c>
      <c r="I1084" s="19" t="s">
        <v>15199</v>
      </c>
      <c r="J1084" s="19" t="s">
        <v>13493</v>
      </c>
      <c r="K1084" s="19" t="s">
        <v>15200</v>
      </c>
      <c r="L1084" s="19" t="s">
        <v>15201</v>
      </c>
      <c r="M1084" s="20" t="s">
        <v>13495</v>
      </c>
      <c r="N1084" s="44" t="s">
        <v>13496</v>
      </c>
      <c r="O1084" s="22">
        <v>86.0</v>
      </c>
      <c r="P1084" s="28">
        <v>25.0</v>
      </c>
      <c r="Q1084" s="28">
        <v>43.0</v>
      </c>
      <c r="R1084" s="84"/>
      <c r="S1084" s="84"/>
      <c r="T1084" s="84"/>
      <c r="U1084" s="84"/>
      <c r="V1084" s="84"/>
      <c r="W1084" s="84"/>
      <c r="X1084" s="84"/>
      <c r="Y1084" s="84"/>
      <c r="Z1084" s="84"/>
      <c r="AA1084" s="84"/>
    </row>
    <row r="1085" ht="15.75" customHeight="1">
      <c r="A1085" s="14" t="s">
        <v>17</v>
      </c>
      <c r="B1085" s="15" t="s">
        <v>14453</v>
      </c>
      <c r="C1085" s="14" t="s">
        <v>13497</v>
      </c>
      <c r="D1085" s="14" t="s">
        <v>13498</v>
      </c>
      <c r="E1085" s="26" t="str">
        <f t="shared" si="26"/>
        <v>http://dx.doi.org/10.1109/VISUAL.2003.1250382</v>
      </c>
      <c r="F1085" s="14">
        <v>271.0</v>
      </c>
      <c r="G1085" s="14">
        <v>278.0</v>
      </c>
      <c r="H1085" s="14" t="s">
        <v>28</v>
      </c>
      <c r="I1085" s="19" t="s">
        <v>15205</v>
      </c>
      <c r="J1085" s="19" t="s">
        <v>13503</v>
      </c>
      <c r="K1085" s="19" t="s">
        <v>15206</v>
      </c>
      <c r="L1085" s="19" t="s">
        <v>15207</v>
      </c>
      <c r="M1085" s="20" t="s">
        <v>13505</v>
      </c>
      <c r="N1085" s="44" t="s">
        <v>13506</v>
      </c>
      <c r="O1085" s="22">
        <v>50.0</v>
      </c>
      <c r="P1085" s="28">
        <v>4.0</v>
      </c>
      <c r="Q1085" s="28">
        <v>34.0</v>
      </c>
      <c r="R1085" s="84"/>
      <c r="S1085" s="84"/>
      <c r="T1085" s="84"/>
      <c r="U1085" s="84"/>
      <c r="V1085" s="84"/>
      <c r="W1085" s="84"/>
      <c r="X1085" s="84"/>
      <c r="Y1085" s="84"/>
      <c r="Z1085" s="84"/>
      <c r="AA1085" s="84"/>
    </row>
    <row r="1086" ht="15.75" customHeight="1">
      <c r="A1086" s="14" t="s">
        <v>17</v>
      </c>
      <c r="B1086" s="15" t="s">
        <v>14453</v>
      </c>
      <c r="C1086" s="14" t="s">
        <v>13508</v>
      </c>
      <c r="D1086" s="14" t="s">
        <v>13509</v>
      </c>
      <c r="E1086" s="26" t="str">
        <f t="shared" si="26"/>
        <v>http://dx.doi.org/10.1109/VISUAL.2003.1250383</v>
      </c>
      <c r="F1086" s="14">
        <v>279.0</v>
      </c>
      <c r="G1086" s="14">
        <v>286.0</v>
      </c>
      <c r="H1086" s="14" t="s">
        <v>28</v>
      </c>
      <c r="I1086" s="19" t="s">
        <v>15214</v>
      </c>
      <c r="J1086" s="19" t="s">
        <v>13515</v>
      </c>
      <c r="K1086" s="19" t="s">
        <v>15215</v>
      </c>
      <c r="L1086" s="19" t="s">
        <v>15216</v>
      </c>
      <c r="M1086" s="20"/>
      <c r="N1086" s="44" t="s">
        <v>13517</v>
      </c>
      <c r="O1086" s="22">
        <v>35.0</v>
      </c>
      <c r="P1086" s="28">
        <v>16.0</v>
      </c>
      <c r="Q1086" s="28">
        <v>35.0</v>
      </c>
      <c r="R1086" s="84"/>
      <c r="S1086" s="84"/>
      <c r="T1086" s="84"/>
      <c r="U1086" s="84"/>
      <c r="V1086" s="84"/>
      <c r="W1086" s="84"/>
      <c r="X1086" s="84"/>
      <c r="Y1086" s="84"/>
      <c r="Z1086" s="84"/>
      <c r="AA1086" s="84"/>
    </row>
    <row r="1087" ht="15.75" customHeight="1">
      <c r="A1087" s="14" t="s">
        <v>17</v>
      </c>
      <c r="B1087" s="15" t="s">
        <v>14453</v>
      </c>
      <c r="C1087" s="14" t="s">
        <v>13518</v>
      </c>
      <c r="D1087" s="14" t="s">
        <v>13519</v>
      </c>
      <c r="E1087" s="26" t="str">
        <f t="shared" si="26"/>
        <v>http://dx.doi.org/10.1109/VISUAL.2003.1250384</v>
      </c>
      <c r="F1087" s="14">
        <v>287.0</v>
      </c>
      <c r="G1087" s="14">
        <v>292.0</v>
      </c>
      <c r="H1087" s="14" t="s">
        <v>28</v>
      </c>
      <c r="I1087" s="19" t="s">
        <v>15221</v>
      </c>
      <c r="J1087" s="19" t="s">
        <v>15224</v>
      </c>
      <c r="K1087" s="19" t="s">
        <v>15225</v>
      </c>
      <c r="L1087" s="19" t="s">
        <v>15227</v>
      </c>
      <c r="M1087" s="20" t="s">
        <v>13528</v>
      </c>
      <c r="N1087" s="44" t="s">
        <v>13529</v>
      </c>
      <c r="O1087" s="22">
        <v>982.0</v>
      </c>
      <c r="P1087" s="28">
        <v>201.0</v>
      </c>
      <c r="Q1087" s="28">
        <v>16.0</v>
      </c>
      <c r="R1087" s="85" t="s">
        <v>1093</v>
      </c>
      <c r="S1087" s="84"/>
      <c r="T1087" s="84"/>
      <c r="U1087" s="84"/>
      <c r="V1087" s="84"/>
      <c r="W1087" s="84"/>
      <c r="X1087" s="84"/>
      <c r="Y1087" s="84"/>
      <c r="Z1087" s="84"/>
      <c r="AA1087" s="84"/>
    </row>
    <row r="1088" ht="15.75" customHeight="1">
      <c r="A1088" s="14" t="s">
        <v>17</v>
      </c>
      <c r="B1088" s="15" t="s">
        <v>14453</v>
      </c>
      <c r="C1088" s="14" t="s">
        <v>13530</v>
      </c>
      <c r="D1088" s="14" t="s">
        <v>13531</v>
      </c>
      <c r="E1088" s="26" t="str">
        <f t="shared" si="26"/>
        <v>http://dx.doi.org/10.1109/VISUAL.2003.1250385</v>
      </c>
      <c r="F1088" s="14">
        <v>293.0</v>
      </c>
      <c r="G1088" s="14">
        <v>300.0</v>
      </c>
      <c r="H1088" s="14" t="s">
        <v>28</v>
      </c>
      <c r="I1088" s="19" t="s">
        <v>15228</v>
      </c>
      <c r="J1088" s="19" t="s">
        <v>15229</v>
      </c>
      <c r="K1088" s="19" t="s">
        <v>15230</v>
      </c>
      <c r="L1088" s="19" t="s">
        <v>15227</v>
      </c>
      <c r="M1088" s="20" t="s">
        <v>13534</v>
      </c>
      <c r="N1088" s="44" t="s">
        <v>13535</v>
      </c>
      <c r="O1088" s="22">
        <v>152.0</v>
      </c>
      <c r="P1088" s="28">
        <v>25.0</v>
      </c>
      <c r="Q1088" s="28">
        <v>41.0</v>
      </c>
      <c r="R1088" s="84"/>
      <c r="S1088" s="84"/>
      <c r="T1088" s="84"/>
      <c r="U1088" s="84"/>
      <c r="V1088" s="84"/>
      <c r="W1088" s="84"/>
      <c r="X1088" s="84"/>
      <c r="Y1088" s="84"/>
      <c r="Z1088" s="84"/>
      <c r="AA1088" s="84"/>
    </row>
    <row r="1089" ht="15.75" customHeight="1">
      <c r="A1089" s="14" t="s">
        <v>17</v>
      </c>
      <c r="B1089" s="15" t="s">
        <v>14453</v>
      </c>
      <c r="C1089" s="14" t="s">
        <v>13536</v>
      </c>
      <c r="D1089" s="14" t="s">
        <v>13537</v>
      </c>
      <c r="E1089" s="26" t="str">
        <f t="shared" si="26"/>
        <v>http://dx.doi.org/10.1109/VISUAL.2003.1250386</v>
      </c>
      <c r="F1089" s="14">
        <v>301.0</v>
      </c>
      <c r="G1089" s="14">
        <v>308.0</v>
      </c>
      <c r="H1089" s="14" t="s">
        <v>28</v>
      </c>
      <c r="I1089" s="19" t="s">
        <v>15236</v>
      </c>
      <c r="J1089" s="19" t="s">
        <v>13542</v>
      </c>
      <c r="K1089" s="19" t="s">
        <v>15237</v>
      </c>
      <c r="L1089" s="19" t="s">
        <v>15238</v>
      </c>
      <c r="M1089" s="20" t="s">
        <v>13544</v>
      </c>
      <c r="N1089" s="44" t="s">
        <v>13545</v>
      </c>
      <c r="O1089" s="22">
        <v>188.0</v>
      </c>
      <c r="P1089" s="28">
        <v>44.0</v>
      </c>
      <c r="Q1089" s="28">
        <v>22.0</v>
      </c>
      <c r="R1089" s="84"/>
      <c r="S1089" s="84"/>
      <c r="T1089" s="84"/>
      <c r="U1089" s="84"/>
      <c r="V1089" s="84"/>
      <c r="W1089" s="84"/>
      <c r="X1089" s="84"/>
      <c r="Y1089" s="84"/>
      <c r="Z1089" s="84"/>
      <c r="AA1089" s="84"/>
    </row>
    <row r="1090" ht="15.75" customHeight="1">
      <c r="A1090" s="14" t="s">
        <v>17</v>
      </c>
      <c r="B1090" s="15" t="s">
        <v>14453</v>
      </c>
      <c r="C1090" s="14" t="s">
        <v>13546</v>
      </c>
      <c r="D1090" s="14" t="s">
        <v>13547</v>
      </c>
      <c r="E1090" s="26" t="str">
        <f t="shared" si="26"/>
        <v>http://dx.doi.org/10.1109/VISUAL.2003.1250387</v>
      </c>
      <c r="F1090" s="14">
        <v>309.0</v>
      </c>
      <c r="G1090" s="14">
        <v>316.0</v>
      </c>
      <c r="H1090" s="14" t="s">
        <v>28</v>
      </c>
      <c r="I1090" s="19" t="s">
        <v>15245</v>
      </c>
      <c r="J1090" s="19" t="s">
        <v>15246</v>
      </c>
      <c r="K1090" s="19" t="s">
        <v>15247</v>
      </c>
      <c r="L1090" s="19" t="s">
        <v>15248</v>
      </c>
      <c r="M1090" s="20" t="s">
        <v>13554</v>
      </c>
      <c r="N1090" s="44" t="s">
        <v>13555</v>
      </c>
      <c r="O1090" s="22">
        <v>70.0</v>
      </c>
      <c r="P1090" s="28">
        <v>10.0</v>
      </c>
      <c r="Q1090" s="28">
        <v>23.0</v>
      </c>
      <c r="R1090" s="84"/>
      <c r="S1090" s="84"/>
      <c r="T1090" s="84"/>
      <c r="U1090" s="84"/>
      <c r="V1090" s="84"/>
      <c r="W1090" s="84"/>
      <c r="X1090" s="84"/>
      <c r="Y1090" s="84"/>
      <c r="Z1090" s="84"/>
      <c r="AA1090" s="84"/>
    </row>
    <row r="1091" ht="15.75" customHeight="1">
      <c r="A1091" s="14" t="s">
        <v>17</v>
      </c>
      <c r="B1091" s="15" t="s">
        <v>14453</v>
      </c>
      <c r="C1091" s="14" t="s">
        <v>13559</v>
      </c>
      <c r="D1091" s="14" t="s">
        <v>13560</v>
      </c>
      <c r="E1091" s="26" t="str">
        <f t="shared" si="26"/>
        <v>http://dx.doi.org/10.1109/VISUAL.2003.1250388</v>
      </c>
      <c r="F1091" s="14">
        <v>317.0</v>
      </c>
      <c r="G1091" s="14">
        <v>324.0</v>
      </c>
      <c r="H1091" s="14" t="s">
        <v>28</v>
      </c>
      <c r="I1091" s="19" t="s">
        <v>15253</v>
      </c>
      <c r="J1091" s="19" t="s">
        <v>13566</v>
      </c>
      <c r="K1091" s="19" t="s">
        <v>15254</v>
      </c>
      <c r="L1091" s="19" t="s">
        <v>15255</v>
      </c>
      <c r="M1091" s="20" t="s">
        <v>13568</v>
      </c>
      <c r="N1091" s="44" t="s">
        <v>13569</v>
      </c>
      <c r="O1091" s="22">
        <v>187.0</v>
      </c>
      <c r="P1091" s="28">
        <v>16.0</v>
      </c>
      <c r="Q1091" s="28">
        <v>25.0</v>
      </c>
      <c r="R1091" s="84"/>
      <c r="S1091" s="84"/>
      <c r="T1091" s="84"/>
      <c r="U1091" s="84"/>
      <c r="V1091" s="84"/>
      <c r="W1091" s="84"/>
      <c r="X1091" s="84"/>
      <c r="Y1091" s="84"/>
      <c r="Z1091" s="84"/>
      <c r="AA1091" s="84"/>
    </row>
    <row r="1092" ht="15.75" customHeight="1">
      <c r="A1092" s="14" t="s">
        <v>17</v>
      </c>
      <c r="B1092" s="15" t="s">
        <v>14453</v>
      </c>
      <c r="C1092" s="14" t="s">
        <v>13570</v>
      </c>
      <c r="D1092" s="14" t="s">
        <v>13571</v>
      </c>
      <c r="E1092" s="26" t="str">
        <f t="shared" si="26"/>
        <v>http://dx.doi.org/10.1109/VISUAL.2003.1250389</v>
      </c>
      <c r="F1092" s="14">
        <v>325.0</v>
      </c>
      <c r="G1092" s="14">
        <v>332.0</v>
      </c>
      <c r="H1092" s="14" t="s">
        <v>28</v>
      </c>
      <c r="I1092" s="19" t="s">
        <v>15260</v>
      </c>
      <c r="J1092" s="19" t="s">
        <v>15261</v>
      </c>
      <c r="K1092" s="19" t="s">
        <v>15263</v>
      </c>
      <c r="L1092" s="19" t="s">
        <v>15264</v>
      </c>
      <c r="M1092" s="20" t="s">
        <v>13579</v>
      </c>
      <c r="N1092" s="44" t="s">
        <v>13580</v>
      </c>
      <c r="O1092" s="22">
        <v>50.0</v>
      </c>
      <c r="P1092" s="28">
        <v>7.0</v>
      </c>
      <c r="Q1092" s="28">
        <v>27.0</v>
      </c>
      <c r="R1092" s="84"/>
      <c r="S1092" s="84"/>
      <c r="T1092" s="84"/>
      <c r="U1092" s="84"/>
      <c r="V1092" s="84"/>
      <c r="W1092" s="84"/>
      <c r="X1092" s="84"/>
      <c r="Y1092" s="84"/>
      <c r="Z1092" s="84"/>
      <c r="AA1092" s="84"/>
    </row>
    <row r="1093" ht="15.75" customHeight="1">
      <c r="A1093" s="14" t="s">
        <v>17</v>
      </c>
      <c r="B1093" s="15" t="s">
        <v>14453</v>
      </c>
      <c r="C1093" s="14" t="s">
        <v>13581</v>
      </c>
      <c r="D1093" s="14" t="s">
        <v>13582</v>
      </c>
      <c r="E1093" s="26" t="str">
        <f t="shared" si="26"/>
        <v>http://dx.doi.org/10.1109/VISUAL.2003.1250390</v>
      </c>
      <c r="F1093" s="14">
        <v>333.0</v>
      </c>
      <c r="G1093" s="14">
        <v>340.0</v>
      </c>
      <c r="H1093" s="14" t="s">
        <v>28</v>
      </c>
      <c r="I1093" s="19" t="s">
        <v>15269</v>
      </c>
      <c r="J1093" s="19" t="s">
        <v>13587</v>
      </c>
      <c r="K1093" s="19" t="s">
        <v>15271</v>
      </c>
      <c r="L1093" s="19" t="s">
        <v>15273</v>
      </c>
      <c r="M1093" s="20" t="s">
        <v>5701</v>
      </c>
      <c r="N1093" s="44" t="s">
        <v>13589</v>
      </c>
      <c r="O1093" s="22">
        <v>196.0</v>
      </c>
      <c r="P1093" s="28">
        <v>40.0</v>
      </c>
      <c r="Q1093" s="28">
        <v>14.0</v>
      </c>
      <c r="R1093" s="84"/>
      <c r="S1093" s="84"/>
      <c r="T1093" s="84"/>
      <c r="U1093" s="84"/>
      <c r="V1093" s="84"/>
      <c r="W1093" s="84"/>
      <c r="X1093" s="84"/>
      <c r="Y1093" s="84"/>
      <c r="Z1093" s="84"/>
      <c r="AA1093" s="84"/>
    </row>
    <row r="1094" ht="15.75" customHeight="1">
      <c r="A1094" s="14" t="s">
        <v>17</v>
      </c>
      <c r="B1094" s="15" t="s">
        <v>14453</v>
      </c>
      <c r="C1094" s="14" t="s">
        <v>13590</v>
      </c>
      <c r="D1094" s="14" t="s">
        <v>13591</v>
      </c>
      <c r="E1094" s="26" t="str">
        <f t="shared" si="26"/>
        <v>http://dx.doi.org/10.1109/VISUAL.2003.1250391</v>
      </c>
      <c r="F1094" s="14">
        <v>341.0</v>
      </c>
      <c r="G1094" s="14">
        <v>348.0</v>
      </c>
      <c r="H1094" s="14" t="s">
        <v>28</v>
      </c>
      <c r="I1094" s="19" t="s">
        <v>15275</v>
      </c>
      <c r="J1094" s="19" t="s">
        <v>13596</v>
      </c>
      <c r="K1094" s="19" t="s">
        <v>15276</v>
      </c>
      <c r="L1094" s="19" t="s">
        <v>15277</v>
      </c>
      <c r="M1094" s="20" t="s">
        <v>13598</v>
      </c>
      <c r="N1094" s="44" t="s">
        <v>13599</v>
      </c>
      <c r="O1094" s="109"/>
      <c r="P1094" s="28">
        <v>5.0</v>
      </c>
      <c r="Q1094" s="28">
        <v>27.0</v>
      </c>
      <c r="R1094" s="84"/>
      <c r="S1094" s="84"/>
      <c r="T1094" s="84"/>
      <c r="U1094" s="84"/>
      <c r="V1094" s="84"/>
      <c r="W1094" s="84"/>
      <c r="X1094" s="84"/>
      <c r="Y1094" s="84"/>
      <c r="Z1094" s="84"/>
      <c r="AA1094" s="84"/>
    </row>
    <row r="1095" ht="15.75" customHeight="1">
      <c r="A1095" s="14" t="s">
        <v>17</v>
      </c>
      <c r="B1095" s="15" t="s">
        <v>14453</v>
      </c>
      <c r="C1095" s="14" t="s">
        <v>13600</v>
      </c>
      <c r="D1095" s="14" t="s">
        <v>13601</v>
      </c>
      <c r="E1095" s="26" t="str">
        <f t="shared" si="26"/>
        <v>http://dx.doi.org/10.1109/VISUAL.2003.1250392</v>
      </c>
      <c r="F1095" s="14">
        <v>349.0</v>
      </c>
      <c r="G1095" s="14">
        <v>354.0</v>
      </c>
      <c r="H1095" s="14" t="s">
        <v>28</v>
      </c>
      <c r="I1095" s="19" t="s">
        <v>15282</v>
      </c>
      <c r="J1095" s="19" t="s">
        <v>13610</v>
      </c>
      <c r="K1095" s="19" t="s">
        <v>15283</v>
      </c>
      <c r="L1095" s="19" t="s">
        <v>15284</v>
      </c>
      <c r="M1095" s="20"/>
      <c r="N1095" s="44" t="s">
        <v>13612</v>
      </c>
      <c r="O1095" s="22">
        <v>86.0</v>
      </c>
      <c r="P1095" s="28">
        <v>18.0</v>
      </c>
      <c r="Q1095" s="28">
        <v>33.0</v>
      </c>
      <c r="R1095" s="84"/>
      <c r="S1095" s="84"/>
      <c r="T1095" s="84"/>
      <c r="U1095" s="84"/>
      <c r="V1095" s="84"/>
      <c r="W1095" s="84"/>
      <c r="X1095" s="84"/>
      <c r="Y1095" s="84"/>
      <c r="Z1095" s="84"/>
      <c r="AA1095" s="84"/>
    </row>
    <row r="1096" ht="15.75" customHeight="1">
      <c r="A1096" s="14" t="s">
        <v>17</v>
      </c>
      <c r="B1096" s="15" t="s">
        <v>14453</v>
      </c>
      <c r="C1096" s="14" t="s">
        <v>13614</v>
      </c>
      <c r="D1096" s="14" t="s">
        <v>13615</v>
      </c>
      <c r="E1096" s="26" t="str">
        <f t="shared" si="26"/>
        <v>http://dx.doi.org/10.1109/VISUAL.2003.1250394</v>
      </c>
      <c r="F1096" s="14">
        <v>355.0</v>
      </c>
      <c r="G1096" s="14">
        <v>362.0</v>
      </c>
      <c r="H1096" s="14" t="s">
        <v>28</v>
      </c>
      <c r="I1096" s="19" t="s">
        <v>15290</v>
      </c>
      <c r="J1096" s="19" t="s">
        <v>13619</v>
      </c>
      <c r="K1096" s="19" t="s">
        <v>15291</v>
      </c>
      <c r="L1096" s="19" t="s">
        <v>15292</v>
      </c>
      <c r="M1096" s="20" t="s">
        <v>13621</v>
      </c>
      <c r="N1096" s="44" t="s">
        <v>13622</v>
      </c>
      <c r="O1096" s="109"/>
      <c r="P1096" s="28">
        <v>26.0</v>
      </c>
      <c r="Q1096" s="28">
        <v>25.0</v>
      </c>
      <c r="R1096" s="84"/>
      <c r="S1096" s="84"/>
      <c r="T1096" s="84"/>
      <c r="U1096" s="84"/>
      <c r="V1096" s="84"/>
      <c r="W1096" s="84"/>
      <c r="X1096" s="84"/>
      <c r="Y1096" s="84"/>
      <c r="Z1096" s="84"/>
      <c r="AA1096" s="84"/>
    </row>
    <row r="1097" ht="15.75" customHeight="1">
      <c r="A1097" s="14" t="s">
        <v>17</v>
      </c>
      <c r="B1097" s="15" t="s">
        <v>14453</v>
      </c>
      <c r="C1097" s="14" t="s">
        <v>13623</v>
      </c>
      <c r="D1097" s="14" t="s">
        <v>13624</v>
      </c>
      <c r="E1097" s="26" t="str">
        <f t="shared" si="26"/>
        <v>http://dx.doi.org/10.1109/VISUAL.2003.1250395</v>
      </c>
      <c r="F1097" s="14">
        <v>363.0</v>
      </c>
      <c r="G1097" s="14">
        <v>370.0</v>
      </c>
      <c r="H1097" s="14" t="s">
        <v>28</v>
      </c>
      <c r="I1097" s="19" t="s">
        <v>15293</v>
      </c>
      <c r="J1097" s="19" t="s">
        <v>13630</v>
      </c>
      <c r="K1097" s="19" t="s">
        <v>15295</v>
      </c>
      <c r="L1097" s="19" t="s">
        <v>15297</v>
      </c>
      <c r="M1097" s="20" t="s">
        <v>12336</v>
      </c>
      <c r="N1097" s="44" t="s">
        <v>13634</v>
      </c>
      <c r="O1097" s="22">
        <v>15.0</v>
      </c>
      <c r="P1097" s="28">
        <v>12.0</v>
      </c>
      <c r="Q1097" s="28">
        <v>19.0</v>
      </c>
      <c r="R1097" s="84"/>
      <c r="S1097" s="84"/>
      <c r="T1097" s="84"/>
      <c r="U1097" s="84"/>
      <c r="V1097" s="84"/>
      <c r="W1097" s="84"/>
      <c r="X1097" s="84"/>
      <c r="Y1097" s="84"/>
      <c r="Z1097" s="84"/>
      <c r="AA1097" s="84"/>
    </row>
    <row r="1098" ht="15.75" customHeight="1">
      <c r="A1098" s="14" t="s">
        <v>17</v>
      </c>
      <c r="B1098" s="15" t="s">
        <v>14453</v>
      </c>
      <c r="C1098" s="14" t="s">
        <v>13635</v>
      </c>
      <c r="D1098" s="14" t="s">
        <v>13636</v>
      </c>
      <c r="E1098" s="26" t="str">
        <f t="shared" si="26"/>
        <v>http://dx.doi.org/10.1109/VISUAL.2003.1250396</v>
      </c>
      <c r="F1098" s="14">
        <v>371.0</v>
      </c>
      <c r="G1098" s="14">
        <v>378.0</v>
      </c>
      <c r="H1098" s="14" t="s">
        <v>28</v>
      </c>
      <c r="I1098" s="19" t="s">
        <v>15301</v>
      </c>
      <c r="J1098" s="19" t="s">
        <v>13642</v>
      </c>
      <c r="K1098" s="19" t="s">
        <v>15302</v>
      </c>
      <c r="L1098" s="19" t="s">
        <v>15303</v>
      </c>
      <c r="M1098" s="20" t="s">
        <v>13644</v>
      </c>
      <c r="N1098" s="44" t="s">
        <v>13645</v>
      </c>
      <c r="O1098" s="22">
        <v>65.0</v>
      </c>
      <c r="P1098" s="28">
        <v>12.0</v>
      </c>
      <c r="Q1098" s="28">
        <v>19.0</v>
      </c>
      <c r="R1098" s="84"/>
      <c r="S1098" s="84"/>
      <c r="T1098" s="84"/>
      <c r="U1098" s="84"/>
      <c r="V1098" s="84"/>
      <c r="W1098" s="84"/>
      <c r="X1098" s="84"/>
      <c r="Y1098" s="84"/>
      <c r="Z1098" s="84"/>
      <c r="AA1098" s="84"/>
    </row>
    <row r="1099" ht="15.75" customHeight="1">
      <c r="A1099" s="14" t="s">
        <v>17</v>
      </c>
      <c r="B1099" s="15" t="s">
        <v>14453</v>
      </c>
      <c r="C1099" s="14" t="s">
        <v>13646</v>
      </c>
      <c r="D1099" s="14" t="s">
        <v>13647</v>
      </c>
      <c r="E1099" s="26" t="str">
        <f t="shared" si="26"/>
        <v>http://dx.doi.org/10.1109/VISUAL.2003.1250397</v>
      </c>
      <c r="F1099" s="14">
        <v>379.0</v>
      </c>
      <c r="G1099" s="14">
        <v>385.0</v>
      </c>
      <c r="H1099" s="14" t="s">
        <v>28</v>
      </c>
      <c r="I1099" s="19" t="s">
        <v>15304</v>
      </c>
      <c r="J1099" s="19" t="s">
        <v>13649</v>
      </c>
      <c r="K1099" s="19" t="s">
        <v>15305</v>
      </c>
      <c r="L1099" s="19" t="s">
        <v>15306</v>
      </c>
      <c r="M1099" s="20"/>
      <c r="N1099" s="44" t="s">
        <v>13651</v>
      </c>
      <c r="O1099" s="22">
        <v>50.0</v>
      </c>
      <c r="P1099" s="28">
        <v>4.0</v>
      </c>
      <c r="Q1099" s="28">
        <v>11.0</v>
      </c>
      <c r="R1099" s="84"/>
      <c r="S1099" s="84"/>
      <c r="T1099" s="84"/>
      <c r="U1099" s="84"/>
      <c r="V1099" s="84"/>
      <c r="W1099" s="84"/>
      <c r="X1099" s="84"/>
      <c r="Y1099" s="84"/>
      <c r="Z1099" s="84"/>
      <c r="AA1099" s="84"/>
    </row>
    <row r="1100" ht="15.75" customHeight="1">
      <c r="A1100" s="14" t="s">
        <v>17</v>
      </c>
      <c r="B1100" s="15" t="s">
        <v>14453</v>
      </c>
      <c r="C1100" s="14" t="s">
        <v>13652</v>
      </c>
      <c r="D1100" s="14" t="s">
        <v>13653</v>
      </c>
      <c r="E1100" s="26" t="str">
        <f t="shared" si="26"/>
        <v>http://dx.doi.org/10.1109/VISUAL.2003.1250398</v>
      </c>
      <c r="F1100" s="14">
        <v>387.0</v>
      </c>
      <c r="G1100" s="14">
        <v>392.0</v>
      </c>
      <c r="H1100" s="14" t="s">
        <v>28</v>
      </c>
      <c r="I1100" s="19" t="s">
        <v>15307</v>
      </c>
      <c r="J1100" s="19" t="s">
        <v>13656</v>
      </c>
      <c r="K1100" s="19" t="s">
        <v>15308</v>
      </c>
      <c r="L1100" s="19" t="s">
        <v>15309</v>
      </c>
      <c r="M1100" s="20"/>
      <c r="N1100" s="44" t="s">
        <v>13660</v>
      </c>
      <c r="O1100" s="22">
        <v>4.0</v>
      </c>
      <c r="P1100" s="28">
        <v>2.0</v>
      </c>
      <c r="Q1100" s="28">
        <v>14.0</v>
      </c>
      <c r="R1100" s="84"/>
      <c r="S1100" s="84"/>
      <c r="T1100" s="84"/>
      <c r="U1100" s="84"/>
      <c r="V1100" s="84"/>
      <c r="W1100" s="84"/>
      <c r="X1100" s="84"/>
      <c r="Y1100" s="84"/>
      <c r="Z1100" s="84"/>
      <c r="AA1100" s="84"/>
    </row>
    <row r="1101" ht="15.75" customHeight="1">
      <c r="A1101" s="14" t="s">
        <v>17</v>
      </c>
      <c r="B1101" s="15" t="s">
        <v>14453</v>
      </c>
      <c r="C1101" s="14" t="s">
        <v>13661</v>
      </c>
      <c r="D1101" s="14" t="s">
        <v>13662</v>
      </c>
      <c r="E1101" s="26" t="str">
        <f t="shared" si="26"/>
        <v>http://dx.doi.org/10.1109/VISUAL.2003.1250399</v>
      </c>
      <c r="F1101" s="14">
        <v>393.0</v>
      </c>
      <c r="G1101" s="14">
        <v>400.0</v>
      </c>
      <c r="H1101" s="14" t="s">
        <v>28</v>
      </c>
      <c r="I1101" s="19" t="s">
        <v>15310</v>
      </c>
      <c r="J1101" s="19" t="s">
        <v>15311</v>
      </c>
      <c r="K1101" s="19" t="s">
        <v>15312</v>
      </c>
      <c r="L1101" s="19" t="s">
        <v>15313</v>
      </c>
      <c r="M1101" s="20" t="s">
        <v>13668</v>
      </c>
      <c r="N1101" s="44" t="s">
        <v>13669</v>
      </c>
      <c r="O1101" s="22">
        <v>50.0</v>
      </c>
      <c r="P1101" s="28">
        <v>4.0</v>
      </c>
      <c r="Q1101" s="28">
        <v>44.0</v>
      </c>
      <c r="R1101" s="84"/>
      <c r="S1101" s="84"/>
      <c r="T1101" s="84"/>
      <c r="U1101" s="84"/>
      <c r="V1101" s="84"/>
      <c r="W1101" s="84"/>
      <c r="X1101" s="84"/>
      <c r="Y1101" s="84"/>
      <c r="Z1101" s="84"/>
      <c r="AA1101" s="84"/>
    </row>
    <row r="1102" ht="15.75" customHeight="1">
      <c r="A1102" s="14" t="s">
        <v>17</v>
      </c>
      <c r="B1102" s="15" t="s">
        <v>14453</v>
      </c>
      <c r="C1102" s="14" t="s">
        <v>13670</v>
      </c>
      <c r="D1102" s="14" t="s">
        <v>13671</v>
      </c>
      <c r="E1102" s="26" t="str">
        <f t="shared" si="26"/>
        <v>http://dx.doi.org/10.1109/VISUAL.2003.1250400</v>
      </c>
      <c r="F1102" s="14">
        <v>401.0</v>
      </c>
      <c r="G1102" s="14">
        <v>408.0</v>
      </c>
      <c r="H1102" s="14" t="s">
        <v>28</v>
      </c>
      <c r="I1102" s="19" t="s">
        <v>15314</v>
      </c>
      <c r="J1102" s="19" t="s">
        <v>13676</v>
      </c>
      <c r="K1102" s="19" t="s">
        <v>15315</v>
      </c>
      <c r="L1102" s="19" t="s">
        <v>15316</v>
      </c>
      <c r="M1102" s="20"/>
      <c r="N1102" s="44" t="s">
        <v>13678</v>
      </c>
      <c r="O1102" s="22">
        <v>202.0</v>
      </c>
      <c r="P1102" s="28">
        <v>58.0</v>
      </c>
      <c r="Q1102" s="28">
        <v>21.0</v>
      </c>
      <c r="R1102" s="84"/>
      <c r="S1102" s="84"/>
      <c r="T1102" s="84"/>
      <c r="U1102" s="84"/>
      <c r="V1102" s="84"/>
      <c r="W1102" s="84"/>
      <c r="X1102" s="84"/>
      <c r="Y1102" s="84"/>
      <c r="Z1102" s="84"/>
      <c r="AA1102" s="84"/>
    </row>
    <row r="1103" ht="15.75" customHeight="1">
      <c r="A1103" s="14" t="s">
        <v>17</v>
      </c>
      <c r="B1103" s="15" t="s">
        <v>14453</v>
      </c>
      <c r="C1103" s="14" t="s">
        <v>13679</v>
      </c>
      <c r="D1103" s="14" t="s">
        <v>13680</v>
      </c>
      <c r="E1103" s="26" t="str">
        <f t="shared" si="26"/>
        <v>http://dx.doi.org/10.1109/VISUAL.2003.1250401</v>
      </c>
      <c r="F1103" s="14">
        <v>409.0</v>
      </c>
      <c r="G1103" s="14">
        <v>416.0</v>
      </c>
      <c r="H1103" s="14" t="s">
        <v>28</v>
      </c>
      <c r="I1103" s="19" t="s">
        <v>15317</v>
      </c>
      <c r="J1103" s="19" t="s">
        <v>13686</v>
      </c>
      <c r="K1103" s="19" t="s">
        <v>15318</v>
      </c>
      <c r="L1103" s="19" t="s">
        <v>15319</v>
      </c>
      <c r="M1103" s="20" t="s">
        <v>12384</v>
      </c>
      <c r="N1103" s="44" t="s">
        <v>13688</v>
      </c>
      <c r="O1103" s="22">
        <v>129.0</v>
      </c>
      <c r="P1103" s="28">
        <v>34.0</v>
      </c>
      <c r="Q1103" s="28">
        <v>25.0</v>
      </c>
      <c r="R1103" s="84"/>
      <c r="S1103" s="84"/>
      <c r="T1103" s="84"/>
      <c r="U1103" s="84"/>
      <c r="V1103" s="84"/>
      <c r="W1103" s="84"/>
      <c r="X1103" s="84"/>
      <c r="Y1103" s="84"/>
      <c r="Z1103" s="84"/>
      <c r="AA1103" s="84"/>
    </row>
    <row r="1104" ht="15.75" customHeight="1">
      <c r="A1104" s="14" t="s">
        <v>17</v>
      </c>
      <c r="B1104" s="15" t="s">
        <v>14453</v>
      </c>
      <c r="C1104" s="14" t="s">
        <v>13689</v>
      </c>
      <c r="D1104" s="14" t="s">
        <v>13690</v>
      </c>
      <c r="E1104" s="26" t="str">
        <f t="shared" si="26"/>
        <v>http://dx.doi.org/10.1109/VISUAL.2003.1250402</v>
      </c>
      <c r="F1104" s="14">
        <v>417.0</v>
      </c>
      <c r="G1104" s="14">
        <v>424.0</v>
      </c>
      <c r="H1104" s="14" t="s">
        <v>28</v>
      </c>
      <c r="I1104" s="19" t="s">
        <v>15320</v>
      </c>
      <c r="J1104" s="19" t="s">
        <v>13695</v>
      </c>
      <c r="K1104" s="19" t="s">
        <v>15321</v>
      </c>
      <c r="L1104" s="19" t="s">
        <v>15322</v>
      </c>
      <c r="M1104" s="20" t="s">
        <v>13697</v>
      </c>
      <c r="N1104" s="44" t="s">
        <v>13698</v>
      </c>
      <c r="O1104" s="22">
        <v>112.0</v>
      </c>
      <c r="P1104" s="28">
        <v>31.0</v>
      </c>
      <c r="Q1104" s="28">
        <v>18.0</v>
      </c>
      <c r="R1104" s="84"/>
      <c r="S1104" s="84"/>
      <c r="T1104" s="84"/>
      <c r="U1104" s="84"/>
      <c r="V1104" s="84"/>
      <c r="W1104" s="84"/>
      <c r="X1104" s="84"/>
      <c r="Y1104" s="84"/>
      <c r="Z1104" s="84"/>
      <c r="AA1104" s="84"/>
    </row>
    <row r="1105" ht="15.75" customHeight="1">
      <c r="A1105" s="14" t="s">
        <v>17</v>
      </c>
      <c r="B1105" s="15" t="s">
        <v>14453</v>
      </c>
      <c r="C1105" s="14" t="s">
        <v>13699</v>
      </c>
      <c r="D1105" s="14" t="s">
        <v>13700</v>
      </c>
      <c r="E1105" s="26" t="str">
        <f t="shared" si="26"/>
        <v>http://dx.doi.org/10.1109/VISUAL.2003.1250403</v>
      </c>
      <c r="F1105" s="14">
        <v>425.0</v>
      </c>
      <c r="G1105" s="14">
        <v>432.0</v>
      </c>
      <c r="H1105" s="14" t="s">
        <v>28</v>
      </c>
      <c r="I1105" s="19" t="s">
        <v>15323</v>
      </c>
      <c r="J1105" s="19" t="s">
        <v>13702</v>
      </c>
      <c r="K1105" s="19" t="s">
        <v>15324</v>
      </c>
      <c r="L1105" s="19" t="s">
        <v>15325</v>
      </c>
      <c r="M1105" s="20" t="s">
        <v>13704</v>
      </c>
      <c r="N1105" s="44" t="s">
        <v>13705</v>
      </c>
      <c r="O1105" s="22">
        <v>50.0</v>
      </c>
      <c r="P1105" s="28">
        <v>2.0</v>
      </c>
      <c r="Q1105" s="28">
        <v>32.0</v>
      </c>
      <c r="R1105" s="84"/>
      <c r="S1105" s="84"/>
      <c r="T1105" s="84"/>
      <c r="U1105" s="84"/>
      <c r="V1105" s="84"/>
      <c r="W1105" s="84"/>
      <c r="X1105" s="84"/>
      <c r="Y1105" s="84"/>
      <c r="Z1105" s="84"/>
      <c r="AA1105" s="84"/>
    </row>
    <row r="1106" ht="15.75" customHeight="1">
      <c r="A1106" s="14" t="s">
        <v>17</v>
      </c>
      <c r="B1106" s="15" t="s">
        <v>14453</v>
      </c>
      <c r="C1106" s="14" t="s">
        <v>13706</v>
      </c>
      <c r="D1106" s="14" t="s">
        <v>13707</v>
      </c>
      <c r="E1106" s="26" t="str">
        <f t="shared" si="26"/>
        <v>http://dx.doi.org/10.1109/VISUAL.2003.1250404</v>
      </c>
      <c r="F1106" s="14">
        <v>433.0</v>
      </c>
      <c r="G1106" s="14">
        <v>440.0</v>
      </c>
      <c r="H1106" s="14" t="s">
        <v>28</v>
      </c>
      <c r="I1106" s="19" t="s">
        <v>15326</v>
      </c>
      <c r="J1106" s="19" t="s">
        <v>5444</v>
      </c>
      <c r="K1106" s="19" t="s">
        <v>12495</v>
      </c>
      <c r="L1106" s="19" t="s">
        <v>15327</v>
      </c>
      <c r="M1106" s="20" t="s">
        <v>13710</v>
      </c>
      <c r="N1106" s="44" t="s">
        <v>13711</v>
      </c>
      <c r="O1106" s="109"/>
      <c r="P1106" s="28">
        <v>13.0</v>
      </c>
      <c r="Q1106" s="28">
        <v>26.0</v>
      </c>
      <c r="R1106" s="84"/>
      <c r="S1106" s="84"/>
      <c r="T1106" s="84"/>
      <c r="U1106" s="84"/>
      <c r="V1106" s="84"/>
      <c r="W1106" s="84"/>
      <c r="X1106" s="84"/>
      <c r="Y1106" s="84"/>
      <c r="Z1106" s="84"/>
      <c r="AA1106" s="84"/>
    </row>
    <row r="1107" ht="15.75" customHeight="1">
      <c r="A1107" s="14" t="s">
        <v>17</v>
      </c>
      <c r="B1107" s="15" t="s">
        <v>14453</v>
      </c>
      <c r="C1107" s="14" t="s">
        <v>13712</v>
      </c>
      <c r="D1107" s="14" t="s">
        <v>13713</v>
      </c>
      <c r="E1107" s="26" t="str">
        <f t="shared" si="26"/>
        <v>http://dx.doi.org/10.1109/VISUAL.2003.1250405</v>
      </c>
      <c r="F1107" s="14">
        <v>441.0</v>
      </c>
      <c r="G1107" s="14">
        <v>448.0</v>
      </c>
      <c r="H1107" s="14" t="s">
        <v>28</v>
      </c>
      <c r="I1107" s="19" t="s">
        <v>15328</v>
      </c>
      <c r="J1107" s="19" t="s">
        <v>13715</v>
      </c>
      <c r="K1107" s="19" t="s">
        <v>15329</v>
      </c>
      <c r="L1107" s="19" t="s">
        <v>15330</v>
      </c>
      <c r="M1107" s="20" t="s">
        <v>13717</v>
      </c>
      <c r="N1107" s="44" t="s">
        <v>13718</v>
      </c>
      <c r="O1107" s="22">
        <v>8.0</v>
      </c>
      <c r="P1107" s="28">
        <v>3.0</v>
      </c>
      <c r="Q1107" s="28">
        <v>28.0</v>
      </c>
      <c r="R1107" s="84"/>
      <c r="S1107" s="84"/>
      <c r="T1107" s="84"/>
      <c r="U1107" s="84"/>
      <c r="V1107" s="84"/>
      <c r="W1107" s="84"/>
      <c r="X1107" s="84"/>
      <c r="Y1107" s="84"/>
      <c r="Z1107" s="84"/>
      <c r="AA1107" s="84"/>
    </row>
    <row r="1108" ht="15.75" customHeight="1">
      <c r="A1108" s="14" t="s">
        <v>17</v>
      </c>
      <c r="B1108" s="15" t="s">
        <v>14453</v>
      </c>
      <c r="C1108" s="14" t="s">
        <v>13719</v>
      </c>
      <c r="D1108" s="14" t="s">
        <v>13720</v>
      </c>
      <c r="E1108" s="26" t="str">
        <f t="shared" si="26"/>
        <v>http://dx.doi.org/10.1109/VISUAL.2003.1250406</v>
      </c>
      <c r="F1108" s="14">
        <v>449.0</v>
      </c>
      <c r="G1108" s="14">
        <v>456.0</v>
      </c>
      <c r="H1108" s="14" t="s">
        <v>28</v>
      </c>
      <c r="I1108" s="19" t="s">
        <v>15331</v>
      </c>
      <c r="J1108" s="19" t="s">
        <v>15332</v>
      </c>
      <c r="K1108" s="19" t="s">
        <v>15333</v>
      </c>
      <c r="L1108" s="19" t="s">
        <v>15334</v>
      </c>
      <c r="M1108" s="20" t="s">
        <v>13724</v>
      </c>
      <c r="N1108" s="44" t="s">
        <v>13725</v>
      </c>
      <c r="O1108" s="22">
        <v>68.0</v>
      </c>
      <c r="P1108" s="28">
        <v>16.0</v>
      </c>
      <c r="Q1108" s="28">
        <v>35.0</v>
      </c>
      <c r="R1108" s="84"/>
      <c r="S1108" s="84"/>
      <c r="T1108" s="84"/>
      <c r="U1108" s="84"/>
      <c r="V1108" s="84"/>
      <c r="W1108" s="84"/>
      <c r="X1108" s="84"/>
      <c r="Y1108" s="84"/>
      <c r="Z1108" s="84"/>
      <c r="AA1108" s="84"/>
    </row>
    <row r="1109" ht="15.75" customHeight="1">
      <c r="A1109" s="14" t="s">
        <v>17</v>
      </c>
      <c r="B1109" s="15" t="s">
        <v>14453</v>
      </c>
      <c r="C1109" s="14" t="s">
        <v>13726</v>
      </c>
      <c r="D1109" s="14" t="s">
        <v>13727</v>
      </c>
      <c r="E1109" s="26" t="str">
        <f t="shared" si="26"/>
        <v>http://dx.doi.org/10.1109/VISUAL.2003.1250407</v>
      </c>
      <c r="F1109" s="14">
        <v>457.0</v>
      </c>
      <c r="G1109" s="14">
        <v>464.0</v>
      </c>
      <c r="H1109" s="14" t="s">
        <v>28</v>
      </c>
      <c r="I1109" s="19" t="s">
        <v>15335</v>
      </c>
      <c r="J1109" s="19" t="s">
        <v>13729</v>
      </c>
      <c r="K1109" s="19" t="s">
        <v>15336</v>
      </c>
      <c r="L1109" s="19" t="s">
        <v>15337</v>
      </c>
      <c r="M1109" s="20" t="s">
        <v>13731</v>
      </c>
      <c r="N1109" s="44" t="s">
        <v>13732</v>
      </c>
      <c r="O1109" s="22">
        <v>19.0</v>
      </c>
      <c r="P1109" s="28">
        <v>2.0</v>
      </c>
      <c r="Q1109" s="28">
        <v>18.0</v>
      </c>
      <c r="R1109" s="84"/>
      <c r="S1109" s="84"/>
      <c r="T1109" s="84"/>
      <c r="U1109" s="84"/>
      <c r="V1109" s="84"/>
      <c r="W1109" s="84"/>
      <c r="X1109" s="84"/>
      <c r="Y1109" s="84"/>
      <c r="Z1109" s="84"/>
      <c r="AA1109" s="84"/>
    </row>
    <row r="1110" ht="15.75" customHeight="1">
      <c r="A1110" s="14" t="s">
        <v>17</v>
      </c>
      <c r="B1110" s="15" t="s">
        <v>14453</v>
      </c>
      <c r="C1110" s="14" t="s">
        <v>13733</v>
      </c>
      <c r="D1110" s="14" t="s">
        <v>13734</v>
      </c>
      <c r="E1110" s="26" t="str">
        <f t="shared" si="26"/>
        <v>http://dx.doi.org/10.1109/VISUAL.2003.1250408</v>
      </c>
      <c r="F1110" s="14">
        <v>465.0</v>
      </c>
      <c r="G1110" s="14">
        <v>472.0</v>
      </c>
      <c r="H1110" s="14" t="s">
        <v>28</v>
      </c>
      <c r="I1110" s="19" t="s">
        <v>15338</v>
      </c>
      <c r="J1110" s="19" t="s">
        <v>13736</v>
      </c>
      <c r="K1110" s="19" t="s">
        <v>15339</v>
      </c>
      <c r="L1110" s="19" t="s">
        <v>6028</v>
      </c>
      <c r="M1110" s="20" t="s">
        <v>13737</v>
      </c>
      <c r="N1110" s="44" t="s">
        <v>13738</v>
      </c>
      <c r="O1110" s="22">
        <v>153.0</v>
      </c>
      <c r="P1110" s="28">
        <v>31.0</v>
      </c>
      <c r="Q1110" s="28">
        <v>25.0</v>
      </c>
      <c r="R1110" s="84"/>
      <c r="S1110" s="84"/>
      <c r="T1110" s="84"/>
      <c r="U1110" s="84"/>
      <c r="V1110" s="84"/>
      <c r="W1110" s="84"/>
      <c r="X1110" s="84"/>
      <c r="Y1110" s="84"/>
      <c r="Z1110" s="84"/>
      <c r="AA1110" s="84"/>
    </row>
    <row r="1111" ht="15.75" customHeight="1">
      <c r="A1111" s="14" t="s">
        <v>17</v>
      </c>
      <c r="B1111" s="15" t="s">
        <v>14453</v>
      </c>
      <c r="C1111" s="14" t="s">
        <v>13739</v>
      </c>
      <c r="D1111" s="14" t="s">
        <v>13740</v>
      </c>
      <c r="E1111" s="26" t="str">
        <f t="shared" si="26"/>
        <v>http://dx.doi.org/10.1109/VISUAL.2003.1250409</v>
      </c>
      <c r="F1111" s="14">
        <v>473.0</v>
      </c>
      <c r="G1111" s="14">
        <v>480.0</v>
      </c>
      <c r="H1111" s="14" t="s">
        <v>28</v>
      </c>
      <c r="I1111" s="19" t="s">
        <v>15340</v>
      </c>
      <c r="J1111" s="19" t="s">
        <v>13742</v>
      </c>
      <c r="K1111" s="19" t="s">
        <v>15341</v>
      </c>
      <c r="L1111" s="19" t="s">
        <v>15342</v>
      </c>
      <c r="M1111" s="20" t="s">
        <v>13744</v>
      </c>
      <c r="N1111" s="44" t="s">
        <v>13745</v>
      </c>
      <c r="O1111" s="22">
        <v>50.0</v>
      </c>
      <c r="P1111" s="28">
        <v>2.0</v>
      </c>
      <c r="Q1111" s="28">
        <v>27.0</v>
      </c>
      <c r="R1111" s="84"/>
      <c r="S1111" s="84"/>
      <c r="T1111" s="84"/>
      <c r="U1111" s="84"/>
      <c r="V1111" s="84"/>
      <c r="W1111" s="84"/>
      <c r="X1111" s="84"/>
      <c r="Y1111" s="84"/>
      <c r="Z1111" s="84"/>
      <c r="AA1111" s="84"/>
    </row>
    <row r="1112" ht="15.75" customHeight="1">
      <c r="A1112" s="14" t="s">
        <v>17</v>
      </c>
      <c r="B1112" s="15" t="s">
        <v>14453</v>
      </c>
      <c r="C1112" s="14" t="s">
        <v>13746</v>
      </c>
      <c r="D1112" s="14" t="s">
        <v>13747</v>
      </c>
      <c r="E1112" s="26" t="str">
        <f t="shared" si="26"/>
        <v>http://dx.doi.org/10.1109/VISUAL.2003.1250410</v>
      </c>
      <c r="F1112" s="14">
        <v>481.0</v>
      </c>
      <c r="G1112" s="14">
        <v>488.0</v>
      </c>
      <c r="H1112" s="14" t="s">
        <v>28</v>
      </c>
      <c r="I1112" s="19" t="s">
        <v>15343</v>
      </c>
      <c r="J1112" s="19" t="s">
        <v>13749</v>
      </c>
      <c r="K1112" s="19" t="s">
        <v>15344</v>
      </c>
      <c r="L1112" s="19" t="s">
        <v>15345</v>
      </c>
      <c r="M1112" s="20"/>
      <c r="N1112" s="44" t="s">
        <v>13751</v>
      </c>
      <c r="O1112" s="22">
        <v>69.0</v>
      </c>
      <c r="P1112" s="28">
        <v>13.0</v>
      </c>
      <c r="Q1112" s="28">
        <v>25.0</v>
      </c>
      <c r="R1112" s="84"/>
      <c r="S1112" s="84"/>
      <c r="T1112" s="84"/>
      <c r="U1112" s="84"/>
      <c r="V1112" s="84"/>
      <c r="W1112" s="84"/>
      <c r="X1112" s="84"/>
      <c r="Y1112" s="84"/>
      <c r="Z1112" s="84"/>
      <c r="AA1112" s="84"/>
    </row>
    <row r="1113" ht="15.75" customHeight="1">
      <c r="A1113" s="14" t="s">
        <v>17</v>
      </c>
      <c r="B1113" s="15" t="s">
        <v>14453</v>
      </c>
      <c r="C1113" s="14" t="s">
        <v>13752</v>
      </c>
      <c r="D1113" s="14" t="s">
        <v>13753</v>
      </c>
      <c r="E1113" s="26" t="str">
        <f t="shared" si="26"/>
        <v>http://dx.doi.org/10.1109/VISUAL.2003.1250411</v>
      </c>
      <c r="F1113" s="14">
        <v>489.0</v>
      </c>
      <c r="G1113" s="14">
        <v>496.0</v>
      </c>
      <c r="H1113" s="14" t="s">
        <v>28</v>
      </c>
      <c r="I1113" s="19" t="s">
        <v>15346</v>
      </c>
      <c r="J1113" s="19" t="s">
        <v>15347</v>
      </c>
      <c r="K1113" s="19" t="s">
        <v>15348</v>
      </c>
      <c r="L1113" s="19" t="s">
        <v>15349</v>
      </c>
      <c r="M1113" s="20" t="s">
        <v>13757</v>
      </c>
      <c r="N1113" s="44" t="s">
        <v>13758</v>
      </c>
      <c r="O1113" s="109"/>
      <c r="P1113" s="28">
        <v>5.0</v>
      </c>
      <c r="Q1113" s="28">
        <v>18.0</v>
      </c>
      <c r="R1113" s="84"/>
      <c r="S1113" s="84"/>
      <c r="T1113" s="84"/>
      <c r="U1113" s="84"/>
      <c r="V1113" s="84"/>
      <c r="W1113" s="84"/>
      <c r="X1113" s="84"/>
      <c r="Y1113" s="84"/>
      <c r="Z1113" s="84"/>
      <c r="AA1113" s="84"/>
    </row>
    <row r="1114" ht="15.75" customHeight="1">
      <c r="A1114" s="14" t="s">
        <v>17</v>
      </c>
      <c r="B1114" s="15" t="s">
        <v>14453</v>
      </c>
      <c r="C1114" s="14" t="s">
        <v>13759</v>
      </c>
      <c r="D1114" s="14" t="s">
        <v>13760</v>
      </c>
      <c r="E1114" s="26" t="str">
        <f t="shared" si="26"/>
        <v>http://dx.doi.org/10.1109/VISUAL.2003.1250412</v>
      </c>
      <c r="F1114" s="14">
        <v>497.0</v>
      </c>
      <c r="G1114" s="14">
        <v>504.0</v>
      </c>
      <c r="H1114" s="14" t="s">
        <v>28</v>
      </c>
      <c r="I1114" s="19" t="s">
        <v>15350</v>
      </c>
      <c r="J1114" s="19" t="s">
        <v>13762</v>
      </c>
      <c r="K1114" s="19" t="s">
        <v>15351</v>
      </c>
      <c r="L1114" s="19" t="s">
        <v>15352</v>
      </c>
      <c r="M1114" s="20" t="s">
        <v>13764</v>
      </c>
      <c r="N1114" s="44" t="s">
        <v>13765</v>
      </c>
      <c r="O1114" s="22">
        <v>142.0</v>
      </c>
      <c r="P1114" s="28">
        <v>35.0</v>
      </c>
      <c r="Q1114" s="28">
        <v>29.0</v>
      </c>
      <c r="R1114" s="84"/>
      <c r="S1114" s="84"/>
      <c r="T1114" s="84"/>
      <c r="U1114" s="84"/>
      <c r="V1114" s="84"/>
      <c r="W1114" s="84"/>
      <c r="X1114" s="84"/>
      <c r="Y1114" s="84"/>
      <c r="Z1114" s="84"/>
      <c r="AA1114" s="84"/>
    </row>
    <row r="1115" ht="15.75" customHeight="1">
      <c r="A1115" s="14" t="s">
        <v>17</v>
      </c>
      <c r="B1115" s="15" t="s">
        <v>14453</v>
      </c>
      <c r="C1115" s="14" t="s">
        <v>13766</v>
      </c>
      <c r="D1115" s="14" t="s">
        <v>13767</v>
      </c>
      <c r="E1115" s="26" t="str">
        <f t="shared" si="26"/>
        <v>http://dx.doi.org/10.1109/VISUAL.2003.1250413</v>
      </c>
      <c r="F1115" s="14">
        <v>505.0</v>
      </c>
      <c r="G1115" s="14">
        <v>512.0</v>
      </c>
      <c r="H1115" s="14" t="s">
        <v>28</v>
      </c>
      <c r="I1115" s="19" t="s">
        <v>15353</v>
      </c>
      <c r="J1115" s="19" t="s">
        <v>13769</v>
      </c>
      <c r="K1115" s="19" t="s">
        <v>15354</v>
      </c>
      <c r="L1115" s="19" t="s">
        <v>14292</v>
      </c>
      <c r="M1115" s="20" t="s">
        <v>13770</v>
      </c>
      <c r="N1115" s="44" t="s">
        <v>13771</v>
      </c>
      <c r="O1115" s="22">
        <v>169.0</v>
      </c>
      <c r="P1115" s="28">
        <v>37.0</v>
      </c>
      <c r="Q1115" s="28">
        <v>25.0</v>
      </c>
      <c r="R1115" s="84"/>
      <c r="S1115" s="84"/>
      <c r="T1115" s="84"/>
      <c r="U1115" s="84"/>
      <c r="V1115" s="84"/>
      <c r="W1115" s="84"/>
      <c r="X1115" s="84"/>
      <c r="Y1115" s="84"/>
      <c r="Z1115" s="84"/>
      <c r="AA1115" s="84"/>
    </row>
    <row r="1116" ht="15.75" customHeight="1">
      <c r="A1116" s="14" t="s">
        <v>17</v>
      </c>
      <c r="B1116" s="15" t="s">
        <v>14453</v>
      </c>
      <c r="C1116" s="14" t="s">
        <v>13772</v>
      </c>
      <c r="D1116" s="14" t="s">
        <v>13773</v>
      </c>
      <c r="E1116" s="26" t="str">
        <f t="shared" si="26"/>
        <v>http://dx.doi.org/10.1109/VISUAL.2003.1250414</v>
      </c>
      <c r="F1116" s="14">
        <v>513.0</v>
      </c>
      <c r="G1116" s="14">
        <v>520.0</v>
      </c>
      <c r="H1116" s="14" t="s">
        <v>28</v>
      </c>
      <c r="I1116" s="19" t="s">
        <v>15355</v>
      </c>
      <c r="J1116" s="19" t="s">
        <v>15356</v>
      </c>
      <c r="K1116" s="19" t="s">
        <v>15357</v>
      </c>
      <c r="L1116" s="19" t="s">
        <v>15358</v>
      </c>
      <c r="M1116" s="20" t="s">
        <v>13777</v>
      </c>
      <c r="N1116" s="44" t="s">
        <v>13778</v>
      </c>
      <c r="O1116" s="22">
        <v>453.0</v>
      </c>
      <c r="P1116" s="28">
        <v>129.0</v>
      </c>
      <c r="Q1116" s="28">
        <v>36.0</v>
      </c>
      <c r="R1116" s="84"/>
      <c r="S1116" s="84"/>
      <c r="T1116" s="84"/>
      <c r="U1116" s="84"/>
      <c r="V1116" s="84"/>
      <c r="W1116" s="84"/>
      <c r="X1116" s="84"/>
      <c r="Y1116" s="84"/>
      <c r="Z1116" s="84"/>
      <c r="AA1116" s="84"/>
    </row>
    <row r="1117" ht="15.75" customHeight="1">
      <c r="A1117" s="14" t="s">
        <v>17</v>
      </c>
      <c r="B1117" s="15" t="s">
        <v>14453</v>
      </c>
      <c r="C1117" s="14" t="s">
        <v>13779</v>
      </c>
      <c r="D1117" s="14" t="s">
        <v>13780</v>
      </c>
      <c r="E1117" s="26" t="str">
        <f t="shared" si="26"/>
        <v>http://dx.doi.org/10.1109/VISUAL.2003.1250415</v>
      </c>
      <c r="F1117" s="14">
        <v>523.0</v>
      </c>
      <c r="G1117" s="14">
        <v>530.0</v>
      </c>
      <c r="H1117" s="14" t="s">
        <v>28</v>
      </c>
      <c r="I1117" s="19" t="s">
        <v>15359</v>
      </c>
      <c r="J1117" s="19" t="s">
        <v>13782</v>
      </c>
      <c r="K1117" s="19" t="s">
        <v>15360</v>
      </c>
      <c r="L1117" s="19" t="s">
        <v>14292</v>
      </c>
      <c r="M1117" s="20" t="s">
        <v>12697</v>
      </c>
      <c r="N1117" s="44" t="s">
        <v>13783</v>
      </c>
      <c r="O1117" s="22">
        <v>49.0</v>
      </c>
      <c r="P1117" s="28">
        <v>13.0</v>
      </c>
      <c r="Q1117" s="28">
        <v>16.0</v>
      </c>
      <c r="R1117" s="84"/>
      <c r="S1117" s="84"/>
      <c r="T1117" s="84"/>
      <c r="U1117" s="84"/>
      <c r="V1117" s="84"/>
      <c r="W1117" s="84"/>
      <c r="X1117" s="84"/>
      <c r="Y1117" s="84"/>
      <c r="Z1117" s="84"/>
      <c r="AA1117" s="84"/>
    </row>
    <row r="1118" ht="15.75" customHeight="1">
      <c r="A1118" s="14" t="s">
        <v>17</v>
      </c>
      <c r="B1118" s="15" t="s">
        <v>14453</v>
      </c>
      <c r="C1118" s="14" t="s">
        <v>13784</v>
      </c>
      <c r="D1118" s="14" t="s">
        <v>13785</v>
      </c>
      <c r="E1118" s="26" t="str">
        <f t="shared" si="26"/>
        <v>http://dx.doi.org/10.1109/VISUAL.2003.1250416</v>
      </c>
      <c r="F1118" s="14">
        <v>531.0</v>
      </c>
      <c r="G1118" s="14">
        <v>538.0</v>
      </c>
      <c r="H1118" s="14" t="s">
        <v>28</v>
      </c>
      <c r="I1118" s="19" t="s">
        <v>15361</v>
      </c>
      <c r="J1118" s="19" t="s">
        <v>13787</v>
      </c>
      <c r="K1118" s="19" t="s">
        <v>15362</v>
      </c>
      <c r="L1118" s="19" t="s">
        <v>2332</v>
      </c>
      <c r="M1118" s="20" t="s">
        <v>13788</v>
      </c>
      <c r="N1118" s="44" t="s">
        <v>13789</v>
      </c>
      <c r="O1118" s="109"/>
      <c r="P1118" s="28">
        <v>3.0</v>
      </c>
      <c r="Q1118" s="28">
        <v>14.0</v>
      </c>
      <c r="R1118" s="84"/>
      <c r="S1118" s="84"/>
      <c r="T1118" s="84"/>
      <c r="U1118" s="84"/>
      <c r="V1118" s="84"/>
      <c r="W1118" s="84"/>
      <c r="X1118" s="84"/>
      <c r="Y1118" s="84"/>
      <c r="Z1118" s="84"/>
      <c r="AA1118" s="84"/>
    </row>
    <row r="1119" ht="15.75" customHeight="1">
      <c r="A1119" s="14" t="s">
        <v>17</v>
      </c>
      <c r="B1119" s="15" t="s">
        <v>14453</v>
      </c>
      <c r="C1119" s="14" t="s">
        <v>13790</v>
      </c>
      <c r="D1119" s="14" t="s">
        <v>13791</v>
      </c>
      <c r="E1119" s="26" t="str">
        <f t="shared" si="26"/>
        <v>http://dx.doi.org/10.1109/VISUAL.2003.1250417</v>
      </c>
      <c r="F1119" s="14">
        <v>539.0</v>
      </c>
      <c r="G1119" s="14">
        <v>546.0</v>
      </c>
      <c r="H1119" s="14" t="s">
        <v>28</v>
      </c>
      <c r="I1119" s="19" t="s">
        <v>15363</v>
      </c>
      <c r="J1119" s="19" t="s">
        <v>13793</v>
      </c>
      <c r="K1119" s="19" t="s">
        <v>15364</v>
      </c>
      <c r="L1119" s="19" t="s">
        <v>15238</v>
      </c>
      <c r="M1119" s="20" t="s">
        <v>13794</v>
      </c>
      <c r="N1119" s="44" t="s">
        <v>13795</v>
      </c>
      <c r="O1119" s="22">
        <v>50.0</v>
      </c>
      <c r="P1119" s="28">
        <v>3.0</v>
      </c>
      <c r="Q1119" s="28">
        <v>14.0</v>
      </c>
      <c r="R1119" s="84"/>
      <c r="S1119" s="84"/>
      <c r="T1119" s="84"/>
      <c r="U1119" s="84"/>
      <c r="V1119" s="84"/>
      <c r="W1119" s="84"/>
      <c r="X1119" s="84"/>
      <c r="Y1119" s="84"/>
      <c r="Z1119" s="84"/>
      <c r="AA1119" s="84"/>
    </row>
    <row r="1120" ht="15.75" customHeight="1">
      <c r="A1120" s="14" t="s">
        <v>17</v>
      </c>
      <c r="B1120" s="15" t="s">
        <v>14453</v>
      </c>
      <c r="C1120" s="14" t="s">
        <v>13796</v>
      </c>
      <c r="D1120" s="14" t="s">
        <v>13797</v>
      </c>
      <c r="E1120" s="26" t="str">
        <f t="shared" si="26"/>
        <v>http://dx.doi.org/10.1109/VISUAL.2003.1250418</v>
      </c>
      <c r="F1120" s="14">
        <v>547.0</v>
      </c>
      <c r="G1120" s="14">
        <v>554.0</v>
      </c>
      <c r="H1120" s="14" t="s">
        <v>28</v>
      </c>
      <c r="I1120" s="19" t="s">
        <v>15365</v>
      </c>
      <c r="J1120" s="19" t="s">
        <v>13799</v>
      </c>
      <c r="K1120" s="19" t="s">
        <v>15366</v>
      </c>
      <c r="L1120" s="19" t="s">
        <v>15367</v>
      </c>
      <c r="M1120" s="20"/>
      <c r="N1120" s="44" t="s">
        <v>13801</v>
      </c>
      <c r="O1120" s="22">
        <v>53.0</v>
      </c>
      <c r="P1120" s="28">
        <v>12.0</v>
      </c>
      <c r="Q1120" s="28">
        <v>17.0</v>
      </c>
      <c r="R1120" s="84"/>
      <c r="S1120" s="84"/>
      <c r="T1120" s="84"/>
      <c r="U1120" s="84"/>
      <c r="V1120" s="84"/>
      <c r="W1120" s="84"/>
      <c r="X1120" s="84"/>
      <c r="Y1120" s="84"/>
      <c r="Z1120" s="84"/>
      <c r="AA1120" s="84"/>
    </row>
    <row r="1121" ht="15.75" customHeight="1">
      <c r="A1121" s="14" t="s">
        <v>17</v>
      </c>
      <c r="B1121" s="15" t="s">
        <v>14453</v>
      </c>
      <c r="C1121" s="14" t="s">
        <v>13829</v>
      </c>
      <c r="D1121" s="14" t="s">
        <v>13830</v>
      </c>
      <c r="E1121" s="26" t="str">
        <f t="shared" si="26"/>
        <v>http://dx.doi.org/10.1109/VISUAL.2003.1250419</v>
      </c>
      <c r="F1121" s="14">
        <v>555.0</v>
      </c>
      <c r="G1121" s="14">
        <v>559.0</v>
      </c>
      <c r="H1121" s="14" t="s">
        <v>28</v>
      </c>
      <c r="I1121" s="19" t="s">
        <v>15368</v>
      </c>
      <c r="J1121" s="19" t="s">
        <v>13836</v>
      </c>
      <c r="K1121" s="19" t="s">
        <v>15369</v>
      </c>
      <c r="L1121" s="19" t="s">
        <v>15370</v>
      </c>
      <c r="M1121" s="20" t="s">
        <v>13838</v>
      </c>
      <c r="N1121" s="44" t="s">
        <v>13840</v>
      </c>
      <c r="O1121" s="22">
        <v>9.0</v>
      </c>
      <c r="P1121" s="28">
        <v>2.0</v>
      </c>
      <c r="Q1121" s="28">
        <v>17.0</v>
      </c>
      <c r="R1121" s="84"/>
      <c r="S1121" s="84"/>
      <c r="T1121" s="84"/>
      <c r="U1121" s="84"/>
      <c r="V1121" s="84"/>
      <c r="W1121" s="84"/>
      <c r="X1121" s="84"/>
      <c r="Y1121" s="84"/>
      <c r="Z1121" s="84"/>
      <c r="AA1121" s="84"/>
    </row>
    <row r="1122" ht="15.75" customHeight="1">
      <c r="A1122" s="14" t="s">
        <v>17</v>
      </c>
      <c r="B1122" s="15" t="s">
        <v>14453</v>
      </c>
      <c r="C1122" s="14" t="s">
        <v>13843</v>
      </c>
      <c r="D1122" s="14" t="s">
        <v>13844</v>
      </c>
      <c r="E1122" s="26" t="str">
        <f t="shared" si="26"/>
        <v>http://dx.doi.org/10.1109/VISUAL.2003.1250420</v>
      </c>
      <c r="F1122" s="14">
        <v>561.0</v>
      </c>
      <c r="G1122" s="14">
        <v>568.0</v>
      </c>
      <c r="H1122" s="14" t="s">
        <v>28</v>
      </c>
      <c r="I1122" s="19" t="s">
        <v>15371</v>
      </c>
      <c r="J1122" s="19" t="s">
        <v>13846</v>
      </c>
      <c r="K1122" s="19" t="s">
        <v>15372</v>
      </c>
      <c r="L1122" s="19" t="s">
        <v>15373</v>
      </c>
      <c r="M1122" s="20" t="s">
        <v>13848</v>
      </c>
      <c r="N1122" s="44" t="s">
        <v>13849</v>
      </c>
      <c r="O1122" s="22">
        <v>50.0</v>
      </c>
      <c r="P1122" s="28">
        <v>1.0</v>
      </c>
      <c r="Q1122" s="28">
        <v>31.0</v>
      </c>
      <c r="R1122" s="84"/>
      <c r="S1122" s="84"/>
      <c r="T1122" s="84"/>
      <c r="U1122" s="84"/>
      <c r="V1122" s="84"/>
      <c r="W1122" s="84"/>
      <c r="X1122" s="84"/>
      <c r="Y1122" s="84"/>
      <c r="Z1122" s="84"/>
      <c r="AA1122" s="84"/>
    </row>
    <row r="1123" ht="15.75" customHeight="1">
      <c r="A1123" s="14" t="s">
        <v>17</v>
      </c>
      <c r="B1123" s="15" t="s">
        <v>14453</v>
      </c>
      <c r="C1123" s="14" t="s">
        <v>13850</v>
      </c>
      <c r="D1123" s="14" t="s">
        <v>13851</v>
      </c>
      <c r="E1123" s="26" t="str">
        <f t="shared" si="26"/>
        <v>http://dx.doi.org/10.1109/VISUAL.2003.1250421</v>
      </c>
      <c r="F1123" s="14">
        <v>569.0</v>
      </c>
      <c r="G1123" s="14">
        <v>574.0</v>
      </c>
      <c r="H1123" s="14" t="s">
        <v>28</v>
      </c>
      <c r="I1123" s="19" t="s">
        <v>15374</v>
      </c>
      <c r="J1123" s="19" t="s">
        <v>15375</v>
      </c>
      <c r="K1123" s="19" t="s">
        <v>15376</v>
      </c>
      <c r="L1123" s="19" t="s">
        <v>15377</v>
      </c>
      <c r="M1123" s="20" t="s">
        <v>13858</v>
      </c>
      <c r="N1123" s="44" t="s">
        <v>13859</v>
      </c>
      <c r="O1123" s="22">
        <v>50.0</v>
      </c>
      <c r="P1123" s="28">
        <v>1.0</v>
      </c>
      <c r="Q1123" s="28">
        <v>19.0</v>
      </c>
      <c r="R1123" s="84"/>
      <c r="S1123" s="84"/>
      <c r="T1123" s="84"/>
      <c r="U1123" s="84"/>
      <c r="V1123" s="84"/>
      <c r="W1123" s="84"/>
      <c r="X1123" s="84"/>
      <c r="Y1123" s="84"/>
      <c r="Z1123" s="84"/>
      <c r="AA1123" s="84"/>
    </row>
    <row r="1124" ht="15.75" customHeight="1">
      <c r="A1124" s="14" t="s">
        <v>17</v>
      </c>
      <c r="B1124" s="15" t="s">
        <v>14453</v>
      </c>
      <c r="C1124" s="14" t="s">
        <v>13860</v>
      </c>
      <c r="D1124" s="14" t="s">
        <v>13861</v>
      </c>
      <c r="E1124" s="26" t="str">
        <f t="shared" si="26"/>
        <v>http://dx.doi.org/10.1109/VISUAL.2003.1250422</v>
      </c>
      <c r="F1124" s="14">
        <v>575.0</v>
      </c>
      <c r="G1124" s="14">
        <v>580.0</v>
      </c>
      <c r="H1124" s="14" t="s">
        <v>28</v>
      </c>
      <c r="I1124" s="19" t="s">
        <v>15378</v>
      </c>
      <c r="J1124" s="19" t="s">
        <v>13866</v>
      </c>
      <c r="K1124" s="19" t="s">
        <v>15379</v>
      </c>
      <c r="L1124" s="19" t="s">
        <v>15380</v>
      </c>
      <c r="M1124" s="20"/>
      <c r="N1124" s="27"/>
      <c r="O1124" s="109"/>
      <c r="P1124" s="28">
        <v>2.0</v>
      </c>
      <c r="Q1124" s="28">
        <v>19.0</v>
      </c>
      <c r="R1124" s="84"/>
      <c r="S1124" s="84"/>
      <c r="T1124" s="84"/>
      <c r="U1124" s="84"/>
      <c r="V1124" s="84"/>
      <c r="W1124" s="84"/>
      <c r="X1124" s="84"/>
      <c r="Y1124" s="84"/>
      <c r="Z1124" s="84"/>
      <c r="AA1124" s="84"/>
    </row>
    <row r="1125" ht="15.75" customHeight="1">
      <c r="A1125" s="14" t="s">
        <v>17</v>
      </c>
      <c r="B1125" s="15" t="s">
        <v>14453</v>
      </c>
      <c r="C1125" s="14" t="s">
        <v>13868</v>
      </c>
      <c r="D1125" s="14" t="s">
        <v>13869</v>
      </c>
      <c r="E1125" s="26" t="str">
        <f t="shared" si="26"/>
        <v>http://dx.doi.org/10.1109/VISUAL.2003.1250423</v>
      </c>
      <c r="F1125" s="14">
        <v>581.0</v>
      </c>
      <c r="G1125" s="14">
        <v>588.0</v>
      </c>
      <c r="H1125" s="14" t="s">
        <v>28</v>
      </c>
      <c r="I1125" s="19" t="s">
        <v>15381</v>
      </c>
      <c r="J1125" s="19" t="s">
        <v>13874</v>
      </c>
      <c r="K1125" s="19" t="s">
        <v>15382</v>
      </c>
      <c r="L1125" s="19" t="s">
        <v>15383</v>
      </c>
      <c r="M1125" s="20"/>
      <c r="N1125" s="44" t="s">
        <v>13875</v>
      </c>
      <c r="O1125" s="22">
        <v>9.0</v>
      </c>
      <c r="P1125" s="28">
        <v>3.0</v>
      </c>
      <c r="Q1125" s="28">
        <v>14.0</v>
      </c>
      <c r="R1125" s="84"/>
      <c r="S1125" s="84"/>
      <c r="T1125" s="84"/>
      <c r="U1125" s="84"/>
      <c r="V1125" s="84"/>
      <c r="W1125" s="84"/>
      <c r="X1125" s="84"/>
      <c r="Y1125" s="84"/>
      <c r="Z1125" s="84"/>
      <c r="AA1125" s="84"/>
    </row>
    <row r="1126" ht="15.75" customHeight="1">
      <c r="A1126" s="14" t="s">
        <v>17</v>
      </c>
      <c r="B1126" s="15" t="s">
        <v>14453</v>
      </c>
      <c r="C1126" s="14" t="s">
        <v>13876</v>
      </c>
      <c r="D1126" s="14" t="s">
        <v>13877</v>
      </c>
      <c r="E1126" s="26" t="str">
        <f t="shared" si="26"/>
        <v>http://dx.doi.org/10.1109/VISUAL.2003.1250424</v>
      </c>
      <c r="F1126" s="14">
        <v>589.0</v>
      </c>
      <c r="G1126" s="14">
        <v>596.0</v>
      </c>
      <c r="H1126" s="14" t="s">
        <v>28</v>
      </c>
      <c r="I1126" s="19" t="s">
        <v>15384</v>
      </c>
      <c r="J1126" s="19" t="s">
        <v>13885</v>
      </c>
      <c r="K1126" s="19" t="s">
        <v>15385</v>
      </c>
      <c r="L1126" s="19" t="s">
        <v>15386</v>
      </c>
      <c r="M1126" s="20"/>
      <c r="N1126" s="44" t="s">
        <v>13887</v>
      </c>
      <c r="O1126" s="22">
        <v>11.0</v>
      </c>
      <c r="P1126" s="28">
        <v>0.0</v>
      </c>
      <c r="Q1126" s="28">
        <v>29.0</v>
      </c>
      <c r="R1126" s="84"/>
      <c r="S1126" s="84"/>
      <c r="T1126" s="84"/>
      <c r="U1126" s="84"/>
      <c r="V1126" s="84"/>
      <c r="W1126" s="84"/>
      <c r="X1126" s="84"/>
      <c r="Y1126" s="84"/>
      <c r="Z1126" s="84"/>
      <c r="AA1126" s="84"/>
    </row>
    <row r="1127" ht="15.75" customHeight="1">
      <c r="A1127" s="14" t="s">
        <v>17</v>
      </c>
      <c r="B1127" s="15" t="s">
        <v>14453</v>
      </c>
      <c r="C1127" s="14" t="s">
        <v>13889</v>
      </c>
      <c r="D1127" s="14" t="s">
        <v>13890</v>
      </c>
      <c r="E1127" s="26" t="str">
        <f t="shared" si="26"/>
        <v>http://dx.doi.org/10.1109/VISUAL.2003.1250425</v>
      </c>
      <c r="F1127" s="14">
        <v>597.0</v>
      </c>
      <c r="G1127" s="14">
        <v>602.0</v>
      </c>
      <c r="H1127" s="14" t="s">
        <v>28</v>
      </c>
      <c r="I1127" s="19" t="s">
        <v>15387</v>
      </c>
      <c r="J1127" s="19" t="s">
        <v>12510</v>
      </c>
      <c r="K1127" s="19" t="s">
        <v>14255</v>
      </c>
      <c r="L1127" s="19" t="s">
        <v>15388</v>
      </c>
      <c r="M1127" s="20" t="s">
        <v>13899</v>
      </c>
      <c r="N1127" s="44" t="s">
        <v>13900</v>
      </c>
      <c r="O1127" s="22">
        <v>112.0</v>
      </c>
      <c r="P1127" s="28">
        <v>15.0</v>
      </c>
      <c r="Q1127" s="28">
        <v>17.0</v>
      </c>
      <c r="R1127" s="84"/>
      <c r="S1127" s="84"/>
      <c r="T1127" s="84"/>
      <c r="U1127" s="84"/>
      <c r="V1127" s="84"/>
      <c r="W1127" s="84"/>
      <c r="X1127" s="84"/>
      <c r="Y1127" s="84"/>
      <c r="Z1127" s="84"/>
      <c r="AA1127" s="84"/>
    </row>
    <row r="1128" ht="15.75" customHeight="1">
      <c r="A1128" s="14" t="s">
        <v>17</v>
      </c>
      <c r="B1128" s="15" t="s">
        <v>14453</v>
      </c>
      <c r="C1128" s="14" t="s">
        <v>13901</v>
      </c>
      <c r="D1128" s="14" t="s">
        <v>13902</v>
      </c>
      <c r="E1128" s="26" t="str">
        <f t="shared" si="26"/>
        <v>http://dx.doi.org/10.1109/VISUAL.2003.1250426</v>
      </c>
      <c r="F1128" s="14">
        <v>605.0</v>
      </c>
      <c r="G1128" s="14">
        <v>606.0</v>
      </c>
      <c r="H1128" s="14" t="s">
        <v>21</v>
      </c>
      <c r="I1128" s="18"/>
      <c r="J1128" s="19" t="s">
        <v>13934</v>
      </c>
      <c r="K1128" s="19" t="s">
        <v>15389</v>
      </c>
      <c r="L1128" s="19" t="s">
        <v>12023</v>
      </c>
      <c r="M1128" s="20"/>
      <c r="N1128" s="27"/>
      <c r="O1128" s="22">
        <v>0.0</v>
      </c>
      <c r="P1128" s="28">
        <v>3.0</v>
      </c>
      <c r="Q1128" s="28">
        <v>7.0</v>
      </c>
      <c r="R1128" s="84"/>
      <c r="S1128" s="84"/>
      <c r="T1128" s="84"/>
      <c r="U1128" s="84"/>
      <c r="V1128" s="84"/>
      <c r="W1128" s="84"/>
      <c r="X1128" s="84"/>
      <c r="Y1128" s="84"/>
      <c r="Z1128" s="84"/>
      <c r="AA1128" s="84"/>
    </row>
    <row r="1129" ht="15.75" customHeight="1">
      <c r="A1129" s="14" t="s">
        <v>17</v>
      </c>
      <c r="B1129" s="15" t="s">
        <v>14453</v>
      </c>
      <c r="C1129" s="14" t="s">
        <v>13937</v>
      </c>
      <c r="D1129" s="14" t="s">
        <v>13938</v>
      </c>
      <c r="E1129" s="26" t="str">
        <f t="shared" si="26"/>
        <v>http://dx.doi.org/10.1109/VISUAL.2003.1250427</v>
      </c>
      <c r="F1129" s="14">
        <v>607.0</v>
      </c>
      <c r="G1129" s="14">
        <v>610.0</v>
      </c>
      <c r="H1129" s="14" t="s">
        <v>21</v>
      </c>
      <c r="I1129" s="18"/>
      <c r="J1129" s="19" t="s">
        <v>13951</v>
      </c>
      <c r="K1129" s="19" t="s">
        <v>15390</v>
      </c>
      <c r="L1129" s="19" t="s">
        <v>15391</v>
      </c>
      <c r="M1129" s="20"/>
      <c r="N1129" s="27"/>
      <c r="O1129" s="22">
        <v>3.0</v>
      </c>
      <c r="P1129" s="28">
        <v>0.0</v>
      </c>
      <c r="Q1129" s="28">
        <v>0.0</v>
      </c>
      <c r="R1129" s="84"/>
      <c r="S1129" s="84"/>
      <c r="T1129" s="84"/>
      <c r="U1129" s="84"/>
      <c r="V1129" s="84"/>
      <c r="W1129" s="84"/>
      <c r="X1129" s="84"/>
      <c r="Y1129" s="84"/>
      <c r="Z1129" s="84"/>
      <c r="AA1129" s="84"/>
    </row>
    <row r="1130" ht="15.75" customHeight="1">
      <c r="A1130" s="14" t="s">
        <v>17</v>
      </c>
      <c r="B1130" s="15" t="s">
        <v>14453</v>
      </c>
      <c r="C1130" s="14" t="s">
        <v>13954</v>
      </c>
      <c r="D1130" s="14" t="s">
        <v>13955</v>
      </c>
      <c r="E1130" s="26" t="str">
        <f t="shared" si="26"/>
        <v>http://dx.doi.org/10.1109/VISUAL.2003.1250428</v>
      </c>
      <c r="F1130" s="14">
        <v>611.0</v>
      </c>
      <c r="G1130" s="14">
        <v>614.0</v>
      </c>
      <c r="H1130" s="14" t="s">
        <v>21</v>
      </c>
      <c r="I1130" s="18"/>
      <c r="J1130" s="19" t="s">
        <v>13960</v>
      </c>
      <c r="K1130" s="19" t="s">
        <v>15392</v>
      </c>
      <c r="L1130" s="19" t="s">
        <v>15393</v>
      </c>
      <c r="M1130" s="20"/>
      <c r="N1130" s="27"/>
      <c r="O1130" s="22">
        <v>61.0</v>
      </c>
      <c r="P1130" s="28">
        <v>9.0</v>
      </c>
      <c r="Q1130" s="28">
        <v>2.0</v>
      </c>
      <c r="R1130" s="84"/>
      <c r="S1130" s="84"/>
      <c r="T1130" s="84"/>
      <c r="U1130" s="84"/>
      <c r="V1130" s="84"/>
      <c r="W1130" s="84"/>
      <c r="X1130" s="84"/>
      <c r="Y1130" s="84"/>
      <c r="Z1130" s="84"/>
      <c r="AA1130" s="84"/>
    </row>
    <row r="1131" ht="15.75" customHeight="1">
      <c r="A1131" s="14" t="s">
        <v>17</v>
      </c>
      <c r="B1131" s="15" t="s">
        <v>14453</v>
      </c>
      <c r="C1131" s="14" t="s">
        <v>13962</v>
      </c>
      <c r="D1131" s="14" t="s">
        <v>13963</v>
      </c>
      <c r="E1131" s="26" t="str">
        <f t="shared" si="26"/>
        <v>http://dx.doi.org/10.1109/VISUAL.2003.1250429</v>
      </c>
      <c r="F1131" s="14">
        <v>615.0</v>
      </c>
      <c r="G1131" s="14">
        <v>617.0</v>
      </c>
      <c r="H1131" s="14" t="s">
        <v>21</v>
      </c>
      <c r="I1131" s="18"/>
      <c r="J1131" s="19" t="s">
        <v>13967</v>
      </c>
      <c r="K1131" s="19" t="s">
        <v>15394</v>
      </c>
      <c r="L1131" s="19" t="s">
        <v>15395</v>
      </c>
      <c r="M1131" s="20"/>
      <c r="N1131" s="27"/>
      <c r="O1131" s="22">
        <v>4.0</v>
      </c>
      <c r="P1131" s="28">
        <v>1.0</v>
      </c>
      <c r="Q1131" s="28">
        <v>0.0</v>
      </c>
      <c r="R1131" s="84"/>
      <c r="S1131" s="84"/>
      <c r="T1131" s="84"/>
      <c r="U1131" s="84"/>
      <c r="V1131" s="84"/>
      <c r="W1131" s="84"/>
      <c r="X1131" s="84"/>
      <c r="Y1131" s="84"/>
      <c r="Z1131" s="84"/>
      <c r="AA1131" s="84"/>
    </row>
    <row r="1132" ht="15.75" customHeight="1">
      <c r="A1132" s="14" t="s">
        <v>17</v>
      </c>
      <c r="B1132" s="15" t="s">
        <v>14453</v>
      </c>
      <c r="C1132" s="14" t="s">
        <v>13969</v>
      </c>
      <c r="D1132" s="14" t="s">
        <v>13970</v>
      </c>
      <c r="E1132" s="26" t="str">
        <f t="shared" si="26"/>
        <v>http://dx.doi.org/10.1109/VISUAL.2003.1250430</v>
      </c>
      <c r="F1132" s="14">
        <v>619.0</v>
      </c>
      <c r="G1132" s="14">
        <v>621.0</v>
      </c>
      <c r="H1132" s="14" t="s">
        <v>21</v>
      </c>
      <c r="I1132" s="18"/>
      <c r="J1132" s="19" t="s">
        <v>15396</v>
      </c>
      <c r="K1132" s="19" t="s">
        <v>15397</v>
      </c>
      <c r="L1132" s="19" t="s">
        <v>15398</v>
      </c>
      <c r="M1132" s="20"/>
      <c r="N1132" s="27"/>
      <c r="O1132" s="22">
        <v>50.0</v>
      </c>
      <c r="P1132" s="28">
        <v>1.0</v>
      </c>
      <c r="Q1132" s="28">
        <v>0.0</v>
      </c>
      <c r="R1132" s="84"/>
      <c r="S1132" s="84"/>
      <c r="T1132" s="84"/>
      <c r="U1132" s="84"/>
      <c r="V1132" s="84"/>
      <c r="W1132" s="84"/>
      <c r="X1132" s="84"/>
      <c r="Y1132" s="84"/>
      <c r="Z1132" s="84"/>
      <c r="AA1132" s="84"/>
    </row>
    <row r="1133" ht="15.75" customHeight="1">
      <c r="A1133" s="14" t="s">
        <v>2137</v>
      </c>
      <c r="B1133" s="15" t="s">
        <v>15399</v>
      </c>
      <c r="C1133" s="14" t="s">
        <v>13978</v>
      </c>
      <c r="D1133" s="14" t="s">
        <v>13979</v>
      </c>
      <c r="E1133" s="26" t="str">
        <f t="shared" si="26"/>
        <v>http://dx.doi.org/10.1109/INFVIS.2004.1</v>
      </c>
      <c r="F1133" s="14">
        <v>17.0</v>
      </c>
      <c r="G1133" s="14">
        <v>24.0</v>
      </c>
      <c r="H1133" s="14" t="s">
        <v>28</v>
      </c>
      <c r="I1133" s="19" t="s">
        <v>15400</v>
      </c>
      <c r="J1133" s="19" t="s">
        <v>13983</v>
      </c>
      <c r="K1133" s="19" t="s">
        <v>15401</v>
      </c>
      <c r="L1133" s="19" t="s">
        <v>15402</v>
      </c>
      <c r="M1133" s="20" t="s">
        <v>12870</v>
      </c>
      <c r="N1133" s="44" t="s">
        <v>13986</v>
      </c>
      <c r="O1133" s="22">
        <v>337.0</v>
      </c>
      <c r="P1133" s="28">
        <v>118.0</v>
      </c>
      <c r="Q1133" s="28">
        <v>14.0</v>
      </c>
      <c r="R1133" s="84"/>
      <c r="S1133" s="84"/>
      <c r="T1133" s="84"/>
      <c r="U1133" s="84"/>
      <c r="V1133" s="84"/>
      <c r="W1133" s="84"/>
      <c r="X1133" s="84"/>
      <c r="Y1133" s="84"/>
      <c r="Z1133" s="84"/>
      <c r="AA1133" s="84"/>
    </row>
    <row r="1134" ht="15.75" customHeight="1">
      <c r="A1134" s="14" t="s">
        <v>2137</v>
      </c>
      <c r="B1134" s="15" t="s">
        <v>15399</v>
      </c>
      <c r="C1134" s="14" t="s">
        <v>13989</v>
      </c>
      <c r="D1134" s="14" t="s">
        <v>13990</v>
      </c>
      <c r="E1134" s="26" t="str">
        <f t="shared" si="26"/>
        <v>http://dx.doi.org/10.1109/INFVIS.2004.10</v>
      </c>
      <c r="F1134" s="14">
        <v>143.0</v>
      </c>
      <c r="G1134" s="14">
        <v>150.0</v>
      </c>
      <c r="H1134" s="14" t="s">
        <v>28</v>
      </c>
      <c r="I1134" s="19" t="s">
        <v>15403</v>
      </c>
      <c r="J1134" s="19" t="s">
        <v>13983</v>
      </c>
      <c r="K1134" s="19" t="s">
        <v>15404</v>
      </c>
      <c r="L1134" s="19" t="s">
        <v>15405</v>
      </c>
      <c r="M1134" s="20" t="s">
        <v>13993</v>
      </c>
      <c r="N1134" s="44" t="s">
        <v>13994</v>
      </c>
      <c r="O1134" s="22">
        <v>73.0</v>
      </c>
      <c r="P1134" s="28">
        <v>42.0</v>
      </c>
      <c r="Q1134" s="28">
        <v>27.0</v>
      </c>
      <c r="R1134" s="85" t="s">
        <v>106</v>
      </c>
      <c r="S1134" s="84"/>
      <c r="T1134" s="84"/>
      <c r="U1134" s="84"/>
      <c r="V1134" s="84"/>
      <c r="W1134" s="84"/>
      <c r="X1134" s="84"/>
      <c r="Y1134" s="84"/>
      <c r="Z1134" s="84"/>
      <c r="AA1134" s="84"/>
    </row>
    <row r="1135" ht="15.75" customHeight="1">
      <c r="A1135" s="14" t="s">
        <v>2137</v>
      </c>
      <c r="B1135" s="15" t="s">
        <v>15399</v>
      </c>
      <c r="C1135" s="14" t="s">
        <v>13995</v>
      </c>
      <c r="D1135" s="14" t="s">
        <v>13997</v>
      </c>
      <c r="E1135" s="26" t="str">
        <f t="shared" si="26"/>
        <v>http://dx.doi.org/10.1109/INFVIS.2004.11</v>
      </c>
      <c r="F1135" s="14">
        <v>2.0</v>
      </c>
      <c r="G1135" s="14">
        <v>2.0</v>
      </c>
      <c r="H1135" s="14" t="s">
        <v>21</v>
      </c>
      <c r="I1135" s="19" t="s">
        <v>15406</v>
      </c>
      <c r="J1135" s="19" t="s">
        <v>14080</v>
      </c>
      <c r="K1135" s="19" t="s">
        <v>15407</v>
      </c>
      <c r="L1135" s="19" t="s">
        <v>15408</v>
      </c>
      <c r="M1135" s="20"/>
      <c r="N1135" s="27"/>
      <c r="O1135" s="22">
        <v>42.0</v>
      </c>
      <c r="P1135" s="28">
        <v>8.0</v>
      </c>
      <c r="Q1135" s="28">
        <v>4.0</v>
      </c>
      <c r="R1135" s="84"/>
      <c r="S1135" s="84"/>
      <c r="T1135" s="84"/>
      <c r="U1135" s="84"/>
      <c r="V1135" s="84"/>
      <c r="W1135" s="84"/>
      <c r="X1135" s="84"/>
      <c r="Y1135" s="84"/>
      <c r="Z1135" s="84"/>
      <c r="AA1135" s="84"/>
    </row>
    <row r="1136" ht="15.75" customHeight="1">
      <c r="A1136" s="14" t="s">
        <v>2137</v>
      </c>
      <c r="B1136" s="15" t="s">
        <v>15399</v>
      </c>
      <c r="C1136" s="14" t="s">
        <v>14082</v>
      </c>
      <c r="D1136" s="14" t="s">
        <v>14083</v>
      </c>
      <c r="E1136" s="26" t="str">
        <f t="shared" si="26"/>
        <v>http://dx.doi.org/10.1109/INFVIS.2004.12</v>
      </c>
      <c r="F1136" s="14">
        <v>159.0</v>
      </c>
      <c r="G1136" s="14">
        <v>166.0</v>
      </c>
      <c r="H1136" s="14" t="s">
        <v>28</v>
      </c>
      <c r="I1136" s="19" t="s">
        <v>15409</v>
      </c>
      <c r="J1136" s="19" t="s">
        <v>14085</v>
      </c>
      <c r="K1136" s="19" t="s">
        <v>15410</v>
      </c>
      <c r="L1136" s="19" t="s">
        <v>15411</v>
      </c>
      <c r="M1136" s="20" t="s">
        <v>14087</v>
      </c>
      <c r="N1136" s="44" t="s">
        <v>14088</v>
      </c>
      <c r="O1136" s="22">
        <v>248.0</v>
      </c>
      <c r="P1136" s="28">
        <v>80.0</v>
      </c>
      <c r="Q1136" s="28">
        <v>23.0</v>
      </c>
      <c r="R1136" s="84"/>
      <c r="S1136" s="84"/>
      <c r="T1136" s="84"/>
      <c r="U1136" s="84"/>
      <c r="V1136" s="84"/>
      <c r="W1136" s="84"/>
      <c r="X1136" s="84"/>
      <c r="Y1136" s="84"/>
      <c r="Z1136" s="84"/>
      <c r="AA1136" s="84"/>
    </row>
    <row r="1137" ht="15.75" customHeight="1">
      <c r="A1137" s="14" t="s">
        <v>2137</v>
      </c>
      <c r="B1137" s="15" t="s">
        <v>15399</v>
      </c>
      <c r="C1137" s="14" t="s">
        <v>14089</v>
      </c>
      <c r="D1137" s="14" t="s">
        <v>14090</v>
      </c>
      <c r="E1137" s="26" t="str">
        <f t="shared" si="26"/>
        <v>http://dx.doi.org/10.1109/INFVIS.2004.13</v>
      </c>
      <c r="F1137" s="14" t="s">
        <v>14092</v>
      </c>
      <c r="G1137" s="14" t="s">
        <v>14092</v>
      </c>
      <c r="H1137" s="14" t="s">
        <v>21</v>
      </c>
      <c r="I1137" s="18"/>
      <c r="J1137" s="19" t="s">
        <v>14093</v>
      </c>
      <c r="K1137" s="19" t="s">
        <v>15412</v>
      </c>
      <c r="L1137" s="19" t="s">
        <v>15413</v>
      </c>
      <c r="M1137" s="20"/>
      <c r="N1137" s="27"/>
      <c r="O1137" s="22">
        <v>50.0</v>
      </c>
      <c r="P1137" s="28">
        <v>2.0</v>
      </c>
      <c r="Q1137" s="28">
        <v>0.0</v>
      </c>
      <c r="R1137" s="84"/>
      <c r="S1137" s="84"/>
      <c r="T1137" s="84"/>
      <c r="U1137" s="84"/>
      <c r="V1137" s="84"/>
      <c r="W1137" s="84"/>
      <c r="X1137" s="84"/>
      <c r="Y1137" s="84"/>
      <c r="Z1137" s="84"/>
      <c r="AA1137" s="84"/>
    </row>
    <row r="1138" ht="15.75" customHeight="1">
      <c r="A1138" s="14" t="s">
        <v>2137</v>
      </c>
      <c r="B1138" s="15" t="s">
        <v>15399</v>
      </c>
      <c r="C1138" s="14" t="s">
        <v>14094</v>
      </c>
      <c r="D1138" s="14" t="s">
        <v>14095</v>
      </c>
      <c r="E1138" s="26" t="str">
        <f t="shared" si="26"/>
        <v>http://dx.doi.org/10.1109/INFVIS.2004.14</v>
      </c>
      <c r="F1138" s="14" t="s">
        <v>14097</v>
      </c>
      <c r="G1138" s="14" t="s">
        <v>14097</v>
      </c>
      <c r="H1138" s="14" t="s">
        <v>21</v>
      </c>
      <c r="I1138" s="19" t="s">
        <v>15414</v>
      </c>
      <c r="J1138" s="19" t="s">
        <v>13152</v>
      </c>
      <c r="K1138" s="19" t="s">
        <v>14646</v>
      </c>
      <c r="L1138" s="19" t="s">
        <v>15415</v>
      </c>
      <c r="M1138" s="20"/>
      <c r="N1138" s="27"/>
      <c r="O1138" s="109"/>
      <c r="P1138" s="28">
        <v>1.0</v>
      </c>
      <c r="Q1138" s="28">
        <v>3.0</v>
      </c>
      <c r="R1138" s="84"/>
      <c r="S1138" s="84"/>
      <c r="T1138" s="84"/>
      <c r="U1138" s="84"/>
      <c r="V1138" s="84"/>
      <c r="W1138" s="84"/>
      <c r="X1138" s="84"/>
      <c r="Y1138" s="84"/>
      <c r="Z1138" s="84"/>
      <c r="AA1138" s="84"/>
    </row>
    <row r="1139" ht="15.75" customHeight="1">
      <c r="A1139" s="14" t="s">
        <v>2137</v>
      </c>
      <c r="B1139" s="15" t="s">
        <v>15399</v>
      </c>
      <c r="C1139" s="14" t="s">
        <v>14099</v>
      </c>
      <c r="D1139" s="14" t="s">
        <v>14100</v>
      </c>
      <c r="E1139" s="26" t="str">
        <f t="shared" si="26"/>
        <v>http://dx.doi.org/10.1109/INFVIS.2004.15</v>
      </c>
      <c r="F1139" s="14">
        <v>89.0</v>
      </c>
      <c r="G1139" s="14">
        <v>96.0</v>
      </c>
      <c r="H1139" s="14" t="s">
        <v>28</v>
      </c>
      <c r="I1139" s="19" t="s">
        <v>15416</v>
      </c>
      <c r="J1139" s="19" t="s">
        <v>14102</v>
      </c>
      <c r="K1139" s="19" t="s">
        <v>15417</v>
      </c>
      <c r="L1139" s="19" t="s">
        <v>15418</v>
      </c>
      <c r="M1139" s="20" t="s">
        <v>14104</v>
      </c>
      <c r="N1139" s="44" t="s">
        <v>14105</v>
      </c>
      <c r="O1139" s="22">
        <v>299.0</v>
      </c>
      <c r="P1139" s="28">
        <v>76.0</v>
      </c>
      <c r="Q1139" s="28">
        <v>27.0</v>
      </c>
      <c r="R1139" s="84"/>
      <c r="S1139" s="84"/>
      <c r="T1139" s="84"/>
      <c r="U1139" s="84"/>
      <c r="V1139" s="84"/>
      <c r="W1139" s="84"/>
      <c r="X1139" s="84"/>
      <c r="Y1139" s="84"/>
      <c r="Z1139" s="84"/>
      <c r="AA1139" s="84"/>
    </row>
    <row r="1140" ht="15.75" customHeight="1">
      <c r="A1140" s="14" t="s">
        <v>2137</v>
      </c>
      <c r="B1140" s="15" t="s">
        <v>15399</v>
      </c>
      <c r="C1140" s="14" t="s">
        <v>14106</v>
      </c>
      <c r="D1140" s="14" t="s">
        <v>14107</v>
      </c>
      <c r="E1140" s="26" t="str">
        <f t="shared" si="26"/>
        <v>http://dx.doi.org/10.1109/INFVIS.2004.16</v>
      </c>
      <c r="F1140" s="14">
        <v>19.0</v>
      </c>
      <c r="G1140" s="14">
        <v>19.0</v>
      </c>
      <c r="H1140" s="14" t="s">
        <v>21</v>
      </c>
      <c r="I1140" s="19" t="s">
        <v>15419</v>
      </c>
      <c r="J1140" s="19" t="s">
        <v>14109</v>
      </c>
      <c r="K1140" s="19" t="s">
        <v>15420</v>
      </c>
      <c r="L1140" s="19" t="s">
        <v>13123</v>
      </c>
      <c r="M1140" s="20"/>
      <c r="N1140" s="27"/>
      <c r="O1140" s="22">
        <v>2.0</v>
      </c>
      <c r="P1140" s="28">
        <v>0.0</v>
      </c>
      <c r="Q1140" s="28">
        <v>2.0</v>
      </c>
      <c r="R1140" s="84"/>
      <c r="S1140" s="84"/>
      <c r="T1140" s="84"/>
      <c r="U1140" s="84"/>
      <c r="V1140" s="84"/>
      <c r="W1140" s="84"/>
      <c r="X1140" s="84"/>
      <c r="Y1140" s="84"/>
      <c r="Z1140" s="84"/>
      <c r="AA1140" s="84"/>
    </row>
    <row r="1141" ht="15.75" customHeight="1">
      <c r="A1141" s="14" t="s">
        <v>2137</v>
      </c>
      <c r="B1141" s="15" t="s">
        <v>15399</v>
      </c>
      <c r="C1141" s="14" t="s">
        <v>14111</v>
      </c>
      <c r="D1141" s="14" t="s">
        <v>14112</v>
      </c>
      <c r="E1141" s="26" t="str">
        <f t="shared" si="26"/>
        <v>http://dx.doi.org/10.1109/INFVIS.2004.17</v>
      </c>
      <c r="F1141" s="14">
        <v>21.0</v>
      </c>
      <c r="G1141" s="14">
        <v>21.0</v>
      </c>
      <c r="H1141" s="14" t="s">
        <v>21</v>
      </c>
      <c r="I1141" s="19" t="s">
        <v>15421</v>
      </c>
      <c r="J1141" s="19" t="s">
        <v>14114</v>
      </c>
      <c r="K1141" s="19" t="s">
        <v>15422</v>
      </c>
      <c r="L1141" s="19" t="s">
        <v>15423</v>
      </c>
      <c r="M1141" s="20"/>
      <c r="N1141" s="27"/>
      <c r="O1141" s="22">
        <v>0.0</v>
      </c>
      <c r="P1141" s="28">
        <v>0.0</v>
      </c>
      <c r="Q1141" s="28">
        <v>3.0</v>
      </c>
      <c r="R1141" s="84"/>
      <c r="S1141" s="84"/>
      <c r="T1141" s="84"/>
      <c r="U1141" s="84"/>
      <c r="V1141" s="84"/>
      <c r="W1141" s="84"/>
      <c r="X1141" s="84"/>
      <c r="Y1141" s="84"/>
      <c r="Z1141" s="84"/>
      <c r="AA1141" s="84"/>
    </row>
    <row r="1142" ht="15.75" customHeight="1">
      <c r="A1142" s="14" t="s">
        <v>2137</v>
      </c>
      <c r="B1142" s="15" t="s">
        <v>15399</v>
      </c>
      <c r="C1142" s="14" t="s">
        <v>14116</v>
      </c>
      <c r="D1142" s="14" t="s">
        <v>14117</v>
      </c>
      <c r="E1142" s="26" t="str">
        <f t="shared" si="26"/>
        <v>http://dx.doi.org/10.1109/INFVIS.2004.18</v>
      </c>
      <c r="F1142" s="14">
        <v>191.0</v>
      </c>
      <c r="G1142" s="14">
        <v>198.0</v>
      </c>
      <c r="H1142" s="14" t="s">
        <v>28</v>
      </c>
      <c r="I1142" s="19" t="s">
        <v>15424</v>
      </c>
      <c r="J1142" s="19" t="s">
        <v>14119</v>
      </c>
      <c r="K1142" s="19" t="s">
        <v>15425</v>
      </c>
      <c r="L1142" s="19" t="s">
        <v>15426</v>
      </c>
      <c r="M1142" s="20" t="s">
        <v>4821</v>
      </c>
      <c r="N1142" s="44" t="s">
        <v>14122</v>
      </c>
      <c r="O1142" s="22">
        <v>117.0</v>
      </c>
      <c r="P1142" s="28">
        <v>41.0</v>
      </c>
      <c r="Q1142" s="28">
        <v>32.0</v>
      </c>
      <c r="R1142" s="84"/>
      <c r="S1142" s="84"/>
      <c r="T1142" s="84"/>
      <c r="U1142" s="84"/>
      <c r="V1142" s="84"/>
      <c r="W1142" s="84"/>
      <c r="X1142" s="84"/>
      <c r="Y1142" s="84"/>
      <c r="Z1142" s="84"/>
      <c r="AA1142" s="84"/>
    </row>
    <row r="1143" ht="15.75" customHeight="1">
      <c r="A1143" s="14" t="s">
        <v>2137</v>
      </c>
      <c r="B1143" s="15" t="s">
        <v>15399</v>
      </c>
      <c r="C1143" s="14" t="s">
        <v>14125</v>
      </c>
      <c r="D1143" s="14" t="s">
        <v>14126</v>
      </c>
      <c r="E1143" s="26" t="str">
        <f t="shared" si="26"/>
        <v>http://dx.doi.org/10.1109/INFVIS.2004.19</v>
      </c>
      <c r="F1143" s="14">
        <v>127.0</v>
      </c>
      <c r="G1143" s="14">
        <v>134.0</v>
      </c>
      <c r="H1143" s="14" t="s">
        <v>28</v>
      </c>
      <c r="I1143" s="19" t="s">
        <v>15427</v>
      </c>
      <c r="J1143" s="19" t="s">
        <v>14131</v>
      </c>
      <c r="K1143" s="19" t="s">
        <v>15428</v>
      </c>
      <c r="L1143" s="19" t="s">
        <v>15429</v>
      </c>
      <c r="M1143" s="20" t="s">
        <v>14133</v>
      </c>
      <c r="N1143" s="44" t="s">
        <v>14134</v>
      </c>
      <c r="O1143" s="22">
        <v>64.0</v>
      </c>
      <c r="P1143" s="28">
        <v>18.0</v>
      </c>
      <c r="Q1143" s="28">
        <v>23.0</v>
      </c>
      <c r="R1143" s="84"/>
      <c r="S1143" s="84"/>
      <c r="T1143" s="84"/>
      <c r="U1143" s="84"/>
      <c r="V1143" s="84"/>
      <c r="W1143" s="84"/>
      <c r="X1143" s="84"/>
      <c r="Y1143" s="84"/>
      <c r="Z1143" s="84"/>
      <c r="AA1143" s="84"/>
    </row>
    <row r="1144" ht="15.75" customHeight="1">
      <c r="A1144" s="14" t="s">
        <v>2137</v>
      </c>
      <c r="B1144" s="15" t="s">
        <v>15399</v>
      </c>
      <c r="C1144" s="14" t="s">
        <v>14135</v>
      </c>
      <c r="D1144" s="14" t="s">
        <v>14136</v>
      </c>
      <c r="E1144" s="26" t="str">
        <f t="shared" si="26"/>
        <v>http://dx.doi.org/10.1109/INFVIS.2004.2</v>
      </c>
      <c r="F1144" s="14">
        <v>49.0</v>
      </c>
      <c r="G1144" s="14">
        <v>56.0</v>
      </c>
      <c r="H1144" s="14" t="s">
        <v>28</v>
      </c>
      <c r="I1144" s="19" t="s">
        <v>15430</v>
      </c>
      <c r="J1144" s="19" t="s">
        <v>14140</v>
      </c>
      <c r="K1144" s="19" t="s">
        <v>15431</v>
      </c>
      <c r="L1144" s="19" t="s">
        <v>15432</v>
      </c>
      <c r="M1144" s="20" t="s">
        <v>14142</v>
      </c>
      <c r="N1144" s="44" t="s">
        <v>14144</v>
      </c>
      <c r="O1144" s="22">
        <v>67.0</v>
      </c>
      <c r="P1144" s="28">
        <v>24.0</v>
      </c>
      <c r="Q1144" s="28">
        <v>19.0</v>
      </c>
      <c r="R1144" s="84"/>
      <c r="S1144" s="84"/>
      <c r="T1144" s="84"/>
      <c r="U1144" s="84"/>
      <c r="V1144" s="84"/>
      <c r="W1144" s="84"/>
      <c r="X1144" s="84"/>
      <c r="Y1144" s="84"/>
      <c r="Z1144" s="84"/>
      <c r="AA1144" s="84"/>
    </row>
    <row r="1145" ht="15.75" customHeight="1">
      <c r="A1145" s="14" t="s">
        <v>2137</v>
      </c>
      <c r="B1145" s="15" t="s">
        <v>15399</v>
      </c>
      <c r="C1145" s="14" t="s">
        <v>14147</v>
      </c>
      <c r="D1145" s="14" t="s">
        <v>14148</v>
      </c>
      <c r="E1145" s="26" t="str">
        <f t="shared" si="26"/>
        <v>http://dx.doi.org/10.1109/INFVIS.2004.20</v>
      </c>
      <c r="F1145" s="14">
        <v>16.0</v>
      </c>
      <c r="G1145" s="14">
        <v>16.0</v>
      </c>
      <c r="H1145" s="14" t="s">
        <v>21</v>
      </c>
      <c r="I1145" s="19" t="s">
        <v>15433</v>
      </c>
      <c r="J1145" s="19" t="s">
        <v>14153</v>
      </c>
      <c r="K1145" s="19" t="s">
        <v>15434</v>
      </c>
      <c r="L1145" s="19" t="s">
        <v>15435</v>
      </c>
      <c r="M1145" s="20"/>
      <c r="N1145" s="27"/>
      <c r="O1145" s="22">
        <v>2.0</v>
      </c>
      <c r="P1145" s="28">
        <v>0.0</v>
      </c>
      <c r="Q1145" s="28">
        <v>5.0</v>
      </c>
      <c r="R1145" s="84"/>
      <c r="S1145" s="84"/>
      <c r="T1145" s="84"/>
      <c r="U1145" s="84"/>
      <c r="V1145" s="84"/>
      <c r="W1145" s="84"/>
      <c r="X1145" s="84"/>
      <c r="Y1145" s="84"/>
      <c r="Z1145" s="84"/>
      <c r="AA1145" s="84"/>
    </row>
    <row r="1146" ht="15.75" customHeight="1">
      <c r="A1146" s="14" t="s">
        <v>2137</v>
      </c>
      <c r="B1146" s="15" t="s">
        <v>15399</v>
      </c>
      <c r="C1146" s="14" t="s">
        <v>14155</v>
      </c>
      <c r="D1146" s="14" t="s">
        <v>14156</v>
      </c>
      <c r="E1146" s="26" t="str">
        <f t="shared" si="26"/>
        <v>http://dx.doi.org/10.1109/INFVIS.2004.21</v>
      </c>
      <c r="F1146" s="14">
        <v>119.0</v>
      </c>
      <c r="G1146" s="14">
        <v>126.0</v>
      </c>
      <c r="H1146" s="14" t="s">
        <v>28</v>
      </c>
      <c r="I1146" s="19" t="s">
        <v>15436</v>
      </c>
      <c r="J1146" s="19" t="s">
        <v>14160</v>
      </c>
      <c r="K1146" s="19" t="s">
        <v>15437</v>
      </c>
      <c r="L1146" s="19" t="s">
        <v>15438</v>
      </c>
      <c r="M1146" s="20" t="s">
        <v>14162</v>
      </c>
      <c r="N1146" s="44" t="s">
        <v>14163</v>
      </c>
      <c r="O1146" s="22">
        <v>21.0</v>
      </c>
      <c r="P1146" s="28">
        <v>9.0</v>
      </c>
      <c r="Q1146" s="28">
        <v>16.0</v>
      </c>
      <c r="R1146" s="84"/>
      <c r="S1146" s="84"/>
      <c r="T1146" s="84"/>
      <c r="U1146" s="84"/>
      <c r="V1146" s="84"/>
      <c r="W1146" s="84"/>
      <c r="X1146" s="84"/>
      <c r="Y1146" s="84"/>
      <c r="Z1146" s="84"/>
      <c r="AA1146" s="84"/>
    </row>
    <row r="1147" ht="15.75" customHeight="1">
      <c r="A1147" s="14" t="s">
        <v>2137</v>
      </c>
      <c r="B1147" s="15" t="s">
        <v>15399</v>
      </c>
      <c r="C1147" s="14" t="s">
        <v>14164</v>
      </c>
      <c r="D1147" s="14" t="s">
        <v>14165</v>
      </c>
      <c r="E1147" s="26" t="str">
        <f t="shared" si="26"/>
        <v>http://dx.doi.org/10.1109/INFVIS.2004.22</v>
      </c>
      <c r="F1147" s="14" t="s">
        <v>14171</v>
      </c>
      <c r="G1147" s="14" t="s">
        <v>14171</v>
      </c>
      <c r="H1147" s="14" t="s">
        <v>21</v>
      </c>
      <c r="I1147" s="18"/>
      <c r="J1147" s="19" t="s">
        <v>15439</v>
      </c>
      <c r="K1147" s="19" t="s">
        <v>15440</v>
      </c>
      <c r="L1147" s="19" t="s">
        <v>15441</v>
      </c>
      <c r="M1147" s="20"/>
      <c r="N1147" s="27"/>
      <c r="O1147" s="22">
        <v>50.0</v>
      </c>
      <c r="P1147" s="28">
        <v>4.0</v>
      </c>
      <c r="Q1147" s="28">
        <v>2.0</v>
      </c>
      <c r="R1147" s="84"/>
      <c r="S1147" s="84"/>
      <c r="T1147" s="84"/>
      <c r="U1147" s="84"/>
      <c r="V1147" s="84"/>
      <c r="W1147" s="84"/>
      <c r="X1147" s="84"/>
      <c r="Y1147" s="84"/>
      <c r="Z1147" s="84"/>
      <c r="AA1147" s="84"/>
    </row>
    <row r="1148" ht="15.75" customHeight="1">
      <c r="A1148" s="14" t="s">
        <v>2137</v>
      </c>
      <c r="B1148" s="15" t="s">
        <v>15399</v>
      </c>
      <c r="C1148" s="14" t="s">
        <v>14175</v>
      </c>
      <c r="D1148" s="14" t="s">
        <v>14176</v>
      </c>
      <c r="E1148" s="26" t="str">
        <f t="shared" si="26"/>
        <v>http://dx.doi.org/10.1109/INFVIS.2004.23</v>
      </c>
      <c r="F1148" s="14" t="s">
        <v>14180</v>
      </c>
      <c r="G1148" s="14" t="s">
        <v>14180</v>
      </c>
      <c r="H1148" s="14" t="s">
        <v>21</v>
      </c>
      <c r="I1148" s="19" t="s">
        <v>15442</v>
      </c>
      <c r="J1148" s="19" t="s">
        <v>14181</v>
      </c>
      <c r="K1148" s="19" t="s">
        <v>15443</v>
      </c>
      <c r="L1148" s="19" t="s">
        <v>15444</v>
      </c>
      <c r="M1148" s="20"/>
      <c r="N1148" s="27"/>
      <c r="O1148" s="22">
        <v>15.0</v>
      </c>
      <c r="P1148" s="28">
        <v>4.0</v>
      </c>
      <c r="Q1148" s="28">
        <v>5.0</v>
      </c>
      <c r="R1148" s="84"/>
      <c r="S1148" s="84"/>
      <c r="T1148" s="84"/>
      <c r="U1148" s="84"/>
      <c r="V1148" s="84"/>
      <c r="W1148" s="84"/>
      <c r="X1148" s="84"/>
      <c r="Y1148" s="84"/>
      <c r="Z1148" s="84"/>
      <c r="AA1148" s="84"/>
    </row>
    <row r="1149" ht="15.75" customHeight="1">
      <c r="A1149" s="14" t="s">
        <v>2137</v>
      </c>
      <c r="B1149" s="15" t="s">
        <v>15399</v>
      </c>
      <c r="C1149" s="14" t="s">
        <v>14183</v>
      </c>
      <c r="D1149" s="14" t="s">
        <v>14184</v>
      </c>
      <c r="E1149" s="26" t="str">
        <f t="shared" si="26"/>
        <v>http://dx.doi.org/10.1109/INFVIS.2004.25</v>
      </c>
      <c r="F1149" s="14">
        <v>41.0</v>
      </c>
      <c r="G1149" s="14">
        <v>48.0</v>
      </c>
      <c r="H1149" s="14" t="s">
        <v>28</v>
      </c>
      <c r="I1149" s="19" t="s">
        <v>15445</v>
      </c>
      <c r="J1149" s="19" t="s">
        <v>14188</v>
      </c>
      <c r="K1149" s="19" t="s">
        <v>15446</v>
      </c>
      <c r="L1149" s="19" t="s">
        <v>15415</v>
      </c>
      <c r="M1149" s="20" t="s">
        <v>14190</v>
      </c>
      <c r="N1149" s="44" t="s">
        <v>14191</v>
      </c>
      <c r="O1149" s="22">
        <v>10.0</v>
      </c>
      <c r="P1149" s="28">
        <v>3.0</v>
      </c>
      <c r="Q1149" s="28">
        <v>11.0</v>
      </c>
      <c r="R1149" s="84"/>
      <c r="S1149" s="84"/>
      <c r="T1149" s="84"/>
      <c r="U1149" s="84"/>
      <c r="V1149" s="84"/>
      <c r="W1149" s="84"/>
      <c r="X1149" s="84"/>
      <c r="Y1149" s="84"/>
      <c r="Z1149" s="84"/>
      <c r="AA1149" s="84"/>
    </row>
    <row r="1150" ht="15.75" customHeight="1">
      <c r="A1150" s="14" t="s">
        <v>2137</v>
      </c>
      <c r="B1150" s="15" t="s">
        <v>15399</v>
      </c>
      <c r="C1150" s="14" t="s">
        <v>14192</v>
      </c>
      <c r="D1150" s="14" t="s">
        <v>14193</v>
      </c>
      <c r="E1150" s="26" t="str">
        <f t="shared" si="26"/>
        <v>http://dx.doi.org/10.1109/INFVIS.2004.26</v>
      </c>
      <c r="F1150" s="14">
        <v>14.0</v>
      </c>
      <c r="G1150" s="14">
        <v>14.0</v>
      </c>
      <c r="H1150" s="14" t="s">
        <v>21</v>
      </c>
      <c r="I1150" s="19" t="s">
        <v>15447</v>
      </c>
      <c r="J1150" s="19" t="s">
        <v>14198</v>
      </c>
      <c r="K1150" s="19" t="s">
        <v>15448</v>
      </c>
      <c r="L1150" s="19" t="s">
        <v>15449</v>
      </c>
      <c r="M1150" s="20"/>
      <c r="N1150" s="27"/>
      <c r="O1150" s="109"/>
      <c r="P1150" s="28">
        <v>4.0</v>
      </c>
      <c r="Q1150" s="28">
        <v>12.0</v>
      </c>
      <c r="R1150" s="84"/>
      <c r="S1150" s="84"/>
      <c r="T1150" s="84"/>
      <c r="U1150" s="84"/>
      <c r="V1150" s="84"/>
      <c r="W1150" s="84"/>
      <c r="X1150" s="84"/>
      <c r="Y1150" s="84"/>
      <c r="Z1150" s="84"/>
      <c r="AA1150" s="84"/>
    </row>
    <row r="1151" ht="15.75" customHeight="1">
      <c r="A1151" s="14" t="s">
        <v>2137</v>
      </c>
      <c r="B1151" s="15" t="s">
        <v>15399</v>
      </c>
      <c r="C1151" s="14" t="s">
        <v>14200</v>
      </c>
      <c r="D1151" s="14" t="s">
        <v>14202</v>
      </c>
      <c r="E1151" s="26" t="str">
        <f t="shared" si="26"/>
        <v>http://dx.doi.org/10.1109/INFVIS.2004.27</v>
      </c>
      <c r="F1151" s="14">
        <v>25.0</v>
      </c>
      <c r="G1151" s="14">
        <v>32.0</v>
      </c>
      <c r="H1151" s="14" t="s">
        <v>28</v>
      </c>
      <c r="I1151" s="19" t="s">
        <v>15450</v>
      </c>
      <c r="J1151" s="19" t="s">
        <v>14209</v>
      </c>
      <c r="K1151" s="19" t="s">
        <v>15451</v>
      </c>
      <c r="L1151" s="19" t="s">
        <v>15452</v>
      </c>
      <c r="M1151" s="20" t="s">
        <v>12884</v>
      </c>
      <c r="N1151" s="44" t="s">
        <v>14210</v>
      </c>
      <c r="O1151" s="31"/>
      <c r="P1151" s="28">
        <v>60.0</v>
      </c>
      <c r="Q1151" s="28">
        <v>22.0</v>
      </c>
      <c r="R1151" s="84"/>
      <c r="S1151" s="84"/>
      <c r="T1151" s="84"/>
      <c r="U1151" s="84"/>
      <c r="V1151" s="84"/>
      <c r="W1151" s="84"/>
      <c r="X1151" s="84"/>
      <c r="Y1151" s="84"/>
      <c r="Z1151" s="84"/>
      <c r="AA1151" s="84"/>
    </row>
    <row r="1152" ht="15.75" customHeight="1">
      <c r="A1152" s="14" t="s">
        <v>2137</v>
      </c>
      <c r="B1152" s="15" t="s">
        <v>15399</v>
      </c>
      <c r="C1152" s="14" t="s">
        <v>14211</v>
      </c>
      <c r="D1152" s="14" t="s">
        <v>14212</v>
      </c>
      <c r="E1152" s="26" t="str">
        <f t="shared" si="26"/>
        <v>http://dx.doi.org/10.1109/INFVIS.2004.28</v>
      </c>
      <c r="F1152" s="14">
        <v>17.0</v>
      </c>
      <c r="G1152" s="14">
        <v>17.0</v>
      </c>
      <c r="H1152" s="14" t="s">
        <v>21</v>
      </c>
      <c r="I1152" s="19" t="s">
        <v>15453</v>
      </c>
      <c r="J1152" s="19" t="s">
        <v>14217</v>
      </c>
      <c r="K1152" s="19" t="s">
        <v>15454</v>
      </c>
      <c r="L1152" s="19" t="s">
        <v>15455</v>
      </c>
      <c r="M1152" s="20"/>
      <c r="N1152" s="27"/>
      <c r="O1152" s="22">
        <v>2.0</v>
      </c>
      <c r="P1152" s="28">
        <v>0.0</v>
      </c>
      <c r="Q1152" s="28">
        <v>5.0</v>
      </c>
      <c r="R1152" s="84"/>
      <c r="S1152" s="84"/>
      <c r="T1152" s="84"/>
      <c r="U1152" s="84"/>
      <c r="V1152" s="84"/>
      <c r="W1152" s="84"/>
      <c r="X1152" s="84"/>
      <c r="Y1152" s="84"/>
      <c r="Z1152" s="84"/>
      <c r="AA1152" s="84"/>
    </row>
    <row r="1153" ht="15.75" customHeight="1">
      <c r="A1153" s="14" t="s">
        <v>2137</v>
      </c>
      <c r="B1153" s="15" t="s">
        <v>15399</v>
      </c>
      <c r="C1153" s="14" t="s">
        <v>14220</v>
      </c>
      <c r="D1153" s="14" t="s">
        <v>14222</v>
      </c>
      <c r="E1153" s="26" t="str">
        <f t="shared" si="26"/>
        <v>http://dx.doi.org/10.1109/INFVIS.2004.29</v>
      </c>
      <c r="F1153" s="14">
        <v>4.0</v>
      </c>
      <c r="G1153" s="14">
        <v>4.0</v>
      </c>
      <c r="H1153" s="14" t="s">
        <v>21</v>
      </c>
      <c r="I1153" s="19" t="s">
        <v>15456</v>
      </c>
      <c r="J1153" s="19" t="s">
        <v>14140</v>
      </c>
      <c r="K1153" s="19" t="s">
        <v>15457</v>
      </c>
      <c r="L1153" s="19" t="s">
        <v>15458</v>
      </c>
      <c r="M1153" s="20"/>
      <c r="N1153" s="27"/>
      <c r="O1153" s="22">
        <v>50.0</v>
      </c>
      <c r="P1153" s="28">
        <v>1.0</v>
      </c>
      <c r="Q1153" s="28">
        <v>4.0</v>
      </c>
      <c r="R1153" s="84"/>
      <c r="S1153" s="84"/>
      <c r="T1153" s="84"/>
      <c r="U1153" s="84"/>
      <c r="V1153" s="84"/>
      <c r="W1153" s="84"/>
      <c r="X1153" s="84"/>
      <c r="Y1153" s="84"/>
      <c r="Z1153" s="84"/>
      <c r="AA1153" s="84"/>
    </row>
    <row r="1154" ht="15.75" customHeight="1">
      <c r="A1154" s="14" t="s">
        <v>2137</v>
      </c>
      <c r="B1154" s="15" t="s">
        <v>15399</v>
      </c>
      <c r="C1154" s="14" t="s">
        <v>14229</v>
      </c>
      <c r="D1154" s="14" t="s">
        <v>14230</v>
      </c>
      <c r="E1154" s="26" t="str">
        <f t="shared" si="26"/>
        <v>http://dx.doi.org/10.1109/INFVIS.2004.3</v>
      </c>
      <c r="F1154" s="14">
        <v>65.0</v>
      </c>
      <c r="G1154" s="14">
        <v>72.0</v>
      </c>
      <c r="H1154" s="14" t="s">
        <v>28</v>
      </c>
      <c r="I1154" s="19" t="s">
        <v>15459</v>
      </c>
      <c r="J1154" s="19" t="s">
        <v>6845</v>
      </c>
      <c r="K1154" s="19" t="s">
        <v>15460</v>
      </c>
      <c r="L1154" s="19" t="s">
        <v>15461</v>
      </c>
      <c r="M1154" s="20" t="s">
        <v>14238</v>
      </c>
      <c r="N1154" s="44" t="s">
        <v>14239</v>
      </c>
      <c r="O1154" s="22">
        <v>136.0</v>
      </c>
      <c r="P1154" s="28">
        <v>24.0</v>
      </c>
      <c r="Q1154" s="28">
        <v>17.0</v>
      </c>
      <c r="R1154" s="84"/>
      <c r="S1154" s="84"/>
      <c r="T1154" s="84"/>
      <c r="U1154" s="84"/>
      <c r="V1154" s="84"/>
      <c r="W1154" s="84"/>
      <c r="X1154" s="84"/>
      <c r="Y1154" s="84"/>
      <c r="Z1154" s="84"/>
      <c r="AA1154" s="84"/>
    </row>
    <row r="1155" ht="15.75" customHeight="1">
      <c r="A1155" s="14" t="s">
        <v>2137</v>
      </c>
      <c r="B1155" s="15" t="s">
        <v>15399</v>
      </c>
      <c r="C1155" s="14" t="s">
        <v>14242</v>
      </c>
      <c r="D1155" s="14" t="s">
        <v>14243</v>
      </c>
      <c r="E1155" s="26" t="str">
        <f t="shared" si="26"/>
        <v>http://dx.doi.org/10.1109/INFVIS.2004.37</v>
      </c>
      <c r="F1155" s="14" t="s">
        <v>14248</v>
      </c>
      <c r="G1155" s="14" t="s">
        <v>14248</v>
      </c>
      <c r="H1155" s="14" t="s">
        <v>21</v>
      </c>
      <c r="I1155" s="19" t="s">
        <v>15462</v>
      </c>
      <c r="J1155" s="19" t="s">
        <v>14249</v>
      </c>
      <c r="K1155" s="19" t="s">
        <v>15463</v>
      </c>
      <c r="L1155" s="19" t="s">
        <v>13120</v>
      </c>
      <c r="M1155" s="20"/>
      <c r="N1155" s="27"/>
      <c r="O1155" s="22">
        <v>53.0</v>
      </c>
      <c r="P1155" s="28">
        <v>14.0</v>
      </c>
      <c r="Q1155" s="28">
        <v>5.0</v>
      </c>
      <c r="R1155" s="84"/>
      <c r="S1155" s="84"/>
      <c r="T1155" s="84"/>
      <c r="U1155" s="84"/>
      <c r="V1155" s="84"/>
      <c r="W1155" s="84"/>
      <c r="X1155" s="84"/>
      <c r="Y1155" s="84"/>
      <c r="Z1155" s="84"/>
      <c r="AA1155" s="84"/>
    </row>
    <row r="1156" ht="15.75" customHeight="1">
      <c r="A1156" s="14" t="s">
        <v>2137</v>
      </c>
      <c r="B1156" s="15" t="s">
        <v>15399</v>
      </c>
      <c r="C1156" s="14" t="s">
        <v>14251</v>
      </c>
      <c r="D1156" s="14" t="s">
        <v>14252</v>
      </c>
      <c r="E1156" s="26" t="str">
        <f t="shared" si="26"/>
        <v>http://dx.doi.org/10.1109/INFVIS.2004.38</v>
      </c>
      <c r="F1156" s="14" t="s">
        <v>14259</v>
      </c>
      <c r="G1156" s="14" t="s">
        <v>14259</v>
      </c>
      <c r="H1156" s="14" t="s">
        <v>21</v>
      </c>
      <c r="I1156" s="19" t="s">
        <v>15464</v>
      </c>
      <c r="J1156" s="19" t="s">
        <v>6845</v>
      </c>
      <c r="K1156" s="19" t="s">
        <v>6845</v>
      </c>
      <c r="L1156" s="19" t="s">
        <v>15465</v>
      </c>
      <c r="M1156" s="20"/>
      <c r="N1156" s="27"/>
      <c r="O1156" s="22">
        <v>6.0</v>
      </c>
      <c r="P1156" s="28">
        <v>0.0</v>
      </c>
      <c r="Q1156" s="28">
        <v>4.0</v>
      </c>
      <c r="R1156" s="84"/>
      <c r="S1156" s="84"/>
      <c r="T1156" s="84"/>
      <c r="U1156" s="84"/>
      <c r="V1156" s="84"/>
      <c r="W1156" s="84"/>
      <c r="X1156" s="84"/>
      <c r="Y1156" s="84"/>
      <c r="Z1156" s="84"/>
      <c r="AA1156" s="84"/>
    </row>
    <row r="1157" ht="15.75" customHeight="1">
      <c r="A1157" s="14" t="s">
        <v>2137</v>
      </c>
      <c r="B1157" s="15" t="s">
        <v>15399</v>
      </c>
      <c r="C1157" s="14" t="s">
        <v>14262</v>
      </c>
      <c r="D1157" s="14" t="s">
        <v>14263</v>
      </c>
      <c r="E1157" s="26" t="str">
        <f t="shared" si="26"/>
        <v>http://dx.doi.org/10.1109/INFVIS.2004.39</v>
      </c>
      <c r="F1157" s="14" t="s">
        <v>14267</v>
      </c>
      <c r="G1157" s="14" t="s">
        <v>14267</v>
      </c>
      <c r="H1157" s="14" t="s">
        <v>21</v>
      </c>
      <c r="I1157" s="19" t="s">
        <v>15466</v>
      </c>
      <c r="J1157" s="19" t="s">
        <v>14268</v>
      </c>
      <c r="K1157" s="19" t="s">
        <v>15467</v>
      </c>
      <c r="L1157" s="19" t="s">
        <v>15405</v>
      </c>
      <c r="M1157" s="20"/>
      <c r="N1157" s="27"/>
      <c r="O1157" s="109"/>
      <c r="P1157" s="28">
        <v>2.0</v>
      </c>
      <c r="Q1157" s="28">
        <v>3.0</v>
      </c>
      <c r="R1157" s="84"/>
      <c r="S1157" s="84"/>
      <c r="T1157" s="84"/>
      <c r="U1157" s="84"/>
      <c r="V1157" s="84"/>
      <c r="W1157" s="84"/>
      <c r="X1157" s="84"/>
      <c r="Y1157" s="84"/>
      <c r="Z1157" s="84"/>
      <c r="AA1157" s="84"/>
    </row>
    <row r="1158" ht="15.75" customHeight="1">
      <c r="A1158" s="14" t="s">
        <v>2137</v>
      </c>
      <c r="B1158" s="15" t="s">
        <v>15399</v>
      </c>
      <c r="C1158" s="14" t="s">
        <v>14270</v>
      </c>
      <c r="D1158" s="14" t="s">
        <v>14271</v>
      </c>
      <c r="E1158" s="26" t="str">
        <f t="shared" si="26"/>
        <v>http://dx.doi.org/10.1109/INFVIS.2004.4</v>
      </c>
      <c r="F1158" s="14" t="s">
        <v>14278</v>
      </c>
      <c r="G1158" s="14" t="s">
        <v>14278</v>
      </c>
      <c r="H1158" s="14" t="s">
        <v>21</v>
      </c>
      <c r="I1158" s="18"/>
      <c r="J1158" s="19" t="s">
        <v>14279</v>
      </c>
      <c r="K1158" s="19" t="s">
        <v>15468</v>
      </c>
      <c r="L1158" s="19" t="s">
        <v>15465</v>
      </c>
      <c r="M1158" s="20"/>
      <c r="N1158" s="27"/>
      <c r="O1158" s="22">
        <v>50.0</v>
      </c>
      <c r="P1158" s="28">
        <v>1.0</v>
      </c>
      <c r="Q1158" s="28">
        <v>4.0</v>
      </c>
      <c r="R1158" s="84"/>
      <c r="S1158" s="84"/>
      <c r="T1158" s="84"/>
      <c r="U1158" s="84"/>
      <c r="V1158" s="84"/>
      <c r="W1158" s="84"/>
      <c r="X1158" s="84"/>
      <c r="Y1158" s="84"/>
      <c r="Z1158" s="84"/>
      <c r="AA1158" s="84"/>
    </row>
    <row r="1159" ht="15.75" customHeight="1">
      <c r="A1159" s="14" t="s">
        <v>2137</v>
      </c>
      <c r="B1159" s="15" t="s">
        <v>15399</v>
      </c>
      <c r="C1159" s="14" t="s">
        <v>14281</v>
      </c>
      <c r="D1159" s="14" t="s">
        <v>14282</v>
      </c>
      <c r="E1159" s="26" t="str">
        <f t="shared" si="26"/>
        <v>http://dx.doi.org/10.1109/INFVIS.2004.40</v>
      </c>
      <c r="F1159" s="14">
        <v>7.0</v>
      </c>
      <c r="G1159" s="14">
        <v>7.0</v>
      </c>
      <c r="H1159" s="14" t="s">
        <v>21</v>
      </c>
      <c r="I1159" s="19" t="s">
        <v>15469</v>
      </c>
      <c r="J1159" s="19" t="s">
        <v>14285</v>
      </c>
      <c r="K1159" s="19" t="s">
        <v>15470</v>
      </c>
      <c r="L1159" s="19" t="s">
        <v>15471</v>
      </c>
      <c r="M1159" s="20"/>
      <c r="N1159" s="27"/>
      <c r="O1159" s="22">
        <v>2.0</v>
      </c>
      <c r="P1159" s="28">
        <v>0.0</v>
      </c>
      <c r="Q1159" s="28">
        <v>6.0</v>
      </c>
      <c r="R1159" s="84"/>
      <c r="S1159" s="84"/>
      <c r="T1159" s="84"/>
      <c r="U1159" s="84"/>
      <c r="V1159" s="84"/>
      <c r="W1159" s="84"/>
      <c r="X1159" s="84"/>
      <c r="Y1159" s="84"/>
      <c r="Z1159" s="84"/>
      <c r="AA1159" s="84"/>
    </row>
    <row r="1160" ht="15.75" customHeight="1">
      <c r="A1160" s="14" t="s">
        <v>2137</v>
      </c>
      <c r="B1160" s="15" t="s">
        <v>15399</v>
      </c>
      <c r="C1160" s="14" t="s">
        <v>14287</v>
      </c>
      <c r="D1160" s="14" t="s">
        <v>14288</v>
      </c>
      <c r="E1160" s="26" t="str">
        <f t="shared" si="26"/>
        <v>http://dx.doi.org/10.1109/INFVIS.2004.41</v>
      </c>
      <c r="F1160" s="14">
        <v>10.0</v>
      </c>
      <c r="G1160" s="14">
        <v>10.0</v>
      </c>
      <c r="H1160" s="14" t="s">
        <v>21</v>
      </c>
      <c r="I1160" s="18"/>
      <c r="J1160" s="19" t="s">
        <v>15472</v>
      </c>
      <c r="K1160" s="19" t="s">
        <v>15473</v>
      </c>
      <c r="L1160" s="19" t="s">
        <v>13176</v>
      </c>
      <c r="M1160" s="20"/>
      <c r="N1160" s="27"/>
      <c r="O1160" s="22">
        <v>0.0</v>
      </c>
      <c r="P1160" s="28">
        <v>0.0</v>
      </c>
      <c r="Q1160" s="28">
        <v>1.0</v>
      </c>
      <c r="R1160" s="84"/>
      <c r="S1160" s="84"/>
      <c r="T1160" s="84"/>
      <c r="U1160" s="84"/>
      <c r="V1160" s="84"/>
      <c r="W1160" s="84"/>
      <c r="X1160" s="84"/>
      <c r="Y1160" s="84"/>
      <c r="Z1160" s="84"/>
      <c r="AA1160" s="84"/>
    </row>
    <row r="1161" ht="15.75" customHeight="1">
      <c r="A1161" s="14" t="s">
        <v>2137</v>
      </c>
      <c r="B1161" s="15" t="s">
        <v>15399</v>
      </c>
      <c r="C1161" s="14" t="s">
        <v>14295</v>
      </c>
      <c r="D1161" s="14" t="s">
        <v>14296</v>
      </c>
      <c r="E1161" s="26" t="str">
        <f t="shared" si="26"/>
        <v>http://dx.doi.org/10.1109/INFVIS.2004.42</v>
      </c>
      <c r="F1161" s="14">
        <v>11.0</v>
      </c>
      <c r="G1161" s="14">
        <v>11.0</v>
      </c>
      <c r="H1161" s="14" t="s">
        <v>21</v>
      </c>
      <c r="I1161" s="19" t="s">
        <v>15474</v>
      </c>
      <c r="J1161" s="19" t="s">
        <v>14301</v>
      </c>
      <c r="K1161" s="19" t="s">
        <v>15475</v>
      </c>
      <c r="L1161" s="19" t="s">
        <v>15476</v>
      </c>
      <c r="M1161" s="20"/>
      <c r="N1161" s="27"/>
      <c r="O1161" s="22">
        <v>0.0</v>
      </c>
      <c r="P1161" s="28">
        <v>0.0</v>
      </c>
      <c r="Q1161" s="28">
        <v>6.0</v>
      </c>
      <c r="R1161" s="84"/>
      <c r="S1161" s="84"/>
      <c r="T1161" s="84"/>
      <c r="U1161" s="84"/>
      <c r="V1161" s="84"/>
      <c r="W1161" s="84"/>
      <c r="X1161" s="84"/>
      <c r="Y1161" s="84"/>
      <c r="Z1161" s="84"/>
      <c r="AA1161" s="84"/>
    </row>
    <row r="1162" ht="15.75" customHeight="1">
      <c r="A1162" s="14" t="s">
        <v>2137</v>
      </c>
      <c r="B1162" s="15" t="s">
        <v>15399</v>
      </c>
      <c r="C1162" s="14" t="s">
        <v>14305</v>
      </c>
      <c r="D1162" s="14" t="s">
        <v>14306</v>
      </c>
      <c r="E1162" s="26" t="str">
        <f t="shared" si="26"/>
        <v>http://dx.doi.org/10.1109/INFVIS.2004.43</v>
      </c>
      <c r="F1162" s="14">
        <v>199.0</v>
      </c>
      <c r="G1162" s="14">
        <v>206.0</v>
      </c>
      <c r="H1162" s="14" t="s">
        <v>28</v>
      </c>
      <c r="I1162" s="19" t="s">
        <v>15477</v>
      </c>
      <c r="J1162" s="19" t="s">
        <v>11885</v>
      </c>
      <c r="K1162" s="19" t="s">
        <v>13941</v>
      </c>
      <c r="L1162" s="19" t="s">
        <v>15415</v>
      </c>
      <c r="M1162" s="20" t="s">
        <v>14312</v>
      </c>
      <c r="N1162" s="44" t="s">
        <v>14313</v>
      </c>
      <c r="O1162" s="109"/>
      <c r="P1162" s="28">
        <v>57.0</v>
      </c>
      <c r="Q1162" s="28">
        <v>36.0</v>
      </c>
      <c r="R1162" s="84"/>
      <c r="S1162" s="84"/>
      <c r="T1162" s="84"/>
      <c r="U1162" s="84"/>
      <c r="V1162" s="84"/>
      <c r="W1162" s="84"/>
      <c r="X1162" s="84"/>
      <c r="Y1162" s="84"/>
      <c r="Z1162" s="84"/>
      <c r="AA1162" s="84"/>
    </row>
    <row r="1163" ht="15.75" customHeight="1">
      <c r="A1163" s="14" t="s">
        <v>2137</v>
      </c>
      <c r="B1163" s="15" t="s">
        <v>15399</v>
      </c>
      <c r="C1163" s="14" t="s">
        <v>14314</v>
      </c>
      <c r="D1163" s="14" t="s">
        <v>14315</v>
      </c>
      <c r="E1163" s="26" t="str">
        <f t="shared" si="26"/>
        <v>http://dx.doi.org/10.1109/INFVIS.2004.44</v>
      </c>
      <c r="F1163" s="14" t="s">
        <v>14321</v>
      </c>
      <c r="G1163" s="14" t="s">
        <v>14321</v>
      </c>
      <c r="H1163" s="14" t="s">
        <v>21</v>
      </c>
      <c r="I1163" s="19" t="s">
        <v>15478</v>
      </c>
      <c r="J1163" s="19" t="s">
        <v>14323</v>
      </c>
      <c r="K1163" s="19" t="s">
        <v>15479</v>
      </c>
      <c r="L1163" s="19" t="s">
        <v>15480</v>
      </c>
      <c r="M1163" s="20"/>
      <c r="N1163" s="27"/>
      <c r="O1163" s="22">
        <v>50.0</v>
      </c>
      <c r="P1163" s="28">
        <v>0.0</v>
      </c>
      <c r="Q1163" s="28">
        <v>0.0</v>
      </c>
      <c r="R1163" s="84"/>
      <c r="S1163" s="84"/>
      <c r="T1163" s="84"/>
      <c r="U1163" s="84"/>
      <c r="V1163" s="84"/>
      <c r="W1163" s="84"/>
      <c r="X1163" s="84"/>
      <c r="Y1163" s="84"/>
      <c r="Z1163" s="84"/>
      <c r="AA1163" s="84"/>
    </row>
    <row r="1164" ht="15.75" customHeight="1">
      <c r="A1164" s="14" t="s">
        <v>2137</v>
      </c>
      <c r="B1164" s="15" t="s">
        <v>15399</v>
      </c>
      <c r="C1164" s="14" t="s">
        <v>14325</v>
      </c>
      <c r="D1164" s="14" t="s">
        <v>14326</v>
      </c>
      <c r="E1164" s="26" t="str">
        <f t="shared" si="26"/>
        <v>http://dx.doi.org/10.1109/INFVIS.2004.45</v>
      </c>
      <c r="F1164" s="14" t="s">
        <v>14331</v>
      </c>
      <c r="G1164" s="14" t="s">
        <v>14331</v>
      </c>
      <c r="H1164" s="14" t="s">
        <v>21</v>
      </c>
      <c r="I1164" s="19" t="s">
        <v>15481</v>
      </c>
      <c r="J1164" s="19" t="s">
        <v>15482</v>
      </c>
      <c r="K1164" s="19" t="s">
        <v>15483</v>
      </c>
      <c r="L1164" s="19" t="s">
        <v>15484</v>
      </c>
      <c r="M1164" s="20"/>
      <c r="N1164" s="27"/>
      <c r="O1164" s="22">
        <v>79.0</v>
      </c>
      <c r="P1164" s="28">
        <v>5.0</v>
      </c>
      <c r="Q1164" s="28">
        <v>3.0</v>
      </c>
      <c r="R1164" s="84"/>
      <c r="S1164" s="84"/>
      <c r="T1164" s="84"/>
      <c r="U1164" s="84"/>
      <c r="V1164" s="84"/>
      <c r="W1164" s="84"/>
      <c r="X1164" s="84"/>
      <c r="Y1164" s="84"/>
      <c r="Z1164" s="84"/>
      <c r="AA1164" s="84"/>
    </row>
    <row r="1165" ht="15.75" customHeight="1">
      <c r="A1165" s="14" t="s">
        <v>2137</v>
      </c>
      <c r="B1165" s="15" t="s">
        <v>15399</v>
      </c>
      <c r="C1165" s="14" t="s">
        <v>14334</v>
      </c>
      <c r="D1165" s="14" t="s">
        <v>14335</v>
      </c>
      <c r="E1165" s="26" t="str">
        <f t="shared" si="26"/>
        <v>http://dx.doi.org/10.1109/INFVIS.2004.46</v>
      </c>
      <c r="F1165" s="14">
        <v>183.0</v>
      </c>
      <c r="G1165" s="14">
        <v>190.0</v>
      </c>
      <c r="H1165" s="14" t="s">
        <v>28</v>
      </c>
      <c r="I1165" s="19" t="s">
        <v>15485</v>
      </c>
      <c r="J1165" s="19" t="s">
        <v>14279</v>
      </c>
      <c r="K1165" s="19" t="s">
        <v>15486</v>
      </c>
      <c r="L1165" s="19" t="s">
        <v>15487</v>
      </c>
      <c r="M1165" s="20" t="s">
        <v>12870</v>
      </c>
      <c r="N1165" s="44" t="s">
        <v>14342</v>
      </c>
      <c r="O1165" s="22">
        <v>124.0</v>
      </c>
      <c r="P1165" s="28">
        <v>32.0</v>
      </c>
      <c r="Q1165" s="28">
        <v>14.0</v>
      </c>
      <c r="R1165" s="84"/>
      <c r="S1165" s="84"/>
      <c r="T1165" s="84"/>
      <c r="U1165" s="84"/>
      <c r="V1165" s="84"/>
      <c r="W1165" s="84"/>
      <c r="X1165" s="84"/>
      <c r="Y1165" s="84"/>
      <c r="Z1165" s="84"/>
      <c r="AA1165" s="84"/>
    </row>
    <row r="1166" ht="15.75" customHeight="1">
      <c r="A1166" s="14" t="s">
        <v>2137</v>
      </c>
      <c r="B1166" s="15" t="s">
        <v>15399</v>
      </c>
      <c r="C1166" s="14" t="s">
        <v>14343</v>
      </c>
      <c r="D1166" s="14" t="s">
        <v>14344</v>
      </c>
      <c r="E1166" s="26" t="str">
        <f t="shared" si="26"/>
        <v>http://dx.doi.org/10.1109/INFVIS.2004.47</v>
      </c>
      <c r="F1166" s="14">
        <v>135.0</v>
      </c>
      <c r="G1166" s="14">
        <v>142.0</v>
      </c>
      <c r="H1166" s="14" t="s">
        <v>28</v>
      </c>
      <c r="I1166" s="19" t="s">
        <v>15488</v>
      </c>
      <c r="J1166" s="19" t="s">
        <v>15489</v>
      </c>
      <c r="K1166" s="19" t="s">
        <v>15490</v>
      </c>
      <c r="L1166" s="19" t="s">
        <v>15491</v>
      </c>
      <c r="M1166" s="20" t="s">
        <v>14353</v>
      </c>
      <c r="N1166" s="44" t="s">
        <v>14354</v>
      </c>
      <c r="O1166" s="22">
        <v>50.0</v>
      </c>
      <c r="P1166" s="28">
        <v>5.0</v>
      </c>
      <c r="Q1166" s="28">
        <v>24.0</v>
      </c>
      <c r="R1166" s="84"/>
      <c r="S1166" s="84"/>
      <c r="T1166" s="84"/>
      <c r="U1166" s="84"/>
      <c r="V1166" s="84"/>
      <c r="W1166" s="84"/>
      <c r="X1166" s="84"/>
      <c r="Y1166" s="84"/>
      <c r="Z1166" s="84"/>
      <c r="AA1166" s="84"/>
    </row>
    <row r="1167" ht="15.75" customHeight="1">
      <c r="A1167" s="14" t="s">
        <v>2137</v>
      </c>
      <c r="B1167" s="15" t="s">
        <v>15399</v>
      </c>
      <c r="C1167" s="14" t="s">
        <v>14355</v>
      </c>
      <c r="D1167" s="14" t="s">
        <v>14356</v>
      </c>
      <c r="E1167" s="26" t="str">
        <f t="shared" si="26"/>
        <v>http://dx.doi.org/10.1109/INFVIS.2004.48</v>
      </c>
      <c r="F1167" s="14" t="s">
        <v>14360</v>
      </c>
      <c r="G1167" s="14" t="s">
        <v>14360</v>
      </c>
      <c r="H1167" s="14" t="s">
        <v>21</v>
      </c>
      <c r="I1167" s="19" t="s">
        <v>15492</v>
      </c>
      <c r="J1167" s="19" t="s">
        <v>14362</v>
      </c>
      <c r="K1167" s="19" t="s">
        <v>15493</v>
      </c>
      <c r="L1167" s="19" t="s">
        <v>15405</v>
      </c>
      <c r="M1167" s="20"/>
      <c r="N1167" s="27"/>
      <c r="O1167" s="22">
        <v>50.0</v>
      </c>
      <c r="P1167" s="28">
        <v>2.0</v>
      </c>
      <c r="Q1167" s="28">
        <v>4.0</v>
      </c>
      <c r="R1167" s="84"/>
      <c r="S1167" s="84"/>
      <c r="T1167" s="84"/>
      <c r="U1167" s="84"/>
      <c r="V1167" s="84"/>
      <c r="W1167" s="84"/>
      <c r="X1167" s="84"/>
      <c r="Y1167" s="84"/>
      <c r="Z1167" s="84"/>
      <c r="AA1167" s="84"/>
    </row>
    <row r="1168" ht="15.75" customHeight="1">
      <c r="A1168" s="14" t="s">
        <v>2137</v>
      </c>
      <c r="B1168" s="15" t="s">
        <v>15399</v>
      </c>
      <c r="C1168" s="14" t="s">
        <v>14364</v>
      </c>
      <c r="D1168" s="14" t="s">
        <v>14365</v>
      </c>
      <c r="E1168" s="26" t="str">
        <f t="shared" si="26"/>
        <v>http://dx.doi.org/10.1109/INFVIS.2004.49</v>
      </c>
      <c r="F1168" s="14">
        <v>207.0</v>
      </c>
      <c r="G1168" s="14">
        <v>214.0</v>
      </c>
      <c r="H1168" s="14" t="s">
        <v>28</v>
      </c>
      <c r="I1168" s="19" t="s">
        <v>15494</v>
      </c>
      <c r="J1168" s="19" t="s">
        <v>14368</v>
      </c>
      <c r="K1168" s="19" t="s">
        <v>15495</v>
      </c>
      <c r="L1168" s="19" t="s">
        <v>6652</v>
      </c>
      <c r="M1168" s="20" t="s">
        <v>14371</v>
      </c>
      <c r="N1168" s="44" t="s">
        <v>14372</v>
      </c>
      <c r="O1168" s="22">
        <v>54.0</v>
      </c>
      <c r="P1168" s="28">
        <v>2.0</v>
      </c>
      <c r="Q1168" s="28">
        <v>16.0</v>
      </c>
      <c r="R1168" s="84"/>
      <c r="S1168" s="84"/>
      <c r="T1168" s="84"/>
      <c r="U1168" s="84"/>
      <c r="V1168" s="84"/>
      <c r="W1168" s="84"/>
      <c r="X1168" s="84"/>
      <c r="Y1168" s="84"/>
      <c r="Z1168" s="84"/>
      <c r="AA1168" s="84"/>
    </row>
    <row r="1169" ht="15.75" customHeight="1">
      <c r="A1169" s="14" t="s">
        <v>2137</v>
      </c>
      <c r="B1169" s="15" t="s">
        <v>15399</v>
      </c>
      <c r="C1169" s="14" t="s">
        <v>14373</v>
      </c>
      <c r="D1169" s="14" t="s">
        <v>14374</v>
      </c>
      <c r="E1169" s="26" t="str">
        <f t="shared" si="26"/>
        <v>http://dx.doi.org/10.1109/INFVIS.2004.5</v>
      </c>
      <c r="F1169" s="14">
        <v>1.0</v>
      </c>
      <c r="G1169" s="14">
        <v>8.0</v>
      </c>
      <c r="H1169" s="14" t="s">
        <v>28</v>
      </c>
      <c r="I1169" s="19" t="s">
        <v>15496</v>
      </c>
      <c r="J1169" s="19" t="s">
        <v>15497</v>
      </c>
      <c r="K1169" s="19" t="s">
        <v>15498</v>
      </c>
      <c r="L1169" s="19" t="s">
        <v>15499</v>
      </c>
      <c r="M1169" s="20" t="s">
        <v>6913</v>
      </c>
      <c r="N1169" s="44" t="s">
        <v>14381</v>
      </c>
      <c r="O1169" s="22">
        <v>138.0</v>
      </c>
      <c r="P1169" s="28">
        <v>36.0</v>
      </c>
      <c r="Q1169" s="28">
        <v>31.0</v>
      </c>
      <c r="R1169" s="84"/>
      <c r="S1169" s="84"/>
      <c r="T1169" s="84"/>
      <c r="U1169" s="84"/>
      <c r="V1169" s="84"/>
      <c r="W1169" s="84"/>
      <c r="X1169" s="84"/>
      <c r="Y1169" s="84"/>
      <c r="Z1169" s="84"/>
      <c r="AA1169" s="84"/>
    </row>
    <row r="1170" ht="15.75" customHeight="1">
      <c r="A1170" s="14" t="s">
        <v>2137</v>
      </c>
      <c r="B1170" s="15" t="s">
        <v>15399</v>
      </c>
      <c r="C1170" s="14" t="s">
        <v>14382</v>
      </c>
      <c r="D1170" s="14" t="s">
        <v>14383</v>
      </c>
      <c r="E1170" s="26" t="str">
        <f t="shared" si="26"/>
        <v>http://dx.doi.org/10.1109/INFVIS.2004.50</v>
      </c>
      <c r="F1170" s="14" t="s">
        <v>14391</v>
      </c>
      <c r="G1170" s="14" t="s">
        <v>14391</v>
      </c>
      <c r="H1170" s="14" t="s">
        <v>21</v>
      </c>
      <c r="I1170" s="18"/>
      <c r="J1170" s="19" t="s">
        <v>14392</v>
      </c>
      <c r="K1170" s="19" t="s">
        <v>14392</v>
      </c>
      <c r="L1170" s="19" t="s">
        <v>15500</v>
      </c>
      <c r="M1170" s="20"/>
      <c r="N1170" s="27"/>
      <c r="O1170" s="22">
        <v>4.0</v>
      </c>
      <c r="P1170" s="28">
        <v>1.0</v>
      </c>
      <c r="Q1170" s="28">
        <v>0.0</v>
      </c>
      <c r="R1170" s="84"/>
      <c r="S1170" s="84"/>
      <c r="T1170" s="84"/>
      <c r="U1170" s="84"/>
      <c r="V1170" s="84"/>
      <c r="W1170" s="84"/>
      <c r="X1170" s="84"/>
      <c r="Y1170" s="84"/>
      <c r="Z1170" s="84"/>
      <c r="AA1170" s="84"/>
    </row>
    <row r="1171" ht="15.75" customHeight="1">
      <c r="A1171" s="14" t="s">
        <v>2137</v>
      </c>
      <c r="B1171" s="15" t="s">
        <v>15399</v>
      </c>
      <c r="C1171" s="14" t="s">
        <v>14394</v>
      </c>
      <c r="D1171" s="14" t="s">
        <v>14395</v>
      </c>
      <c r="E1171" s="26" t="str">
        <f t="shared" si="26"/>
        <v>http://dx.doi.org/10.1109/INFVIS.2004.52</v>
      </c>
      <c r="F1171" s="14">
        <v>113.0</v>
      </c>
      <c r="G1171" s="14">
        <v>118.0</v>
      </c>
      <c r="H1171" s="14" t="s">
        <v>28</v>
      </c>
      <c r="I1171" s="19" t="s">
        <v>15501</v>
      </c>
      <c r="J1171" s="19" t="s">
        <v>14401</v>
      </c>
      <c r="K1171" s="19" t="s">
        <v>15502</v>
      </c>
      <c r="L1171" s="19" t="s">
        <v>15503</v>
      </c>
      <c r="M1171" s="20" t="s">
        <v>13285</v>
      </c>
      <c r="N1171" s="44" t="s">
        <v>14404</v>
      </c>
      <c r="O1171" s="22">
        <v>50.0</v>
      </c>
      <c r="P1171" s="28">
        <v>14.0</v>
      </c>
      <c r="Q1171" s="28">
        <v>6.0</v>
      </c>
      <c r="R1171" s="84"/>
      <c r="S1171" s="84"/>
      <c r="T1171" s="84"/>
      <c r="U1171" s="84"/>
      <c r="V1171" s="84"/>
      <c r="W1171" s="84"/>
      <c r="X1171" s="84"/>
      <c r="Y1171" s="84"/>
      <c r="Z1171" s="84"/>
      <c r="AA1171" s="84"/>
    </row>
    <row r="1172" ht="15.75" customHeight="1">
      <c r="A1172" s="14" t="s">
        <v>2137</v>
      </c>
      <c r="B1172" s="15" t="s">
        <v>15399</v>
      </c>
      <c r="C1172" s="42" t="s">
        <v>14405</v>
      </c>
      <c r="D1172" s="14" t="s">
        <v>14406</v>
      </c>
      <c r="E1172" s="26" t="str">
        <f t="shared" si="26"/>
        <v>http://dx.doi.org/10.1109/INFVIS.2004.53</v>
      </c>
      <c r="F1172" s="14">
        <v>3.0</v>
      </c>
      <c r="G1172" s="14">
        <v>3.0</v>
      </c>
      <c r="H1172" s="14" t="s">
        <v>21</v>
      </c>
      <c r="I1172" s="19" t="s">
        <v>15504</v>
      </c>
      <c r="J1172" s="19" t="s">
        <v>14379</v>
      </c>
      <c r="K1172" s="19" t="s">
        <v>15505</v>
      </c>
      <c r="L1172" s="19" t="s">
        <v>15506</v>
      </c>
      <c r="M1172" s="20"/>
      <c r="N1172" s="27"/>
      <c r="O1172" s="22">
        <v>4.0</v>
      </c>
      <c r="P1172" s="28">
        <v>3.0</v>
      </c>
      <c r="Q1172" s="28">
        <v>6.0</v>
      </c>
      <c r="R1172" s="84"/>
      <c r="S1172" s="84"/>
      <c r="T1172" s="84"/>
      <c r="U1172" s="84"/>
      <c r="V1172" s="84"/>
      <c r="W1172" s="84"/>
      <c r="X1172" s="84"/>
      <c r="Y1172" s="84"/>
      <c r="Z1172" s="84"/>
      <c r="AA1172" s="84"/>
    </row>
    <row r="1173" ht="15.75" customHeight="1">
      <c r="A1173" s="14" t="s">
        <v>2137</v>
      </c>
      <c r="B1173" s="15" t="s">
        <v>15399</v>
      </c>
      <c r="C1173" s="14" t="s">
        <v>14413</v>
      </c>
      <c r="D1173" s="14" t="s">
        <v>14414</v>
      </c>
      <c r="E1173" s="26" t="str">
        <f t="shared" si="26"/>
        <v>http://dx.doi.org/10.1109/INFVIS.2004.56</v>
      </c>
      <c r="F1173" s="14">
        <v>18.0</v>
      </c>
      <c r="G1173" s="14">
        <v>18.0</v>
      </c>
      <c r="H1173" s="14" t="s">
        <v>21</v>
      </c>
      <c r="I1173" s="19" t="s">
        <v>15507</v>
      </c>
      <c r="J1173" s="19" t="s">
        <v>1467</v>
      </c>
      <c r="K1173" s="19" t="s">
        <v>1962</v>
      </c>
      <c r="L1173" s="19" t="s">
        <v>15487</v>
      </c>
      <c r="M1173" s="20"/>
      <c r="N1173" s="27"/>
      <c r="O1173" s="22">
        <v>27.0</v>
      </c>
      <c r="P1173" s="28">
        <v>11.0</v>
      </c>
      <c r="Q1173" s="28">
        <v>12.0</v>
      </c>
      <c r="R1173" s="84"/>
      <c r="S1173" s="84"/>
      <c r="T1173" s="84"/>
      <c r="U1173" s="84"/>
      <c r="V1173" s="84"/>
      <c r="W1173" s="84"/>
      <c r="X1173" s="84"/>
      <c r="Y1173" s="84"/>
      <c r="Z1173" s="84"/>
      <c r="AA1173" s="84"/>
    </row>
    <row r="1174" ht="15.75" customHeight="1">
      <c r="A1174" s="14" t="s">
        <v>2137</v>
      </c>
      <c r="B1174" s="15" t="s">
        <v>15399</v>
      </c>
      <c r="C1174" s="14" t="s">
        <v>14423</v>
      </c>
      <c r="D1174" s="14" t="s">
        <v>14424</v>
      </c>
      <c r="E1174" s="26" t="str">
        <f t="shared" si="26"/>
        <v>http://dx.doi.org/10.1109/INFVIS.2004.57</v>
      </c>
      <c r="F1174" s="14">
        <v>33.0</v>
      </c>
      <c r="G1174" s="14">
        <v>40.0</v>
      </c>
      <c r="H1174" s="14" t="s">
        <v>28</v>
      </c>
      <c r="I1174" s="19" t="s">
        <v>15508</v>
      </c>
      <c r="J1174" s="19" t="s">
        <v>14429</v>
      </c>
      <c r="K1174" s="19" t="s">
        <v>15509</v>
      </c>
      <c r="L1174" s="19" t="s">
        <v>15510</v>
      </c>
      <c r="M1174" s="20" t="s">
        <v>14430</v>
      </c>
      <c r="N1174" s="44" t="s">
        <v>14431</v>
      </c>
      <c r="O1174" s="22">
        <v>81.0</v>
      </c>
      <c r="P1174" s="28">
        <v>22.0</v>
      </c>
      <c r="Q1174" s="28">
        <v>13.0</v>
      </c>
      <c r="R1174" s="84"/>
      <c r="S1174" s="84"/>
      <c r="T1174" s="84"/>
      <c r="U1174" s="84"/>
      <c r="V1174" s="84"/>
      <c r="W1174" s="84"/>
      <c r="X1174" s="84"/>
      <c r="Y1174" s="84"/>
      <c r="Z1174" s="84"/>
      <c r="AA1174" s="84"/>
    </row>
    <row r="1175" ht="15.75" customHeight="1">
      <c r="A1175" s="14" t="s">
        <v>2137</v>
      </c>
      <c r="B1175" s="15" t="s">
        <v>15399</v>
      </c>
      <c r="C1175" s="14" t="s">
        <v>14432</v>
      </c>
      <c r="D1175" s="14" t="s">
        <v>14433</v>
      </c>
      <c r="E1175" s="26" t="str">
        <f t="shared" si="26"/>
        <v>http://dx.doi.org/10.1109/INFVIS.2004.58</v>
      </c>
      <c r="F1175" s="14">
        <v>13.0</v>
      </c>
      <c r="G1175" s="14">
        <v>13.0</v>
      </c>
      <c r="H1175" s="14" t="s">
        <v>21</v>
      </c>
      <c r="I1175" s="19" t="s">
        <v>15511</v>
      </c>
      <c r="J1175" s="19" t="s">
        <v>14437</v>
      </c>
      <c r="K1175" s="19" t="s">
        <v>15512</v>
      </c>
      <c r="L1175" s="19" t="s">
        <v>15513</v>
      </c>
      <c r="M1175" s="20"/>
      <c r="N1175" s="27"/>
      <c r="O1175" s="109"/>
      <c r="P1175" s="28">
        <v>0.0</v>
      </c>
      <c r="Q1175" s="28">
        <v>3.0</v>
      </c>
      <c r="R1175" s="84"/>
      <c r="S1175" s="84"/>
      <c r="T1175" s="84"/>
      <c r="U1175" s="84"/>
      <c r="V1175" s="84"/>
      <c r="W1175" s="84"/>
      <c r="X1175" s="84"/>
      <c r="Y1175" s="84"/>
      <c r="Z1175" s="84"/>
      <c r="AA1175" s="84"/>
    </row>
    <row r="1176" ht="15.75" customHeight="1">
      <c r="A1176" s="14" t="s">
        <v>2137</v>
      </c>
      <c r="B1176" s="15" t="s">
        <v>15399</v>
      </c>
      <c r="C1176" s="14" t="s">
        <v>14440</v>
      </c>
      <c r="D1176" s="14" t="s">
        <v>14441</v>
      </c>
      <c r="E1176" s="26" t="str">
        <f t="shared" si="26"/>
        <v>http://dx.doi.org/10.1109/INFVIS.2004.59</v>
      </c>
      <c r="F1176" s="14">
        <v>151.0</v>
      </c>
      <c r="G1176" s="14">
        <v>158.0</v>
      </c>
      <c r="H1176" s="14" t="s">
        <v>28</v>
      </c>
      <c r="I1176" s="19" t="s">
        <v>15514</v>
      </c>
      <c r="J1176" s="19" t="s">
        <v>15515</v>
      </c>
      <c r="K1176" s="19" t="s">
        <v>15516</v>
      </c>
      <c r="L1176" s="19" t="s">
        <v>15517</v>
      </c>
      <c r="M1176" s="20" t="s">
        <v>14447</v>
      </c>
      <c r="N1176" s="44" t="s">
        <v>14448</v>
      </c>
      <c r="O1176" s="22">
        <v>231.0</v>
      </c>
      <c r="P1176" s="28">
        <v>70.0</v>
      </c>
      <c r="Q1176" s="28">
        <v>22.0</v>
      </c>
      <c r="R1176" s="84"/>
      <c r="S1176" s="84"/>
      <c r="T1176" s="84"/>
      <c r="U1176" s="84"/>
      <c r="V1176" s="84"/>
      <c r="W1176" s="84"/>
      <c r="X1176" s="84"/>
      <c r="Y1176" s="84"/>
      <c r="Z1176" s="84"/>
      <c r="AA1176" s="84"/>
    </row>
    <row r="1177" ht="15.75" customHeight="1">
      <c r="A1177" s="14" t="s">
        <v>2137</v>
      </c>
      <c r="B1177" s="15" t="s">
        <v>15399</v>
      </c>
      <c r="C1177" s="14" t="s">
        <v>14449</v>
      </c>
      <c r="D1177" s="14" t="s">
        <v>14450</v>
      </c>
      <c r="E1177" s="26" t="str">
        <f t="shared" si="26"/>
        <v>http://dx.doi.org/10.1109/INFVIS.2004.6</v>
      </c>
      <c r="F1177" s="14">
        <v>5.0</v>
      </c>
      <c r="G1177" s="14">
        <v>5.0</v>
      </c>
      <c r="H1177" s="14" t="s">
        <v>21</v>
      </c>
      <c r="I1177" s="19" t="s">
        <v>15518</v>
      </c>
      <c r="J1177" s="19" t="s">
        <v>14455</v>
      </c>
      <c r="K1177" s="19" t="s">
        <v>15519</v>
      </c>
      <c r="L1177" s="19" t="s">
        <v>15520</v>
      </c>
      <c r="M1177" s="20"/>
      <c r="N1177" s="27"/>
      <c r="O1177" s="22">
        <v>4.0</v>
      </c>
      <c r="P1177" s="28">
        <v>1.0</v>
      </c>
      <c r="Q1177" s="28">
        <v>7.0</v>
      </c>
      <c r="R1177" s="84"/>
      <c r="S1177" s="84"/>
      <c r="T1177" s="84"/>
      <c r="U1177" s="84"/>
      <c r="V1177" s="84"/>
      <c r="W1177" s="84"/>
      <c r="X1177" s="84"/>
      <c r="Y1177" s="84"/>
      <c r="Z1177" s="84"/>
      <c r="AA1177" s="84"/>
    </row>
    <row r="1178" ht="15.75" customHeight="1">
      <c r="A1178" s="14" t="s">
        <v>2137</v>
      </c>
      <c r="B1178" s="15" t="s">
        <v>15399</v>
      </c>
      <c r="C1178" s="14" t="s">
        <v>14457</v>
      </c>
      <c r="D1178" s="14" t="s">
        <v>14458</v>
      </c>
      <c r="E1178" s="26" t="str">
        <f t="shared" si="26"/>
        <v>http://dx.doi.org/10.1109/INFVIS.2004.60</v>
      </c>
      <c r="F1178" s="14">
        <v>57.0</v>
      </c>
      <c r="G1178" s="14">
        <v>64.0</v>
      </c>
      <c r="H1178" s="14" t="s">
        <v>28</v>
      </c>
      <c r="I1178" s="19" t="s">
        <v>15521</v>
      </c>
      <c r="J1178" s="19" t="s">
        <v>14462</v>
      </c>
      <c r="K1178" s="19" t="s">
        <v>15522</v>
      </c>
      <c r="L1178" s="19" t="s">
        <v>15408</v>
      </c>
      <c r="M1178" s="20" t="s">
        <v>14464</v>
      </c>
      <c r="N1178" s="44" t="s">
        <v>14465</v>
      </c>
      <c r="O1178" s="22">
        <v>102.0</v>
      </c>
      <c r="P1178" s="28">
        <v>36.0</v>
      </c>
      <c r="Q1178" s="28">
        <v>19.0</v>
      </c>
      <c r="R1178" s="84"/>
      <c r="S1178" s="84"/>
      <c r="T1178" s="84"/>
      <c r="U1178" s="84"/>
      <c r="V1178" s="84"/>
      <c r="W1178" s="84"/>
      <c r="X1178" s="84"/>
      <c r="Y1178" s="84"/>
      <c r="Z1178" s="84"/>
      <c r="AA1178" s="84"/>
    </row>
    <row r="1179" ht="15.75" customHeight="1">
      <c r="A1179" s="14" t="s">
        <v>2137</v>
      </c>
      <c r="B1179" s="15" t="s">
        <v>15399</v>
      </c>
      <c r="C1179" s="14" t="s">
        <v>14467</v>
      </c>
      <c r="D1179" s="14" t="s">
        <v>14468</v>
      </c>
      <c r="E1179" s="26" t="str">
        <f t="shared" si="26"/>
        <v>http://dx.doi.org/10.1109/INFVIS.2004.63</v>
      </c>
      <c r="F1179" s="14">
        <v>1.0</v>
      </c>
      <c r="G1179" s="14">
        <v>1.0</v>
      </c>
      <c r="H1179" s="14" t="s">
        <v>21</v>
      </c>
      <c r="I1179" s="19" t="s">
        <v>15523</v>
      </c>
      <c r="J1179" s="19" t="s">
        <v>14455</v>
      </c>
      <c r="K1179" s="19" t="s">
        <v>15524</v>
      </c>
      <c r="L1179" s="19" t="s">
        <v>15455</v>
      </c>
      <c r="M1179" s="20"/>
      <c r="N1179" s="27"/>
      <c r="O1179" s="22">
        <v>15.0</v>
      </c>
      <c r="P1179" s="28">
        <v>2.0</v>
      </c>
      <c r="Q1179" s="28">
        <v>9.0</v>
      </c>
      <c r="R1179" s="84"/>
      <c r="S1179" s="84"/>
      <c r="T1179" s="84"/>
      <c r="U1179" s="84"/>
      <c r="V1179" s="84"/>
      <c r="W1179" s="84"/>
      <c r="X1179" s="84"/>
      <c r="Y1179" s="84"/>
      <c r="Z1179" s="84"/>
      <c r="AA1179" s="84"/>
    </row>
    <row r="1180" ht="15.75" customHeight="1">
      <c r="A1180" s="14" t="s">
        <v>2137</v>
      </c>
      <c r="B1180" s="15" t="s">
        <v>15399</v>
      </c>
      <c r="C1180" s="14" t="s">
        <v>14476</v>
      </c>
      <c r="D1180" s="14" t="s">
        <v>14478</v>
      </c>
      <c r="E1180" s="26" t="str">
        <f t="shared" si="26"/>
        <v>http://dx.doi.org/10.1109/INFVIS.2004.64</v>
      </c>
      <c r="F1180" s="14">
        <v>167.0</v>
      </c>
      <c r="G1180" s="14">
        <v>174.0</v>
      </c>
      <c r="H1180" s="14" t="s">
        <v>28</v>
      </c>
      <c r="I1180" s="19" t="s">
        <v>15525</v>
      </c>
      <c r="J1180" s="19" t="s">
        <v>14484</v>
      </c>
      <c r="K1180" s="19" t="s">
        <v>15526</v>
      </c>
      <c r="L1180" s="19" t="s">
        <v>15527</v>
      </c>
      <c r="M1180" s="20" t="s">
        <v>14486</v>
      </c>
      <c r="N1180" s="44" t="s">
        <v>14487</v>
      </c>
      <c r="O1180" s="22">
        <v>353.0</v>
      </c>
      <c r="P1180" s="28">
        <v>91.0</v>
      </c>
      <c r="Q1180" s="28">
        <v>27.0</v>
      </c>
      <c r="R1180" s="84"/>
      <c r="S1180" s="84"/>
      <c r="T1180" s="84"/>
      <c r="U1180" s="84"/>
      <c r="V1180" s="84"/>
      <c r="W1180" s="84"/>
      <c r="X1180" s="84"/>
      <c r="Y1180" s="84"/>
      <c r="Z1180" s="84"/>
      <c r="AA1180" s="84"/>
    </row>
    <row r="1181" ht="15.75" customHeight="1">
      <c r="A1181" s="14" t="s">
        <v>2137</v>
      </c>
      <c r="B1181" s="15" t="s">
        <v>15399</v>
      </c>
      <c r="C1181" s="14" t="s">
        <v>14491</v>
      </c>
      <c r="D1181" s="14" t="s">
        <v>14492</v>
      </c>
      <c r="E1181" s="26" t="str">
        <f t="shared" si="26"/>
        <v>http://dx.doi.org/10.1109/INFVIS.2004.65</v>
      </c>
      <c r="F1181" s="14">
        <v>97.0</v>
      </c>
      <c r="G1181" s="14">
        <v>104.0</v>
      </c>
      <c r="H1181" s="14" t="s">
        <v>28</v>
      </c>
      <c r="I1181" s="19" t="s">
        <v>15528</v>
      </c>
      <c r="J1181" s="19" t="s">
        <v>14497</v>
      </c>
      <c r="K1181" s="19" t="s">
        <v>15529</v>
      </c>
      <c r="L1181" s="19" t="s">
        <v>15530</v>
      </c>
      <c r="M1181" s="20"/>
      <c r="N1181" s="44" t="s">
        <v>14500</v>
      </c>
      <c r="O1181" s="22">
        <v>94.0</v>
      </c>
      <c r="P1181" s="28">
        <v>20.0</v>
      </c>
      <c r="Q1181" s="28">
        <v>22.0</v>
      </c>
      <c r="R1181" s="84"/>
      <c r="S1181" s="84"/>
      <c r="T1181" s="84"/>
      <c r="U1181" s="84"/>
      <c r="V1181" s="84"/>
      <c r="W1181" s="84"/>
      <c r="X1181" s="84"/>
      <c r="Y1181" s="84"/>
      <c r="Z1181" s="84"/>
      <c r="AA1181" s="84"/>
    </row>
    <row r="1182" ht="15.75" customHeight="1">
      <c r="A1182" s="14" t="s">
        <v>2137</v>
      </c>
      <c r="B1182" s="15" t="s">
        <v>15399</v>
      </c>
      <c r="C1182" s="14" t="s">
        <v>14501</v>
      </c>
      <c r="D1182" s="14" t="s">
        <v>14502</v>
      </c>
      <c r="E1182" s="26" t="str">
        <f t="shared" si="26"/>
        <v>http://dx.doi.org/10.1109/INFVIS.2004.66</v>
      </c>
      <c r="F1182" s="14">
        <v>175.0</v>
      </c>
      <c r="G1182" s="14">
        <v>182.0</v>
      </c>
      <c r="H1182" s="14" t="s">
        <v>28</v>
      </c>
      <c r="I1182" s="19" t="s">
        <v>15531</v>
      </c>
      <c r="J1182" s="19" t="s">
        <v>14506</v>
      </c>
      <c r="K1182" s="19" t="s">
        <v>15532</v>
      </c>
      <c r="L1182" s="19" t="s">
        <v>15533</v>
      </c>
      <c r="M1182" s="20" t="s">
        <v>14508</v>
      </c>
      <c r="N1182" s="44" t="s">
        <v>14509</v>
      </c>
      <c r="O1182" s="22">
        <v>50.0</v>
      </c>
      <c r="P1182" s="28">
        <v>14.0</v>
      </c>
      <c r="Q1182" s="28">
        <v>23.0</v>
      </c>
      <c r="R1182" s="84"/>
      <c r="S1182" s="84"/>
      <c r="T1182" s="84"/>
      <c r="U1182" s="84"/>
      <c r="V1182" s="84"/>
      <c r="W1182" s="84"/>
      <c r="X1182" s="84"/>
      <c r="Y1182" s="84"/>
      <c r="Z1182" s="84"/>
      <c r="AA1182" s="84"/>
    </row>
    <row r="1183" ht="15.75" customHeight="1">
      <c r="A1183" s="14" t="s">
        <v>2137</v>
      </c>
      <c r="B1183" s="15" t="s">
        <v>15399</v>
      </c>
      <c r="C1183" s="14" t="s">
        <v>14510</v>
      </c>
      <c r="D1183" s="14" t="s">
        <v>14511</v>
      </c>
      <c r="E1183" s="26" t="str">
        <f t="shared" si="26"/>
        <v>http://dx.doi.org/10.1109/INFVIS.2004.67</v>
      </c>
      <c r="F1183" s="14">
        <v>9.0</v>
      </c>
      <c r="G1183" s="14">
        <v>9.0</v>
      </c>
      <c r="H1183" s="14" t="s">
        <v>21</v>
      </c>
      <c r="I1183" s="19" t="s">
        <v>15534</v>
      </c>
      <c r="J1183" s="19" t="s">
        <v>14516</v>
      </c>
      <c r="K1183" s="19" t="s">
        <v>15535</v>
      </c>
      <c r="L1183" s="19" t="s">
        <v>15484</v>
      </c>
      <c r="M1183" s="20"/>
      <c r="N1183" s="27"/>
      <c r="O1183" s="22">
        <v>50.0</v>
      </c>
      <c r="P1183" s="28">
        <v>1.0</v>
      </c>
      <c r="Q1183" s="28">
        <v>12.0</v>
      </c>
      <c r="R1183" s="84"/>
      <c r="S1183" s="84"/>
      <c r="T1183" s="84"/>
      <c r="U1183" s="84"/>
      <c r="V1183" s="84"/>
      <c r="W1183" s="84"/>
      <c r="X1183" s="84"/>
      <c r="Y1183" s="84"/>
      <c r="Z1183" s="84"/>
      <c r="AA1183" s="84"/>
    </row>
    <row r="1184" ht="15.75" customHeight="1">
      <c r="A1184" s="14" t="s">
        <v>2137</v>
      </c>
      <c r="B1184" s="15" t="s">
        <v>15399</v>
      </c>
      <c r="C1184" s="14" t="s">
        <v>14518</v>
      </c>
      <c r="D1184" s="14" t="s">
        <v>14519</v>
      </c>
      <c r="E1184" s="26" t="str">
        <f t="shared" si="26"/>
        <v>http://dx.doi.org/10.1109/INFVIS.2004.68</v>
      </c>
      <c r="F1184" s="14">
        <v>81.0</v>
      </c>
      <c r="G1184" s="14">
        <v>88.0</v>
      </c>
      <c r="H1184" s="14" t="s">
        <v>28</v>
      </c>
      <c r="I1184" s="19" t="s">
        <v>15536</v>
      </c>
      <c r="J1184" s="19" t="s">
        <v>14521</v>
      </c>
      <c r="K1184" s="19" t="s">
        <v>15537</v>
      </c>
      <c r="L1184" s="19" t="s">
        <v>15538</v>
      </c>
      <c r="M1184" s="20" t="s">
        <v>1842</v>
      </c>
      <c r="N1184" s="44" t="s">
        <v>14523</v>
      </c>
      <c r="O1184" s="22">
        <v>179.0</v>
      </c>
      <c r="P1184" s="28">
        <v>57.0</v>
      </c>
      <c r="Q1184" s="28">
        <v>17.0</v>
      </c>
      <c r="R1184" s="84"/>
      <c r="S1184" s="84"/>
      <c r="T1184" s="84"/>
      <c r="U1184" s="84"/>
      <c r="V1184" s="84"/>
      <c r="W1184" s="84"/>
      <c r="X1184" s="84"/>
      <c r="Y1184" s="84"/>
      <c r="Z1184" s="84"/>
      <c r="AA1184" s="84"/>
    </row>
    <row r="1185" ht="15.75" customHeight="1">
      <c r="A1185" s="14" t="s">
        <v>2137</v>
      </c>
      <c r="B1185" s="15" t="s">
        <v>15399</v>
      </c>
      <c r="C1185" s="14" t="s">
        <v>14528</v>
      </c>
      <c r="D1185" s="14" t="s">
        <v>14529</v>
      </c>
      <c r="E1185" s="26" t="str">
        <f t="shared" si="26"/>
        <v>http://dx.doi.org/10.1109/INFVIS.2004.69</v>
      </c>
      <c r="F1185" s="14" t="s">
        <v>14531</v>
      </c>
      <c r="G1185" s="14" t="s">
        <v>14531</v>
      </c>
      <c r="H1185" s="14" t="s">
        <v>21</v>
      </c>
      <c r="I1185" s="19" t="s">
        <v>15539</v>
      </c>
      <c r="J1185" s="19" t="s">
        <v>14532</v>
      </c>
      <c r="K1185" s="19" t="s">
        <v>15540</v>
      </c>
      <c r="L1185" s="19" t="s">
        <v>15541</v>
      </c>
      <c r="M1185" s="20"/>
      <c r="N1185" s="27"/>
      <c r="O1185" s="22">
        <v>24.0</v>
      </c>
      <c r="P1185" s="28">
        <v>2.0</v>
      </c>
      <c r="Q1185" s="28">
        <v>3.0</v>
      </c>
      <c r="R1185" s="84"/>
      <c r="S1185" s="84"/>
      <c r="T1185" s="84"/>
      <c r="U1185" s="84"/>
      <c r="V1185" s="84"/>
      <c r="W1185" s="84"/>
      <c r="X1185" s="84"/>
      <c r="Y1185" s="84"/>
      <c r="Z1185" s="84"/>
      <c r="AA1185" s="84"/>
    </row>
    <row r="1186" ht="15.75" customHeight="1">
      <c r="A1186" s="14" t="s">
        <v>2137</v>
      </c>
      <c r="B1186" s="15" t="s">
        <v>15399</v>
      </c>
      <c r="C1186" s="14" t="s">
        <v>14534</v>
      </c>
      <c r="D1186" s="14" t="s">
        <v>14535</v>
      </c>
      <c r="E1186" s="26" t="str">
        <f t="shared" si="26"/>
        <v>http://dx.doi.org/10.1109/INFVIS.2004.7</v>
      </c>
      <c r="F1186" s="14">
        <v>8.0</v>
      </c>
      <c r="G1186" s="14">
        <v>8.0</v>
      </c>
      <c r="H1186" s="14" t="s">
        <v>21</v>
      </c>
      <c r="I1186" s="19" t="s">
        <v>15542</v>
      </c>
      <c r="J1186" s="19" t="s">
        <v>14537</v>
      </c>
      <c r="K1186" s="19" t="s">
        <v>15543</v>
      </c>
      <c r="L1186" s="19" t="s">
        <v>15544</v>
      </c>
      <c r="M1186" s="20"/>
      <c r="N1186" s="27"/>
      <c r="O1186" s="22">
        <v>50.0</v>
      </c>
      <c r="P1186" s="28">
        <v>2.0</v>
      </c>
      <c r="Q1186" s="28">
        <v>9.0</v>
      </c>
      <c r="R1186" s="84"/>
      <c r="S1186" s="84"/>
      <c r="T1186" s="84"/>
      <c r="U1186" s="84"/>
      <c r="V1186" s="84"/>
      <c r="W1186" s="84"/>
      <c r="X1186" s="84"/>
      <c r="Y1186" s="84"/>
      <c r="Z1186" s="84"/>
      <c r="AA1186" s="84"/>
    </row>
    <row r="1187" ht="15.75" customHeight="1">
      <c r="A1187" s="14" t="s">
        <v>2137</v>
      </c>
      <c r="B1187" s="15" t="s">
        <v>15399</v>
      </c>
      <c r="C1187" s="14" t="s">
        <v>14539</v>
      </c>
      <c r="D1187" s="14" t="s">
        <v>14540</v>
      </c>
      <c r="E1187" s="26" t="str">
        <f t="shared" si="26"/>
        <v>http://dx.doi.org/10.1109/INFVIS.2004.70</v>
      </c>
      <c r="F1187" s="14">
        <v>9.0</v>
      </c>
      <c r="G1187" s="14">
        <v>16.0</v>
      </c>
      <c r="H1187" s="14" t="s">
        <v>28</v>
      </c>
      <c r="I1187" s="19" t="s">
        <v>15545</v>
      </c>
      <c r="J1187" s="19" t="s">
        <v>6926</v>
      </c>
      <c r="K1187" s="19" t="s">
        <v>13184</v>
      </c>
      <c r="L1187" s="19" t="s">
        <v>15546</v>
      </c>
      <c r="M1187" s="20" t="s">
        <v>14543</v>
      </c>
      <c r="N1187" s="44" t="s">
        <v>14544</v>
      </c>
      <c r="O1187" s="22">
        <v>123.0</v>
      </c>
      <c r="P1187" s="28">
        <v>31.0</v>
      </c>
      <c r="Q1187" s="28">
        <v>26.0</v>
      </c>
      <c r="R1187" s="84"/>
      <c r="S1187" s="84"/>
      <c r="T1187" s="84"/>
      <c r="U1187" s="84"/>
      <c r="V1187" s="84"/>
      <c r="W1187" s="84"/>
      <c r="X1187" s="84"/>
      <c r="Y1187" s="84"/>
      <c r="Z1187" s="84"/>
      <c r="AA1187" s="84"/>
    </row>
    <row r="1188" ht="15.75" customHeight="1">
      <c r="A1188" s="14" t="s">
        <v>2137</v>
      </c>
      <c r="B1188" s="15" t="s">
        <v>15399</v>
      </c>
      <c r="C1188" s="14" t="s">
        <v>14545</v>
      </c>
      <c r="D1188" s="14" t="s">
        <v>14546</v>
      </c>
      <c r="E1188" s="26" t="str">
        <f t="shared" si="26"/>
        <v>http://dx.doi.org/10.1109/INFVIS.2004.71</v>
      </c>
      <c r="F1188" s="14">
        <v>73.0</v>
      </c>
      <c r="G1188" s="14">
        <v>80.0</v>
      </c>
      <c r="H1188" s="14" t="s">
        <v>28</v>
      </c>
      <c r="I1188" s="19" t="s">
        <v>15547</v>
      </c>
      <c r="J1188" s="19" t="s">
        <v>14551</v>
      </c>
      <c r="K1188" s="19" t="s">
        <v>15548</v>
      </c>
      <c r="L1188" s="19" t="s">
        <v>15418</v>
      </c>
      <c r="M1188" s="20" t="s">
        <v>14553</v>
      </c>
      <c r="N1188" s="44" t="s">
        <v>14554</v>
      </c>
      <c r="O1188" s="22">
        <v>67.0</v>
      </c>
      <c r="P1188" s="28">
        <v>19.0</v>
      </c>
      <c r="Q1188" s="28">
        <v>24.0</v>
      </c>
      <c r="R1188" s="84"/>
      <c r="S1188" s="84"/>
      <c r="T1188" s="84"/>
      <c r="U1188" s="84"/>
      <c r="V1188" s="84"/>
      <c r="W1188" s="84"/>
      <c r="X1188" s="84"/>
      <c r="Y1188" s="84"/>
      <c r="Z1188" s="84"/>
      <c r="AA1188" s="84"/>
    </row>
    <row r="1189" ht="15.75" customHeight="1">
      <c r="A1189" s="14" t="s">
        <v>2137</v>
      </c>
      <c r="B1189" s="15" t="s">
        <v>15399</v>
      </c>
      <c r="C1189" s="14" t="s">
        <v>14555</v>
      </c>
      <c r="D1189" s="14" t="s">
        <v>14556</v>
      </c>
      <c r="E1189" s="26" t="str">
        <f t="shared" si="26"/>
        <v>http://dx.doi.org/10.1109/INFVIS.2004.72</v>
      </c>
      <c r="F1189" s="14">
        <v>22.0</v>
      </c>
      <c r="G1189" s="14">
        <v>22.0</v>
      </c>
      <c r="H1189" s="14" t="s">
        <v>21</v>
      </c>
      <c r="I1189" s="19" t="s">
        <v>15549</v>
      </c>
      <c r="J1189" s="19" t="s">
        <v>14558</v>
      </c>
      <c r="K1189" s="19" t="s">
        <v>15550</v>
      </c>
      <c r="L1189" s="19" t="s">
        <v>15551</v>
      </c>
      <c r="M1189" s="20"/>
      <c r="N1189" s="27"/>
      <c r="O1189" s="109"/>
      <c r="P1189" s="28">
        <v>0.0</v>
      </c>
      <c r="Q1189" s="28">
        <v>5.0</v>
      </c>
      <c r="R1189" s="84"/>
      <c r="S1189" s="84"/>
      <c r="T1189" s="84"/>
      <c r="U1189" s="84"/>
      <c r="V1189" s="84"/>
      <c r="W1189" s="84"/>
      <c r="X1189" s="84"/>
      <c r="Y1189" s="84"/>
      <c r="Z1189" s="84"/>
      <c r="AA1189" s="84"/>
    </row>
    <row r="1190" ht="15.75" customHeight="1">
      <c r="A1190" s="14" t="s">
        <v>2137</v>
      </c>
      <c r="B1190" s="15" t="s">
        <v>15399</v>
      </c>
      <c r="C1190" s="14" t="s">
        <v>14560</v>
      </c>
      <c r="D1190" s="14" t="s">
        <v>14561</v>
      </c>
      <c r="E1190" s="26" t="str">
        <f t="shared" si="26"/>
        <v>http://dx.doi.org/10.1109/INFVIS.2004.73</v>
      </c>
      <c r="F1190" s="14">
        <v>12.0</v>
      </c>
      <c r="G1190" s="14">
        <v>12.0</v>
      </c>
      <c r="H1190" s="14" t="s">
        <v>21</v>
      </c>
      <c r="I1190" s="19" t="s">
        <v>15552</v>
      </c>
      <c r="J1190" s="19" t="s">
        <v>14568</v>
      </c>
      <c r="K1190" s="19" t="s">
        <v>15553</v>
      </c>
      <c r="L1190" s="19" t="s">
        <v>15554</v>
      </c>
      <c r="M1190" s="20"/>
      <c r="N1190" s="27"/>
      <c r="O1190" s="22">
        <v>0.0</v>
      </c>
      <c r="P1190" s="28">
        <v>0.0</v>
      </c>
      <c r="Q1190" s="28">
        <v>10.0</v>
      </c>
      <c r="R1190" s="84"/>
      <c r="S1190" s="84"/>
      <c r="T1190" s="84"/>
      <c r="U1190" s="84"/>
      <c r="V1190" s="84"/>
      <c r="W1190" s="84"/>
      <c r="X1190" s="84"/>
      <c r="Y1190" s="84"/>
      <c r="Z1190" s="84"/>
      <c r="AA1190" s="84"/>
    </row>
    <row r="1191" ht="15.75" customHeight="1">
      <c r="A1191" s="14" t="s">
        <v>2137</v>
      </c>
      <c r="B1191" s="15" t="s">
        <v>15399</v>
      </c>
      <c r="C1191" s="14" t="s">
        <v>14570</v>
      </c>
      <c r="D1191" s="14" t="s">
        <v>14571</v>
      </c>
      <c r="E1191" s="26" t="str">
        <f t="shared" si="26"/>
        <v>http://dx.doi.org/10.1109/INFVIS.2004.74</v>
      </c>
      <c r="F1191" s="14">
        <v>15.0</v>
      </c>
      <c r="G1191" s="14">
        <v>15.0</v>
      </c>
      <c r="H1191" s="14" t="s">
        <v>21</v>
      </c>
      <c r="I1191" s="19" t="s">
        <v>15555</v>
      </c>
      <c r="J1191" s="19" t="s">
        <v>14576</v>
      </c>
      <c r="K1191" s="19" t="s">
        <v>15556</v>
      </c>
      <c r="L1191" s="19" t="s">
        <v>15557</v>
      </c>
      <c r="M1191" s="20"/>
      <c r="N1191" s="27"/>
      <c r="O1191" s="22">
        <v>0.0</v>
      </c>
      <c r="P1191" s="28">
        <v>0.0</v>
      </c>
      <c r="Q1191" s="28">
        <v>5.0</v>
      </c>
      <c r="R1191" s="84"/>
      <c r="S1191" s="84"/>
      <c r="T1191" s="84"/>
      <c r="U1191" s="84"/>
      <c r="V1191" s="84"/>
      <c r="W1191" s="84"/>
      <c r="X1191" s="84"/>
      <c r="Y1191" s="84"/>
      <c r="Z1191" s="84"/>
      <c r="AA1191" s="84"/>
    </row>
    <row r="1192" ht="15.75" customHeight="1">
      <c r="A1192" s="14" t="s">
        <v>2137</v>
      </c>
      <c r="B1192" s="15" t="s">
        <v>15399</v>
      </c>
      <c r="C1192" s="14" t="s">
        <v>14578</v>
      </c>
      <c r="D1192" s="14" t="s">
        <v>14579</v>
      </c>
      <c r="E1192" s="26" t="str">
        <f t="shared" si="26"/>
        <v>http://dx.doi.org/10.1109/INFVIS.2004.75</v>
      </c>
      <c r="F1192" s="14">
        <v>6.0</v>
      </c>
      <c r="G1192" s="14">
        <v>6.0</v>
      </c>
      <c r="H1192" s="14" t="s">
        <v>21</v>
      </c>
      <c r="I1192" s="19" t="s">
        <v>15558</v>
      </c>
      <c r="J1192" s="19" t="s">
        <v>14584</v>
      </c>
      <c r="K1192" s="19" t="s">
        <v>15559</v>
      </c>
      <c r="L1192" s="19" t="s">
        <v>15560</v>
      </c>
      <c r="M1192" s="20"/>
      <c r="N1192" s="27"/>
      <c r="O1192" s="22">
        <v>50.0</v>
      </c>
      <c r="P1192" s="28">
        <v>2.0</v>
      </c>
      <c r="Q1192" s="28">
        <v>9.0</v>
      </c>
      <c r="R1192" s="84"/>
      <c r="S1192" s="84"/>
      <c r="T1192" s="84"/>
      <c r="U1192" s="84"/>
      <c r="V1192" s="84"/>
      <c r="W1192" s="84"/>
      <c r="X1192" s="84"/>
      <c r="Y1192" s="84"/>
      <c r="Z1192" s="84"/>
      <c r="AA1192" s="84"/>
    </row>
    <row r="1193" ht="15.75" customHeight="1">
      <c r="A1193" s="14" t="s">
        <v>2137</v>
      </c>
      <c r="B1193" s="15" t="s">
        <v>15399</v>
      </c>
      <c r="C1193" s="14" t="s">
        <v>14586</v>
      </c>
      <c r="D1193" s="14" t="s">
        <v>14587</v>
      </c>
      <c r="E1193" s="26" t="str">
        <f t="shared" si="26"/>
        <v>http://dx.doi.org/10.1109/INFVIS.2004.76</v>
      </c>
      <c r="F1193" s="14">
        <v>20.0</v>
      </c>
      <c r="G1193" s="14">
        <v>20.0</v>
      </c>
      <c r="H1193" s="14" t="s">
        <v>21</v>
      </c>
      <c r="I1193" s="19" t="s">
        <v>15561</v>
      </c>
      <c r="J1193" s="19" t="s">
        <v>14589</v>
      </c>
      <c r="K1193" s="19" t="s">
        <v>15562</v>
      </c>
      <c r="L1193" s="19" t="s">
        <v>15563</v>
      </c>
      <c r="M1193" s="20"/>
      <c r="N1193" s="27"/>
      <c r="O1193" s="22">
        <v>50.0</v>
      </c>
      <c r="P1193" s="28">
        <v>1.0</v>
      </c>
      <c r="Q1193" s="28">
        <v>4.0</v>
      </c>
      <c r="R1193" s="84"/>
      <c r="S1193" s="84"/>
      <c r="T1193" s="84"/>
      <c r="U1193" s="84"/>
      <c r="V1193" s="84"/>
      <c r="W1193" s="84"/>
      <c r="X1193" s="84"/>
      <c r="Y1193" s="84"/>
      <c r="Z1193" s="84"/>
      <c r="AA1193" s="84"/>
    </row>
    <row r="1194" ht="15.75" customHeight="1">
      <c r="A1194" s="14" t="s">
        <v>2137</v>
      </c>
      <c r="B1194" s="15" t="s">
        <v>15399</v>
      </c>
      <c r="C1194" s="14" t="s">
        <v>14591</v>
      </c>
      <c r="D1194" s="14" t="s">
        <v>14592</v>
      </c>
      <c r="E1194" s="26" t="str">
        <f t="shared" si="26"/>
        <v>http://dx.doi.org/10.1109/INFVIS.2004.77</v>
      </c>
      <c r="F1194" s="14" t="s">
        <v>14597</v>
      </c>
      <c r="G1194" s="14" t="s">
        <v>14597</v>
      </c>
      <c r="H1194" s="14" t="s">
        <v>21</v>
      </c>
      <c r="I1194" s="19" t="s">
        <v>15564</v>
      </c>
      <c r="J1194" s="19" t="s">
        <v>14537</v>
      </c>
      <c r="K1194" s="19" t="s">
        <v>15565</v>
      </c>
      <c r="L1194" s="19" t="s">
        <v>15530</v>
      </c>
      <c r="M1194" s="20"/>
      <c r="N1194" s="27"/>
      <c r="O1194" s="22">
        <v>50.0</v>
      </c>
      <c r="P1194" s="28">
        <v>5.0</v>
      </c>
      <c r="Q1194" s="28">
        <v>7.0</v>
      </c>
      <c r="R1194" s="84"/>
      <c r="S1194" s="84"/>
      <c r="T1194" s="84"/>
      <c r="U1194" s="84"/>
      <c r="V1194" s="84"/>
      <c r="W1194" s="84"/>
      <c r="X1194" s="84"/>
      <c r="Y1194" s="84"/>
      <c r="Z1194" s="84"/>
      <c r="AA1194" s="84"/>
    </row>
    <row r="1195" ht="15.75" customHeight="1">
      <c r="A1195" s="14" t="s">
        <v>2137</v>
      </c>
      <c r="B1195" s="15" t="s">
        <v>15399</v>
      </c>
      <c r="C1195" s="14" t="s">
        <v>14599</v>
      </c>
      <c r="D1195" s="14" t="s">
        <v>14600</v>
      </c>
      <c r="E1195" s="26" t="str">
        <f t="shared" si="26"/>
        <v>http://dx.doi.org/10.1109/INFVIS.2004.8</v>
      </c>
      <c r="F1195" s="14">
        <v>105.0</v>
      </c>
      <c r="G1195" s="14">
        <v>111.0</v>
      </c>
      <c r="H1195" s="14" t="s">
        <v>28</v>
      </c>
      <c r="I1195" s="19" t="s">
        <v>15566</v>
      </c>
      <c r="J1195" s="19" t="s">
        <v>15567</v>
      </c>
      <c r="K1195" s="19" t="s">
        <v>15568</v>
      </c>
      <c r="L1195" s="19" t="s">
        <v>15569</v>
      </c>
      <c r="M1195" s="20"/>
      <c r="N1195" s="44" t="s">
        <v>14607</v>
      </c>
      <c r="O1195" s="22">
        <v>50.0</v>
      </c>
      <c r="P1195" s="28">
        <v>12.0</v>
      </c>
      <c r="Q1195" s="28">
        <v>15.0</v>
      </c>
      <c r="R1195" s="84"/>
      <c r="S1195" s="84"/>
      <c r="T1195" s="84"/>
      <c r="U1195" s="84"/>
      <c r="V1195" s="84"/>
      <c r="W1195" s="84"/>
      <c r="X1195" s="84"/>
      <c r="Y1195" s="84"/>
      <c r="Z1195" s="84"/>
      <c r="AA1195" s="84"/>
    </row>
    <row r="1196" ht="15.75" customHeight="1">
      <c r="A1196" s="14" t="s">
        <v>17</v>
      </c>
      <c r="B1196" s="15" t="s">
        <v>15399</v>
      </c>
      <c r="C1196" s="14" t="s">
        <v>14608</v>
      </c>
      <c r="D1196" s="14" t="s">
        <v>14609</v>
      </c>
      <c r="E1196" s="26" t="str">
        <f t="shared" si="26"/>
        <v>http://dx.doi.org/10.1109/VISUAL.2004.10</v>
      </c>
      <c r="F1196" s="14">
        <v>7.0</v>
      </c>
      <c r="G1196" s="14">
        <v>7.0</v>
      </c>
      <c r="H1196" s="14" t="s">
        <v>21</v>
      </c>
      <c r="I1196" s="19" t="s">
        <v>15570</v>
      </c>
      <c r="J1196" s="19" t="s">
        <v>14614</v>
      </c>
      <c r="K1196" s="19" t="s">
        <v>15571</v>
      </c>
      <c r="L1196" s="19" t="s">
        <v>15572</v>
      </c>
      <c r="M1196" s="20"/>
      <c r="N1196" s="27"/>
      <c r="O1196" s="22">
        <v>50.0</v>
      </c>
      <c r="P1196" s="28">
        <v>5.0</v>
      </c>
      <c r="Q1196" s="28">
        <v>2.0</v>
      </c>
      <c r="R1196" s="84"/>
      <c r="S1196" s="84"/>
      <c r="T1196" s="84"/>
      <c r="U1196" s="84"/>
      <c r="V1196" s="84"/>
      <c r="W1196" s="84"/>
      <c r="X1196" s="84"/>
      <c r="Y1196" s="84"/>
      <c r="Z1196" s="84"/>
      <c r="AA1196" s="84"/>
    </row>
    <row r="1197" ht="15.75" customHeight="1">
      <c r="A1197" s="14" t="s">
        <v>17</v>
      </c>
      <c r="B1197" s="15" t="s">
        <v>15399</v>
      </c>
      <c r="C1197" s="14" t="s">
        <v>14616</v>
      </c>
      <c r="D1197" s="14" t="s">
        <v>14617</v>
      </c>
      <c r="E1197" s="26" t="str">
        <f t="shared" si="26"/>
        <v>http://dx.doi.org/10.1109/VISUAL.2004.101</v>
      </c>
      <c r="F1197" s="14">
        <v>259.0</v>
      </c>
      <c r="G1197" s="14">
        <v>266.0</v>
      </c>
      <c r="H1197" s="14" t="s">
        <v>28</v>
      </c>
      <c r="I1197" s="19" t="s">
        <v>15573</v>
      </c>
      <c r="J1197" s="19" t="s">
        <v>14686</v>
      </c>
      <c r="K1197" s="19" t="s">
        <v>15574</v>
      </c>
      <c r="L1197" s="19" t="s">
        <v>333</v>
      </c>
      <c r="M1197" s="20" t="s">
        <v>13266</v>
      </c>
      <c r="N1197" s="44" t="s">
        <v>14687</v>
      </c>
      <c r="O1197" s="22">
        <v>53.0</v>
      </c>
      <c r="P1197" s="28">
        <v>24.0</v>
      </c>
      <c r="Q1197" s="28">
        <v>27.0</v>
      </c>
      <c r="R1197" s="84"/>
      <c r="S1197" s="84"/>
      <c r="T1197" s="84"/>
      <c r="U1197" s="84"/>
      <c r="V1197" s="84"/>
      <c r="W1197" s="84"/>
      <c r="X1197" s="84"/>
      <c r="Y1197" s="84"/>
      <c r="Z1197" s="84"/>
      <c r="AA1197" s="84"/>
    </row>
    <row r="1198" ht="15.75" customHeight="1">
      <c r="A1198" s="14" t="s">
        <v>17</v>
      </c>
      <c r="B1198" s="15" t="s">
        <v>15399</v>
      </c>
      <c r="C1198" s="14" t="s">
        <v>14688</v>
      </c>
      <c r="D1198" s="14" t="s">
        <v>14689</v>
      </c>
      <c r="E1198" s="26" t="str">
        <f t="shared" si="26"/>
        <v>http://dx.doi.org/10.1109/VISUAL.2004.102</v>
      </c>
      <c r="F1198" s="14">
        <v>433.0</v>
      </c>
      <c r="G1198" s="14">
        <v>440.0</v>
      </c>
      <c r="H1198" s="14" t="s">
        <v>28</v>
      </c>
      <c r="I1198" s="19" t="s">
        <v>15575</v>
      </c>
      <c r="J1198" s="19" t="s">
        <v>14691</v>
      </c>
      <c r="K1198" s="19" t="s">
        <v>15576</v>
      </c>
      <c r="L1198" s="19" t="s">
        <v>15577</v>
      </c>
      <c r="M1198" s="20" t="s">
        <v>14693</v>
      </c>
      <c r="N1198" s="44" t="s">
        <v>14694</v>
      </c>
      <c r="O1198" s="22">
        <v>17.0</v>
      </c>
      <c r="P1198" s="28">
        <v>4.0</v>
      </c>
      <c r="Q1198" s="28">
        <v>22.0</v>
      </c>
      <c r="R1198" s="84"/>
      <c r="S1198" s="84"/>
      <c r="T1198" s="84"/>
      <c r="U1198" s="84"/>
      <c r="V1198" s="84"/>
      <c r="W1198" s="84"/>
      <c r="X1198" s="84"/>
      <c r="Y1198" s="84"/>
      <c r="Z1198" s="84"/>
      <c r="AA1198" s="84"/>
    </row>
    <row r="1199" ht="15.75" customHeight="1">
      <c r="A1199" s="14" t="s">
        <v>17</v>
      </c>
      <c r="B1199" s="15" t="s">
        <v>15399</v>
      </c>
      <c r="C1199" s="14" t="s">
        <v>14695</v>
      </c>
      <c r="D1199" s="14" t="s">
        <v>14696</v>
      </c>
      <c r="E1199" s="26" t="str">
        <f t="shared" si="26"/>
        <v>http://dx.doi.org/10.1109/VISUAL.2004.103</v>
      </c>
      <c r="F1199" s="14">
        <v>243.0</v>
      </c>
      <c r="G1199" s="14">
        <v>250.0</v>
      </c>
      <c r="H1199" s="14" t="s">
        <v>28</v>
      </c>
      <c r="I1199" s="19" t="s">
        <v>15578</v>
      </c>
      <c r="J1199" s="19" t="s">
        <v>14614</v>
      </c>
      <c r="K1199" s="19" t="s">
        <v>15579</v>
      </c>
      <c r="L1199" s="19" t="s">
        <v>15580</v>
      </c>
      <c r="M1199" s="20" t="s">
        <v>14699</v>
      </c>
      <c r="N1199" s="44" t="s">
        <v>14700</v>
      </c>
      <c r="O1199" s="22">
        <v>104.0</v>
      </c>
      <c r="P1199" s="28">
        <v>14.0</v>
      </c>
      <c r="Q1199" s="28">
        <v>31.0</v>
      </c>
      <c r="R1199" s="84"/>
      <c r="S1199" s="84"/>
      <c r="T1199" s="84"/>
      <c r="U1199" s="84"/>
      <c r="V1199" s="84"/>
      <c r="W1199" s="84"/>
      <c r="X1199" s="84"/>
      <c r="Y1199" s="84"/>
      <c r="Z1199" s="84"/>
      <c r="AA1199" s="84"/>
    </row>
    <row r="1200" ht="15.75" customHeight="1">
      <c r="A1200" s="14" t="s">
        <v>17</v>
      </c>
      <c r="B1200" s="15" t="s">
        <v>15399</v>
      </c>
      <c r="C1200" s="14" t="s">
        <v>14701</v>
      </c>
      <c r="D1200" s="14" t="s">
        <v>14702</v>
      </c>
      <c r="E1200" s="26" t="str">
        <f t="shared" si="26"/>
        <v>http://dx.doi.org/10.1109/VISUAL.2004.104</v>
      </c>
      <c r="F1200" s="14">
        <v>385.0</v>
      </c>
      <c r="G1200" s="14">
        <v>392.0</v>
      </c>
      <c r="H1200" s="14" t="s">
        <v>28</v>
      </c>
      <c r="I1200" s="19" t="s">
        <v>15581</v>
      </c>
      <c r="J1200" s="19" t="s">
        <v>15582</v>
      </c>
      <c r="K1200" s="19" t="s">
        <v>15583</v>
      </c>
      <c r="L1200" s="19" t="s">
        <v>15584</v>
      </c>
      <c r="M1200" s="20" t="s">
        <v>14706</v>
      </c>
      <c r="N1200" s="44" t="s">
        <v>14707</v>
      </c>
      <c r="O1200" s="22">
        <v>78.0</v>
      </c>
      <c r="P1200" s="28">
        <v>15.0</v>
      </c>
      <c r="Q1200" s="28">
        <v>20.0</v>
      </c>
      <c r="R1200" s="84"/>
      <c r="S1200" s="84"/>
      <c r="T1200" s="84"/>
      <c r="U1200" s="84"/>
      <c r="V1200" s="84"/>
      <c r="W1200" s="84"/>
      <c r="X1200" s="84"/>
      <c r="Y1200" s="84"/>
      <c r="Z1200" s="84"/>
      <c r="AA1200" s="84"/>
    </row>
    <row r="1201" ht="15.75" customHeight="1">
      <c r="A1201" s="14" t="s">
        <v>17</v>
      </c>
      <c r="B1201" s="15" t="s">
        <v>15399</v>
      </c>
      <c r="C1201" s="14" t="s">
        <v>14708</v>
      </c>
      <c r="D1201" s="14" t="s">
        <v>14709</v>
      </c>
      <c r="E1201" s="26" t="str">
        <f t="shared" si="26"/>
        <v>http://dx.doi.org/10.1109/VISUAL.2004.105</v>
      </c>
      <c r="F1201" s="14">
        <v>313.0</v>
      </c>
      <c r="G1201" s="14">
        <v>320.0</v>
      </c>
      <c r="H1201" s="14" t="s">
        <v>28</v>
      </c>
      <c r="I1201" s="19" t="s">
        <v>15585</v>
      </c>
      <c r="J1201" s="19" t="s">
        <v>12502</v>
      </c>
      <c r="K1201" s="19" t="s">
        <v>15586</v>
      </c>
      <c r="L1201" s="19" t="s">
        <v>14247</v>
      </c>
      <c r="M1201" s="20" t="s">
        <v>14711</v>
      </c>
      <c r="N1201" s="44" t="s">
        <v>14712</v>
      </c>
      <c r="O1201" s="22">
        <v>63.0</v>
      </c>
      <c r="P1201" s="28">
        <v>20.0</v>
      </c>
      <c r="Q1201" s="28">
        <v>22.0</v>
      </c>
      <c r="R1201" s="84"/>
      <c r="S1201" s="84"/>
      <c r="T1201" s="84"/>
      <c r="U1201" s="84"/>
      <c r="V1201" s="84"/>
      <c r="W1201" s="84"/>
      <c r="X1201" s="84"/>
      <c r="Y1201" s="84"/>
      <c r="Z1201" s="84"/>
      <c r="AA1201" s="84"/>
    </row>
    <row r="1202" ht="15.75" customHeight="1">
      <c r="A1202" s="14" t="s">
        <v>17</v>
      </c>
      <c r="B1202" s="15" t="s">
        <v>15399</v>
      </c>
      <c r="C1202" s="14" t="s">
        <v>14713</v>
      </c>
      <c r="D1202" s="14" t="s">
        <v>14714</v>
      </c>
      <c r="E1202" s="26" t="str">
        <f t="shared" si="26"/>
        <v>http://dx.doi.org/10.1109/VISUAL.2004.106</v>
      </c>
      <c r="F1202" s="14">
        <v>337.0</v>
      </c>
      <c r="G1202" s="14">
        <v>344.0</v>
      </c>
      <c r="H1202" s="14" t="s">
        <v>28</v>
      </c>
      <c r="I1202" s="19" t="s">
        <v>15587</v>
      </c>
      <c r="J1202" s="19" t="s">
        <v>14716</v>
      </c>
      <c r="K1202" s="19" t="s">
        <v>15588</v>
      </c>
      <c r="L1202" s="19" t="s">
        <v>5251</v>
      </c>
      <c r="M1202" s="20" t="s">
        <v>5005</v>
      </c>
      <c r="N1202" s="44" t="s">
        <v>14718</v>
      </c>
      <c r="O1202" s="22">
        <v>7.0</v>
      </c>
      <c r="P1202" s="28">
        <v>1.0</v>
      </c>
      <c r="Q1202" s="28">
        <v>20.0</v>
      </c>
      <c r="R1202" s="84"/>
      <c r="S1202" s="84"/>
      <c r="T1202" s="84"/>
      <c r="U1202" s="84"/>
      <c r="V1202" s="84"/>
      <c r="W1202" s="84"/>
      <c r="X1202" s="84"/>
      <c r="Y1202" s="84"/>
      <c r="Z1202" s="84"/>
      <c r="AA1202" s="84"/>
    </row>
    <row r="1203" ht="15.75" customHeight="1">
      <c r="A1203" s="14" t="s">
        <v>17</v>
      </c>
      <c r="B1203" s="15" t="s">
        <v>15399</v>
      </c>
      <c r="C1203" s="14" t="s">
        <v>14719</v>
      </c>
      <c r="D1203" s="14" t="s">
        <v>14720</v>
      </c>
      <c r="E1203" s="26" t="str">
        <f t="shared" si="26"/>
        <v>http://dx.doi.org/10.1109/VISUAL.2004.107</v>
      </c>
      <c r="F1203" s="14">
        <v>329.0</v>
      </c>
      <c r="G1203" s="14">
        <v>336.0</v>
      </c>
      <c r="H1203" s="14" t="s">
        <v>28</v>
      </c>
      <c r="I1203" s="19" t="s">
        <v>15589</v>
      </c>
      <c r="J1203" s="19" t="s">
        <v>14722</v>
      </c>
      <c r="K1203" s="19" t="s">
        <v>15590</v>
      </c>
      <c r="L1203" s="19" t="s">
        <v>5255</v>
      </c>
      <c r="M1203" s="20" t="s">
        <v>14723</v>
      </c>
      <c r="N1203" s="44" t="s">
        <v>14724</v>
      </c>
      <c r="O1203" s="22">
        <v>95.0</v>
      </c>
      <c r="P1203" s="28">
        <v>24.0</v>
      </c>
      <c r="Q1203" s="28">
        <v>16.0</v>
      </c>
      <c r="R1203" s="84"/>
      <c r="S1203" s="84"/>
      <c r="T1203" s="84"/>
      <c r="U1203" s="84"/>
      <c r="V1203" s="84"/>
      <c r="W1203" s="84"/>
      <c r="X1203" s="84"/>
      <c r="Y1203" s="84"/>
      <c r="Z1203" s="84"/>
      <c r="AA1203" s="84"/>
    </row>
    <row r="1204" ht="15.75" customHeight="1">
      <c r="A1204" s="14" t="s">
        <v>17</v>
      </c>
      <c r="B1204" s="15" t="s">
        <v>15399</v>
      </c>
      <c r="C1204" s="14" t="s">
        <v>14725</v>
      </c>
      <c r="D1204" s="14" t="s">
        <v>14726</v>
      </c>
      <c r="E1204" s="26" t="str">
        <f t="shared" si="26"/>
        <v>http://dx.doi.org/10.1109/VISUAL.2004.108</v>
      </c>
      <c r="F1204" s="14">
        <v>25.0</v>
      </c>
      <c r="G1204" s="14">
        <v>25.0</v>
      </c>
      <c r="H1204" s="14" t="s">
        <v>21</v>
      </c>
      <c r="I1204" s="19" t="s">
        <v>15591</v>
      </c>
      <c r="J1204" s="19" t="s">
        <v>14728</v>
      </c>
      <c r="K1204" s="19" t="s">
        <v>15592</v>
      </c>
      <c r="L1204" s="19" t="s">
        <v>15593</v>
      </c>
      <c r="M1204" s="20"/>
      <c r="N1204" s="27"/>
      <c r="O1204" s="22">
        <v>50.0</v>
      </c>
      <c r="P1204" s="28">
        <v>1.0</v>
      </c>
      <c r="Q1204" s="28">
        <v>7.0</v>
      </c>
      <c r="R1204" s="84"/>
      <c r="S1204" s="84"/>
      <c r="T1204" s="84"/>
      <c r="U1204" s="84"/>
      <c r="V1204" s="84"/>
      <c r="W1204" s="84"/>
      <c r="X1204" s="84"/>
      <c r="Y1204" s="84"/>
      <c r="Z1204" s="84"/>
      <c r="AA1204" s="84"/>
    </row>
    <row r="1205" ht="15.75" customHeight="1">
      <c r="A1205" s="14" t="s">
        <v>17</v>
      </c>
      <c r="B1205" s="15" t="s">
        <v>15399</v>
      </c>
      <c r="C1205" s="14" t="s">
        <v>14730</v>
      </c>
      <c r="D1205" s="14" t="s">
        <v>14731</v>
      </c>
      <c r="E1205" s="26" t="str">
        <f t="shared" si="26"/>
        <v>http://dx.doi.org/10.1109/VISUAL.2004.109</v>
      </c>
      <c r="F1205" s="14">
        <v>1.0</v>
      </c>
      <c r="G1205" s="14">
        <v>1.0</v>
      </c>
      <c r="H1205" s="14" t="s">
        <v>21</v>
      </c>
      <c r="I1205" s="18"/>
      <c r="J1205" s="19" t="s">
        <v>14733</v>
      </c>
      <c r="K1205" s="19" t="s">
        <v>15594</v>
      </c>
      <c r="L1205" s="19" t="s">
        <v>13176</v>
      </c>
      <c r="M1205" s="20"/>
      <c r="N1205" s="27"/>
      <c r="O1205" s="22">
        <v>2.0</v>
      </c>
      <c r="P1205" s="28">
        <v>0.0</v>
      </c>
      <c r="Q1205" s="28">
        <v>1.0</v>
      </c>
      <c r="R1205" s="84"/>
      <c r="S1205" s="84"/>
      <c r="T1205" s="84"/>
      <c r="U1205" s="84"/>
      <c r="V1205" s="84"/>
      <c r="W1205" s="84"/>
      <c r="X1205" s="84"/>
      <c r="Y1205" s="84"/>
      <c r="Z1205" s="84"/>
      <c r="AA1205" s="84"/>
    </row>
    <row r="1206" ht="15.75" customHeight="1">
      <c r="A1206" s="14" t="s">
        <v>17</v>
      </c>
      <c r="B1206" s="15" t="s">
        <v>15399</v>
      </c>
      <c r="C1206" s="14" t="s">
        <v>14735</v>
      </c>
      <c r="D1206" s="14" t="s">
        <v>14736</v>
      </c>
      <c r="E1206" s="26" t="str">
        <f t="shared" si="26"/>
        <v>http://dx.doi.org/10.1109/VISUAL.2004.11</v>
      </c>
      <c r="F1206" s="14">
        <v>30.0</v>
      </c>
      <c r="G1206" s="14">
        <v>30.0</v>
      </c>
      <c r="H1206" s="14" t="s">
        <v>21</v>
      </c>
      <c r="I1206" s="18"/>
      <c r="J1206" s="19" t="s">
        <v>14738</v>
      </c>
      <c r="K1206" s="19" t="s">
        <v>15595</v>
      </c>
      <c r="L1206" s="19" t="s">
        <v>15411</v>
      </c>
      <c r="M1206" s="20"/>
      <c r="N1206" s="27"/>
      <c r="O1206" s="22">
        <v>0.0</v>
      </c>
      <c r="P1206" s="28">
        <v>0.0</v>
      </c>
      <c r="Q1206" s="28">
        <v>0.0</v>
      </c>
      <c r="R1206" s="84"/>
      <c r="S1206" s="84"/>
      <c r="T1206" s="84"/>
      <c r="U1206" s="84"/>
      <c r="V1206" s="84"/>
      <c r="W1206" s="84"/>
      <c r="X1206" s="84"/>
      <c r="Y1206" s="84"/>
      <c r="Z1206" s="84"/>
      <c r="AA1206" s="84"/>
    </row>
    <row r="1207" ht="15.75" customHeight="1">
      <c r="A1207" s="14" t="s">
        <v>17</v>
      </c>
      <c r="B1207" s="15" t="s">
        <v>15399</v>
      </c>
      <c r="C1207" s="14" t="s">
        <v>14740</v>
      </c>
      <c r="D1207" s="14" t="s">
        <v>14741</v>
      </c>
      <c r="E1207" s="26" t="str">
        <f t="shared" si="26"/>
        <v>http://dx.doi.org/10.1109/VISUAL.2004.110</v>
      </c>
      <c r="F1207" s="14">
        <v>147.0</v>
      </c>
      <c r="G1207" s="14">
        <v>154.0</v>
      </c>
      <c r="H1207" s="14" t="s">
        <v>28</v>
      </c>
      <c r="I1207" s="19" t="s">
        <v>15596</v>
      </c>
      <c r="J1207" s="19" t="s">
        <v>14743</v>
      </c>
      <c r="K1207" s="19" t="s">
        <v>15597</v>
      </c>
      <c r="L1207" s="19" t="s">
        <v>15598</v>
      </c>
      <c r="M1207" s="20" t="s">
        <v>14745</v>
      </c>
      <c r="N1207" s="44" t="s">
        <v>14746</v>
      </c>
      <c r="O1207" s="22">
        <v>27.0</v>
      </c>
      <c r="P1207" s="28">
        <v>1.0</v>
      </c>
      <c r="Q1207" s="28">
        <v>32.0</v>
      </c>
      <c r="R1207" s="84"/>
      <c r="S1207" s="84"/>
      <c r="T1207" s="84"/>
      <c r="U1207" s="84"/>
      <c r="V1207" s="84"/>
      <c r="W1207" s="84"/>
      <c r="X1207" s="84"/>
      <c r="Y1207" s="84"/>
      <c r="Z1207" s="84"/>
      <c r="AA1207" s="84"/>
    </row>
    <row r="1208" ht="15.75" customHeight="1">
      <c r="A1208" s="14" t="s">
        <v>17</v>
      </c>
      <c r="B1208" s="15" t="s">
        <v>15399</v>
      </c>
      <c r="C1208" s="14" t="s">
        <v>14747</v>
      </c>
      <c r="D1208" s="14" t="s">
        <v>14748</v>
      </c>
      <c r="E1208" s="26" t="str">
        <f t="shared" si="26"/>
        <v>http://dx.doi.org/10.1109/VISUAL.2004.111</v>
      </c>
      <c r="F1208" s="14">
        <v>3.0</v>
      </c>
      <c r="G1208" s="14">
        <v>3.0</v>
      </c>
      <c r="H1208" s="14" t="s">
        <v>21</v>
      </c>
      <c r="I1208" s="19" t="s">
        <v>15599</v>
      </c>
      <c r="J1208" s="19" t="s">
        <v>15600</v>
      </c>
      <c r="K1208" s="19" t="s">
        <v>15601</v>
      </c>
      <c r="L1208" s="19" t="s">
        <v>15602</v>
      </c>
      <c r="M1208" s="20"/>
      <c r="N1208" s="27"/>
      <c r="O1208" s="22">
        <v>3.0</v>
      </c>
      <c r="P1208" s="28">
        <v>0.0</v>
      </c>
      <c r="Q1208" s="28">
        <v>0.0</v>
      </c>
      <c r="R1208" s="84"/>
      <c r="S1208" s="84"/>
      <c r="T1208" s="84"/>
      <c r="U1208" s="84"/>
      <c r="V1208" s="84"/>
      <c r="W1208" s="84"/>
      <c r="X1208" s="84"/>
      <c r="Y1208" s="84"/>
      <c r="Z1208" s="84"/>
      <c r="AA1208" s="84"/>
    </row>
    <row r="1209" ht="15.75" customHeight="1">
      <c r="A1209" s="14" t="s">
        <v>17</v>
      </c>
      <c r="B1209" s="15" t="s">
        <v>15399</v>
      </c>
      <c r="C1209" s="14" t="s">
        <v>14752</v>
      </c>
      <c r="D1209" s="14" t="s">
        <v>14753</v>
      </c>
      <c r="E1209" s="26" t="str">
        <f t="shared" si="26"/>
        <v>http://dx.doi.org/10.1109/VISUAL.2004.112</v>
      </c>
      <c r="F1209" s="14">
        <v>155.0</v>
      </c>
      <c r="G1209" s="14">
        <v>162.0</v>
      </c>
      <c r="H1209" s="14" t="s">
        <v>28</v>
      </c>
      <c r="I1209" s="19" t="s">
        <v>15603</v>
      </c>
      <c r="J1209" s="19" t="s">
        <v>14755</v>
      </c>
      <c r="K1209" s="19" t="s">
        <v>15604</v>
      </c>
      <c r="L1209" s="19" t="s">
        <v>15605</v>
      </c>
      <c r="M1209" s="20" t="s">
        <v>3639</v>
      </c>
      <c r="N1209" s="44" t="s">
        <v>14757</v>
      </c>
      <c r="O1209" s="22">
        <v>99.0</v>
      </c>
      <c r="P1209" s="28">
        <v>30.0</v>
      </c>
      <c r="Q1209" s="28">
        <v>19.0</v>
      </c>
      <c r="R1209" s="84"/>
      <c r="S1209" s="84"/>
      <c r="T1209" s="84"/>
      <c r="U1209" s="84"/>
      <c r="V1209" s="84"/>
      <c r="W1209" s="84"/>
      <c r="X1209" s="84"/>
      <c r="Y1209" s="84"/>
      <c r="Z1209" s="84"/>
      <c r="AA1209" s="84"/>
    </row>
    <row r="1210" ht="15.75" customHeight="1">
      <c r="A1210" s="14" t="s">
        <v>17</v>
      </c>
      <c r="B1210" s="15" t="s">
        <v>15399</v>
      </c>
      <c r="C1210" s="14" t="s">
        <v>14758</v>
      </c>
      <c r="D1210" s="14" t="s">
        <v>14759</v>
      </c>
      <c r="E1210" s="26" t="str">
        <f t="shared" si="26"/>
        <v>http://dx.doi.org/10.1109/VISUAL.2004.113</v>
      </c>
      <c r="F1210" s="14">
        <v>187.0</v>
      </c>
      <c r="G1210" s="14">
        <v>194.0</v>
      </c>
      <c r="H1210" s="14" t="s">
        <v>28</v>
      </c>
      <c r="I1210" s="19" t="s">
        <v>15606</v>
      </c>
      <c r="J1210" s="19" t="s">
        <v>15607</v>
      </c>
      <c r="K1210" s="19" t="s">
        <v>15608</v>
      </c>
      <c r="L1210" s="19" t="s">
        <v>1633</v>
      </c>
      <c r="M1210" s="20" t="s">
        <v>14763</v>
      </c>
      <c r="N1210" s="44" t="s">
        <v>14764</v>
      </c>
      <c r="O1210" s="22">
        <v>56.0</v>
      </c>
      <c r="P1210" s="28">
        <v>20.0</v>
      </c>
      <c r="Q1210" s="28">
        <v>32.0</v>
      </c>
      <c r="R1210" s="84"/>
      <c r="S1210" s="84"/>
      <c r="T1210" s="84"/>
      <c r="U1210" s="84"/>
      <c r="V1210" s="84"/>
      <c r="W1210" s="84"/>
      <c r="X1210" s="84"/>
      <c r="Y1210" s="84"/>
      <c r="Z1210" s="84"/>
      <c r="AA1210" s="84"/>
    </row>
    <row r="1211" ht="15.75" customHeight="1">
      <c r="A1211" s="14" t="s">
        <v>17</v>
      </c>
      <c r="B1211" s="15" t="s">
        <v>15399</v>
      </c>
      <c r="C1211" s="14" t="s">
        <v>14765</v>
      </c>
      <c r="D1211" s="14" t="s">
        <v>14766</v>
      </c>
      <c r="E1211" s="26" t="str">
        <f t="shared" si="26"/>
        <v>http://dx.doi.org/10.1109/VISUAL.2004.114</v>
      </c>
      <c r="F1211" s="14">
        <v>23.0</v>
      </c>
      <c r="G1211" s="14">
        <v>23.0</v>
      </c>
      <c r="H1211" s="14" t="s">
        <v>21</v>
      </c>
      <c r="I1211" s="19" t="s">
        <v>15609</v>
      </c>
      <c r="J1211" s="19" t="s">
        <v>14768</v>
      </c>
      <c r="K1211" s="19" t="s">
        <v>15610</v>
      </c>
      <c r="L1211" s="19" t="s">
        <v>15611</v>
      </c>
      <c r="M1211" s="20"/>
      <c r="N1211" s="27"/>
      <c r="O1211" s="22">
        <v>0.0</v>
      </c>
      <c r="P1211" s="28">
        <v>0.0</v>
      </c>
      <c r="Q1211" s="28">
        <v>9.0</v>
      </c>
      <c r="R1211" s="84"/>
      <c r="S1211" s="84"/>
      <c r="T1211" s="84"/>
      <c r="U1211" s="84"/>
      <c r="V1211" s="84"/>
      <c r="W1211" s="84"/>
      <c r="X1211" s="84"/>
      <c r="Y1211" s="84"/>
      <c r="Z1211" s="84"/>
      <c r="AA1211" s="84"/>
    </row>
    <row r="1212" ht="15.75" customHeight="1">
      <c r="A1212" s="14" t="s">
        <v>17</v>
      </c>
      <c r="B1212" s="15" t="s">
        <v>15399</v>
      </c>
      <c r="C1212" s="14" t="s">
        <v>14770</v>
      </c>
      <c r="D1212" s="14" t="s">
        <v>14771</v>
      </c>
      <c r="E1212" s="26" t="str">
        <f t="shared" si="26"/>
        <v>http://dx.doi.org/10.1109/VISUAL.2004.115</v>
      </c>
      <c r="F1212" s="14">
        <v>369.0</v>
      </c>
      <c r="G1212" s="14">
        <v>376.0</v>
      </c>
      <c r="H1212" s="14" t="s">
        <v>28</v>
      </c>
      <c r="I1212" s="19" t="s">
        <v>15612</v>
      </c>
      <c r="J1212" s="19" t="s">
        <v>14773</v>
      </c>
      <c r="K1212" s="19" t="s">
        <v>15613</v>
      </c>
      <c r="L1212" s="19" t="s">
        <v>15614</v>
      </c>
      <c r="M1212" s="20" t="s">
        <v>14775</v>
      </c>
      <c r="N1212" s="44" t="s">
        <v>14776</v>
      </c>
      <c r="O1212" s="22">
        <v>5.0</v>
      </c>
      <c r="P1212" s="28">
        <v>2.0</v>
      </c>
      <c r="Q1212" s="28">
        <v>26.0</v>
      </c>
      <c r="R1212" s="84"/>
      <c r="S1212" s="84"/>
      <c r="T1212" s="84"/>
      <c r="U1212" s="84"/>
      <c r="V1212" s="84"/>
      <c r="W1212" s="84"/>
      <c r="X1212" s="84"/>
      <c r="Y1212" s="84"/>
      <c r="Z1212" s="84"/>
      <c r="AA1212" s="84"/>
    </row>
    <row r="1213" ht="15.75" customHeight="1">
      <c r="A1213" s="14" t="s">
        <v>17</v>
      </c>
      <c r="B1213" s="15" t="s">
        <v>15399</v>
      </c>
      <c r="C1213" s="14" t="s">
        <v>14777</v>
      </c>
      <c r="D1213" s="14" t="s">
        <v>14778</v>
      </c>
      <c r="E1213" s="26" t="str">
        <f t="shared" si="26"/>
        <v>http://dx.doi.org/10.1109/VISUAL.2004.116</v>
      </c>
      <c r="F1213" s="14">
        <v>29.0</v>
      </c>
      <c r="G1213" s="14">
        <v>29.0</v>
      </c>
      <c r="H1213" s="14" t="s">
        <v>21</v>
      </c>
      <c r="I1213" s="18"/>
      <c r="J1213" s="19" t="s">
        <v>14780</v>
      </c>
      <c r="K1213" s="19" t="s">
        <v>15615</v>
      </c>
      <c r="L1213" s="19" t="s">
        <v>15616</v>
      </c>
      <c r="M1213" s="20"/>
      <c r="N1213" s="27"/>
      <c r="O1213" s="22">
        <v>50.0</v>
      </c>
      <c r="P1213" s="28">
        <v>0.0</v>
      </c>
      <c r="Q1213" s="28">
        <v>9.0</v>
      </c>
      <c r="R1213" s="84"/>
      <c r="S1213" s="84"/>
      <c r="T1213" s="84"/>
      <c r="U1213" s="84"/>
      <c r="V1213" s="84"/>
      <c r="W1213" s="84"/>
      <c r="X1213" s="84"/>
      <c r="Y1213" s="84"/>
      <c r="Z1213" s="84"/>
      <c r="AA1213" s="84"/>
    </row>
    <row r="1214" ht="15.75" customHeight="1">
      <c r="A1214" s="14" t="s">
        <v>17</v>
      </c>
      <c r="B1214" s="15" t="s">
        <v>15399</v>
      </c>
      <c r="C1214" s="14" t="s">
        <v>14782</v>
      </c>
      <c r="D1214" s="14" t="s">
        <v>14783</v>
      </c>
      <c r="E1214" s="26" t="str">
        <f t="shared" si="26"/>
        <v>http://dx.doi.org/10.1109/VISUAL.2004.117</v>
      </c>
      <c r="F1214" s="14">
        <v>21.0</v>
      </c>
      <c r="G1214" s="14">
        <v>21.0</v>
      </c>
      <c r="H1214" s="14" t="s">
        <v>21</v>
      </c>
      <c r="I1214" s="19" t="s">
        <v>15617</v>
      </c>
      <c r="J1214" s="19" t="s">
        <v>14785</v>
      </c>
      <c r="K1214" s="19" t="s">
        <v>15618</v>
      </c>
      <c r="L1214" s="19" t="s">
        <v>15616</v>
      </c>
      <c r="M1214" s="20"/>
      <c r="N1214" s="27"/>
      <c r="O1214" s="22">
        <v>8.0</v>
      </c>
      <c r="P1214" s="28">
        <v>3.0</v>
      </c>
      <c r="Q1214" s="28">
        <v>6.0</v>
      </c>
      <c r="R1214" s="84"/>
      <c r="S1214" s="84"/>
      <c r="T1214" s="84"/>
      <c r="U1214" s="84"/>
      <c r="V1214" s="84"/>
      <c r="W1214" s="84"/>
      <c r="X1214" s="84"/>
      <c r="Y1214" s="84"/>
      <c r="Z1214" s="84"/>
      <c r="AA1214" s="84"/>
    </row>
    <row r="1215" ht="15.75" customHeight="1">
      <c r="A1215" s="14" t="s">
        <v>17</v>
      </c>
      <c r="B1215" s="15" t="s">
        <v>15399</v>
      </c>
      <c r="C1215" s="14" t="s">
        <v>14787</v>
      </c>
      <c r="D1215" s="14" t="s">
        <v>14788</v>
      </c>
      <c r="E1215" s="26" t="str">
        <f t="shared" si="26"/>
        <v>http://dx.doi.org/10.1109/VISUAL.2004.118</v>
      </c>
      <c r="F1215" s="14">
        <v>20.0</v>
      </c>
      <c r="G1215" s="14">
        <v>20.0</v>
      </c>
      <c r="H1215" s="14" t="s">
        <v>21</v>
      </c>
      <c r="I1215" s="18"/>
      <c r="J1215" s="19" t="s">
        <v>14790</v>
      </c>
      <c r="K1215" s="19" t="s">
        <v>15619</v>
      </c>
      <c r="L1215" s="19" t="s">
        <v>15616</v>
      </c>
      <c r="M1215" s="20"/>
      <c r="N1215" s="27"/>
      <c r="O1215" s="22">
        <v>50.0</v>
      </c>
      <c r="P1215" s="28">
        <v>0.0</v>
      </c>
      <c r="Q1215" s="28">
        <v>7.0</v>
      </c>
      <c r="R1215" s="84"/>
      <c r="S1215" s="84"/>
      <c r="T1215" s="84"/>
      <c r="U1215" s="84"/>
      <c r="V1215" s="84"/>
      <c r="W1215" s="84"/>
      <c r="X1215" s="84"/>
      <c r="Y1215" s="84"/>
      <c r="Z1215" s="84"/>
      <c r="AA1215" s="84"/>
    </row>
    <row r="1216" ht="15.75" customHeight="1">
      <c r="A1216" s="14" t="s">
        <v>17</v>
      </c>
      <c r="B1216" s="15" t="s">
        <v>15399</v>
      </c>
      <c r="C1216" s="14" t="s">
        <v>14791</v>
      </c>
      <c r="D1216" s="14" t="s">
        <v>14792</v>
      </c>
      <c r="E1216" s="26" t="str">
        <f t="shared" si="26"/>
        <v>http://dx.doi.org/10.1109/VISUAL.2004.119</v>
      </c>
      <c r="F1216" s="14">
        <v>13.0</v>
      </c>
      <c r="G1216" s="14">
        <v>13.0</v>
      </c>
      <c r="H1216" s="14" t="s">
        <v>21</v>
      </c>
      <c r="I1216" s="18"/>
      <c r="J1216" s="19" t="s">
        <v>14738</v>
      </c>
      <c r="K1216" s="19" t="s">
        <v>15620</v>
      </c>
      <c r="L1216" s="19" t="s">
        <v>15621</v>
      </c>
      <c r="M1216" s="20"/>
      <c r="N1216" s="27"/>
      <c r="O1216" s="22">
        <v>5.0</v>
      </c>
      <c r="P1216" s="28">
        <v>0.0</v>
      </c>
      <c r="Q1216" s="28">
        <v>6.0</v>
      </c>
      <c r="R1216" s="84"/>
      <c r="S1216" s="84"/>
      <c r="T1216" s="84"/>
      <c r="U1216" s="84"/>
      <c r="V1216" s="84"/>
      <c r="W1216" s="84"/>
      <c r="X1216" s="84"/>
      <c r="Y1216" s="84"/>
      <c r="Z1216" s="84"/>
      <c r="AA1216" s="84"/>
    </row>
    <row r="1217" ht="15.75" customHeight="1">
      <c r="A1217" s="14" t="s">
        <v>17</v>
      </c>
      <c r="B1217" s="15" t="s">
        <v>15399</v>
      </c>
      <c r="C1217" s="14" t="s">
        <v>14795</v>
      </c>
      <c r="D1217" s="14" t="s">
        <v>14796</v>
      </c>
      <c r="E1217" s="26" t="str">
        <f t="shared" si="26"/>
        <v>http://dx.doi.org/10.1109/VISUAL.2004.12</v>
      </c>
      <c r="F1217" s="14" t="s">
        <v>14798</v>
      </c>
      <c r="G1217" s="14"/>
      <c r="H1217" s="14" t="s">
        <v>21</v>
      </c>
      <c r="I1217" s="19" t="s">
        <v>15622</v>
      </c>
      <c r="J1217" s="19" t="s">
        <v>13656</v>
      </c>
      <c r="K1217" s="19" t="s">
        <v>13114</v>
      </c>
      <c r="L1217" s="19" t="s">
        <v>15623</v>
      </c>
      <c r="M1217" s="20"/>
      <c r="N1217" s="27"/>
      <c r="O1217" s="22">
        <v>0.0</v>
      </c>
      <c r="P1217" s="28">
        <v>1.0</v>
      </c>
      <c r="Q1217" s="28">
        <v>0.0</v>
      </c>
      <c r="R1217" s="84"/>
      <c r="S1217" s="84"/>
      <c r="T1217" s="84"/>
      <c r="U1217" s="84"/>
      <c r="V1217" s="84"/>
      <c r="W1217" s="84"/>
      <c r="X1217" s="84"/>
      <c r="Y1217" s="84"/>
      <c r="Z1217" s="84"/>
      <c r="AA1217" s="84"/>
    </row>
    <row r="1218" ht="15.75" customHeight="1">
      <c r="A1218" s="14" t="s">
        <v>17</v>
      </c>
      <c r="B1218" s="15" t="s">
        <v>15399</v>
      </c>
      <c r="C1218" s="14" t="s">
        <v>14800</v>
      </c>
      <c r="D1218" s="14" t="s">
        <v>14801</v>
      </c>
      <c r="E1218" s="26" t="str">
        <f t="shared" si="26"/>
        <v>http://dx.doi.org/10.1109/VISUAL.2004.120</v>
      </c>
      <c r="F1218" s="14">
        <v>163.0</v>
      </c>
      <c r="G1218" s="14">
        <v>170.0</v>
      </c>
      <c r="H1218" s="14" t="s">
        <v>28</v>
      </c>
      <c r="I1218" s="19" t="s">
        <v>15624</v>
      </c>
      <c r="J1218" s="19" t="s">
        <v>14803</v>
      </c>
      <c r="K1218" s="19" t="s">
        <v>15625</v>
      </c>
      <c r="L1218" s="19" t="s">
        <v>15626</v>
      </c>
      <c r="M1218" s="20"/>
      <c r="N1218" s="44" t="s">
        <v>14805</v>
      </c>
      <c r="O1218" s="22">
        <v>85.0</v>
      </c>
      <c r="P1218" s="28">
        <v>15.0</v>
      </c>
      <c r="Q1218" s="28">
        <v>14.0</v>
      </c>
      <c r="R1218" s="84"/>
      <c r="S1218" s="84"/>
      <c r="T1218" s="84"/>
      <c r="U1218" s="84"/>
      <c r="V1218" s="84"/>
      <c r="W1218" s="84"/>
      <c r="X1218" s="84"/>
      <c r="Y1218" s="84"/>
      <c r="Z1218" s="84"/>
      <c r="AA1218" s="84"/>
    </row>
    <row r="1219" ht="15.75" customHeight="1">
      <c r="A1219" s="14" t="s">
        <v>17</v>
      </c>
      <c r="B1219" s="15" t="s">
        <v>15399</v>
      </c>
      <c r="C1219" s="14" t="s">
        <v>14806</v>
      </c>
      <c r="D1219" s="14" t="s">
        <v>14807</v>
      </c>
      <c r="E1219" s="26" t="str">
        <f t="shared" si="26"/>
        <v>http://dx.doi.org/10.1109/VISUAL.2004.121</v>
      </c>
      <c r="F1219" s="14">
        <v>401.0</v>
      </c>
      <c r="G1219" s="14">
        <v>408.0</v>
      </c>
      <c r="H1219" s="14" t="s">
        <v>28</v>
      </c>
      <c r="I1219" s="19" t="s">
        <v>15627</v>
      </c>
      <c r="J1219" s="19" t="s">
        <v>14809</v>
      </c>
      <c r="K1219" s="19" t="s">
        <v>15628</v>
      </c>
      <c r="L1219" s="19" t="s">
        <v>15629</v>
      </c>
      <c r="M1219" s="20" t="s">
        <v>14811</v>
      </c>
      <c r="N1219" s="44" t="s">
        <v>14812</v>
      </c>
      <c r="O1219" s="22">
        <v>5.0</v>
      </c>
      <c r="P1219" s="28">
        <v>1.0</v>
      </c>
      <c r="Q1219" s="28">
        <v>26.0</v>
      </c>
      <c r="R1219" s="84"/>
      <c r="S1219" s="84"/>
      <c r="T1219" s="84"/>
      <c r="U1219" s="84"/>
      <c r="V1219" s="84"/>
      <c r="W1219" s="84"/>
      <c r="X1219" s="84"/>
      <c r="Y1219" s="84"/>
      <c r="Z1219" s="84"/>
      <c r="AA1219" s="84"/>
    </row>
    <row r="1220" ht="15.75" customHeight="1">
      <c r="A1220" s="14" t="s">
        <v>17</v>
      </c>
      <c r="B1220" s="15" t="s">
        <v>15399</v>
      </c>
      <c r="C1220" s="14" t="s">
        <v>14813</v>
      </c>
      <c r="D1220" s="14" t="s">
        <v>14814</v>
      </c>
      <c r="E1220" s="26" t="str">
        <f t="shared" si="26"/>
        <v>http://dx.doi.org/10.1109/VISUAL.2004.122</v>
      </c>
      <c r="F1220" s="14">
        <v>59.0</v>
      </c>
      <c r="G1220" s="14">
        <v>66.0</v>
      </c>
      <c r="H1220" s="14" t="s">
        <v>28</v>
      </c>
      <c r="I1220" s="19" t="s">
        <v>15630</v>
      </c>
      <c r="J1220" s="19" t="s">
        <v>15631</v>
      </c>
      <c r="K1220" s="19" t="s">
        <v>15632</v>
      </c>
      <c r="L1220" s="19" t="s">
        <v>14292</v>
      </c>
      <c r="M1220" s="20" t="s">
        <v>14818</v>
      </c>
      <c r="N1220" s="44" t="s">
        <v>14819</v>
      </c>
      <c r="O1220" s="22">
        <v>50.0</v>
      </c>
      <c r="P1220" s="28">
        <v>3.0</v>
      </c>
      <c r="Q1220" s="28">
        <v>15.0</v>
      </c>
      <c r="R1220" s="84"/>
      <c r="S1220" s="84"/>
      <c r="T1220" s="84"/>
      <c r="U1220" s="84"/>
      <c r="V1220" s="84"/>
      <c r="W1220" s="84"/>
      <c r="X1220" s="84"/>
      <c r="Y1220" s="84"/>
      <c r="Z1220" s="84"/>
      <c r="AA1220" s="84"/>
    </row>
    <row r="1221" ht="15.75" customHeight="1">
      <c r="A1221" s="14" t="s">
        <v>17</v>
      </c>
      <c r="B1221" s="15" t="s">
        <v>15399</v>
      </c>
      <c r="C1221" s="14" t="s">
        <v>14820</v>
      </c>
      <c r="D1221" s="14" t="s">
        <v>14821</v>
      </c>
      <c r="E1221" s="26" t="str">
        <f t="shared" si="26"/>
        <v>http://dx.doi.org/10.1109/VISUAL.2004.123</v>
      </c>
      <c r="F1221" s="14">
        <v>15.0</v>
      </c>
      <c r="G1221" s="14">
        <v>15.0</v>
      </c>
      <c r="H1221" s="14" t="s">
        <v>21</v>
      </c>
      <c r="I1221" s="18"/>
      <c r="J1221" s="19" t="s">
        <v>14823</v>
      </c>
      <c r="K1221" s="19" t="s">
        <v>15633</v>
      </c>
      <c r="L1221" s="19" t="s">
        <v>15634</v>
      </c>
      <c r="M1221" s="20"/>
      <c r="N1221" s="27"/>
      <c r="O1221" s="22">
        <v>0.0</v>
      </c>
      <c r="P1221" s="28">
        <v>0.0</v>
      </c>
      <c r="Q1221" s="28">
        <v>0.0</v>
      </c>
      <c r="R1221" s="84"/>
      <c r="S1221" s="84"/>
      <c r="T1221" s="84"/>
      <c r="U1221" s="84"/>
      <c r="V1221" s="84"/>
      <c r="W1221" s="84"/>
      <c r="X1221" s="84"/>
      <c r="Y1221" s="84"/>
      <c r="Z1221" s="84"/>
      <c r="AA1221" s="84"/>
    </row>
    <row r="1222" ht="15.75" customHeight="1">
      <c r="A1222" s="14" t="s">
        <v>17</v>
      </c>
      <c r="B1222" s="15" t="s">
        <v>15399</v>
      </c>
      <c r="C1222" s="14" t="s">
        <v>14825</v>
      </c>
      <c r="D1222" s="14" t="s">
        <v>14826</v>
      </c>
      <c r="E1222" s="26" t="str">
        <f t="shared" si="26"/>
        <v>http://dx.doi.org/10.1109/VISUAL.2004.124</v>
      </c>
      <c r="F1222" s="14">
        <v>16.0</v>
      </c>
      <c r="G1222" s="14">
        <v>16.0</v>
      </c>
      <c r="H1222" s="14" t="s">
        <v>21</v>
      </c>
      <c r="I1222" s="18"/>
      <c r="J1222" s="19" t="s">
        <v>14828</v>
      </c>
      <c r="K1222" s="19" t="s">
        <v>15635</v>
      </c>
      <c r="L1222" s="19" t="s">
        <v>15634</v>
      </c>
      <c r="M1222" s="20"/>
      <c r="N1222" s="27"/>
      <c r="O1222" s="22">
        <v>50.0</v>
      </c>
      <c r="P1222" s="28">
        <v>0.0</v>
      </c>
      <c r="Q1222" s="28">
        <v>0.0</v>
      </c>
      <c r="R1222" s="84"/>
      <c r="S1222" s="84"/>
      <c r="T1222" s="84"/>
      <c r="U1222" s="84"/>
      <c r="V1222" s="84"/>
      <c r="W1222" s="84"/>
      <c r="X1222" s="84"/>
      <c r="Y1222" s="84"/>
      <c r="Z1222" s="84"/>
      <c r="AA1222" s="84"/>
    </row>
    <row r="1223" ht="15.75" customHeight="1">
      <c r="A1223" s="14" t="s">
        <v>17</v>
      </c>
      <c r="B1223" s="15" t="s">
        <v>15399</v>
      </c>
      <c r="C1223" s="14" t="s">
        <v>14830</v>
      </c>
      <c r="D1223" s="14" t="s">
        <v>14831</v>
      </c>
      <c r="E1223" s="26" t="str">
        <f t="shared" si="26"/>
        <v>http://dx.doi.org/10.1109/VISUAL.2004.125</v>
      </c>
      <c r="F1223" s="14">
        <v>22.0</v>
      </c>
      <c r="G1223" s="14">
        <v>22.0</v>
      </c>
      <c r="H1223" s="14" t="s">
        <v>21</v>
      </c>
      <c r="I1223" s="18"/>
      <c r="J1223" s="19" t="s">
        <v>14833</v>
      </c>
      <c r="K1223" s="19" t="s">
        <v>15636</v>
      </c>
      <c r="L1223" s="19" t="s">
        <v>15634</v>
      </c>
      <c r="M1223" s="20"/>
      <c r="N1223" s="27"/>
      <c r="O1223" s="22">
        <v>50.0</v>
      </c>
      <c r="P1223" s="28">
        <v>0.0</v>
      </c>
      <c r="Q1223" s="28">
        <v>0.0</v>
      </c>
      <c r="R1223" s="84"/>
      <c r="S1223" s="84"/>
      <c r="T1223" s="84"/>
      <c r="U1223" s="84"/>
      <c r="V1223" s="84"/>
      <c r="W1223" s="84"/>
      <c r="X1223" s="84"/>
      <c r="Y1223" s="84"/>
      <c r="Z1223" s="84"/>
      <c r="AA1223" s="84"/>
    </row>
    <row r="1224" ht="15.75" customHeight="1">
      <c r="A1224" s="14" t="s">
        <v>17</v>
      </c>
      <c r="B1224" s="15" t="s">
        <v>15399</v>
      </c>
      <c r="C1224" s="42" t="s">
        <v>14834</v>
      </c>
      <c r="D1224" s="14" t="s">
        <v>14835</v>
      </c>
      <c r="E1224" s="26" t="str">
        <f t="shared" si="26"/>
        <v>http://dx.doi.org/10.1109/VISUAL.2004.126</v>
      </c>
      <c r="F1224" s="14">
        <v>19.0</v>
      </c>
      <c r="G1224" s="14">
        <v>19.0</v>
      </c>
      <c r="H1224" s="14" t="s">
        <v>21</v>
      </c>
      <c r="I1224" s="19" t="s">
        <v>15637</v>
      </c>
      <c r="J1224" s="19" t="s">
        <v>14837</v>
      </c>
      <c r="K1224" s="19" t="s">
        <v>15638</v>
      </c>
      <c r="L1224" s="19" t="s">
        <v>15554</v>
      </c>
      <c r="M1224" s="20"/>
      <c r="N1224" s="27"/>
      <c r="O1224" s="22">
        <v>28.0</v>
      </c>
      <c r="P1224" s="28">
        <v>3.0</v>
      </c>
      <c r="Q1224" s="28">
        <v>16.0</v>
      </c>
      <c r="R1224" s="84"/>
      <c r="S1224" s="84"/>
      <c r="T1224" s="84"/>
      <c r="U1224" s="84"/>
      <c r="V1224" s="84"/>
      <c r="W1224" s="84"/>
      <c r="X1224" s="84"/>
      <c r="Y1224" s="84"/>
      <c r="Z1224" s="84"/>
      <c r="AA1224" s="84"/>
    </row>
    <row r="1225" ht="15.75" customHeight="1">
      <c r="A1225" s="14" t="s">
        <v>17</v>
      </c>
      <c r="B1225" s="15" t="s">
        <v>15399</v>
      </c>
      <c r="C1225" s="14" t="s">
        <v>14839</v>
      </c>
      <c r="D1225" s="14" t="s">
        <v>14840</v>
      </c>
      <c r="E1225" s="26" t="str">
        <f t="shared" si="26"/>
        <v>http://dx.doi.org/10.1109/VISUAL.2004.127</v>
      </c>
      <c r="F1225" s="14">
        <v>449.0</v>
      </c>
      <c r="G1225" s="14">
        <v>455.0</v>
      </c>
      <c r="H1225" s="14" t="s">
        <v>28</v>
      </c>
      <c r="I1225" s="19" t="s">
        <v>15639</v>
      </c>
      <c r="J1225" s="19" t="s">
        <v>13656</v>
      </c>
      <c r="K1225" s="19" t="s">
        <v>15308</v>
      </c>
      <c r="L1225" s="19" t="s">
        <v>15640</v>
      </c>
      <c r="M1225" s="20" t="s">
        <v>14843</v>
      </c>
      <c r="N1225" s="44" t="s">
        <v>14844</v>
      </c>
      <c r="O1225" s="22">
        <v>50.0</v>
      </c>
      <c r="P1225" s="28">
        <v>1.0</v>
      </c>
      <c r="Q1225" s="28">
        <v>17.0</v>
      </c>
      <c r="R1225" s="84"/>
      <c r="S1225" s="84"/>
      <c r="T1225" s="84"/>
      <c r="U1225" s="84"/>
      <c r="V1225" s="84"/>
      <c r="W1225" s="84"/>
      <c r="X1225" s="84"/>
      <c r="Y1225" s="84"/>
      <c r="Z1225" s="84"/>
      <c r="AA1225" s="84"/>
    </row>
    <row r="1226" ht="15.75" customHeight="1">
      <c r="A1226" s="14" t="s">
        <v>17</v>
      </c>
      <c r="B1226" s="15" t="s">
        <v>15399</v>
      </c>
      <c r="C1226" s="14" t="s">
        <v>14845</v>
      </c>
      <c r="D1226" s="14" t="s">
        <v>14846</v>
      </c>
      <c r="E1226" s="26" t="str">
        <f t="shared" si="26"/>
        <v>http://dx.doi.org/10.1109/VISUAL.2004.128</v>
      </c>
      <c r="F1226" s="14">
        <v>179.0</v>
      </c>
      <c r="G1226" s="14">
        <v>186.0</v>
      </c>
      <c r="H1226" s="14" t="s">
        <v>28</v>
      </c>
      <c r="I1226" s="19" t="s">
        <v>15641</v>
      </c>
      <c r="J1226" s="19" t="s">
        <v>14848</v>
      </c>
      <c r="K1226" s="19" t="s">
        <v>15642</v>
      </c>
      <c r="L1226" s="19" t="s">
        <v>15643</v>
      </c>
      <c r="M1226" s="20" t="s">
        <v>14850</v>
      </c>
      <c r="N1226" s="44" t="s">
        <v>14851</v>
      </c>
      <c r="O1226" s="22">
        <v>38.0</v>
      </c>
      <c r="P1226" s="28">
        <v>14.0</v>
      </c>
      <c r="Q1226" s="28">
        <v>33.0</v>
      </c>
      <c r="R1226" s="84"/>
      <c r="S1226" s="84"/>
      <c r="T1226" s="84"/>
      <c r="U1226" s="84"/>
      <c r="V1226" s="84"/>
      <c r="W1226" s="84"/>
      <c r="X1226" s="84"/>
      <c r="Y1226" s="84"/>
      <c r="Z1226" s="84"/>
      <c r="AA1226" s="84"/>
    </row>
    <row r="1227" ht="15.75" customHeight="1">
      <c r="A1227" s="14" t="s">
        <v>17</v>
      </c>
      <c r="B1227" s="15" t="s">
        <v>15399</v>
      </c>
      <c r="C1227" s="14" t="s">
        <v>14852</v>
      </c>
      <c r="D1227" s="14" t="s">
        <v>14853</v>
      </c>
      <c r="E1227" s="26" t="str">
        <f t="shared" si="26"/>
        <v>http://dx.doi.org/10.1109/VISUAL.2004.13</v>
      </c>
      <c r="F1227" s="14">
        <v>43.0</v>
      </c>
      <c r="G1227" s="14">
        <v>50.0</v>
      </c>
      <c r="H1227" s="14" t="s">
        <v>28</v>
      </c>
      <c r="I1227" s="19" t="s">
        <v>15644</v>
      </c>
      <c r="J1227" s="19" t="s">
        <v>14855</v>
      </c>
      <c r="K1227" s="19" t="s">
        <v>15645</v>
      </c>
      <c r="L1227" s="19" t="s">
        <v>15646</v>
      </c>
      <c r="M1227" s="20" t="s">
        <v>14857</v>
      </c>
      <c r="N1227" s="44" t="s">
        <v>14858</v>
      </c>
      <c r="O1227" s="22">
        <v>52.0</v>
      </c>
      <c r="P1227" s="28">
        <v>7.0</v>
      </c>
      <c r="Q1227" s="28">
        <v>18.0</v>
      </c>
      <c r="R1227" s="84"/>
      <c r="S1227" s="84"/>
      <c r="T1227" s="84"/>
      <c r="U1227" s="84"/>
      <c r="V1227" s="84"/>
      <c r="W1227" s="84"/>
      <c r="X1227" s="84"/>
      <c r="Y1227" s="84"/>
      <c r="Z1227" s="84"/>
      <c r="AA1227" s="84"/>
    </row>
    <row r="1228" ht="15.75" customHeight="1">
      <c r="A1228" s="14" t="s">
        <v>17</v>
      </c>
      <c r="B1228" s="15" t="s">
        <v>15399</v>
      </c>
      <c r="C1228" s="14" t="s">
        <v>14859</v>
      </c>
      <c r="D1228" s="14" t="s">
        <v>14860</v>
      </c>
      <c r="E1228" s="26" t="str">
        <f t="shared" si="26"/>
        <v>http://dx.doi.org/10.1109/VISUAL.2004.14</v>
      </c>
      <c r="F1228" s="14">
        <v>10.0</v>
      </c>
      <c r="G1228" s="14">
        <v>10.0</v>
      </c>
      <c r="H1228" s="14" t="s">
        <v>21</v>
      </c>
      <c r="I1228" s="19" t="s">
        <v>15647</v>
      </c>
      <c r="J1228" s="19" t="s">
        <v>14862</v>
      </c>
      <c r="K1228" s="19" t="s">
        <v>15648</v>
      </c>
      <c r="L1228" s="19" t="s">
        <v>15649</v>
      </c>
      <c r="M1228" s="20"/>
      <c r="N1228" s="27"/>
      <c r="O1228" s="22">
        <v>8.0</v>
      </c>
      <c r="P1228" s="28">
        <v>0.0</v>
      </c>
      <c r="Q1228" s="28">
        <v>8.0</v>
      </c>
      <c r="R1228" s="84"/>
      <c r="S1228" s="84"/>
      <c r="T1228" s="84"/>
      <c r="U1228" s="84"/>
      <c r="V1228" s="84"/>
      <c r="W1228" s="84"/>
      <c r="X1228" s="84"/>
      <c r="Y1228" s="84"/>
      <c r="Z1228" s="84"/>
      <c r="AA1228" s="84"/>
    </row>
    <row r="1229" ht="15.75" customHeight="1">
      <c r="A1229" s="14" t="s">
        <v>17</v>
      </c>
      <c r="B1229" s="15" t="s">
        <v>15399</v>
      </c>
      <c r="C1229" s="14" t="s">
        <v>14864</v>
      </c>
      <c r="D1229" s="14" t="s">
        <v>14865</v>
      </c>
      <c r="E1229" s="26" t="str">
        <f t="shared" si="26"/>
        <v>http://dx.doi.org/10.1109/VISUAL.2004.15</v>
      </c>
      <c r="F1229" s="14">
        <v>211.0</v>
      </c>
      <c r="G1229" s="14">
        <v>217.0</v>
      </c>
      <c r="H1229" s="14" t="s">
        <v>28</v>
      </c>
      <c r="I1229" s="19" t="s">
        <v>15650</v>
      </c>
      <c r="J1229" s="19" t="s">
        <v>14867</v>
      </c>
      <c r="K1229" s="19" t="s">
        <v>15651</v>
      </c>
      <c r="L1229" s="18"/>
      <c r="M1229" s="20" t="s">
        <v>14868</v>
      </c>
      <c r="N1229" s="44" t="s">
        <v>14869</v>
      </c>
      <c r="O1229" s="22">
        <v>50.0</v>
      </c>
      <c r="P1229" s="28">
        <v>5.0</v>
      </c>
      <c r="Q1229" s="28">
        <v>33.0</v>
      </c>
      <c r="R1229" s="84"/>
      <c r="S1229" s="84"/>
      <c r="T1229" s="84"/>
      <c r="U1229" s="84"/>
      <c r="V1229" s="84"/>
      <c r="W1229" s="84"/>
      <c r="X1229" s="84"/>
      <c r="Y1229" s="84"/>
      <c r="Z1229" s="84"/>
      <c r="AA1229" s="84"/>
    </row>
    <row r="1230" ht="15.75" customHeight="1">
      <c r="A1230" s="14" t="s">
        <v>17</v>
      </c>
      <c r="B1230" s="15" t="s">
        <v>15399</v>
      </c>
      <c r="C1230" s="14" t="s">
        <v>14870</v>
      </c>
      <c r="D1230" s="14" t="s">
        <v>14871</v>
      </c>
      <c r="E1230" s="26" t="str">
        <f t="shared" si="26"/>
        <v>http://dx.doi.org/10.1109/VISUAL.2004.16</v>
      </c>
      <c r="F1230" s="14">
        <v>31.0</v>
      </c>
      <c r="G1230" s="14">
        <v>31.0</v>
      </c>
      <c r="H1230" s="14" t="s">
        <v>21</v>
      </c>
      <c r="I1230" s="19" t="s">
        <v>15652</v>
      </c>
      <c r="J1230" s="19" t="s">
        <v>14873</v>
      </c>
      <c r="K1230" s="19" t="s">
        <v>15653</v>
      </c>
      <c r="L1230" s="19" t="s">
        <v>15449</v>
      </c>
      <c r="M1230" s="20"/>
      <c r="N1230" s="27"/>
      <c r="O1230" s="22">
        <v>50.0</v>
      </c>
      <c r="P1230" s="28">
        <v>3.0</v>
      </c>
      <c r="Q1230" s="28">
        <v>3.0</v>
      </c>
      <c r="R1230" s="84"/>
      <c r="S1230" s="84"/>
      <c r="T1230" s="84"/>
      <c r="U1230" s="84"/>
      <c r="V1230" s="84"/>
      <c r="W1230" s="84"/>
      <c r="X1230" s="84"/>
      <c r="Y1230" s="84"/>
      <c r="Z1230" s="84"/>
      <c r="AA1230" s="84"/>
    </row>
    <row r="1231" ht="15.75" customHeight="1">
      <c r="A1231" s="14" t="s">
        <v>17</v>
      </c>
      <c r="B1231" s="15" t="s">
        <v>15399</v>
      </c>
      <c r="C1231" s="14" t="s">
        <v>14875</v>
      </c>
      <c r="D1231" s="14" t="s">
        <v>14876</v>
      </c>
      <c r="E1231" s="26" t="str">
        <f t="shared" si="26"/>
        <v>http://dx.doi.org/10.1109/VISUAL.2004.18</v>
      </c>
      <c r="F1231" s="14">
        <v>83.0</v>
      </c>
      <c r="G1231" s="14">
        <v>90.0</v>
      </c>
      <c r="H1231" s="14" t="s">
        <v>28</v>
      </c>
      <c r="I1231" s="19" t="s">
        <v>15654</v>
      </c>
      <c r="J1231" s="19" t="s">
        <v>14878</v>
      </c>
      <c r="K1231" s="19" t="s">
        <v>15655</v>
      </c>
      <c r="L1231" s="18"/>
      <c r="M1231" s="20"/>
      <c r="N1231" s="44" t="s">
        <v>14879</v>
      </c>
      <c r="O1231" s="22">
        <v>0.0</v>
      </c>
      <c r="P1231" s="28">
        <v>14.0</v>
      </c>
      <c r="Q1231" s="28">
        <v>36.0</v>
      </c>
      <c r="R1231" s="84"/>
      <c r="S1231" s="84"/>
      <c r="T1231" s="84"/>
      <c r="U1231" s="84"/>
      <c r="V1231" s="84"/>
      <c r="W1231" s="84"/>
      <c r="X1231" s="84"/>
      <c r="Y1231" s="84"/>
      <c r="Z1231" s="84"/>
      <c r="AA1231" s="84"/>
    </row>
    <row r="1232" ht="15.75" customHeight="1">
      <c r="A1232" s="14" t="s">
        <v>17</v>
      </c>
      <c r="B1232" s="15" t="s">
        <v>15399</v>
      </c>
      <c r="C1232" s="14" t="s">
        <v>14880</v>
      </c>
      <c r="D1232" s="14" t="s">
        <v>14881</v>
      </c>
      <c r="E1232" s="26" t="str">
        <f t="shared" si="26"/>
        <v>http://dx.doi.org/10.1109/VISUAL.2004.19</v>
      </c>
      <c r="F1232" s="14">
        <v>8.0</v>
      </c>
      <c r="G1232" s="14">
        <v>8.0</v>
      </c>
      <c r="H1232" s="14" t="s">
        <v>21</v>
      </c>
      <c r="I1232" s="19" t="s">
        <v>15656</v>
      </c>
      <c r="J1232" s="19" t="s">
        <v>14883</v>
      </c>
      <c r="K1232" s="19" t="s">
        <v>15657</v>
      </c>
      <c r="L1232" s="19" t="s">
        <v>15658</v>
      </c>
      <c r="M1232" s="20"/>
      <c r="N1232" s="27"/>
      <c r="O1232" s="22">
        <v>9.0</v>
      </c>
      <c r="P1232" s="28">
        <v>1.0</v>
      </c>
      <c r="Q1232" s="28">
        <v>4.0</v>
      </c>
      <c r="R1232" s="84"/>
      <c r="S1232" s="84"/>
      <c r="T1232" s="84"/>
      <c r="U1232" s="84"/>
      <c r="V1232" s="84"/>
      <c r="W1232" s="84"/>
      <c r="X1232" s="84"/>
      <c r="Y1232" s="84"/>
      <c r="Z1232" s="84"/>
      <c r="AA1232" s="84"/>
    </row>
    <row r="1233" ht="15.75" customHeight="1">
      <c r="A1233" s="14" t="s">
        <v>17</v>
      </c>
      <c r="B1233" s="15" t="s">
        <v>15399</v>
      </c>
      <c r="C1233" s="14" t="s">
        <v>14885</v>
      </c>
      <c r="D1233" s="14" t="s">
        <v>14886</v>
      </c>
      <c r="E1233" s="26" t="str">
        <f t="shared" si="26"/>
        <v>http://dx.doi.org/10.1109/VISUAL.2004.2</v>
      </c>
      <c r="F1233" s="14">
        <v>2.0</v>
      </c>
      <c r="G1233" s="14">
        <v>2.0</v>
      </c>
      <c r="H1233" s="14" t="s">
        <v>21</v>
      </c>
      <c r="I1233" s="19" t="s">
        <v>15659</v>
      </c>
      <c r="J1233" s="19" t="s">
        <v>14888</v>
      </c>
      <c r="K1233" s="19" t="s">
        <v>15660</v>
      </c>
      <c r="L1233" s="19" t="s">
        <v>15441</v>
      </c>
      <c r="M1233" s="20"/>
      <c r="N1233" s="27"/>
      <c r="O1233" s="22">
        <v>50.0</v>
      </c>
      <c r="P1233" s="28">
        <v>3.0</v>
      </c>
      <c r="Q1233" s="28">
        <v>6.0</v>
      </c>
      <c r="R1233" s="84"/>
      <c r="S1233" s="84"/>
      <c r="T1233" s="84"/>
      <c r="U1233" s="84"/>
      <c r="V1233" s="84"/>
      <c r="W1233" s="84"/>
      <c r="X1233" s="84"/>
      <c r="Y1233" s="84"/>
      <c r="Z1233" s="84"/>
      <c r="AA1233" s="84"/>
    </row>
    <row r="1234" ht="15.75" customHeight="1">
      <c r="A1234" s="14" t="s">
        <v>17</v>
      </c>
      <c r="B1234" s="15" t="s">
        <v>15399</v>
      </c>
      <c r="C1234" s="14" t="s">
        <v>14890</v>
      </c>
      <c r="D1234" s="14" t="s">
        <v>14891</v>
      </c>
      <c r="E1234" s="26" t="str">
        <f t="shared" si="26"/>
        <v>http://dx.doi.org/10.1109/VISUAL.2004.21</v>
      </c>
      <c r="F1234" s="14">
        <v>9.0</v>
      </c>
      <c r="G1234" s="14">
        <v>9.0</v>
      </c>
      <c r="H1234" s="14" t="s">
        <v>21</v>
      </c>
      <c r="I1234" s="19" t="s">
        <v>15661</v>
      </c>
      <c r="J1234" s="19" t="s">
        <v>15662</v>
      </c>
      <c r="K1234" s="19" t="s">
        <v>15663</v>
      </c>
      <c r="L1234" s="19" t="s">
        <v>15664</v>
      </c>
      <c r="M1234" s="20"/>
      <c r="N1234" s="27"/>
      <c r="O1234" s="22">
        <v>0.0</v>
      </c>
      <c r="P1234" s="28">
        <v>0.0</v>
      </c>
      <c r="Q1234" s="28">
        <v>4.0</v>
      </c>
      <c r="R1234" s="84"/>
      <c r="S1234" s="84"/>
      <c r="T1234" s="84"/>
      <c r="U1234" s="84"/>
      <c r="V1234" s="84"/>
      <c r="W1234" s="84"/>
      <c r="X1234" s="84"/>
      <c r="Y1234" s="84"/>
      <c r="Z1234" s="84"/>
      <c r="AA1234" s="84"/>
    </row>
    <row r="1235" ht="15.75" customHeight="1">
      <c r="A1235" s="14" t="s">
        <v>17</v>
      </c>
      <c r="B1235" s="15" t="s">
        <v>15399</v>
      </c>
      <c r="C1235" s="14" t="s">
        <v>14895</v>
      </c>
      <c r="D1235" s="14" t="s">
        <v>14896</v>
      </c>
      <c r="E1235" s="26" t="str">
        <f t="shared" si="26"/>
        <v>http://dx.doi.org/10.1109/VISUAL.2004.22</v>
      </c>
      <c r="F1235" s="14">
        <v>11.0</v>
      </c>
      <c r="G1235" s="14">
        <v>11.0</v>
      </c>
      <c r="H1235" s="14" t="s">
        <v>21</v>
      </c>
      <c r="I1235" s="18"/>
      <c r="J1235" s="19" t="s">
        <v>14888</v>
      </c>
      <c r="K1235" s="19" t="s">
        <v>15665</v>
      </c>
      <c r="L1235" s="19" t="s">
        <v>15666</v>
      </c>
      <c r="M1235" s="20"/>
      <c r="N1235" s="27"/>
      <c r="O1235" s="22">
        <v>50.0</v>
      </c>
      <c r="P1235" s="28">
        <v>2.0</v>
      </c>
      <c r="Q1235" s="28">
        <v>3.0</v>
      </c>
      <c r="R1235" s="84"/>
      <c r="S1235" s="84"/>
      <c r="T1235" s="84"/>
      <c r="U1235" s="84"/>
      <c r="V1235" s="84"/>
      <c r="W1235" s="84"/>
      <c r="X1235" s="84"/>
      <c r="Y1235" s="84"/>
      <c r="Z1235" s="84"/>
      <c r="AA1235" s="84"/>
    </row>
    <row r="1236" ht="15.75" customHeight="1">
      <c r="A1236" s="14" t="s">
        <v>17</v>
      </c>
      <c r="B1236" s="15" t="s">
        <v>15399</v>
      </c>
      <c r="C1236" s="14" t="s">
        <v>14899</v>
      </c>
      <c r="D1236" s="14" t="s">
        <v>14900</v>
      </c>
      <c r="E1236" s="26" t="str">
        <f t="shared" si="26"/>
        <v>http://dx.doi.org/10.1109/VISUAL.2004.23</v>
      </c>
      <c r="F1236" s="14">
        <v>465.0</v>
      </c>
      <c r="G1236" s="14">
        <v>472.0</v>
      </c>
      <c r="H1236" s="14" t="s">
        <v>28</v>
      </c>
      <c r="I1236" s="19" t="s">
        <v>15667</v>
      </c>
      <c r="J1236" s="19" t="s">
        <v>14902</v>
      </c>
      <c r="K1236" s="19" t="s">
        <v>15668</v>
      </c>
      <c r="L1236" s="19" t="s">
        <v>15669</v>
      </c>
      <c r="M1236" s="20" t="s">
        <v>14904</v>
      </c>
      <c r="N1236" s="44" t="s">
        <v>14905</v>
      </c>
      <c r="O1236" s="22">
        <v>50.0</v>
      </c>
      <c r="P1236" s="28">
        <v>10.0</v>
      </c>
      <c r="Q1236" s="28">
        <v>18.0</v>
      </c>
      <c r="R1236" s="84"/>
      <c r="S1236" s="84"/>
      <c r="T1236" s="84"/>
      <c r="U1236" s="84"/>
      <c r="V1236" s="84"/>
      <c r="W1236" s="84"/>
      <c r="X1236" s="84"/>
      <c r="Y1236" s="84"/>
      <c r="Z1236" s="84"/>
      <c r="AA1236" s="84"/>
    </row>
    <row r="1237" ht="15.75" customHeight="1">
      <c r="A1237" s="14" t="s">
        <v>17</v>
      </c>
      <c r="B1237" s="15" t="s">
        <v>15399</v>
      </c>
      <c r="C1237" s="14" t="s">
        <v>14906</v>
      </c>
      <c r="D1237" s="14" t="s">
        <v>14907</v>
      </c>
      <c r="E1237" s="26" t="str">
        <f t="shared" si="26"/>
        <v>http://dx.doi.org/10.1109/VISUAL.2004.24</v>
      </c>
      <c r="F1237" s="14">
        <v>553.0</v>
      </c>
      <c r="G1237" s="14">
        <v>560.0</v>
      </c>
      <c r="H1237" s="14" t="s">
        <v>28</v>
      </c>
      <c r="I1237" s="19" t="s">
        <v>15670</v>
      </c>
      <c r="J1237" s="19" t="s">
        <v>14909</v>
      </c>
      <c r="K1237" s="19" t="s">
        <v>15671</v>
      </c>
      <c r="L1237" s="19" t="s">
        <v>15672</v>
      </c>
      <c r="M1237" s="20" t="s">
        <v>14911</v>
      </c>
      <c r="N1237" s="44" t="s">
        <v>14912</v>
      </c>
      <c r="O1237" s="22">
        <v>50.0</v>
      </c>
      <c r="P1237" s="28">
        <v>5.0</v>
      </c>
      <c r="Q1237" s="28">
        <v>45.0</v>
      </c>
      <c r="R1237" s="84"/>
      <c r="S1237" s="84"/>
      <c r="T1237" s="84"/>
      <c r="U1237" s="84"/>
      <c r="V1237" s="84"/>
      <c r="W1237" s="84"/>
      <c r="X1237" s="84"/>
      <c r="Y1237" s="84"/>
      <c r="Z1237" s="84"/>
      <c r="AA1237" s="84"/>
    </row>
    <row r="1238" ht="15.75" customHeight="1">
      <c r="A1238" s="14" t="s">
        <v>17</v>
      </c>
      <c r="B1238" s="15" t="s">
        <v>15399</v>
      </c>
      <c r="C1238" s="14" t="s">
        <v>14913</v>
      </c>
      <c r="D1238" s="14" t="s">
        <v>14914</v>
      </c>
      <c r="E1238" s="26" t="str">
        <f t="shared" si="26"/>
        <v>http://dx.doi.org/10.1109/VISUAL.2004.25</v>
      </c>
      <c r="F1238" s="14">
        <v>115.0</v>
      </c>
      <c r="G1238" s="14">
        <v>122.0</v>
      </c>
      <c r="H1238" s="14" t="s">
        <v>28</v>
      </c>
      <c r="I1238" s="19" t="s">
        <v>15673</v>
      </c>
      <c r="J1238" s="19" t="s">
        <v>14916</v>
      </c>
      <c r="K1238" s="19" t="s">
        <v>15674</v>
      </c>
      <c r="L1238" s="19" t="s">
        <v>15675</v>
      </c>
      <c r="M1238" s="20" t="s">
        <v>14918</v>
      </c>
      <c r="N1238" s="44" t="s">
        <v>14919</v>
      </c>
      <c r="O1238" s="22">
        <v>59.0</v>
      </c>
      <c r="P1238" s="28">
        <v>17.0</v>
      </c>
      <c r="Q1238" s="28">
        <v>33.0</v>
      </c>
      <c r="R1238" s="84"/>
      <c r="S1238" s="84"/>
      <c r="T1238" s="84"/>
      <c r="U1238" s="84"/>
      <c r="V1238" s="84"/>
      <c r="W1238" s="84"/>
      <c r="X1238" s="84"/>
      <c r="Y1238" s="84"/>
      <c r="Z1238" s="84"/>
      <c r="AA1238" s="84"/>
    </row>
    <row r="1239" ht="15.75" customHeight="1">
      <c r="A1239" s="14" t="s">
        <v>17</v>
      </c>
      <c r="B1239" s="15" t="s">
        <v>15399</v>
      </c>
      <c r="C1239" s="14" t="s">
        <v>14920</v>
      </c>
      <c r="D1239" s="14" t="s">
        <v>14921</v>
      </c>
      <c r="E1239" s="26" t="str">
        <f t="shared" si="26"/>
        <v>http://dx.doi.org/10.1109/VISUAL.2004.26</v>
      </c>
      <c r="F1239" s="14">
        <v>28.0</v>
      </c>
      <c r="G1239" s="14">
        <v>28.0</v>
      </c>
      <c r="H1239" s="14" t="s">
        <v>21</v>
      </c>
      <c r="I1239" s="18"/>
      <c r="J1239" s="19" t="s">
        <v>14923</v>
      </c>
      <c r="K1239" s="19" t="s">
        <v>15676</v>
      </c>
      <c r="L1239" s="19" t="s">
        <v>15616</v>
      </c>
      <c r="M1239" s="20"/>
      <c r="N1239" s="27"/>
      <c r="O1239" s="22">
        <v>13.0</v>
      </c>
      <c r="P1239" s="28">
        <v>3.0</v>
      </c>
      <c r="Q1239" s="28">
        <v>4.0</v>
      </c>
      <c r="R1239" s="84"/>
      <c r="S1239" s="84"/>
      <c r="T1239" s="84"/>
      <c r="U1239" s="84"/>
      <c r="V1239" s="84"/>
      <c r="W1239" s="84"/>
      <c r="X1239" s="84"/>
      <c r="Y1239" s="84"/>
      <c r="Z1239" s="84"/>
      <c r="AA1239" s="84"/>
    </row>
    <row r="1240" ht="15.75" customHeight="1">
      <c r="A1240" s="14" t="s">
        <v>17</v>
      </c>
      <c r="B1240" s="15" t="s">
        <v>15399</v>
      </c>
      <c r="C1240" s="14" t="s">
        <v>14925</v>
      </c>
      <c r="D1240" s="14" t="s">
        <v>14926</v>
      </c>
      <c r="E1240" s="26" t="str">
        <f t="shared" si="26"/>
        <v>http://dx.doi.org/10.1109/VISUAL.2004.27</v>
      </c>
      <c r="F1240" s="14">
        <v>505.0</v>
      </c>
      <c r="G1240" s="14">
        <v>512.0</v>
      </c>
      <c r="H1240" s="14" t="s">
        <v>28</v>
      </c>
      <c r="I1240" s="19" t="s">
        <v>15677</v>
      </c>
      <c r="J1240" s="19" t="s">
        <v>14928</v>
      </c>
      <c r="K1240" s="19" t="s">
        <v>15678</v>
      </c>
      <c r="L1240" s="19" t="s">
        <v>333</v>
      </c>
      <c r="M1240" s="20" t="s">
        <v>14929</v>
      </c>
      <c r="N1240" s="44" t="s">
        <v>14930</v>
      </c>
      <c r="O1240" s="22">
        <v>59.0</v>
      </c>
      <c r="P1240" s="28">
        <v>12.0</v>
      </c>
      <c r="Q1240" s="28">
        <v>24.0</v>
      </c>
      <c r="R1240" s="84"/>
      <c r="S1240" s="84"/>
      <c r="T1240" s="84"/>
      <c r="U1240" s="84"/>
      <c r="V1240" s="84"/>
      <c r="W1240" s="84"/>
      <c r="X1240" s="84"/>
      <c r="Y1240" s="84"/>
      <c r="Z1240" s="84"/>
      <c r="AA1240" s="84"/>
    </row>
    <row r="1241" ht="15.75" customHeight="1">
      <c r="A1241" s="14" t="s">
        <v>17</v>
      </c>
      <c r="B1241" s="15" t="s">
        <v>15399</v>
      </c>
      <c r="C1241" s="14" t="s">
        <v>14931</v>
      </c>
      <c r="D1241" s="14" t="s">
        <v>14932</v>
      </c>
      <c r="E1241" s="26" t="str">
        <f t="shared" si="26"/>
        <v>http://dx.doi.org/10.1109/VISUAL.2004.28</v>
      </c>
      <c r="F1241" s="14">
        <v>489.0</v>
      </c>
      <c r="G1241" s="14">
        <v>496.0</v>
      </c>
      <c r="H1241" s="14" t="s">
        <v>28</v>
      </c>
      <c r="I1241" s="19" t="s">
        <v>15679</v>
      </c>
      <c r="J1241" s="19" t="s">
        <v>13224</v>
      </c>
      <c r="K1241" s="19" t="s">
        <v>14670</v>
      </c>
      <c r="L1241" s="19" t="s">
        <v>15680</v>
      </c>
      <c r="M1241" s="20" t="s">
        <v>14935</v>
      </c>
      <c r="N1241" s="44" t="s">
        <v>14936</v>
      </c>
      <c r="O1241" s="22">
        <v>125.0</v>
      </c>
      <c r="P1241" s="28">
        <v>26.0</v>
      </c>
      <c r="Q1241" s="28">
        <v>16.0</v>
      </c>
      <c r="R1241" s="84"/>
      <c r="S1241" s="84"/>
      <c r="T1241" s="84"/>
      <c r="U1241" s="84"/>
      <c r="V1241" s="84"/>
      <c r="W1241" s="84"/>
      <c r="X1241" s="84"/>
      <c r="Y1241" s="84"/>
      <c r="Z1241" s="84"/>
      <c r="AA1241" s="84"/>
    </row>
    <row r="1242" ht="15.75" customHeight="1">
      <c r="A1242" s="14" t="s">
        <v>17</v>
      </c>
      <c r="B1242" s="15" t="s">
        <v>15399</v>
      </c>
      <c r="C1242" s="14" t="s">
        <v>14937</v>
      </c>
      <c r="D1242" s="14" t="s">
        <v>14938</v>
      </c>
      <c r="E1242" s="26" t="str">
        <f t="shared" si="26"/>
        <v>http://dx.doi.org/10.1109/VISUAL.2004.29</v>
      </c>
      <c r="F1242" s="14">
        <v>441.0</v>
      </c>
      <c r="G1242" s="14">
        <v>448.0</v>
      </c>
      <c r="H1242" s="14" t="s">
        <v>28</v>
      </c>
      <c r="I1242" s="19" t="s">
        <v>15681</v>
      </c>
      <c r="J1242" s="19" t="s">
        <v>14940</v>
      </c>
      <c r="K1242" s="19" t="s">
        <v>15682</v>
      </c>
      <c r="L1242" s="18"/>
      <c r="M1242" s="20" t="s">
        <v>14941</v>
      </c>
      <c r="N1242" s="44" t="s">
        <v>14942</v>
      </c>
      <c r="O1242" s="22">
        <v>30.0</v>
      </c>
      <c r="P1242" s="28">
        <v>4.0</v>
      </c>
      <c r="Q1242" s="28">
        <v>26.0</v>
      </c>
      <c r="R1242" s="84"/>
      <c r="S1242" s="84"/>
      <c r="T1242" s="84"/>
      <c r="U1242" s="84"/>
      <c r="V1242" s="84"/>
      <c r="W1242" s="84"/>
      <c r="X1242" s="84"/>
      <c r="Y1242" s="84"/>
      <c r="Z1242" s="84"/>
      <c r="AA1242" s="84"/>
    </row>
    <row r="1243" ht="15.75" customHeight="1">
      <c r="A1243" s="14" t="s">
        <v>17</v>
      </c>
      <c r="B1243" s="15" t="s">
        <v>15399</v>
      </c>
      <c r="C1243" s="14" t="s">
        <v>14943</v>
      </c>
      <c r="D1243" s="14" t="s">
        <v>14944</v>
      </c>
      <c r="E1243" s="26" t="str">
        <f t="shared" si="26"/>
        <v>http://dx.doi.org/10.1109/VISUAL.2004.3</v>
      </c>
      <c r="F1243" s="14">
        <v>195.0</v>
      </c>
      <c r="G1243" s="14">
        <v>202.0</v>
      </c>
      <c r="H1243" s="14" t="s">
        <v>28</v>
      </c>
      <c r="I1243" s="19" t="s">
        <v>15683</v>
      </c>
      <c r="J1243" s="19" t="s">
        <v>14946</v>
      </c>
      <c r="K1243" s="19" t="s">
        <v>15684</v>
      </c>
      <c r="L1243" s="19" t="s">
        <v>15685</v>
      </c>
      <c r="M1243" s="20" t="s">
        <v>14948</v>
      </c>
      <c r="N1243" s="44" t="s">
        <v>14949</v>
      </c>
      <c r="O1243" s="22">
        <v>50.0</v>
      </c>
      <c r="P1243" s="28">
        <v>5.0</v>
      </c>
      <c r="Q1243" s="28">
        <v>25.0</v>
      </c>
      <c r="R1243" s="84"/>
      <c r="S1243" s="84"/>
      <c r="T1243" s="84"/>
      <c r="U1243" s="84"/>
      <c r="V1243" s="84"/>
      <c r="W1243" s="84"/>
      <c r="X1243" s="84"/>
      <c r="Y1243" s="84"/>
      <c r="Z1243" s="84"/>
      <c r="AA1243" s="84"/>
    </row>
    <row r="1244" ht="15.75" customHeight="1">
      <c r="A1244" s="14" t="s">
        <v>17</v>
      </c>
      <c r="B1244" s="15" t="s">
        <v>15399</v>
      </c>
      <c r="C1244" s="14" t="s">
        <v>14950</v>
      </c>
      <c r="D1244" s="14" t="s">
        <v>14951</v>
      </c>
      <c r="E1244" s="26" t="str">
        <f t="shared" si="26"/>
        <v>http://dx.doi.org/10.1109/VISUAL.2004.30</v>
      </c>
      <c r="F1244" s="14">
        <v>377.0</v>
      </c>
      <c r="G1244" s="14">
        <v>384.0</v>
      </c>
      <c r="H1244" s="14" t="s">
        <v>28</v>
      </c>
      <c r="I1244" s="19" t="s">
        <v>15686</v>
      </c>
      <c r="J1244" s="19" t="s">
        <v>14946</v>
      </c>
      <c r="K1244" s="19" t="s">
        <v>15687</v>
      </c>
      <c r="L1244" s="19" t="s">
        <v>15688</v>
      </c>
      <c r="M1244" s="20" t="s">
        <v>14954</v>
      </c>
      <c r="N1244" s="44" t="s">
        <v>14955</v>
      </c>
      <c r="O1244" s="22">
        <v>64.0</v>
      </c>
      <c r="P1244" s="28">
        <v>10.0</v>
      </c>
      <c r="Q1244" s="28">
        <v>28.0</v>
      </c>
      <c r="R1244" s="84"/>
      <c r="S1244" s="84"/>
      <c r="T1244" s="84"/>
      <c r="U1244" s="84"/>
      <c r="V1244" s="84"/>
      <c r="W1244" s="84"/>
      <c r="X1244" s="84"/>
      <c r="Y1244" s="84"/>
      <c r="Z1244" s="84"/>
      <c r="AA1244" s="84"/>
    </row>
    <row r="1245" ht="15.75" customHeight="1">
      <c r="A1245" s="14" t="s">
        <v>17</v>
      </c>
      <c r="B1245" s="15" t="s">
        <v>15399</v>
      </c>
      <c r="C1245" s="14" t="s">
        <v>14956</v>
      </c>
      <c r="D1245" s="14" t="s">
        <v>14957</v>
      </c>
      <c r="E1245" s="26" t="str">
        <f t="shared" si="26"/>
        <v>http://dx.doi.org/10.1109/VISUAL.2004.31</v>
      </c>
      <c r="F1245" s="14">
        <v>26.0</v>
      </c>
      <c r="G1245" s="14">
        <v>26.0</v>
      </c>
      <c r="H1245" s="14" t="s">
        <v>21</v>
      </c>
      <c r="I1245" s="18"/>
      <c r="J1245" s="19" t="s">
        <v>14959</v>
      </c>
      <c r="K1245" s="19" t="s">
        <v>14959</v>
      </c>
      <c r="L1245" s="19" t="s">
        <v>15689</v>
      </c>
      <c r="M1245" s="20"/>
      <c r="N1245" s="27"/>
      <c r="O1245" s="22">
        <v>0.0</v>
      </c>
      <c r="P1245" s="28">
        <v>0.0</v>
      </c>
      <c r="Q1245" s="28">
        <v>6.0</v>
      </c>
      <c r="R1245" s="84"/>
      <c r="S1245" s="84"/>
      <c r="T1245" s="84"/>
      <c r="U1245" s="84"/>
      <c r="V1245" s="84"/>
      <c r="W1245" s="84"/>
      <c r="X1245" s="84"/>
      <c r="Y1245" s="84"/>
      <c r="Z1245" s="84"/>
      <c r="AA1245" s="84"/>
    </row>
    <row r="1246" ht="15.75" customHeight="1">
      <c r="A1246" s="14" t="s">
        <v>17</v>
      </c>
      <c r="B1246" s="15" t="s">
        <v>15399</v>
      </c>
      <c r="C1246" s="14" t="s">
        <v>14961</v>
      </c>
      <c r="D1246" s="14" t="s">
        <v>14962</v>
      </c>
      <c r="E1246" s="26" t="str">
        <f t="shared" si="26"/>
        <v>http://dx.doi.org/10.1109/VISUAL.2004.32</v>
      </c>
      <c r="F1246" s="14">
        <v>35.0</v>
      </c>
      <c r="G1246" s="14">
        <v>42.0</v>
      </c>
      <c r="H1246" s="14" t="s">
        <v>28</v>
      </c>
      <c r="I1246" s="19" t="s">
        <v>15690</v>
      </c>
      <c r="J1246" s="19" t="s">
        <v>15691</v>
      </c>
      <c r="K1246" s="19" t="s">
        <v>15692</v>
      </c>
      <c r="L1246" s="19" t="s">
        <v>15693</v>
      </c>
      <c r="M1246" s="20" t="s">
        <v>14966</v>
      </c>
      <c r="N1246" s="44" t="s">
        <v>14967</v>
      </c>
      <c r="O1246" s="22">
        <v>0.0</v>
      </c>
      <c r="P1246" s="28">
        <v>13.0</v>
      </c>
      <c r="Q1246" s="28">
        <v>28.0</v>
      </c>
      <c r="R1246" s="84"/>
      <c r="S1246" s="84"/>
      <c r="T1246" s="84"/>
      <c r="U1246" s="84"/>
      <c r="V1246" s="84"/>
      <c r="W1246" s="84"/>
      <c r="X1246" s="84"/>
      <c r="Y1246" s="84"/>
      <c r="Z1246" s="84"/>
      <c r="AA1246" s="84"/>
    </row>
    <row r="1247" ht="15.75" customHeight="1">
      <c r="A1247" s="14" t="s">
        <v>17</v>
      </c>
      <c r="B1247" s="15" t="s">
        <v>15399</v>
      </c>
      <c r="C1247" s="14" t="s">
        <v>14968</v>
      </c>
      <c r="D1247" s="14" t="s">
        <v>14969</v>
      </c>
      <c r="E1247" s="26" t="str">
        <f t="shared" si="26"/>
        <v>http://dx.doi.org/10.1109/VISUAL.2004.33</v>
      </c>
      <c r="F1247" s="14">
        <v>32.0</v>
      </c>
      <c r="G1247" s="14">
        <v>32.0</v>
      </c>
      <c r="H1247" s="14" t="s">
        <v>21</v>
      </c>
      <c r="I1247" s="19" t="s">
        <v>15694</v>
      </c>
      <c r="J1247" s="19" t="s">
        <v>15695</v>
      </c>
      <c r="K1247" s="19" t="s">
        <v>15696</v>
      </c>
      <c r="L1247" s="19" t="s">
        <v>15546</v>
      </c>
      <c r="M1247" s="20"/>
      <c r="N1247" s="27"/>
      <c r="O1247" s="22">
        <v>1.0</v>
      </c>
      <c r="P1247" s="28">
        <v>0.0</v>
      </c>
      <c r="Q1247" s="28">
        <v>5.0</v>
      </c>
      <c r="R1247" s="84"/>
      <c r="S1247" s="84"/>
      <c r="T1247" s="84"/>
      <c r="U1247" s="84"/>
      <c r="V1247" s="84"/>
      <c r="W1247" s="84"/>
      <c r="X1247" s="84"/>
      <c r="Y1247" s="84"/>
      <c r="Z1247" s="84"/>
      <c r="AA1247" s="84"/>
    </row>
    <row r="1248" ht="15.75" customHeight="1">
      <c r="A1248" s="14" t="s">
        <v>17</v>
      </c>
      <c r="B1248" s="15" t="s">
        <v>15399</v>
      </c>
      <c r="C1248" s="14" t="s">
        <v>14973</v>
      </c>
      <c r="D1248" s="14" t="s">
        <v>14974</v>
      </c>
      <c r="E1248" s="26" t="str">
        <f t="shared" si="26"/>
        <v>http://dx.doi.org/10.1109/VISUAL.2004.34</v>
      </c>
      <c r="F1248" s="14">
        <v>91.0</v>
      </c>
      <c r="G1248" s="14">
        <v>98.0</v>
      </c>
      <c r="H1248" s="14" t="s">
        <v>28</v>
      </c>
      <c r="I1248" s="19" t="s">
        <v>15697</v>
      </c>
      <c r="J1248" s="19" t="s">
        <v>14976</v>
      </c>
      <c r="K1248" s="19" t="s">
        <v>15698</v>
      </c>
      <c r="L1248" s="19" t="s">
        <v>15699</v>
      </c>
      <c r="M1248" s="20" t="s">
        <v>14978</v>
      </c>
      <c r="N1248" s="44" t="s">
        <v>14979</v>
      </c>
      <c r="O1248" s="22">
        <v>50.0</v>
      </c>
      <c r="P1248" s="28">
        <v>9.0</v>
      </c>
      <c r="Q1248" s="28">
        <v>27.0</v>
      </c>
      <c r="R1248" s="84"/>
      <c r="S1248" s="84"/>
      <c r="T1248" s="84"/>
      <c r="U1248" s="84"/>
      <c r="V1248" s="84"/>
      <c r="W1248" s="84"/>
      <c r="X1248" s="84"/>
      <c r="Y1248" s="84"/>
      <c r="Z1248" s="84"/>
      <c r="AA1248" s="84"/>
    </row>
    <row r="1249" ht="15.75" customHeight="1">
      <c r="A1249" s="14" t="s">
        <v>17</v>
      </c>
      <c r="B1249" s="15" t="s">
        <v>15399</v>
      </c>
      <c r="C1249" s="14" t="s">
        <v>14980</v>
      </c>
      <c r="D1249" s="14" t="s">
        <v>14981</v>
      </c>
      <c r="E1249" s="26" t="str">
        <f t="shared" si="26"/>
        <v>http://dx.doi.org/10.1109/VISUAL.2004.35</v>
      </c>
      <c r="F1249" s="14">
        <v>75.0</v>
      </c>
      <c r="G1249" s="14">
        <v>82.0</v>
      </c>
      <c r="H1249" s="14" t="s">
        <v>28</v>
      </c>
      <c r="I1249" s="19" t="s">
        <v>15700</v>
      </c>
      <c r="J1249" s="19" t="s">
        <v>14983</v>
      </c>
      <c r="K1249" s="19" t="s">
        <v>15701</v>
      </c>
      <c r="L1249" s="18"/>
      <c r="M1249" s="20"/>
      <c r="N1249" s="44" t="s">
        <v>14984</v>
      </c>
      <c r="O1249" s="22">
        <v>24.0</v>
      </c>
      <c r="P1249" s="28">
        <v>1.0</v>
      </c>
      <c r="Q1249" s="28">
        <v>27.0</v>
      </c>
      <c r="R1249" s="84"/>
      <c r="S1249" s="84"/>
      <c r="T1249" s="84"/>
      <c r="U1249" s="84"/>
      <c r="V1249" s="84"/>
      <c r="W1249" s="84"/>
      <c r="X1249" s="84"/>
      <c r="Y1249" s="84"/>
      <c r="Z1249" s="84"/>
      <c r="AA1249" s="84"/>
    </row>
    <row r="1250" ht="15.75" customHeight="1">
      <c r="A1250" s="14" t="s">
        <v>17</v>
      </c>
      <c r="B1250" s="15" t="s">
        <v>15399</v>
      </c>
      <c r="C1250" s="14" t="s">
        <v>14985</v>
      </c>
      <c r="D1250" s="14" t="s">
        <v>14986</v>
      </c>
      <c r="E1250" s="26" t="str">
        <f t="shared" si="26"/>
        <v>http://dx.doi.org/10.1109/VISUAL.2004.36</v>
      </c>
      <c r="F1250" s="14">
        <v>481.0</v>
      </c>
      <c r="G1250" s="14">
        <v>488.0</v>
      </c>
      <c r="H1250" s="14" t="s">
        <v>28</v>
      </c>
      <c r="I1250" s="19" t="s">
        <v>15702</v>
      </c>
      <c r="J1250" s="19" t="s">
        <v>14988</v>
      </c>
      <c r="K1250" s="19" t="s">
        <v>14988</v>
      </c>
      <c r="L1250" s="19" t="s">
        <v>15703</v>
      </c>
      <c r="M1250" s="20"/>
      <c r="N1250" s="44" t="s">
        <v>14990</v>
      </c>
      <c r="O1250" s="22">
        <v>50.0</v>
      </c>
      <c r="P1250" s="28">
        <v>6.0</v>
      </c>
      <c r="Q1250" s="28">
        <v>16.0</v>
      </c>
      <c r="R1250" s="84"/>
      <c r="S1250" s="84"/>
      <c r="T1250" s="84"/>
      <c r="U1250" s="84"/>
      <c r="V1250" s="84"/>
      <c r="W1250" s="84"/>
      <c r="X1250" s="84"/>
      <c r="Y1250" s="84"/>
      <c r="Z1250" s="84"/>
      <c r="AA1250" s="84"/>
    </row>
    <row r="1251" ht="15.75" customHeight="1">
      <c r="A1251" s="14" t="s">
        <v>17</v>
      </c>
      <c r="B1251" s="15" t="s">
        <v>15399</v>
      </c>
      <c r="C1251" s="14" t="s">
        <v>14991</v>
      </c>
      <c r="D1251" s="14" t="s">
        <v>14992</v>
      </c>
      <c r="E1251" s="26" t="str">
        <f t="shared" si="26"/>
        <v>http://dx.doi.org/10.1109/VISUAL.2004.37</v>
      </c>
      <c r="F1251" s="14">
        <v>297.0</v>
      </c>
      <c r="G1251" s="14">
        <v>304.0</v>
      </c>
      <c r="H1251" s="14" t="s">
        <v>28</v>
      </c>
      <c r="I1251" s="19" t="s">
        <v>15704</v>
      </c>
      <c r="J1251" s="19" t="s">
        <v>14994</v>
      </c>
      <c r="K1251" s="19" t="s">
        <v>15705</v>
      </c>
      <c r="L1251" s="19" t="s">
        <v>13394</v>
      </c>
      <c r="M1251" s="20" t="s">
        <v>13478</v>
      </c>
      <c r="N1251" s="44" t="s">
        <v>14995</v>
      </c>
      <c r="O1251" s="22">
        <v>87.0</v>
      </c>
      <c r="P1251" s="28">
        <v>22.0</v>
      </c>
      <c r="Q1251" s="28">
        <v>27.0</v>
      </c>
      <c r="R1251" s="84"/>
      <c r="S1251" s="84"/>
      <c r="T1251" s="84"/>
      <c r="U1251" s="84"/>
      <c r="V1251" s="84"/>
      <c r="W1251" s="84"/>
      <c r="X1251" s="84"/>
      <c r="Y1251" s="84"/>
      <c r="Z1251" s="84"/>
      <c r="AA1251" s="84"/>
    </row>
    <row r="1252" ht="15.75" customHeight="1">
      <c r="A1252" s="14" t="s">
        <v>17</v>
      </c>
      <c r="B1252" s="15" t="s">
        <v>15399</v>
      </c>
      <c r="C1252" s="14" t="s">
        <v>14996</v>
      </c>
      <c r="D1252" s="14" t="s">
        <v>14997</v>
      </c>
      <c r="E1252" s="26" t="str">
        <f t="shared" si="26"/>
        <v>http://dx.doi.org/10.1109/VISUAL.2004.38</v>
      </c>
      <c r="F1252" s="14">
        <v>67.0</v>
      </c>
      <c r="G1252" s="14">
        <v>74.0</v>
      </c>
      <c r="H1252" s="14" t="s">
        <v>28</v>
      </c>
      <c r="I1252" s="19" t="s">
        <v>15706</v>
      </c>
      <c r="J1252" s="19" t="s">
        <v>14999</v>
      </c>
      <c r="K1252" s="19" t="s">
        <v>15707</v>
      </c>
      <c r="L1252" s="19" t="s">
        <v>15708</v>
      </c>
      <c r="M1252" s="20" t="s">
        <v>15001</v>
      </c>
      <c r="N1252" s="44" t="s">
        <v>15002</v>
      </c>
      <c r="O1252" s="22">
        <v>73.0</v>
      </c>
      <c r="P1252" s="28">
        <v>8.0</v>
      </c>
      <c r="Q1252" s="28">
        <v>35.0</v>
      </c>
      <c r="R1252" s="84"/>
      <c r="S1252" s="84"/>
      <c r="T1252" s="84"/>
      <c r="U1252" s="84"/>
      <c r="V1252" s="84"/>
      <c r="W1252" s="84"/>
      <c r="X1252" s="84"/>
      <c r="Y1252" s="84"/>
      <c r="Z1252" s="84"/>
      <c r="AA1252" s="84"/>
    </row>
    <row r="1253" ht="15.75" customHeight="1">
      <c r="A1253" s="14" t="s">
        <v>17</v>
      </c>
      <c r="B1253" s="15" t="s">
        <v>15399</v>
      </c>
      <c r="C1253" s="14" t="s">
        <v>15003</v>
      </c>
      <c r="D1253" s="14" t="s">
        <v>15004</v>
      </c>
      <c r="E1253" s="26" t="str">
        <f t="shared" si="26"/>
        <v>http://dx.doi.org/10.1109/VISUAL.2004.39</v>
      </c>
      <c r="F1253" s="14">
        <v>4.0</v>
      </c>
      <c r="G1253" s="14">
        <v>4.0</v>
      </c>
      <c r="H1253" s="14" t="s">
        <v>21</v>
      </c>
      <c r="I1253" s="19" t="s">
        <v>15709</v>
      </c>
      <c r="J1253" s="19" t="s">
        <v>15006</v>
      </c>
      <c r="K1253" s="19" t="s">
        <v>15710</v>
      </c>
      <c r="L1253" s="19" t="s">
        <v>15441</v>
      </c>
      <c r="M1253" s="20"/>
      <c r="N1253" s="27"/>
      <c r="O1253" s="22">
        <v>50.0</v>
      </c>
      <c r="P1253" s="28">
        <v>7.0</v>
      </c>
      <c r="Q1253" s="28">
        <v>8.0</v>
      </c>
      <c r="R1253" s="84"/>
      <c r="S1253" s="84"/>
      <c r="T1253" s="84"/>
      <c r="U1253" s="84"/>
      <c r="V1253" s="84"/>
      <c r="W1253" s="84"/>
      <c r="X1253" s="84"/>
      <c r="Y1253" s="84"/>
      <c r="Z1253" s="84"/>
      <c r="AA1253" s="84"/>
    </row>
    <row r="1254" ht="15.75" customHeight="1">
      <c r="A1254" s="14" t="s">
        <v>17</v>
      </c>
      <c r="B1254" s="15" t="s">
        <v>15399</v>
      </c>
      <c r="C1254" s="14" t="s">
        <v>15008</v>
      </c>
      <c r="D1254" s="14" t="s">
        <v>15009</v>
      </c>
      <c r="E1254" s="26" t="str">
        <f t="shared" si="26"/>
        <v>http://dx.doi.org/10.1109/VISUAL.2004.4</v>
      </c>
      <c r="F1254" s="14">
        <v>219.0</v>
      </c>
      <c r="G1254" s="14">
        <v>226.0</v>
      </c>
      <c r="H1254" s="14" t="s">
        <v>28</v>
      </c>
      <c r="I1254" s="19" t="s">
        <v>15711</v>
      </c>
      <c r="J1254" s="19" t="s">
        <v>15011</v>
      </c>
      <c r="K1254" s="19" t="s">
        <v>15712</v>
      </c>
      <c r="L1254" s="19" t="s">
        <v>631</v>
      </c>
      <c r="M1254" s="20" t="s">
        <v>15013</v>
      </c>
      <c r="N1254" s="44" t="s">
        <v>15014</v>
      </c>
      <c r="O1254" s="22">
        <v>69.0</v>
      </c>
      <c r="P1254" s="28">
        <v>8.0</v>
      </c>
      <c r="Q1254" s="28">
        <v>24.0</v>
      </c>
      <c r="R1254" s="85" t="s">
        <v>106</v>
      </c>
      <c r="S1254" s="84"/>
      <c r="T1254" s="84"/>
      <c r="U1254" s="84"/>
      <c r="V1254" s="84"/>
      <c r="W1254" s="84"/>
      <c r="X1254" s="84"/>
      <c r="Y1254" s="84"/>
      <c r="Z1254" s="84"/>
      <c r="AA1254" s="84"/>
    </row>
    <row r="1255" ht="15.75" customHeight="1">
      <c r="A1255" s="14" t="s">
        <v>17</v>
      </c>
      <c r="B1255" s="15" t="s">
        <v>15399</v>
      </c>
      <c r="C1255" s="14" t="s">
        <v>15015</v>
      </c>
      <c r="D1255" s="14" t="s">
        <v>15016</v>
      </c>
      <c r="E1255" s="26" t="str">
        <f t="shared" si="26"/>
        <v>http://dx.doi.org/10.1109/VISUAL.2004.46</v>
      </c>
      <c r="F1255" s="14">
        <v>529.0</v>
      </c>
      <c r="G1255" s="14">
        <v>536.0</v>
      </c>
      <c r="H1255" s="14" t="s">
        <v>28</v>
      </c>
      <c r="I1255" s="19" t="s">
        <v>15713</v>
      </c>
      <c r="J1255" s="19" t="s">
        <v>15018</v>
      </c>
      <c r="K1255" s="19" t="s">
        <v>15714</v>
      </c>
      <c r="L1255" s="19" t="s">
        <v>15715</v>
      </c>
      <c r="M1255" s="20" t="s">
        <v>15020</v>
      </c>
      <c r="N1255" s="44" t="s">
        <v>15021</v>
      </c>
      <c r="O1255" s="22">
        <v>19.0</v>
      </c>
      <c r="P1255" s="28">
        <v>4.0</v>
      </c>
      <c r="Q1255" s="28">
        <v>17.0</v>
      </c>
      <c r="R1255" s="84"/>
      <c r="S1255" s="84"/>
      <c r="T1255" s="84"/>
      <c r="U1255" s="84"/>
      <c r="V1255" s="84"/>
      <c r="W1255" s="84"/>
      <c r="X1255" s="84"/>
      <c r="Y1255" s="84"/>
      <c r="Z1255" s="84"/>
      <c r="AA1255" s="84"/>
    </row>
    <row r="1256" ht="15.75" customHeight="1">
      <c r="A1256" s="14" t="s">
        <v>17</v>
      </c>
      <c r="B1256" s="15" t="s">
        <v>15399</v>
      </c>
      <c r="C1256" s="14" t="s">
        <v>15022</v>
      </c>
      <c r="D1256" s="14" t="s">
        <v>15023</v>
      </c>
      <c r="E1256" s="26" t="str">
        <f t="shared" si="26"/>
        <v>http://dx.doi.org/10.1109/VISUAL.2004.47</v>
      </c>
      <c r="F1256" s="14">
        <v>227.0</v>
      </c>
      <c r="G1256" s="14">
        <v>234.0</v>
      </c>
      <c r="H1256" s="14" t="s">
        <v>28</v>
      </c>
      <c r="I1256" s="19" t="s">
        <v>15716</v>
      </c>
      <c r="J1256" s="19" t="s">
        <v>15717</v>
      </c>
      <c r="K1256" s="19" t="s">
        <v>15718</v>
      </c>
      <c r="L1256" s="18"/>
      <c r="M1256" s="20"/>
      <c r="N1256" s="44" t="s">
        <v>15026</v>
      </c>
      <c r="O1256" s="109"/>
      <c r="P1256" s="28">
        <v>4.0</v>
      </c>
      <c r="Q1256" s="28">
        <v>34.0</v>
      </c>
      <c r="R1256" s="84"/>
      <c r="S1256" s="84"/>
      <c r="T1256" s="84"/>
      <c r="U1256" s="84"/>
      <c r="V1256" s="84"/>
      <c r="W1256" s="84"/>
      <c r="X1256" s="84"/>
      <c r="Y1256" s="84"/>
      <c r="Z1256" s="84"/>
      <c r="AA1256" s="84"/>
    </row>
    <row r="1257" ht="15.75" customHeight="1">
      <c r="A1257" s="14" t="s">
        <v>17</v>
      </c>
      <c r="B1257" s="15" t="s">
        <v>15399</v>
      </c>
      <c r="C1257" s="14" t="s">
        <v>15027</v>
      </c>
      <c r="D1257" s="14" t="s">
        <v>15028</v>
      </c>
      <c r="E1257" s="26" t="str">
        <f t="shared" si="26"/>
        <v>http://dx.doi.org/10.1109/VISUAL.2004.48</v>
      </c>
      <c r="F1257" s="14">
        <v>139.0</v>
      </c>
      <c r="G1257" s="14">
        <v>145.0</v>
      </c>
      <c r="H1257" s="14" t="s">
        <v>28</v>
      </c>
      <c r="I1257" s="19" t="s">
        <v>15719</v>
      </c>
      <c r="J1257" s="19" t="s">
        <v>15246</v>
      </c>
      <c r="K1257" s="19" t="s">
        <v>15247</v>
      </c>
      <c r="L1257" s="19" t="s">
        <v>15248</v>
      </c>
      <c r="M1257" s="20" t="s">
        <v>15030</v>
      </c>
      <c r="N1257" s="44" t="s">
        <v>15031</v>
      </c>
      <c r="O1257" s="22">
        <v>231.0</v>
      </c>
      <c r="P1257" s="28">
        <v>44.0</v>
      </c>
      <c r="Q1257" s="28">
        <v>29.0</v>
      </c>
      <c r="R1257" s="84"/>
      <c r="S1257" s="84"/>
      <c r="T1257" s="84"/>
      <c r="U1257" s="84"/>
      <c r="V1257" s="84"/>
      <c r="W1257" s="84"/>
      <c r="X1257" s="84"/>
      <c r="Y1257" s="84"/>
      <c r="Z1257" s="84"/>
      <c r="AA1257" s="84"/>
    </row>
    <row r="1258" ht="15.75" customHeight="1">
      <c r="A1258" s="14" t="s">
        <v>17</v>
      </c>
      <c r="B1258" s="15" t="s">
        <v>15399</v>
      </c>
      <c r="C1258" s="14" t="s">
        <v>15032</v>
      </c>
      <c r="D1258" s="14" t="s">
        <v>15033</v>
      </c>
      <c r="E1258" s="26" t="str">
        <f t="shared" si="26"/>
        <v>http://dx.doi.org/10.1109/VISUAL.2004.5</v>
      </c>
      <c r="F1258" s="14">
        <v>107.0</v>
      </c>
      <c r="G1258" s="14">
        <v>114.0</v>
      </c>
      <c r="H1258" s="14" t="s">
        <v>28</v>
      </c>
      <c r="I1258" s="19" t="s">
        <v>15723</v>
      </c>
      <c r="J1258" s="19" t="s">
        <v>15035</v>
      </c>
      <c r="K1258" s="19" t="s">
        <v>15724</v>
      </c>
      <c r="L1258" s="19" t="s">
        <v>15726</v>
      </c>
      <c r="M1258" s="20"/>
      <c r="N1258" s="44" t="s">
        <v>15037</v>
      </c>
      <c r="O1258" s="22">
        <v>28.0</v>
      </c>
      <c r="P1258" s="28">
        <v>13.0</v>
      </c>
      <c r="Q1258" s="28">
        <v>17.0</v>
      </c>
      <c r="R1258" s="84"/>
      <c r="S1258" s="84"/>
      <c r="T1258" s="84"/>
      <c r="U1258" s="84"/>
      <c r="V1258" s="84"/>
      <c r="W1258" s="84"/>
      <c r="X1258" s="84"/>
      <c r="Y1258" s="84"/>
      <c r="Z1258" s="84"/>
      <c r="AA1258" s="84"/>
    </row>
    <row r="1259" ht="15.75" customHeight="1">
      <c r="A1259" s="14" t="s">
        <v>17</v>
      </c>
      <c r="B1259" s="15" t="s">
        <v>15399</v>
      </c>
      <c r="C1259" s="14" t="s">
        <v>15038</v>
      </c>
      <c r="D1259" s="14" t="s">
        <v>15039</v>
      </c>
      <c r="E1259" s="26" t="str">
        <f t="shared" si="26"/>
        <v>http://dx.doi.org/10.1109/VISUAL.2004.50</v>
      </c>
      <c r="F1259" s="14">
        <v>537.0</v>
      </c>
      <c r="G1259" s="14">
        <v>544.0</v>
      </c>
      <c r="H1259" s="14" t="s">
        <v>28</v>
      </c>
      <c r="I1259" s="19" t="s">
        <v>15727</v>
      </c>
      <c r="J1259" s="19" t="s">
        <v>15728</v>
      </c>
      <c r="K1259" s="19" t="s">
        <v>15729</v>
      </c>
      <c r="L1259" s="19" t="s">
        <v>15730</v>
      </c>
      <c r="M1259" s="20"/>
      <c r="N1259" s="44" t="s">
        <v>15046</v>
      </c>
      <c r="O1259" s="22">
        <v>105.0</v>
      </c>
      <c r="P1259" s="28">
        <v>20.0</v>
      </c>
      <c r="Q1259" s="28">
        <v>17.0</v>
      </c>
      <c r="R1259" s="84"/>
      <c r="S1259" s="84"/>
      <c r="T1259" s="84"/>
      <c r="U1259" s="84"/>
      <c r="V1259" s="84"/>
      <c r="W1259" s="84"/>
      <c r="X1259" s="84"/>
      <c r="Y1259" s="84"/>
      <c r="Z1259" s="84"/>
      <c r="AA1259" s="84"/>
    </row>
    <row r="1260" ht="15.75" customHeight="1">
      <c r="A1260" s="14" t="s">
        <v>17</v>
      </c>
      <c r="B1260" s="15" t="s">
        <v>15399</v>
      </c>
      <c r="C1260" s="14" t="s">
        <v>15047</v>
      </c>
      <c r="D1260" s="14" t="s">
        <v>15048</v>
      </c>
      <c r="E1260" s="26" t="str">
        <f t="shared" si="26"/>
        <v>http://dx.doi.org/10.1109/VISUAL.2004.51</v>
      </c>
      <c r="F1260" s="14">
        <v>345.0</v>
      </c>
      <c r="G1260" s="14">
        <v>352.0</v>
      </c>
      <c r="H1260" s="14" t="s">
        <v>28</v>
      </c>
      <c r="I1260" s="19" t="s">
        <v>15736</v>
      </c>
      <c r="J1260" s="19" t="s">
        <v>15737</v>
      </c>
      <c r="K1260" s="19" t="s">
        <v>15738</v>
      </c>
      <c r="L1260" s="19" t="s">
        <v>15739</v>
      </c>
      <c r="M1260" s="20" t="s">
        <v>15055</v>
      </c>
      <c r="N1260" s="44" t="s">
        <v>15056</v>
      </c>
      <c r="O1260" s="22">
        <v>48.0</v>
      </c>
      <c r="P1260" s="28">
        <v>11.0</v>
      </c>
      <c r="Q1260" s="28">
        <v>38.0</v>
      </c>
      <c r="R1260" s="84"/>
      <c r="S1260" s="84"/>
      <c r="T1260" s="84"/>
      <c r="U1260" s="84"/>
      <c r="V1260" s="84"/>
      <c r="W1260" s="84"/>
      <c r="X1260" s="84"/>
      <c r="Y1260" s="84"/>
      <c r="Z1260" s="84"/>
      <c r="AA1260" s="84"/>
    </row>
    <row r="1261" ht="15.75" customHeight="1">
      <c r="A1261" s="14" t="s">
        <v>17</v>
      </c>
      <c r="B1261" s="15" t="s">
        <v>15399</v>
      </c>
      <c r="C1261" s="14" t="s">
        <v>15057</v>
      </c>
      <c r="D1261" s="14" t="s">
        <v>15058</v>
      </c>
      <c r="E1261" s="26" t="str">
        <f t="shared" si="26"/>
        <v>http://dx.doi.org/10.1109/VISUAL.2004.52</v>
      </c>
      <c r="F1261" s="14">
        <v>457.0</v>
      </c>
      <c r="G1261" s="14">
        <v>464.0</v>
      </c>
      <c r="H1261" s="14" t="s">
        <v>28</v>
      </c>
      <c r="I1261" s="19" t="s">
        <v>15751</v>
      </c>
      <c r="J1261" s="19" t="s">
        <v>15061</v>
      </c>
      <c r="K1261" s="19" t="s">
        <v>15753</v>
      </c>
      <c r="L1261" s="19" t="s">
        <v>15754</v>
      </c>
      <c r="M1261" s="20" t="s">
        <v>15062</v>
      </c>
      <c r="N1261" s="44" t="s">
        <v>15063</v>
      </c>
      <c r="O1261" s="22">
        <v>57.0</v>
      </c>
      <c r="P1261" s="28">
        <v>14.0</v>
      </c>
      <c r="Q1261" s="28">
        <v>30.0</v>
      </c>
      <c r="R1261" s="84"/>
      <c r="S1261" s="84"/>
      <c r="T1261" s="84"/>
      <c r="U1261" s="84"/>
      <c r="V1261" s="84"/>
      <c r="W1261" s="84"/>
      <c r="X1261" s="84"/>
      <c r="Y1261" s="84"/>
      <c r="Z1261" s="84"/>
      <c r="AA1261" s="84"/>
    </row>
    <row r="1262" ht="15.75" customHeight="1">
      <c r="A1262" s="14" t="s">
        <v>17</v>
      </c>
      <c r="B1262" s="15" t="s">
        <v>15399</v>
      </c>
      <c r="C1262" s="14" t="s">
        <v>15064</v>
      </c>
      <c r="D1262" s="14" t="s">
        <v>15065</v>
      </c>
      <c r="E1262" s="26" t="str">
        <f t="shared" si="26"/>
        <v>http://dx.doi.org/10.1109/VISUAL.2004.53</v>
      </c>
      <c r="F1262" s="14">
        <v>18.0</v>
      </c>
      <c r="G1262" s="14">
        <v>18.0</v>
      </c>
      <c r="H1262" s="14" t="s">
        <v>21</v>
      </c>
      <c r="I1262" s="18"/>
      <c r="J1262" s="19" t="s">
        <v>15070</v>
      </c>
      <c r="K1262" s="19" t="s">
        <v>15755</v>
      </c>
      <c r="L1262" s="19" t="s">
        <v>15756</v>
      </c>
      <c r="M1262" s="20"/>
      <c r="N1262" s="27"/>
      <c r="O1262" s="22">
        <v>3.0</v>
      </c>
      <c r="P1262" s="28">
        <v>0.0</v>
      </c>
      <c r="Q1262" s="28">
        <v>4.0</v>
      </c>
      <c r="R1262" s="84"/>
      <c r="S1262" s="84"/>
      <c r="T1262" s="84"/>
      <c r="U1262" s="84"/>
      <c r="V1262" s="84"/>
      <c r="W1262" s="84"/>
      <c r="X1262" s="84"/>
      <c r="Y1262" s="84"/>
      <c r="Z1262" s="84"/>
      <c r="AA1262" s="84"/>
    </row>
    <row r="1263" ht="15.75" customHeight="1">
      <c r="A1263" s="14" t="s">
        <v>17</v>
      </c>
      <c r="B1263" s="15" t="s">
        <v>15399</v>
      </c>
      <c r="C1263" s="14" t="s">
        <v>15072</v>
      </c>
      <c r="D1263" s="14" t="s">
        <v>15073</v>
      </c>
      <c r="E1263" s="26" t="str">
        <f t="shared" si="26"/>
        <v>http://dx.doi.org/10.1109/VISUAL.2004.54</v>
      </c>
      <c r="F1263" s="14">
        <v>24.0</v>
      </c>
      <c r="G1263" s="14">
        <v>24.0</v>
      </c>
      <c r="H1263" s="14" t="s">
        <v>21</v>
      </c>
      <c r="I1263" s="19" t="s">
        <v>15764</v>
      </c>
      <c r="J1263" s="19" t="s">
        <v>15075</v>
      </c>
      <c r="K1263" s="19" t="s">
        <v>15765</v>
      </c>
      <c r="L1263" s="19" t="s">
        <v>15611</v>
      </c>
      <c r="M1263" s="20"/>
      <c r="N1263" s="27"/>
      <c r="O1263" s="22">
        <v>3.0</v>
      </c>
      <c r="P1263" s="28">
        <v>1.0</v>
      </c>
      <c r="Q1263" s="28">
        <v>4.0</v>
      </c>
      <c r="R1263" s="84"/>
      <c r="S1263" s="84"/>
      <c r="T1263" s="84"/>
      <c r="U1263" s="84"/>
      <c r="V1263" s="84"/>
      <c r="W1263" s="84"/>
      <c r="X1263" s="84"/>
      <c r="Y1263" s="84"/>
      <c r="Z1263" s="84"/>
      <c r="AA1263" s="84"/>
    </row>
    <row r="1264" ht="15.75" customHeight="1">
      <c r="A1264" s="14" t="s">
        <v>17</v>
      </c>
      <c r="B1264" s="15" t="s">
        <v>15399</v>
      </c>
      <c r="C1264" s="14" t="s">
        <v>15077</v>
      </c>
      <c r="D1264" s="14" t="s">
        <v>15079</v>
      </c>
      <c r="E1264" s="26" t="str">
        <f t="shared" si="26"/>
        <v>http://dx.doi.org/10.1109/VISUAL.2004.55</v>
      </c>
      <c r="F1264" s="14">
        <v>353.0</v>
      </c>
      <c r="G1264" s="14">
        <v>360.0</v>
      </c>
      <c r="H1264" s="14" t="s">
        <v>28</v>
      </c>
      <c r="I1264" s="19" t="s">
        <v>15772</v>
      </c>
      <c r="J1264" s="19" t="s">
        <v>15035</v>
      </c>
      <c r="K1264" s="19" t="s">
        <v>15773</v>
      </c>
      <c r="L1264" s="19" t="s">
        <v>15774</v>
      </c>
      <c r="M1264" s="20" t="s">
        <v>15082</v>
      </c>
      <c r="N1264" s="44" t="s">
        <v>15083</v>
      </c>
      <c r="O1264" s="22">
        <v>21.0</v>
      </c>
      <c r="P1264" s="28">
        <v>15.0</v>
      </c>
      <c r="Q1264" s="28">
        <v>14.0</v>
      </c>
      <c r="R1264" s="84"/>
      <c r="S1264" s="84"/>
      <c r="T1264" s="84"/>
      <c r="U1264" s="84"/>
      <c r="V1264" s="84"/>
      <c r="W1264" s="84"/>
      <c r="X1264" s="84"/>
      <c r="Y1264" s="84"/>
      <c r="Z1264" s="84"/>
      <c r="AA1264" s="84"/>
    </row>
    <row r="1265" ht="15.75" customHeight="1">
      <c r="A1265" s="14" t="s">
        <v>17</v>
      </c>
      <c r="B1265" s="15" t="s">
        <v>15399</v>
      </c>
      <c r="C1265" s="14" t="s">
        <v>15084</v>
      </c>
      <c r="D1265" s="14" t="s">
        <v>15085</v>
      </c>
      <c r="E1265" s="26" t="str">
        <f t="shared" si="26"/>
        <v>http://dx.doi.org/10.1109/VISUAL.2004.56</v>
      </c>
      <c r="F1265" s="14">
        <v>521.0</v>
      </c>
      <c r="G1265" s="14">
        <v>527.0</v>
      </c>
      <c r="H1265" s="14" t="s">
        <v>28</v>
      </c>
      <c r="I1265" s="19" t="s">
        <v>15782</v>
      </c>
      <c r="J1265" s="19" t="s">
        <v>15783</v>
      </c>
      <c r="K1265" s="19" t="s">
        <v>15784</v>
      </c>
      <c r="L1265" s="19" t="s">
        <v>15785</v>
      </c>
      <c r="M1265" s="20" t="s">
        <v>15092</v>
      </c>
      <c r="N1265" s="44" t="s">
        <v>15093</v>
      </c>
      <c r="O1265" s="22">
        <v>50.0</v>
      </c>
      <c r="P1265" s="28">
        <v>4.0</v>
      </c>
      <c r="Q1265" s="28">
        <v>23.0</v>
      </c>
      <c r="R1265" s="84"/>
      <c r="S1265" s="84"/>
      <c r="T1265" s="84"/>
      <c r="U1265" s="84"/>
      <c r="V1265" s="84"/>
      <c r="W1265" s="84"/>
      <c r="X1265" s="84"/>
      <c r="Y1265" s="84"/>
      <c r="Z1265" s="84"/>
      <c r="AA1265" s="84"/>
    </row>
    <row r="1266" ht="15.75" customHeight="1">
      <c r="A1266" s="14" t="s">
        <v>17</v>
      </c>
      <c r="B1266" s="15" t="s">
        <v>15399</v>
      </c>
      <c r="C1266" s="14" t="s">
        <v>15094</v>
      </c>
      <c r="D1266" s="14" t="s">
        <v>15095</v>
      </c>
      <c r="E1266" s="26" t="str">
        <f t="shared" si="26"/>
        <v>http://dx.doi.org/10.1109/VISUAL.2004.57</v>
      </c>
      <c r="F1266" s="14">
        <v>6.0</v>
      </c>
      <c r="G1266" s="14">
        <v>6.0</v>
      </c>
      <c r="H1266" s="14" t="s">
        <v>21</v>
      </c>
      <c r="I1266" s="18"/>
      <c r="J1266" s="19" t="s">
        <v>15100</v>
      </c>
      <c r="K1266" s="19" t="s">
        <v>15792</v>
      </c>
      <c r="L1266" s="19" t="s">
        <v>15793</v>
      </c>
      <c r="M1266" s="20"/>
      <c r="N1266" s="27"/>
      <c r="O1266" s="22">
        <v>6.0</v>
      </c>
      <c r="P1266" s="28">
        <v>1.0</v>
      </c>
      <c r="Q1266" s="28">
        <v>2.0</v>
      </c>
      <c r="R1266" s="84"/>
      <c r="S1266" s="84"/>
      <c r="T1266" s="84"/>
      <c r="U1266" s="84"/>
      <c r="V1266" s="84"/>
      <c r="W1266" s="84"/>
      <c r="X1266" s="84"/>
      <c r="Y1266" s="84"/>
      <c r="Z1266" s="84"/>
      <c r="AA1266" s="84"/>
    </row>
    <row r="1267" ht="15.75" customHeight="1">
      <c r="A1267" s="14" t="s">
        <v>17</v>
      </c>
      <c r="B1267" s="15" t="s">
        <v>15399</v>
      </c>
      <c r="C1267" s="14" t="s">
        <v>15102</v>
      </c>
      <c r="D1267" s="14" t="s">
        <v>15104</v>
      </c>
      <c r="E1267" s="26" t="str">
        <f t="shared" si="26"/>
        <v>http://dx.doi.org/10.1109/VISUAL.2004.58</v>
      </c>
      <c r="F1267" s="14">
        <v>361.0</v>
      </c>
      <c r="G1267" s="14">
        <v>368.0</v>
      </c>
      <c r="H1267" s="14" t="s">
        <v>28</v>
      </c>
      <c r="I1267" s="19" t="s">
        <v>15797</v>
      </c>
      <c r="J1267" s="19" t="s">
        <v>15110</v>
      </c>
      <c r="K1267" s="19" t="s">
        <v>15799</v>
      </c>
      <c r="L1267" s="19" t="s">
        <v>14031</v>
      </c>
      <c r="M1267" s="20" t="s">
        <v>12819</v>
      </c>
      <c r="N1267" s="44" t="s">
        <v>15111</v>
      </c>
      <c r="O1267" s="22">
        <v>10.0</v>
      </c>
      <c r="P1267" s="28">
        <v>2.0</v>
      </c>
      <c r="Q1267" s="28">
        <v>36.0</v>
      </c>
      <c r="R1267" s="84"/>
      <c r="S1267" s="84"/>
      <c r="T1267" s="84"/>
      <c r="U1267" s="84"/>
      <c r="V1267" s="84"/>
      <c r="W1267" s="84"/>
      <c r="X1267" s="84"/>
      <c r="Y1267" s="84"/>
      <c r="Z1267" s="84"/>
      <c r="AA1267" s="84"/>
    </row>
    <row r="1268" ht="15.75" customHeight="1">
      <c r="A1268" s="14" t="s">
        <v>17</v>
      </c>
      <c r="B1268" s="15" t="s">
        <v>15399</v>
      </c>
      <c r="C1268" s="14" t="s">
        <v>15112</v>
      </c>
      <c r="D1268" s="14" t="s">
        <v>15113</v>
      </c>
      <c r="E1268" s="26" t="str">
        <f t="shared" si="26"/>
        <v>http://dx.doi.org/10.1109/VISUAL.2004.59</v>
      </c>
      <c r="F1268" s="14">
        <v>51.0</v>
      </c>
      <c r="G1268" s="14">
        <v>58.0</v>
      </c>
      <c r="H1268" s="14" t="s">
        <v>28</v>
      </c>
      <c r="I1268" s="19" t="s">
        <v>15802</v>
      </c>
      <c r="J1268" s="19" t="s">
        <v>15803</v>
      </c>
      <c r="K1268" s="19" t="s">
        <v>15804</v>
      </c>
      <c r="L1268" s="19" t="s">
        <v>15806</v>
      </c>
      <c r="M1268" s="20" t="s">
        <v>15121</v>
      </c>
      <c r="N1268" s="44" t="s">
        <v>15122</v>
      </c>
      <c r="O1268" s="22">
        <v>81.0</v>
      </c>
      <c r="P1268" s="28">
        <v>25.0</v>
      </c>
      <c r="Q1268" s="28">
        <v>23.0</v>
      </c>
      <c r="R1268" s="84"/>
      <c r="S1268" s="84"/>
      <c r="T1268" s="84"/>
      <c r="U1268" s="84"/>
      <c r="V1268" s="84"/>
      <c r="W1268" s="84"/>
      <c r="X1268" s="84"/>
      <c r="Y1268" s="84"/>
      <c r="Z1268" s="84"/>
      <c r="AA1268" s="84"/>
    </row>
    <row r="1269" ht="15.75" customHeight="1">
      <c r="A1269" s="14" t="s">
        <v>17</v>
      </c>
      <c r="B1269" s="15" t="s">
        <v>15399</v>
      </c>
      <c r="C1269" s="14" t="s">
        <v>15123</v>
      </c>
      <c r="D1269" s="14" t="s">
        <v>15124</v>
      </c>
      <c r="E1269" s="26" t="str">
        <f t="shared" si="26"/>
        <v>http://dx.doi.org/10.1109/VISUAL.2004.6</v>
      </c>
      <c r="F1269" s="14">
        <v>27.0</v>
      </c>
      <c r="G1269" s="14">
        <v>27.0</v>
      </c>
      <c r="H1269" s="14" t="s">
        <v>21</v>
      </c>
      <c r="I1269" s="18"/>
      <c r="J1269" s="19" t="s">
        <v>15129</v>
      </c>
      <c r="K1269" s="19" t="s">
        <v>15834</v>
      </c>
      <c r="L1269" s="19" t="s">
        <v>15616</v>
      </c>
      <c r="M1269" s="20"/>
      <c r="N1269" s="27"/>
      <c r="O1269" s="22">
        <v>50.0</v>
      </c>
      <c r="P1269" s="28">
        <v>0.0</v>
      </c>
      <c r="Q1269" s="28">
        <v>4.0</v>
      </c>
      <c r="R1269" s="84"/>
      <c r="S1269" s="84"/>
      <c r="T1269" s="84"/>
      <c r="U1269" s="84"/>
      <c r="V1269" s="84"/>
      <c r="W1269" s="84"/>
      <c r="X1269" s="84"/>
      <c r="Y1269" s="84"/>
      <c r="Z1269" s="84"/>
      <c r="AA1269" s="84"/>
    </row>
    <row r="1270" ht="15.75" customHeight="1">
      <c r="A1270" s="14" t="s">
        <v>17</v>
      </c>
      <c r="B1270" s="15" t="s">
        <v>15399</v>
      </c>
      <c r="C1270" s="42" t="s">
        <v>15130</v>
      </c>
      <c r="D1270" s="14" t="s">
        <v>15131</v>
      </c>
      <c r="E1270" s="26" t="str">
        <f t="shared" si="26"/>
        <v>http://dx.doi.org/10.1109/VISUAL.2004.60</v>
      </c>
      <c r="F1270" s="14">
        <v>35.0</v>
      </c>
      <c r="G1270" s="14">
        <v>35.0</v>
      </c>
      <c r="H1270" s="14" t="s">
        <v>21</v>
      </c>
      <c r="I1270" s="18"/>
      <c r="J1270" s="19" t="s">
        <v>15840</v>
      </c>
      <c r="K1270" s="19" t="s">
        <v>15841</v>
      </c>
      <c r="L1270" s="19" t="s">
        <v>15616</v>
      </c>
      <c r="M1270" s="20"/>
      <c r="N1270" s="27"/>
      <c r="O1270" s="22">
        <v>0.0</v>
      </c>
      <c r="P1270" s="28">
        <v>0.0</v>
      </c>
      <c r="Q1270" s="28">
        <v>3.0</v>
      </c>
      <c r="R1270" s="84"/>
      <c r="S1270" s="84"/>
      <c r="T1270" s="84"/>
      <c r="U1270" s="84"/>
      <c r="V1270" s="84"/>
      <c r="W1270" s="84"/>
      <c r="X1270" s="84"/>
      <c r="Y1270" s="84"/>
      <c r="Z1270" s="84"/>
      <c r="AA1270" s="84"/>
    </row>
    <row r="1271" ht="15.75" customHeight="1">
      <c r="A1271" s="14" t="s">
        <v>17</v>
      </c>
      <c r="B1271" s="15" t="s">
        <v>15399</v>
      </c>
      <c r="C1271" s="14" t="s">
        <v>15138</v>
      </c>
      <c r="D1271" s="14" t="s">
        <v>15139</v>
      </c>
      <c r="E1271" s="26" t="str">
        <f t="shared" si="26"/>
        <v>http://dx.doi.org/10.1109/VISUAL.2004.61</v>
      </c>
      <c r="F1271" s="14" t="s">
        <v>15144</v>
      </c>
      <c r="G1271" s="14"/>
      <c r="H1271" s="14" t="s">
        <v>21</v>
      </c>
      <c r="I1271" s="19" t="s">
        <v>15849</v>
      </c>
      <c r="J1271" s="19" t="s">
        <v>15145</v>
      </c>
      <c r="K1271" s="19" t="s">
        <v>15850</v>
      </c>
      <c r="L1271" s="19" t="s">
        <v>15851</v>
      </c>
      <c r="M1271" s="20"/>
      <c r="N1271" s="27"/>
      <c r="O1271" s="22">
        <v>0.0</v>
      </c>
      <c r="P1271" s="28">
        <v>0.0</v>
      </c>
      <c r="Q1271" s="28">
        <v>0.0</v>
      </c>
      <c r="R1271" s="84"/>
      <c r="S1271" s="84"/>
      <c r="T1271" s="84"/>
      <c r="U1271" s="84"/>
      <c r="V1271" s="84"/>
      <c r="W1271" s="84"/>
      <c r="X1271" s="84"/>
      <c r="Y1271" s="84"/>
      <c r="Z1271" s="84"/>
      <c r="AA1271" s="84"/>
    </row>
    <row r="1272" ht="15.75" customHeight="1">
      <c r="A1272" s="14" t="s">
        <v>17</v>
      </c>
      <c r="B1272" s="15" t="s">
        <v>15399</v>
      </c>
      <c r="C1272" s="14" t="s">
        <v>15147</v>
      </c>
      <c r="D1272" s="14" t="s">
        <v>15148</v>
      </c>
      <c r="E1272" s="26" t="str">
        <f t="shared" si="26"/>
        <v>http://dx.doi.org/10.1109/VISUAL.2004.62</v>
      </c>
      <c r="F1272" s="14">
        <v>281.0</v>
      </c>
      <c r="G1272" s="14">
        <v>288.0</v>
      </c>
      <c r="H1272" s="14" t="s">
        <v>28</v>
      </c>
      <c r="I1272" s="19" t="s">
        <v>15855</v>
      </c>
      <c r="J1272" s="19" t="s">
        <v>15151</v>
      </c>
      <c r="K1272" s="19" t="s">
        <v>15858</v>
      </c>
      <c r="L1272" s="19" t="s">
        <v>15859</v>
      </c>
      <c r="M1272" s="20" t="s">
        <v>15154</v>
      </c>
      <c r="N1272" s="44" t="s">
        <v>15155</v>
      </c>
      <c r="O1272" s="22">
        <v>50.0</v>
      </c>
      <c r="P1272" s="28">
        <v>14.0</v>
      </c>
      <c r="Q1272" s="28">
        <v>29.0</v>
      </c>
      <c r="R1272" s="84"/>
      <c r="S1272" s="84"/>
      <c r="T1272" s="84"/>
      <c r="U1272" s="84"/>
      <c r="V1272" s="84"/>
      <c r="W1272" s="84"/>
      <c r="X1272" s="84"/>
      <c r="Y1272" s="84"/>
      <c r="Z1272" s="84"/>
      <c r="AA1272" s="84"/>
    </row>
    <row r="1273" ht="15.75" customHeight="1">
      <c r="A1273" s="14" t="s">
        <v>17</v>
      </c>
      <c r="B1273" s="15" t="s">
        <v>15399</v>
      </c>
      <c r="C1273" s="14" t="s">
        <v>15156</v>
      </c>
      <c r="D1273" s="14" t="s">
        <v>15157</v>
      </c>
      <c r="E1273" s="26" t="str">
        <f t="shared" si="26"/>
        <v>http://dx.doi.org/10.1109/VISUAL.2004.63</v>
      </c>
      <c r="F1273" s="14">
        <v>19.0</v>
      </c>
      <c r="G1273" s="14">
        <v>26.0</v>
      </c>
      <c r="H1273" s="14" t="s">
        <v>28</v>
      </c>
      <c r="I1273" s="19" t="s">
        <v>15861</v>
      </c>
      <c r="J1273" s="19" t="s">
        <v>15161</v>
      </c>
      <c r="K1273" s="19" t="s">
        <v>15862</v>
      </c>
      <c r="L1273" s="19" t="s">
        <v>15863</v>
      </c>
      <c r="M1273" s="20" t="s">
        <v>15163</v>
      </c>
      <c r="N1273" s="44" t="s">
        <v>15164</v>
      </c>
      <c r="O1273" s="22">
        <v>50.0</v>
      </c>
      <c r="P1273" s="28">
        <v>6.0</v>
      </c>
      <c r="Q1273" s="28">
        <v>13.0</v>
      </c>
      <c r="R1273" s="84"/>
      <c r="S1273" s="84"/>
      <c r="T1273" s="84"/>
      <c r="U1273" s="84"/>
      <c r="V1273" s="84"/>
      <c r="W1273" s="84"/>
      <c r="X1273" s="84"/>
      <c r="Y1273" s="84"/>
      <c r="Z1273" s="84"/>
      <c r="AA1273" s="84"/>
    </row>
    <row r="1274" ht="15.75" customHeight="1">
      <c r="A1274" s="14" t="s">
        <v>17</v>
      </c>
      <c r="B1274" s="15" t="s">
        <v>15399</v>
      </c>
      <c r="C1274" s="14" t="s">
        <v>15166</v>
      </c>
      <c r="D1274" s="14" t="s">
        <v>15168</v>
      </c>
      <c r="E1274" s="26" t="str">
        <f t="shared" si="26"/>
        <v>http://dx.doi.org/10.1109/VISUAL.2004.64</v>
      </c>
      <c r="F1274" s="14">
        <v>289.0</v>
      </c>
      <c r="G1274" s="14">
        <v>296.0</v>
      </c>
      <c r="H1274" s="14" t="s">
        <v>28</v>
      </c>
      <c r="I1274" s="19" t="s">
        <v>15871</v>
      </c>
      <c r="J1274" s="19" t="s">
        <v>15173</v>
      </c>
      <c r="K1274" s="19" t="s">
        <v>15872</v>
      </c>
      <c r="L1274" s="19" t="s">
        <v>15367</v>
      </c>
      <c r="M1274" s="20" t="s">
        <v>15175</v>
      </c>
      <c r="N1274" s="44" t="s">
        <v>15176</v>
      </c>
      <c r="O1274" s="22">
        <v>111.0</v>
      </c>
      <c r="P1274" s="28">
        <v>35.0</v>
      </c>
      <c r="Q1274" s="28">
        <v>19.0</v>
      </c>
      <c r="R1274" s="84"/>
      <c r="S1274" s="84"/>
      <c r="T1274" s="84"/>
      <c r="U1274" s="84"/>
      <c r="V1274" s="84"/>
      <c r="W1274" s="84"/>
      <c r="X1274" s="84"/>
      <c r="Y1274" s="84"/>
      <c r="Z1274" s="84"/>
      <c r="AA1274" s="84"/>
    </row>
    <row r="1275" ht="15.75" customHeight="1">
      <c r="A1275" s="14" t="s">
        <v>17</v>
      </c>
      <c r="B1275" s="15" t="s">
        <v>15399</v>
      </c>
      <c r="C1275" s="14" t="s">
        <v>15177</v>
      </c>
      <c r="D1275" s="14" t="s">
        <v>15178</v>
      </c>
      <c r="E1275" s="26" t="str">
        <f t="shared" si="26"/>
        <v>http://dx.doi.org/10.1109/VISUAL.2004.65</v>
      </c>
      <c r="F1275" s="14">
        <v>11.0</v>
      </c>
      <c r="G1275" s="14">
        <v>18.0</v>
      </c>
      <c r="H1275" s="14" t="s">
        <v>28</v>
      </c>
      <c r="I1275" s="19" t="s">
        <v>15873</v>
      </c>
      <c r="J1275" s="19" t="s">
        <v>15874</v>
      </c>
      <c r="K1275" s="19" t="s">
        <v>15875</v>
      </c>
      <c r="L1275" s="19" t="s">
        <v>15876</v>
      </c>
      <c r="M1275" s="20" t="s">
        <v>15184</v>
      </c>
      <c r="N1275" s="44" t="s">
        <v>15185</v>
      </c>
      <c r="O1275" s="22">
        <v>83.0</v>
      </c>
      <c r="P1275" s="28">
        <v>26.0</v>
      </c>
      <c r="Q1275" s="28">
        <v>21.0</v>
      </c>
      <c r="R1275" s="84"/>
      <c r="S1275" s="84"/>
      <c r="T1275" s="84"/>
      <c r="U1275" s="84"/>
      <c r="V1275" s="84"/>
      <c r="W1275" s="84"/>
      <c r="X1275" s="84"/>
      <c r="Y1275" s="84"/>
      <c r="Z1275" s="84"/>
      <c r="AA1275" s="84"/>
    </row>
    <row r="1276" ht="15.75" customHeight="1">
      <c r="A1276" s="14" t="s">
        <v>17</v>
      </c>
      <c r="B1276" s="15" t="s">
        <v>15399</v>
      </c>
      <c r="C1276" s="14" t="s">
        <v>15186</v>
      </c>
      <c r="D1276" s="14" t="s">
        <v>15187</v>
      </c>
      <c r="E1276" s="26" t="str">
        <f t="shared" si="26"/>
        <v>http://dx.doi.org/10.1109/VISUAL.2004.66</v>
      </c>
      <c r="F1276" s="14">
        <v>5.0</v>
      </c>
      <c r="G1276" s="14">
        <v>5.0</v>
      </c>
      <c r="H1276" s="14" t="s">
        <v>21</v>
      </c>
      <c r="I1276" s="19" t="s">
        <v>15882</v>
      </c>
      <c r="J1276" s="19" t="s">
        <v>15191</v>
      </c>
      <c r="K1276" s="19" t="s">
        <v>15883</v>
      </c>
      <c r="L1276" s="19" t="s">
        <v>15572</v>
      </c>
      <c r="M1276" s="20"/>
      <c r="N1276" s="27"/>
      <c r="O1276" s="22">
        <v>3.0</v>
      </c>
      <c r="P1276" s="28">
        <v>1.0</v>
      </c>
      <c r="Q1276" s="28">
        <v>8.0</v>
      </c>
      <c r="R1276" s="84"/>
      <c r="S1276" s="84"/>
      <c r="T1276" s="84"/>
      <c r="U1276" s="84"/>
      <c r="V1276" s="84"/>
      <c r="W1276" s="84"/>
      <c r="X1276" s="84"/>
      <c r="Y1276" s="84"/>
      <c r="Z1276" s="84"/>
      <c r="AA1276" s="84"/>
    </row>
    <row r="1277" ht="15.75" customHeight="1">
      <c r="A1277" s="14" t="s">
        <v>17</v>
      </c>
      <c r="B1277" s="15" t="s">
        <v>15399</v>
      </c>
      <c r="C1277" s="14" t="s">
        <v>15194</v>
      </c>
      <c r="D1277" s="14" t="s">
        <v>15195</v>
      </c>
      <c r="E1277" s="26" t="str">
        <f t="shared" si="26"/>
        <v>http://dx.doi.org/10.1109/VISUAL.2004.67</v>
      </c>
      <c r="F1277" s="14">
        <v>12.0</v>
      </c>
      <c r="G1277" s="14">
        <v>12.0</v>
      </c>
      <c r="H1277" s="14" t="s">
        <v>21</v>
      </c>
      <c r="I1277" s="19" t="s">
        <v>15890</v>
      </c>
      <c r="J1277" s="19" t="s">
        <v>15129</v>
      </c>
      <c r="K1277" s="19" t="s">
        <v>15891</v>
      </c>
      <c r="L1277" s="19" t="s">
        <v>15546</v>
      </c>
      <c r="M1277" s="20"/>
      <c r="N1277" s="27"/>
      <c r="O1277" s="22">
        <v>0.0</v>
      </c>
      <c r="P1277" s="28">
        <v>0.0</v>
      </c>
      <c r="Q1277" s="28">
        <v>5.0</v>
      </c>
      <c r="R1277" s="84"/>
      <c r="S1277" s="84"/>
      <c r="T1277" s="84"/>
      <c r="U1277" s="84"/>
      <c r="V1277" s="84"/>
      <c r="W1277" s="84"/>
      <c r="X1277" s="84"/>
      <c r="Y1277" s="84"/>
      <c r="Z1277" s="84"/>
      <c r="AA1277" s="84"/>
    </row>
    <row r="1278" ht="15.75" customHeight="1">
      <c r="A1278" s="14" t="s">
        <v>17</v>
      </c>
      <c r="B1278" s="15" t="s">
        <v>15399</v>
      </c>
      <c r="C1278" s="14" t="s">
        <v>15202</v>
      </c>
      <c r="D1278" s="14" t="s">
        <v>15203</v>
      </c>
      <c r="E1278" s="26" t="str">
        <f t="shared" si="26"/>
        <v>http://dx.doi.org/10.1109/VISUAL.2004.68</v>
      </c>
      <c r="F1278" s="14">
        <v>275.0</v>
      </c>
      <c r="G1278" s="14">
        <v>280.0</v>
      </c>
      <c r="H1278" s="14" t="s">
        <v>28</v>
      </c>
      <c r="I1278" s="19" t="s">
        <v>15892</v>
      </c>
      <c r="J1278" s="19" t="s">
        <v>15208</v>
      </c>
      <c r="K1278" s="19" t="s">
        <v>15895</v>
      </c>
      <c r="L1278" s="19" t="s">
        <v>15897</v>
      </c>
      <c r="M1278" s="20"/>
      <c r="N1278" s="44" t="s">
        <v>15210</v>
      </c>
      <c r="O1278" s="22">
        <v>55.0</v>
      </c>
      <c r="P1278" s="28">
        <v>10.0</v>
      </c>
      <c r="Q1278" s="28">
        <v>13.0</v>
      </c>
      <c r="R1278" s="84"/>
      <c r="S1278" s="84"/>
      <c r="T1278" s="84"/>
      <c r="U1278" s="84"/>
      <c r="V1278" s="84"/>
      <c r="W1278" s="84"/>
      <c r="X1278" s="84"/>
      <c r="Y1278" s="84"/>
      <c r="Z1278" s="84"/>
      <c r="AA1278" s="84"/>
    </row>
    <row r="1279" ht="15.75" customHeight="1">
      <c r="A1279" s="14" t="s">
        <v>17</v>
      </c>
      <c r="B1279" s="15" t="s">
        <v>15399</v>
      </c>
      <c r="C1279" s="14" t="s">
        <v>15211</v>
      </c>
      <c r="D1279" s="14" t="s">
        <v>15212</v>
      </c>
      <c r="E1279" s="26" t="str">
        <f t="shared" si="26"/>
        <v>http://dx.doi.org/10.1109/VISUAL.2004.69</v>
      </c>
      <c r="F1279" s="14">
        <v>417.0</v>
      </c>
      <c r="G1279" s="14">
        <v>424.0</v>
      </c>
      <c r="H1279" s="14" t="s">
        <v>28</v>
      </c>
      <c r="I1279" s="19" t="s">
        <v>15901</v>
      </c>
      <c r="J1279" s="19" t="s">
        <v>15217</v>
      </c>
      <c r="K1279" s="19" t="s">
        <v>15217</v>
      </c>
      <c r="L1279" s="19" t="s">
        <v>15902</v>
      </c>
      <c r="M1279" s="20" t="s">
        <v>15219</v>
      </c>
      <c r="N1279" s="44" t="s">
        <v>15220</v>
      </c>
      <c r="O1279" s="22">
        <v>50.0</v>
      </c>
      <c r="P1279" s="28">
        <v>1.0</v>
      </c>
      <c r="Q1279" s="28">
        <v>33.0</v>
      </c>
      <c r="R1279" s="84"/>
      <c r="S1279" s="84"/>
      <c r="T1279" s="84"/>
      <c r="U1279" s="84"/>
      <c r="V1279" s="84"/>
      <c r="W1279" s="84"/>
      <c r="X1279" s="84"/>
      <c r="Y1279" s="84"/>
      <c r="Z1279" s="84"/>
      <c r="AA1279" s="84"/>
    </row>
    <row r="1280" ht="15.75" customHeight="1">
      <c r="A1280" s="14" t="s">
        <v>17</v>
      </c>
      <c r="B1280" s="15" t="s">
        <v>15399</v>
      </c>
      <c r="C1280" s="14" t="s">
        <v>15222</v>
      </c>
      <c r="D1280" s="14" t="s">
        <v>15223</v>
      </c>
      <c r="E1280" s="26" t="str">
        <f t="shared" si="26"/>
        <v>http://dx.doi.org/10.1109/VISUAL.2004.7</v>
      </c>
      <c r="F1280" s="14">
        <v>235.0</v>
      </c>
      <c r="G1280" s="14">
        <v>241.0</v>
      </c>
      <c r="H1280" s="14" t="s">
        <v>28</v>
      </c>
      <c r="I1280" s="19" t="s">
        <v>15910</v>
      </c>
      <c r="J1280" s="19" t="s">
        <v>15231</v>
      </c>
      <c r="K1280" s="19" t="s">
        <v>15911</v>
      </c>
      <c r="L1280" s="18"/>
      <c r="M1280" s="20"/>
      <c r="N1280" s="44" t="s">
        <v>15232</v>
      </c>
      <c r="O1280" s="22">
        <v>54.0</v>
      </c>
      <c r="P1280" s="28">
        <v>21.0</v>
      </c>
      <c r="Q1280" s="28">
        <v>15.0</v>
      </c>
      <c r="R1280" s="84"/>
      <c r="S1280" s="84"/>
      <c r="T1280" s="84"/>
      <c r="U1280" s="84"/>
      <c r="V1280" s="84"/>
      <c r="W1280" s="84"/>
      <c r="X1280" s="84"/>
      <c r="Y1280" s="84"/>
      <c r="Z1280" s="84"/>
      <c r="AA1280" s="84"/>
    </row>
    <row r="1281" ht="15.75" customHeight="1">
      <c r="A1281" s="14" t="s">
        <v>17</v>
      </c>
      <c r="B1281" s="15" t="s">
        <v>15399</v>
      </c>
      <c r="C1281" s="14" t="s">
        <v>15233</v>
      </c>
      <c r="D1281" s="14" t="s">
        <v>15234</v>
      </c>
      <c r="E1281" s="26" t="str">
        <f t="shared" si="26"/>
        <v>http://dx.doi.org/10.1109/VISUAL.2004.70</v>
      </c>
      <c r="F1281" s="14">
        <v>3.0</v>
      </c>
      <c r="G1281" s="14">
        <v>10.0</v>
      </c>
      <c r="H1281" s="14" t="s">
        <v>28</v>
      </c>
      <c r="I1281" s="19" t="s">
        <v>15919</v>
      </c>
      <c r="J1281" s="19" t="s">
        <v>15239</v>
      </c>
      <c r="K1281" s="19" t="s">
        <v>15920</v>
      </c>
      <c r="L1281" s="19" t="s">
        <v>15921</v>
      </c>
      <c r="M1281" s="20" t="s">
        <v>2052</v>
      </c>
      <c r="N1281" s="44" t="s">
        <v>15241</v>
      </c>
      <c r="O1281" s="22">
        <v>30.0</v>
      </c>
      <c r="P1281" s="28">
        <v>7.0</v>
      </c>
      <c r="Q1281" s="28">
        <v>27.0</v>
      </c>
      <c r="R1281" s="84"/>
      <c r="S1281" s="84"/>
      <c r="T1281" s="84"/>
      <c r="U1281" s="84"/>
      <c r="V1281" s="84"/>
      <c r="W1281" s="84"/>
      <c r="X1281" s="84"/>
      <c r="Y1281" s="84"/>
      <c r="Z1281" s="84"/>
      <c r="AA1281" s="84"/>
    </row>
    <row r="1282" ht="15.75" customHeight="1">
      <c r="A1282" s="14" t="s">
        <v>17</v>
      </c>
      <c r="B1282" s="15" t="s">
        <v>15399</v>
      </c>
      <c r="C1282" s="14" t="s">
        <v>15242</v>
      </c>
      <c r="D1282" s="14" t="s">
        <v>15243</v>
      </c>
      <c r="E1282" s="26" t="str">
        <f t="shared" si="26"/>
        <v>http://dx.doi.org/10.1109/VISUAL.2004.71</v>
      </c>
      <c r="F1282" s="14">
        <v>14.0</v>
      </c>
      <c r="G1282" s="14">
        <v>14.0</v>
      </c>
      <c r="H1282" s="14" t="s">
        <v>21</v>
      </c>
      <c r="I1282" s="19" t="s">
        <v>15928</v>
      </c>
      <c r="J1282" s="19" t="s">
        <v>15249</v>
      </c>
      <c r="K1282" s="19" t="s">
        <v>15932</v>
      </c>
      <c r="L1282" s="19" t="s">
        <v>15449</v>
      </c>
      <c r="M1282" s="20"/>
      <c r="N1282" s="27"/>
      <c r="O1282" s="22">
        <v>3.0</v>
      </c>
      <c r="P1282" s="28">
        <v>2.0</v>
      </c>
      <c r="Q1282" s="28">
        <v>7.0</v>
      </c>
      <c r="R1282" s="84"/>
      <c r="S1282" s="84"/>
      <c r="T1282" s="84"/>
      <c r="U1282" s="84"/>
      <c r="V1282" s="84"/>
      <c r="W1282" s="84"/>
      <c r="X1282" s="84"/>
      <c r="Y1282" s="84"/>
      <c r="Z1282" s="84"/>
      <c r="AA1282" s="84"/>
    </row>
    <row r="1283" ht="15.75" customHeight="1">
      <c r="A1283" s="14" t="s">
        <v>17</v>
      </c>
      <c r="B1283" s="15" t="s">
        <v>15399</v>
      </c>
      <c r="C1283" s="14" t="s">
        <v>15250</v>
      </c>
      <c r="D1283" s="14" t="s">
        <v>15251</v>
      </c>
      <c r="E1283" s="26" t="str">
        <f t="shared" si="26"/>
        <v>http://dx.doi.org/10.1109/VISUAL.2004.72</v>
      </c>
      <c r="F1283" s="14">
        <v>393.0</v>
      </c>
      <c r="G1283" s="14">
        <v>400.0</v>
      </c>
      <c r="H1283" s="14" t="s">
        <v>28</v>
      </c>
      <c r="I1283" s="19" t="s">
        <v>15937</v>
      </c>
      <c r="J1283" s="19" t="s">
        <v>15938</v>
      </c>
      <c r="K1283" s="19" t="s">
        <v>15939</v>
      </c>
      <c r="L1283" s="19" t="s">
        <v>15940</v>
      </c>
      <c r="M1283" s="20" t="s">
        <v>11129</v>
      </c>
      <c r="N1283" s="44" t="s">
        <v>15258</v>
      </c>
      <c r="O1283" s="22">
        <v>50.0</v>
      </c>
      <c r="P1283" s="28">
        <v>5.0</v>
      </c>
      <c r="Q1283" s="28">
        <v>11.0</v>
      </c>
      <c r="R1283" s="84"/>
      <c r="S1283" s="84"/>
      <c r="T1283" s="84"/>
      <c r="U1283" s="84"/>
      <c r="V1283" s="84"/>
      <c r="W1283" s="84"/>
      <c r="X1283" s="84"/>
      <c r="Y1283" s="84"/>
      <c r="Z1283" s="84"/>
      <c r="AA1283" s="84"/>
    </row>
    <row r="1284" ht="15.75" customHeight="1">
      <c r="A1284" s="14" t="s">
        <v>17</v>
      </c>
      <c r="B1284" s="15" t="s">
        <v>15399</v>
      </c>
      <c r="C1284" s="14" t="s">
        <v>15259</v>
      </c>
      <c r="D1284" s="14" t="s">
        <v>15262</v>
      </c>
      <c r="E1284" s="26" t="str">
        <f t="shared" si="26"/>
        <v>http://dx.doi.org/10.1109/VISUAL.2004.73</v>
      </c>
      <c r="F1284" s="14">
        <v>305.0</v>
      </c>
      <c r="G1284" s="14">
        <v>312.0</v>
      </c>
      <c r="H1284" s="14" t="s">
        <v>28</v>
      </c>
      <c r="I1284" s="19" t="s">
        <v>15946</v>
      </c>
      <c r="J1284" s="19" t="s">
        <v>5975</v>
      </c>
      <c r="K1284" s="19" t="s">
        <v>13023</v>
      </c>
      <c r="L1284" s="19" t="s">
        <v>15043</v>
      </c>
      <c r="M1284" s="20" t="s">
        <v>15267</v>
      </c>
      <c r="N1284" s="44" t="s">
        <v>15268</v>
      </c>
      <c r="O1284" s="22">
        <v>50.0</v>
      </c>
      <c r="P1284" s="28">
        <v>4.0</v>
      </c>
      <c r="Q1284" s="28">
        <v>91.0</v>
      </c>
      <c r="R1284" s="84"/>
      <c r="S1284" s="84"/>
      <c r="T1284" s="84"/>
      <c r="U1284" s="84"/>
      <c r="V1284" s="84"/>
      <c r="W1284" s="84"/>
      <c r="X1284" s="84"/>
      <c r="Y1284" s="84"/>
      <c r="Z1284" s="84"/>
      <c r="AA1284" s="84"/>
    </row>
    <row r="1285" ht="15.75" customHeight="1">
      <c r="A1285" s="14" t="s">
        <v>17</v>
      </c>
      <c r="B1285" s="15" t="s">
        <v>15399</v>
      </c>
      <c r="C1285" s="14" t="s">
        <v>15270</v>
      </c>
      <c r="D1285" s="14" t="s">
        <v>15272</v>
      </c>
      <c r="E1285" s="26" t="str">
        <f t="shared" si="26"/>
        <v>http://dx.doi.org/10.1109/VISUAL.2004.74</v>
      </c>
      <c r="F1285" s="14">
        <v>17.0</v>
      </c>
      <c r="G1285" s="14">
        <v>17.0</v>
      </c>
      <c r="H1285" s="14" t="s">
        <v>21</v>
      </c>
      <c r="I1285" s="19" t="s">
        <v>15951</v>
      </c>
      <c r="J1285" s="19" t="s">
        <v>15231</v>
      </c>
      <c r="K1285" s="19" t="s">
        <v>15952</v>
      </c>
      <c r="L1285" s="19" t="s">
        <v>15953</v>
      </c>
      <c r="M1285" s="20"/>
      <c r="N1285" s="27"/>
      <c r="O1285" s="22">
        <v>0.0</v>
      </c>
      <c r="P1285" s="28">
        <v>1.0</v>
      </c>
      <c r="Q1285" s="28">
        <v>0.0</v>
      </c>
      <c r="R1285" s="84"/>
      <c r="S1285" s="84"/>
      <c r="T1285" s="84"/>
      <c r="U1285" s="84"/>
      <c r="V1285" s="84"/>
      <c r="W1285" s="84"/>
      <c r="X1285" s="84"/>
      <c r="Y1285" s="84"/>
      <c r="Z1285" s="84"/>
      <c r="AA1285" s="84"/>
    </row>
    <row r="1286" ht="15.75" customHeight="1">
      <c r="A1286" s="14" t="s">
        <v>17</v>
      </c>
      <c r="B1286" s="15" t="s">
        <v>15399</v>
      </c>
      <c r="C1286" s="14" t="s">
        <v>15279</v>
      </c>
      <c r="D1286" s="14" t="s">
        <v>15280</v>
      </c>
      <c r="E1286" s="26" t="str">
        <f t="shared" si="26"/>
        <v>http://dx.doi.org/10.1109/VISUAL.2004.75</v>
      </c>
      <c r="F1286" s="14">
        <v>267.0</v>
      </c>
      <c r="G1286" s="14">
        <v>274.0</v>
      </c>
      <c r="H1286" s="14" t="s">
        <v>28</v>
      </c>
      <c r="I1286" s="19" t="s">
        <v>15957</v>
      </c>
      <c r="J1286" s="19" t="s">
        <v>15285</v>
      </c>
      <c r="K1286" s="19" t="s">
        <v>15958</v>
      </c>
      <c r="L1286" s="19" t="s">
        <v>3480</v>
      </c>
      <c r="M1286" s="20"/>
      <c r="N1286" s="44" t="s">
        <v>15286</v>
      </c>
      <c r="O1286" s="22">
        <v>106.0</v>
      </c>
      <c r="P1286" s="28">
        <v>35.0</v>
      </c>
      <c r="Q1286" s="28">
        <v>28.0</v>
      </c>
      <c r="R1286" s="84"/>
      <c r="S1286" s="84"/>
      <c r="T1286" s="84"/>
      <c r="U1286" s="84"/>
      <c r="V1286" s="84"/>
      <c r="W1286" s="84"/>
      <c r="X1286" s="84"/>
      <c r="Y1286" s="84"/>
      <c r="Z1286" s="84"/>
      <c r="AA1286" s="84"/>
    </row>
    <row r="1287" ht="15.75" customHeight="1">
      <c r="A1287" s="14" t="s">
        <v>17</v>
      </c>
      <c r="B1287" s="15" t="s">
        <v>15399</v>
      </c>
      <c r="C1287" s="14" t="s">
        <v>15287</v>
      </c>
      <c r="D1287" s="14" t="s">
        <v>15288</v>
      </c>
      <c r="E1287" s="26" t="str">
        <f t="shared" si="26"/>
        <v>http://dx.doi.org/10.1109/VISUAL.2004.76</v>
      </c>
      <c r="F1287" s="14">
        <v>563.0</v>
      </c>
      <c r="G1287" s="14">
        <v>566.0</v>
      </c>
      <c r="H1287" s="14" t="s">
        <v>21</v>
      </c>
      <c r="I1287" s="19" t="s">
        <v>15964</v>
      </c>
      <c r="J1287" s="19" t="s">
        <v>15294</v>
      </c>
      <c r="K1287" s="19" t="s">
        <v>15965</v>
      </c>
      <c r="L1287" s="19" t="s">
        <v>15393</v>
      </c>
      <c r="M1287" s="20"/>
      <c r="N1287" s="27"/>
      <c r="O1287" s="22">
        <v>50.0</v>
      </c>
      <c r="P1287" s="28">
        <v>6.0</v>
      </c>
      <c r="Q1287" s="28">
        <v>0.0</v>
      </c>
      <c r="R1287" s="84"/>
      <c r="S1287" s="84"/>
      <c r="T1287" s="84"/>
      <c r="U1287" s="84"/>
      <c r="V1287" s="84"/>
      <c r="W1287" s="84"/>
      <c r="X1287" s="84"/>
      <c r="Y1287" s="84"/>
      <c r="Z1287" s="84"/>
      <c r="AA1287" s="84"/>
    </row>
    <row r="1288" ht="15.75" customHeight="1">
      <c r="A1288" s="14" t="s">
        <v>17</v>
      </c>
      <c r="B1288" s="15" t="s">
        <v>15399</v>
      </c>
      <c r="C1288" s="14" t="s">
        <v>15298</v>
      </c>
      <c r="D1288" s="14" t="s">
        <v>15299</v>
      </c>
      <c r="E1288" s="26" t="str">
        <f t="shared" si="26"/>
        <v>http://dx.doi.org/10.1109/VISUAL.2004.77</v>
      </c>
      <c r="F1288" s="14">
        <v>567.0</v>
      </c>
      <c r="G1288" s="14">
        <v>568.0</v>
      </c>
      <c r="H1288" s="14" t="s">
        <v>21</v>
      </c>
      <c r="I1288" s="19" t="s">
        <v>15966</v>
      </c>
      <c r="J1288" s="19" t="s">
        <v>15720</v>
      </c>
      <c r="K1288" s="19" t="s">
        <v>15967</v>
      </c>
      <c r="L1288" s="19" t="s">
        <v>15634</v>
      </c>
      <c r="M1288" s="20"/>
      <c r="N1288" s="27"/>
      <c r="O1288" s="22">
        <v>0.0</v>
      </c>
      <c r="P1288" s="28">
        <v>0.0</v>
      </c>
      <c r="Q1288" s="28">
        <v>0.0</v>
      </c>
      <c r="R1288" s="84"/>
      <c r="S1288" s="84"/>
      <c r="T1288" s="84"/>
      <c r="U1288" s="84"/>
      <c r="V1288" s="84"/>
      <c r="W1288" s="84"/>
      <c r="X1288" s="84"/>
      <c r="Y1288" s="84"/>
      <c r="Z1288" s="84"/>
      <c r="AA1288" s="84"/>
    </row>
    <row r="1289" ht="15.75" customHeight="1">
      <c r="A1289" s="14" t="s">
        <v>17</v>
      </c>
      <c r="B1289" s="15" t="s">
        <v>15399</v>
      </c>
      <c r="C1289" s="14" t="s">
        <v>15721</v>
      </c>
      <c r="D1289" s="14" t="s">
        <v>15722</v>
      </c>
      <c r="E1289" s="26" t="str">
        <f t="shared" si="26"/>
        <v>http://dx.doi.org/10.1109/VISUAL.2004.78</v>
      </c>
      <c r="F1289" s="14">
        <v>569.0</v>
      </c>
      <c r="G1289" s="14">
        <v>571.0</v>
      </c>
      <c r="H1289" s="14" t="s">
        <v>21</v>
      </c>
      <c r="I1289" s="19" t="s">
        <v>15968</v>
      </c>
      <c r="J1289" s="19" t="s">
        <v>15731</v>
      </c>
      <c r="K1289" s="19" t="s">
        <v>15969</v>
      </c>
      <c r="L1289" s="19" t="s">
        <v>15634</v>
      </c>
      <c r="M1289" s="20"/>
      <c r="N1289" s="27"/>
      <c r="O1289" s="22">
        <v>0.0</v>
      </c>
      <c r="P1289" s="28">
        <v>1.0</v>
      </c>
      <c r="Q1289" s="28">
        <v>0.0</v>
      </c>
      <c r="R1289" s="84"/>
      <c r="S1289" s="84"/>
      <c r="T1289" s="84"/>
      <c r="U1289" s="84"/>
      <c r="V1289" s="84"/>
      <c r="W1289" s="84"/>
      <c r="X1289" s="84"/>
      <c r="Y1289" s="84"/>
      <c r="Z1289" s="84"/>
      <c r="AA1289" s="84"/>
    </row>
    <row r="1290" ht="15.75" customHeight="1">
      <c r="A1290" s="14" t="s">
        <v>17</v>
      </c>
      <c r="B1290" s="15" t="s">
        <v>15399</v>
      </c>
      <c r="C1290" s="14" t="s">
        <v>15733</v>
      </c>
      <c r="D1290" s="14" t="s">
        <v>15734</v>
      </c>
      <c r="E1290" s="26" t="str">
        <f t="shared" si="26"/>
        <v>http://dx.doi.org/10.1109/VISUAL.2004.79</v>
      </c>
      <c r="F1290" s="14">
        <v>573.0</v>
      </c>
      <c r="G1290" s="14">
        <v>575.0</v>
      </c>
      <c r="H1290" s="14" t="s">
        <v>21</v>
      </c>
      <c r="I1290" s="19" t="s">
        <v>15970</v>
      </c>
      <c r="J1290" s="19" t="s">
        <v>15740</v>
      </c>
      <c r="K1290" s="19" t="s">
        <v>15971</v>
      </c>
      <c r="L1290" s="19" t="s">
        <v>15972</v>
      </c>
      <c r="M1290" s="20"/>
      <c r="N1290" s="27"/>
      <c r="O1290" s="22">
        <v>50.0</v>
      </c>
      <c r="P1290" s="28">
        <v>1.0</v>
      </c>
      <c r="Q1290" s="28">
        <v>0.0</v>
      </c>
      <c r="R1290" s="84"/>
      <c r="S1290" s="84"/>
      <c r="T1290" s="84"/>
      <c r="U1290" s="84"/>
      <c r="V1290" s="84"/>
      <c r="W1290" s="84"/>
      <c r="X1290" s="84"/>
      <c r="Y1290" s="84"/>
      <c r="Z1290" s="84"/>
      <c r="AA1290" s="84"/>
    </row>
    <row r="1291" ht="15.75" customHeight="1">
      <c r="A1291" s="14" t="s">
        <v>17</v>
      </c>
      <c r="B1291" s="15" t="s">
        <v>15399</v>
      </c>
      <c r="C1291" s="14" t="s">
        <v>15742</v>
      </c>
      <c r="D1291" s="14" t="s">
        <v>15743</v>
      </c>
      <c r="E1291" s="26" t="str">
        <f t="shared" si="26"/>
        <v>http://dx.doi.org/10.1109/VISUAL.2004.80</v>
      </c>
      <c r="F1291" s="14">
        <v>123.0</v>
      </c>
      <c r="G1291" s="14">
        <v>130.0</v>
      </c>
      <c r="H1291" s="14" t="s">
        <v>28</v>
      </c>
      <c r="I1291" s="19" t="s">
        <v>15974</v>
      </c>
      <c r="J1291" s="19" t="s">
        <v>15745</v>
      </c>
      <c r="K1291" s="19" t="s">
        <v>15975</v>
      </c>
      <c r="L1291" s="19" t="s">
        <v>15977</v>
      </c>
      <c r="M1291" s="20" t="s">
        <v>15747</v>
      </c>
      <c r="N1291" s="44" t="s">
        <v>15748</v>
      </c>
      <c r="O1291" s="22">
        <v>81.0</v>
      </c>
      <c r="P1291" s="28">
        <v>24.0</v>
      </c>
      <c r="Q1291" s="28">
        <v>19.0</v>
      </c>
      <c r="R1291" s="84"/>
      <c r="S1291" s="84"/>
      <c r="T1291" s="84"/>
      <c r="U1291" s="84"/>
      <c r="V1291" s="84"/>
      <c r="W1291" s="84"/>
      <c r="X1291" s="84"/>
      <c r="Y1291" s="84"/>
      <c r="Z1291" s="84"/>
      <c r="AA1291" s="84"/>
    </row>
    <row r="1292" ht="15.75" customHeight="1">
      <c r="A1292" s="14" t="s">
        <v>17</v>
      </c>
      <c r="B1292" s="15" t="s">
        <v>15399</v>
      </c>
      <c r="C1292" s="14" t="s">
        <v>15749</v>
      </c>
      <c r="D1292" s="14" t="s">
        <v>15750</v>
      </c>
      <c r="E1292" s="26" t="str">
        <f t="shared" si="26"/>
        <v>http://dx.doi.org/10.1109/VISUAL.2004.81</v>
      </c>
      <c r="F1292" s="14">
        <v>425.0</v>
      </c>
      <c r="G1292" s="14">
        <v>432.0</v>
      </c>
      <c r="H1292" s="14" t="s">
        <v>28</v>
      </c>
      <c r="I1292" s="19" t="s">
        <v>15982</v>
      </c>
      <c r="J1292" s="19" t="s">
        <v>15757</v>
      </c>
      <c r="K1292" s="19" t="s">
        <v>15983</v>
      </c>
      <c r="L1292" s="19" t="s">
        <v>1896</v>
      </c>
      <c r="M1292" s="20" t="s">
        <v>15759</v>
      </c>
      <c r="N1292" s="44" t="s">
        <v>15760</v>
      </c>
      <c r="O1292" s="22">
        <v>50.0</v>
      </c>
      <c r="P1292" s="28">
        <v>5.0</v>
      </c>
      <c r="Q1292" s="28">
        <v>31.0</v>
      </c>
      <c r="R1292" s="84"/>
      <c r="S1292" s="84"/>
      <c r="T1292" s="84"/>
      <c r="U1292" s="84"/>
      <c r="V1292" s="84"/>
      <c r="W1292" s="84"/>
      <c r="X1292" s="84"/>
      <c r="Y1292" s="84"/>
      <c r="Z1292" s="84"/>
      <c r="AA1292" s="84"/>
    </row>
    <row r="1293" ht="15.75" customHeight="1">
      <c r="A1293" s="14" t="s">
        <v>17</v>
      </c>
      <c r="B1293" s="15" t="s">
        <v>15399</v>
      </c>
      <c r="C1293" s="14" t="s">
        <v>15761</v>
      </c>
      <c r="D1293" s="14" t="s">
        <v>15762</v>
      </c>
      <c r="E1293" s="26" t="str">
        <f t="shared" si="26"/>
        <v>http://dx.doi.org/10.1109/VISUAL.2004.82</v>
      </c>
      <c r="F1293" s="14">
        <v>473.0</v>
      </c>
      <c r="G1293" s="14">
        <v>480.0</v>
      </c>
      <c r="H1293" s="14" t="s">
        <v>28</v>
      </c>
      <c r="I1293" s="19" t="s">
        <v>15988</v>
      </c>
      <c r="J1293" s="19" t="s">
        <v>15766</v>
      </c>
      <c r="K1293" s="19" t="s">
        <v>15991</v>
      </c>
      <c r="L1293" s="19" t="s">
        <v>15993</v>
      </c>
      <c r="M1293" s="20" t="s">
        <v>2170</v>
      </c>
      <c r="N1293" s="44" t="s">
        <v>15768</v>
      </c>
      <c r="O1293" s="22">
        <v>6.0</v>
      </c>
      <c r="P1293" s="28">
        <v>2.0</v>
      </c>
      <c r="Q1293" s="28">
        <v>24.0</v>
      </c>
      <c r="R1293" s="84"/>
      <c r="S1293" s="84"/>
      <c r="T1293" s="84"/>
      <c r="U1293" s="84"/>
      <c r="V1293" s="84"/>
      <c r="W1293" s="84"/>
      <c r="X1293" s="84"/>
      <c r="Y1293" s="84"/>
      <c r="Z1293" s="84"/>
      <c r="AA1293" s="84"/>
    </row>
    <row r="1294" ht="15.75" customHeight="1">
      <c r="A1294" s="14" t="s">
        <v>17</v>
      </c>
      <c r="B1294" s="15" t="s">
        <v>15399</v>
      </c>
      <c r="C1294" s="14" t="s">
        <v>15769</v>
      </c>
      <c r="D1294" s="14" t="s">
        <v>15770</v>
      </c>
      <c r="E1294" s="26" t="str">
        <f t="shared" si="26"/>
        <v>http://dx.doi.org/10.1109/VISUAL.2004.85</v>
      </c>
      <c r="F1294" s="14">
        <v>27.0</v>
      </c>
      <c r="G1294" s="14">
        <v>34.0</v>
      </c>
      <c r="H1294" s="14" t="s">
        <v>28</v>
      </c>
      <c r="I1294" s="19" t="s">
        <v>15994</v>
      </c>
      <c r="J1294" s="19" t="s">
        <v>15775</v>
      </c>
      <c r="K1294" s="19" t="s">
        <v>15995</v>
      </c>
      <c r="L1294" s="19" t="s">
        <v>15996</v>
      </c>
      <c r="M1294" s="20" t="s">
        <v>15777</v>
      </c>
      <c r="N1294" s="44" t="s">
        <v>15778</v>
      </c>
      <c r="O1294" s="22">
        <v>50.0</v>
      </c>
      <c r="P1294" s="28">
        <v>16.0</v>
      </c>
      <c r="Q1294" s="28">
        <v>23.0</v>
      </c>
      <c r="R1294" s="84"/>
      <c r="S1294" s="84"/>
      <c r="T1294" s="84"/>
      <c r="U1294" s="84"/>
      <c r="V1294" s="84"/>
      <c r="W1294" s="84"/>
      <c r="X1294" s="84"/>
      <c r="Y1294" s="84"/>
      <c r="Z1294" s="84"/>
      <c r="AA1294" s="84"/>
    </row>
    <row r="1295" ht="15.75" customHeight="1">
      <c r="A1295" s="14" t="s">
        <v>17</v>
      </c>
      <c r="B1295" s="15" t="s">
        <v>15399</v>
      </c>
      <c r="C1295" s="14" t="s">
        <v>15779</v>
      </c>
      <c r="D1295" s="14" t="s">
        <v>15780</v>
      </c>
      <c r="E1295" s="26" t="str">
        <f t="shared" si="26"/>
        <v>http://dx.doi.org/10.1109/VISUAL.2004.86</v>
      </c>
      <c r="F1295" s="14">
        <v>131.0</v>
      </c>
      <c r="G1295" s="14">
        <v>138.0</v>
      </c>
      <c r="H1295" s="14" t="s">
        <v>28</v>
      </c>
      <c r="I1295" s="19" t="s">
        <v>16003</v>
      </c>
      <c r="J1295" s="19" t="s">
        <v>15786</v>
      </c>
      <c r="K1295" s="19" t="s">
        <v>16004</v>
      </c>
      <c r="L1295" s="19" t="s">
        <v>13394</v>
      </c>
      <c r="M1295" s="20" t="s">
        <v>15787</v>
      </c>
      <c r="N1295" s="44" t="s">
        <v>15788</v>
      </c>
      <c r="O1295" s="22">
        <v>197.0</v>
      </c>
      <c r="P1295" s="28">
        <v>11.0</v>
      </c>
      <c r="Q1295" s="28">
        <v>37.0</v>
      </c>
      <c r="R1295" s="84"/>
      <c r="S1295" s="84"/>
      <c r="T1295" s="84"/>
      <c r="U1295" s="84"/>
      <c r="V1295" s="84"/>
      <c r="W1295" s="84"/>
      <c r="X1295" s="84"/>
      <c r="Y1295" s="84"/>
      <c r="Z1295" s="84"/>
      <c r="AA1295" s="84"/>
    </row>
    <row r="1296" ht="15.75" customHeight="1">
      <c r="A1296" s="14" t="s">
        <v>17</v>
      </c>
      <c r="B1296" s="15" t="s">
        <v>15399</v>
      </c>
      <c r="C1296" s="14" t="s">
        <v>15789</v>
      </c>
      <c r="D1296" s="14" t="s">
        <v>15790</v>
      </c>
      <c r="E1296" s="26" t="str">
        <f t="shared" si="26"/>
        <v>http://dx.doi.org/10.1109/VISUAL.2004.87</v>
      </c>
      <c r="F1296" s="14">
        <v>203.0</v>
      </c>
      <c r="G1296" s="14">
        <v>210.0</v>
      </c>
      <c r="H1296" s="14" t="s">
        <v>28</v>
      </c>
      <c r="I1296" s="19" t="s">
        <v>16005</v>
      </c>
      <c r="J1296" s="19" t="s">
        <v>13224</v>
      </c>
      <c r="K1296" s="19" t="s">
        <v>14670</v>
      </c>
      <c r="L1296" s="19" t="s">
        <v>16006</v>
      </c>
      <c r="M1296" s="20" t="s">
        <v>15795</v>
      </c>
      <c r="N1296" s="44" t="s">
        <v>15796</v>
      </c>
      <c r="O1296" s="22">
        <v>153.0</v>
      </c>
      <c r="P1296" s="28">
        <v>5.0</v>
      </c>
      <c r="Q1296" s="28">
        <v>34.0</v>
      </c>
      <c r="R1296" s="84"/>
      <c r="S1296" s="84"/>
      <c r="T1296" s="84"/>
      <c r="U1296" s="84"/>
      <c r="V1296" s="84"/>
      <c r="W1296" s="84"/>
      <c r="X1296" s="84"/>
      <c r="Y1296" s="84"/>
      <c r="Z1296" s="84"/>
      <c r="AA1296" s="84"/>
    </row>
    <row r="1297" ht="15.75" customHeight="1">
      <c r="A1297" s="14" t="s">
        <v>17</v>
      </c>
      <c r="B1297" s="15" t="s">
        <v>15399</v>
      </c>
      <c r="C1297" s="14" t="s">
        <v>15798</v>
      </c>
      <c r="D1297" s="14" t="s">
        <v>15800</v>
      </c>
      <c r="E1297" s="26" t="str">
        <f t="shared" si="26"/>
        <v>http://dx.doi.org/10.1109/VISUAL.2004.88</v>
      </c>
      <c r="F1297" s="14">
        <v>545.0</v>
      </c>
      <c r="G1297" s="14">
        <v>552.0</v>
      </c>
      <c r="H1297" s="14" t="s">
        <v>28</v>
      </c>
      <c r="I1297" s="19" t="s">
        <v>16012</v>
      </c>
      <c r="J1297" s="19" t="s">
        <v>15805</v>
      </c>
      <c r="K1297" s="19" t="s">
        <v>16013</v>
      </c>
      <c r="L1297" s="19" t="s">
        <v>16014</v>
      </c>
      <c r="M1297" s="20" t="s">
        <v>15808</v>
      </c>
      <c r="N1297" s="44" t="s">
        <v>15809</v>
      </c>
      <c r="O1297" s="22">
        <v>57.0</v>
      </c>
      <c r="P1297" s="28">
        <v>23.0</v>
      </c>
      <c r="Q1297" s="28">
        <v>44.0</v>
      </c>
      <c r="R1297" s="84"/>
      <c r="S1297" s="84"/>
      <c r="T1297" s="84"/>
      <c r="U1297" s="84"/>
      <c r="V1297" s="84"/>
      <c r="W1297" s="84"/>
      <c r="X1297" s="84"/>
      <c r="Y1297" s="84"/>
      <c r="Z1297" s="84"/>
      <c r="AA1297" s="84"/>
    </row>
    <row r="1298" ht="15.75" customHeight="1">
      <c r="A1298" s="14" t="s">
        <v>17</v>
      </c>
      <c r="B1298" s="15" t="s">
        <v>15399</v>
      </c>
      <c r="C1298" s="14" t="s">
        <v>15810</v>
      </c>
      <c r="D1298" s="14" t="s">
        <v>15811</v>
      </c>
      <c r="E1298" s="26" t="str">
        <f t="shared" si="26"/>
        <v>http://dx.doi.org/10.1109/VISUAL.2004.89</v>
      </c>
      <c r="F1298" s="14">
        <v>34.0</v>
      </c>
      <c r="G1298" s="14">
        <v>34.0</v>
      </c>
      <c r="H1298" s="14" t="s">
        <v>21</v>
      </c>
      <c r="I1298" s="19" t="s">
        <v>16015</v>
      </c>
      <c r="J1298" s="19" t="s">
        <v>16016</v>
      </c>
      <c r="K1298" s="19" t="s">
        <v>16017</v>
      </c>
      <c r="L1298" s="19" t="s">
        <v>15616</v>
      </c>
      <c r="M1298" s="20"/>
      <c r="N1298" s="27"/>
      <c r="O1298" s="22">
        <v>9.0</v>
      </c>
      <c r="P1298" s="28">
        <v>2.0</v>
      </c>
      <c r="Q1298" s="28">
        <v>3.0</v>
      </c>
      <c r="R1298" s="84"/>
      <c r="S1298" s="84"/>
      <c r="T1298" s="84"/>
      <c r="U1298" s="84"/>
      <c r="V1298" s="84"/>
      <c r="W1298" s="84"/>
      <c r="X1298" s="84"/>
      <c r="Y1298" s="84"/>
      <c r="Z1298" s="84"/>
      <c r="AA1298" s="84"/>
    </row>
    <row r="1299" ht="15.75" customHeight="1">
      <c r="A1299" s="14" t="s">
        <v>17</v>
      </c>
      <c r="B1299" s="15" t="s">
        <v>15399</v>
      </c>
      <c r="C1299" s="14" t="s">
        <v>15814</v>
      </c>
      <c r="D1299" s="14" t="s">
        <v>15815</v>
      </c>
      <c r="E1299" s="26" t="str">
        <f t="shared" si="26"/>
        <v>http://dx.doi.org/10.1109/VISUAL.2004.9</v>
      </c>
      <c r="F1299" s="14">
        <v>33.0</v>
      </c>
      <c r="G1299" s="14">
        <v>33.0</v>
      </c>
      <c r="H1299" s="14" t="s">
        <v>21</v>
      </c>
      <c r="I1299" s="18"/>
      <c r="J1299" s="19" t="s">
        <v>15817</v>
      </c>
      <c r="K1299" s="19" t="s">
        <v>16020</v>
      </c>
      <c r="L1299" s="19" t="s">
        <v>16022</v>
      </c>
      <c r="M1299" s="20"/>
      <c r="N1299" s="27"/>
      <c r="O1299" s="22">
        <v>4.0</v>
      </c>
      <c r="P1299" s="28">
        <v>0.0</v>
      </c>
      <c r="Q1299" s="28">
        <v>0.0</v>
      </c>
      <c r="R1299" s="84"/>
      <c r="S1299" s="84"/>
      <c r="T1299" s="84"/>
      <c r="U1299" s="84"/>
      <c r="V1299" s="84"/>
      <c r="W1299" s="84"/>
      <c r="X1299" s="84"/>
      <c r="Y1299" s="84"/>
      <c r="Z1299" s="84"/>
      <c r="AA1299" s="84"/>
    </row>
    <row r="1300" ht="15.75" customHeight="1">
      <c r="A1300" s="14" t="s">
        <v>17</v>
      </c>
      <c r="B1300" s="15" t="s">
        <v>15399</v>
      </c>
      <c r="C1300" s="14" t="s">
        <v>15819</v>
      </c>
      <c r="D1300" s="14" t="s">
        <v>15820</v>
      </c>
      <c r="E1300" s="26" t="str">
        <f t="shared" si="26"/>
        <v>http://dx.doi.org/10.1109/VISUAL.2004.90</v>
      </c>
      <c r="F1300" s="14">
        <v>99.0</v>
      </c>
      <c r="G1300" s="14">
        <v>106.0</v>
      </c>
      <c r="H1300" s="14" t="s">
        <v>28</v>
      </c>
      <c r="I1300" s="19" t="s">
        <v>16026</v>
      </c>
      <c r="J1300" s="19" t="s">
        <v>15822</v>
      </c>
      <c r="K1300" s="19" t="s">
        <v>16027</v>
      </c>
      <c r="L1300" s="19" t="s">
        <v>16028</v>
      </c>
      <c r="M1300" s="20" t="s">
        <v>15824</v>
      </c>
      <c r="N1300" s="44" t="s">
        <v>15825</v>
      </c>
      <c r="O1300" s="22">
        <v>16.0</v>
      </c>
      <c r="P1300" s="28">
        <v>5.0</v>
      </c>
      <c r="Q1300" s="28">
        <v>35.0</v>
      </c>
      <c r="R1300" s="84"/>
      <c r="S1300" s="84"/>
      <c r="T1300" s="84"/>
      <c r="U1300" s="84"/>
      <c r="V1300" s="84"/>
      <c r="W1300" s="84"/>
      <c r="X1300" s="84"/>
      <c r="Y1300" s="84"/>
      <c r="Z1300" s="84"/>
      <c r="AA1300" s="84"/>
    </row>
    <row r="1301" ht="15.75" customHeight="1">
      <c r="A1301" s="14" t="s">
        <v>17</v>
      </c>
      <c r="B1301" s="15" t="s">
        <v>15399</v>
      </c>
      <c r="C1301" s="14" t="s">
        <v>15826</v>
      </c>
      <c r="D1301" s="14" t="s">
        <v>15827</v>
      </c>
      <c r="E1301" s="26" t="str">
        <f t="shared" si="26"/>
        <v>http://dx.doi.org/10.1109/VISUAL.2004.91</v>
      </c>
      <c r="F1301" s="14">
        <v>409.0</v>
      </c>
      <c r="G1301" s="14">
        <v>416.0</v>
      </c>
      <c r="H1301" s="14" t="s">
        <v>28</v>
      </c>
      <c r="I1301" s="19" t="s">
        <v>16034</v>
      </c>
      <c r="J1301" s="19" t="s">
        <v>15817</v>
      </c>
      <c r="K1301" s="19" t="s">
        <v>16036</v>
      </c>
      <c r="L1301" s="19" t="s">
        <v>16037</v>
      </c>
      <c r="M1301" s="20"/>
      <c r="N1301" s="44" t="s">
        <v>15830</v>
      </c>
      <c r="O1301" s="22">
        <v>50.0</v>
      </c>
      <c r="P1301" s="28">
        <v>7.0</v>
      </c>
      <c r="Q1301" s="28">
        <v>13.0</v>
      </c>
      <c r="R1301" s="84"/>
      <c r="S1301" s="84"/>
      <c r="T1301" s="84"/>
      <c r="U1301" s="84"/>
      <c r="V1301" s="84"/>
      <c r="W1301" s="84"/>
      <c r="X1301" s="84"/>
      <c r="Y1301" s="84"/>
      <c r="Z1301" s="84"/>
      <c r="AA1301" s="84"/>
    </row>
    <row r="1302" ht="15.75" customHeight="1">
      <c r="A1302" s="14" t="s">
        <v>17</v>
      </c>
      <c r="B1302" s="15" t="s">
        <v>15399</v>
      </c>
      <c r="C1302" s="14" t="s">
        <v>15831</v>
      </c>
      <c r="D1302" s="14" t="s">
        <v>15832</v>
      </c>
      <c r="E1302" s="26" t="str">
        <f t="shared" si="26"/>
        <v>http://dx.doi.org/10.1109/VISUAL.2004.94</v>
      </c>
      <c r="F1302" s="14">
        <v>251.0</v>
      </c>
      <c r="G1302" s="14">
        <v>258.0</v>
      </c>
      <c r="H1302" s="14" t="s">
        <v>28</v>
      </c>
      <c r="I1302" s="19" t="s">
        <v>16044</v>
      </c>
      <c r="J1302" s="19" t="s">
        <v>15835</v>
      </c>
      <c r="K1302" s="19" t="s">
        <v>16045</v>
      </c>
      <c r="L1302" s="19" t="s">
        <v>14053</v>
      </c>
      <c r="M1302" s="20"/>
      <c r="N1302" s="44" t="s">
        <v>15836</v>
      </c>
      <c r="O1302" s="22">
        <v>50.0</v>
      </c>
      <c r="P1302" s="28">
        <v>0.0</v>
      </c>
      <c r="Q1302" s="28">
        <v>23.0</v>
      </c>
      <c r="R1302" s="84"/>
      <c r="S1302" s="84"/>
      <c r="T1302" s="84"/>
      <c r="U1302" s="84"/>
      <c r="V1302" s="84"/>
      <c r="W1302" s="84"/>
      <c r="X1302" s="84"/>
      <c r="Y1302" s="84"/>
      <c r="Z1302" s="84"/>
      <c r="AA1302" s="84"/>
    </row>
    <row r="1303" ht="15.75" customHeight="1">
      <c r="A1303" s="14" t="s">
        <v>17</v>
      </c>
      <c r="B1303" s="15" t="s">
        <v>15399</v>
      </c>
      <c r="C1303" s="14" t="s">
        <v>15837</v>
      </c>
      <c r="D1303" s="14" t="s">
        <v>15838</v>
      </c>
      <c r="E1303" s="26" t="str">
        <f t="shared" si="26"/>
        <v>http://dx.doi.org/10.1109/VISUAL.2004.95</v>
      </c>
      <c r="F1303" s="14">
        <v>171.0</v>
      </c>
      <c r="G1303" s="14">
        <v>178.0</v>
      </c>
      <c r="H1303" s="14" t="s">
        <v>28</v>
      </c>
      <c r="I1303" s="19" t="s">
        <v>16053</v>
      </c>
      <c r="J1303" s="19" t="s">
        <v>15842</v>
      </c>
      <c r="K1303" s="19" t="s">
        <v>16054</v>
      </c>
      <c r="L1303" s="19" t="s">
        <v>16055</v>
      </c>
      <c r="M1303" s="20" t="s">
        <v>15844</v>
      </c>
      <c r="N1303" s="44" t="s">
        <v>15845</v>
      </c>
      <c r="O1303" s="22">
        <v>91.0</v>
      </c>
      <c r="P1303" s="28">
        <v>21.0</v>
      </c>
      <c r="Q1303" s="28">
        <v>26.0</v>
      </c>
      <c r="R1303" s="84"/>
      <c r="S1303" s="84"/>
      <c r="T1303" s="84"/>
      <c r="U1303" s="84"/>
      <c r="V1303" s="84"/>
      <c r="W1303" s="84"/>
      <c r="X1303" s="84"/>
      <c r="Y1303" s="84"/>
      <c r="Z1303" s="84"/>
      <c r="AA1303" s="84"/>
    </row>
    <row r="1304" ht="15.75" customHeight="1">
      <c r="A1304" s="14" t="s">
        <v>17</v>
      </c>
      <c r="B1304" s="15" t="s">
        <v>15399</v>
      </c>
      <c r="C1304" s="14" t="s">
        <v>15846</v>
      </c>
      <c r="D1304" s="14" t="s">
        <v>15847</v>
      </c>
      <c r="E1304" s="26" t="str">
        <f t="shared" si="26"/>
        <v>http://dx.doi.org/10.1109/VISUAL.2004.96</v>
      </c>
      <c r="F1304" s="14">
        <v>497.0</v>
      </c>
      <c r="G1304" s="14">
        <v>504.0</v>
      </c>
      <c r="H1304" s="14" t="s">
        <v>28</v>
      </c>
      <c r="I1304" s="19" t="s">
        <v>16059</v>
      </c>
      <c r="J1304" s="19" t="s">
        <v>15852</v>
      </c>
      <c r="K1304" s="19" t="s">
        <v>16061</v>
      </c>
      <c r="L1304" s="19" t="s">
        <v>4726</v>
      </c>
      <c r="M1304" s="20" t="s">
        <v>15853</v>
      </c>
      <c r="N1304" s="44" t="s">
        <v>15854</v>
      </c>
      <c r="O1304" s="22">
        <v>193.0</v>
      </c>
      <c r="P1304" s="28">
        <v>52.0</v>
      </c>
      <c r="Q1304" s="28">
        <v>26.0</v>
      </c>
      <c r="R1304" s="84"/>
      <c r="S1304" s="84"/>
      <c r="T1304" s="84"/>
      <c r="U1304" s="84"/>
      <c r="V1304" s="84"/>
      <c r="W1304" s="84"/>
      <c r="X1304" s="84"/>
      <c r="Y1304" s="84"/>
      <c r="Z1304" s="84"/>
      <c r="AA1304" s="84"/>
    </row>
    <row r="1305" ht="15.75" customHeight="1">
      <c r="A1305" s="14" t="s">
        <v>17</v>
      </c>
      <c r="B1305" s="15" t="s">
        <v>15399</v>
      </c>
      <c r="C1305" s="14" t="s">
        <v>15856</v>
      </c>
      <c r="D1305" s="14" t="s">
        <v>15857</v>
      </c>
      <c r="E1305" s="26" t="str">
        <f t="shared" si="26"/>
        <v>http://dx.doi.org/10.1109/VISUAL.2004.98</v>
      </c>
      <c r="F1305" s="14">
        <v>513.0</v>
      </c>
      <c r="G1305" s="14">
        <v>520.0</v>
      </c>
      <c r="H1305" s="14" t="s">
        <v>28</v>
      </c>
      <c r="I1305" s="19" t="s">
        <v>16064</v>
      </c>
      <c r="J1305" s="19" t="s">
        <v>16065</v>
      </c>
      <c r="K1305" s="19" t="s">
        <v>16066</v>
      </c>
      <c r="L1305" s="19" t="s">
        <v>16067</v>
      </c>
      <c r="M1305" s="20" t="s">
        <v>15866</v>
      </c>
      <c r="N1305" s="44" t="s">
        <v>15867</v>
      </c>
      <c r="O1305" s="22">
        <v>50.0</v>
      </c>
      <c r="P1305" s="28">
        <v>8.0</v>
      </c>
      <c r="Q1305" s="28">
        <v>21.0</v>
      </c>
      <c r="R1305" s="85" t="s">
        <v>16068</v>
      </c>
      <c r="S1305" s="84"/>
      <c r="T1305" s="84"/>
      <c r="U1305" s="84"/>
      <c r="V1305" s="84"/>
      <c r="W1305" s="84"/>
      <c r="X1305" s="84"/>
      <c r="Y1305" s="84"/>
      <c r="Z1305" s="84"/>
      <c r="AA1305" s="84"/>
    </row>
    <row r="1306" ht="15.75" customHeight="1">
      <c r="A1306" s="14" t="s">
        <v>17</v>
      </c>
      <c r="B1306" s="15" t="s">
        <v>15399</v>
      </c>
      <c r="C1306" s="14" t="s">
        <v>15868</v>
      </c>
      <c r="D1306" s="14" t="s">
        <v>15869</v>
      </c>
      <c r="E1306" s="26" t="str">
        <f t="shared" si="26"/>
        <v>http://dx.doi.org/10.1109/VISUAL.2004.99</v>
      </c>
      <c r="F1306" s="14">
        <v>321.0</v>
      </c>
      <c r="G1306" s="14">
        <v>328.0</v>
      </c>
      <c r="H1306" s="14" t="s">
        <v>28</v>
      </c>
      <c r="I1306" s="19" t="s">
        <v>16076</v>
      </c>
      <c r="J1306" s="19" t="s">
        <v>13442</v>
      </c>
      <c r="K1306" s="19" t="s">
        <v>15167</v>
      </c>
      <c r="L1306" s="19" t="s">
        <v>16077</v>
      </c>
      <c r="M1306" s="20" t="s">
        <v>15877</v>
      </c>
      <c r="N1306" s="44" t="s">
        <v>15878</v>
      </c>
      <c r="O1306" s="22">
        <v>0.0</v>
      </c>
      <c r="P1306" s="28">
        <v>16.0</v>
      </c>
      <c r="Q1306" s="28">
        <v>28.0</v>
      </c>
      <c r="R1306" s="84"/>
      <c r="S1306" s="84"/>
      <c r="T1306" s="84"/>
      <c r="U1306" s="84"/>
      <c r="V1306" s="84"/>
      <c r="W1306" s="84"/>
      <c r="X1306" s="84"/>
      <c r="Y1306" s="84"/>
      <c r="Z1306" s="84"/>
      <c r="AA1306" s="84"/>
    </row>
    <row r="1307" ht="15.75" customHeight="1">
      <c r="A1307" s="14" t="s">
        <v>2137</v>
      </c>
      <c r="B1307" s="15" t="s">
        <v>16078</v>
      </c>
      <c r="C1307" s="14" t="s">
        <v>15879</v>
      </c>
      <c r="D1307" s="14" t="s">
        <v>15880</v>
      </c>
      <c r="E1307" s="26" t="str">
        <f t="shared" si="26"/>
        <v>http://dx.doi.org/10.1109/INFVIS.2005.1532122</v>
      </c>
      <c r="F1307" s="14">
        <v>1.0</v>
      </c>
      <c r="G1307" s="14">
        <v>7.0</v>
      </c>
      <c r="H1307" s="14" t="s">
        <v>28</v>
      </c>
      <c r="I1307" s="19" t="s">
        <v>16079</v>
      </c>
      <c r="J1307" s="19" t="s">
        <v>11897</v>
      </c>
      <c r="K1307" s="19" t="s">
        <v>13947</v>
      </c>
      <c r="L1307" s="18"/>
      <c r="M1307" s="20" t="s">
        <v>15885</v>
      </c>
      <c r="N1307" s="44" t="s">
        <v>15886</v>
      </c>
      <c r="O1307" s="22">
        <v>164.0</v>
      </c>
      <c r="P1307" s="28">
        <v>35.0</v>
      </c>
      <c r="Q1307" s="28">
        <v>14.0</v>
      </c>
      <c r="R1307" s="84"/>
      <c r="S1307" s="84"/>
      <c r="T1307" s="84"/>
      <c r="U1307" s="84"/>
      <c r="V1307" s="84"/>
      <c r="W1307" s="84"/>
      <c r="X1307" s="84"/>
      <c r="Y1307" s="84"/>
      <c r="Z1307" s="84"/>
      <c r="AA1307" s="84"/>
    </row>
    <row r="1308" ht="15.75" customHeight="1">
      <c r="A1308" s="14" t="s">
        <v>2137</v>
      </c>
      <c r="B1308" s="15" t="s">
        <v>16078</v>
      </c>
      <c r="C1308" s="14" t="s">
        <v>15887</v>
      </c>
      <c r="D1308" s="14" t="s">
        <v>15888</v>
      </c>
      <c r="E1308" s="26" t="str">
        <f t="shared" si="26"/>
        <v>http://dx.doi.org/10.1109/INFVIS.2005.1532123</v>
      </c>
      <c r="F1308" s="14">
        <v>8.0</v>
      </c>
      <c r="G1308" s="14">
        <v>15.0</v>
      </c>
      <c r="H1308" s="14" t="s">
        <v>28</v>
      </c>
      <c r="I1308" s="19" t="s">
        <v>16080</v>
      </c>
      <c r="J1308" s="19" t="s">
        <v>16081</v>
      </c>
      <c r="K1308" s="19" t="s">
        <v>16082</v>
      </c>
      <c r="L1308" s="18"/>
      <c r="M1308" s="20"/>
      <c r="N1308" s="44" t="s">
        <v>15896</v>
      </c>
      <c r="O1308" s="22">
        <v>0.0</v>
      </c>
      <c r="P1308" s="28">
        <v>2.0</v>
      </c>
      <c r="Q1308" s="28">
        <v>12.0</v>
      </c>
      <c r="R1308" s="84"/>
      <c r="S1308" s="84"/>
      <c r="T1308" s="84"/>
      <c r="U1308" s="84"/>
      <c r="V1308" s="84"/>
      <c r="W1308" s="84"/>
      <c r="X1308" s="84"/>
      <c r="Y1308" s="84"/>
      <c r="Z1308" s="84"/>
      <c r="AA1308" s="84"/>
    </row>
    <row r="1309" ht="15.75" customHeight="1">
      <c r="A1309" s="14" t="s">
        <v>2137</v>
      </c>
      <c r="B1309" s="15" t="s">
        <v>16078</v>
      </c>
      <c r="C1309" s="14" t="s">
        <v>15898</v>
      </c>
      <c r="D1309" s="14" t="s">
        <v>15899</v>
      </c>
      <c r="E1309" s="26" t="str">
        <f t="shared" si="26"/>
        <v>http://dx.doi.org/10.1109/INFVIS.2005.1532124</v>
      </c>
      <c r="F1309" s="14">
        <v>16.0</v>
      </c>
      <c r="G1309" s="14">
        <v>23.0</v>
      </c>
      <c r="H1309" s="14" t="s">
        <v>28</v>
      </c>
      <c r="I1309" s="19" t="s">
        <v>16089</v>
      </c>
      <c r="J1309" s="19" t="s">
        <v>15903</v>
      </c>
      <c r="K1309" s="19" t="s">
        <v>16090</v>
      </c>
      <c r="L1309" s="18"/>
      <c r="M1309" s="20" t="s">
        <v>15905</v>
      </c>
      <c r="N1309" s="44" t="s">
        <v>15906</v>
      </c>
      <c r="O1309" s="22">
        <v>50.0</v>
      </c>
      <c r="P1309" s="28">
        <v>9.0</v>
      </c>
      <c r="Q1309" s="28">
        <v>23.0</v>
      </c>
      <c r="R1309" s="84"/>
      <c r="S1309" s="84"/>
      <c r="T1309" s="84"/>
      <c r="U1309" s="84"/>
      <c r="V1309" s="84"/>
      <c r="W1309" s="84"/>
      <c r="X1309" s="84"/>
      <c r="Y1309" s="84"/>
      <c r="Z1309" s="84"/>
      <c r="AA1309" s="84"/>
    </row>
    <row r="1310" ht="15.75" customHeight="1">
      <c r="A1310" s="14" t="s">
        <v>2137</v>
      </c>
      <c r="B1310" s="15" t="s">
        <v>16078</v>
      </c>
      <c r="C1310" s="14" t="s">
        <v>15907</v>
      </c>
      <c r="D1310" s="14" t="s">
        <v>15908</v>
      </c>
      <c r="E1310" s="26" t="str">
        <f t="shared" si="26"/>
        <v>http://dx.doi.org/10.1109/INFVIS.2005.1532125</v>
      </c>
      <c r="F1310" s="14">
        <v>24.0</v>
      </c>
      <c r="G1310" s="14">
        <v>31.0</v>
      </c>
      <c r="H1310" s="14" t="s">
        <v>28</v>
      </c>
      <c r="I1310" s="19" t="s">
        <v>16097</v>
      </c>
      <c r="J1310" s="19" t="s">
        <v>15912</v>
      </c>
      <c r="K1310" s="19" t="s">
        <v>16099</v>
      </c>
      <c r="L1310" s="18"/>
      <c r="M1310" s="20" t="s">
        <v>15914</v>
      </c>
      <c r="N1310" s="44" t="s">
        <v>15915</v>
      </c>
      <c r="O1310" s="22">
        <v>69.0</v>
      </c>
      <c r="P1310" s="28">
        <v>10.0</v>
      </c>
      <c r="Q1310" s="28">
        <v>27.0</v>
      </c>
      <c r="R1310" s="84"/>
      <c r="S1310" s="84"/>
      <c r="T1310" s="84"/>
      <c r="U1310" s="84"/>
      <c r="V1310" s="84"/>
      <c r="W1310" s="84"/>
      <c r="X1310" s="84"/>
      <c r="Y1310" s="84"/>
      <c r="Z1310" s="84"/>
      <c r="AA1310" s="84"/>
    </row>
    <row r="1311" ht="15.75" customHeight="1">
      <c r="A1311" s="14" t="s">
        <v>2137</v>
      </c>
      <c r="B1311" s="15" t="s">
        <v>16078</v>
      </c>
      <c r="C1311" s="14" t="s">
        <v>15916</v>
      </c>
      <c r="D1311" s="14" t="s">
        <v>15917</v>
      </c>
      <c r="E1311" s="26" t="str">
        <f t="shared" si="26"/>
        <v>http://dx.doi.org/10.1109/INFVIS.2005.1532126</v>
      </c>
      <c r="F1311" s="14">
        <v>32.0</v>
      </c>
      <c r="G1311" s="14">
        <v>39.0</v>
      </c>
      <c r="H1311" s="14" t="s">
        <v>28</v>
      </c>
      <c r="I1311" s="19" t="s">
        <v>16100</v>
      </c>
      <c r="J1311" s="19" t="s">
        <v>15922</v>
      </c>
      <c r="K1311" s="19" t="s">
        <v>16101</v>
      </c>
      <c r="L1311" s="18"/>
      <c r="M1311" s="20" t="s">
        <v>13979</v>
      </c>
      <c r="N1311" s="44" t="s">
        <v>15924</v>
      </c>
      <c r="O1311" s="22">
        <v>829.0</v>
      </c>
      <c r="P1311" s="28">
        <v>87.0</v>
      </c>
      <c r="Q1311" s="28">
        <v>21.0</v>
      </c>
      <c r="R1311" s="84"/>
      <c r="S1311" s="84"/>
      <c r="T1311" s="84"/>
      <c r="U1311" s="84"/>
      <c r="V1311" s="84"/>
      <c r="W1311" s="84"/>
      <c r="X1311" s="84"/>
      <c r="Y1311" s="84"/>
      <c r="Z1311" s="84"/>
      <c r="AA1311" s="84"/>
    </row>
    <row r="1312" ht="15.75" customHeight="1">
      <c r="A1312" s="14" t="s">
        <v>2137</v>
      </c>
      <c r="B1312" s="15" t="s">
        <v>16078</v>
      </c>
      <c r="C1312" s="14" t="s">
        <v>15925</v>
      </c>
      <c r="D1312" s="14" t="s">
        <v>15926</v>
      </c>
      <c r="E1312" s="26" t="str">
        <f t="shared" si="26"/>
        <v>http://dx.doi.org/10.1109/INFVIS.2005.1532127</v>
      </c>
      <c r="F1312" s="14">
        <v>41.0</v>
      </c>
      <c r="G1312" s="14">
        <v>48.0</v>
      </c>
      <c r="H1312" s="14" t="s">
        <v>28</v>
      </c>
      <c r="I1312" s="19" t="s">
        <v>16108</v>
      </c>
      <c r="J1312" s="19" t="s">
        <v>15929</v>
      </c>
      <c r="K1312" s="19" t="s">
        <v>16109</v>
      </c>
      <c r="L1312" s="19" t="s">
        <v>16110</v>
      </c>
      <c r="M1312" s="20" t="s">
        <v>15931</v>
      </c>
      <c r="N1312" s="44" t="s">
        <v>15933</v>
      </c>
      <c r="O1312" s="22">
        <v>50.0</v>
      </c>
      <c r="P1312" s="28">
        <v>2.0</v>
      </c>
      <c r="Q1312" s="28">
        <v>14.0</v>
      </c>
      <c r="R1312" s="84"/>
      <c r="S1312" s="84"/>
      <c r="T1312" s="84"/>
      <c r="U1312" s="84"/>
      <c r="V1312" s="84"/>
      <c r="W1312" s="84"/>
      <c r="X1312" s="84"/>
      <c r="Y1312" s="84"/>
      <c r="Z1312" s="84"/>
      <c r="AA1312" s="84"/>
    </row>
    <row r="1313" ht="15.75" customHeight="1">
      <c r="A1313" s="14" t="s">
        <v>2137</v>
      </c>
      <c r="B1313" s="15" t="s">
        <v>16078</v>
      </c>
      <c r="C1313" s="14" t="s">
        <v>15934</v>
      </c>
      <c r="D1313" s="14" t="s">
        <v>15935</v>
      </c>
      <c r="E1313" s="26" t="str">
        <f t="shared" si="26"/>
        <v>http://dx.doi.org/10.1109/INFVIS.2005.1532128</v>
      </c>
      <c r="F1313" s="14">
        <v>49.0</v>
      </c>
      <c r="G1313" s="14">
        <v>56.0</v>
      </c>
      <c r="H1313" s="14" t="s">
        <v>28</v>
      </c>
      <c r="I1313" s="19" t="s">
        <v>16112</v>
      </c>
      <c r="J1313" s="19" t="s">
        <v>15006</v>
      </c>
      <c r="K1313" s="19" t="s">
        <v>15710</v>
      </c>
      <c r="L1313" s="19" t="s">
        <v>16115</v>
      </c>
      <c r="M1313" s="20" t="s">
        <v>15941</v>
      </c>
      <c r="N1313" s="44" t="s">
        <v>15942</v>
      </c>
      <c r="O1313" s="22">
        <v>144.0</v>
      </c>
      <c r="P1313" s="28">
        <v>35.0</v>
      </c>
      <c r="Q1313" s="28">
        <v>27.0</v>
      </c>
      <c r="R1313" s="84"/>
      <c r="S1313" s="84"/>
      <c r="T1313" s="84"/>
      <c r="U1313" s="84"/>
      <c r="V1313" s="84"/>
      <c r="W1313" s="84"/>
      <c r="X1313" s="84"/>
      <c r="Y1313" s="84"/>
      <c r="Z1313" s="84"/>
      <c r="AA1313" s="84"/>
    </row>
    <row r="1314" ht="15.75" customHeight="1">
      <c r="A1314" s="14" t="s">
        <v>2137</v>
      </c>
      <c r="B1314" s="15" t="s">
        <v>16078</v>
      </c>
      <c r="C1314" s="14" t="s">
        <v>15943</v>
      </c>
      <c r="D1314" s="14" t="s">
        <v>15944</v>
      </c>
      <c r="E1314" s="26" t="str">
        <f t="shared" si="26"/>
        <v>http://dx.doi.org/10.1109/INFVIS.2005.1532129</v>
      </c>
      <c r="F1314" s="14">
        <v>57.0</v>
      </c>
      <c r="G1314" s="14">
        <v>64.0</v>
      </c>
      <c r="H1314" s="14" t="s">
        <v>28</v>
      </c>
      <c r="I1314" s="19" t="s">
        <v>16119</v>
      </c>
      <c r="J1314" s="19" t="s">
        <v>15947</v>
      </c>
      <c r="K1314" s="19" t="s">
        <v>16120</v>
      </c>
      <c r="L1314" s="19" t="s">
        <v>16121</v>
      </c>
      <c r="M1314" s="20" t="s">
        <v>15949</v>
      </c>
      <c r="N1314" s="44" t="s">
        <v>15950</v>
      </c>
      <c r="O1314" s="22">
        <v>120.0</v>
      </c>
      <c r="P1314" s="28">
        <v>21.0</v>
      </c>
      <c r="Q1314" s="28">
        <v>21.0</v>
      </c>
      <c r="R1314" s="84"/>
      <c r="S1314" s="84"/>
      <c r="T1314" s="84"/>
      <c r="U1314" s="84"/>
      <c r="V1314" s="84"/>
      <c r="W1314" s="84"/>
      <c r="X1314" s="84"/>
      <c r="Y1314" s="84"/>
      <c r="Z1314" s="84"/>
      <c r="AA1314" s="84"/>
    </row>
    <row r="1315" ht="15.75" customHeight="1">
      <c r="A1315" s="14" t="s">
        <v>2137</v>
      </c>
      <c r="B1315" s="15" t="s">
        <v>16078</v>
      </c>
      <c r="C1315" s="14" t="s">
        <v>15954</v>
      </c>
      <c r="D1315" s="14" t="s">
        <v>15955</v>
      </c>
      <c r="E1315" s="26" t="str">
        <f t="shared" si="26"/>
        <v>http://dx.doi.org/10.1109/INFVIS.2005.1532130</v>
      </c>
      <c r="F1315" s="14">
        <v>65.0</v>
      </c>
      <c r="G1315" s="14">
        <v>72.0</v>
      </c>
      <c r="H1315" s="14" t="s">
        <v>28</v>
      </c>
      <c r="I1315" s="19" t="s">
        <v>16128</v>
      </c>
      <c r="J1315" s="19" t="s">
        <v>15959</v>
      </c>
      <c r="K1315" s="19" t="s">
        <v>16129</v>
      </c>
      <c r="L1315" s="19" t="s">
        <v>16130</v>
      </c>
      <c r="M1315" s="20"/>
      <c r="N1315" s="27"/>
      <c r="O1315" s="22">
        <v>51.0</v>
      </c>
      <c r="P1315" s="28">
        <v>8.0</v>
      </c>
      <c r="Q1315" s="28">
        <v>25.0</v>
      </c>
      <c r="R1315" s="85" t="s">
        <v>106</v>
      </c>
      <c r="S1315" s="84"/>
      <c r="T1315" s="84"/>
      <c r="U1315" s="84"/>
      <c r="V1315" s="84"/>
      <c r="W1315" s="84"/>
      <c r="X1315" s="84"/>
      <c r="Y1315" s="84"/>
      <c r="Z1315" s="84"/>
      <c r="AA1315" s="84"/>
    </row>
    <row r="1316" ht="15.75" customHeight="1">
      <c r="A1316" s="14" t="s">
        <v>2137</v>
      </c>
      <c r="B1316" s="15" t="s">
        <v>16078</v>
      </c>
      <c r="C1316" s="14" t="s">
        <v>15961</v>
      </c>
      <c r="D1316" s="14" t="s">
        <v>15962</v>
      </c>
      <c r="E1316" s="26" t="str">
        <f t="shared" si="26"/>
        <v>http://dx.doi.org/10.1109/INFVIS.2005.1532131</v>
      </c>
      <c r="F1316" s="14">
        <v>73.0</v>
      </c>
      <c r="G1316" s="14">
        <v>80.0</v>
      </c>
      <c r="H1316" s="14" t="s">
        <v>28</v>
      </c>
      <c r="I1316" s="19" t="s">
        <v>16138</v>
      </c>
      <c r="J1316" s="19" t="s">
        <v>15973</v>
      </c>
      <c r="K1316" s="19" t="s">
        <v>16139</v>
      </c>
      <c r="L1316" s="19" t="s">
        <v>16140</v>
      </c>
      <c r="M1316" s="20"/>
      <c r="N1316" s="44" t="s">
        <v>15978</v>
      </c>
      <c r="O1316" s="22">
        <v>36.0</v>
      </c>
      <c r="P1316" s="28">
        <v>5.0</v>
      </c>
      <c r="Q1316" s="28">
        <v>22.0</v>
      </c>
      <c r="R1316" s="84"/>
      <c r="S1316" s="84"/>
      <c r="T1316" s="84"/>
      <c r="U1316" s="84"/>
      <c r="V1316" s="84"/>
      <c r="W1316" s="84"/>
      <c r="X1316" s="84"/>
      <c r="Y1316" s="84"/>
      <c r="Z1316" s="84"/>
      <c r="AA1316" s="84"/>
    </row>
    <row r="1317" ht="15.75" customHeight="1">
      <c r="A1317" s="14" t="s">
        <v>2137</v>
      </c>
      <c r="B1317" s="15" t="s">
        <v>16078</v>
      </c>
      <c r="C1317" s="14" t="s">
        <v>15979</v>
      </c>
      <c r="D1317" s="14" t="s">
        <v>15980</v>
      </c>
      <c r="E1317" s="26" t="str">
        <f t="shared" si="26"/>
        <v>http://dx.doi.org/10.1109/INFVIS.2005.1532132</v>
      </c>
      <c r="F1317" s="14">
        <v>81.0</v>
      </c>
      <c r="G1317" s="14">
        <v>88.0</v>
      </c>
      <c r="H1317" s="14" t="s">
        <v>28</v>
      </c>
      <c r="I1317" s="19" t="s">
        <v>16147</v>
      </c>
      <c r="J1317" s="19" t="s">
        <v>15984</v>
      </c>
      <c r="K1317" s="19" t="s">
        <v>16148</v>
      </c>
      <c r="L1317" s="19" t="s">
        <v>16149</v>
      </c>
      <c r="M1317" s="20" t="s">
        <v>15986</v>
      </c>
      <c r="N1317" s="44" t="s">
        <v>15987</v>
      </c>
      <c r="O1317" s="22">
        <v>37.0</v>
      </c>
      <c r="P1317" s="28">
        <v>7.0</v>
      </c>
      <c r="Q1317" s="28">
        <v>15.0</v>
      </c>
      <c r="R1317" s="84"/>
      <c r="S1317" s="84"/>
      <c r="T1317" s="84"/>
      <c r="U1317" s="84"/>
      <c r="V1317" s="84"/>
      <c r="W1317" s="84"/>
      <c r="X1317" s="84"/>
      <c r="Y1317" s="84"/>
      <c r="Z1317" s="84"/>
      <c r="AA1317" s="84"/>
    </row>
    <row r="1318" ht="15.75" customHeight="1">
      <c r="A1318" s="14" t="s">
        <v>2137</v>
      </c>
      <c r="B1318" s="15" t="s">
        <v>16078</v>
      </c>
      <c r="C1318" s="14" t="s">
        <v>15989</v>
      </c>
      <c r="D1318" s="14" t="s">
        <v>15990</v>
      </c>
      <c r="E1318" s="26" t="str">
        <f t="shared" si="26"/>
        <v>http://dx.doi.org/10.1109/INFVIS.2005.1532133</v>
      </c>
      <c r="F1318" s="14">
        <v>89.0</v>
      </c>
      <c r="G1318" s="14">
        <v>94.0</v>
      </c>
      <c r="H1318" s="14" t="s">
        <v>28</v>
      </c>
      <c r="I1318" s="19" t="s">
        <v>16150</v>
      </c>
      <c r="J1318" s="19" t="s">
        <v>15997</v>
      </c>
      <c r="K1318" s="19" t="s">
        <v>16151</v>
      </c>
      <c r="L1318" s="19" t="s">
        <v>15993</v>
      </c>
      <c r="M1318" s="20" t="s">
        <v>15998</v>
      </c>
      <c r="N1318" s="44" t="s">
        <v>15999</v>
      </c>
      <c r="O1318" s="22">
        <v>50.0</v>
      </c>
      <c r="P1318" s="28">
        <v>7.0</v>
      </c>
      <c r="Q1318" s="28">
        <v>10.0</v>
      </c>
      <c r="R1318" s="84"/>
      <c r="S1318" s="84"/>
      <c r="T1318" s="84"/>
      <c r="U1318" s="84"/>
      <c r="V1318" s="84"/>
      <c r="W1318" s="84"/>
      <c r="X1318" s="84"/>
      <c r="Y1318" s="84"/>
      <c r="Z1318" s="84"/>
      <c r="AA1318" s="84"/>
    </row>
    <row r="1319" ht="15.75" customHeight="1">
      <c r="A1319" s="14" t="s">
        <v>2137</v>
      </c>
      <c r="B1319" s="15" t="s">
        <v>16078</v>
      </c>
      <c r="C1319" s="14" t="s">
        <v>16000</v>
      </c>
      <c r="D1319" s="14" t="s">
        <v>16001</v>
      </c>
      <c r="E1319" s="26" t="str">
        <f t="shared" si="26"/>
        <v>http://dx.doi.org/10.1109/INFVIS.2005.1532134</v>
      </c>
      <c r="F1319" s="14">
        <v>95.0</v>
      </c>
      <c r="G1319" s="14">
        <v>102.0</v>
      </c>
      <c r="H1319" s="14" t="s">
        <v>28</v>
      </c>
      <c r="I1319" s="19" t="s">
        <v>16159</v>
      </c>
      <c r="J1319" s="19" t="s">
        <v>16007</v>
      </c>
      <c r="K1319" s="19" t="s">
        <v>16160</v>
      </c>
      <c r="L1319" s="19" t="s">
        <v>16161</v>
      </c>
      <c r="M1319" s="20" t="s">
        <v>13780</v>
      </c>
      <c r="N1319" s="44" t="s">
        <v>16008</v>
      </c>
      <c r="O1319" s="22">
        <v>94.0</v>
      </c>
      <c r="P1319" s="28">
        <v>21.0</v>
      </c>
      <c r="Q1319" s="28">
        <v>19.0</v>
      </c>
      <c r="R1319" s="84"/>
      <c r="S1319" s="84"/>
      <c r="T1319" s="84"/>
      <c r="U1319" s="84"/>
      <c r="V1319" s="84"/>
      <c r="W1319" s="84"/>
      <c r="X1319" s="84"/>
      <c r="Y1319" s="84"/>
      <c r="Z1319" s="84"/>
      <c r="AA1319" s="84"/>
    </row>
    <row r="1320" ht="15.75" customHeight="1">
      <c r="A1320" s="14" t="s">
        <v>2137</v>
      </c>
      <c r="B1320" s="15" t="s">
        <v>16078</v>
      </c>
      <c r="C1320" s="14" t="s">
        <v>16009</v>
      </c>
      <c r="D1320" s="14" t="s">
        <v>16010</v>
      </c>
      <c r="E1320" s="26" t="str">
        <f t="shared" si="26"/>
        <v>http://dx.doi.org/10.1109/INFVIS.2005.1532135</v>
      </c>
      <c r="F1320" s="14">
        <v>103.0</v>
      </c>
      <c r="G1320" s="14">
        <v>110.0</v>
      </c>
      <c r="H1320" s="14" t="s">
        <v>28</v>
      </c>
      <c r="I1320" s="19" t="s">
        <v>16167</v>
      </c>
      <c r="J1320" s="19" t="s">
        <v>16169</v>
      </c>
      <c r="K1320" s="19" t="s">
        <v>16170</v>
      </c>
      <c r="L1320" s="19" t="s">
        <v>16171</v>
      </c>
      <c r="M1320" s="20"/>
      <c r="N1320" s="44" t="s">
        <v>16021</v>
      </c>
      <c r="O1320" s="22">
        <v>9.0</v>
      </c>
      <c r="P1320" s="28">
        <v>2.0</v>
      </c>
      <c r="Q1320" s="28">
        <v>10.0</v>
      </c>
      <c r="R1320" s="84"/>
      <c r="S1320" s="84"/>
      <c r="T1320" s="84"/>
      <c r="U1320" s="84"/>
      <c r="V1320" s="84"/>
      <c r="W1320" s="84"/>
      <c r="X1320" s="84"/>
      <c r="Y1320" s="84"/>
      <c r="Z1320" s="84"/>
      <c r="AA1320" s="84"/>
    </row>
    <row r="1321" ht="15.75" customHeight="1">
      <c r="A1321" s="14" t="s">
        <v>2137</v>
      </c>
      <c r="B1321" s="15" t="s">
        <v>16078</v>
      </c>
      <c r="C1321" s="14" t="s">
        <v>16023</v>
      </c>
      <c r="D1321" s="14" t="s">
        <v>16024</v>
      </c>
      <c r="E1321" s="26" t="str">
        <f t="shared" si="26"/>
        <v>http://dx.doi.org/10.1109/INFVIS.2005.1532136</v>
      </c>
      <c r="F1321" s="14">
        <v>111.0</v>
      </c>
      <c r="G1321" s="14">
        <v>117.0</v>
      </c>
      <c r="H1321" s="14" t="s">
        <v>28</v>
      </c>
      <c r="I1321" s="19" t="s">
        <v>16172</v>
      </c>
      <c r="J1321" s="19" t="s">
        <v>16029</v>
      </c>
      <c r="K1321" s="19" t="s">
        <v>16174</v>
      </c>
      <c r="L1321" s="19" t="s">
        <v>16176</v>
      </c>
      <c r="M1321" s="20" t="s">
        <v>16031</v>
      </c>
      <c r="N1321" s="44" t="s">
        <v>16032</v>
      </c>
      <c r="O1321" s="22">
        <v>409.0</v>
      </c>
      <c r="P1321" s="28">
        <v>78.0</v>
      </c>
      <c r="Q1321" s="28">
        <v>15.0</v>
      </c>
      <c r="R1321" s="84"/>
      <c r="S1321" s="84"/>
      <c r="T1321" s="84"/>
      <c r="U1321" s="84"/>
      <c r="V1321" s="84"/>
      <c r="W1321" s="84"/>
      <c r="X1321" s="84"/>
      <c r="Y1321" s="84"/>
      <c r="Z1321" s="84"/>
      <c r="AA1321" s="84"/>
    </row>
    <row r="1322" ht="15.75" customHeight="1">
      <c r="A1322" s="14" t="s">
        <v>2137</v>
      </c>
      <c r="B1322" s="15" t="s">
        <v>16078</v>
      </c>
      <c r="C1322" s="14" t="s">
        <v>16033</v>
      </c>
      <c r="D1322" s="14" t="s">
        <v>16035</v>
      </c>
      <c r="E1322" s="26" t="str">
        <f t="shared" si="26"/>
        <v>http://dx.doi.org/10.1109/INFVIS.2005.1532137</v>
      </c>
      <c r="F1322" s="14">
        <v>119.0</v>
      </c>
      <c r="G1322" s="14">
        <v>124.0</v>
      </c>
      <c r="H1322" s="14" t="s">
        <v>28</v>
      </c>
      <c r="I1322" s="19" t="s">
        <v>16181</v>
      </c>
      <c r="J1322" s="19" t="s">
        <v>16039</v>
      </c>
      <c r="K1322" s="19" t="s">
        <v>16182</v>
      </c>
      <c r="L1322" s="19" t="s">
        <v>13919</v>
      </c>
      <c r="M1322" s="20"/>
      <c r="N1322" s="44" t="s">
        <v>16040</v>
      </c>
      <c r="O1322" s="22">
        <v>50.0</v>
      </c>
      <c r="P1322" s="28">
        <v>5.0</v>
      </c>
      <c r="Q1322" s="28">
        <v>15.0</v>
      </c>
      <c r="R1322" s="84"/>
      <c r="S1322" s="84"/>
      <c r="T1322" s="84"/>
      <c r="U1322" s="84"/>
      <c r="V1322" s="84"/>
      <c r="W1322" s="84"/>
      <c r="X1322" s="84"/>
      <c r="Y1322" s="84"/>
      <c r="Z1322" s="84"/>
      <c r="AA1322" s="84"/>
    </row>
    <row r="1323" ht="15.75" customHeight="1">
      <c r="A1323" s="14" t="s">
        <v>2137</v>
      </c>
      <c r="B1323" s="15" t="s">
        <v>16078</v>
      </c>
      <c r="C1323" s="14" t="s">
        <v>16041</v>
      </c>
      <c r="D1323" s="14" t="s">
        <v>16042</v>
      </c>
      <c r="E1323" s="26" t="str">
        <f t="shared" si="26"/>
        <v>http://dx.doi.org/10.1109/INFVIS.2005.1532138</v>
      </c>
      <c r="F1323" s="14">
        <v>125.0</v>
      </c>
      <c r="G1323" s="14">
        <v>132.0</v>
      </c>
      <c r="H1323" s="14" t="s">
        <v>28</v>
      </c>
      <c r="I1323" s="19" t="s">
        <v>16183</v>
      </c>
      <c r="J1323" s="19" t="s">
        <v>16046</v>
      </c>
      <c r="K1323" s="19" t="s">
        <v>16185</v>
      </c>
      <c r="L1323" s="19" t="s">
        <v>16187</v>
      </c>
      <c r="M1323" s="20" t="s">
        <v>16048</v>
      </c>
      <c r="N1323" s="44" t="s">
        <v>16049</v>
      </c>
      <c r="O1323" s="22">
        <v>172.0</v>
      </c>
      <c r="P1323" s="28">
        <v>37.0</v>
      </c>
      <c r="Q1323" s="28">
        <v>17.0</v>
      </c>
      <c r="R1323" s="84"/>
      <c r="S1323" s="84"/>
      <c r="T1323" s="84"/>
      <c r="U1323" s="84"/>
      <c r="V1323" s="84"/>
      <c r="W1323" s="84"/>
      <c r="X1323" s="84"/>
      <c r="Y1323" s="84"/>
      <c r="Z1323" s="84"/>
      <c r="AA1323" s="84"/>
    </row>
    <row r="1324" ht="15.75" customHeight="1">
      <c r="A1324" s="14" t="s">
        <v>2137</v>
      </c>
      <c r="B1324" s="15" t="s">
        <v>16078</v>
      </c>
      <c r="C1324" s="14" t="s">
        <v>16050</v>
      </c>
      <c r="D1324" s="14" t="s">
        <v>16051</v>
      </c>
      <c r="E1324" s="26" t="str">
        <f t="shared" si="26"/>
        <v>http://dx.doi.org/10.1109/INFVIS.2005.1532139</v>
      </c>
      <c r="F1324" s="14">
        <v>133.0</v>
      </c>
      <c r="G1324" s="14">
        <v>140.0</v>
      </c>
      <c r="H1324" s="14" t="s">
        <v>28</v>
      </c>
      <c r="I1324" s="19" t="s">
        <v>16192</v>
      </c>
      <c r="J1324" s="19" t="s">
        <v>16056</v>
      </c>
      <c r="K1324" s="19" t="s">
        <v>16193</v>
      </c>
      <c r="L1324" s="19" t="s">
        <v>16067</v>
      </c>
      <c r="M1324" s="20" t="s">
        <v>16057</v>
      </c>
      <c r="N1324" s="44" t="s">
        <v>16058</v>
      </c>
      <c r="O1324" s="22">
        <v>106.0</v>
      </c>
      <c r="P1324" s="28">
        <v>22.0</v>
      </c>
      <c r="Q1324" s="28">
        <v>24.0</v>
      </c>
      <c r="R1324" s="84"/>
      <c r="S1324" s="84"/>
      <c r="T1324" s="84"/>
      <c r="U1324" s="84"/>
      <c r="V1324" s="84"/>
      <c r="W1324" s="84"/>
      <c r="X1324" s="84"/>
      <c r="Y1324" s="84"/>
      <c r="Z1324" s="84"/>
      <c r="AA1324" s="84"/>
    </row>
    <row r="1325" ht="15.75" customHeight="1">
      <c r="A1325" s="14" t="s">
        <v>2137</v>
      </c>
      <c r="B1325" s="15" t="s">
        <v>16078</v>
      </c>
      <c r="C1325" s="14" t="s">
        <v>16060</v>
      </c>
      <c r="D1325" s="14" t="s">
        <v>16062</v>
      </c>
      <c r="E1325" s="26" t="str">
        <f t="shared" si="26"/>
        <v>http://dx.doi.org/10.1109/INFVIS.2005.1532140</v>
      </c>
      <c r="F1325" s="14">
        <v>141.0</v>
      </c>
      <c r="G1325" s="14">
        <v>148.0</v>
      </c>
      <c r="H1325" s="14" t="s">
        <v>28</v>
      </c>
      <c r="I1325" s="19" t="s">
        <v>16194</v>
      </c>
      <c r="J1325" s="19" t="s">
        <v>16069</v>
      </c>
      <c r="K1325" s="19" t="s">
        <v>16195</v>
      </c>
      <c r="L1325" s="19" t="s">
        <v>16196</v>
      </c>
      <c r="M1325" s="20" t="s">
        <v>16071</v>
      </c>
      <c r="N1325" s="44" t="s">
        <v>16072</v>
      </c>
      <c r="O1325" s="22">
        <v>50.0</v>
      </c>
      <c r="P1325" s="28">
        <v>2.0</v>
      </c>
      <c r="Q1325" s="28">
        <v>16.0</v>
      </c>
      <c r="R1325" s="84"/>
      <c r="S1325" s="84"/>
      <c r="T1325" s="84"/>
      <c r="U1325" s="84"/>
      <c r="V1325" s="84"/>
      <c r="W1325" s="84"/>
      <c r="X1325" s="84"/>
      <c r="Y1325" s="84"/>
      <c r="Z1325" s="84"/>
      <c r="AA1325" s="84"/>
    </row>
    <row r="1326" ht="15.75" customHeight="1">
      <c r="A1326" s="14" t="s">
        <v>2137</v>
      </c>
      <c r="B1326" s="15" t="s">
        <v>16078</v>
      </c>
      <c r="C1326" s="14" t="s">
        <v>16073</v>
      </c>
      <c r="D1326" s="14" t="s">
        <v>16074</v>
      </c>
      <c r="E1326" s="26" t="str">
        <f t="shared" si="26"/>
        <v>http://dx.doi.org/10.1109/INFVIS.2005.1532141</v>
      </c>
      <c r="F1326" s="14">
        <v>149.0</v>
      </c>
      <c r="G1326" s="14">
        <v>156.0</v>
      </c>
      <c r="H1326" s="14" t="s">
        <v>28</v>
      </c>
      <c r="I1326" s="19" t="s">
        <v>16203</v>
      </c>
      <c r="J1326" s="19" t="s">
        <v>16204</v>
      </c>
      <c r="K1326" s="19" t="s">
        <v>16205</v>
      </c>
      <c r="L1326" s="19" t="s">
        <v>14130</v>
      </c>
      <c r="M1326" s="20" t="s">
        <v>16084</v>
      </c>
      <c r="N1326" s="44" t="s">
        <v>16085</v>
      </c>
      <c r="O1326" s="22">
        <v>95.0</v>
      </c>
      <c r="P1326" s="28">
        <v>13.0</v>
      </c>
      <c r="Q1326" s="28">
        <v>27.0</v>
      </c>
      <c r="R1326" s="84"/>
      <c r="S1326" s="84"/>
      <c r="T1326" s="84"/>
      <c r="U1326" s="84"/>
      <c r="V1326" s="84"/>
      <c r="W1326" s="84"/>
      <c r="X1326" s="84"/>
      <c r="Y1326" s="84"/>
      <c r="Z1326" s="84"/>
      <c r="AA1326" s="84"/>
    </row>
    <row r="1327" ht="15.75" customHeight="1">
      <c r="A1327" s="14" t="s">
        <v>2137</v>
      </c>
      <c r="B1327" s="15" t="s">
        <v>16078</v>
      </c>
      <c r="C1327" s="14" t="s">
        <v>16086</v>
      </c>
      <c r="D1327" s="14" t="s">
        <v>16087</v>
      </c>
      <c r="E1327" s="26" t="str">
        <f t="shared" si="26"/>
        <v>http://dx.doi.org/10.1109/INFVIS.2005.1532142</v>
      </c>
      <c r="F1327" s="14">
        <v>157.0</v>
      </c>
      <c r="G1327" s="14">
        <v>164.0</v>
      </c>
      <c r="H1327" s="14" t="s">
        <v>28</v>
      </c>
      <c r="I1327" s="19" t="s">
        <v>16207</v>
      </c>
      <c r="J1327" s="19" t="s">
        <v>16091</v>
      </c>
      <c r="K1327" s="19" t="s">
        <v>16208</v>
      </c>
      <c r="L1327" s="19" t="s">
        <v>16209</v>
      </c>
      <c r="M1327" s="20" t="s">
        <v>16093</v>
      </c>
      <c r="N1327" s="44" t="s">
        <v>16094</v>
      </c>
      <c r="O1327" s="22">
        <v>174.0</v>
      </c>
      <c r="P1327" s="28">
        <v>55.0</v>
      </c>
      <c r="Q1327" s="28">
        <v>43.0</v>
      </c>
      <c r="R1327" s="84"/>
      <c r="S1327" s="84"/>
      <c r="T1327" s="84"/>
      <c r="U1327" s="84"/>
      <c r="V1327" s="84"/>
      <c r="W1327" s="84"/>
      <c r="X1327" s="84"/>
      <c r="Y1327" s="84"/>
      <c r="Z1327" s="84"/>
      <c r="AA1327" s="84"/>
    </row>
    <row r="1328" ht="15.75" customHeight="1">
      <c r="A1328" s="14" t="s">
        <v>2137</v>
      </c>
      <c r="B1328" s="15" t="s">
        <v>16078</v>
      </c>
      <c r="C1328" s="14" t="s">
        <v>16095</v>
      </c>
      <c r="D1328" s="14" t="s">
        <v>16096</v>
      </c>
      <c r="E1328" s="26" t="str">
        <f t="shared" si="26"/>
        <v>http://dx.doi.org/10.1109/INFVIS.2005.1532143</v>
      </c>
      <c r="F1328" s="14">
        <v>165.0</v>
      </c>
      <c r="G1328" s="14">
        <v>172.0</v>
      </c>
      <c r="H1328" s="14" t="s">
        <v>28</v>
      </c>
      <c r="I1328" s="19" t="s">
        <v>16210</v>
      </c>
      <c r="J1328" s="19" t="s">
        <v>14085</v>
      </c>
      <c r="K1328" s="19" t="s">
        <v>15410</v>
      </c>
      <c r="L1328" s="19" t="s">
        <v>16211</v>
      </c>
      <c r="M1328" s="20" t="s">
        <v>16103</v>
      </c>
      <c r="N1328" s="44" t="s">
        <v>16104</v>
      </c>
      <c r="O1328" s="22">
        <v>50.0</v>
      </c>
      <c r="P1328" s="28">
        <v>8.0</v>
      </c>
      <c r="Q1328" s="28">
        <v>32.0</v>
      </c>
      <c r="R1328" s="84"/>
      <c r="S1328" s="84"/>
      <c r="T1328" s="84"/>
      <c r="U1328" s="84"/>
      <c r="V1328" s="84"/>
      <c r="W1328" s="84"/>
      <c r="X1328" s="84"/>
      <c r="Y1328" s="84"/>
      <c r="Z1328" s="84"/>
      <c r="AA1328" s="84"/>
    </row>
    <row r="1329" ht="15.75" customHeight="1">
      <c r="A1329" s="14" t="s">
        <v>2137</v>
      </c>
      <c r="B1329" s="15" t="s">
        <v>16078</v>
      </c>
      <c r="C1329" s="14" t="s">
        <v>16105</v>
      </c>
      <c r="D1329" s="14" t="s">
        <v>16106</v>
      </c>
      <c r="E1329" s="26" t="str">
        <f t="shared" si="26"/>
        <v>http://dx.doi.org/10.1109/INFVIS.2005.1532144</v>
      </c>
      <c r="F1329" s="14">
        <v>173.0</v>
      </c>
      <c r="G1329" s="14">
        <v>180.0</v>
      </c>
      <c r="H1329" s="14" t="s">
        <v>28</v>
      </c>
      <c r="I1329" s="19" t="s">
        <v>16214</v>
      </c>
      <c r="J1329" s="19" t="s">
        <v>16111</v>
      </c>
      <c r="K1329" s="19" t="s">
        <v>16216</v>
      </c>
      <c r="L1329" s="19" t="s">
        <v>16218</v>
      </c>
      <c r="M1329" s="20"/>
      <c r="N1329" s="44" t="s">
        <v>16114</v>
      </c>
      <c r="O1329" s="22">
        <v>77.0</v>
      </c>
      <c r="P1329" s="28">
        <v>21.0</v>
      </c>
      <c r="Q1329" s="28">
        <v>11.0</v>
      </c>
      <c r="R1329" s="84"/>
      <c r="S1329" s="84"/>
      <c r="T1329" s="84"/>
      <c r="U1329" s="84"/>
      <c r="V1329" s="84"/>
      <c r="W1329" s="84"/>
      <c r="X1329" s="84"/>
      <c r="Y1329" s="84"/>
      <c r="Z1329" s="84"/>
      <c r="AA1329" s="84"/>
    </row>
    <row r="1330" ht="15.75" customHeight="1">
      <c r="A1330" s="14" t="s">
        <v>2137</v>
      </c>
      <c r="B1330" s="15" t="s">
        <v>16078</v>
      </c>
      <c r="C1330" s="14" t="s">
        <v>16116</v>
      </c>
      <c r="D1330" s="14" t="s">
        <v>16117</v>
      </c>
      <c r="E1330" s="26" t="str">
        <f t="shared" si="26"/>
        <v>http://dx.doi.org/10.1109/INFVIS.2005.1532145</v>
      </c>
      <c r="F1330" s="14">
        <v>181.0</v>
      </c>
      <c r="G1330" s="14">
        <v>186.0</v>
      </c>
      <c r="H1330" s="14" t="s">
        <v>28</v>
      </c>
      <c r="I1330" s="19" t="s">
        <v>16220</v>
      </c>
      <c r="J1330" s="19" t="s">
        <v>11897</v>
      </c>
      <c r="K1330" s="19" t="s">
        <v>13947</v>
      </c>
      <c r="L1330" s="19" t="s">
        <v>16221</v>
      </c>
      <c r="M1330" s="20" t="s">
        <v>16123</v>
      </c>
      <c r="N1330" s="44" t="s">
        <v>16124</v>
      </c>
      <c r="O1330" s="22">
        <v>88.0</v>
      </c>
      <c r="P1330" s="28">
        <v>18.0</v>
      </c>
      <c r="Q1330" s="28">
        <v>15.0</v>
      </c>
      <c r="R1330" s="84"/>
      <c r="S1330" s="84"/>
      <c r="T1330" s="84"/>
      <c r="U1330" s="84"/>
      <c r="V1330" s="84"/>
      <c r="W1330" s="84"/>
      <c r="X1330" s="84"/>
      <c r="Y1330" s="84"/>
      <c r="Z1330" s="84"/>
      <c r="AA1330" s="84"/>
    </row>
    <row r="1331" ht="15.75" customHeight="1">
      <c r="A1331" s="14" t="s">
        <v>2137</v>
      </c>
      <c r="B1331" s="15" t="s">
        <v>16078</v>
      </c>
      <c r="C1331" s="14" t="s">
        <v>16125</v>
      </c>
      <c r="D1331" s="14" t="s">
        <v>16126</v>
      </c>
      <c r="E1331" s="26" t="str">
        <f t="shared" si="26"/>
        <v>http://dx.doi.org/10.1109/INFVIS.2005.1532146</v>
      </c>
      <c r="F1331" s="14">
        <v>187.0</v>
      </c>
      <c r="G1331" s="14">
        <v>194.0</v>
      </c>
      <c r="H1331" s="14" t="s">
        <v>28</v>
      </c>
      <c r="I1331" s="19" t="s">
        <v>16222</v>
      </c>
      <c r="J1331" s="19" t="s">
        <v>16131</v>
      </c>
      <c r="K1331" s="19" t="s">
        <v>16223</v>
      </c>
      <c r="L1331" s="19" t="s">
        <v>16224</v>
      </c>
      <c r="M1331" s="20" t="s">
        <v>16133</v>
      </c>
      <c r="N1331" s="44" t="s">
        <v>16134</v>
      </c>
      <c r="O1331" s="22">
        <v>15.0</v>
      </c>
      <c r="P1331" s="28">
        <v>1.0</v>
      </c>
      <c r="Q1331" s="28">
        <v>21.0</v>
      </c>
      <c r="R1331" s="84"/>
      <c r="S1331" s="84"/>
      <c r="T1331" s="84"/>
      <c r="U1331" s="84"/>
      <c r="V1331" s="84"/>
      <c r="W1331" s="84"/>
      <c r="X1331" s="84"/>
      <c r="Y1331" s="84"/>
      <c r="Z1331" s="84"/>
      <c r="AA1331" s="84"/>
    </row>
    <row r="1332" ht="15.75" customHeight="1">
      <c r="A1332" s="14" t="s">
        <v>2137</v>
      </c>
      <c r="B1332" s="15" t="s">
        <v>16078</v>
      </c>
      <c r="C1332" s="14" t="s">
        <v>16135</v>
      </c>
      <c r="D1332" s="14" t="s">
        <v>16136</v>
      </c>
      <c r="E1332" s="26" t="str">
        <f t="shared" si="26"/>
        <v>http://dx.doi.org/10.1109/INFVIS.2005.1532147</v>
      </c>
      <c r="F1332" s="14">
        <v>195.0</v>
      </c>
      <c r="G1332" s="14">
        <v>202.0</v>
      </c>
      <c r="H1332" s="14" t="s">
        <v>28</v>
      </c>
      <c r="I1332" s="19" t="s">
        <v>16229</v>
      </c>
      <c r="J1332" s="19" t="s">
        <v>16141</v>
      </c>
      <c r="K1332" s="19" t="s">
        <v>16231</v>
      </c>
      <c r="L1332" s="19" t="s">
        <v>16232</v>
      </c>
      <c r="M1332" s="20"/>
      <c r="N1332" s="44" t="s">
        <v>16143</v>
      </c>
      <c r="O1332" s="22">
        <v>43.0</v>
      </c>
      <c r="P1332" s="28">
        <v>1.0</v>
      </c>
      <c r="Q1332" s="28">
        <v>14.0</v>
      </c>
      <c r="R1332" s="84"/>
      <c r="S1332" s="84"/>
      <c r="T1332" s="84"/>
      <c r="U1332" s="84"/>
      <c r="V1332" s="84"/>
      <c r="W1332" s="84"/>
      <c r="X1332" s="84"/>
      <c r="Y1332" s="84"/>
      <c r="Z1332" s="84"/>
      <c r="AA1332" s="84"/>
    </row>
    <row r="1333" ht="15.75" customHeight="1">
      <c r="A1333" s="14" t="s">
        <v>2137</v>
      </c>
      <c r="B1333" s="15" t="s">
        <v>16078</v>
      </c>
      <c r="C1333" s="14" t="s">
        <v>16144</v>
      </c>
      <c r="D1333" s="14" t="s">
        <v>16145</v>
      </c>
      <c r="E1333" s="26" t="str">
        <f t="shared" si="26"/>
        <v>http://dx.doi.org/10.1109/INFVIS.2005.1532148</v>
      </c>
      <c r="F1333" s="14">
        <v>203.0</v>
      </c>
      <c r="G1333" s="14">
        <v>210.0</v>
      </c>
      <c r="H1333" s="14" t="s">
        <v>28</v>
      </c>
      <c r="I1333" s="19" t="s">
        <v>16233</v>
      </c>
      <c r="J1333" s="19" t="s">
        <v>16152</v>
      </c>
      <c r="K1333" s="19" t="s">
        <v>16234</v>
      </c>
      <c r="L1333" s="19" t="s">
        <v>16235</v>
      </c>
      <c r="M1333" s="20" t="s">
        <v>16154</v>
      </c>
      <c r="N1333" s="44" t="s">
        <v>16155</v>
      </c>
      <c r="O1333" s="22">
        <v>62.0</v>
      </c>
      <c r="P1333" s="28">
        <v>13.0</v>
      </c>
      <c r="Q1333" s="28">
        <v>16.0</v>
      </c>
      <c r="R1333" s="84"/>
      <c r="S1333" s="84"/>
      <c r="T1333" s="84"/>
      <c r="U1333" s="84"/>
      <c r="V1333" s="84"/>
      <c r="W1333" s="84"/>
      <c r="X1333" s="84"/>
      <c r="Y1333" s="84"/>
      <c r="Z1333" s="84"/>
      <c r="AA1333" s="84"/>
    </row>
    <row r="1334" ht="15.75" customHeight="1">
      <c r="A1334" s="14" t="s">
        <v>2137</v>
      </c>
      <c r="B1334" s="15" t="s">
        <v>16078</v>
      </c>
      <c r="C1334" s="14" t="s">
        <v>16156</v>
      </c>
      <c r="D1334" s="14" t="s">
        <v>16157</v>
      </c>
      <c r="E1334" s="26" t="str">
        <f t="shared" si="26"/>
        <v>http://dx.doi.org/10.1109/INFVIS.2005.1532149</v>
      </c>
      <c r="F1334" s="14">
        <v>211.0</v>
      </c>
      <c r="G1334" s="14">
        <v>218.0</v>
      </c>
      <c r="H1334" s="14" t="s">
        <v>28</v>
      </c>
      <c r="I1334" s="19" t="s">
        <v>16236</v>
      </c>
      <c r="J1334" s="19" t="s">
        <v>16162</v>
      </c>
      <c r="K1334" s="19" t="s">
        <v>16237</v>
      </c>
      <c r="L1334" s="19" t="s">
        <v>16239</v>
      </c>
      <c r="M1334" s="20" t="s">
        <v>16163</v>
      </c>
      <c r="N1334" s="44" t="s">
        <v>16164</v>
      </c>
      <c r="O1334" s="22">
        <v>45.0</v>
      </c>
      <c r="P1334" s="28">
        <v>4.0</v>
      </c>
      <c r="Q1334" s="28">
        <v>14.0</v>
      </c>
      <c r="R1334" s="84"/>
      <c r="S1334" s="84"/>
      <c r="T1334" s="84"/>
      <c r="U1334" s="84"/>
      <c r="V1334" s="84"/>
      <c r="W1334" s="84"/>
      <c r="X1334" s="84"/>
      <c r="Y1334" s="84"/>
      <c r="Z1334" s="84"/>
      <c r="AA1334" s="84"/>
    </row>
    <row r="1335" ht="15.75" customHeight="1">
      <c r="A1335" s="14" t="s">
        <v>2137</v>
      </c>
      <c r="B1335" s="15" t="s">
        <v>16078</v>
      </c>
      <c r="C1335" s="14" t="s">
        <v>16165</v>
      </c>
      <c r="D1335" s="14" t="s">
        <v>16166</v>
      </c>
      <c r="E1335" s="26" t="str">
        <f t="shared" si="26"/>
        <v>http://dx.doi.org/10.1109/INFVIS.2005.1532150</v>
      </c>
      <c r="F1335" s="14">
        <v>219.0</v>
      </c>
      <c r="G1335" s="14">
        <v>224.0</v>
      </c>
      <c r="H1335" s="14" t="s">
        <v>28</v>
      </c>
      <c r="I1335" s="19" t="s">
        <v>16245</v>
      </c>
      <c r="J1335" s="19" t="s">
        <v>16173</v>
      </c>
      <c r="K1335" s="19" t="s">
        <v>16246</v>
      </c>
      <c r="L1335" s="19" t="s">
        <v>16247</v>
      </c>
      <c r="M1335" s="20" t="s">
        <v>16175</v>
      </c>
      <c r="N1335" s="44" t="s">
        <v>16177</v>
      </c>
      <c r="O1335" s="22">
        <v>250.0</v>
      </c>
      <c r="P1335" s="28">
        <v>38.0</v>
      </c>
      <c r="Q1335" s="28">
        <v>21.0</v>
      </c>
      <c r="R1335" s="84"/>
      <c r="S1335" s="84"/>
      <c r="T1335" s="84"/>
      <c r="U1335" s="84"/>
      <c r="V1335" s="84"/>
      <c r="W1335" s="84"/>
      <c r="X1335" s="84"/>
      <c r="Y1335" s="84"/>
      <c r="Z1335" s="84"/>
      <c r="AA1335" s="84"/>
    </row>
    <row r="1336" ht="15.75" customHeight="1">
      <c r="A1336" s="14" t="s">
        <v>2137</v>
      </c>
      <c r="B1336" s="15" t="s">
        <v>16078</v>
      </c>
      <c r="C1336" s="14" t="s">
        <v>16178</v>
      </c>
      <c r="D1336" s="14" t="s">
        <v>16179</v>
      </c>
      <c r="E1336" s="26" t="str">
        <f t="shared" si="26"/>
        <v>http://dx.doi.org/10.1109/INFVIS.2005.1532151</v>
      </c>
      <c r="F1336" s="14">
        <v>225.0</v>
      </c>
      <c r="G1336" s="14">
        <v>232.0</v>
      </c>
      <c r="H1336" s="14" t="s">
        <v>28</v>
      </c>
      <c r="I1336" s="19" t="s">
        <v>16248</v>
      </c>
      <c r="J1336" s="19" t="s">
        <v>16184</v>
      </c>
      <c r="K1336" s="19" t="s">
        <v>16249</v>
      </c>
      <c r="L1336" s="19" t="s">
        <v>13906</v>
      </c>
      <c r="M1336" s="20" t="s">
        <v>16186</v>
      </c>
      <c r="N1336" s="44" t="s">
        <v>16188</v>
      </c>
      <c r="O1336" s="22">
        <v>74.0</v>
      </c>
      <c r="P1336" s="28">
        <v>10.0</v>
      </c>
      <c r="Q1336" s="28">
        <v>25.0</v>
      </c>
      <c r="R1336" s="84"/>
      <c r="S1336" s="84"/>
      <c r="T1336" s="84"/>
      <c r="U1336" s="84"/>
      <c r="V1336" s="84"/>
      <c r="W1336" s="84"/>
      <c r="X1336" s="84"/>
      <c r="Y1336" s="84"/>
      <c r="Z1336" s="84"/>
      <c r="AA1336" s="84"/>
    </row>
    <row r="1337" ht="15.75" customHeight="1">
      <c r="A1337" s="14" t="s">
        <v>2137</v>
      </c>
      <c r="B1337" s="15" t="s">
        <v>16078</v>
      </c>
      <c r="C1337" s="14" t="s">
        <v>16189</v>
      </c>
      <c r="D1337" s="14" t="s">
        <v>16190</v>
      </c>
      <c r="E1337" s="26" t="str">
        <f t="shared" si="26"/>
        <v>http://dx.doi.org/10.1109/INFVIS.2005.1532152</v>
      </c>
      <c r="F1337" s="14">
        <v>233.0</v>
      </c>
      <c r="G1337" s="14">
        <v>240.0</v>
      </c>
      <c r="H1337" s="14" t="s">
        <v>28</v>
      </c>
      <c r="I1337" s="19" t="s">
        <v>16256</v>
      </c>
      <c r="J1337" s="19" t="s">
        <v>16257</v>
      </c>
      <c r="K1337" s="19" t="s">
        <v>16258</v>
      </c>
      <c r="L1337" s="19" t="s">
        <v>16259</v>
      </c>
      <c r="M1337" s="20" t="s">
        <v>16199</v>
      </c>
      <c r="N1337" s="44" t="s">
        <v>16200</v>
      </c>
      <c r="O1337" s="22">
        <v>104.0</v>
      </c>
      <c r="P1337" s="28">
        <v>36.0</v>
      </c>
      <c r="Q1337" s="28">
        <v>21.0</v>
      </c>
      <c r="R1337" s="84"/>
      <c r="S1337" s="84"/>
      <c r="T1337" s="84"/>
      <c r="U1337" s="84"/>
      <c r="V1337" s="84"/>
      <c r="W1337" s="84"/>
      <c r="X1337" s="84"/>
      <c r="Y1337" s="84"/>
      <c r="Z1337" s="84"/>
      <c r="AA1337" s="84"/>
    </row>
    <row r="1338" ht="15.75" customHeight="1">
      <c r="A1338" s="14" t="s">
        <v>2137</v>
      </c>
      <c r="B1338" s="15" t="s">
        <v>16078</v>
      </c>
      <c r="C1338" s="14" t="s">
        <v>16201</v>
      </c>
      <c r="D1338" s="14" t="s">
        <v>16202</v>
      </c>
      <c r="E1338" s="26" t="str">
        <f t="shared" si="26"/>
        <v>http://dx.doi.org/10.1109/INFVIS.2005.1532153</v>
      </c>
      <c r="F1338" s="14">
        <v>241.0</v>
      </c>
      <c r="G1338" s="14">
        <v>244.0</v>
      </c>
      <c r="H1338" s="14" t="s">
        <v>21</v>
      </c>
      <c r="I1338" s="19" t="s">
        <v>16260</v>
      </c>
      <c r="J1338" s="19" t="s">
        <v>16212</v>
      </c>
      <c r="K1338" s="19" t="s">
        <v>16261</v>
      </c>
      <c r="L1338" s="19" t="s">
        <v>291</v>
      </c>
      <c r="M1338" s="20"/>
      <c r="N1338" s="27"/>
      <c r="O1338" s="109"/>
      <c r="P1338" s="28">
        <v>0.0</v>
      </c>
      <c r="Q1338" s="28">
        <v>0.0</v>
      </c>
      <c r="R1338" s="84"/>
      <c r="S1338" s="84"/>
      <c r="T1338" s="84"/>
      <c r="U1338" s="84"/>
      <c r="V1338" s="84"/>
      <c r="W1338" s="84"/>
      <c r="X1338" s="84"/>
      <c r="Y1338" s="84"/>
      <c r="Z1338" s="84"/>
      <c r="AA1338" s="84"/>
    </row>
    <row r="1339" ht="15.75" customHeight="1">
      <c r="A1339" s="14" t="s">
        <v>17</v>
      </c>
      <c r="B1339" s="15" t="s">
        <v>16078</v>
      </c>
      <c r="C1339" s="14" t="s">
        <v>16215</v>
      </c>
      <c r="D1339" s="14" t="s">
        <v>16217</v>
      </c>
      <c r="E1339" s="26" t="str">
        <f t="shared" si="26"/>
        <v>http://dx.doi.org/10.1109/VISUAL.2005.1532770</v>
      </c>
      <c r="F1339" s="14">
        <v>3.0</v>
      </c>
      <c r="G1339" s="14">
        <v>10.0</v>
      </c>
      <c r="H1339" s="14" t="s">
        <v>28</v>
      </c>
      <c r="I1339" s="19" t="s">
        <v>16262</v>
      </c>
      <c r="J1339" s="19" t="s">
        <v>12502</v>
      </c>
      <c r="K1339" s="19" t="s">
        <v>15586</v>
      </c>
      <c r="L1339" s="19" t="s">
        <v>15190</v>
      </c>
      <c r="M1339" s="20" t="s">
        <v>16225</v>
      </c>
      <c r="N1339" s="44" t="s">
        <v>16226</v>
      </c>
      <c r="O1339" s="22">
        <v>50.0</v>
      </c>
      <c r="P1339" s="28">
        <v>5.0</v>
      </c>
      <c r="Q1339" s="28">
        <v>18.0</v>
      </c>
      <c r="R1339" s="84"/>
      <c r="S1339" s="84"/>
      <c r="T1339" s="84"/>
      <c r="U1339" s="84"/>
      <c r="V1339" s="84"/>
      <c r="W1339" s="84"/>
      <c r="X1339" s="84"/>
      <c r="Y1339" s="84"/>
      <c r="Z1339" s="84"/>
      <c r="AA1339" s="84"/>
    </row>
    <row r="1340" ht="15.75" customHeight="1">
      <c r="A1340" s="14" t="s">
        <v>17</v>
      </c>
      <c r="B1340" s="15" t="s">
        <v>16078</v>
      </c>
      <c r="C1340" s="14" t="s">
        <v>16227</v>
      </c>
      <c r="D1340" s="14" t="s">
        <v>16228</v>
      </c>
      <c r="E1340" s="26" t="str">
        <f t="shared" si="26"/>
        <v>http://dx.doi.org/10.1109/VISUAL.2005.1532771</v>
      </c>
      <c r="F1340" s="14">
        <v>11.0</v>
      </c>
      <c r="G1340" s="14">
        <v>18.0</v>
      </c>
      <c r="H1340" s="14" t="s">
        <v>28</v>
      </c>
      <c r="I1340" s="19" t="s">
        <v>16270</v>
      </c>
      <c r="J1340" s="19" t="s">
        <v>16238</v>
      </c>
      <c r="K1340" s="19" t="s">
        <v>16271</v>
      </c>
      <c r="L1340" s="19" t="s">
        <v>13675</v>
      </c>
      <c r="M1340" s="20" t="s">
        <v>16240</v>
      </c>
      <c r="N1340" s="44" t="s">
        <v>16241</v>
      </c>
      <c r="O1340" s="22">
        <v>10.0</v>
      </c>
      <c r="P1340" s="28">
        <v>2.0</v>
      </c>
      <c r="Q1340" s="28">
        <v>28.0</v>
      </c>
      <c r="R1340" s="84"/>
      <c r="S1340" s="84"/>
      <c r="T1340" s="84"/>
      <c r="U1340" s="84"/>
      <c r="V1340" s="84"/>
      <c r="W1340" s="84"/>
      <c r="X1340" s="84"/>
      <c r="Y1340" s="84"/>
      <c r="Z1340" s="84"/>
      <c r="AA1340" s="84"/>
    </row>
    <row r="1341" ht="15.75" customHeight="1">
      <c r="A1341" s="14" t="s">
        <v>17</v>
      </c>
      <c r="B1341" s="15" t="s">
        <v>16078</v>
      </c>
      <c r="C1341" s="14" t="s">
        <v>16242</v>
      </c>
      <c r="D1341" s="14" t="s">
        <v>16243</v>
      </c>
      <c r="E1341" s="26" t="str">
        <f t="shared" si="26"/>
        <v>http://dx.doi.org/10.1109/VISUAL.2005.1532772</v>
      </c>
      <c r="F1341" s="14">
        <v>19.0</v>
      </c>
      <c r="G1341" s="14">
        <v>26.0</v>
      </c>
      <c r="H1341" s="14" t="s">
        <v>28</v>
      </c>
      <c r="I1341" s="19" t="s">
        <v>16272</v>
      </c>
      <c r="J1341" s="19" t="s">
        <v>16250</v>
      </c>
      <c r="K1341" s="19" t="s">
        <v>16273</v>
      </c>
      <c r="L1341" s="19" t="s">
        <v>16274</v>
      </c>
      <c r="M1341" s="20" t="s">
        <v>16251</v>
      </c>
      <c r="N1341" s="44" t="s">
        <v>16252</v>
      </c>
      <c r="O1341" s="22">
        <v>89.0</v>
      </c>
      <c r="P1341" s="28">
        <v>18.0</v>
      </c>
      <c r="Q1341" s="28">
        <v>17.0</v>
      </c>
      <c r="R1341" s="84"/>
      <c r="S1341" s="84"/>
      <c r="T1341" s="84"/>
      <c r="U1341" s="84"/>
      <c r="V1341" s="84"/>
      <c r="W1341" s="84"/>
      <c r="X1341" s="84"/>
      <c r="Y1341" s="84"/>
      <c r="Z1341" s="84"/>
      <c r="AA1341" s="84"/>
    </row>
    <row r="1342" ht="15.75" customHeight="1">
      <c r="A1342" s="14" t="s">
        <v>17</v>
      </c>
      <c r="B1342" s="15" t="s">
        <v>16078</v>
      </c>
      <c r="C1342" s="14" t="s">
        <v>16253</v>
      </c>
      <c r="D1342" s="14" t="s">
        <v>16254</v>
      </c>
      <c r="E1342" s="26" t="str">
        <f t="shared" si="26"/>
        <v>http://dx.doi.org/10.1109/VISUAL.2005.1532773</v>
      </c>
      <c r="F1342" s="14">
        <v>27.0</v>
      </c>
      <c r="G1342" s="14">
        <v>34.0</v>
      </c>
      <c r="H1342" s="14" t="s">
        <v>28</v>
      </c>
      <c r="I1342" s="19" t="s">
        <v>16282</v>
      </c>
      <c r="J1342" s="19" t="s">
        <v>16263</v>
      </c>
      <c r="K1342" s="19" t="s">
        <v>16283</v>
      </c>
      <c r="L1342" s="19" t="s">
        <v>16284</v>
      </c>
      <c r="M1342" s="20" t="s">
        <v>16265</v>
      </c>
      <c r="N1342" s="44" t="s">
        <v>16266</v>
      </c>
      <c r="O1342" s="22">
        <v>62.0</v>
      </c>
      <c r="P1342" s="28">
        <v>8.0</v>
      </c>
      <c r="Q1342" s="28">
        <v>34.0</v>
      </c>
      <c r="R1342" s="84"/>
      <c r="S1342" s="84"/>
      <c r="T1342" s="84"/>
      <c r="U1342" s="84"/>
      <c r="V1342" s="84"/>
      <c r="W1342" s="84"/>
      <c r="X1342" s="84"/>
      <c r="Y1342" s="84"/>
      <c r="Z1342" s="84"/>
      <c r="AA1342" s="84"/>
    </row>
    <row r="1343" ht="15.75" customHeight="1">
      <c r="A1343" s="14" t="s">
        <v>17</v>
      </c>
      <c r="B1343" s="15" t="s">
        <v>16078</v>
      </c>
      <c r="C1343" s="14" t="s">
        <v>16267</v>
      </c>
      <c r="D1343" s="14" t="s">
        <v>16268</v>
      </c>
      <c r="E1343" s="26" t="str">
        <f t="shared" si="26"/>
        <v>http://dx.doi.org/10.1109/VISUAL.2005.1532774</v>
      </c>
      <c r="F1343" s="14">
        <v>35.0</v>
      </c>
      <c r="G1343" s="14">
        <v>42.0</v>
      </c>
      <c r="H1343" s="14" t="s">
        <v>28</v>
      </c>
      <c r="I1343" s="19" t="s">
        <v>16285</v>
      </c>
      <c r="J1343" s="19" t="s">
        <v>16275</v>
      </c>
      <c r="K1343" s="19" t="s">
        <v>16286</v>
      </c>
      <c r="L1343" s="19" t="s">
        <v>16287</v>
      </c>
      <c r="M1343" s="20" t="s">
        <v>16277</v>
      </c>
      <c r="N1343" s="44" t="s">
        <v>16278</v>
      </c>
      <c r="O1343" s="22">
        <v>18.0</v>
      </c>
      <c r="P1343" s="28">
        <v>0.0</v>
      </c>
      <c r="Q1343" s="28">
        <v>27.0</v>
      </c>
      <c r="R1343" s="84"/>
      <c r="S1343" s="84"/>
      <c r="T1343" s="84"/>
      <c r="U1343" s="84"/>
      <c r="V1343" s="84"/>
      <c r="W1343" s="84"/>
      <c r="X1343" s="84"/>
      <c r="Y1343" s="84"/>
      <c r="Z1343" s="84"/>
      <c r="AA1343" s="84"/>
    </row>
    <row r="1344" ht="15.75" customHeight="1">
      <c r="A1344" s="14" t="s">
        <v>17</v>
      </c>
      <c r="B1344" s="15" t="s">
        <v>16078</v>
      </c>
      <c r="C1344" s="14" t="s">
        <v>16279</v>
      </c>
      <c r="D1344" s="14" t="s">
        <v>16280</v>
      </c>
      <c r="E1344" s="26" t="str">
        <f t="shared" si="26"/>
        <v>http://dx.doi.org/10.1109/VISUAL.2005.1532776</v>
      </c>
      <c r="F1344" s="14">
        <v>43.0</v>
      </c>
      <c r="G1344" s="14">
        <v>50.0</v>
      </c>
      <c r="H1344" s="14" t="s">
        <v>28</v>
      </c>
      <c r="I1344" s="19" t="s">
        <v>16294</v>
      </c>
      <c r="J1344" s="19" t="s">
        <v>16295</v>
      </c>
      <c r="K1344" s="19" t="s">
        <v>16296</v>
      </c>
      <c r="L1344" s="18"/>
      <c r="M1344" s="20" t="s">
        <v>16289</v>
      </c>
      <c r="N1344" s="44" t="s">
        <v>16290</v>
      </c>
      <c r="O1344" s="22">
        <v>20.0</v>
      </c>
      <c r="P1344" s="28">
        <v>3.0</v>
      </c>
      <c r="Q1344" s="28">
        <v>28.0</v>
      </c>
      <c r="R1344" s="84"/>
      <c r="S1344" s="84"/>
      <c r="T1344" s="84"/>
      <c r="U1344" s="84"/>
      <c r="V1344" s="84"/>
      <c r="W1344" s="84"/>
      <c r="X1344" s="84"/>
      <c r="Y1344" s="84"/>
      <c r="Z1344" s="84"/>
      <c r="AA1344" s="84"/>
    </row>
    <row r="1345" ht="15.75" customHeight="1">
      <c r="A1345" s="14" t="s">
        <v>17</v>
      </c>
      <c r="B1345" s="15" t="s">
        <v>16078</v>
      </c>
      <c r="C1345" s="14" t="s">
        <v>16291</v>
      </c>
      <c r="D1345" s="14" t="s">
        <v>16292</v>
      </c>
      <c r="E1345" s="26" t="str">
        <f t="shared" si="26"/>
        <v>http://dx.doi.org/10.1109/VISUAL.2005.1532777</v>
      </c>
      <c r="F1345" s="14">
        <v>51.0</v>
      </c>
      <c r="G1345" s="14">
        <v>58.0</v>
      </c>
      <c r="H1345" s="14" t="s">
        <v>28</v>
      </c>
      <c r="I1345" s="19" t="s">
        <v>16297</v>
      </c>
      <c r="J1345" s="19" t="s">
        <v>16298</v>
      </c>
      <c r="K1345" s="19" t="s">
        <v>16299</v>
      </c>
      <c r="L1345" s="19" t="s">
        <v>16300</v>
      </c>
      <c r="M1345" s="20" t="s">
        <v>16301</v>
      </c>
      <c r="N1345" s="44" t="s">
        <v>16302</v>
      </c>
      <c r="O1345" s="22">
        <v>65.0</v>
      </c>
      <c r="P1345" s="28">
        <v>7.0</v>
      </c>
      <c r="Q1345" s="28">
        <v>34.0</v>
      </c>
      <c r="R1345" s="84"/>
      <c r="S1345" s="84"/>
      <c r="T1345" s="84"/>
      <c r="U1345" s="84"/>
      <c r="V1345" s="84"/>
      <c r="W1345" s="84"/>
      <c r="X1345" s="84"/>
      <c r="Y1345" s="84"/>
      <c r="Z1345" s="84"/>
      <c r="AA1345" s="84"/>
    </row>
    <row r="1346" ht="15.75" customHeight="1">
      <c r="A1346" s="14" t="s">
        <v>17</v>
      </c>
      <c r="B1346" s="15" t="s">
        <v>16078</v>
      </c>
      <c r="C1346" s="14" t="s">
        <v>16304</v>
      </c>
      <c r="D1346" s="14" t="s">
        <v>16305</v>
      </c>
      <c r="E1346" s="26" t="str">
        <f t="shared" si="26"/>
        <v>http://dx.doi.org/10.1109/VISUAL.2005.1532778</v>
      </c>
      <c r="F1346" s="14">
        <v>59.0</v>
      </c>
      <c r="G1346" s="14">
        <v>64.0</v>
      </c>
      <c r="H1346" s="14" t="s">
        <v>28</v>
      </c>
      <c r="I1346" s="19" t="s">
        <v>16307</v>
      </c>
      <c r="J1346" s="19" t="s">
        <v>16308</v>
      </c>
      <c r="K1346" s="19" t="s">
        <v>16309</v>
      </c>
      <c r="L1346" s="19" t="s">
        <v>16310</v>
      </c>
      <c r="M1346" s="20" t="s">
        <v>16311</v>
      </c>
      <c r="N1346" s="44" t="s">
        <v>16312</v>
      </c>
      <c r="O1346" s="22">
        <v>61.0</v>
      </c>
      <c r="P1346" s="28">
        <v>9.0</v>
      </c>
      <c r="Q1346" s="28">
        <v>11.0</v>
      </c>
      <c r="R1346" s="84"/>
      <c r="S1346" s="84"/>
      <c r="T1346" s="84"/>
      <c r="U1346" s="84"/>
      <c r="V1346" s="84"/>
      <c r="W1346" s="84"/>
      <c r="X1346" s="84"/>
      <c r="Y1346" s="84"/>
      <c r="Z1346" s="84"/>
      <c r="AA1346" s="84"/>
    </row>
    <row r="1347" ht="15.75" customHeight="1">
      <c r="A1347" s="14" t="s">
        <v>17</v>
      </c>
      <c r="B1347" s="15" t="s">
        <v>16078</v>
      </c>
      <c r="C1347" s="14" t="s">
        <v>16313</v>
      </c>
      <c r="D1347" s="14" t="s">
        <v>16314</v>
      </c>
      <c r="E1347" s="26" t="str">
        <f t="shared" si="26"/>
        <v>http://dx.doi.org/10.1109/VISUAL.2005.1532779</v>
      </c>
      <c r="F1347" s="14">
        <v>65.0</v>
      </c>
      <c r="G1347" s="14">
        <v>72.0</v>
      </c>
      <c r="H1347" s="14" t="s">
        <v>28</v>
      </c>
      <c r="I1347" s="19" t="s">
        <v>16315</v>
      </c>
      <c r="J1347" s="19" t="s">
        <v>16316</v>
      </c>
      <c r="K1347" s="19" t="s">
        <v>16317</v>
      </c>
      <c r="L1347" s="19" t="s">
        <v>16318</v>
      </c>
      <c r="M1347" s="20" t="s">
        <v>10867</v>
      </c>
      <c r="N1347" s="44" t="s">
        <v>16319</v>
      </c>
      <c r="O1347" s="22">
        <v>179.0</v>
      </c>
      <c r="P1347" s="28">
        <v>50.0</v>
      </c>
      <c r="Q1347" s="28">
        <v>16.0</v>
      </c>
      <c r="R1347" s="84"/>
      <c r="S1347" s="84"/>
      <c r="T1347" s="84"/>
      <c r="U1347" s="84"/>
      <c r="V1347" s="84"/>
      <c r="W1347" s="84"/>
      <c r="X1347" s="84"/>
      <c r="Y1347" s="84"/>
      <c r="Z1347" s="84"/>
      <c r="AA1347" s="84"/>
    </row>
    <row r="1348" ht="15.75" customHeight="1">
      <c r="A1348" s="14" t="s">
        <v>17</v>
      </c>
      <c r="B1348" s="15" t="s">
        <v>16078</v>
      </c>
      <c r="C1348" s="14" t="s">
        <v>16320</v>
      </c>
      <c r="D1348" s="14" t="s">
        <v>16321</v>
      </c>
      <c r="E1348" s="26" t="str">
        <f t="shared" si="26"/>
        <v>http://dx.doi.org/10.1109/VISUAL.2005.1532780</v>
      </c>
      <c r="F1348" s="14">
        <v>73.0</v>
      </c>
      <c r="G1348" s="14">
        <v>78.0</v>
      </c>
      <c r="H1348" s="14" t="s">
        <v>28</v>
      </c>
      <c r="I1348" s="19" t="s">
        <v>16323</v>
      </c>
      <c r="J1348" s="19" t="s">
        <v>16324</v>
      </c>
      <c r="K1348" s="19" t="s">
        <v>16325</v>
      </c>
      <c r="L1348" s="19" t="s">
        <v>16326</v>
      </c>
      <c r="M1348" s="20" t="s">
        <v>16327</v>
      </c>
      <c r="N1348" s="44" t="s">
        <v>16328</v>
      </c>
      <c r="O1348" s="22">
        <v>50.0</v>
      </c>
      <c r="P1348" s="28">
        <v>9.0</v>
      </c>
      <c r="Q1348" s="28">
        <v>18.0</v>
      </c>
      <c r="R1348" s="84"/>
      <c r="S1348" s="84"/>
      <c r="T1348" s="84"/>
      <c r="U1348" s="84"/>
      <c r="V1348" s="84"/>
      <c r="W1348" s="84"/>
      <c r="X1348" s="84"/>
      <c r="Y1348" s="84"/>
      <c r="Z1348" s="84"/>
      <c r="AA1348" s="84"/>
    </row>
    <row r="1349" ht="15.75" customHeight="1">
      <c r="A1349" s="14" t="s">
        <v>17</v>
      </c>
      <c r="B1349" s="15" t="s">
        <v>16078</v>
      </c>
      <c r="C1349" s="14" t="s">
        <v>16329</v>
      </c>
      <c r="D1349" s="14" t="s">
        <v>16331</v>
      </c>
      <c r="E1349" s="26" t="str">
        <f t="shared" si="26"/>
        <v>http://dx.doi.org/10.1109/VISUAL.2005.1532781</v>
      </c>
      <c r="F1349" s="14">
        <v>79.0</v>
      </c>
      <c r="G1349" s="14">
        <v>86.0</v>
      </c>
      <c r="H1349" s="14" t="s">
        <v>28</v>
      </c>
      <c r="I1349" s="19" t="s">
        <v>16332</v>
      </c>
      <c r="J1349" s="19" t="s">
        <v>1304</v>
      </c>
      <c r="K1349" s="19" t="s">
        <v>1619</v>
      </c>
      <c r="L1349" s="19" t="s">
        <v>16318</v>
      </c>
      <c r="M1349" s="20" t="s">
        <v>16333</v>
      </c>
      <c r="N1349" s="44" t="s">
        <v>16334</v>
      </c>
      <c r="O1349" s="109"/>
      <c r="P1349" s="28">
        <v>36.0</v>
      </c>
      <c r="Q1349" s="28">
        <v>30.0</v>
      </c>
      <c r="R1349" s="84"/>
      <c r="S1349" s="84"/>
      <c r="T1349" s="84"/>
      <c r="U1349" s="84"/>
      <c r="V1349" s="84"/>
      <c r="W1349" s="84"/>
      <c r="X1349" s="84"/>
      <c r="Y1349" s="84"/>
      <c r="Z1349" s="84"/>
      <c r="AA1349" s="84"/>
    </row>
    <row r="1350" ht="15.75" customHeight="1">
      <c r="A1350" s="14" t="s">
        <v>17</v>
      </c>
      <c r="B1350" s="15" t="s">
        <v>16078</v>
      </c>
      <c r="C1350" s="14" t="s">
        <v>16335</v>
      </c>
      <c r="D1350" s="14" t="s">
        <v>16336</v>
      </c>
      <c r="E1350" s="26" t="str">
        <f t="shared" si="26"/>
        <v>http://dx.doi.org/10.1109/VISUAL.2005.1532782</v>
      </c>
      <c r="F1350" s="14">
        <v>87.0</v>
      </c>
      <c r="G1350" s="14">
        <v>94.0</v>
      </c>
      <c r="H1350" s="14" t="s">
        <v>28</v>
      </c>
      <c r="I1350" s="19" t="s">
        <v>16339</v>
      </c>
      <c r="J1350" s="19" t="s">
        <v>16340</v>
      </c>
      <c r="K1350" s="19" t="s">
        <v>16341</v>
      </c>
      <c r="L1350" s="19" t="s">
        <v>16342</v>
      </c>
      <c r="M1350" s="20" t="s">
        <v>16343</v>
      </c>
      <c r="N1350" s="44" t="s">
        <v>16344</v>
      </c>
      <c r="O1350" s="22">
        <v>32.0</v>
      </c>
      <c r="P1350" s="28">
        <v>6.0</v>
      </c>
      <c r="Q1350" s="28">
        <v>30.0</v>
      </c>
      <c r="R1350" s="84"/>
      <c r="S1350" s="84"/>
      <c r="T1350" s="84"/>
      <c r="U1350" s="84"/>
      <c r="V1350" s="84"/>
      <c r="W1350" s="84"/>
      <c r="X1350" s="84"/>
      <c r="Y1350" s="84"/>
      <c r="Z1350" s="84"/>
      <c r="AA1350" s="84"/>
    </row>
    <row r="1351" ht="15.75" customHeight="1">
      <c r="A1351" s="14" t="s">
        <v>17</v>
      </c>
      <c r="B1351" s="15" t="s">
        <v>16078</v>
      </c>
      <c r="C1351" s="14" t="s">
        <v>16345</v>
      </c>
      <c r="D1351" s="14" t="s">
        <v>16346</v>
      </c>
      <c r="E1351" s="26" t="str">
        <f t="shared" si="26"/>
        <v>http://dx.doi.org/10.1109/VISUAL.2005.1532783</v>
      </c>
      <c r="F1351" s="14">
        <v>95.0</v>
      </c>
      <c r="G1351" s="14">
        <v>102.0</v>
      </c>
      <c r="H1351" s="14" t="s">
        <v>28</v>
      </c>
      <c r="I1351" s="19" t="s">
        <v>16347</v>
      </c>
      <c r="J1351" s="19" t="s">
        <v>16348</v>
      </c>
      <c r="K1351" s="19" t="s">
        <v>16349</v>
      </c>
      <c r="L1351" s="19" t="s">
        <v>16350</v>
      </c>
      <c r="M1351" s="20" t="s">
        <v>16351</v>
      </c>
      <c r="N1351" s="44" t="s">
        <v>16352</v>
      </c>
      <c r="O1351" s="22">
        <v>100.0</v>
      </c>
      <c r="P1351" s="28">
        <v>18.0</v>
      </c>
      <c r="Q1351" s="28">
        <v>97.0</v>
      </c>
      <c r="R1351" s="84"/>
      <c r="S1351" s="84"/>
      <c r="T1351" s="84"/>
      <c r="U1351" s="84"/>
      <c r="V1351" s="84"/>
      <c r="W1351" s="84"/>
      <c r="X1351" s="84"/>
      <c r="Y1351" s="84"/>
      <c r="Z1351" s="84"/>
      <c r="AA1351" s="84"/>
    </row>
    <row r="1352" ht="15.75" customHeight="1">
      <c r="A1352" s="14" t="s">
        <v>17</v>
      </c>
      <c r="B1352" s="15" t="s">
        <v>16078</v>
      </c>
      <c r="C1352" s="14" t="s">
        <v>16353</v>
      </c>
      <c r="D1352" s="14" t="s">
        <v>16354</v>
      </c>
      <c r="E1352" s="26" t="str">
        <f t="shared" si="26"/>
        <v>http://dx.doi.org/10.1109/VISUAL.2005.1532784</v>
      </c>
      <c r="F1352" s="14">
        <v>103.0</v>
      </c>
      <c r="G1352" s="14">
        <v>110.0</v>
      </c>
      <c r="H1352" s="14" t="s">
        <v>28</v>
      </c>
      <c r="I1352" s="19" t="s">
        <v>16357</v>
      </c>
      <c r="J1352" s="19" t="s">
        <v>16358</v>
      </c>
      <c r="K1352" s="19" t="s">
        <v>16359</v>
      </c>
      <c r="L1352" s="19" t="s">
        <v>16360</v>
      </c>
      <c r="M1352" s="20"/>
      <c r="N1352" s="44" t="s">
        <v>16362</v>
      </c>
      <c r="O1352" s="22">
        <v>6.0</v>
      </c>
      <c r="P1352" s="28">
        <v>3.0</v>
      </c>
      <c r="Q1352" s="28">
        <v>18.0</v>
      </c>
      <c r="R1352" s="84"/>
      <c r="S1352" s="84"/>
      <c r="T1352" s="84"/>
      <c r="U1352" s="84"/>
      <c r="V1352" s="84"/>
      <c r="W1352" s="84"/>
      <c r="X1352" s="84"/>
      <c r="Y1352" s="84"/>
      <c r="Z1352" s="84"/>
      <c r="AA1352" s="84"/>
    </row>
    <row r="1353" ht="15.75" customHeight="1">
      <c r="A1353" s="14" t="s">
        <v>17</v>
      </c>
      <c r="B1353" s="15" t="s">
        <v>16078</v>
      </c>
      <c r="C1353" s="14" t="s">
        <v>16363</v>
      </c>
      <c r="D1353" s="14" t="s">
        <v>16364</v>
      </c>
      <c r="E1353" s="26" t="str">
        <f t="shared" si="26"/>
        <v>http://dx.doi.org/10.1109/VISUAL.2005.1532785</v>
      </c>
      <c r="F1353" s="14">
        <v>111.0</v>
      </c>
      <c r="G1353" s="14">
        <v>118.0</v>
      </c>
      <c r="H1353" s="14" t="s">
        <v>28</v>
      </c>
      <c r="I1353" s="19" t="s">
        <v>16365</v>
      </c>
      <c r="J1353" s="19" t="s">
        <v>16366</v>
      </c>
      <c r="K1353" s="19" t="s">
        <v>16367</v>
      </c>
      <c r="L1353" s="18"/>
      <c r="M1353" s="20"/>
      <c r="N1353" s="44" t="s">
        <v>16368</v>
      </c>
      <c r="O1353" s="22">
        <v>22.0</v>
      </c>
      <c r="P1353" s="28">
        <v>13.0</v>
      </c>
      <c r="Q1353" s="28">
        <v>32.0</v>
      </c>
      <c r="R1353" s="84"/>
      <c r="S1353" s="84"/>
      <c r="T1353" s="84"/>
      <c r="U1353" s="84"/>
      <c r="V1353" s="84"/>
      <c r="W1353" s="84"/>
      <c r="X1353" s="84"/>
      <c r="Y1353" s="84"/>
      <c r="Z1353" s="84"/>
      <c r="AA1353" s="84"/>
    </row>
    <row r="1354" ht="15.75" customHeight="1">
      <c r="A1354" s="14" t="s">
        <v>17</v>
      </c>
      <c r="B1354" s="15" t="s">
        <v>16078</v>
      </c>
      <c r="C1354" s="14" t="s">
        <v>16369</v>
      </c>
      <c r="D1354" s="14" t="s">
        <v>16370</v>
      </c>
      <c r="E1354" s="26" t="str">
        <f t="shared" si="26"/>
        <v>http://dx.doi.org/10.1109/VISUAL.2005.1532786</v>
      </c>
      <c r="F1354" s="14">
        <v>119.0</v>
      </c>
      <c r="G1354" s="14">
        <v>126.0</v>
      </c>
      <c r="H1354" s="14" t="s">
        <v>28</v>
      </c>
      <c r="I1354" s="19" t="s">
        <v>16372</v>
      </c>
      <c r="J1354" s="19" t="s">
        <v>16373</v>
      </c>
      <c r="K1354" s="19" t="s">
        <v>16374</v>
      </c>
      <c r="L1354" s="18"/>
      <c r="M1354" s="20" t="s">
        <v>5110</v>
      </c>
      <c r="N1354" s="44" t="s">
        <v>16376</v>
      </c>
      <c r="O1354" s="22">
        <v>17.0</v>
      </c>
      <c r="P1354" s="28">
        <v>5.0</v>
      </c>
      <c r="Q1354" s="28">
        <v>39.0</v>
      </c>
      <c r="R1354" s="84"/>
      <c r="S1354" s="84"/>
      <c r="T1354" s="84"/>
      <c r="U1354" s="84"/>
      <c r="V1354" s="84"/>
      <c r="W1354" s="84"/>
      <c r="X1354" s="84"/>
      <c r="Y1354" s="84"/>
      <c r="Z1354" s="84"/>
      <c r="AA1354" s="84"/>
    </row>
    <row r="1355" ht="15.75" customHeight="1">
      <c r="A1355" s="14" t="s">
        <v>17</v>
      </c>
      <c r="B1355" s="15" t="s">
        <v>16078</v>
      </c>
      <c r="C1355" s="14" t="s">
        <v>16377</v>
      </c>
      <c r="D1355" s="14" t="s">
        <v>16378</v>
      </c>
      <c r="E1355" s="26" t="str">
        <f t="shared" si="26"/>
        <v>http://dx.doi.org/10.1109/VISUAL.2005.1532787</v>
      </c>
      <c r="F1355" s="14">
        <v>127.0</v>
      </c>
      <c r="G1355" s="14">
        <v>134.0</v>
      </c>
      <c r="H1355" s="14" t="s">
        <v>28</v>
      </c>
      <c r="I1355" s="19" t="s">
        <v>16379</v>
      </c>
      <c r="J1355" s="19" t="s">
        <v>16380</v>
      </c>
      <c r="K1355" s="19" t="s">
        <v>16381</v>
      </c>
      <c r="L1355" s="19" t="s">
        <v>16382</v>
      </c>
      <c r="M1355" s="20" t="s">
        <v>16383</v>
      </c>
      <c r="N1355" s="44" t="s">
        <v>16384</v>
      </c>
      <c r="O1355" s="22">
        <v>55.0</v>
      </c>
      <c r="P1355" s="28">
        <v>6.0</v>
      </c>
      <c r="Q1355" s="28">
        <v>35.0</v>
      </c>
      <c r="R1355" s="84"/>
      <c r="S1355" s="84"/>
      <c r="T1355" s="84"/>
      <c r="U1355" s="84"/>
      <c r="V1355" s="84"/>
      <c r="W1355" s="84"/>
      <c r="X1355" s="84"/>
      <c r="Y1355" s="84"/>
      <c r="Z1355" s="84"/>
      <c r="AA1355" s="84"/>
    </row>
    <row r="1356" ht="15.75" customHeight="1">
      <c r="A1356" s="14" t="s">
        <v>17</v>
      </c>
      <c r="B1356" s="15" t="s">
        <v>16078</v>
      </c>
      <c r="C1356" s="14" t="s">
        <v>16385</v>
      </c>
      <c r="D1356" s="14" t="s">
        <v>16386</v>
      </c>
      <c r="E1356" s="26" t="str">
        <f t="shared" si="26"/>
        <v>http://dx.doi.org/10.1109/VISUAL.2005.1532788</v>
      </c>
      <c r="F1356" s="14">
        <v>135.0</v>
      </c>
      <c r="G1356" s="14">
        <v>142.0</v>
      </c>
      <c r="H1356" s="14" t="s">
        <v>28</v>
      </c>
      <c r="I1356" s="19" t="s">
        <v>16388</v>
      </c>
      <c r="J1356" s="19" t="s">
        <v>16389</v>
      </c>
      <c r="K1356" s="19" t="s">
        <v>16390</v>
      </c>
      <c r="L1356" s="19" t="s">
        <v>15754</v>
      </c>
      <c r="M1356" s="20" t="s">
        <v>16391</v>
      </c>
      <c r="N1356" s="44" t="s">
        <v>16392</v>
      </c>
      <c r="O1356" s="22">
        <v>341.0</v>
      </c>
      <c r="P1356" s="28">
        <v>40.0</v>
      </c>
      <c r="Q1356" s="28">
        <v>30.0</v>
      </c>
      <c r="R1356" s="84"/>
      <c r="S1356" s="84"/>
      <c r="T1356" s="84"/>
      <c r="U1356" s="84"/>
      <c r="V1356" s="84"/>
      <c r="W1356" s="84"/>
      <c r="X1356" s="84"/>
      <c r="Y1356" s="84"/>
      <c r="Z1356" s="84"/>
      <c r="AA1356" s="84"/>
    </row>
    <row r="1357" ht="15.75" customHeight="1">
      <c r="A1357" s="14" t="s">
        <v>17</v>
      </c>
      <c r="B1357" s="15" t="s">
        <v>16078</v>
      </c>
      <c r="C1357" s="14" t="s">
        <v>16394</v>
      </c>
      <c r="D1357" s="14" t="s">
        <v>16395</v>
      </c>
      <c r="E1357" s="26" t="str">
        <f t="shared" si="26"/>
        <v>http://dx.doi.org/10.1109/VISUAL.2005.1532789</v>
      </c>
      <c r="F1357" s="14">
        <v>143.0</v>
      </c>
      <c r="G1357" s="14">
        <v>150.0</v>
      </c>
      <c r="H1357" s="14" t="s">
        <v>28</v>
      </c>
      <c r="I1357" s="19" t="s">
        <v>16396</v>
      </c>
      <c r="J1357" s="19" t="s">
        <v>16397</v>
      </c>
      <c r="K1357" s="19" t="s">
        <v>16398</v>
      </c>
      <c r="L1357" s="19" t="s">
        <v>3225</v>
      </c>
      <c r="M1357" s="20"/>
      <c r="N1357" s="27"/>
      <c r="O1357" s="22">
        <v>50.0</v>
      </c>
      <c r="P1357" s="28">
        <v>6.0</v>
      </c>
      <c r="Q1357" s="28">
        <v>17.0</v>
      </c>
      <c r="R1357" s="84"/>
      <c r="S1357" s="84"/>
      <c r="T1357" s="84"/>
      <c r="U1357" s="84"/>
      <c r="V1357" s="84"/>
      <c r="W1357" s="84"/>
      <c r="X1357" s="84"/>
      <c r="Y1357" s="84"/>
      <c r="Z1357" s="84"/>
      <c r="AA1357" s="84"/>
    </row>
    <row r="1358" ht="15.75" customHeight="1">
      <c r="A1358" s="14" t="s">
        <v>17</v>
      </c>
      <c r="B1358" s="15" t="s">
        <v>16078</v>
      </c>
      <c r="C1358" s="14" t="s">
        <v>16399</v>
      </c>
      <c r="D1358" s="14" t="s">
        <v>16400</v>
      </c>
      <c r="E1358" s="26" t="str">
        <f t="shared" si="26"/>
        <v>http://dx.doi.org/10.1109/VISUAL.2005.1532790</v>
      </c>
      <c r="F1358" s="14">
        <v>151.0</v>
      </c>
      <c r="G1358" s="14">
        <v>158.0</v>
      </c>
      <c r="H1358" s="14" t="s">
        <v>28</v>
      </c>
      <c r="I1358" s="19" t="s">
        <v>16401</v>
      </c>
      <c r="J1358" s="19" t="s">
        <v>16402</v>
      </c>
      <c r="K1358" s="19" t="s">
        <v>16403</v>
      </c>
      <c r="L1358" s="19" t="s">
        <v>16404</v>
      </c>
      <c r="M1358" s="20"/>
      <c r="N1358" s="44" t="s">
        <v>16406</v>
      </c>
      <c r="O1358" s="22">
        <v>72.0</v>
      </c>
      <c r="P1358" s="28">
        <v>11.0</v>
      </c>
      <c r="Q1358" s="28">
        <v>21.0</v>
      </c>
      <c r="R1358" s="84"/>
      <c r="S1358" s="84"/>
      <c r="T1358" s="84"/>
      <c r="U1358" s="84"/>
      <c r="V1358" s="84"/>
      <c r="W1358" s="84"/>
      <c r="X1358" s="84"/>
      <c r="Y1358" s="84"/>
      <c r="Z1358" s="84"/>
      <c r="AA1358" s="84"/>
    </row>
    <row r="1359" ht="15.75" customHeight="1">
      <c r="A1359" s="14" t="s">
        <v>17</v>
      </c>
      <c r="B1359" s="15" t="s">
        <v>16078</v>
      </c>
      <c r="C1359" s="14" t="s">
        <v>16408</v>
      </c>
      <c r="D1359" s="14" t="s">
        <v>16409</v>
      </c>
      <c r="E1359" s="26" t="str">
        <f t="shared" si="26"/>
        <v>http://dx.doi.org/10.1109/VISUAL.2005.1532791</v>
      </c>
      <c r="F1359" s="14">
        <v>159.0</v>
      </c>
      <c r="G1359" s="14">
        <v>165.0</v>
      </c>
      <c r="H1359" s="14" t="s">
        <v>28</v>
      </c>
      <c r="I1359" s="19" t="s">
        <v>16410</v>
      </c>
      <c r="J1359" s="19" t="s">
        <v>16411</v>
      </c>
      <c r="K1359" s="19" t="s">
        <v>16412</v>
      </c>
      <c r="L1359" s="19" t="s">
        <v>16413</v>
      </c>
      <c r="M1359" s="20"/>
      <c r="N1359" s="44" t="s">
        <v>16414</v>
      </c>
      <c r="O1359" s="22">
        <v>1.0</v>
      </c>
      <c r="P1359" s="28">
        <v>1.0</v>
      </c>
      <c r="Q1359" s="28">
        <v>9.0</v>
      </c>
      <c r="R1359" s="84"/>
      <c r="S1359" s="84"/>
      <c r="T1359" s="84"/>
      <c r="U1359" s="84"/>
      <c r="V1359" s="84"/>
      <c r="W1359" s="84"/>
      <c r="X1359" s="84"/>
      <c r="Y1359" s="84"/>
      <c r="Z1359" s="84"/>
      <c r="AA1359" s="84"/>
    </row>
    <row r="1360" ht="15.75" customHeight="1">
      <c r="A1360" s="14" t="s">
        <v>17</v>
      </c>
      <c r="B1360" s="15" t="s">
        <v>16078</v>
      </c>
      <c r="C1360" s="14" t="s">
        <v>16415</v>
      </c>
      <c r="D1360" s="14" t="s">
        <v>16416</v>
      </c>
      <c r="E1360" s="26" t="str">
        <f t="shared" si="26"/>
        <v>http://dx.doi.org/10.1109/VISUAL.2005.1532792</v>
      </c>
      <c r="F1360" s="14">
        <v>167.0</v>
      </c>
      <c r="G1360" s="14">
        <v>174.0</v>
      </c>
      <c r="H1360" s="14" t="s">
        <v>28</v>
      </c>
      <c r="I1360" s="19" t="s">
        <v>16417</v>
      </c>
      <c r="J1360" s="19" t="s">
        <v>16418</v>
      </c>
      <c r="K1360" s="19" t="s">
        <v>16419</v>
      </c>
      <c r="L1360" s="19" t="s">
        <v>16421</v>
      </c>
      <c r="M1360" s="20" t="s">
        <v>16422</v>
      </c>
      <c r="N1360" s="44" t="s">
        <v>16424</v>
      </c>
      <c r="O1360" s="22">
        <v>114.0</v>
      </c>
      <c r="P1360" s="28">
        <v>20.0</v>
      </c>
      <c r="Q1360" s="28">
        <v>37.0</v>
      </c>
      <c r="R1360" s="84"/>
      <c r="S1360" s="84"/>
      <c r="T1360" s="84"/>
      <c r="U1360" s="84"/>
      <c r="V1360" s="84"/>
      <c r="W1360" s="84"/>
      <c r="X1360" s="84"/>
      <c r="Y1360" s="84"/>
      <c r="Z1360" s="84"/>
      <c r="AA1360" s="84"/>
    </row>
    <row r="1361" ht="15.75" customHeight="1">
      <c r="A1361" s="14" t="s">
        <v>17</v>
      </c>
      <c r="B1361" s="15" t="s">
        <v>16078</v>
      </c>
      <c r="C1361" s="14" t="s">
        <v>16425</v>
      </c>
      <c r="D1361" s="14" t="s">
        <v>16426</v>
      </c>
      <c r="E1361" s="26" t="str">
        <f t="shared" si="26"/>
        <v>http://dx.doi.org/10.1109/VISUAL.2005.1532793</v>
      </c>
      <c r="F1361" s="14">
        <v>175.0</v>
      </c>
      <c r="G1361" s="14">
        <v>182.0</v>
      </c>
      <c r="H1361" s="14" t="s">
        <v>28</v>
      </c>
      <c r="I1361" s="19" t="s">
        <v>16427</v>
      </c>
      <c r="J1361" s="19" t="s">
        <v>16428</v>
      </c>
      <c r="K1361" s="19" t="s">
        <v>16429</v>
      </c>
      <c r="L1361" s="19" t="s">
        <v>16430</v>
      </c>
      <c r="M1361" s="20" t="s">
        <v>16431</v>
      </c>
      <c r="N1361" s="44" t="s">
        <v>16432</v>
      </c>
      <c r="O1361" s="22">
        <v>19.0</v>
      </c>
      <c r="P1361" s="28">
        <v>1.0</v>
      </c>
      <c r="Q1361" s="28">
        <v>40.0</v>
      </c>
      <c r="R1361" s="84"/>
      <c r="S1361" s="84"/>
      <c r="T1361" s="84"/>
      <c r="U1361" s="84"/>
      <c r="V1361" s="84"/>
      <c r="W1361" s="84"/>
      <c r="X1361" s="84"/>
      <c r="Y1361" s="84"/>
      <c r="Z1361" s="84"/>
      <c r="AA1361" s="84"/>
    </row>
    <row r="1362" ht="15.75" customHeight="1">
      <c r="A1362" s="14" t="s">
        <v>17</v>
      </c>
      <c r="B1362" s="15" t="s">
        <v>16078</v>
      </c>
      <c r="C1362" s="14" t="s">
        <v>16433</v>
      </c>
      <c r="D1362" s="14" t="s">
        <v>16434</v>
      </c>
      <c r="E1362" s="26" t="str">
        <f t="shared" si="26"/>
        <v>http://dx.doi.org/10.1109/VISUAL.2005.1532794</v>
      </c>
      <c r="F1362" s="14">
        <v>183.0</v>
      </c>
      <c r="G1362" s="14">
        <v>189.0</v>
      </c>
      <c r="H1362" s="14" t="s">
        <v>28</v>
      </c>
      <c r="I1362" s="19" t="s">
        <v>16435</v>
      </c>
      <c r="J1362" s="19" t="s">
        <v>16436</v>
      </c>
      <c r="K1362" s="19" t="s">
        <v>16437</v>
      </c>
      <c r="L1362" s="19" t="s">
        <v>16439</v>
      </c>
      <c r="M1362" s="20" t="s">
        <v>16440</v>
      </c>
      <c r="N1362" s="44" t="s">
        <v>16441</v>
      </c>
      <c r="O1362" s="22">
        <v>45.0</v>
      </c>
      <c r="P1362" s="28">
        <v>10.0</v>
      </c>
      <c r="Q1362" s="28">
        <v>23.0</v>
      </c>
      <c r="R1362" s="84"/>
      <c r="S1362" s="84"/>
      <c r="T1362" s="84"/>
      <c r="U1362" s="84"/>
      <c r="V1362" s="84"/>
      <c r="W1362" s="84"/>
      <c r="X1362" s="84"/>
      <c r="Y1362" s="84"/>
      <c r="Z1362" s="84"/>
      <c r="AA1362" s="84"/>
    </row>
    <row r="1363" ht="15.75" customHeight="1">
      <c r="A1363" s="14" t="s">
        <v>17</v>
      </c>
      <c r="B1363" s="15" t="s">
        <v>16078</v>
      </c>
      <c r="C1363" s="14" t="s">
        <v>16442</v>
      </c>
      <c r="D1363" s="14" t="s">
        <v>16443</v>
      </c>
      <c r="E1363" s="26" t="str">
        <f t="shared" si="26"/>
        <v>http://dx.doi.org/10.1109/VISUAL.2005.1532795</v>
      </c>
      <c r="F1363" s="14">
        <v>191.0</v>
      </c>
      <c r="G1363" s="14">
        <v>198.0</v>
      </c>
      <c r="H1363" s="14" t="s">
        <v>28</v>
      </c>
      <c r="I1363" s="19" t="s">
        <v>16444</v>
      </c>
      <c r="J1363" s="19" t="s">
        <v>16445</v>
      </c>
      <c r="K1363" s="19" t="s">
        <v>16446</v>
      </c>
      <c r="L1363" s="19" t="s">
        <v>631</v>
      </c>
      <c r="M1363" s="20" t="s">
        <v>16447</v>
      </c>
      <c r="N1363" s="44" t="s">
        <v>16448</v>
      </c>
      <c r="O1363" s="22">
        <v>225.0</v>
      </c>
      <c r="P1363" s="28">
        <v>41.0</v>
      </c>
      <c r="Q1363" s="28">
        <v>13.0</v>
      </c>
      <c r="R1363" s="84"/>
      <c r="S1363" s="84"/>
      <c r="T1363" s="84"/>
      <c r="U1363" s="84"/>
      <c r="V1363" s="84"/>
      <c r="W1363" s="84"/>
      <c r="X1363" s="84"/>
      <c r="Y1363" s="84"/>
      <c r="Z1363" s="84"/>
      <c r="AA1363" s="84"/>
    </row>
    <row r="1364" ht="15.75" customHeight="1">
      <c r="A1364" s="14" t="s">
        <v>17</v>
      </c>
      <c r="B1364" s="15" t="s">
        <v>16078</v>
      </c>
      <c r="C1364" s="14" t="s">
        <v>16449</v>
      </c>
      <c r="D1364" s="14" t="s">
        <v>16450</v>
      </c>
      <c r="E1364" s="26" t="str">
        <f t="shared" si="26"/>
        <v>http://dx.doi.org/10.1109/VISUAL.2005.1532796</v>
      </c>
      <c r="F1364" s="14">
        <v>199.0</v>
      </c>
      <c r="G1364" s="14">
        <v>206.0</v>
      </c>
      <c r="H1364" s="14" t="s">
        <v>28</v>
      </c>
      <c r="I1364" s="19" t="s">
        <v>16473</v>
      </c>
      <c r="J1364" s="19" t="s">
        <v>16704</v>
      </c>
      <c r="K1364" s="19" t="s">
        <v>16705</v>
      </c>
      <c r="L1364" s="19" t="s">
        <v>16706</v>
      </c>
      <c r="M1364" s="20" t="s">
        <v>16476</v>
      </c>
      <c r="N1364" s="44" t="s">
        <v>16477</v>
      </c>
      <c r="O1364" s="22">
        <v>43.0</v>
      </c>
      <c r="P1364" s="28">
        <v>4.0</v>
      </c>
      <c r="Q1364" s="28">
        <v>41.0</v>
      </c>
      <c r="R1364" s="84"/>
      <c r="S1364" s="84"/>
      <c r="T1364" s="84"/>
      <c r="U1364" s="84"/>
      <c r="V1364" s="84"/>
      <c r="W1364" s="84"/>
      <c r="X1364" s="84"/>
      <c r="Y1364" s="84"/>
      <c r="Z1364" s="84"/>
      <c r="AA1364" s="84"/>
    </row>
    <row r="1365" ht="15.75" customHeight="1">
      <c r="A1365" s="14" t="s">
        <v>17</v>
      </c>
      <c r="B1365" s="15" t="s">
        <v>16078</v>
      </c>
      <c r="C1365" s="14" t="s">
        <v>16478</v>
      </c>
      <c r="D1365" s="14" t="s">
        <v>16479</v>
      </c>
      <c r="E1365" s="26" t="str">
        <f t="shared" si="26"/>
        <v>http://dx.doi.org/10.1109/VISUAL.2005.1532797</v>
      </c>
      <c r="F1365" s="14">
        <v>207.0</v>
      </c>
      <c r="G1365" s="14">
        <v>214.0</v>
      </c>
      <c r="H1365" s="14" t="s">
        <v>28</v>
      </c>
      <c r="I1365" s="19" t="s">
        <v>16481</v>
      </c>
      <c r="J1365" s="19" t="s">
        <v>13338</v>
      </c>
      <c r="K1365" s="19" t="s">
        <v>15088</v>
      </c>
      <c r="L1365" s="19" t="s">
        <v>16714</v>
      </c>
      <c r="M1365" s="20" t="s">
        <v>16483</v>
      </c>
      <c r="N1365" s="27"/>
      <c r="O1365" s="22">
        <v>87.0</v>
      </c>
      <c r="P1365" s="28">
        <v>9.0</v>
      </c>
      <c r="Q1365" s="28">
        <v>25.0</v>
      </c>
      <c r="R1365" s="84"/>
      <c r="S1365" s="84"/>
      <c r="T1365" s="84"/>
      <c r="U1365" s="84"/>
      <c r="V1365" s="84"/>
      <c r="W1365" s="84"/>
      <c r="X1365" s="84"/>
      <c r="Y1365" s="84"/>
      <c r="Z1365" s="84"/>
      <c r="AA1365" s="84"/>
    </row>
    <row r="1366" ht="15.75" customHeight="1">
      <c r="A1366" s="14" t="s">
        <v>17</v>
      </c>
      <c r="B1366" s="15" t="s">
        <v>16078</v>
      </c>
      <c r="C1366" s="14" t="s">
        <v>16484</v>
      </c>
      <c r="D1366" s="14" t="s">
        <v>16485</v>
      </c>
      <c r="E1366" s="26" t="str">
        <f t="shared" si="26"/>
        <v>http://dx.doi.org/10.1109/VISUAL.2005.1532798</v>
      </c>
      <c r="F1366" s="14">
        <v>215.0</v>
      </c>
      <c r="G1366" s="14">
        <v>222.0</v>
      </c>
      <c r="H1366" s="14" t="s">
        <v>28</v>
      </c>
      <c r="I1366" s="19" t="s">
        <v>16487</v>
      </c>
      <c r="J1366" s="19" t="s">
        <v>16717</v>
      </c>
      <c r="K1366" s="19" t="s">
        <v>16721</v>
      </c>
      <c r="L1366" s="19" t="s">
        <v>16722</v>
      </c>
      <c r="M1366" s="20" t="s">
        <v>16490</v>
      </c>
      <c r="N1366" s="44" t="s">
        <v>16491</v>
      </c>
      <c r="O1366" s="22">
        <v>32.0</v>
      </c>
      <c r="P1366" s="28">
        <v>8.0</v>
      </c>
      <c r="Q1366" s="28">
        <v>24.0</v>
      </c>
      <c r="R1366" s="84"/>
      <c r="S1366" s="84"/>
      <c r="T1366" s="84"/>
      <c r="U1366" s="84"/>
      <c r="V1366" s="84"/>
      <c r="W1366" s="84"/>
      <c r="X1366" s="84"/>
      <c r="Y1366" s="84"/>
      <c r="Z1366" s="84"/>
      <c r="AA1366" s="84"/>
    </row>
    <row r="1367" ht="15.75" customHeight="1">
      <c r="A1367" s="14" t="s">
        <v>17</v>
      </c>
      <c r="B1367" s="15" t="s">
        <v>16078</v>
      </c>
      <c r="C1367" s="14" t="s">
        <v>16492</v>
      </c>
      <c r="D1367" s="14" t="s">
        <v>16493</v>
      </c>
      <c r="E1367" s="26" t="str">
        <f t="shared" si="26"/>
        <v>http://dx.doi.org/10.1109/VISUAL.2005.1532799</v>
      </c>
      <c r="F1367" s="14">
        <v>223.0</v>
      </c>
      <c r="G1367" s="14">
        <v>230.0</v>
      </c>
      <c r="H1367" s="14" t="s">
        <v>28</v>
      </c>
      <c r="I1367" s="19" t="s">
        <v>16495</v>
      </c>
      <c r="J1367" s="19" t="s">
        <v>16496</v>
      </c>
      <c r="K1367" s="19" t="s">
        <v>16726</v>
      </c>
      <c r="L1367" s="19" t="s">
        <v>16727</v>
      </c>
      <c r="M1367" s="20" t="s">
        <v>16498</v>
      </c>
      <c r="N1367" s="44" t="s">
        <v>16499</v>
      </c>
      <c r="O1367" s="22">
        <v>60.0</v>
      </c>
      <c r="P1367" s="28">
        <v>5.0</v>
      </c>
      <c r="Q1367" s="28">
        <v>24.0</v>
      </c>
      <c r="R1367" s="84"/>
      <c r="S1367" s="84"/>
      <c r="T1367" s="84"/>
      <c r="U1367" s="84"/>
      <c r="V1367" s="84"/>
      <c r="W1367" s="84"/>
      <c r="X1367" s="84"/>
      <c r="Y1367" s="84"/>
      <c r="Z1367" s="84"/>
      <c r="AA1367" s="84"/>
    </row>
    <row r="1368" ht="15.75" customHeight="1">
      <c r="A1368" s="14" t="s">
        <v>17</v>
      </c>
      <c r="B1368" s="15" t="s">
        <v>16078</v>
      </c>
      <c r="C1368" s="14" t="s">
        <v>16500</v>
      </c>
      <c r="D1368" s="14" t="s">
        <v>16501</v>
      </c>
      <c r="E1368" s="26" t="str">
        <f t="shared" si="26"/>
        <v>http://dx.doi.org/10.1109/VISUAL.2005.1532800</v>
      </c>
      <c r="F1368" s="14">
        <v>231.0</v>
      </c>
      <c r="G1368" s="14">
        <v>238.0</v>
      </c>
      <c r="H1368" s="14" t="s">
        <v>28</v>
      </c>
      <c r="I1368" s="19" t="s">
        <v>16503</v>
      </c>
      <c r="J1368" s="19" t="s">
        <v>16504</v>
      </c>
      <c r="K1368" s="19" t="s">
        <v>16736</v>
      </c>
      <c r="L1368" s="19" t="s">
        <v>6028</v>
      </c>
      <c r="M1368" s="20" t="s">
        <v>16505</v>
      </c>
      <c r="N1368" s="27"/>
      <c r="O1368" s="22">
        <v>218.0</v>
      </c>
      <c r="P1368" s="28">
        <v>31.0</v>
      </c>
      <c r="Q1368" s="28">
        <v>21.0</v>
      </c>
      <c r="R1368" s="84"/>
      <c r="S1368" s="84"/>
      <c r="T1368" s="84"/>
      <c r="U1368" s="84"/>
      <c r="V1368" s="84"/>
      <c r="W1368" s="84"/>
      <c r="X1368" s="84"/>
      <c r="Y1368" s="84"/>
      <c r="Z1368" s="84"/>
      <c r="AA1368" s="84"/>
    </row>
    <row r="1369" ht="15.75" customHeight="1">
      <c r="A1369" s="14" t="s">
        <v>17</v>
      </c>
      <c r="B1369" s="15" t="s">
        <v>16078</v>
      </c>
      <c r="C1369" s="14" t="s">
        <v>16506</v>
      </c>
      <c r="D1369" s="14" t="s">
        <v>16507</v>
      </c>
      <c r="E1369" s="26" t="str">
        <f t="shared" si="26"/>
        <v>http://dx.doi.org/10.1109/VISUAL.2005.1532801</v>
      </c>
      <c r="F1369" s="14">
        <v>239.0</v>
      </c>
      <c r="G1369" s="14">
        <v>246.0</v>
      </c>
      <c r="H1369" s="14" t="s">
        <v>28</v>
      </c>
      <c r="I1369" s="19" t="s">
        <v>16509</v>
      </c>
      <c r="J1369" s="19" t="s">
        <v>4101</v>
      </c>
      <c r="K1369" s="19" t="s">
        <v>7355</v>
      </c>
      <c r="L1369" s="19" t="s">
        <v>16737</v>
      </c>
      <c r="M1369" s="20" t="s">
        <v>16511</v>
      </c>
      <c r="N1369" s="44" t="s">
        <v>16512</v>
      </c>
      <c r="O1369" s="22">
        <v>64.0</v>
      </c>
      <c r="P1369" s="28">
        <v>5.0</v>
      </c>
      <c r="Q1369" s="28">
        <v>40.0</v>
      </c>
      <c r="R1369" s="84"/>
      <c r="S1369" s="84"/>
      <c r="T1369" s="84"/>
      <c r="U1369" s="84"/>
      <c r="V1369" s="84"/>
      <c r="W1369" s="84"/>
      <c r="X1369" s="84"/>
      <c r="Y1369" s="84"/>
      <c r="Z1369" s="84"/>
      <c r="AA1369" s="84"/>
    </row>
    <row r="1370" ht="15.75" customHeight="1">
      <c r="A1370" s="14" t="s">
        <v>17</v>
      </c>
      <c r="B1370" s="15" t="s">
        <v>16078</v>
      </c>
      <c r="C1370" s="14" t="s">
        <v>16513</v>
      </c>
      <c r="D1370" s="14" t="s">
        <v>16514</v>
      </c>
      <c r="E1370" s="26" t="str">
        <f t="shared" si="26"/>
        <v>http://dx.doi.org/10.1109/VISUAL.2005.1532802</v>
      </c>
      <c r="F1370" s="14">
        <v>247.0</v>
      </c>
      <c r="G1370" s="14">
        <v>254.0</v>
      </c>
      <c r="H1370" s="14" t="s">
        <v>28</v>
      </c>
      <c r="I1370" s="19" t="s">
        <v>16516</v>
      </c>
      <c r="J1370" s="19" t="s">
        <v>16746</v>
      </c>
      <c r="K1370" s="19" t="s">
        <v>16747</v>
      </c>
      <c r="L1370" s="18"/>
      <c r="M1370" s="20" t="s">
        <v>16518</v>
      </c>
      <c r="N1370" s="44" t="s">
        <v>16519</v>
      </c>
      <c r="O1370" s="22">
        <v>31.0</v>
      </c>
      <c r="P1370" s="28">
        <v>2.0</v>
      </c>
      <c r="Q1370" s="28">
        <v>36.0</v>
      </c>
      <c r="R1370" s="84"/>
      <c r="S1370" s="84"/>
      <c r="T1370" s="84"/>
      <c r="U1370" s="84"/>
      <c r="V1370" s="84"/>
      <c r="W1370" s="84"/>
      <c r="X1370" s="84"/>
      <c r="Y1370" s="84"/>
      <c r="Z1370" s="84"/>
      <c r="AA1370" s="84"/>
    </row>
    <row r="1371" ht="15.75" customHeight="1">
      <c r="A1371" s="14" t="s">
        <v>17</v>
      </c>
      <c r="B1371" s="15" t="s">
        <v>16078</v>
      </c>
      <c r="C1371" s="14" t="s">
        <v>16520</v>
      </c>
      <c r="D1371" s="14" t="s">
        <v>16521</v>
      </c>
      <c r="E1371" s="26" t="str">
        <f t="shared" si="26"/>
        <v>http://dx.doi.org/10.1109/VISUAL.2005.1532803</v>
      </c>
      <c r="F1371" s="14">
        <v>255.0</v>
      </c>
      <c r="G1371" s="14">
        <v>262.0</v>
      </c>
      <c r="H1371" s="14" t="s">
        <v>28</v>
      </c>
      <c r="I1371" s="19" t="s">
        <v>16523</v>
      </c>
      <c r="J1371" s="19" t="s">
        <v>16524</v>
      </c>
      <c r="K1371" s="19" t="s">
        <v>16748</v>
      </c>
      <c r="L1371" s="18"/>
      <c r="M1371" s="20" t="s">
        <v>16525</v>
      </c>
      <c r="N1371" s="44" t="s">
        <v>16526</v>
      </c>
      <c r="O1371" s="22">
        <v>50.0</v>
      </c>
      <c r="P1371" s="28">
        <v>10.0</v>
      </c>
      <c r="Q1371" s="28">
        <v>32.0</v>
      </c>
      <c r="R1371" s="84"/>
      <c r="S1371" s="84"/>
      <c r="T1371" s="84"/>
      <c r="U1371" s="84"/>
      <c r="V1371" s="84"/>
      <c r="W1371" s="84"/>
      <c r="X1371" s="84"/>
      <c r="Y1371" s="84"/>
      <c r="Z1371" s="84"/>
      <c r="AA1371" s="84"/>
    </row>
    <row r="1372" ht="15.75" customHeight="1">
      <c r="A1372" s="14" t="s">
        <v>17</v>
      </c>
      <c r="B1372" s="15" t="s">
        <v>16078</v>
      </c>
      <c r="C1372" s="14" t="s">
        <v>16527</v>
      </c>
      <c r="D1372" s="14" t="s">
        <v>16528</v>
      </c>
      <c r="E1372" s="26" t="str">
        <f t="shared" si="26"/>
        <v>http://dx.doi.org/10.1109/VISUAL.2005.1532804</v>
      </c>
      <c r="F1372" s="14">
        <v>263.0</v>
      </c>
      <c r="G1372" s="14">
        <v>270.0</v>
      </c>
      <c r="H1372" s="14" t="s">
        <v>28</v>
      </c>
      <c r="I1372" s="19" t="s">
        <v>16530</v>
      </c>
      <c r="J1372" s="19" t="s">
        <v>16531</v>
      </c>
      <c r="K1372" s="19" t="s">
        <v>16756</v>
      </c>
      <c r="L1372" s="19" t="s">
        <v>873</v>
      </c>
      <c r="M1372" s="20" t="s">
        <v>2387</v>
      </c>
      <c r="N1372" s="44" t="s">
        <v>16532</v>
      </c>
      <c r="O1372" s="22">
        <v>50.0</v>
      </c>
      <c r="P1372" s="28">
        <v>2.0</v>
      </c>
      <c r="Q1372" s="28">
        <v>31.0</v>
      </c>
      <c r="R1372" s="84"/>
      <c r="S1372" s="84"/>
      <c r="T1372" s="84"/>
      <c r="U1372" s="84"/>
      <c r="V1372" s="84"/>
      <c r="W1372" s="84"/>
      <c r="X1372" s="84"/>
      <c r="Y1372" s="84"/>
      <c r="Z1372" s="84"/>
      <c r="AA1372" s="84"/>
    </row>
    <row r="1373" ht="15.75" customHeight="1">
      <c r="A1373" s="14" t="s">
        <v>17</v>
      </c>
      <c r="B1373" s="15" t="s">
        <v>16078</v>
      </c>
      <c r="C1373" s="14" t="s">
        <v>16533</v>
      </c>
      <c r="D1373" s="14" t="s">
        <v>16534</v>
      </c>
      <c r="E1373" s="26" t="str">
        <f t="shared" si="26"/>
        <v>http://dx.doi.org/10.1109/VISUAL.2005.1532805</v>
      </c>
      <c r="F1373" s="14">
        <v>271.0</v>
      </c>
      <c r="G1373" s="14">
        <v>278.0</v>
      </c>
      <c r="H1373" s="14" t="s">
        <v>28</v>
      </c>
      <c r="I1373" s="19" t="s">
        <v>16536</v>
      </c>
      <c r="J1373" s="19" t="s">
        <v>16761</v>
      </c>
      <c r="K1373" s="19" t="s">
        <v>16763</v>
      </c>
      <c r="L1373" s="19" t="s">
        <v>16765</v>
      </c>
      <c r="M1373" s="20" t="s">
        <v>16539</v>
      </c>
      <c r="N1373" s="44" t="s">
        <v>16540</v>
      </c>
      <c r="O1373" s="22">
        <v>34.0</v>
      </c>
      <c r="P1373" s="28">
        <v>1.0</v>
      </c>
      <c r="Q1373" s="28">
        <v>27.0</v>
      </c>
      <c r="R1373" s="84"/>
      <c r="S1373" s="84"/>
      <c r="T1373" s="84"/>
      <c r="U1373" s="84"/>
      <c r="V1373" s="84"/>
      <c r="W1373" s="84"/>
      <c r="X1373" s="84"/>
      <c r="Y1373" s="84"/>
      <c r="Z1373" s="84"/>
      <c r="AA1373" s="84"/>
    </row>
    <row r="1374" ht="15.75" customHeight="1">
      <c r="A1374" s="14" t="s">
        <v>17</v>
      </c>
      <c r="B1374" s="15" t="s">
        <v>16078</v>
      </c>
      <c r="C1374" s="14" t="s">
        <v>16541</v>
      </c>
      <c r="D1374" s="14" t="s">
        <v>16542</v>
      </c>
      <c r="E1374" s="26" t="str">
        <f t="shared" si="26"/>
        <v>http://dx.doi.org/10.1109/VISUAL.2005.1532806</v>
      </c>
      <c r="F1374" s="14">
        <v>279.0</v>
      </c>
      <c r="G1374" s="14">
        <v>285.0</v>
      </c>
      <c r="H1374" s="14" t="s">
        <v>28</v>
      </c>
      <c r="I1374" s="19" t="s">
        <v>16544</v>
      </c>
      <c r="J1374" s="19" t="s">
        <v>16545</v>
      </c>
      <c r="K1374" s="19" t="s">
        <v>16766</v>
      </c>
      <c r="L1374" s="19" t="s">
        <v>16767</v>
      </c>
      <c r="M1374" s="20" t="s">
        <v>16547</v>
      </c>
      <c r="N1374" s="44" t="s">
        <v>16548</v>
      </c>
      <c r="O1374" s="22">
        <v>24.0</v>
      </c>
      <c r="P1374" s="28">
        <v>5.0</v>
      </c>
      <c r="Q1374" s="28">
        <v>20.0</v>
      </c>
      <c r="R1374" s="84"/>
      <c r="S1374" s="84"/>
      <c r="T1374" s="84"/>
      <c r="U1374" s="84"/>
      <c r="V1374" s="84"/>
      <c r="W1374" s="84"/>
      <c r="X1374" s="84"/>
      <c r="Y1374" s="84"/>
      <c r="Z1374" s="84"/>
      <c r="AA1374" s="84"/>
    </row>
    <row r="1375" ht="15.75" customHeight="1">
      <c r="A1375" s="14" t="s">
        <v>17</v>
      </c>
      <c r="B1375" s="15" t="s">
        <v>16078</v>
      </c>
      <c r="C1375" s="14" t="s">
        <v>16549</v>
      </c>
      <c r="D1375" s="14" t="s">
        <v>16550</v>
      </c>
      <c r="E1375" s="26" t="str">
        <f t="shared" si="26"/>
        <v>http://dx.doi.org/10.1109/VISUAL.2005.1532807</v>
      </c>
      <c r="F1375" s="14">
        <v>287.0</v>
      </c>
      <c r="G1375" s="14">
        <v>294.0</v>
      </c>
      <c r="H1375" s="14" t="s">
        <v>28</v>
      </c>
      <c r="I1375" s="19" t="s">
        <v>16552</v>
      </c>
      <c r="J1375" s="19" t="s">
        <v>16553</v>
      </c>
      <c r="K1375" s="19" t="s">
        <v>16776</v>
      </c>
      <c r="L1375" s="19" t="s">
        <v>1633</v>
      </c>
      <c r="M1375" s="20" t="s">
        <v>16555</v>
      </c>
      <c r="N1375" s="44" t="s">
        <v>16556</v>
      </c>
      <c r="O1375" s="22">
        <v>98.0</v>
      </c>
      <c r="P1375" s="28">
        <v>22.0</v>
      </c>
      <c r="Q1375" s="28">
        <v>27.0</v>
      </c>
      <c r="R1375" s="84"/>
      <c r="S1375" s="84"/>
      <c r="T1375" s="84"/>
      <c r="U1375" s="84"/>
      <c r="V1375" s="84"/>
      <c r="W1375" s="84"/>
      <c r="X1375" s="84"/>
      <c r="Y1375" s="84"/>
      <c r="Z1375" s="84"/>
      <c r="AA1375" s="84"/>
    </row>
    <row r="1376" ht="15.75" customHeight="1">
      <c r="A1376" s="14" t="s">
        <v>17</v>
      </c>
      <c r="B1376" s="15" t="s">
        <v>16078</v>
      </c>
      <c r="C1376" s="14" t="s">
        <v>16557</v>
      </c>
      <c r="D1376" s="14" t="s">
        <v>16558</v>
      </c>
      <c r="E1376" s="26" t="str">
        <f t="shared" si="26"/>
        <v>http://dx.doi.org/10.1109/VISUAL.2005.1532808</v>
      </c>
      <c r="F1376" s="14">
        <v>295.0</v>
      </c>
      <c r="G1376" s="14">
        <v>302.0</v>
      </c>
      <c r="H1376" s="14" t="s">
        <v>28</v>
      </c>
      <c r="I1376" s="19" t="s">
        <v>16560</v>
      </c>
      <c r="J1376" s="19" t="s">
        <v>16561</v>
      </c>
      <c r="K1376" s="19" t="s">
        <v>16784</v>
      </c>
      <c r="L1376" s="18"/>
      <c r="M1376" s="20" t="s">
        <v>16562</v>
      </c>
      <c r="N1376" s="44" t="s">
        <v>16563</v>
      </c>
      <c r="O1376" s="22">
        <v>19.0</v>
      </c>
      <c r="P1376" s="28">
        <v>2.0</v>
      </c>
      <c r="Q1376" s="28">
        <v>12.0</v>
      </c>
      <c r="R1376" s="84"/>
      <c r="S1376" s="84"/>
      <c r="T1376" s="84"/>
      <c r="U1376" s="84"/>
      <c r="V1376" s="84"/>
      <c r="W1376" s="84"/>
      <c r="X1376" s="84"/>
      <c r="Y1376" s="84"/>
      <c r="Z1376" s="84"/>
      <c r="AA1376" s="84"/>
    </row>
    <row r="1377" ht="15.75" customHeight="1">
      <c r="A1377" s="14" t="s">
        <v>17</v>
      </c>
      <c r="B1377" s="15" t="s">
        <v>16078</v>
      </c>
      <c r="C1377" s="14" t="s">
        <v>16564</v>
      </c>
      <c r="D1377" s="14" t="s">
        <v>16565</v>
      </c>
      <c r="E1377" s="26" t="str">
        <f t="shared" si="26"/>
        <v>http://dx.doi.org/10.1109/VISUAL.2005.1532809</v>
      </c>
      <c r="F1377" s="14">
        <v>303.0</v>
      </c>
      <c r="G1377" s="14">
        <v>310.0</v>
      </c>
      <c r="H1377" s="14" t="s">
        <v>28</v>
      </c>
      <c r="I1377" s="19" t="s">
        <v>16567</v>
      </c>
      <c r="J1377" s="19" t="s">
        <v>16568</v>
      </c>
      <c r="K1377" s="19" t="s">
        <v>16785</v>
      </c>
      <c r="L1377" s="19" t="s">
        <v>16786</v>
      </c>
      <c r="M1377" s="20" t="s">
        <v>16570</v>
      </c>
      <c r="N1377" s="44" t="s">
        <v>16571</v>
      </c>
      <c r="O1377" s="22">
        <v>50.0</v>
      </c>
      <c r="P1377" s="28">
        <v>6.0</v>
      </c>
      <c r="Q1377" s="28">
        <v>18.0</v>
      </c>
      <c r="R1377" s="84"/>
      <c r="S1377" s="84"/>
      <c r="T1377" s="84"/>
      <c r="U1377" s="84"/>
      <c r="V1377" s="84"/>
      <c r="W1377" s="84"/>
      <c r="X1377" s="84"/>
      <c r="Y1377" s="84"/>
      <c r="Z1377" s="84"/>
      <c r="AA1377" s="84"/>
    </row>
    <row r="1378" ht="15.75" customHeight="1">
      <c r="A1378" s="14" t="s">
        <v>17</v>
      </c>
      <c r="B1378" s="15" t="s">
        <v>16078</v>
      </c>
      <c r="C1378" s="14" t="s">
        <v>16572</v>
      </c>
      <c r="D1378" s="14" t="s">
        <v>16573</v>
      </c>
      <c r="E1378" s="26" t="str">
        <f t="shared" si="26"/>
        <v>http://dx.doi.org/10.1109/VISUAL.2005.1532810</v>
      </c>
      <c r="F1378" s="14">
        <v>311.0</v>
      </c>
      <c r="G1378" s="14">
        <v>318.0</v>
      </c>
      <c r="H1378" s="14" t="s">
        <v>28</v>
      </c>
      <c r="I1378" s="19" t="s">
        <v>16575</v>
      </c>
      <c r="J1378" s="19" t="s">
        <v>16795</v>
      </c>
      <c r="K1378" s="19" t="s">
        <v>16796</v>
      </c>
      <c r="L1378" s="19" t="s">
        <v>16797</v>
      </c>
      <c r="M1378" s="20" t="s">
        <v>16578</v>
      </c>
      <c r="N1378" s="44" t="s">
        <v>16579</v>
      </c>
      <c r="O1378" s="22">
        <v>50.0</v>
      </c>
      <c r="P1378" s="28">
        <v>9.0</v>
      </c>
      <c r="Q1378" s="28">
        <v>31.0</v>
      </c>
      <c r="R1378" s="84"/>
      <c r="S1378" s="84"/>
      <c r="T1378" s="84"/>
      <c r="U1378" s="84"/>
      <c r="V1378" s="84"/>
      <c r="W1378" s="84"/>
      <c r="X1378" s="84"/>
      <c r="Y1378" s="84"/>
      <c r="Z1378" s="84"/>
      <c r="AA1378" s="84"/>
    </row>
    <row r="1379" ht="15.75" customHeight="1">
      <c r="A1379" s="14" t="s">
        <v>17</v>
      </c>
      <c r="B1379" s="15" t="s">
        <v>16078</v>
      </c>
      <c r="C1379" s="14" t="s">
        <v>16580</v>
      </c>
      <c r="D1379" s="14" t="s">
        <v>16581</v>
      </c>
      <c r="E1379" s="26" t="str">
        <f t="shared" si="26"/>
        <v>http://dx.doi.org/10.1109/VISUAL.2005.1532811</v>
      </c>
      <c r="F1379" s="14">
        <v>319.0</v>
      </c>
      <c r="G1379" s="14">
        <v>326.0</v>
      </c>
      <c r="H1379" s="14" t="s">
        <v>28</v>
      </c>
      <c r="I1379" s="19" t="s">
        <v>16583</v>
      </c>
      <c r="J1379" s="19" t="s">
        <v>16584</v>
      </c>
      <c r="K1379" s="19" t="s">
        <v>16798</v>
      </c>
      <c r="L1379" s="19" t="s">
        <v>15216</v>
      </c>
      <c r="M1379" s="20" t="s">
        <v>16585</v>
      </c>
      <c r="N1379" s="44" t="s">
        <v>16586</v>
      </c>
      <c r="O1379" s="22">
        <v>50.0</v>
      </c>
      <c r="P1379" s="28">
        <v>6.0</v>
      </c>
      <c r="Q1379" s="28">
        <v>29.0</v>
      </c>
      <c r="R1379" s="84"/>
      <c r="S1379" s="84"/>
      <c r="T1379" s="84"/>
      <c r="U1379" s="84"/>
      <c r="V1379" s="84"/>
      <c r="W1379" s="84"/>
      <c r="X1379" s="84"/>
      <c r="Y1379" s="84"/>
      <c r="Z1379" s="84"/>
      <c r="AA1379" s="84"/>
    </row>
    <row r="1380" ht="15.75" customHeight="1">
      <c r="A1380" s="14" t="s">
        <v>17</v>
      </c>
      <c r="B1380" s="15" t="s">
        <v>16078</v>
      </c>
      <c r="C1380" s="14" t="s">
        <v>16587</v>
      </c>
      <c r="D1380" s="14" t="s">
        <v>16588</v>
      </c>
      <c r="E1380" s="26" t="str">
        <f t="shared" si="26"/>
        <v>http://dx.doi.org/10.1109/VISUAL.2005.1532812</v>
      </c>
      <c r="F1380" s="14">
        <v>327.0</v>
      </c>
      <c r="G1380" s="14">
        <v>334.0</v>
      </c>
      <c r="H1380" s="14" t="s">
        <v>28</v>
      </c>
      <c r="I1380" s="19" t="s">
        <v>16590</v>
      </c>
      <c r="J1380" s="19" t="s">
        <v>16591</v>
      </c>
      <c r="K1380" s="19" t="s">
        <v>16807</v>
      </c>
      <c r="L1380" s="19" t="s">
        <v>16808</v>
      </c>
      <c r="M1380" s="20" t="s">
        <v>16593</v>
      </c>
      <c r="N1380" s="44" t="s">
        <v>16594</v>
      </c>
      <c r="O1380" s="22">
        <v>25.0</v>
      </c>
      <c r="P1380" s="28">
        <v>8.0</v>
      </c>
      <c r="Q1380" s="28">
        <v>35.0</v>
      </c>
      <c r="R1380" s="84"/>
      <c r="S1380" s="84"/>
      <c r="T1380" s="84"/>
      <c r="U1380" s="84"/>
      <c r="V1380" s="84"/>
      <c r="W1380" s="84"/>
      <c r="X1380" s="84"/>
      <c r="Y1380" s="84"/>
      <c r="Z1380" s="84"/>
      <c r="AA1380" s="84"/>
    </row>
    <row r="1381" ht="15.75" customHeight="1">
      <c r="A1381" s="14" t="s">
        <v>17</v>
      </c>
      <c r="B1381" s="15" t="s">
        <v>16078</v>
      </c>
      <c r="C1381" s="14" t="s">
        <v>16595</v>
      </c>
      <c r="D1381" s="14" t="s">
        <v>16596</v>
      </c>
      <c r="E1381" s="26" t="str">
        <f t="shared" si="26"/>
        <v>http://dx.doi.org/10.1109/VISUAL.2005.1532813</v>
      </c>
      <c r="F1381" s="14">
        <v>335.0</v>
      </c>
      <c r="G1381" s="14">
        <v>341.0</v>
      </c>
      <c r="H1381" s="14" t="s">
        <v>28</v>
      </c>
      <c r="I1381" s="19" t="s">
        <v>16598</v>
      </c>
      <c r="J1381" s="19" t="s">
        <v>16599</v>
      </c>
      <c r="K1381" s="19" t="s">
        <v>16810</v>
      </c>
      <c r="L1381" s="19" t="s">
        <v>16812</v>
      </c>
      <c r="M1381" s="20" t="s">
        <v>16601</v>
      </c>
      <c r="N1381" s="44" t="s">
        <v>16602</v>
      </c>
      <c r="O1381" s="22">
        <v>50.0</v>
      </c>
      <c r="P1381" s="28">
        <v>2.0</v>
      </c>
      <c r="Q1381" s="28">
        <v>22.0</v>
      </c>
      <c r="R1381" s="84"/>
      <c r="S1381" s="84"/>
      <c r="T1381" s="84"/>
      <c r="U1381" s="84"/>
      <c r="V1381" s="84"/>
      <c r="W1381" s="84"/>
      <c r="X1381" s="84"/>
      <c r="Y1381" s="84"/>
      <c r="Z1381" s="84"/>
      <c r="AA1381" s="84"/>
    </row>
    <row r="1382" ht="15.75" customHeight="1">
      <c r="A1382" s="14" t="s">
        <v>17</v>
      </c>
      <c r="B1382" s="15" t="s">
        <v>16078</v>
      </c>
      <c r="C1382" s="14" t="s">
        <v>16603</v>
      </c>
      <c r="D1382" s="14" t="s">
        <v>16604</v>
      </c>
      <c r="E1382" s="26" t="str">
        <f t="shared" si="26"/>
        <v>http://dx.doi.org/10.1109/VISUAL.2005.1532815</v>
      </c>
      <c r="F1382" s="14">
        <v>343.0</v>
      </c>
      <c r="G1382" s="14">
        <v>350.0</v>
      </c>
      <c r="H1382" s="14" t="s">
        <v>28</v>
      </c>
      <c r="I1382" s="19" t="s">
        <v>16606</v>
      </c>
      <c r="J1382" s="19" t="s">
        <v>16817</v>
      </c>
      <c r="K1382" s="19" t="s">
        <v>16818</v>
      </c>
      <c r="L1382" s="19" t="s">
        <v>16819</v>
      </c>
      <c r="M1382" s="20" t="s">
        <v>16609</v>
      </c>
      <c r="N1382" s="44" t="s">
        <v>16610</v>
      </c>
      <c r="O1382" s="22">
        <v>50.0</v>
      </c>
      <c r="P1382" s="28">
        <v>5.0</v>
      </c>
      <c r="Q1382" s="28">
        <v>20.0</v>
      </c>
      <c r="R1382" s="84"/>
      <c r="S1382" s="84"/>
      <c r="T1382" s="84"/>
      <c r="U1382" s="84"/>
      <c r="V1382" s="84"/>
      <c r="W1382" s="84"/>
      <c r="X1382" s="84"/>
      <c r="Y1382" s="84"/>
      <c r="Z1382" s="84"/>
      <c r="AA1382" s="84"/>
    </row>
    <row r="1383" ht="15.75" customHeight="1">
      <c r="A1383" s="14" t="s">
        <v>17</v>
      </c>
      <c r="B1383" s="15" t="s">
        <v>16078</v>
      </c>
      <c r="C1383" s="14" t="s">
        <v>16611</v>
      </c>
      <c r="D1383" s="14" t="s">
        <v>16612</v>
      </c>
      <c r="E1383" s="26" t="str">
        <f t="shared" si="26"/>
        <v>http://dx.doi.org/10.1109/VISUAL.2005.1532816</v>
      </c>
      <c r="F1383" s="14">
        <v>351.0</v>
      </c>
      <c r="G1383" s="14">
        <v>358.0</v>
      </c>
      <c r="H1383" s="14" t="s">
        <v>28</v>
      </c>
      <c r="I1383" s="19" t="s">
        <v>16614</v>
      </c>
      <c r="J1383" s="19" t="s">
        <v>16827</v>
      </c>
      <c r="K1383" s="19" t="s">
        <v>16828</v>
      </c>
      <c r="L1383" s="19" t="s">
        <v>16829</v>
      </c>
      <c r="M1383" s="20" t="s">
        <v>16617</v>
      </c>
      <c r="N1383" s="44" t="s">
        <v>16618</v>
      </c>
      <c r="O1383" s="22">
        <v>0.0</v>
      </c>
      <c r="P1383" s="28">
        <v>0.0</v>
      </c>
      <c r="Q1383" s="28">
        <v>37.0</v>
      </c>
      <c r="R1383" s="84"/>
      <c r="S1383" s="84"/>
      <c r="T1383" s="84"/>
      <c r="U1383" s="84"/>
      <c r="V1383" s="84"/>
      <c r="W1383" s="84"/>
      <c r="X1383" s="84"/>
      <c r="Y1383" s="84"/>
      <c r="Z1383" s="84"/>
      <c r="AA1383" s="84"/>
    </row>
    <row r="1384" ht="15.75" customHeight="1">
      <c r="A1384" s="14" t="s">
        <v>17</v>
      </c>
      <c r="B1384" s="15" t="s">
        <v>16078</v>
      </c>
      <c r="C1384" s="14" t="s">
        <v>16619</v>
      </c>
      <c r="D1384" s="14" t="s">
        <v>16620</v>
      </c>
      <c r="E1384" s="26" t="str">
        <f t="shared" si="26"/>
        <v>http://dx.doi.org/10.1109/VISUAL.2005.1532817</v>
      </c>
      <c r="F1384" s="14">
        <v>359.0</v>
      </c>
      <c r="G1384" s="14">
        <v>366.0</v>
      </c>
      <c r="H1384" s="14" t="s">
        <v>28</v>
      </c>
      <c r="I1384" s="19" t="s">
        <v>16622</v>
      </c>
      <c r="J1384" s="19" t="s">
        <v>16623</v>
      </c>
      <c r="K1384" s="19" t="s">
        <v>16837</v>
      </c>
      <c r="L1384" s="19" t="s">
        <v>16838</v>
      </c>
      <c r="M1384" s="20" t="s">
        <v>16625</v>
      </c>
      <c r="N1384" s="44" t="s">
        <v>16626</v>
      </c>
      <c r="O1384" s="22">
        <v>30.0</v>
      </c>
      <c r="P1384" s="28">
        <v>6.0</v>
      </c>
      <c r="Q1384" s="28">
        <v>29.0</v>
      </c>
      <c r="R1384" s="84"/>
      <c r="S1384" s="84"/>
      <c r="T1384" s="84"/>
      <c r="U1384" s="84"/>
      <c r="V1384" s="84"/>
      <c r="W1384" s="84"/>
      <c r="X1384" s="84"/>
      <c r="Y1384" s="84"/>
      <c r="Z1384" s="84"/>
      <c r="AA1384" s="84"/>
    </row>
    <row r="1385" ht="15.75" customHeight="1">
      <c r="A1385" s="14" t="s">
        <v>17</v>
      </c>
      <c r="B1385" s="15" t="s">
        <v>16078</v>
      </c>
      <c r="C1385" s="14" t="s">
        <v>16627</v>
      </c>
      <c r="D1385" s="14" t="s">
        <v>16628</v>
      </c>
      <c r="E1385" s="26" t="str">
        <f t="shared" si="26"/>
        <v>http://dx.doi.org/10.1109/VISUAL.2005.1532818</v>
      </c>
      <c r="F1385" s="14">
        <v>367.0</v>
      </c>
      <c r="G1385" s="14">
        <v>374.0</v>
      </c>
      <c r="H1385" s="14" t="s">
        <v>28</v>
      </c>
      <c r="I1385" s="19" t="s">
        <v>16630</v>
      </c>
      <c r="J1385" s="19" t="s">
        <v>16631</v>
      </c>
      <c r="K1385" s="19" t="s">
        <v>16839</v>
      </c>
      <c r="L1385" s="19" t="s">
        <v>16840</v>
      </c>
      <c r="M1385" s="20" t="s">
        <v>16633</v>
      </c>
      <c r="N1385" s="44" t="s">
        <v>16634</v>
      </c>
      <c r="O1385" s="22">
        <v>145.0</v>
      </c>
      <c r="P1385" s="28">
        <v>28.0</v>
      </c>
      <c r="Q1385" s="28">
        <v>25.0</v>
      </c>
      <c r="R1385" s="84"/>
      <c r="S1385" s="84"/>
      <c r="T1385" s="84"/>
      <c r="U1385" s="84"/>
      <c r="V1385" s="84"/>
      <c r="W1385" s="84"/>
      <c r="X1385" s="84"/>
      <c r="Y1385" s="84"/>
      <c r="Z1385" s="84"/>
      <c r="AA1385" s="84"/>
    </row>
    <row r="1386" ht="15.75" customHeight="1">
      <c r="A1386" s="14" t="s">
        <v>17</v>
      </c>
      <c r="B1386" s="15" t="s">
        <v>16078</v>
      </c>
      <c r="C1386" s="14" t="s">
        <v>16635</v>
      </c>
      <c r="D1386" s="14" t="s">
        <v>16636</v>
      </c>
      <c r="E1386" s="26" t="str">
        <f t="shared" si="26"/>
        <v>http://dx.doi.org/10.1109/VISUAL.2005.1532819</v>
      </c>
      <c r="F1386" s="14">
        <v>375.0</v>
      </c>
      <c r="G1386" s="14">
        <v>382.0</v>
      </c>
      <c r="H1386" s="14" t="s">
        <v>28</v>
      </c>
      <c r="I1386" s="19" t="s">
        <v>16638</v>
      </c>
      <c r="J1386" s="19" t="s">
        <v>16639</v>
      </c>
      <c r="K1386" s="19" t="s">
        <v>16849</v>
      </c>
      <c r="L1386" s="19" t="s">
        <v>16850</v>
      </c>
      <c r="M1386" s="20" t="s">
        <v>16641</v>
      </c>
      <c r="N1386" s="44" t="s">
        <v>16642</v>
      </c>
      <c r="O1386" s="22">
        <v>74.0</v>
      </c>
      <c r="P1386" s="28">
        <v>20.0</v>
      </c>
      <c r="Q1386" s="28">
        <v>33.0</v>
      </c>
      <c r="R1386" s="84"/>
      <c r="S1386" s="84"/>
      <c r="T1386" s="84"/>
      <c r="U1386" s="84"/>
      <c r="V1386" s="84"/>
      <c r="W1386" s="84"/>
      <c r="X1386" s="84"/>
      <c r="Y1386" s="84"/>
      <c r="Z1386" s="84"/>
      <c r="AA1386" s="84"/>
    </row>
    <row r="1387" ht="15.75" customHeight="1">
      <c r="A1387" s="14" t="s">
        <v>17</v>
      </c>
      <c r="B1387" s="15" t="s">
        <v>16078</v>
      </c>
      <c r="C1387" s="14" t="s">
        <v>16643</v>
      </c>
      <c r="D1387" s="14" t="s">
        <v>16644</v>
      </c>
      <c r="E1387" s="26" t="str">
        <f t="shared" si="26"/>
        <v>http://dx.doi.org/10.1109/VISUAL.2005.1532820</v>
      </c>
      <c r="F1387" s="14">
        <v>383.0</v>
      </c>
      <c r="G1387" s="14">
        <v>390.0</v>
      </c>
      <c r="H1387" s="14" t="s">
        <v>28</v>
      </c>
      <c r="I1387" s="19" t="s">
        <v>16646</v>
      </c>
      <c r="J1387" s="19" t="s">
        <v>16647</v>
      </c>
      <c r="K1387" s="19" t="s">
        <v>16851</v>
      </c>
      <c r="L1387" s="19" t="s">
        <v>13482</v>
      </c>
      <c r="M1387" s="20" t="s">
        <v>16648</v>
      </c>
      <c r="N1387" s="44" t="s">
        <v>16649</v>
      </c>
      <c r="O1387" s="109"/>
      <c r="P1387" s="28">
        <v>13.0</v>
      </c>
      <c r="Q1387" s="28">
        <v>31.0</v>
      </c>
      <c r="R1387" s="84"/>
      <c r="S1387" s="84"/>
      <c r="T1387" s="84"/>
      <c r="U1387" s="84"/>
      <c r="V1387" s="84"/>
      <c r="W1387" s="84"/>
      <c r="X1387" s="84"/>
      <c r="Y1387" s="84"/>
      <c r="Z1387" s="84"/>
      <c r="AA1387" s="84"/>
    </row>
    <row r="1388" ht="15.75" customHeight="1">
      <c r="A1388" s="14" t="s">
        <v>17</v>
      </c>
      <c r="B1388" s="15" t="s">
        <v>16078</v>
      </c>
      <c r="C1388" s="14" t="s">
        <v>16650</v>
      </c>
      <c r="D1388" s="14" t="s">
        <v>16651</v>
      </c>
      <c r="E1388" s="26" t="str">
        <f t="shared" si="26"/>
        <v>http://dx.doi.org/10.1109/VISUAL.2005.1532821</v>
      </c>
      <c r="F1388" s="14">
        <v>391.0</v>
      </c>
      <c r="G1388" s="14">
        <v>398.0</v>
      </c>
      <c r="H1388" s="14" t="s">
        <v>28</v>
      </c>
      <c r="I1388" s="19" t="s">
        <v>16653</v>
      </c>
      <c r="J1388" s="19" t="s">
        <v>16654</v>
      </c>
      <c r="K1388" s="19" t="s">
        <v>16859</v>
      </c>
      <c r="L1388" s="19" t="s">
        <v>16067</v>
      </c>
      <c r="M1388" s="20" t="s">
        <v>16656</v>
      </c>
      <c r="N1388" s="44" t="s">
        <v>16657</v>
      </c>
      <c r="O1388" s="22">
        <v>50.0</v>
      </c>
      <c r="P1388" s="28">
        <v>6.0</v>
      </c>
      <c r="Q1388" s="28">
        <v>20.0</v>
      </c>
      <c r="R1388" s="84"/>
      <c r="S1388" s="84"/>
      <c r="T1388" s="84"/>
      <c r="U1388" s="84"/>
      <c r="V1388" s="84"/>
      <c r="W1388" s="84"/>
      <c r="X1388" s="84"/>
      <c r="Y1388" s="84"/>
      <c r="Z1388" s="84"/>
      <c r="AA1388" s="84"/>
    </row>
    <row r="1389" ht="15.75" customHeight="1">
      <c r="A1389" s="14" t="s">
        <v>17</v>
      </c>
      <c r="B1389" s="15" t="s">
        <v>16078</v>
      </c>
      <c r="C1389" s="14" t="s">
        <v>16658</v>
      </c>
      <c r="D1389" s="14" t="s">
        <v>16659</v>
      </c>
      <c r="E1389" s="26" t="str">
        <f t="shared" si="26"/>
        <v>http://dx.doi.org/10.1109/VISUAL.2005.1532822</v>
      </c>
      <c r="F1389" s="14">
        <v>399.0</v>
      </c>
      <c r="G1389" s="14">
        <v>405.0</v>
      </c>
      <c r="H1389" s="14" t="s">
        <v>28</v>
      </c>
      <c r="I1389" s="19" t="s">
        <v>16866</v>
      </c>
      <c r="J1389" s="19" t="s">
        <v>14988</v>
      </c>
      <c r="K1389" s="19" t="s">
        <v>16867</v>
      </c>
      <c r="L1389" s="19" t="s">
        <v>15703</v>
      </c>
      <c r="M1389" s="20" t="s">
        <v>14986</v>
      </c>
      <c r="N1389" s="44" t="s">
        <v>16662</v>
      </c>
      <c r="O1389" s="109"/>
      <c r="P1389" s="28">
        <v>4.0</v>
      </c>
      <c r="Q1389" s="28">
        <v>16.0</v>
      </c>
      <c r="R1389" s="84"/>
      <c r="S1389" s="84"/>
      <c r="T1389" s="84"/>
      <c r="U1389" s="84"/>
      <c r="V1389" s="84"/>
      <c r="W1389" s="84"/>
      <c r="X1389" s="84"/>
      <c r="Y1389" s="84"/>
      <c r="Z1389" s="84"/>
      <c r="AA1389" s="84"/>
    </row>
    <row r="1390" ht="15.75" customHeight="1">
      <c r="A1390" s="14" t="s">
        <v>17</v>
      </c>
      <c r="B1390" s="15" t="s">
        <v>16078</v>
      </c>
      <c r="C1390" s="14" t="s">
        <v>16663</v>
      </c>
      <c r="D1390" s="14" t="s">
        <v>16664</v>
      </c>
      <c r="E1390" s="26" t="str">
        <f t="shared" si="26"/>
        <v>http://dx.doi.org/10.1109/VISUAL.2005.1532823</v>
      </c>
      <c r="F1390" s="14">
        <v>407.0</v>
      </c>
      <c r="G1390" s="14">
        <v>414.0</v>
      </c>
      <c r="H1390" s="14" t="s">
        <v>28</v>
      </c>
      <c r="I1390" s="19" t="s">
        <v>16666</v>
      </c>
      <c r="J1390" s="19" t="s">
        <v>16667</v>
      </c>
      <c r="K1390" s="19" t="s">
        <v>16871</v>
      </c>
      <c r="L1390" s="19" t="s">
        <v>16873</v>
      </c>
      <c r="M1390" s="20" t="s">
        <v>16669</v>
      </c>
      <c r="N1390" s="44" t="s">
        <v>16670</v>
      </c>
      <c r="O1390" s="22">
        <v>50.0</v>
      </c>
      <c r="P1390" s="28">
        <v>6.0</v>
      </c>
      <c r="Q1390" s="28">
        <v>43.0</v>
      </c>
      <c r="R1390" s="84"/>
      <c r="S1390" s="84"/>
      <c r="T1390" s="84"/>
      <c r="U1390" s="84"/>
      <c r="V1390" s="84"/>
      <c r="W1390" s="84"/>
      <c r="X1390" s="84"/>
      <c r="Y1390" s="84"/>
      <c r="Z1390" s="84"/>
      <c r="AA1390" s="84"/>
    </row>
    <row r="1391" ht="15.75" customHeight="1">
      <c r="A1391" s="14" t="s">
        <v>17</v>
      </c>
      <c r="B1391" s="15" t="s">
        <v>16078</v>
      </c>
      <c r="C1391" s="14" t="s">
        <v>16671</v>
      </c>
      <c r="D1391" s="14" t="s">
        <v>16672</v>
      </c>
      <c r="E1391" s="26" t="str">
        <f t="shared" si="26"/>
        <v>http://dx.doi.org/10.1109/VISUAL.2005.1532824</v>
      </c>
      <c r="F1391" s="14">
        <v>415.0</v>
      </c>
      <c r="G1391" s="14">
        <v>422.0</v>
      </c>
      <c r="H1391" s="14" t="s">
        <v>28</v>
      </c>
      <c r="I1391" s="19" t="s">
        <v>16674</v>
      </c>
      <c r="J1391" s="19" t="s">
        <v>16675</v>
      </c>
      <c r="K1391" s="19" t="s">
        <v>16877</v>
      </c>
      <c r="L1391" s="19" t="s">
        <v>16878</v>
      </c>
      <c r="M1391" s="20" t="s">
        <v>16677</v>
      </c>
      <c r="N1391" s="44" t="s">
        <v>16678</v>
      </c>
      <c r="O1391" s="22">
        <v>28.0</v>
      </c>
      <c r="P1391" s="28">
        <v>1.0</v>
      </c>
      <c r="Q1391" s="28">
        <v>25.0</v>
      </c>
      <c r="R1391" s="84"/>
      <c r="S1391" s="84"/>
      <c r="T1391" s="84"/>
      <c r="U1391" s="84"/>
      <c r="V1391" s="84"/>
      <c r="W1391" s="84"/>
      <c r="X1391" s="84"/>
      <c r="Y1391" s="84"/>
      <c r="Z1391" s="84"/>
      <c r="AA1391" s="84"/>
    </row>
    <row r="1392" ht="15.75" customHeight="1">
      <c r="A1392" s="14" t="s">
        <v>17</v>
      </c>
      <c r="B1392" s="15" t="s">
        <v>16078</v>
      </c>
      <c r="C1392" s="14" t="s">
        <v>16679</v>
      </c>
      <c r="D1392" s="14" t="s">
        <v>16680</v>
      </c>
      <c r="E1392" s="26" t="str">
        <f t="shared" si="26"/>
        <v>http://dx.doi.org/10.1109/VISUAL.2005.1532825</v>
      </c>
      <c r="F1392" s="14">
        <v>423.0</v>
      </c>
      <c r="G1392" s="14">
        <v>429.0</v>
      </c>
      <c r="H1392" s="14" t="s">
        <v>28</v>
      </c>
      <c r="I1392" s="19" t="s">
        <v>16682</v>
      </c>
      <c r="J1392" s="19" t="s">
        <v>16683</v>
      </c>
      <c r="K1392" s="19" t="s">
        <v>16887</v>
      </c>
      <c r="L1392" s="19" t="s">
        <v>14205</v>
      </c>
      <c r="M1392" s="20" t="s">
        <v>16684</v>
      </c>
      <c r="N1392" s="44" t="s">
        <v>16685</v>
      </c>
      <c r="O1392" s="22">
        <v>12.0</v>
      </c>
      <c r="P1392" s="28">
        <v>1.0</v>
      </c>
      <c r="Q1392" s="28">
        <v>24.0</v>
      </c>
      <c r="R1392" s="84"/>
      <c r="S1392" s="84"/>
      <c r="T1392" s="84"/>
      <c r="U1392" s="84"/>
      <c r="V1392" s="84"/>
      <c r="W1392" s="84"/>
      <c r="X1392" s="84"/>
      <c r="Y1392" s="84"/>
      <c r="Z1392" s="84"/>
      <c r="AA1392" s="84"/>
    </row>
    <row r="1393" ht="15.75" customHeight="1">
      <c r="A1393" s="14" t="s">
        <v>17</v>
      </c>
      <c r="B1393" s="15" t="s">
        <v>16078</v>
      </c>
      <c r="C1393" s="14" t="s">
        <v>16686</v>
      </c>
      <c r="D1393" s="14" t="s">
        <v>16687</v>
      </c>
      <c r="E1393" s="26" t="str">
        <f t="shared" si="26"/>
        <v>http://dx.doi.org/10.1109/VISUAL.2005.1532826</v>
      </c>
      <c r="F1393" s="14">
        <v>431.0</v>
      </c>
      <c r="G1393" s="14">
        <v>438.0</v>
      </c>
      <c r="H1393" s="14" t="s">
        <v>28</v>
      </c>
      <c r="I1393" s="19" t="s">
        <v>16689</v>
      </c>
      <c r="J1393" s="19" t="s">
        <v>16690</v>
      </c>
      <c r="K1393" s="19" t="s">
        <v>16888</v>
      </c>
      <c r="L1393" s="19" t="s">
        <v>16890</v>
      </c>
      <c r="M1393" s="20"/>
      <c r="N1393" s="44" t="s">
        <v>16692</v>
      </c>
      <c r="O1393" s="22">
        <v>204.0</v>
      </c>
      <c r="P1393" s="28">
        <v>34.0</v>
      </c>
      <c r="Q1393" s="28">
        <v>27.0</v>
      </c>
      <c r="R1393" s="84"/>
      <c r="S1393" s="84"/>
      <c r="T1393" s="84"/>
      <c r="U1393" s="84"/>
      <c r="V1393" s="84"/>
      <c r="W1393" s="84"/>
      <c r="X1393" s="84"/>
      <c r="Y1393" s="84"/>
      <c r="Z1393" s="84"/>
      <c r="AA1393" s="84"/>
    </row>
    <row r="1394" ht="15.75" customHeight="1">
      <c r="A1394" s="14" t="s">
        <v>17</v>
      </c>
      <c r="B1394" s="15" t="s">
        <v>16078</v>
      </c>
      <c r="C1394" s="14" t="s">
        <v>16693</v>
      </c>
      <c r="D1394" s="14" t="s">
        <v>16694</v>
      </c>
      <c r="E1394" s="26" t="str">
        <f t="shared" si="26"/>
        <v>http://dx.doi.org/10.1109/VISUAL.2005.1532827</v>
      </c>
      <c r="F1394" s="14">
        <v>439.0</v>
      </c>
      <c r="G1394" s="14">
        <v>446.0</v>
      </c>
      <c r="H1394" s="14" t="s">
        <v>28</v>
      </c>
      <c r="I1394" s="19" t="s">
        <v>16696</v>
      </c>
      <c r="J1394" s="19" t="s">
        <v>16697</v>
      </c>
      <c r="K1394" s="19" t="s">
        <v>16898</v>
      </c>
      <c r="L1394" s="19" t="s">
        <v>16899</v>
      </c>
      <c r="M1394" s="20" t="s">
        <v>16699</v>
      </c>
      <c r="N1394" s="44" t="s">
        <v>16700</v>
      </c>
      <c r="O1394" s="22">
        <v>8.0</v>
      </c>
      <c r="P1394" s="28">
        <v>3.0</v>
      </c>
      <c r="Q1394" s="28">
        <v>18.0</v>
      </c>
      <c r="R1394" s="84"/>
      <c r="S1394" s="84"/>
      <c r="T1394" s="84"/>
      <c r="U1394" s="84"/>
      <c r="V1394" s="84"/>
      <c r="W1394" s="84"/>
      <c r="X1394" s="84"/>
      <c r="Y1394" s="84"/>
      <c r="Z1394" s="84"/>
      <c r="AA1394" s="84"/>
    </row>
    <row r="1395" ht="15.75" customHeight="1">
      <c r="A1395" s="14" t="s">
        <v>17</v>
      </c>
      <c r="B1395" s="15" t="s">
        <v>16078</v>
      </c>
      <c r="C1395" s="14" t="s">
        <v>16701</v>
      </c>
      <c r="D1395" s="14" t="s">
        <v>16702</v>
      </c>
      <c r="E1395" s="26" t="str">
        <f t="shared" si="26"/>
        <v>http://dx.doi.org/10.1109/VISUAL.2005.1532828</v>
      </c>
      <c r="F1395" s="14">
        <v>447.0</v>
      </c>
      <c r="G1395" s="14">
        <v>454.0</v>
      </c>
      <c r="H1395" s="14" t="s">
        <v>28</v>
      </c>
      <c r="I1395" s="19" t="s">
        <v>16707</v>
      </c>
      <c r="J1395" s="19" t="s">
        <v>16907</v>
      </c>
      <c r="K1395" s="19" t="s">
        <v>16908</v>
      </c>
      <c r="L1395" s="19" t="s">
        <v>16909</v>
      </c>
      <c r="M1395" s="20" t="s">
        <v>3730</v>
      </c>
      <c r="N1395" s="44" t="s">
        <v>16710</v>
      </c>
      <c r="O1395" s="22">
        <v>15.0</v>
      </c>
      <c r="P1395" s="28">
        <v>4.0</v>
      </c>
      <c r="Q1395" s="28">
        <v>22.0</v>
      </c>
      <c r="R1395" s="84"/>
      <c r="S1395" s="84"/>
      <c r="T1395" s="84"/>
      <c r="U1395" s="84"/>
      <c r="V1395" s="84"/>
      <c r="W1395" s="84"/>
      <c r="X1395" s="84"/>
      <c r="Y1395" s="84"/>
      <c r="Z1395" s="84"/>
      <c r="AA1395" s="84"/>
    </row>
    <row r="1396" ht="15.75" customHeight="1">
      <c r="A1396" s="14" t="s">
        <v>17</v>
      </c>
      <c r="B1396" s="15" t="s">
        <v>16078</v>
      </c>
      <c r="C1396" s="14" t="s">
        <v>16711</v>
      </c>
      <c r="D1396" s="14" t="s">
        <v>16712</v>
      </c>
      <c r="E1396" s="26" t="str">
        <f t="shared" si="26"/>
        <v>http://dx.doi.org/10.1109/VISUAL.2005.1532829</v>
      </c>
      <c r="F1396" s="14">
        <v>455.0</v>
      </c>
      <c r="G1396" s="14">
        <v>462.0</v>
      </c>
      <c r="H1396" s="14" t="s">
        <v>28</v>
      </c>
      <c r="I1396" s="19" t="s">
        <v>16715</v>
      </c>
      <c r="J1396" s="19" t="s">
        <v>16716</v>
      </c>
      <c r="K1396" s="19" t="s">
        <v>16913</v>
      </c>
      <c r="L1396" s="19" t="s">
        <v>13394</v>
      </c>
      <c r="M1396" s="20" t="s">
        <v>16719</v>
      </c>
      <c r="N1396" s="44" t="s">
        <v>16720</v>
      </c>
      <c r="O1396" s="22">
        <v>50.0</v>
      </c>
      <c r="P1396" s="28">
        <v>0.0</v>
      </c>
      <c r="Q1396" s="28">
        <v>23.0</v>
      </c>
      <c r="R1396" s="84"/>
      <c r="S1396" s="84"/>
      <c r="T1396" s="84"/>
      <c r="U1396" s="84"/>
      <c r="V1396" s="84"/>
      <c r="W1396" s="84"/>
      <c r="X1396" s="84"/>
      <c r="Y1396" s="84"/>
      <c r="Z1396" s="84"/>
      <c r="AA1396" s="84"/>
    </row>
    <row r="1397" ht="15.75" customHeight="1">
      <c r="A1397" s="14" t="s">
        <v>17</v>
      </c>
      <c r="B1397" s="15" t="s">
        <v>16078</v>
      </c>
      <c r="C1397" s="14" t="s">
        <v>16723</v>
      </c>
      <c r="D1397" s="14" t="s">
        <v>16724</v>
      </c>
      <c r="E1397" s="26" t="str">
        <f t="shared" si="26"/>
        <v>http://dx.doi.org/10.1109/VISUAL.2005.1532830</v>
      </c>
      <c r="F1397" s="14">
        <v>463.0</v>
      </c>
      <c r="G1397" s="14">
        <v>470.0</v>
      </c>
      <c r="H1397" s="14" t="s">
        <v>28</v>
      </c>
      <c r="I1397" s="19" t="s">
        <v>16919</v>
      </c>
      <c r="J1397" s="19" t="s">
        <v>16729</v>
      </c>
      <c r="K1397" s="19" t="s">
        <v>16920</v>
      </c>
      <c r="L1397" s="19" t="s">
        <v>16921</v>
      </c>
      <c r="M1397" s="20" t="s">
        <v>16731</v>
      </c>
      <c r="N1397" s="44" t="s">
        <v>16732</v>
      </c>
      <c r="O1397" s="22">
        <v>62.0</v>
      </c>
      <c r="P1397" s="28">
        <v>14.0</v>
      </c>
      <c r="Q1397" s="28">
        <v>25.0</v>
      </c>
      <c r="R1397" s="84"/>
      <c r="S1397" s="84"/>
      <c r="T1397" s="84"/>
      <c r="U1397" s="84"/>
      <c r="V1397" s="84"/>
      <c r="W1397" s="84"/>
      <c r="X1397" s="84"/>
      <c r="Y1397" s="84"/>
      <c r="Z1397" s="84"/>
      <c r="AA1397" s="84"/>
    </row>
    <row r="1398" ht="15.75" customHeight="1">
      <c r="A1398" s="14" t="s">
        <v>17</v>
      </c>
      <c r="B1398" s="15" t="s">
        <v>16078</v>
      </c>
      <c r="C1398" s="14" t="s">
        <v>16733</v>
      </c>
      <c r="D1398" s="14" t="s">
        <v>16734</v>
      </c>
      <c r="E1398" s="26" t="str">
        <f t="shared" si="26"/>
        <v>http://dx.doi.org/10.1109/VISUAL.2005.1532831</v>
      </c>
      <c r="F1398" s="14">
        <v>471.0</v>
      </c>
      <c r="G1398" s="14">
        <v>478.0</v>
      </c>
      <c r="H1398" s="14" t="s">
        <v>28</v>
      </c>
      <c r="I1398" s="19" t="s">
        <v>16927</v>
      </c>
      <c r="J1398" s="19" t="s">
        <v>16739</v>
      </c>
      <c r="K1398" s="19" t="s">
        <v>16930</v>
      </c>
      <c r="L1398" s="19" t="s">
        <v>16932</v>
      </c>
      <c r="M1398" s="20" t="s">
        <v>16741</v>
      </c>
      <c r="N1398" s="44" t="s">
        <v>16742</v>
      </c>
      <c r="O1398" s="22">
        <v>56.0</v>
      </c>
      <c r="P1398" s="28">
        <v>17.0</v>
      </c>
      <c r="Q1398" s="28">
        <v>23.0</v>
      </c>
      <c r="R1398" s="84"/>
      <c r="S1398" s="84"/>
      <c r="T1398" s="84"/>
      <c r="U1398" s="84"/>
      <c r="V1398" s="84"/>
      <c r="W1398" s="84"/>
      <c r="X1398" s="84"/>
      <c r="Y1398" s="84"/>
      <c r="Z1398" s="84"/>
      <c r="AA1398" s="84"/>
    </row>
    <row r="1399" ht="15.75" customHeight="1">
      <c r="A1399" s="14" t="s">
        <v>17</v>
      </c>
      <c r="B1399" s="15" t="s">
        <v>16078</v>
      </c>
      <c r="C1399" s="14" t="s">
        <v>16743</v>
      </c>
      <c r="D1399" s="14" t="s">
        <v>16744</v>
      </c>
      <c r="E1399" s="26" t="str">
        <f t="shared" si="26"/>
        <v>http://dx.doi.org/10.1109/VISUAL.2005.1532832</v>
      </c>
      <c r="F1399" s="14">
        <v>479.0</v>
      </c>
      <c r="G1399" s="14">
        <v>486.0</v>
      </c>
      <c r="H1399" s="14" t="s">
        <v>28</v>
      </c>
      <c r="I1399" s="19" t="s">
        <v>16749</v>
      </c>
      <c r="J1399" s="19" t="s">
        <v>16750</v>
      </c>
      <c r="K1399" s="19" t="s">
        <v>16933</v>
      </c>
      <c r="L1399" s="19" t="s">
        <v>16934</v>
      </c>
      <c r="M1399" s="20" t="s">
        <v>5746</v>
      </c>
      <c r="N1399" s="44" t="s">
        <v>16752</v>
      </c>
      <c r="O1399" s="22">
        <v>139.0</v>
      </c>
      <c r="P1399" s="28">
        <v>23.0</v>
      </c>
      <c r="Q1399" s="28">
        <v>22.0</v>
      </c>
      <c r="R1399" s="84"/>
      <c r="S1399" s="84"/>
      <c r="T1399" s="84"/>
      <c r="U1399" s="84"/>
      <c r="V1399" s="84"/>
      <c r="W1399" s="84"/>
      <c r="X1399" s="84"/>
      <c r="Y1399" s="84"/>
      <c r="Z1399" s="84"/>
      <c r="AA1399" s="84"/>
    </row>
    <row r="1400" ht="15.75" customHeight="1">
      <c r="A1400" s="14" t="s">
        <v>17</v>
      </c>
      <c r="B1400" s="15" t="s">
        <v>16078</v>
      </c>
      <c r="C1400" s="14" t="s">
        <v>16753</v>
      </c>
      <c r="D1400" s="14" t="s">
        <v>16754</v>
      </c>
      <c r="E1400" s="26" t="str">
        <f t="shared" si="26"/>
        <v>http://dx.doi.org/10.1109/VISUAL.2005.1532833</v>
      </c>
      <c r="F1400" s="14">
        <v>487.0</v>
      </c>
      <c r="G1400" s="14">
        <v>494.0</v>
      </c>
      <c r="H1400" s="14" t="s">
        <v>28</v>
      </c>
      <c r="I1400" s="19" t="s">
        <v>16757</v>
      </c>
      <c r="J1400" s="19" t="s">
        <v>13403</v>
      </c>
      <c r="K1400" s="19" t="s">
        <v>16942</v>
      </c>
      <c r="L1400" s="19" t="s">
        <v>14053</v>
      </c>
      <c r="M1400" s="20" t="s">
        <v>16758</v>
      </c>
      <c r="N1400" s="44" t="s">
        <v>16759</v>
      </c>
      <c r="O1400" s="22">
        <v>209.0</v>
      </c>
      <c r="P1400" s="28">
        <v>46.0</v>
      </c>
      <c r="Q1400" s="28">
        <v>22.0</v>
      </c>
      <c r="R1400" s="84"/>
      <c r="S1400" s="84"/>
      <c r="T1400" s="84"/>
      <c r="U1400" s="84"/>
      <c r="V1400" s="84"/>
      <c r="W1400" s="84"/>
      <c r="X1400" s="84"/>
      <c r="Y1400" s="84"/>
      <c r="Z1400" s="84"/>
      <c r="AA1400" s="84"/>
    </row>
    <row r="1401" ht="15.75" customHeight="1">
      <c r="A1401" s="14" t="s">
        <v>17</v>
      </c>
      <c r="B1401" s="15" t="s">
        <v>16078</v>
      </c>
      <c r="C1401" s="14" t="s">
        <v>16760</v>
      </c>
      <c r="D1401" s="14" t="s">
        <v>16762</v>
      </c>
      <c r="E1401" s="26" t="str">
        <f t="shared" si="26"/>
        <v>http://dx.doi.org/10.1109/VISUAL.2005.1532834</v>
      </c>
      <c r="F1401" s="14">
        <v>495.0</v>
      </c>
      <c r="G1401" s="14">
        <v>502.0</v>
      </c>
      <c r="H1401" s="14" t="s">
        <v>28</v>
      </c>
      <c r="I1401" s="19" t="s">
        <v>16768</v>
      </c>
      <c r="J1401" s="19" t="s">
        <v>16769</v>
      </c>
      <c r="K1401" s="19" t="s">
        <v>16950</v>
      </c>
      <c r="L1401" s="19" t="s">
        <v>16951</v>
      </c>
      <c r="M1401" s="20" t="s">
        <v>16771</v>
      </c>
      <c r="N1401" s="44" t="s">
        <v>16772</v>
      </c>
      <c r="O1401" s="22">
        <v>170.0</v>
      </c>
      <c r="P1401" s="28">
        <v>27.0</v>
      </c>
      <c r="Q1401" s="28">
        <v>34.0</v>
      </c>
      <c r="R1401" s="84"/>
      <c r="S1401" s="84"/>
      <c r="T1401" s="84"/>
      <c r="U1401" s="84"/>
      <c r="V1401" s="84"/>
      <c r="W1401" s="84"/>
      <c r="X1401" s="84"/>
      <c r="Y1401" s="84"/>
      <c r="Z1401" s="84"/>
      <c r="AA1401" s="84"/>
    </row>
    <row r="1402" ht="15.75" customHeight="1">
      <c r="A1402" s="14" t="s">
        <v>17</v>
      </c>
      <c r="B1402" s="15" t="s">
        <v>16078</v>
      </c>
      <c r="C1402" s="14" t="s">
        <v>16773</v>
      </c>
      <c r="D1402" s="14" t="s">
        <v>16774</v>
      </c>
      <c r="E1402" s="26" t="str">
        <f t="shared" si="26"/>
        <v>http://dx.doi.org/10.1109/VISUAL.2005.1532835</v>
      </c>
      <c r="F1402" s="14">
        <v>503.0</v>
      </c>
      <c r="G1402" s="14">
        <v>510.0</v>
      </c>
      <c r="H1402" s="14" t="s">
        <v>28</v>
      </c>
      <c r="I1402" s="19" t="s">
        <v>16777</v>
      </c>
      <c r="J1402" s="19" t="s">
        <v>16778</v>
      </c>
      <c r="K1402" s="19" t="s">
        <v>16953</v>
      </c>
      <c r="L1402" s="19" t="s">
        <v>2208</v>
      </c>
      <c r="M1402" s="20" t="s">
        <v>16779</v>
      </c>
      <c r="N1402" s="44" t="s">
        <v>16780</v>
      </c>
      <c r="O1402" s="22">
        <v>14.0</v>
      </c>
      <c r="P1402" s="28">
        <v>5.0</v>
      </c>
      <c r="Q1402" s="28">
        <v>33.0</v>
      </c>
      <c r="R1402" s="84"/>
      <c r="S1402" s="84"/>
      <c r="T1402" s="84"/>
      <c r="U1402" s="84"/>
      <c r="V1402" s="84"/>
      <c r="W1402" s="84"/>
      <c r="X1402" s="84"/>
      <c r="Y1402" s="84"/>
      <c r="Z1402" s="84"/>
      <c r="AA1402" s="84"/>
    </row>
    <row r="1403" ht="15.75" customHeight="1">
      <c r="A1403" s="14" t="s">
        <v>17</v>
      </c>
      <c r="B1403" s="15" t="s">
        <v>16078</v>
      </c>
      <c r="C1403" s="14" t="s">
        <v>16781</v>
      </c>
      <c r="D1403" s="14" t="s">
        <v>16782</v>
      </c>
      <c r="E1403" s="26" t="str">
        <f t="shared" si="26"/>
        <v>http://dx.doi.org/10.1109/VISUAL.2005.1532836</v>
      </c>
      <c r="F1403" s="14">
        <v>511.0</v>
      </c>
      <c r="G1403" s="14">
        <v>518.0</v>
      </c>
      <c r="H1403" s="14" t="s">
        <v>28</v>
      </c>
      <c r="I1403" s="19" t="s">
        <v>16787</v>
      </c>
      <c r="J1403" s="19" t="s">
        <v>16788</v>
      </c>
      <c r="K1403" s="19" t="s">
        <v>16962</v>
      </c>
      <c r="L1403" s="19" t="s">
        <v>16963</v>
      </c>
      <c r="M1403" s="20" t="s">
        <v>16790</v>
      </c>
      <c r="N1403" s="44" t="s">
        <v>16791</v>
      </c>
      <c r="O1403" s="22">
        <v>50.0</v>
      </c>
      <c r="P1403" s="28">
        <v>11.0</v>
      </c>
      <c r="Q1403" s="28">
        <v>36.0</v>
      </c>
      <c r="R1403" s="84"/>
      <c r="S1403" s="84"/>
      <c r="T1403" s="84"/>
      <c r="U1403" s="84"/>
      <c r="V1403" s="84"/>
      <c r="W1403" s="84"/>
      <c r="X1403" s="84"/>
      <c r="Y1403" s="84"/>
      <c r="Z1403" s="84"/>
      <c r="AA1403" s="84"/>
    </row>
    <row r="1404" ht="15.75" customHeight="1">
      <c r="A1404" s="14" t="s">
        <v>17</v>
      </c>
      <c r="B1404" s="15" t="s">
        <v>16078</v>
      </c>
      <c r="C1404" s="14" t="s">
        <v>16792</v>
      </c>
      <c r="D1404" s="14" t="s">
        <v>16793</v>
      </c>
      <c r="E1404" s="26" t="str">
        <f t="shared" si="26"/>
        <v>http://dx.doi.org/10.1109/VISUAL.2005.1532837</v>
      </c>
      <c r="F1404" s="14">
        <v>519.0</v>
      </c>
      <c r="G1404" s="14">
        <v>526.0</v>
      </c>
      <c r="H1404" s="14" t="s">
        <v>28</v>
      </c>
      <c r="I1404" s="19" t="s">
        <v>16799</v>
      </c>
      <c r="J1404" s="19" t="s">
        <v>16800</v>
      </c>
      <c r="K1404" s="19" t="s">
        <v>16971</v>
      </c>
      <c r="L1404" s="19" t="s">
        <v>4726</v>
      </c>
      <c r="M1404" s="20" t="s">
        <v>16802</v>
      </c>
      <c r="N1404" s="44" t="s">
        <v>16803</v>
      </c>
      <c r="O1404" s="22">
        <v>30.0</v>
      </c>
      <c r="P1404" s="28">
        <v>8.0</v>
      </c>
      <c r="Q1404" s="28">
        <v>19.0</v>
      </c>
      <c r="R1404" s="84"/>
      <c r="S1404" s="84"/>
      <c r="T1404" s="84"/>
      <c r="U1404" s="84"/>
      <c r="V1404" s="84"/>
      <c r="W1404" s="84"/>
      <c r="X1404" s="84"/>
      <c r="Y1404" s="84"/>
      <c r="Z1404" s="84"/>
      <c r="AA1404" s="84"/>
    </row>
    <row r="1405" ht="15.75" customHeight="1">
      <c r="A1405" s="14" t="s">
        <v>17</v>
      </c>
      <c r="B1405" s="15" t="s">
        <v>16078</v>
      </c>
      <c r="C1405" s="14" t="s">
        <v>16804</v>
      </c>
      <c r="D1405" s="14" t="s">
        <v>16805</v>
      </c>
      <c r="E1405" s="26" t="str">
        <f t="shared" si="26"/>
        <v>http://dx.doi.org/10.1109/VISUAL.2005.1532838</v>
      </c>
      <c r="F1405" s="14">
        <v>527.0</v>
      </c>
      <c r="G1405" s="14">
        <v>534.0</v>
      </c>
      <c r="H1405" s="14" t="s">
        <v>28</v>
      </c>
      <c r="I1405" s="19" t="s">
        <v>16972</v>
      </c>
      <c r="J1405" s="19" t="s">
        <v>16811</v>
      </c>
      <c r="K1405" s="19" t="s">
        <v>16973</v>
      </c>
      <c r="L1405" s="18"/>
      <c r="M1405" s="20" t="s">
        <v>151</v>
      </c>
      <c r="N1405" s="44" t="s">
        <v>16813</v>
      </c>
      <c r="O1405" s="22">
        <v>70.0</v>
      </c>
      <c r="P1405" s="28">
        <v>13.0</v>
      </c>
      <c r="Q1405" s="28">
        <v>16.0</v>
      </c>
      <c r="R1405" s="84"/>
      <c r="S1405" s="84"/>
      <c r="T1405" s="84"/>
      <c r="U1405" s="84"/>
      <c r="V1405" s="84"/>
      <c r="W1405" s="84"/>
      <c r="X1405" s="84"/>
      <c r="Y1405" s="84"/>
      <c r="Z1405" s="84"/>
      <c r="AA1405" s="84"/>
    </row>
    <row r="1406" ht="15.75" customHeight="1">
      <c r="A1406" s="14" t="s">
        <v>17</v>
      </c>
      <c r="B1406" s="15" t="s">
        <v>16078</v>
      </c>
      <c r="C1406" s="14" t="s">
        <v>16814</v>
      </c>
      <c r="D1406" s="14" t="s">
        <v>16815</v>
      </c>
      <c r="E1406" s="26" t="str">
        <f t="shared" si="26"/>
        <v>http://dx.doi.org/10.1109/VISUAL.2005.1532839</v>
      </c>
      <c r="F1406" s="14">
        <v>535.0</v>
      </c>
      <c r="G1406" s="14">
        <v>542.0</v>
      </c>
      <c r="H1406" s="14" t="s">
        <v>28</v>
      </c>
      <c r="I1406" s="19" t="s">
        <v>16820</v>
      </c>
      <c r="J1406" s="19" t="s">
        <v>16821</v>
      </c>
      <c r="K1406" s="19" t="s">
        <v>16980</v>
      </c>
      <c r="L1406" s="19" t="s">
        <v>13482</v>
      </c>
      <c r="M1406" s="20" t="s">
        <v>16822</v>
      </c>
      <c r="N1406" s="44" t="s">
        <v>16823</v>
      </c>
      <c r="O1406" s="22">
        <v>128.0</v>
      </c>
      <c r="P1406" s="28">
        <v>19.0</v>
      </c>
      <c r="Q1406" s="28">
        <v>22.0</v>
      </c>
      <c r="R1406" s="84"/>
      <c r="S1406" s="84"/>
      <c r="T1406" s="84"/>
      <c r="U1406" s="84"/>
      <c r="V1406" s="84"/>
      <c r="W1406" s="84"/>
      <c r="X1406" s="84"/>
      <c r="Y1406" s="84"/>
      <c r="Z1406" s="84"/>
      <c r="AA1406" s="84"/>
    </row>
    <row r="1407" ht="15.75" customHeight="1">
      <c r="A1407" s="14" t="s">
        <v>17</v>
      </c>
      <c r="B1407" s="15" t="s">
        <v>16078</v>
      </c>
      <c r="C1407" s="14" t="s">
        <v>16824</v>
      </c>
      <c r="D1407" s="14" t="s">
        <v>16825</v>
      </c>
      <c r="E1407" s="26" t="str">
        <f t="shared" si="26"/>
        <v>http://dx.doi.org/10.1109/VISUAL.2005.1532840</v>
      </c>
      <c r="F1407" s="14">
        <v>543.0</v>
      </c>
      <c r="G1407" s="14">
        <v>550.0</v>
      </c>
      <c r="H1407" s="14" t="s">
        <v>28</v>
      </c>
      <c r="I1407" s="19" t="s">
        <v>16830</v>
      </c>
      <c r="J1407" s="19" t="s">
        <v>16831</v>
      </c>
      <c r="K1407" s="19" t="s">
        <v>16982</v>
      </c>
      <c r="L1407" s="19" t="s">
        <v>16983</v>
      </c>
      <c r="M1407" s="20" t="s">
        <v>12442</v>
      </c>
      <c r="N1407" s="44" t="s">
        <v>16833</v>
      </c>
      <c r="O1407" s="22">
        <v>34.0</v>
      </c>
      <c r="P1407" s="28">
        <v>5.0</v>
      </c>
      <c r="Q1407" s="28">
        <v>27.0</v>
      </c>
      <c r="R1407" s="84"/>
      <c r="S1407" s="84"/>
      <c r="T1407" s="84"/>
      <c r="U1407" s="84"/>
      <c r="V1407" s="84"/>
      <c r="W1407" s="84"/>
      <c r="X1407" s="84"/>
      <c r="Y1407" s="84"/>
      <c r="Z1407" s="84"/>
      <c r="AA1407" s="84"/>
    </row>
    <row r="1408" ht="15.75" customHeight="1">
      <c r="A1408" s="14" t="s">
        <v>17</v>
      </c>
      <c r="B1408" s="15" t="s">
        <v>16078</v>
      </c>
      <c r="C1408" s="14" t="s">
        <v>16834</v>
      </c>
      <c r="D1408" s="14" t="s">
        <v>16835</v>
      </c>
      <c r="E1408" s="26" t="str">
        <f t="shared" si="26"/>
        <v>http://dx.doi.org/10.1109/VISUAL.2005.1532841</v>
      </c>
      <c r="F1408" s="14">
        <v>551.0</v>
      </c>
      <c r="G1408" s="14">
        <v>558.0</v>
      </c>
      <c r="H1408" s="14" t="s">
        <v>28</v>
      </c>
      <c r="I1408" s="19" t="s">
        <v>16841</v>
      </c>
      <c r="J1408" s="19" t="s">
        <v>16842</v>
      </c>
      <c r="K1408" s="19" t="s">
        <v>16992</v>
      </c>
      <c r="L1408" s="19" t="s">
        <v>16993</v>
      </c>
      <c r="M1408" s="20" t="s">
        <v>16844</v>
      </c>
      <c r="N1408" s="44" t="s">
        <v>16845</v>
      </c>
      <c r="O1408" s="22">
        <v>19.0</v>
      </c>
      <c r="P1408" s="28">
        <v>9.0</v>
      </c>
      <c r="Q1408" s="28">
        <v>13.0</v>
      </c>
      <c r="R1408" s="84"/>
      <c r="S1408" s="84"/>
      <c r="T1408" s="84"/>
      <c r="U1408" s="84"/>
      <c r="V1408" s="84"/>
      <c r="W1408" s="84"/>
      <c r="X1408" s="84"/>
      <c r="Y1408" s="84"/>
      <c r="Z1408" s="84"/>
      <c r="AA1408" s="84"/>
    </row>
    <row r="1409" ht="15.75" customHeight="1">
      <c r="A1409" s="14" t="s">
        <v>17</v>
      </c>
      <c r="B1409" s="15" t="s">
        <v>16078</v>
      </c>
      <c r="C1409" s="14" t="s">
        <v>16846</v>
      </c>
      <c r="D1409" s="14" t="s">
        <v>16847</v>
      </c>
      <c r="E1409" s="26" t="str">
        <f t="shared" si="26"/>
        <v>http://dx.doi.org/10.1109/VISUAL.2005.1532842</v>
      </c>
      <c r="F1409" s="14">
        <v>559.0</v>
      </c>
      <c r="G1409" s="14">
        <v>566.0</v>
      </c>
      <c r="H1409" s="14" t="s">
        <v>28</v>
      </c>
      <c r="I1409" s="19" t="s">
        <v>16852</v>
      </c>
      <c r="J1409" s="19" t="s">
        <v>16853</v>
      </c>
      <c r="K1409" s="19" t="s">
        <v>16998</v>
      </c>
      <c r="L1409" s="19" t="s">
        <v>17000</v>
      </c>
      <c r="M1409" s="20" t="s">
        <v>16855</v>
      </c>
      <c r="N1409" s="27"/>
      <c r="O1409" s="22">
        <v>23.0</v>
      </c>
      <c r="P1409" s="28">
        <v>11.0</v>
      </c>
      <c r="Q1409" s="28">
        <v>22.0</v>
      </c>
      <c r="R1409" s="84"/>
      <c r="S1409" s="84"/>
      <c r="T1409" s="84"/>
      <c r="U1409" s="84"/>
      <c r="V1409" s="84"/>
      <c r="W1409" s="84"/>
      <c r="X1409" s="84"/>
      <c r="Y1409" s="84"/>
      <c r="Z1409" s="84"/>
      <c r="AA1409" s="84"/>
    </row>
    <row r="1410" ht="15.75" customHeight="1">
      <c r="A1410" s="14" t="s">
        <v>17</v>
      </c>
      <c r="B1410" s="15" t="s">
        <v>16078</v>
      </c>
      <c r="C1410" s="14" t="s">
        <v>16856</v>
      </c>
      <c r="D1410" s="14" t="s">
        <v>16857</v>
      </c>
      <c r="E1410" s="26" t="str">
        <f t="shared" si="26"/>
        <v>http://dx.doi.org/10.1109/VISUAL.2005.1532843</v>
      </c>
      <c r="F1410" s="14">
        <v>567.0</v>
      </c>
      <c r="G1410" s="14">
        <v>574.0</v>
      </c>
      <c r="H1410" s="14" t="s">
        <v>28</v>
      </c>
      <c r="I1410" s="19" t="s">
        <v>16860</v>
      </c>
      <c r="J1410" s="19" t="s">
        <v>16861</v>
      </c>
      <c r="K1410" s="19" t="s">
        <v>17004</v>
      </c>
      <c r="L1410" s="19" t="s">
        <v>13308</v>
      </c>
      <c r="M1410" s="20"/>
      <c r="N1410" s="44" t="s">
        <v>16862</v>
      </c>
      <c r="O1410" s="109"/>
      <c r="P1410" s="28">
        <v>4.0</v>
      </c>
      <c r="Q1410" s="28">
        <v>13.0</v>
      </c>
      <c r="R1410" s="84"/>
      <c r="S1410" s="84"/>
      <c r="T1410" s="84"/>
      <c r="U1410" s="84"/>
      <c r="V1410" s="84"/>
      <c r="W1410" s="84"/>
      <c r="X1410" s="84"/>
      <c r="Y1410" s="84"/>
      <c r="Z1410" s="84"/>
      <c r="AA1410" s="84"/>
    </row>
    <row r="1411" ht="15.75" customHeight="1">
      <c r="A1411" s="14" t="s">
        <v>17</v>
      </c>
      <c r="B1411" s="15" t="s">
        <v>16078</v>
      </c>
      <c r="C1411" s="14" t="s">
        <v>16863</v>
      </c>
      <c r="D1411" s="14" t="s">
        <v>16864</v>
      </c>
      <c r="E1411" s="26" t="str">
        <f t="shared" si="26"/>
        <v>http://dx.doi.org/10.1109/VISUAL.2005.1532844</v>
      </c>
      <c r="F1411" s="14">
        <v>575.0</v>
      </c>
      <c r="G1411" s="14">
        <v>582.0</v>
      </c>
      <c r="H1411" s="14" t="s">
        <v>28</v>
      </c>
      <c r="I1411" s="19" t="s">
        <v>16868</v>
      </c>
      <c r="J1411" s="19" t="s">
        <v>16869</v>
      </c>
      <c r="K1411" s="19" t="s">
        <v>17012</v>
      </c>
      <c r="L1411" s="19" t="s">
        <v>17013</v>
      </c>
      <c r="M1411" s="20"/>
      <c r="N1411" s="44" t="s">
        <v>16872</v>
      </c>
      <c r="O1411" s="22">
        <v>24.0</v>
      </c>
      <c r="P1411" s="28">
        <v>3.0</v>
      </c>
      <c r="Q1411" s="28">
        <v>41.0</v>
      </c>
      <c r="R1411" s="84"/>
      <c r="S1411" s="84"/>
      <c r="T1411" s="84"/>
      <c r="U1411" s="84"/>
      <c r="V1411" s="84"/>
      <c r="W1411" s="84"/>
      <c r="X1411" s="84"/>
      <c r="Y1411" s="84"/>
      <c r="Z1411" s="84"/>
      <c r="AA1411" s="84"/>
    </row>
    <row r="1412" ht="15.75" customHeight="1">
      <c r="A1412" s="14" t="s">
        <v>17</v>
      </c>
      <c r="B1412" s="15" t="s">
        <v>16078</v>
      </c>
      <c r="C1412" s="14" t="s">
        <v>16874</v>
      </c>
      <c r="D1412" s="14" t="s">
        <v>16875</v>
      </c>
      <c r="E1412" s="26" t="str">
        <f t="shared" si="26"/>
        <v>http://dx.doi.org/10.1109/VISUAL.2005.1532845</v>
      </c>
      <c r="F1412" s="14">
        <v>583.0</v>
      </c>
      <c r="G1412" s="14">
        <v>590.0</v>
      </c>
      <c r="H1412" s="14" t="s">
        <v>28</v>
      </c>
      <c r="I1412" s="19" t="s">
        <v>17014</v>
      </c>
      <c r="J1412" s="19" t="s">
        <v>17015</v>
      </c>
      <c r="K1412" s="19" t="s">
        <v>17016</v>
      </c>
      <c r="L1412" s="19" t="s">
        <v>17018</v>
      </c>
      <c r="M1412" s="20" t="s">
        <v>16882</v>
      </c>
      <c r="N1412" s="44" t="s">
        <v>16883</v>
      </c>
      <c r="O1412" s="22">
        <v>13.0</v>
      </c>
      <c r="P1412" s="28">
        <v>3.0</v>
      </c>
      <c r="Q1412" s="28">
        <v>47.0</v>
      </c>
      <c r="R1412" s="84"/>
      <c r="S1412" s="84"/>
      <c r="T1412" s="84"/>
      <c r="U1412" s="84"/>
      <c r="V1412" s="84"/>
      <c r="W1412" s="84"/>
      <c r="X1412" s="84"/>
      <c r="Y1412" s="84"/>
      <c r="Z1412" s="84"/>
      <c r="AA1412" s="84"/>
    </row>
    <row r="1413" ht="15.75" customHeight="1">
      <c r="A1413" s="14" t="s">
        <v>17</v>
      </c>
      <c r="B1413" s="15" t="s">
        <v>16078</v>
      </c>
      <c r="C1413" s="14" t="s">
        <v>16884</v>
      </c>
      <c r="D1413" s="14" t="s">
        <v>16885</v>
      </c>
      <c r="E1413" s="26" t="str">
        <f t="shared" si="26"/>
        <v>http://dx.doi.org/10.1109/VISUAL.2005.1532846</v>
      </c>
      <c r="F1413" s="14">
        <v>591.0</v>
      </c>
      <c r="G1413" s="14">
        <v>597.0</v>
      </c>
      <c r="H1413" s="14" t="s">
        <v>28</v>
      </c>
      <c r="I1413" s="19" t="s">
        <v>16889</v>
      </c>
      <c r="J1413" s="19" t="s">
        <v>16891</v>
      </c>
      <c r="K1413" s="19" t="s">
        <v>17025</v>
      </c>
      <c r="L1413" s="19" t="s">
        <v>17026</v>
      </c>
      <c r="M1413" s="20" t="s">
        <v>16893</v>
      </c>
      <c r="N1413" s="44" t="s">
        <v>16894</v>
      </c>
      <c r="O1413" s="22">
        <v>50.0</v>
      </c>
      <c r="P1413" s="28">
        <v>4.0</v>
      </c>
      <c r="Q1413" s="28">
        <v>11.0</v>
      </c>
      <c r="R1413" s="84"/>
      <c r="S1413" s="84"/>
      <c r="T1413" s="84"/>
      <c r="U1413" s="84"/>
      <c r="V1413" s="84"/>
      <c r="W1413" s="84"/>
      <c r="X1413" s="84"/>
      <c r="Y1413" s="84"/>
      <c r="Z1413" s="84"/>
      <c r="AA1413" s="84"/>
    </row>
    <row r="1414" ht="15.75" customHeight="1">
      <c r="A1414" s="14" t="s">
        <v>17</v>
      </c>
      <c r="B1414" s="15" t="s">
        <v>16078</v>
      </c>
      <c r="C1414" s="42" t="s">
        <v>17027</v>
      </c>
      <c r="D1414" s="14" t="s">
        <v>16896</v>
      </c>
      <c r="E1414" s="26" t="str">
        <f t="shared" si="26"/>
        <v>http://dx.doi.org/10.1109/VISUAL.2005.1532847</v>
      </c>
      <c r="F1414" s="14">
        <v>599.0</v>
      </c>
      <c r="G1414" s="14">
        <v>606.0</v>
      </c>
      <c r="H1414" s="14" t="s">
        <v>28</v>
      </c>
      <c r="I1414" s="19" t="s">
        <v>17028</v>
      </c>
      <c r="J1414" s="19" t="s">
        <v>17029</v>
      </c>
      <c r="K1414" s="19" t="s">
        <v>17030</v>
      </c>
      <c r="L1414" s="19" t="s">
        <v>13641</v>
      </c>
      <c r="M1414" s="20" t="s">
        <v>16903</v>
      </c>
      <c r="N1414" s="44" t="s">
        <v>15093</v>
      </c>
      <c r="O1414" s="109"/>
      <c r="P1414" s="28">
        <v>4.0</v>
      </c>
      <c r="Q1414" s="28">
        <v>19.0</v>
      </c>
      <c r="R1414" s="84"/>
      <c r="S1414" s="84"/>
      <c r="T1414" s="84"/>
      <c r="U1414" s="84"/>
      <c r="V1414" s="84"/>
      <c r="W1414" s="84"/>
      <c r="X1414" s="84"/>
      <c r="Y1414" s="84"/>
      <c r="Z1414" s="84"/>
      <c r="AA1414" s="84"/>
    </row>
    <row r="1415" ht="15.75" customHeight="1">
      <c r="A1415" s="14" t="s">
        <v>17</v>
      </c>
      <c r="B1415" s="15" t="s">
        <v>16078</v>
      </c>
      <c r="C1415" s="14" t="s">
        <v>16904</v>
      </c>
      <c r="D1415" s="14" t="s">
        <v>16905</v>
      </c>
      <c r="E1415" s="26" t="str">
        <f t="shared" si="26"/>
        <v>http://dx.doi.org/10.1109/VISUAL.2005.1532848</v>
      </c>
      <c r="F1415" s="14">
        <v>607.0</v>
      </c>
      <c r="G1415" s="14">
        <v>614.0</v>
      </c>
      <c r="H1415" s="14" t="s">
        <v>28</v>
      </c>
      <c r="I1415" s="19" t="s">
        <v>16910</v>
      </c>
      <c r="J1415" s="19" t="s">
        <v>16911</v>
      </c>
      <c r="K1415" s="19" t="s">
        <v>17031</v>
      </c>
      <c r="L1415" s="19" t="s">
        <v>17032</v>
      </c>
      <c r="M1415" s="20" t="s">
        <v>16914</v>
      </c>
      <c r="N1415" s="44" t="s">
        <v>16915</v>
      </c>
      <c r="O1415" s="22">
        <v>12.0</v>
      </c>
      <c r="P1415" s="28">
        <v>1.0</v>
      </c>
      <c r="Q1415" s="28">
        <v>21.0</v>
      </c>
      <c r="R1415" s="84"/>
      <c r="S1415" s="84"/>
      <c r="T1415" s="84"/>
      <c r="U1415" s="84"/>
      <c r="V1415" s="84"/>
      <c r="W1415" s="84"/>
      <c r="X1415" s="84"/>
      <c r="Y1415" s="84"/>
      <c r="Z1415" s="84"/>
      <c r="AA1415" s="84"/>
    </row>
    <row r="1416" ht="15.75" customHeight="1">
      <c r="A1416" s="14" t="s">
        <v>17</v>
      </c>
      <c r="B1416" s="15" t="s">
        <v>16078</v>
      </c>
      <c r="C1416" s="14" t="s">
        <v>16916</v>
      </c>
      <c r="D1416" s="14" t="s">
        <v>16917</v>
      </c>
      <c r="E1416" s="26" t="str">
        <f t="shared" si="26"/>
        <v>http://dx.doi.org/10.1109/VISUAL.2005.1532849</v>
      </c>
      <c r="F1416" s="14">
        <v>615.0</v>
      </c>
      <c r="G1416" s="14">
        <v>622.0</v>
      </c>
      <c r="H1416" s="14" t="s">
        <v>28</v>
      </c>
      <c r="I1416" s="19" t="s">
        <v>16922</v>
      </c>
      <c r="J1416" s="19" t="s">
        <v>16923</v>
      </c>
      <c r="K1416" s="19" t="s">
        <v>16923</v>
      </c>
      <c r="L1416" s="19" t="s">
        <v>17033</v>
      </c>
      <c r="M1416" s="20" t="s">
        <v>16925</v>
      </c>
      <c r="N1416" s="44" t="s">
        <v>16926</v>
      </c>
      <c r="O1416" s="22">
        <v>50.0</v>
      </c>
      <c r="P1416" s="28">
        <v>0.0</v>
      </c>
      <c r="Q1416" s="28">
        <v>42.0</v>
      </c>
      <c r="R1416" s="84"/>
      <c r="S1416" s="84"/>
      <c r="T1416" s="84"/>
      <c r="U1416" s="84"/>
      <c r="V1416" s="84"/>
      <c r="W1416" s="84"/>
      <c r="X1416" s="84"/>
      <c r="Y1416" s="84"/>
      <c r="Z1416" s="84"/>
      <c r="AA1416" s="84"/>
    </row>
    <row r="1417" ht="15.75" customHeight="1">
      <c r="A1417" s="14" t="s">
        <v>17</v>
      </c>
      <c r="B1417" s="15" t="s">
        <v>16078</v>
      </c>
      <c r="C1417" s="14" t="s">
        <v>16928</v>
      </c>
      <c r="D1417" s="14" t="s">
        <v>16929</v>
      </c>
      <c r="E1417" s="26" t="str">
        <f t="shared" si="26"/>
        <v>http://dx.doi.org/10.1109/VISUAL.2005.1532850</v>
      </c>
      <c r="F1417" s="14">
        <v>623.0</v>
      </c>
      <c r="G1417" s="14">
        <v>630.0</v>
      </c>
      <c r="H1417" s="14" t="s">
        <v>28</v>
      </c>
      <c r="I1417" s="19" t="s">
        <v>16935</v>
      </c>
      <c r="J1417" s="19" t="s">
        <v>17034</v>
      </c>
      <c r="K1417" s="19" t="s">
        <v>17035</v>
      </c>
      <c r="L1417" s="19" t="s">
        <v>16067</v>
      </c>
      <c r="M1417" s="20" t="s">
        <v>16937</v>
      </c>
      <c r="N1417" s="44" t="s">
        <v>16938</v>
      </c>
      <c r="O1417" s="22">
        <v>83.0</v>
      </c>
      <c r="P1417" s="28">
        <v>23.0</v>
      </c>
      <c r="Q1417" s="28">
        <v>28.0</v>
      </c>
      <c r="R1417" s="84"/>
      <c r="S1417" s="84"/>
      <c r="T1417" s="84"/>
      <c r="U1417" s="84"/>
      <c r="V1417" s="84"/>
      <c r="W1417" s="84"/>
      <c r="X1417" s="84"/>
      <c r="Y1417" s="84"/>
      <c r="Z1417" s="84"/>
      <c r="AA1417" s="84"/>
    </row>
    <row r="1418" ht="15.75" customHeight="1">
      <c r="A1418" s="14" t="s">
        <v>17</v>
      </c>
      <c r="B1418" s="15" t="s">
        <v>16078</v>
      </c>
      <c r="C1418" s="14" t="s">
        <v>16939</v>
      </c>
      <c r="D1418" s="14" t="s">
        <v>16940</v>
      </c>
      <c r="E1418" s="26" t="str">
        <f t="shared" si="26"/>
        <v>http://dx.doi.org/10.1109/VISUAL.2005.1532851</v>
      </c>
      <c r="F1418" s="14">
        <v>631.0</v>
      </c>
      <c r="G1418" s="14">
        <v>638.0</v>
      </c>
      <c r="H1418" s="14" t="s">
        <v>28</v>
      </c>
      <c r="I1418" s="19" t="s">
        <v>16943</v>
      </c>
      <c r="J1418" s="19" t="s">
        <v>16944</v>
      </c>
      <c r="K1418" s="19" t="s">
        <v>17036</v>
      </c>
      <c r="L1418" s="19" t="s">
        <v>17037</v>
      </c>
      <c r="M1418" s="20" t="s">
        <v>16946</v>
      </c>
      <c r="N1418" s="44" t="s">
        <v>16947</v>
      </c>
      <c r="O1418" s="22">
        <v>64.0</v>
      </c>
      <c r="P1418" s="28">
        <v>11.0</v>
      </c>
      <c r="Q1418" s="28">
        <v>27.0</v>
      </c>
      <c r="R1418" s="84"/>
      <c r="S1418" s="84"/>
      <c r="T1418" s="84"/>
      <c r="U1418" s="84"/>
      <c r="V1418" s="84"/>
      <c r="W1418" s="84"/>
      <c r="X1418" s="84"/>
      <c r="Y1418" s="84"/>
      <c r="Z1418" s="84"/>
      <c r="AA1418" s="84"/>
    </row>
    <row r="1419" ht="15.75" customHeight="1">
      <c r="A1419" s="14" t="s">
        <v>17</v>
      </c>
      <c r="B1419" s="15" t="s">
        <v>16078</v>
      </c>
      <c r="C1419" s="14" t="s">
        <v>16948</v>
      </c>
      <c r="D1419" s="14" t="s">
        <v>16949</v>
      </c>
      <c r="E1419" s="26" t="str">
        <f t="shared" si="26"/>
        <v>http://dx.doi.org/10.1109/VISUAL.2005.1532852</v>
      </c>
      <c r="F1419" s="14">
        <v>639.0</v>
      </c>
      <c r="G1419" s="14">
        <v>646.0</v>
      </c>
      <c r="H1419" s="14" t="s">
        <v>28</v>
      </c>
      <c r="I1419" s="19" t="s">
        <v>16954</v>
      </c>
      <c r="J1419" s="19" t="s">
        <v>16955</v>
      </c>
      <c r="K1419" s="19" t="s">
        <v>17038</v>
      </c>
      <c r="L1419" s="19" t="s">
        <v>17039</v>
      </c>
      <c r="M1419" s="20" t="s">
        <v>16957</v>
      </c>
      <c r="N1419" s="44" t="s">
        <v>16958</v>
      </c>
      <c r="O1419" s="22">
        <v>50.0</v>
      </c>
      <c r="P1419" s="28">
        <v>9.0</v>
      </c>
      <c r="Q1419" s="28">
        <v>31.0</v>
      </c>
      <c r="R1419" s="84"/>
      <c r="S1419" s="84"/>
      <c r="T1419" s="84"/>
      <c r="U1419" s="84"/>
      <c r="V1419" s="84"/>
      <c r="W1419" s="84"/>
      <c r="X1419" s="84"/>
      <c r="Y1419" s="84"/>
      <c r="Z1419" s="84"/>
      <c r="AA1419" s="84"/>
    </row>
    <row r="1420" ht="15.75" customHeight="1">
      <c r="A1420" s="14" t="s">
        <v>17</v>
      </c>
      <c r="B1420" s="15" t="s">
        <v>16078</v>
      </c>
      <c r="C1420" s="14" t="s">
        <v>16959</v>
      </c>
      <c r="D1420" s="14" t="s">
        <v>16960</v>
      </c>
      <c r="E1420" s="26" t="str">
        <f t="shared" si="26"/>
        <v>http://dx.doi.org/10.1109/VISUAL.2005.1532853</v>
      </c>
      <c r="F1420" s="14">
        <v>647.0</v>
      </c>
      <c r="G1420" s="14">
        <v>654.0</v>
      </c>
      <c r="H1420" s="14" t="s">
        <v>28</v>
      </c>
      <c r="I1420" s="19" t="s">
        <v>16964</v>
      </c>
      <c r="J1420" s="19" t="s">
        <v>16965</v>
      </c>
      <c r="K1420" s="19" t="s">
        <v>17040</v>
      </c>
      <c r="L1420" s="19" t="s">
        <v>17041</v>
      </c>
      <c r="M1420" s="20" t="s">
        <v>16966</v>
      </c>
      <c r="N1420" s="44" t="s">
        <v>16967</v>
      </c>
      <c r="O1420" s="22">
        <v>90.0</v>
      </c>
      <c r="P1420" s="28">
        <v>11.0</v>
      </c>
      <c r="Q1420" s="28">
        <v>24.0</v>
      </c>
      <c r="R1420" s="84"/>
      <c r="S1420" s="84"/>
      <c r="T1420" s="84"/>
      <c r="U1420" s="84"/>
      <c r="V1420" s="84"/>
      <c r="W1420" s="84"/>
      <c r="X1420" s="84"/>
      <c r="Y1420" s="84"/>
      <c r="Z1420" s="84"/>
      <c r="AA1420" s="84"/>
    </row>
    <row r="1421" ht="15.75" customHeight="1">
      <c r="A1421" s="14" t="s">
        <v>17</v>
      </c>
      <c r="B1421" s="15" t="s">
        <v>16078</v>
      </c>
      <c r="C1421" s="14" t="s">
        <v>16968</v>
      </c>
      <c r="D1421" s="14" t="s">
        <v>16969</v>
      </c>
      <c r="E1421" s="26" t="str">
        <f t="shared" si="26"/>
        <v>http://dx.doi.org/10.1109/VISUAL.2005.1532854</v>
      </c>
      <c r="F1421" s="14">
        <v>655.0</v>
      </c>
      <c r="G1421" s="14">
        <v>662.0</v>
      </c>
      <c r="H1421" s="14" t="s">
        <v>28</v>
      </c>
      <c r="I1421" s="19" t="s">
        <v>16974</v>
      </c>
      <c r="J1421" s="19" t="s">
        <v>16975</v>
      </c>
      <c r="K1421" s="19" t="s">
        <v>17042</v>
      </c>
      <c r="L1421" s="19" t="s">
        <v>15216</v>
      </c>
      <c r="M1421" s="20" t="s">
        <v>16976</v>
      </c>
      <c r="N1421" s="44" t="s">
        <v>16977</v>
      </c>
      <c r="O1421" s="22">
        <v>50.0</v>
      </c>
      <c r="P1421" s="28">
        <v>6.0</v>
      </c>
      <c r="Q1421" s="28">
        <v>33.0</v>
      </c>
      <c r="R1421" s="84"/>
      <c r="S1421" s="84"/>
      <c r="T1421" s="84"/>
      <c r="U1421" s="84"/>
      <c r="V1421" s="84"/>
      <c r="W1421" s="84"/>
      <c r="X1421" s="84"/>
      <c r="Y1421" s="84"/>
      <c r="Z1421" s="84"/>
      <c r="AA1421" s="84"/>
    </row>
    <row r="1422" ht="15.75" customHeight="1">
      <c r="A1422" s="14" t="s">
        <v>17</v>
      </c>
      <c r="B1422" s="15" t="s">
        <v>16078</v>
      </c>
      <c r="C1422" s="14" t="s">
        <v>16978</v>
      </c>
      <c r="D1422" s="14" t="s">
        <v>16979</v>
      </c>
      <c r="E1422" s="26" t="str">
        <f t="shared" si="26"/>
        <v>http://dx.doi.org/10.1109/VISUAL.2005.1532855</v>
      </c>
      <c r="F1422" s="14">
        <v>663.0</v>
      </c>
      <c r="G1422" s="14">
        <v>670.0</v>
      </c>
      <c r="H1422" s="14" t="s">
        <v>28</v>
      </c>
      <c r="I1422" s="19" t="s">
        <v>16984</v>
      </c>
      <c r="J1422" s="19" t="s">
        <v>17043</v>
      </c>
      <c r="K1422" s="19" t="s">
        <v>17044</v>
      </c>
      <c r="L1422" s="19" t="s">
        <v>17045</v>
      </c>
      <c r="M1422" s="20" t="s">
        <v>16987</v>
      </c>
      <c r="N1422" s="44" t="s">
        <v>16988</v>
      </c>
      <c r="O1422" s="22">
        <v>50.0</v>
      </c>
      <c r="P1422" s="28">
        <v>5.0</v>
      </c>
      <c r="Q1422" s="28">
        <v>33.0</v>
      </c>
      <c r="R1422" s="84"/>
      <c r="S1422" s="84"/>
      <c r="T1422" s="84"/>
      <c r="U1422" s="84"/>
      <c r="V1422" s="84"/>
      <c r="W1422" s="84"/>
      <c r="X1422" s="84"/>
      <c r="Y1422" s="84"/>
      <c r="Z1422" s="84"/>
      <c r="AA1422" s="84"/>
    </row>
    <row r="1423" ht="15.75" customHeight="1">
      <c r="A1423" s="14" t="s">
        <v>17</v>
      </c>
      <c r="B1423" s="15" t="s">
        <v>16078</v>
      </c>
      <c r="C1423" s="14" t="s">
        <v>16989</v>
      </c>
      <c r="D1423" s="14" t="s">
        <v>16990</v>
      </c>
      <c r="E1423" s="26" t="str">
        <f t="shared" si="26"/>
        <v>http://dx.doi.org/10.1109/VISUAL.2005.1532856</v>
      </c>
      <c r="F1423" s="14">
        <v>671.0</v>
      </c>
      <c r="G1423" s="14">
        <v>678.0</v>
      </c>
      <c r="H1423" s="14" t="s">
        <v>28</v>
      </c>
      <c r="I1423" s="19" t="s">
        <v>16994</v>
      </c>
      <c r="J1423" s="19" t="s">
        <v>17046</v>
      </c>
      <c r="K1423" s="19" t="s">
        <v>17047</v>
      </c>
      <c r="L1423" s="19" t="s">
        <v>14340</v>
      </c>
      <c r="M1423" s="20" t="s">
        <v>16997</v>
      </c>
      <c r="N1423" s="44" t="s">
        <v>16999</v>
      </c>
      <c r="O1423" s="22">
        <v>226.0</v>
      </c>
      <c r="P1423" s="28">
        <v>42.0</v>
      </c>
      <c r="Q1423" s="28">
        <v>27.0</v>
      </c>
      <c r="R1423" s="84"/>
      <c r="S1423" s="84"/>
      <c r="T1423" s="84"/>
      <c r="U1423" s="84"/>
      <c r="V1423" s="84"/>
      <c r="W1423" s="84"/>
      <c r="X1423" s="84"/>
      <c r="Y1423" s="84"/>
      <c r="Z1423" s="84"/>
      <c r="AA1423" s="84"/>
    </row>
    <row r="1424" ht="15.75" customHeight="1">
      <c r="A1424" s="14" t="s">
        <v>17</v>
      </c>
      <c r="B1424" s="15" t="s">
        <v>16078</v>
      </c>
      <c r="C1424" s="14" t="s">
        <v>17001</v>
      </c>
      <c r="D1424" s="14" t="s">
        <v>17002</v>
      </c>
      <c r="E1424" s="26" t="str">
        <f t="shared" si="26"/>
        <v>http://dx.doi.org/10.1109/VISUAL.2005.1532857</v>
      </c>
      <c r="F1424" s="14">
        <v>679.0</v>
      </c>
      <c r="G1424" s="14">
        <v>686.0</v>
      </c>
      <c r="H1424" s="14" t="s">
        <v>28</v>
      </c>
      <c r="I1424" s="19" t="s">
        <v>17005</v>
      </c>
      <c r="J1424" s="19" t="s">
        <v>17006</v>
      </c>
      <c r="K1424" s="19" t="s">
        <v>17048</v>
      </c>
      <c r="L1424" s="19" t="s">
        <v>14050</v>
      </c>
      <c r="M1424" s="20" t="s">
        <v>17007</v>
      </c>
      <c r="N1424" s="44" t="s">
        <v>17008</v>
      </c>
      <c r="O1424" s="22">
        <v>88.0</v>
      </c>
      <c r="P1424" s="28">
        <v>10.0</v>
      </c>
      <c r="Q1424" s="28">
        <v>24.0</v>
      </c>
      <c r="R1424" s="84"/>
      <c r="S1424" s="84"/>
      <c r="T1424" s="84"/>
      <c r="U1424" s="84"/>
      <c r="V1424" s="84"/>
      <c r="W1424" s="84"/>
      <c r="X1424" s="84"/>
      <c r="Y1424" s="84"/>
      <c r="Z1424" s="84"/>
      <c r="AA1424" s="84"/>
    </row>
    <row r="1425" ht="15.75" customHeight="1">
      <c r="A1425" s="14" t="s">
        <v>17</v>
      </c>
      <c r="B1425" s="15" t="s">
        <v>16078</v>
      </c>
      <c r="C1425" s="14" t="s">
        <v>17009</v>
      </c>
      <c r="D1425" s="14" t="s">
        <v>17010</v>
      </c>
      <c r="E1425" s="26" t="str">
        <f t="shared" si="26"/>
        <v>http://dx.doi.org/10.1109/VISUAL.2005.1532858</v>
      </c>
      <c r="F1425" s="14">
        <v>687.0</v>
      </c>
      <c r="G1425" s="14">
        <v>694.0</v>
      </c>
      <c r="H1425" s="14" t="s">
        <v>28</v>
      </c>
      <c r="I1425" s="19" t="s">
        <v>17017</v>
      </c>
      <c r="J1425" s="19" t="s">
        <v>17019</v>
      </c>
      <c r="K1425" s="19" t="s">
        <v>17049</v>
      </c>
      <c r="L1425" s="19" t="s">
        <v>15996</v>
      </c>
      <c r="M1425" s="20" t="s">
        <v>17020</v>
      </c>
      <c r="N1425" s="44" t="s">
        <v>17021</v>
      </c>
      <c r="O1425" s="22">
        <v>65.0</v>
      </c>
      <c r="P1425" s="28">
        <v>15.0</v>
      </c>
      <c r="Q1425" s="28">
        <v>35.0</v>
      </c>
      <c r="R1425" s="84"/>
      <c r="S1425" s="84"/>
      <c r="T1425" s="84"/>
      <c r="U1425" s="84"/>
      <c r="V1425" s="84"/>
      <c r="W1425" s="84"/>
      <c r="X1425" s="84"/>
      <c r="Y1425" s="84"/>
      <c r="Z1425" s="84"/>
      <c r="AA1425" s="84"/>
    </row>
    <row r="1426" ht="15.75" customHeight="1">
      <c r="A1426" s="14" t="s">
        <v>17</v>
      </c>
      <c r="B1426" s="15" t="s">
        <v>16078</v>
      </c>
      <c r="C1426" s="14" t="s">
        <v>17022</v>
      </c>
      <c r="D1426" s="14" t="s">
        <v>17023</v>
      </c>
      <c r="E1426" s="26" t="str">
        <f t="shared" si="26"/>
        <v>http://dx.doi.org/10.1109/VISUAL.2005.1532859</v>
      </c>
      <c r="F1426" s="14">
        <v>695.0</v>
      </c>
      <c r="G1426" s="14">
        <v>702.0</v>
      </c>
      <c r="H1426" s="14" t="s">
        <v>28</v>
      </c>
      <c r="I1426" s="19" t="s">
        <v>17050</v>
      </c>
      <c r="J1426" s="19" t="s">
        <v>17051</v>
      </c>
      <c r="K1426" s="19" t="s">
        <v>17052</v>
      </c>
      <c r="L1426" s="19" t="s">
        <v>17053</v>
      </c>
      <c r="M1426" s="20" t="s">
        <v>17054</v>
      </c>
      <c r="N1426" s="44" t="s">
        <v>17055</v>
      </c>
      <c r="O1426" s="22">
        <v>0.0</v>
      </c>
      <c r="P1426" s="28">
        <v>21.0</v>
      </c>
      <c r="Q1426" s="28">
        <v>16.0</v>
      </c>
      <c r="R1426" s="84"/>
      <c r="S1426" s="84"/>
      <c r="T1426" s="84"/>
      <c r="U1426" s="84"/>
      <c r="V1426" s="84"/>
      <c r="W1426" s="84"/>
      <c r="X1426" s="84"/>
      <c r="Y1426" s="84"/>
      <c r="Z1426" s="84"/>
      <c r="AA1426" s="84"/>
    </row>
    <row r="1427" ht="15.75" customHeight="1">
      <c r="A1427" s="14" t="s">
        <v>2137</v>
      </c>
      <c r="B1427" s="15" t="s">
        <v>17056</v>
      </c>
      <c r="C1427" s="14" t="s">
        <v>17057</v>
      </c>
      <c r="D1427" s="14" t="s">
        <v>17058</v>
      </c>
      <c r="E1427" s="26" t="str">
        <f t="shared" si="26"/>
        <v>http://dx.doi.org/10.1109/TVCG.2006.120</v>
      </c>
      <c r="F1427" s="14">
        <v>669.0</v>
      </c>
      <c r="G1427" s="14">
        <v>676.0</v>
      </c>
      <c r="H1427" s="14" t="s">
        <v>17059</v>
      </c>
      <c r="I1427" s="19" t="s">
        <v>17060</v>
      </c>
      <c r="J1427" s="19" t="s">
        <v>17061</v>
      </c>
      <c r="K1427" s="19" t="s">
        <v>17062</v>
      </c>
      <c r="L1427" s="19" t="s">
        <v>17063</v>
      </c>
      <c r="M1427" s="20" t="s">
        <v>17064</v>
      </c>
      <c r="N1427" s="44" t="s">
        <v>17065</v>
      </c>
      <c r="O1427" s="22">
        <v>263.0</v>
      </c>
      <c r="P1427" s="28">
        <v>102.0</v>
      </c>
      <c r="Q1427" s="28">
        <v>25.0</v>
      </c>
      <c r="R1427" s="84"/>
      <c r="S1427" s="84"/>
      <c r="T1427" s="84"/>
      <c r="U1427" s="84"/>
      <c r="V1427" s="84"/>
      <c r="W1427" s="84"/>
      <c r="X1427" s="84"/>
      <c r="Y1427" s="84"/>
      <c r="Z1427" s="84"/>
      <c r="AA1427" s="84"/>
    </row>
    <row r="1428" ht="15.75" customHeight="1">
      <c r="A1428" s="14" t="s">
        <v>2137</v>
      </c>
      <c r="B1428" s="15" t="s">
        <v>17056</v>
      </c>
      <c r="C1428" s="14" t="s">
        <v>17066</v>
      </c>
      <c r="D1428" s="14" t="s">
        <v>17067</v>
      </c>
      <c r="E1428" s="26" t="str">
        <f t="shared" si="26"/>
        <v>http://dx.doi.org/10.1109/TVCG.2006.122</v>
      </c>
      <c r="F1428" s="14">
        <v>693.0</v>
      </c>
      <c r="G1428" s="14">
        <v>700.0</v>
      </c>
      <c r="H1428" s="14" t="s">
        <v>17059</v>
      </c>
      <c r="I1428" s="19" t="s">
        <v>17068</v>
      </c>
      <c r="J1428" s="19" t="s">
        <v>17069</v>
      </c>
      <c r="K1428" s="19" t="s">
        <v>17069</v>
      </c>
      <c r="L1428" s="19" t="s">
        <v>17070</v>
      </c>
      <c r="M1428" s="20" t="s">
        <v>17071</v>
      </c>
      <c r="N1428" s="44" t="s">
        <v>17072</v>
      </c>
      <c r="O1428" s="22">
        <v>250.0</v>
      </c>
      <c r="P1428" s="28">
        <v>89.0</v>
      </c>
      <c r="Q1428" s="28">
        <v>34.0</v>
      </c>
      <c r="R1428" s="84"/>
      <c r="S1428" s="84"/>
      <c r="T1428" s="84"/>
      <c r="U1428" s="84"/>
      <c r="V1428" s="84"/>
      <c r="W1428" s="84"/>
      <c r="X1428" s="84"/>
      <c r="Y1428" s="84"/>
      <c r="Z1428" s="84"/>
      <c r="AA1428" s="84"/>
    </row>
    <row r="1429" ht="15.75" customHeight="1">
      <c r="A1429" s="14" t="s">
        <v>2137</v>
      </c>
      <c r="B1429" s="15" t="s">
        <v>17056</v>
      </c>
      <c r="C1429" s="14" t="s">
        <v>17073</v>
      </c>
      <c r="D1429" s="14" t="s">
        <v>17074</v>
      </c>
      <c r="E1429" s="26" t="str">
        <f t="shared" si="26"/>
        <v>http://dx.doi.org/10.1109/TVCG.2006.126</v>
      </c>
      <c r="F1429" s="14">
        <v>845.0</v>
      </c>
      <c r="G1429" s="14">
        <v>852.0</v>
      </c>
      <c r="H1429" s="14" t="s">
        <v>17059</v>
      </c>
      <c r="I1429" s="19" t="s">
        <v>17075</v>
      </c>
      <c r="J1429" s="19" t="s">
        <v>17076</v>
      </c>
      <c r="K1429" s="19" t="s">
        <v>17077</v>
      </c>
      <c r="L1429" s="18"/>
      <c r="M1429" s="20" t="s">
        <v>17078</v>
      </c>
      <c r="N1429" s="44" t="s">
        <v>17079</v>
      </c>
      <c r="O1429" s="22">
        <v>50.0</v>
      </c>
      <c r="P1429" s="28">
        <v>3.0</v>
      </c>
      <c r="Q1429" s="28">
        <v>9.0</v>
      </c>
      <c r="R1429" s="84"/>
      <c r="S1429" s="84"/>
      <c r="T1429" s="84"/>
      <c r="U1429" s="84"/>
      <c r="V1429" s="84"/>
      <c r="W1429" s="84"/>
      <c r="X1429" s="84"/>
      <c r="Y1429" s="84"/>
      <c r="Z1429" s="84"/>
      <c r="AA1429" s="84"/>
    </row>
    <row r="1430" ht="15.75" customHeight="1">
      <c r="A1430" s="14" t="s">
        <v>2137</v>
      </c>
      <c r="B1430" s="15" t="s">
        <v>17056</v>
      </c>
      <c r="C1430" s="14" t="s">
        <v>17080</v>
      </c>
      <c r="D1430" s="14" t="s">
        <v>17081</v>
      </c>
      <c r="E1430" s="26" t="str">
        <f t="shared" si="26"/>
        <v>http://dx.doi.org/10.1109/TVCG.2006.136</v>
      </c>
      <c r="F1430" s="14">
        <v>773.0</v>
      </c>
      <c r="G1430" s="14">
        <v>780.0</v>
      </c>
      <c r="H1430" s="14" t="s">
        <v>17059</v>
      </c>
      <c r="I1430" s="19" t="s">
        <v>17082</v>
      </c>
      <c r="J1430" s="19" t="s">
        <v>17083</v>
      </c>
      <c r="K1430" s="19" t="s">
        <v>17084</v>
      </c>
      <c r="L1430" s="19" t="s">
        <v>17085</v>
      </c>
      <c r="M1430" s="20"/>
      <c r="N1430" s="44" t="s">
        <v>17086</v>
      </c>
      <c r="O1430" s="22">
        <v>91.0</v>
      </c>
      <c r="P1430" s="28">
        <v>37.0</v>
      </c>
      <c r="Q1430" s="28">
        <v>32.0</v>
      </c>
      <c r="R1430" s="84"/>
      <c r="S1430" s="84"/>
      <c r="T1430" s="84"/>
      <c r="U1430" s="84"/>
      <c r="V1430" s="84"/>
      <c r="W1430" s="84"/>
      <c r="X1430" s="84"/>
      <c r="Y1430" s="84"/>
      <c r="Z1430" s="84"/>
      <c r="AA1430" s="84"/>
    </row>
    <row r="1431" ht="15.75" customHeight="1">
      <c r="A1431" s="14" t="s">
        <v>2137</v>
      </c>
      <c r="B1431" s="15" t="s">
        <v>17056</v>
      </c>
      <c r="C1431" s="14" t="s">
        <v>17087</v>
      </c>
      <c r="D1431" s="14" t="s">
        <v>17088</v>
      </c>
      <c r="E1431" s="26" t="str">
        <f t="shared" si="26"/>
        <v>http://dx.doi.org/10.1109/TVCG.2006.138</v>
      </c>
      <c r="F1431" s="14">
        <v>717.0</v>
      </c>
      <c r="G1431" s="14">
        <v>724.0</v>
      </c>
      <c r="H1431" s="14" t="s">
        <v>17059</v>
      </c>
      <c r="I1431" s="19" t="s">
        <v>17255</v>
      </c>
      <c r="J1431" s="19" t="s">
        <v>17256</v>
      </c>
      <c r="K1431" s="19" t="s">
        <v>17257</v>
      </c>
      <c r="L1431" s="18"/>
      <c r="M1431" s="20" t="s">
        <v>17258</v>
      </c>
      <c r="N1431" s="88" t="s">
        <v>17259</v>
      </c>
      <c r="O1431" s="22">
        <v>104.0</v>
      </c>
      <c r="P1431" s="28">
        <v>50.0</v>
      </c>
      <c r="Q1431" s="28">
        <v>16.0</v>
      </c>
      <c r="R1431" s="84"/>
      <c r="S1431" s="84"/>
      <c r="T1431" s="84"/>
      <c r="U1431" s="84"/>
      <c r="V1431" s="84"/>
      <c r="W1431" s="84"/>
      <c r="X1431" s="84"/>
      <c r="Y1431" s="84"/>
      <c r="Z1431" s="84"/>
      <c r="AA1431" s="84"/>
    </row>
    <row r="1432" ht="15.75" customHeight="1">
      <c r="A1432" s="14" t="s">
        <v>2137</v>
      </c>
      <c r="B1432" s="15" t="s">
        <v>17056</v>
      </c>
      <c r="C1432" s="14" t="s">
        <v>17260</v>
      </c>
      <c r="D1432" s="14" t="s">
        <v>17261</v>
      </c>
      <c r="E1432" s="26" t="str">
        <f t="shared" si="26"/>
        <v>http://dx.doi.org/10.1109/TVCG.2006.142</v>
      </c>
      <c r="F1432" s="14">
        <v>797.0</v>
      </c>
      <c r="G1432" s="14">
        <v>804.0</v>
      </c>
      <c r="H1432" s="14" t="s">
        <v>17059</v>
      </c>
      <c r="I1432" s="19" t="s">
        <v>17262</v>
      </c>
      <c r="J1432" s="19" t="s">
        <v>17263</v>
      </c>
      <c r="K1432" s="19" t="s">
        <v>17264</v>
      </c>
      <c r="L1432" s="18"/>
      <c r="M1432" s="20" t="s">
        <v>17265</v>
      </c>
      <c r="N1432" s="44" t="s">
        <v>17266</v>
      </c>
      <c r="O1432" s="22">
        <v>120.0</v>
      </c>
      <c r="P1432" s="28">
        <v>35.0</v>
      </c>
      <c r="Q1432" s="28">
        <v>30.0</v>
      </c>
      <c r="R1432" s="84"/>
      <c r="S1432" s="84"/>
      <c r="T1432" s="84"/>
      <c r="U1432" s="84"/>
      <c r="V1432" s="84"/>
      <c r="W1432" s="84"/>
      <c r="X1432" s="84"/>
      <c r="Y1432" s="84"/>
      <c r="Z1432" s="84"/>
      <c r="AA1432" s="84"/>
    </row>
    <row r="1433" ht="15.75" customHeight="1">
      <c r="A1433" s="14" t="s">
        <v>2137</v>
      </c>
      <c r="B1433" s="15" t="s">
        <v>17056</v>
      </c>
      <c r="C1433" s="14" t="s">
        <v>17267</v>
      </c>
      <c r="D1433" s="14" t="s">
        <v>17268</v>
      </c>
      <c r="E1433" s="26" t="str">
        <f t="shared" si="26"/>
        <v>http://dx.doi.org/10.1109/TVCG.2006.147</v>
      </c>
      <c r="F1433" s="14">
        <v>741.0</v>
      </c>
      <c r="G1433" s="14">
        <v>748.0</v>
      </c>
      <c r="H1433" s="14" t="s">
        <v>17059</v>
      </c>
      <c r="I1433" s="19" t="s">
        <v>17269</v>
      </c>
      <c r="J1433" s="19" t="s">
        <v>17270</v>
      </c>
      <c r="K1433" s="19" t="s">
        <v>17270</v>
      </c>
      <c r="L1433" s="18"/>
      <c r="M1433" s="20" t="s">
        <v>17271</v>
      </c>
      <c r="N1433" s="44" t="s">
        <v>17272</v>
      </c>
      <c r="O1433" s="109"/>
      <c r="P1433" s="28">
        <v>384.0</v>
      </c>
      <c r="Q1433" s="28">
        <v>33.0</v>
      </c>
      <c r="R1433" s="85" t="s">
        <v>1264</v>
      </c>
      <c r="S1433" s="84"/>
      <c r="T1433" s="84"/>
      <c r="U1433" s="84"/>
      <c r="V1433" s="84"/>
      <c r="W1433" s="84"/>
      <c r="X1433" s="84"/>
      <c r="Y1433" s="84"/>
      <c r="Z1433" s="84"/>
      <c r="AA1433" s="84"/>
    </row>
    <row r="1434" ht="15.75" customHeight="1">
      <c r="A1434" s="14" t="s">
        <v>2137</v>
      </c>
      <c r="B1434" s="15" t="s">
        <v>17056</v>
      </c>
      <c r="C1434" s="14" t="s">
        <v>17273</v>
      </c>
      <c r="D1434" s="14" t="s">
        <v>17274</v>
      </c>
      <c r="E1434" s="26" t="str">
        <f t="shared" si="26"/>
        <v>http://dx.doi.org/10.1109/TVCG.2006.156</v>
      </c>
      <c r="F1434" s="14">
        <v>821.0</v>
      </c>
      <c r="G1434" s="14">
        <v>828.0</v>
      </c>
      <c r="H1434" s="14" t="s">
        <v>17059</v>
      </c>
      <c r="I1434" s="19" t="s">
        <v>17275</v>
      </c>
      <c r="J1434" s="19" t="s">
        <v>17276</v>
      </c>
      <c r="K1434" s="19" t="s">
        <v>17276</v>
      </c>
      <c r="L1434" s="19" t="s">
        <v>17277</v>
      </c>
      <c r="M1434" s="20" t="s">
        <v>15955</v>
      </c>
      <c r="N1434" s="44" t="s">
        <v>17278</v>
      </c>
      <c r="O1434" s="109"/>
      <c r="P1434" s="28">
        <v>45.0</v>
      </c>
      <c r="Q1434" s="28">
        <v>22.0</v>
      </c>
      <c r="R1434" s="84"/>
      <c r="S1434" s="84"/>
      <c r="T1434" s="84"/>
      <c r="U1434" s="84"/>
      <c r="V1434" s="84"/>
      <c r="W1434" s="84"/>
      <c r="X1434" s="84"/>
      <c r="Y1434" s="84"/>
      <c r="Z1434" s="84"/>
      <c r="AA1434" s="84"/>
    </row>
    <row r="1435" ht="15.75" customHeight="1">
      <c r="A1435" s="14" t="s">
        <v>2137</v>
      </c>
      <c r="B1435" s="15" t="s">
        <v>17056</v>
      </c>
      <c r="C1435" s="14" t="s">
        <v>17279</v>
      </c>
      <c r="D1435" s="14" t="s">
        <v>17280</v>
      </c>
      <c r="E1435" s="26" t="str">
        <f t="shared" si="26"/>
        <v>http://dx.doi.org/10.1109/TVCG.2006.160</v>
      </c>
      <c r="F1435" s="14">
        <v>677.0</v>
      </c>
      <c r="G1435" s="14">
        <v>684.0</v>
      </c>
      <c r="H1435" s="14" t="s">
        <v>17059</v>
      </c>
      <c r="I1435" s="19" t="s">
        <v>17281</v>
      </c>
      <c r="J1435" s="19" t="s">
        <v>17282</v>
      </c>
      <c r="K1435" s="19" t="s">
        <v>17283</v>
      </c>
      <c r="L1435" s="19" t="s">
        <v>17284</v>
      </c>
      <c r="M1435" s="20" t="s">
        <v>14478</v>
      </c>
      <c r="N1435" s="44" t="s">
        <v>17285</v>
      </c>
      <c r="O1435" s="22">
        <v>301.0</v>
      </c>
      <c r="P1435" s="28">
        <v>103.0</v>
      </c>
      <c r="Q1435" s="28">
        <v>35.0</v>
      </c>
      <c r="R1435" s="84"/>
      <c r="S1435" s="84"/>
      <c r="T1435" s="84"/>
      <c r="U1435" s="84"/>
      <c r="V1435" s="84"/>
      <c r="W1435" s="84"/>
      <c r="X1435" s="84"/>
      <c r="Y1435" s="84"/>
      <c r="Z1435" s="84"/>
      <c r="AA1435" s="84"/>
    </row>
    <row r="1436" ht="15.75" customHeight="1">
      <c r="A1436" s="14" t="s">
        <v>2137</v>
      </c>
      <c r="B1436" s="15" t="s">
        <v>17056</v>
      </c>
      <c r="C1436" s="14" t="s">
        <v>17286</v>
      </c>
      <c r="D1436" s="14" t="s">
        <v>17287</v>
      </c>
      <c r="E1436" s="26" t="str">
        <f t="shared" si="26"/>
        <v>http://dx.doi.org/10.1109/TVCG.2006.161</v>
      </c>
      <c r="F1436" s="14">
        <v>709.0</v>
      </c>
      <c r="G1436" s="14">
        <v>716.0</v>
      </c>
      <c r="H1436" s="14" t="s">
        <v>17059</v>
      </c>
      <c r="I1436" s="19" t="s">
        <v>17288</v>
      </c>
      <c r="J1436" s="19" t="s">
        <v>17289</v>
      </c>
      <c r="K1436" s="19" t="s">
        <v>17290</v>
      </c>
      <c r="L1436" s="19" t="s">
        <v>17291</v>
      </c>
      <c r="M1436" s="20" t="s">
        <v>17292</v>
      </c>
      <c r="N1436" s="44" t="s">
        <v>17293</v>
      </c>
      <c r="O1436" s="22">
        <v>88.0</v>
      </c>
      <c r="P1436" s="28">
        <v>41.0</v>
      </c>
      <c r="Q1436" s="28">
        <v>28.0</v>
      </c>
      <c r="R1436" s="84"/>
      <c r="S1436" s="84"/>
      <c r="T1436" s="84"/>
      <c r="U1436" s="84"/>
      <c r="V1436" s="84"/>
      <c r="W1436" s="84"/>
      <c r="X1436" s="84"/>
      <c r="Y1436" s="84"/>
      <c r="Z1436" s="84"/>
      <c r="AA1436" s="84"/>
    </row>
    <row r="1437" ht="15.75" customHeight="1">
      <c r="A1437" s="14" t="s">
        <v>2137</v>
      </c>
      <c r="B1437" s="15" t="s">
        <v>17056</v>
      </c>
      <c r="C1437" s="14" t="s">
        <v>17294</v>
      </c>
      <c r="D1437" s="14" t="s">
        <v>17295</v>
      </c>
      <c r="E1437" s="26" t="str">
        <f t="shared" si="26"/>
        <v>http://dx.doi.org/10.1109/TVCG.2006.163</v>
      </c>
      <c r="F1437" s="14">
        <v>701.0</v>
      </c>
      <c r="G1437" s="14">
        <v>708.0</v>
      </c>
      <c r="H1437" s="14" t="s">
        <v>17059</v>
      </c>
      <c r="I1437" s="19" t="s">
        <v>17296</v>
      </c>
      <c r="J1437" s="19" t="s">
        <v>17297</v>
      </c>
      <c r="K1437" s="19" t="s">
        <v>17297</v>
      </c>
      <c r="L1437" s="19" t="s">
        <v>17298</v>
      </c>
      <c r="M1437" s="20"/>
      <c r="N1437" s="44" t="s">
        <v>17299</v>
      </c>
      <c r="O1437" s="22">
        <v>50.0</v>
      </c>
      <c r="P1437" s="28">
        <v>27.0</v>
      </c>
      <c r="Q1437" s="28">
        <v>8.0</v>
      </c>
      <c r="R1437" s="84"/>
      <c r="S1437" s="84"/>
      <c r="T1437" s="84"/>
      <c r="U1437" s="84"/>
      <c r="V1437" s="84"/>
      <c r="W1437" s="84"/>
      <c r="X1437" s="84"/>
      <c r="Y1437" s="84"/>
      <c r="Z1437" s="84"/>
      <c r="AA1437" s="84"/>
    </row>
    <row r="1438" ht="15.75" customHeight="1">
      <c r="A1438" s="14" t="s">
        <v>2137</v>
      </c>
      <c r="B1438" s="15" t="s">
        <v>17056</v>
      </c>
      <c r="C1438" s="14" t="s">
        <v>17300</v>
      </c>
      <c r="D1438" s="14" t="s">
        <v>17301</v>
      </c>
      <c r="E1438" s="26" t="str">
        <f t="shared" si="26"/>
        <v>http://dx.doi.org/10.1109/TVCG.2006.166</v>
      </c>
      <c r="F1438" s="14">
        <v>733.0</v>
      </c>
      <c r="G1438" s="14">
        <v>740.0</v>
      </c>
      <c r="H1438" s="14" t="s">
        <v>17059</v>
      </c>
      <c r="I1438" s="19" t="s">
        <v>17302</v>
      </c>
      <c r="J1438" s="19" t="s">
        <v>17303</v>
      </c>
      <c r="K1438" s="19" t="s">
        <v>17303</v>
      </c>
      <c r="L1438" s="19" t="s">
        <v>17304</v>
      </c>
      <c r="M1438" s="20" t="s">
        <v>17305</v>
      </c>
      <c r="N1438" s="44" t="s">
        <v>17306</v>
      </c>
      <c r="O1438" s="22">
        <v>275.0</v>
      </c>
      <c r="P1438" s="28">
        <v>126.0</v>
      </c>
      <c r="Q1438" s="28">
        <v>38.0</v>
      </c>
      <c r="R1438" s="84"/>
      <c r="S1438" s="84"/>
      <c r="T1438" s="84"/>
      <c r="U1438" s="84"/>
      <c r="V1438" s="84"/>
      <c r="W1438" s="84"/>
      <c r="X1438" s="84"/>
      <c r="Y1438" s="84"/>
      <c r="Z1438" s="84"/>
      <c r="AA1438" s="84"/>
    </row>
    <row r="1439" ht="15.75" customHeight="1">
      <c r="A1439" s="14" t="s">
        <v>2137</v>
      </c>
      <c r="B1439" s="15" t="s">
        <v>17056</v>
      </c>
      <c r="C1439" s="14" t="s">
        <v>17307</v>
      </c>
      <c r="D1439" s="14" t="s">
        <v>17308</v>
      </c>
      <c r="E1439" s="26" t="str">
        <f t="shared" si="26"/>
        <v>http://dx.doi.org/10.1109/TVCG.2006.177</v>
      </c>
      <c r="F1439" s="14">
        <v>813.0</v>
      </c>
      <c r="G1439" s="14">
        <v>820.0</v>
      </c>
      <c r="H1439" s="14" t="s">
        <v>17059</v>
      </c>
      <c r="I1439" s="19" t="s">
        <v>17309</v>
      </c>
      <c r="J1439" s="19" t="s">
        <v>17310</v>
      </c>
      <c r="K1439" s="19" t="s">
        <v>17311</v>
      </c>
      <c r="L1439" s="19" t="s">
        <v>17312</v>
      </c>
      <c r="M1439" s="20" t="s">
        <v>3293</v>
      </c>
      <c r="N1439" s="44" t="s">
        <v>17313</v>
      </c>
      <c r="O1439" s="22">
        <v>25.0</v>
      </c>
      <c r="P1439" s="28">
        <v>11.0</v>
      </c>
      <c r="Q1439" s="28">
        <v>23.0</v>
      </c>
      <c r="R1439" s="84"/>
      <c r="S1439" s="84"/>
      <c r="T1439" s="84"/>
      <c r="U1439" s="84"/>
      <c r="V1439" s="84"/>
      <c r="W1439" s="84"/>
      <c r="X1439" s="84"/>
      <c r="Y1439" s="84"/>
      <c r="Z1439" s="84"/>
      <c r="AA1439" s="84"/>
    </row>
    <row r="1440" ht="15.75" customHeight="1">
      <c r="A1440" s="14" t="s">
        <v>2137</v>
      </c>
      <c r="B1440" s="15" t="s">
        <v>17056</v>
      </c>
      <c r="C1440" s="14" t="s">
        <v>17314</v>
      </c>
      <c r="D1440" s="14" t="s">
        <v>17315</v>
      </c>
      <c r="E1440" s="26" t="str">
        <f t="shared" si="26"/>
        <v>http://dx.doi.org/10.1109/TVCG.2006.178</v>
      </c>
      <c r="F1440" s="14">
        <v>853.0</v>
      </c>
      <c r="G1440" s="14">
        <v>860.0</v>
      </c>
      <c r="H1440" s="14" t="s">
        <v>17059</v>
      </c>
      <c r="I1440" s="19" t="s">
        <v>17316</v>
      </c>
      <c r="J1440" s="19" t="s">
        <v>17297</v>
      </c>
      <c r="K1440" s="19" t="s">
        <v>17297</v>
      </c>
      <c r="L1440" s="19" t="s">
        <v>17317</v>
      </c>
      <c r="M1440" s="20" t="s">
        <v>17318</v>
      </c>
      <c r="N1440" s="44" t="s">
        <v>17319</v>
      </c>
      <c r="O1440" s="22">
        <v>204.0</v>
      </c>
      <c r="P1440" s="28">
        <v>72.0</v>
      </c>
      <c r="Q1440" s="28">
        <v>23.0</v>
      </c>
      <c r="R1440" s="84"/>
      <c r="S1440" s="84"/>
      <c r="T1440" s="84"/>
      <c r="U1440" s="84"/>
      <c r="V1440" s="84"/>
      <c r="W1440" s="84"/>
      <c r="X1440" s="84"/>
      <c r="Y1440" s="84"/>
      <c r="Z1440" s="84"/>
      <c r="AA1440" s="84"/>
    </row>
    <row r="1441" ht="15.75" customHeight="1">
      <c r="A1441" s="14" t="s">
        <v>2137</v>
      </c>
      <c r="B1441" s="15" t="s">
        <v>17056</v>
      </c>
      <c r="C1441" s="14" t="s">
        <v>17320</v>
      </c>
      <c r="D1441" s="14" t="s">
        <v>17321</v>
      </c>
      <c r="E1441" s="26" t="str">
        <f t="shared" si="26"/>
        <v>http://dx.doi.org/10.1109/TVCG.2006.179</v>
      </c>
      <c r="F1441" s="14">
        <v>765.0</v>
      </c>
      <c r="G1441" s="14">
        <v>772.0</v>
      </c>
      <c r="H1441" s="14" t="s">
        <v>17059</v>
      </c>
      <c r="I1441" s="19" t="s">
        <v>17322</v>
      </c>
      <c r="J1441" s="19" t="s">
        <v>17323</v>
      </c>
      <c r="K1441" s="19" t="s">
        <v>17324</v>
      </c>
      <c r="L1441" s="18"/>
      <c r="M1441" s="20"/>
      <c r="N1441" s="44" t="s">
        <v>17325</v>
      </c>
      <c r="O1441" s="22">
        <v>69.0</v>
      </c>
      <c r="P1441" s="28">
        <v>20.0</v>
      </c>
      <c r="Q1441" s="28">
        <v>19.0</v>
      </c>
      <c r="R1441" s="84"/>
      <c r="S1441" s="84"/>
      <c r="T1441" s="84"/>
      <c r="U1441" s="84"/>
      <c r="V1441" s="84"/>
      <c r="W1441" s="84"/>
      <c r="X1441" s="84"/>
      <c r="Y1441" s="84"/>
      <c r="Z1441" s="84"/>
      <c r="AA1441" s="84"/>
    </row>
    <row r="1442" ht="15.75" customHeight="1">
      <c r="A1442" s="14" t="s">
        <v>2137</v>
      </c>
      <c r="B1442" s="15" t="s">
        <v>17056</v>
      </c>
      <c r="C1442" s="14" t="s">
        <v>17326</v>
      </c>
      <c r="D1442" s="14" t="s">
        <v>17327</v>
      </c>
      <c r="E1442" s="26" t="str">
        <f t="shared" si="26"/>
        <v>http://dx.doi.org/10.1109/TVCG.2006.184</v>
      </c>
      <c r="F1442" s="14">
        <v>837.0</v>
      </c>
      <c r="G1442" s="14">
        <v>844.0</v>
      </c>
      <c r="H1442" s="14" t="s">
        <v>17059</v>
      </c>
      <c r="I1442" s="19" t="s">
        <v>17328</v>
      </c>
      <c r="J1442" s="19" t="s">
        <v>17329</v>
      </c>
      <c r="K1442" s="19" t="s">
        <v>17329</v>
      </c>
      <c r="L1442" s="19" t="s">
        <v>17330</v>
      </c>
      <c r="M1442" s="20" t="s">
        <v>11902</v>
      </c>
      <c r="N1442" s="44" t="s">
        <v>17331</v>
      </c>
      <c r="O1442" s="22">
        <v>89.0</v>
      </c>
      <c r="P1442" s="28">
        <v>31.0</v>
      </c>
      <c r="Q1442" s="28">
        <v>31.0</v>
      </c>
      <c r="R1442" s="84"/>
      <c r="S1442" s="84"/>
      <c r="T1442" s="84"/>
      <c r="U1442" s="84"/>
      <c r="V1442" s="84"/>
      <c r="W1442" s="84"/>
      <c r="X1442" s="84"/>
      <c r="Y1442" s="84"/>
      <c r="Z1442" s="84"/>
      <c r="AA1442" s="84"/>
    </row>
    <row r="1443" ht="15.75" customHeight="1">
      <c r="A1443" s="14" t="s">
        <v>2137</v>
      </c>
      <c r="B1443" s="15" t="s">
        <v>17056</v>
      </c>
      <c r="C1443" s="14" t="s">
        <v>17332</v>
      </c>
      <c r="D1443" s="14" t="s">
        <v>17333</v>
      </c>
      <c r="E1443" s="26" t="str">
        <f t="shared" si="26"/>
        <v>http://dx.doi.org/10.1109/TVCG.2006.185</v>
      </c>
      <c r="F1443" s="14">
        <v>725.0</v>
      </c>
      <c r="G1443" s="14">
        <v>732.0</v>
      </c>
      <c r="H1443" s="14" t="s">
        <v>17059</v>
      </c>
      <c r="I1443" s="19" t="s">
        <v>17334</v>
      </c>
      <c r="J1443" s="19" t="s">
        <v>17335</v>
      </c>
      <c r="K1443" s="19" t="s">
        <v>17335</v>
      </c>
      <c r="L1443" s="18"/>
      <c r="M1443" s="20" t="s">
        <v>17336</v>
      </c>
      <c r="N1443" s="44" t="s">
        <v>17337</v>
      </c>
      <c r="O1443" s="22">
        <v>30.0</v>
      </c>
      <c r="P1443" s="28">
        <v>12.0</v>
      </c>
      <c r="Q1443" s="28">
        <v>37.0</v>
      </c>
      <c r="R1443" s="84"/>
      <c r="S1443" s="84"/>
      <c r="T1443" s="84"/>
      <c r="U1443" s="84"/>
      <c r="V1443" s="84"/>
      <c r="W1443" s="84"/>
      <c r="X1443" s="84"/>
      <c r="Y1443" s="84"/>
      <c r="Z1443" s="84"/>
      <c r="AA1443" s="84"/>
    </row>
    <row r="1444" ht="15.75" customHeight="1">
      <c r="A1444" s="14" t="s">
        <v>2137</v>
      </c>
      <c r="B1444" s="15" t="s">
        <v>17056</v>
      </c>
      <c r="C1444" s="14" t="s">
        <v>17338</v>
      </c>
      <c r="D1444" s="14" t="s">
        <v>17339</v>
      </c>
      <c r="E1444" s="26" t="str">
        <f t="shared" si="26"/>
        <v>http://dx.doi.org/10.1109/TVCG.2006.187</v>
      </c>
      <c r="F1444" s="14">
        <v>829.0</v>
      </c>
      <c r="G1444" s="14">
        <v>836.0</v>
      </c>
      <c r="H1444" s="14" t="s">
        <v>17059</v>
      </c>
      <c r="I1444" s="19" t="s">
        <v>17340</v>
      </c>
      <c r="J1444" s="19" t="s">
        <v>17341</v>
      </c>
      <c r="K1444" s="19" t="s">
        <v>17342</v>
      </c>
      <c r="L1444" s="19" t="s">
        <v>17343</v>
      </c>
      <c r="M1444" s="20" t="s">
        <v>17344</v>
      </c>
      <c r="N1444" s="44" t="s">
        <v>17345</v>
      </c>
      <c r="O1444" s="109"/>
      <c r="P1444" s="28">
        <v>21.0</v>
      </c>
      <c r="Q1444" s="28">
        <v>32.0</v>
      </c>
      <c r="R1444" s="84"/>
      <c r="S1444" s="84"/>
      <c r="T1444" s="84"/>
      <c r="U1444" s="84"/>
      <c r="V1444" s="84"/>
      <c r="W1444" s="84"/>
      <c r="X1444" s="84"/>
      <c r="Y1444" s="84"/>
      <c r="Z1444" s="84"/>
      <c r="AA1444" s="84"/>
    </row>
    <row r="1445" ht="15.75" customHeight="1">
      <c r="A1445" s="14" t="s">
        <v>2137</v>
      </c>
      <c r="B1445" s="15" t="s">
        <v>17056</v>
      </c>
      <c r="C1445" s="14" t="s">
        <v>17346</v>
      </c>
      <c r="D1445" s="14" t="s">
        <v>17347</v>
      </c>
      <c r="E1445" s="26" t="str">
        <f t="shared" si="26"/>
        <v>http://dx.doi.org/10.1109/TVCG.2006.192</v>
      </c>
      <c r="F1445" s="14">
        <v>685.0</v>
      </c>
      <c r="G1445" s="14">
        <v>692.0</v>
      </c>
      <c r="H1445" s="14" t="s">
        <v>17059</v>
      </c>
      <c r="I1445" s="19" t="s">
        <v>17348</v>
      </c>
      <c r="J1445" s="19" t="s">
        <v>17349</v>
      </c>
      <c r="K1445" s="19" t="s">
        <v>17350</v>
      </c>
      <c r="L1445" s="19" t="s">
        <v>17351</v>
      </c>
      <c r="M1445" s="20" t="s">
        <v>17352</v>
      </c>
      <c r="N1445" s="44" t="s">
        <v>17353</v>
      </c>
      <c r="O1445" s="109"/>
      <c r="P1445" s="28">
        <v>26.0</v>
      </c>
      <c r="Q1445" s="28">
        <v>19.0</v>
      </c>
      <c r="R1445" s="84"/>
      <c r="S1445" s="84"/>
      <c r="T1445" s="84"/>
      <c r="U1445" s="84"/>
      <c r="V1445" s="84"/>
      <c r="W1445" s="84"/>
      <c r="X1445" s="84"/>
      <c r="Y1445" s="84"/>
      <c r="Z1445" s="84"/>
      <c r="AA1445" s="84"/>
    </row>
    <row r="1446" ht="15.75" customHeight="1">
      <c r="A1446" s="14" t="s">
        <v>2137</v>
      </c>
      <c r="B1446" s="15" t="s">
        <v>17056</v>
      </c>
      <c r="C1446" s="14" t="s">
        <v>17354</v>
      </c>
      <c r="D1446" s="14" t="s">
        <v>17355</v>
      </c>
      <c r="E1446" s="26" t="str">
        <f t="shared" si="26"/>
        <v>http://dx.doi.org/10.1109/TVCG.2006.193</v>
      </c>
      <c r="F1446" s="14">
        <v>805.0</v>
      </c>
      <c r="G1446" s="14">
        <v>812.0</v>
      </c>
      <c r="H1446" s="14" t="s">
        <v>17059</v>
      </c>
      <c r="I1446" s="19" t="s">
        <v>17356</v>
      </c>
      <c r="J1446" s="19" t="s">
        <v>17357</v>
      </c>
      <c r="K1446" s="19" t="s">
        <v>17358</v>
      </c>
      <c r="L1446" s="19" t="s">
        <v>17359</v>
      </c>
      <c r="M1446" s="20" t="s">
        <v>17360</v>
      </c>
      <c r="N1446" s="44" t="s">
        <v>17361</v>
      </c>
      <c r="O1446" s="31"/>
      <c r="P1446" s="28">
        <v>50.0</v>
      </c>
      <c r="Q1446" s="28">
        <v>25.0</v>
      </c>
      <c r="R1446" s="84"/>
      <c r="S1446" s="84"/>
      <c r="T1446" s="84"/>
      <c r="U1446" s="84"/>
      <c r="V1446" s="84"/>
      <c r="W1446" s="84"/>
      <c r="X1446" s="84"/>
      <c r="Y1446" s="84"/>
      <c r="Z1446" s="84"/>
      <c r="AA1446" s="84"/>
    </row>
    <row r="1447" ht="15.75" customHeight="1">
      <c r="A1447" s="14" t="s">
        <v>2137</v>
      </c>
      <c r="B1447" s="15" t="s">
        <v>17056</v>
      </c>
      <c r="C1447" s="14" t="s">
        <v>17362</v>
      </c>
      <c r="D1447" s="14" t="s">
        <v>17363</v>
      </c>
      <c r="E1447" s="26" t="str">
        <f t="shared" si="26"/>
        <v>http://dx.doi.org/10.1109/TVCG.2006.196</v>
      </c>
      <c r="F1447" s="14">
        <v>781.0</v>
      </c>
      <c r="G1447" s="14">
        <v>788.0</v>
      </c>
      <c r="H1447" s="14" t="s">
        <v>17059</v>
      </c>
      <c r="I1447" s="19" t="s">
        <v>17364</v>
      </c>
      <c r="J1447" s="19" t="s">
        <v>17365</v>
      </c>
      <c r="K1447" s="19" t="s">
        <v>17366</v>
      </c>
      <c r="L1447" s="18"/>
      <c r="M1447" s="20" t="s">
        <v>14117</v>
      </c>
      <c r="N1447" s="44" t="s">
        <v>17367</v>
      </c>
      <c r="O1447" s="22">
        <v>19.0</v>
      </c>
      <c r="P1447" s="28">
        <v>10.0</v>
      </c>
      <c r="Q1447" s="28">
        <v>25.0</v>
      </c>
      <c r="R1447" s="84"/>
      <c r="S1447" s="84"/>
      <c r="T1447" s="84"/>
      <c r="U1447" s="84"/>
      <c r="V1447" s="84"/>
      <c r="W1447" s="84"/>
      <c r="X1447" s="84"/>
      <c r="Y1447" s="84"/>
      <c r="Z1447" s="84"/>
      <c r="AA1447" s="84"/>
    </row>
    <row r="1448" ht="15.75" customHeight="1">
      <c r="A1448" s="14" t="s">
        <v>2137</v>
      </c>
      <c r="B1448" s="15" t="s">
        <v>17056</v>
      </c>
      <c r="C1448" s="14" t="s">
        <v>17368</v>
      </c>
      <c r="D1448" s="14" t="s">
        <v>17369</v>
      </c>
      <c r="E1448" s="26" t="str">
        <f t="shared" si="26"/>
        <v>http://dx.doi.org/10.1109/TVCG.2006.198</v>
      </c>
      <c r="F1448" s="14">
        <v>749.0</v>
      </c>
      <c r="G1448" s="14">
        <v>756.0</v>
      </c>
      <c r="H1448" s="14" t="s">
        <v>17059</v>
      </c>
      <c r="I1448" s="19" t="s">
        <v>17370</v>
      </c>
      <c r="J1448" s="19" t="s">
        <v>17371</v>
      </c>
      <c r="K1448" s="19" t="s">
        <v>17372</v>
      </c>
      <c r="L1448" s="19" t="s">
        <v>17373</v>
      </c>
      <c r="M1448" s="20" t="s">
        <v>17374</v>
      </c>
      <c r="N1448" s="44" t="s">
        <v>17375</v>
      </c>
      <c r="O1448" s="22">
        <v>38.0</v>
      </c>
      <c r="P1448" s="28">
        <v>13.0</v>
      </c>
      <c r="Q1448" s="28">
        <v>12.0</v>
      </c>
      <c r="R1448" s="84"/>
      <c r="S1448" s="84"/>
      <c r="T1448" s="84"/>
      <c r="U1448" s="84"/>
      <c r="V1448" s="84"/>
      <c r="W1448" s="84"/>
      <c r="X1448" s="84"/>
      <c r="Y1448" s="84"/>
      <c r="Z1448" s="84"/>
      <c r="AA1448" s="84"/>
    </row>
    <row r="1449" ht="15.75" customHeight="1">
      <c r="A1449" s="14" t="s">
        <v>2137</v>
      </c>
      <c r="B1449" s="15" t="s">
        <v>17056</v>
      </c>
      <c r="C1449" s="14" t="s">
        <v>17376</v>
      </c>
      <c r="D1449" s="14" t="s">
        <v>17377</v>
      </c>
      <c r="E1449" s="26" t="str">
        <f t="shared" si="26"/>
        <v>http://dx.doi.org/10.1109/TVCG.2006.200</v>
      </c>
      <c r="F1449" s="14">
        <v>789.0</v>
      </c>
      <c r="G1449" s="14">
        <v>796.0</v>
      </c>
      <c r="H1449" s="14" t="s">
        <v>17059</v>
      </c>
      <c r="I1449" s="19" t="s">
        <v>17378</v>
      </c>
      <c r="J1449" s="19" t="s">
        <v>17379</v>
      </c>
      <c r="K1449" s="19" t="s">
        <v>17379</v>
      </c>
      <c r="L1449" s="19" t="s">
        <v>17380</v>
      </c>
      <c r="M1449" s="20" t="s">
        <v>17381</v>
      </c>
      <c r="N1449" s="44" t="s">
        <v>17382</v>
      </c>
      <c r="O1449" s="109"/>
      <c r="P1449" s="28">
        <v>47.0</v>
      </c>
      <c r="Q1449" s="28">
        <v>19.0</v>
      </c>
      <c r="R1449" s="84"/>
      <c r="S1449" s="84"/>
      <c r="T1449" s="84"/>
      <c r="U1449" s="84"/>
      <c r="V1449" s="84"/>
      <c r="W1449" s="84"/>
      <c r="X1449" s="84"/>
      <c r="Y1449" s="84"/>
      <c r="Z1449" s="84"/>
      <c r="AA1449" s="84"/>
    </row>
    <row r="1450" ht="15.75" customHeight="1">
      <c r="A1450" s="14" t="s">
        <v>2137</v>
      </c>
      <c r="B1450" s="15" t="s">
        <v>17056</v>
      </c>
      <c r="C1450" s="14" t="s">
        <v>17383</v>
      </c>
      <c r="D1450" s="14" t="s">
        <v>17384</v>
      </c>
      <c r="E1450" s="26" t="str">
        <f t="shared" si="26"/>
        <v>http://dx.doi.org/10.1109/TVCG.2006.202</v>
      </c>
      <c r="F1450" s="14">
        <v>757.0</v>
      </c>
      <c r="G1450" s="14">
        <v>764.0</v>
      </c>
      <c r="H1450" s="14" t="s">
        <v>17059</v>
      </c>
      <c r="I1450" s="19" t="s">
        <v>17385</v>
      </c>
      <c r="J1450" s="19" t="s">
        <v>17386</v>
      </c>
      <c r="K1450" s="19" t="s">
        <v>17386</v>
      </c>
      <c r="L1450" s="18"/>
      <c r="M1450" s="20"/>
      <c r="N1450" s="44" t="s">
        <v>17387</v>
      </c>
      <c r="O1450" s="22">
        <v>109.0</v>
      </c>
      <c r="P1450" s="28">
        <v>47.0</v>
      </c>
      <c r="Q1450" s="28">
        <v>6.0</v>
      </c>
      <c r="R1450" s="84"/>
      <c r="S1450" s="84"/>
      <c r="T1450" s="84"/>
      <c r="U1450" s="84"/>
      <c r="V1450" s="84"/>
      <c r="W1450" s="84"/>
      <c r="X1450" s="84"/>
      <c r="Y1450" s="84"/>
      <c r="Z1450" s="84"/>
      <c r="AA1450" s="84"/>
    </row>
    <row r="1451" ht="15.75" customHeight="1">
      <c r="A1451" s="14" t="s">
        <v>120</v>
      </c>
      <c r="B1451" s="15" t="s">
        <v>17056</v>
      </c>
      <c r="C1451" s="14" t="s">
        <v>17388</v>
      </c>
      <c r="D1451" s="14" t="s">
        <v>17389</v>
      </c>
      <c r="E1451" s="26" t="str">
        <f t="shared" si="26"/>
        <v>http://dx.doi.org/10.1109/VAST.2006.261415</v>
      </c>
      <c r="F1451" s="14">
        <v>137.0</v>
      </c>
      <c r="G1451" s="14">
        <v>144.0</v>
      </c>
      <c r="H1451" s="14" t="s">
        <v>28</v>
      </c>
      <c r="I1451" s="19" t="s">
        <v>17390</v>
      </c>
      <c r="J1451" s="19" t="s">
        <v>17391</v>
      </c>
      <c r="K1451" s="19" t="s">
        <v>17391</v>
      </c>
      <c r="L1451" s="19" t="s">
        <v>17392</v>
      </c>
      <c r="M1451" s="20"/>
      <c r="N1451" s="88" t="s">
        <v>17393</v>
      </c>
      <c r="O1451" s="22">
        <v>22.0</v>
      </c>
      <c r="P1451" s="28">
        <v>12.0</v>
      </c>
      <c r="Q1451" s="28">
        <v>23.0</v>
      </c>
      <c r="R1451" s="84"/>
      <c r="S1451" s="84"/>
      <c r="T1451" s="84"/>
      <c r="U1451" s="84"/>
      <c r="V1451" s="84"/>
      <c r="W1451" s="84"/>
      <c r="X1451" s="84"/>
      <c r="Y1451" s="84"/>
      <c r="Z1451" s="84"/>
      <c r="AA1451" s="84"/>
    </row>
    <row r="1452" ht="15.75" customHeight="1">
      <c r="A1452" s="14" t="s">
        <v>120</v>
      </c>
      <c r="B1452" s="15" t="s">
        <v>17056</v>
      </c>
      <c r="C1452" s="14" t="s">
        <v>17394</v>
      </c>
      <c r="D1452" s="14" t="s">
        <v>17395</v>
      </c>
      <c r="E1452" s="26" t="str">
        <f t="shared" si="26"/>
        <v>http://dx.doi.org/10.1109/VAST.2006.261416</v>
      </c>
      <c r="F1452" s="14">
        <v>145.0</v>
      </c>
      <c r="G1452" s="14">
        <v>150.0</v>
      </c>
      <c r="H1452" s="14" t="s">
        <v>28</v>
      </c>
      <c r="I1452" s="19" t="s">
        <v>17396</v>
      </c>
      <c r="J1452" s="19" t="s">
        <v>17397</v>
      </c>
      <c r="K1452" s="19" t="s">
        <v>17397</v>
      </c>
      <c r="L1452" s="19" t="s">
        <v>17398</v>
      </c>
      <c r="M1452" s="20" t="s">
        <v>17399</v>
      </c>
      <c r="N1452" s="88" t="s">
        <v>17400</v>
      </c>
      <c r="O1452" s="22">
        <v>95.0</v>
      </c>
      <c r="P1452" s="28">
        <v>20.0</v>
      </c>
      <c r="Q1452" s="28">
        <v>26.0</v>
      </c>
      <c r="R1452" s="84"/>
      <c r="S1452" s="84"/>
      <c r="T1452" s="84"/>
      <c r="U1452" s="84"/>
      <c r="V1452" s="84"/>
      <c r="W1452" s="84"/>
      <c r="X1452" s="84"/>
      <c r="Y1452" s="84"/>
      <c r="Z1452" s="84"/>
      <c r="AA1452" s="84"/>
    </row>
    <row r="1453" ht="15.75" customHeight="1">
      <c r="A1453" s="14" t="s">
        <v>120</v>
      </c>
      <c r="B1453" s="15" t="s">
        <v>17056</v>
      </c>
      <c r="C1453" s="14" t="s">
        <v>17401</v>
      </c>
      <c r="D1453" s="14" t="s">
        <v>17402</v>
      </c>
      <c r="E1453" s="26" t="str">
        <f t="shared" si="26"/>
        <v>http://dx.doi.org/10.1109/VAST.2006.261417</v>
      </c>
      <c r="F1453" s="14">
        <v>151.0</v>
      </c>
      <c r="G1453" s="14">
        <v>157.0</v>
      </c>
      <c r="H1453" s="14" t="s">
        <v>28</v>
      </c>
      <c r="I1453" s="19" t="s">
        <v>17403</v>
      </c>
      <c r="J1453" s="19" t="s">
        <v>17404</v>
      </c>
      <c r="K1453" s="19" t="s">
        <v>17404</v>
      </c>
      <c r="L1453" s="19" t="s">
        <v>17405</v>
      </c>
      <c r="M1453" s="20"/>
      <c r="N1453" s="88" t="s">
        <v>17406</v>
      </c>
      <c r="O1453" s="22">
        <v>5.0</v>
      </c>
      <c r="P1453" s="28">
        <v>1.0</v>
      </c>
      <c r="Q1453" s="28">
        <v>6.0</v>
      </c>
      <c r="R1453" s="84"/>
      <c r="S1453" s="84"/>
      <c r="T1453" s="84"/>
      <c r="U1453" s="84"/>
      <c r="V1453" s="84"/>
      <c r="W1453" s="84"/>
      <c r="X1453" s="84"/>
      <c r="Y1453" s="84"/>
      <c r="Z1453" s="84"/>
      <c r="AA1453" s="84"/>
    </row>
    <row r="1454" ht="15.75" customHeight="1">
      <c r="A1454" s="14" t="s">
        <v>120</v>
      </c>
      <c r="B1454" s="15" t="s">
        <v>17056</v>
      </c>
      <c r="C1454" s="14" t="s">
        <v>17407</v>
      </c>
      <c r="D1454" s="14" t="s">
        <v>17408</v>
      </c>
      <c r="E1454" s="26" t="str">
        <f t="shared" si="26"/>
        <v>http://dx.doi.org/10.1109/VAST.2006.261418</v>
      </c>
      <c r="F1454" s="14">
        <v>159.0</v>
      </c>
      <c r="G1454" s="14">
        <v>166.0</v>
      </c>
      <c r="H1454" s="14" t="s">
        <v>28</v>
      </c>
      <c r="I1454" s="19" t="s">
        <v>17409</v>
      </c>
      <c r="J1454" s="19" t="s">
        <v>17410</v>
      </c>
      <c r="K1454" s="19" t="s">
        <v>17411</v>
      </c>
      <c r="L1454" s="19" t="s">
        <v>17412</v>
      </c>
      <c r="M1454" s="20"/>
      <c r="N1454" s="44" t="s">
        <v>17413</v>
      </c>
      <c r="O1454" s="22">
        <v>12.0</v>
      </c>
      <c r="P1454" s="28">
        <v>1.0</v>
      </c>
      <c r="Q1454" s="28">
        <v>37.0</v>
      </c>
      <c r="R1454" s="84"/>
      <c r="S1454" s="84"/>
      <c r="T1454" s="84"/>
      <c r="U1454" s="84"/>
      <c r="V1454" s="84"/>
      <c r="W1454" s="84"/>
      <c r="X1454" s="84"/>
      <c r="Y1454" s="84"/>
      <c r="Z1454" s="84"/>
      <c r="AA1454" s="84"/>
    </row>
    <row r="1455" ht="15.75" customHeight="1">
      <c r="A1455" s="14" t="s">
        <v>120</v>
      </c>
      <c r="B1455" s="15" t="s">
        <v>17056</v>
      </c>
      <c r="C1455" s="14" t="s">
        <v>17414</v>
      </c>
      <c r="D1455" s="14" t="s">
        <v>17415</v>
      </c>
      <c r="E1455" s="26" t="str">
        <f t="shared" si="26"/>
        <v>http://dx.doi.org/10.1109/VAST.2006.261420</v>
      </c>
      <c r="F1455" s="14">
        <v>215.0</v>
      </c>
      <c r="G1455" s="14">
        <v>216.0</v>
      </c>
      <c r="H1455" s="14" t="s">
        <v>21</v>
      </c>
      <c r="I1455" s="19" t="s">
        <v>17416</v>
      </c>
      <c r="J1455" s="19" t="s">
        <v>17417</v>
      </c>
      <c r="K1455" s="19" t="s">
        <v>17418</v>
      </c>
      <c r="L1455" s="19" t="s">
        <v>17419</v>
      </c>
      <c r="M1455" s="20"/>
      <c r="N1455" s="27"/>
      <c r="O1455" s="22">
        <v>31.0</v>
      </c>
      <c r="P1455" s="28">
        <v>9.0</v>
      </c>
      <c r="Q1455" s="28">
        <v>8.0</v>
      </c>
      <c r="R1455" s="84"/>
      <c r="S1455" s="84"/>
      <c r="T1455" s="84"/>
      <c r="U1455" s="84"/>
      <c r="V1455" s="84"/>
      <c r="W1455" s="84"/>
      <c r="X1455" s="84"/>
      <c r="Y1455" s="84"/>
      <c r="Z1455" s="84"/>
      <c r="AA1455" s="84"/>
    </row>
    <row r="1456" ht="15.75" customHeight="1">
      <c r="A1456" s="14" t="s">
        <v>120</v>
      </c>
      <c r="B1456" s="15" t="s">
        <v>17056</v>
      </c>
      <c r="C1456" s="14" t="s">
        <v>17420</v>
      </c>
      <c r="D1456" s="14" t="s">
        <v>17421</v>
      </c>
      <c r="E1456" s="26" t="str">
        <f t="shared" si="26"/>
        <v>http://dx.doi.org/10.1109/VAST.2006.261421</v>
      </c>
      <c r="F1456" s="14">
        <v>167.0</v>
      </c>
      <c r="G1456" s="14">
        <v>174.0</v>
      </c>
      <c r="H1456" s="14" t="s">
        <v>28</v>
      </c>
      <c r="I1456" s="19" t="s">
        <v>17422</v>
      </c>
      <c r="J1456" s="19" t="s">
        <v>17423</v>
      </c>
      <c r="K1456" s="19" t="s">
        <v>17424</v>
      </c>
      <c r="L1456" s="19" t="s">
        <v>17425</v>
      </c>
      <c r="M1456" s="20" t="s">
        <v>6121</v>
      </c>
      <c r="N1456" s="88" t="s">
        <v>17426</v>
      </c>
      <c r="O1456" s="22">
        <v>134.0</v>
      </c>
      <c r="P1456" s="28">
        <v>46.0</v>
      </c>
      <c r="Q1456" s="28">
        <v>27.0</v>
      </c>
      <c r="R1456" s="85" t="s">
        <v>1093</v>
      </c>
      <c r="S1456" s="84"/>
      <c r="T1456" s="84"/>
      <c r="U1456" s="84"/>
      <c r="V1456" s="84"/>
      <c r="W1456" s="84"/>
      <c r="X1456" s="84"/>
      <c r="Y1456" s="84"/>
      <c r="Z1456" s="84"/>
      <c r="AA1456" s="84"/>
    </row>
    <row r="1457" ht="15.75" customHeight="1">
      <c r="A1457" s="14" t="s">
        <v>120</v>
      </c>
      <c r="B1457" s="15" t="s">
        <v>17056</v>
      </c>
      <c r="C1457" s="14" t="s">
        <v>17427</v>
      </c>
      <c r="D1457" s="14" t="s">
        <v>17428</v>
      </c>
      <c r="E1457" s="26" t="str">
        <f t="shared" si="26"/>
        <v>http://dx.doi.org/10.1109/VAST.2006.261422</v>
      </c>
      <c r="F1457" s="14">
        <v>175.0</v>
      </c>
      <c r="G1457" s="14">
        <v>182.0</v>
      </c>
      <c r="H1457" s="14" t="s">
        <v>28</v>
      </c>
      <c r="I1457" s="19" t="s">
        <v>17429</v>
      </c>
      <c r="J1457" s="19" t="s">
        <v>17430</v>
      </c>
      <c r="K1457" s="19" t="s">
        <v>17430</v>
      </c>
      <c r="L1457" s="19" t="s">
        <v>17431</v>
      </c>
      <c r="M1457" s="20" t="s">
        <v>17432</v>
      </c>
      <c r="N1457" s="88" t="s">
        <v>17433</v>
      </c>
      <c r="O1457" s="22">
        <v>16.0</v>
      </c>
      <c r="P1457" s="28">
        <v>5.0</v>
      </c>
      <c r="Q1457" s="28">
        <v>20.0</v>
      </c>
      <c r="R1457" s="84"/>
      <c r="S1457" s="84"/>
      <c r="T1457" s="84"/>
      <c r="U1457" s="84"/>
      <c r="V1457" s="84"/>
      <c r="W1457" s="84"/>
      <c r="X1457" s="84"/>
      <c r="Y1457" s="84"/>
      <c r="Z1457" s="84"/>
      <c r="AA1457" s="84"/>
    </row>
    <row r="1458" ht="15.75" customHeight="1">
      <c r="A1458" s="14" t="s">
        <v>120</v>
      </c>
      <c r="B1458" s="15" t="s">
        <v>17056</v>
      </c>
      <c r="C1458" s="14" t="s">
        <v>17434</v>
      </c>
      <c r="D1458" s="14" t="s">
        <v>17435</v>
      </c>
      <c r="E1458" s="26" t="str">
        <f t="shared" si="26"/>
        <v>http://dx.doi.org/10.1109/VAST.2006.261423</v>
      </c>
      <c r="F1458" s="14">
        <v>199.0</v>
      </c>
      <c r="G1458" s="14">
        <v>206.0</v>
      </c>
      <c r="H1458" s="14" t="s">
        <v>28</v>
      </c>
      <c r="I1458" s="19" t="s">
        <v>17436</v>
      </c>
      <c r="J1458" s="19" t="s">
        <v>17437</v>
      </c>
      <c r="K1458" s="19" t="s">
        <v>17438</v>
      </c>
      <c r="L1458" s="19" t="s">
        <v>17439</v>
      </c>
      <c r="M1458" s="20" t="s">
        <v>17440</v>
      </c>
      <c r="N1458" s="88" t="s">
        <v>17441</v>
      </c>
      <c r="O1458" s="22">
        <v>53.0</v>
      </c>
      <c r="P1458" s="28">
        <v>20.0</v>
      </c>
      <c r="Q1458" s="28">
        <v>24.0</v>
      </c>
      <c r="R1458" s="84"/>
      <c r="S1458" s="84"/>
      <c r="T1458" s="84"/>
      <c r="U1458" s="84"/>
      <c r="V1458" s="84"/>
      <c r="W1458" s="84"/>
      <c r="X1458" s="84"/>
      <c r="Y1458" s="84"/>
      <c r="Z1458" s="84"/>
      <c r="AA1458" s="84"/>
    </row>
    <row r="1459" ht="15.75" customHeight="1">
      <c r="A1459" s="14" t="s">
        <v>120</v>
      </c>
      <c r="B1459" s="15" t="s">
        <v>17056</v>
      </c>
      <c r="C1459" s="14" t="s">
        <v>17443</v>
      </c>
      <c r="D1459" s="14" t="s">
        <v>17445</v>
      </c>
      <c r="E1459" s="26" t="str">
        <f t="shared" si="26"/>
        <v>http://dx.doi.org/10.1109/VAST.2006.261424</v>
      </c>
      <c r="F1459" s="14">
        <v>183.0</v>
      </c>
      <c r="G1459" s="14">
        <v>190.0</v>
      </c>
      <c r="H1459" s="14" t="s">
        <v>28</v>
      </c>
      <c r="I1459" s="19" t="s">
        <v>17448</v>
      </c>
      <c r="J1459" s="19" t="s">
        <v>17449</v>
      </c>
      <c r="K1459" s="19" t="s">
        <v>17449</v>
      </c>
      <c r="L1459" s="19" t="s">
        <v>17450</v>
      </c>
      <c r="M1459" s="20" t="s">
        <v>17451</v>
      </c>
      <c r="N1459" s="88" t="s">
        <v>17452</v>
      </c>
      <c r="O1459" s="22">
        <v>50.0</v>
      </c>
      <c r="P1459" s="28">
        <v>13.0</v>
      </c>
      <c r="Q1459" s="28">
        <v>25.0</v>
      </c>
      <c r="R1459" s="84"/>
      <c r="S1459" s="84"/>
      <c r="T1459" s="84"/>
      <c r="U1459" s="84"/>
      <c r="V1459" s="84"/>
      <c r="W1459" s="84"/>
      <c r="X1459" s="84"/>
      <c r="Y1459" s="84"/>
      <c r="Z1459" s="84"/>
      <c r="AA1459" s="84"/>
    </row>
    <row r="1460" ht="15.75" customHeight="1">
      <c r="A1460" s="14" t="s">
        <v>120</v>
      </c>
      <c r="B1460" s="15" t="s">
        <v>17056</v>
      </c>
      <c r="C1460" s="14" t="s">
        <v>17453</v>
      </c>
      <c r="D1460" s="14" t="s">
        <v>17454</v>
      </c>
      <c r="E1460" s="26" t="str">
        <f t="shared" si="26"/>
        <v>http://dx.doi.org/10.1109/VAST.2006.261425</v>
      </c>
      <c r="F1460" s="14">
        <v>191.0</v>
      </c>
      <c r="G1460" s="14">
        <v>198.0</v>
      </c>
      <c r="H1460" s="14" t="s">
        <v>28</v>
      </c>
      <c r="I1460" s="19" t="s">
        <v>17455</v>
      </c>
      <c r="J1460" s="19" t="s">
        <v>17456</v>
      </c>
      <c r="K1460" s="19" t="s">
        <v>17457</v>
      </c>
      <c r="L1460" s="19" t="s">
        <v>17458</v>
      </c>
      <c r="M1460" s="20" t="s">
        <v>17459</v>
      </c>
      <c r="N1460" s="88" t="s">
        <v>17460</v>
      </c>
      <c r="O1460" s="22">
        <v>68.0</v>
      </c>
      <c r="P1460" s="28">
        <v>22.0</v>
      </c>
      <c r="Q1460" s="28">
        <v>23.0</v>
      </c>
      <c r="R1460" s="84"/>
      <c r="S1460" s="84"/>
      <c r="T1460" s="84"/>
      <c r="U1460" s="84"/>
      <c r="V1460" s="84"/>
      <c r="W1460" s="84"/>
      <c r="X1460" s="84"/>
      <c r="Y1460" s="84"/>
      <c r="Z1460" s="84"/>
      <c r="AA1460" s="84"/>
    </row>
    <row r="1461" ht="15.75" customHeight="1">
      <c r="A1461" s="14" t="s">
        <v>120</v>
      </c>
      <c r="B1461" s="15" t="s">
        <v>17056</v>
      </c>
      <c r="C1461" s="14" t="s">
        <v>17461</v>
      </c>
      <c r="D1461" s="14" t="s">
        <v>17462</v>
      </c>
      <c r="E1461" s="26" t="str">
        <f t="shared" si="26"/>
        <v>http://dx.doi.org/10.1109/VAST.2006.261426</v>
      </c>
      <c r="F1461" s="14">
        <v>91.0</v>
      </c>
      <c r="G1461" s="14">
        <v>98.0</v>
      </c>
      <c r="H1461" s="14" t="s">
        <v>28</v>
      </c>
      <c r="I1461" s="19" t="s">
        <v>17467</v>
      </c>
      <c r="J1461" s="19" t="s">
        <v>17469</v>
      </c>
      <c r="K1461" s="19" t="s">
        <v>17469</v>
      </c>
      <c r="L1461" s="19" t="s">
        <v>17471</v>
      </c>
      <c r="M1461" s="20" t="s">
        <v>17472</v>
      </c>
      <c r="N1461" s="88" t="s">
        <v>17473</v>
      </c>
      <c r="O1461" s="22">
        <v>85.0</v>
      </c>
      <c r="P1461" s="28">
        <v>11.0</v>
      </c>
      <c r="Q1461" s="28">
        <v>29.0</v>
      </c>
      <c r="R1461" s="84"/>
      <c r="S1461" s="84"/>
      <c r="T1461" s="84"/>
      <c r="U1461" s="84"/>
      <c r="V1461" s="84"/>
      <c r="W1461" s="84"/>
      <c r="X1461" s="84"/>
      <c r="Y1461" s="84"/>
      <c r="Z1461" s="84"/>
      <c r="AA1461" s="84"/>
    </row>
    <row r="1462" ht="15.75" customHeight="1">
      <c r="A1462" s="14" t="s">
        <v>120</v>
      </c>
      <c r="B1462" s="15" t="s">
        <v>17056</v>
      </c>
      <c r="C1462" s="14" t="s">
        <v>17475</v>
      </c>
      <c r="D1462" s="14" t="s">
        <v>17476</v>
      </c>
      <c r="E1462" s="26" t="str">
        <f t="shared" si="26"/>
        <v>http://dx.doi.org/10.1109/VAST.2006.261427</v>
      </c>
      <c r="F1462" s="14">
        <v>27.0</v>
      </c>
      <c r="G1462" s="14">
        <v>34.0</v>
      </c>
      <c r="H1462" s="14" t="s">
        <v>28</v>
      </c>
      <c r="I1462" s="19" t="s">
        <v>17477</v>
      </c>
      <c r="J1462" s="19" t="s">
        <v>17478</v>
      </c>
      <c r="K1462" s="19" t="s">
        <v>17479</v>
      </c>
      <c r="L1462" s="19" t="s">
        <v>17480</v>
      </c>
      <c r="M1462" s="20" t="s">
        <v>14202</v>
      </c>
      <c r="N1462" s="88" t="s">
        <v>17481</v>
      </c>
      <c r="O1462" s="109"/>
      <c r="P1462" s="28">
        <v>9.0</v>
      </c>
      <c r="Q1462" s="28">
        <v>22.0</v>
      </c>
      <c r="R1462" s="84"/>
      <c r="S1462" s="84"/>
      <c r="T1462" s="84"/>
      <c r="U1462" s="84"/>
      <c r="V1462" s="84"/>
      <c r="W1462" s="84"/>
      <c r="X1462" s="84"/>
      <c r="Y1462" s="84"/>
      <c r="Z1462" s="84"/>
      <c r="AA1462" s="84"/>
    </row>
    <row r="1463" ht="15.75" customHeight="1">
      <c r="A1463" s="14" t="s">
        <v>120</v>
      </c>
      <c r="B1463" s="15" t="s">
        <v>17056</v>
      </c>
      <c r="C1463" s="14" t="s">
        <v>17482</v>
      </c>
      <c r="D1463" s="14" t="s">
        <v>17483</v>
      </c>
      <c r="E1463" s="26" t="str">
        <f t="shared" si="26"/>
        <v>http://dx.doi.org/10.1109/VAST.2006.261428</v>
      </c>
      <c r="F1463" s="14">
        <v>35.0</v>
      </c>
      <c r="G1463" s="14">
        <v>42.0</v>
      </c>
      <c r="H1463" s="14" t="s">
        <v>28</v>
      </c>
      <c r="I1463" s="19" t="s">
        <v>17490</v>
      </c>
      <c r="J1463" s="19" t="s">
        <v>17491</v>
      </c>
      <c r="K1463" s="19" t="s">
        <v>17492</v>
      </c>
      <c r="L1463" s="19" t="s">
        <v>17493</v>
      </c>
      <c r="M1463" s="20" t="s">
        <v>17494</v>
      </c>
      <c r="N1463" s="88" t="s">
        <v>17495</v>
      </c>
      <c r="O1463" s="22">
        <v>50.0</v>
      </c>
      <c r="P1463" s="28">
        <v>6.0</v>
      </c>
      <c r="Q1463" s="28">
        <v>18.0</v>
      </c>
      <c r="R1463" s="84"/>
      <c r="S1463" s="84"/>
      <c r="T1463" s="84"/>
      <c r="U1463" s="84"/>
      <c r="V1463" s="84"/>
      <c r="W1463" s="84"/>
      <c r="X1463" s="84"/>
      <c r="Y1463" s="84"/>
      <c r="Z1463" s="84"/>
      <c r="AA1463" s="84"/>
    </row>
    <row r="1464" ht="15.75" customHeight="1">
      <c r="A1464" s="14" t="s">
        <v>120</v>
      </c>
      <c r="B1464" s="15" t="s">
        <v>17056</v>
      </c>
      <c r="C1464" s="14" t="s">
        <v>17496</v>
      </c>
      <c r="D1464" s="14" t="s">
        <v>17497</v>
      </c>
      <c r="E1464" s="26" t="str">
        <f t="shared" si="26"/>
        <v>http://dx.doi.org/10.1109/VAST.2006.261429</v>
      </c>
      <c r="F1464" s="14">
        <v>43.0</v>
      </c>
      <c r="G1464" s="14">
        <v>50.0</v>
      </c>
      <c r="H1464" s="14" t="s">
        <v>28</v>
      </c>
      <c r="I1464" s="19" t="s">
        <v>17498</v>
      </c>
      <c r="J1464" s="19" t="s">
        <v>17499</v>
      </c>
      <c r="K1464" s="19" t="s">
        <v>17500</v>
      </c>
      <c r="L1464" s="19" t="s">
        <v>17501</v>
      </c>
      <c r="M1464" s="20"/>
      <c r="N1464" s="88" t="s">
        <v>17502</v>
      </c>
      <c r="O1464" s="22">
        <v>37.0</v>
      </c>
      <c r="P1464" s="28">
        <v>19.0</v>
      </c>
      <c r="Q1464" s="28">
        <v>28.0</v>
      </c>
      <c r="R1464" s="84"/>
      <c r="S1464" s="84"/>
      <c r="T1464" s="84"/>
      <c r="U1464" s="84"/>
      <c r="V1464" s="84"/>
      <c r="W1464" s="84"/>
      <c r="X1464" s="84"/>
      <c r="Y1464" s="84"/>
      <c r="Z1464" s="84"/>
      <c r="AA1464" s="84"/>
    </row>
    <row r="1465" ht="15.75" customHeight="1">
      <c r="A1465" s="14" t="s">
        <v>120</v>
      </c>
      <c r="B1465" s="15" t="s">
        <v>17056</v>
      </c>
      <c r="C1465" s="14" t="s">
        <v>17503</v>
      </c>
      <c r="D1465" s="14" t="s">
        <v>17504</v>
      </c>
      <c r="E1465" s="26" t="str">
        <f t="shared" si="26"/>
        <v>http://dx.doi.org/10.1109/VAST.2006.261430</v>
      </c>
      <c r="F1465" s="14">
        <v>51.0</v>
      </c>
      <c r="G1465" s="14">
        <v>58.0</v>
      </c>
      <c r="H1465" s="14" t="s">
        <v>28</v>
      </c>
      <c r="I1465" s="19" t="s">
        <v>17505</v>
      </c>
      <c r="J1465" s="19" t="s">
        <v>17506</v>
      </c>
      <c r="K1465" s="19" t="s">
        <v>17506</v>
      </c>
      <c r="L1465" s="19" t="s">
        <v>17507</v>
      </c>
      <c r="M1465" s="20" t="s">
        <v>17508</v>
      </c>
      <c r="N1465" s="88" t="s">
        <v>17509</v>
      </c>
      <c r="O1465" s="22">
        <v>59.0</v>
      </c>
      <c r="P1465" s="28">
        <v>20.0</v>
      </c>
      <c r="Q1465" s="28">
        <v>26.0</v>
      </c>
      <c r="R1465" s="84"/>
      <c r="S1465" s="84"/>
      <c r="T1465" s="84"/>
      <c r="U1465" s="84"/>
      <c r="V1465" s="84"/>
      <c r="W1465" s="84"/>
      <c r="X1465" s="84"/>
      <c r="Y1465" s="84"/>
      <c r="Z1465" s="84"/>
      <c r="AA1465" s="84"/>
    </row>
    <row r="1466" ht="15.75" customHeight="1">
      <c r="A1466" s="14" t="s">
        <v>120</v>
      </c>
      <c r="B1466" s="15" t="s">
        <v>17056</v>
      </c>
      <c r="C1466" s="14" t="s">
        <v>17510</v>
      </c>
      <c r="D1466" s="14" t="s">
        <v>17511</v>
      </c>
      <c r="E1466" s="26" t="str">
        <f t="shared" si="26"/>
        <v>http://dx.doi.org/10.1109/VAST.2006.261431</v>
      </c>
      <c r="F1466" s="14">
        <v>59.0</v>
      </c>
      <c r="G1466" s="14">
        <v>66.0</v>
      </c>
      <c r="H1466" s="14" t="s">
        <v>28</v>
      </c>
      <c r="I1466" s="19" t="s">
        <v>17512</v>
      </c>
      <c r="J1466" s="19" t="s">
        <v>17513</v>
      </c>
      <c r="K1466" s="19" t="s">
        <v>17514</v>
      </c>
      <c r="L1466" s="19" t="s">
        <v>17515</v>
      </c>
      <c r="M1466" s="20" t="s">
        <v>11895</v>
      </c>
      <c r="N1466" s="88" t="s">
        <v>17516</v>
      </c>
      <c r="O1466" s="22">
        <v>92.0</v>
      </c>
      <c r="P1466" s="28">
        <v>27.0</v>
      </c>
      <c r="Q1466" s="28">
        <v>21.0</v>
      </c>
      <c r="R1466" s="84"/>
      <c r="S1466" s="84"/>
      <c r="T1466" s="84"/>
      <c r="U1466" s="84"/>
      <c r="V1466" s="84"/>
      <c r="W1466" s="84"/>
      <c r="X1466" s="84"/>
      <c r="Y1466" s="84"/>
      <c r="Z1466" s="84"/>
      <c r="AA1466" s="84"/>
    </row>
    <row r="1467" ht="15.75" customHeight="1">
      <c r="A1467" s="14" t="s">
        <v>120</v>
      </c>
      <c r="B1467" s="15" t="s">
        <v>17056</v>
      </c>
      <c r="C1467" s="14" t="s">
        <v>17517</v>
      </c>
      <c r="D1467" s="14" t="s">
        <v>17518</v>
      </c>
      <c r="E1467" s="26" t="str">
        <f t="shared" si="26"/>
        <v>http://dx.doi.org/10.1109/VAST.2006.261432</v>
      </c>
      <c r="F1467" s="14">
        <v>67.0</v>
      </c>
      <c r="G1467" s="14">
        <v>74.0</v>
      </c>
      <c r="H1467" s="14" t="s">
        <v>28</v>
      </c>
      <c r="I1467" s="19" t="s">
        <v>17519</v>
      </c>
      <c r="J1467" s="19" t="s">
        <v>17520</v>
      </c>
      <c r="K1467" s="19" t="s">
        <v>17521</v>
      </c>
      <c r="L1467" s="19" t="s">
        <v>17522</v>
      </c>
      <c r="M1467" s="20" t="s">
        <v>17523</v>
      </c>
      <c r="N1467" s="44" t="s">
        <v>17524</v>
      </c>
      <c r="O1467" s="22">
        <v>32.0</v>
      </c>
      <c r="P1467" s="28">
        <v>10.0</v>
      </c>
      <c r="Q1467" s="28">
        <v>42.0</v>
      </c>
      <c r="R1467" s="84"/>
      <c r="S1467" s="84"/>
      <c r="T1467" s="84"/>
      <c r="U1467" s="84"/>
      <c r="V1467" s="84"/>
      <c r="W1467" s="84"/>
      <c r="X1467" s="84"/>
      <c r="Y1467" s="84"/>
      <c r="Z1467" s="84"/>
      <c r="AA1467" s="84"/>
    </row>
    <row r="1468" ht="15.75" customHeight="1">
      <c r="A1468" s="14" t="s">
        <v>120</v>
      </c>
      <c r="B1468" s="15" t="s">
        <v>17056</v>
      </c>
      <c r="C1468" s="14" t="s">
        <v>17525</v>
      </c>
      <c r="D1468" s="14" t="s">
        <v>17526</v>
      </c>
      <c r="E1468" s="26" t="str">
        <f t="shared" si="26"/>
        <v>http://dx.doi.org/10.1109/VAST.2006.261433</v>
      </c>
      <c r="F1468" s="14">
        <v>75.0</v>
      </c>
      <c r="G1468" s="14">
        <v>82.0</v>
      </c>
      <c r="H1468" s="14" t="s">
        <v>28</v>
      </c>
      <c r="I1468" s="19" t="s">
        <v>17527</v>
      </c>
      <c r="J1468" s="19" t="s">
        <v>17528</v>
      </c>
      <c r="K1468" s="19" t="s">
        <v>17529</v>
      </c>
      <c r="L1468" s="19" t="s">
        <v>17530</v>
      </c>
      <c r="M1468" s="20" t="s">
        <v>17531</v>
      </c>
      <c r="N1468" s="44" t="s">
        <v>17532</v>
      </c>
      <c r="O1468" s="22">
        <v>31.0</v>
      </c>
      <c r="P1468" s="28">
        <v>9.0</v>
      </c>
      <c r="Q1468" s="28">
        <v>25.0</v>
      </c>
      <c r="R1468" s="84"/>
      <c r="S1468" s="84"/>
      <c r="T1468" s="84"/>
      <c r="U1468" s="84"/>
      <c r="V1468" s="84"/>
      <c r="W1468" s="84"/>
      <c r="X1468" s="84"/>
      <c r="Y1468" s="84"/>
      <c r="Z1468" s="84"/>
      <c r="AA1468" s="84"/>
    </row>
    <row r="1469" ht="15.75" customHeight="1">
      <c r="A1469" s="14" t="s">
        <v>120</v>
      </c>
      <c r="B1469" s="15" t="s">
        <v>17056</v>
      </c>
      <c r="C1469" s="14" t="s">
        <v>17533</v>
      </c>
      <c r="D1469" s="14" t="s">
        <v>17534</v>
      </c>
      <c r="E1469" s="26" t="str">
        <f t="shared" si="26"/>
        <v>http://dx.doi.org/10.1109/VAST.2006.261434</v>
      </c>
      <c r="F1469" s="14">
        <v>83.0</v>
      </c>
      <c r="G1469" s="14">
        <v>90.0</v>
      </c>
      <c r="H1469" s="14" t="s">
        <v>28</v>
      </c>
      <c r="I1469" s="19" t="s">
        <v>17535</v>
      </c>
      <c r="J1469" s="19" t="s">
        <v>17536</v>
      </c>
      <c r="K1469" s="19" t="s">
        <v>17537</v>
      </c>
      <c r="L1469" s="19" t="s">
        <v>17538</v>
      </c>
      <c r="M1469" s="20" t="s">
        <v>17539</v>
      </c>
      <c r="N1469" s="44" t="s">
        <v>17540</v>
      </c>
      <c r="O1469" s="22">
        <v>50.0</v>
      </c>
      <c r="P1469" s="28">
        <v>9.0</v>
      </c>
      <c r="Q1469" s="28">
        <v>26.0</v>
      </c>
      <c r="R1469" s="84"/>
      <c r="S1469" s="84"/>
      <c r="T1469" s="84"/>
      <c r="U1469" s="84"/>
      <c r="V1469" s="84"/>
      <c r="W1469" s="84"/>
      <c r="X1469" s="84"/>
      <c r="Y1469" s="84"/>
      <c r="Z1469" s="84"/>
      <c r="AA1469" s="84"/>
    </row>
    <row r="1470" ht="15.75" customHeight="1">
      <c r="A1470" s="14" t="s">
        <v>120</v>
      </c>
      <c r="B1470" s="15" t="s">
        <v>17056</v>
      </c>
      <c r="C1470" s="14" t="s">
        <v>17541</v>
      </c>
      <c r="D1470" s="14" t="s">
        <v>17542</v>
      </c>
      <c r="E1470" s="26" t="str">
        <f t="shared" si="26"/>
        <v>http://dx.doi.org/10.1109/VAST.2006.261435</v>
      </c>
      <c r="F1470" s="14">
        <v>99.0</v>
      </c>
      <c r="G1470" s="14">
        <v>106.0</v>
      </c>
      <c r="H1470" s="14" t="s">
        <v>28</v>
      </c>
      <c r="I1470" s="19" t="s">
        <v>17543</v>
      </c>
      <c r="J1470" s="19" t="s">
        <v>17544</v>
      </c>
      <c r="K1470" s="19" t="s">
        <v>17544</v>
      </c>
      <c r="L1470" s="19" t="s">
        <v>17545</v>
      </c>
      <c r="M1470" s="20" t="s">
        <v>17546</v>
      </c>
      <c r="N1470" s="88" t="s">
        <v>17547</v>
      </c>
      <c r="O1470" s="22">
        <v>18.0</v>
      </c>
      <c r="P1470" s="28">
        <v>6.0</v>
      </c>
      <c r="Q1470" s="28">
        <v>43.0</v>
      </c>
      <c r="R1470" s="84"/>
      <c r="S1470" s="84"/>
      <c r="T1470" s="84"/>
      <c r="U1470" s="84"/>
      <c r="V1470" s="84"/>
      <c r="W1470" s="84"/>
      <c r="X1470" s="84"/>
      <c r="Y1470" s="84"/>
      <c r="Z1470" s="84"/>
      <c r="AA1470" s="84"/>
    </row>
    <row r="1471" ht="15.75" customHeight="1">
      <c r="A1471" s="14" t="s">
        <v>120</v>
      </c>
      <c r="B1471" s="15" t="s">
        <v>17056</v>
      </c>
      <c r="C1471" s="14" t="s">
        <v>17548</v>
      </c>
      <c r="D1471" s="14" t="s">
        <v>17549</v>
      </c>
      <c r="E1471" s="26" t="str">
        <f t="shared" si="26"/>
        <v>http://dx.doi.org/10.1109/VAST.2006.261436</v>
      </c>
      <c r="F1471" s="14">
        <v>107.0</v>
      </c>
      <c r="G1471" s="14">
        <v>114.0</v>
      </c>
      <c r="H1471" s="14" t="s">
        <v>28</v>
      </c>
      <c r="I1471" s="19" t="s">
        <v>17550</v>
      </c>
      <c r="J1471" s="19" t="s">
        <v>17551</v>
      </c>
      <c r="K1471" s="19" t="s">
        <v>17551</v>
      </c>
      <c r="L1471" s="19" t="s">
        <v>17552</v>
      </c>
      <c r="M1471" s="20" t="s">
        <v>2819</v>
      </c>
      <c r="N1471" s="44" t="s">
        <v>17553</v>
      </c>
      <c r="O1471" s="22">
        <v>73.0</v>
      </c>
      <c r="P1471" s="28">
        <v>21.0</v>
      </c>
      <c r="Q1471" s="28">
        <v>23.0</v>
      </c>
      <c r="R1471" s="84"/>
      <c r="S1471" s="84"/>
      <c r="T1471" s="84"/>
      <c r="U1471" s="84"/>
      <c r="V1471" s="84"/>
      <c r="W1471" s="84"/>
      <c r="X1471" s="84"/>
      <c r="Y1471" s="84"/>
      <c r="Z1471" s="84"/>
      <c r="AA1471" s="84"/>
    </row>
    <row r="1472" ht="15.75" customHeight="1">
      <c r="A1472" s="14" t="s">
        <v>120</v>
      </c>
      <c r="B1472" s="15" t="s">
        <v>17056</v>
      </c>
      <c r="C1472" s="14" t="s">
        <v>17554</v>
      </c>
      <c r="D1472" s="14" t="s">
        <v>17555</v>
      </c>
      <c r="E1472" s="26" t="str">
        <f t="shared" si="26"/>
        <v>http://dx.doi.org/10.1109/VAST.2006.261437</v>
      </c>
      <c r="F1472" s="14">
        <v>115.0</v>
      </c>
      <c r="G1472" s="14">
        <v>122.0</v>
      </c>
      <c r="H1472" s="14" t="s">
        <v>28</v>
      </c>
      <c r="I1472" s="19" t="s">
        <v>17556</v>
      </c>
      <c r="J1472" s="19" t="s">
        <v>17557</v>
      </c>
      <c r="K1472" s="19" t="s">
        <v>17557</v>
      </c>
      <c r="L1472" s="19" t="s">
        <v>17558</v>
      </c>
      <c r="M1472" s="20" t="s">
        <v>17559</v>
      </c>
      <c r="N1472" s="88" t="s">
        <v>17560</v>
      </c>
      <c r="O1472" s="22">
        <v>50.0</v>
      </c>
      <c r="P1472" s="28">
        <v>12.0</v>
      </c>
      <c r="Q1472" s="28">
        <v>44.0</v>
      </c>
      <c r="R1472" s="84"/>
      <c r="S1472" s="84"/>
      <c r="T1472" s="84"/>
      <c r="U1472" s="84"/>
      <c r="V1472" s="84"/>
      <c r="W1472" s="84"/>
      <c r="X1472" s="84"/>
      <c r="Y1472" s="84"/>
      <c r="Z1472" s="84"/>
      <c r="AA1472" s="84"/>
    </row>
    <row r="1473" ht="15.75" customHeight="1">
      <c r="A1473" s="14" t="s">
        <v>120</v>
      </c>
      <c r="B1473" s="15" t="s">
        <v>17056</v>
      </c>
      <c r="C1473" s="14" t="s">
        <v>17563</v>
      </c>
      <c r="D1473" s="14" t="s">
        <v>17565</v>
      </c>
      <c r="E1473" s="26" t="str">
        <f t="shared" si="26"/>
        <v>http://dx.doi.org/10.1109/VAST.2006.261438</v>
      </c>
      <c r="F1473" s="14">
        <v>123.0</v>
      </c>
      <c r="G1473" s="14">
        <v>128.0</v>
      </c>
      <c r="H1473" s="14" t="s">
        <v>28</v>
      </c>
      <c r="I1473" s="19" t="s">
        <v>17568</v>
      </c>
      <c r="J1473" s="19" t="s">
        <v>17569</v>
      </c>
      <c r="K1473" s="19" t="s">
        <v>17570</v>
      </c>
      <c r="L1473" s="19" t="s">
        <v>17571</v>
      </c>
      <c r="M1473" s="20" t="s">
        <v>17572</v>
      </c>
      <c r="N1473" s="88" t="s">
        <v>17573</v>
      </c>
      <c r="O1473" s="22">
        <v>70.0</v>
      </c>
      <c r="P1473" s="28">
        <v>22.0</v>
      </c>
      <c r="Q1473" s="28">
        <v>24.0</v>
      </c>
      <c r="R1473" s="84"/>
      <c r="S1473" s="84"/>
      <c r="T1473" s="84"/>
      <c r="U1473" s="84"/>
      <c r="V1473" s="84"/>
      <c r="W1473" s="84"/>
      <c r="X1473" s="84"/>
      <c r="Y1473" s="84"/>
      <c r="Z1473" s="84"/>
      <c r="AA1473" s="84"/>
    </row>
    <row r="1474" ht="15.75" customHeight="1">
      <c r="A1474" s="14" t="s">
        <v>120</v>
      </c>
      <c r="B1474" s="15" t="s">
        <v>17056</v>
      </c>
      <c r="C1474" s="14" t="s">
        <v>17574</v>
      </c>
      <c r="D1474" s="14" t="s">
        <v>17575</v>
      </c>
      <c r="E1474" s="26" t="str">
        <f t="shared" si="26"/>
        <v>http://dx.doi.org/10.1109/VAST.2006.261439</v>
      </c>
      <c r="F1474" s="14">
        <v>129.0</v>
      </c>
      <c r="G1474" s="14">
        <v>136.0</v>
      </c>
      <c r="H1474" s="14" t="s">
        <v>28</v>
      </c>
      <c r="I1474" s="19" t="s">
        <v>17576</v>
      </c>
      <c r="J1474" s="19" t="s">
        <v>17577</v>
      </c>
      <c r="K1474" s="19" t="s">
        <v>17578</v>
      </c>
      <c r="L1474" s="19" t="s">
        <v>17579</v>
      </c>
      <c r="M1474" s="20"/>
      <c r="N1474" s="44" t="s">
        <v>17580</v>
      </c>
      <c r="O1474" s="22">
        <v>46.0</v>
      </c>
      <c r="P1474" s="28">
        <v>19.0</v>
      </c>
      <c r="Q1474" s="28">
        <v>25.0</v>
      </c>
      <c r="R1474" s="84"/>
      <c r="S1474" s="84"/>
      <c r="T1474" s="84"/>
      <c r="U1474" s="84"/>
      <c r="V1474" s="84"/>
      <c r="W1474" s="84"/>
      <c r="X1474" s="84"/>
      <c r="Y1474" s="84"/>
      <c r="Z1474" s="84"/>
      <c r="AA1474" s="84"/>
    </row>
    <row r="1475" ht="15.75" customHeight="1">
      <c r="A1475" s="14" t="s">
        <v>120</v>
      </c>
      <c r="B1475" s="15" t="s">
        <v>17056</v>
      </c>
      <c r="C1475" s="14" t="s">
        <v>17581</v>
      </c>
      <c r="D1475" s="14" t="s">
        <v>17582</v>
      </c>
      <c r="E1475" s="26" t="str">
        <f t="shared" si="26"/>
        <v>http://dx.doi.org/10.1109/VAST.2006.261450</v>
      </c>
      <c r="F1475" s="14">
        <v>3.0</v>
      </c>
      <c r="G1475" s="14">
        <v>10.0</v>
      </c>
      <c r="H1475" s="14" t="s">
        <v>28</v>
      </c>
      <c r="I1475" s="19" t="s">
        <v>17583</v>
      </c>
      <c r="J1475" s="19" t="s">
        <v>17584</v>
      </c>
      <c r="K1475" s="19" t="s">
        <v>17585</v>
      </c>
      <c r="L1475" s="19" t="s">
        <v>17586</v>
      </c>
      <c r="M1475" s="20" t="s">
        <v>17587</v>
      </c>
      <c r="N1475" s="44" t="s">
        <v>17588</v>
      </c>
      <c r="O1475" s="22">
        <v>69.0</v>
      </c>
      <c r="P1475" s="28">
        <v>12.0</v>
      </c>
      <c r="Q1475" s="28">
        <v>29.0</v>
      </c>
      <c r="R1475" s="84"/>
      <c r="S1475" s="84"/>
      <c r="T1475" s="84"/>
      <c r="U1475" s="84"/>
      <c r="V1475" s="84"/>
      <c r="W1475" s="84"/>
      <c r="X1475" s="84"/>
      <c r="Y1475" s="84"/>
      <c r="Z1475" s="84"/>
      <c r="AA1475" s="84"/>
    </row>
    <row r="1476" ht="15.75" customHeight="1">
      <c r="A1476" s="14" t="s">
        <v>120</v>
      </c>
      <c r="B1476" s="15" t="s">
        <v>17056</v>
      </c>
      <c r="C1476" s="14" t="s">
        <v>17592</v>
      </c>
      <c r="D1476" s="14" t="s">
        <v>17593</v>
      </c>
      <c r="E1476" s="26" t="str">
        <f t="shared" si="26"/>
        <v>http://dx.doi.org/10.1109/VAST.2006.261451</v>
      </c>
      <c r="F1476" s="14">
        <v>11.0</v>
      </c>
      <c r="G1476" s="14">
        <v>18.0</v>
      </c>
      <c r="H1476" s="14" t="s">
        <v>28</v>
      </c>
      <c r="I1476" s="19" t="s">
        <v>17594</v>
      </c>
      <c r="J1476" s="19" t="s">
        <v>17595</v>
      </c>
      <c r="K1476" s="19" t="s">
        <v>17596</v>
      </c>
      <c r="L1476" s="19" t="s">
        <v>17597</v>
      </c>
      <c r="M1476" s="20" t="s">
        <v>12374</v>
      </c>
      <c r="N1476" s="88" t="s">
        <v>17598</v>
      </c>
      <c r="O1476" s="22">
        <v>7.0</v>
      </c>
      <c r="P1476" s="28">
        <v>4.0</v>
      </c>
      <c r="Q1476" s="28">
        <v>28.0</v>
      </c>
      <c r="R1476" s="84"/>
      <c r="S1476" s="84"/>
      <c r="T1476" s="84"/>
      <c r="U1476" s="84"/>
      <c r="V1476" s="84"/>
      <c r="W1476" s="84"/>
      <c r="X1476" s="84"/>
      <c r="Y1476" s="84"/>
      <c r="Z1476" s="84"/>
      <c r="AA1476" s="84"/>
    </row>
    <row r="1477" ht="15.75" customHeight="1">
      <c r="A1477" s="14" t="s">
        <v>120</v>
      </c>
      <c r="B1477" s="15" t="s">
        <v>17056</v>
      </c>
      <c r="C1477" s="14" t="s">
        <v>17599</v>
      </c>
      <c r="D1477" s="14" t="s">
        <v>17600</v>
      </c>
      <c r="E1477" s="26" t="str">
        <f t="shared" si="26"/>
        <v>http://dx.doi.org/10.1109/VAST.2006.261452</v>
      </c>
      <c r="F1477" s="14">
        <v>19.0</v>
      </c>
      <c r="G1477" s="14">
        <v>26.0</v>
      </c>
      <c r="H1477" s="14" t="s">
        <v>28</v>
      </c>
      <c r="I1477" s="19" t="s">
        <v>17601</v>
      </c>
      <c r="J1477" s="19" t="s">
        <v>17602</v>
      </c>
      <c r="K1477" s="19" t="s">
        <v>17603</v>
      </c>
      <c r="L1477" s="19" t="s">
        <v>17604</v>
      </c>
      <c r="M1477" s="20"/>
      <c r="N1477" s="88" t="s">
        <v>17605</v>
      </c>
      <c r="O1477" s="22">
        <v>19.0</v>
      </c>
      <c r="P1477" s="28">
        <v>5.0</v>
      </c>
      <c r="Q1477" s="28">
        <v>23.0</v>
      </c>
      <c r="R1477" s="84"/>
      <c r="S1477" s="84"/>
      <c r="T1477" s="84"/>
      <c r="U1477" s="84"/>
      <c r="V1477" s="84"/>
      <c r="W1477" s="84"/>
      <c r="X1477" s="84"/>
      <c r="Y1477" s="84"/>
      <c r="Z1477" s="84"/>
      <c r="AA1477" s="84"/>
    </row>
    <row r="1478" ht="15.75" customHeight="1">
      <c r="A1478" s="14" t="s">
        <v>17</v>
      </c>
      <c r="B1478" s="15" t="s">
        <v>17056</v>
      </c>
      <c r="C1478" s="14" t="s">
        <v>17090</v>
      </c>
      <c r="D1478" s="14" t="s">
        <v>17091</v>
      </c>
      <c r="E1478" s="26" t="str">
        <f t="shared" si="26"/>
        <v>http://dx.doi.org/10.1109/TVCG.2006.110</v>
      </c>
      <c r="F1478" s="14">
        <v>1345.0</v>
      </c>
      <c r="G1478" s="14">
        <v>1352.0</v>
      </c>
      <c r="H1478" s="14" t="s">
        <v>17059</v>
      </c>
      <c r="I1478" s="19" t="s">
        <v>17093</v>
      </c>
      <c r="J1478" s="19" t="s">
        <v>17606</v>
      </c>
      <c r="K1478" s="19" t="s">
        <v>17607</v>
      </c>
      <c r="L1478" s="18"/>
      <c r="M1478" s="20" t="s">
        <v>17096</v>
      </c>
      <c r="N1478" s="44" t="s">
        <v>17097</v>
      </c>
      <c r="O1478" s="22">
        <v>45.0</v>
      </c>
      <c r="P1478" s="28">
        <v>18.0</v>
      </c>
      <c r="Q1478" s="28">
        <v>33.0</v>
      </c>
      <c r="R1478" s="84"/>
      <c r="S1478" s="84"/>
      <c r="T1478" s="84"/>
      <c r="U1478" s="84"/>
      <c r="V1478" s="84"/>
      <c r="W1478" s="84"/>
      <c r="X1478" s="84"/>
      <c r="Y1478" s="84"/>
      <c r="Z1478" s="84"/>
      <c r="AA1478" s="84"/>
    </row>
    <row r="1479" ht="15.75" customHeight="1">
      <c r="A1479" s="14" t="s">
        <v>17</v>
      </c>
      <c r="B1479" s="15" t="s">
        <v>17056</v>
      </c>
      <c r="C1479" s="14" t="s">
        <v>17098</v>
      </c>
      <c r="D1479" s="14" t="s">
        <v>17099</v>
      </c>
      <c r="E1479" s="26" t="str">
        <f t="shared" si="26"/>
        <v>http://dx.doi.org/10.1109/TVCG.2006.111</v>
      </c>
      <c r="F1479" s="14">
        <v>981.0</v>
      </c>
      <c r="G1479" s="14">
        <v>988.0</v>
      </c>
      <c r="H1479" s="14" t="s">
        <v>17059</v>
      </c>
      <c r="I1479" s="19" t="s">
        <v>17101</v>
      </c>
      <c r="J1479" s="19" t="s">
        <v>17102</v>
      </c>
      <c r="K1479" s="19" t="s">
        <v>17608</v>
      </c>
      <c r="L1479" s="19" t="s">
        <v>17609</v>
      </c>
      <c r="M1479" s="20" t="s">
        <v>17104</v>
      </c>
      <c r="N1479" s="44" t="s">
        <v>17105</v>
      </c>
      <c r="O1479" s="22">
        <v>62.0</v>
      </c>
      <c r="P1479" s="28">
        <v>24.0</v>
      </c>
      <c r="Q1479" s="28">
        <v>36.0</v>
      </c>
      <c r="R1479" s="84"/>
      <c r="S1479" s="84"/>
      <c r="T1479" s="84"/>
      <c r="U1479" s="84"/>
      <c r="V1479" s="84"/>
      <c r="W1479" s="84"/>
      <c r="X1479" s="84"/>
      <c r="Y1479" s="84"/>
      <c r="Z1479" s="84"/>
      <c r="AA1479" s="84"/>
    </row>
    <row r="1480" ht="15.75" customHeight="1">
      <c r="A1480" s="14" t="s">
        <v>17</v>
      </c>
      <c r="B1480" s="15" t="s">
        <v>17056</v>
      </c>
      <c r="C1480" s="14" t="s">
        <v>17106</v>
      </c>
      <c r="D1480" s="14" t="s">
        <v>17107</v>
      </c>
      <c r="E1480" s="26" t="str">
        <f t="shared" si="26"/>
        <v>http://dx.doi.org/10.1109/TVCG.2006.112</v>
      </c>
      <c r="F1480" s="14">
        <v>861.0</v>
      </c>
      <c r="G1480" s="14">
        <v>868.0</v>
      </c>
      <c r="H1480" s="14" t="s">
        <v>17059</v>
      </c>
      <c r="I1480" s="19" t="s">
        <v>17109</v>
      </c>
      <c r="J1480" s="19" t="s">
        <v>17110</v>
      </c>
      <c r="K1480" s="19" t="s">
        <v>17618</v>
      </c>
      <c r="L1480" s="19" t="s">
        <v>17619</v>
      </c>
      <c r="M1480" s="20" t="s">
        <v>17112</v>
      </c>
      <c r="N1480" s="44" t="s">
        <v>17113</v>
      </c>
      <c r="O1480" s="22">
        <v>69.0</v>
      </c>
      <c r="P1480" s="28">
        <v>33.0</v>
      </c>
      <c r="Q1480" s="28">
        <v>29.0</v>
      </c>
      <c r="R1480" s="84"/>
      <c r="S1480" s="84"/>
      <c r="T1480" s="84"/>
      <c r="U1480" s="84"/>
      <c r="V1480" s="84"/>
      <c r="W1480" s="84"/>
      <c r="X1480" s="84"/>
      <c r="Y1480" s="84"/>
      <c r="Z1480" s="84"/>
      <c r="AA1480" s="84"/>
    </row>
    <row r="1481" ht="15.75" customHeight="1">
      <c r="A1481" s="14" t="s">
        <v>17</v>
      </c>
      <c r="B1481" s="15" t="s">
        <v>17056</v>
      </c>
      <c r="C1481" s="14" t="s">
        <v>17114</v>
      </c>
      <c r="D1481" s="14" t="s">
        <v>17115</v>
      </c>
      <c r="E1481" s="26" t="str">
        <f t="shared" si="26"/>
        <v>http://dx.doi.org/10.1109/TVCG.2006.113</v>
      </c>
      <c r="F1481" s="14">
        <v>1353.0</v>
      </c>
      <c r="G1481" s="14">
        <v>1360.0</v>
      </c>
      <c r="H1481" s="14" t="s">
        <v>17059</v>
      </c>
      <c r="I1481" s="19" t="s">
        <v>17117</v>
      </c>
      <c r="J1481" s="19" t="s">
        <v>17620</v>
      </c>
      <c r="K1481" s="19" t="s">
        <v>17621</v>
      </c>
      <c r="L1481" s="19" t="s">
        <v>17622</v>
      </c>
      <c r="M1481" s="20" t="s">
        <v>17120</v>
      </c>
      <c r="N1481" s="44" t="s">
        <v>17121</v>
      </c>
      <c r="O1481" s="22">
        <v>50.0</v>
      </c>
      <c r="P1481" s="28">
        <v>21.0</v>
      </c>
      <c r="Q1481" s="28">
        <v>27.0</v>
      </c>
      <c r="R1481" s="84"/>
      <c r="S1481" s="84"/>
      <c r="T1481" s="84"/>
      <c r="U1481" s="84"/>
      <c r="V1481" s="84"/>
      <c r="W1481" s="84"/>
      <c r="X1481" s="84"/>
      <c r="Y1481" s="84"/>
      <c r="Z1481" s="84"/>
      <c r="AA1481" s="84"/>
    </row>
    <row r="1482" ht="15.75" customHeight="1">
      <c r="A1482" s="14" t="s">
        <v>17</v>
      </c>
      <c r="B1482" s="15" t="s">
        <v>17056</v>
      </c>
      <c r="C1482" s="14" t="s">
        <v>17122</v>
      </c>
      <c r="D1482" s="14" t="s">
        <v>17123</v>
      </c>
      <c r="E1482" s="26" t="str">
        <f t="shared" si="26"/>
        <v>http://dx.doi.org/10.1109/TVCG.2006.114</v>
      </c>
      <c r="F1482" s="14">
        <v>989.0</v>
      </c>
      <c r="G1482" s="14">
        <v>996.0</v>
      </c>
      <c r="H1482" s="14" t="s">
        <v>17059</v>
      </c>
      <c r="I1482" s="19" t="s">
        <v>17125</v>
      </c>
      <c r="J1482" s="19" t="s">
        <v>17126</v>
      </c>
      <c r="K1482" s="19" t="s">
        <v>17631</v>
      </c>
      <c r="L1482" s="18"/>
      <c r="M1482" s="20" t="s">
        <v>17128</v>
      </c>
      <c r="N1482" s="44" t="s">
        <v>17129</v>
      </c>
      <c r="O1482" s="22">
        <v>25.0</v>
      </c>
      <c r="P1482" s="28">
        <v>16.0</v>
      </c>
      <c r="Q1482" s="28">
        <v>27.0</v>
      </c>
      <c r="R1482" s="84"/>
      <c r="S1482" s="84"/>
      <c r="T1482" s="84"/>
      <c r="U1482" s="84"/>
      <c r="V1482" s="84"/>
      <c r="W1482" s="84"/>
      <c r="X1482" s="84"/>
      <c r="Y1482" s="84"/>
      <c r="Z1482" s="84"/>
      <c r="AA1482" s="84"/>
    </row>
    <row r="1483" ht="15.75" customHeight="1">
      <c r="A1483" s="14" t="s">
        <v>17</v>
      </c>
      <c r="B1483" s="15" t="s">
        <v>17056</v>
      </c>
      <c r="C1483" s="14" t="s">
        <v>17130</v>
      </c>
      <c r="D1483" s="14" t="s">
        <v>17131</v>
      </c>
      <c r="E1483" s="26" t="str">
        <f t="shared" si="26"/>
        <v>http://dx.doi.org/10.1109/TVCG.2006.115</v>
      </c>
      <c r="F1483" s="14">
        <v>1237.0</v>
      </c>
      <c r="G1483" s="14">
        <v>1244.0</v>
      </c>
      <c r="H1483" s="14" t="s">
        <v>17059</v>
      </c>
      <c r="I1483" s="19" t="s">
        <v>17632</v>
      </c>
      <c r="J1483" s="19" t="s">
        <v>17134</v>
      </c>
      <c r="K1483" s="19" t="s">
        <v>17134</v>
      </c>
      <c r="L1483" s="19" t="s">
        <v>17284</v>
      </c>
      <c r="M1483" s="20" t="s">
        <v>17136</v>
      </c>
      <c r="N1483" s="27"/>
      <c r="O1483" s="22">
        <v>327.0</v>
      </c>
      <c r="P1483" s="28">
        <v>200.0</v>
      </c>
      <c r="Q1483" s="28">
        <v>32.0</v>
      </c>
      <c r="R1483" s="84"/>
      <c r="S1483" s="84"/>
      <c r="T1483" s="84"/>
      <c r="U1483" s="84"/>
      <c r="V1483" s="84"/>
      <c r="W1483" s="84"/>
      <c r="X1483" s="84"/>
      <c r="Y1483" s="84"/>
      <c r="Z1483" s="84"/>
      <c r="AA1483" s="84"/>
    </row>
    <row r="1484" ht="15.75" customHeight="1">
      <c r="A1484" s="14" t="s">
        <v>17</v>
      </c>
      <c r="B1484" s="15" t="s">
        <v>17056</v>
      </c>
      <c r="C1484" s="14" t="s">
        <v>17137</v>
      </c>
      <c r="D1484" s="14" t="s">
        <v>17138</v>
      </c>
      <c r="E1484" s="26" t="str">
        <f t="shared" si="26"/>
        <v>http://dx.doi.org/10.1109/TVCG.2006.116</v>
      </c>
      <c r="F1484" s="14">
        <v>965.0</v>
      </c>
      <c r="G1484" s="14">
        <v>972.0</v>
      </c>
      <c r="H1484" s="14" t="s">
        <v>17059</v>
      </c>
      <c r="I1484" s="19" t="s">
        <v>17140</v>
      </c>
      <c r="J1484" s="19" t="s">
        <v>17141</v>
      </c>
      <c r="K1484" s="19" t="s">
        <v>17641</v>
      </c>
      <c r="L1484" s="19" t="s">
        <v>17642</v>
      </c>
      <c r="M1484" s="20" t="s">
        <v>17143</v>
      </c>
      <c r="N1484" s="44" t="s">
        <v>17144</v>
      </c>
      <c r="O1484" s="22">
        <v>41.0</v>
      </c>
      <c r="P1484" s="28">
        <v>42.0</v>
      </c>
      <c r="Q1484" s="28">
        <v>20.0</v>
      </c>
      <c r="R1484" s="84"/>
      <c r="S1484" s="84"/>
      <c r="T1484" s="84"/>
      <c r="U1484" s="84"/>
      <c r="V1484" s="84"/>
      <c r="W1484" s="84"/>
      <c r="X1484" s="84"/>
      <c r="Y1484" s="84"/>
      <c r="Z1484" s="84"/>
      <c r="AA1484" s="84"/>
    </row>
    <row r="1485" ht="15.75" customHeight="1">
      <c r="A1485" s="14" t="s">
        <v>17</v>
      </c>
      <c r="B1485" s="15" t="s">
        <v>17056</v>
      </c>
      <c r="C1485" s="14" t="s">
        <v>17145</v>
      </c>
      <c r="D1485" s="14" t="s">
        <v>17146</v>
      </c>
      <c r="E1485" s="26" t="str">
        <f t="shared" si="26"/>
        <v>http://dx.doi.org/10.1109/TVCG.2006.117</v>
      </c>
      <c r="F1485" s="14">
        <v>1157.0</v>
      </c>
      <c r="G1485" s="14">
        <v>1164.0</v>
      </c>
      <c r="H1485" s="14" t="s">
        <v>17059</v>
      </c>
      <c r="I1485" s="19" t="s">
        <v>17148</v>
      </c>
      <c r="J1485" s="19" t="s">
        <v>17149</v>
      </c>
      <c r="K1485" s="19" t="s">
        <v>17643</v>
      </c>
      <c r="L1485" s="19" t="s">
        <v>17644</v>
      </c>
      <c r="M1485" s="20" t="s">
        <v>17151</v>
      </c>
      <c r="N1485" s="44" t="s">
        <v>17152</v>
      </c>
      <c r="O1485" s="22">
        <v>19.0</v>
      </c>
      <c r="P1485" s="28">
        <v>11.0</v>
      </c>
      <c r="Q1485" s="28">
        <v>36.0</v>
      </c>
      <c r="R1485" s="84"/>
      <c r="S1485" s="84"/>
      <c r="T1485" s="84"/>
      <c r="U1485" s="84"/>
      <c r="V1485" s="84"/>
      <c r="W1485" s="84"/>
      <c r="X1485" s="84"/>
      <c r="Y1485" s="84"/>
      <c r="Z1485" s="84"/>
      <c r="AA1485" s="84"/>
    </row>
    <row r="1486" ht="15.75" customHeight="1">
      <c r="A1486" s="14" t="s">
        <v>17</v>
      </c>
      <c r="B1486" s="15" t="s">
        <v>17056</v>
      </c>
      <c r="C1486" s="14" t="s">
        <v>17153</v>
      </c>
      <c r="D1486" s="14" t="s">
        <v>17154</v>
      </c>
      <c r="E1486" s="26" t="str">
        <f t="shared" si="26"/>
        <v>http://dx.doi.org/10.1109/TVCG.2006.118</v>
      </c>
      <c r="F1486" s="14">
        <v>1037.0</v>
      </c>
      <c r="G1486" s="14">
        <v>1044.0</v>
      </c>
      <c r="H1486" s="14" t="s">
        <v>17059</v>
      </c>
      <c r="I1486" s="19" t="s">
        <v>17651</v>
      </c>
      <c r="J1486" s="19" t="s">
        <v>17157</v>
      </c>
      <c r="K1486" s="19" t="s">
        <v>17652</v>
      </c>
      <c r="L1486" s="19" t="s">
        <v>17653</v>
      </c>
      <c r="M1486" s="20" t="s">
        <v>17158</v>
      </c>
      <c r="N1486" s="44" t="s">
        <v>17159</v>
      </c>
      <c r="O1486" s="109"/>
      <c r="P1486" s="28">
        <v>4.0</v>
      </c>
      <c r="Q1486" s="28">
        <v>10.0</v>
      </c>
      <c r="R1486" s="84"/>
      <c r="S1486" s="84"/>
      <c r="T1486" s="84"/>
      <c r="U1486" s="84"/>
      <c r="V1486" s="84"/>
      <c r="W1486" s="84"/>
      <c r="X1486" s="84"/>
      <c r="Y1486" s="84"/>
      <c r="Z1486" s="84"/>
      <c r="AA1486" s="84"/>
    </row>
    <row r="1487" ht="15.75" customHeight="1">
      <c r="A1487" s="14" t="s">
        <v>17</v>
      </c>
      <c r="B1487" s="15" t="s">
        <v>17056</v>
      </c>
      <c r="C1487" s="14" t="s">
        <v>17160</v>
      </c>
      <c r="D1487" s="14" t="s">
        <v>17161</v>
      </c>
      <c r="E1487" s="26" t="str">
        <f t="shared" si="26"/>
        <v>http://dx.doi.org/10.1109/TVCG.2006.119</v>
      </c>
      <c r="F1487" s="14">
        <v>1189.0</v>
      </c>
      <c r="G1487" s="14">
        <v>1196.0</v>
      </c>
      <c r="H1487" s="14" t="s">
        <v>17059</v>
      </c>
      <c r="I1487" s="19" t="s">
        <v>17163</v>
      </c>
      <c r="J1487" s="19" t="s">
        <v>17656</v>
      </c>
      <c r="K1487" s="19" t="s">
        <v>17658</v>
      </c>
      <c r="L1487" s="18"/>
      <c r="M1487" s="20" t="s">
        <v>17166</v>
      </c>
      <c r="N1487" s="44" t="s">
        <v>17167</v>
      </c>
      <c r="O1487" s="22">
        <v>7.0</v>
      </c>
      <c r="P1487" s="28">
        <v>2.0</v>
      </c>
      <c r="Q1487" s="28">
        <v>26.0</v>
      </c>
      <c r="R1487" s="84"/>
      <c r="S1487" s="84"/>
      <c r="T1487" s="84"/>
      <c r="U1487" s="84"/>
      <c r="V1487" s="84"/>
      <c r="W1487" s="84"/>
      <c r="X1487" s="84"/>
      <c r="Y1487" s="84"/>
      <c r="Z1487" s="84"/>
      <c r="AA1487" s="84"/>
    </row>
    <row r="1488" ht="15.75" customHeight="1">
      <c r="A1488" s="14" t="s">
        <v>17</v>
      </c>
      <c r="B1488" s="15" t="s">
        <v>17056</v>
      </c>
      <c r="C1488" s="14" t="s">
        <v>17170</v>
      </c>
      <c r="D1488" s="14" t="s">
        <v>17171</v>
      </c>
      <c r="E1488" s="26" t="str">
        <f t="shared" si="26"/>
        <v>http://dx.doi.org/10.1109/TVCG.2006.121</v>
      </c>
      <c r="F1488" s="14">
        <v>1101.0</v>
      </c>
      <c r="G1488" s="14">
        <v>1108.0</v>
      </c>
      <c r="H1488" s="14" t="s">
        <v>17059</v>
      </c>
      <c r="I1488" s="19" t="s">
        <v>17173</v>
      </c>
      <c r="J1488" s="19" t="s">
        <v>17174</v>
      </c>
      <c r="K1488" s="19" t="s">
        <v>17174</v>
      </c>
      <c r="L1488" s="19" t="s">
        <v>17660</v>
      </c>
      <c r="M1488" s="20" t="s">
        <v>17176</v>
      </c>
      <c r="N1488" s="44" t="s">
        <v>17177</v>
      </c>
      <c r="O1488" s="22">
        <v>65.0</v>
      </c>
      <c r="P1488" s="28">
        <v>32.0</v>
      </c>
      <c r="Q1488" s="28">
        <v>29.0</v>
      </c>
      <c r="R1488" s="84"/>
      <c r="S1488" s="84"/>
      <c r="T1488" s="84"/>
      <c r="U1488" s="84"/>
      <c r="V1488" s="84"/>
      <c r="W1488" s="84"/>
      <c r="X1488" s="84"/>
      <c r="Y1488" s="84"/>
      <c r="Z1488" s="84"/>
      <c r="AA1488" s="84"/>
    </row>
    <row r="1489" ht="15.75" customHeight="1">
      <c r="A1489" s="14" t="s">
        <v>17</v>
      </c>
      <c r="B1489" s="15" t="s">
        <v>17056</v>
      </c>
      <c r="C1489" s="14" t="s">
        <v>17179</v>
      </c>
      <c r="D1489" s="14" t="s">
        <v>17180</v>
      </c>
      <c r="E1489" s="26" t="str">
        <f t="shared" si="26"/>
        <v>http://dx.doi.org/10.1109/TVCG.2006.123</v>
      </c>
      <c r="F1489" s="14">
        <v>1085.0</v>
      </c>
      <c r="G1489" s="14">
        <v>1092.0</v>
      </c>
      <c r="H1489" s="14" t="s">
        <v>17059</v>
      </c>
      <c r="I1489" s="19" t="s">
        <v>17182</v>
      </c>
      <c r="J1489" s="19" t="s">
        <v>17667</v>
      </c>
      <c r="K1489" s="19" t="s">
        <v>17669</v>
      </c>
      <c r="L1489" s="19" t="s">
        <v>17670</v>
      </c>
      <c r="M1489" s="20" t="s">
        <v>17185</v>
      </c>
      <c r="N1489" s="44" t="s">
        <v>17186</v>
      </c>
      <c r="O1489" s="22">
        <v>50.0</v>
      </c>
      <c r="P1489" s="28">
        <v>10.0</v>
      </c>
      <c r="Q1489" s="28">
        <v>26.0</v>
      </c>
      <c r="R1489" s="84"/>
      <c r="S1489" s="84"/>
      <c r="T1489" s="84"/>
      <c r="U1489" s="84"/>
      <c r="V1489" s="84"/>
      <c r="W1489" s="84"/>
      <c r="X1489" s="84"/>
      <c r="Y1489" s="84"/>
      <c r="Z1489" s="84"/>
      <c r="AA1489" s="84"/>
    </row>
    <row r="1490" ht="15.75" customHeight="1">
      <c r="A1490" s="14" t="s">
        <v>17</v>
      </c>
      <c r="B1490" s="15" t="s">
        <v>17056</v>
      </c>
      <c r="C1490" s="14" t="s">
        <v>17187</v>
      </c>
      <c r="D1490" s="14" t="s">
        <v>17188</v>
      </c>
      <c r="E1490" s="26" t="str">
        <f t="shared" si="26"/>
        <v>http://dx.doi.org/10.1109/TVCG.2006.124</v>
      </c>
      <c r="F1490" s="14">
        <v>941.0</v>
      </c>
      <c r="G1490" s="14">
        <v>948.0</v>
      </c>
      <c r="H1490" s="14" t="s">
        <v>17059</v>
      </c>
      <c r="I1490" s="19" t="s">
        <v>17190</v>
      </c>
      <c r="J1490" s="19" t="s">
        <v>17672</v>
      </c>
      <c r="K1490" s="19" t="s">
        <v>17673</v>
      </c>
      <c r="L1490" s="18"/>
      <c r="M1490" s="20" t="s">
        <v>17193</v>
      </c>
      <c r="N1490" s="44" t="s">
        <v>17194</v>
      </c>
      <c r="O1490" s="22">
        <v>171.0</v>
      </c>
      <c r="P1490" s="28">
        <v>68.0</v>
      </c>
      <c r="Q1490" s="28">
        <v>37.0</v>
      </c>
      <c r="R1490" s="84"/>
      <c r="S1490" s="84"/>
      <c r="T1490" s="84"/>
      <c r="U1490" s="84"/>
      <c r="V1490" s="84"/>
      <c r="W1490" s="84"/>
      <c r="X1490" s="84"/>
      <c r="Y1490" s="84"/>
      <c r="Z1490" s="84"/>
      <c r="AA1490" s="84"/>
    </row>
    <row r="1491" ht="15.75" customHeight="1">
      <c r="A1491" s="14" t="s">
        <v>17</v>
      </c>
      <c r="B1491" s="15" t="s">
        <v>17056</v>
      </c>
      <c r="C1491" s="14" t="s">
        <v>17195</v>
      </c>
      <c r="D1491" s="14" t="s">
        <v>17196</v>
      </c>
      <c r="E1491" s="26" t="str">
        <f t="shared" si="26"/>
        <v>http://dx.doi.org/10.1109/TVCG.2006.125</v>
      </c>
      <c r="F1491" s="14">
        <v>1173.0</v>
      </c>
      <c r="G1491" s="14">
        <v>1180.0</v>
      </c>
      <c r="H1491" s="14" t="s">
        <v>17059</v>
      </c>
      <c r="I1491" s="19" t="s">
        <v>17198</v>
      </c>
      <c r="J1491" s="19" t="s">
        <v>17199</v>
      </c>
      <c r="K1491" s="19" t="s">
        <v>17679</v>
      </c>
      <c r="L1491" s="18"/>
      <c r="M1491" s="20" t="s">
        <v>16400</v>
      </c>
      <c r="N1491" s="44" t="s">
        <v>17201</v>
      </c>
      <c r="O1491" s="22">
        <v>27.0</v>
      </c>
      <c r="P1491" s="28">
        <v>13.0</v>
      </c>
      <c r="Q1491" s="28">
        <v>22.0</v>
      </c>
      <c r="R1491" s="84"/>
      <c r="S1491" s="84"/>
      <c r="T1491" s="84"/>
      <c r="U1491" s="84"/>
      <c r="V1491" s="84"/>
      <c r="W1491" s="84"/>
      <c r="X1491" s="84"/>
      <c r="Y1491" s="84"/>
      <c r="Z1491" s="84"/>
      <c r="AA1491" s="84"/>
    </row>
    <row r="1492" ht="15.75" customHeight="1">
      <c r="A1492" s="14" t="s">
        <v>17</v>
      </c>
      <c r="B1492" s="15" t="s">
        <v>17056</v>
      </c>
      <c r="C1492" s="14" t="s">
        <v>17205</v>
      </c>
      <c r="D1492" s="14" t="s">
        <v>17206</v>
      </c>
      <c r="E1492" s="26" t="str">
        <f t="shared" si="26"/>
        <v>http://dx.doi.org/10.1109/TVCG.2006.127</v>
      </c>
      <c r="F1492" s="14">
        <v>901.0</v>
      </c>
      <c r="G1492" s="14">
        <v>908.0</v>
      </c>
      <c r="H1492" s="14" t="s">
        <v>17059</v>
      </c>
      <c r="I1492" s="19" t="s">
        <v>17208</v>
      </c>
      <c r="J1492" s="19" t="s">
        <v>17209</v>
      </c>
      <c r="K1492" s="19" t="s">
        <v>17209</v>
      </c>
      <c r="L1492" s="19" t="s">
        <v>17683</v>
      </c>
      <c r="M1492" s="20" t="s">
        <v>17211</v>
      </c>
      <c r="N1492" s="44" t="s">
        <v>17212</v>
      </c>
      <c r="O1492" s="22">
        <v>9.0</v>
      </c>
      <c r="P1492" s="28">
        <v>1.0</v>
      </c>
      <c r="Q1492" s="28">
        <v>14.0</v>
      </c>
      <c r="R1492" s="84"/>
      <c r="S1492" s="84"/>
      <c r="T1492" s="84"/>
      <c r="U1492" s="84"/>
      <c r="V1492" s="84"/>
      <c r="W1492" s="84"/>
      <c r="X1492" s="84"/>
      <c r="Y1492" s="84"/>
      <c r="Z1492" s="84"/>
      <c r="AA1492" s="84"/>
    </row>
    <row r="1493" ht="15.75" customHeight="1">
      <c r="A1493" s="14" t="s">
        <v>17</v>
      </c>
      <c r="B1493" s="15" t="s">
        <v>17056</v>
      </c>
      <c r="C1493" s="14" t="s">
        <v>17213</v>
      </c>
      <c r="D1493" s="14" t="s">
        <v>17214</v>
      </c>
      <c r="E1493" s="26" t="str">
        <f t="shared" si="26"/>
        <v>http://dx.doi.org/10.1109/TVCG.2006.128</v>
      </c>
      <c r="F1493" s="14">
        <v>997.0</v>
      </c>
      <c r="G1493" s="14">
        <v>1004.0</v>
      </c>
      <c r="H1493" s="14" t="s">
        <v>17059</v>
      </c>
      <c r="I1493" s="19" t="s">
        <v>17216</v>
      </c>
      <c r="J1493" s="19" t="s">
        <v>17217</v>
      </c>
      <c r="K1493" s="19" t="s">
        <v>17692</v>
      </c>
      <c r="L1493" s="19" t="s">
        <v>17693</v>
      </c>
      <c r="M1493" s="20" t="s">
        <v>16443</v>
      </c>
      <c r="N1493" s="44" t="s">
        <v>17219</v>
      </c>
      <c r="O1493" s="22">
        <v>20.0</v>
      </c>
      <c r="P1493" s="28">
        <v>20.0</v>
      </c>
      <c r="Q1493" s="28">
        <v>22.0</v>
      </c>
      <c r="R1493" s="84"/>
      <c r="S1493" s="84"/>
      <c r="T1493" s="84"/>
      <c r="U1493" s="84"/>
      <c r="V1493" s="84"/>
      <c r="W1493" s="84"/>
      <c r="X1493" s="84"/>
      <c r="Y1493" s="84"/>
      <c r="Z1493" s="84"/>
      <c r="AA1493" s="84"/>
    </row>
    <row r="1494" ht="15.75" customHeight="1">
      <c r="A1494" s="14" t="s">
        <v>17</v>
      </c>
      <c r="B1494" s="15" t="s">
        <v>17056</v>
      </c>
      <c r="C1494" s="14" t="s">
        <v>17220</v>
      </c>
      <c r="D1494" s="14" t="s">
        <v>17221</v>
      </c>
      <c r="E1494" s="26" t="str">
        <f t="shared" si="26"/>
        <v>http://dx.doi.org/10.1109/TVCG.2006.133</v>
      </c>
      <c r="F1494" s="14">
        <v>1045.0</v>
      </c>
      <c r="G1494" s="14">
        <v>1052.0</v>
      </c>
      <c r="H1494" s="14" t="s">
        <v>17059</v>
      </c>
      <c r="I1494" s="19" t="s">
        <v>17223</v>
      </c>
      <c r="J1494" s="19" t="s">
        <v>17224</v>
      </c>
      <c r="K1494" s="19" t="s">
        <v>17694</v>
      </c>
      <c r="L1494" s="19" t="s">
        <v>17696</v>
      </c>
      <c r="M1494" s="20" t="s">
        <v>17226</v>
      </c>
      <c r="N1494" s="44" t="s">
        <v>17227</v>
      </c>
      <c r="O1494" s="22">
        <v>8.0</v>
      </c>
      <c r="P1494" s="28">
        <v>5.0</v>
      </c>
      <c r="Q1494" s="28">
        <v>34.0</v>
      </c>
      <c r="R1494" s="84"/>
      <c r="S1494" s="84"/>
      <c r="T1494" s="84"/>
      <c r="U1494" s="84"/>
      <c r="V1494" s="84"/>
      <c r="W1494" s="84"/>
      <c r="X1494" s="84"/>
      <c r="Y1494" s="84"/>
      <c r="Z1494" s="84"/>
      <c r="AA1494" s="84"/>
    </row>
    <row r="1495" ht="15.75" customHeight="1">
      <c r="A1495" s="14" t="s">
        <v>17</v>
      </c>
      <c r="B1495" s="15" t="s">
        <v>17056</v>
      </c>
      <c r="C1495" s="14" t="s">
        <v>17228</v>
      </c>
      <c r="D1495" s="14" t="s">
        <v>17229</v>
      </c>
      <c r="E1495" s="26" t="str">
        <f t="shared" si="26"/>
        <v>http://dx.doi.org/10.1109/TVCG.2006.134</v>
      </c>
      <c r="F1495" s="14">
        <v>1329.0</v>
      </c>
      <c r="G1495" s="14">
        <v>1336.0</v>
      </c>
      <c r="H1495" s="14" t="s">
        <v>17059</v>
      </c>
      <c r="I1495" s="19" t="s">
        <v>17231</v>
      </c>
      <c r="J1495" s="19" t="s">
        <v>17232</v>
      </c>
      <c r="K1495" s="19" t="s">
        <v>17704</v>
      </c>
      <c r="L1495" s="18"/>
      <c r="M1495" s="20" t="s">
        <v>17234</v>
      </c>
      <c r="N1495" s="44" t="s">
        <v>17235</v>
      </c>
      <c r="O1495" s="22">
        <v>116.0</v>
      </c>
      <c r="P1495" s="28">
        <v>51.0</v>
      </c>
      <c r="Q1495" s="28">
        <v>50.0</v>
      </c>
      <c r="R1495" s="84"/>
      <c r="S1495" s="84"/>
      <c r="T1495" s="84"/>
      <c r="U1495" s="84"/>
      <c r="V1495" s="84"/>
      <c r="W1495" s="84"/>
      <c r="X1495" s="84"/>
      <c r="Y1495" s="84"/>
      <c r="Z1495" s="84"/>
      <c r="AA1495" s="84"/>
    </row>
    <row r="1496" ht="15.75" customHeight="1">
      <c r="A1496" s="14" t="s">
        <v>17</v>
      </c>
      <c r="B1496" s="15" t="s">
        <v>17056</v>
      </c>
      <c r="C1496" s="14" t="s">
        <v>17236</v>
      </c>
      <c r="D1496" s="14" t="s">
        <v>17237</v>
      </c>
      <c r="E1496" s="26" t="str">
        <f t="shared" si="26"/>
        <v>http://dx.doi.org/10.1109/TVCG.2006.135</v>
      </c>
      <c r="F1496" s="14">
        <v>1299.0</v>
      </c>
      <c r="G1496" s="14">
        <v>1306.0</v>
      </c>
      <c r="H1496" s="14" t="s">
        <v>17059</v>
      </c>
      <c r="I1496" s="19" t="s">
        <v>17239</v>
      </c>
      <c r="J1496" s="19" t="s">
        <v>17706</v>
      </c>
      <c r="K1496" s="19" t="s">
        <v>17708</v>
      </c>
      <c r="L1496" s="18"/>
      <c r="M1496" s="20" t="s">
        <v>17242</v>
      </c>
      <c r="N1496" s="44" t="s">
        <v>17243</v>
      </c>
      <c r="O1496" s="22">
        <v>21.0</v>
      </c>
      <c r="P1496" s="28">
        <v>10.0</v>
      </c>
      <c r="Q1496" s="28">
        <v>38.0</v>
      </c>
      <c r="R1496" s="84"/>
      <c r="S1496" s="84"/>
      <c r="T1496" s="84"/>
      <c r="U1496" s="84"/>
      <c r="V1496" s="84"/>
      <c r="W1496" s="84"/>
      <c r="X1496" s="84"/>
      <c r="Y1496" s="84"/>
      <c r="Z1496" s="84"/>
      <c r="AA1496" s="84"/>
    </row>
    <row r="1497" ht="15.75" customHeight="1">
      <c r="A1497" s="14" t="s">
        <v>17</v>
      </c>
      <c r="B1497" s="15" t="s">
        <v>17056</v>
      </c>
      <c r="C1497" s="14" t="s">
        <v>17246</v>
      </c>
      <c r="D1497" s="14" t="s">
        <v>17247</v>
      </c>
      <c r="E1497" s="26" t="str">
        <f t="shared" si="26"/>
        <v>http://dx.doi.org/10.1109/TVCG.2006.137</v>
      </c>
      <c r="F1497" s="14">
        <v>1109.0</v>
      </c>
      <c r="G1497" s="14">
        <v>1116.0</v>
      </c>
      <c r="H1497" s="14" t="s">
        <v>17059</v>
      </c>
      <c r="I1497" s="19" t="s">
        <v>17249</v>
      </c>
      <c r="J1497" s="19" t="s">
        <v>17250</v>
      </c>
      <c r="K1497" s="19" t="s">
        <v>17715</v>
      </c>
      <c r="L1497" s="18"/>
      <c r="M1497" s="20" t="s">
        <v>17252</v>
      </c>
      <c r="N1497" s="44" t="s">
        <v>17253</v>
      </c>
      <c r="O1497" s="22">
        <v>88.0</v>
      </c>
      <c r="P1497" s="28">
        <v>36.0</v>
      </c>
      <c r="Q1497" s="28">
        <v>30.0</v>
      </c>
      <c r="R1497" s="84"/>
      <c r="S1497" s="84"/>
      <c r="T1497" s="84"/>
      <c r="U1497" s="84"/>
      <c r="V1497" s="84"/>
      <c r="W1497" s="84"/>
      <c r="X1497" s="84"/>
      <c r="Y1497" s="84"/>
      <c r="Z1497" s="84"/>
      <c r="AA1497" s="84"/>
    </row>
    <row r="1498" ht="15.75" customHeight="1">
      <c r="A1498" s="14" t="s">
        <v>17</v>
      </c>
      <c r="B1498" s="15" t="s">
        <v>17056</v>
      </c>
      <c r="C1498" s="14" t="s">
        <v>17444</v>
      </c>
      <c r="D1498" s="14" t="s">
        <v>17446</v>
      </c>
      <c r="E1498" s="26" t="str">
        <f t="shared" si="26"/>
        <v>http://dx.doi.org/10.1109/TVCG.2006.139</v>
      </c>
      <c r="F1498" s="14">
        <v>1117.0</v>
      </c>
      <c r="G1498" s="14">
        <v>1124.0</v>
      </c>
      <c r="H1498" s="14" t="s">
        <v>17059</v>
      </c>
      <c r="I1498" s="19" t="s">
        <v>17463</v>
      </c>
      <c r="J1498" s="19" t="s">
        <v>17464</v>
      </c>
      <c r="K1498" s="19" t="s">
        <v>17724</v>
      </c>
      <c r="L1498" s="19" t="s">
        <v>17725</v>
      </c>
      <c r="M1498" s="20"/>
      <c r="N1498" s="44" t="s">
        <v>17466</v>
      </c>
      <c r="O1498" s="22">
        <v>50.0</v>
      </c>
      <c r="P1498" s="28">
        <v>20.0</v>
      </c>
      <c r="Q1498" s="28">
        <v>25.0</v>
      </c>
      <c r="R1498" s="84"/>
      <c r="S1498" s="84"/>
      <c r="T1498" s="84"/>
      <c r="U1498" s="84"/>
      <c r="V1498" s="84"/>
      <c r="W1498" s="84"/>
      <c r="X1498" s="84"/>
      <c r="Y1498" s="84"/>
      <c r="Z1498" s="84"/>
      <c r="AA1498" s="84"/>
    </row>
    <row r="1499" ht="15.75" customHeight="1">
      <c r="A1499" s="14" t="s">
        <v>17</v>
      </c>
      <c r="B1499" s="15" t="s">
        <v>17056</v>
      </c>
      <c r="C1499" s="14" t="s">
        <v>17468</v>
      </c>
      <c r="D1499" s="14" t="s">
        <v>17470</v>
      </c>
      <c r="E1499" s="26" t="str">
        <f t="shared" si="26"/>
        <v>http://dx.doi.org/10.1109/TVCG.2006.140</v>
      </c>
      <c r="F1499" s="14">
        <v>1077.0</v>
      </c>
      <c r="G1499" s="14">
        <v>1084.0</v>
      </c>
      <c r="H1499" s="14" t="s">
        <v>17059</v>
      </c>
      <c r="I1499" s="19" t="s">
        <v>17484</v>
      </c>
      <c r="J1499" s="19" t="s">
        <v>17046</v>
      </c>
      <c r="K1499" s="19" t="s">
        <v>17726</v>
      </c>
      <c r="L1499" s="19" t="s">
        <v>17727</v>
      </c>
      <c r="M1499" s="20" t="s">
        <v>17485</v>
      </c>
      <c r="N1499" s="44" t="s">
        <v>17486</v>
      </c>
      <c r="O1499" s="22">
        <v>131.0</v>
      </c>
      <c r="P1499" s="28">
        <v>54.0</v>
      </c>
      <c r="Q1499" s="28">
        <v>35.0</v>
      </c>
      <c r="R1499" s="84"/>
      <c r="S1499" s="84"/>
      <c r="T1499" s="84"/>
      <c r="U1499" s="84"/>
      <c r="V1499" s="84"/>
      <c r="W1499" s="84"/>
      <c r="X1499" s="84"/>
      <c r="Y1499" s="84"/>
      <c r="Z1499" s="84"/>
      <c r="AA1499" s="84"/>
    </row>
    <row r="1500" ht="15.75" customHeight="1">
      <c r="A1500" s="14" t="s">
        <v>17</v>
      </c>
      <c r="B1500" s="15" t="s">
        <v>17056</v>
      </c>
      <c r="C1500" s="14" t="s">
        <v>17487</v>
      </c>
      <c r="D1500" s="14" t="s">
        <v>17488</v>
      </c>
      <c r="E1500" s="26" t="str">
        <f t="shared" si="26"/>
        <v>http://dx.doi.org/10.1109/TVCG.2006.141</v>
      </c>
      <c r="F1500" s="14">
        <v>1337.0</v>
      </c>
      <c r="G1500" s="14">
        <v>1344.0</v>
      </c>
      <c r="H1500" s="14" t="s">
        <v>17059</v>
      </c>
      <c r="I1500" s="19" t="s">
        <v>17730</v>
      </c>
      <c r="J1500" s="19" t="s">
        <v>17732</v>
      </c>
      <c r="K1500" s="19" t="s">
        <v>17733</v>
      </c>
      <c r="L1500" s="19" t="s">
        <v>17735</v>
      </c>
      <c r="M1500" s="20" t="s">
        <v>17564</v>
      </c>
      <c r="N1500" s="44" t="s">
        <v>17566</v>
      </c>
      <c r="O1500" s="22">
        <v>50.0</v>
      </c>
      <c r="P1500" s="28">
        <v>14.0</v>
      </c>
      <c r="Q1500" s="28">
        <v>27.0</v>
      </c>
      <c r="R1500" s="84"/>
      <c r="S1500" s="84"/>
      <c r="T1500" s="84"/>
      <c r="U1500" s="84"/>
      <c r="V1500" s="84"/>
      <c r="W1500" s="84"/>
      <c r="X1500" s="84"/>
      <c r="Y1500" s="84"/>
      <c r="Z1500" s="84"/>
      <c r="AA1500" s="84"/>
    </row>
    <row r="1501" ht="15.75" customHeight="1">
      <c r="A1501" s="14" t="s">
        <v>17</v>
      </c>
      <c r="B1501" s="15" t="s">
        <v>17056</v>
      </c>
      <c r="C1501" s="14" t="s">
        <v>17589</v>
      </c>
      <c r="D1501" s="14" t="s">
        <v>17590</v>
      </c>
      <c r="E1501" s="26" t="str">
        <f t="shared" si="26"/>
        <v>http://dx.doi.org/10.1109/TVCG.2006.143</v>
      </c>
      <c r="F1501" s="14">
        <v>1245.0</v>
      </c>
      <c r="G1501" s="14">
        <v>1250.0</v>
      </c>
      <c r="H1501" s="14" t="s">
        <v>17059</v>
      </c>
      <c r="I1501" s="19" t="s">
        <v>17610</v>
      </c>
      <c r="J1501" s="19" t="s">
        <v>17611</v>
      </c>
      <c r="K1501" s="19" t="s">
        <v>17611</v>
      </c>
      <c r="L1501" s="19" t="s">
        <v>17740</v>
      </c>
      <c r="M1501" s="20" t="s">
        <v>17613</v>
      </c>
      <c r="N1501" s="44" t="s">
        <v>17614</v>
      </c>
      <c r="O1501" s="22">
        <v>214.0</v>
      </c>
      <c r="P1501" s="28">
        <v>115.0</v>
      </c>
      <c r="Q1501" s="28">
        <v>31.0</v>
      </c>
      <c r="R1501" s="84"/>
      <c r="S1501" s="84"/>
      <c r="T1501" s="84"/>
      <c r="U1501" s="84"/>
      <c r="V1501" s="84"/>
      <c r="W1501" s="84"/>
      <c r="X1501" s="84"/>
      <c r="Y1501" s="84"/>
      <c r="Z1501" s="84"/>
      <c r="AA1501" s="84"/>
    </row>
    <row r="1502" ht="15.75" customHeight="1">
      <c r="A1502" s="14" t="s">
        <v>17</v>
      </c>
      <c r="B1502" s="15" t="s">
        <v>17056</v>
      </c>
      <c r="C1502" s="14" t="s">
        <v>17615</v>
      </c>
      <c r="D1502" s="14" t="s">
        <v>17616</v>
      </c>
      <c r="E1502" s="26" t="str">
        <f t="shared" si="26"/>
        <v>http://dx.doi.org/10.1109/TVCG.2006.144</v>
      </c>
      <c r="F1502" s="14">
        <v>1069.0</v>
      </c>
      <c r="G1502" s="14">
        <v>1076.0</v>
      </c>
      <c r="H1502" s="14" t="s">
        <v>17059</v>
      </c>
      <c r="I1502" s="19" t="s">
        <v>17623</v>
      </c>
      <c r="J1502" s="19" t="s">
        <v>17624</v>
      </c>
      <c r="K1502" s="19" t="s">
        <v>17744</v>
      </c>
      <c r="L1502" s="19" t="s">
        <v>17746</v>
      </c>
      <c r="M1502" s="20" t="s">
        <v>17626</v>
      </c>
      <c r="N1502" s="44" t="s">
        <v>17627</v>
      </c>
      <c r="O1502" s="22">
        <v>103.0</v>
      </c>
      <c r="P1502" s="28">
        <v>41.0</v>
      </c>
      <c r="Q1502" s="28">
        <v>25.0</v>
      </c>
      <c r="R1502" s="84"/>
      <c r="S1502" s="84"/>
      <c r="T1502" s="84"/>
      <c r="U1502" s="84"/>
      <c r="V1502" s="84"/>
      <c r="W1502" s="84"/>
      <c r="X1502" s="84"/>
      <c r="Y1502" s="84"/>
      <c r="Z1502" s="84"/>
      <c r="AA1502" s="84"/>
    </row>
    <row r="1503" ht="15.75" customHeight="1">
      <c r="A1503" s="14" t="s">
        <v>17</v>
      </c>
      <c r="B1503" s="15" t="s">
        <v>17056</v>
      </c>
      <c r="C1503" s="14" t="s">
        <v>17628</v>
      </c>
      <c r="D1503" s="14" t="s">
        <v>17629</v>
      </c>
      <c r="E1503" s="26" t="str">
        <f t="shared" si="26"/>
        <v>http://dx.doi.org/10.1109/TVCG.2006.145</v>
      </c>
      <c r="F1503" s="14">
        <v>973.0</v>
      </c>
      <c r="G1503" s="14">
        <v>980.0</v>
      </c>
      <c r="H1503" s="14" t="s">
        <v>17059</v>
      </c>
      <c r="I1503" s="19" t="s">
        <v>17633</v>
      </c>
      <c r="J1503" s="19" t="s">
        <v>17634</v>
      </c>
      <c r="K1503" s="19" t="s">
        <v>17748</v>
      </c>
      <c r="L1503" s="18"/>
      <c r="M1503" s="20" t="s">
        <v>17636</v>
      </c>
      <c r="N1503" s="44" t="s">
        <v>17637</v>
      </c>
      <c r="O1503" s="22">
        <v>50.0</v>
      </c>
      <c r="P1503" s="28">
        <v>3.0</v>
      </c>
      <c r="Q1503" s="28">
        <v>29.0</v>
      </c>
      <c r="R1503" s="84"/>
      <c r="S1503" s="84"/>
      <c r="T1503" s="84"/>
      <c r="U1503" s="84"/>
      <c r="V1503" s="84"/>
      <c r="W1503" s="84"/>
      <c r="X1503" s="84"/>
      <c r="Y1503" s="84"/>
      <c r="Z1503" s="84"/>
      <c r="AA1503" s="84"/>
    </row>
    <row r="1504" ht="15.75" customHeight="1">
      <c r="A1504" s="14" t="s">
        <v>17</v>
      </c>
      <c r="B1504" s="15" t="s">
        <v>17056</v>
      </c>
      <c r="C1504" s="14" t="s">
        <v>17638</v>
      </c>
      <c r="D1504" s="14" t="s">
        <v>17639</v>
      </c>
      <c r="E1504" s="26" t="str">
        <f t="shared" si="26"/>
        <v>http://dx.doi.org/10.1109/TVCG.2006.146</v>
      </c>
      <c r="F1504" s="14">
        <v>869.0</v>
      </c>
      <c r="G1504" s="14">
        <v>876.0</v>
      </c>
      <c r="H1504" s="14" t="s">
        <v>17059</v>
      </c>
      <c r="I1504" s="19" t="s">
        <v>17645</v>
      </c>
      <c r="J1504" s="19" t="s">
        <v>17749</v>
      </c>
      <c r="K1504" s="19" t="s">
        <v>17750</v>
      </c>
      <c r="L1504" s="19" t="s">
        <v>17751</v>
      </c>
      <c r="M1504" s="20" t="s">
        <v>17648</v>
      </c>
      <c r="N1504" s="44" t="s">
        <v>17649</v>
      </c>
      <c r="O1504" s="22">
        <v>81.0</v>
      </c>
      <c r="P1504" s="28">
        <v>46.0</v>
      </c>
      <c r="Q1504" s="28">
        <v>33.0</v>
      </c>
      <c r="R1504" s="84"/>
      <c r="S1504" s="84"/>
      <c r="T1504" s="84"/>
      <c r="U1504" s="84"/>
      <c r="V1504" s="84"/>
      <c r="W1504" s="84"/>
      <c r="X1504" s="84"/>
      <c r="Y1504" s="84"/>
      <c r="Z1504" s="84"/>
      <c r="AA1504" s="84"/>
    </row>
    <row r="1505" ht="15.75" customHeight="1">
      <c r="A1505" s="14" t="s">
        <v>17</v>
      </c>
      <c r="B1505" s="15" t="s">
        <v>17056</v>
      </c>
      <c r="C1505" s="14" t="s">
        <v>17655</v>
      </c>
      <c r="D1505" s="14" t="s">
        <v>17657</v>
      </c>
      <c r="E1505" s="26" t="str">
        <f t="shared" si="26"/>
        <v>http://dx.doi.org/10.1109/TVCG.2006.148</v>
      </c>
      <c r="F1505" s="14">
        <v>1021.0</v>
      </c>
      <c r="G1505" s="14">
        <v>1028.0</v>
      </c>
      <c r="H1505" s="14" t="s">
        <v>17059</v>
      </c>
      <c r="I1505" s="19" t="s">
        <v>17661</v>
      </c>
      <c r="J1505" s="19" t="s">
        <v>17662</v>
      </c>
      <c r="K1505" s="19" t="s">
        <v>17752</v>
      </c>
      <c r="L1505" s="19" t="s">
        <v>17753</v>
      </c>
      <c r="M1505" s="20" t="s">
        <v>17664</v>
      </c>
      <c r="N1505" s="44" t="s">
        <v>17665</v>
      </c>
      <c r="O1505" s="22">
        <v>143.0</v>
      </c>
      <c r="P1505" s="28">
        <v>58.0</v>
      </c>
      <c r="Q1505" s="28">
        <v>32.0</v>
      </c>
      <c r="R1505" s="84"/>
      <c r="S1505" s="84"/>
      <c r="T1505" s="84"/>
      <c r="U1505" s="84"/>
      <c r="V1505" s="84"/>
      <c r="W1505" s="84"/>
      <c r="X1505" s="84"/>
      <c r="Y1505" s="84"/>
      <c r="Z1505" s="84"/>
      <c r="AA1505" s="84"/>
    </row>
    <row r="1506" ht="15.75" customHeight="1">
      <c r="A1506" s="14" t="s">
        <v>17</v>
      </c>
      <c r="B1506" s="15" t="s">
        <v>17056</v>
      </c>
      <c r="C1506" s="14" t="s">
        <v>17666</v>
      </c>
      <c r="D1506" s="14" t="s">
        <v>17668</v>
      </c>
      <c r="E1506" s="26" t="str">
        <f t="shared" si="26"/>
        <v>http://dx.doi.org/10.1109/TVCG.2006.149</v>
      </c>
      <c r="F1506" s="14">
        <v>1205.0</v>
      </c>
      <c r="G1506" s="14">
        <v>1212.0</v>
      </c>
      <c r="H1506" s="14" t="s">
        <v>17059</v>
      </c>
      <c r="I1506" s="19" t="s">
        <v>17674</v>
      </c>
      <c r="J1506" s="19" t="s">
        <v>17754</v>
      </c>
      <c r="K1506" s="19" t="s">
        <v>17755</v>
      </c>
      <c r="L1506" s="19" t="s">
        <v>17757</v>
      </c>
      <c r="M1506" s="20" t="s">
        <v>17677</v>
      </c>
      <c r="N1506" s="44" t="s">
        <v>17678</v>
      </c>
      <c r="O1506" s="22">
        <v>103.0</v>
      </c>
      <c r="P1506" s="28">
        <v>43.0</v>
      </c>
      <c r="Q1506" s="28">
        <v>51.0</v>
      </c>
      <c r="R1506" s="84"/>
      <c r="S1506" s="84"/>
      <c r="T1506" s="84"/>
      <c r="U1506" s="84"/>
      <c r="V1506" s="84"/>
      <c r="W1506" s="84"/>
      <c r="X1506" s="84"/>
      <c r="Y1506" s="84"/>
      <c r="Z1506" s="84"/>
      <c r="AA1506" s="84"/>
    </row>
    <row r="1507" ht="15.75" customHeight="1">
      <c r="A1507" s="14" t="s">
        <v>17</v>
      </c>
      <c r="B1507" s="15" t="s">
        <v>17056</v>
      </c>
      <c r="C1507" s="14" t="s">
        <v>17680</v>
      </c>
      <c r="D1507" s="14" t="s">
        <v>17681</v>
      </c>
      <c r="E1507" s="26" t="str">
        <f t="shared" si="26"/>
        <v>http://dx.doi.org/10.1109/TVCG.2006.150</v>
      </c>
      <c r="F1507" s="14">
        <v>1061.0</v>
      </c>
      <c r="G1507" s="14">
        <v>1068.0</v>
      </c>
      <c r="H1507" s="14" t="s">
        <v>17059</v>
      </c>
      <c r="I1507" s="19" t="s">
        <v>17684</v>
      </c>
      <c r="J1507" s="19" t="s">
        <v>17685</v>
      </c>
      <c r="K1507" s="19" t="s">
        <v>17758</v>
      </c>
      <c r="L1507" s="19" t="s">
        <v>17759</v>
      </c>
      <c r="M1507" s="20" t="s">
        <v>17687</v>
      </c>
      <c r="N1507" s="44" t="s">
        <v>17688</v>
      </c>
      <c r="O1507" s="22">
        <v>52.0</v>
      </c>
      <c r="P1507" s="28">
        <v>23.0</v>
      </c>
      <c r="Q1507" s="28">
        <v>47.0</v>
      </c>
      <c r="R1507" s="84"/>
      <c r="S1507" s="84"/>
      <c r="T1507" s="84"/>
      <c r="U1507" s="84"/>
      <c r="V1507" s="84"/>
      <c r="W1507" s="84"/>
      <c r="X1507" s="84"/>
      <c r="Y1507" s="84"/>
      <c r="Z1507" s="84"/>
      <c r="AA1507" s="84"/>
    </row>
    <row r="1508" ht="15.75" customHeight="1">
      <c r="A1508" s="14" t="s">
        <v>17</v>
      </c>
      <c r="B1508" s="15" t="s">
        <v>17056</v>
      </c>
      <c r="C1508" s="14" t="s">
        <v>17689</v>
      </c>
      <c r="D1508" s="14" t="s">
        <v>17690</v>
      </c>
      <c r="E1508" s="26" t="str">
        <f t="shared" si="26"/>
        <v>http://dx.doi.org/10.1109/TVCG.2006.151</v>
      </c>
      <c r="F1508" s="14">
        <v>1181.0</v>
      </c>
      <c r="G1508" s="14">
        <v>1188.0</v>
      </c>
      <c r="H1508" s="14" t="s">
        <v>17059</v>
      </c>
      <c r="I1508" s="19" t="s">
        <v>17695</v>
      </c>
      <c r="J1508" s="19" t="s">
        <v>17761</v>
      </c>
      <c r="K1508" s="19" t="s">
        <v>17763</v>
      </c>
      <c r="L1508" s="19" t="s">
        <v>17764</v>
      </c>
      <c r="M1508" s="20" t="s">
        <v>17699</v>
      </c>
      <c r="N1508" s="44" t="s">
        <v>17700</v>
      </c>
      <c r="O1508" s="22">
        <v>54.0</v>
      </c>
      <c r="P1508" s="28">
        <v>23.0</v>
      </c>
      <c r="Q1508" s="28">
        <v>40.0</v>
      </c>
      <c r="R1508" s="84"/>
      <c r="S1508" s="84"/>
      <c r="T1508" s="84"/>
      <c r="U1508" s="84"/>
      <c r="V1508" s="84"/>
      <c r="W1508" s="84"/>
      <c r="X1508" s="84"/>
      <c r="Y1508" s="84"/>
      <c r="Z1508" s="84"/>
      <c r="AA1508" s="84"/>
    </row>
    <row r="1509" ht="15.75" customHeight="1">
      <c r="A1509" s="14" t="s">
        <v>17</v>
      </c>
      <c r="B1509" s="15" t="s">
        <v>17056</v>
      </c>
      <c r="C1509" s="14" t="s">
        <v>17701</v>
      </c>
      <c r="D1509" s="14" t="s">
        <v>17702</v>
      </c>
      <c r="E1509" s="26" t="str">
        <f t="shared" si="26"/>
        <v>http://dx.doi.org/10.1109/TVCG.2006.152</v>
      </c>
      <c r="F1509" s="14">
        <v>933.0</v>
      </c>
      <c r="G1509" s="14">
        <v>940.0</v>
      </c>
      <c r="H1509" s="14" t="s">
        <v>17059</v>
      </c>
      <c r="I1509" s="19" t="s">
        <v>17705</v>
      </c>
      <c r="J1509" s="19" t="s">
        <v>17768</v>
      </c>
      <c r="K1509" s="19" t="s">
        <v>17769</v>
      </c>
      <c r="L1509" s="19" t="s">
        <v>17770</v>
      </c>
      <c r="M1509" s="20" t="s">
        <v>17710</v>
      </c>
      <c r="N1509" s="44" t="s">
        <v>17711</v>
      </c>
      <c r="O1509" s="22">
        <v>179.0</v>
      </c>
      <c r="P1509" s="28">
        <v>87.0</v>
      </c>
      <c r="Q1509" s="28">
        <v>15.0</v>
      </c>
      <c r="R1509" s="84"/>
      <c r="S1509" s="84"/>
      <c r="T1509" s="84"/>
      <c r="U1509" s="84"/>
      <c r="V1509" s="84"/>
      <c r="W1509" s="84"/>
      <c r="X1509" s="84"/>
      <c r="Y1509" s="84"/>
      <c r="Z1509" s="84"/>
      <c r="AA1509" s="84"/>
    </row>
    <row r="1510" ht="15.75" customHeight="1">
      <c r="A1510" s="14" t="s">
        <v>17</v>
      </c>
      <c r="B1510" s="15" t="s">
        <v>17056</v>
      </c>
      <c r="C1510" s="14" t="s">
        <v>17712</v>
      </c>
      <c r="D1510" s="14" t="s">
        <v>17713</v>
      </c>
      <c r="E1510" s="26" t="str">
        <f t="shared" si="26"/>
        <v>http://dx.doi.org/10.1109/TVCG.2006.153</v>
      </c>
      <c r="F1510" s="14">
        <v>1267.0</v>
      </c>
      <c r="G1510" s="14">
        <v>1274.0</v>
      </c>
      <c r="H1510" s="14" t="s">
        <v>17059</v>
      </c>
      <c r="I1510" s="19" t="s">
        <v>17716</v>
      </c>
      <c r="J1510" s="19" t="s">
        <v>17717</v>
      </c>
      <c r="K1510" s="19" t="s">
        <v>17775</v>
      </c>
      <c r="L1510" s="19" t="s">
        <v>17777</v>
      </c>
      <c r="M1510" s="20" t="s">
        <v>17719</v>
      </c>
      <c r="N1510" s="44" t="s">
        <v>17720</v>
      </c>
      <c r="O1510" s="22">
        <v>50.0</v>
      </c>
      <c r="P1510" s="28">
        <v>5.0</v>
      </c>
      <c r="Q1510" s="28">
        <v>29.0</v>
      </c>
      <c r="R1510" s="84"/>
      <c r="S1510" s="84"/>
      <c r="T1510" s="84"/>
      <c r="U1510" s="84"/>
      <c r="V1510" s="84"/>
      <c r="W1510" s="84"/>
      <c r="X1510" s="84"/>
      <c r="Y1510" s="84"/>
      <c r="Z1510" s="84"/>
      <c r="AA1510" s="84"/>
    </row>
    <row r="1511" ht="15.75" customHeight="1">
      <c r="A1511" s="14" t="s">
        <v>17</v>
      </c>
      <c r="B1511" s="15" t="s">
        <v>17056</v>
      </c>
      <c r="C1511" s="14" t="s">
        <v>17721</v>
      </c>
      <c r="D1511" s="14" t="s">
        <v>17722</v>
      </c>
      <c r="E1511" s="26" t="str">
        <f t="shared" si="26"/>
        <v>http://dx.doi.org/10.1109/TVCG.2006.154</v>
      </c>
      <c r="F1511" s="14">
        <v>1229.0</v>
      </c>
      <c r="G1511" s="14">
        <v>1236.0</v>
      </c>
      <c r="H1511" s="14" t="s">
        <v>17059</v>
      </c>
      <c r="I1511" s="19" t="s">
        <v>17728</v>
      </c>
      <c r="J1511" s="19" t="s">
        <v>17729</v>
      </c>
      <c r="K1511" s="19" t="s">
        <v>17729</v>
      </c>
      <c r="L1511" s="18"/>
      <c r="M1511" s="20" t="s">
        <v>17734</v>
      </c>
      <c r="N1511" s="44" t="s">
        <v>17736</v>
      </c>
      <c r="O1511" s="22">
        <v>50.0</v>
      </c>
      <c r="P1511" s="28">
        <v>18.0</v>
      </c>
      <c r="Q1511" s="28">
        <v>35.0</v>
      </c>
      <c r="R1511" s="84"/>
      <c r="S1511" s="84"/>
      <c r="T1511" s="84"/>
      <c r="U1511" s="84"/>
      <c r="V1511" s="84"/>
      <c r="W1511" s="84"/>
      <c r="X1511" s="84"/>
      <c r="Y1511" s="84"/>
      <c r="Z1511" s="84"/>
      <c r="AA1511" s="84"/>
    </row>
    <row r="1512" ht="15.75" customHeight="1">
      <c r="A1512" s="14" t="s">
        <v>17</v>
      </c>
      <c r="B1512" s="15" t="s">
        <v>17056</v>
      </c>
      <c r="C1512" s="14" t="s">
        <v>17737</v>
      </c>
      <c r="D1512" s="14" t="s">
        <v>17738</v>
      </c>
      <c r="E1512" s="26" t="str">
        <f t="shared" si="26"/>
        <v>http://dx.doi.org/10.1109/TVCG.2006.155</v>
      </c>
      <c r="F1512" s="14">
        <v>1149.0</v>
      </c>
      <c r="G1512" s="14">
        <v>1156.0</v>
      </c>
      <c r="H1512" s="14" t="s">
        <v>17059</v>
      </c>
      <c r="I1512" s="19" t="s">
        <v>17741</v>
      </c>
      <c r="J1512" s="19" t="s">
        <v>17742</v>
      </c>
      <c r="K1512" s="19" t="s">
        <v>17742</v>
      </c>
      <c r="L1512" s="18"/>
      <c r="M1512" s="20" t="s">
        <v>17745</v>
      </c>
      <c r="N1512" s="44" t="s">
        <v>17747</v>
      </c>
      <c r="O1512" s="22">
        <v>10.0</v>
      </c>
      <c r="P1512" s="28">
        <v>8.0</v>
      </c>
      <c r="Q1512" s="28">
        <v>24.0</v>
      </c>
      <c r="R1512" s="84"/>
      <c r="S1512" s="84"/>
      <c r="T1512" s="84"/>
      <c r="U1512" s="84"/>
      <c r="V1512" s="84"/>
      <c r="W1512" s="84"/>
      <c r="X1512" s="84"/>
      <c r="Y1512" s="84"/>
      <c r="Z1512" s="84"/>
      <c r="AA1512" s="84"/>
    </row>
    <row r="1513" ht="15.75" customHeight="1">
      <c r="A1513" s="14" t="s">
        <v>17</v>
      </c>
      <c r="B1513" s="15" t="s">
        <v>17056</v>
      </c>
      <c r="C1513" s="14" t="s">
        <v>17765</v>
      </c>
      <c r="D1513" s="14" t="s">
        <v>17766</v>
      </c>
      <c r="E1513" s="26" t="str">
        <f t="shared" si="26"/>
        <v>http://dx.doi.org/10.1109/TVCG.2006.157</v>
      </c>
      <c r="F1513" s="14">
        <v>1283.0</v>
      </c>
      <c r="G1513" s="14">
        <v>1290.0</v>
      </c>
      <c r="H1513" s="14" t="s">
        <v>17059</v>
      </c>
      <c r="I1513" s="19" t="s">
        <v>17771</v>
      </c>
      <c r="J1513" s="19" t="s">
        <v>17789</v>
      </c>
      <c r="K1513" s="19" t="s">
        <v>17790</v>
      </c>
      <c r="L1513" s="19" t="s">
        <v>17791</v>
      </c>
      <c r="M1513" s="20" t="s">
        <v>17774</v>
      </c>
      <c r="N1513" s="44" t="s">
        <v>17776</v>
      </c>
      <c r="O1513" s="22">
        <v>6.0</v>
      </c>
      <c r="P1513" s="28">
        <v>7.0</v>
      </c>
      <c r="Q1513" s="28">
        <v>30.0</v>
      </c>
      <c r="R1513" s="84"/>
      <c r="S1513" s="84"/>
      <c r="T1513" s="84"/>
      <c r="U1513" s="84"/>
      <c r="V1513" s="84"/>
      <c r="W1513" s="84"/>
      <c r="X1513" s="84"/>
      <c r="Y1513" s="84"/>
      <c r="Z1513" s="84"/>
      <c r="AA1513" s="84"/>
    </row>
    <row r="1514" ht="15.75" customHeight="1">
      <c r="A1514" s="14" t="s">
        <v>17</v>
      </c>
      <c r="B1514" s="15" t="s">
        <v>17056</v>
      </c>
      <c r="C1514" s="14" t="s">
        <v>17778</v>
      </c>
      <c r="D1514" s="14" t="s">
        <v>17779</v>
      </c>
      <c r="E1514" s="26" t="str">
        <f t="shared" si="26"/>
        <v>http://dx.doi.org/10.1109/TVCG.2006.158</v>
      </c>
      <c r="F1514" s="14">
        <v>885.0</v>
      </c>
      <c r="G1514" s="14">
        <v>892.0</v>
      </c>
      <c r="H1514" s="14" t="s">
        <v>17059</v>
      </c>
      <c r="I1514" s="19" t="s">
        <v>17797</v>
      </c>
      <c r="J1514" s="19" t="s">
        <v>17782</v>
      </c>
      <c r="K1514" s="19" t="s">
        <v>17798</v>
      </c>
      <c r="L1514" s="19" t="s">
        <v>17799</v>
      </c>
      <c r="M1514" s="20" t="s">
        <v>17784</v>
      </c>
      <c r="N1514" s="44" t="s">
        <v>17785</v>
      </c>
      <c r="O1514" s="22">
        <v>46.0</v>
      </c>
      <c r="P1514" s="28">
        <v>25.0</v>
      </c>
      <c r="Q1514" s="28">
        <v>33.0</v>
      </c>
      <c r="R1514" s="84"/>
      <c r="S1514" s="84"/>
      <c r="T1514" s="84"/>
      <c r="U1514" s="84"/>
      <c r="V1514" s="84"/>
      <c r="W1514" s="84"/>
      <c r="X1514" s="84"/>
      <c r="Y1514" s="84"/>
      <c r="Z1514" s="84"/>
      <c r="AA1514" s="84"/>
    </row>
    <row r="1515" ht="15.75" customHeight="1">
      <c r="A1515" s="14" t="s">
        <v>17</v>
      </c>
      <c r="B1515" s="15" t="s">
        <v>17056</v>
      </c>
      <c r="C1515" s="14" t="s">
        <v>17786</v>
      </c>
      <c r="D1515" s="14" t="s">
        <v>17787</v>
      </c>
      <c r="E1515" s="26" t="str">
        <f t="shared" si="26"/>
        <v>http://dx.doi.org/10.1109/TVCG.2006.159</v>
      </c>
      <c r="F1515" s="14">
        <v>1029.0</v>
      </c>
      <c r="G1515" s="14">
        <v>1036.0</v>
      </c>
      <c r="H1515" s="14" t="s">
        <v>17059</v>
      </c>
      <c r="I1515" s="19" t="s">
        <v>17792</v>
      </c>
      <c r="J1515" s="19" t="s">
        <v>17793</v>
      </c>
      <c r="K1515" s="19" t="s">
        <v>17801</v>
      </c>
      <c r="L1515" s="19" t="s">
        <v>17802</v>
      </c>
      <c r="M1515" s="20" t="s">
        <v>17795</v>
      </c>
      <c r="N1515" s="44" t="s">
        <v>17796</v>
      </c>
      <c r="O1515" s="22">
        <v>50.0</v>
      </c>
      <c r="P1515" s="28">
        <v>17.0</v>
      </c>
      <c r="Q1515" s="28">
        <v>28.0</v>
      </c>
      <c r="R1515" s="84"/>
      <c r="S1515" s="84"/>
      <c r="T1515" s="84"/>
      <c r="U1515" s="84"/>
      <c r="V1515" s="84"/>
      <c r="W1515" s="84"/>
      <c r="X1515" s="84"/>
      <c r="Y1515" s="84"/>
      <c r="Z1515" s="84"/>
      <c r="AA1515" s="84"/>
    </row>
    <row r="1516" ht="15.75" customHeight="1">
      <c r="A1516" s="14" t="s">
        <v>17</v>
      </c>
      <c r="B1516" s="15" t="s">
        <v>17056</v>
      </c>
      <c r="C1516" s="14" t="s">
        <v>17803</v>
      </c>
      <c r="D1516" s="14" t="s">
        <v>17804</v>
      </c>
      <c r="E1516" s="26" t="str">
        <f t="shared" si="26"/>
        <v>http://dx.doi.org/10.1109/TVCG.2006.162</v>
      </c>
      <c r="F1516" s="14">
        <v>1213.0</v>
      </c>
      <c r="G1516" s="14">
        <v>1220.0</v>
      </c>
      <c r="H1516" s="14" t="s">
        <v>17059</v>
      </c>
      <c r="I1516" s="19" t="s">
        <v>17805</v>
      </c>
      <c r="J1516" s="19" t="s">
        <v>17806</v>
      </c>
      <c r="K1516" s="19" t="s">
        <v>17807</v>
      </c>
      <c r="L1516" s="19" t="s">
        <v>17808</v>
      </c>
      <c r="M1516" s="20" t="s">
        <v>17809</v>
      </c>
      <c r="N1516" s="44" t="s">
        <v>17810</v>
      </c>
      <c r="O1516" s="22">
        <v>50.0</v>
      </c>
      <c r="P1516" s="28">
        <v>20.0</v>
      </c>
      <c r="Q1516" s="28">
        <v>32.0</v>
      </c>
      <c r="R1516" s="84"/>
      <c r="S1516" s="84"/>
      <c r="T1516" s="84"/>
      <c r="U1516" s="84"/>
      <c r="V1516" s="84"/>
      <c r="W1516" s="84"/>
      <c r="X1516" s="84"/>
      <c r="Y1516" s="84"/>
      <c r="Z1516" s="84"/>
      <c r="AA1516" s="84"/>
    </row>
    <row r="1517" ht="15.75" customHeight="1">
      <c r="A1517" s="14" t="s">
        <v>17</v>
      </c>
      <c r="B1517" s="15" t="s">
        <v>17056</v>
      </c>
      <c r="C1517" s="14" t="s">
        <v>17811</v>
      </c>
      <c r="D1517" s="14" t="s">
        <v>17812</v>
      </c>
      <c r="E1517" s="26" t="str">
        <f t="shared" si="26"/>
        <v>http://dx.doi.org/10.1109/TVCG.2006.164</v>
      </c>
      <c r="F1517" s="14">
        <v>909.0</v>
      </c>
      <c r="G1517" s="14">
        <v>916.0</v>
      </c>
      <c r="H1517" s="14" t="s">
        <v>17059</v>
      </c>
      <c r="I1517" s="19" t="s">
        <v>17813</v>
      </c>
      <c r="J1517" s="19" t="s">
        <v>17814</v>
      </c>
      <c r="K1517" s="19" t="s">
        <v>17815</v>
      </c>
      <c r="L1517" s="18"/>
      <c r="M1517" s="20" t="s">
        <v>17816</v>
      </c>
      <c r="N1517" s="44" t="s">
        <v>17817</v>
      </c>
      <c r="O1517" s="22">
        <v>72.0</v>
      </c>
      <c r="P1517" s="28">
        <v>45.0</v>
      </c>
      <c r="Q1517" s="28">
        <v>22.0</v>
      </c>
      <c r="R1517" s="84"/>
      <c r="S1517" s="84"/>
      <c r="T1517" s="84"/>
      <c r="U1517" s="84"/>
      <c r="V1517" s="84"/>
      <c r="W1517" s="84"/>
      <c r="X1517" s="84"/>
      <c r="Y1517" s="84"/>
      <c r="Z1517" s="84"/>
      <c r="AA1517" s="84"/>
    </row>
    <row r="1518" ht="15.75" customHeight="1">
      <c r="A1518" s="14" t="s">
        <v>17</v>
      </c>
      <c r="B1518" s="15" t="s">
        <v>17056</v>
      </c>
      <c r="C1518" s="14" t="s">
        <v>17819</v>
      </c>
      <c r="D1518" s="14" t="s">
        <v>17820</v>
      </c>
      <c r="E1518" s="26" t="str">
        <f t="shared" si="26"/>
        <v>http://dx.doi.org/10.1109/TVCG.2006.165</v>
      </c>
      <c r="F1518" s="14">
        <v>917.0</v>
      </c>
      <c r="G1518" s="14">
        <v>924.0</v>
      </c>
      <c r="H1518" s="14" t="s">
        <v>17059</v>
      </c>
      <c r="I1518" s="19" t="s">
        <v>17822</v>
      </c>
      <c r="J1518" s="19" t="s">
        <v>17823</v>
      </c>
      <c r="K1518" s="19" t="s">
        <v>17824</v>
      </c>
      <c r="L1518" s="18"/>
      <c r="M1518" s="20" t="s">
        <v>17825</v>
      </c>
      <c r="N1518" s="44" t="s">
        <v>17826</v>
      </c>
      <c r="O1518" s="22">
        <v>92.0</v>
      </c>
      <c r="P1518" s="28">
        <v>59.0</v>
      </c>
      <c r="Q1518" s="28">
        <v>28.0</v>
      </c>
      <c r="R1518" s="84"/>
      <c r="S1518" s="84"/>
      <c r="T1518" s="84"/>
      <c r="U1518" s="84"/>
      <c r="V1518" s="84"/>
      <c r="W1518" s="84"/>
      <c r="X1518" s="84"/>
      <c r="Y1518" s="84"/>
      <c r="Z1518" s="84"/>
      <c r="AA1518" s="84"/>
    </row>
    <row r="1519" ht="15.75" customHeight="1">
      <c r="A1519" s="14" t="s">
        <v>17</v>
      </c>
      <c r="B1519" s="15" t="s">
        <v>17056</v>
      </c>
      <c r="C1519" s="14" t="s">
        <v>17827</v>
      </c>
      <c r="D1519" s="14" t="s">
        <v>17828</v>
      </c>
      <c r="E1519" s="26" t="str">
        <f t="shared" si="26"/>
        <v>http://dx.doi.org/10.1109/TVCG.2006.167</v>
      </c>
      <c r="F1519" s="14">
        <v>1141.0</v>
      </c>
      <c r="G1519" s="14">
        <v>1148.0</v>
      </c>
      <c r="H1519" s="14" t="s">
        <v>17059</v>
      </c>
      <c r="I1519" s="19" t="s">
        <v>17829</v>
      </c>
      <c r="J1519" s="19" t="s">
        <v>17830</v>
      </c>
      <c r="K1519" s="19" t="s">
        <v>17830</v>
      </c>
      <c r="L1519" s="19" t="s">
        <v>17831</v>
      </c>
      <c r="M1519" s="20" t="s">
        <v>17832</v>
      </c>
      <c r="N1519" s="44" t="s">
        <v>17833</v>
      </c>
      <c r="O1519" s="22">
        <v>50.0</v>
      </c>
      <c r="P1519" s="28">
        <v>21.0</v>
      </c>
      <c r="Q1519" s="28">
        <v>24.0</v>
      </c>
      <c r="R1519" s="84"/>
      <c r="S1519" s="84"/>
      <c r="T1519" s="84"/>
      <c r="U1519" s="84"/>
      <c r="V1519" s="84"/>
      <c r="W1519" s="84"/>
      <c r="X1519" s="84"/>
      <c r="Y1519" s="84"/>
      <c r="Z1519" s="84"/>
      <c r="AA1519" s="84"/>
    </row>
    <row r="1520" ht="15.75" customHeight="1">
      <c r="A1520" s="14" t="s">
        <v>17</v>
      </c>
      <c r="B1520" s="15" t="s">
        <v>17056</v>
      </c>
      <c r="C1520" s="14" t="s">
        <v>17834</v>
      </c>
      <c r="D1520" s="14" t="s">
        <v>17835</v>
      </c>
      <c r="E1520" s="26" t="str">
        <f t="shared" si="26"/>
        <v>http://dx.doi.org/10.1109/TVCG.2006.168</v>
      </c>
      <c r="F1520" s="14">
        <v>1259.0</v>
      </c>
      <c r="G1520" s="14">
        <v>1266.0</v>
      </c>
      <c r="H1520" s="14" t="s">
        <v>17059</v>
      </c>
      <c r="I1520" s="19" t="s">
        <v>17837</v>
      </c>
      <c r="J1520" s="19" t="s">
        <v>17839</v>
      </c>
      <c r="K1520" s="19" t="s">
        <v>17840</v>
      </c>
      <c r="L1520" s="19" t="s">
        <v>17841</v>
      </c>
      <c r="M1520" s="20" t="s">
        <v>17842</v>
      </c>
      <c r="N1520" s="44" t="s">
        <v>17843</v>
      </c>
      <c r="O1520" s="22">
        <v>51.0</v>
      </c>
      <c r="P1520" s="28">
        <v>30.0</v>
      </c>
      <c r="Q1520" s="28">
        <v>16.0</v>
      </c>
      <c r="R1520" s="84"/>
      <c r="S1520" s="84"/>
      <c r="T1520" s="84"/>
      <c r="U1520" s="84"/>
      <c r="V1520" s="84"/>
      <c r="W1520" s="84"/>
      <c r="X1520" s="84"/>
      <c r="Y1520" s="84"/>
      <c r="Z1520" s="84"/>
      <c r="AA1520" s="84"/>
    </row>
    <row r="1521" ht="15.75" customHeight="1">
      <c r="A1521" s="14" t="s">
        <v>17</v>
      </c>
      <c r="B1521" s="15" t="s">
        <v>17056</v>
      </c>
      <c r="C1521" s="14" t="s">
        <v>17844</v>
      </c>
      <c r="D1521" s="14" t="s">
        <v>17845</v>
      </c>
      <c r="E1521" s="26" t="str">
        <f t="shared" si="26"/>
        <v>http://dx.doi.org/10.1109/TVCG.2006.169</v>
      </c>
      <c r="F1521" s="14">
        <v>1221.0</v>
      </c>
      <c r="G1521" s="14">
        <v>1228.0</v>
      </c>
      <c r="H1521" s="14" t="s">
        <v>17059</v>
      </c>
      <c r="I1521" s="19" t="s">
        <v>17846</v>
      </c>
      <c r="J1521" s="19" t="s">
        <v>17847</v>
      </c>
      <c r="K1521" s="19" t="s">
        <v>17847</v>
      </c>
      <c r="L1521" s="19" t="s">
        <v>17848</v>
      </c>
      <c r="M1521" s="20" t="s">
        <v>17849</v>
      </c>
      <c r="N1521" s="44" t="s">
        <v>17850</v>
      </c>
      <c r="O1521" s="22">
        <v>22.0</v>
      </c>
      <c r="P1521" s="28">
        <v>11.0</v>
      </c>
      <c r="Q1521" s="28">
        <v>28.0</v>
      </c>
      <c r="R1521" s="84"/>
      <c r="S1521" s="84"/>
      <c r="T1521" s="84"/>
      <c r="U1521" s="84"/>
      <c r="V1521" s="84"/>
      <c r="W1521" s="84"/>
      <c r="X1521" s="84"/>
      <c r="Y1521" s="84"/>
      <c r="Z1521" s="84"/>
      <c r="AA1521" s="84"/>
    </row>
    <row r="1522" ht="15.75" customHeight="1">
      <c r="A1522" s="14" t="s">
        <v>17</v>
      </c>
      <c r="B1522" s="15" t="s">
        <v>17056</v>
      </c>
      <c r="C1522" s="14" t="s">
        <v>17851</v>
      </c>
      <c r="D1522" s="14" t="s">
        <v>17852</v>
      </c>
      <c r="E1522" s="26" t="str">
        <f t="shared" si="26"/>
        <v>http://dx.doi.org/10.1109/TVCG.2006.170</v>
      </c>
      <c r="F1522" s="14">
        <v>893.0</v>
      </c>
      <c r="G1522" s="14">
        <v>900.0</v>
      </c>
      <c r="H1522" s="14" t="s">
        <v>17059</v>
      </c>
      <c r="I1522" s="19" t="s">
        <v>17853</v>
      </c>
      <c r="J1522" s="19" t="s">
        <v>17854</v>
      </c>
      <c r="K1522" s="19" t="s">
        <v>17854</v>
      </c>
      <c r="L1522" s="19" t="s">
        <v>17855</v>
      </c>
      <c r="M1522" s="20" t="s">
        <v>17856</v>
      </c>
      <c r="N1522" s="44" t="s">
        <v>17858</v>
      </c>
      <c r="O1522" s="22">
        <v>213.0</v>
      </c>
      <c r="P1522" s="28">
        <v>89.0</v>
      </c>
      <c r="Q1522" s="28">
        <v>21.0</v>
      </c>
      <c r="R1522" s="84"/>
      <c r="S1522" s="84"/>
      <c r="T1522" s="84"/>
      <c r="U1522" s="84"/>
      <c r="V1522" s="84"/>
      <c r="W1522" s="84"/>
      <c r="X1522" s="84"/>
      <c r="Y1522" s="84"/>
      <c r="Z1522" s="84"/>
      <c r="AA1522" s="84"/>
    </row>
    <row r="1523" ht="15.75" customHeight="1">
      <c r="A1523" s="14" t="s">
        <v>17</v>
      </c>
      <c r="B1523" s="15" t="s">
        <v>17056</v>
      </c>
      <c r="C1523" s="14" t="s">
        <v>17859</v>
      </c>
      <c r="D1523" s="14" t="s">
        <v>17860</v>
      </c>
      <c r="E1523" s="26" t="str">
        <f t="shared" si="26"/>
        <v>http://dx.doi.org/10.1109/TVCG.2006.171</v>
      </c>
      <c r="F1523" s="14">
        <v>1307.0</v>
      </c>
      <c r="G1523" s="14">
        <v>1314.0</v>
      </c>
      <c r="H1523" s="14" t="s">
        <v>17059</v>
      </c>
      <c r="I1523" s="19" t="s">
        <v>17861</v>
      </c>
      <c r="J1523" s="19" t="s">
        <v>17862</v>
      </c>
      <c r="K1523" s="19" t="s">
        <v>17863</v>
      </c>
      <c r="L1523" s="19" t="s">
        <v>17864</v>
      </c>
      <c r="M1523" s="20" t="s">
        <v>17865</v>
      </c>
      <c r="N1523" s="44" t="s">
        <v>17866</v>
      </c>
      <c r="O1523" s="22">
        <v>49.0</v>
      </c>
      <c r="P1523" s="28">
        <v>15.0</v>
      </c>
      <c r="Q1523" s="28">
        <v>26.0</v>
      </c>
      <c r="R1523" s="84"/>
      <c r="S1523" s="84"/>
      <c r="T1523" s="84"/>
      <c r="U1523" s="84"/>
      <c r="V1523" s="84"/>
      <c r="W1523" s="84"/>
      <c r="X1523" s="84"/>
      <c r="Y1523" s="84"/>
      <c r="Z1523" s="84"/>
      <c r="AA1523" s="84"/>
    </row>
    <row r="1524" ht="15.75" customHeight="1">
      <c r="A1524" s="14" t="s">
        <v>17</v>
      </c>
      <c r="B1524" s="15" t="s">
        <v>17056</v>
      </c>
      <c r="C1524" s="14" t="s">
        <v>17867</v>
      </c>
      <c r="D1524" s="14" t="s">
        <v>17868</v>
      </c>
      <c r="E1524" s="26" t="str">
        <f t="shared" si="26"/>
        <v>http://dx.doi.org/10.1109/TVCG.2006.172</v>
      </c>
      <c r="F1524" s="14">
        <v>877.0</v>
      </c>
      <c r="G1524" s="14">
        <v>884.0</v>
      </c>
      <c r="H1524" s="14" t="s">
        <v>17059</v>
      </c>
      <c r="I1524" s="19" t="s">
        <v>17870</v>
      </c>
      <c r="J1524" s="19" t="s">
        <v>17871</v>
      </c>
      <c r="K1524" s="19" t="s">
        <v>17872</v>
      </c>
      <c r="L1524" s="18"/>
      <c r="M1524" s="20" t="s">
        <v>17873</v>
      </c>
      <c r="N1524" s="44" t="s">
        <v>17874</v>
      </c>
      <c r="O1524" s="22">
        <v>89.0</v>
      </c>
      <c r="P1524" s="28">
        <v>35.0</v>
      </c>
      <c r="Q1524" s="28">
        <v>28.0</v>
      </c>
      <c r="R1524" s="84"/>
      <c r="S1524" s="84"/>
      <c r="T1524" s="84"/>
      <c r="U1524" s="84"/>
      <c r="V1524" s="84"/>
      <c r="W1524" s="84"/>
      <c r="X1524" s="84"/>
      <c r="Y1524" s="84"/>
      <c r="Z1524" s="84"/>
      <c r="AA1524" s="84"/>
    </row>
    <row r="1525" ht="15.75" customHeight="1">
      <c r="A1525" s="14" t="s">
        <v>17</v>
      </c>
      <c r="B1525" s="15" t="s">
        <v>17056</v>
      </c>
      <c r="C1525" s="14" t="s">
        <v>17875</v>
      </c>
      <c r="D1525" s="14" t="s">
        <v>17876</v>
      </c>
      <c r="E1525" s="26" t="str">
        <f t="shared" si="26"/>
        <v>http://dx.doi.org/10.1109/TVCG.2006.173</v>
      </c>
      <c r="F1525" s="14">
        <v>1315.0</v>
      </c>
      <c r="G1525" s="14">
        <v>1322.0</v>
      </c>
      <c r="H1525" s="14" t="s">
        <v>17059</v>
      </c>
      <c r="I1525" s="19" t="s">
        <v>17877</v>
      </c>
      <c r="J1525" s="19" t="s">
        <v>17878</v>
      </c>
      <c r="K1525" s="19" t="s">
        <v>17879</v>
      </c>
      <c r="L1525" s="18"/>
      <c r="M1525" s="20" t="s">
        <v>17880</v>
      </c>
      <c r="N1525" s="44" t="s">
        <v>17881</v>
      </c>
      <c r="O1525" s="22">
        <v>50.0</v>
      </c>
      <c r="P1525" s="28">
        <v>17.0</v>
      </c>
      <c r="Q1525" s="28">
        <v>32.0</v>
      </c>
      <c r="R1525" s="84"/>
      <c r="S1525" s="84"/>
      <c r="T1525" s="84"/>
      <c r="U1525" s="84"/>
      <c r="V1525" s="84"/>
      <c r="W1525" s="84"/>
      <c r="X1525" s="84"/>
      <c r="Y1525" s="84"/>
      <c r="Z1525" s="84"/>
      <c r="AA1525" s="84"/>
    </row>
    <row r="1526" ht="15.75" customHeight="1">
      <c r="A1526" s="14" t="s">
        <v>17</v>
      </c>
      <c r="B1526" s="15" t="s">
        <v>17056</v>
      </c>
      <c r="C1526" s="14" t="s">
        <v>17901</v>
      </c>
      <c r="D1526" s="14" t="s">
        <v>17902</v>
      </c>
      <c r="E1526" s="26" t="str">
        <f t="shared" si="26"/>
        <v>http://dx.doi.org/10.1109/TVCG.2006.174</v>
      </c>
      <c r="F1526" s="14">
        <v>925.0</v>
      </c>
      <c r="G1526" s="14">
        <v>932.0</v>
      </c>
      <c r="H1526" s="14" t="s">
        <v>17059</v>
      </c>
      <c r="I1526" s="19" t="s">
        <v>17904</v>
      </c>
      <c r="J1526" s="19" t="s">
        <v>17905</v>
      </c>
      <c r="K1526" s="19" t="s">
        <v>17905</v>
      </c>
      <c r="L1526" s="19" t="s">
        <v>17993</v>
      </c>
      <c r="M1526" s="20" t="s">
        <v>17907</v>
      </c>
      <c r="N1526" s="44" t="s">
        <v>17908</v>
      </c>
      <c r="O1526" s="22">
        <v>93.0</v>
      </c>
      <c r="P1526" s="28">
        <v>47.0</v>
      </c>
      <c r="Q1526" s="28">
        <v>30.0</v>
      </c>
      <c r="R1526" s="84"/>
      <c r="S1526" s="84"/>
      <c r="T1526" s="84"/>
      <c r="U1526" s="84"/>
      <c r="V1526" s="84"/>
      <c r="W1526" s="84"/>
      <c r="X1526" s="84"/>
      <c r="Y1526" s="84"/>
      <c r="Z1526" s="84"/>
      <c r="AA1526" s="84"/>
    </row>
    <row r="1527" ht="15.75" customHeight="1">
      <c r="A1527" s="14" t="s">
        <v>17</v>
      </c>
      <c r="B1527" s="15" t="s">
        <v>17056</v>
      </c>
      <c r="C1527" s="14" t="s">
        <v>17909</v>
      </c>
      <c r="D1527" s="14" t="s">
        <v>17910</v>
      </c>
      <c r="E1527" s="26" t="str">
        <f t="shared" si="26"/>
        <v>http://dx.doi.org/10.1109/TVCG.2006.175</v>
      </c>
      <c r="F1527" s="14">
        <v>1291.0</v>
      </c>
      <c r="G1527" s="14">
        <v>1298.0</v>
      </c>
      <c r="H1527" s="14" t="s">
        <v>17059</v>
      </c>
      <c r="I1527" s="19" t="s">
        <v>17912</v>
      </c>
      <c r="J1527" s="19" t="s">
        <v>17913</v>
      </c>
      <c r="K1527" s="19" t="s">
        <v>17994</v>
      </c>
      <c r="L1527" s="19" t="s">
        <v>17996</v>
      </c>
      <c r="M1527" s="20" t="s">
        <v>17915</v>
      </c>
      <c r="N1527" s="44" t="s">
        <v>17916</v>
      </c>
      <c r="O1527" s="22">
        <v>50.0</v>
      </c>
      <c r="P1527" s="28">
        <v>14.0</v>
      </c>
      <c r="Q1527" s="28">
        <v>25.0</v>
      </c>
      <c r="R1527" s="84"/>
      <c r="S1527" s="84"/>
      <c r="T1527" s="84"/>
      <c r="U1527" s="84"/>
      <c r="V1527" s="84"/>
      <c r="W1527" s="84"/>
      <c r="X1527" s="84"/>
      <c r="Y1527" s="84"/>
      <c r="Z1527" s="84"/>
      <c r="AA1527" s="84"/>
    </row>
    <row r="1528" ht="15.75" customHeight="1">
      <c r="A1528" s="14" t="s">
        <v>17</v>
      </c>
      <c r="B1528" s="15" t="s">
        <v>17056</v>
      </c>
      <c r="C1528" s="14" t="s">
        <v>17917</v>
      </c>
      <c r="D1528" s="14" t="s">
        <v>17918</v>
      </c>
      <c r="E1528" s="26" t="str">
        <f t="shared" si="26"/>
        <v>http://dx.doi.org/10.1109/TVCG.2006.176</v>
      </c>
      <c r="F1528" s="14">
        <v>1005.0</v>
      </c>
      <c r="G1528" s="14">
        <v>1012.0</v>
      </c>
      <c r="H1528" s="14" t="s">
        <v>17059</v>
      </c>
      <c r="I1528" s="19" t="s">
        <v>17920</v>
      </c>
      <c r="J1528" s="19" t="s">
        <v>17921</v>
      </c>
      <c r="K1528" s="19" t="s">
        <v>17997</v>
      </c>
      <c r="L1528" s="19" t="s">
        <v>17998</v>
      </c>
      <c r="M1528" s="20"/>
      <c r="N1528" s="44" t="s">
        <v>17923</v>
      </c>
      <c r="O1528" s="22">
        <v>50.0</v>
      </c>
      <c r="P1528" s="28">
        <v>15.0</v>
      </c>
      <c r="Q1528" s="28">
        <v>24.0</v>
      </c>
      <c r="R1528" s="84"/>
      <c r="S1528" s="84"/>
      <c r="T1528" s="84"/>
      <c r="U1528" s="84"/>
      <c r="V1528" s="84"/>
      <c r="W1528" s="84"/>
      <c r="X1528" s="84"/>
      <c r="Y1528" s="84"/>
      <c r="Z1528" s="84"/>
      <c r="AA1528" s="84"/>
    </row>
    <row r="1529" ht="15.75" customHeight="1">
      <c r="A1529" s="14" t="s">
        <v>17</v>
      </c>
      <c r="B1529" s="15" t="s">
        <v>17056</v>
      </c>
      <c r="C1529" s="14" t="s">
        <v>17929</v>
      </c>
      <c r="D1529" s="14" t="s">
        <v>17930</v>
      </c>
      <c r="E1529" s="26" t="str">
        <f t="shared" si="26"/>
        <v>http://dx.doi.org/10.1109/TVCG.2006.180</v>
      </c>
      <c r="F1529" s="14">
        <v>1133.0</v>
      </c>
      <c r="G1529" s="14">
        <v>1140.0</v>
      </c>
      <c r="H1529" s="14" t="s">
        <v>17059</v>
      </c>
      <c r="I1529" s="19" t="s">
        <v>17932</v>
      </c>
      <c r="J1529" s="19" t="s">
        <v>17933</v>
      </c>
      <c r="K1529" s="19" t="s">
        <v>18003</v>
      </c>
      <c r="L1529" s="18"/>
      <c r="M1529" s="20" t="s">
        <v>17935</v>
      </c>
      <c r="N1529" s="44" t="s">
        <v>17936</v>
      </c>
      <c r="O1529" s="22">
        <v>50.0</v>
      </c>
      <c r="P1529" s="28">
        <v>7.0</v>
      </c>
      <c r="Q1529" s="28">
        <v>36.0</v>
      </c>
      <c r="R1529" s="84"/>
      <c r="S1529" s="84"/>
      <c r="T1529" s="84"/>
      <c r="U1529" s="84"/>
      <c r="V1529" s="84"/>
      <c r="W1529" s="84"/>
      <c r="X1529" s="84"/>
      <c r="Y1529" s="84"/>
      <c r="Z1529" s="84"/>
      <c r="AA1529" s="84"/>
    </row>
    <row r="1530" ht="15.75" customHeight="1">
      <c r="A1530" s="14" t="s">
        <v>17</v>
      </c>
      <c r="B1530" s="15" t="s">
        <v>17056</v>
      </c>
      <c r="C1530" s="14" t="s">
        <v>17937</v>
      </c>
      <c r="D1530" s="14" t="s">
        <v>17938</v>
      </c>
      <c r="E1530" s="26" t="str">
        <f t="shared" si="26"/>
        <v>http://dx.doi.org/10.1109/TVCG.2006.181</v>
      </c>
      <c r="F1530" s="14">
        <v>1197.0</v>
      </c>
      <c r="G1530" s="14">
        <v>1204.0</v>
      </c>
      <c r="H1530" s="14" t="s">
        <v>17059</v>
      </c>
      <c r="I1530" s="19" t="s">
        <v>17940</v>
      </c>
      <c r="J1530" s="19" t="s">
        <v>17941</v>
      </c>
      <c r="K1530" s="19" t="s">
        <v>18012</v>
      </c>
      <c r="L1530" s="19" t="s">
        <v>18013</v>
      </c>
      <c r="M1530" s="20" t="s">
        <v>17943</v>
      </c>
      <c r="N1530" s="44" t="s">
        <v>17944</v>
      </c>
      <c r="O1530" s="22">
        <v>45.0</v>
      </c>
      <c r="P1530" s="28">
        <v>21.0</v>
      </c>
      <c r="Q1530" s="28">
        <v>25.0</v>
      </c>
      <c r="R1530" s="84"/>
      <c r="S1530" s="84"/>
      <c r="T1530" s="84"/>
      <c r="U1530" s="84"/>
      <c r="V1530" s="84"/>
      <c r="W1530" s="84"/>
      <c r="X1530" s="84"/>
      <c r="Y1530" s="84"/>
      <c r="Z1530" s="84"/>
      <c r="AA1530" s="84"/>
    </row>
    <row r="1531" ht="15.75" customHeight="1">
      <c r="A1531" s="14" t="s">
        <v>17</v>
      </c>
      <c r="B1531" s="15" t="s">
        <v>17056</v>
      </c>
      <c r="C1531" s="14" t="s">
        <v>17945</v>
      </c>
      <c r="D1531" s="14" t="s">
        <v>17946</v>
      </c>
      <c r="E1531" s="26" t="str">
        <f t="shared" si="26"/>
        <v>http://dx.doi.org/10.1109/TVCG.2006.182</v>
      </c>
      <c r="F1531" s="14">
        <v>1323.0</v>
      </c>
      <c r="G1531" s="14">
        <v>1328.0</v>
      </c>
      <c r="H1531" s="14" t="s">
        <v>17059</v>
      </c>
      <c r="I1531" s="19" t="s">
        <v>18018</v>
      </c>
      <c r="J1531" s="19" t="s">
        <v>17949</v>
      </c>
      <c r="K1531" s="19" t="s">
        <v>18020</v>
      </c>
      <c r="L1531" s="18"/>
      <c r="M1531" s="20" t="s">
        <v>17950</v>
      </c>
      <c r="N1531" s="44" t="s">
        <v>17951</v>
      </c>
      <c r="O1531" s="22">
        <v>16.0</v>
      </c>
      <c r="P1531" s="28">
        <v>10.0</v>
      </c>
      <c r="Q1531" s="28">
        <v>16.0</v>
      </c>
      <c r="R1531" s="84"/>
      <c r="S1531" s="84"/>
      <c r="T1531" s="84"/>
      <c r="U1531" s="84"/>
      <c r="V1531" s="84"/>
      <c r="W1531" s="84"/>
      <c r="X1531" s="84"/>
      <c r="Y1531" s="84"/>
      <c r="Z1531" s="84"/>
      <c r="AA1531" s="84"/>
    </row>
    <row r="1532" ht="15.75" customHeight="1">
      <c r="A1532" s="14" t="s">
        <v>17</v>
      </c>
      <c r="B1532" s="15" t="s">
        <v>17056</v>
      </c>
      <c r="C1532" s="14" t="s">
        <v>17952</v>
      </c>
      <c r="D1532" s="14" t="s">
        <v>17953</v>
      </c>
      <c r="E1532" s="26" t="str">
        <f t="shared" si="26"/>
        <v>http://dx.doi.org/10.1109/TVCG.2006.183</v>
      </c>
      <c r="F1532" s="14">
        <v>1125.0</v>
      </c>
      <c r="G1532" s="14">
        <v>1132.0</v>
      </c>
      <c r="H1532" s="14" t="s">
        <v>17059</v>
      </c>
      <c r="I1532" s="19" t="s">
        <v>17955</v>
      </c>
      <c r="J1532" s="19" t="s">
        <v>17956</v>
      </c>
      <c r="K1532" s="19" t="s">
        <v>17956</v>
      </c>
      <c r="L1532" s="19" t="s">
        <v>17753</v>
      </c>
      <c r="M1532" s="20" t="s">
        <v>17958</v>
      </c>
      <c r="N1532" s="44" t="s">
        <v>17959</v>
      </c>
      <c r="O1532" s="22">
        <v>50.0</v>
      </c>
      <c r="P1532" s="28">
        <v>11.0</v>
      </c>
      <c r="Q1532" s="28">
        <v>20.0</v>
      </c>
      <c r="R1532" s="84"/>
      <c r="S1532" s="84"/>
      <c r="T1532" s="84"/>
      <c r="U1532" s="84"/>
      <c r="V1532" s="84"/>
      <c r="W1532" s="84"/>
      <c r="X1532" s="84"/>
      <c r="Y1532" s="84"/>
      <c r="Z1532" s="84"/>
      <c r="AA1532" s="84"/>
    </row>
    <row r="1533" ht="15.75" customHeight="1">
      <c r="A1533" s="14" t="s">
        <v>17</v>
      </c>
      <c r="B1533" s="15" t="s">
        <v>17056</v>
      </c>
      <c r="C1533" s="14" t="s">
        <v>17964</v>
      </c>
      <c r="D1533" s="14" t="s">
        <v>17965</v>
      </c>
      <c r="E1533" s="26" t="str">
        <f t="shared" si="26"/>
        <v>http://dx.doi.org/10.1109/TVCG.2006.186</v>
      </c>
      <c r="F1533" s="14">
        <v>1053.0</v>
      </c>
      <c r="G1533" s="14">
        <v>1060.0</v>
      </c>
      <c r="H1533" s="14" t="s">
        <v>17059</v>
      </c>
      <c r="I1533" s="19" t="s">
        <v>17967</v>
      </c>
      <c r="J1533" s="19" t="s">
        <v>17968</v>
      </c>
      <c r="K1533" s="19" t="s">
        <v>18029</v>
      </c>
      <c r="L1533" s="19" t="s">
        <v>18032</v>
      </c>
      <c r="M1533" s="20" t="s">
        <v>17970</v>
      </c>
      <c r="N1533" s="44" t="s">
        <v>17971</v>
      </c>
      <c r="O1533" s="22">
        <v>128.0</v>
      </c>
      <c r="P1533" s="28">
        <v>65.0</v>
      </c>
      <c r="Q1533" s="28">
        <v>33.0</v>
      </c>
      <c r="R1533" s="84"/>
      <c r="S1533" s="84"/>
      <c r="T1533" s="84"/>
      <c r="U1533" s="84"/>
      <c r="V1533" s="84"/>
      <c r="W1533" s="84"/>
      <c r="X1533" s="84"/>
      <c r="Y1533" s="84"/>
      <c r="Z1533" s="84"/>
      <c r="AA1533" s="84"/>
    </row>
    <row r="1534" ht="15.75" customHeight="1">
      <c r="A1534" s="14" t="s">
        <v>17</v>
      </c>
      <c r="B1534" s="15" t="s">
        <v>17056</v>
      </c>
      <c r="C1534" s="14" t="s">
        <v>17975</v>
      </c>
      <c r="D1534" s="14" t="s">
        <v>17976</v>
      </c>
      <c r="E1534" s="26" t="str">
        <f t="shared" si="26"/>
        <v>http://dx.doi.org/10.1109/TVCG.2006.188</v>
      </c>
      <c r="F1534" s="14">
        <v>1275.0</v>
      </c>
      <c r="G1534" s="14">
        <v>1282.0</v>
      </c>
      <c r="H1534" s="14" t="s">
        <v>17059</v>
      </c>
      <c r="I1534" s="19" t="s">
        <v>17978</v>
      </c>
      <c r="J1534" s="19" t="s">
        <v>17979</v>
      </c>
      <c r="K1534" s="19" t="s">
        <v>17979</v>
      </c>
      <c r="L1534" s="19" t="s">
        <v>18034</v>
      </c>
      <c r="M1534" s="20" t="s">
        <v>17981</v>
      </c>
      <c r="N1534" s="44" t="s">
        <v>17982</v>
      </c>
      <c r="O1534" s="22">
        <v>50.0</v>
      </c>
      <c r="P1534" s="28">
        <v>4.0</v>
      </c>
      <c r="Q1534" s="28">
        <v>15.0</v>
      </c>
      <c r="R1534" s="84"/>
      <c r="S1534" s="84"/>
      <c r="T1534" s="84"/>
      <c r="U1534" s="84"/>
      <c r="V1534" s="84"/>
      <c r="W1534" s="84"/>
      <c r="X1534" s="84"/>
      <c r="Y1534" s="84"/>
      <c r="Z1534" s="84"/>
      <c r="AA1534" s="84"/>
    </row>
    <row r="1535" ht="15.75" customHeight="1">
      <c r="A1535" s="14" t="s">
        <v>17</v>
      </c>
      <c r="B1535" s="15" t="s">
        <v>17056</v>
      </c>
      <c r="C1535" s="14" t="s">
        <v>17983</v>
      </c>
      <c r="D1535" s="14" t="s">
        <v>17984</v>
      </c>
      <c r="E1535" s="26" t="str">
        <f t="shared" si="26"/>
        <v>http://dx.doi.org/10.1109/TVCG.2006.189</v>
      </c>
      <c r="F1535" s="14">
        <v>1013.0</v>
      </c>
      <c r="G1535" s="14">
        <v>1020.0</v>
      </c>
      <c r="H1535" s="14" t="s">
        <v>17059</v>
      </c>
      <c r="I1535" s="19" t="s">
        <v>17986</v>
      </c>
      <c r="J1535" s="19" t="s">
        <v>18036</v>
      </c>
      <c r="K1535" s="19" t="s">
        <v>18037</v>
      </c>
      <c r="L1535" s="19" t="s">
        <v>17753</v>
      </c>
      <c r="M1535" s="20" t="s">
        <v>17989</v>
      </c>
      <c r="N1535" s="44" t="s">
        <v>17990</v>
      </c>
      <c r="O1535" s="22">
        <v>50.0</v>
      </c>
      <c r="P1535" s="28">
        <v>17.0</v>
      </c>
      <c r="Q1535" s="28">
        <v>26.0</v>
      </c>
      <c r="R1535" s="84"/>
      <c r="S1535" s="84"/>
      <c r="T1535" s="84"/>
      <c r="U1535" s="84"/>
      <c r="V1535" s="84"/>
      <c r="W1535" s="84"/>
      <c r="X1535" s="84"/>
      <c r="Y1535" s="84"/>
      <c r="Z1535" s="84"/>
      <c r="AA1535" s="84"/>
    </row>
    <row r="1536" ht="15.75" customHeight="1">
      <c r="A1536" s="14" t="s">
        <v>17</v>
      </c>
      <c r="B1536" s="15" t="s">
        <v>17056</v>
      </c>
      <c r="C1536" s="14" t="s">
        <v>18000</v>
      </c>
      <c r="D1536" s="14" t="s">
        <v>18001</v>
      </c>
      <c r="E1536" s="26" t="str">
        <f t="shared" si="26"/>
        <v>http://dx.doi.org/10.1109/TVCG.2006.194</v>
      </c>
      <c r="F1536" s="14">
        <v>1093.0</v>
      </c>
      <c r="G1536" s="14">
        <v>1100.0</v>
      </c>
      <c r="H1536" s="14" t="s">
        <v>17059</v>
      </c>
      <c r="I1536" s="19" t="s">
        <v>18004</v>
      </c>
      <c r="J1536" s="19" t="s">
        <v>18005</v>
      </c>
      <c r="K1536" s="19" t="s">
        <v>18041</v>
      </c>
      <c r="L1536" s="19" t="s">
        <v>17284</v>
      </c>
      <c r="M1536" s="20" t="s">
        <v>18007</v>
      </c>
      <c r="N1536" s="44" t="s">
        <v>18008</v>
      </c>
      <c r="O1536" s="22">
        <v>50.0</v>
      </c>
      <c r="P1536" s="28">
        <v>26.0</v>
      </c>
      <c r="Q1536" s="28">
        <v>26.0</v>
      </c>
      <c r="R1536" s="84"/>
      <c r="S1536" s="84"/>
      <c r="T1536" s="84"/>
      <c r="U1536" s="84"/>
      <c r="V1536" s="84"/>
      <c r="W1536" s="84"/>
      <c r="X1536" s="84"/>
      <c r="Y1536" s="84"/>
      <c r="Z1536" s="84"/>
      <c r="AA1536" s="84"/>
    </row>
    <row r="1537" ht="15.75" customHeight="1">
      <c r="A1537" s="14" t="s">
        <v>17</v>
      </c>
      <c r="B1537" s="15" t="s">
        <v>17056</v>
      </c>
      <c r="C1537" s="14" t="s">
        <v>18009</v>
      </c>
      <c r="D1537" s="14" t="s">
        <v>18010</v>
      </c>
      <c r="E1537" s="26" t="str">
        <f t="shared" si="26"/>
        <v>http://dx.doi.org/10.1109/TVCG.2006.195</v>
      </c>
      <c r="F1537" s="14">
        <v>1251.0</v>
      </c>
      <c r="G1537" s="14">
        <v>1258.0</v>
      </c>
      <c r="H1537" s="14" t="s">
        <v>17059</v>
      </c>
      <c r="I1537" s="19" t="s">
        <v>18014</v>
      </c>
      <c r="J1537" s="19" t="s">
        <v>18015</v>
      </c>
      <c r="K1537" s="19" t="s">
        <v>18048</v>
      </c>
      <c r="L1537" s="19" t="s">
        <v>18049</v>
      </c>
      <c r="M1537" s="20" t="s">
        <v>18017</v>
      </c>
      <c r="N1537" s="44" t="s">
        <v>18019</v>
      </c>
      <c r="O1537" s="109"/>
      <c r="P1537" s="28">
        <v>5.0</v>
      </c>
      <c r="Q1537" s="28">
        <v>30.0</v>
      </c>
      <c r="R1537" s="84"/>
      <c r="S1537" s="84"/>
      <c r="T1537" s="84"/>
      <c r="U1537" s="84"/>
      <c r="V1537" s="84"/>
      <c r="W1537" s="84"/>
      <c r="X1537" s="84"/>
      <c r="Y1537" s="84"/>
      <c r="Z1537" s="84"/>
      <c r="AA1537" s="84"/>
    </row>
    <row r="1538" ht="15.75" customHeight="1">
      <c r="A1538" s="14" t="s">
        <v>17</v>
      </c>
      <c r="B1538" s="15" t="s">
        <v>17056</v>
      </c>
      <c r="C1538" s="14" t="s">
        <v>18023</v>
      </c>
      <c r="D1538" s="14" t="s">
        <v>18024</v>
      </c>
      <c r="E1538" s="26" t="str">
        <f t="shared" si="26"/>
        <v>http://dx.doi.org/10.1109/TVCG.2006.197</v>
      </c>
      <c r="F1538" s="14">
        <v>1165.0</v>
      </c>
      <c r="G1538" s="14">
        <v>1172.0</v>
      </c>
      <c r="H1538" s="14" t="s">
        <v>17059</v>
      </c>
      <c r="I1538" s="19" t="s">
        <v>18026</v>
      </c>
      <c r="J1538" s="19" t="s">
        <v>18027</v>
      </c>
      <c r="K1538" s="19" t="s">
        <v>18027</v>
      </c>
      <c r="L1538" s="19" t="s">
        <v>18050</v>
      </c>
      <c r="M1538" s="20" t="s">
        <v>18030</v>
      </c>
      <c r="N1538" s="44" t="s">
        <v>18031</v>
      </c>
      <c r="O1538" s="22">
        <v>50.0</v>
      </c>
      <c r="P1538" s="28">
        <v>15.0</v>
      </c>
      <c r="Q1538" s="28">
        <v>17.0</v>
      </c>
      <c r="R1538" s="84"/>
      <c r="S1538" s="84"/>
      <c r="T1538" s="84"/>
      <c r="U1538" s="84"/>
      <c r="V1538" s="84"/>
      <c r="W1538" s="84"/>
      <c r="X1538" s="84"/>
      <c r="Y1538" s="84"/>
      <c r="Z1538" s="84"/>
      <c r="AA1538" s="84"/>
    </row>
    <row r="1539" ht="15.75" customHeight="1">
      <c r="A1539" s="14" t="s">
        <v>17</v>
      </c>
      <c r="B1539" s="15" t="s">
        <v>17056</v>
      </c>
      <c r="C1539" s="14" t="s">
        <v>18038</v>
      </c>
      <c r="D1539" s="14" t="s">
        <v>18039</v>
      </c>
      <c r="E1539" s="26" t="str">
        <f t="shared" si="26"/>
        <v>http://dx.doi.org/10.1109/TVCG.2006.199</v>
      </c>
      <c r="F1539" s="14">
        <v>949.0</v>
      </c>
      <c r="G1539" s="14">
        <v>956.0</v>
      </c>
      <c r="H1539" s="14" t="s">
        <v>17059</v>
      </c>
      <c r="I1539" s="19" t="s">
        <v>18042</v>
      </c>
      <c r="J1539" s="19" t="s">
        <v>18043</v>
      </c>
      <c r="K1539" s="19" t="s">
        <v>18043</v>
      </c>
      <c r="L1539" s="19" t="s">
        <v>18055</v>
      </c>
      <c r="M1539" s="20" t="s">
        <v>18045</v>
      </c>
      <c r="N1539" s="44" t="s">
        <v>18046</v>
      </c>
      <c r="O1539" s="22">
        <v>50.0</v>
      </c>
      <c r="P1539" s="28">
        <v>14.0</v>
      </c>
      <c r="Q1539" s="28">
        <v>15.0</v>
      </c>
      <c r="R1539" s="84"/>
      <c r="S1539" s="84"/>
      <c r="T1539" s="84"/>
      <c r="U1539" s="84"/>
      <c r="V1539" s="84"/>
      <c r="W1539" s="84"/>
      <c r="X1539" s="84"/>
      <c r="Y1539" s="84"/>
      <c r="Z1539" s="84"/>
      <c r="AA1539" s="84"/>
    </row>
    <row r="1540" ht="15.75" customHeight="1">
      <c r="A1540" s="14" t="s">
        <v>17</v>
      </c>
      <c r="B1540" s="15" t="s">
        <v>17056</v>
      </c>
      <c r="C1540" s="14" t="s">
        <v>18052</v>
      </c>
      <c r="D1540" s="14" t="s">
        <v>18053</v>
      </c>
      <c r="E1540" s="26" t="str">
        <f t="shared" si="26"/>
        <v>http://dx.doi.org/10.1109/TVCG.2006.201</v>
      </c>
      <c r="F1540" s="14">
        <v>957.0</v>
      </c>
      <c r="G1540" s="14">
        <v>964.0</v>
      </c>
      <c r="H1540" s="14" t="s">
        <v>17059</v>
      </c>
      <c r="I1540" s="19" t="s">
        <v>18056</v>
      </c>
      <c r="J1540" s="19" t="s">
        <v>18057</v>
      </c>
      <c r="K1540" s="19" t="s">
        <v>18059</v>
      </c>
      <c r="L1540" s="19" t="s">
        <v>18062</v>
      </c>
      <c r="M1540" s="20" t="s">
        <v>18060</v>
      </c>
      <c r="N1540" s="44" t="s">
        <v>18061</v>
      </c>
      <c r="O1540" s="22">
        <v>26.0</v>
      </c>
      <c r="P1540" s="28">
        <v>15.0</v>
      </c>
      <c r="Q1540" s="28">
        <v>31.0</v>
      </c>
      <c r="R1540" s="84"/>
      <c r="S1540" s="84"/>
      <c r="T1540" s="84"/>
      <c r="U1540" s="84"/>
      <c r="V1540" s="84"/>
      <c r="W1540" s="84"/>
      <c r="X1540" s="84"/>
      <c r="Y1540" s="84"/>
      <c r="Z1540" s="84"/>
      <c r="AA1540" s="84"/>
    </row>
    <row r="1541" ht="15.75" customHeight="1">
      <c r="A1541" s="14" t="s">
        <v>2137</v>
      </c>
      <c r="B1541" s="15" t="s">
        <v>18064</v>
      </c>
      <c r="C1541" s="14" t="s">
        <v>18065</v>
      </c>
      <c r="D1541" s="14" t="s">
        <v>18066</v>
      </c>
      <c r="E1541" s="26" t="str">
        <f t="shared" si="26"/>
        <v>http://dx.doi.org/10.1109/TVCG.2007.70515</v>
      </c>
      <c r="F1541" s="14">
        <v>1224.0</v>
      </c>
      <c r="G1541" s="14">
        <v>1231.0</v>
      </c>
      <c r="H1541" s="14" t="s">
        <v>17059</v>
      </c>
      <c r="I1541" s="19" t="s">
        <v>18067</v>
      </c>
      <c r="J1541" s="19" t="s">
        <v>18068</v>
      </c>
      <c r="K1541" s="19" t="s">
        <v>18069</v>
      </c>
      <c r="L1541" s="19" t="s">
        <v>18070</v>
      </c>
      <c r="M1541" s="20" t="s">
        <v>18071</v>
      </c>
      <c r="N1541" s="44" t="s">
        <v>18072</v>
      </c>
      <c r="O1541" s="22">
        <v>727.0</v>
      </c>
      <c r="P1541" s="28">
        <v>267.0</v>
      </c>
      <c r="Q1541" s="28">
        <v>56.0</v>
      </c>
      <c r="R1541" s="84"/>
      <c r="S1541" s="84"/>
      <c r="T1541" s="84"/>
      <c r="U1541" s="84"/>
      <c r="V1541" s="84"/>
      <c r="W1541" s="84"/>
      <c r="X1541" s="84"/>
      <c r="Y1541" s="84"/>
      <c r="Z1541" s="84"/>
      <c r="AA1541" s="84"/>
    </row>
    <row r="1542" ht="15.75" customHeight="1">
      <c r="A1542" s="14" t="s">
        <v>2137</v>
      </c>
      <c r="B1542" s="15" t="s">
        <v>18064</v>
      </c>
      <c r="C1542" s="14" t="s">
        <v>18073</v>
      </c>
      <c r="D1542" s="14" t="s">
        <v>18074</v>
      </c>
      <c r="E1542" s="26" t="str">
        <f t="shared" si="26"/>
        <v>http://dx.doi.org/10.1109/TVCG.2007.70521</v>
      </c>
      <c r="F1542" s="14">
        <v>1192.0</v>
      </c>
      <c r="G1542" s="14">
        <v>1199.0</v>
      </c>
      <c r="H1542" s="14" t="s">
        <v>17059</v>
      </c>
      <c r="I1542" s="19" t="s">
        <v>18077</v>
      </c>
      <c r="J1542" s="19" t="s">
        <v>18078</v>
      </c>
      <c r="K1542" s="19" t="s">
        <v>18078</v>
      </c>
      <c r="L1542" s="19" t="s">
        <v>18079</v>
      </c>
      <c r="M1542" s="20" t="s">
        <v>18080</v>
      </c>
      <c r="N1542" s="44" t="s">
        <v>18081</v>
      </c>
      <c r="O1542" s="22">
        <v>183.0</v>
      </c>
      <c r="P1542" s="28">
        <v>86.0</v>
      </c>
      <c r="Q1542" s="28">
        <v>22.0</v>
      </c>
      <c r="R1542" s="84"/>
      <c r="S1542" s="84"/>
      <c r="T1542" s="84"/>
      <c r="U1542" s="84"/>
      <c r="V1542" s="84"/>
      <c r="W1542" s="84"/>
      <c r="X1542" s="84"/>
      <c r="Y1542" s="84"/>
      <c r="Z1542" s="84"/>
      <c r="AA1542" s="84"/>
    </row>
    <row r="1543" ht="15.75" customHeight="1">
      <c r="A1543" s="14" t="s">
        <v>2137</v>
      </c>
      <c r="B1543" s="15" t="s">
        <v>18064</v>
      </c>
      <c r="C1543" s="14" t="s">
        <v>18082</v>
      </c>
      <c r="D1543" s="14" t="s">
        <v>18084</v>
      </c>
      <c r="E1543" s="26" t="str">
        <f t="shared" si="26"/>
        <v>http://dx.doi.org/10.1109/TVCG.2007.70522</v>
      </c>
      <c r="F1543" s="14">
        <v>1105.0</v>
      </c>
      <c r="G1543" s="14">
        <v>1112.0</v>
      </c>
      <c r="H1543" s="14" t="s">
        <v>17059</v>
      </c>
      <c r="I1543" s="19" t="s">
        <v>18086</v>
      </c>
      <c r="J1543" s="19" t="s">
        <v>18087</v>
      </c>
      <c r="K1543" s="19" t="s">
        <v>18087</v>
      </c>
      <c r="L1543" s="18"/>
      <c r="M1543" s="20" t="s">
        <v>18088</v>
      </c>
      <c r="N1543" s="44" t="s">
        <v>18089</v>
      </c>
      <c r="O1543" s="22">
        <v>69.0</v>
      </c>
      <c r="P1543" s="28">
        <v>33.0</v>
      </c>
      <c r="Q1543" s="28">
        <v>21.0</v>
      </c>
      <c r="R1543" s="84"/>
      <c r="S1543" s="84"/>
      <c r="T1543" s="84"/>
      <c r="U1543" s="84"/>
      <c r="V1543" s="84"/>
      <c r="W1543" s="84"/>
      <c r="X1543" s="84"/>
      <c r="Y1543" s="84"/>
      <c r="Z1543" s="84"/>
      <c r="AA1543" s="84"/>
    </row>
    <row r="1544" ht="15.75" customHeight="1">
      <c r="A1544" s="14" t="s">
        <v>2137</v>
      </c>
      <c r="B1544" s="15" t="s">
        <v>18064</v>
      </c>
      <c r="C1544" s="14" t="s">
        <v>18090</v>
      </c>
      <c r="D1544" s="14" t="s">
        <v>18091</v>
      </c>
      <c r="E1544" s="26" t="str">
        <f t="shared" si="26"/>
        <v>http://dx.doi.org/10.1109/TVCG.2007.70528</v>
      </c>
      <c r="F1544" s="14">
        <v>1254.0</v>
      </c>
      <c r="G1544" s="14">
        <v>1261.0</v>
      </c>
      <c r="H1544" s="14" t="s">
        <v>17059</v>
      </c>
      <c r="I1544" s="19" t="s">
        <v>18092</v>
      </c>
      <c r="J1544" s="19" t="s">
        <v>18093</v>
      </c>
      <c r="K1544" s="19" t="s">
        <v>18094</v>
      </c>
      <c r="L1544" s="19" t="s">
        <v>18095</v>
      </c>
      <c r="M1544" s="20" t="s">
        <v>13096</v>
      </c>
      <c r="N1544" s="44" t="s">
        <v>18096</v>
      </c>
      <c r="O1544" s="22">
        <v>50.0</v>
      </c>
      <c r="P1544" s="28">
        <v>9.0</v>
      </c>
      <c r="Q1544" s="28">
        <v>21.0</v>
      </c>
      <c r="R1544" s="84"/>
      <c r="S1544" s="84"/>
      <c r="T1544" s="84"/>
      <c r="U1544" s="84"/>
      <c r="V1544" s="84"/>
      <c r="W1544" s="84"/>
      <c r="X1544" s="84"/>
      <c r="Y1544" s="84"/>
      <c r="Z1544" s="84"/>
      <c r="AA1544" s="84"/>
    </row>
    <row r="1545" ht="15.75" customHeight="1">
      <c r="A1545" s="14" t="s">
        <v>2137</v>
      </c>
      <c r="B1545" s="15" t="s">
        <v>18064</v>
      </c>
      <c r="C1545" s="14" t="s">
        <v>18099</v>
      </c>
      <c r="D1545" s="14" t="s">
        <v>18100</v>
      </c>
      <c r="E1545" s="26" t="str">
        <f t="shared" si="26"/>
        <v>http://dx.doi.org/10.1109/TVCG.2007.70529</v>
      </c>
      <c r="F1545" s="14">
        <v>1286.0</v>
      </c>
      <c r="G1545" s="14">
        <v>1293.0</v>
      </c>
      <c r="H1545" s="14" t="s">
        <v>17059</v>
      </c>
      <c r="I1545" s="19" t="s">
        <v>18101</v>
      </c>
      <c r="J1545" s="19" t="s">
        <v>18102</v>
      </c>
      <c r="K1545" s="19" t="s">
        <v>18102</v>
      </c>
      <c r="L1545" s="19" t="s">
        <v>18103</v>
      </c>
      <c r="M1545" s="20" t="s">
        <v>18104</v>
      </c>
      <c r="N1545" s="44" t="s">
        <v>18105</v>
      </c>
      <c r="O1545" s="22">
        <v>112.0</v>
      </c>
      <c r="P1545" s="28">
        <v>58.0</v>
      </c>
      <c r="Q1545" s="28">
        <v>14.0</v>
      </c>
      <c r="R1545" s="84"/>
      <c r="S1545" s="84"/>
      <c r="T1545" s="84"/>
      <c r="U1545" s="84"/>
      <c r="V1545" s="84"/>
      <c r="W1545" s="84"/>
      <c r="X1545" s="84"/>
      <c r="Y1545" s="84"/>
      <c r="Z1545" s="84"/>
      <c r="AA1545" s="84"/>
    </row>
    <row r="1546" ht="15.75" customHeight="1">
      <c r="A1546" s="14" t="s">
        <v>2137</v>
      </c>
      <c r="B1546" s="15" t="s">
        <v>18064</v>
      </c>
      <c r="C1546" s="14" t="s">
        <v>18106</v>
      </c>
      <c r="D1546" s="14" t="s">
        <v>18107</v>
      </c>
      <c r="E1546" s="26" t="str">
        <f t="shared" si="26"/>
        <v>http://dx.doi.org/10.1109/TVCG.2007.70535</v>
      </c>
      <c r="F1546" s="14">
        <v>1216.0</v>
      </c>
      <c r="G1546" s="14">
        <v>1223.0</v>
      </c>
      <c r="H1546" s="14" t="s">
        <v>17059</v>
      </c>
      <c r="I1546" s="19" t="s">
        <v>18110</v>
      </c>
      <c r="J1546" s="19" t="s">
        <v>17256</v>
      </c>
      <c r="K1546" s="19" t="s">
        <v>17257</v>
      </c>
      <c r="L1546" s="18"/>
      <c r="M1546" s="20" t="s">
        <v>18111</v>
      </c>
      <c r="N1546" s="44" t="s">
        <v>18112</v>
      </c>
      <c r="O1546" s="22">
        <v>277.0</v>
      </c>
      <c r="P1546" s="28">
        <v>161.0</v>
      </c>
      <c r="Q1546" s="28">
        <v>54.0</v>
      </c>
      <c r="R1546" s="84"/>
      <c r="S1546" s="84"/>
      <c r="T1546" s="84"/>
      <c r="U1546" s="84"/>
      <c r="V1546" s="84"/>
      <c r="W1546" s="84"/>
      <c r="X1546" s="84"/>
      <c r="Y1546" s="84"/>
      <c r="Z1546" s="84"/>
      <c r="AA1546" s="84"/>
    </row>
    <row r="1547" ht="15.75" customHeight="1">
      <c r="A1547" s="14" t="s">
        <v>2137</v>
      </c>
      <c r="B1547" s="15" t="s">
        <v>18064</v>
      </c>
      <c r="C1547" s="14" t="s">
        <v>18113</v>
      </c>
      <c r="D1547" s="14" t="s">
        <v>18114</v>
      </c>
      <c r="E1547" s="26" t="str">
        <f t="shared" si="26"/>
        <v>http://dx.doi.org/10.1109/TVCG.2007.70537</v>
      </c>
      <c r="F1547" s="14">
        <v>1113.0</v>
      </c>
      <c r="G1547" s="14">
        <v>1120.0</v>
      </c>
      <c r="H1547" s="14" t="s">
        <v>17059</v>
      </c>
      <c r="I1547" s="19" t="s">
        <v>18115</v>
      </c>
      <c r="J1547" s="19" t="s">
        <v>18116</v>
      </c>
      <c r="K1547" s="19" t="s">
        <v>18117</v>
      </c>
      <c r="L1547" s="18"/>
      <c r="M1547" s="20" t="s">
        <v>18118</v>
      </c>
      <c r="N1547" s="44" t="s">
        <v>18119</v>
      </c>
      <c r="O1547" s="22">
        <v>14.0</v>
      </c>
      <c r="P1547" s="28">
        <v>7.0</v>
      </c>
      <c r="Q1547" s="28">
        <v>20.0</v>
      </c>
      <c r="R1547" s="84"/>
      <c r="S1547" s="84"/>
      <c r="T1547" s="84"/>
      <c r="U1547" s="84"/>
      <c r="V1547" s="84"/>
      <c r="W1547" s="84"/>
      <c r="X1547" s="84"/>
      <c r="Y1547" s="84"/>
      <c r="Z1547" s="84"/>
      <c r="AA1547" s="84"/>
    </row>
    <row r="1548" ht="15.75" customHeight="1">
      <c r="A1548" s="14" t="s">
        <v>2137</v>
      </c>
      <c r="B1548" s="15" t="s">
        <v>18064</v>
      </c>
      <c r="C1548" s="14" t="s">
        <v>18120</v>
      </c>
      <c r="D1548" s="14" t="s">
        <v>18122</v>
      </c>
      <c r="E1548" s="26" t="str">
        <f t="shared" si="26"/>
        <v>http://dx.doi.org/10.1109/TVCG.2007.70539</v>
      </c>
      <c r="F1548" s="14">
        <v>1240.0</v>
      </c>
      <c r="G1548" s="14">
        <v>1247.0</v>
      </c>
      <c r="H1548" s="14" t="s">
        <v>17059</v>
      </c>
      <c r="I1548" s="19" t="s">
        <v>18126</v>
      </c>
      <c r="J1548" s="19" t="s">
        <v>18127</v>
      </c>
      <c r="K1548" s="19" t="s">
        <v>18128</v>
      </c>
      <c r="L1548" s="19" t="s">
        <v>18129</v>
      </c>
      <c r="M1548" s="20" t="s">
        <v>18130</v>
      </c>
      <c r="N1548" s="44" t="s">
        <v>18131</v>
      </c>
      <c r="O1548" s="22">
        <v>335.0</v>
      </c>
      <c r="P1548" s="28">
        <v>127.0</v>
      </c>
      <c r="Q1548" s="28">
        <v>27.0</v>
      </c>
      <c r="R1548" s="84"/>
      <c r="S1548" s="84"/>
      <c r="T1548" s="84"/>
      <c r="U1548" s="84"/>
      <c r="V1548" s="84"/>
      <c r="W1548" s="84"/>
      <c r="X1548" s="84"/>
      <c r="Y1548" s="84"/>
      <c r="Z1548" s="84"/>
      <c r="AA1548" s="84"/>
    </row>
    <row r="1549" ht="15.75" customHeight="1">
      <c r="A1549" s="14" t="s">
        <v>2137</v>
      </c>
      <c r="B1549" s="15" t="s">
        <v>18064</v>
      </c>
      <c r="C1549" s="14" t="s">
        <v>18132</v>
      </c>
      <c r="D1549" s="14" t="s">
        <v>18133</v>
      </c>
      <c r="E1549" s="26" t="str">
        <f t="shared" si="26"/>
        <v>http://dx.doi.org/10.1109/TVCG.2007.70540</v>
      </c>
      <c r="F1549" s="14">
        <v>1248.0</v>
      </c>
      <c r="G1549" s="14">
        <v>1253.0</v>
      </c>
      <c r="H1549" s="14" t="s">
        <v>17059</v>
      </c>
      <c r="I1549" s="19" t="s">
        <v>18134</v>
      </c>
      <c r="J1549" s="19" t="s">
        <v>18135</v>
      </c>
      <c r="K1549" s="19" t="s">
        <v>18135</v>
      </c>
      <c r="L1549" s="18"/>
      <c r="M1549" s="20" t="s">
        <v>18136</v>
      </c>
      <c r="N1549" s="44" t="s">
        <v>18137</v>
      </c>
      <c r="O1549" s="22">
        <v>71.0</v>
      </c>
      <c r="P1549" s="28">
        <v>29.0</v>
      </c>
      <c r="Q1549" s="28">
        <v>36.0</v>
      </c>
      <c r="R1549" s="84"/>
      <c r="S1549" s="84"/>
      <c r="T1549" s="84"/>
      <c r="U1549" s="84"/>
      <c r="V1549" s="84"/>
      <c r="W1549" s="84"/>
      <c r="X1549" s="84"/>
      <c r="Y1549" s="84"/>
      <c r="Z1549" s="84"/>
      <c r="AA1549" s="84"/>
    </row>
    <row r="1550" ht="15.75" customHeight="1">
      <c r="A1550" s="14" t="s">
        <v>2137</v>
      </c>
      <c r="B1550" s="15" t="s">
        <v>18064</v>
      </c>
      <c r="C1550" s="14" t="s">
        <v>18138</v>
      </c>
      <c r="D1550" s="14" t="s">
        <v>18140</v>
      </c>
      <c r="E1550" s="26" t="str">
        <f t="shared" si="26"/>
        <v>http://dx.doi.org/10.1109/TVCG.2007.70541</v>
      </c>
      <c r="F1550" s="14">
        <v>1145.0</v>
      </c>
      <c r="G1550" s="14">
        <v>1152.0</v>
      </c>
      <c r="H1550" s="14" t="s">
        <v>17059</v>
      </c>
      <c r="I1550" s="19" t="s">
        <v>18142</v>
      </c>
      <c r="J1550" s="19" t="s">
        <v>18143</v>
      </c>
      <c r="K1550" s="19" t="s">
        <v>18144</v>
      </c>
      <c r="L1550" s="19" t="s">
        <v>18145</v>
      </c>
      <c r="M1550" s="20" t="s">
        <v>18146</v>
      </c>
      <c r="N1550" s="44" t="s">
        <v>18147</v>
      </c>
      <c r="O1550" s="22">
        <v>289.0</v>
      </c>
      <c r="P1550" s="28">
        <v>104.0</v>
      </c>
      <c r="Q1550" s="28">
        <v>45.0</v>
      </c>
      <c r="R1550" s="84"/>
      <c r="S1550" s="84"/>
      <c r="T1550" s="84"/>
      <c r="U1550" s="84"/>
      <c r="V1550" s="84"/>
      <c r="W1550" s="84"/>
      <c r="X1550" s="84"/>
      <c r="Y1550" s="84"/>
      <c r="Z1550" s="84"/>
      <c r="AA1550" s="84"/>
    </row>
    <row r="1551" ht="15.75" customHeight="1">
      <c r="A1551" s="14" t="s">
        <v>2137</v>
      </c>
      <c r="B1551" s="15" t="s">
        <v>18064</v>
      </c>
      <c r="C1551" s="14" t="s">
        <v>18148</v>
      </c>
      <c r="D1551" s="14" t="s">
        <v>18149</v>
      </c>
      <c r="E1551" s="26" t="str">
        <f t="shared" si="26"/>
        <v>http://dx.doi.org/10.1109/TVCG.2007.70556</v>
      </c>
      <c r="F1551" s="14">
        <v>1294.0</v>
      </c>
      <c r="G1551" s="14">
        <v>1301.0</v>
      </c>
      <c r="H1551" s="14" t="s">
        <v>17059</v>
      </c>
      <c r="I1551" s="19" t="s">
        <v>18150</v>
      </c>
      <c r="J1551" s="19" t="s">
        <v>18151</v>
      </c>
      <c r="K1551" s="19" t="s">
        <v>18151</v>
      </c>
      <c r="L1551" s="19" t="s">
        <v>17753</v>
      </c>
      <c r="M1551" s="20" t="s">
        <v>18152</v>
      </c>
      <c r="N1551" s="44" t="s">
        <v>18153</v>
      </c>
      <c r="O1551" s="22">
        <v>35.0</v>
      </c>
      <c r="P1551" s="28">
        <v>15.0</v>
      </c>
      <c r="Q1551" s="28">
        <v>42.0</v>
      </c>
      <c r="R1551" s="84"/>
      <c r="S1551" s="84"/>
      <c r="T1551" s="84"/>
      <c r="U1551" s="84"/>
      <c r="V1551" s="84"/>
      <c r="W1551" s="84"/>
      <c r="X1551" s="84"/>
      <c r="Y1551" s="84"/>
      <c r="Z1551" s="84"/>
      <c r="AA1551" s="84"/>
    </row>
    <row r="1552" ht="15.75" customHeight="1">
      <c r="A1552" s="14" t="s">
        <v>2137</v>
      </c>
      <c r="B1552" s="15" t="s">
        <v>18064</v>
      </c>
      <c r="C1552" s="14" t="s">
        <v>18154</v>
      </c>
      <c r="D1552" s="14" t="s">
        <v>18155</v>
      </c>
      <c r="E1552" s="26" t="str">
        <f t="shared" si="26"/>
        <v>http://dx.doi.org/10.1109/TVCG.2007.70558</v>
      </c>
      <c r="F1552" s="14">
        <v>1161.0</v>
      </c>
      <c r="G1552" s="14">
        <v>1168.0</v>
      </c>
      <c r="H1552" s="14" t="s">
        <v>17059</v>
      </c>
      <c r="I1552" s="19" t="s">
        <v>18157</v>
      </c>
      <c r="J1552" s="19" t="s">
        <v>18158</v>
      </c>
      <c r="K1552" s="19" t="s">
        <v>18158</v>
      </c>
      <c r="L1552" s="18"/>
      <c r="M1552" s="20"/>
      <c r="N1552" s="44" t="s">
        <v>18159</v>
      </c>
      <c r="O1552" s="22">
        <v>55.0</v>
      </c>
      <c r="P1552" s="28">
        <v>28.0</v>
      </c>
      <c r="Q1552" s="28">
        <v>21.0</v>
      </c>
      <c r="R1552" s="84"/>
      <c r="S1552" s="84"/>
      <c r="T1552" s="84"/>
      <c r="U1552" s="84"/>
      <c r="V1552" s="84"/>
      <c r="W1552" s="84"/>
      <c r="X1552" s="84"/>
      <c r="Y1552" s="84"/>
      <c r="Z1552" s="84"/>
      <c r="AA1552" s="84"/>
    </row>
    <row r="1553" ht="15.75" customHeight="1">
      <c r="A1553" s="14" t="s">
        <v>2137</v>
      </c>
      <c r="B1553" s="15" t="s">
        <v>18064</v>
      </c>
      <c r="C1553" s="14" t="s">
        <v>18161</v>
      </c>
      <c r="D1553" s="14" t="s">
        <v>18162</v>
      </c>
      <c r="E1553" s="26" t="str">
        <f t="shared" si="26"/>
        <v>http://dx.doi.org/10.1109/TVCG.2007.70561</v>
      </c>
      <c r="F1553" s="14">
        <v>1184.0</v>
      </c>
      <c r="G1553" s="14">
        <v>1191.0</v>
      </c>
      <c r="H1553" s="14" t="s">
        <v>17059</v>
      </c>
      <c r="I1553" s="19" t="s">
        <v>18163</v>
      </c>
      <c r="J1553" s="19" t="s">
        <v>18164</v>
      </c>
      <c r="K1553" s="19" t="s">
        <v>18164</v>
      </c>
      <c r="L1553" s="18"/>
      <c r="M1553" s="20" t="s">
        <v>18165</v>
      </c>
      <c r="N1553" s="44" t="s">
        <v>18166</v>
      </c>
      <c r="O1553" s="22">
        <v>140.0</v>
      </c>
      <c r="P1553" s="28">
        <v>59.0</v>
      </c>
      <c r="Q1553" s="28">
        <v>24.0</v>
      </c>
      <c r="R1553" s="84"/>
      <c r="S1553" s="84"/>
      <c r="T1553" s="84"/>
      <c r="U1553" s="84"/>
      <c r="V1553" s="84"/>
      <c r="W1553" s="84"/>
      <c r="X1553" s="84"/>
      <c r="Y1553" s="84"/>
      <c r="Z1553" s="84"/>
      <c r="AA1553" s="84"/>
    </row>
    <row r="1554" ht="15.75" customHeight="1">
      <c r="A1554" s="14" t="s">
        <v>2137</v>
      </c>
      <c r="B1554" s="15" t="s">
        <v>18064</v>
      </c>
      <c r="C1554" s="14" t="s">
        <v>18167</v>
      </c>
      <c r="D1554" s="14" t="s">
        <v>18168</v>
      </c>
      <c r="E1554" s="26" t="str">
        <f t="shared" si="26"/>
        <v>http://dx.doi.org/10.1109/TVCG.2007.70568</v>
      </c>
      <c r="F1554" s="14">
        <v>1232.0</v>
      </c>
      <c r="G1554" s="14">
        <v>1239.0</v>
      </c>
      <c r="H1554" s="14" t="s">
        <v>17059</v>
      </c>
      <c r="I1554" s="19" t="s">
        <v>18170</v>
      </c>
      <c r="J1554" s="19" t="s">
        <v>18171</v>
      </c>
      <c r="K1554" s="19" t="s">
        <v>18171</v>
      </c>
      <c r="L1554" s="18"/>
      <c r="M1554" s="20" t="s">
        <v>18172</v>
      </c>
      <c r="N1554" s="44" t="s">
        <v>18173</v>
      </c>
      <c r="O1554" s="22">
        <v>141.0</v>
      </c>
      <c r="P1554" s="28">
        <v>47.0</v>
      </c>
      <c r="Q1554" s="28">
        <v>41.0</v>
      </c>
      <c r="R1554" s="84"/>
      <c r="S1554" s="84"/>
      <c r="T1554" s="84"/>
      <c r="U1554" s="84"/>
      <c r="V1554" s="84"/>
      <c r="W1554" s="84"/>
      <c r="X1554" s="84"/>
      <c r="Y1554" s="84"/>
      <c r="Z1554" s="84"/>
      <c r="AA1554" s="84"/>
    </row>
    <row r="1555" ht="15.75" customHeight="1">
      <c r="A1555" s="14" t="s">
        <v>2137</v>
      </c>
      <c r="B1555" s="15" t="s">
        <v>18064</v>
      </c>
      <c r="C1555" s="14" t="s">
        <v>18175</v>
      </c>
      <c r="D1555" s="14" t="s">
        <v>18176</v>
      </c>
      <c r="E1555" s="26" t="str">
        <f t="shared" si="26"/>
        <v>http://dx.doi.org/10.1109/TVCG.2007.70570</v>
      </c>
      <c r="F1555" s="14">
        <v>1176.0</v>
      </c>
      <c r="G1555" s="14">
        <v>1183.0</v>
      </c>
      <c r="H1555" s="14" t="s">
        <v>17059</v>
      </c>
      <c r="I1555" s="19" t="s">
        <v>18177</v>
      </c>
      <c r="J1555" s="19" t="s">
        <v>18178</v>
      </c>
      <c r="K1555" s="19" t="s">
        <v>18178</v>
      </c>
      <c r="L1555" s="19" t="s">
        <v>18179</v>
      </c>
      <c r="M1555" s="20" t="s">
        <v>18180</v>
      </c>
      <c r="N1555" s="44" t="s">
        <v>18181</v>
      </c>
      <c r="O1555" s="22">
        <v>203.0</v>
      </c>
      <c r="P1555" s="28">
        <v>91.0</v>
      </c>
      <c r="Q1555" s="28">
        <v>40.0</v>
      </c>
      <c r="R1555" s="84"/>
      <c r="S1555" s="84"/>
      <c r="T1555" s="84"/>
      <c r="U1555" s="84"/>
      <c r="V1555" s="84"/>
      <c r="W1555" s="84"/>
      <c r="X1555" s="84"/>
      <c r="Y1555" s="84"/>
      <c r="Z1555" s="84"/>
      <c r="AA1555" s="84"/>
    </row>
    <row r="1556" ht="15.75" customHeight="1">
      <c r="A1556" s="14" t="s">
        <v>2137</v>
      </c>
      <c r="B1556" s="15" t="s">
        <v>18064</v>
      </c>
      <c r="C1556" s="14" t="s">
        <v>18182</v>
      </c>
      <c r="D1556" s="14" t="s">
        <v>18183</v>
      </c>
      <c r="E1556" s="26" t="str">
        <f t="shared" si="26"/>
        <v>http://dx.doi.org/10.1109/TVCG.2007.70574</v>
      </c>
      <c r="F1556" s="14">
        <v>1169.0</v>
      </c>
      <c r="G1556" s="14">
        <v>1175.0</v>
      </c>
      <c r="H1556" s="14" t="s">
        <v>17059</v>
      </c>
      <c r="I1556" s="19" t="s">
        <v>18185</v>
      </c>
      <c r="J1556" s="19" t="s">
        <v>18186</v>
      </c>
      <c r="K1556" s="19" t="s">
        <v>18186</v>
      </c>
      <c r="L1556" s="18"/>
      <c r="M1556" s="20" t="s">
        <v>18187</v>
      </c>
      <c r="N1556" s="44" t="s">
        <v>18189</v>
      </c>
      <c r="O1556" s="22">
        <v>65.0</v>
      </c>
      <c r="P1556" s="28">
        <v>28.0</v>
      </c>
      <c r="Q1556" s="28">
        <v>31.0</v>
      </c>
      <c r="R1556" s="84"/>
      <c r="S1556" s="84"/>
      <c r="T1556" s="84"/>
      <c r="U1556" s="84"/>
      <c r="V1556" s="84"/>
      <c r="W1556" s="84"/>
      <c r="X1556" s="84"/>
      <c r="Y1556" s="84"/>
      <c r="Z1556" s="84"/>
      <c r="AA1556" s="84"/>
    </row>
    <row r="1557" ht="15.75" customHeight="1">
      <c r="A1557" s="14" t="s">
        <v>2137</v>
      </c>
      <c r="B1557" s="15" t="s">
        <v>18064</v>
      </c>
      <c r="C1557" s="14" t="s">
        <v>18190</v>
      </c>
      <c r="D1557" s="14" t="s">
        <v>18191</v>
      </c>
      <c r="E1557" s="26" t="str">
        <f t="shared" si="26"/>
        <v>http://dx.doi.org/10.1109/TVCG.2007.70577</v>
      </c>
      <c r="F1557" s="14">
        <v>1121.0</v>
      </c>
      <c r="G1557" s="14">
        <v>1128.0</v>
      </c>
      <c r="H1557" s="14" t="s">
        <v>17059</v>
      </c>
      <c r="I1557" s="19" t="s">
        <v>18192</v>
      </c>
      <c r="J1557" s="19" t="s">
        <v>18193</v>
      </c>
      <c r="K1557" s="19" t="s">
        <v>18194</v>
      </c>
      <c r="L1557" s="19" t="s">
        <v>17284</v>
      </c>
      <c r="M1557" s="20" t="s">
        <v>18195</v>
      </c>
      <c r="N1557" s="44" t="s">
        <v>18196</v>
      </c>
      <c r="O1557" s="22">
        <v>746.0</v>
      </c>
      <c r="P1557" s="28">
        <v>222.0</v>
      </c>
      <c r="Q1557" s="28">
        <v>30.0</v>
      </c>
      <c r="R1557" s="85" t="s">
        <v>1093</v>
      </c>
      <c r="S1557" s="84"/>
      <c r="T1557" s="84"/>
      <c r="U1557" s="84"/>
      <c r="V1557" s="84"/>
      <c r="W1557" s="84"/>
      <c r="X1557" s="84"/>
      <c r="Y1557" s="84"/>
      <c r="Z1557" s="84"/>
      <c r="AA1557" s="84"/>
    </row>
    <row r="1558" ht="15.75" customHeight="1">
      <c r="A1558" s="14" t="s">
        <v>2137</v>
      </c>
      <c r="B1558" s="15" t="s">
        <v>18064</v>
      </c>
      <c r="C1558" s="14" t="s">
        <v>18197</v>
      </c>
      <c r="D1558" s="14" t="s">
        <v>18198</v>
      </c>
      <c r="E1558" s="26" t="str">
        <f t="shared" si="26"/>
        <v>http://dx.doi.org/10.1109/TVCG.2007.70580</v>
      </c>
      <c r="F1558" s="14">
        <v>1310.0</v>
      </c>
      <c r="G1558" s="14">
        <v>1319.0</v>
      </c>
      <c r="H1558" s="14" t="s">
        <v>17059</v>
      </c>
      <c r="I1558" s="19" t="s">
        <v>18200</v>
      </c>
      <c r="J1558" s="19" t="s">
        <v>14119</v>
      </c>
      <c r="K1558" s="19" t="s">
        <v>14119</v>
      </c>
      <c r="L1558" s="19" t="s">
        <v>18201</v>
      </c>
      <c r="M1558" s="20" t="s">
        <v>14502</v>
      </c>
      <c r="N1558" s="44" t="s">
        <v>18202</v>
      </c>
      <c r="O1558" s="22">
        <v>121.0</v>
      </c>
      <c r="P1558" s="28">
        <v>57.0</v>
      </c>
      <c r="Q1558" s="28">
        <v>41.0</v>
      </c>
      <c r="R1558" s="84"/>
      <c r="S1558" s="84"/>
      <c r="T1558" s="84"/>
      <c r="U1558" s="84"/>
      <c r="V1558" s="84"/>
      <c r="W1558" s="84"/>
      <c r="X1558" s="84"/>
      <c r="Y1558" s="84"/>
      <c r="Z1558" s="84"/>
      <c r="AA1558" s="84"/>
    </row>
    <row r="1559" ht="15.75" customHeight="1">
      <c r="A1559" s="14" t="s">
        <v>2137</v>
      </c>
      <c r="B1559" s="15" t="s">
        <v>18064</v>
      </c>
      <c r="C1559" s="14" t="s">
        <v>18204</v>
      </c>
      <c r="D1559" s="14" t="s">
        <v>18205</v>
      </c>
      <c r="E1559" s="26" t="str">
        <f t="shared" si="26"/>
        <v>http://dx.doi.org/10.1109/TVCG.2007.70582</v>
      </c>
      <c r="F1559" s="14">
        <v>1302.0</v>
      </c>
      <c r="G1559" s="14">
        <v>1309.0</v>
      </c>
      <c r="H1559" s="14" t="s">
        <v>17059</v>
      </c>
      <c r="I1559" s="19" t="s">
        <v>18206</v>
      </c>
      <c r="J1559" s="19" t="s">
        <v>18207</v>
      </c>
      <c r="K1559" s="19" t="s">
        <v>18208</v>
      </c>
      <c r="L1559" s="19" t="s">
        <v>18210</v>
      </c>
      <c r="M1559" s="20" t="s">
        <v>18211</v>
      </c>
      <c r="N1559" s="44" t="s">
        <v>18212</v>
      </c>
      <c r="O1559" s="22">
        <v>419.0</v>
      </c>
      <c r="P1559" s="28">
        <v>201.0</v>
      </c>
      <c r="Q1559" s="28">
        <v>35.0</v>
      </c>
      <c r="R1559" s="84"/>
      <c r="S1559" s="84"/>
      <c r="T1559" s="84"/>
      <c r="U1559" s="84"/>
      <c r="V1559" s="84"/>
      <c r="W1559" s="84"/>
      <c r="X1559" s="84"/>
      <c r="Y1559" s="84"/>
      <c r="Z1559" s="84"/>
      <c r="AA1559" s="84"/>
    </row>
    <row r="1560" ht="15.75" customHeight="1">
      <c r="A1560" s="14" t="s">
        <v>2137</v>
      </c>
      <c r="B1560" s="15" t="s">
        <v>18064</v>
      </c>
      <c r="C1560" s="14" t="s">
        <v>18214</v>
      </c>
      <c r="D1560" s="14" t="s">
        <v>18215</v>
      </c>
      <c r="E1560" s="26" t="str">
        <f t="shared" si="26"/>
        <v>http://dx.doi.org/10.1109/TVCG.2007.70583</v>
      </c>
      <c r="F1560" s="14">
        <v>1278.0</v>
      </c>
      <c r="G1560" s="14">
        <v>1285.0</v>
      </c>
      <c r="H1560" s="14" t="s">
        <v>17059</v>
      </c>
      <c r="I1560" s="19" t="s">
        <v>18216</v>
      </c>
      <c r="J1560" s="19" t="s">
        <v>18217</v>
      </c>
      <c r="K1560" s="19" t="s">
        <v>18217</v>
      </c>
      <c r="L1560" s="19" t="s">
        <v>17284</v>
      </c>
      <c r="M1560" s="20" t="s">
        <v>18218</v>
      </c>
      <c r="N1560" s="44" t="s">
        <v>18219</v>
      </c>
      <c r="O1560" s="22">
        <v>46.0</v>
      </c>
      <c r="P1560" s="28">
        <v>23.0</v>
      </c>
      <c r="Q1560" s="28">
        <v>21.0</v>
      </c>
      <c r="R1560" s="84"/>
      <c r="S1560" s="84"/>
      <c r="T1560" s="84"/>
      <c r="U1560" s="84"/>
      <c r="V1560" s="84"/>
      <c r="W1560" s="84"/>
      <c r="X1560" s="84"/>
      <c r="Y1560" s="84"/>
      <c r="Z1560" s="84"/>
      <c r="AA1560" s="84"/>
    </row>
    <row r="1561" ht="15.75" customHeight="1">
      <c r="A1561" s="14" t="s">
        <v>2137</v>
      </c>
      <c r="B1561" s="15" t="s">
        <v>18064</v>
      </c>
      <c r="C1561" s="14" t="s">
        <v>18220</v>
      </c>
      <c r="D1561" s="14" t="s">
        <v>18221</v>
      </c>
      <c r="E1561" s="26" t="str">
        <f t="shared" si="26"/>
        <v>http://dx.doi.org/10.1109/TVCG.2007.70589</v>
      </c>
      <c r="F1561" s="14">
        <v>1129.0</v>
      </c>
      <c r="G1561" s="14">
        <v>1136.0</v>
      </c>
      <c r="H1561" s="14" t="s">
        <v>17059</v>
      </c>
      <c r="I1561" s="19" t="s">
        <v>18223</v>
      </c>
      <c r="J1561" s="19" t="s">
        <v>18224</v>
      </c>
      <c r="K1561" s="19" t="s">
        <v>18224</v>
      </c>
      <c r="L1561" s="19" t="s">
        <v>18226</v>
      </c>
      <c r="M1561" s="20" t="s">
        <v>4849</v>
      </c>
      <c r="N1561" s="44" t="s">
        <v>18227</v>
      </c>
      <c r="O1561" s="22">
        <v>199.0</v>
      </c>
      <c r="P1561" s="28">
        <v>85.0</v>
      </c>
      <c r="Q1561" s="28">
        <v>22.0</v>
      </c>
      <c r="R1561" s="84"/>
      <c r="S1561" s="84"/>
      <c r="T1561" s="84"/>
      <c r="U1561" s="84"/>
      <c r="V1561" s="84"/>
      <c r="W1561" s="84"/>
      <c r="X1561" s="84"/>
      <c r="Y1561" s="84"/>
      <c r="Z1561" s="84"/>
      <c r="AA1561" s="84"/>
    </row>
    <row r="1562" ht="15.75" customHeight="1">
      <c r="A1562" s="14" t="s">
        <v>2137</v>
      </c>
      <c r="B1562" s="15" t="s">
        <v>18064</v>
      </c>
      <c r="C1562" s="14" t="s">
        <v>18228</v>
      </c>
      <c r="D1562" s="14" t="s">
        <v>18229</v>
      </c>
      <c r="E1562" s="26" t="str">
        <f t="shared" si="26"/>
        <v>http://dx.doi.org/10.1109/TVCG.2007.70592</v>
      </c>
      <c r="F1562" s="14">
        <v>1208.0</v>
      </c>
      <c r="G1562" s="14">
        <v>1215.0</v>
      </c>
      <c r="H1562" s="14" t="s">
        <v>17059</v>
      </c>
      <c r="I1562" s="19" t="s">
        <v>18230</v>
      </c>
      <c r="J1562" s="19" t="s">
        <v>18231</v>
      </c>
      <c r="K1562" s="19" t="s">
        <v>18232</v>
      </c>
      <c r="L1562" s="18"/>
      <c r="M1562" s="20" t="s">
        <v>18233</v>
      </c>
      <c r="N1562" s="44" t="s">
        <v>18234</v>
      </c>
      <c r="O1562" s="22">
        <v>50.0</v>
      </c>
      <c r="P1562" s="28">
        <v>10.0</v>
      </c>
      <c r="Q1562" s="28">
        <v>23.0</v>
      </c>
      <c r="R1562" s="84"/>
      <c r="S1562" s="84"/>
      <c r="T1562" s="84"/>
      <c r="U1562" s="84"/>
      <c r="V1562" s="84"/>
      <c r="W1562" s="84"/>
      <c r="X1562" s="84"/>
      <c r="Y1562" s="84"/>
      <c r="Z1562" s="84"/>
      <c r="AA1562" s="84"/>
    </row>
    <row r="1563" ht="15.75" customHeight="1">
      <c r="A1563" s="14" t="s">
        <v>2137</v>
      </c>
      <c r="B1563" s="15" t="s">
        <v>18064</v>
      </c>
      <c r="C1563" s="14" t="s">
        <v>18235</v>
      </c>
      <c r="D1563" s="14" t="s">
        <v>18236</v>
      </c>
      <c r="E1563" s="26" t="str">
        <f t="shared" si="26"/>
        <v>http://dx.doi.org/10.1109/TVCG.2007.70594</v>
      </c>
      <c r="F1563" s="14">
        <v>1137.0</v>
      </c>
      <c r="G1563" s="14">
        <v>1144.0</v>
      </c>
      <c r="H1563" s="14" t="s">
        <v>17059</v>
      </c>
      <c r="I1563" s="19" t="s">
        <v>18237</v>
      </c>
      <c r="J1563" s="19" t="s">
        <v>18238</v>
      </c>
      <c r="K1563" s="19" t="s">
        <v>18239</v>
      </c>
      <c r="L1563" s="18"/>
      <c r="M1563" s="20" t="s">
        <v>5481</v>
      </c>
      <c r="N1563" s="44" t="s">
        <v>18240</v>
      </c>
      <c r="O1563" s="22">
        <v>250.0</v>
      </c>
      <c r="P1563" s="28">
        <v>104.0</v>
      </c>
      <c r="Q1563" s="28">
        <v>12.0</v>
      </c>
      <c r="R1563" s="84"/>
      <c r="S1563" s="84"/>
      <c r="T1563" s="84"/>
      <c r="U1563" s="84"/>
      <c r="V1563" s="84"/>
      <c r="W1563" s="84"/>
      <c r="X1563" s="84"/>
      <c r="Y1563" s="84"/>
      <c r="Z1563" s="84"/>
      <c r="AA1563" s="84"/>
    </row>
    <row r="1564" ht="15.75" customHeight="1">
      <c r="A1564" s="14" t="s">
        <v>2137</v>
      </c>
      <c r="B1564" s="15" t="s">
        <v>18064</v>
      </c>
      <c r="C1564" s="14" t="s">
        <v>18241</v>
      </c>
      <c r="D1564" s="14" t="s">
        <v>18242</v>
      </c>
      <c r="E1564" s="26" t="str">
        <f t="shared" si="26"/>
        <v>http://dx.doi.org/10.1109/TVCG.2007.70596</v>
      </c>
      <c r="F1564" s="14">
        <v>1262.0</v>
      </c>
      <c r="G1564" s="14">
        <v>1269.0</v>
      </c>
      <c r="H1564" s="14" t="s">
        <v>17059</v>
      </c>
      <c r="I1564" s="19" t="s">
        <v>18243</v>
      </c>
      <c r="J1564" s="19" t="s">
        <v>18244</v>
      </c>
      <c r="K1564" s="19" t="s">
        <v>18245</v>
      </c>
      <c r="L1564" s="19" t="s">
        <v>18246</v>
      </c>
      <c r="M1564" s="20" t="s">
        <v>18247</v>
      </c>
      <c r="N1564" s="44" t="s">
        <v>18248</v>
      </c>
      <c r="O1564" s="22">
        <v>45.0</v>
      </c>
      <c r="P1564" s="28">
        <v>19.0</v>
      </c>
      <c r="Q1564" s="28">
        <v>25.0</v>
      </c>
      <c r="R1564" s="84"/>
      <c r="S1564" s="84"/>
      <c r="T1564" s="84"/>
      <c r="U1564" s="84"/>
      <c r="V1564" s="84"/>
      <c r="W1564" s="84"/>
      <c r="X1564" s="84"/>
      <c r="Y1564" s="84"/>
      <c r="Z1564" s="84"/>
      <c r="AA1564" s="84"/>
    </row>
    <row r="1565" ht="15.75" customHeight="1">
      <c r="A1565" s="14" t="s">
        <v>2137</v>
      </c>
      <c r="B1565" s="15" t="s">
        <v>18064</v>
      </c>
      <c r="C1565" s="14" t="s">
        <v>18249</v>
      </c>
      <c r="D1565" s="14" t="s">
        <v>18250</v>
      </c>
      <c r="E1565" s="26" t="str">
        <f t="shared" si="26"/>
        <v>http://dx.doi.org/10.1109/TVCG.2007.70617</v>
      </c>
      <c r="F1565" s="14">
        <v>1200.0</v>
      </c>
      <c r="G1565" s="14">
        <v>1207.0</v>
      </c>
      <c r="H1565" s="14" t="s">
        <v>17059</v>
      </c>
      <c r="I1565" s="19" t="s">
        <v>18251</v>
      </c>
      <c r="J1565" s="19" t="s">
        <v>18252</v>
      </c>
      <c r="K1565" s="19" t="s">
        <v>18253</v>
      </c>
      <c r="L1565" s="19" t="s">
        <v>18254</v>
      </c>
      <c r="M1565" s="20" t="s">
        <v>18255</v>
      </c>
      <c r="N1565" s="44" t="s">
        <v>18256</v>
      </c>
      <c r="O1565" s="22">
        <v>54.0</v>
      </c>
      <c r="P1565" s="28">
        <v>19.0</v>
      </c>
      <c r="Q1565" s="28">
        <v>45.0</v>
      </c>
      <c r="R1565" s="84"/>
      <c r="S1565" s="84"/>
      <c r="T1565" s="84"/>
      <c r="U1565" s="84"/>
      <c r="V1565" s="84"/>
      <c r="W1565" s="84"/>
      <c r="X1565" s="84"/>
      <c r="Y1565" s="84"/>
      <c r="Z1565" s="84"/>
      <c r="AA1565" s="84"/>
    </row>
    <row r="1566" ht="15.75" customHeight="1">
      <c r="A1566" s="14" t="s">
        <v>2137</v>
      </c>
      <c r="B1566" s="15" t="s">
        <v>18064</v>
      </c>
      <c r="C1566" s="14" t="s">
        <v>18257</v>
      </c>
      <c r="D1566" s="14" t="s">
        <v>18258</v>
      </c>
      <c r="E1566" s="26" t="str">
        <f t="shared" si="26"/>
        <v>http://dx.doi.org/10.1109/TVCG.2007.70621</v>
      </c>
      <c r="F1566" s="14">
        <v>1153.0</v>
      </c>
      <c r="G1566" s="14">
        <v>1160.0</v>
      </c>
      <c r="H1566" s="14" t="s">
        <v>17059</v>
      </c>
      <c r="I1566" s="19" t="s">
        <v>18259</v>
      </c>
      <c r="J1566" s="19" t="s">
        <v>18260</v>
      </c>
      <c r="K1566" s="19" t="s">
        <v>18261</v>
      </c>
      <c r="L1566" s="19" t="s">
        <v>18262</v>
      </c>
      <c r="M1566" s="20" t="s">
        <v>18263</v>
      </c>
      <c r="N1566" s="44" t="s">
        <v>18264</v>
      </c>
      <c r="O1566" s="22">
        <v>72.0</v>
      </c>
      <c r="P1566" s="28">
        <v>31.0</v>
      </c>
      <c r="Q1566" s="28">
        <v>14.0</v>
      </c>
      <c r="R1566" s="85" t="s">
        <v>106</v>
      </c>
      <c r="S1566" s="84"/>
      <c r="T1566" s="84"/>
      <c r="U1566" s="84"/>
      <c r="V1566" s="84"/>
      <c r="W1566" s="84"/>
      <c r="X1566" s="84"/>
      <c r="Y1566" s="84"/>
      <c r="Z1566" s="84"/>
      <c r="AA1566" s="84"/>
    </row>
    <row r="1567" ht="15.75" customHeight="1">
      <c r="A1567" s="14" t="s">
        <v>2137</v>
      </c>
      <c r="B1567" s="15" t="s">
        <v>18064</v>
      </c>
      <c r="C1567" s="14" t="s">
        <v>18265</v>
      </c>
      <c r="D1567" s="14" t="s">
        <v>18266</v>
      </c>
      <c r="E1567" s="26" t="str">
        <f t="shared" si="26"/>
        <v>http://dx.doi.org/10.1109/TVCG.2007.70623</v>
      </c>
      <c r="F1567" s="14">
        <v>1270.0</v>
      </c>
      <c r="G1567" s="14">
        <v>1277.0</v>
      </c>
      <c r="H1567" s="14" t="s">
        <v>17059</v>
      </c>
      <c r="I1567" s="19" t="s">
        <v>18267</v>
      </c>
      <c r="J1567" s="19" t="s">
        <v>18268</v>
      </c>
      <c r="K1567" s="19" t="s">
        <v>18269</v>
      </c>
      <c r="L1567" s="19" t="s">
        <v>18270</v>
      </c>
      <c r="M1567" s="20" t="s">
        <v>18271</v>
      </c>
      <c r="N1567" s="44" t="s">
        <v>18272</v>
      </c>
      <c r="O1567" s="22">
        <v>50.0</v>
      </c>
      <c r="P1567" s="28">
        <v>30.0</v>
      </c>
      <c r="Q1567" s="28">
        <v>14.0</v>
      </c>
      <c r="R1567" s="84"/>
      <c r="S1567" s="84"/>
      <c r="T1567" s="84"/>
      <c r="U1567" s="84"/>
      <c r="V1567" s="84"/>
      <c r="W1567" s="84"/>
      <c r="X1567" s="84"/>
      <c r="Y1567" s="84"/>
      <c r="Z1567" s="84"/>
      <c r="AA1567" s="84"/>
    </row>
    <row r="1568" ht="15.75" customHeight="1">
      <c r="A1568" s="14" t="s">
        <v>120</v>
      </c>
      <c r="B1568" s="15" t="s">
        <v>18064</v>
      </c>
      <c r="C1568" s="14" t="s">
        <v>18273</v>
      </c>
      <c r="D1568" s="14" t="s">
        <v>18274</v>
      </c>
      <c r="E1568" s="26" t="str">
        <f t="shared" si="26"/>
        <v>http://dx.doi.org/10.1109/VAST.2007.4388989</v>
      </c>
      <c r="F1568" s="14" t="s">
        <v>18275</v>
      </c>
      <c r="G1568" s="14" t="s">
        <v>18275</v>
      </c>
      <c r="H1568" s="14" t="s">
        <v>21</v>
      </c>
      <c r="I1568" s="19" t="s">
        <v>18276</v>
      </c>
      <c r="J1568" s="19" t="s">
        <v>18277</v>
      </c>
      <c r="K1568" s="19" t="s">
        <v>18277</v>
      </c>
      <c r="L1568" s="19" t="s">
        <v>18278</v>
      </c>
      <c r="M1568" s="20"/>
      <c r="N1568" s="27"/>
      <c r="O1568" s="109"/>
      <c r="P1568" s="28">
        <v>1.0</v>
      </c>
      <c r="Q1568" s="28">
        <v>0.0</v>
      </c>
      <c r="R1568" s="84"/>
      <c r="S1568" s="84"/>
      <c r="T1568" s="84"/>
      <c r="U1568" s="84"/>
      <c r="V1568" s="84"/>
      <c r="W1568" s="84"/>
      <c r="X1568" s="84"/>
      <c r="Y1568" s="84"/>
      <c r="Z1568" s="84"/>
      <c r="AA1568" s="84"/>
    </row>
    <row r="1569" ht="15.75" customHeight="1">
      <c r="A1569" s="14" t="s">
        <v>120</v>
      </c>
      <c r="B1569" s="15" t="s">
        <v>18064</v>
      </c>
      <c r="C1569" s="14" t="s">
        <v>18279</v>
      </c>
      <c r="D1569" s="14" t="s">
        <v>18280</v>
      </c>
      <c r="E1569" s="26" t="str">
        <f t="shared" si="26"/>
        <v>http://dx.doi.org/10.1109/VAST.2007.4388990</v>
      </c>
      <c r="F1569" s="14">
        <v>3.0</v>
      </c>
      <c r="G1569" s="14">
        <v>10.0</v>
      </c>
      <c r="H1569" s="14" t="s">
        <v>28</v>
      </c>
      <c r="I1569" s="19" t="s">
        <v>18281</v>
      </c>
      <c r="J1569" s="19" t="s">
        <v>18282</v>
      </c>
      <c r="K1569" s="19" t="s">
        <v>18283</v>
      </c>
      <c r="L1569" s="19" t="s">
        <v>18284</v>
      </c>
      <c r="M1569" s="20" t="s">
        <v>18001</v>
      </c>
      <c r="N1569" s="44" t="s">
        <v>18285</v>
      </c>
      <c r="O1569" s="22">
        <v>28.0</v>
      </c>
      <c r="P1569" s="28">
        <v>7.0</v>
      </c>
      <c r="Q1569" s="28">
        <v>29.0</v>
      </c>
      <c r="R1569" s="84"/>
      <c r="S1569" s="84"/>
      <c r="T1569" s="84"/>
      <c r="U1569" s="84"/>
      <c r="V1569" s="84"/>
      <c r="W1569" s="84"/>
      <c r="X1569" s="84"/>
      <c r="Y1569" s="84"/>
      <c r="Z1569" s="84"/>
      <c r="AA1569" s="84"/>
    </row>
    <row r="1570" ht="15.75" customHeight="1">
      <c r="A1570" s="14" t="s">
        <v>120</v>
      </c>
      <c r="B1570" s="15" t="s">
        <v>18064</v>
      </c>
      <c r="C1570" s="14" t="s">
        <v>18286</v>
      </c>
      <c r="D1570" s="14" t="s">
        <v>18287</v>
      </c>
      <c r="E1570" s="26" t="str">
        <f t="shared" si="26"/>
        <v>http://dx.doi.org/10.1109/VAST.2007.4388991</v>
      </c>
      <c r="F1570" s="14">
        <v>11.0</v>
      </c>
      <c r="G1570" s="14">
        <v>18.0</v>
      </c>
      <c r="H1570" s="14" t="s">
        <v>28</v>
      </c>
      <c r="I1570" s="19" t="s">
        <v>18288</v>
      </c>
      <c r="J1570" s="19" t="s">
        <v>18289</v>
      </c>
      <c r="K1570" s="19" t="s">
        <v>18289</v>
      </c>
      <c r="L1570" s="19" t="s">
        <v>18290</v>
      </c>
      <c r="M1570" s="20"/>
      <c r="N1570" s="44" t="s">
        <v>18291</v>
      </c>
      <c r="O1570" s="22">
        <v>18.0</v>
      </c>
      <c r="P1570" s="28">
        <v>8.0</v>
      </c>
      <c r="Q1570" s="28">
        <v>0.0</v>
      </c>
      <c r="R1570" s="84"/>
      <c r="S1570" s="84"/>
      <c r="T1570" s="84"/>
      <c r="U1570" s="84"/>
      <c r="V1570" s="84"/>
      <c r="W1570" s="84"/>
      <c r="X1570" s="84"/>
      <c r="Y1570" s="84"/>
      <c r="Z1570" s="84"/>
      <c r="AA1570" s="84"/>
    </row>
    <row r="1571" ht="15.75" customHeight="1">
      <c r="A1571" s="14" t="s">
        <v>120</v>
      </c>
      <c r="B1571" s="15" t="s">
        <v>18064</v>
      </c>
      <c r="C1571" s="14" t="s">
        <v>18292</v>
      </c>
      <c r="D1571" s="14" t="s">
        <v>18293</v>
      </c>
      <c r="E1571" s="26" t="str">
        <f t="shared" si="26"/>
        <v>http://dx.doi.org/10.1109/VAST.2007.4388992</v>
      </c>
      <c r="F1571" s="14">
        <v>19.0</v>
      </c>
      <c r="G1571" s="14">
        <v>26.0</v>
      </c>
      <c r="H1571" s="14" t="s">
        <v>28</v>
      </c>
      <c r="I1571" s="19" t="s">
        <v>18294</v>
      </c>
      <c r="J1571" s="19" t="s">
        <v>18295</v>
      </c>
      <c r="K1571" s="19" t="s">
        <v>18296</v>
      </c>
      <c r="L1571" s="19" t="s">
        <v>18297</v>
      </c>
      <c r="M1571" s="20" t="s">
        <v>18298</v>
      </c>
      <c r="N1571" s="44" t="s">
        <v>18299</v>
      </c>
      <c r="O1571" s="22">
        <v>134.0</v>
      </c>
      <c r="P1571" s="28">
        <v>24.0</v>
      </c>
      <c r="Q1571" s="28">
        <v>19.0</v>
      </c>
      <c r="R1571" s="84"/>
      <c r="S1571" s="84"/>
      <c r="T1571" s="84"/>
      <c r="U1571" s="84"/>
      <c r="V1571" s="84"/>
      <c r="W1571" s="84"/>
      <c r="X1571" s="84"/>
      <c r="Y1571" s="84"/>
      <c r="Z1571" s="84"/>
      <c r="AA1571" s="84"/>
    </row>
    <row r="1572" ht="15.75" customHeight="1">
      <c r="A1572" s="14" t="s">
        <v>120</v>
      </c>
      <c r="B1572" s="15" t="s">
        <v>18064</v>
      </c>
      <c r="C1572" s="14" t="s">
        <v>18300</v>
      </c>
      <c r="D1572" s="14" t="s">
        <v>18301</v>
      </c>
      <c r="E1572" s="26" t="str">
        <f t="shared" si="26"/>
        <v>http://dx.doi.org/10.1109/VAST.2007.4388993</v>
      </c>
      <c r="F1572" s="14">
        <v>27.0</v>
      </c>
      <c r="G1572" s="14">
        <v>34.0</v>
      </c>
      <c r="H1572" s="14" t="s">
        <v>28</v>
      </c>
      <c r="I1572" s="19" t="s">
        <v>18302</v>
      </c>
      <c r="J1572" s="19" t="s">
        <v>18303</v>
      </c>
      <c r="K1572" s="19" t="s">
        <v>18303</v>
      </c>
      <c r="L1572" s="19" t="s">
        <v>18304</v>
      </c>
      <c r="M1572" s="20"/>
      <c r="N1572" s="27"/>
      <c r="O1572" s="22">
        <v>50.0</v>
      </c>
      <c r="P1572" s="28">
        <v>8.0</v>
      </c>
      <c r="Q1572" s="28">
        <v>27.0</v>
      </c>
      <c r="R1572" s="84"/>
      <c r="S1572" s="84"/>
      <c r="T1572" s="84"/>
      <c r="U1572" s="84"/>
      <c r="V1572" s="84"/>
      <c r="W1572" s="84"/>
      <c r="X1572" s="84"/>
      <c r="Y1572" s="84"/>
      <c r="Z1572" s="84"/>
      <c r="AA1572" s="84"/>
    </row>
    <row r="1573" ht="15.75" customHeight="1">
      <c r="A1573" s="14" t="s">
        <v>120</v>
      </c>
      <c r="B1573" s="15" t="s">
        <v>18064</v>
      </c>
      <c r="C1573" s="14" t="s">
        <v>18306</v>
      </c>
      <c r="D1573" s="14" t="s">
        <v>18307</v>
      </c>
      <c r="E1573" s="26" t="str">
        <f t="shared" si="26"/>
        <v>http://dx.doi.org/10.1109/VAST.2007.4388994</v>
      </c>
      <c r="F1573" s="14">
        <v>35.0</v>
      </c>
      <c r="G1573" s="14">
        <v>42.0</v>
      </c>
      <c r="H1573" s="14" t="s">
        <v>28</v>
      </c>
      <c r="I1573" s="19" t="s">
        <v>18309</v>
      </c>
      <c r="J1573" s="19" t="s">
        <v>18310</v>
      </c>
      <c r="K1573" s="19" t="s">
        <v>18311</v>
      </c>
      <c r="L1573" s="19" t="s">
        <v>18312</v>
      </c>
      <c r="M1573" s="20" t="s">
        <v>17534</v>
      </c>
      <c r="N1573" s="44" t="s">
        <v>18313</v>
      </c>
      <c r="O1573" s="22">
        <v>50.0</v>
      </c>
      <c r="P1573" s="28">
        <v>21.0</v>
      </c>
      <c r="Q1573" s="28">
        <v>20.0</v>
      </c>
      <c r="R1573" s="84"/>
      <c r="S1573" s="84"/>
      <c r="T1573" s="84"/>
      <c r="U1573" s="84"/>
      <c r="V1573" s="84"/>
      <c r="W1573" s="84"/>
      <c r="X1573" s="84"/>
      <c r="Y1573" s="84"/>
      <c r="Z1573" s="84"/>
      <c r="AA1573" s="84"/>
    </row>
    <row r="1574" ht="15.75" customHeight="1">
      <c r="A1574" s="14" t="s">
        <v>120</v>
      </c>
      <c r="B1574" s="15" t="s">
        <v>18064</v>
      </c>
      <c r="C1574" s="14" t="s">
        <v>18314</v>
      </c>
      <c r="D1574" s="14" t="s">
        <v>18315</v>
      </c>
      <c r="E1574" s="26" t="str">
        <f t="shared" si="26"/>
        <v>http://dx.doi.org/10.1109/VAST.2007.4388995</v>
      </c>
      <c r="F1574" s="14">
        <v>43.0</v>
      </c>
      <c r="G1574" s="14">
        <v>50.0</v>
      </c>
      <c r="H1574" s="14" t="s">
        <v>28</v>
      </c>
      <c r="I1574" s="19" t="s">
        <v>18316</v>
      </c>
      <c r="J1574" s="19" t="s">
        <v>18317</v>
      </c>
      <c r="K1574" s="19" t="s">
        <v>18318</v>
      </c>
      <c r="L1574" s="19" t="s">
        <v>18319</v>
      </c>
      <c r="M1574" s="20"/>
      <c r="N1574" s="44" t="s">
        <v>18320</v>
      </c>
      <c r="O1574" s="22">
        <v>50.0</v>
      </c>
      <c r="P1574" s="28">
        <v>2.0</v>
      </c>
      <c r="Q1574" s="28">
        <v>16.0</v>
      </c>
      <c r="R1574" s="84"/>
      <c r="S1574" s="84"/>
      <c r="T1574" s="84"/>
      <c r="U1574" s="84"/>
      <c r="V1574" s="84"/>
      <c r="W1574" s="84"/>
      <c r="X1574" s="84"/>
      <c r="Y1574" s="84"/>
      <c r="Z1574" s="84"/>
      <c r="AA1574" s="84"/>
    </row>
    <row r="1575" ht="15.75" customHeight="1">
      <c r="A1575" s="14" t="s">
        <v>120</v>
      </c>
      <c r="B1575" s="15" t="s">
        <v>18064</v>
      </c>
      <c r="C1575" s="14" t="s">
        <v>18322</v>
      </c>
      <c r="D1575" s="14" t="s">
        <v>18323</v>
      </c>
      <c r="E1575" s="26" t="str">
        <f t="shared" si="26"/>
        <v>http://dx.doi.org/10.1109/VAST.2007.4388996</v>
      </c>
      <c r="F1575" s="14">
        <v>51.0</v>
      </c>
      <c r="G1575" s="14">
        <v>58.0</v>
      </c>
      <c r="H1575" s="14" t="s">
        <v>28</v>
      </c>
      <c r="I1575" s="19" t="s">
        <v>18325</v>
      </c>
      <c r="J1575" s="19" t="s">
        <v>18326</v>
      </c>
      <c r="K1575" s="19" t="s">
        <v>18326</v>
      </c>
      <c r="L1575" s="19" t="s">
        <v>18327</v>
      </c>
      <c r="M1575" s="20"/>
      <c r="N1575" s="44" t="s">
        <v>18328</v>
      </c>
      <c r="O1575" s="109"/>
      <c r="P1575" s="28">
        <v>13.0</v>
      </c>
      <c r="Q1575" s="28">
        <v>9.0</v>
      </c>
      <c r="R1575" s="84"/>
      <c r="S1575" s="84"/>
      <c r="T1575" s="84"/>
      <c r="U1575" s="84"/>
      <c r="V1575" s="84"/>
      <c r="W1575" s="84"/>
      <c r="X1575" s="84"/>
      <c r="Y1575" s="84"/>
      <c r="Z1575" s="84"/>
      <c r="AA1575" s="84"/>
    </row>
    <row r="1576" ht="15.75" customHeight="1">
      <c r="A1576" s="14" t="s">
        <v>120</v>
      </c>
      <c r="B1576" s="15" t="s">
        <v>18064</v>
      </c>
      <c r="C1576" s="14" t="s">
        <v>18329</v>
      </c>
      <c r="D1576" s="14" t="s">
        <v>18330</v>
      </c>
      <c r="E1576" s="26" t="str">
        <f t="shared" si="26"/>
        <v>http://dx.doi.org/10.1109/VAST.2007.4388997</v>
      </c>
      <c r="F1576" s="14">
        <v>59.0</v>
      </c>
      <c r="G1576" s="14">
        <v>66.0</v>
      </c>
      <c r="H1576" s="14" t="s">
        <v>28</v>
      </c>
      <c r="I1576" s="19" t="s">
        <v>18331</v>
      </c>
      <c r="J1576" s="19" t="s">
        <v>18332</v>
      </c>
      <c r="K1576" s="19" t="s">
        <v>18333</v>
      </c>
      <c r="L1576" s="19" t="s">
        <v>18334</v>
      </c>
      <c r="M1576" s="20"/>
      <c r="N1576" s="44" t="s">
        <v>18335</v>
      </c>
      <c r="O1576" s="22">
        <v>9.0</v>
      </c>
      <c r="P1576" s="28">
        <v>4.0</v>
      </c>
      <c r="Q1576" s="28">
        <v>18.0</v>
      </c>
      <c r="R1576" s="84"/>
      <c r="S1576" s="84"/>
      <c r="T1576" s="84"/>
      <c r="U1576" s="84"/>
      <c r="V1576" s="84"/>
      <c r="W1576" s="84"/>
      <c r="X1576" s="84"/>
      <c r="Y1576" s="84"/>
      <c r="Z1576" s="84"/>
      <c r="AA1576" s="84"/>
    </row>
    <row r="1577" ht="15.75" customHeight="1">
      <c r="A1577" s="14" t="s">
        <v>120</v>
      </c>
      <c r="B1577" s="15" t="s">
        <v>18064</v>
      </c>
      <c r="C1577" s="14" t="s">
        <v>18337</v>
      </c>
      <c r="D1577" s="14" t="s">
        <v>18338</v>
      </c>
      <c r="E1577" s="26" t="str">
        <f t="shared" si="26"/>
        <v>http://dx.doi.org/10.1109/VAST.2007.4388998</v>
      </c>
      <c r="F1577" s="14">
        <v>67.0</v>
      </c>
      <c r="G1577" s="14">
        <v>74.0</v>
      </c>
      <c r="H1577" s="14" t="s">
        <v>28</v>
      </c>
      <c r="I1577" s="19" t="s">
        <v>18340</v>
      </c>
      <c r="J1577" s="19" t="s">
        <v>18341</v>
      </c>
      <c r="K1577" s="19" t="s">
        <v>18341</v>
      </c>
      <c r="L1577" s="19" t="s">
        <v>18342</v>
      </c>
      <c r="M1577" s="20" t="s">
        <v>18343</v>
      </c>
      <c r="N1577" s="44" t="s">
        <v>18344</v>
      </c>
      <c r="O1577" s="22">
        <v>27.0</v>
      </c>
      <c r="P1577" s="28">
        <v>9.0</v>
      </c>
      <c r="Q1577" s="28">
        <v>9.0</v>
      </c>
      <c r="R1577" s="84"/>
      <c r="S1577" s="84"/>
      <c r="T1577" s="84"/>
      <c r="U1577" s="84"/>
      <c r="V1577" s="84"/>
      <c r="W1577" s="84"/>
      <c r="X1577" s="84"/>
      <c r="Y1577" s="84"/>
      <c r="Z1577" s="84"/>
      <c r="AA1577" s="84"/>
    </row>
    <row r="1578" ht="15.75" customHeight="1">
      <c r="A1578" s="14" t="s">
        <v>120</v>
      </c>
      <c r="B1578" s="15" t="s">
        <v>18064</v>
      </c>
      <c r="C1578" s="14" t="s">
        <v>18345</v>
      </c>
      <c r="D1578" s="14" t="s">
        <v>18346</v>
      </c>
      <c r="E1578" s="26" t="str">
        <f t="shared" si="26"/>
        <v>http://dx.doi.org/10.1109/VAST.2007.4388999</v>
      </c>
      <c r="F1578" s="14">
        <v>75.0</v>
      </c>
      <c r="G1578" s="14">
        <v>82.0</v>
      </c>
      <c r="H1578" s="14" t="s">
        <v>28</v>
      </c>
      <c r="I1578" s="19" t="s">
        <v>18348</v>
      </c>
      <c r="J1578" s="19" t="s">
        <v>18349</v>
      </c>
      <c r="K1578" s="19" t="s">
        <v>18349</v>
      </c>
      <c r="L1578" s="19" t="s">
        <v>18350</v>
      </c>
      <c r="M1578" s="20" t="s">
        <v>18351</v>
      </c>
      <c r="N1578" s="44" t="s">
        <v>18353</v>
      </c>
      <c r="O1578" s="22">
        <v>53.0</v>
      </c>
      <c r="P1578" s="28">
        <v>27.0</v>
      </c>
      <c r="Q1578" s="28">
        <v>28.0</v>
      </c>
      <c r="R1578" s="84"/>
      <c r="S1578" s="84"/>
      <c r="T1578" s="84"/>
      <c r="U1578" s="84"/>
      <c r="V1578" s="84"/>
      <c r="W1578" s="84"/>
      <c r="X1578" s="84"/>
      <c r="Y1578" s="84"/>
      <c r="Z1578" s="84"/>
      <c r="AA1578" s="84"/>
    </row>
    <row r="1579" ht="15.75" customHeight="1">
      <c r="A1579" s="14" t="s">
        <v>120</v>
      </c>
      <c r="B1579" s="15" t="s">
        <v>18064</v>
      </c>
      <c r="C1579" s="14" t="s">
        <v>18354</v>
      </c>
      <c r="D1579" s="14" t="s">
        <v>18355</v>
      </c>
      <c r="E1579" s="26" t="str">
        <f t="shared" si="26"/>
        <v>http://dx.doi.org/10.1109/VAST.2007.4389000</v>
      </c>
      <c r="F1579" s="14">
        <v>83.0</v>
      </c>
      <c r="G1579" s="14">
        <v>90.0</v>
      </c>
      <c r="H1579" s="14" t="s">
        <v>28</v>
      </c>
      <c r="I1579" s="19" t="s">
        <v>18356</v>
      </c>
      <c r="J1579" s="19" t="s">
        <v>18357</v>
      </c>
      <c r="K1579" s="19" t="s">
        <v>18357</v>
      </c>
      <c r="L1579" s="19" t="s">
        <v>18358</v>
      </c>
      <c r="M1579" s="20" t="s">
        <v>18359</v>
      </c>
      <c r="N1579" s="44" t="s">
        <v>18360</v>
      </c>
      <c r="O1579" s="22">
        <v>50.0</v>
      </c>
      <c r="P1579" s="28">
        <v>8.0</v>
      </c>
      <c r="Q1579" s="28">
        <v>27.0</v>
      </c>
      <c r="R1579" s="84"/>
      <c r="S1579" s="84"/>
      <c r="T1579" s="84"/>
      <c r="U1579" s="84"/>
      <c r="V1579" s="84"/>
      <c r="W1579" s="84"/>
      <c r="X1579" s="84"/>
      <c r="Y1579" s="84"/>
      <c r="Z1579" s="84"/>
      <c r="AA1579" s="84"/>
    </row>
    <row r="1580" ht="15.75" customHeight="1">
      <c r="A1580" s="14" t="s">
        <v>120</v>
      </c>
      <c r="B1580" s="15" t="s">
        <v>18064</v>
      </c>
      <c r="C1580" s="14" t="s">
        <v>18361</v>
      </c>
      <c r="D1580" s="14" t="s">
        <v>18362</v>
      </c>
      <c r="E1580" s="26" t="str">
        <f t="shared" si="26"/>
        <v>http://dx.doi.org/10.1109/VAST.2007.4389001</v>
      </c>
      <c r="F1580" s="14">
        <v>91.0</v>
      </c>
      <c r="G1580" s="14">
        <v>98.0</v>
      </c>
      <c r="H1580" s="14" t="s">
        <v>28</v>
      </c>
      <c r="I1580" s="19" t="s">
        <v>18365</v>
      </c>
      <c r="J1580" s="19" t="s">
        <v>18366</v>
      </c>
      <c r="K1580" s="19" t="s">
        <v>18367</v>
      </c>
      <c r="L1580" s="19" t="s">
        <v>18368</v>
      </c>
      <c r="M1580" s="20" t="s">
        <v>18369</v>
      </c>
      <c r="N1580" s="44" t="s">
        <v>18370</v>
      </c>
      <c r="O1580" s="22">
        <v>60.0</v>
      </c>
      <c r="P1580" s="28">
        <v>20.0</v>
      </c>
      <c r="Q1580" s="28">
        <v>18.0</v>
      </c>
      <c r="R1580" s="84"/>
      <c r="S1580" s="84"/>
      <c r="T1580" s="84"/>
      <c r="U1580" s="84"/>
      <c r="V1580" s="84"/>
      <c r="W1580" s="84"/>
      <c r="X1580" s="84"/>
      <c r="Y1580" s="84"/>
      <c r="Z1580" s="84"/>
      <c r="AA1580" s="84"/>
    </row>
    <row r="1581" ht="15.75" customHeight="1">
      <c r="A1581" s="14" t="s">
        <v>120</v>
      </c>
      <c r="B1581" s="15" t="s">
        <v>18064</v>
      </c>
      <c r="C1581" s="14" t="s">
        <v>18371</v>
      </c>
      <c r="D1581" s="14" t="s">
        <v>18372</v>
      </c>
      <c r="E1581" s="26" t="str">
        <f t="shared" si="26"/>
        <v>http://dx.doi.org/10.1109/VAST.2007.4389002</v>
      </c>
      <c r="F1581" s="14">
        <v>99.0</v>
      </c>
      <c r="G1581" s="14">
        <v>106.0</v>
      </c>
      <c r="H1581" s="14" t="s">
        <v>28</v>
      </c>
      <c r="I1581" s="19" t="s">
        <v>18373</v>
      </c>
      <c r="J1581" s="19" t="s">
        <v>18374</v>
      </c>
      <c r="K1581" s="19" t="s">
        <v>18375</v>
      </c>
      <c r="L1581" s="19" t="s">
        <v>18376</v>
      </c>
      <c r="M1581" s="20" t="s">
        <v>18377</v>
      </c>
      <c r="N1581" s="44" t="s">
        <v>18378</v>
      </c>
      <c r="O1581" s="22">
        <v>50.0</v>
      </c>
      <c r="P1581" s="28">
        <v>20.0</v>
      </c>
      <c r="Q1581" s="28">
        <v>29.0</v>
      </c>
      <c r="R1581" s="84"/>
      <c r="S1581" s="84"/>
      <c r="T1581" s="84"/>
      <c r="U1581" s="84"/>
      <c r="V1581" s="84"/>
      <c r="W1581" s="84"/>
      <c r="X1581" s="84"/>
      <c r="Y1581" s="84"/>
      <c r="Z1581" s="84"/>
      <c r="AA1581" s="84"/>
    </row>
    <row r="1582" ht="15.75" customHeight="1">
      <c r="A1582" s="14" t="s">
        <v>120</v>
      </c>
      <c r="B1582" s="15" t="s">
        <v>18064</v>
      </c>
      <c r="C1582" s="14" t="s">
        <v>18379</v>
      </c>
      <c r="D1582" s="14" t="s">
        <v>18380</v>
      </c>
      <c r="E1582" s="26" t="str">
        <f t="shared" si="26"/>
        <v>http://dx.doi.org/10.1109/VAST.2007.4389003</v>
      </c>
      <c r="F1582" s="14">
        <v>107.0</v>
      </c>
      <c r="G1582" s="14">
        <v>114.0</v>
      </c>
      <c r="H1582" s="14" t="s">
        <v>28</v>
      </c>
      <c r="I1582" s="19" t="s">
        <v>18381</v>
      </c>
      <c r="J1582" s="19" t="s">
        <v>17528</v>
      </c>
      <c r="K1582" s="19" t="s">
        <v>17529</v>
      </c>
      <c r="L1582" s="19" t="s">
        <v>18382</v>
      </c>
      <c r="M1582" s="20" t="s">
        <v>18383</v>
      </c>
      <c r="N1582" s="44" t="s">
        <v>18384</v>
      </c>
      <c r="O1582" s="22">
        <v>23.0</v>
      </c>
      <c r="P1582" s="28">
        <v>9.0</v>
      </c>
      <c r="Q1582" s="28">
        <v>16.0</v>
      </c>
      <c r="R1582" s="84"/>
      <c r="S1582" s="84"/>
      <c r="T1582" s="84"/>
      <c r="U1582" s="84"/>
      <c r="V1582" s="84"/>
      <c r="W1582" s="84"/>
      <c r="X1582" s="84"/>
      <c r="Y1582" s="84"/>
      <c r="Z1582" s="84"/>
      <c r="AA1582" s="84"/>
    </row>
    <row r="1583" ht="15.75" customHeight="1">
      <c r="A1583" s="14" t="s">
        <v>120</v>
      </c>
      <c r="B1583" s="15" t="s">
        <v>18064</v>
      </c>
      <c r="C1583" s="14" t="s">
        <v>18385</v>
      </c>
      <c r="D1583" s="14" t="s">
        <v>18386</v>
      </c>
      <c r="E1583" s="118" t="str">
        <f t="shared" si="26"/>
        <v>http://dx.doi.org/10.1109/VAST.2007.4389004</v>
      </c>
      <c r="F1583" s="14">
        <v>115.0</v>
      </c>
      <c r="G1583" s="14">
        <v>122.0</v>
      </c>
      <c r="H1583" s="14" t="s">
        <v>28</v>
      </c>
      <c r="I1583" s="19" t="s">
        <v>18387</v>
      </c>
      <c r="J1583" s="19" t="s">
        <v>18388</v>
      </c>
      <c r="K1583" s="19" t="s">
        <v>18388</v>
      </c>
      <c r="L1583" s="19" t="s">
        <v>18389</v>
      </c>
      <c r="M1583" s="20"/>
      <c r="N1583" s="44" t="s">
        <v>18390</v>
      </c>
      <c r="O1583" s="22">
        <v>97.0</v>
      </c>
      <c r="P1583" s="28">
        <v>29.0</v>
      </c>
      <c r="Q1583" s="28">
        <v>13.0</v>
      </c>
      <c r="R1583" s="84"/>
      <c r="S1583" s="84"/>
      <c r="T1583" s="84"/>
      <c r="U1583" s="84"/>
      <c r="V1583" s="84"/>
      <c r="W1583" s="84"/>
      <c r="X1583" s="84"/>
      <c r="Y1583" s="84"/>
      <c r="Z1583" s="84"/>
      <c r="AA1583" s="84"/>
    </row>
    <row r="1584" ht="15.75" customHeight="1">
      <c r="A1584" s="14" t="s">
        <v>120</v>
      </c>
      <c r="B1584" s="15" t="s">
        <v>18064</v>
      </c>
      <c r="C1584" s="14" t="s">
        <v>18391</v>
      </c>
      <c r="D1584" s="14" t="s">
        <v>18392</v>
      </c>
      <c r="E1584" s="26" t="str">
        <f t="shared" si="26"/>
        <v>http://dx.doi.org/10.1109/VAST.2007.4389005</v>
      </c>
      <c r="F1584" s="14">
        <v>123.0</v>
      </c>
      <c r="G1584" s="14">
        <v>130.0</v>
      </c>
      <c r="H1584" s="14" t="s">
        <v>28</v>
      </c>
      <c r="I1584" s="19" t="s">
        <v>18393</v>
      </c>
      <c r="J1584" s="19" t="s">
        <v>18394</v>
      </c>
      <c r="K1584" s="19" t="s">
        <v>18395</v>
      </c>
      <c r="L1584" s="19" t="s">
        <v>18396</v>
      </c>
      <c r="M1584" s="20" t="s">
        <v>18397</v>
      </c>
      <c r="N1584" s="44" t="s">
        <v>18398</v>
      </c>
      <c r="O1584" s="22">
        <v>34.0</v>
      </c>
      <c r="P1584" s="28">
        <v>10.0</v>
      </c>
      <c r="Q1584" s="28">
        <v>16.0</v>
      </c>
      <c r="R1584" s="84"/>
      <c r="S1584" s="84"/>
      <c r="T1584" s="84"/>
      <c r="U1584" s="84"/>
      <c r="V1584" s="84"/>
      <c r="W1584" s="84"/>
      <c r="X1584" s="84"/>
      <c r="Y1584" s="84"/>
      <c r="Z1584" s="84"/>
      <c r="AA1584" s="84"/>
    </row>
    <row r="1585" ht="15.75" customHeight="1">
      <c r="A1585" s="14" t="s">
        <v>120</v>
      </c>
      <c r="B1585" s="15" t="s">
        <v>18064</v>
      </c>
      <c r="C1585" s="14" t="s">
        <v>18399</v>
      </c>
      <c r="D1585" s="14" t="s">
        <v>18400</v>
      </c>
      <c r="E1585" s="26" t="str">
        <f t="shared" si="26"/>
        <v>http://dx.doi.org/10.1109/VAST.2007.4389006</v>
      </c>
      <c r="F1585" s="14">
        <v>131.0</v>
      </c>
      <c r="G1585" s="14">
        <v>138.0</v>
      </c>
      <c r="H1585" s="14" t="s">
        <v>28</v>
      </c>
      <c r="I1585" s="19" t="s">
        <v>18401</v>
      </c>
      <c r="J1585" s="19" t="s">
        <v>18402</v>
      </c>
      <c r="K1585" s="19" t="s">
        <v>18403</v>
      </c>
      <c r="L1585" s="19" t="s">
        <v>18404</v>
      </c>
      <c r="M1585" s="20" t="s">
        <v>18405</v>
      </c>
      <c r="N1585" s="44" t="s">
        <v>18406</v>
      </c>
      <c r="O1585" s="22">
        <v>438.0</v>
      </c>
      <c r="P1585" s="28">
        <v>54.0</v>
      </c>
      <c r="Q1585" s="28">
        <v>24.0</v>
      </c>
      <c r="R1585" s="85" t="s">
        <v>1093</v>
      </c>
      <c r="S1585" s="84"/>
      <c r="T1585" s="84"/>
      <c r="U1585" s="84"/>
      <c r="V1585" s="84"/>
      <c r="W1585" s="84"/>
      <c r="X1585" s="84"/>
      <c r="Y1585" s="84"/>
      <c r="Z1585" s="84"/>
      <c r="AA1585" s="84"/>
    </row>
    <row r="1586" ht="15.75" customHeight="1">
      <c r="A1586" s="14" t="s">
        <v>120</v>
      </c>
      <c r="B1586" s="15" t="s">
        <v>18064</v>
      </c>
      <c r="C1586" s="14" t="s">
        <v>18407</v>
      </c>
      <c r="D1586" s="14" t="s">
        <v>18408</v>
      </c>
      <c r="E1586" s="26" t="str">
        <f t="shared" si="26"/>
        <v>http://dx.doi.org/10.1109/VAST.2007.4389007</v>
      </c>
      <c r="F1586" s="14">
        <v>139.0</v>
      </c>
      <c r="G1586" s="14">
        <v>146.0</v>
      </c>
      <c r="H1586" s="14" t="s">
        <v>28</v>
      </c>
      <c r="I1586" s="19" t="s">
        <v>18409</v>
      </c>
      <c r="J1586" s="19" t="s">
        <v>18410</v>
      </c>
      <c r="K1586" s="19" t="s">
        <v>18410</v>
      </c>
      <c r="L1586" s="19" t="s">
        <v>18411</v>
      </c>
      <c r="M1586" s="20" t="s">
        <v>18412</v>
      </c>
      <c r="N1586" s="44" t="s">
        <v>18413</v>
      </c>
      <c r="O1586" s="22">
        <v>41.0</v>
      </c>
      <c r="P1586" s="28">
        <v>14.0</v>
      </c>
      <c r="Q1586" s="28">
        <v>25.0</v>
      </c>
      <c r="R1586" s="84"/>
      <c r="S1586" s="84"/>
      <c r="T1586" s="84"/>
      <c r="U1586" s="84"/>
      <c r="V1586" s="84"/>
      <c r="W1586" s="84"/>
      <c r="X1586" s="84"/>
      <c r="Y1586" s="84"/>
      <c r="Z1586" s="84"/>
      <c r="AA1586" s="84"/>
    </row>
    <row r="1587" ht="15.75" customHeight="1">
      <c r="A1587" s="14" t="s">
        <v>120</v>
      </c>
      <c r="B1587" s="15" t="s">
        <v>18064</v>
      </c>
      <c r="C1587" s="14" t="s">
        <v>18414</v>
      </c>
      <c r="D1587" s="14" t="s">
        <v>18415</v>
      </c>
      <c r="E1587" s="26" t="str">
        <f t="shared" si="26"/>
        <v>http://dx.doi.org/10.1109/VAST.2007.4389008</v>
      </c>
      <c r="F1587" s="14">
        <v>147.0</v>
      </c>
      <c r="G1587" s="14">
        <v>154.0</v>
      </c>
      <c r="H1587" s="14" t="s">
        <v>28</v>
      </c>
      <c r="I1587" s="19" t="s">
        <v>18416</v>
      </c>
      <c r="J1587" s="19" t="s">
        <v>18417</v>
      </c>
      <c r="K1587" s="19" t="s">
        <v>18418</v>
      </c>
      <c r="L1587" s="19" t="s">
        <v>18419</v>
      </c>
      <c r="M1587" s="20" t="s">
        <v>18420</v>
      </c>
      <c r="N1587" s="44" t="s">
        <v>18421</v>
      </c>
      <c r="O1587" s="22">
        <v>63.0</v>
      </c>
      <c r="P1587" s="28">
        <v>19.0</v>
      </c>
      <c r="Q1587" s="28">
        <v>34.0</v>
      </c>
      <c r="R1587" s="84"/>
      <c r="S1587" s="84"/>
      <c r="T1587" s="84"/>
      <c r="U1587" s="84"/>
      <c r="V1587" s="84"/>
      <c r="W1587" s="84"/>
      <c r="X1587" s="84"/>
      <c r="Y1587" s="84"/>
      <c r="Z1587" s="84"/>
      <c r="AA1587" s="84"/>
    </row>
    <row r="1588" ht="15.75" customHeight="1">
      <c r="A1588" s="14" t="s">
        <v>120</v>
      </c>
      <c r="B1588" s="15" t="s">
        <v>18064</v>
      </c>
      <c r="C1588" s="14" t="s">
        <v>18422</v>
      </c>
      <c r="D1588" s="14" t="s">
        <v>18423</v>
      </c>
      <c r="E1588" s="26" t="str">
        <f t="shared" si="26"/>
        <v>http://dx.doi.org/10.1109/VAST.2007.4389009</v>
      </c>
      <c r="F1588" s="14">
        <v>155.0</v>
      </c>
      <c r="G1588" s="14">
        <v>162.0</v>
      </c>
      <c r="H1588" s="14" t="s">
        <v>28</v>
      </c>
      <c r="I1588" s="19" t="s">
        <v>18424</v>
      </c>
      <c r="J1588" s="19" t="s">
        <v>18425</v>
      </c>
      <c r="K1588" s="19" t="s">
        <v>18426</v>
      </c>
      <c r="L1588" s="19" t="s">
        <v>18427</v>
      </c>
      <c r="M1588" s="20" t="s">
        <v>18428</v>
      </c>
      <c r="N1588" s="44" t="s">
        <v>18429</v>
      </c>
      <c r="O1588" s="22">
        <v>130.0</v>
      </c>
      <c r="P1588" s="28">
        <v>46.0</v>
      </c>
      <c r="Q1588" s="28">
        <v>21.0</v>
      </c>
      <c r="R1588" s="84"/>
      <c r="S1588" s="84"/>
      <c r="T1588" s="84"/>
      <c r="U1588" s="84"/>
      <c r="V1588" s="84"/>
      <c r="W1588" s="84"/>
      <c r="X1588" s="84"/>
      <c r="Y1588" s="84"/>
      <c r="Z1588" s="84"/>
      <c r="AA1588" s="84"/>
    </row>
    <row r="1589" ht="15.75" customHeight="1">
      <c r="A1589" s="14" t="s">
        <v>120</v>
      </c>
      <c r="B1589" s="15" t="s">
        <v>18064</v>
      </c>
      <c r="C1589" s="14" t="s">
        <v>18430</v>
      </c>
      <c r="D1589" s="14" t="s">
        <v>18431</v>
      </c>
      <c r="E1589" s="26" t="str">
        <f t="shared" si="26"/>
        <v>http://dx.doi.org/10.1109/VAST.2007.4389010</v>
      </c>
      <c r="F1589" s="14">
        <v>163.0</v>
      </c>
      <c r="G1589" s="14">
        <v>170.0</v>
      </c>
      <c r="H1589" s="14" t="s">
        <v>28</v>
      </c>
      <c r="I1589" s="19" t="s">
        <v>18432</v>
      </c>
      <c r="J1589" s="19" t="s">
        <v>18433</v>
      </c>
      <c r="K1589" s="19" t="s">
        <v>18434</v>
      </c>
      <c r="L1589" s="19" t="s">
        <v>18435</v>
      </c>
      <c r="M1589" s="20" t="s">
        <v>18436</v>
      </c>
      <c r="N1589" s="44" t="s">
        <v>18437</v>
      </c>
      <c r="O1589" s="22">
        <v>92.0</v>
      </c>
      <c r="P1589" s="28">
        <v>18.0</v>
      </c>
      <c r="Q1589" s="28">
        <v>47.0</v>
      </c>
      <c r="R1589" s="84"/>
      <c r="S1589" s="84"/>
      <c r="T1589" s="84"/>
      <c r="U1589" s="84"/>
      <c r="V1589" s="84"/>
      <c r="W1589" s="84"/>
      <c r="X1589" s="84"/>
      <c r="Y1589" s="84"/>
      <c r="Z1589" s="84"/>
      <c r="AA1589" s="84"/>
    </row>
    <row r="1590" ht="15.75" customHeight="1">
      <c r="A1590" s="14" t="s">
        <v>120</v>
      </c>
      <c r="B1590" s="15" t="s">
        <v>18064</v>
      </c>
      <c r="C1590" s="14" t="s">
        <v>18438</v>
      </c>
      <c r="D1590" s="14" t="s">
        <v>18439</v>
      </c>
      <c r="E1590" s="26" t="str">
        <f t="shared" si="26"/>
        <v>http://dx.doi.org/10.1109/VAST.2007.4389011</v>
      </c>
      <c r="F1590" s="14">
        <v>171.0</v>
      </c>
      <c r="G1590" s="14">
        <v>178.0</v>
      </c>
      <c r="H1590" s="14" t="s">
        <v>28</v>
      </c>
      <c r="I1590" s="19" t="s">
        <v>18440</v>
      </c>
      <c r="J1590" s="19" t="s">
        <v>17297</v>
      </c>
      <c r="K1590" s="19" t="s">
        <v>17297</v>
      </c>
      <c r="L1590" s="19" t="s">
        <v>18441</v>
      </c>
      <c r="M1590" s="20" t="s">
        <v>18442</v>
      </c>
      <c r="N1590" s="44" t="s">
        <v>18443</v>
      </c>
      <c r="O1590" s="22">
        <v>248.0</v>
      </c>
      <c r="P1590" s="28">
        <v>15.0</v>
      </c>
      <c r="Q1590" s="28">
        <v>53.0</v>
      </c>
      <c r="R1590" s="84"/>
      <c r="S1590" s="84"/>
      <c r="T1590" s="84"/>
      <c r="U1590" s="84"/>
      <c r="V1590" s="84"/>
      <c r="W1590" s="84"/>
      <c r="X1590" s="84"/>
      <c r="Y1590" s="84"/>
      <c r="Z1590" s="84"/>
      <c r="AA1590" s="84"/>
    </row>
    <row r="1591" ht="15.75" customHeight="1">
      <c r="A1591" s="14" t="s">
        <v>120</v>
      </c>
      <c r="B1591" s="15" t="s">
        <v>18064</v>
      </c>
      <c r="C1591" s="14" t="s">
        <v>18444</v>
      </c>
      <c r="D1591" s="14" t="s">
        <v>18445</v>
      </c>
      <c r="E1591" s="26" t="str">
        <f t="shared" si="26"/>
        <v>http://dx.doi.org/10.1109/VAST.2007.4389012</v>
      </c>
      <c r="F1591" s="14">
        <v>179.0</v>
      </c>
      <c r="G1591" s="14">
        <v>186.0</v>
      </c>
      <c r="H1591" s="14" t="s">
        <v>28</v>
      </c>
      <c r="I1591" s="19" t="s">
        <v>18446</v>
      </c>
      <c r="J1591" s="19" t="s">
        <v>18447</v>
      </c>
      <c r="K1591" s="19" t="s">
        <v>18448</v>
      </c>
      <c r="L1591" s="19" t="s">
        <v>18449</v>
      </c>
      <c r="M1591" s="20" t="s">
        <v>17511</v>
      </c>
      <c r="N1591" s="44" t="s">
        <v>18450</v>
      </c>
      <c r="O1591" s="22">
        <v>84.0</v>
      </c>
      <c r="P1591" s="28">
        <v>5.0</v>
      </c>
      <c r="Q1591" s="28">
        <v>23.0</v>
      </c>
      <c r="R1591" s="84"/>
      <c r="S1591" s="84"/>
      <c r="T1591" s="84"/>
      <c r="U1591" s="84"/>
      <c r="V1591" s="84"/>
      <c r="W1591" s="84"/>
      <c r="X1591" s="84"/>
      <c r="Y1591" s="84"/>
      <c r="Z1591" s="84"/>
      <c r="AA1591" s="84"/>
    </row>
    <row r="1592" ht="15.75" customHeight="1">
      <c r="A1592" s="14" t="s">
        <v>120</v>
      </c>
      <c r="B1592" s="15" t="s">
        <v>18064</v>
      </c>
      <c r="C1592" s="14" t="s">
        <v>18451</v>
      </c>
      <c r="D1592" s="14" t="s">
        <v>18452</v>
      </c>
      <c r="E1592" s="26" t="str">
        <f t="shared" si="26"/>
        <v>http://dx.doi.org/10.1109/VAST.2007.4389013</v>
      </c>
      <c r="F1592" s="14">
        <v>187.0</v>
      </c>
      <c r="G1592" s="14">
        <v>194.0</v>
      </c>
      <c r="H1592" s="14" t="s">
        <v>28</v>
      </c>
      <c r="I1592" s="19" t="s">
        <v>18453</v>
      </c>
      <c r="J1592" s="19" t="s">
        <v>18454</v>
      </c>
      <c r="K1592" s="19" t="s">
        <v>18455</v>
      </c>
      <c r="L1592" s="19" t="s">
        <v>18456</v>
      </c>
      <c r="M1592" s="20" t="s">
        <v>18457</v>
      </c>
      <c r="N1592" s="44" t="s">
        <v>18458</v>
      </c>
      <c r="O1592" s="22">
        <v>93.0</v>
      </c>
      <c r="P1592" s="28">
        <v>14.0</v>
      </c>
      <c r="Q1592" s="28">
        <v>37.0</v>
      </c>
      <c r="R1592" s="84"/>
      <c r="S1592" s="84"/>
      <c r="T1592" s="84"/>
      <c r="U1592" s="84"/>
      <c r="V1592" s="84"/>
      <c r="W1592" s="84"/>
      <c r="X1592" s="84"/>
      <c r="Y1592" s="84"/>
      <c r="Z1592" s="84"/>
      <c r="AA1592" s="84"/>
    </row>
    <row r="1593" ht="15.75" customHeight="1">
      <c r="A1593" s="14" t="s">
        <v>120</v>
      </c>
      <c r="B1593" s="15" t="s">
        <v>18064</v>
      </c>
      <c r="C1593" s="14" t="s">
        <v>18459</v>
      </c>
      <c r="D1593" s="14" t="s">
        <v>18460</v>
      </c>
      <c r="E1593" s="26" t="str">
        <f t="shared" si="26"/>
        <v>http://dx.doi.org/10.1109/VAST.2007.4389015</v>
      </c>
      <c r="F1593" s="14">
        <v>197.0</v>
      </c>
      <c r="G1593" s="14">
        <v>198.0</v>
      </c>
      <c r="H1593" s="14" t="s">
        <v>21</v>
      </c>
      <c r="I1593" s="19" t="s">
        <v>18461</v>
      </c>
      <c r="J1593" s="19" t="s">
        <v>18462</v>
      </c>
      <c r="K1593" s="19" t="s">
        <v>18463</v>
      </c>
      <c r="L1593" s="19" t="s">
        <v>18464</v>
      </c>
      <c r="M1593" s="20"/>
      <c r="N1593" s="27"/>
      <c r="O1593" s="22">
        <v>50.0</v>
      </c>
      <c r="P1593" s="28">
        <v>0.0</v>
      </c>
      <c r="Q1593" s="28">
        <v>4.0</v>
      </c>
      <c r="R1593" s="84"/>
      <c r="S1593" s="84"/>
      <c r="T1593" s="84"/>
      <c r="U1593" s="84"/>
      <c r="V1593" s="84"/>
      <c r="W1593" s="84"/>
      <c r="X1593" s="84"/>
      <c r="Y1593" s="84"/>
      <c r="Z1593" s="84"/>
      <c r="AA1593" s="84"/>
    </row>
    <row r="1594" ht="15.75" customHeight="1">
      <c r="A1594" s="14" t="s">
        <v>120</v>
      </c>
      <c r="B1594" s="15" t="s">
        <v>18064</v>
      </c>
      <c r="C1594" s="14" t="s">
        <v>18465</v>
      </c>
      <c r="D1594" s="67" t="s">
        <v>18466</v>
      </c>
      <c r="E1594" s="119" t="str">
        <f>"http://ieeexplore.ieee.org/xpl/articleDetails.jsp?arnumber=4389016"</f>
        <v>http://ieeexplore.ieee.org/xpl/articleDetails.jsp?arnumber=4389016</v>
      </c>
      <c r="F1594" s="14">
        <v>199.0</v>
      </c>
      <c r="G1594" s="14">
        <v>200.0</v>
      </c>
      <c r="H1594" s="14" t="s">
        <v>21</v>
      </c>
      <c r="I1594" s="19" t="s">
        <v>18467</v>
      </c>
      <c r="J1594" s="19" t="s">
        <v>18468</v>
      </c>
      <c r="K1594" s="19" t="s">
        <v>18468</v>
      </c>
      <c r="L1594" s="19" t="s">
        <v>18469</v>
      </c>
      <c r="M1594" s="20"/>
      <c r="N1594" s="27"/>
      <c r="O1594" s="109"/>
      <c r="P1594" s="28">
        <v>0.0</v>
      </c>
      <c r="Q1594" s="28">
        <v>0.0</v>
      </c>
      <c r="R1594" s="84"/>
      <c r="S1594" s="84"/>
      <c r="T1594" s="84"/>
      <c r="U1594" s="84"/>
      <c r="V1594" s="84"/>
      <c r="W1594" s="84"/>
      <c r="X1594" s="84"/>
      <c r="Y1594" s="84"/>
      <c r="Z1594" s="84"/>
      <c r="AA1594" s="84"/>
    </row>
    <row r="1595" ht="15.75" customHeight="1">
      <c r="A1595" s="14" t="s">
        <v>120</v>
      </c>
      <c r="B1595" s="15" t="s">
        <v>18064</v>
      </c>
      <c r="C1595" s="14" t="s">
        <v>18470</v>
      </c>
      <c r="D1595" s="14" t="s">
        <v>18471</v>
      </c>
      <c r="E1595" s="26" t="str">
        <f t="shared" ref="E1595:E1979" si="27">"http://dx.doi.org/" &amp; D1595</f>
        <v>http://dx.doi.org/10.1109/VAST.2007.4389017</v>
      </c>
      <c r="F1595" s="14">
        <v>201.0</v>
      </c>
      <c r="G1595" s="14">
        <v>202.0</v>
      </c>
      <c r="H1595" s="14" t="s">
        <v>21</v>
      </c>
      <c r="I1595" s="19" t="s">
        <v>18472</v>
      </c>
      <c r="J1595" s="19" t="s">
        <v>18473</v>
      </c>
      <c r="K1595" s="19" t="s">
        <v>18474</v>
      </c>
      <c r="L1595" s="19" t="s">
        <v>18475</v>
      </c>
      <c r="M1595" s="20"/>
      <c r="N1595" s="27"/>
      <c r="O1595" s="22">
        <v>18.0</v>
      </c>
      <c r="P1595" s="28">
        <v>1.0</v>
      </c>
      <c r="Q1595" s="28">
        <v>3.0</v>
      </c>
      <c r="R1595" s="84"/>
      <c r="S1595" s="84"/>
      <c r="T1595" s="84"/>
      <c r="U1595" s="84"/>
      <c r="V1595" s="84"/>
      <c r="W1595" s="84"/>
      <c r="X1595" s="84"/>
      <c r="Y1595" s="84"/>
      <c r="Z1595" s="84"/>
      <c r="AA1595" s="84"/>
    </row>
    <row r="1596" ht="15.75" customHeight="1">
      <c r="A1596" s="14" t="s">
        <v>120</v>
      </c>
      <c r="B1596" s="15" t="s">
        <v>18064</v>
      </c>
      <c r="C1596" s="14" t="s">
        <v>18478</v>
      </c>
      <c r="D1596" s="14" t="s">
        <v>18479</v>
      </c>
      <c r="E1596" s="26" t="str">
        <f t="shared" si="27"/>
        <v>http://dx.doi.org/10.1109/VAST.2007.4389018</v>
      </c>
      <c r="F1596" s="14">
        <v>203.0</v>
      </c>
      <c r="G1596" s="14">
        <v>204.0</v>
      </c>
      <c r="H1596" s="14" t="s">
        <v>21</v>
      </c>
      <c r="I1596" s="19" t="s">
        <v>18480</v>
      </c>
      <c r="J1596" s="19" t="s">
        <v>18481</v>
      </c>
      <c r="K1596" s="19" t="s">
        <v>18481</v>
      </c>
      <c r="L1596" s="19" t="s">
        <v>18482</v>
      </c>
      <c r="M1596" s="20"/>
      <c r="N1596" s="27"/>
      <c r="O1596" s="22">
        <v>0.0</v>
      </c>
      <c r="P1596" s="28">
        <v>0.0</v>
      </c>
      <c r="Q1596" s="28">
        <v>3.0</v>
      </c>
      <c r="R1596" s="84"/>
      <c r="S1596" s="84"/>
      <c r="T1596" s="84"/>
      <c r="U1596" s="84"/>
      <c r="V1596" s="84"/>
      <c r="W1596" s="84"/>
      <c r="X1596" s="84"/>
      <c r="Y1596" s="84"/>
      <c r="Z1596" s="84"/>
      <c r="AA1596" s="84"/>
    </row>
    <row r="1597" ht="15.75" customHeight="1">
      <c r="A1597" s="14" t="s">
        <v>120</v>
      </c>
      <c r="B1597" s="15" t="s">
        <v>18064</v>
      </c>
      <c r="C1597" s="14" t="s">
        <v>18483</v>
      </c>
      <c r="D1597" s="14" t="s">
        <v>18484</v>
      </c>
      <c r="E1597" s="26" t="str">
        <f t="shared" si="27"/>
        <v>http://dx.doi.org/10.1109/VAST.2007.4389019</v>
      </c>
      <c r="F1597" s="14">
        <v>205.0</v>
      </c>
      <c r="G1597" s="14">
        <v>206.0</v>
      </c>
      <c r="H1597" s="14" t="s">
        <v>21</v>
      </c>
      <c r="I1597" s="19" t="s">
        <v>18485</v>
      </c>
      <c r="J1597" s="19" t="s">
        <v>18486</v>
      </c>
      <c r="K1597" s="19" t="s">
        <v>18487</v>
      </c>
      <c r="L1597" s="19" t="s">
        <v>18488</v>
      </c>
      <c r="M1597" s="20"/>
      <c r="N1597" s="27"/>
      <c r="O1597" s="22">
        <v>0.0</v>
      </c>
      <c r="P1597" s="28">
        <v>0.0</v>
      </c>
      <c r="Q1597" s="28">
        <v>3.0</v>
      </c>
      <c r="R1597" s="84"/>
      <c r="S1597" s="84"/>
      <c r="T1597" s="84"/>
      <c r="U1597" s="84"/>
      <c r="V1597" s="84"/>
      <c r="W1597" s="84"/>
      <c r="X1597" s="84"/>
      <c r="Y1597" s="84"/>
      <c r="Z1597" s="84"/>
      <c r="AA1597" s="84"/>
    </row>
    <row r="1598" ht="15.75" customHeight="1">
      <c r="A1598" s="14" t="s">
        <v>120</v>
      </c>
      <c r="B1598" s="15" t="s">
        <v>18064</v>
      </c>
      <c r="C1598" s="42" t="s">
        <v>18489</v>
      </c>
      <c r="D1598" s="14" t="s">
        <v>18490</v>
      </c>
      <c r="E1598" s="26" t="str">
        <f t="shared" si="27"/>
        <v>http://dx.doi.org/10.1109/VAST.2007.4389020</v>
      </c>
      <c r="F1598" s="14">
        <v>207.0</v>
      </c>
      <c r="G1598" s="14">
        <v>208.0</v>
      </c>
      <c r="H1598" s="14" t="s">
        <v>21</v>
      </c>
      <c r="I1598" s="19" t="s">
        <v>18491</v>
      </c>
      <c r="J1598" s="19" t="s">
        <v>18492</v>
      </c>
      <c r="K1598" s="19" t="s">
        <v>18493</v>
      </c>
      <c r="L1598" s="19" t="s">
        <v>18494</v>
      </c>
      <c r="M1598" s="20"/>
      <c r="N1598" s="27"/>
      <c r="O1598" s="22">
        <v>0.0</v>
      </c>
      <c r="P1598" s="28">
        <v>0.0</v>
      </c>
      <c r="Q1598" s="28">
        <v>3.0</v>
      </c>
      <c r="R1598" s="84"/>
      <c r="S1598" s="84"/>
      <c r="T1598" s="84"/>
      <c r="U1598" s="84"/>
      <c r="V1598" s="84"/>
      <c r="W1598" s="84"/>
      <c r="X1598" s="84"/>
      <c r="Y1598" s="84"/>
      <c r="Z1598" s="84"/>
      <c r="AA1598" s="84"/>
    </row>
    <row r="1599" ht="15.75" customHeight="1">
      <c r="A1599" s="14" t="s">
        <v>120</v>
      </c>
      <c r="B1599" s="15" t="s">
        <v>18064</v>
      </c>
      <c r="C1599" s="14" t="s">
        <v>18495</v>
      </c>
      <c r="D1599" s="14" t="s">
        <v>18496</v>
      </c>
      <c r="E1599" s="26" t="str">
        <f t="shared" si="27"/>
        <v>http://dx.doi.org/10.1109/VAST.2007.4389021</v>
      </c>
      <c r="F1599" s="14">
        <v>209.0</v>
      </c>
      <c r="G1599" s="14">
        <v>210.0</v>
      </c>
      <c r="H1599" s="14" t="s">
        <v>21</v>
      </c>
      <c r="I1599" s="19" t="s">
        <v>18497</v>
      </c>
      <c r="J1599" s="19" t="s">
        <v>18498</v>
      </c>
      <c r="K1599" s="19" t="s">
        <v>18499</v>
      </c>
      <c r="L1599" s="19" t="s">
        <v>18500</v>
      </c>
      <c r="M1599" s="20"/>
      <c r="N1599" s="27"/>
      <c r="O1599" s="22">
        <v>50.0</v>
      </c>
      <c r="P1599" s="28">
        <v>2.0</v>
      </c>
      <c r="Q1599" s="28">
        <v>6.0</v>
      </c>
      <c r="R1599" s="84"/>
      <c r="S1599" s="84"/>
      <c r="T1599" s="84"/>
      <c r="U1599" s="84"/>
      <c r="V1599" s="84"/>
      <c r="W1599" s="84"/>
      <c r="X1599" s="84"/>
      <c r="Y1599" s="84"/>
      <c r="Z1599" s="84"/>
      <c r="AA1599" s="84"/>
    </row>
    <row r="1600" ht="15.75" customHeight="1">
      <c r="A1600" s="14" t="s">
        <v>120</v>
      </c>
      <c r="B1600" s="15" t="s">
        <v>18064</v>
      </c>
      <c r="C1600" s="14" t="s">
        <v>18501</v>
      </c>
      <c r="D1600" s="14" t="s">
        <v>18502</v>
      </c>
      <c r="E1600" s="26" t="str">
        <f t="shared" si="27"/>
        <v>http://dx.doi.org/10.1109/VAST.2007.4389022</v>
      </c>
      <c r="F1600" s="14">
        <v>211.0</v>
      </c>
      <c r="G1600" s="14">
        <v>212.0</v>
      </c>
      <c r="H1600" s="14" t="s">
        <v>21</v>
      </c>
      <c r="I1600" s="19" t="s">
        <v>18503</v>
      </c>
      <c r="J1600" s="19" t="s">
        <v>18504</v>
      </c>
      <c r="K1600" s="19" t="s">
        <v>18504</v>
      </c>
      <c r="L1600" s="19" t="s">
        <v>18505</v>
      </c>
      <c r="M1600" s="20"/>
      <c r="N1600" s="27"/>
      <c r="O1600" s="22">
        <v>50.0</v>
      </c>
      <c r="P1600" s="28">
        <v>2.0</v>
      </c>
      <c r="Q1600" s="28">
        <v>1.0</v>
      </c>
      <c r="R1600" s="84"/>
      <c r="S1600" s="84"/>
      <c r="T1600" s="84"/>
      <c r="U1600" s="84"/>
      <c r="V1600" s="84"/>
      <c r="W1600" s="84"/>
      <c r="X1600" s="84"/>
      <c r="Y1600" s="84"/>
      <c r="Z1600" s="84"/>
      <c r="AA1600" s="84"/>
    </row>
    <row r="1601" ht="15.75" customHeight="1">
      <c r="A1601" s="14" t="s">
        <v>120</v>
      </c>
      <c r="B1601" s="15" t="s">
        <v>18064</v>
      </c>
      <c r="C1601" s="14" t="s">
        <v>18506</v>
      </c>
      <c r="D1601" s="14" t="s">
        <v>18507</v>
      </c>
      <c r="E1601" s="26" t="str">
        <f t="shared" si="27"/>
        <v>http://dx.doi.org/10.1109/VAST.2007.4389023</v>
      </c>
      <c r="F1601" s="14">
        <v>213.0</v>
      </c>
      <c r="G1601" s="14">
        <v>214.0</v>
      </c>
      <c r="H1601" s="14" t="s">
        <v>21</v>
      </c>
      <c r="I1601" s="19" t="s">
        <v>18508</v>
      </c>
      <c r="J1601" s="19" t="s">
        <v>18509</v>
      </c>
      <c r="K1601" s="19" t="s">
        <v>18509</v>
      </c>
      <c r="L1601" s="19" t="s">
        <v>18510</v>
      </c>
      <c r="M1601" s="20"/>
      <c r="N1601" s="27"/>
      <c r="O1601" s="22">
        <v>50.0</v>
      </c>
      <c r="P1601" s="28">
        <v>1.0</v>
      </c>
      <c r="Q1601" s="28">
        <v>2.0</v>
      </c>
      <c r="R1601" s="84"/>
      <c r="S1601" s="84"/>
      <c r="T1601" s="84"/>
      <c r="U1601" s="84"/>
      <c r="V1601" s="84"/>
      <c r="W1601" s="84"/>
      <c r="X1601" s="84"/>
      <c r="Y1601" s="84"/>
      <c r="Z1601" s="84"/>
      <c r="AA1601" s="84"/>
    </row>
    <row r="1602" ht="15.75" customHeight="1">
      <c r="A1602" s="14" t="s">
        <v>120</v>
      </c>
      <c r="B1602" s="15" t="s">
        <v>18064</v>
      </c>
      <c r="C1602" s="14" t="s">
        <v>18511</v>
      </c>
      <c r="D1602" s="14" t="s">
        <v>18512</v>
      </c>
      <c r="E1602" s="26" t="str">
        <f t="shared" si="27"/>
        <v>http://dx.doi.org/10.1109/VAST.2007.4389024</v>
      </c>
      <c r="F1602" s="14">
        <v>215.0</v>
      </c>
      <c r="G1602" s="14">
        <v>216.0</v>
      </c>
      <c r="H1602" s="14" t="s">
        <v>21</v>
      </c>
      <c r="I1602" s="19" t="s">
        <v>18513</v>
      </c>
      <c r="J1602" s="19" t="s">
        <v>18514</v>
      </c>
      <c r="K1602" s="19" t="s">
        <v>18514</v>
      </c>
      <c r="L1602" s="19" t="s">
        <v>18515</v>
      </c>
      <c r="M1602" s="20"/>
      <c r="N1602" s="27"/>
      <c r="O1602" s="22">
        <v>0.0</v>
      </c>
      <c r="P1602" s="28">
        <v>0.0</v>
      </c>
      <c r="Q1602" s="28">
        <v>15.0</v>
      </c>
      <c r="R1602" s="84"/>
      <c r="S1602" s="84"/>
      <c r="T1602" s="84"/>
      <c r="U1602" s="84"/>
      <c r="V1602" s="84"/>
      <c r="W1602" s="84"/>
      <c r="X1602" s="84"/>
      <c r="Y1602" s="84"/>
      <c r="Z1602" s="84"/>
      <c r="AA1602" s="84"/>
    </row>
    <row r="1603" ht="15.75" customHeight="1">
      <c r="A1603" s="14" t="s">
        <v>120</v>
      </c>
      <c r="B1603" s="15" t="s">
        <v>18064</v>
      </c>
      <c r="C1603" s="14" t="s">
        <v>18516</v>
      </c>
      <c r="D1603" s="14" t="s">
        <v>18517</v>
      </c>
      <c r="E1603" s="26" t="str">
        <f t="shared" si="27"/>
        <v>http://dx.doi.org/10.1109/VAST.2007.4389025</v>
      </c>
      <c r="F1603" s="14">
        <v>217.0</v>
      </c>
      <c r="G1603" s="14">
        <v>218.0</v>
      </c>
      <c r="H1603" s="14" t="s">
        <v>21</v>
      </c>
      <c r="I1603" s="19" t="s">
        <v>18518</v>
      </c>
      <c r="J1603" s="19" t="s">
        <v>7951</v>
      </c>
      <c r="K1603" s="19" t="s">
        <v>7951</v>
      </c>
      <c r="L1603" s="19" t="s">
        <v>18519</v>
      </c>
      <c r="M1603" s="20"/>
      <c r="N1603" s="27"/>
      <c r="O1603" s="22">
        <v>50.0</v>
      </c>
      <c r="P1603" s="28">
        <v>1.0</v>
      </c>
      <c r="Q1603" s="28">
        <v>6.0</v>
      </c>
      <c r="R1603" s="84"/>
      <c r="S1603" s="84"/>
      <c r="T1603" s="84"/>
      <c r="U1603" s="84"/>
      <c r="V1603" s="84"/>
      <c r="W1603" s="84"/>
      <c r="X1603" s="84"/>
      <c r="Y1603" s="84"/>
      <c r="Z1603" s="84"/>
      <c r="AA1603" s="84"/>
    </row>
    <row r="1604" ht="15.75" customHeight="1">
      <c r="A1604" s="14" t="s">
        <v>120</v>
      </c>
      <c r="B1604" s="15" t="s">
        <v>18064</v>
      </c>
      <c r="C1604" s="14" t="s">
        <v>18520</v>
      </c>
      <c r="D1604" s="14" t="s">
        <v>18521</v>
      </c>
      <c r="E1604" s="26" t="str">
        <f t="shared" si="27"/>
        <v>http://dx.doi.org/10.1109/VAST.2007.4389026</v>
      </c>
      <c r="F1604" s="14">
        <v>219.0</v>
      </c>
      <c r="G1604" s="14">
        <v>220.0</v>
      </c>
      <c r="H1604" s="14" t="s">
        <v>21</v>
      </c>
      <c r="I1604" s="19" t="s">
        <v>18522</v>
      </c>
      <c r="J1604" s="19" t="s">
        <v>18523</v>
      </c>
      <c r="K1604" s="19" t="s">
        <v>18524</v>
      </c>
      <c r="L1604" s="19" t="s">
        <v>18525</v>
      </c>
      <c r="M1604" s="20"/>
      <c r="N1604" s="27"/>
      <c r="O1604" s="22">
        <v>50.0</v>
      </c>
      <c r="P1604" s="28">
        <v>1.0</v>
      </c>
      <c r="Q1604" s="28">
        <v>4.0</v>
      </c>
      <c r="R1604" s="84"/>
      <c r="S1604" s="84"/>
      <c r="T1604" s="84"/>
      <c r="U1604" s="84"/>
      <c r="V1604" s="84"/>
      <c r="W1604" s="84"/>
      <c r="X1604" s="84"/>
      <c r="Y1604" s="84"/>
      <c r="Z1604" s="84"/>
      <c r="AA1604" s="84"/>
    </row>
    <row r="1605" ht="15.75" customHeight="1">
      <c r="A1605" s="14" t="s">
        <v>120</v>
      </c>
      <c r="B1605" s="15" t="s">
        <v>18064</v>
      </c>
      <c r="C1605" s="14" t="s">
        <v>18526</v>
      </c>
      <c r="D1605" s="14" t="s">
        <v>18527</v>
      </c>
      <c r="E1605" s="26" t="str">
        <f t="shared" si="27"/>
        <v>http://dx.doi.org/10.1109/VAST.2007.4389027</v>
      </c>
      <c r="F1605" s="14">
        <v>221.0</v>
      </c>
      <c r="G1605" s="14">
        <v>222.0</v>
      </c>
      <c r="H1605" s="14" t="s">
        <v>21</v>
      </c>
      <c r="I1605" s="19" t="s">
        <v>18528</v>
      </c>
      <c r="J1605" s="19" t="s">
        <v>18529</v>
      </c>
      <c r="K1605" s="19" t="s">
        <v>18530</v>
      </c>
      <c r="L1605" s="19" t="s">
        <v>18531</v>
      </c>
      <c r="M1605" s="20"/>
      <c r="N1605" s="27"/>
      <c r="O1605" s="22">
        <v>3.0</v>
      </c>
      <c r="P1605" s="28">
        <v>1.0</v>
      </c>
      <c r="Q1605" s="28">
        <v>7.0</v>
      </c>
      <c r="R1605" s="84"/>
      <c r="S1605" s="84"/>
      <c r="T1605" s="84"/>
      <c r="U1605" s="84"/>
      <c r="V1605" s="84"/>
      <c r="W1605" s="84"/>
      <c r="X1605" s="84"/>
      <c r="Y1605" s="84"/>
      <c r="Z1605" s="84"/>
      <c r="AA1605" s="84"/>
    </row>
    <row r="1606" ht="15.75" customHeight="1">
      <c r="A1606" s="14" t="s">
        <v>120</v>
      </c>
      <c r="B1606" s="15" t="s">
        <v>18064</v>
      </c>
      <c r="C1606" s="14" t="s">
        <v>18532</v>
      </c>
      <c r="D1606" s="14" t="s">
        <v>18533</v>
      </c>
      <c r="E1606" s="26" t="str">
        <f t="shared" si="27"/>
        <v>http://dx.doi.org/10.1109/VAST.2007.4389028</v>
      </c>
      <c r="F1606" s="14">
        <v>223.0</v>
      </c>
      <c r="G1606" s="14">
        <v>224.0</v>
      </c>
      <c r="H1606" s="14" t="s">
        <v>21</v>
      </c>
      <c r="I1606" s="19" t="s">
        <v>18534</v>
      </c>
      <c r="J1606" s="19" t="s">
        <v>18535</v>
      </c>
      <c r="K1606" s="19" t="s">
        <v>18536</v>
      </c>
      <c r="L1606" s="19" t="s">
        <v>18537</v>
      </c>
      <c r="M1606" s="20"/>
      <c r="N1606" s="27"/>
      <c r="O1606" s="22">
        <v>0.0</v>
      </c>
      <c r="P1606" s="28">
        <v>0.0</v>
      </c>
      <c r="Q1606" s="28">
        <v>5.0</v>
      </c>
      <c r="R1606" s="84"/>
      <c r="S1606" s="84"/>
      <c r="T1606" s="84"/>
      <c r="U1606" s="84"/>
      <c r="V1606" s="84"/>
      <c r="W1606" s="84"/>
      <c r="X1606" s="84"/>
      <c r="Y1606" s="84"/>
      <c r="Z1606" s="84"/>
      <c r="AA1606" s="84"/>
    </row>
    <row r="1607" ht="15.75" customHeight="1">
      <c r="A1607" s="14" t="s">
        <v>120</v>
      </c>
      <c r="B1607" s="15" t="s">
        <v>18064</v>
      </c>
      <c r="C1607" s="14" t="s">
        <v>18538</v>
      </c>
      <c r="D1607" s="14" t="s">
        <v>18539</v>
      </c>
      <c r="E1607" s="26" t="str">
        <f t="shared" si="27"/>
        <v>http://dx.doi.org/10.1109/VAST.2007.4389030</v>
      </c>
      <c r="F1607" s="14">
        <v>227.0</v>
      </c>
      <c r="G1607" s="14">
        <v>227.0</v>
      </c>
      <c r="H1607" s="14" t="s">
        <v>21</v>
      </c>
      <c r="I1607" s="19" t="s">
        <v>18540</v>
      </c>
      <c r="J1607" s="19" t="s">
        <v>18541</v>
      </c>
      <c r="K1607" s="19" t="s">
        <v>18542</v>
      </c>
      <c r="L1607" s="19" t="s">
        <v>18543</v>
      </c>
      <c r="M1607" s="20"/>
      <c r="N1607" s="27"/>
      <c r="O1607" s="22">
        <v>0.0</v>
      </c>
      <c r="P1607" s="28">
        <v>0.0</v>
      </c>
      <c r="Q1607" s="28">
        <v>0.0</v>
      </c>
      <c r="R1607" s="84"/>
      <c r="S1607" s="84"/>
      <c r="T1607" s="84"/>
      <c r="U1607" s="84"/>
      <c r="V1607" s="84"/>
      <c r="W1607" s="84"/>
      <c r="X1607" s="84"/>
      <c r="Y1607" s="84"/>
      <c r="Z1607" s="84"/>
      <c r="AA1607" s="84"/>
    </row>
    <row r="1608" ht="15.75" customHeight="1">
      <c r="A1608" s="14" t="s">
        <v>120</v>
      </c>
      <c r="B1608" s="15" t="s">
        <v>18064</v>
      </c>
      <c r="C1608" s="14" t="s">
        <v>18545</v>
      </c>
      <c r="D1608" s="14" t="s">
        <v>18546</v>
      </c>
      <c r="E1608" s="26" t="str">
        <f t="shared" si="27"/>
        <v>http://dx.doi.org/10.1109/VAST.2007.4389032</v>
      </c>
      <c r="F1608" s="14">
        <v>231.0</v>
      </c>
      <c r="G1608" s="14">
        <v>232.0</v>
      </c>
      <c r="H1608" s="14" t="s">
        <v>21</v>
      </c>
      <c r="I1608" s="19" t="s">
        <v>18548</v>
      </c>
      <c r="J1608" s="19" t="s">
        <v>18549</v>
      </c>
      <c r="K1608" s="19" t="s">
        <v>18550</v>
      </c>
      <c r="L1608" s="19" t="s">
        <v>18551</v>
      </c>
      <c r="M1608" s="20"/>
      <c r="N1608" s="27"/>
      <c r="O1608" s="22">
        <v>13.0</v>
      </c>
      <c r="P1608" s="28">
        <v>5.0</v>
      </c>
      <c r="Q1608" s="28">
        <v>6.0</v>
      </c>
      <c r="R1608" s="84"/>
      <c r="S1608" s="84"/>
      <c r="T1608" s="84"/>
      <c r="U1608" s="84"/>
      <c r="V1608" s="84"/>
      <c r="W1608" s="84"/>
      <c r="X1608" s="84"/>
      <c r="Y1608" s="84"/>
      <c r="Z1608" s="84"/>
      <c r="AA1608" s="84"/>
    </row>
    <row r="1609" ht="15.75" customHeight="1">
      <c r="A1609" s="14" t="s">
        <v>120</v>
      </c>
      <c r="B1609" s="15" t="s">
        <v>18064</v>
      </c>
      <c r="C1609" s="14" t="s">
        <v>18552</v>
      </c>
      <c r="D1609" s="14" t="s">
        <v>18553</v>
      </c>
      <c r="E1609" s="26" t="str">
        <f t="shared" si="27"/>
        <v>http://dx.doi.org/10.1109/VAST.2007.4389033</v>
      </c>
      <c r="F1609" s="14">
        <v>233.0</v>
      </c>
      <c r="G1609" s="14">
        <v>234.0</v>
      </c>
      <c r="H1609" s="14" t="s">
        <v>21</v>
      </c>
      <c r="I1609" s="19" t="s">
        <v>18554</v>
      </c>
      <c r="J1609" s="19" t="s">
        <v>18555</v>
      </c>
      <c r="K1609" s="19" t="s">
        <v>18555</v>
      </c>
      <c r="L1609" s="19" t="s">
        <v>18556</v>
      </c>
      <c r="M1609" s="20"/>
      <c r="N1609" s="27"/>
      <c r="O1609" s="22">
        <v>0.0</v>
      </c>
      <c r="P1609" s="28">
        <v>0.0</v>
      </c>
      <c r="Q1609" s="28">
        <v>3.0</v>
      </c>
      <c r="R1609" s="84"/>
      <c r="S1609" s="84"/>
      <c r="T1609" s="84"/>
      <c r="U1609" s="84"/>
      <c r="V1609" s="84"/>
      <c r="W1609" s="84"/>
      <c r="X1609" s="84"/>
      <c r="Y1609" s="84"/>
      <c r="Z1609" s="84"/>
      <c r="AA1609" s="84"/>
    </row>
    <row r="1610" ht="15.75" customHeight="1">
      <c r="A1610" s="14" t="s">
        <v>120</v>
      </c>
      <c r="B1610" s="15" t="s">
        <v>18064</v>
      </c>
      <c r="C1610" s="14" t="s">
        <v>18557</v>
      </c>
      <c r="D1610" s="14" t="s">
        <v>18558</v>
      </c>
      <c r="E1610" s="26" t="str">
        <f t="shared" si="27"/>
        <v>http://dx.doi.org/10.1109/VAST.2007.4389034</v>
      </c>
      <c r="F1610" s="14">
        <v>235.0</v>
      </c>
      <c r="G1610" s="14">
        <v>236.0</v>
      </c>
      <c r="H1610" s="14" t="s">
        <v>21</v>
      </c>
      <c r="I1610" s="19" t="s">
        <v>18560</v>
      </c>
      <c r="J1610" s="19" t="s">
        <v>18562</v>
      </c>
      <c r="K1610" s="19" t="s">
        <v>18474</v>
      </c>
      <c r="L1610" s="19" t="s">
        <v>18475</v>
      </c>
      <c r="M1610" s="20"/>
      <c r="N1610" s="27"/>
      <c r="O1610" s="22">
        <v>50.0</v>
      </c>
      <c r="P1610" s="28">
        <v>9.0</v>
      </c>
      <c r="Q1610" s="28">
        <v>2.0</v>
      </c>
      <c r="R1610" s="84"/>
      <c r="S1610" s="84"/>
      <c r="T1610" s="84"/>
      <c r="U1610" s="84"/>
      <c r="V1610" s="84"/>
      <c r="W1610" s="84"/>
      <c r="X1610" s="84"/>
      <c r="Y1610" s="84"/>
      <c r="Z1610" s="84"/>
      <c r="AA1610" s="84"/>
    </row>
    <row r="1611" ht="15.75" customHeight="1">
      <c r="A1611" s="14" t="s">
        <v>120</v>
      </c>
      <c r="B1611" s="15" t="s">
        <v>18064</v>
      </c>
      <c r="C1611" s="14" t="s">
        <v>18459</v>
      </c>
      <c r="D1611" s="14" t="s">
        <v>18563</v>
      </c>
      <c r="E1611" s="26" t="str">
        <f t="shared" si="27"/>
        <v>http://dx.doi.org/10.1109/VAST.2007.4389035</v>
      </c>
      <c r="F1611" s="14">
        <v>237.0</v>
      </c>
      <c r="G1611" s="14">
        <v>238.0</v>
      </c>
      <c r="H1611" s="14" t="s">
        <v>21</v>
      </c>
      <c r="I1611" s="19" t="s">
        <v>18461</v>
      </c>
      <c r="J1611" s="19" t="s">
        <v>18462</v>
      </c>
      <c r="K1611" s="19" t="s">
        <v>18463</v>
      </c>
      <c r="L1611" s="19" t="s">
        <v>18464</v>
      </c>
      <c r="M1611" s="20"/>
      <c r="N1611" s="27"/>
      <c r="O1611" s="22">
        <v>50.0</v>
      </c>
      <c r="P1611" s="28">
        <v>0.0</v>
      </c>
      <c r="Q1611" s="28">
        <v>4.0</v>
      </c>
      <c r="R1611" s="84"/>
      <c r="S1611" s="84"/>
      <c r="T1611" s="84"/>
      <c r="U1611" s="84"/>
      <c r="V1611" s="84"/>
      <c r="W1611" s="84"/>
      <c r="X1611" s="84"/>
      <c r="Y1611" s="84"/>
      <c r="Z1611" s="84"/>
      <c r="AA1611" s="84"/>
    </row>
    <row r="1612" ht="15.75" customHeight="1">
      <c r="A1612" s="14" t="s">
        <v>120</v>
      </c>
      <c r="B1612" s="15" t="s">
        <v>18064</v>
      </c>
      <c r="C1612" s="14" t="s">
        <v>18565</v>
      </c>
      <c r="D1612" s="14" t="s">
        <v>18566</v>
      </c>
      <c r="E1612" s="26" t="str">
        <f t="shared" si="27"/>
        <v>http://dx.doi.org/10.1109/VAST.2007.4389036</v>
      </c>
      <c r="F1612" s="14">
        <v>241.0</v>
      </c>
      <c r="G1612" s="14">
        <v>242.0</v>
      </c>
      <c r="H1612" s="14" t="s">
        <v>21</v>
      </c>
      <c r="I1612" s="19" t="s">
        <v>18568</v>
      </c>
      <c r="J1612" s="19" t="s">
        <v>18569</v>
      </c>
      <c r="K1612" s="19" t="s">
        <v>18570</v>
      </c>
      <c r="L1612" s="19" t="s">
        <v>18571</v>
      </c>
      <c r="M1612" s="20"/>
      <c r="N1612" s="27"/>
      <c r="O1612" s="22">
        <v>50.0</v>
      </c>
      <c r="P1612" s="28">
        <v>2.0</v>
      </c>
      <c r="Q1612" s="28">
        <v>3.0</v>
      </c>
      <c r="R1612" s="84"/>
      <c r="S1612" s="84"/>
      <c r="T1612" s="84"/>
      <c r="U1612" s="84"/>
      <c r="V1612" s="84"/>
      <c r="W1612" s="84"/>
      <c r="X1612" s="84"/>
      <c r="Y1612" s="84"/>
      <c r="Z1612" s="84"/>
      <c r="AA1612" s="84"/>
    </row>
    <row r="1613" ht="15.75" customHeight="1">
      <c r="A1613" s="14" t="s">
        <v>120</v>
      </c>
      <c r="B1613" s="15" t="s">
        <v>18064</v>
      </c>
      <c r="C1613" s="14" t="s">
        <v>18572</v>
      </c>
      <c r="D1613" s="14" t="s">
        <v>18573</v>
      </c>
      <c r="E1613" s="26" t="str">
        <f t="shared" si="27"/>
        <v>http://dx.doi.org/10.1109/VAST.2007.4389037</v>
      </c>
      <c r="F1613" s="14">
        <v>243.0</v>
      </c>
      <c r="G1613" s="14">
        <v>244.0</v>
      </c>
      <c r="H1613" s="14" t="s">
        <v>21</v>
      </c>
      <c r="I1613" s="19" t="s">
        <v>18574</v>
      </c>
      <c r="J1613" s="19" t="s">
        <v>18575</v>
      </c>
      <c r="K1613" s="19" t="s">
        <v>18576</v>
      </c>
      <c r="L1613" s="19" t="s">
        <v>18577</v>
      </c>
      <c r="M1613" s="20"/>
      <c r="N1613" s="27"/>
      <c r="O1613" s="22">
        <v>0.0</v>
      </c>
      <c r="P1613" s="28">
        <v>0.0</v>
      </c>
      <c r="Q1613" s="28">
        <v>3.0</v>
      </c>
      <c r="R1613" s="84"/>
      <c r="S1613" s="84"/>
      <c r="T1613" s="84"/>
      <c r="U1613" s="84"/>
      <c r="V1613" s="84"/>
      <c r="W1613" s="84"/>
      <c r="X1613" s="84"/>
      <c r="Y1613" s="84"/>
      <c r="Z1613" s="84"/>
      <c r="AA1613" s="84"/>
    </row>
    <row r="1614" ht="15.75" customHeight="1">
      <c r="A1614" s="14" t="s">
        <v>120</v>
      </c>
      <c r="B1614" s="15" t="s">
        <v>18064</v>
      </c>
      <c r="C1614" s="14" t="s">
        <v>18579</v>
      </c>
      <c r="D1614" s="14" t="s">
        <v>18580</v>
      </c>
      <c r="E1614" s="26" t="str">
        <f t="shared" si="27"/>
        <v>http://dx.doi.org/10.1109/VAST.2007.4389038</v>
      </c>
      <c r="F1614" s="14">
        <v>245.0</v>
      </c>
      <c r="G1614" s="14">
        <v>246.0</v>
      </c>
      <c r="H1614" s="14" t="s">
        <v>21</v>
      </c>
      <c r="I1614" s="19" t="s">
        <v>18582</v>
      </c>
      <c r="J1614" s="19" t="s">
        <v>18468</v>
      </c>
      <c r="K1614" s="19" t="s">
        <v>18468</v>
      </c>
      <c r="L1614" s="19" t="s">
        <v>18469</v>
      </c>
      <c r="M1614" s="20"/>
      <c r="N1614" s="27"/>
      <c r="O1614" s="109"/>
      <c r="P1614" s="28">
        <v>0.0</v>
      </c>
      <c r="Q1614" s="28">
        <v>1.0</v>
      </c>
      <c r="R1614" s="84"/>
      <c r="S1614" s="84"/>
      <c r="T1614" s="84"/>
      <c r="U1614" s="84"/>
      <c r="V1614" s="84"/>
      <c r="W1614" s="84"/>
      <c r="X1614" s="84"/>
      <c r="Y1614" s="84"/>
      <c r="Z1614" s="84"/>
      <c r="AA1614" s="84"/>
    </row>
    <row r="1615" ht="15.75" customHeight="1">
      <c r="A1615" s="14" t="s">
        <v>120</v>
      </c>
      <c r="B1615" s="15" t="s">
        <v>18064</v>
      </c>
      <c r="C1615" s="14" t="s">
        <v>18489</v>
      </c>
      <c r="D1615" s="14" t="s">
        <v>18583</v>
      </c>
      <c r="E1615" s="26" t="str">
        <f t="shared" si="27"/>
        <v>http://dx.doi.org/10.1109/VAST.2007.4470207</v>
      </c>
      <c r="F1615" s="14">
        <v>239.0</v>
      </c>
      <c r="G1615" s="14">
        <v>240.0</v>
      </c>
      <c r="H1615" s="14" t="s">
        <v>21</v>
      </c>
      <c r="I1615" s="18"/>
      <c r="J1615" s="19" t="s">
        <v>18584</v>
      </c>
      <c r="K1615" s="19" t="s">
        <v>18493</v>
      </c>
      <c r="L1615" s="18"/>
      <c r="M1615" s="20"/>
      <c r="N1615" s="27"/>
      <c r="O1615" s="22">
        <v>0.0</v>
      </c>
      <c r="P1615" s="28">
        <v>0.0</v>
      </c>
      <c r="Q1615" s="28">
        <v>3.0</v>
      </c>
      <c r="R1615" s="84"/>
      <c r="S1615" s="84"/>
      <c r="T1615" s="84"/>
      <c r="U1615" s="84"/>
      <c r="V1615" s="84"/>
      <c r="W1615" s="84"/>
      <c r="X1615" s="84"/>
      <c r="Y1615" s="84"/>
      <c r="Z1615" s="84"/>
      <c r="AA1615" s="84"/>
    </row>
    <row r="1616" ht="15.75" customHeight="1">
      <c r="A1616" s="14" t="s">
        <v>17</v>
      </c>
      <c r="B1616" s="15" t="s">
        <v>18064</v>
      </c>
      <c r="C1616" s="14" t="s">
        <v>18585</v>
      </c>
      <c r="D1616" s="14" t="s">
        <v>18586</v>
      </c>
      <c r="E1616" s="26" t="str">
        <f t="shared" si="27"/>
        <v>http://dx.doi.org/10.1109/TVCG.2007.70516</v>
      </c>
      <c r="F1616" s="14">
        <v>1600.0</v>
      </c>
      <c r="G1616" s="14">
        <v>1607.0</v>
      </c>
      <c r="H1616" s="14" t="s">
        <v>17059</v>
      </c>
      <c r="I1616" s="19" t="s">
        <v>18590</v>
      </c>
      <c r="J1616" s="19" t="s">
        <v>18591</v>
      </c>
      <c r="K1616" s="19" t="s">
        <v>18591</v>
      </c>
      <c r="L1616" s="19" t="s">
        <v>18592</v>
      </c>
      <c r="M1616" s="20" t="s">
        <v>18593</v>
      </c>
      <c r="N1616" s="44" t="s">
        <v>18594</v>
      </c>
      <c r="O1616" s="22">
        <v>54.0</v>
      </c>
      <c r="P1616" s="28">
        <v>31.0</v>
      </c>
      <c r="Q1616" s="28">
        <v>25.0</v>
      </c>
      <c r="R1616" s="84"/>
      <c r="S1616" s="84"/>
      <c r="T1616" s="84"/>
      <c r="U1616" s="84"/>
      <c r="V1616" s="84"/>
      <c r="W1616" s="84"/>
      <c r="X1616" s="84"/>
      <c r="Y1616" s="84"/>
      <c r="Z1616" s="84"/>
      <c r="AA1616" s="84"/>
    </row>
    <row r="1617" ht="15.75" customHeight="1">
      <c r="A1617" s="14" t="s">
        <v>17</v>
      </c>
      <c r="B1617" s="15" t="s">
        <v>18064</v>
      </c>
      <c r="C1617" s="14" t="s">
        <v>18595</v>
      </c>
      <c r="D1617" s="14" t="s">
        <v>18596</v>
      </c>
      <c r="E1617" s="26" t="str">
        <f t="shared" si="27"/>
        <v>http://dx.doi.org/10.1109/TVCG.2007.70517</v>
      </c>
      <c r="F1617" s="14">
        <v>1616.0</v>
      </c>
      <c r="G1617" s="14">
        <v>1623.0</v>
      </c>
      <c r="H1617" s="14" t="s">
        <v>17059</v>
      </c>
      <c r="I1617" s="19" t="s">
        <v>18597</v>
      </c>
      <c r="J1617" s="19" t="s">
        <v>18598</v>
      </c>
      <c r="K1617" s="19" t="s">
        <v>18598</v>
      </c>
      <c r="L1617" s="19" t="s">
        <v>18599</v>
      </c>
      <c r="M1617" s="20" t="s">
        <v>18600</v>
      </c>
      <c r="N1617" s="44" t="s">
        <v>18601</v>
      </c>
      <c r="O1617" s="22">
        <v>53.0</v>
      </c>
      <c r="P1617" s="28">
        <v>24.0</v>
      </c>
      <c r="Q1617" s="28">
        <v>33.0</v>
      </c>
      <c r="R1617" s="84"/>
      <c r="S1617" s="84"/>
      <c r="T1617" s="84"/>
      <c r="U1617" s="84"/>
      <c r="V1617" s="84"/>
      <c r="W1617" s="84"/>
      <c r="X1617" s="84"/>
      <c r="Y1617" s="84"/>
      <c r="Z1617" s="84"/>
      <c r="AA1617" s="84"/>
    </row>
    <row r="1618" ht="15.75" customHeight="1">
      <c r="A1618" s="14" t="s">
        <v>17</v>
      </c>
      <c r="B1618" s="15" t="s">
        <v>18064</v>
      </c>
      <c r="C1618" s="14" t="s">
        <v>18604</v>
      </c>
      <c r="D1618" s="14" t="s">
        <v>18605</v>
      </c>
      <c r="E1618" s="26" t="str">
        <f t="shared" si="27"/>
        <v>http://dx.doi.org/10.1109/TVCG.2007.70518</v>
      </c>
      <c r="F1618" s="14">
        <v>1648.0</v>
      </c>
      <c r="G1618" s="14">
        <v>1655.0</v>
      </c>
      <c r="H1618" s="14" t="s">
        <v>17059</v>
      </c>
      <c r="I1618" s="19" t="s">
        <v>18606</v>
      </c>
      <c r="J1618" s="19" t="s">
        <v>18607</v>
      </c>
      <c r="K1618" s="19" t="s">
        <v>18607</v>
      </c>
      <c r="L1618" s="19" t="s">
        <v>18608</v>
      </c>
      <c r="M1618" s="20" t="s">
        <v>18609</v>
      </c>
      <c r="N1618" s="44" t="s">
        <v>18610</v>
      </c>
      <c r="O1618" s="22">
        <v>120.0</v>
      </c>
      <c r="P1618" s="28">
        <v>58.0</v>
      </c>
      <c r="Q1618" s="28">
        <v>18.0</v>
      </c>
      <c r="R1618" s="84"/>
      <c r="S1618" s="84"/>
      <c r="T1618" s="84"/>
      <c r="U1618" s="84"/>
      <c r="V1618" s="84"/>
      <c r="W1618" s="84"/>
      <c r="X1618" s="84"/>
      <c r="Y1618" s="84"/>
      <c r="Z1618" s="84"/>
      <c r="AA1618" s="84"/>
    </row>
    <row r="1619" ht="15.75" customHeight="1">
      <c r="A1619" s="14" t="s">
        <v>17</v>
      </c>
      <c r="B1619" s="15" t="s">
        <v>18064</v>
      </c>
      <c r="C1619" s="14" t="s">
        <v>18611</v>
      </c>
      <c r="D1619" s="14" t="s">
        <v>18612</v>
      </c>
      <c r="E1619" s="26" t="str">
        <f t="shared" si="27"/>
        <v>http://dx.doi.org/10.1109/TVCG.2007.70519</v>
      </c>
      <c r="F1619" s="14">
        <v>1400.0</v>
      </c>
      <c r="G1619" s="14">
        <v>1407.0</v>
      </c>
      <c r="H1619" s="14" t="s">
        <v>17059</v>
      </c>
      <c r="I1619" s="19" t="s">
        <v>18615</v>
      </c>
      <c r="J1619" s="19" t="s">
        <v>18616</v>
      </c>
      <c r="K1619" s="19" t="s">
        <v>18617</v>
      </c>
      <c r="L1619" s="19" t="s">
        <v>18618</v>
      </c>
      <c r="M1619" s="20" t="s">
        <v>18619</v>
      </c>
      <c r="N1619" s="44" t="s">
        <v>18620</v>
      </c>
      <c r="O1619" s="22">
        <v>0.0</v>
      </c>
      <c r="P1619" s="28">
        <v>31.0</v>
      </c>
      <c r="Q1619" s="28">
        <v>22.0</v>
      </c>
      <c r="R1619" s="84"/>
      <c r="S1619" s="84"/>
      <c r="T1619" s="84"/>
      <c r="U1619" s="84"/>
      <c r="V1619" s="84"/>
      <c r="W1619" s="84"/>
      <c r="X1619" s="84"/>
      <c r="Y1619" s="84"/>
      <c r="Z1619" s="84"/>
      <c r="AA1619" s="84"/>
    </row>
    <row r="1620" ht="15.75" customHeight="1">
      <c r="A1620" s="14" t="s">
        <v>17</v>
      </c>
      <c r="B1620" s="15" t="s">
        <v>18064</v>
      </c>
      <c r="C1620" s="14" t="s">
        <v>18621</v>
      </c>
      <c r="D1620" s="14" t="s">
        <v>18622</v>
      </c>
      <c r="E1620" s="26" t="str">
        <f t="shared" si="27"/>
        <v>http://dx.doi.org/10.1109/TVCG.2007.70523</v>
      </c>
      <c r="F1620" s="14">
        <v>1408.0</v>
      </c>
      <c r="G1620" s="14">
        <v>1415.0</v>
      </c>
      <c r="H1620" s="14" t="s">
        <v>17059</v>
      </c>
      <c r="I1620" s="19" t="s">
        <v>18623</v>
      </c>
      <c r="J1620" s="19" t="s">
        <v>18624</v>
      </c>
      <c r="K1620" s="19" t="s">
        <v>18625</v>
      </c>
      <c r="L1620" s="19" t="s">
        <v>18626</v>
      </c>
      <c r="M1620" s="20" t="s">
        <v>18627</v>
      </c>
      <c r="N1620" s="44" t="s">
        <v>18628</v>
      </c>
      <c r="O1620" s="22">
        <v>74.0</v>
      </c>
      <c r="P1620" s="28">
        <v>43.0</v>
      </c>
      <c r="Q1620" s="28">
        <v>23.0</v>
      </c>
      <c r="R1620" s="84"/>
      <c r="S1620" s="84"/>
      <c r="T1620" s="84"/>
      <c r="U1620" s="84"/>
      <c r="V1620" s="84"/>
      <c r="W1620" s="84"/>
      <c r="X1620" s="84"/>
      <c r="Y1620" s="84"/>
      <c r="Z1620" s="84"/>
      <c r="AA1620" s="84"/>
    </row>
    <row r="1621" ht="15.75" customHeight="1">
      <c r="A1621" s="14" t="s">
        <v>17</v>
      </c>
      <c r="B1621" s="15" t="s">
        <v>18064</v>
      </c>
      <c r="C1621" s="14" t="s">
        <v>18629</v>
      </c>
      <c r="D1621" s="14" t="s">
        <v>18630</v>
      </c>
      <c r="E1621" s="26" t="str">
        <f t="shared" si="27"/>
        <v>http://dx.doi.org/10.1109/TVCG.2007.70526</v>
      </c>
      <c r="F1621" s="14">
        <v>1712.0</v>
      </c>
      <c r="G1621" s="14">
        <v>1718.0</v>
      </c>
      <c r="H1621" s="14" t="s">
        <v>17059</v>
      </c>
      <c r="I1621" s="19" t="s">
        <v>18631</v>
      </c>
      <c r="J1621" s="19" t="s">
        <v>18632</v>
      </c>
      <c r="K1621" s="19" t="s">
        <v>18633</v>
      </c>
      <c r="L1621" s="19" t="s">
        <v>18634</v>
      </c>
      <c r="M1621" s="20" t="s">
        <v>18635</v>
      </c>
      <c r="N1621" s="44" t="s">
        <v>18636</v>
      </c>
      <c r="O1621" s="22">
        <v>50.0</v>
      </c>
      <c r="P1621" s="28">
        <v>16.0</v>
      </c>
      <c r="Q1621" s="28">
        <v>41.0</v>
      </c>
      <c r="R1621" s="84"/>
      <c r="S1621" s="84"/>
      <c r="T1621" s="84"/>
      <c r="U1621" s="84"/>
      <c r="V1621" s="84"/>
      <c r="W1621" s="84"/>
      <c r="X1621" s="84"/>
      <c r="Y1621" s="84"/>
      <c r="Z1621" s="84"/>
      <c r="AA1621" s="84"/>
    </row>
    <row r="1622" ht="15.75" customHeight="1">
      <c r="A1622" s="14" t="s">
        <v>17</v>
      </c>
      <c r="B1622" s="15" t="s">
        <v>18064</v>
      </c>
      <c r="C1622" s="14" t="s">
        <v>18637</v>
      </c>
      <c r="D1622" s="14" t="s">
        <v>18638</v>
      </c>
      <c r="E1622" s="26" t="str">
        <f t="shared" si="27"/>
        <v>http://dx.doi.org/10.1109/TVCG.2007.70530</v>
      </c>
      <c r="F1622" s="14">
        <v>1640.0</v>
      </c>
      <c r="G1622" s="14">
        <v>1647.0</v>
      </c>
      <c r="H1622" s="14" t="s">
        <v>17059</v>
      </c>
      <c r="I1622" s="19" t="s">
        <v>18639</v>
      </c>
      <c r="J1622" s="19" t="s">
        <v>18640</v>
      </c>
      <c r="K1622" s="19" t="s">
        <v>18641</v>
      </c>
      <c r="L1622" s="19" t="s">
        <v>18642</v>
      </c>
      <c r="M1622" s="20" t="s">
        <v>18643</v>
      </c>
      <c r="N1622" s="44" t="s">
        <v>18644</v>
      </c>
      <c r="O1622" s="22">
        <v>45.0</v>
      </c>
      <c r="P1622" s="28">
        <v>17.0</v>
      </c>
      <c r="Q1622" s="28">
        <v>50.0</v>
      </c>
      <c r="R1622" s="84"/>
      <c r="S1622" s="84"/>
      <c r="T1622" s="84"/>
      <c r="U1622" s="84"/>
      <c r="V1622" s="84"/>
      <c r="W1622" s="84"/>
      <c r="X1622" s="84"/>
      <c r="Y1622" s="84"/>
      <c r="Z1622" s="84"/>
      <c r="AA1622" s="84"/>
    </row>
    <row r="1623" ht="15.75" customHeight="1">
      <c r="A1623" s="14" t="s">
        <v>17</v>
      </c>
      <c r="B1623" s="15" t="s">
        <v>18064</v>
      </c>
      <c r="C1623" s="14" t="s">
        <v>18645</v>
      </c>
      <c r="D1623" s="14" t="s">
        <v>18646</v>
      </c>
      <c r="E1623" s="26" t="str">
        <f t="shared" si="27"/>
        <v>http://dx.doi.org/10.1109/TVCG.2007.70532</v>
      </c>
      <c r="F1623" s="14">
        <v>1488.0</v>
      </c>
      <c r="G1623" s="14">
        <v>1495.0</v>
      </c>
      <c r="H1623" s="14" t="s">
        <v>17059</v>
      </c>
      <c r="I1623" s="19" t="s">
        <v>18647</v>
      </c>
      <c r="J1623" s="19" t="s">
        <v>18648</v>
      </c>
      <c r="K1623" s="19" t="s">
        <v>18649</v>
      </c>
      <c r="L1623" s="19" t="s">
        <v>18650</v>
      </c>
      <c r="M1623" s="20" t="s">
        <v>18651</v>
      </c>
      <c r="N1623" s="44" t="s">
        <v>18652</v>
      </c>
      <c r="O1623" s="22">
        <v>48.0</v>
      </c>
      <c r="P1623" s="28">
        <v>23.0</v>
      </c>
      <c r="Q1623" s="28">
        <v>23.0</v>
      </c>
      <c r="R1623" s="84"/>
      <c r="S1623" s="84"/>
      <c r="T1623" s="84"/>
      <c r="U1623" s="84"/>
      <c r="V1623" s="84"/>
      <c r="W1623" s="84"/>
      <c r="X1623" s="84"/>
      <c r="Y1623" s="84"/>
      <c r="Z1623" s="84"/>
      <c r="AA1623" s="84"/>
    </row>
    <row r="1624" ht="15.75" customHeight="1">
      <c r="A1624" s="14" t="s">
        <v>17</v>
      </c>
      <c r="B1624" s="15" t="s">
        <v>18064</v>
      </c>
      <c r="C1624" s="14" t="s">
        <v>18653</v>
      </c>
      <c r="D1624" s="14" t="s">
        <v>18654</v>
      </c>
      <c r="E1624" s="26" t="str">
        <f t="shared" si="27"/>
        <v>http://dx.doi.org/10.1109/TVCG.2007.70534</v>
      </c>
      <c r="F1624" s="14">
        <v>1584.0</v>
      </c>
      <c r="G1624" s="14">
        <v>1591.0</v>
      </c>
      <c r="H1624" s="14" t="s">
        <v>17059</v>
      </c>
      <c r="I1624" s="19" t="s">
        <v>18655</v>
      </c>
      <c r="J1624" s="19" t="s">
        <v>18656</v>
      </c>
      <c r="K1624" s="19" t="s">
        <v>18657</v>
      </c>
      <c r="L1624" s="18"/>
      <c r="M1624" s="20" t="s">
        <v>18658</v>
      </c>
      <c r="N1624" s="44" t="s">
        <v>18659</v>
      </c>
      <c r="O1624" s="22">
        <v>50.0</v>
      </c>
      <c r="P1624" s="28">
        <v>23.0</v>
      </c>
      <c r="Q1624" s="28">
        <v>15.0</v>
      </c>
      <c r="R1624" s="84"/>
      <c r="S1624" s="84"/>
      <c r="T1624" s="84"/>
      <c r="U1624" s="84"/>
      <c r="V1624" s="84"/>
      <c r="W1624" s="84"/>
      <c r="X1624" s="84"/>
      <c r="Y1624" s="84"/>
      <c r="Z1624" s="84"/>
      <c r="AA1624" s="84"/>
    </row>
    <row r="1625" ht="15.75" customHeight="1">
      <c r="A1625" s="14" t="s">
        <v>17</v>
      </c>
      <c r="B1625" s="15" t="s">
        <v>18064</v>
      </c>
      <c r="C1625" s="14" t="s">
        <v>18660</v>
      </c>
      <c r="D1625" s="14" t="s">
        <v>18661</v>
      </c>
      <c r="E1625" s="26" t="str">
        <f t="shared" si="27"/>
        <v>http://dx.doi.org/10.1109/TVCG.2007.70536</v>
      </c>
      <c r="F1625" s="14">
        <v>1360.0</v>
      </c>
      <c r="G1625" s="14">
        <v>1367.0</v>
      </c>
      <c r="H1625" s="14" t="s">
        <v>17059</v>
      </c>
      <c r="I1625" s="19" t="s">
        <v>18662</v>
      </c>
      <c r="J1625" s="19" t="s">
        <v>18663</v>
      </c>
      <c r="K1625" s="19" t="s">
        <v>18664</v>
      </c>
      <c r="L1625" s="19" t="s">
        <v>18665</v>
      </c>
      <c r="M1625" s="20" t="s">
        <v>5057</v>
      </c>
      <c r="N1625" s="44" t="s">
        <v>18666</v>
      </c>
      <c r="O1625" s="22">
        <v>15.0</v>
      </c>
      <c r="P1625" s="28">
        <v>15.0</v>
      </c>
      <c r="Q1625" s="28">
        <v>22.0</v>
      </c>
      <c r="R1625" s="84"/>
      <c r="S1625" s="84"/>
      <c r="T1625" s="84"/>
      <c r="U1625" s="84"/>
      <c r="V1625" s="84"/>
      <c r="W1625" s="84"/>
      <c r="X1625" s="84"/>
      <c r="Y1625" s="84"/>
      <c r="Z1625" s="84"/>
      <c r="AA1625" s="84"/>
    </row>
    <row r="1626" ht="15.75" customHeight="1">
      <c r="A1626" s="14" t="s">
        <v>17</v>
      </c>
      <c r="B1626" s="15" t="s">
        <v>18064</v>
      </c>
      <c r="C1626" s="14" t="s">
        <v>18667</v>
      </c>
      <c r="D1626" s="14" t="s">
        <v>18668</v>
      </c>
      <c r="E1626" s="26" t="str">
        <f t="shared" si="27"/>
        <v>http://dx.doi.org/10.1109/TVCG.2007.70538</v>
      </c>
      <c r="F1626" s="14">
        <v>1328.0</v>
      </c>
      <c r="G1626" s="14">
        <v>1335.0</v>
      </c>
      <c r="H1626" s="14" t="s">
        <v>17059</v>
      </c>
      <c r="I1626" s="19" t="s">
        <v>18669</v>
      </c>
      <c r="J1626" s="19" t="s">
        <v>18670</v>
      </c>
      <c r="K1626" s="19" t="s">
        <v>18671</v>
      </c>
      <c r="L1626" s="19" t="s">
        <v>18672</v>
      </c>
      <c r="M1626" s="20" t="s">
        <v>18673</v>
      </c>
      <c r="N1626" s="44" t="s">
        <v>18674</v>
      </c>
      <c r="O1626" s="22">
        <v>65.0</v>
      </c>
      <c r="P1626" s="28">
        <v>28.0</v>
      </c>
      <c r="Q1626" s="28">
        <v>38.0</v>
      </c>
      <c r="R1626" s="84"/>
      <c r="S1626" s="84"/>
      <c r="T1626" s="84"/>
      <c r="U1626" s="84"/>
      <c r="V1626" s="84"/>
      <c r="W1626" s="84"/>
      <c r="X1626" s="84"/>
      <c r="Y1626" s="84"/>
      <c r="Z1626" s="84"/>
      <c r="AA1626" s="84"/>
    </row>
    <row r="1627" ht="15.75" customHeight="1">
      <c r="A1627" s="14" t="s">
        <v>17</v>
      </c>
      <c r="B1627" s="15" t="s">
        <v>18064</v>
      </c>
      <c r="C1627" s="14" t="s">
        <v>18675</v>
      </c>
      <c r="D1627" s="14" t="s">
        <v>18676</v>
      </c>
      <c r="E1627" s="26" t="str">
        <f t="shared" si="27"/>
        <v>http://dx.doi.org/10.1109/TVCG.2007.70542</v>
      </c>
      <c r="F1627" s="14">
        <v>1664.0</v>
      </c>
      <c r="G1627" s="14">
        <v>1671.0</v>
      </c>
      <c r="H1627" s="14" t="s">
        <v>17059</v>
      </c>
      <c r="I1627" s="19" t="s">
        <v>18677</v>
      </c>
      <c r="J1627" s="19" t="s">
        <v>18678</v>
      </c>
      <c r="K1627" s="19" t="s">
        <v>18678</v>
      </c>
      <c r="L1627" s="19" t="s">
        <v>18679</v>
      </c>
      <c r="M1627" s="20" t="s">
        <v>18680</v>
      </c>
      <c r="N1627" s="44" t="s">
        <v>18681</v>
      </c>
      <c r="O1627" s="22">
        <v>30.0</v>
      </c>
      <c r="P1627" s="28">
        <v>12.0</v>
      </c>
      <c r="Q1627" s="28">
        <v>15.0</v>
      </c>
      <c r="R1627" s="84"/>
      <c r="S1627" s="84"/>
      <c r="T1627" s="84"/>
      <c r="U1627" s="84"/>
      <c r="V1627" s="84"/>
      <c r="W1627" s="84"/>
      <c r="X1627" s="84"/>
      <c r="Y1627" s="84"/>
      <c r="Z1627" s="84"/>
      <c r="AA1627" s="84"/>
    </row>
    <row r="1628" ht="15.75" customHeight="1">
      <c r="A1628" s="14" t="s">
        <v>17</v>
      </c>
      <c r="B1628" s="15" t="s">
        <v>18064</v>
      </c>
      <c r="C1628" s="14" t="s">
        <v>18682</v>
      </c>
      <c r="D1628" s="14" t="s">
        <v>18683</v>
      </c>
      <c r="E1628" s="26" t="str">
        <f t="shared" si="27"/>
        <v>http://dx.doi.org/10.1109/TVCG.2007.70543</v>
      </c>
      <c r="F1628" s="14">
        <v>1528.0</v>
      </c>
      <c r="G1628" s="14">
        <v>1535.0</v>
      </c>
      <c r="H1628" s="14" t="s">
        <v>17059</v>
      </c>
      <c r="I1628" s="19" t="s">
        <v>18684</v>
      </c>
      <c r="J1628" s="19" t="s">
        <v>18685</v>
      </c>
      <c r="K1628" s="19" t="s">
        <v>18686</v>
      </c>
      <c r="L1628" s="19" t="s">
        <v>18687</v>
      </c>
      <c r="M1628" s="20" t="s">
        <v>18688</v>
      </c>
      <c r="N1628" s="44" t="s">
        <v>18689</v>
      </c>
      <c r="O1628" s="22">
        <v>50.0</v>
      </c>
      <c r="P1628" s="28">
        <v>12.0</v>
      </c>
      <c r="Q1628" s="28">
        <v>31.0</v>
      </c>
      <c r="R1628" s="84"/>
      <c r="S1628" s="84"/>
      <c r="T1628" s="84"/>
      <c r="U1628" s="84"/>
      <c r="V1628" s="84"/>
      <c r="W1628" s="84"/>
      <c r="X1628" s="84"/>
      <c r="Y1628" s="84"/>
      <c r="Z1628" s="84"/>
      <c r="AA1628" s="84"/>
    </row>
    <row r="1629" ht="15.75" customHeight="1">
      <c r="A1629" s="14" t="s">
        <v>17</v>
      </c>
      <c r="B1629" s="15" t="s">
        <v>18064</v>
      </c>
      <c r="C1629" s="14" t="s">
        <v>18690</v>
      </c>
      <c r="D1629" s="14" t="s">
        <v>18691</v>
      </c>
      <c r="E1629" s="26" t="str">
        <f t="shared" si="27"/>
        <v>http://dx.doi.org/10.1109/TVCG.2007.70544</v>
      </c>
      <c r="F1629" s="14">
        <v>1568.0</v>
      </c>
      <c r="G1629" s="14">
        <v>1575.0</v>
      </c>
      <c r="H1629" s="14" t="s">
        <v>17059</v>
      </c>
      <c r="I1629" s="19" t="s">
        <v>18692</v>
      </c>
      <c r="J1629" s="19" t="s">
        <v>18693</v>
      </c>
      <c r="K1629" s="19" t="s">
        <v>18694</v>
      </c>
      <c r="L1629" s="19" t="s">
        <v>18695</v>
      </c>
      <c r="M1629" s="20" t="s">
        <v>18696</v>
      </c>
      <c r="N1629" s="44" t="s">
        <v>18697</v>
      </c>
      <c r="O1629" s="22">
        <v>55.0</v>
      </c>
      <c r="P1629" s="28">
        <v>20.0</v>
      </c>
      <c r="Q1629" s="28">
        <v>24.0</v>
      </c>
      <c r="R1629" s="84"/>
      <c r="S1629" s="84"/>
      <c r="T1629" s="84"/>
      <c r="U1629" s="84"/>
      <c r="V1629" s="84"/>
      <c r="W1629" s="84"/>
      <c r="X1629" s="84"/>
      <c r="Y1629" s="84"/>
      <c r="Z1629" s="84"/>
      <c r="AA1629" s="84"/>
    </row>
    <row r="1630" ht="15.75" customHeight="1">
      <c r="A1630" s="14" t="s">
        <v>17</v>
      </c>
      <c r="B1630" s="15" t="s">
        <v>18064</v>
      </c>
      <c r="C1630" s="14" t="s">
        <v>18698</v>
      </c>
      <c r="D1630" s="14" t="s">
        <v>18699</v>
      </c>
      <c r="E1630" s="26" t="str">
        <f t="shared" si="27"/>
        <v>http://dx.doi.org/10.1109/TVCG.2007.70545</v>
      </c>
      <c r="F1630" s="14">
        <v>1759.0</v>
      </c>
      <c r="G1630" s="14">
        <v>1766.0</v>
      </c>
      <c r="H1630" s="14" t="s">
        <v>17059</v>
      </c>
      <c r="I1630" s="19" t="s">
        <v>18700</v>
      </c>
      <c r="J1630" s="19" t="s">
        <v>18701</v>
      </c>
      <c r="K1630" s="19" t="s">
        <v>18701</v>
      </c>
      <c r="L1630" s="19" t="s">
        <v>18702</v>
      </c>
      <c r="M1630" s="20" t="s">
        <v>18703</v>
      </c>
      <c r="N1630" s="44" t="s">
        <v>18704</v>
      </c>
      <c r="O1630" s="22">
        <v>73.0</v>
      </c>
      <c r="P1630" s="28">
        <v>31.0</v>
      </c>
      <c r="Q1630" s="28">
        <v>22.0</v>
      </c>
      <c r="R1630" s="84"/>
      <c r="S1630" s="84"/>
      <c r="T1630" s="84"/>
      <c r="U1630" s="84"/>
      <c r="V1630" s="84"/>
      <c r="W1630" s="84"/>
      <c r="X1630" s="84"/>
      <c r="Y1630" s="84"/>
      <c r="Z1630" s="84"/>
      <c r="AA1630" s="84"/>
    </row>
    <row r="1631" ht="15.75" customHeight="1">
      <c r="A1631" s="14" t="s">
        <v>17</v>
      </c>
      <c r="B1631" s="15" t="s">
        <v>18064</v>
      </c>
      <c r="C1631" s="14" t="s">
        <v>18705</v>
      </c>
      <c r="D1631" s="14" t="s">
        <v>18706</v>
      </c>
      <c r="E1631" s="26" t="str">
        <f t="shared" si="27"/>
        <v>http://dx.doi.org/10.1109/TVCG.2007.70550</v>
      </c>
      <c r="F1631" s="14">
        <v>1632.0</v>
      </c>
      <c r="G1631" s="14">
        <v>1639.0</v>
      </c>
      <c r="H1631" s="14" t="s">
        <v>17059</v>
      </c>
      <c r="I1631" s="19" t="s">
        <v>18707</v>
      </c>
      <c r="J1631" s="19" t="s">
        <v>18708</v>
      </c>
      <c r="K1631" s="19" t="s">
        <v>18709</v>
      </c>
      <c r="L1631" s="19" t="s">
        <v>18710</v>
      </c>
      <c r="M1631" s="20" t="s">
        <v>18711</v>
      </c>
      <c r="N1631" s="44" t="s">
        <v>18712</v>
      </c>
      <c r="O1631" s="22">
        <v>53.0</v>
      </c>
      <c r="P1631" s="28">
        <v>30.0</v>
      </c>
      <c r="Q1631" s="28">
        <v>14.0</v>
      </c>
      <c r="R1631" s="84"/>
      <c r="S1631" s="84"/>
      <c r="T1631" s="84"/>
      <c r="U1631" s="84"/>
      <c r="V1631" s="84"/>
      <c r="W1631" s="84"/>
      <c r="X1631" s="84"/>
      <c r="Y1631" s="84"/>
      <c r="Z1631" s="84"/>
      <c r="AA1631" s="84"/>
    </row>
    <row r="1632" ht="15.75" customHeight="1">
      <c r="A1632" s="14" t="s">
        <v>17</v>
      </c>
      <c r="B1632" s="15" t="s">
        <v>18064</v>
      </c>
      <c r="C1632" s="14" t="s">
        <v>18713</v>
      </c>
      <c r="D1632" s="14" t="s">
        <v>18714</v>
      </c>
      <c r="E1632" s="26" t="str">
        <f t="shared" si="27"/>
        <v>http://dx.doi.org/10.1109/TVCG.2007.70551</v>
      </c>
      <c r="F1632" s="14">
        <v>1464.0</v>
      </c>
      <c r="G1632" s="14">
        <v>1471.0</v>
      </c>
      <c r="H1632" s="14" t="s">
        <v>17059</v>
      </c>
      <c r="I1632" s="19" t="s">
        <v>18715</v>
      </c>
      <c r="J1632" s="19" t="s">
        <v>18716</v>
      </c>
      <c r="K1632" s="19" t="s">
        <v>18717</v>
      </c>
      <c r="L1632" s="19" t="s">
        <v>18718</v>
      </c>
      <c r="M1632" s="20" t="s">
        <v>14759</v>
      </c>
      <c r="N1632" s="44" t="s">
        <v>18719</v>
      </c>
      <c r="O1632" s="22">
        <v>159.0</v>
      </c>
      <c r="P1632" s="28">
        <v>93.0</v>
      </c>
      <c r="Q1632" s="28">
        <v>23.0</v>
      </c>
      <c r="R1632" s="84"/>
      <c r="S1632" s="84"/>
      <c r="T1632" s="84"/>
      <c r="U1632" s="84"/>
      <c r="V1632" s="84"/>
      <c r="W1632" s="84"/>
      <c r="X1632" s="84"/>
      <c r="Y1632" s="84"/>
      <c r="Z1632" s="84"/>
      <c r="AA1632" s="84"/>
    </row>
    <row r="1633" ht="15.75" customHeight="1">
      <c r="A1633" s="14" t="s">
        <v>17</v>
      </c>
      <c r="B1633" s="15" t="s">
        <v>18064</v>
      </c>
      <c r="C1633" s="14" t="s">
        <v>18720</v>
      </c>
      <c r="D1633" s="14" t="s">
        <v>18721</v>
      </c>
      <c r="E1633" s="26" t="str">
        <f t="shared" si="27"/>
        <v>http://dx.doi.org/10.1109/TVCG.2007.70552</v>
      </c>
      <c r="F1633" s="14">
        <v>1440.0</v>
      </c>
      <c r="G1633" s="14">
        <v>1447.0</v>
      </c>
      <c r="H1633" s="14" t="s">
        <v>17059</v>
      </c>
      <c r="I1633" s="19" t="s">
        <v>18722</v>
      </c>
      <c r="J1633" s="19" t="s">
        <v>18723</v>
      </c>
      <c r="K1633" s="19" t="s">
        <v>18723</v>
      </c>
      <c r="L1633" s="19" t="s">
        <v>18724</v>
      </c>
      <c r="M1633" s="20" t="s">
        <v>18725</v>
      </c>
      <c r="N1633" s="44" t="s">
        <v>16823</v>
      </c>
      <c r="O1633" s="22">
        <v>107.0</v>
      </c>
      <c r="P1633" s="28">
        <v>44.0</v>
      </c>
      <c r="Q1633" s="28">
        <v>30.0</v>
      </c>
      <c r="R1633" s="84"/>
      <c r="S1633" s="84"/>
      <c r="T1633" s="84"/>
      <c r="U1633" s="84"/>
      <c r="V1633" s="84"/>
      <c r="W1633" s="84"/>
      <c r="X1633" s="84"/>
      <c r="Y1633" s="84"/>
      <c r="Z1633" s="84"/>
      <c r="AA1633" s="84"/>
    </row>
    <row r="1634" ht="15.75" customHeight="1">
      <c r="A1634" s="14" t="s">
        <v>17</v>
      </c>
      <c r="B1634" s="15" t="s">
        <v>18064</v>
      </c>
      <c r="C1634" s="14" t="s">
        <v>18726</v>
      </c>
      <c r="D1634" s="14" t="s">
        <v>18727</v>
      </c>
      <c r="E1634" s="26" t="str">
        <f t="shared" si="27"/>
        <v>http://dx.doi.org/10.1109/TVCG.2007.70553</v>
      </c>
      <c r="F1634" s="14">
        <v>1512.0</v>
      </c>
      <c r="G1634" s="14">
        <v>1519.0</v>
      </c>
      <c r="H1634" s="14" t="s">
        <v>17059</v>
      </c>
      <c r="I1634" s="19" t="s">
        <v>18728</v>
      </c>
      <c r="J1634" s="19" t="s">
        <v>18729</v>
      </c>
      <c r="K1634" s="19" t="s">
        <v>18730</v>
      </c>
      <c r="L1634" s="19" t="s">
        <v>18731</v>
      </c>
      <c r="M1634" s="20"/>
      <c r="N1634" s="44" t="s">
        <v>18732</v>
      </c>
      <c r="O1634" s="22">
        <v>30.0</v>
      </c>
      <c r="P1634" s="28">
        <v>11.0</v>
      </c>
      <c r="Q1634" s="28">
        <v>31.0</v>
      </c>
      <c r="R1634" s="84"/>
      <c r="S1634" s="84"/>
      <c r="T1634" s="84"/>
      <c r="U1634" s="84"/>
      <c r="V1634" s="84"/>
      <c r="W1634" s="84"/>
      <c r="X1634" s="84"/>
      <c r="Y1634" s="84"/>
      <c r="Z1634" s="84"/>
      <c r="AA1634" s="84"/>
    </row>
    <row r="1635" ht="15.75" customHeight="1">
      <c r="A1635" s="14" t="s">
        <v>17</v>
      </c>
      <c r="B1635" s="15" t="s">
        <v>18064</v>
      </c>
      <c r="C1635" s="14" t="s">
        <v>18733</v>
      </c>
      <c r="D1635" s="14" t="s">
        <v>18734</v>
      </c>
      <c r="E1635" s="26" t="str">
        <f t="shared" si="27"/>
        <v>http://dx.doi.org/10.1109/TVCG.2007.70554</v>
      </c>
      <c r="F1635" s="14">
        <v>1456.0</v>
      </c>
      <c r="G1635" s="14">
        <v>1463.0</v>
      </c>
      <c r="H1635" s="14" t="s">
        <v>17059</v>
      </c>
      <c r="I1635" s="19" t="s">
        <v>18735</v>
      </c>
      <c r="J1635" s="19" t="s">
        <v>18736</v>
      </c>
      <c r="K1635" s="19" t="s">
        <v>18736</v>
      </c>
      <c r="L1635" s="19" t="s">
        <v>18737</v>
      </c>
      <c r="M1635" s="20" t="s">
        <v>18738</v>
      </c>
      <c r="N1635" s="44" t="s">
        <v>18739</v>
      </c>
      <c r="O1635" s="22">
        <v>145.0</v>
      </c>
      <c r="P1635" s="28">
        <v>79.0</v>
      </c>
      <c r="Q1635" s="28">
        <v>30.0</v>
      </c>
      <c r="R1635" s="84"/>
      <c r="S1635" s="84"/>
      <c r="T1635" s="84"/>
      <c r="U1635" s="84"/>
      <c r="V1635" s="84"/>
      <c r="W1635" s="84"/>
      <c r="X1635" s="84"/>
      <c r="Y1635" s="84"/>
      <c r="Z1635" s="84"/>
      <c r="AA1635" s="84"/>
    </row>
    <row r="1636" ht="15.75" customHeight="1">
      <c r="A1636" s="14" t="s">
        <v>17</v>
      </c>
      <c r="B1636" s="15" t="s">
        <v>18064</v>
      </c>
      <c r="C1636" s="14" t="s">
        <v>18740</v>
      </c>
      <c r="D1636" s="14" t="s">
        <v>18741</v>
      </c>
      <c r="E1636" s="26" t="str">
        <f t="shared" si="27"/>
        <v>http://dx.doi.org/10.1109/TVCG.2007.70555</v>
      </c>
      <c r="F1636" s="14">
        <v>1344.0</v>
      </c>
      <c r="G1636" s="14">
        <v>1351.0</v>
      </c>
      <c r="H1636" s="14" t="s">
        <v>17059</v>
      </c>
      <c r="I1636" s="19" t="s">
        <v>18742</v>
      </c>
      <c r="J1636" s="19" t="s">
        <v>17046</v>
      </c>
      <c r="K1636" s="19" t="s">
        <v>18743</v>
      </c>
      <c r="L1636" s="19" t="s">
        <v>18744</v>
      </c>
      <c r="M1636" s="20" t="s">
        <v>18745</v>
      </c>
      <c r="N1636" s="44" t="s">
        <v>18746</v>
      </c>
      <c r="O1636" s="22">
        <v>105.0</v>
      </c>
      <c r="P1636" s="28">
        <v>53.0</v>
      </c>
      <c r="Q1636" s="28">
        <v>31.0</v>
      </c>
      <c r="R1636" s="84"/>
      <c r="S1636" s="84"/>
      <c r="T1636" s="84"/>
      <c r="U1636" s="84"/>
      <c r="V1636" s="84"/>
      <c r="W1636" s="84"/>
      <c r="X1636" s="84"/>
      <c r="Y1636" s="84"/>
      <c r="Z1636" s="84"/>
      <c r="AA1636" s="84"/>
    </row>
    <row r="1637" ht="15.75" customHeight="1">
      <c r="A1637" s="14" t="s">
        <v>17</v>
      </c>
      <c r="B1637" s="15" t="s">
        <v>18064</v>
      </c>
      <c r="C1637" s="14" t="s">
        <v>18747</v>
      </c>
      <c r="D1637" s="14" t="s">
        <v>18748</v>
      </c>
      <c r="E1637" s="26" t="str">
        <f t="shared" si="27"/>
        <v>http://dx.doi.org/10.1109/TVCG.2007.70557</v>
      </c>
      <c r="F1637" s="14">
        <v>1735.0</v>
      </c>
      <c r="G1637" s="14">
        <v>1742.0</v>
      </c>
      <c r="H1637" s="14" t="s">
        <v>17059</v>
      </c>
      <c r="I1637" s="19" t="s">
        <v>18749</v>
      </c>
      <c r="J1637" s="19" t="s">
        <v>18750</v>
      </c>
      <c r="K1637" s="19" t="s">
        <v>18751</v>
      </c>
      <c r="L1637" s="19" t="s">
        <v>17284</v>
      </c>
      <c r="M1637" s="20" t="s">
        <v>18752</v>
      </c>
      <c r="N1637" s="44" t="s">
        <v>18753</v>
      </c>
      <c r="O1637" s="22">
        <v>39.0</v>
      </c>
      <c r="P1637" s="28">
        <v>20.0</v>
      </c>
      <c r="Q1637" s="28">
        <v>33.0</v>
      </c>
      <c r="R1637" s="84"/>
      <c r="S1637" s="84"/>
      <c r="T1637" s="84"/>
      <c r="U1637" s="84"/>
      <c r="V1637" s="84"/>
      <c r="W1637" s="84"/>
      <c r="X1637" s="84"/>
      <c r="Y1637" s="84"/>
      <c r="Z1637" s="84"/>
      <c r="AA1637" s="84"/>
    </row>
    <row r="1638" ht="15.75" customHeight="1">
      <c r="A1638" s="14" t="s">
        <v>17</v>
      </c>
      <c r="B1638" s="15" t="s">
        <v>18064</v>
      </c>
      <c r="C1638" s="14" t="s">
        <v>18754</v>
      </c>
      <c r="D1638" s="14" t="s">
        <v>18755</v>
      </c>
      <c r="E1638" s="26" t="str">
        <f t="shared" si="27"/>
        <v>http://dx.doi.org/10.1109/TVCG.2007.70559</v>
      </c>
      <c r="F1638" s="14">
        <v>1656.0</v>
      </c>
      <c r="G1638" s="14">
        <v>1663.0</v>
      </c>
      <c r="H1638" s="14" t="s">
        <v>17059</v>
      </c>
      <c r="I1638" s="19" t="s">
        <v>18756</v>
      </c>
      <c r="J1638" s="19" t="s">
        <v>18757</v>
      </c>
      <c r="K1638" s="19" t="s">
        <v>18758</v>
      </c>
      <c r="L1638" s="19" t="s">
        <v>18759</v>
      </c>
      <c r="M1638" s="20" t="s">
        <v>18760</v>
      </c>
      <c r="N1638" s="44" t="s">
        <v>18761</v>
      </c>
      <c r="O1638" s="22">
        <v>18.0</v>
      </c>
      <c r="P1638" s="28">
        <v>12.0</v>
      </c>
      <c r="Q1638" s="28">
        <v>32.0</v>
      </c>
      <c r="R1638" s="84"/>
      <c r="S1638" s="84"/>
      <c r="T1638" s="84"/>
      <c r="U1638" s="84"/>
      <c r="V1638" s="84"/>
      <c r="W1638" s="84"/>
      <c r="X1638" s="84"/>
      <c r="Y1638" s="84"/>
      <c r="Z1638" s="84"/>
      <c r="AA1638" s="84"/>
    </row>
    <row r="1639" ht="15.75" customHeight="1">
      <c r="A1639" s="14" t="s">
        <v>17</v>
      </c>
      <c r="B1639" s="15" t="s">
        <v>18064</v>
      </c>
      <c r="C1639" s="14" t="s">
        <v>18762</v>
      </c>
      <c r="D1639" s="14" t="s">
        <v>18763</v>
      </c>
      <c r="E1639" s="26" t="str">
        <f t="shared" si="27"/>
        <v>http://dx.doi.org/10.1109/TVCG.2007.70560</v>
      </c>
      <c r="F1639" s="14">
        <v>1696.0</v>
      </c>
      <c r="G1639" s="14">
        <v>1703.0</v>
      </c>
      <c r="H1639" s="14" t="s">
        <v>17059</v>
      </c>
      <c r="I1639" s="19" t="s">
        <v>18764</v>
      </c>
      <c r="J1639" s="19" t="s">
        <v>18765</v>
      </c>
      <c r="K1639" s="19" t="s">
        <v>18765</v>
      </c>
      <c r="L1639" s="18"/>
      <c r="M1639" s="20" t="s">
        <v>18766</v>
      </c>
      <c r="N1639" s="44" t="s">
        <v>18767</v>
      </c>
      <c r="O1639" s="22">
        <v>108.0</v>
      </c>
      <c r="P1639" s="28">
        <v>55.0</v>
      </c>
      <c r="Q1639" s="28">
        <v>28.0</v>
      </c>
      <c r="R1639" s="85" t="s">
        <v>16068</v>
      </c>
      <c r="S1639" s="84"/>
      <c r="T1639" s="84"/>
      <c r="U1639" s="84"/>
      <c r="V1639" s="84"/>
      <c r="W1639" s="84"/>
      <c r="X1639" s="84"/>
      <c r="Y1639" s="84"/>
      <c r="Z1639" s="84"/>
      <c r="AA1639" s="84"/>
    </row>
    <row r="1640" ht="15.75" customHeight="1">
      <c r="A1640" s="14" t="s">
        <v>17</v>
      </c>
      <c r="B1640" s="15" t="s">
        <v>18064</v>
      </c>
      <c r="C1640" s="14" t="s">
        <v>18768</v>
      </c>
      <c r="D1640" s="14" t="s">
        <v>18769</v>
      </c>
      <c r="E1640" s="26" t="str">
        <f t="shared" si="27"/>
        <v>http://dx.doi.org/10.1109/TVCG.2007.70565</v>
      </c>
      <c r="F1640" s="14">
        <v>1320.0</v>
      </c>
      <c r="G1640" s="14">
        <v>1327.0</v>
      </c>
      <c r="H1640" s="14" t="s">
        <v>17059</v>
      </c>
      <c r="I1640" s="19" t="s">
        <v>18770</v>
      </c>
      <c r="J1640" s="19" t="s">
        <v>18771</v>
      </c>
      <c r="K1640" s="19" t="s">
        <v>18772</v>
      </c>
      <c r="L1640" s="19" t="s">
        <v>17746</v>
      </c>
      <c r="M1640" s="20" t="s">
        <v>18773</v>
      </c>
      <c r="N1640" s="44" t="s">
        <v>18774</v>
      </c>
      <c r="O1640" s="22">
        <v>46.0</v>
      </c>
      <c r="P1640" s="28">
        <v>22.0</v>
      </c>
      <c r="Q1640" s="28">
        <v>31.0</v>
      </c>
      <c r="R1640" s="84"/>
      <c r="S1640" s="84"/>
      <c r="T1640" s="84"/>
      <c r="U1640" s="84"/>
      <c r="V1640" s="84"/>
      <c r="W1640" s="84"/>
      <c r="X1640" s="84"/>
      <c r="Y1640" s="84"/>
      <c r="Z1640" s="84"/>
      <c r="AA1640" s="84"/>
    </row>
    <row r="1641" ht="15.75" customHeight="1">
      <c r="A1641" s="14" t="s">
        <v>17</v>
      </c>
      <c r="B1641" s="15" t="s">
        <v>18064</v>
      </c>
      <c r="C1641" s="14" t="s">
        <v>18775</v>
      </c>
      <c r="D1641" s="14" t="s">
        <v>18776</v>
      </c>
      <c r="E1641" s="26" t="str">
        <f t="shared" si="27"/>
        <v>http://dx.doi.org/10.1109/TVCG.2007.70566</v>
      </c>
      <c r="F1641" s="14">
        <v>1727.0</v>
      </c>
      <c r="G1641" s="14">
        <v>1734.0</v>
      </c>
      <c r="H1641" s="14" t="s">
        <v>17059</v>
      </c>
      <c r="I1641" s="19" t="s">
        <v>18777</v>
      </c>
      <c r="J1641" s="19" t="s">
        <v>18778</v>
      </c>
      <c r="K1641" s="19" t="s">
        <v>18778</v>
      </c>
      <c r="L1641" s="19" t="s">
        <v>18779</v>
      </c>
      <c r="M1641" s="20" t="s">
        <v>18780</v>
      </c>
      <c r="N1641" s="44" t="s">
        <v>18781</v>
      </c>
      <c r="O1641" s="22">
        <v>50.0</v>
      </c>
      <c r="P1641" s="28">
        <v>11.0</v>
      </c>
      <c r="Q1641" s="28">
        <v>41.0</v>
      </c>
      <c r="R1641" s="84"/>
      <c r="S1641" s="84"/>
      <c r="T1641" s="84"/>
      <c r="U1641" s="84"/>
      <c r="V1641" s="84"/>
      <c r="W1641" s="84"/>
      <c r="X1641" s="84"/>
      <c r="Y1641" s="84"/>
      <c r="Z1641" s="84"/>
      <c r="AA1641" s="84"/>
    </row>
    <row r="1642" ht="15.75" customHeight="1">
      <c r="A1642" s="14" t="s">
        <v>17</v>
      </c>
      <c r="B1642" s="15" t="s">
        <v>18064</v>
      </c>
      <c r="C1642" s="14" t="s">
        <v>18782</v>
      </c>
      <c r="D1642" s="14" t="s">
        <v>18783</v>
      </c>
      <c r="E1642" s="26" t="str">
        <f t="shared" si="27"/>
        <v>http://dx.doi.org/10.1109/TVCG.2007.70567</v>
      </c>
      <c r="F1642" s="14">
        <v>1672.0</v>
      </c>
      <c r="G1642" s="14">
        <v>1679.0</v>
      </c>
      <c r="H1642" s="14" t="s">
        <v>17059</v>
      </c>
      <c r="I1642" s="19" t="s">
        <v>18784</v>
      </c>
      <c r="J1642" s="19" t="s">
        <v>18785</v>
      </c>
      <c r="K1642" s="19" t="s">
        <v>18785</v>
      </c>
      <c r="L1642" s="19" t="s">
        <v>18786</v>
      </c>
      <c r="M1642" s="20" t="s">
        <v>18787</v>
      </c>
      <c r="N1642" s="44" t="s">
        <v>18788</v>
      </c>
      <c r="O1642" s="22">
        <v>62.0</v>
      </c>
      <c r="P1642" s="28">
        <v>23.0</v>
      </c>
      <c r="Q1642" s="28">
        <v>48.0</v>
      </c>
      <c r="R1642" s="84"/>
      <c r="S1642" s="84"/>
      <c r="T1642" s="84"/>
      <c r="U1642" s="84"/>
      <c r="V1642" s="84"/>
      <c r="W1642" s="84"/>
      <c r="X1642" s="84"/>
      <c r="Y1642" s="84"/>
      <c r="Z1642" s="84"/>
      <c r="AA1642" s="84"/>
    </row>
    <row r="1643" ht="15.75" customHeight="1">
      <c r="A1643" s="14" t="s">
        <v>17</v>
      </c>
      <c r="B1643" s="15" t="s">
        <v>18064</v>
      </c>
      <c r="C1643" s="14" t="s">
        <v>18789</v>
      </c>
      <c r="D1643" s="14" t="s">
        <v>18790</v>
      </c>
      <c r="E1643" s="26" t="str">
        <f t="shared" si="27"/>
        <v>http://dx.doi.org/10.1109/TVCG.2007.70569</v>
      </c>
      <c r="F1643" s="14">
        <v>1392.0</v>
      </c>
      <c r="G1643" s="14">
        <v>1399.0</v>
      </c>
      <c r="H1643" s="14" t="s">
        <v>17059</v>
      </c>
      <c r="I1643" s="19" t="s">
        <v>18791</v>
      </c>
      <c r="J1643" s="19" t="s">
        <v>18792</v>
      </c>
      <c r="K1643" s="19" t="s">
        <v>18793</v>
      </c>
      <c r="L1643" s="19" t="s">
        <v>18794</v>
      </c>
      <c r="M1643" s="20" t="s">
        <v>6057</v>
      </c>
      <c r="N1643" s="44" t="s">
        <v>18795</v>
      </c>
      <c r="O1643" s="22">
        <v>75.0</v>
      </c>
      <c r="P1643" s="28">
        <v>27.0</v>
      </c>
      <c r="Q1643" s="28">
        <v>28.0</v>
      </c>
      <c r="R1643" s="84"/>
      <c r="S1643" s="84"/>
      <c r="T1643" s="84"/>
      <c r="U1643" s="84"/>
      <c r="V1643" s="84"/>
      <c r="W1643" s="84"/>
      <c r="X1643" s="84"/>
      <c r="Y1643" s="84"/>
      <c r="Z1643" s="84"/>
      <c r="AA1643" s="84"/>
    </row>
    <row r="1644" ht="15.75" customHeight="1">
      <c r="A1644" s="14" t="s">
        <v>17</v>
      </c>
      <c r="B1644" s="15" t="s">
        <v>18064</v>
      </c>
      <c r="C1644" s="14" t="s">
        <v>18796</v>
      </c>
      <c r="D1644" s="14" t="s">
        <v>18797</v>
      </c>
      <c r="E1644" s="26" t="str">
        <f t="shared" si="27"/>
        <v>http://dx.doi.org/10.1109/TVCG.2007.70571</v>
      </c>
      <c r="F1644" s="14">
        <v>1480.0</v>
      </c>
      <c r="G1644" s="14">
        <v>1487.0</v>
      </c>
      <c r="H1644" s="14" t="s">
        <v>17059</v>
      </c>
      <c r="I1644" s="19" t="s">
        <v>18798</v>
      </c>
      <c r="J1644" s="19" t="s">
        <v>18799</v>
      </c>
      <c r="K1644" s="19" t="s">
        <v>18800</v>
      </c>
      <c r="L1644" s="19" t="s">
        <v>18801</v>
      </c>
      <c r="M1644" s="20" t="s">
        <v>18802</v>
      </c>
      <c r="N1644" s="44" t="s">
        <v>18803</v>
      </c>
      <c r="O1644" s="22">
        <v>67.0</v>
      </c>
      <c r="P1644" s="28">
        <v>37.0</v>
      </c>
      <c r="Q1644" s="28">
        <v>30.0</v>
      </c>
      <c r="R1644" s="84"/>
      <c r="S1644" s="84"/>
      <c r="T1644" s="84"/>
      <c r="U1644" s="84"/>
      <c r="V1644" s="84"/>
      <c r="W1644" s="84"/>
      <c r="X1644" s="84"/>
      <c r="Y1644" s="84"/>
      <c r="Z1644" s="84"/>
      <c r="AA1644" s="84"/>
    </row>
    <row r="1645" ht="15.75" customHeight="1">
      <c r="A1645" s="14" t="s">
        <v>17</v>
      </c>
      <c r="B1645" s="15" t="s">
        <v>18064</v>
      </c>
      <c r="C1645" s="14" t="s">
        <v>18804</v>
      </c>
      <c r="D1645" s="14" t="s">
        <v>18805</v>
      </c>
      <c r="E1645" s="26" t="str">
        <f t="shared" si="27"/>
        <v>http://dx.doi.org/10.1109/TVCG.2007.70572</v>
      </c>
      <c r="F1645" s="14">
        <v>1424.0</v>
      </c>
      <c r="G1645" s="14">
        <v>1431.0</v>
      </c>
      <c r="H1645" s="14" t="s">
        <v>17059</v>
      </c>
      <c r="I1645" s="19" t="s">
        <v>18806</v>
      </c>
      <c r="J1645" s="19" t="s">
        <v>18807</v>
      </c>
      <c r="K1645" s="19" t="s">
        <v>18808</v>
      </c>
      <c r="L1645" s="19" t="s">
        <v>18809</v>
      </c>
      <c r="M1645" s="20" t="s">
        <v>18810</v>
      </c>
      <c r="N1645" s="44" t="s">
        <v>18811</v>
      </c>
      <c r="O1645" s="22">
        <v>8.0</v>
      </c>
      <c r="P1645" s="28">
        <v>3.0</v>
      </c>
      <c r="Q1645" s="28">
        <v>28.0</v>
      </c>
      <c r="R1645" s="84"/>
      <c r="S1645" s="84"/>
      <c r="T1645" s="84"/>
      <c r="U1645" s="84"/>
      <c r="V1645" s="84"/>
      <c r="W1645" s="84"/>
      <c r="X1645" s="84"/>
      <c r="Y1645" s="84"/>
      <c r="Z1645" s="84"/>
      <c r="AA1645" s="84"/>
    </row>
    <row r="1646" ht="15.75" customHeight="1">
      <c r="A1646" s="14" t="s">
        <v>17</v>
      </c>
      <c r="B1646" s="15" t="s">
        <v>18064</v>
      </c>
      <c r="C1646" s="14" t="s">
        <v>18812</v>
      </c>
      <c r="D1646" s="14" t="s">
        <v>18813</v>
      </c>
      <c r="E1646" s="26" t="str">
        <f t="shared" si="27"/>
        <v>http://dx.doi.org/10.1109/TVCG.2007.70573</v>
      </c>
      <c r="F1646" s="14">
        <v>1576.0</v>
      </c>
      <c r="G1646" s="14">
        <v>1583.0</v>
      </c>
      <c r="H1646" s="14" t="s">
        <v>17059</v>
      </c>
      <c r="I1646" s="19" t="s">
        <v>18814</v>
      </c>
      <c r="J1646" s="19" t="s">
        <v>18815</v>
      </c>
      <c r="K1646" s="19" t="s">
        <v>18816</v>
      </c>
      <c r="L1646" s="19" t="s">
        <v>18817</v>
      </c>
      <c r="M1646" s="20" t="s">
        <v>18818</v>
      </c>
      <c r="N1646" s="44" t="s">
        <v>18819</v>
      </c>
      <c r="O1646" s="22">
        <v>39.0</v>
      </c>
      <c r="P1646" s="28">
        <v>23.0</v>
      </c>
      <c r="Q1646" s="28">
        <v>29.0</v>
      </c>
      <c r="R1646" s="84"/>
      <c r="S1646" s="84"/>
      <c r="T1646" s="84"/>
      <c r="U1646" s="84"/>
      <c r="V1646" s="84"/>
      <c r="W1646" s="84"/>
      <c r="X1646" s="84"/>
      <c r="Y1646" s="84"/>
      <c r="Z1646" s="84"/>
      <c r="AA1646" s="84"/>
    </row>
    <row r="1647" ht="15.75" customHeight="1">
      <c r="A1647" s="14" t="s">
        <v>17</v>
      </c>
      <c r="B1647" s="15" t="s">
        <v>18064</v>
      </c>
      <c r="C1647" s="14" t="s">
        <v>18820</v>
      </c>
      <c r="D1647" s="14" t="s">
        <v>18821</v>
      </c>
      <c r="E1647" s="26" t="str">
        <f t="shared" si="27"/>
        <v>http://dx.doi.org/10.1109/TVCG.2007.70575</v>
      </c>
      <c r="F1647" s="14">
        <v>1680.0</v>
      </c>
      <c r="G1647" s="14">
        <v>1687.0</v>
      </c>
      <c r="H1647" s="14" t="s">
        <v>17059</v>
      </c>
      <c r="I1647" s="19" t="s">
        <v>18824</v>
      </c>
      <c r="J1647" s="19" t="s">
        <v>18825</v>
      </c>
      <c r="K1647" s="19" t="s">
        <v>18825</v>
      </c>
      <c r="L1647" s="19" t="s">
        <v>18826</v>
      </c>
      <c r="M1647" s="20" t="s">
        <v>18787</v>
      </c>
      <c r="N1647" s="44" t="s">
        <v>18827</v>
      </c>
      <c r="O1647" s="22">
        <v>7.0</v>
      </c>
      <c r="P1647" s="28">
        <v>3.0</v>
      </c>
      <c r="Q1647" s="28">
        <v>26.0</v>
      </c>
      <c r="R1647" s="84"/>
      <c r="S1647" s="84"/>
      <c r="T1647" s="84"/>
      <c r="U1647" s="84"/>
      <c r="V1647" s="84"/>
      <c r="W1647" s="84"/>
      <c r="X1647" s="84"/>
      <c r="Y1647" s="84"/>
      <c r="Z1647" s="84"/>
      <c r="AA1647" s="84"/>
    </row>
    <row r="1648" ht="15.75" customHeight="1">
      <c r="A1648" s="14" t="s">
        <v>17</v>
      </c>
      <c r="B1648" s="15" t="s">
        <v>18064</v>
      </c>
      <c r="C1648" s="14" t="s">
        <v>18828</v>
      </c>
      <c r="D1648" s="14" t="s">
        <v>18829</v>
      </c>
      <c r="E1648" s="26" t="str">
        <f t="shared" si="27"/>
        <v>http://dx.doi.org/10.1109/TVCG.2007.70576</v>
      </c>
      <c r="F1648" s="14">
        <v>1544.0</v>
      </c>
      <c r="G1648" s="14">
        <v>1551.0</v>
      </c>
      <c r="H1648" s="14" t="s">
        <v>17059</v>
      </c>
      <c r="I1648" s="19" t="s">
        <v>18830</v>
      </c>
      <c r="J1648" s="19" t="s">
        <v>18831</v>
      </c>
      <c r="K1648" s="19" t="s">
        <v>18832</v>
      </c>
      <c r="L1648" s="19" t="s">
        <v>17753</v>
      </c>
      <c r="M1648" s="20" t="s">
        <v>18833</v>
      </c>
      <c r="N1648" s="44" t="s">
        <v>18834</v>
      </c>
      <c r="O1648" s="22">
        <v>48.0</v>
      </c>
      <c r="P1648" s="28">
        <v>21.0</v>
      </c>
      <c r="Q1648" s="28">
        <v>20.0</v>
      </c>
      <c r="R1648" s="84"/>
      <c r="S1648" s="84"/>
      <c r="T1648" s="84"/>
      <c r="U1648" s="84"/>
      <c r="V1648" s="84"/>
      <c r="W1648" s="84"/>
      <c r="X1648" s="84"/>
      <c r="Y1648" s="84"/>
      <c r="Z1648" s="84"/>
      <c r="AA1648" s="84"/>
    </row>
    <row r="1649" ht="15.75" customHeight="1">
      <c r="A1649" s="14" t="s">
        <v>17</v>
      </c>
      <c r="B1649" s="15" t="s">
        <v>18064</v>
      </c>
      <c r="C1649" s="14" t="s">
        <v>18837</v>
      </c>
      <c r="D1649" s="14" t="s">
        <v>18838</v>
      </c>
      <c r="E1649" s="26" t="str">
        <f t="shared" si="27"/>
        <v>http://dx.doi.org/10.1109/TVCG.2007.70578</v>
      </c>
      <c r="F1649" s="14">
        <v>1608.0</v>
      </c>
      <c r="G1649" s="14">
        <v>1615.0</v>
      </c>
      <c r="H1649" s="14" t="s">
        <v>17059</v>
      </c>
      <c r="I1649" s="19" t="s">
        <v>18840</v>
      </c>
      <c r="J1649" s="19" t="s">
        <v>18841</v>
      </c>
      <c r="K1649" s="19" t="s">
        <v>18841</v>
      </c>
      <c r="L1649" s="19" t="s">
        <v>18842</v>
      </c>
      <c r="M1649" s="20" t="s">
        <v>18843</v>
      </c>
      <c r="N1649" s="44" t="s">
        <v>18844</v>
      </c>
      <c r="O1649" s="22">
        <v>50.0</v>
      </c>
      <c r="P1649" s="28">
        <v>23.0</v>
      </c>
      <c r="Q1649" s="28">
        <v>39.0</v>
      </c>
      <c r="R1649" s="84"/>
      <c r="S1649" s="84"/>
      <c r="T1649" s="84"/>
      <c r="U1649" s="84"/>
      <c r="V1649" s="84"/>
      <c r="W1649" s="84"/>
      <c r="X1649" s="84"/>
      <c r="Y1649" s="84"/>
      <c r="Z1649" s="84"/>
      <c r="AA1649" s="84"/>
    </row>
    <row r="1650" ht="15.75" customHeight="1">
      <c r="A1650" s="14" t="s">
        <v>17</v>
      </c>
      <c r="B1650" s="15" t="s">
        <v>18064</v>
      </c>
      <c r="C1650" s="14" t="s">
        <v>18845</v>
      </c>
      <c r="D1650" s="14" t="s">
        <v>18846</v>
      </c>
      <c r="E1650" s="26" t="str">
        <f t="shared" si="27"/>
        <v>http://dx.doi.org/10.1109/TVCG.2007.70579</v>
      </c>
      <c r="F1650" s="14">
        <v>1743.0</v>
      </c>
      <c r="G1650" s="14">
        <v>1750.0</v>
      </c>
      <c r="H1650" s="14" t="s">
        <v>17059</v>
      </c>
      <c r="I1650" s="19" t="s">
        <v>18847</v>
      </c>
      <c r="J1650" s="19" t="s">
        <v>18848</v>
      </c>
      <c r="K1650" s="19" t="s">
        <v>18848</v>
      </c>
      <c r="L1650" s="19" t="s">
        <v>18849</v>
      </c>
      <c r="M1650" s="20" t="s">
        <v>18851</v>
      </c>
      <c r="N1650" s="44" t="s">
        <v>18852</v>
      </c>
      <c r="O1650" s="22">
        <v>50.0</v>
      </c>
      <c r="P1650" s="28">
        <v>32.0</v>
      </c>
      <c r="Q1650" s="28">
        <v>23.0</v>
      </c>
      <c r="R1650" s="84"/>
      <c r="S1650" s="84"/>
      <c r="T1650" s="84"/>
      <c r="U1650" s="84"/>
      <c r="V1650" s="84"/>
      <c r="W1650" s="84"/>
      <c r="X1650" s="84"/>
      <c r="Y1650" s="84"/>
      <c r="Z1650" s="84"/>
      <c r="AA1650" s="84"/>
    </row>
    <row r="1651" ht="15.75" customHeight="1">
      <c r="A1651" s="14" t="s">
        <v>17</v>
      </c>
      <c r="B1651" s="15" t="s">
        <v>18064</v>
      </c>
      <c r="C1651" s="14" t="s">
        <v>18853</v>
      </c>
      <c r="D1651" s="14" t="s">
        <v>18854</v>
      </c>
      <c r="E1651" s="26" t="str">
        <f t="shared" si="27"/>
        <v>http://dx.doi.org/10.1109/TVCG.2007.70581</v>
      </c>
      <c r="F1651" s="14">
        <v>1552.0</v>
      </c>
      <c r="G1651" s="14">
        <v>1559.0</v>
      </c>
      <c r="H1651" s="14" t="s">
        <v>17059</v>
      </c>
      <c r="I1651" s="19" t="s">
        <v>18856</v>
      </c>
      <c r="J1651" s="19" t="s">
        <v>18857</v>
      </c>
      <c r="K1651" s="19" t="s">
        <v>18858</v>
      </c>
      <c r="L1651" s="19" t="s">
        <v>18859</v>
      </c>
      <c r="M1651" s="20"/>
      <c r="N1651" s="44" t="s">
        <v>18860</v>
      </c>
      <c r="O1651" s="22">
        <v>50.0</v>
      </c>
      <c r="P1651" s="28">
        <v>20.0</v>
      </c>
      <c r="Q1651" s="28">
        <v>18.0</v>
      </c>
      <c r="R1651" s="84"/>
      <c r="S1651" s="84"/>
      <c r="T1651" s="84"/>
      <c r="U1651" s="84"/>
      <c r="V1651" s="84"/>
      <c r="W1651" s="84"/>
      <c r="X1651" s="84"/>
      <c r="Y1651" s="84"/>
      <c r="Z1651" s="84"/>
      <c r="AA1651" s="84"/>
    </row>
    <row r="1652" ht="15.75" customHeight="1">
      <c r="A1652" s="14" t="s">
        <v>17</v>
      </c>
      <c r="B1652" s="15" t="s">
        <v>18064</v>
      </c>
      <c r="C1652" s="14" t="s">
        <v>18861</v>
      </c>
      <c r="D1652" s="14" t="s">
        <v>18862</v>
      </c>
      <c r="E1652" s="26" t="str">
        <f t="shared" si="27"/>
        <v>http://dx.doi.org/10.1109/TVCG.2007.70584</v>
      </c>
      <c r="F1652" s="14">
        <v>1560.0</v>
      </c>
      <c r="G1652" s="14">
        <v>1567.0</v>
      </c>
      <c r="H1652" s="14" t="s">
        <v>17059</v>
      </c>
      <c r="I1652" s="19" t="s">
        <v>18863</v>
      </c>
      <c r="J1652" s="19" t="s">
        <v>18864</v>
      </c>
      <c r="K1652" s="19" t="s">
        <v>18865</v>
      </c>
      <c r="L1652" s="19" t="s">
        <v>18866</v>
      </c>
      <c r="M1652" s="20" t="s">
        <v>18867</v>
      </c>
      <c r="N1652" s="44" t="s">
        <v>18868</v>
      </c>
      <c r="O1652" s="22">
        <v>139.0</v>
      </c>
      <c r="P1652" s="28">
        <v>49.0</v>
      </c>
      <c r="Q1652" s="28">
        <v>31.0</v>
      </c>
      <c r="R1652" s="85" t="s">
        <v>106</v>
      </c>
      <c r="S1652" s="84"/>
      <c r="T1652" s="84"/>
      <c r="U1652" s="84"/>
      <c r="V1652" s="84"/>
      <c r="W1652" s="84"/>
      <c r="X1652" s="84"/>
      <c r="Y1652" s="84"/>
      <c r="Z1652" s="84"/>
      <c r="AA1652" s="84"/>
    </row>
    <row r="1653" ht="15.75" customHeight="1">
      <c r="A1653" s="14" t="s">
        <v>17</v>
      </c>
      <c r="B1653" s="15" t="s">
        <v>18064</v>
      </c>
      <c r="C1653" s="14" t="s">
        <v>18871</v>
      </c>
      <c r="D1653" s="14" t="s">
        <v>18872</v>
      </c>
      <c r="E1653" s="26" t="str">
        <f t="shared" si="27"/>
        <v>http://dx.doi.org/10.1109/TVCG.2007.70585</v>
      </c>
      <c r="F1653" s="14">
        <v>1536.0</v>
      </c>
      <c r="G1653" s="14">
        <v>1543.0</v>
      </c>
      <c r="H1653" s="14" t="s">
        <v>17059</v>
      </c>
      <c r="I1653" s="19" t="s">
        <v>18873</v>
      </c>
      <c r="J1653" s="19" t="s">
        <v>17806</v>
      </c>
      <c r="K1653" s="19" t="s">
        <v>17807</v>
      </c>
      <c r="L1653" s="19" t="s">
        <v>18874</v>
      </c>
      <c r="M1653" s="20" t="s">
        <v>18875</v>
      </c>
      <c r="N1653" s="44" t="s">
        <v>18876</v>
      </c>
      <c r="O1653" s="22">
        <v>46.0</v>
      </c>
      <c r="P1653" s="28">
        <v>20.0</v>
      </c>
      <c r="Q1653" s="28">
        <v>44.0</v>
      </c>
      <c r="R1653" s="84"/>
      <c r="S1653" s="84"/>
      <c r="T1653" s="84"/>
      <c r="U1653" s="84"/>
      <c r="V1653" s="84"/>
      <c r="W1653" s="84"/>
      <c r="X1653" s="84"/>
      <c r="Y1653" s="84"/>
      <c r="Z1653" s="84"/>
      <c r="AA1653" s="84"/>
    </row>
    <row r="1654" ht="15.75" customHeight="1">
      <c r="A1654" s="14" t="s">
        <v>17</v>
      </c>
      <c r="B1654" s="15" t="s">
        <v>18064</v>
      </c>
      <c r="C1654" s="14" t="s">
        <v>18877</v>
      </c>
      <c r="D1654" s="14" t="s">
        <v>18878</v>
      </c>
      <c r="E1654" s="26" t="str">
        <f t="shared" si="27"/>
        <v>http://dx.doi.org/10.1109/TVCG.2007.70586</v>
      </c>
      <c r="F1654" s="14">
        <v>1368.0</v>
      </c>
      <c r="G1654" s="14">
        <v>1375.0</v>
      </c>
      <c r="H1654" s="14" t="s">
        <v>17059</v>
      </c>
      <c r="I1654" s="19" t="s">
        <v>18880</v>
      </c>
      <c r="J1654" s="19" t="s">
        <v>18881</v>
      </c>
      <c r="K1654" s="19" t="s">
        <v>18882</v>
      </c>
      <c r="L1654" s="19" t="s">
        <v>18883</v>
      </c>
      <c r="M1654" s="20" t="s">
        <v>18884</v>
      </c>
      <c r="N1654" s="44" t="s">
        <v>18886</v>
      </c>
      <c r="O1654" s="22">
        <v>60.0</v>
      </c>
      <c r="P1654" s="28">
        <v>17.0</v>
      </c>
      <c r="Q1654" s="28">
        <v>39.0</v>
      </c>
      <c r="R1654" s="84"/>
      <c r="S1654" s="84"/>
      <c r="T1654" s="84"/>
      <c r="U1654" s="84"/>
      <c r="V1654" s="84"/>
      <c r="W1654" s="84"/>
      <c r="X1654" s="84"/>
      <c r="Y1654" s="84"/>
      <c r="Z1654" s="84"/>
      <c r="AA1654" s="84"/>
    </row>
    <row r="1655" ht="15.75" customHeight="1">
      <c r="A1655" s="14" t="s">
        <v>17</v>
      </c>
      <c r="B1655" s="15" t="s">
        <v>18064</v>
      </c>
      <c r="C1655" s="54" t="s">
        <v>18887</v>
      </c>
      <c r="D1655" s="14" t="s">
        <v>18888</v>
      </c>
      <c r="E1655" s="26" t="str">
        <f t="shared" si="27"/>
        <v>http://dx.doi.org/10.1109/TVCG.2007.70587</v>
      </c>
      <c r="F1655" s="14">
        <v>1352.0</v>
      </c>
      <c r="G1655" s="14">
        <v>1359.0</v>
      </c>
      <c r="H1655" s="14" t="s">
        <v>17059</v>
      </c>
      <c r="I1655" s="19" t="s">
        <v>18889</v>
      </c>
      <c r="J1655" s="19" t="s">
        <v>18890</v>
      </c>
      <c r="K1655" s="19" t="s">
        <v>18890</v>
      </c>
      <c r="L1655" s="19" t="s">
        <v>18891</v>
      </c>
      <c r="M1655" s="20" t="s">
        <v>16370</v>
      </c>
      <c r="N1655" s="44" t="s">
        <v>18886</v>
      </c>
      <c r="O1655" s="22">
        <v>50.0</v>
      </c>
      <c r="P1655" s="28">
        <v>5.0</v>
      </c>
      <c r="Q1655" s="28">
        <v>22.0</v>
      </c>
      <c r="R1655" s="84"/>
      <c r="S1655" s="84"/>
      <c r="T1655" s="84"/>
      <c r="U1655" s="84"/>
      <c r="V1655" s="84"/>
      <c r="W1655" s="84"/>
      <c r="X1655" s="84"/>
      <c r="Y1655" s="84"/>
      <c r="Z1655" s="84"/>
      <c r="AA1655" s="84"/>
    </row>
    <row r="1656" ht="15.75" customHeight="1">
      <c r="A1656" s="14" t="s">
        <v>17</v>
      </c>
      <c r="B1656" s="15" t="s">
        <v>18064</v>
      </c>
      <c r="C1656" s="14" t="s">
        <v>18892</v>
      </c>
      <c r="D1656" s="14" t="s">
        <v>18893</v>
      </c>
      <c r="E1656" s="26" t="str">
        <f t="shared" si="27"/>
        <v>http://dx.doi.org/10.1109/TVCG.2007.70588</v>
      </c>
      <c r="F1656" s="14">
        <v>1592.0</v>
      </c>
      <c r="G1656" s="14">
        <v>1599.0</v>
      </c>
      <c r="H1656" s="14" t="s">
        <v>17059</v>
      </c>
      <c r="I1656" s="19" t="s">
        <v>18897</v>
      </c>
      <c r="J1656" s="19" t="s">
        <v>18898</v>
      </c>
      <c r="K1656" s="19" t="s">
        <v>18898</v>
      </c>
      <c r="L1656" s="19" t="s">
        <v>18899</v>
      </c>
      <c r="M1656" s="20" t="s">
        <v>18900</v>
      </c>
      <c r="N1656" s="44" t="s">
        <v>18901</v>
      </c>
      <c r="O1656" s="22">
        <v>41.0</v>
      </c>
      <c r="P1656" s="28">
        <v>15.0</v>
      </c>
      <c r="Q1656" s="28">
        <v>37.0</v>
      </c>
      <c r="R1656" s="84"/>
      <c r="S1656" s="84"/>
      <c r="T1656" s="84"/>
      <c r="U1656" s="84"/>
      <c r="V1656" s="84"/>
      <c r="W1656" s="84"/>
      <c r="X1656" s="84"/>
      <c r="Y1656" s="84"/>
      <c r="Z1656" s="84"/>
      <c r="AA1656" s="84"/>
    </row>
    <row r="1657" ht="15.75" customHeight="1">
      <c r="A1657" s="14" t="s">
        <v>17</v>
      </c>
      <c r="B1657" s="15" t="s">
        <v>18064</v>
      </c>
      <c r="C1657" s="14" t="s">
        <v>18902</v>
      </c>
      <c r="D1657" s="14" t="s">
        <v>18903</v>
      </c>
      <c r="E1657" s="26" t="str">
        <f t="shared" si="27"/>
        <v>http://dx.doi.org/10.1109/TVCG.2007.70590</v>
      </c>
      <c r="F1657" s="14">
        <v>1719.0</v>
      </c>
      <c r="G1657" s="14">
        <v>1726.0</v>
      </c>
      <c r="H1657" s="14" t="s">
        <v>17059</v>
      </c>
      <c r="I1657" s="19" t="s">
        <v>18904</v>
      </c>
      <c r="J1657" s="19" t="s">
        <v>18905</v>
      </c>
      <c r="K1657" s="19" t="s">
        <v>18906</v>
      </c>
      <c r="L1657" s="18"/>
      <c r="M1657" s="20" t="s">
        <v>18907</v>
      </c>
      <c r="N1657" s="44" t="s">
        <v>18908</v>
      </c>
      <c r="O1657" s="22">
        <v>74.0</v>
      </c>
      <c r="P1657" s="28">
        <v>41.0</v>
      </c>
      <c r="Q1657" s="28">
        <v>26.0</v>
      </c>
      <c r="R1657" s="84"/>
      <c r="S1657" s="84"/>
      <c r="T1657" s="84"/>
      <c r="U1657" s="84"/>
      <c r="V1657" s="84"/>
      <c r="W1657" s="84"/>
      <c r="X1657" s="84"/>
      <c r="Y1657" s="84"/>
      <c r="Z1657" s="84"/>
      <c r="AA1657" s="84"/>
    </row>
    <row r="1658" ht="15.75" customHeight="1">
      <c r="A1658" s="14" t="s">
        <v>17</v>
      </c>
      <c r="B1658" s="15" t="s">
        <v>18064</v>
      </c>
      <c r="C1658" s="14" t="s">
        <v>18910</v>
      </c>
      <c r="D1658" s="14" t="s">
        <v>18911</v>
      </c>
      <c r="E1658" s="26" t="str">
        <f t="shared" si="27"/>
        <v>http://dx.doi.org/10.1109/TVCG.2007.70591</v>
      </c>
      <c r="F1658" s="14">
        <v>1336.0</v>
      </c>
      <c r="G1658" s="14">
        <v>1343.0</v>
      </c>
      <c r="H1658" s="14" t="s">
        <v>17059</v>
      </c>
      <c r="I1658" s="19" t="s">
        <v>18913</v>
      </c>
      <c r="J1658" s="19" t="s">
        <v>18914</v>
      </c>
      <c r="K1658" s="19" t="s">
        <v>18915</v>
      </c>
      <c r="L1658" s="19" t="s">
        <v>17670</v>
      </c>
      <c r="M1658" s="20" t="s">
        <v>18916</v>
      </c>
      <c r="N1658" s="44" t="s">
        <v>17186</v>
      </c>
      <c r="O1658" s="22">
        <v>81.0</v>
      </c>
      <c r="P1658" s="28">
        <v>34.0</v>
      </c>
      <c r="Q1658" s="28">
        <v>24.0</v>
      </c>
      <c r="R1658" s="84"/>
      <c r="S1658" s="84"/>
      <c r="T1658" s="84"/>
      <c r="U1658" s="84"/>
      <c r="V1658" s="84"/>
      <c r="W1658" s="84"/>
      <c r="X1658" s="84"/>
      <c r="Y1658" s="84"/>
      <c r="Z1658" s="84"/>
      <c r="AA1658" s="84"/>
    </row>
    <row r="1659" ht="15.75" customHeight="1">
      <c r="A1659" s="14" t="s">
        <v>17</v>
      </c>
      <c r="B1659" s="15" t="s">
        <v>18064</v>
      </c>
      <c r="C1659" s="14" t="s">
        <v>18917</v>
      </c>
      <c r="D1659" s="14" t="s">
        <v>18918</v>
      </c>
      <c r="E1659" s="26" t="str">
        <f t="shared" si="27"/>
        <v>http://dx.doi.org/10.1109/TVCG.2007.70593</v>
      </c>
      <c r="F1659" s="14">
        <v>1688.0</v>
      </c>
      <c r="G1659" s="14">
        <v>1695.0</v>
      </c>
      <c r="H1659" s="14" t="s">
        <v>17059</v>
      </c>
      <c r="I1659" s="19" t="s">
        <v>18919</v>
      </c>
      <c r="J1659" s="19" t="s">
        <v>18921</v>
      </c>
      <c r="K1659" s="19" t="s">
        <v>18922</v>
      </c>
      <c r="L1659" s="19" t="s">
        <v>18923</v>
      </c>
      <c r="M1659" s="20" t="s">
        <v>18924</v>
      </c>
      <c r="N1659" s="44" t="s">
        <v>18925</v>
      </c>
      <c r="O1659" s="22">
        <v>15.0</v>
      </c>
      <c r="P1659" s="28">
        <v>6.0</v>
      </c>
      <c r="Q1659" s="28">
        <v>38.0</v>
      </c>
      <c r="R1659" s="84"/>
      <c r="S1659" s="84"/>
      <c r="T1659" s="84"/>
      <c r="U1659" s="84"/>
      <c r="V1659" s="84"/>
      <c r="W1659" s="84"/>
      <c r="X1659" s="84"/>
      <c r="Y1659" s="84"/>
      <c r="Z1659" s="84"/>
      <c r="AA1659" s="84"/>
    </row>
    <row r="1660" ht="15.75" customHeight="1">
      <c r="A1660" s="14" t="s">
        <v>17</v>
      </c>
      <c r="B1660" s="15" t="s">
        <v>18064</v>
      </c>
      <c r="C1660" s="14" t="s">
        <v>18927</v>
      </c>
      <c r="D1660" s="14" t="s">
        <v>18928</v>
      </c>
      <c r="E1660" s="26" t="str">
        <f t="shared" si="27"/>
        <v>http://dx.doi.org/10.1109/TVCG.2007.70595</v>
      </c>
      <c r="F1660" s="14">
        <v>1448.0</v>
      </c>
      <c r="G1660" s="14">
        <v>1455.0</v>
      </c>
      <c r="H1660" s="14" t="s">
        <v>17059</v>
      </c>
      <c r="I1660" s="19" t="s">
        <v>18929</v>
      </c>
      <c r="J1660" s="19" t="s">
        <v>18930</v>
      </c>
      <c r="K1660" s="19" t="s">
        <v>18931</v>
      </c>
      <c r="L1660" s="19" t="s">
        <v>18932</v>
      </c>
      <c r="M1660" s="20" t="s">
        <v>18933</v>
      </c>
      <c r="N1660" s="44" t="s">
        <v>18934</v>
      </c>
      <c r="O1660" s="22">
        <v>81.0</v>
      </c>
      <c r="P1660" s="28">
        <v>38.0</v>
      </c>
      <c r="Q1660" s="28">
        <v>16.0</v>
      </c>
      <c r="R1660" s="84"/>
      <c r="S1660" s="84"/>
      <c r="T1660" s="84"/>
      <c r="U1660" s="84"/>
      <c r="V1660" s="84"/>
      <c r="W1660" s="84"/>
      <c r="X1660" s="84"/>
      <c r="Y1660" s="84"/>
      <c r="Z1660" s="84"/>
      <c r="AA1660" s="84"/>
    </row>
    <row r="1661" ht="15.75" customHeight="1">
      <c r="A1661" s="14" t="s">
        <v>17</v>
      </c>
      <c r="B1661" s="15" t="s">
        <v>18064</v>
      </c>
      <c r="C1661" s="14" t="s">
        <v>18935</v>
      </c>
      <c r="D1661" s="14" t="s">
        <v>18936</v>
      </c>
      <c r="E1661" s="26" t="str">
        <f t="shared" si="27"/>
        <v>http://dx.doi.org/10.1109/TVCG.2007.70597</v>
      </c>
      <c r="F1661" s="14">
        <v>1504.0</v>
      </c>
      <c r="G1661" s="14">
        <v>1511.0</v>
      </c>
      <c r="H1661" s="14" t="s">
        <v>17059</v>
      </c>
      <c r="I1661" s="19" t="s">
        <v>18937</v>
      </c>
      <c r="J1661" s="19" t="s">
        <v>18938</v>
      </c>
      <c r="K1661" s="19" t="s">
        <v>18939</v>
      </c>
      <c r="L1661" s="19" t="s">
        <v>18940</v>
      </c>
      <c r="M1661" s="20" t="s">
        <v>18941</v>
      </c>
      <c r="N1661" s="44" t="s">
        <v>18943</v>
      </c>
      <c r="O1661" s="22">
        <v>50.0</v>
      </c>
      <c r="P1661" s="28">
        <v>20.0</v>
      </c>
      <c r="Q1661" s="28">
        <v>60.0</v>
      </c>
      <c r="R1661" s="84"/>
      <c r="S1661" s="84"/>
      <c r="T1661" s="84"/>
      <c r="U1661" s="84"/>
      <c r="V1661" s="84"/>
      <c r="W1661" s="84"/>
      <c r="X1661" s="84"/>
      <c r="Y1661" s="84"/>
      <c r="Z1661" s="84"/>
      <c r="AA1661" s="84"/>
    </row>
    <row r="1662" ht="15.75" customHeight="1">
      <c r="A1662" s="14" t="s">
        <v>17</v>
      </c>
      <c r="B1662" s="15" t="s">
        <v>18064</v>
      </c>
      <c r="C1662" s="14" t="s">
        <v>18945</v>
      </c>
      <c r="D1662" s="14" t="s">
        <v>18946</v>
      </c>
      <c r="E1662" s="26" t="str">
        <f t="shared" si="27"/>
        <v>http://dx.doi.org/10.1109/TVCG.2007.70598</v>
      </c>
      <c r="F1662" s="14">
        <v>1520.0</v>
      </c>
      <c r="G1662" s="14">
        <v>1527.0</v>
      </c>
      <c r="H1662" s="14" t="s">
        <v>17059</v>
      </c>
      <c r="I1662" s="19" t="s">
        <v>18947</v>
      </c>
      <c r="J1662" s="19" t="s">
        <v>18948</v>
      </c>
      <c r="K1662" s="19" t="s">
        <v>18949</v>
      </c>
      <c r="L1662" s="18"/>
      <c r="M1662" s="20" t="s">
        <v>18950</v>
      </c>
      <c r="N1662" s="44" t="s">
        <v>18951</v>
      </c>
      <c r="O1662" s="22">
        <v>55.0</v>
      </c>
      <c r="P1662" s="28">
        <v>20.0</v>
      </c>
      <c r="Q1662" s="28">
        <v>31.0</v>
      </c>
      <c r="R1662" s="84"/>
      <c r="S1662" s="84"/>
      <c r="T1662" s="84"/>
      <c r="U1662" s="84"/>
      <c r="V1662" s="84"/>
      <c r="W1662" s="84"/>
      <c r="X1662" s="84"/>
      <c r="Y1662" s="84"/>
      <c r="Z1662" s="84"/>
      <c r="AA1662" s="84"/>
    </row>
    <row r="1663" ht="15.75" customHeight="1">
      <c r="A1663" s="14" t="s">
        <v>17</v>
      </c>
      <c r="B1663" s="15" t="s">
        <v>18064</v>
      </c>
      <c r="C1663" s="14" t="s">
        <v>18952</v>
      </c>
      <c r="D1663" s="14" t="s">
        <v>18953</v>
      </c>
      <c r="E1663" s="26" t="str">
        <f t="shared" si="27"/>
        <v>http://dx.doi.org/10.1109/TVCG.2007.70599</v>
      </c>
      <c r="F1663" s="14">
        <v>1472.0</v>
      </c>
      <c r="G1663" s="14">
        <v>1479.0</v>
      </c>
      <c r="H1663" s="14" t="s">
        <v>17059</v>
      </c>
      <c r="I1663" s="19" t="s">
        <v>18955</v>
      </c>
      <c r="J1663" s="19" t="s">
        <v>18956</v>
      </c>
      <c r="K1663" s="19" t="s">
        <v>18957</v>
      </c>
      <c r="L1663" s="19" t="s">
        <v>18958</v>
      </c>
      <c r="M1663" s="20" t="s">
        <v>18959</v>
      </c>
      <c r="N1663" s="44" t="s">
        <v>18960</v>
      </c>
      <c r="O1663" s="22">
        <v>50.0</v>
      </c>
      <c r="P1663" s="28">
        <v>26.0</v>
      </c>
      <c r="Q1663" s="28">
        <v>19.0</v>
      </c>
      <c r="R1663" s="84"/>
      <c r="S1663" s="84"/>
      <c r="T1663" s="84"/>
      <c r="U1663" s="84"/>
      <c r="V1663" s="84"/>
      <c r="W1663" s="84"/>
      <c r="X1663" s="84"/>
      <c r="Y1663" s="84"/>
      <c r="Z1663" s="84"/>
      <c r="AA1663" s="84"/>
    </row>
    <row r="1664" ht="15.75" customHeight="1">
      <c r="A1664" s="14" t="s">
        <v>17</v>
      </c>
      <c r="B1664" s="15" t="s">
        <v>18064</v>
      </c>
      <c r="C1664" s="14" t="s">
        <v>18962</v>
      </c>
      <c r="D1664" s="14" t="s">
        <v>18963</v>
      </c>
      <c r="E1664" s="26" t="str">
        <f t="shared" si="27"/>
        <v>http://dx.doi.org/10.1109/TVCG.2007.70600</v>
      </c>
      <c r="F1664" s="14">
        <v>1376.0</v>
      </c>
      <c r="G1664" s="14">
        <v>1383.0</v>
      </c>
      <c r="H1664" s="14" t="s">
        <v>17059</v>
      </c>
      <c r="I1664" s="19" t="s">
        <v>18964</v>
      </c>
      <c r="J1664" s="19" t="s">
        <v>18965</v>
      </c>
      <c r="K1664" s="19" t="s">
        <v>18966</v>
      </c>
      <c r="L1664" s="19" t="s">
        <v>18967</v>
      </c>
      <c r="M1664" s="20" t="s">
        <v>18968</v>
      </c>
      <c r="N1664" s="44" t="s">
        <v>18969</v>
      </c>
      <c r="O1664" s="22">
        <v>46.0</v>
      </c>
      <c r="P1664" s="28">
        <v>19.0</v>
      </c>
      <c r="Q1664" s="28">
        <v>25.0</v>
      </c>
      <c r="R1664" s="84"/>
      <c r="S1664" s="84"/>
      <c r="T1664" s="84"/>
      <c r="U1664" s="84"/>
      <c r="V1664" s="84"/>
      <c r="W1664" s="84"/>
      <c r="X1664" s="84"/>
      <c r="Y1664" s="84"/>
      <c r="Z1664" s="84"/>
      <c r="AA1664" s="84"/>
    </row>
    <row r="1665" ht="15.75" customHeight="1">
      <c r="A1665" s="14" t="s">
        <v>17</v>
      </c>
      <c r="B1665" s="15" t="s">
        <v>18064</v>
      </c>
      <c r="C1665" s="14" t="s">
        <v>18971</v>
      </c>
      <c r="D1665" s="14" t="s">
        <v>18973</v>
      </c>
      <c r="E1665" s="26" t="str">
        <f t="shared" si="27"/>
        <v>http://dx.doi.org/10.1109/TVCG.2007.70601</v>
      </c>
      <c r="F1665" s="14">
        <v>1416.0</v>
      </c>
      <c r="G1665" s="14">
        <v>1423.0</v>
      </c>
      <c r="H1665" s="14" t="s">
        <v>17059</v>
      </c>
      <c r="I1665" s="19" t="s">
        <v>18976</v>
      </c>
      <c r="J1665" s="19" t="s">
        <v>18977</v>
      </c>
      <c r="K1665" s="19" t="s">
        <v>18978</v>
      </c>
      <c r="L1665" s="19" t="s">
        <v>18979</v>
      </c>
      <c r="M1665" s="20" t="s">
        <v>18980</v>
      </c>
      <c r="N1665" s="44" t="s">
        <v>18981</v>
      </c>
      <c r="O1665" s="22">
        <v>88.0</v>
      </c>
      <c r="P1665" s="28">
        <v>49.0</v>
      </c>
      <c r="Q1665" s="28">
        <v>49.0</v>
      </c>
      <c r="R1665" s="84"/>
      <c r="S1665" s="84"/>
      <c r="T1665" s="84"/>
      <c r="U1665" s="84"/>
      <c r="V1665" s="84"/>
      <c r="W1665" s="84"/>
      <c r="X1665" s="84"/>
      <c r="Y1665" s="84"/>
      <c r="Z1665" s="84"/>
      <c r="AA1665" s="84"/>
    </row>
    <row r="1666" ht="15.75" customHeight="1">
      <c r="A1666" s="14" t="s">
        <v>17</v>
      </c>
      <c r="B1666" s="15" t="s">
        <v>18064</v>
      </c>
      <c r="C1666" s="14" t="s">
        <v>18982</v>
      </c>
      <c r="D1666" s="14" t="s">
        <v>18983</v>
      </c>
      <c r="E1666" s="26" t="str">
        <f t="shared" si="27"/>
        <v>http://dx.doi.org/10.1109/TVCG.2007.70602</v>
      </c>
      <c r="F1666" s="14">
        <v>1496.0</v>
      </c>
      <c r="G1666" s="14">
        <v>1503.0</v>
      </c>
      <c r="H1666" s="14" t="s">
        <v>17059</v>
      </c>
      <c r="I1666" s="19" t="s">
        <v>18984</v>
      </c>
      <c r="J1666" s="19" t="s">
        <v>18985</v>
      </c>
      <c r="K1666" s="19" t="s">
        <v>18986</v>
      </c>
      <c r="L1666" s="18"/>
      <c r="M1666" s="20" t="s">
        <v>18987</v>
      </c>
      <c r="N1666" s="44" t="s">
        <v>18988</v>
      </c>
      <c r="O1666" s="22">
        <v>50.0</v>
      </c>
      <c r="P1666" s="28">
        <v>25.0</v>
      </c>
      <c r="Q1666" s="28">
        <v>32.0</v>
      </c>
      <c r="R1666" s="84"/>
      <c r="S1666" s="84"/>
      <c r="T1666" s="84"/>
      <c r="U1666" s="84"/>
      <c r="V1666" s="84"/>
      <c r="W1666" s="84"/>
      <c r="X1666" s="84"/>
      <c r="Y1666" s="84"/>
      <c r="Z1666" s="84"/>
      <c r="AA1666" s="84"/>
    </row>
    <row r="1667" ht="15.75" customHeight="1">
      <c r="A1667" s="14" t="s">
        <v>17</v>
      </c>
      <c r="B1667" s="15" t="s">
        <v>18064</v>
      </c>
      <c r="C1667" s="14" t="s">
        <v>18989</v>
      </c>
      <c r="D1667" s="14" t="s">
        <v>18990</v>
      </c>
      <c r="E1667" s="26" t="str">
        <f t="shared" si="27"/>
        <v>http://dx.doi.org/10.1109/TVCG.2007.70603</v>
      </c>
      <c r="F1667" s="14">
        <v>1432.0</v>
      </c>
      <c r="G1667" s="14">
        <v>1439.0</v>
      </c>
      <c r="H1667" s="14" t="s">
        <v>17059</v>
      </c>
      <c r="I1667" s="19" t="s">
        <v>18991</v>
      </c>
      <c r="J1667" s="19" t="s">
        <v>18992</v>
      </c>
      <c r="K1667" s="19" t="s">
        <v>18993</v>
      </c>
      <c r="L1667" s="19" t="s">
        <v>18994</v>
      </c>
      <c r="M1667" s="20" t="s">
        <v>18995</v>
      </c>
      <c r="N1667" s="44" t="s">
        <v>18996</v>
      </c>
      <c r="O1667" s="22">
        <v>74.0</v>
      </c>
      <c r="P1667" s="28">
        <v>43.0</v>
      </c>
      <c r="Q1667" s="28">
        <v>31.0</v>
      </c>
      <c r="R1667" s="84"/>
      <c r="S1667" s="84"/>
      <c r="T1667" s="84"/>
      <c r="U1667" s="84"/>
      <c r="V1667" s="84"/>
      <c r="W1667" s="84"/>
      <c r="X1667" s="84"/>
      <c r="Y1667" s="84"/>
      <c r="Z1667" s="84"/>
      <c r="AA1667" s="84"/>
    </row>
    <row r="1668" ht="15.75" customHeight="1">
      <c r="A1668" s="14" t="s">
        <v>17</v>
      </c>
      <c r="B1668" s="15" t="s">
        <v>18064</v>
      </c>
      <c r="C1668" s="14" t="s">
        <v>18997</v>
      </c>
      <c r="D1668" s="14" t="s">
        <v>18998</v>
      </c>
      <c r="E1668" s="26" t="str">
        <f t="shared" si="27"/>
        <v>http://dx.doi.org/10.1109/TVCG.2007.70604</v>
      </c>
      <c r="F1668" s="14">
        <v>1704.0</v>
      </c>
      <c r="G1668" s="14">
        <v>1711.0</v>
      </c>
      <c r="H1668" s="14" t="s">
        <v>17059</v>
      </c>
      <c r="I1668" s="19" t="s">
        <v>18999</v>
      </c>
      <c r="J1668" s="19" t="s">
        <v>19000</v>
      </c>
      <c r="K1668" s="19" t="s">
        <v>19001</v>
      </c>
      <c r="L1668" s="19" t="s">
        <v>19002</v>
      </c>
      <c r="M1668" s="20" t="s">
        <v>19003</v>
      </c>
      <c r="N1668" s="44" t="s">
        <v>19004</v>
      </c>
      <c r="O1668" s="22">
        <v>67.0</v>
      </c>
      <c r="P1668" s="28">
        <v>28.0</v>
      </c>
      <c r="Q1668" s="28">
        <v>47.0</v>
      </c>
      <c r="R1668" s="84"/>
      <c r="S1668" s="84"/>
      <c r="T1668" s="84"/>
      <c r="U1668" s="84"/>
      <c r="V1668" s="84"/>
      <c r="W1668" s="84"/>
      <c r="X1668" s="84"/>
      <c r="Y1668" s="84"/>
      <c r="Z1668" s="84"/>
      <c r="AA1668" s="84"/>
    </row>
    <row r="1669" ht="15.75" customHeight="1">
      <c r="A1669" s="14" t="s">
        <v>17</v>
      </c>
      <c r="B1669" s="15" t="s">
        <v>18064</v>
      </c>
      <c r="C1669" s="14" t="s">
        <v>19005</v>
      </c>
      <c r="D1669" s="14" t="s">
        <v>19006</v>
      </c>
      <c r="E1669" s="26" t="str">
        <f t="shared" si="27"/>
        <v>http://dx.doi.org/10.1109/TVCG.2007.70610</v>
      </c>
      <c r="F1669" s="14">
        <v>1751.0</v>
      </c>
      <c r="G1669" s="14">
        <v>1758.0</v>
      </c>
      <c r="H1669" s="14" t="s">
        <v>17059</v>
      </c>
      <c r="I1669" s="19" t="s">
        <v>19007</v>
      </c>
      <c r="J1669" s="19" t="s">
        <v>19008</v>
      </c>
      <c r="K1669" s="19" t="s">
        <v>19009</v>
      </c>
      <c r="L1669" s="19" t="s">
        <v>19011</v>
      </c>
      <c r="M1669" s="20" t="s">
        <v>15033</v>
      </c>
      <c r="N1669" s="44" t="s">
        <v>19012</v>
      </c>
      <c r="O1669" s="109"/>
      <c r="P1669" s="28">
        <v>6.0</v>
      </c>
      <c r="Q1669" s="28">
        <v>29.0</v>
      </c>
      <c r="R1669" s="84"/>
      <c r="S1669" s="84"/>
      <c r="T1669" s="84"/>
      <c r="U1669" s="84"/>
      <c r="V1669" s="84"/>
      <c r="W1669" s="84"/>
      <c r="X1669" s="84"/>
      <c r="Y1669" s="84"/>
      <c r="Z1669" s="84"/>
      <c r="AA1669" s="84"/>
    </row>
    <row r="1670" ht="15.75" customHeight="1">
      <c r="A1670" s="14" t="s">
        <v>17</v>
      </c>
      <c r="B1670" s="15" t="s">
        <v>18064</v>
      </c>
      <c r="C1670" s="14" t="s">
        <v>19013</v>
      </c>
      <c r="D1670" s="14" t="s">
        <v>19014</v>
      </c>
      <c r="E1670" s="26" t="str">
        <f t="shared" si="27"/>
        <v>http://dx.doi.org/10.1109/TVCG.2007.70614</v>
      </c>
      <c r="F1670" s="14">
        <v>1624.0</v>
      </c>
      <c r="G1670" s="14">
        <v>1631.0</v>
      </c>
      <c r="H1670" s="14" t="s">
        <v>17059</v>
      </c>
      <c r="I1670" s="19" t="s">
        <v>19015</v>
      </c>
      <c r="J1670" s="19" t="s">
        <v>19016</v>
      </c>
      <c r="K1670" s="19" t="s">
        <v>19016</v>
      </c>
      <c r="L1670" s="19" t="s">
        <v>17753</v>
      </c>
      <c r="M1670" s="20" t="s">
        <v>19017</v>
      </c>
      <c r="N1670" s="44" t="s">
        <v>19018</v>
      </c>
      <c r="O1670" s="22">
        <v>36.0</v>
      </c>
      <c r="P1670" s="28">
        <v>18.0</v>
      </c>
      <c r="Q1670" s="28">
        <v>39.0</v>
      </c>
      <c r="R1670" s="84"/>
      <c r="S1670" s="84"/>
      <c r="T1670" s="84"/>
      <c r="U1670" s="84"/>
      <c r="V1670" s="84"/>
      <c r="W1670" s="84"/>
      <c r="X1670" s="84"/>
      <c r="Y1670" s="84"/>
      <c r="Z1670" s="84"/>
      <c r="AA1670" s="84"/>
    </row>
    <row r="1671" ht="15.75" customHeight="1">
      <c r="A1671" s="14" t="s">
        <v>17</v>
      </c>
      <c r="B1671" s="15" t="s">
        <v>18064</v>
      </c>
      <c r="C1671" s="14" t="s">
        <v>19020</v>
      </c>
      <c r="D1671" s="14" t="s">
        <v>19021</v>
      </c>
      <c r="E1671" s="26" t="str">
        <f t="shared" si="27"/>
        <v>http://dx.doi.org/10.1109/TVCG.2007.70615</v>
      </c>
      <c r="F1671" s="14">
        <v>1384.0</v>
      </c>
      <c r="G1671" s="14">
        <v>1391.0</v>
      </c>
      <c r="H1671" s="14" t="s">
        <v>17059</v>
      </c>
      <c r="I1671" s="19" t="s">
        <v>19023</v>
      </c>
      <c r="J1671" s="19" t="s">
        <v>19024</v>
      </c>
      <c r="K1671" s="19" t="s">
        <v>19025</v>
      </c>
      <c r="L1671" s="19" t="s">
        <v>19026</v>
      </c>
      <c r="M1671" s="20" t="s">
        <v>19027</v>
      </c>
      <c r="N1671" s="44" t="s">
        <v>19028</v>
      </c>
      <c r="O1671" s="22">
        <v>85.0</v>
      </c>
      <c r="P1671" s="28">
        <v>25.0</v>
      </c>
      <c r="Q1671" s="28">
        <v>40.0</v>
      </c>
      <c r="R1671" s="84"/>
      <c r="S1671" s="84"/>
      <c r="T1671" s="84"/>
      <c r="U1671" s="84"/>
      <c r="V1671" s="84"/>
      <c r="W1671" s="84"/>
      <c r="X1671" s="84"/>
      <c r="Y1671" s="84"/>
      <c r="Z1671" s="84"/>
      <c r="AA1671" s="84"/>
    </row>
    <row r="1672" ht="15.75" customHeight="1">
      <c r="A1672" s="14" t="s">
        <v>2137</v>
      </c>
      <c r="B1672" s="15" t="s">
        <v>19029</v>
      </c>
      <c r="C1672" s="14" t="s">
        <v>19030</v>
      </c>
      <c r="D1672" s="14" t="s">
        <v>19031</v>
      </c>
      <c r="E1672" s="26" t="str">
        <f t="shared" si="27"/>
        <v>http://dx.doi.org/10.1109/TVCG.2008.109</v>
      </c>
      <c r="F1672" s="14">
        <v>1149.0</v>
      </c>
      <c r="G1672" s="14">
        <v>1156.0</v>
      </c>
      <c r="H1672" s="14" t="s">
        <v>17059</v>
      </c>
      <c r="I1672" s="19" t="s">
        <v>19032</v>
      </c>
      <c r="J1672" s="19" t="s">
        <v>19033</v>
      </c>
      <c r="K1672" s="19" t="s">
        <v>19033</v>
      </c>
      <c r="L1672" s="19" t="s">
        <v>15408</v>
      </c>
      <c r="M1672" s="20" t="s">
        <v>19035</v>
      </c>
      <c r="N1672" s="44" t="s">
        <v>19036</v>
      </c>
      <c r="O1672" s="22">
        <v>89.0</v>
      </c>
      <c r="P1672" s="28">
        <v>46.0</v>
      </c>
      <c r="Q1672" s="28">
        <v>70.0</v>
      </c>
      <c r="R1672" s="85" t="s">
        <v>19037</v>
      </c>
      <c r="S1672" s="84"/>
      <c r="T1672" s="84"/>
      <c r="U1672" s="84"/>
      <c r="V1672" s="84"/>
      <c r="W1672" s="84"/>
      <c r="X1672" s="84"/>
      <c r="Y1672" s="84"/>
      <c r="Z1672" s="84"/>
      <c r="AA1672" s="84"/>
    </row>
    <row r="1673" ht="15.75" customHeight="1">
      <c r="A1673" s="14" t="s">
        <v>2137</v>
      </c>
      <c r="B1673" s="15" t="s">
        <v>19029</v>
      </c>
      <c r="C1673" s="14" t="s">
        <v>19039</v>
      </c>
      <c r="D1673" s="14" t="s">
        <v>19040</v>
      </c>
      <c r="E1673" s="26" t="str">
        <f t="shared" si="27"/>
        <v>http://dx.doi.org/10.1109/TVCG.2008.114</v>
      </c>
      <c r="F1673" s="14">
        <v>1157.0</v>
      </c>
      <c r="G1673" s="14">
        <v>1164.0</v>
      </c>
      <c r="H1673" s="14" t="s">
        <v>17059</v>
      </c>
      <c r="I1673" s="19" t="s">
        <v>19041</v>
      </c>
      <c r="J1673" s="19" t="s">
        <v>18102</v>
      </c>
      <c r="K1673" s="19" t="s">
        <v>18102</v>
      </c>
      <c r="L1673" s="19" t="s">
        <v>19042</v>
      </c>
      <c r="M1673" s="20" t="s">
        <v>19043</v>
      </c>
      <c r="N1673" s="44" t="s">
        <v>19044</v>
      </c>
      <c r="O1673" s="22">
        <v>50.0</v>
      </c>
      <c r="P1673" s="28">
        <v>11.0</v>
      </c>
      <c r="Q1673" s="28">
        <v>28.0</v>
      </c>
      <c r="R1673" s="84"/>
      <c r="S1673" s="84"/>
      <c r="T1673" s="84"/>
      <c r="U1673" s="84"/>
      <c r="V1673" s="84"/>
      <c r="W1673" s="84"/>
      <c r="X1673" s="84"/>
      <c r="Y1673" s="84"/>
      <c r="Z1673" s="84"/>
      <c r="AA1673" s="84"/>
    </row>
    <row r="1674" ht="15.75" customHeight="1">
      <c r="A1674" s="14" t="s">
        <v>2137</v>
      </c>
      <c r="B1674" s="15" t="s">
        <v>19029</v>
      </c>
      <c r="C1674" s="14" t="s">
        <v>19045</v>
      </c>
      <c r="D1674" s="14" t="s">
        <v>19046</v>
      </c>
      <c r="E1674" s="26" t="str">
        <f t="shared" si="27"/>
        <v>http://dx.doi.org/10.1109/TVCG.2008.117</v>
      </c>
      <c r="F1674" s="14">
        <v>1253.0</v>
      </c>
      <c r="G1674" s="14">
        <v>1260.0</v>
      </c>
      <c r="H1674" s="14" t="s">
        <v>17059</v>
      </c>
      <c r="I1674" s="19" t="s">
        <v>19047</v>
      </c>
      <c r="J1674" s="19" t="s">
        <v>19048</v>
      </c>
      <c r="K1674" s="19" t="s">
        <v>19049</v>
      </c>
      <c r="L1674" s="19" t="s">
        <v>19050</v>
      </c>
      <c r="M1674" s="20" t="s">
        <v>19051</v>
      </c>
      <c r="N1674" s="44" t="s">
        <v>19052</v>
      </c>
      <c r="O1674" s="22">
        <v>89.0</v>
      </c>
      <c r="P1674" s="28">
        <v>56.0</v>
      </c>
      <c r="Q1674" s="28">
        <v>42.0</v>
      </c>
      <c r="R1674" s="84"/>
      <c r="S1674" s="84"/>
      <c r="T1674" s="84"/>
      <c r="U1674" s="84"/>
      <c r="V1674" s="84"/>
      <c r="W1674" s="84"/>
      <c r="X1674" s="84"/>
      <c r="Y1674" s="84"/>
      <c r="Z1674" s="84"/>
      <c r="AA1674" s="84"/>
    </row>
    <row r="1675" ht="15.75" customHeight="1">
      <c r="A1675" s="14" t="s">
        <v>2137</v>
      </c>
      <c r="B1675" s="15" t="s">
        <v>19029</v>
      </c>
      <c r="C1675" s="14" t="s">
        <v>19054</v>
      </c>
      <c r="D1675" s="14" t="s">
        <v>19061</v>
      </c>
      <c r="E1675" s="26" t="str">
        <f t="shared" si="27"/>
        <v>http://dx.doi.org/10.1109/TVCG.2008.121</v>
      </c>
      <c r="F1675" s="14">
        <v>1173.0</v>
      </c>
      <c r="G1675" s="14">
        <v>1180.0</v>
      </c>
      <c r="H1675" s="14" t="s">
        <v>17059</v>
      </c>
      <c r="I1675" s="19" t="s">
        <v>19063</v>
      </c>
      <c r="J1675" s="19" t="s">
        <v>19064</v>
      </c>
      <c r="K1675" s="19" t="s">
        <v>19065</v>
      </c>
      <c r="L1675" s="19" t="s">
        <v>19066</v>
      </c>
      <c r="M1675" s="20" t="s">
        <v>19067</v>
      </c>
      <c r="N1675" s="44" t="s">
        <v>19068</v>
      </c>
      <c r="O1675" s="22">
        <v>130.0</v>
      </c>
      <c r="P1675" s="28">
        <v>55.0</v>
      </c>
      <c r="Q1675" s="28">
        <v>40.0</v>
      </c>
      <c r="R1675" s="84"/>
      <c r="S1675" s="84"/>
      <c r="T1675" s="84"/>
      <c r="U1675" s="84"/>
      <c r="V1675" s="84"/>
      <c r="W1675" s="84"/>
      <c r="X1675" s="84"/>
      <c r="Y1675" s="84"/>
      <c r="Z1675" s="84"/>
      <c r="AA1675" s="84"/>
    </row>
    <row r="1676" ht="15.75" customHeight="1">
      <c r="A1676" s="14" t="s">
        <v>2137</v>
      </c>
      <c r="B1676" s="15" t="s">
        <v>19029</v>
      </c>
      <c r="C1676" s="14" t="s">
        <v>19070</v>
      </c>
      <c r="D1676" s="14" t="s">
        <v>19071</v>
      </c>
      <c r="E1676" s="26" t="str">
        <f t="shared" si="27"/>
        <v>http://dx.doi.org/10.1109/TVCG.2008.125</v>
      </c>
      <c r="F1676" s="14">
        <v>1325.0</v>
      </c>
      <c r="G1676" s="14">
        <v>1332.0</v>
      </c>
      <c r="H1676" s="14" t="s">
        <v>17059</v>
      </c>
      <c r="I1676" s="19" t="s">
        <v>19072</v>
      </c>
      <c r="J1676" s="19" t="s">
        <v>19073</v>
      </c>
      <c r="K1676" s="19" t="s">
        <v>19074</v>
      </c>
      <c r="L1676" s="19" t="s">
        <v>19075</v>
      </c>
      <c r="M1676" s="20" t="s">
        <v>19076</v>
      </c>
      <c r="N1676" s="44" t="s">
        <v>19077</v>
      </c>
      <c r="O1676" s="22">
        <v>288.0</v>
      </c>
      <c r="P1676" s="28">
        <v>125.0</v>
      </c>
      <c r="Q1676" s="28">
        <v>21.0</v>
      </c>
      <c r="R1676" s="85" t="s">
        <v>1093</v>
      </c>
      <c r="S1676" s="84"/>
      <c r="T1676" s="84"/>
      <c r="U1676" s="84"/>
      <c r="V1676" s="84"/>
      <c r="W1676" s="84"/>
      <c r="X1676" s="84"/>
      <c r="Y1676" s="84"/>
      <c r="Z1676" s="84"/>
      <c r="AA1676" s="84"/>
    </row>
    <row r="1677" ht="15.75" customHeight="1">
      <c r="A1677" s="14" t="s">
        <v>2137</v>
      </c>
      <c r="B1677" s="15" t="s">
        <v>19029</v>
      </c>
      <c r="C1677" s="14" t="s">
        <v>19079</v>
      </c>
      <c r="D1677" s="14" t="s">
        <v>19080</v>
      </c>
      <c r="E1677" s="26" t="str">
        <f t="shared" si="27"/>
        <v>http://dx.doi.org/10.1109/TVCG.2008.127</v>
      </c>
      <c r="F1677" s="14">
        <v>1181.0</v>
      </c>
      <c r="G1677" s="14">
        <v>1188.0</v>
      </c>
      <c r="H1677" s="14" t="s">
        <v>17059</v>
      </c>
      <c r="I1677" s="19" t="s">
        <v>19082</v>
      </c>
      <c r="J1677" s="19" t="s">
        <v>19083</v>
      </c>
      <c r="K1677" s="19" t="s">
        <v>19083</v>
      </c>
      <c r="L1677" s="19" t="s">
        <v>19084</v>
      </c>
      <c r="M1677" s="20" t="s">
        <v>19085</v>
      </c>
      <c r="N1677" s="44" t="s">
        <v>19086</v>
      </c>
      <c r="O1677" s="22">
        <v>116.0</v>
      </c>
      <c r="P1677" s="28">
        <v>37.0</v>
      </c>
      <c r="Q1677" s="28">
        <v>28.0</v>
      </c>
      <c r="R1677" s="84"/>
      <c r="S1677" s="84"/>
      <c r="T1677" s="84"/>
      <c r="U1677" s="84"/>
      <c r="V1677" s="84"/>
      <c r="W1677" s="84"/>
      <c r="X1677" s="84"/>
      <c r="Y1677" s="84"/>
      <c r="Z1677" s="84"/>
      <c r="AA1677" s="84"/>
    </row>
    <row r="1678" ht="15.75" customHeight="1">
      <c r="A1678" s="14" t="s">
        <v>2137</v>
      </c>
      <c r="B1678" s="15" t="s">
        <v>19029</v>
      </c>
      <c r="C1678" s="14" t="s">
        <v>19087</v>
      </c>
      <c r="D1678" s="14" t="s">
        <v>19088</v>
      </c>
      <c r="E1678" s="26" t="str">
        <f t="shared" si="27"/>
        <v>http://dx.doi.org/10.1109/TVCG.2008.129</v>
      </c>
      <c r="F1678" s="14">
        <v>1309.0</v>
      </c>
      <c r="G1678" s="14">
        <v>1316.0</v>
      </c>
      <c r="H1678" s="14" t="s">
        <v>17059</v>
      </c>
      <c r="I1678" s="19" t="s">
        <v>19090</v>
      </c>
      <c r="J1678" s="19" t="s">
        <v>19092</v>
      </c>
      <c r="K1678" s="19" t="s">
        <v>19093</v>
      </c>
      <c r="L1678" s="19" t="s">
        <v>19094</v>
      </c>
      <c r="M1678" s="20" t="s">
        <v>19095</v>
      </c>
      <c r="N1678" s="44" t="s">
        <v>19096</v>
      </c>
      <c r="O1678" s="22">
        <v>50.0</v>
      </c>
      <c r="P1678" s="28">
        <v>3.0</v>
      </c>
      <c r="Q1678" s="28">
        <v>24.0</v>
      </c>
      <c r="R1678" s="84"/>
      <c r="S1678" s="84"/>
      <c r="T1678" s="84"/>
      <c r="U1678" s="84"/>
      <c r="V1678" s="84"/>
      <c r="W1678" s="84"/>
      <c r="X1678" s="84"/>
      <c r="Y1678" s="84"/>
      <c r="Z1678" s="84"/>
      <c r="AA1678" s="84"/>
    </row>
    <row r="1679" ht="15.75" customHeight="1">
      <c r="A1679" s="14" t="s">
        <v>2137</v>
      </c>
      <c r="B1679" s="15" t="s">
        <v>19029</v>
      </c>
      <c r="C1679" s="14" t="s">
        <v>19097</v>
      </c>
      <c r="D1679" s="14" t="s">
        <v>19098</v>
      </c>
      <c r="E1679" s="26" t="str">
        <f t="shared" si="27"/>
        <v>http://dx.doi.org/10.1109/TVCG.2008.130</v>
      </c>
      <c r="F1679" s="14">
        <v>1293.0</v>
      </c>
      <c r="G1679" s="14">
        <v>1300.0</v>
      </c>
      <c r="H1679" s="14" t="s">
        <v>17059</v>
      </c>
      <c r="I1679" s="19" t="s">
        <v>19099</v>
      </c>
      <c r="J1679" s="19" t="s">
        <v>19100</v>
      </c>
      <c r="K1679" s="19" t="s">
        <v>19101</v>
      </c>
      <c r="L1679" s="19" t="s">
        <v>19102</v>
      </c>
      <c r="M1679" s="20" t="s">
        <v>19103</v>
      </c>
      <c r="N1679" s="44" t="s">
        <v>19104</v>
      </c>
      <c r="O1679" s="22">
        <v>56.0</v>
      </c>
      <c r="P1679" s="28">
        <v>30.0</v>
      </c>
      <c r="Q1679" s="28">
        <v>39.0</v>
      </c>
      <c r="R1679" s="84"/>
      <c r="S1679" s="84"/>
      <c r="T1679" s="84"/>
      <c r="U1679" s="84"/>
      <c r="V1679" s="84"/>
      <c r="W1679" s="84"/>
      <c r="X1679" s="84"/>
      <c r="Y1679" s="84"/>
      <c r="Z1679" s="84"/>
      <c r="AA1679" s="84"/>
    </row>
    <row r="1680" ht="15.75" customHeight="1">
      <c r="A1680" s="14" t="s">
        <v>2137</v>
      </c>
      <c r="B1680" s="15" t="s">
        <v>19029</v>
      </c>
      <c r="C1680" s="14" t="s">
        <v>19107</v>
      </c>
      <c r="D1680" s="14" t="s">
        <v>19108</v>
      </c>
      <c r="E1680" s="26" t="str">
        <f t="shared" si="27"/>
        <v>http://dx.doi.org/10.1109/TVCG.2008.135</v>
      </c>
      <c r="F1680" s="14">
        <v>1277.0</v>
      </c>
      <c r="G1680" s="14">
        <v>1284.0</v>
      </c>
      <c r="H1680" s="14" t="s">
        <v>17059</v>
      </c>
      <c r="I1680" s="19" t="s">
        <v>19110</v>
      </c>
      <c r="J1680" s="19" t="s">
        <v>19111</v>
      </c>
      <c r="K1680" s="19" t="s">
        <v>19111</v>
      </c>
      <c r="L1680" s="19" t="s">
        <v>19112</v>
      </c>
      <c r="M1680" s="20" t="s">
        <v>19113</v>
      </c>
      <c r="N1680" s="44" t="s">
        <v>19114</v>
      </c>
      <c r="O1680" s="22">
        <v>224.0</v>
      </c>
      <c r="P1680" s="28">
        <v>119.0</v>
      </c>
      <c r="Q1680" s="28">
        <v>23.0</v>
      </c>
      <c r="R1680" s="84"/>
      <c r="S1680" s="84"/>
      <c r="T1680" s="84"/>
      <c r="U1680" s="84"/>
      <c r="V1680" s="84"/>
      <c r="W1680" s="84"/>
      <c r="X1680" s="84"/>
      <c r="Y1680" s="84"/>
      <c r="Z1680" s="84"/>
      <c r="AA1680" s="84"/>
    </row>
    <row r="1681" ht="15.75" customHeight="1">
      <c r="A1681" s="14" t="s">
        <v>2137</v>
      </c>
      <c r="B1681" s="15" t="s">
        <v>19029</v>
      </c>
      <c r="C1681" s="14" t="s">
        <v>19115</v>
      </c>
      <c r="D1681" s="14" t="s">
        <v>19116</v>
      </c>
      <c r="E1681" s="26" t="str">
        <f t="shared" si="27"/>
        <v>http://dx.doi.org/10.1109/TVCG.2008.137</v>
      </c>
      <c r="F1681" s="14">
        <v>1189.0</v>
      </c>
      <c r="G1681" s="14">
        <v>1196.0</v>
      </c>
      <c r="H1681" s="14" t="s">
        <v>17059</v>
      </c>
      <c r="I1681" s="19" t="s">
        <v>19117</v>
      </c>
      <c r="J1681" s="19" t="s">
        <v>19118</v>
      </c>
      <c r="K1681" s="19" t="s">
        <v>19119</v>
      </c>
      <c r="L1681" s="19" t="s">
        <v>19121</v>
      </c>
      <c r="M1681" s="20" t="s">
        <v>19122</v>
      </c>
      <c r="N1681" s="44" t="s">
        <v>19123</v>
      </c>
      <c r="O1681" s="22">
        <v>219.0</v>
      </c>
      <c r="P1681" s="28">
        <v>87.0</v>
      </c>
      <c r="Q1681" s="28">
        <v>31.0</v>
      </c>
      <c r="R1681" s="84"/>
      <c r="S1681" s="84"/>
      <c r="T1681" s="84"/>
      <c r="U1681" s="84"/>
      <c r="V1681" s="84"/>
      <c r="W1681" s="84"/>
      <c r="X1681" s="84"/>
      <c r="Y1681" s="84"/>
      <c r="Z1681" s="84"/>
      <c r="AA1681" s="84"/>
    </row>
    <row r="1682" ht="15.75" customHeight="1">
      <c r="A1682" s="14" t="s">
        <v>2137</v>
      </c>
      <c r="B1682" s="15" t="s">
        <v>19029</v>
      </c>
      <c r="C1682" s="14" t="s">
        <v>19125</v>
      </c>
      <c r="D1682" s="14" t="s">
        <v>19126</v>
      </c>
      <c r="E1682" s="26" t="str">
        <f t="shared" si="27"/>
        <v>http://dx.doi.org/10.1109/TVCG.2008.138</v>
      </c>
      <c r="F1682" s="14">
        <v>1229.0</v>
      </c>
      <c r="G1682" s="14">
        <v>1236.0</v>
      </c>
      <c r="H1682" s="14" t="s">
        <v>17059</v>
      </c>
      <c r="I1682" s="19" t="s">
        <v>19127</v>
      </c>
      <c r="J1682" s="19" t="s">
        <v>19128</v>
      </c>
      <c r="K1682" s="19" t="s">
        <v>19129</v>
      </c>
      <c r="L1682" s="19" t="s">
        <v>19130</v>
      </c>
      <c r="M1682" s="20" t="s">
        <v>19131</v>
      </c>
      <c r="N1682" s="44" t="s">
        <v>19132</v>
      </c>
      <c r="O1682" s="22">
        <v>80.0</v>
      </c>
      <c r="P1682" s="28">
        <v>38.0</v>
      </c>
      <c r="Q1682" s="28">
        <v>24.0</v>
      </c>
      <c r="R1682" s="84"/>
      <c r="S1682" s="84"/>
      <c r="T1682" s="84"/>
      <c r="U1682" s="84"/>
      <c r="V1682" s="84"/>
      <c r="W1682" s="84"/>
      <c r="X1682" s="84"/>
      <c r="Y1682" s="84"/>
      <c r="Z1682" s="84"/>
      <c r="AA1682" s="84"/>
    </row>
    <row r="1683" ht="15.75" customHeight="1">
      <c r="A1683" s="14" t="s">
        <v>2137</v>
      </c>
      <c r="B1683" s="15" t="s">
        <v>19029</v>
      </c>
      <c r="C1683" s="14" t="s">
        <v>19133</v>
      </c>
      <c r="D1683" s="14" t="s">
        <v>19134</v>
      </c>
      <c r="E1683" s="26" t="str">
        <f t="shared" si="27"/>
        <v>http://dx.doi.org/10.1109/TVCG.2008.141</v>
      </c>
      <c r="F1683" s="14">
        <v>1317.0</v>
      </c>
      <c r="G1683" s="14">
        <v>1324.0</v>
      </c>
      <c r="H1683" s="14" t="s">
        <v>17059</v>
      </c>
      <c r="I1683" s="19" t="s">
        <v>19136</v>
      </c>
      <c r="J1683" s="19" t="s">
        <v>19137</v>
      </c>
      <c r="K1683" s="19" t="s">
        <v>19139</v>
      </c>
      <c r="L1683" s="19" t="s">
        <v>19140</v>
      </c>
      <c r="M1683" s="20" t="s">
        <v>19141</v>
      </c>
      <c r="N1683" s="44" t="s">
        <v>19142</v>
      </c>
      <c r="O1683" s="22">
        <v>43.0</v>
      </c>
      <c r="P1683" s="28">
        <v>23.0</v>
      </c>
      <c r="Q1683" s="28">
        <v>32.0</v>
      </c>
      <c r="R1683" s="84"/>
      <c r="S1683" s="84"/>
      <c r="T1683" s="84"/>
      <c r="U1683" s="84"/>
      <c r="V1683" s="84"/>
      <c r="W1683" s="84"/>
      <c r="X1683" s="84"/>
      <c r="Y1683" s="84"/>
      <c r="Z1683" s="84"/>
      <c r="AA1683" s="84"/>
    </row>
    <row r="1684" ht="15.75" customHeight="1">
      <c r="A1684" s="14" t="s">
        <v>2137</v>
      </c>
      <c r="B1684" s="15" t="s">
        <v>19029</v>
      </c>
      <c r="C1684" s="14" t="s">
        <v>19143</v>
      </c>
      <c r="D1684" s="14" t="s">
        <v>19144</v>
      </c>
      <c r="E1684" s="26" t="str">
        <f t="shared" si="27"/>
        <v>http://dx.doi.org/10.1109/TVCG.2008.144</v>
      </c>
      <c r="F1684" s="14">
        <v>1340.0</v>
      </c>
      <c r="G1684" s="14">
        <v>1347.0</v>
      </c>
      <c r="H1684" s="14" t="s">
        <v>17059</v>
      </c>
      <c r="I1684" s="19" t="s">
        <v>19145</v>
      </c>
      <c r="J1684" s="19" t="s">
        <v>19146</v>
      </c>
      <c r="K1684" s="19" t="s">
        <v>19146</v>
      </c>
      <c r="L1684" s="19" t="s">
        <v>19147</v>
      </c>
      <c r="M1684" s="20" t="s">
        <v>19148</v>
      </c>
      <c r="N1684" s="44" t="s">
        <v>19149</v>
      </c>
      <c r="O1684" s="22">
        <v>50.0</v>
      </c>
      <c r="P1684" s="28">
        <v>13.0</v>
      </c>
      <c r="Q1684" s="28">
        <v>15.0</v>
      </c>
      <c r="R1684" s="84"/>
      <c r="S1684" s="84"/>
      <c r="T1684" s="84"/>
      <c r="U1684" s="84"/>
      <c r="V1684" s="84"/>
      <c r="W1684" s="84"/>
      <c r="X1684" s="84"/>
      <c r="Y1684" s="84"/>
      <c r="Z1684" s="84"/>
      <c r="AA1684" s="84"/>
    </row>
    <row r="1685" ht="15.75" customHeight="1">
      <c r="A1685" s="14" t="s">
        <v>2137</v>
      </c>
      <c r="B1685" s="15" t="s">
        <v>19029</v>
      </c>
      <c r="C1685" s="14" t="s">
        <v>19150</v>
      </c>
      <c r="D1685" s="14" t="s">
        <v>19152</v>
      </c>
      <c r="E1685" s="26" t="str">
        <f t="shared" si="27"/>
        <v>http://dx.doi.org/10.1109/TVCG.2008.149</v>
      </c>
      <c r="F1685" s="14">
        <v>1165.0</v>
      </c>
      <c r="G1685" s="14">
        <v>1172.0</v>
      </c>
      <c r="H1685" s="14" t="s">
        <v>17059</v>
      </c>
      <c r="I1685" s="19" t="s">
        <v>19153</v>
      </c>
      <c r="J1685" s="19" t="s">
        <v>19154</v>
      </c>
      <c r="K1685" s="19" t="s">
        <v>19154</v>
      </c>
      <c r="L1685" s="19" t="s">
        <v>19156</v>
      </c>
      <c r="M1685" s="20" t="s">
        <v>19157</v>
      </c>
      <c r="N1685" s="44" t="s">
        <v>19158</v>
      </c>
      <c r="O1685" s="22">
        <v>53.0</v>
      </c>
      <c r="P1685" s="28">
        <v>22.0</v>
      </c>
      <c r="Q1685" s="28">
        <v>20.0</v>
      </c>
      <c r="R1685" s="84"/>
      <c r="S1685" s="84"/>
      <c r="T1685" s="84"/>
      <c r="U1685" s="84"/>
      <c r="V1685" s="84"/>
      <c r="W1685" s="84"/>
      <c r="X1685" s="84"/>
      <c r="Y1685" s="84"/>
      <c r="Z1685" s="84"/>
      <c r="AA1685" s="84"/>
    </row>
    <row r="1686" ht="15.75" customHeight="1">
      <c r="A1686" s="14" t="s">
        <v>2137</v>
      </c>
      <c r="B1686" s="15" t="s">
        <v>19029</v>
      </c>
      <c r="C1686" s="14" t="s">
        <v>19159</v>
      </c>
      <c r="D1686" s="14" t="s">
        <v>19160</v>
      </c>
      <c r="E1686" s="26" t="str">
        <f t="shared" si="27"/>
        <v>http://dx.doi.org/10.1109/TVCG.2008.151</v>
      </c>
      <c r="F1686" s="14">
        <v>1285.0</v>
      </c>
      <c r="G1686" s="14">
        <v>1292.0</v>
      </c>
      <c r="H1686" s="14" t="s">
        <v>17059</v>
      </c>
      <c r="I1686" s="19" t="s">
        <v>19161</v>
      </c>
      <c r="J1686" s="19" t="s">
        <v>19162</v>
      </c>
      <c r="K1686" s="19" t="s">
        <v>19163</v>
      </c>
      <c r="L1686" s="19" t="s">
        <v>19164</v>
      </c>
      <c r="M1686" s="20" t="s">
        <v>19165</v>
      </c>
      <c r="N1686" s="44" t="s">
        <v>19166</v>
      </c>
      <c r="O1686" s="22">
        <v>87.0</v>
      </c>
      <c r="P1686" s="28">
        <v>29.0</v>
      </c>
      <c r="Q1686" s="28">
        <v>32.0</v>
      </c>
      <c r="R1686" s="84"/>
      <c r="S1686" s="84"/>
      <c r="T1686" s="84"/>
      <c r="U1686" s="84"/>
      <c r="V1686" s="84"/>
      <c r="W1686" s="84"/>
      <c r="X1686" s="84"/>
      <c r="Y1686" s="84"/>
      <c r="Z1686" s="84"/>
      <c r="AA1686" s="84"/>
    </row>
    <row r="1687" ht="15.75" customHeight="1">
      <c r="A1687" s="14" t="s">
        <v>2137</v>
      </c>
      <c r="B1687" s="15" t="s">
        <v>19029</v>
      </c>
      <c r="C1687" s="14" t="s">
        <v>19167</v>
      </c>
      <c r="D1687" s="14" t="s">
        <v>19168</v>
      </c>
      <c r="E1687" s="26" t="str">
        <f t="shared" si="27"/>
        <v>http://dx.doi.org/10.1109/TVCG.2008.152</v>
      </c>
      <c r="F1687" s="14">
        <v>1237.0</v>
      </c>
      <c r="G1687" s="14">
        <v>1244.0</v>
      </c>
      <c r="H1687" s="14" t="s">
        <v>17059</v>
      </c>
      <c r="I1687" s="19" t="s">
        <v>19169</v>
      </c>
      <c r="J1687" s="19" t="s">
        <v>19170</v>
      </c>
      <c r="K1687" s="19" t="s">
        <v>19170</v>
      </c>
      <c r="L1687" s="19" t="s">
        <v>19171</v>
      </c>
      <c r="M1687" s="20" t="s">
        <v>19172</v>
      </c>
      <c r="N1687" s="44" t="s">
        <v>19173</v>
      </c>
      <c r="O1687" s="22">
        <v>26.0</v>
      </c>
      <c r="P1687" s="28">
        <v>21.0</v>
      </c>
      <c r="Q1687" s="28">
        <v>23.0</v>
      </c>
      <c r="R1687" s="84"/>
      <c r="S1687" s="84"/>
      <c r="T1687" s="84"/>
      <c r="U1687" s="84"/>
      <c r="V1687" s="84"/>
      <c r="W1687" s="84"/>
      <c r="X1687" s="84"/>
      <c r="Y1687" s="84"/>
      <c r="Z1687" s="84"/>
      <c r="AA1687" s="84"/>
    </row>
    <row r="1688" ht="15.75" customHeight="1">
      <c r="A1688" s="14" t="s">
        <v>2137</v>
      </c>
      <c r="B1688" s="15" t="s">
        <v>19029</v>
      </c>
      <c r="C1688" s="14" t="s">
        <v>19174</v>
      </c>
      <c r="D1688" s="14" t="s">
        <v>19175</v>
      </c>
      <c r="E1688" s="26" t="str">
        <f t="shared" si="27"/>
        <v>http://dx.doi.org/10.1109/TVCG.2008.153</v>
      </c>
      <c r="F1688" s="95">
        <v>1141.0</v>
      </c>
      <c r="G1688" s="14">
        <v>1148.0</v>
      </c>
      <c r="H1688" s="14" t="s">
        <v>17059</v>
      </c>
      <c r="I1688" s="19" t="s">
        <v>19176</v>
      </c>
      <c r="J1688" s="19" t="s">
        <v>19177</v>
      </c>
      <c r="K1688" s="19" t="s">
        <v>19177</v>
      </c>
      <c r="L1688" s="18"/>
      <c r="M1688" s="20" t="s">
        <v>19178</v>
      </c>
      <c r="N1688" s="44" t="s">
        <v>19179</v>
      </c>
      <c r="O1688" s="22">
        <v>365.0</v>
      </c>
      <c r="P1688" s="28">
        <v>150.0</v>
      </c>
      <c r="Q1688" s="28">
        <v>42.0</v>
      </c>
      <c r="R1688" s="85" t="s">
        <v>106</v>
      </c>
      <c r="S1688" s="84"/>
      <c r="T1688" s="84"/>
      <c r="U1688" s="84"/>
      <c r="V1688" s="84"/>
      <c r="W1688" s="84"/>
      <c r="X1688" s="84"/>
      <c r="Y1688" s="84"/>
      <c r="Z1688" s="84"/>
      <c r="AA1688" s="84"/>
    </row>
    <row r="1689" ht="15.75" customHeight="1">
      <c r="A1689" s="14" t="s">
        <v>2137</v>
      </c>
      <c r="B1689" s="15" t="s">
        <v>19029</v>
      </c>
      <c r="C1689" s="14" t="s">
        <v>19180</v>
      </c>
      <c r="D1689" s="14" t="s">
        <v>19181</v>
      </c>
      <c r="E1689" s="26" t="str">
        <f t="shared" si="27"/>
        <v>http://dx.doi.org/10.1109/TVCG.2008.155</v>
      </c>
      <c r="F1689" s="14">
        <v>1333.0</v>
      </c>
      <c r="G1689" s="14">
        <v>1339.0</v>
      </c>
      <c r="H1689" s="14" t="s">
        <v>17059</v>
      </c>
      <c r="I1689" s="19" t="s">
        <v>19182</v>
      </c>
      <c r="J1689" s="19" t="s">
        <v>19183</v>
      </c>
      <c r="K1689" s="19" t="s">
        <v>19184</v>
      </c>
      <c r="L1689" s="19" t="s">
        <v>19185</v>
      </c>
      <c r="M1689" s="20" t="s">
        <v>19186</v>
      </c>
      <c r="N1689" s="44" t="s">
        <v>19187</v>
      </c>
      <c r="O1689" s="109"/>
      <c r="P1689" s="28">
        <v>37.0</v>
      </c>
      <c r="Q1689" s="28">
        <v>22.0</v>
      </c>
      <c r="R1689" s="84"/>
      <c r="S1689" s="84"/>
      <c r="T1689" s="84"/>
      <c r="U1689" s="84"/>
      <c r="V1689" s="84"/>
      <c r="W1689" s="84"/>
      <c r="X1689" s="84"/>
      <c r="Y1689" s="84"/>
      <c r="Z1689" s="84"/>
      <c r="AA1689" s="84"/>
    </row>
    <row r="1690" ht="15.75" customHeight="1">
      <c r="A1690" s="14" t="s">
        <v>2137</v>
      </c>
      <c r="B1690" s="15" t="s">
        <v>19029</v>
      </c>
      <c r="C1690" s="14" t="s">
        <v>19188</v>
      </c>
      <c r="D1690" s="14" t="s">
        <v>19189</v>
      </c>
      <c r="E1690" s="26" t="str">
        <f t="shared" si="27"/>
        <v>http://dx.doi.org/10.1109/TVCG.2008.158</v>
      </c>
      <c r="F1690" s="14">
        <v>1301.0</v>
      </c>
      <c r="G1690" s="14">
        <v>1308.0</v>
      </c>
      <c r="H1690" s="14" t="s">
        <v>17059</v>
      </c>
      <c r="I1690" s="19" t="s">
        <v>19190</v>
      </c>
      <c r="J1690" s="19" t="s">
        <v>19191</v>
      </c>
      <c r="K1690" s="19" t="s">
        <v>19191</v>
      </c>
      <c r="L1690" s="19" t="s">
        <v>19192</v>
      </c>
      <c r="M1690" s="20" t="s">
        <v>19193</v>
      </c>
      <c r="N1690" s="44" t="s">
        <v>19194</v>
      </c>
      <c r="O1690" s="22">
        <v>50.0</v>
      </c>
      <c r="P1690" s="28">
        <v>22.0</v>
      </c>
      <c r="Q1690" s="28">
        <v>34.0</v>
      </c>
      <c r="R1690" s="84"/>
      <c r="S1690" s="84"/>
      <c r="T1690" s="84"/>
      <c r="U1690" s="84"/>
      <c r="V1690" s="84"/>
      <c r="W1690" s="84"/>
      <c r="X1690" s="84"/>
      <c r="Y1690" s="84"/>
      <c r="Z1690" s="84"/>
      <c r="AA1690" s="84"/>
    </row>
    <row r="1691" ht="15.75" customHeight="1">
      <c r="A1691" s="14" t="s">
        <v>2137</v>
      </c>
      <c r="B1691" s="15" t="s">
        <v>19029</v>
      </c>
      <c r="C1691" s="14" t="s">
        <v>19195</v>
      </c>
      <c r="D1691" s="14" t="s">
        <v>19196</v>
      </c>
      <c r="E1691" s="26" t="str">
        <f t="shared" si="27"/>
        <v>http://dx.doi.org/10.1109/TVCG.2008.165</v>
      </c>
      <c r="F1691" s="14">
        <v>1348.0</v>
      </c>
      <c r="G1691" s="14">
        <v>1355.0</v>
      </c>
      <c r="H1691" s="14" t="s">
        <v>17059</v>
      </c>
      <c r="I1691" s="19" t="s">
        <v>19197</v>
      </c>
      <c r="J1691" s="19" t="s">
        <v>19198</v>
      </c>
      <c r="K1691" s="19" t="s">
        <v>19198</v>
      </c>
      <c r="L1691" s="19" t="s">
        <v>19199</v>
      </c>
      <c r="M1691" s="20" t="s">
        <v>19200</v>
      </c>
      <c r="N1691" s="44" t="s">
        <v>19201</v>
      </c>
      <c r="O1691" s="22">
        <v>131.0</v>
      </c>
      <c r="P1691" s="28">
        <v>68.0</v>
      </c>
      <c r="Q1691" s="28">
        <v>32.0</v>
      </c>
      <c r="R1691" s="84"/>
      <c r="S1691" s="84"/>
      <c r="T1691" s="84"/>
      <c r="U1691" s="84"/>
      <c r="V1691" s="84"/>
      <c r="W1691" s="84"/>
      <c r="X1691" s="84"/>
      <c r="Y1691" s="84"/>
      <c r="Z1691" s="84"/>
      <c r="AA1691" s="84"/>
    </row>
    <row r="1692" ht="15.75" customHeight="1">
      <c r="A1692" s="14" t="s">
        <v>2137</v>
      </c>
      <c r="B1692" s="15" t="s">
        <v>19029</v>
      </c>
      <c r="C1692" s="14" t="s">
        <v>19203</v>
      </c>
      <c r="D1692" s="14" t="s">
        <v>19204</v>
      </c>
      <c r="E1692" s="26" t="str">
        <f t="shared" si="27"/>
        <v>http://dx.doi.org/10.1109/TVCG.2008.166</v>
      </c>
      <c r="F1692" s="14">
        <v>1245.0</v>
      </c>
      <c r="G1692" s="14">
        <v>1252.0</v>
      </c>
      <c r="H1692" s="14" t="s">
        <v>17059</v>
      </c>
      <c r="I1692" s="19" t="s">
        <v>19205</v>
      </c>
      <c r="J1692" s="19" t="s">
        <v>19206</v>
      </c>
      <c r="K1692" s="19" t="s">
        <v>19206</v>
      </c>
      <c r="L1692" s="19" t="s">
        <v>19207</v>
      </c>
      <c r="M1692" s="20" t="s">
        <v>19208</v>
      </c>
      <c r="N1692" s="44" t="s">
        <v>19209</v>
      </c>
      <c r="O1692" s="22">
        <v>335.0</v>
      </c>
      <c r="P1692" s="28">
        <v>138.0</v>
      </c>
      <c r="Q1692" s="28">
        <v>20.0</v>
      </c>
      <c r="R1692" s="85" t="s">
        <v>19037</v>
      </c>
      <c r="S1692" s="84"/>
      <c r="T1692" s="84"/>
      <c r="U1692" s="84"/>
      <c r="V1692" s="84"/>
      <c r="W1692" s="84"/>
      <c r="X1692" s="84"/>
      <c r="Y1692" s="84"/>
      <c r="Z1692" s="84"/>
      <c r="AA1692" s="84"/>
    </row>
    <row r="1693" ht="15.75" customHeight="1">
      <c r="A1693" s="14" t="s">
        <v>2137</v>
      </c>
      <c r="B1693" s="15" t="s">
        <v>19029</v>
      </c>
      <c r="C1693" s="14" t="s">
        <v>19210</v>
      </c>
      <c r="D1693" s="14" t="s">
        <v>19211</v>
      </c>
      <c r="E1693" s="26" t="str">
        <f t="shared" si="27"/>
        <v>http://dx.doi.org/10.1109/TVCG.2008.171</v>
      </c>
      <c r="F1693" s="14">
        <v>1269.0</v>
      </c>
      <c r="G1693" s="14">
        <v>1276.0</v>
      </c>
      <c r="H1693" s="14" t="s">
        <v>17059</v>
      </c>
      <c r="I1693" s="19" t="s">
        <v>19212</v>
      </c>
      <c r="J1693" s="19" t="s">
        <v>19213</v>
      </c>
      <c r="K1693" s="19" t="s">
        <v>19213</v>
      </c>
      <c r="L1693" s="19" t="s">
        <v>19214</v>
      </c>
      <c r="M1693" s="20" t="s">
        <v>19215</v>
      </c>
      <c r="N1693" s="44" t="s">
        <v>19216</v>
      </c>
      <c r="O1693" s="22">
        <v>102.0</v>
      </c>
      <c r="P1693" s="28">
        <v>42.0</v>
      </c>
      <c r="Q1693" s="28">
        <v>21.0</v>
      </c>
      <c r="R1693" s="85" t="s">
        <v>19037</v>
      </c>
      <c r="S1693" s="84"/>
      <c r="T1693" s="84"/>
      <c r="U1693" s="84"/>
      <c r="V1693" s="84"/>
      <c r="W1693" s="84"/>
      <c r="X1693" s="84"/>
      <c r="Y1693" s="84"/>
      <c r="Z1693" s="84"/>
      <c r="AA1693" s="84"/>
    </row>
    <row r="1694" ht="15.75" customHeight="1">
      <c r="A1694" s="14" t="s">
        <v>2137</v>
      </c>
      <c r="B1694" s="15" t="s">
        <v>19029</v>
      </c>
      <c r="C1694" s="14" t="s">
        <v>19218</v>
      </c>
      <c r="D1694" s="14" t="s">
        <v>19219</v>
      </c>
      <c r="E1694" s="26" t="str">
        <f t="shared" si="27"/>
        <v>http://dx.doi.org/10.1109/TVCG.2008.172</v>
      </c>
      <c r="F1694" s="14">
        <v>1221.0</v>
      </c>
      <c r="G1694" s="14">
        <v>1228.0</v>
      </c>
      <c r="H1694" s="14" t="s">
        <v>17059</v>
      </c>
      <c r="I1694" s="19" t="s">
        <v>19221</v>
      </c>
      <c r="J1694" s="19" t="s">
        <v>19222</v>
      </c>
      <c r="K1694" s="19" t="s">
        <v>19222</v>
      </c>
      <c r="L1694" s="19" t="s">
        <v>19185</v>
      </c>
      <c r="M1694" s="20" t="s">
        <v>19223</v>
      </c>
      <c r="N1694" s="44" t="s">
        <v>19224</v>
      </c>
      <c r="O1694" s="22">
        <v>286.0</v>
      </c>
      <c r="P1694" s="28">
        <v>97.0</v>
      </c>
      <c r="Q1694" s="28">
        <v>15.0</v>
      </c>
      <c r="R1694" s="84"/>
      <c r="S1694" s="84"/>
      <c r="T1694" s="84"/>
      <c r="U1694" s="84"/>
      <c r="V1694" s="84"/>
      <c r="W1694" s="84"/>
      <c r="X1694" s="84"/>
      <c r="Y1694" s="84"/>
      <c r="Z1694" s="84"/>
      <c r="AA1694" s="84"/>
    </row>
    <row r="1695" ht="15.75" customHeight="1">
      <c r="A1695" s="14" t="s">
        <v>2137</v>
      </c>
      <c r="B1695" s="15" t="s">
        <v>19029</v>
      </c>
      <c r="C1695" s="14" t="s">
        <v>19225</v>
      </c>
      <c r="D1695" s="14" t="s">
        <v>19226</v>
      </c>
      <c r="E1695" s="26" t="str">
        <f t="shared" si="27"/>
        <v>http://dx.doi.org/10.1109/TVCG.2008.175</v>
      </c>
      <c r="F1695" s="14">
        <v>1205.0</v>
      </c>
      <c r="G1695" s="14">
        <v>1212.0</v>
      </c>
      <c r="H1695" s="14" t="s">
        <v>17059</v>
      </c>
      <c r="I1695" s="19" t="s">
        <v>19227</v>
      </c>
      <c r="J1695" s="19" t="s">
        <v>19228</v>
      </c>
      <c r="K1695" s="19" t="s">
        <v>19229</v>
      </c>
      <c r="L1695" s="19" t="s">
        <v>19230</v>
      </c>
      <c r="M1695" s="20" t="s">
        <v>19231</v>
      </c>
      <c r="N1695" s="44" t="s">
        <v>19232</v>
      </c>
      <c r="O1695" s="22">
        <v>172.0</v>
      </c>
      <c r="P1695" s="28">
        <v>66.0</v>
      </c>
      <c r="Q1695" s="28">
        <v>41.0</v>
      </c>
      <c r="R1695" s="84"/>
      <c r="S1695" s="84"/>
      <c r="T1695" s="84"/>
      <c r="U1695" s="84"/>
      <c r="V1695" s="84"/>
      <c r="W1695" s="84"/>
      <c r="X1695" s="84"/>
      <c r="Y1695" s="84"/>
      <c r="Z1695" s="84"/>
      <c r="AA1695" s="84"/>
    </row>
    <row r="1696" ht="15.75" customHeight="1">
      <c r="A1696" s="14" t="s">
        <v>2137</v>
      </c>
      <c r="B1696" s="15" t="s">
        <v>19029</v>
      </c>
      <c r="C1696" s="14" t="s">
        <v>19233</v>
      </c>
      <c r="D1696" s="14" t="s">
        <v>19234</v>
      </c>
      <c r="E1696" s="26" t="str">
        <f t="shared" si="27"/>
        <v>http://dx.doi.org/10.1109/TVCG.2008.178</v>
      </c>
      <c r="F1696" s="14">
        <v>1213.0</v>
      </c>
      <c r="G1696" s="14">
        <v>1220.0</v>
      </c>
      <c r="H1696" s="14" t="s">
        <v>17059</v>
      </c>
      <c r="I1696" s="19" t="s">
        <v>19236</v>
      </c>
      <c r="J1696" s="19" t="s">
        <v>19237</v>
      </c>
      <c r="K1696" s="19" t="s">
        <v>19237</v>
      </c>
      <c r="L1696" s="19" t="s">
        <v>19238</v>
      </c>
      <c r="M1696" s="20" t="s">
        <v>19239</v>
      </c>
      <c r="N1696" s="44" t="s">
        <v>19240</v>
      </c>
      <c r="O1696" s="22">
        <v>50.0</v>
      </c>
      <c r="P1696" s="28">
        <v>15.0</v>
      </c>
      <c r="Q1696" s="28">
        <v>34.0</v>
      </c>
      <c r="R1696" s="84"/>
      <c r="S1696" s="84"/>
      <c r="T1696" s="84"/>
      <c r="U1696" s="84"/>
      <c r="V1696" s="84"/>
      <c r="W1696" s="84"/>
      <c r="X1696" s="84"/>
      <c r="Y1696" s="84"/>
      <c r="Z1696" s="84"/>
      <c r="AA1696" s="84"/>
    </row>
    <row r="1697" ht="15.75" customHeight="1">
      <c r="A1697" s="14" t="s">
        <v>2137</v>
      </c>
      <c r="B1697" s="15" t="s">
        <v>19029</v>
      </c>
      <c r="C1697" s="14" t="s">
        <v>19242</v>
      </c>
      <c r="D1697" s="14" t="s">
        <v>19243</v>
      </c>
      <c r="E1697" s="26" t="str">
        <f t="shared" si="27"/>
        <v>http://dx.doi.org/10.1109/TVCG.2008.181</v>
      </c>
      <c r="F1697" s="14">
        <v>1356.0</v>
      </c>
      <c r="G1697" s="14">
        <v>1363.0</v>
      </c>
      <c r="H1697" s="14" t="s">
        <v>17059</v>
      </c>
      <c r="I1697" s="19" t="s">
        <v>19244</v>
      </c>
      <c r="J1697" s="19" t="s">
        <v>19245</v>
      </c>
      <c r="K1697" s="19" t="s">
        <v>19246</v>
      </c>
      <c r="L1697" s="19" t="s">
        <v>19247</v>
      </c>
      <c r="M1697" s="20"/>
      <c r="N1697" s="44" t="s">
        <v>19248</v>
      </c>
      <c r="O1697" s="22">
        <v>57.0</v>
      </c>
      <c r="P1697" s="28">
        <v>28.0</v>
      </c>
      <c r="Q1697" s="28">
        <v>21.0</v>
      </c>
      <c r="R1697" s="84"/>
      <c r="S1697" s="84"/>
      <c r="T1697" s="84"/>
      <c r="U1697" s="84"/>
      <c r="V1697" s="84"/>
      <c r="W1697" s="84"/>
      <c r="X1697" s="84"/>
      <c r="Y1697" s="84"/>
      <c r="Z1697" s="84"/>
      <c r="AA1697" s="84"/>
    </row>
    <row r="1698" ht="15.75" customHeight="1">
      <c r="A1698" s="14" t="s">
        <v>2137</v>
      </c>
      <c r="B1698" s="15" t="s">
        <v>19029</v>
      </c>
      <c r="C1698" s="14" t="s">
        <v>19249</v>
      </c>
      <c r="D1698" s="14" t="s">
        <v>19250</v>
      </c>
      <c r="E1698" s="26" t="str">
        <f t="shared" si="27"/>
        <v>http://dx.doi.org/10.1109/TVCG.2008.185</v>
      </c>
      <c r="F1698" s="14">
        <v>1261.0</v>
      </c>
      <c r="G1698" s="14">
        <v>1268.0</v>
      </c>
      <c r="H1698" s="14" t="s">
        <v>17059</v>
      </c>
      <c r="I1698" s="19" t="s">
        <v>19252</v>
      </c>
      <c r="J1698" s="19" t="s">
        <v>19253</v>
      </c>
      <c r="K1698" s="19" t="s">
        <v>19254</v>
      </c>
      <c r="L1698" s="19" t="s">
        <v>19255</v>
      </c>
      <c r="M1698" s="20" t="s">
        <v>19256</v>
      </c>
      <c r="N1698" s="44" t="s">
        <v>19257</v>
      </c>
      <c r="O1698" s="22">
        <v>37.0</v>
      </c>
      <c r="P1698" s="28">
        <v>13.0</v>
      </c>
      <c r="Q1698" s="28">
        <v>29.0</v>
      </c>
      <c r="R1698" s="84"/>
      <c r="S1698" s="84"/>
      <c r="T1698" s="84"/>
      <c r="U1698" s="84"/>
      <c r="V1698" s="84"/>
      <c r="W1698" s="84"/>
      <c r="X1698" s="84"/>
      <c r="Y1698" s="84"/>
      <c r="Z1698" s="84"/>
      <c r="AA1698" s="84"/>
    </row>
    <row r="1699" ht="15.75" customHeight="1">
      <c r="A1699" s="14" t="s">
        <v>2137</v>
      </c>
      <c r="B1699" s="15" t="s">
        <v>19029</v>
      </c>
      <c r="C1699" s="14" t="s">
        <v>19258</v>
      </c>
      <c r="D1699" s="14" t="s">
        <v>19259</v>
      </c>
      <c r="E1699" s="26" t="str">
        <f t="shared" si="27"/>
        <v>http://dx.doi.org/10.1109/TVCG.2008.187</v>
      </c>
      <c r="F1699" s="14">
        <v>1197.0</v>
      </c>
      <c r="G1699" s="14">
        <v>1204.0</v>
      </c>
      <c r="H1699" s="14" t="s">
        <v>17059</v>
      </c>
      <c r="I1699" s="19" t="s">
        <v>19260</v>
      </c>
      <c r="J1699" s="19" t="s">
        <v>19261</v>
      </c>
      <c r="K1699" s="19" t="s">
        <v>19262</v>
      </c>
      <c r="L1699" s="19" t="s">
        <v>19263</v>
      </c>
      <c r="M1699" s="20" t="s">
        <v>19264</v>
      </c>
      <c r="N1699" s="44" t="s">
        <v>19265</v>
      </c>
      <c r="O1699" s="22">
        <v>50.0</v>
      </c>
      <c r="P1699" s="28">
        <v>10.0</v>
      </c>
      <c r="Q1699" s="28">
        <v>45.0</v>
      </c>
      <c r="R1699" s="84"/>
      <c r="S1699" s="84"/>
      <c r="T1699" s="84"/>
      <c r="U1699" s="84"/>
      <c r="V1699" s="84"/>
      <c r="W1699" s="84"/>
      <c r="X1699" s="84"/>
      <c r="Y1699" s="84"/>
      <c r="Z1699" s="84"/>
      <c r="AA1699" s="84"/>
    </row>
    <row r="1700" ht="15.75" customHeight="1">
      <c r="A1700" s="14" t="s">
        <v>120</v>
      </c>
      <c r="B1700" s="15" t="s">
        <v>19029</v>
      </c>
      <c r="C1700" s="14" t="s">
        <v>19266</v>
      </c>
      <c r="D1700" s="14" t="s">
        <v>19267</v>
      </c>
      <c r="E1700" s="26" t="str">
        <f t="shared" si="27"/>
        <v>http://dx.doi.org/10.1109/VAST.2008.4677350</v>
      </c>
      <c r="F1700" s="14">
        <v>3.0</v>
      </c>
      <c r="G1700" s="14">
        <v>10.0</v>
      </c>
      <c r="H1700" s="14" t="s">
        <v>28</v>
      </c>
      <c r="I1700" s="19" t="s">
        <v>19268</v>
      </c>
      <c r="J1700" s="19" t="s">
        <v>19269</v>
      </c>
      <c r="K1700" s="19" t="s">
        <v>19270</v>
      </c>
      <c r="L1700" s="19" t="s">
        <v>19271</v>
      </c>
      <c r="M1700" s="20" t="s">
        <v>18258</v>
      </c>
      <c r="N1700" s="27"/>
      <c r="O1700" s="22">
        <v>140.0</v>
      </c>
      <c r="P1700" s="28">
        <v>18.0</v>
      </c>
      <c r="Q1700" s="28">
        <v>21.0</v>
      </c>
      <c r="R1700" s="84"/>
      <c r="S1700" s="84"/>
      <c r="T1700" s="84"/>
      <c r="U1700" s="84"/>
      <c r="V1700" s="84"/>
      <c r="W1700" s="84"/>
      <c r="X1700" s="84"/>
      <c r="Y1700" s="84"/>
      <c r="Z1700" s="84"/>
      <c r="AA1700" s="84"/>
    </row>
    <row r="1701" ht="15.75" customHeight="1">
      <c r="A1701" s="14" t="s">
        <v>120</v>
      </c>
      <c r="B1701" s="15" t="s">
        <v>19029</v>
      </c>
      <c r="C1701" s="14" t="s">
        <v>19272</v>
      </c>
      <c r="D1701" s="14" t="s">
        <v>19273</v>
      </c>
      <c r="E1701" s="26" t="str">
        <f t="shared" si="27"/>
        <v>http://dx.doi.org/10.1109/VAST.2008.4677351</v>
      </c>
      <c r="F1701" s="14">
        <v>11.0</v>
      </c>
      <c r="G1701" s="14">
        <v>18.0</v>
      </c>
      <c r="H1701" s="14" t="s">
        <v>28</v>
      </c>
      <c r="I1701" s="19" t="s">
        <v>19274</v>
      </c>
      <c r="J1701" s="19" t="s">
        <v>19275</v>
      </c>
      <c r="K1701" s="19" t="s">
        <v>19275</v>
      </c>
      <c r="L1701" s="19" t="s">
        <v>19276</v>
      </c>
      <c r="M1701" s="20"/>
      <c r="N1701" s="27"/>
      <c r="O1701" s="22">
        <v>13.0</v>
      </c>
      <c r="P1701" s="28">
        <v>3.0</v>
      </c>
      <c r="Q1701" s="28">
        <v>31.0</v>
      </c>
      <c r="R1701" s="84"/>
      <c r="S1701" s="84"/>
      <c r="T1701" s="84"/>
      <c r="U1701" s="84"/>
      <c r="V1701" s="84"/>
      <c r="W1701" s="84"/>
      <c r="X1701" s="84"/>
      <c r="Y1701" s="84"/>
      <c r="Z1701" s="84"/>
      <c r="AA1701" s="84"/>
    </row>
    <row r="1702" ht="15.75" customHeight="1">
      <c r="A1702" s="14" t="s">
        <v>120</v>
      </c>
      <c r="B1702" s="15" t="s">
        <v>19029</v>
      </c>
      <c r="C1702" s="14" t="s">
        <v>19277</v>
      </c>
      <c r="D1702" s="14" t="s">
        <v>19278</v>
      </c>
      <c r="E1702" s="26" t="str">
        <f t="shared" si="27"/>
        <v>http://dx.doi.org/10.1109/VAST.2008.4677352</v>
      </c>
      <c r="F1702" s="14">
        <v>19.0</v>
      </c>
      <c r="G1702" s="14">
        <v>26.0</v>
      </c>
      <c r="H1702" s="14" t="s">
        <v>28</v>
      </c>
      <c r="I1702" s="19" t="s">
        <v>19279</v>
      </c>
      <c r="J1702" s="19" t="s">
        <v>19280</v>
      </c>
      <c r="K1702" s="19" t="s">
        <v>19281</v>
      </c>
      <c r="L1702" s="19" t="s">
        <v>19282</v>
      </c>
      <c r="M1702" s="20" t="s">
        <v>19283</v>
      </c>
      <c r="N1702" s="44" t="s">
        <v>19284</v>
      </c>
      <c r="O1702" s="22">
        <v>39.0</v>
      </c>
      <c r="P1702" s="28">
        <v>14.0</v>
      </c>
      <c r="Q1702" s="28">
        <v>27.0</v>
      </c>
      <c r="R1702" s="84"/>
      <c r="S1702" s="84"/>
      <c r="T1702" s="84"/>
      <c r="U1702" s="84"/>
      <c r="V1702" s="84"/>
      <c r="W1702" s="84"/>
      <c r="X1702" s="84"/>
      <c r="Y1702" s="84"/>
      <c r="Z1702" s="84"/>
      <c r="AA1702" s="84"/>
    </row>
    <row r="1703" ht="15.75" customHeight="1">
      <c r="A1703" s="14" t="s">
        <v>120</v>
      </c>
      <c r="B1703" s="15" t="s">
        <v>19029</v>
      </c>
      <c r="C1703" s="14" t="s">
        <v>19285</v>
      </c>
      <c r="D1703" s="14" t="s">
        <v>19286</v>
      </c>
      <c r="E1703" s="26" t="str">
        <f t="shared" si="27"/>
        <v>http://dx.doi.org/10.1109/VAST.2008.4677353</v>
      </c>
      <c r="F1703" s="14">
        <v>27.0</v>
      </c>
      <c r="G1703" s="14">
        <v>34.0</v>
      </c>
      <c r="H1703" s="14" t="s">
        <v>28</v>
      </c>
      <c r="I1703" s="19" t="s">
        <v>19287</v>
      </c>
      <c r="J1703" s="19" t="s">
        <v>19288</v>
      </c>
      <c r="K1703" s="19" t="s">
        <v>19288</v>
      </c>
      <c r="L1703" s="19" t="s">
        <v>19289</v>
      </c>
      <c r="M1703" s="20" t="s">
        <v>19290</v>
      </c>
      <c r="N1703" s="44" t="s">
        <v>19291</v>
      </c>
      <c r="O1703" s="22">
        <v>19.0</v>
      </c>
      <c r="P1703" s="28">
        <v>4.0</v>
      </c>
      <c r="Q1703" s="28">
        <v>39.0</v>
      </c>
      <c r="R1703" s="84"/>
      <c r="S1703" s="84"/>
      <c r="T1703" s="84"/>
      <c r="U1703" s="84"/>
      <c r="V1703" s="84"/>
      <c r="W1703" s="84"/>
      <c r="X1703" s="84"/>
      <c r="Y1703" s="84"/>
      <c r="Z1703" s="84"/>
      <c r="AA1703" s="84"/>
    </row>
    <row r="1704" ht="15.75" customHeight="1">
      <c r="A1704" s="14" t="s">
        <v>120</v>
      </c>
      <c r="B1704" s="15" t="s">
        <v>19029</v>
      </c>
      <c r="C1704" s="14" t="s">
        <v>19292</v>
      </c>
      <c r="D1704" s="14" t="s">
        <v>19293</v>
      </c>
      <c r="E1704" s="26" t="str">
        <f t="shared" si="27"/>
        <v>http://dx.doi.org/10.1109/VAST.2008.4677354</v>
      </c>
      <c r="F1704" s="14">
        <v>35.0</v>
      </c>
      <c r="G1704" s="14">
        <v>42.0</v>
      </c>
      <c r="H1704" s="14" t="s">
        <v>28</v>
      </c>
      <c r="I1704" s="19" t="s">
        <v>19294</v>
      </c>
      <c r="J1704" s="19" t="s">
        <v>19295</v>
      </c>
      <c r="K1704" s="19" t="s">
        <v>19296</v>
      </c>
      <c r="L1704" s="19" t="s">
        <v>19297</v>
      </c>
      <c r="M1704" s="20" t="s">
        <v>19298</v>
      </c>
      <c r="N1704" s="27"/>
      <c r="O1704" s="22">
        <v>30.0</v>
      </c>
      <c r="P1704" s="28">
        <v>10.0</v>
      </c>
      <c r="Q1704" s="28">
        <v>26.0</v>
      </c>
      <c r="R1704" s="84"/>
      <c r="S1704" s="84"/>
      <c r="T1704" s="84"/>
      <c r="U1704" s="84"/>
      <c r="V1704" s="84"/>
      <c r="W1704" s="84"/>
      <c r="X1704" s="84"/>
      <c r="Y1704" s="84"/>
      <c r="Z1704" s="84"/>
      <c r="AA1704" s="84"/>
    </row>
    <row r="1705" ht="15.75" customHeight="1">
      <c r="A1705" s="14" t="s">
        <v>120</v>
      </c>
      <c r="B1705" s="15" t="s">
        <v>19029</v>
      </c>
      <c r="C1705" s="14" t="s">
        <v>19299</v>
      </c>
      <c r="D1705" s="14" t="s">
        <v>19300</v>
      </c>
      <c r="E1705" s="26" t="str">
        <f t="shared" si="27"/>
        <v>http://dx.doi.org/10.1109/VAST.2008.4677355</v>
      </c>
      <c r="F1705" s="14">
        <v>43.0</v>
      </c>
      <c r="G1705" s="14">
        <v>50.0</v>
      </c>
      <c r="H1705" s="14" t="s">
        <v>28</v>
      </c>
      <c r="I1705" s="19" t="s">
        <v>19301</v>
      </c>
      <c r="J1705" s="19" t="s">
        <v>19302</v>
      </c>
      <c r="K1705" s="19" t="s">
        <v>19303</v>
      </c>
      <c r="L1705" s="19" t="s">
        <v>19304</v>
      </c>
      <c r="M1705" s="20" t="s">
        <v>19305</v>
      </c>
      <c r="N1705" s="44" t="s">
        <v>19306</v>
      </c>
      <c r="O1705" s="22">
        <v>50.0</v>
      </c>
      <c r="P1705" s="28">
        <v>6.0</v>
      </c>
      <c r="Q1705" s="28">
        <v>28.0</v>
      </c>
      <c r="R1705" s="84"/>
      <c r="S1705" s="84"/>
      <c r="T1705" s="84"/>
      <c r="U1705" s="84"/>
      <c r="V1705" s="84"/>
      <c r="W1705" s="84"/>
      <c r="X1705" s="84"/>
      <c r="Y1705" s="84"/>
      <c r="Z1705" s="84"/>
      <c r="AA1705" s="84"/>
    </row>
    <row r="1706" ht="15.75" customHeight="1">
      <c r="A1706" s="14" t="s">
        <v>120</v>
      </c>
      <c r="B1706" s="15" t="s">
        <v>19029</v>
      </c>
      <c r="C1706" s="14" t="s">
        <v>19307</v>
      </c>
      <c r="D1706" s="14" t="s">
        <v>19308</v>
      </c>
      <c r="E1706" s="26" t="str">
        <f t="shared" si="27"/>
        <v>http://dx.doi.org/10.1109/VAST.2008.4677356</v>
      </c>
      <c r="F1706" s="14">
        <v>51.0</v>
      </c>
      <c r="G1706" s="14">
        <v>58.0</v>
      </c>
      <c r="H1706" s="14" t="s">
        <v>28</v>
      </c>
      <c r="I1706" s="19" t="s">
        <v>19309</v>
      </c>
      <c r="J1706" s="19" t="s">
        <v>19310</v>
      </c>
      <c r="K1706" s="19" t="s">
        <v>19311</v>
      </c>
      <c r="L1706" s="19" t="s">
        <v>19312</v>
      </c>
      <c r="M1706" s="20"/>
      <c r="N1706" s="44" t="s">
        <v>19313</v>
      </c>
      <c r="O1706" s="22">
        <v>185.0</v>
      </c>
      <c r="P1706" s="28">
        <v>82.0</v>
      </c>
      <c r="Q1706" s="28">
        <v>17.0</v>
      </c>
      <c r="R1706" s="84"/>
      <c r="S1706" s="84"/>
      <c r="T1706" s="84"/>
      <c r="U1706" s="84"/>
      <c r="V1706" s="84"/>
      <c r="W1706" s="84"/>
      <c r="X1706" s="84"/>
      <c r="Y1706" s="84"/>
      <c r="Z1706" s="84"/>
      <c r="AA1706" s="84"/>
    </row>
    <row r="1707" ht="15.75" customHeight="1">
      <c r="A1707" s="14" t="s">
        <v>120</v>
      </c>
      <c r="B1707" s="15" t="s">
        <v>19029</v>
      </c>
      <c r="C1707" s="14" t="s">
        <v>19314</v>
      </c>
      <c r="D1707" s="14" t="s">
        <v>19315</v>
      </c>
      <c r="E1707" s="26" t="str">
        <f t="shared" si="27"/>
        <v>http://dx.doi.org/10.1109/VAST.2008.4677357</v>
      </c>
      <c r="F1707" s="14">
        <v>59.0</v>
      </c>
      <c r="G1707" s="14">
        <v>66.0</v>
      </c>
      <c r="H1707" s="14" t="s">
        <v>28</v>
      </c>
      <c r="I1707" s="19" t="s">
        <v>19316</v>
      </c>
      <c r="J1707" s="19" t="s">
        <v>19317</v>
      </c>
      <c r="K1707" s="19" t="s">
        <v>19317</v>
      </c>
      <c r="L1707" s="19" t="s">
        <v>19318</v>
      </c>
      <c r="M1707" s="20" t="s">
        <v>19319</v>
      </c>
      <c r="N1707" s="27"/>
      <c r="O1707" s="22">
        <v>50.0</v>
      </c>
      <c r="P1707" s="28">
        <v>8.0</v>
      </c>
      <c r="Q1707" s="28">
        <v>30.0</v>
      </c>
      <c r="R1707" s="84"/>
      <c r="S1707" s="84"/>
      <c r="T1707" s="84"/>
      <c r="U1707" s="84"/>
      <c r="V1707" s="84"/>
      <c r="W1707" s="84"/>
      <c r="X1707" s="84"/>
      <c r="Y1707" s="84"/>
      <c r="Z1707" s="84"/>
      <c r="AA1707" s="84"/>
    </row>
    <row r="1708" ht="15.75" customHeight="1">
      <c r="A1708" s="14" t="s">
        <v>120</v>
      </c>
      <c r="B1708" s="15" t="s">
        <v>19029</v>
      </c>
      <c r="C1708" s="14" t="s">
        <v>19320</v>
      </c>
      <c r="D1708" s="14" t="s">
        <v>19321</v>
      </c>
      <c r="E1708" s="26" t="str">
        <f t="shared" si="27"/>
        <v>http://dx.doi.org/10.1109/VAST.2008.4677358</v>
      </c>
      <c r="F1708" s="14">
        <v>67.0</v>
      </c>
      <c r="G1708" s="14">
        <v>74.0</v>
      </c>
      <c r="H1708" s="14" t="s">
        <v>28</v>
      </c>
      <c r="I1708" s="19" t="s">
        <v>19322</v>
      </c>
      <c r="J1708" s="19" t="s">
        <v>19323</v>
      </c>
      <c r="K1708" s="19" t="s">
        <v>19323</v>
      </c>
      <c r="L1708" s="19" t="s">
        <v>19324</v>
      </c>
      <c r="M1708" s="20" t="s">
        <v>19325</v>
      </c>
      <c r="N1708" s="44" t="s">
        <v>19313</v>
      </c>
      <c r="O1708" s="22">
        <v>81.0</v>
      </c>
      <c r="P1708" s="28">
        <v>35.0</v>
      </c>
      <c r="Q1708" s="28">
        <v>17.0</v>
      </c>
      <c r="R1708" s="84"/>
      <c r="S1708" s="84"/>
      <c r="T1708" s="84"/>
      <c r="U1708" s="84"/>
      <c r="V1708" s="84"/>
      <c r="W1708" s="84"/>
      <c r="X1708" s="84"/>
      <c r="Y1708" s="84"/>
      <c r="Z1708" s="84"/>
      <c r="AA1708" s="84"/>
    </row>
    <row r="1709" ht="15.75" customHeight="1">
      <c r="A1709" s="14" t="s">
        <v>120</v>
      </c>
      <c r="B1709" s="15" t="s">
        <v>19029</v>
      </c>
      <c r="C1709" s="14" t="s">
        <v>19326</v>
      </c>
      <c r="D1709" s="14" t="s">
        <v>19327</v>
      </c>
      <c r="E1709" s="26" t="str">
        <f t="shared" si="27"/>
        <v>http://dx.doi.org/10.1109/VAST.2008.4677359</v>
      </c>
      <c r="F1709" s="14">
        <v>75.0</v>
      </c>
      <c r="G1709" s="14">
        <v>82.0</v>
      </c>
      <c r="H1709" s="14" t="s">
        <v>28</v>
      </c>
      <c r="I1709" s="19" t="s">
        <v>19328</v>
      </c>
      <c r="J1709" s="19" t="s">
        <v>19329</v>
      </c>
      <c r="K1709" s="19" t="s">
        <v>19329</v>
      </c>
      <c r="L1709" s="19" t="s">
        <v>19330</v>
      </c>
      <c r="M1709" s="20" t="s">
        <v>19331</v>
      </c>
      <c r="N1709" s="27"/>
      <c r="O1709" s="22">
        <v>27.0</v>
      </c>
      <c r="P1709" s="28">
        <v>4.0</v>
      </c>
      <c r="Q1709" s="28">
        <v>27.0</v>
      </c>
      <c r="R1709" s="84"/>
      <c r="S1709" s="84"/>
      <c r="T1709" s="84"/>
      <c r="U1709" s="84"/>
      <c r="V1709" s="84"/>
      <c r="W1709" s="84"/>
      <c r="X1709" s="84"/>
      <c r="Y1709" s="84"/>
      <c r="Z1709" s="84"/>
      <c r="AA1709" s="84"/>
    </row>
    <row r="1710" ht="15.75" customHeight="1">
      <c r="A1710" s="14" t="s">
        <v>120</v>
      </c>
      <c r="B1710" s="15" t="s">
        <v>19029</v>
      </c>
      <c r="C1710" s="14" t="s">
        <v>19332</v>
      </c>
      <c r="D1710" s="14" t="s">
        <v>19333</v>
      </c>
      <c r="E1710" s="26" t="str">
        <f t="shared" si="27"/>
        <v>http://dx.doi.org/10.1109/VAST.2008.4677360</v>
      </c>
      <c r="F1710" s="14">
        <v>83.0</v>
      </c>
      <c r="G1710" s="14">
        <v>90.0</v>
      </c>
      <c r="H1710" s="14" t="s">
        <v>28</v>
      </c>
      <c r="I1710" s="19" t="s">
        <v>19334</v>
      </c>
      <c r="J1710" s="19" t="s">
        <v>19335</v>
      </c>
      <c r="K1710" s="19" t="s">
        <v>19336</v>
      </c>
      <c r="L1710" s="19" t="s">
        <v>19337</v>
      </c>
      <c r="M1710" s="20" t="s">
        <v>18423</v>
      </c>
      <c r="N1710" s="27"/>
      <c r="O1710" s="22">
        <v>29.0</v>
      </c>
      <c r="P1710" s="28">
        <v>12.0</v>
      </c>
      <c r="Q1710" s="28">
        <v>15.0</v>
      </c>
      <c r="R1710" s="84"/>
      <c r="S1710" s="84"/>
      <c r="T1710" s="84"/>
      <c r="U1710" s="84"/>
      <c r="V1710" s="84"/>
      <c r="W1710" s="84"/>
      <c r="X1710" s="84"/>
      <c r="Y1710" s="84"/>
      <c r="Z1710" s="84"/>
      <c r="AA1710" s="84"/>
    </row>
    <row r="1711" ht="15.75" customHeight="1">
      <c r="A1711" s="14" t="s">
        <v>120</v>
      </c>
      <c r="B1711" s="15" t="s">
        <v>19029</v>
      </c>
      <c r="C1711" s="14" t="s">
        <v>19338</v>
      </c>
      <c r="D1711" s="14" t="s">
        <v>19339</v>
      </c>
      <c r="E1711" s="26" t="str">
        <f t="shared" si="27"/>
        <v>http://dx.doi.org/10.1109/VAST.2008.4677361</v>
      </c>
      <c r="F1711" s="14">
        <v>91.0</v>
      </c>
      <c r="G1711" s="14">
        <v>98.0</v>
      </c>
      <c r="H1711" s="14" t="s">
        <v>28</v>
      </c>
      <c r="I1711" s="19" t="s">
        <v>19340</v>
      </c>
      <c r="J1711" s="19" t="s">
        <v>19341</v>
      </c>
      <c r="K1711" s="19" t="s">
        <v>19342</v>
      </c>
      <c r="L1711" s="19" t="s">
        <v>19343</v>
      </c>
      <c r="M1711" s="20" t="s">
        <v>19344</v>
      </c>
      <c r="N1711" s="44" t="s">
        <v>19345</v>
      </c>
      <c r="O1711" s="22">
        <v>77.0</v>
      </c>
      <c r="P1711" s="28">
        <v>31.0</v>
      </c>
      <c r="Q1711" s="28">
        <v>34.0</v>
      </c>
      <c r="R1711" s="84"/>
      <c r="S1711" s="84"/>
      <c r="T1711" s="84"/>
      <c r="U1711" s="84"/>
      <c r="V1711" s="84"/>
      <c r="W1711" s="84"/>
      <c r="X1711" s="84"/>
      <c r="Y1711" s="84"/>
      <c r="Z1711" s="84"/>
      <c r="AA1711" s="84"/>
    </row>
    <row r="1712" ht="15.75" customHeight="1">
      <c r="A1712" s="14" t="s">
        <v>120</v>
      </c>
      <c r="B1712" s="15" t="s">
        <v>19029</v>
      </c>
      <c r="C1712" s="14" t="s">
        <v>19346</v>
      </c>
      <c r="D1712" s="14" t="s">
        <v>19347</v>
      </c>
      <c r="E1712" s="26" t="str">
        <f t="shared" si="27"/>
        <v>http://dx.doi.org/10.1109/VAST.2008.4677362</v>
      </c>
      <c r="F1712" s="14">
        <v>99.0</v>
      </c>
      <c r="G1712" s="14">
        <v>106.0</v>
      </c>
      <c r="H1712" s="14" t="s">
        <v>28</v>
      </c>
      <c r="I1712" s="19" t="s">
        <v>19348</v>
      </c>
      <c r="J1712" s="19" t="s">
        <v>19349</v>
      </c>
      <c r="K1712" s="19" t="s">
        <v>19349</v>
      </c>
      <c r="L1712" s="19" t="s">
        <v>19350</v>
      </c>
      <c r="M1712" s="20" t="s">
        <v>19351</v>
      </c>
      <c r="N1712" s="44" t="s">
        <v>19352</v>
      </c>
      <c r="O1712" s="22">
        <v>57.0</v>
      </c>
      <c r="P1712" s="28">
        <v>20.0</v>
      </c>
      <c r="Q1712" s="28">
        <v>17.0</v>
      </c>
      <c r="R1712" s="85" t="s">
        <v>106</v>
      </c>
      <c r="S1712" s="84"/>
      <c r="T1712" s="84"/>
      <c r="U1712" s="84"/>
      <c r="V1712" s="84"/>
      <c r="W1712" s="84"/>
      <c r="X1712" s="84"/>
      <c r="Y1712" s="84"/>
      <c r="Z1712" s="84"/>
      <c r="AA1712" s="84"/>
    </row>
    <row r="1713" ht="15.75" customHeight="1">
      <c r="A1713" s="14" t="s">
        <v>120</v>
      </c>
      <c r="B1713" s="15" t="s">
        <v>19029</v>
      </c>
      <c r="C1713" s="14" t="s">
        <v>19353</v>
      </c>
      <c r="D1713" s="14" t="s">
        <v>19354</v>
      </c>
      <c r="E1713" s="26" t="str">
        <f t="shared" si="27"/>
        <v>http://dx.doi.org/10.1109/VAST.2008.4677363</v>
      </c>
      <c r="F1713" s="14">
        <v>107.0</v>
      </c>
      <c r="G1713" s="14">
        <v>114.0</v>
      </c>
      <c r="H1713" s="14" t="s">
        <v>28</v>
      </c>
      <c r="I1713" s="19" t="s">
        <v>19355</v>
      </c>
      <c r="J1713" s="19" t="s">
        <v>19356</v>
      </c>
      <c r="K1713" s="19" t="s">
        <v>19357</v>
      </c>
      <c r="L1713" s="19" t="s">
        <v>19358</v>
      </c>
      <c r="M1713" s="20"/>
      <c r="N1713" s="27"/>
      <c r="O1713" s="22">
        <v>43.0</v>
      </c>
      <c r="P1713" s="28">
        <v>11.0</v>
      </c>
      <c r="Q1713" s="28">
        <v>18.0</v>
      </c>
      <c r="R1713" s="84"/>
      <c r="S1713" s="84"/>
      <c r="T1713" s="84"/>
      <c r="U1713" s="84"/>
      <c r="V1713" s="84"/>
      <c r="W1713" s="84"/>
      <c r="X1713" s="84"/>
      <c r="Y1713" s="84"/>
      <c r="Z1713" s="84"/>
      <c r="AA1713" s="84"/>
    </row>
    <row r="1714" ht="15.75" customHeight="1">
      <c r="A1714" s="14" t="s">
        <v>120</v>
      </c>
      <c r="B1714" s="15" t="s">
        <v>19029</v>
      </c>
      <c r="C1714" s="14" t="s">
        <v>19359</v>
      </c>
      <c r="D1714" s="14" t="s">
        <v>19360</v>
      </c>
      <c r="E1714" s="26" t="str">
        <f t="shared" si="27"/>
        <v>http://dx.doi.org/10.1109/VAST.2008.4677364</v>
      </c>
      <c r="F1714" s="14">
        <v>115.0</v>
      </c>
      <c r="G1714" s="14">
        <v>122.0</v>
      </c>
      <c r="H1714" s="14" t="s">
        <v>28</v>
      </c>
      <c r="I1714" s="19" t="s">
        <v>19361</v>
      </c>
      <c r="J1714" s="19" t="s">
        <v>19362</v>
      </c>
      <c r="K1714" s="19" t="s">
        <v>19363</v>
      </c>
      <c r="L1714" s="19" t="s">
        <v>19364</v>
      </c>
      <c r="M1714" s="20" t="s">
        <v>19365</v>
      </c>
      <c r="N1714" s="88" t="s">
        <v>19366</v>
      </c>
      <c r="O1714" s="22">
        <v>59.0</v>
      </c>
      <c r="P1714" s="28">
        <v>16.0</v>
      </c>
      <c r="Q1714" s="28">
        <v>16.0</v>
      </c>
      <c r="R1714" s="84"/>
      <c r="S1714" s="84"/>
      <c r="T1714" s="84"/>
      <c r="U1714" s="84"/>
      <c r="V1714" s="84"/>
      <c r="W1714" s="84"/>
      <c r="X1714" s="84"/>
      <c r="Y1714" s="84"/>
      <c r="Z1714" s="84"/>
      <c r="AA1714" s="84"/>
    </row>
    <row r="1715" ht="15.75" customHeight="1">
      <c r="A1715" s="14" t="s">
        <v>120</v>
      </c>
      <c r="B1715" s="15" t="s">
        <v>19029</v>
      </c>
      <c r="C1715" s="14" t="s">
        <v>19387</v>
      </c>
      <c r="D1715" s="14" t="s">
        <v>19388</v>
      </c>
      <c r="E1715" s="26" t="str">
        <f t="shared" si="27"/>
        <v>http://dx.doi.org/10.1109/VAST.2008.4677365</v>
      </c>
      <c r="F1715" s="14">
        <v>123.0</v>
      </c>
      <c r="G1715" s="14">
        <v>130.0</v>
      </c>
      <c r="H1715" s="14" t="s">
        <v>28</v>
      </c>
      <c r="I1715" s="19" t="s">
        <v>19389</v>
      </c>
      <c r="J1715" s="19" t="s">
        <v>19390</v>
      </c>
      <c r="K1715" s="19" t="s">
        <v>19390</v>
      </c>
      <c r="L1715" s="19" t="s">
        <v>19391</v>
      </c>
      <c r="M1715" s="20" t="s">
        <v>19392</v>
      </c>
      <c r="N1715" s="44" t="s">
        <v>19393</v>
      </c>
      <c r="O1715" s="22">
        <v>188.0</v>
      </c>
      <c r="P1715" s="28">
        <v>18.0</v>
      </c>
      <c r="Q1715" s="28">
        <v>29.0</v>
      </c>
      <c r="R1715" s="84"/>
      <c r="S1715" s="84"/>
      <c r="T1715" s="84"/>
      <c r="U1715" s="84"/>
      <c r="V1715" s="84"/>
      <c r="W1715" s="84"/>
      <c r="X1715" s="84"/>
      <c r="Y1715" s="84"/>
      <c r="Z1715" s="84"/>
      <c r="AA1715" s="84"/>
    </row>
    <row r="1716" ht="15.75" customHeight="1">
      <c r="A1716" s="14" t="s">
        <v>120</v>
      </c>
      <c r="B1716" s="15" t="s">
        <v>19029</v>
      </c>
      <c r="C1716" s="14" t="s">
        <v>19394</v>
      </c>
      <c r="D1716" s="14" t="s">
        <v>19395</v>
      </c>
      <c r="E1716" s="26" t="str">
        <f t="shared" si="27"/>
        <v>http://dx.doi.org/10.1109/VAST.2008.4677366</v>
      </c>
      <c r="F1716" s="14">
        <v>131.0</v>
      </c>
      <c r="G1716" s="14">
        <v>138.0</v>
      </c>
      <c r="H1716" s="14" t="s">
        <v>28</v>
      </c>
      <c r="I1716" s="19" t="s">
        <v>19396</v>
      </c>
      <c r="J1716" s="19" t="s">
        <v>19397</v>
      </c>
      <c r="K1716" s="19" t="s">
        <v>19398</v>
      </c>
      <c r="L1716" s="19" t="s">
        <v>19399</v>
      </c>
      <c r="M1716" s="20" t="s">
        <v>19400</v>
      </c>
      <c r="N1716" s="44" t="s">
        <v>19401</v>
      </c>
      <c r="O1716" s="22">
        <v>50.0</v>
      </c>
      <c r="P1716" s="28">
        <v>8.0</v>
      </c>
      <c r="Q1716" s="28">
        <v>21.0</v>
      </c>
      <c r="R1716" s="84"/>
      <c r="S1716" s="84"/>
      <c r="T1716" s="84"/>
      <c r="U1716" s="84"/>
      <c r="V1716" s="84"/>
      <c r="W1716" s="84"/>
      <c r="X1716" s="84"/>
      <c r="Y1716" s="84"/>
      <c r="Z1716" s="84"/>
      <c r="AA1716" s="84"/>
    </row>
    <row r="1717" ht="15.75" customHeight="1">
      <c r="A1717" s="14" t="s">
        <v>120</v>
      </c>
      <c r="B1717" s="15" t="s">
        <v>19029</v>
      </c>
      <c r="C1717" s="14" t="s">
        <v>19402</v>
      </c>
      <c r="D1717" s="14" t="s">
        <v>19403</v>
      </c>
      <c r="E1717" s="26" t="str">
        <f t="shared" si="27"/>
        <v>http://dx.doi.org/10.1109/VAST.2008.4677367</v>
      </c>
      <c r="F1717" s="14">
        <v>139.0</v>
      </c>
      <c r="G1717" s="14">
        <v>146.0</v>
      </c>
      <c r="H1717" s="14" t="s">
        <v>28</v>
      </c>
      <c r="I1717" s="19" t="s">
        <v>19407</v>
      </c>
      <c r="J1717" s="19" t="s">
        <v>19408</v>
      </c>
      <c r="K1717" s="19" t="s">
        <v>19408</v>
      </c>
      <c r="L1717" s="19" t="s">
        <v>19409</v>
      </c>
      <c r="M1717" s="20" t="s">
        <v>18346</v>
      </c>
      <c r="N1717" s="27"/>
      <c r="O1717" s="22">
        <v>5.0</v>
      </c>
      <c r="P1717" s="28">
        <v>2.0</v>
      </c>
      <c r="Q1717" s="28">
        <v>13.0</v>
      </c>
      <c r="R1717" s="84"/>
      <c r="S1717" s="84"/>
      <c r="T1717" s="84"/>
      <c r="U1717" s="84"/>
      <c r="V1717" s="84"/>
      <c r="W1717" s="84"/>
      <c r="X1717" s="84"/>
      <c r="Y1717" s="84"/>
      <c r="Z1717" s="84"/>
      <c r="AA1717" s="84"/>
    </row>
    <row r="1718" ht="15.75" customHeight="1">
      <c r="A1718" s="14" t="s">
        <v>120</v>
      </c>
      <c r="B1718" s="15" t="s">
        <v>19029</v>
      </c>
      <c r="C1718" s="14" t="s">
        <v>19410</v>
      </c>
      <c r="D1718" s="14" t="s">
        <v>19411</v>
      </c>
      <c r="E1718" s="26" t="str">
        <f t="shared" si="27"/>
        <v>http://dx.doi.org/10.1109/VAST.2008.4677368</v>
      </c>
      <c r="F1718" s="14">
        <v>147.0</v>
      </c>
      <c r="G1718" s="14">
        <v>154.0</v>
      </c>
      <c r="H1718" s="14" t="s">
        <v>28</v>
      </c>
      <c r="I1718" s="19" t="s">
        <v>19412</v>
      </c>
      <c r="J1718" s="19" t="s">
        <v>19413</v>
      </c>
      <c r="K1718" s="19" t="s">
        <v>19420</v>
      </c>
      <c r="L1718" s="19" t="s">
        <v>19421</v>
      </c>
      <c r="M1718" s="20" t="s">
        <v>19422</v>
      </c>
      <c r="N1718" s="44" t="s">
        <v>19423</v>
      </c>
      <c r="O1718" s="22">
        <v>23.0</v>
      </c>
      <c r="P1718" s="28">
        <v>7.0</v>
      </c>
      <c r="Q1718" s="28">
        <v>30.0</v>
      </c>
      <c r="R1718" s="84"/>
      <c r="S1718" s="84"/>
      <c r="T1718" s="84"/>
      <c r="U1718" s="84"/>
      <c r="V1718" s="84"/>
      <c r="W1718" s="84"/>
      <c r="X1718" s="84"/>
      <c r="Y1718" s="84"/>
      <c r="Z1718" s="84"/>
      <c r="AA1718" s="84"/>
    </row>
    <row r="1719" ht="15.75" customHeight="1">
      <c r="A1719" s="14" t="s">
        <v>120</v>
      </c>
      <c r="B1719" s="15" t="s">
        <v>19029</v>
      </c>
      <c r="C1719" s="14" t="s">
        <v>19424</v>
      </c>
      <c r="D1719" s="14" t="s">
        <v>19425</v>
      </c>
      <c r="E1719" s="26" t="str">
        <f t="shared" si="27"/>
        <v>http://dx.doi.org/10.1109/VAST.2008.4677369</v>
      </c>
      <c r="F1719" s="14">
        <v>155.0</v>
      </c>
      <c r="G1719" s="14">
        <v>162.0</v>
      </c>
      <c r="H1719" s="14" t="s">
        <v>28</v>
      </c>
      <c r="I1719" s="19" t="s">
        <v>19426</v>
      </c>
      <c r="J1719" s="19" t="s">
        <v>19427</v>
      </c>
      <c r="K1719" s="19" t="s">
        <v>19428</v>
      </c>
      <c r="L1719" s="19" t="s">
        <v>19429</v>
      </c>
      <c r="M1719" s="20" t="s">
        <v>19430</v>
      </c>
      <c r="N1719" s="88" t="s">
        <v>19431</v>
      </c>
      <c r="O1719" s="22">
        <v>10.0</v>
      </c>
      <c r="P1719" s="28">
        <v>0.0</v>
      </c>
      <c r="Q1719" s="28">
        <v>12.0</v>
      </c>
      <c r="R1719" s="84"/>
      <c r="S1719" s="84"/>
      <c r="T1719" s="84"/>
      <c r="U1719" s="84"/>
      <c r="V1719" s="84"/>
      <c r="W1719" s="84"/>
      <c r="X1719" s="84"/>
      <c r="Y1719" s="84"/>
      <c r="Z1719" s="84"/>
      <c r="AA1719" s="84"/>
    </row>
    <row r="1720" ht="15.75" customHeight="1">
      <c r="A1720" s="14" t="s">
        <v>120</v>
      </c>
      <c r="B1720" s="15" t="s">
        <v>19029</v>
      </c>
      <c r="C1720" s="14" t="s">
        <v>19432</v>
      </c>
      <c r="D1720" s="14" t="s">
        <v>19433</v>
      </c>
      <c r="E1720" s="26" t="str">
        <f t="shared" si="27"/>
        <v>http://dx.doi.org/10.1109/VAST.2008.4677370</v>
      </c>
      <c r="F1720" s="14">
        <v>163.0</v>
      </c>
      <c r="G1720" s="14">
        <v>170.0</v>
      </c>
      <c r="H1720" s="14" t="s">
        <v>28</v>
      </c>
      <c r="I1720" s="19" t="s">
        <v>19434</v>
      </c>
      <c r="J1720" s="19" t="s">
        <v>14085</v>
      </c>
      <c r="K1720" s="19" t="s">
        <v>14085</v>
      </c>
      <c r="L1720" s="19" t="s">
        <v>19435</v>
      </c>
      <c r="M1720" s="20" t="s">
        <v>19436</v>
      </c>
      <c r="N1720" s="27"/>
      <c r="O1720" s="22">
        <v>42.0</v>
      </c>
      <c r="P1720" s="28">
        <v>11.0</v>
      </c>
      <c r="Q1720" s="28">
        <v>27.0</v>
      </c>
      <c r="R1720" s="84"/>
      <c r="S1720" s="84"/>
      <c r="T1720" s="84"/>
      <c r="U1720" s="84"/>
      <c r="V1720" s="84"/>
      <c r="W1720" s="84"/>
      <c r="X1720" s="84"/>
      <c r="Y1720" s="84"/>
      <c r="Z1720" s="84"/>
      <c r="AA1720" s="84"/>
    </row>
    <row r="1721" ht="15.75" customHeight="1">
      <c r="A1721" s="14" t="s">
        <v>120</v>
      </c>
      <c r="B1721" s="15" t="s">
        <v>19029</v>
      </c>
      <c r="C1721" s="42" t="s">
        <v>19437</v>
      </c>
      <c r="D1721" s="14" t="s">
        <v>19438</v>
      </c>
      <c r="E1721" s="26" t="str">
        <f t="shared" si="27"/>
        <v>http://dx.doi.org/10.1109/VAST.2008.4677372</v>
      </c>
      <c r="F1721" s="14">
        <v>173.0</v>
      </c>
      <c r="G1721" s="14">
        <v>174.0</v>
      </c>
      <c r="H1721" s="14" t="s">
        <v>21</v>
      </c>
      <c r="I1721" s="19" t="s">
        <v>19439</v>
      </c>
      <c r="J1721" s="19" t="s">
        <v>19440</v>
      </c>
      <c r="K1721" s="19" t="s">
        <v>19441</v>
      </c>
      <c r="L1721" s="19" t="s">
        <v>19442</v>
      </c>
      <c r="M1721" s="20"/>
      <c r="N1721" s="27"/>
      <c r="O1721" s="109"/>
      <c r="P1721" s="28">
        <v>0.0</v>
      </c>
      <c r="Q1721" s="28">
        <v>3.0</v>
      </c>
      <c r="R1721" s="84"/>
      <c r="S1721" s="84"/>
      <c r="T1721" s="84"/>
      <c r="U1721" s="84"/>
      <c r="V1721" s="84"/>
      <c r="W1721" s="84"/>
      <c r="X1721" s="84"/>
      <c r="Y1721" s="84"/>
      <c r="Z1721" s="84"/>
      <c r="AA1721" s="84"/>
    </row>
    <row r="1722" ht="15.75" customHeight="1">
      <c r="A1722" s="14" t="s">
        <v>120</v>
      </c>
      <c r="B1722" s="15" t="s">
        <v>19029</v>
      </c>
      <c r="C1722" s="14" t="s">
        <v>19443</v>
      </c>
      <c r="D1722" s="14" t="s">
        <v>19444</v>
      </c>
      <c r="E1722" s="26" t="str">
        <f t="shared" si="27"/>
        <v>http://dx.doi.org/10.1109/VAST.2008.4677373</v>
      </c>
      <c r="F1722" s="14">
        <v>175.0</v>
      </c>
      <c r="G1722" s="14">
        <v>176.0</v>
      </c>
      <c r="H1722" s="14" t="s">
        <v>21</v>
      </c>
      <c r="I1722" s="19" t="s">
        <v>19445</v>
      </c>
      <c r="J1722" s="19" t="s">
        <v>19446</v>
      </c>
      <c r="K1722" s="19" t="s">
        <v>19446</v>
      </c>
      <c r="L1722" s="19" t="s">
        <v>19447</v>
      </c>
      <c r="M1722" s="20"/>
      <c r="N1722" s="27"/>
      <c r="O1722" s="22">
        <v>0.0</v>
      </c>
      <c r="P1722" s="28">
        <v>2.0</v>
      </c>
      <c r="Q1722" s="28">
        <v>6.0</v>
      </c>
      <c r="R1722" s="84"/>
      <c r="S1722" s="84"/>
      <c r="T1722" s="84"/>
      <c r="U1722" s="84"/>
      <c r="V1722" s="84"/>
      <c r="W1722" s="84"/>
      <c r="X1722" s="84"/>
      <c r="Y1722" s="84"/>
      <c r="Z1722" s="84"/>
      <c r="AA1722" s="84"/>
    </row>
    <row r="1723" ht="15.75" customHeight="1">
      <c r="A1723" s="14" t="s">
        <v>120</v>
      </c>
      <c r="B1723" s="15" t="s">
        <v>19029</v>
      </c>
      <c r="C1723" s="14" t="s">
        <v>19448</v>
      </c>
      <c r="D1723" s="14" t="s">
        <v>19449</v>
      </c>
      <c r="E1723" s="26" t="str">
        <f t="shared" si="27"/>
        <v>http://dx.doi.org/10.1109/VAST.2008.4677374</v>
      </c>
      <c r="F1723" s="14">
        <v>177.0</v>
      </c>
      <c r="G1723" s="14">
        <v>178.0</v>
      </c>
      <c r="H1723" s="14" t="s">
        <v>21</v>
      </c>
      <c r="I1723" s="19" t="s">
        <v>19450</v>
      </c>
      <c r="J1723" s="19" t="s">
        <v>19451</v>
      </c>
      <c r="K1723" s="19" t="s">
        <v>19451</v>
      </c>
      <c r="L1723" s="19" t="s">
        <v>19452</v>
      </c>
      <c r="M1723" s="20"/>
      <c r="N1723" s="27"/>
      <c r="O1723" s="22">
        <v>0.0</v>
      </c>
      <c r="P1723" s="28">
        <v>0.0</v>
      </c>
      <c r="Q1723" s="28">
        <v>10.0</v>
      </c>
      <c r="R1723" s="84"/>
      <c r="S1723" s="84"/>
      <c r="T1723" s="84"/>
      <c r="U1723" s="84"/>
      <c r="V1723" s="84"/>
      <c r="W1723" s="84"/>
      <c r="X1723" s="84"/>
      <c r="Y1723" s="84"/>
      <c r="Z1723" s="84"/>
      <c r="AA1723" s="84"/>
    </row>
    <row r="1724" ht="15.75" customHeight="1">
      <c r="A1724" s="14" t="s">
        <v>120</v>
      </c>
      <c r="B1724" s="15" t="s">
        <v>19029</v>
      </c>
      <c r="C1724" s="14" t="s">
        <v>19453</v>
      </c>
      <c r="D1724" s="14" t="s">
        <v>19454</v>
      </c>
      <c r="E1724" s="26" t="str">
        <f t="shared" si="27"/>
        <v>http://dx.doi.org/10.1109/VAST.2008.4677375</v>
      </c>
      <c r="F1724" s="14">
        <v>179.0</v>
      </c>
      <c r="G1724" s="14">
        <v>180.0</v>
      </c>
      <c r="H1724" s="14" t="s">
        <v>21</v>
      </c>
      <c r="I1724" s="19" t="s">
        <v>19455</v>
      </c>
      <c r="J1724" s="19" t="s">
        <v>19456</v>
      </c>
      <c r="K1724" s="19" t="s">
        <v>19457</v>
      </c>
      <c r="L1724" s="19" t="s">
        <v>19458</v>
      </c>
      <c r="M1724" s="20"/>
      <c r="N1724" s="27"/>
      <c r="O1724" s="22">
        <v>1.0</v>
      </c>
      <c r="P1724" s="28">
        <v>2.0</v>
      </c>
      <c r="Q1724" s="28">
        <v>1.0</v>
      </c>
      <c r="R1724" s="84"/>
      <c r="S1724" s="84"/>
      <c r="T1724" s="84"/>
      <c r="U1724" s="84"/>
      <c r="V1724" s="84"/>
      <c r="W1724" s="84"/>
      <c r="X1724" s="84"/>
      <c r="Y1724" s="84"/>
      <c r="Z1724" s="84"/>
      <c r="AA1724" s="84"/>
    </row>
    <row r="1725" ht="15.75" customHeight="1">
      <c r="A1725" s="14" t="s">
        <v>120</v>
      </c>
      <c r="B1725" s="15" t="s">
        <v>19029</v>
      </c>
      <c r="C1725" s="14" t="s">
        <v>19459</v>
      </c>
      <c r="D1725" s="14" t="s">
        <v>19460</v>
      </c>
      <c r="E1725" s="26" t="str">
        <f t="shared" si="27"/>
        <v>http://dx.doi.org/10.1109/VAST.2008.4677376</v>
      </c>
      <c r="F1725" s="14">
        <v>181.0</v>
      </c>
      <c r="G1725" s="14">
        <v>182.0</v>
      </c>
      <c r="H1725" s="14" t="s">
        <v>21</v>
      </c>
      <c r="I1725" s="19" t="s">
        <v>19461</v>
      </c>
      <c r="J1725" s="19" t="s">
        <v>19462</v>
      </c>
      <c r="K1725" s="19" t="s">
        <v>19462</v>
      </c>
      <c r="L1725" s="19" t="s">
        <v>19463</v>
      </c>
      <c r="M1725" s="20"/>
      <c r="N1725" s="27"/>
      <c r="O1725" s="22">
        <v>50.0</v>
      </c>
      <c r="P1725" s="28">
        <v>0.0</v>
      </c>
      <c r="Q1725" s="28">
        <v>4.0</v>
      </c>
      <c r="R1725" s="84"/>
      <c r="S1725" s="84"/>
      <c r="T1725" s="84"/>
      <c r="U1725" s="84"/>
      <c r="V1725" s="84"/>
      <c r="W1725" s="84"/>
      <c r="X1725" s="84"/>
      <c r="Y1725" s="84"/>
      <c r="Z1725" s="84"/>
      <c r="AA1725" s="84"/>
    </row>
    <row r="1726" ht="15.75" customHeight="1">
      <c r="A1726" s="14" t="s">
        <v>120</v>
      </c>
      <c r="B1726" s="15" t="s">
        <v>19029</v>
      </c>
      <c r="C1726" s="14" t="s">
        <v>19464</v>
      </c>
      <c r="D1726" s="14" t="s">
        <v>19465</v>
      </c>
      <c r="E1726" s="26" t="str">
        <f t="shared" si="27"/>
        <v>http://dx.doi.org/10.1109/VAST.2008.4677377</v>
      </c>
      <c r="F1726" s="14">
        <v>183.0</v>
      </c>
      <c r="G1726" s="14">
        <v>184.0</v>
      </c>
      <c r="H1726" s="14" t="s">
        <v>21</v>
      </c>
      <c r="I1726" s="19" t="s">
        <v>19466</v>
      </c>
      <c r="J1726" s="19" t="s">
        <v>19467</v>
      </c>
      <c r="K1726" s="19" t="s">
        <v>19467</v>
      </c>
      <c r="L1726" s="19" t="s">
        <v>19468</v>
      </c>
      <c r="M1726" s="20"/>
      <c r="N1726" s="27"/>
      <c r="O1726" s="109"/>
      <c r="P1726" s="28">
        <v>6.0</v>
      </c>
      <c r="Q1726" s="28">
        <v>4.0</v>
      </c>
      <c r="R1726" s="84"/>
      <c r="S1726" s="84"/>
      <c r="T1726" s="84"/>
      <c r="U1726" s="84"/>
      <c r="V1726" s="84"/>
      <c r="W1726" s="84"/>
      <c r="X1726" s="84"/>
      <c r="Y1726" s="84"/>
      <c r="Z1726" s="84"/>
      <c r="AA1726" s="84"/>
    </row>
    <row r="1727" ht="15.75" customHeight="1">
      <c r="A1727" s="14" t="s">
        <v>120</v>
      </c>
      <c r="B1727" s="15" t="s">
        <v>19029</v>
      </c>
      <c r="C1727" s="14" t="s">
        <v>19479</v>
      </c>
      <c r="D1727" s="14" t="s">
        <v>19480</v>
      </c>
      <c r="E1727" s="26" t="str">
        <f t="shared" si="27"/>
        <v>http://dx.doi.org/10.1109/VAST.2008.4677378</v>
      </c>
      <c r="F1727" s="14">
        <v>185.0</v>
      </c>
      <c r="G1727" s="14">
        <v>186.0</v>
      </c>
      <c r="H1727" s="14" t="s">
        <v>21</v>
      </c>
      <c r="I1727" s="19" t="s">
        <v>19481</v>
      </c>
      <c r="J1727" s="19" t="s">
        <v>18498</v>
      </c>
      <c r="K1727" s="19" t="s">
        <v>18499</v>
      </c>
      <c r="L1727" s="19" t="s">
        <v>19482</v>
      </c>
      <c r="M1727" s="20"/>
      <c r="N1727" s="27"/>
      <c r="O1727" s="22">
        <v>50.0</v>
      </c>
      <c r="P1727" s="28">
        <v>3.0</v>
      </c>
      <c r="Q1727" s="28">
        <v>4.0</v>
      </c>
      <c r="R1727" s="84"/>
      <c r="S1727" s="84"/>
      <c r="T1727" s="84"/>
      <c r="U1727" s="84"/>
      <c r="V1727" s="84"/>
      <c r="W1727" s="84"/>
      <c r="X1727" s="84"/>
      <c r="Y1727" s="84"/>
      <c r="Z1727" s="84"/>
      <c r="AA1727" s="84"/>
    </row>
    <row r="1728" ht="15.75" customHeight="1">
      <c r="A1728" s="14" t="s">
        <v>120</v>
      </c>
      <c r="B1728" s="15" t="s">
        <v>19029</v>
      </c>
      <c r="C1728" s="14" t="s">
        <v>19483</v>
      </c>
      <c r="D1728" s="14" t="s">
        <v>19484</v>
      </c>
      <c r="E1728" s="26" t="str">
        <f t="shared" si="27"/>
        <v>http://dx.doi.org/10.1109/VAST.2008.4677379</v>
      </c>
      <c r="F1728" s="14">
        <v>187.0</v>
      </c>
      <c r="G1728" s="14">
        <v>188.0</v>
      </c>
      <c r="H1728" s="14" t="s">
        <v>21</v>
      </c>
      <c r="I1728" s="19" t="s">
        <v>19485</v>
      </c>
      <c r="J1728" s="19" t="s">
        <v>19486</v>
      </c>
      <c r="K1728" s="19" t="s">
        <v>19486</v>
      </c>
      <c r="L1728" s="19" t="s">
        <v>19487</v>
      </c>
      <c r="M1728" s="20"/>
      <c r="N1728" s="27"/>
      <c r="O1728" s="22">
        <v>0.0</v>
      </c>
      <c r="P1728" s="28">
        <v>0.0</v>
      </c>
      <c r="Q1728" s="28">
        <v>4.0</v>
      </c>
      <c r="R1728" s="84"/>
      <c r="S1728" s="84"/>
      <c r="T1728" s="84"/>
      <c r="U1728" s="84"/>
      <c r="V1728" s="84"/>
      <c r="W1728" s="84"/>
      <c r="X1728" s="84"/>
      <c r="Y1728" s="84"/>
      <c r="Z1728" s="84"/>
      <c r="AA1728" s="84"/>
    </row>
    <row r="1729" ht="15.75" customHeight="1">
      <c r="A1729" s="14" t="s">
        <v>120</v>
      </c>
      <c r="B1729" s="15" t="s">
        <v>19029</v>
      </c>
      <c r="C1729" s="14" t="s">
        <v>19488</v>
      </c>
      <c r="D1729" s="14" t="s">
        <v>19489</v>
      </c>
      <c r="E1729" s="26" t="str">
        <f t="shared" si="27"/>
        <v>http://dx.doi.org/10.1109/VAST.2008.4677380</v>
      </c>
      <c r="F1729" s="14">
        <v>189.0</v>
      </c>
      <c r="G1729" s="14">
        <v>190.0</v>
      </c>
      <c r="H1729" s="14" t="s">
        <v>21</v>
      </c>
      <c r="I1729" s="19" t="s">
        <v>19490</v>
      </c>
      <c r="J1729" s="19" t="s">
        <v>19491</v>
      </c>
      <c r="K1729" s="19" t="s">
        <v>19491</v>
      </c>
      <c r="L1729" s="19" t="s">
        <v>19492</v>
      </c>
      <c r="M1729" s="20"/>
      <c r="N1729" s="27"/>
      <c r="O1729" s="22">
        <v>9.0</v>
      </c>
      <c r="P1729" s="28">
        <v>3.0</v>
      </c>
      <c r="Q1729" s="28">
        <v>8.0</v>
      </c>
      <c r="R1729" s="84"/>
      <c r="S1729" s="84"/>
      <c r="T1729" s="84"/>
      <c r="U1729" s="84"/>
      <c r="V1729" s="84"/>
      <c r="W1729" s="84"/>
      <c r="X1729" s="84"/>
      <c r="Y1729" s="84"/>
      <c r="Z1729" s="84"/>
      <c r="AA1729" s="84"/>
    </row>
    <row r="1730" ht="15.75" customHeight="1">
      <c r="A1730" s="14" t="s">
        <v>120</v>
      </c>
      <c r="B1730" s="15" t="s">
        <v>19029</v>
      </c>
      <c r="C1730" s="14" t="s">
        <v>19493</v>
      </c>
      <c r="D1730" s="14" t="s">
        <v>19494</v>
      </c>
      <c r="E1730" s="26" t="str">
        <f t="shared" si="27"/>
        <v>http://dx.doi.org/10.1109/VAST.2008.4677381</v>
      </c>
      <c r="F1730" s="14">
        <v>191.0</v>
      </c>
      <c r="G1730" s="14">
        <v>192.0</v>
      </c>
      <c r="H1730" s="14" t="s">
        <v>21</v>
      </c>
      <c r="I1730" s="19" t="s">
        <v>19495</v>
      </c>
      <c r="J1730" s="19" t="s">
        <v>19496</v>
      </c>
      <c r="K1730" s="19" t="s">
        <v>19497</v>
      </c>
      <c r="L1730" s="19" t="s">
        <v>19498</v>
      </c>
      <c r="M1730" s="20"/>
      <c r="N1730" s="27"/>
      <c r="O1730" s="22">
        <v>0.0</v>
      </c>
      <c r="P1730" s="28">
        <v>0.0</v>
      </c>
      <c r="Q1730" s="28">
        <v>1.0</v>
      </c>
      <c r="R1730" s="84"/>
      <c r="S1730" s="84"/>
      <c r="T1730" s="84"/>
      <c r="U1730" s="84"/>
      <c r="V1730" s="84"/>
      <c r="W1730" s="84"/>
      <c r="X1730" s="84"/>
      <c r="Y1730" s="84"/>
      <c r="Z1730" s="84"/>
      <c r="AA1730" s="84"/>
    </row>
    <row r="1731" ht="15.75" customHeight="1">
      <c r="A1731" s="14" t="s">
        <v>120</v>
      </c>
      <c r="B1731" s="15" t="s">
        <v>19029</v>
      </c>
      <c r="C1731" s="14" t="s">
        <v>19499</v>
      </c>
      <c r="D1731" s="14" t="s">
        <v>19502</v>
      </c>
      <c r="E1731" s="26" t="str">
        <f t="shared" si="27"/>
        <v>http://dx.doi.org/10.1109/VAST.2008.4677383</v>
      </c>
      <c r="F1731" s="14"/>
      <c r="G1731" s="14"/>
      <c r="H1731" s="14" t="s">
        <v>21</v>
      </c>
      <c r="I1731" s="19" t="s">
        <v>19503</v>
      </c>
      <c r="J1731" s="19" t="s">
        <v>19504</v>
      </c>
      <c r="K1731" s="19" t="s">
        <v>18550</v>
      </c>
      <c r="L1731" s="19" t="s">
        <v>19505</v>
      </c>
      <c r="M1731" s="20"/>
      <c r="N1731" s="27"/>
      <c r="O1731" s="22">
        <v>52.0</v>
      </c>
      <c r="P1731" s="28">
        <v>14.0</v>
      </c>
      <c r="Q1731" s="28">
        <v>6.0</v>
      </c>
      <c r="R1731" s="84"/>
      <c r="S1731" s="84"/>
      <c r="T1731" s="84"/>
      <c r="U1731" s="84"/>
      <c r="V1731" s="84"/>
      <c r="W1731" s="84"/>
      <c r="X1731" s="84"/>
      <c r="Y1731" s="84"/>
      <c r="Z1731" s="84"/>
      <c r="AA1731" s="84"/>
    </row>
    <row r="1732" ht="15.75" customHeight="1">
      <c r="A1732" s="14" t="s">
        <v>120</v>
      </c>
      <c r="B1732" s="15" t="s">
        <v>19029</v>
      </c>
      <c r="C1732" s="14" t="s">
        <v>19506</v>
      </c>
      <c r="D1732" s="14" t="s">
        <v>19507</v>
      </c>
      <c r="E1732" s="26" t="str">
        <f t="shared" si="27"/>
        <v>http://dx.doi.org/10.1109/VAST.2008.4677384</v>
      </c>
      <c r="F1732" s="14"/>
      <c r="G1732" s="14"/>
      <c r="H1732" s="14" t="s">
        <v>21</v>
      </c>
      <c r="I1732" s="19" t="s">
        <v>19508</v>
      </c>
      <c r="J1732" s="19" t="s">
        <v>19509</v>
      </c>
      <c r="K1732" s="19" t="s">
        <v>19510</v>
      </c>
      <c r="L1732" s="19" t="s">
        <v>19511</v>
      </c>
      <c r="M1732" s="20"/>
      <c r="N1732" s="27"/>
      <c r="O1732" s="22">
        <v>4.0</v>
      </c>
      <c r="P1732" s="28">
        <v>1.0</v>
      </c>
      <c r="Q1732" s="28">
        <v>7.0</v>
      </c>
      <c r="R1732" s="84"/>
      <c r="S1732" s="84"/>
      <c r="T1732" s="84"/>
      <c r="U1732" s="84"/>
      <c r="V1732" s="84"/>
      <c r="W1732" s="84"/>
      <c r="X1732" s="84"/>
      <c r="Y1732" s="84"/>
      <c r="Z1732" s="84"/>
      <c r="AA1732" s="84"/>
    </row>
    <row r="1733" ht="15.75" customHeight="1">
      <c r="A1733" s="14" t="s">
        <v>120</v>
      </c>
      <c r="B1733" s="15" t="s">
        <v>19029</v>
      </c>
      <c r="C1733" s="14" t="s">
        <v>19512</v>
      </c>
      <c r="D1733" s="14" t="s">
        <v>19513</v>
      </c>
      <c r="E1733" s="26" t="str">
        <f t="shared" si="27"/>
        <v>http://dx.doi.org/10.1109/VAST.2008.4677385</v>
      </c>
      <c r="F1733" s="14"/>
      <c r="G1733" s="14"/>
      <c r="H1733" s="14" t="s">
        <v>21</v>
      </c>
      <c r="I1733" s="19" t="s">
        <v>19514</v>
      </c>
      <c r="J1733" s="19" t="s">
        <v>19515</v>
      </c>
      <c r="K1733" s="19" t="s">
        <v>19515</v>
      </c>
      <c r="L1733" s="19" t="s">
        <v>19516</v>
      </c>
      <c r="M1733" s="20"/>
      <c r="N1733" s="27"/>
      <c r="O1733" s="22">
        <v>5.0</v>
      </c>
      <c r="P1733" s="28">
        <v>2.0</v>
      </c>
      <c r="Q1733" s="28">
        <v>4.0</v>
      </c>
      <c r="R1733" s="84"/>
      <c r="S1733" s="84"/>
      <c r="T1733" s="84"/>
      <c r="U1733" s="84"/>
      <c r="V1733" s="84"/>
      <c r="W1733" s="84"/>
      <c r="X1733" s="84"/>
      <c r="Y1733" s="84"/>
      <c r="Z1733" s="84"/>
      <c r="AA1733" s="84"/>
    </row>
    <row r="1734" ht="15.75" customHeight="1">
      <c r="A1734" s="14" t="s">
        <v>120</v>
      </c>
      <c r="B1734" s="15" t="s">
        <v>19029</v>
      </c>
      <c r="C1734" s="14" t="s">
        <v>19517</v>
      </c>
      <c r="D1734" s="14" t="s">
        <v>19518</v>
      </c>
      <c r="E1734" s="26" t="str">
        <f t="shared" si="27"/>
        <v>http://dx.doi.org/10.1109/VAST.2008.4677386</v>
      </c>
      <c r="F1734" s="14"/>
      <c r="G1734" s="14"/>
      <c r="H1734" s="14" t="s">
        <v>21</v>
      </c>
      <c r="I1734" s="19" t="s">
        <v>19519</v>
      </c>
      <c r="J1734" s="19" t="s">
        <v>19520</v>
      </c>
      <c r="K1734" s="19" t="s">
        <v>19520</v>
      </c>
      <c r="L1734" s="19" t="s">
        <v>19521</v>
      </c>
      <c r="M1734" s="20"/>
      <c r="N1734" s="27"/>
      <c r="O1734" s="109"/>
      <c r="P1734" s="28">
        <v>3.0</v>
      </c>
      <c r="Q1734" s="28">
        <v>0.0</v>
      </c>
      <c r="R1734" s="84"/>
      <c r="S1734" s="84"/>
      <c r="T1734" s="84"/>
      <c r="U1734" s="84"/>
      <c r="V1734" s="84"/>
      <c r="W1734" s="84"/>
      <c r="X1734" s="84"/>
      <c r="Y1734" s="84"/>
      <c r="Z1734" s="84"/>
      <c r="AA1734" s="84"/>
    </row>
    <row r="1735" ht="15.75" customHeight="1">
      <c r="A1735" s="14" t="s">
        <v>120</v>
      </c>
      <c r="B1735" s="15" t="s">
        <v>19029</v>
      </c>
      <c r="C1735" s="14" t="s">
        <v>19522</v>
      </c>
      <c r="D1735" s="14" t="s">
        <v>19523</v>
      </c>
      <c r="E1735" s="26" t="str">
        <f t="shared" si="27"/>
        <v>http://dx.doi.org/10.1109/VAST.2008.4677387</v>
      </c>
      <c r="F1735" s="14"/>
      <c r="G1735" s="14"/>
      <c r="H1735" s="14" t="s">
        <v>21</v>
      </c>
      <c r="I1735" s="19" t="s">
        <v>19524</v>
      </c>
      <c r="J1735" s="19" t="s">
        <v>19525</v>
      </c>
      <c r="K1735" s="19" t="s">
        <v>19526</v>
      </c>
      <c r="L1735" s="19" t="s">
        <v>19527</v>
      </c>
      <c r="M1735" s="20"/>
      <c r="N1735" s="27"/>
      <c r="O1735" s="22">
        <v>0.0</v>
      </c>
      <c r="P1735" s="28">
        <v>0.0</v>
      </c>
      <c r="Q1735" s="28">
        <v>3.0</v>
      </c>
      <c r="R1735" s="84"/>
      <c r="S1735" s="84"/>
      <c r="T1735" s="84"/>
      <c r="U1735" s="84"/>
      <c r="V1735" s="84"/>
      <c r="W1735" s="84"/>
      <c r="X1735" s="84"/>
      <c r="Y1735" s="84"/>
      <c r="Z1735" s="84"/>
      <c r="AA1735" s="84"/>
    </row>
    <row r="1736" ht="15.75" customHeight="1">
      <c r="A1736" s="14" t="s">
        <v>120</v>
      </c>
      <c r="B1736" s="15" t="s">
        <v>19029</v>
      </c>
      <c r="C1736" s="14" t="s">
        <v>19528</v>
      </c>
      <c r="D1736" s="14" t="s">
        <v>19529</v>
      </c>
      <c r="E1736" s="26" t="str">
        <f t="shared" si="27"/>
        <v>http://dx.doi.org/10.1109/VAST.2008.4677388</v>
      </c>
      <c r="F1736" s="14"/>
      <c r="G1736" s="14"/>
      <c r="H1736" s="14" t="s">
        <v>21</v>
      </c>
      <c r="I1736" s="19" t="s">
        <v>19566</v>
      </c>
      <c r="J1736" s="19" t="s">
        <v>19567</v>
      </c>
      <c r="K1736" s="19" t="s">
        <v>19568</v>
      </c>
      <c r="L1736" s="19" t="s">
        <v>19312</v>
      </c>
      <c r="M1736" s="20"/>
      <c r="N1736" s="27"/>
      <c r="O1736" s="22">
        <v>2.0</v>
      </c>
      <c r="P1736" s="28">
        <v>0.0</v>
      </c>
      <c r="Q1736" s="28">
        <v>3.0</v>
      </c>
      <c r="R1736" s="84"/>
      <c r="S1736" s="84"/>
      <c r="T1736" s="84"/>
      <c r="U1736" s="84"/>
      <c r="V1736" s="84"/>
      <c r="W1736" s="84"/>
      <c r="X1736" s="84"/>
      <c r="Y1736" s="84"/>
      <c r="Z1736" s="84"/>
      <c r="AA1736" s="84"/>
    </row>
    <row r="1737" ht="15.75" customHeight="1">
      <c r="A1737" s="14" t="s">
        <v>120</v>
      </c>
      <c r="B1737" s="15" t="s">
        <v>19029</v>
      </c>
      <c r="C1737" s="42" t="s">
        <v>19569</v>
      </c>
      <c r="D1737" s="14" t="s">
        <v>19570</v>
      </c>
      <c r="E1737" s="26" t="str">
        <f t="shared" si="27"/>
        <v>http://dx.doi.org/10.1109/VAST.2008.4677389</v>
      </c>
      <c r="F1737" s="14"/>
      <c r="G1737" s="14"/>
      <c r="H1737" s="14" t="s">
        <v>21</v>
      </c>
      <c r="I1737" s="19" t="s">
        <v>19573</v>
      </c>
      <c r="J1737" s="19" t="s">
        <v>19574</v>
      </c>
      <c r="K1737" s="19" t="s">
        <v>19575</v>
      </c>
      <c r="L1737" s="19" t="s">
        <v>19576</v>
      </c>
      <c r="M1737" s="20"/>
      <c r="N1737" s="27"/>
      <c r="O1737" s="22">
        <v>50.0</v>
      </c>
      <c r="P1737" s="28">
        <v>3.0</v>
      </c>
      <c r="Q1737" s="28">
        <v>3.0</v>
      </c>
      <c r="R1737" s="84"/>
      <c r="S1737" s="84"/>
      <c r="T1737" s="84"/>
      <c r="U1737" s="84"/>
      <c r="V1737" s="84"/>
      <c r="W1737" s="84"/>
      <c r="X1737" s="84"/>
      <c r="Y1737" s="84"/>
      <c r="Z1737" s="84"/>
      <c r="AA1737" s="84"/>
    </row>
    <row r="1738" ht="15.75" customHeight="1">
      <c r="A1738" s="14" t="s">
        <v>120</v>
      </c>
      <c r="B1738" s="15" t="s">
        <v>19029</v>
      </c>
      <c r="C1738" s="14" t="s">
        <v>19577</v>
      </c>
      <c r="D1738" s="14" t="s">
        <v>19578</v>
      </c>
      <c r="E1738" s="26" t="str">
        <f t="shared" si="27"/>
        <v>http://dx.doi.org/10.1109/VAST.2008.4677390</v>
      </c>
      <c r="F1738" s="14"/>
      <c r="G1738" s="14"/>
      <c r="H1738" s="14" t="s">
        <v>21</v>
      </c>
      <c r="I1738" s="19" t="s">
        <v>19579</v>
      </c>
      <c r="J1738" s="19" t="s">
        <v>19580</v>
      </c>
      <c r="K1738" s="19" t="s">
        <v>19582</v>
      </c>
      <c r="L1738" s="19" t="s">
        <v>19583</v>
      </c>
      <c r="M1738" s="20"/>
      <c r="N1738" s="27"/>
      <c r="O1738" s="22">
        <v>1.0</v>
      </c>
      <c r="P1738" s="28">
        <v>0.0</v>
      </c>
      <c r="Q1738" s="28">
        <v>4.0</v>
      </c>
      <c r="R1738" s="84"/>
      <c r="S1738" s="84"/>
      <c r="T1738" s="84"/>
      <c r="U1738" s="84"/>
      <c r="V1738" s="84"/>
      <c r="W1738" s="84"/>
      <c r="X1738" s="84"/>
      <c r="Y1738" s="84"/>
      <c r="Z1738" s="84"/>
      <c r="AA1738" s="84"/>
    </row>
    <row r="1739" ht="15.75" customHeight="1">
      <c r="A1739" s="14" t="s">
        <v>120</v>
      </c>
      <c r="B1739" s="15" t="s">
        <v>19029</v>
      </c>
      <c r="C1739" s="14" t="s">
        <v>19584</v>
      </c>
      <c r="D1739" s="14" t="s">
        <v>19586</v>
      </c>
      <c r="E1739" s="26" t="str">
        <f t="shared" si="27"/>
        <v>http://dx.doi.org/10.1109/VAST.2008.4677391</v>
      </c>
      <c r="F1739" s="14"/>
      <c r="G1739" s="14"/>
      <c r="H1739" s="14" t="s">
        <v>21</v>
      </c>
      <c r="I1739" s="19" t="s">
        <v>19587</v>
      </c>
      <c r="J1739" s="19" t="s">
        <v>19588</v>
      </c>
      <c r="K1739" s="19" t="s">
        <v>19589</v>
      </c>
      <c r="L1739" s="19" t="s">
        <v>19590</v>
      </c>
      <c r="M1739" s="20"/>
      <c r="N1739" s="27"/>
      <c r="O1739" s="22">
        <v>50.0</v>
      </c>
      <c r="P1739" s="28">
        <v>2.0</v>
      </c>
      <c r="Q1739" s="28">
        <v>2.0</v>
      </c>
      <c r="R1739" s="84"/>
      <c r="S1739" s="84"/>
      <c r="T1739" s="84"/>
      <c r="U1739" s="84"/>
      <c r="V1739" s="84"/>
      <c r="W1739" s="84"/>
      <c r="X1739" s="84"/>
      <c r="Y1739" s="84"/>
      <c r="Z1739" s="84"/>
      <c r="AA1739" s="84"/>
    </row>
    <row r="1740" ht="15.75" customHeight="1">
      <c r="A1740" s="14" t="s">
        <v>120</v>
      </c>
      <c r="B1740" s="15" t="s">
        <v>19029</v>
      </c>
      <c r="C1740" s="14" t="s">
        <v>19591</v>
      </c>
      <c r="D1740" s="14" t="s">
        <v>19592</v>
      </c>
      <c r="E1740" s="26" t="str">
        <f t="shared" si="27"/>
        <v>http://dx.doi.org/10.1109/VAST.2008.4677392</v>
      </c>
      <c r="F1740" s="14"/>
      <c r="G1740" s="14"/>
      <c r="H1740" s="14" t="s">
        <v>21</v>
      </c>
      <c r="I1740" s="19" t="s">
        <v>19593</v>
      </c>
      <c r="J1740" s="19" t="s">
        <v>19594</v>
      </c>
      <c r="K1740" s="19" t="s">
        <v>19594</v>
      </c>
      <c r="L1740" s="19" t="s">
        <v>19595</v>
      </c>
      <c r="M1740" s="20"/>
      <c r="N1740" s="27"/>
      <c r="O1740" s="22">
        <v>6.0</v>
      </c>
      <c r="P1740" s="28">
        <v>0.0</v>
      </c>
      <c r="Q1740" s="28">
        <v>3.0</v>
      </c>
      <c r="R1740" s="84"/>
      <c r="S1740" s="84"/>
      <c r="T1740" s="84"/>
      <c r="U1740" s="84"/>
      <c r="V1740" s="84"/>
      <c r="W1740" s="84"/>
      <c r="X1740" s="84"/>
      <c r="Y1740" s="84"/>
      <c r="Z1740" s="84"/>
      <c r="AA1740" s="84"/>
    </row>
    <row r="1741" ht="15.75" customHeight="1">
      <c r="A1741" s="14" t="s">
        <v>120</v>
      </c>
      <c r="B1741" s="15" t="s">
        <v>19029</v>
      </c>
      <c r="C1741" s="14" t="s">
        <v>19598</v>
      </c>
      <c r="D1741" s="14" t="s">
        <v>19599</v>
      </c>
      <c r="E1741" s="26" t="str">
        <f t="shared" si="27"/>
        <v>http://dx.doi.org/10.1109/VAST.2008.4677393</v>
      </c>
      <c r="F1741" s="14"/>
      <c r="G1741" s="14"/>
      <c r="H1741" s="14" t="s">
        <v>21</v>
      </c>
      <c r="I1741" s="19" t="s">
        <v>19600</v>
      </c>
      <c r="J1741" s="19" t="s">
        <v>19601</v>
      </c>
      <c r="K1741" s="19" t="s">
        <v>19602</v>
      </c>
      <c r="L1741" s="19" t="s">
        <v>19603</v>
      </c>
      <c r="M1741" s="20"/>
      <c r="N1741" s="27"/>
      <c r="O1741" s="22">
        <v>50.0</v>
      </c>
      <c r="P1741" s="28">
        <v>4.0</v>
      </c>
      <c r="Q1741" s="28">
        <v>6.0</v>
      </c>
      <c r="R1741" s="84"/>
      <c r="S1741" s="84"/>
      <c r="T1741" s="84"/>
      <c r="U1741" s="84"/>
      <c r="V1741" s="84"/>
      <c r="W1741" s="84"/>
      <c r="X1741" s="84"/>
      <c r="Y1741" s="84"/>
      <c r="Z1741" s="84"/>
      <c r="AA1741" s="84"/>
    </row>
    <row r="1742" ht="15.75" customHeight="1">
      <c r="A1742" s="14" t="s">
        <v>120</v>
      </c>
      <c r="B1742" s="15" t="s">
        <v>19029</v>
      </c>
      <c r="C1742" s="14" t="s">
        <v>19604</v>
      </c>
      <c r="D1742" s="14" t="s">
        <v>19605</v>
      </c>
      <c r="E1742" s="26" t="str">
        <f t="shared" si="27"/>
        <v>http://dx.doi.org/10.1109/VAST.2008.4677394</v>
      </c>
      <c r="F1742" s="14"/>
      <c r="G1742" s="14"/>
      <c r="H1742" s="14" t="s">
        <v>21</v>
      </c>
      <c r="I1742" s="19" t="s">
        <v>19606</v>
      </c>
      <c r="J1742" s="19" t="s">
        <v>19607</v>
      </c>
      <c r="K1742" s="19" t="s">
        <v>19607</v>
      </c>
      <c r="L1742" s="19" t="s">
        <v>19608</v>
      </c>
      <c r="M1742" s="20"/>
      <c r="N1742" s="27"/>
      <c r="O1742" s="109"/>
      <c r="P1742" s="28">
        <v>0.0</v>
      </c>
      <c r="Q1742" s="28">
        <v>3.0</v>
      </c>
      <c r="R1742" s="84"/>
      <c r="S1742" s="84"/>
      <c r="T1742" s="84"/>
      <c r="U1742" s="84"/>
      <c r="V1742" s="84"/>
      <c r="W1742" s="84"/>
      <c r="X1742" s="84"/>
      <c r="Y1742" s="84"/>
      <c r="Z1742" s="84"/>
      <c r="AA1742" s="84"/>
    </row>
    <row r="1743" ht="15.75" customHeight="1">
      <c r="A1743" s="14" t="s">
        <v>120</v>
      </c>
      <c r="B1743" s="15" t="s">
        <v>19029</v>
      </c>
      <c r="C1743" s="14" t="s">
        <v>19609</v>
      </c>
      <c r="D1743" s="14" t="s">
        <v>19611</v>
      </c>
      <c r="E1743" s="26" t="str">
        <f t="shared" si="27"/>
        <v>http://dx.doi.org/10.1109/VAST.2008.4677395</v>
      </c>
      <c r="F1743" s="14"/>
      <c r="G1743" s="14"/>
      <c r="H1743" s="14" t="s">
        <v>21</v>
      </c>
      <c r="I1743" s="19" t="s">
        <v>19613</v>
      </c>
      <c r="J1743" s="19" t="s">
        <v>19614</v>
      </c>
      <c r="K1743" s="19" t="s">
        <v>19615</v>
      </c>
      <c r="L1743" s="19" t="s">
        <v>19616</v>
      </c>
      <c r="M1743" s="20"/>
      <c r="N1743" s="27"/>
      <c r="O1743" s="22">
        <v>11.0</v>
      </c>
      <c r="P1743" s="28">
        <v>3.0</v>
      </c>
      <c r="Q1743" s="28">
        <v>1.0</v>
      </c>
      <c r="R1743" s="84"/>
      <c r="S1743" s="84"/>
      <c r="T1743" s="84"/>
      <c r="U1743" s="84"/>
      <c r="V1743" s="84"/>
      <c r="W1743" s="84"/>
      <c r="X1743" s="84"/>
      <c r="Y1743" s="84"/>
      <c r="Z1743" s="84"/>
      <c r="AA1743" s="84"/>
    </row>
    <row r="1744" ht="15.75" customHeight="1">
      <c r="A1744" s="14" t="s">
        <v>120</v>
      </c>
      <c r="B1744" s="15" t="s">
        <v>19029</v>
      </c>
      <c r="C1744" s="14" t="s">
        <v>19618</v>
      </c>
      <c r="D1744" s="14" t="s">
        <v>19619</v>
      </c>
      <c r="E1744" s="26" t="str">
        <f t="shared" si="27"/>
        <v>http://dx.doi.org/10.1109/VAST.2008.4677396</v>
      </c>
      <c r="F1744" s="14"/>
      <c r="G1744" s="14"/>
      <c r="H1744" s="14" t="s">
        <v>21</v>
      </c>
      <c r="I1744" s="19" t="s">
        <v>19620</v>
      </c>
      <c r="J1744" s="19" t="s">
        <v>19621</v>
      </c>
      <c r="K1744" s="19" t="s">
        <v>19621</v>
      </c>
      <c r="L1744" s="19" t="s">
        <v>19622</v>
      </c>
      <c r="M1744" s="20"/>
      <c r="N1744" s="27"/>
      <c r="O1744" s="109"/>
      <c r="P1744" s="28">
        <v>2.0</v>
      </c>
      <c r="Q1744" s="28">
        <v>5.0</v>
      </c>
      <c r="R1744" s="84"/>
      <c r="S1744" s="84"/>
      <c r="T1744" s="84"/>
      <c r="U1744" s="84"/>
      <c r="V1744" s="84"/>
      <c r="W1744" s="84"/>
      <c r="X1744" s="84"/>
      <c r="Y1744" s="84"/>
      <c r="Z1744" s="84"/>
      <c r="AA1744" s="84"/>
    </row>
    <row r="1745" ht="15.75" customHeight="1">
      <c r="A1745" s="14" t="s">
        <v>17</v>
      </c>
      <c r="B1745" s="15" t="s">
        <v>19029</v>
      </c>
      <c r="C1745" s="14" t="s">
        <v>19623</v>
      </c>
      <c r="D1745" s="14" t="s">
        <v>19624</v>
      </c>
      <c r="E1745" s="26" t="str">
        <f t="shared" si="27"/>
        <v>http://dx.doi.org/10.1109/TVCG.2008.108</v>
      </c>
      <c r="F1745" s="14">
        <v>1723.0</v>
      </c>
      <c r="G1745" s="14">
        <v>1730.0</v>
      </c>
      <c r="H1745" s="14" t="s">
        <v>17059</v>
      </c>
      <c r="I1745" s="19" t="s">
        <v>19625</v>
      </c>
      <c r="J1745" s="19" t="s">
        <v>2994</v>
      </c>
      <c r="K1745" s="19" t="s">
        <v>19626</v>
      </c>
      <c r="L1745" s="19" t="s">
        <v>19627</v>
      </c>
      <c r="M1745" s="20" t="s">
        <v>19628</v>
      </c>
      <c r="N1745" s="44" t="s">
        <v>19629</v>
      </c>
      <c r="O1745" s="22">
        <v>14.0</v>
      </c>
      <c r="P1745" s="28">
        <v>11.0</v>
      </c>
      <c r="Q1745" s="28">
        <v>28.0</v>
      </c>
      <c r="R1745" s="84"/>
      <c r="S1745" s="84"/>
      <c r="T1745" s="84"/>
      <c r="U1745" s="84"/>
      <c r="V1745" s="84"/>
      <c r="W1745" s="84"/>
      <c r="X1745" s="84"/>
      <c r="Y1745" s="84"/>
      <c r="Z1745" s="84"/>
      <c r="AA1745" s="84"/>
    </row>
    <row r="1746" ht="15.75" customHeight="1">
      <c r="A1746" s="14" t="s">
        <v>17</v>
      </c>
      <c r="B1746" s="15" t="s">
        <v>19029</v>
      </c>
      <c r="C1746" s="14" t="s">
        <v>19630</v>
      </c>
      <c r="D1746" s="14" t="s">
        <v>19632</v>
      </c>
      <c r="E1746" s="26" t="str">
        <f t="shared" si="27"/>
        <v>http://dx.doi.org/10.1109/TVCG.2008.110</v>
      </c>
      <c r="F1746" s="14">
        <v>1619.0</v>
      </c>
      <c r="G1746" s="14">
        <v>1626.0</v>
      </c>
      <c r="H1746" s="14" t="s">
        <v>17059</v>
      </c>
      <c r="I1746" s="19" t="s">
        <v>19634</v>
      </c>
      <c r="J1746" s="19" t="s">
        <v>19635</v>
      </c>
      <c r="K1746" s="19" t="s">
        <v>19635</v>
      </c>
      <c r="L1746" s="19" t="s">
        <v>19636</v>
      </c>
      <c r="M1746" s="20" t="s">
        <v>19637</v>
      </c>
      <c r="N1746" s="44" t="s">
        <v>19638</v>
      </c>
      <c r="O1746" s="22">
        <v>154.0</v>
      </c>
      <c r="P1746" s="28">
        <v>70.0</v>
      </c>
      <c r="Q1746" s="28">
        <v>33.0</v>
      </c>
      <c r="R1746" s="84"/>
      <c r="S1746" s="84"/>
      <c r="T1746" s="84"/>
      <c r="U1746" s="84"/>
      <c r="V1746" s="84"/>
      <c r="W1746" s="84"/>
      <c r="X1746" s="84"/>
      <c r="Y1746" s="84"/>
      <c r="Z1746" s="84"/>
      <c r="AA1746" s="84"/>
    </row>
    <row r="1747" ht="15.75" customHeight="1">
      <c r="A1747" s="14" t="s">
        <v>17</v>
      </c>
      <c r="B1747" s="15" t="s">
        <v>19029</v>
      </c>
      <c r="C1747" s="14" t="s">
        <v>19639</v>
      </c>
      <c r="D1747" s="14" t="s">
        <v>19640</v>
      </c>
      <c r="E1747" s="26" t="str">
        <f t="shared" si="27"/>
        <v>http://dx.doi.org/10.1109/TVCG.2008.111</v>
      </c>
      <c r="F1747" s="14">
        <v>1707.0</v>
      </c>
      <c r="G1747" s="14">
        <v>1722.0</v>
      </c>
      <c r="H1747" s="14" t="s">
        <v>17059</v>
      </c>
      <c r="I1747" s="19" t="s">
        <v>19642</v>
      </c>
      <c r="J1747" s="19" t="s">
        <v>19643</v>
      </c>
      <c r="K1747" s="19" t="s">
        <v>19644</v>
      </c>
      <c r="L1747" s="19" t="s">
        <v>19645</v>
      </c>
      <c r="M1747" s="20" t="s">
        <v>19647</v>
      </c>
      <c r="N1747" s="44" t="s">
        <v>19648</v>
      </c>
      <c r="O1747" s="22">
        <v>74.0</v>
      </c>
      <c r="P1747" s="28">
        <v>31.0</v>
      </c>
      <c r="Q1747" s="28">
        <v>43.0</v>
      </c>
      <c r="R1747" s="84"/>
      <c r="S1747" s="84"/>
      <c r="T1747" s="84"/>
      <c r="U1747" s="84"/>
      <c r="V1747" s="84"/>
      <c r="W1747" s="84"/>
      <c r="X1747" s="84"/>
      <c r="Y1747" s="84"/>
      <c r="Z1747" s="84"/>
      <c r="AA1747" s="84"/>
    </row>
    <row r="1748" ht="15.75" customHeight="1">
      <c r="A1748" s="14" t="s">
        <v>17</v>
      </c>
      <c r="B1748" s="15" t="s">
        <v>19029</v>
      </c>
      <c r="C1748" s="14" t="s">
        <v>19649</v>
      </c>
      <c r="D1748" s="14" t="s">
        <v>19650</v>
      </c>
      <c r="E1748" s="26" t="str">
        <f t="shared" si="27"/>
        <v>http://dx.doi.org/10.1109/TVCG.2008.112</v>
      </c>
      <c r="F1748" s="14">
        <v>1747.0</v>
      </c>
      <c r="G1748" s="14">
        <v>1754.0</v>
      </c>
      <c r="H1748" s="14" t="s">
        <v>17059</v>
      </c>
      <c r="I1748" s="19" t="s">
        <v>19651</v>
      </c>
      <c r="J1748" s="19" t="s">
        <v>19652</v>
      </c>
      <c r="K1748" s="19" t="s">
        <v>19653</v>
      </c>
      <c r="L1748" s="18"/>
      <c r="M1748" s="20"/>
      <c r="N1748" s="44" t="s">
        <v>19654</v>
      </c>
      <c r="O1748" s="22">
        <v>77.0</v>
      </c>
      <c r="P1748" s="28">
        <v>45.0</v>
      </c>
      <c r="Q1748" s="28">
        <v>31.0</v>
      </c>
      <c r="R1748" s="84"/>
      <c r="S1748" s="84"/>
      <c r="T1748" s="84"/>
      <c r="U1748" s="84"/>
      <c r="V1748" s="84"/>
      <c r="W1748" s="84"/>
      <c r="X1748" s="84"/>
      <c r="Y1748" s="84"/>
      <c r="Z1748" s="84"/>
      <c r="AA1748" s="84"/>
    </row>
    <row r="1749" ht="15.75" customHeight="1">
      <c r="A1749" s="14" t="s">
        <v>17</v>
      </c>
      <c r="B1749" s="15" t="s">
        <v>19029</v>
      </c>
      <c r="C1749" s="14" t="s">
        <v>19655</v>
      </c>
      <c r="D1749" s="14" t="s">
        <v>19656</v>
      </c>
      <c r="E1749" s="26" t="str">
        <f t="shared" si="27"/>
        <v>http://dx.doi.org/10.1109/TVCG.2008.115</v>
      </c>
      <c r="F1749" s="14">
        <v>1523.0</v>
      </c>
      <c r="G1749" s="14">
        <v>1530.0</v>
      </c>
      <c r="H1749" s="14" t="s">
        <v>17059</v>
      </c>
      <c r="I1749" s="19" t="s">
        <v>19657</v>
      </c>
      <c r="J1749" s="19" t="s">
        <v>19658</v>
      </c>
      <c r="K1749" s="19" t="s">
        <v>19658</v>
      </c>
      <c r="L1749" s="19" t="s">
        <v>19659</v>
      </c>
      <c r="M1749" s="20" t="s">
        <v>19660</v>
      </c>
      <c r="N1749" s="44" t="s">
        <v>19661</v>
      </c>
      <c r="O1749" s="22">
        <v>50.0</v>
      </c>
      <c r="P1749" s="28">
        <v>20.0</v>
      </c>
      <c r="Q1749" s="28">
        <v>32.0</v>
      </c>
      <c r="R1749" s="84"/>
      <c r="S1749" s="84"/>
      <c r="T1749" s="84"/>
      <c r="U1749" s="84"/>
      <c r="V1749" s="84"/>
      <c r="W1749" s="84"/>
      <c r="X1749" s="84"/>
      <c r="Y1749" s="84"/>
      <c r="Z1749" s="84"/>
      <c r="AA1749" s="84"/>
    </row>
    <row r="1750" ht="15.75" customHeight="1">
      <c r="A1750" s="14" t="s">
        <v>17</v>
      </c>
      <c r="B1750" s="15" t="s">
        <v>19029</v>
      </c>
      <c r="C1750" s="14" t="s">
        <v>19662</v>
      </c>
      <c r="D1750" s="14" t="s">
        <v>19664</v>
      </c>
      <c r="E1750" s="26" t="str">
        <f t="shared" si="27"/>
        <v>http://dx.doi.org/10.1109/TVCG.2008.116</v>
      </c>
      <c r="F1750" s="14">
        <v>1459.0</v>
      </c>
      <c r="G1750" s="14">
        <v>1466.0</v>
      </c>
      <c r="H1750" s="14" t="s">
        <v>17059</v>
      </c>
      <c r="I1750" s="19" t="s">
        <v>19665</v>
      </c>
      <c r="J1750" s="19" t="s">
        <v>19667</v>
      </c>
      <c r="K1750" s="19" t="s">
        <v>19668</v>
      </c>
      <c r="L1750" s="19" t="s">
        <v>19669</v>
      </c>
      <c r="M1750" s="20" t="s">
        <v>19670</v>
      </c>
      <c r="N1750" s="44" t="s">
        <v>19671</v>
      </c>
      <c r="O1750" s="22">
        <v>76.0</v>
      </c>
      <c r="P1750" s="28">
        <v>44.0</v>
      </c>
      <c r="Q1750" s="28">
        <v>25.0</v>
      </c>
      <c r="R1750" s="84"/>
      <c r="S1750" s="84"/>
      <c r="T1750" s="84"/>
      <c r="U1750" s="84"/>
      <c r="V1750" s="84"/>
      <c r="W1750" s="84"/>
      <c r="X1750" s="84"/>
      <c r="Y1750" s="84"/>
      <c r="Z1750" s="84"/>
      <c r="AA1750" s="84"/>
    </row>
    <row r="1751" ht="15.75" customHeight="1">
      <c r="A1751" s="14" t="s">
        <v>17</v>
      </c>
      <c r="B1751" s="15" t="s">
        <v>19029</v>
      </c>
      <c r="C1751" s="14" t="s">
        <v>19672</v>
      </c>
      <c r="D1751" s="14" t="s">
        <v>19673</v>
      </c>
      <c r="E1751" s="26" t="str">
        <f t="shared" si="27"/>
        <v>http://dx.doi.org/10.1109/TVCG.2008.118</v>
      </c>
      <c r="F1751" s="14">
        <v>1739.0</v>
      </c>
      <c r="G1751" s="14">
        <v>1754.0</v>
      </c>
      <c r="H1751" s="14" t="s">
        <v>17059</v>
      </c>
      <c r="I1751" s="19" t="s">
        <v>19674</v>
      </c>
      <c r="J1751" s="19" t="s">
        <v>19675</v>
      </c>
      <c r="K1751" s="19" t="s">
        <v>19675</v>
      </c>
      <c r="L1751" s="19" t="s">
        <v>19676</v>
      </c>
      <c r="M1751" s="20" t="s">
        <v>19677</v>
      </c>
      <c r="N1751" s="44" t="s">
        <v>19678</v>
      </c>
      <c r="O1751" s="22">
        <v>103.0</v>
      </c>
      <c r="P1751" s="28">
        <v>51.0</v>
      </c>
      <c r="Q1751" s="28">
        <v>37.0</v>
      </c>
      <c r="R1751" s="84"/>
      <c r="S1751" s="84"/>
      <c r="T1751" s="84"/>
      <c r="U1751" s="84"/>
      <c r="V1751" s="84"/>
      <c r="W1751" s="84"/>
      <c r="X1751" s="84"/>
      <c r="Y1751" s="84"/>
      <c r="Z1751" s="84"/>
      <c r="AA1751" s="84"/>
    </row>
    <row r="1752" ht="15.75" customHeight="1">
      <c r="A1752" s="14" t="s">
        <v>17</v>
      </c>
      <c r="B1752" s="15" t="s">
        <v>19029</v>
      </c>
      <c r="C1752" s="14" t="s">
        <v>19681</v>
      </c>
      <c r="D1752" s="14" t="s">
        <v>19682</v>
      </c>
      <c r="E1752" s="26" t="str">
        <f t="shared" si="27"/>
        <v>http://dx.doi.org/10.1109/TVCG.2008.119</v>
      </c>
      <c r="F1752" s="14">
        <v>1428.0</v>
      </c>
      <c r="G1752" s="14">
        <v>1435.0</v>
      </c>
      <c r="H1752" s="14" t="s">
        <v>17059</v>
      </c>
      <c r="I1752" s="19" t="s">
        <v>19683</v>
      </c>
      <c r="J1752" s="19" t="s">
        <v>19684</v>
      </c>
      <c r="K1752" s="19" t="s">
        <v>19684</v>
      </c>
      <c r="L1752" s="19" t="s">
        <v>19685</v>
      </c>
      <c r="M1752" s="20" t="s">
        <v>19687</v>
      </c>
      <c r="N1752" s="44" t="s">
        <v>19688</v>
      </c>
      <c r="O1752" s="22">
        <v>103.0</v>
      </c>
      <c r="P1752" s="28">
        <v>61.0</v>
      </c>
      <c r="Q1752" s="28">
        <v>15.0</v>
      </c>
      <c r="R1752" s="84"/>
      <c r="S1752" s="84"/>
      <c r="T1752" s="84"/>
      <c r="U1752" s="84"/>
      <c r="V1752" s="84"/>
      <c r="W1752" s="84"/>
      <c r="X1752" s="84"/>
      <c r="Y1752" s="84"/>
      <c r="Z1752" s="84"/>
      <c r="AA1752" s="84"/>
    </row>
    <row r="1753" ht="15.75" customHeight="1">
      <c r="A1753" s="14" t="s">
        <v>17</v>
      </c>
      <c r="B1753" s="15" t="s">
        <v>19029</v>
      </c>
      <c r="C1753" s="14" t="s">
        <v>19689</v>
      </c>
      <c r="D1753" s="14" t="s">
        <v>19690</v>
      </c>
      <c r="E1753" s="26" t="str">
        <f t="shared" si="27"/>
        <v>http://dx.doi.org/10.1109/TVCG.2008.120</v>
      </c>
      <c r="F1753" s="14">
        <v>1388.0</v>
      </c>
      <c r="G1753" s="14">
        <v>1395.0</v>
      </c>
      <c r="H1753" s="14" t="s">
        <v>17059</v>
      </c>
      <c r="I1753" s="19" t="s">
        <v>19692</v>
      </c>
      <c r="J1753" s="19" t="s">
        <v>19693</v>
      </c>
      <c r="K1753" s="19" t="s">
        <v>19694</v>
      </c>
      <c r="L1753" s="19" t="s">
        <v>19695</v>
      </c>
      <c r="M1753" s="20" t="s">
        <v>19696</v>
      </c>
      <c r="N1753" s="44" t="s">
        <v>19697</v>
      </c>
      <c r="O1753" s="22">
        <v>50.0</v>
      </c>
      <c r="P1753" s="28">
        <v>22.0</v>
      </c>
      <c r="Q1753" s="28">
        <v>37.0</v>
      </c>
      <c r="R1753" s="84"/>
      <c r="S1753" s="84"/>
      <c r="T1753" s="84"/>
      <c r="U1753" s="84"/>
      <c r="V1753" s="84"/>
      <c r="W1753" s="84"/>
      <c r="X1753" s="84"/>
      <c r="Y1753" s="84"/>
      <c r="Z1753" s="84"/>
      <c r="AA1753" s="84"/>
    </row>
    <row r="1754" ht="15.75" customHeight="1">
      <c r="A1754" s="14" t="s">
        <v>17</v>
      </c>
      <c r="B1754" s="15" t="s">
        <v>19029</v>
      </c>
      <c r="C1754" s="14" t="s">
        <v>19698</v>
      </c>
      <c r="D1754" s="14" t="s">
        <v>19699</v>
      </c>
      <c r="E1754" s="26" t="str">
        <f t="shared" si="27"/>
        <v>http://dx.doi.org/10.1109/TVCG.2008.122</v>
      </c>
      <c r="F1754" s="14">
        <v>1651.0</v>
      </c>
      <c r="G1754" s="14">
        <v>1666.0</v>
      </c>
      <c r="H1754" s="14" t="s">
        <v>17059</v>
      </c>
      <c r="I1754" s="19" t="s">
        <v>19700</v>
      </c>
      <c r="J1754" s="19" t="s">
        <v>19701</v>
      </c>
      <c r="K1754" s="19" t="s">
        <v>19702</v>
      </c>
      <c r="L1754" s="19" t="s">
        <v>19703</v>
      </c>
      <c r="M1754" s="20" t="s">
        <v>19704</v>
      </c>
      <c r="N1754" s="44" t="s">
        <v>19705</v>
      </c>
      <c r="O1754" s="22">
        <v>50.0</v>
      </c>
      <c r="P1754" s="28">
        <v>9.0</v>
      </c>
      <c r="Q1754" s="28">
        <v>35.0</v>
      </c>
      <c r="R1754" s="84"/>
      <c r="S1754" s="84"/>
      <c r="T1754" s="84"/>
      <c r="U1754" s="84"/>
      <c r="V1754" s="84"/>
      <c r="W1754" s="84"/>
      <c r="X1754" s="84"/>
      <c r="Y1754" s="84"/>
      <c r="Z1754" s="84"/>
      <c r="AA1754" s="84"/>
    </row>
    <row r="1755" ht="15.75" customHeight="1">
      <c r="A1755" s="14" t="s">
        <v>17</v>
      </c>
      <c r="B1755" s="15" t="s">
        <v>19029</v>
      </c>
      <c r="C1755" s="14" t="s">
        <v>19706</v>
      </c>
      <c r="D1755" s="14" t="s">
        <v>19707</v>
      </c>
      <c r="E1755" s="26" t="str">
        <f t="shared" si="27"/>
        <v>http://dx.doi.org/10.1109/TVCG.2008.123</v>
      </c>
      <c r="F1755" s="14">
        <v>1603.0</v>
      </c>
      <c r="G1755" s="14">
        <v>1610.0</v>
      </c>
      <c r="H1755" s="14" t="s">
        <v>17059</v>
      </c>
      <c r="I1755" s="19" t="s">
        <v>19709</v>
      </c>
      <c r="J1755" s="19" t="s">
        <v>19710</v>
      </c>
      <c r="K1755" s="19" t="s">
        <v>19711</v>
      </c>
      <c r="L1755" s="19" t="s">
        <v>19712</v>
      </c>
      <c r="M1755" s="20" t="s">
        <v>19713</v>
      </c>
      <c r="N1755" s="44" t="s">
        <v>19714</v>
      </c>
      <c r="O1755" s="22">
        <v>25.0</v>
      </c>
      <c r="P1755" s="28">
        <v>17.0</v>
      </c>
      <c r="Q1755" s="28">
        <v>17.0</v>
      </c>
      <c r="R1755" s="84"/>
      <c r="S1755" s="84"/>
      <c r="T1755" s="84"/>
      <c r="U1755" s="84"/>
      <c r="V1755" s="84"/>
      <c r="W1755" s="84"/>
      <c r="X1755" s="84"/>
      <c r="Y1755" s="84"/>
      <c r="Z1755" s="84"/>
      <c r="AA1755" s="84"/>
    </row>
    <row r="1756" ht="15.75" customHeight="1">
      <c r="A1756" s="14" t="s">
        <v>17</v>
      </c>
      <c r="B1756" s="15" t="s">
        <v>19029</v>
      </c>
      <c r="C1756" s="14" t="s">
        <v>19716</v>
      </c>
      <c r="D1756" s="14" t="s">
        <v>19717</v>
      </c>
      <c r="E1756" s="26" t="str">
        <f t="shared" si="27"/>
        <v>http://dx.doi.org/10.1109/TVCG.2008.124</v>
      </c>
      <c r="F1756" s="14">
        <v>1452.0</v>
      </c>
      <c r="G1756" s="14">
        <v>1458.0</v>
      </c>
      <c r="H1756" s="14" t="s">
        <v>17059</v>
      </c>
      <c r="I1756" s="19" t="s">
        <v>19718</v>
      </c>
      <c r="J1756" s="19" t="s">
        <v>19719</v>
      </c>
      <c r="K1756" s="19" t="s">
        <v>19719</v>
      </c>
      <c r="L1756" s="19" t="s">
        <v>19720</v>
      </c>
      <c r="M1756" s="20"/>
      <c r="N1756" s="44" t="s">
        <v>19721</v>
      </c>
      <c r="O1756" s="22">
        <v>15.0</v>
      </c>
      <c r="P1756" s="28">
        <v>9.0</v>
      </c>
      <c r="Q1756" s="28">
        <v>32.0</v>
      </c>
      <c r="R1756" s="84"/>
      <c r="S1756" s="84"/>
      <c r="T1756" s="84"/>
      <c r="U1756" s="84"/>
      <c r="V1756" s="84"/>
      <c r="W1756" s="84"/>
      <c r="X1756" s="84"/>
      <c r="Y1756" s="84"/>
      <c r="Z1756" s="84"/>
      <c r="AA1756" s="84"/>
    </row>
    <row r="1757" ht="15.75" customHeight="1">
      <c r="A1757" s="14" t="s">
        <v>17</v>
      </c>
      <c r="B1757" s="15" t="s">
        <v>19029</v>
      </c>
      <c r="C1757" s="14" t="s">
        <v>19722</v>
      </c>
      <c r="D1757" s="14" t="s">
        <v>19723</v>
      </c>
      <c r="E1757" s="26" t="str">
        <f t="shared" si="27"/>
        <v>http://dx.doi.org/10.1109/TVCG.2008.126</v>
      </c>
      <c r="F1757" s="14">
        <v>1755.0</v>
      </c>
      <c r="G1757" s="14">
        <v>1762.0</v>
      </c>
      <c r="H1757" s="14" t="s">
        <v>17059</v>
      </c>
      <c r="I1757" s="19" t="s">
        <v>19724</v>
      </c>
      <c r="J1757" s="19" t="s">
        <v>19725</v>
      </c>
      <c r="K1757" s="19" t="s">
        <v>19726</v>
      </c>
      <c r="L1757" s="19" t="s">
        <v>19727</v>
      </c>
      <c r="M1757" s="20" t="s">
        <v>19728</v>
      </c>
      <c r="N1757" s="44" t="s">
        <v>19729</v>
      </c>
      <c r="O1757" s="22">
        <v>50.0</v>
      </c>
      <c r="P1757" s="28">
        <v>7.0</v>
      </c>
      <c r="Q1757" s="28">
        <v>21.0</v>
      </c>
      <c r="R1757" s="84"/>
      <c r="S1757" s="84"/>
      <c r="T1757" s="84"/>
      <c r="U1757" s="84"/>
      <c r="V1757" s="84"/>
      <c r="W1757" s="84"/>
      <c r="X1757" s="84"/>
      <c r="Y1757" s="84"/>
      <c r="Z1757" s="84"/>
      <c r="AA1757" s="84"/>
    </row>
    <row r="1758" ht="15.75" customHeight="1">
      <c r="A1758" s="14" t="s">
        <v>17</v>
      </c>
      <c r="B1758" s="15" t="s">
        <v>19029</v>
      </c>
      <c r="C1758" s="14" t="s">
        <v>19732</v>
      </c>
      <c r="D1758" s="14" t="s">
        <v>19733</v>
      </c>
      <c r="E1758" s="26" t="str">
        <f t="shared" si="27"/>
        <v>http://dx.doi.org/10.1109/TVCG.2008.128</v>
      </c>
      <c r="F1758" s="14">
        <v>1635.0</v>
      </c>
      <c r="G1758" s="14">
        <v>1642.0</v>
      </c>
      <c r="H1758" s="14" t="s">
        <v>17059</v>
      </c>
      <c r="I1758" s="19" t="s">
        <v>19734</v>
      </c>
      <c r="J1758" s="19" t="s">
        <v>19735</v>
      </c>
      <c r="K1758" s="19" t="s">
        <v>19736</v>
      </c>
      <c r="L1758" s="19" t="s">
        <v>19737</v>
      </c>
      <c r="M1758" s="20" t="s">
        <v>16254</v>
      </c>
      <c r="N1758" s="44" t="s">
        <v>19738</v>
      </c>
      <c r="O1758" s="22">
        <v>115.0</v>
      </c>
      <c r="P1758" s="28">
        <v>61.0</v>
      </c>
      <c r="Q1758" s="28">
        <v>42.0</v>
      </c>
      <c r="R1758" s="84"/>
      <c r="S1758" s="84"/>
      <c r="T1758" s="84"/>
      <c r="U1758" s="84"/>
      <c r="V1758" s="84"/>
      <c r="W1758" s="84"/>
      <c r="X1758" s="84"/>
      <c r="Y1758" s="84"/>
      <c r="Z1758" s="84"/>
      <c r="AA1758" s="84"/>
    </row>
    <row r="1759" ht="15.75" customHeight="1">
      <c r="A1759" s="14" t="s">
        <v>17</v>
      </c>
      <c r="B1759" s="15" t="s">
        <v>19029</v>
      </c>
      <c r="C1759" s="14" t="s">
        <v>19740</v>
      </c>
      <c r="D1759" s="14" t="s">
        <v>19741</v>
      </c>
      <c r="E1759" s="26" t="str">
        <f t="shared" si="27"/>
        <v>http://dx.doi.org/10.1109/TVCG.2008.131</v>
      </c>
      <c r="F1759" s="14">
        <v>1436.0</v>
      </c>
      <c r="G1759" s="14">
        <v>1451.0</v>
      </c>
      <c r="H1759" s="14" t="s">
        <v>17059</v>
      </c>
      <c r="I1759" s="19" t="s">
        <v>19742</v>
      </c>
      <c r="J1759" s="19" t="s">
        <v>19743</v>
      </c>
      <c r="K1759" s="19" t="s">
        <v>19744</v>
      </c>
      <c r="L1759" s="19" t="s">
        <v>19745</v>
      </c>
      <c r="M1759" s="20" t="s">
        <v>19746</v>
      </c>
      <c r="N1759" s="44" t="s">
        <v>19747</v>
      </c>
      <c r="O1759" s="22">
        <v>69.0</v>
      </c>
      <c r="P1759" s="28">
        <v>34.0</v>
      </c>
      <c r="Q1759" s="28">
        <v>17.0</v>
      </c>
      <c r="R1759" s="84"/>
      <c r="S1759" s="84"/>
      <c r="T1759" s="84"/>
      <c r="U1759" s="84"/>
      <c r="V1759" s="84"/>
      <c r="W1759" s="84"/>
      <c r="X1759" s="84"/>
      <c r="Y1759" s="84"/>
      <c r="Z1759" s="84"/>
      <c r="AA1759" s="84"/>
    </row>
    <row r="1760" ht="15.0" customHeight="1">
      <c r="A1760" s="14" t="s">
        <v>17</v>
      </c>
      <c r="B1760" s="15" t="s">
        <v>19029</v>
      </c>
      <c r="C1760" s="14" t="s">
        <v>19748</v>
      </c>
      <c r="D1760" s="14" t="s">
        <v>19749</v>
      </c>
      <c r="E1760" s="26" t="str">
        <f t="shared" si="27"/>
        <v>http://dx.doi.org/10.1109/TVCG.2008.132</v>
      </c>
      <c r="F1760" s="14">
        <v>1731.0</v>
      </c>
      <c r="G1760" s="14">
        <v>1738.0</v>
      </c>
      <c r="H1760" s="14" t="s">
        <v>17059</v>
      </c>
      <c r="I1760" s="19" t="s">
        <v>19750</v>
      </c>
      <c r="J1760" s="19" t="s">
        <v>19751</v>
      </c>
      <c r="K1760" s="19" t="s">
        <v>19751</v>
      </c>
      <c r="L1760" s="19" t="s">
        <v>19753</v>
      </c>
      <c r="M1760" s="20" t="s">
        <v>19754</v>
      </c>
      <c r="N1760" s="44" t="s">
        <v>19755</v>
      </c>
      <c r="O1760" s="22">
        <v>48.0</v>
      </c>
      <c r="P1760" s="28">
        <v>26.0</v>
      </c>
      <c r="Q1760" s="28">
        <v>15.0</v>
      </c>
      <c r="R1760" s="84"/>
      <c r="S1760" s="84"/>
      <c r="T1760" s="84"/>
      <c r="U1760" s="84"/>
      <c r="V1760" s="84"/>
      <c r="W1760" s="84"/>
      <c r="X1760" s="84"/>
      <c r="Y1760" s="84"/>
      <c r="Z1760" s="84"/>
      <c r="AA1760" s="84"/>
    </row>
    <row r="1761" ht="15.75" customHeight="1">
      <c r="A1761" s="14" t="s">
        <v>17</v>
      </c>
      <c r="B1761" s="15" t="s">
        <v>19029</v>
      </c>
      <c r="C1761" s="14" t="s">
        <v>19756</v>
      </c>
      <c r="D1761" s="14" t="s">
        <v>19757</v>
      </c>
      <c r="E1761" s="26" t="str">
        <f t="shared" si="27"/>
        <v>http://dx.doi.org/10.1109/TVCG.2008.133</v>
      </c>
      <c r="F1761" s="14">
        <v>1404.0</v>
      </c>
      <c r="G1761" s="14">
        <v>1411.0</v>
      </c>
      <c r="H1761" s="14" t="s">
        <v>17059</v>
      </c>
      <c r="I1761" s="19" t="s">
        <v>19759</v>
      </c>
      <c r="J1761" s="19" t="s">
        <v>19760</v>
      </c>
      <c r="K1761" s="19" t="s">
        <v>19760</v>
      </c>
      <c r="L1761" s="19" t="s">
        <v>19761</v>
      </c>
      <c r="M1761" s="20" t="s">
        <v>19762</v>
      </c>
      <c r="N1761" s="44" t="s">
        <v>19763</v>
      </c>
      <c r="O1761" s="22">
        <v>89.0</v>
      </c>
      <c r="P1761" s="28">
        <v>40.0</v>
      </c>
      <c r="Q1761" s="28">
        <v>18.0</v>
      </c>
      <c r="R1761" s="84"/>
      <c r="S1761" s="84"/>
      <c r="T1761" s="84"/>
      <c r="U1761" s="84"/>
      <c r="V1761" s="84"/>
      <c r="W1761" s="84"/>
      <c r="X1761" s="84"/>
      <c r="Y1761" s="84"/>
      <c r="Z1761" s="84"/>
      <c r="AA1761" s="84"/>
    </row>
    <row r="1762" ht="15.75" customHeight="1">
      <c r="A1762" s="14" t="s">
        <v>17</v>
      </c>
      <c r="B1762" s="15" t="s">
        <v>19029</v>
      </c>
      <c r="C1762" s="14" t="s">
        <v>19764</v>
      </c>
      <c r="D1762" s="14" t="s">
        <v>19765</v>
      </c>
      <c r="E1762" s="26" t="str">
        <f t="shared" si="27"/>
        <v>http://dx.doi.org/10.1109/TVCG.2008.134</v>
      </c>
      <c r="F1762" s="14">
        <v>1643.0</v>
      </c>
      <c r="G1762" s="14">
        <v>1650.0</v>
      </c>
      <c r="H1762" s="14" t="s">
        <v>17059</v>
      </c>
      <c r="I1762" s="19" t="s">
        <v>19766</v>
      </c>
      <c r="J1762" s="19" t="s">
        <v>19767</v>
      </c>
      <c r="K1762" s="19" t="s">
        <v>19767</v>
      </c>
      <c r="L1762" s="18"/>
      <c r="M1762" s="20"/>
      <c r="N1762" s="44" t="s">
        <v>19768</v>
      </c>
      <c r="O1762" s="22">
        <v>50.0</v>
      </c>
      <c r="P1762" s="28">
        <v>26.0</v>
      </c>
      <c r="Q1762" s="28">
        <v>32.0</v>
      </c>
      <c r="R1762" s="84"/>
      <c r="S1762" s="84"/>
      <c r="T1762" s="84"/>
      <c r="U1762" s="84"/>
      <c r="V1762" s="84"/>
      <c r="W1762" s="84"/>
      <c r="X1762" s="84"/>
      <c r="Y1762" s="84"/>
      <c r="Z1762" s="84"/>
      <c r="AA1762" s="84"/>
    </row>
    <row r="1763" ht="15.75" customHeight="1">
      <c r="A1763" s="14" t="s">
        <v>17</v>
      </c>
      <c r="B1763" s="15" t="s">
        <v>19029</v>
      </c>
      <c r="C1763" s="14" t="s">
        <v>19769</v>
      </c>
      <c r="D1763" s="14" t="s">
        <v>19770</v>
      </c>
      <c r="E1763" s="26" t="str">
        <f t="shared" si="27"/>
        <v>http://dx.doi.org/10.1109/TVCG.2008.136</v>
      </c>
      <c r="F1763" s="14">
        <v>1499.0</v>
      </c>
      <c r="G1763" s="14">
        <v>1506.0</v>
      </c>
      <c r="H1763" s="14" t="s">
        <v>17059</v>
      </c>
      <c r="I1763" s="19" t="s">
        <v>19772</v>
      </c>
      <c r="J1763" s="19" t="s">
        <v>19773</v>
      </c>
      <c r="K1763" s="19" t="s">
        <v>19774</v>
      </c>
      <c r="L1763" s="19" t="s">
        <v>19775</v>
      </c>
      <c r="M1763" s="20" t="s">
        <v>19776</v>
      </c>
      <c r="N1763" s="44" t="s">
        <v>19777</v>
      </c>
      <c r="O1763" s="22">
        <v>21.0</v>
      </c>
      <c r="P1763" s="28">
        <v>8.0</v>
      </c>
      <c r="Q1763" s="28">
        <v>24.0</v>
      </c>
      <c r="R1763" s="84"/>
      <c r="S1763" s="84"/>
      <c r="T1763" s="84"/>
      <c r="U1763" s="84"/>
      <c r="V1763" s="84"/>
      <c r="W1763" s="84"/>
      <c r="X1763" s="84"/>
      <c r="Y1763" s="84"/>
      <c r="Z1763" s="84"/>
      <c r="AA1763" s="84"/>
    </row>
    <row r="1764" ht="15.75" customHeight="1">
      <c r="A1764" s="14" t="s">
        <v>17</v>
      </c>
      <c r="B1764" s="15" t="s">
        <v>19029</v>
      </c>
      <c r="C1764" s="14" t="s">
        <v>19779</v>
      </c>
      <c r="D1764" s="14" t="s">
        <v>19780</v>
      </c>
      <c r="E1764" s="26" t="str">
        <f t="shared" si="27"/>
        <v>http://dx.doi.org/10.1109/TVCG.2008.139</v>
      </c>
      <c r="F1764" s="14">
        <v>1579.0</v>
      </c>
      <c r="G1764" s="14">
        <v>1586.0</v>
      </c>
      <c r="H1764" s="14" t="s">
        <v>17059</v>
      </c>
      <c r="I1764" s="19" t="s">
        <v>19781</v>
      </c>
      <c r="J1764" s="19" t="s">
        <v>19782</v>
      </c>
      <c r="K1764" s="19" t="s">
        <v>19783</v>
      </c>
      <c r="L1764" s="19" t="s">
        <v>19784</v>
      </c>
      <c r="M1764" s="20" t="s">
        <v>19785</v>
      </c>
      <c r="N1764" s="44" t="s">
        <v>19786</v>
      </c>
      <c r="O1764" s="22">
        <v>64.0</v>
      </c>
      <c r="P1764" s="28">
        <v>32.0</v>
      </c>
      <c r="Q1764" s="28">
        <v>29.0</v>
      </c>
      <c r="R1764" s="84"/>
      <c r="S1764" s="84"/>
      <c r="T1764" s="84"/>
      <c r="U1764" s="84"/>
      <c r="V1764" s="84"/>
      <c r="W1764" s="84"/>
      <c r="X1764" s="84"/>
      <c r="Y1764" s="84"/>
      <c r="Z1764" s="84"/>
      <c r="AA1764" s="84"/>
    </row>
    <row r="1765" ht="17.25" customHeight="1">
      <c r="A1765" s="14" t="s">
        <v>17</v>
      </c>
      <c r="B1765" s="15" t="s">
        <v>19029</v>
      </c>
      <c r="C1765" s="14" t="s">
        <v>19787</v>
      </c>
      <c r="D1765" s="14" t="s">
        <v>19788</v>
      </c>
      <c r="E1765" s="26" t="str">
        <f t="shared" si="27"/>
        <v>http://dx.doi.org/10.1109/TVCG.2008.140</v>
      </c>
      <c r="F1765" s="14">
        <v>1547.0</v>
      </c>
      <c r="G1765" s="14">
        <v>1554.0</v>
      </c>
      <c r="H1765" s="14" t="s">
        <v>17059</v>
      </c>
      <c r="I1765" s="19" t="s">
        <v>19789</v>
      </c>
      <c r="J1765" s="19" t="s">
        <v>19790</v>
      </c>
      <c r="K1765" s="19" t="s">
        <v>19790</v>
      </c>
      <c r="L1765" s="19" t="s">
        <v>19791</v>
      </c>
      <c r="M1765" s="20" t="s">
        <v>19792</v>
      </c>
      <c r="N1765" s="44" t="s">
        <v>19793</v>
      </c>
      <c r="O1765" s="22">
        <v>118.0</v>
      </c>
      <c r="P1765" s="28">
        <v>75.0</v>
      </c>
      <c r="Q1765" s="28">
        <v>18.0</v>
      </c>
      <c r="R1765" s="84"/>
      <c r="S1765" s="84"/>
      <c r="T1765" s="84"/>
      <c r="U1765" s="84"/>
      <c r="V1765" s="84"/>
      <c r="W1765" s="84"/>
      <c r="X1765" s="84"/>
      <c r="Y1765" s="84"/>
      <c r="Z1765" s="84"/>
      <c r="AA1765" s="84"/>
    </row>
    <row r="1766" ht="15.75" customHeight="1">
      <c r="A1766" s="14" t="s">
        <v>17</v>
      </c>
      <c r="B1766" s="15" t="s">
        <v>19029</v>
      </c>
      <c r="C1766" s="14" t="s">
        <v>19794</v>
      </c>
      <c r="D1766" s="14" t="s">
        <v>19795</v>
      </c>
      <c r="E1766" s="26" t="str">
        <f t="shared" si="27"/>
        <v>http://dx.doi.org/10.1109/TVCG.2008.142</v>
      </c>
      <c r="F1766" s="14">
        <v>1515.0</v>
      </c>
      <c r="G1766" s="14">
        <v>1522.0</v>
      </c>
      <c r="H1766" s="14" t="s">
        <v>17059</v>
      </c>
      <c r="I1766" s="19" t="s">
        <v>19797</v>
      </c>
      <c r="J1766" s="19" t="s">
        <v>19798</v>
      </c>
      <c r="K1766" s="19" t="s">
        <v>19799</v>
      </c>
      <c r="L1766" s="19" t="s">
        <v>19801</v>
      </c>
      <c r="M1766" s="20" t="s">
        <v>19802</v>
      </c>
      <c r="N1766" s="44" t="s">
        <v>19803</v>
      </c>
      <c r="O1766" s="22">
        <v>31.0</v>
      </c>
      <c r="P1766" s="28">
        <v>17.0</v>
      </c>
      <c r="Q1766" s="28">
        <v>30.0</v>
      </c>
      <c r="R1766" s="84"/>
      <c r="S1766" s="84"/>
      <c r="T1766" s="84"/>
      <c r="U1766" s="84"/>
      <c r="V1766" s="84"/>
      <c r="W1766" s="84"/>
      <c r="X1766" s="84"/>
      <c r="Y1766" s="84"/>
      <c r="Z1766" s="84"/>
      <c r="AA1766" s="84"/>
    </row>
    <row r="1767" ht="15.75" customHeight="1">
      <c r="A1767" s="14" t="s">
        <v>17</v>
      </c>
      <c r="B1767" s="15" t="s">
        <v>19029</v>
      </c>
      <c r="C1767" s="14" t="s">
        <v>19804</v>
      </c>
      <c r="D1767" s="14" t="s">
        <v>19805</v>
      </c>
      <c r="E1767" s="26" t="str">
        <f t="shared" si="27"/>
        <v>http://dx.doi.org/10.1109/TVCG.2008.143</v>
      </c>
      <c r="F1767" s="14">
        <v>1475.0</v>
      </c>
      <c r="G1767" s="14">
        <v>1482.0</v>
      </c>
      <c r="H1767" s="14" t="s">
        <v>17059</v>
      </c>
      <c r="I1767" s="19" t="s">
        <v>19806</v>
      </c>
      <c r="J1767" s="19" t="s">
        <v>19807</v>
      </c>
      <c r="K1767" s="19" t="s">
        <v>19808</v>
      </c>
      <c r="L1767" s="19" t="s">
        <v>19809</v>
      </c>
      <c r="M1767" s="20" t="s">
        <v>19810</v>
      </c>
      <c r="N1767" s="44" t="s">
        <v>19811</v>
      </c>
      <c r="O1767" s="22">
        <v>53.0</v>
      </c>
      <c r="P1767" s="28">
        <v>41.0</v>
      </c>
      <c r="Q1767" s="28">
        <v>36.0</v>
      </c>
      <c r="R1767" s="84"/>
      <c r="S1767" s="84"/>
      <c r="T1767" s="84"/>
      <c r="U1767" s="84"/>
      <c r="V1767" s="84"/>
      <c r="W1767" s="84"/>
      <c r="X1767" s="84"/>
      <c r="Y1767" s="84"/>
      <c r="Z1767" s="84"/>
      <c r="AA1767" s="84"/>
    </row>
    <row r="1768" ht="15.75" customHeight="1">
      <c r="A1768" s="14" t="s">
        <v>17</v>
      </c>
      <c r="B1768" s="15" t="s">
        <v>19029</v>
      </c>
      <c r="C1768" s="14" t="s">
        <v>19812</v>
      </c>
      <c r="D1768" s="14" t="s">
        <v>19813</v>
      </c>
      <c r="E1768" s="26" t="str">
        <f t="shared" si="27"/>
        <v>http://dx.doi.org/10.1109/TVCG.2008.145</v>
      </c>
      <c r="F1768" s="14">
        <v>1699.0</v>
      </c>
      <c r="G1768" s="14">
        <v>1706.0</v>
      </c>
      <c r="H1768" s="14" t="s">
        <v>17059</v>
      </c>
      <c r="I1768" s="19" t="s">
        <v>19814</v>
      </c>
      <c r="J1768" s="19" t="s">
        <v>19815</v>
      </c>
      <c r="K1768" s="19" t="s">
        <v>19815</v>
      </c>
      <c r="L1768" s="19" t="s">
        <v>19816</v>
      </c>
      <c r="M1768" s="20" t="s">
        <v>19818</v>
      </c>
      <c r="N1768" s="44" t="s">
        <v>19819</v>
      </c>
      <c r="O1768" s="22">
        <v>47.0</v>
      </c>
      <c r="P1768" s="28">
        <v>28.0</v>
      </c>
      <c r="Q1768" s="28">
        <v>24.0</v>
      </c>
      <c r="R1768" s="84"/>
      <c r="S1768" s="84"/>
      <c r="T1768" s="84"/>
      <c r="U1768" s="84"/>
      <c r="V1768" s="84"/>
      <c r="W1768" s="84"/>
      <c r="X1768" s="84"/>
      <c r="Y1768" s="84"/>
      <c r="Z1768" s="84"/>
      <c r="AA1768" s="84"/>
    </row>
    <row r="1769" ht="15.75" customHeight="1">
      <c r="A1769" s="14" t="s">
        <v>17</v>
      </c>
      <c r="B1769" s="15" t="s">
        <v>19029</v>
      </c>
      <c r="C1769" s="14" t="s">
        <v>19820</v>
      </c>
      <c r="D1769" s="14" t="s">
        <v>19821</v>
      </c>
      <c r="E1769" s="26" t="str">
        <f t="shared" si="27"/>
        <v>http://dx.doi.org/10.1109/TVCG.2008.146</v>
      </c>
      <c r="F1769" s="14">
        <v>1420.0</v>
      </c>
      <c r="G1769" s="14">
        <v>1427.0</v>
      </c>
      <c r="H1769" s="14" t="s">
        <v>17059</v>
      </c>
      <c r="I1769" s="19" t="s">
        <v>19822</v>
      </c>
      <c r="J1769" s="19" t="s">
        <v>19823</v>
      </c>
      <c r="K1769" s="19" t="s">
        <v>19825</v>
      </c>
      <c r="L1769" s="19" t="s">
        <v>19826</v>
      </c>
      <c r="M1769" s="20" t="s">
        <v>19827</v>
      </c>
      <c r="N1769" s="44" t="s">
        <v>19828</v>
      </c>
      <c r="O1769" s="22">
        <v>50.0</v>
      </c>
      <c r="P1769" s="28">
        <v>5.0</v>
      </c>
      <c r="Q1769" s="28">
        <v>31.0</v>
      </c>
      <c r="R1769" s="84"/>
      <c r="S1769" s="84"/>
      <c r="T1769" s="84"/>
      <c r="U1769" s="84"/>
      <c r="V1769" s="84"/>
      <c r="W1769" s="84"/>
      <c r="X1769" s="84"/>
      <c r="Y1769" s="84"/>
      <c r="Z1769" s="84"/>
      <c r="AA1769" s="84"/>
    </row>
    <row r="1770" ht="15.75" customHeight="1">
      <c r="A1770" s="14" t="s">
        <v>17</v>
      </c>
      <c r="B1770" s="15" t="s">
        <v>19029</v>
      </c>
      <c r="C1770" s="14" t="s">
        <v>19829</v>
      </c>
      <c r="D1770" s="14" t="s">
        <v>19830</v>
      </c>
      <c r="E1770" s="26" t="str">
        <f t="shared" si="27"/>
        <v>http://dx.doi.org/10.1109/TVCG.2008.147</v>
      </c>
      <c r="F1770" s="14">
        <v>1507.0</v>
      </c>
      <c r="G1770" s="14">
        <v>1514.0</v>
      </c>
      <c r="H1770" s="14" t="s">
        <v>17059</v>
      </c>
      <c r="I1770" s="19" t="s">
        <v>19831</v>
      </c>
      <c r="J1770" s="19" t="s">
        <v>19832</v>
      </c>
      <c r="K1770" s="19" t="s">
        <v>19833</v>
      </c>
      <c r="L1770" s="19" t="s">
        <v>19834</v>
      </c>
      <c r="M1770" s="20" t="s">
        <v>19835</v>
      </c>
      <c r="N1770" s="44" t="s">
        <v>19836</v>
      </c>
      <c r="O1770" s="22">
        <v>53.0</v>
      </c>
      <c r="P1770" s="28">
        <v>29.0</v>
      </c>
      <c r="Q1770" s="28">
        <v>18.0</v>
      </c>
      <c r="R1770" s="84"/>
      <c r="S1770" s="84"/>
      <c r="T1770" s="84"/>
      <c r="U1770" s="84"/>
      <c r="V1770" s="84"/>
      <c r="W1770" s="84"/>
      <c r="X1770" s="84"/>
      <c r="Y1770" s="84"/>
      <c r="Z1770" s="84"/>
      <c r="AA1770" s="84"/>
    </row>
    <row r="1771" ht="15.75" customHeight="1">
      <c r="A1771" s="14" t="s">
        <v>17</v>
      </c>
      <c r="B1771" s="15" t="s">
        <v>19029</v>
      </c>
      <c r="C1771" s="14" t="s">
        <v>19837</v>
      </c>
      <c r="D1771" s="14" t="s">
        <v>19838</v>
      </c>
      <c r="E1771" s="26" t="str">
        <f t="shared" si="27"/>
        <v>http://dx.doi.org/10.1109/TVCG.2008.148</v>
      </c>
      <c r="F1771" s="14">
        <v>1627.0</v>
      </c>
      <c r="G1771" s="14">
        <v>1634.0</v>
      </c>
      <c r="H1771" s="14" t="s">
        <v>17059</v>
      </c>
      <c r="I1771" s="19" t="s">
        <v>19839</v>
      </c>
      <c r="J1771" s="19" t="s">
        <v>19841</v>
      </c>
      <c r="K1771" s="19" t="s">
        <v>19842</v>
      </c>
      <c r="L1771" s="19" t="s">
        <v>19843</v>
      </c>
      <c r="M1771" s="20" t="s">
        <v>19844</v>
      </c>
      <c r="N1771" s="44" t="s">
        <v>19845</v>
      </c>
      <c r="O1771" s="22">
        <v>52.0</v>
      </c>
      <c r="P1771" s="28">
        <v>32.0</v>
      </c>
      <c r="Q1771" s="28">
        <v>43.0</v>
      </c>
      <c r="R1771" s="84"/>
      <c r="S1771" s="84"/>
      <c r="T1771" s="84"/>
      <c r="U1771" s="84"/>
      <c r="V1771" s="84"/>
      <c r="W1771" s="84"/>
      <c r="X1771" s="84"/>
      <c r="Y1771" s="84"/>
      <c r="Z1771" s="84"/>
      <c r="AA1771" s="84"/>
    </row>
    <row r="1772" ht="15.75" customHeight="1">
      <c r="A1772" s="14" t="s">
        <v>17</v>
      </c>
      <c r="B1772" s="15" t="s">
        <v>19029</v>
      </c>
      <c r="C1772" s="14" t="s">
        <v>19847</v>
      </c>
      <c r="D1772" s="14" t="s">
        <v>19848</v>
      </c>
      <c r="E1772" s="26" t="str">
        <f t="shared" si="27"/>
        <v>http://dx.doi.org/10.1109/TVCG.2008.150</v>
      </c>
      <c r="F1772" s="14">
        <v>1587.0</v>
      </c>
      <c r="G1772" s="14">
        <v>1594.0</v>
      </c>
      <c r="H1772" s="14" t="s">
        <v>17059</v>
      </c>
      <c r="I1772" s="19" t="s">
        <v>19849</v>
      </c>
      <c r="J1772" s="19" t="s">
        <v>19850</v>
      </c>
      <c r="K1772" s="19" t="s">
        <v>19851</v>
      </c>
      <c r="L1772" s="19" t="s">
        <v>19852</v>
      </c>
      <c r="M1772" s="20" t="s">
        <v>19853</v>
      </c>
      <c r="N1772" s="44" t="s">
        <v>19854</v>
      </c>
      <c r="O1772" s="109"/>
      <c r="P1772" s="28">
        <v>15.0</v>
      </c>
      <c r="Q1772" s="28">
        <v>17.0</v>
      </c>
      <c r="R1772" s="84"/>
      <c r="S1772" s="84"/>
      <c r="T1772" s="84"/>
      <c r="U1772" s="84"/>
      <c r="V1772" s="84"/>
      <c r="W1772" s="84"/>
      <c r="X1772" s="84"/>
      <c r="Y1772" s="84"/>
      <c r="Z1772" s="84"/>
      <c r="AA1772" s="84"/>
    </row>
    <row r="1773" ht="15.75" customHeight="1">
      <c r="A1773" s="14" t="s">
        <v>17</v>
      </c>
      <c r="B1773" s="15" t="s">
        <v>19029</v>
      </c>
      <c r="C1773" s="14" t="s">
        <v>19855</v>
      </c>
      <c r="D1773" s="14" t="s">
        <v>19856</v>
      </c>
      <c r="E1773" s="26" t="str">
        <f t="shared" si="27"/>
        <v>http://dx.doi.org/10.1109/TVCG.2008.154</v>
      </c>
      <c r="F1773" s="14">
        <v>1539.0</v>
      </c>
      <c r="G1773" s="14">
        <v>1546.0</v>
      </c>
      <c r="H1773" s="14" t="s">
        <v>17059</v>
      </c>
      <c r="I1773" s="19" t="s">
        <v>19857</v>
      </c>
      <c r="J1773" s="19" t="s">
        <v>19858</v>
      </c>
      <c r="K1773" s="19" t="s">
        <v>19859</v>
      </c>
      <c r="L1773" s="18"/>
      <c r="M1773" s="20" t="s">
        <v>19860</v>
      </c>
      <c r="N1773" s="44" t="s">
        <v>19861</v>
      </c>
      <c r="O1773" s="22">
        <v>58.0</v>
      </c>
      <c r="P1773" s="28">
        <v>30.0</v>
      </c>
      <c r="Q1773" s="28">
        <v>49.0</v>
      </c>
      <c r="R1773" s="84"/>
      <c r="S1773" s="84"/>
      <c r="T1773" s="84"/>
      <c r="U1773" s="84"/>
      <c r="V1773" s="84"/>
      <c r="W1773" s="84"/>
      <c r="X1773" s="84"/>
      <c r="Y1773" s="84"/>
      <c r="Z1773" s="84"/>
      <c r="AA1773" s="84"/>
    </row>
    <row r="1774" ht="15.75" customHeight="1">
      <c r="A1774" s="14" t="s">
        <v>17</v>
      </c>
      <c r="B1774" s="15" t="s">
        <v>19029</v>
      </c>
      <c r="C1774" s="14" t="s">
        <v>19862</v>
      </c>
      <c r="D1774" s="14" t="s">
        <v>19863</v>
      </c>
      <c r="E1774" s="26" t="str">
        <f t="shared" si="27"/>
        <v>http://dx.doi.org/10.1109/TVCG.2008.157</v>
      </c>
      <c r="F1774" s="14">
        <v>1715.0</v>
      </c>
      <c r="G1774" s="14">
        <v>1722.0</v>
      </c>
      <c r="H1774" s="14" t="s">
        <v>17059</v>
      </c>
      <c r="I1774" s="19" t="s">
        <v>19865</v>
      </c>
      <c r="J1774" s="19" t="s">
        <v>18616</v>
      </c>
      <c r="K1774" s="19" t="s">
        <v>19867</v>
      </c>
      <c r="L1774" s="18"/>
      <c r="M1774" s="20" t="s">
        <v>19868</v>
      </c>
      <c r="N1774" s="44" t="s">
        <v>19869</v>
      </c>
      <c r="O1774" s="22">
        <v>50.0</v>
      </c>
      <c r="P1774" s="28">
        <v>17.0</v>
      </c>
      <c r="Q1774" s="28">
        <v>33.0</v>
      </c>
      <c r="R1774" s="84"/>
      <c r="S1774" s="84"/>
      <c r="T1774" s="84"/>
      <c r="U1774" s="84"/>
      <c r="V1774" s="84"/>
      <c r="W1774" s="84"/>
      <c r="X1774" s="84"/>
      <c r="Y1774" s="84"/>
      <c r="Z1774" s="84"/>
      <c r="AA1774" s="84"/>
    </row>
    <row r="1775" ht="15.75" customHeight="1">
      <c r="A1775" s="14" t="s">
        <v>17</v>
      </c>
      <c r="B1775" s="15" t="s">
        <v>19029</v>
      </c>
      <c r="C1775" s="14" t="s">
        <v>19870</v>
      </c>
      <c r="D1775" s="14" t="s">
        <v>19871</v>
      </c>
      <c r="E1775" s="26" t="str">
        <f t="shared" si="27"/>
        <v>http://dx.doi.org/10.1109/TVCG.2008.159</v>
      </c>
      <c r="F1775" s="14">
        <v>1683.0</v>
      </c>
      <c r="G1775" s="14">
        <v>1690.0</v>
      </c>
      <c r="H1775" s="14" t="s">
        <v>17059</v>
      </c>
      <c r="I1775" s="19" t="s">
        <v>19872</v>
      </c>
      <c r="J1775" s="19" t="s">
        <v>19873</v>
      </c>
      <c r="K1775" s="19" t="s">
        <v>19873</v>
      </c>
      <c r="L1775" s="19" t="s">
        <v>19874</v>
      </c>
      <c r="M1775" s="20" t="s">
        <v>19875</v>
      </c>
      <c r="N1775" s="44" t="s">
        <v>19876</v>
      </c>
      <c r="O1775" s="22">
        <v>50.0</v>
      </c>
      <c r="P1775" s="28">
        <v>6.0</v>
      </c>
      <c r="Q1775" s="28">
        <v>28.0</v>
      </c>
      <c r="R1775" s="84"/>
      <c r="S1775" s="84"/>
      <c r="T1775" s="84"/>
      <c r="U1775" s="84"/>
      <c r="V1775" s="84"/>
      <c r="W1775" s="84"/>
      <c r="X1775" s="84"/>
      <c r="Y1775" s="84"/>
      <c r="Z1775" s="84"/>
      <c r="AA1775" s="84"/>
    </row>
    <row r="1776" ht="15.75" customHeight="1">
      <c r="A1776" s="14" t="s">
        <v>17</v>
      </c>
      <c r="B1776" s="15" t="s">
        <v>19029</v>
      </c>
      <c r="C1776" s="14" t="s">
        <v>19878</v>
      </c>
      <c r="D1776" s="14" t="s">
        <v>19879</v>
      </c>
      <c r="E1776" s="26" t="str">
        <f t="shared" si="27"/>
        <v>http://dx.doi.org/10.1109/TVCG.2008.160</v>
      </c>
      <c r="F1776" s="14">
        <v>1659.0</v>
      </c>
      <c r="G1776" s="14">
        <v>1666.0</v>
      </c>
      <c r="H1776" s="14" t="s">
        <v>17059</v>
      </c>
      <c r="I1776" s="19" t="s">
        <v>19881</v>
      </c>
      <c r="J1776" s="19" t="s">
        <v>19882</v>
      </c>
      <c r="K1776" s="19" t="s">
        <v>19883</v>
      </c>
      <c r="L1776" s="18"/>
      <c r="M1776" s="20" t="s">
        <v>19884</v>
      </c>
      <c r="N1776" s="44" t="s">
        <v>19885</v>
      </c>
      <c r="O1776" s="22">
        <v>52.0</v>
      </c>
      <c r="P1776" s="28">
        <v>28.0</v>
      </c>
      <c r="Q1776" s="28">
        <v>17.0</v>
      </c>
      <c r="R1776" s="84"/>
      <c r="S1776" s="84"/>
      <c r="T1776" s="84"/>
      <c r="U1776" s="84"/>
      <c r="V1776" s="84"/>
      <c r="W1776" s="84"/>
      <c r="X1776" s="84"/>
      <c r="Y1776" s="84"/>
      <c r="Z1776" s="84"/>
      <c r="AA1776" s="84"/>
    </row>
    <row r="1777" ht="15.75" customHeight="1">
      <c r="A1777" s="14" t="s">
        <v>17</v>
      </c>
      <c r="B1777" s="15" t="s">
        <v>19029</v>
      </c>
      <c r="C1777" s="14" t="s">
        <v>19886</v>
      </c>
      <c r="D1777" s="14" t="s">
        <v>19887</v>
      </c>
      <c r="E1777" s="26" t="str">
        <f t="shared" si="27"/>
        <v>http://dx.doi.org/10.1109/TVCG.2008.161</v>
      </c>
      <c r="F1777" s="14">
        <v>1491.0</v>
      </c>
      <c r="G1777" s="14">
        <v>1498.0</v>
      </c>
      <c r="H1777" s="14" t="s">
        <v>17059</v>
      </c>
      <c r="I1777" s="19" t="s">
        <v>19888</v>
      </c>
      <c r="J1777" s="19" t="s">
        <v>19889</v>
      </c>
      <c r="K1777" s="19" t="s">
        <v>19890</v>
      </c>
      <c r="L1777" s="19" t="s">
        <v>19891</v>
      </c>
      <c r="M1777" s="20" t="s">
        <v>19892</v>
      </c>
      <c r="N1777" s="44" t="s">
        <v>19893</v>
      </c>
      <c r="O1777" s="22">
        <v>41.0</v>
      </c>
      <c r="P1777" s="28">
        <v>21.0</v>
      </c>
      <c r="Q1777" s="28">
        <v>22.0</v>
      </c>
      <c r="R1777" s="84"/>
      <c r="S1777" s="84"/>
      <c r="T1777" s="84"/>
      <c r="U1777" s="84"/>
      <c r="V1777" s="84"/>
      <c r="W1777" s="84"/>
      <c r="X1777" s="84"/>
      <c r="Y1777" s="84"/>
      <c r="Z1777" s="84"/>
      <c r="AA1777" s="84"/>
    </row>
    <row r="1778" ht="15.75" customHeight="1">
      <c r="A1778" s="14" t="s">
        <v>17</v>
      </c>
      <c r="B1778" s="15" t="s">
        <v>19029</v>
      </c>
      <c r="C1778" s="14" t="s">
        <v>19894</v>
      </c>
      <c r="D1778" s="14" t="s">
        <v>19895</v>
      </c>
      <c r="E1778" s="26" t="str">
        <f t="shared" si="27"/>
        <v>http://dx.doi.org/10.1109/TVCG.2008.162</v>
      </c>
      <c r="F1778" s="14">
        <v>1380.0</v>
      </c>
      <c r="G1778" s="14">
        <v>1387.0</v>
      </c>
      <c r="H1778" s="14" t="s">
        <v>17059</v>
      </c>
      <c r="I1778" s="19" t="s">
        <v>19897</v>
      </c>
      <c r="J1778" s="19" t="s">
        <v>19898</v>
      </c>
      <c r="K1778" s="19" t="s">
        <v>19899</v>
      </c>
      <c r="L1778" s="19" t="s">
        <v>19900</v>
      </c>
      <c r="M1778" s="20" t="s">
        <v>19901</v>
      </c>
      <c r="N1778" s="44" t="s">
        <v>19902</v>
      </c>
      <c r="O1778" s="22">
        <v>197.0</v>
      </c>
      <c r="P1778" s="28">
        <v>99.0</v>
      </c>
      <c r="Q1778" s="28">
        <v>33.0</v>
      </c>
      <c r="R1778" s="84"/>
      <c r="S1778" s="84"/>
      <c r="T1778" s="84"/>
      <c r="U1778" s="84"/>
      <c r="V1778" s="84"/>
      <c r="W1778" s="84"/>
      <c r="X1778" s="84"/>
      <c r="Y1778" s="84"/>
      <c r="Z1778" s="84"/>
      <c r="AA1778" s="84"/>
    </row>
    <row r="1779" ht="15.75" customHeight="1">
      <c r="A1779" s="14" t="s">
        <v>17</v>
      </c>
      <c r="B1779" s="15" t="s">
        <v>19029</v>
      </c>
      <c r="C1779" s="14" t="s">
        <v>19904</v>
      </c>
      <c r="D1779" s="14" t="s">
        <v>19905</v>
      </c>
      <c r="E1779" s="26" t="str">
        <f t="shared" si="27"/>
        <v>http://dx.doi.org/10.1109/TVCG.2008.163</v>
      </c>
      <c r="F1779" s="14">
        <v>1396.0</v>
      </c>
      <c r="G1779" s="14">
        <v>1403.0</v>
      </c>
      <c r="H1779" s="14" t="s">
        <v>17059</v>
      </c>
      <c r="I1779" s="19" t="s">
        <v>19906</v>
      </c>
      <c r="J1779" s="19" t="s">
        <v>19907</v>
      </c>
      <c r="K1779" s="19" t="s">
        <v>19907</v>
      </c>
      <c r="L1779" s="19" t="s">
        <v>19908</v>
      </c>
      <c r="M1779" s="20" t="s">
        <v>19909</v>
      </c>
      <c r="N1779" s="44" t="s">
        <v>19910</v>
      </c>
      <c r="O1779" s="22">
        <v>84.0</v>
      </c>
      <c r="P1779" s="28">
        <v>33.0</v>
      </c>
      <c r="Q1779" s="28">
        <v>39.0</v>
      </c>
      <c r="R1779" s="84"/>
      <c r="S1779" s="84"/>
      <c r="T1779" s="84"/>
      <c r="U1779" s="84"/>
      <c r="V1779" s="84"/>
      <c r="W1779" s="84"/>
      <c r="X1779" s="84"/>
      <c r="Y1779" s="84"/>
      <c r="Z1779" s="84"/>
      <c r="AA1779" s="84"/>
    </row>
    <row r="1780" ht="15.75" customHeight="1">
      <c r="A1780" s="14" t="s">
        <v>17</v>
      </c>
      <c r="B1780" s="15" t="s">
        <v>19029</v>
      </c>
      <c r="C1780" s="14" t="s">
        <v>19911</v>
      </c>
      <c r="D1780" s="14" t="s">
        <v>19912</v>
      </c>
      <c r="E1780" s="26" t="str">
        <f t="shared" si="27"/>
        <v>http://dx.doi.org/10.1109/TVCG.2008.164</v>
      </c>
      <c r="F1780" s="14">
        <v>1531.0</v>
      </c>
      <c r="G1780" s="14">
        <v>1546.0</v>
      </c>
      <c r="H1780" s="14" t="s">
        <v>17059</v>
      </c>
      <c r="I1780" s="19" t="s">
        <v>19913</v>
      </c>
      <c r="J1780" s="19" t="s">
        <v>19914</v>
      </c>
      <c r="K1780" s="19" t="s">
        <v>19914</v>
      </c>
      <c r="L1780" s="19" t="s">
        <v>19915</v>
      </c>
      <c r="M1780" s="20" t="s">
        <v>19916</v>
      </c>
      <c r="N1780" s="44" t="s">
        <v>19917</v>
      </c>
      <c r="O1780" s="22">
        <v>50.0</v>
      </c>
      <c r="P1780" s="28">
        <v>8.0</v>
      </c>
      <c r="Q1780" s="28">
        <v>34.0</v>
      </c>
      <c r="R1780" s="84"/>
      <c r="S1780" s="84"/>
      <c r="T1780" s="84"/>
      <c r="U1780" s="84"/>
      <c r="V1780" s="84"/>
      <c r="W1780" s="84"/>
      <c r="X1780" s="84"/>
      <c r="Y1780" s="84"/>
      <c r="Z1780" s="84"/>
      <c r="AA1780" s="84"/>
    </row>
    <row r="1781" ht="15.75" customHeight="1">
      <c r="A1781" s="14" t="s">
        <v>17</v>
      </c>
      <c r="B1781" s="15" t="s">
        <v>19029</v>
      </c>
      <c r="C1781" s="14" t="s">
        <v>19918</v>
      </c>
      <c r="D1781" s="14" t="s">
        <v>19919</v>
      </c>
      <c r="E1781" s="26" t="str">
        <f t="shared" si="27"/>
        <v>http://dx.doi.org/10.1109/TVCG.2008.167</v>
      </c>
      <c r="F1781" s="14">
        <v>1483.0</v>
      </c>
      <c r="G1781" s="14">
        <v>1490.0</v>
      </c>
      <c r="H1781" s="14" t="s">
        <v>17059</v>
      </c>
      <c r="I1781" s="19" t="s">
        <v>19920</v>
      </c>
      <c r="J1781" s="19" t="s">
        <v>19921</v>
      </c>
      <c r="K1781" s="19" t="s">
        <v>19921</v>
      </c>
      <c r="L1781" s="19" t="s">
        <v>19922</v>
      </c>
      <c r="M1781" s="20" t="s">
        <v>19923</v>
      </c>
      <c r="N1781" s="44" t="s">
        <v>19924</v>
      </c>
      <c r="O1781" s="22">
        <v>50.0</v>
      </c>
      <c r="P1781" s="28">
        <v>21.0</v>
      </c>
      <c r="Q1781" s="28">
        <v>49.0</v>
      </c>
      <c r="R1781" s="84"/>
      <c r="S1781" s="84"/>
      <c r="T1781" s="84"/>
      <c r="U1781" s="84"/>
      <c r="V1781" s="84"/>
      <c r="W1781" s="84"/>
      <c r="X1781" s="84"/>
      <c r="Y1781" s="84"/>
      <c r="Z1781" s="84"/>
      <c r="AA1781" s="84"/>
    </row>
    <row r="1782" ht="15.75" customHeight="1">
      <c r="A1782" s="14" t="s">
        <v>17</v>
      </c>
      <c r="B1782" s="15" t="s">
        <v>19029</v>
      </c>
      <c r="C1782" s="14" t="s">
        <v>19925</v>
      </c>
      <c r="D1782" s="14" t="s">
        <v>19926</v>
      </c>
      <c r="E1782" s="26" t="str">
        <f t="shared" si="27"/>
        <v>http://dx.doi.org/10.1109/TVCG.2008.168</v>
      </c>
      <c r="F1782" s="14">
        <v>1675.0</v>
      </c>
      <c r="G1782" s="14">
        <v>1682.0</v>
      </c>
      <c r="H1782" s="14" t="s">
        <v>17059</v>
      </c>
      <c r="I1782" s="19" t="s">
        <v>19928</v>
      </c>
      <c r="J1782" s="19" t="s">
        <v>18841</v>
      </c>
      <c r="K1782" s="19" t="s">
        <v>18841</v>
      </c>
      <c r="L1782" s="19" t="s">
        <v>19929</v>
      </c>
      <c r="M1782" s="20" t="s">
        <v>5832</v>
      </c>
      <c r="N1782" s="44" t="s">
        <v>19930</v>
      </c>
      <c r="O1782" s="22">
        <v>20.0</v>
      </c>
      <c r="P1782" s="28">
        <v>10.0</v>
      </c>
      <c r="Q1782" s="28">
        <v>40.0</v>
      </c>
      <c r="R1782" s="84"/>
      <c r="S1782" s="84"/>
      <c r="T1782" s="84"/>
      <c r="U1782" s="84"/>
      <c r="V1782" s="84"/>
      <c r="W1782" s="84"/>
      <c r="X1782" s="84"/>
      <c r="Y1782" s="84"/>
      <c r="Z1782" s="84"/>
      <c r="AA1782" s="84"/>
    </row>
    <row r="1783" ht="15.75" customHeight="1">
      <c r="A1783" s="14" t="s">
        <v>17</v>
      </c>
      <c r="B1783" s="15" t="s">
        <v>19029</v>
      </c>
      <c r="C1783" s="14" t="s">
        <v>19932</v>
      </c>
      <c r="D1783" s="14" t="s">
        <v>19933</v>
      </c>
      <c r="E1783" s="26" t="str">
        <f t="shared" si="27"/>
        <v>http://dx.doi.org/10.1109/TVCG.2008.169</v>
      </c>
      <c r="F1783" s="14">
        <v>1364.0</v>
      </c>
      <c r="G1783" s="14">
        <v>1371.0</v>
      </c>
      <c r="H1783" s="14" t="s">
        <v>17059</v>
      </c>
      <c r="I1783" s="19" t="s">
        <v>19934</v>
      </c>
      <c r="J1783" s="19" t="s">
        <v>19935</v>
      </c>
      <c r="K1783" s="19" t="s">
        <v>19935</v>
      </c>
      <c r="L1783" s="18"/>
      <c r="M1783" s="20" t="s">
        <v>19936</v>
      </c>
      <c r="N1783" s="44" t="s">
        <v>19937</v>
      </c>
      <c r="O1783" s="22">
        <v>101.0</v>
      </c>
      <c r="P1783" s="28">
        <v>54.0</v>
      </c>
      <c r="Q1783" s="28">
        <v>21.0</v>
      </c>
      <c r="R1783" s="84"/>
      <c r="S1783" s="84"/>
      <c r="T1783" s="84"/>
      <c r="U1783" s="84"/>
      <c r="V1783" s="84"/>
      <c r="W1783" s="84"/>
      <c r="X1783" s="84"/>
      <c r="Y1783" s="84"/>
      <c r="Z1783" s="84"/>
      <c r="AA1783" s="84"/>
    </row>
    <row r="1784" ht="15.75" customHeight="1">
      <c r="A1784" s="14" t="s">
        <v>17</v>
      </c>
      <c r="B1784" s="15" t="s">
        <v>19029</v>
      </c>
      <c r="C1784" s="14" t="s">
        <v>19938</v>
      </c>
      <c r="D1784" s="14" t="s">
        <v>19939</v>
      </c>
      <c r="E1784" s="26" t="str">
        <f t="shared" si="27"/>
        <v>http://dx.doi.org/10.1109/TVCG.2008.170</v>
      </c>
      <c r="F1784" s="14">
        <v>1571.0</v>
      </c>
      <c r="G1784" s="14">
        <v>1578.0</v>
      </c>
      <c r="H1784" s="14" t="s">
        <v>17059</v>
      </c>
      <c r="I1784" s="19" t="s">
        <v>19940</v>
      </c>
      <c r="J1784" s="19" t="s">
        <v>19941</v>
      </c>
      <c r="K1784" s="19" t="s">
        <v>19942</v>
      </c>
      <c r="L1784" s="19" t="s">
        <v>19943</v>
      </c>
      <c r="M1784" s="20" t="s">
        <v>19944</v>
      </c>
      <c r="N1784" s="44" t="s">
        <v>19945</v>
      </c>
      <c r="O1784" s="109"/>
      <c r="P1784" s="28">
        <v>21.0</v>
      </c>
      <c r="Q1784" s="28">
        <v>20.0</v>
      </c>
      <c r="R1784" s="84"/>
      <c r="S1784" s="84"/>
      <c r="T1784" s="84"/>
      <c r="U1784" s="84"/>
      <c r="V1784" s="84"/>
      <c r="W1784" s="84"/>
      <c r="X1784" s="84"/>
      <c r="Y1784" s="84"/>
      <c r="Z1784" s="84"/>
      <c r="AA1784" s="84"/>
    </row>
    <row r="1785" ht="15.75" customHeight="1">
      <c r="A1785" s="14" t="s">
        <v>17</v>
      </c>
      <c r="B1785" s="15" t="s">
        <v>19029</v>
      </c>
      <c r="C1785" s="14" t="s">
        <v>19947</v>
      </c>
      <c r="D1785" s="14" t="s">
        <v>19948</v>
      </c>
      <c r="E1785" s="26" t="str">
        <f t="shared" si="27"/>
        <v>http://dx.doi.org/10.1109/TVCG.2008.173</v>
      </c>
      <c r="F1785" s="14">
        <v>1444.0</v>
      </c>
      <c r="G1785" s="14">
        <v>1427.0</v>
      </c>
      <c r="H1785" s="14" t="s">
        <v>17059</v>
      </c>
      <c r="I1785" s="19" t="s">
        <v>19950</v>
      </c>
      <c r="J1785" s="19" t="s">
        <v>19951</v>
      </c>
      <c r="K1785" s="19" t="s">
        <v>19952</v>
      </c>
      <c r="L1785" s="18"/>
      <c r="M1785" s="20" t="s">
        <v>19953</v>
      </c>
      <c r="N1785" s="44" t="s">
        <v>19954</v>
      </c>
      <c r="O1785" s="22">
        <v>56.0</v>
      </c>
      <c r="P1785" s="28">
        <v>30.0</v>
      </c>
      <c r="Q1785" s="28">
        <v>29.0</v>
      </c>
      <c r="R1785" s="84"/>
      <c r="S1785" s="84"/>
      <c r="T1785" s="84"/>
      <c r="U1785" s="84"/>
      <c r="V1785" s="84"/>
      <c r="W1785" s="84"/>
      <c r="X1785" s="84"/>
      <c r="Y1785" s="84"/>
      <c r="Z1785" s="84"/>
      <c r="AA1785" s="84"/>
    </row>
    <row r="1786" ht="15.75" customHeight="1">
      <c r="A1786" s="14" t="s">
        <v>17</v>
      </c>
      <c r="B1786" s="15" t="s">
        <v>19029</v>
      </c>
      <c r="C1786" s="14" t="s">
        <v>19955</v>
      </c>
      <c r="D1786" s="14" t="s">
        <v>19956</v>
      </c>
      <c r="E1786" s="26" t="str">
        <f t="shared" si="27"/>
        <v>http://dx.doi.org/10.1109/TVCG.2008.174</v>
      </c>
      <c r="F1786" s="14">
        <v>1691.0</v>
      </c>
      <c r="G1786" s="14">
        <v>1698.0</v>
      </c>
      <c r="H1786" s="14" t="s">
        <v>17059</v>
      </c>
      <c r="I1786" s="19" t="s">
        <v>19957</v>
      </c>
      <c r="J1786" s="19" t="s">
        <v>19958</v>
      </c>
      <c r="K1786" s="19" t="s">
        <v>19959</v>
      </c>
      <c r="L1786" s="19" t="s">
        <v>19960</v>
      </c>
      <c r="M1786" s="20" t="s">
        <v>19961</v>
      </c>
      <c r="N1786" s="44" t="s">
        <v>19962</v>
      </c>
      <c r="O1786" s="22">
        <v>94.0</v>
      </c>
      <c r="P1786" s="28">
        <v>40.0</v>
      </c>
      <c r="Q1786" s="28">
        <v>39.0</v>
      </c>
      <c r="R1786" s="84"/>
      <c r="S1786" s="84"/>
      <c r="T1786" s="84"/>
      <c r="U1786" s="84"/>
      <c r="V1786" s="84"/>
      <c r="W1786" s="84"/>
      <c r="X1786" s="84"/>
      <c r="Y1786" s="84"/>
      <c r="Z1786" s="84"/>
      <c r="AA1786" s="84"/>
    </row>
    <row r="1787" ht="15.75" customHeight="1">
      <c r="A1787" s="14" t="s">
        <v>17</v>
      </c>
      <c r="B1787" s="15" t="s">
        <v>19029</v>
      </c>
      <c r="C1787" s="14" t="s">
        <v>19963</v>
      </c>
      <c r="D1787" s="14" t="s">
        <v>19964</v>
      </c>
      <c r="E1787" s="26" t="str">
        <f t="shared" si="27"/>
        <v>http://dx.doi.org/10.1109/TVCG.2008.176</v>
      </c>
      <c r="F1787" s="14">
        <v>1667.0</v>
      </c>
      <c r="G1787" s="14">
        <v>1674.0</v>
      </c>
      <c r="H1787" s="14" t="s">
        <v>17059</v>
      </c>
      <c r="I1787" s="19" t="s">
        <v>19965</v>
      </c>
      <c r="J1787" s="19" t="s">
        <v>19966</v>
      </c>
      <c r="K1787" s="19" t="s">
        <v>19967</v>
      </c>
      <c r="L1787" s="19" t="s">
        <v>19968</v>
      </c>
      <c r="M1787" s="20" t="s">
        <v>12326</v>
      </c>
      <c r="N1787" s="44" t="s">
        <v>19970</v>
      </c>
      <c r="O1787" s="22">
        <v>50.0</v>
      </c>
      <c r="P1787" s="28">
        <v>3.0</v>
      </c>
      <c r="Q1787" s="28">
        <v>21.0</v>
      </c>
      <c r="R1787" s="84"/>
      <c r="S1787" s="84"/>
      <c r="T1787" s="84"/>
      <c r="U1787" s="84"/>
      <c r="V1787" s="84"/>
      <c r="W1787" s="84"/>
      <c r="X1787" s="84"/>
      <c r="Y1787" s="84"/>
      <c r="Z1787" s="84"/>
      <c r="AA1787" s="84"/>
    </row>
    <row r="1788" ht="15.75" customHeight="1">
      <c r="A1788" s="14" t="s">
        <v>17</v>
      </c>
      <c r="B1788" s="15" t="s">
        <v>19029</v>
      </c>
      <c r="C1788" s="42" t="s">
        <v>19971</v>
      </c>
      <c r="D1788" s="14" t="s">
        <v>19972</v>
      </c>
      <c r="E1788" s="26" t="str">
        <f t="shared" si="27"/>
        <v>http://dx.doi.org/10.1109/TVCG.2008.177</v>
      </c>
      <c r="F1788" s="14">
        <v>1563.0</v>
      </c>
      <c r="G1788" s="14">
        <v>1570.0</v>
      </c>
      <c r="H1788" s="14" t="s">
        <v>17059</v>
      </c>
      <c r="I1788" s="19" t="s">
        <v>19974</v>
      </c>
      <c r="J1788" s="19" t="s">
        <v>19975</v>
      </c>
      <c r="K1788" s="19" t="s">
        <v>19975</v>
      </c>
      <c r="L1788" s="19" t="s">
        <v>19976</v>
      </c>
      <c r="M1788" s="20" t="s">
        <v>19977</v>
      </c>
      <c r="N1788" s="44" t="s">
        <v>19978</v>
      </c>
      <c r="O1788" s="22">
        <v>2.0</v>
      </c>
      <c r="P1788" s="28">
        <v>6.0</v>
      </c>
      <c r="Q1788" s="28">
        <v>27.0</v>
      </c>
      <c r="R1788" s="84"/>
      <c r="S1788" s="84"/>
      <c r="T1788" s="84"/>
      <c r="U1788" s="84"/>
      <c r="V1788" s="84"/>
      <c r="W1788" s="84"/>
      <c r="X1788" s="84"/>
      <c r="Y1788" s="84"/>
      <c r="Z1788" s="84"/>
      <c r="AA1788" s="84"/>
    </row>
    <row r="1789" ht="15.75" customHeight="1">
      <c r="A1789" s="14" t="s">
        <v>17</v>
      </c>
      <c r="B1789" s="15" t="s">
        <v>19029</v>
      </c>
      <c r="C1789" s="14" t="s">
        <v>19979</v>
      </c>
      <c r="D1789" s="14" t="s">
        <v>19980</v>
      </c>
      <c r="E1789" s="26" t="str">
        <f t="shared" si="27"/>
        <v>http://dx.doi.org/10.1109/TVCG.2008.179</v>
      </c>
      <c r="F1789" s="14">
        <v>1611.0</v>
      </c>
      <c r="G1789" s="14">
        <v>1618.0</v>
      </c>
      <c r="H1789" s="14" t="s">
        <v>17059</v>
      </c>
      <c r="I1789" s="19" t="s">
        <v>19981</v>
      </c>
      <c r="J1789" s="19" t="s">
        <v>19982</v>
      </c>
      <c r="K1789" s="19" t="s">
        <v>19983</v>
      </c>
      <c r="L1789" s="19" t="s">
        <v>19984</v>
      </c>
      <c r="M1789" s="20" t="s">
        <v>19985</v>
      </c>
      <c r="N1789" s="44" t="s">
        <v>19986</v>
      </c>
      <c r="O1789" s="22">
        <v>19.0</v>
      </c>
      <c r="P1789" s="28">
        <v>9.0</v>
      </c>
      <c r="Q1789" s="28">
        <v>35.0</v>
      </c>
      <c r="R1789" s="84"/>
      <c r="S1789" s="84"/>
      <c r="T1789" s="84"/>
      <c r="U1789" s="84"/>
      <c r="V1789" s="84"/>
      <c r="W1789" s="84"/>
      <c r="X1789" s="84"/>
      <c r="Y1789" s="84"/>
      <c r="Z1789" s="84"/>
      <c r="AA1789" s="84"/>
    </row>
    <row r="1790" ht="15.75" customHeight="1">
      <c r="A1790" s="14" t="s">
        <v>17</v>
      </c>
      <c r="B1790" s="15" t="s">
        <v>19029</v>
      </c>
      <c r="C1790" s="14" t="s">
        <v>19987</v>
      </c>
      <c r="D1790" s="14" t="s">
        <v>19989</v>
      </c>
      <c r="E1790" s="26" t="str">
        <f t="shared" si="27"/>
        <v>http://dx.doi.org/10.1109/TVCG.2008.180</v>
      </c>
      <c r="F1790" s="14">
        <v>1595.0</v>
      </c>
      <c r="G1790" s="14">
        <v>1602.0</v>
      </c>
      <c r="H1790" s="14" t="s">
        <v>17059</v>
      </c>
      <c r="I1790" s="19" t="s">
        <v>19991</v>
      </c>
      <c r="J1790" s="19" t="s">
        <v>19992</v>
      </c>
      <c r="K1790" s="19" t="s">
        <v>19993</v>
      </c>
      <c r="L1790" s="19" t="s">
        <v>19994</v>
      </c>
      <c r="M1790" s="20" t="s">
        <v>19996</v>
      </c>
      <c r="N1790" s="44" t="s">
        <v>19997</v>
      </c>
      <c r="O1790" s="22">
        <v>16.0</v>
      </c>
      <c r="P1790" s="28">
        <v>10.0</v>
      </c>
      <c r="Q1790" s="28">
        <v>21.0</v>
      </c>
      <c r="R1790" s="84"/>
      <c r="S1790" s="84"/>
      <c r="T1790" s="84"/>
      <c r="U1790" s="84"/>
      <c r="V1790" s="84"/>
      <c r="W1790" s="84"/>
      <c r="X1790" s="84"/>
      <c r="Y1790" s="84"/>
      <c r="Z1790" s="84"/>
      <c r="AA1790" s="84"/>
    </row>
    <row r="1791" ht="15.75" customHeight="1">
      <c r="A1791" s="14" t="s">
        <v>17</v>
      </c>
      <c r="B1791" s="15" t="s">
        <v>19029</v>
      </c>
      <c r="C1791" s="14" t="s">
        <v>19998</v>
      </c>
      <c r="D1791" s="14" t="s">
        <v>19999</v>
      </c>
      <c r="E1791" s="26" t="str">
        <f t="shared" si="27"/>
        <v>http://dx.doi.org/10.1109/TVCG.2008.182</v>
      </c>
      <c r="F1791" s="14">
        <v>1555.0</v>
      </c>
      <c r="G1791" s="14">
        <v>1562.0</v>
      </c>
      <c r="H1791" s="14" t="s">
        <v>17059</v>
      </c>
      <c r="I1791" s="19" t="s">
        <v>20000</v>
      </c>
      <c r="J1791" s="19" t="s">
        <v>20001</v>
      </c>
      <c r="K1791" s="19" t="s">
        <v>20002</v>
      </c>
      <c r="L1791" s="19" t="s">
        <v>20003</v>
      </c>
      <c r="M1791" s="20" t="s">
        <v>20004</v>
      </c>
      <c r="N1791" s="44" t="s">
        <v>20005</v>
      </c>
      <c r="O1791" s="22">
        <v>50.0</v>
      </c>
      <c r="P1791" s="28">
        <v>7.0</v>
      </c>
      <c r="Q1791" s="28">
        <v>54.0</v>
      </c>
      <c r="R1791" s="84"/>
      <c r="S1791" s="84"/>
      <c r="T1791" s="84"/>
      <c r="U1791" s="84"/>
      <c r="V1791" s="84"/>
      <c r="W1791" s="84"/>
      <c r="X1791" s="84"/>
      <c r="Y1791" s="84"/>
      <c r="Z1791" s="84"/>
      <c r="AA1791" s="84"/>
    </row>
    <row r="1792" ht="15.75" customHeight="1">
      <c r="A1792" s="14" t="s">
        <v>17</v>
      </c>
      <c r="B1792" s="15" t="s">
        <v>19029</v>
      </c>
      <c r="C1792" s="14" t="s">
        <v>20006</v>
      </c>
      <c r="D1792" s="14" t="s">
        <v>20007</v>
      </c>
      <c r="E1792" s="26" t="str">
        <f t="shared" si="27"/>
        <v>http://dx.doi.org/10.1109/TVCG.2008.183</v>
      </c>
      <c r="F1792" s="14">
        <v>1412.0</v>
      </c>
      <c r="G1792" s="14">
        <v>1427.0</v>
      </c>
      <c r="H1792" s="14" t="s">
        <v>17059</v>
      </c>
      <c r="I1792" s="19" t="s">
        <v>20008</v>
      </c>
      <c r="J1792" s="19" t="s">
        <v>20009</v>
      </c>
      <c r="K1792" s="19" t="s">
        <v>20010</v>
      </c>
      <c r="L1792" s="19" t="s">
        <v>20011</v>
      </c>
      <c r="M1792" s="20" t="s">
        <v>20012</v>
      </c>
      <c r="N1792" s="44" t="s">
        <v>20013</v>
      </c>
      <c r="O1792" s="22">
        <v>19.0</v>
      </c>
      <c r="P1792" s="28">
        <v>8.0</v>
      </c>
      <c r="Q1792" s="28">
        <v>30.0</v>
      </c>
      <c r="R1792" s="84"/>
      <c r="S1792" s="84"/>
      <c r="T1792" s="84"/>
      <c r="U1792" s="84"/>
      <c r="V1792" s="84"/>
      <c r="W1792" s="84"/>
      <c r="X1792" s="84"/>
      <c r="Y1792" s="84"/>
      <c r="Z1792" s="84"/>
      <c r="AA1792" s="84"/>
    </row>
    <row r="1793" ht="15.75" customHeight="1">
      <c r="A1793" s="14" t="s">
        <v>17</v>
      </c>
      <c r="B1793" s="15" t="s">
        <v>19029</v>
      </c>
      <c r="C1793" s="14" t="s">
        <v>20014</v>
      </c>
      <c r="D1793" s="14" t="s">
        <v>20015</v>
      </c>
      <c r="E1793" s="26" t="str">
        <f t="shared" si="27"/>
        <v>http://dx.doi.org/10.1109/TVCG.2008.184</v>
      </c>
      <c r="F1793" s="14">
        <v>1467.0</v>
      </c>
      <c r="G1793" s="14">
        <v>1474.0</v>
      </c>
      <c r="H1793" s="14" t="s">
        <v>17059</v>
      </c>
      <c r="I1793" s="19" t="s">
        <v>20016</v>
      </c>
      <c r="J1793" s="19" t="s">
        <v>20017</v>
      </c>
      <c r="K1793" s="19" t="s">
        <v>20018</v>
      </c>
      <c r="L1793" s="19" t="s">
        <v>20019</v>
      </c>
      <c r="M1793" s="20" t="s">
        <v>20020</v>
      </c>
      <c r="N1793" s="44" t="s">
        <v>20022</v>
      </c>
      <c r="O1793" s="22">
        <v>45.0</v>
      </c>
      <c r="P1793" s="28">
        <v>23.0</v>
      </c>
      <c r="Q1793" s="28">
        <v>8.0</v>
      </c>
      <c r="R1793" s="84"/>
      <c r="S1793" s="84"/>
      <c r="T1793" s="84"/>
      <c r="U1793" s="84"/>
      <c r="V1793" s="84"/>
      <c r="W1793" s="84"/>
      <c r="X1793" s="84"/>
      <c r="Y1793" s="84"/>
      <c r="Z1793" s="84"/>
      <c r="AA1793" s="84"/>
    </row>
    <row r="1794" ht="15.75" customHeight="1">
      <c r="A1794" s="14" t="s">
        <v>17</v>
      </c>
      <c r="B1794" s="15" t="s">
        <v>19029</v>
      </c>
      <c r="C1794" s="14" t="s">
        <v>20023</v>
      </c>
      <c r="D1794" s="14" t="s">
        <v>20024</v>
      </c>
      <c r="E1794" s="26" t="str">
        <f t="shared" si="27"/>
        <v>http://dx.doi.org/10.1109/TVCG.2008.186</v>
      </c>
      <c r="F1794" s="14">
        <v>1372.0</v>
      </c>
      <c r="G1794" s="14">
        <v>1379.0</v>
      </c>
      <c r="H1794" s="14" t="s">
        <v>17059</v>
      </c>
      <c r="I1794" s="19" t="s">
        <v>20026</v>
      </c>
      <c r="J1794" s="19" t="s">
        <v>20027</v>
      </c>
      <c r="K1794" s="19" t="s">
        <v>20028</v>
      </c>
      <c r="L1794" s="19" t="s">
        <v>20029</v>
      </c>
      <c r="M1794" s="20" t="s">
        <v>20030</v>
      </c>
      <c r="N1794" s="44" t="s">
        <v>20031</v>
      </c>
      <c r="O1794" s="22">
        <v>50.0</v>
      </c>
      <c r="P1794" s="28">
        <v>20.0</v>
      </c>
      <c r="Q1794" s="28">
        <v>51.0</v>
      </c>
      <c r="R1794" s="84"/>
      <c r="S1794" s="84"/>
      <c r="T1794" s="84"/>
      <c r="U1794" s="84"/>
      <c r="V1794" s="84"/>
      <c r="W1794" s="84"/>
      <c r="X1794" s="84"/>
      <c r="Y1794" s="84"/>
      <c r="Z1794" s="84"/>
      <c r="AA1794" s="84"/>
    </row>
    <row r="1795" ht="15.75" customHeight="1">
      <c r="A1795" s="14" t="s">
        <v>2137</v>
      </c>
      <c r="B1795" s="15" t="s">
        <v>20032</v>
      </c>
      <c r="C1795" s="14" t="s">
        <v>20033</v>
      </c>
      <c r="D1795" s="14" t="s">
        <v>20034</v>
      </c>
      <c r="E1795" s="26" t="str">
        <f t="shared" si="27"/>
        <v>http://dx.doi.org/10.1109/TVCG.2009.108</v>
      </c>
      <c r="F1795" s="14">
        <v>953.0</v>
      </c>
      <c r="G1795" s="14">
        <v>960.0</v>
      </c>
      <c r="H1795" s="14" t="s">
        <v>17059</v>
      </c>
      <c r="I1795" s="19" t="s">
        <v>20035</v>
      </c>
      <c r="J1795" s="19" t="s">
        <v>20036</v>
      </c>
      <c r="K1795" s="19" t="s">
        <v>20036</v>
      </c>
      <c r="L1795" s="19" t="s">
        <v>20037</v>
      </c>
      <c r="M1795" s="20" t="s">
        <v>20038</v>
      </c>
      <c r="N1795" s="44" t="s">
        <v>20039</v>
      </c>
      <c r="O1795" s="22">
        <v>169.0</v>
      </c>
      <c r="P1795" s="28">
        <v>64.0</v>
      </c>
      <c r="Q1795" s="28">
        <v>24.0</v>
      </c>
      <c r="R1795" s="84"/>
      <c r="S1795" s="84"/>
      <c r="T1795" s="84"/>
      <c r="U1795" s="84"/>
      <c r="V1795" s="84"/>
      <c r="W1795" s="84"/>
      <c r="X1795" s="84"/>
      <c r="Y1795" s="84"/>
      <c r="Z1795" s="84"/>
      <c r="AA1795" s="84"/>
    </row>
    <row r="1796" ht="15.75" customHeight="1">
      <c r="A1796" s="14" t="s">
        <v>2137</v>
      </c>
      <c r="B1796" s="15" t="s">
        <v>20032</v>
      </c>
      <c r="C1796" s="14" t="s">
        <v>20040</v>
      </c>
      <c r="D1796" s="14" t="s">
        <v>20041</v>
      </c>
      <c r="E1796" s="26" t="str">
        <f t="shared" si="27"/>
        <v>http://dx.doi.org/10.1109/TVCG.2009.109</v>
      </c>
      <c r="F1796" s="14">
        <v>961.0</v>
      </c>
      <c r="G1796" s="14">
        <v>968.0</v>
      </c>
      <c r="H1796" s="14" t="s">
        <v>17059</v>
      </c>
      <c r="I1796" s="19" t="s">
        <v>20042</v>
      </c>
      <c r="J1796" s="19" t="s">
        <v>20043</v>
      </c>
      <c r="K1796" s="19" t="s">
        <v>20044</v>
      </c>
      <c r="L1796" s="19" t="s">
        <v>20045</v>
      </c>
      <c r="M1796" s="20" t="s">
        <v>19181</v>
      </c>
      <c r="N1796" s="44" t="s">
        <v>20047</v>
      </c>
      <c r="O1796" s="22">
        <v>80.0</v>
      </c>
      <c r="P1796" s="28">
        <v>35.0</v>
      </c>
      <c r="Q1796" s="28">
        <v>19.0</v>
      </c>
      <c r="R1796" s="84"/>
      <c r="S1796" s="84"/>
      <c r="T1796" s="84"/>
      <c r="U1796" s="84"/>
      <c r="V1796" s="84"/>
      <c r="W1796" s="84"/>
      <c r="X1796" s="84"/>
      <c r="Y1796" s="84"/>
      <c r="Z1796" s="84"/>
      <c r="AA1796" s="84"/>
    </row>
    <row r="1797" ht="15.75" customHeight="1">
      <c r="A1797" s="14" t="s">
        <v>2137</v>
      </c>
      <c r="B1797" s="15" t="s">
        <v>20032</v>
      </c>
      <c r="C1797" s="14" t="s">
        <v>20048</v>
      </c>
      <c r="D1797" s="14" t="s">
        <v>20049</v>
      </c>
      <c r="E1797" s="26" t="str">
        <f t="shared" si="27"/>
        <v>http://dx.doi.org/10.1109/TVCG.2009.110</v>
      </c>
      <c r="F1797" s="14">
        <v>1113.0</v>
      </c>
      <c r="G1797" s="14">
        <v>1120.0</v>
      </c>
      <c r="H1797" s="14" t="s">
        <v>17059</v>
      </c>
      <c r="I1797" s="19" t="s">
        <v>20051</v>
      </c>
      <c r="J1797" s="19" t="s">
        <v>20052</v>
      </c>
      <c r="K1797" s="19" t="s">
        <v>20052</v>
      </c>
      <c r="L1797" s="19" t="s">
        <v>20053</v>
      </c>
      <c r="M1797" s="20" t="s">
        <v>20054</v>
      </c>
      <c r="N1797" s="44" t="s">
        <v>20055</v>
      </c>
      <c r="O1797" s="22">
        <v>53.0</v>
      </c>
      <c r="P1797" s="28">
        <v>27.0</v>
      </c>
      <c r="Q1797" s="28">
        <v>37.0</v>
      </c>
      <c r="R1797" s="84"/>
      <c r="S1797" s="84"/>
      <c r="T1797" s="84"/>
      <c r="U1797" s="84"/>
      <c r="V1797" s="84"/>
      <c r="W1797" s="84"/>
      <c r="X1797" s="84"/>
      <c r="Y1797" s="84"/>
      <c r="Z1797" s="84"/>
      <c r="AA1797" s="84"/>
    </row>
    <row r="1798" ht="15.75" customHeight="1">
      <c r="A1798" s="14" t="s">
        <v>2137</v>
      </c>
      <c r="B1798" s="15" t="s">
        <v>20032</v>
      </c>
      <c r="C1798" s="14" t="s">
        <v>20057</v>
      </c>
      <c r="D1798" s="14" t="s">
        <v>20058</v>
      </c>
      <c r="E1798" s="26" t="str">
        <f t="shared" si="27"/>
        <v>http://dx.doi.org/10.1109/TVCG.2009.111</v>
      </c>
      <c r="F1798" s="14">
        <v>921.0</v>
      </c>
      <c r="G1798" s="14">
        <v>928.0</v>
      </c>
      <c r="H1798" s="14" t="s">
        <v>17059</v>
      </c>
      <c r="I1798" s="19" t="s">
        <v>20060</v>
      </c>
      <c r="J1798" s="19" t="s">
        <v>3299</v>
      </c>
      <c r="K1798" s="19" t="s">
        <v>3299</v>
      </c>
      <c r="L1798" s="19" t="s">
        <v>15408</v>
      </c>
      <c r="M1798" s="20" t="s">
        <v>20061</v>
      </c>
      <c r="N1798" s="44" t="s">
        <v>20062</v>
      </c>
      <c r="O1798" s="109"/>
      <c r="P1798" s="28">
        <v>200.0</v>
      </c>
      <c r="Q1798" s="28">
        <v>53.0</v>
      </c>
      <c r="R1798" s="84"/>
      <c r="S1798" s="84"/>
      <c r="T1798" s="84"/>
      <c r="U1798" s="84"/>
      <c r="V1798" s="84"/>
      <c r="W1798" s="84"/>
      <c r="X1798" s="84"/>
      <c r="Y1798" s="84"/>
      <c r="Z1798" s="84"/>
      <c r="AA1798" s="84"/>
    </row>
    <row r="1799" ht="15.75" customHeight="1">
      <c r="A1799" s="14" t="s">
        <v>2137</v>
      </c>
      <c r="B1799" s="15" t="s">
        <v>20032</v>
      </c>
      <c r="C1799" s="14" t="s">
        <v>20063</v>
      </c>
      <c r="D1799" s="14" t="s">
        <v>20064</v>
      </c>
      <c r="E1799" s="26" t="str">
        <f t="shared" si="27"/>
        <v>http://dx.doi.org/10.1109/TVCG.2009.116</v>
      </c>
      <c r="F1799" s="14">
        <v>881.0</v>
      </c>
      <c r="G1799" s="14">
        <v>888.0</v>
      </c>
      <c r="H1799" s="14" t="s">
        <v>17059</v>
      </c>
      <c r="I1799" s="19" t="s">
        <v>20066</v>
      </c>
      <c r="J1799" s="19" t="s">
        <v>20067</v>
      </c>
      <c r="K1799" s="19" t="s">
        <v>20068</v>
      </c>
      <c r="L1799" s="19" t="s">
        <v>20069</v>
      </c>
      <c r="M1799" s="20" t="s">
        <v>17268</v>
      </c>
      <c r="N1799" s="44" t="s">
        <v>20070</v>
      </c>
      <c r="O1799" s="22">
        <v>54.0</v>
      </c>
      <c r="P1799" s="28">
        <v>26.0</v>
      </c>
      <c r="Q1799" s="28">
        <v>25.0</v>
      </c>
      <c r="R1799" s="85" t="s">
        <v>106</v>
      </c>
      <c r="S1799" s="84"/>
      <c r="T1799" s="84"/>
      <c r="U1799" s="84"/>
      <c r="V1799" s="84"/>
      <c r="W1799" s="84"/>
      <c r="X1799" s="84"/>
      <c r="Y1799" s="84"/>
      <c r="Z1799" s="84"/>
      <c r="AA1799" s="84"/>
    </row>
    <row r="1800" ht="15.75" customHeight="1">
      <c r="A1800" s="14" t="s">
        <v>2137</v>
      </c>
      <c r="B1800" s="15" t="s">
        <v>20032</v>
      </c>
      <c r="C1800" s="14" t="s">
        <v>20072</v>
      </c>
      <c r="D1800" s="14" t="s">
        <v>20073</v>
      </c>
      <c r="E1800" s="26" t="str">
        <f t="shared" si="27"/>
        <v>http://dx.doi.org/10.1109/TVCG.2009.117</v>
      </c>
      <c r="F1800" s="14">
        <v>945.0</v>
      </c>
      <c r="G1800" s="14">
        <v>952.0</v>
      </c>
      <c r="H1800" s="14" t="s">
        <v>17059</v>
      </c>
      <c r="I1800" s="19" t="s">
        <v>20074</v>
      </c>
      <c r="J1800" s="19" t="s">
        <v>20075</v>
      </c>
      <c r="K1800" s="19" t="s">
        <v>20076</v>
      </c>
      <c r="L1800" s="19" t="s">
        <v>20077</v>
      </c>
      <c r="M1800" s="20" t="s">
        <v>20078</v>
      </c>
      <c r="N1800" s="44" t="s">
        <v>20079</v>
      </c>
      <c r="O1800" s="22">
        <v>60.0</v>
      </c>
      <c r="P1800" s="28">
        <v>35.0</v>
      </c>
      <c r="Q1800" s="28">
        <v>27.0</v>
      </c>
      <c r="R1800" s="84"/>
      <c r="S1800" s="84"/>
      <c r="T1800" s="84"/>
      <c r="U1800" s="84"/>
      <c r="V1800" s="84"/>
      <c r="W1800" s="84"/>
      <c r="X1800" s="84"/>
      <c r="Y1800" s="84"/>
      <c r="Z1800" s="84"/>
      <c r="AA1800" s="84"/>
    </row>
    <row r="1801" ht="15.75" customHeight="1">
      <c r="A1801" s="14" t="s">
        <v>2137</v>
      </c>
      <c r="B1801" s="15" t="s">
        <v>20032</v>
      </c>
      <c r="C1801" s="14" t="s">
        <v>20080</v>
      </c>
      <c r="D1801" s="14" t="s">
        <v>20081</v>
      </c>
      <c r="E1801" s="26" t="str">
        <f t="shared" si="27"/>
        <v>http://dx.doi.org/10.1109/TVCG.2009.122</v>
      </c>
      <c r="F1801" s="14">
        <v>1009.0</v>
      </c>
      <c r="G1801" s="14">
        <v>1016.0</v>
      </c>
      <c r="H1801" s="14" t="s">
        <v>17059</v>
      </c>
      <c r="I1801" s="19" t="s">
        <v>20082</v>
      </c>
      <c r="J1801" s="19" t="s">
        <v>20083</v>
      </c>
      <c r="K1801" s="19" t="s">
        <v>20083</v>
      </c>
      <c r="L1801" s="19" t="s">
        <v>20084</v>
      </c>
      <c r="M1801" s="20" t="s">
        <v>20085</v>
      </c>
      <c r="N1801" s="44" t="s">
        <v>20086</v>
      </c>
      <c r="O1801" s="22">
        <v>207.0</v>
      </c>
      <c r="P1801" s="28">
        <v>114.0</v>
      </c>
      <c r="Q1801" s="28">
        <v>23.0</v>
      </c>
      <c r="R1801" s="84"/>
      <c r="S1801" s="84"/>
      <c r="T1801" s="84"/>
      <c r="U1801" s="84"/>
      <c r="V1801" s="84"/>
      <c r="W1801" s="84"/>
      <c r="X1801" s="84"/>
      <c r="Y1801" s="84"/>
      <c r="Z1801" s="84"/>
      <c r="AA1801" s="84"/>
    </row>
    <row r="1802" ht="15.75" customHeight="1">
      <c r="A1802" s="14" t="s">
        <v>2137</v>
      </c>
      <c r="B1802" s="15" t="s">
        <v>20032</v>
      </c>
      <c r="C1802" s="14" t="s">
        <v>20088</v>
      </c>
      <c r="D1802" s="14" t="s">
        <v>20089</v>
      </c>
      <c r="E1802" s="26" t="str">
        <f t="shared" si="27"/>
        <v>http://dx.doi.org/10.1109/TVCG.2009.123</v>
      </c>
      <c r="F1802" s="14">
        <v>1097.0</v>
      </c>
      <c r="G1802" s="14">
        <v>1104.0</v>
      </c>
      <c r="H1802" s="14" t="s">
        <v>17059</v>
      </c>
      <c r="I1802" s="19" t="s">
        <v>20091</v>
      </c>
      <c r="J1802" s="19" t="s">
        <v>20092</v>
      </c>
      <c r="K1802" s="19" t="s">
        <v>20092</v>
      </c>
      <c r="L1802" s="19" t="s">
        <v>19192</v>
      </c>
      <c r="M1802" s="20" t="s">
        <v>20093</v>
      </c>
      <c r="N1802" s="44" t="s">
        <v>20094</v>
      </c>
      <c r="O1802" s="22">
        <v>86.0</v>
      </c>
      <c r="P1802" s="28">
        <v>33.0</v>
      </c>
      <c r="Q1802" s="28">
        <v>32.0</v>
      </c>
      <c r="R1802" s="84"/>
      <c r="S1802" s="84"/>
      <c r="T1802" s="84"/>
      <c r="U1802" s="84"/>
      <c r="V1802" s="84"/>
      <c r="W1802" s="84"/>
      <c r="X1802" s="84"/>
      <c r="Y1802" s="84"/>
      <c r="Z1802" s="84"/>
      <c r="AA1802" s="84"/>
    </row>
    <row r="1803" ht="15.75" customHeight="1">
      <c r="A1803" s="14" t="s">
        <v>2137</v>
      </c>
      <c r="B1803" s="15" t="s">
        <v>20032</v>
      </c>
      <c r="C1803" s="14" t="s">
        <v>20095</v>
      </c>
      <c r="D1803" s="14" t="s">
        <v>20096</v>
      </c>
      <c r="E1803" s="26" t="str">
        <f t="shared" si="27"/>
        <v>http://dx.doi.org/10.1109/TVCG.2009.127</v>
      </c>
      <c r="F1803" s="14">
        <v>1033.0</v>
      </c>
      <c r="G1803" s="14">
        <v>1040.0</v>
      </c>
      <c r="H1803" s="14" t="s">
        <v>17059</v>
      </c>
      <c r="I1803" s="19" t="s">
        <v>20097</v>
      </c>
      <c r="J1803" s="19" t="s">
        <v>20098</v>
      </c>
      <c r="K1803" s="19" t="s">
        <v>20098</v>
      </c>
      <c r="L1803" s="19" t="s">
        <v>20099</v>
      </c>
      <c r="M1803" s="20" t="s">
        <v>20100</v>
      </c>
      <c r="N1803" s="44" t="s">
        <v>20101</v>
      </c>
      <c r="O1803" s="22">
        <v>50.0</v>
      </c>
      <c r="P1803" s="28">
        <v>15.0</v>
      </c>
      <c r="Q1803" s="28">
        <v>31.0</v>
      </c>
      <c r="R1803" s="84"/>
      <c r="S1803" s="84"/>
      <c r="T1803" s="84"/>
      <c r="U1803" s="84"/>
      <c r="V1803" s="84"/>
      <c r="W1803" s="84"/>
      <c r="X1803" s="84"/>
      <c r="Y1803" s="84"/>
      <c r="Z1803" s="84"/>
      <c r="AA1803" s="84"/>
    </row>
    <row r="1804" ht="15.75" customHeight="1">
      <c r="A1804" s="14" t="s">
        <v>2137</v>
      </c>
      <c r="B1804" s="15" t="s">
        <v>20032</v>
      </c>
      <c r="C1804" s="14" t="s">
        <v>20103</v>
      </c>
      <c r="D1804" s="14" t="s">
        <v>20104</v>
      </c>
      <c r="E1804" s="26" t="str">
        <f t="shared" si="27"/>
        <v>http://dx.doi.org/10.1109/TVCG.2009.128</v>
      </c>
      <c r="F1804" s="14">
        <v>977.0</v>
      </c>
      <c r="G1804" s="14">
        <v>984.0</v>
      </c>
      <c r="H1804" s="14" t="s">
        <v>17059</v>
      </c>
      <c r="I1804" s="19" t="s">
        <v>20106</v>
      </c>
      <c r="J1804" s="19" t="s">
        <v>20107</v>
      </c>
      <c r="K1804" s="19" t="s">
        <v>20107</v>
      </c>
      <c r="L1804" s="19" t="s">
        <v>20108</v>
      </c>
      <c r="M1804" s="20" t="s">
        <v>20109</v>
      </c>
      <c r="N1804" s="44" t="s">
        <v>20110</v>
      </c>
      <c r="O1804" s="22">
        <v>77.0</v>
      </c>
      <c r="P1804" s="28">
        <v>42.0</v>
      </c>
      <c r="Q1804" s="28">
        <v>38.0</v>
      </c>
      <c r="R1804" s="85" t="s">
        <v>19037</v>
      </c>
      <c r="S1804" s="84"/>
      <c r="T1804" s="84"/>
      <c r="U1804" s="84"/>
      <c r="V1804" s="84"/>
      <c r="W1804" s="84"/>
      <c r="X1804" s="84"/>
      <c r="Y1804" s="84"/>
      <c r="Z1804" s="84"/>
      <c r="AA1804" s="84"/>
    </row>
    <row r="1805" ht="15.75" customHeight="1">
      <c r="A1805" s="14" t="s">
        <v>2137</v>
      </c>
      <c r="B1805" s="15" t="s">
        <v>20032</v>
      </c>
      <c r="C1805" s="14" t="s">
        <v>20111</v>
      </c>
      <c r="D1805" s="14" t="s">
        <v>20112</v>
      </c>
      <c r="E1805" s="26" t="str">
        <f t="shared" si="27"/>
        <v>http://dx.doi.org/10.1109/TVCG.2009.129</v>
      </c>
      <c r="F1805" s="14">
        <v>929.0</v>
      </c>
      <c r="G1805" s="14">
        <v>936.0</v>
      </c>
      <c r="H1805" s="14" t="s">
        <v>17059</v>
      </c>
      <c r="I1805" s="19" t="s">
        <v>20113</v>
      </c>
      <c r="J1805" s="19" t="s">
        <v>14085</v>
      </c>
      <c r="K1805" s="19" t="s">
        <v>14085</v>
      </c>
      <c r="L1805" s="19" t="s">
        <v>20114</v>
      </c>
      <c r="M1805" s="20" t="s">
        <v>20115</v>
      </c>
      <c r="N1805" s="44" t="s">
        <v>20116</v>
      </c>
      <c r="O1805" s="22">
        <v>50.0</v>
      </c>
      <c r="P1805" s="28">
        <v>5.0</v>
      </c>
      <c r="Q1805" s="28">
        <v>26.0</v>
      </c>
      <c r="R1805" s="84"/>
      <c r="S1805" s="84"/>
      <c r="T1805" s="84"/>
      <c r="U1805" s="84"/>
      <c r="V1805" s="84"/>
      <c r="W1805" s="84"/>
      <c r="X1805" s="84"/>
      <c r="Y1805" s="84"/>
      <c r="Z1805" s="84"/>
      <c r="AA1805" s="84"/>
    </row>
    <row r="1806" ht="15.75" customHeight="1">
      <c r="A1806" s="14" t="s">
        <v>2137</v>
      </c>
      <c r="B1806" s="15" t="s">
        <v>20032</v>
      </c>
      <c r="C1806" s="14" t="s">
        <v>20117</v>
      </c>
      <c r="D1806" s="14" t="s">
        <v>20118</v>
      </c>
      <c r="E1806" s="26" t="str">
        <f t="shared" si="27"/>
        <v>http://dx.doi.org/10.1109/TVCG.2009.130</v>
      </c>
      <c r="F1806" s="14">
        <v>889.0</v>
      </c>
      <c r="G1806" s="14">
        <v>896.0</v>
      </c>
      <c r="H1806" s="14" t="s">
        <v>17059</v>
      </c>
      <c r="I1806" s="19" t="s">
        <v>20119</v>
      </c>
      <c r="J1806" s="19" t="s">
        <v>20120</v>
      </c>
      <c r="K1806" s="19" t="s">
        <v>20121</v>
      </c>
      <c r="L1806" s="19" t="s">
        <v>20123</v>
      </c>
      <c r="M1806" s="20" t="s">
        <v>20124</v>
      </c>
      <c r="N1806" s="44" t="s">
        <v>20125</v>
      </c>
      <c r="O1806" s="22">
        <v>33.0</v>
      </c>
      <c r="P1806" s="28">
        <v>10.0</v>
      </c>
      <c r="Q1806" s="28">
        <v>28.0</v>
      </c>
      <c r="R1806" s="84"/>
      <c r="S1806" s="84"/>
      <c r="T1806" s="84"/>
      <c r="U1806" s="84"/>
      <c r="V1806" s="84"/>
      <c r="W1806" s="84"/>
      <c r="X1806" s="84"/>
      <c r="Y1806" s="84"/>
      <c r="Z1806" s="84"/>
      <c r="AA1806" s="84"/>
    </row>
    <row r="1807" ht="15.75" customHeight="1">
      <c r="A1807" s="14" t="s">
        <v>2137</v>
      </c>
      <c r="B1807" s="15" t="s">
        <v>20032</v>
      </c>
      <c r="C1807" s="14" t="s">
        <v>20127</v>
      </c>
      <c r="D1807" s="14" t="s">
        <v>20128</v>
      </c>
      <c r="E1807" s="26" t="str">
        <f t="shared" si="27"/>
        <v>http://dx.doi.org/10.1109/TVCG.2009.139</v>
      </c>
      <c r="F1807" s="14">
        <v>1145.0</v>
      </c>
      <c r="G1807" s="14">
        <v>1152.0</v>
      </c>
      <c r="H1807" s="14" t="s">
        <v>17059</v>
      </c>
      <c r="I1807" s="19" t="s">
        <v>20129</v>
      </c>
      <c r="J1807" s="19" t="s">
        <v>20130</v>
      </c>
      <c r="K1807" s="19" t="s">
        <v>20130</v>
      </c>
      <c r="L1807" s="19" t="s">
        <v>20131</v>
      </c>
      <c r="M1807" s="20"/>
      <c r="N1807" s="44" t="s">
        <v>20132</v>
      </c>
      <c r="O1807" s="22">
        <v>83.0</v>
      </c>
      <c r="P1807" s="28">
        <v>33.0</v>
      </c>
      <c r="Q1807" s="28">
        <v>37.0</v>
      </c>
      <c r="R1807" s="84"/>
      <c r="S1807" s="84"/>
      <c r="T1807" s="84"/>
      <c r="U1807" s="84"/>
      <c r="V1807" s="84"/>
      <c r="W1807" s="84"/>
      <c r="X1807" s="84"/>
      <c r="Y1807" s="84"/>
      <c r="Z1807" s="84"/>
      <c r="AA1807" s="84"/>
    </row>
    <row r="1808" ht="15.75" customHeight="1">
      <c r="A1808" s="14" t="s">
        <v>2137</v>
      </c>
      <c r="B1808" s="15" t="s">
        <v>20032</v>
      </c>
      <c r="C1808" s="14" t="s">
        <v>20133</v>
      </c>
      <c r="D1808" s="14" t="s">
        <v>20134</v>
      </c>
      <c r="E1808" s="26" t="str">
        <f t="shared" si="27"/>
        <v>http://dx.doi.org/10.1109/TVCG.2009.140</v>
      </c>
      <c r="F1808" s="14">
        <v>1161.0</v>
      </c>
      <c r="G1808" s="14">
        <v>1168.0</v>
      </c>
      <c r="H1808" s="14" t="s">
        <v>17059</v>
      </c>
      <c r="I1808" s="19" t="s">
        <v>20135</v>
      </c>
      <c r="J1808" s="19" t="s">
        <v>20136</v>
      </c>
      <c r="K1808" s="19" t="s">
        <v>20136</v>
      </c>
      <c r="L1808" s="19" t="s">
        <v>20137</v>
      </c>
      <c r="M1808" s="20" t="s">
        <v>20138</v>
      </c>
      <c r="N1808" s="44" t="s">
        <v>20139</v>
      </c>
      <c r="O1808" s="22">
        <v>58.0</v>
      </c>
      <c r="P1808" s="28">
        <v>27.0</v>
      </c>
      <c r="Q1808" s="28">
        <v>24.0</v>
      </c>
      <c r="R1808" s="84"/>
      <c r="S1808" s="84"/>
      <c r="T1808" s="84"/>
      <c r="U1808" s="84"/>
      <c r="V1808" s="84"/>
      <c r="W1808" s="84"/>
      <c r="X1808" s="84"/>
      <c r="Y1808" s="84"/>
      <c r="Z1808" s="84"/>
      <c r="AA1808" s="84"/>
    </row>
    <row r="1809" ht="15.75" customHeight="1">
      <c r="A1809" s="14" t="s">
        <v>2137</v>
      </c>
      <c r="B1809" s="15" t="s">
        <v>20032</v>
      </c>
      <c r="C1809" s="14" t="s">
        <v>20142</v>
      </c>
      <c r="D1809" s="14" t="s">
        <v>20143</v>
      </c>
      <c r="E1809" s="26" t="str">
        <f t="shared" si="27"/>
        <v>http://dx.doi.org/10.1109/TVCG.2009.143</v>
      </c>
      <c r="F1809" s="14">
        <v>1041.0</v>
      </c>
      <c r="G1809" s="14">
        <v>1048.0</v>
      </c>
      <c r="H1809" s="14" t="s">
        <v>17059</v>
      </c>
      <c r="I1809" s="19" t="s">
        <v>20144</v>
      </c>
      <c r="J1809" s="19" t="s">
        <v>7228</v>
      </c>
      <c r="K1809" s="19" t="s">
        <v>7228</v>
      </c>
      <c r="L1809" s="19" t="s">
        <v>20145</v>
      </c>
      <c r="M1809" s="20" t="s">
        <v>20146</v>
      </c>
      <c r="N1809" s="44" t="s">
        <v>20147</v>
      </c>
      <c r="O1809" s="22">
        <v>46.0</v>
      </c>
      <c r="P1809" s="28">
        <v>98.0</v>
      </c>
      <c r="Q1809" s="28">
        <v>43.0</v>
      </c>
      <c r="R1809" s="84"/>
      <c r="S1809" s="84"/>
      <c r="T1809" s="84"/>
      <c r="U1809" s="84"/>
      <c r="V1809" s="84"/>
      <c r="W1809" s="84"/>
      <c r="X1809" s="84"/>
      <c r="Y1809" s="84"/>
      <c r="Z1809" s="84"/>
      <c r="AA1809" s="84"/>
    </row>
    <row r="1810" ht="15.75" customHeight="1">
      <c r="A1810" s="14" t="s">
        <v>2137</v>
      </c>
      <c r="B1810" s="15" t="s">
        <v>20032</v>
      </c>
      <c r="C1810" s="14" t="s">
        <v>20149</v>
      </c>
      <c r="D1810" s="14" t="s">
        <v>20150</v>
      </c>
      <c r="E1810" s="26" t="str">
        <f t="shared" si="27"/>
        <v>http://dx.doi.org/10.1109/TVCG.2009.145</v>
      </c>
      <c r="F1810" s="14">
        <v>1017.0</v>
      </c>
      <c r="G1810" s="14">
        <v>1024.0</v>
      </c>
      <c r="H1810" s="14" t="s">
        <v>17059</v>
      </c>
      <c r="I1810" s="19" t="s">
        <v>20151</v>
      </c>
      <c r="J1810" s="19" t="s">
        <v>20152</v>
      </c>
      <c r="K1810" s="19" t="s">
        <v>20152</v>
      </c>
      <c r="L1810" s="19" t="s">
        <v>20153</v>
      </c>
      <c r="M1810" s="20" t="s">
        <v>20154</v>
      </c>
      <c r="N1810" s="44" t="s">
        <v>20155</v>
      </c>
      <c r="O1810" s="22">
        <v>155.0</v>
      </c>
      <c r="P1810" s="28">
        <v>58.0</v>
      </c>
      <c r="Q1810" s="28">
        <v>20.0</v>
      </c>
      <c r="R1810" s="84"/>
      <c r="S1810" s="84"/>
      <c r="T1810" s="84"/>
      <c r="U1810" s="84"/>
      <c r="V1810" s="84"/>
      <c r="W1810" s="84"/>
      <c r="X1810" s="84"/>
      <c r="Y1810" s="84"/>
      <c r="Z1810" s="84"/>
      <c r="AA1810" s="84"/>
    </row>
    <row r="1811" ht="15.75" customHeight="1">
      <c r="A1811" s="14" t="s">
        <v>2137</v>
      </c>
      <c r="B1811" s="15" t="s">
        <v>20032</v>
      </c>
      <c r="C1811" s="14" t="s">
        <v>20159</v>
      </c>
      <c r="D1811" s="14" t="s">
        <v>20160</v>
      </c>
      <c r="E1811" s="26" t="str">
        <f t="shared" si="27"/>
        <v>http://dx.doi.org/10.1109/TVCG.2009.146</v>
      </c>
      <c r="F1811" s="14">
        <v>905.0</v>
      </c>
      <c r="G1811" s="14">
        <v>912.0</v>
      </c>
      <c r="H1811" s="14" t="s">
        <v>17059</v>
      </c>
      <c r="I1811" s="19" t="s">
        <v>20161</v>
      </c>
      <c r="J1811" s="19" t="s">
        <v>20162</v>
      </c>
      <c r="K1811" s="19" t="s">
        <v>20163</v>
      </c>
      <c r="L1811" s="19" t="s">
        <v>20165</v>
      </c>
      <c r="M1811" s="20"/>
      <c r="N1811" s="44" t="s">
        <v>20166</v>
      </c>
      <c r="O1811" s="22">
        <v>50.0</v>
      </c>
      <c r="P1811" s="28">
        <v>8.0</v>
      </c>
      <c r="Q1811" s="28">
        <v>26.0</v>
      </c>
      <c r="R1811" s="84"/>
      <c r="S1811" s="84"/>
      <c r="T1811" s="84"/>
      <c r="U1811" s="84"/>
      <c r="V1811" s="84"/>
      <c r="W1811" s="84"/>
      <c r="X1811" s="84"/>
      <c r="Y1811" s="84"/>
      <c r="Z1811" s="84"/>
      <c r="AA1811" s="84"/>
    </row>
    <row r="1812" ht="15.75" customHeight="1">
      <c r="A1812" s="14" t="s">
        <v>2137</v>
      </c>
      <c r="B1812" s="15" t="s">
        <v>20032</v>
      </c>
      <c r="C1812" s="14" t="s">
        <v>20168</v>
      </c>
      <c r="D1812" s="14" t="s">
        <v>20169</v>
      </c>
      <c r="E1812" s="26" t="str">
        <f t="shared" si="27"/>
        <v>http://dx.doi.org/10.1109/TVCG.2009.148</v>
      </c>
      <c r="F1812" s="14">
        <v>1081.0</v>
      </c>
      <c r="G1812" s="14">
        <v>1088.0</v>
      </c>
      <c r="H1812" s="14" t="s">
        <v>17059</v>
      </c>
      <c r="I1812" s="19" t="s">
        <v>20170</v>
      </c>
      <c r="J1812" s="19" t="s">
        <v>20171</v>
      </c>
      <c r="K1812" s="19" t="s">
        <v>20171</v>
      </c>
      <c r="L1812" s="19" t="s">
        <v>20172</v>
      </c>
      <c r="M1812" s="20" t="s">
        <v>20173</v>
      </c>
      <c r="N1812" s="44" t="s">
        <v>20174</v>
      </c>
      <c r="O1812" s="22">
        <v>50.0</v>
      </c>
      <c r="P1812" s="28">
        <v>8.0</v>
      </c>
      <c r="Q1812" s="28">
        <v>26.0</v>
      </c>
      <c r="R1812" s="84"/>
      <c r="S1812" s="84"/>
      <c r="T1812" s="84"/>
      <c r="U1812" s="84"/>
      <c r="V1812" s="84"/>
      <c r="W1812" s="84"/>
      <c r="X1812" s="84"/>
      <c r="Y1812" s="84"/>
      <c r="Z1812" s="84"/>
      <c r="AA1812" s="84"/>
    </row>
    <row r="1813" ht="15.75" customHeight="1">
      <c r="A1813" s="14" t="s">
        <v>2137</v>
      </c>
      <c r="B1813" s="15" t="s">
        <v>20032</v>
      </c>
      <c r="C1813" s="14" t="s">
        <v>20175</v>
      </c>
      <c r="D1813" s="14" t="s">
        <v>20176</v>
      </c>
      <c r="E1813" s="26" t="str">
        <f t="shared" si="27"/>
        <v>http://dx.doi.org/10.1109/TVCG.2009.151</v>
      </c>
      <c r="F1813" s="14">
        <v>937.0</v>
      </c>
      <c r="G1813" s="14">
        <v>944.0</v>
      </c>
      <c r="H1813" s="14" t="s">
        <v>17059</v>
      </c>
      <c r="I1813" s="19" t="s">
        <v>20177</v>
      </c>
      <c r="J1813" s="19" t="s">
        <v>20178</v>
      </c>
      <c r="K1813" s="19" t="s">
        <v>20178</v>
      </c>
      <c r="L1813" s="19" t="s">
        <v>20180</v>
      </c>
      <c r="M1813" s="20" t="s">
        <v>20181</v>
      </c>
      <c r="N1813" s="44" t="s">
        <v>20182</v>
      </c>
      <c r="O1813" s="22">
        <v>66.0</v>
      </c>
      <c r="P1813" s="28">
        <v>33.0</v>
      </c>
      <c r="Q1813" s="28">
        <v>19.0</v>
      </c>
      <c r="R1813" s="85" t="s">
        <v>19037</v>
      </c>
      <c r="S1813" s="84"/>
      <c r="T1813" s="84"/>
      <c r="U1813" s="84"/>
      <c r="V1813" s="84"/>
      <c r="W1813" s="84"/>
      <c r="X1813" s="84"/>
      <c r="Y1813" s="84"/>
      <c r="Z1813" s="84"/>
      <c r="AA1813" s="84"/>
    </row>
    <row r="1814" ht="15.75" customHeight="1">
      <c r="A1814" s="14" t="s">
        <v>2137</v>
      </c>
      <c r="B1814" s="15" t="s">
        <v>20032</v>
      </c>
      <c r="C1814" s="14" t="s">
        <v>20184</v>
      </c>
      <c r="D1814" s="14" t="s">
        <v>20185</v>
      </c>
      <c r="E1814" s="26" t="str">
        <f t="shared" si="27"/>
        <v>http://dx.doi.org/10.1109/TVCG.2009.153</v>
      </c>
      <c r="F1814" s="14">
        <v>993.0</v>
      </c>
      <c r="G1814" s="14">
        <v>1000.0</v>
      </c>
      <c r="H1814" s="14" t="s">
        <v>17059</v>
      </c>
      <c r="I1814" s="19" t="s">
        <v>20186</v>
      </c>
      <c r="J1814" s="19" t="s">
        <v>20187</v>
      </c>
      <c r="K1814" s="19" t="s">
        <v>20187</v>
      </c>
      <c r="L1814" s="18"/>
      <c r="M1814" s="20" t="s">
        <v>20188</v>
      </c>
      <c r="N1814" s="44" t="s">
        <v>20189</v>
      </c>
      <c r="O1814" s="109"/>
      <c r="P1814" s="28">
        <v>64.0</v>
      </c>
      <c r="Q1814" s="28">
        <v>27.0</v>
      </c>
      <c r="R1814" s="84"/>
      <c r="S1814" s="84"/>
      <c r="T1814" s="84"/>
      <c r="U1814" s="84"/>
      <c r="V1814" s="84"/>
      <c r="W1814" s="84"/>
      <c r="X1814" s="84"/>
      <c r="Y1814" s="84"/>
      <c r="Z1814" s="84"/>
      <c r="AA1814" s="84"/>
    </row>
    <row r="1815" ht="15.75" customHeight="1">
      <c r="A1815" s="14" t="s">
        <v>2137</v>
      </c>
      <c r="B1815" s="15" t="s">
        <v>20032</v>
      </c>
      <c r="C1815" s="14" t="s">
        <v>20190</v>
      </c>
      <c r="D1815" s="14" t="s">
        <v>20191</v>
      </c>
      <c r="E1815" s="26" t="str">
        <f t="shared" si="27"/>
        <v>http://dx.doi.org/10.1109/TVCG.2009.162</v>
      </c>
      <c r="F1815" s="14">
        <v>1065.0</v>
      </c>
      <c r="G1815" s="14">
        <v>1072.0</v>
      </c>
      <c r="H1815" s="14" t="s">
        <v>17059</v>
      </c>
      <c r="I1815" s="19" t="s">
        <v>20192</v>
      </c>
      <c r="J1815" s="19" t="s">
        <v>20193</v>
      </c>
      <c r="K1815" s="19" t="s">
        <v>20193</v>
      </c>
      <c r="L1815" s="19" t="s">
        <v>20194</v>
      </c>
      <c r="M1815" s="20" t="s">
        <v>20195</v>
      </c>
      <c r="N1815" s="44" t="s">
        <v>20196</v>
      </c>
      <c r="O1815" s="22">
        <v>94.0</v>
      </c>
      <c r="P1815" s="28">
        <v>34.0</v>
      </c>
      <c r="Q1815" s="28">
        <v>20.0</v>
      </c>
      <c r="R1815" s="84"/>
      <c r="S1815" s="84"/>
      <c r="T1815" s="84"/>
      <c r="U1815" s="84"/>
      <c r="V1815" s="84"/>
      <c r="W1815" s="84"/>
      <c r="X1815" s="84"/>
      <c r="Y1815" s="84"/>
      <c r="Z1815" s="84"/>
      <c r="AA1815" s="84"/>
    </row>
    <row r="1816" ht="15.75" customHeight="1">
      <c r="A1816" s="14" t="s">
        <v>2137</v>
      </c>
      <c r="B1816" s="15" t="s">
        <v>20032</v>
      </c>
      <c r="C1816" s="14" t="s">
        <v>20197</v>
      </c>
      <c r="D1816" s="14" t="s">
        <v>20198</v>
      </c>
      <c r="E1816" s="26" t="str">
        <f t="shared" si="27"/>
        <v>http://dx.doi.org/10.1109/TVCG.2009.165</v>
      </c>
      <c r="F1816" s="14">
        <v>1169.0</v>
      </c>
      <c r="G1816" s="14">
        <v>1176.0</v>
      </c>
      <c r="H1816" s="14" t="s">
        <v>17059</v>
      </c>
      <c r="I1816" s="19" t="s">
        <v>20199</v>
      </c>
      <c r="J1816" s="19" t="s">
        <v>20200</v>
      </c>
      <c r="K1816" s="19" t="s">
        <v>20201</v>
      </c>
      <c r="L1816" s="19" t="s">
        <v>20202</v>
      </c>
      <c r="M1816" s="20" t="s">
        <v>20203</v>
      </c>
      <c r="N1816" s="44" t="s">
        <v>20204</v>
      </c>
      <c r="O1816" s="22">
        <v>147.0</v>
      </c>
      <c r="P1816" s="28">
        <v>58.0</v>
      </c>
      <c r="Q1816" s="28">
        <v>21.0</v>
      </c>
      <c r="R1816" s="85" t="s">
        <v>106</v>
      </c>
      <c r="S1816" s="84"/>
      <c r="T1816" s="84"/>
      <c r="U1816" s="84"/>
      <c r="V1816" s="84"/>
      <c r="W1816" s="84"/>
      <c r="X1816" s="84"/>
      <c r="Y1816" s="84"/>
      <c r="Z1816" s="84"/>
      <c r="AA1816" s="84"/>
    </row>
    <row r="1817" ht="15.75" customHeight="1">
      <c r="A1817" s="14" t="s">
        <v>2137</v>
      </c>
      <c r="B1817" s="15" t="s">
        <v>20032</v>
      </c>
      <c r="C1817" s="14" t="s">
        <v>20205</v>
      </c>
      <c r="D1817" s="14" t="s">
        <v>20206</v>
      </c>
      <c r="E1817" s="26" t="str">
        <f t="shared" si="27"/>
        <v>http://dx.doi.org/10.1109/TVCG.2009.167</v>
      </c>
      <c r="F1817" s="14">
        <v>897.0</v>
      </c>
      <c r="G1817" s="14">
        <v>904.0</v>
      </c>
      <c r="H1817" s="14" t="s">
        <v>17059</v>
      </c>
      <c r="I1817" s="19" t="s">
        <v>20207</v>
      </c>
      <c r="J1817" s="19" t="s">
        <v>20208</v>
      </c>
      <c r="K1817" s="19" t="s">
        <v>20209</v>
      </c>
      <c r="L1817" s="19" t="s">
        <v>20210</v>
      </c>
      <c r="M1817" s="20" t="s">
        <v>20211</v>
      </c>
      <c r="N1817" s="44" t="s">
        <v>20212</v>
      </c>
      <c r="O1817" s="22">
        <v>124.0</v>
      </c>
      <c r="P1817" s="28">
        <v>70.0</v>
      </c>
      <c r="Q1817" s="28">
        <v>23.0</v>
      </c>
      <c r="R1817" s="85" t="s">
        <v>19037</v>
      </c>
      <c r="S1817" s="84"/>
      <c r="T1817" s="84"/>
      <c r="U1817" s="84"/>
      <c r="V1817" s="84"/>
      <c r="W1817" s="84"/>
      <c r="X1817" s="84"/>
      <c r="Y1817" s="84"/>
      <c r="Z1817" s="84"/>
      <c r="AA1817" s="84"/>
    </row>
    <row r="1818" ht="15.75" customHeight="1">
      <c r="A1818" s="14" t="s">
        <v>2137</v>
      </c>
      <c r="B1818" s="15" t="s">
        <v>20032</v>
      </c>
      <c r="C1818" s="14" t="s">
        <v>20213</v>
      </c>
      <c r="D1818" s="14" t="s">
        <v>20214</v>
      </c>
      <c r="E1818" s="26" t="str">
        <f t="shared" si="27"/>
        <v>http://dx.doi.org/10.1109/TVCG.2009.171</v>
      </c>
      <c r="F1818" s="14">
        <v>1137.0</v>
      </c>
      <c r="G1818" s="14">
        <v>1144.0</v>
      </c>
      <c r="H1818" s="14" t="s">
        <v>17059</v>
      </c>
      <c r="I1818" s="19" t="s">
        <v>20215</v>
      </c>
      <c r="J1818" s="19" t="s">
        <v>20216</v>
      </c>
      <c r="K1818" s="19" t="s">
        <v>20217</v>
      </c>
      <c r="L1818" s="19" t="s">
        <v>20202</v>
      </c>
      <c r="M1818" s="20" t="s">
        <v>20218</v>
      </c>
      <c r="N1818" s="44" t="s">
        <v>20219</v>
      </c>
      <c r="O1818" s="22">
        <v>336.0</v>
      </c>
      <c r="P1818" s="28">
        <v>136.0</v>
      </c>
      <c r="Q1818" s="28">
        <v>15.0</v>
      </c>
      <c r="R1818" s="84"/>
      <c r="S1818" s="84"/>
      <c r="T1818" s="84"/>
      <c r="U1818" s="84"/>
      <c r="V1818" s="84"/>
      <c r="W1818" s="84"/>
      <c r="X1818" s="84"/>
      <c r="Y1818" s="84"/>
      <c r="Z1818" s="84"/>
      <c r="AA1818" s="84"/>
    </row>
    <row r="1819" ht="15.75" customHeight="1">
      <c r="A1819" s="14" t="s">
        <v>2137</v>
      </c>
      <c r="B1819" s="15" t="s">
        <v>20032</v>
      </c>
      <c r="C1819" s="14" t="s">
        <v>20220</v>
      </c>
      <c r="D1819" s="14" t="s">
        <v>20221</v>
      </c>
      <c r="E1819" s="26" t="str">
        <f t="shared" si="27"/>
        <v>http://dx.doi.org/10.1109/TVCG.2009.174</v>
      </c>
      <c r="F1819" s="14">
        <v>1121.0</v>
      </c>
      <c r="G1819" s="14">
        <v>1128.0</v>
      </c>
      <c r="H1819" s="14" t="s">
        <v>17059</v>
      </c>
      <c r="I1819" s="19" t="s">
        <v>20224</v>
      </c>
      <c r="J1819" s="19" t="s">
        <v>20225</v>
      </c>
      <c r="K1819" s="19" t="s">
        <v>20225</v>
      </c>
      <c r="L1819" s="19" t="s">
        <v>20226</v>
      </c>
      <c r="M1819" s="20" t="s">
        <v>20227</v>
      </c>
      <c r="N1819" s="44" t="s">
        <v>20228</v>
      </c>
      <c r="O1819" s="22">
        <v>307.0</v>
      </c>
      <c r="P1819" s="28">
        <v>105.0</v>
      </c>
      <c r="Q1819" s="28">
        <v>38.0</v>
      </c>
      <c r="R1819" s="84"/>
      <c r="S1819" s="84"/>
      <c r="T1819" s="84"/>
      <c r="U1819" s="84"/>
      <c r="V1819" s="84"/>
      <c r="W1819" s="84"/>
      <c r="X1819" s="84"/>
      <c r="Y1819" s="84"/>
      <c r="Z1819" s="84"/>
      <c r="AA1819" s="84"/>
    </row>
    <row r="1820" ht="15.75" customHeight="1">
      <c r="A1820" s="14" t="s">
        <v>2137</v>
      </c>
      <c r="B1820" s="15" t="s">
        <v>20032</v>
      </c>
      <c r="C1820" s="14" t="s">
        <v>20230</v>
      </c>
      <c r="D1820" s="14" t="s">
        <v>20231</v>
      </c>
      <c r="E1820" s="26" t="str">
        <f t="shared" si="27"/>
        <v>http://dx.doi.org/10.1109/TVCG.2009.176</v>
      </c>
      <c r="F1820" s="14">
        <v>1057.0</v>
      </c>
      <c r="G1820" s="14">
        <v>1064.0</v>
      </c>
      <c r="H1820" s="14" t="s">
        <v>17059</v>
      </c>
      <c r="I1820" s="19" t="s">
        <v>20232</v>
      </c>
      <c r="J1820" s="19" t="s">
        <v>20233</v>
      </c>
      <c r="K1820" s="19" t="s">
        <v>20234</v>
      </c>
      <c r="L1820" s="19" t="s">
        <v>20235</v>
      </c>
      <c r="M1820" s="20" t="s">
        <v>20236</v>
      </c>
      <c r="N1820" s="44" t="s">
        <v>20237</v>
      </c>
      <c r="O1820" s="22">
        <v>69.0</v>
      </c>
      <c r="P1820" s="28">
        <v>25.0</v>
      </c>
      <c r="Q1820" s="28">
        <v>41.0</v>
      </c>
      <c r="R1820" s="84"/>
      <c r="S1820" s="84"/>
      <c r="T1820" s="84"/>
      <c r="U1820" s="84"/>
      <c r="V1820" s="84"/>
      <c r="W1820" s="84"/>
      <c r="X1820" s="84"/>
      <c r="Y1820" s="84"/>
      <c r="Z1820" s="84"/>
      <c r="AA1820" s="84"/>
    </row>
    <row r="1821" ht="15.75" customHeight="1">
      <c r="A1821" s="14" t="s">
        <v>2137</v>
      </c>
      <c r="B1821" s="15" t="s">
        <v>20032</v>
      </c>
      <c r="C1821" s="14" t="s">
        <v>20238</v>
      </c>
      <c r="D1821" s="14" t="s">
        <v>20239</v>
      </c>
      <c r="E1821" s="26" t="str">
        <f t="shared" si="27"/>
        <v>http://dx.doi.org/10.1109/TVCG.2009.179</v>
      </c>
      <c r="F1821" s="14">
        <v>1001.0</v>
      </c>
      <c r="G1821" s="14">
        <v>1008.0</v>
      </c>
      <c r="H1821" s="14" t="s">
        <v>17059</v>
      </c>
      <c r="I1821" s="19" t="s">
        <v>20240</v>
      </c>
      <c r="J1821" s="19" t="s">
        <v>20241</v>
      </c>
      <c r="K1821" s="19" t="s">
        <v>20241</v>
      </c>
      <c r="L1821" s="18"/>
      <c r="M1821" s="20" t="s">
        <v>20242</v>
      </c>
      <c r="N1821" s="44" t="s">
        <v>20243</v>
      </c>
      <c r="O1821" s="22">
        <v>121.0</v>
      </c>
      <c r="P1821" s="28">
        <v>63.0</v>
      </c>
      <c r="Q1821" s="28">
        <v>44.0</v>
      </c>
      <c r="R1821" s="84"/>
      <c r="S1821" s="84"/>
      <c r="T1821" s="84"/>
      <c r="U1821" s="84"/>
      <c r="V1821" s="84"/>
      <c r="W1821" s="84"/>
      <c r="X1821" s="84"/>
      <c r="Y1821" s="84"/>
      <c r="Z1821" s="84"/>
      <c r="AA1821" s="84"/>
    </row>
    <row r="1822" ht="15.75" customHeight="1">
      <c r="A1822" s="14" t="s">
        <v>2137</v>
      </c>
      <c r="B1822" s="15" t="s">
        <v>20032</v>
      </c>
      <c r="C1822" s="14" t="s">
        <v>20245</v>
      </c>
      <c r="D1822" s="14" t="s">
        <v>20246</v>
      </c>
      <c r="E1822" s="26" t="str">
        <f t="shared" si="27"/>
        <v>http://dx.doi.org/10.1109/TVCG.2009.180</v>
      </c>
      <c r="F1822" s="14">
        <v>1025.0</v>
      </c>
      <c r="G1822" s="14">
        <v>1032.0</v>
      </c>
      <c r="H1822" s="14" t="s">
        <v>17059</v>
      </c>
      <c r="I1822" s="19" t="s">
        <v>20248</v>
      </c>
      <c r="J1822" s="19" t="s">
        <v>20249</v>
      </c>
      <c r="K1822" s="19" t="s">
        <v>20250</v>
      </c>
      <c r="L1822" s="19" t="s">
        <v>20251</v>
      </c>
      <c r="M1822" s="20" t="s">
        <v>20252</v>
      </c>
      <c r="N1822" s="44" t="s">
        <v>20253</v>
      </c>
      <c r="O1822" s="22">
        <v>50.0</v>
      </c>
      <c r="P1822" s="28">
        <v>10.0</v>
      </c>
      <c r="Q1822" s="28">
        <v>30.0</v>
      </c>
      <c r="R1822" s="85" t="s">
        <v>19037</v>
      </c>
      <c r="S1822" s="84"/>
      <c r="T1822" s="84"/>
      <c r="U1822" s="84"/>
      <c r="V1822" s="84"/>
      <c r="W1822" s="84"/>
      <c r="X1822" s="84"/>
      <c r="Y1822" s="84"/>
      <c r="Z1822" s="84"/>
      <c r="AA1822" s="84"/>
    </row>
    <row r="1823" ht="15.75" customHeight="1">
      <c r="A1823" s="14" t="s">
        <v>2137</v>
      </c>
      <c r="B1823" s="15" t="s">
        <v>20032</v>
      </c>
      <c r="C1823" s="14" t="s">
        <v>20254</v>
      </c>
      <c r="D1823" s="14" t="s">
        <v>20255</v>
      </c>
      <c r="E1823" s="26" t="str">
        <f t="shared" si="27"/>
        <v>http://dx.doi.org/10.1109/TVCG.2009.181</v>
      </c>
      <c r="F1823" s="14">
        <v>969.0</v>
      </c>
      <c r="G1823" s="14">
        <v>976.0</v>
      </c>
      <c r="H1823" s="14" t="s">
        <v>17059</v>
      </c>
      <c r="I1823" s="19" t="s">
        <v>20256</v>
      </c>
      <c r="J1823" s="19" t="s">
        <v>20257</v>
      </c>
      <c r="K1823" s="19" t="s">
        <v>20258</v>
      </c>
      <c r="L1823" s="19" t="s">
        <v>20259</v>
      </c>
      <c r="M1823" s="20" t="s">
        <v>20260</v>
      </c>
      <c r="N1823" s="44" t="s">
        <v>20261</v>
      </c>
      <c r="O1823" s="22">
        <v>44.0</v>
      </c>
      <c r="P1823" s="28">
        <v>21.0</v>
      </c>
      <c r="Q1823" s="28">
        <v>23.0</v>
      </c>
      <c r="R1823" s="84"/>
      <c r="S1823" s="84"/>
      <c r="T1823" s="84"/>
      <c r="U1823" s="84"/>
      <c r="V1823" s="84"/>
      <c r="W1823" s="84"/>
      <c r="X1823" s="84"/>
      <c r="Y1823" s="84"/>
      <c r="Z1823" s="84"/>
      <c r="AA1823" s="84"/>
    </row>
    <row r="1824" ht="15.75" customHeight="1">
      <c r="A1824" s="14" t="s">
        <v>2137</v>
      </c>
      <c r="B1824" s="15" t="s">
        <v>20032</v>
      </c>
      <c r="C1824" s="14" t="s">
        <v>20262</v>
      </c>
      <c r="D1824" s="14" t="s">
        <v>20263</v>
      </c>
      <c r="E1824" s="26" t="str">
        <f t="shared" si="27"/>
        <v>http://dx.doi.org/10.1109/TVCG.2009.182</v>
      </c>
      <c r="F1824" s="14">
        <v>913.0</v>
      </c>
      <c r="G1824" s="14">
        <v>920.0</v>
      </c>
      <c r="H1824" s="14" t="s">
        <v>17059</v>
      </c>
      <c r="I1824" s="19" t="s">
        <v>20264</v>
      </c>
      <c r="J1824" s="19" t="s">
        <v>20265</v>
      </c>
      <c r="K1824" s="19" t="s">
        <v>20266</v>
      </c>
      <c r="L1824" s="19" t="s">
        <v>20267</v>
      </c>
      <c r="M1824" s="20" t="s">
        <v>20268</v>
      </c>
      <c r="N1824" s="44" t="s">
        <v>20269</v>
      </c>
      <c r="O1824" s="22">
        <v>66.0</v>
      </c>
      <c r="P1824" s="28">
        <v>27.0</v>
      </c>
      <c r="Q1824" s="28">
        <v>26.0</v>
      </c>
      <c r="R1824" s="84"/>
      <c r="S1824" s="84"/>
      <c r="T1824" s="84"/>
      <c r="U1824" s="84"/>
      <c r="V1824" s="84"/>
      <c r="W1824" s="84"/>
      <c r="X1824" s="84"/>
      <c r="Y1824" s="84"/>
      <c r="Z1824" s="84"/>
      <c r="AA1824" s="84"/>
    </row>
    <row r="1825" ht="15.75" customHeight="1">
      <c r="A1825" s="14" t="s">
        <v>2137</v>
      </c>
      <c r="B1825" s="15" t="s">
        <v>20032</v>
      </c>
      <c r="C1825" s="14" t="s">
        <v>20270</v>
      </c>
      <c r="D1825" s="14" t="s">
        <v>20271</v>
      </c>
      <c r="E1825" s="26" t="str">
        <f t="shared" si="27"/>
        <v>http://dx.doi.org/10.1109/TVCG.2009.183</v>
      </c>
      <c r="F1825" s="14">
        <v>1089.0</v>
      </c>
      <c r="G1825" s="14">
        <v>1096.0</v>
      </c>
      <c r="H1825" s="14" t="s">
        <v>17059</v>
      </c>
      <c r="I1825" s="19" t="s">
        <v>20272</v>
      </c>
      <c r="J1825" s="19" t="s">
        <v>20273</v>
      </c>
      <c r="K1825" s="19" t="s">
        <v>20273</v>
      </c>
      <c r="L1825" s="19" t="s">
        <v>20274</v>
      </c>
      <c r="M1825" s="20" t="s">
        <v>20275</v>
      </c>
      <c r="N1825" s="44" t="s">
        <v>20276</v>
      </c>
      <c r="O1825" s="109"/>
      <c r="P1825" s="28">
        <v>2.0</v>
      </c>
      <c r="Q1825" s="28">
        <v>39.0</v>
      </c>
      <c r="R1825" s="84"/>
      <c r="S1825" s="84"/>
      <c r="T1825" s="84"/>
      <c r="U1825" s="84"/>
      <c r="V1825" s="84"/>
      <c r="W1825" s="84"/>
      <c r="X1825" s="84"/>
      <c r="Y1825" s="84"/>
      <c r="Z1825" s="84"/>
      <c r="AA1825" s="84"/>
    </row>
    <row r="1826" ht="15.75" customHeight="1">
      <c r="A1826" s="14" t="s">
        <v>2137</v>
      </c>
      <c r="B1826" s="15" t="s">
        <v>20032</v>
      </c>
      <c r="C1826" s="14" t="s">
        <v>20277</v>
      </c>
      <c r="D1826" s="14" t="s">
        <v>20278</v>
      </c>
      <c r="E1826" s="26" t="str">
        <f t="shared" si="27"/>
        <v>http://dx.doi.org/10.1109/TVCG.2009.187</v>
      </c>
      <c r="F1826" s="14">
        <v>1049.0</v>
      </c>
      <c r="G1826" s="14">
        <v>1056.0</v>
      </c>
      <c r="H1826" s="14" t="s">
        <v>17059</v>
      </c>
      <c r="I1826" s="19" t="s">
        <v>20279</v>
      </c>
      <c r="J1826" s="19" t="s">
        <v>20280</v>
      </c>
      <c r="K1826" s="19" t="s">
        <v>20281</v>
      </c>
      <c r="L1826" s="19" t="s">
        <v>20282</v>
      </c>
      <c r="M1826" s="20" t="s">
        <v>20283</v>
      </c>
      <c r="N1826" s="44" t="s">
        <v>20284</v>
      </c>
      <c r="O1826" s="22">
        <v>108.0</v>
      </c>
      <c r="P1826" s="28">
        <v>60.0</v>
      </c>
      <c r="Q1826" s="28">
        <v>22.0</v>
      </c>
      <c r="R1826" s="84"/>
      <c r="S1826" s="84"/>
      <c r="T1826" s="84"/>
      <c r="U1826" s="84"/>
      <c r="V1826" s="84"/>
      <c r="W1826" s="84"/>
      <c r="X1826" s="84"/>
      <c r="Y1826" s="84"/>
      <c r="Z1826" s="84"/>
      <c r="AA1826" s="84"/>
    </row>
    <row r="1827" ht="15.75" customHeight="1">
      <c r="A1827" s="14" t="s">
        <v>2137</v>
      </c>
      <c r="B1827" s="15" t="s">
        <v>20032</v>
      </c>
      <c r="C1827" s="14" t="s">
        <v>20285</v>
      </c>
      <c r="D1827" s="14" t="s">
        <v>20286</v>
      </c>
      <c r="E1827" s="26" t="str">
        <f t="shared" si="27"/>
        <v>http://dx.doi.org/10.1109/TVCG.2009.188</v>
      </c>
      <c r="F1827" s="14">
        <v>1073.0</v>
      </c>
      <c r="G1827" s="14">
        <v>1080.0</v>
      </c>
      <c r="H1827" s="14" t="s">
        <v>17059</v>
      </c>
      <c r="I1827" s="19" t="s">
        <v>20287</v>
      </c>
      <c r="J1827" s="19" t="s">
        <v>20288</v>
      </c>
      <c r="K1827" s="19" t="s">
        <v>20288</v>
      </c>
      <c r="L1827" s="19" t="s">
        <v>20289</v>
      </c>
      <c r="M1827" s="20" t="s">
        <v>20290</v>
      </c>
      <c r="N1827" s="44" t="s">
        <v>20291</v>
      </c>
      <c r="O1827" s="22">
        <v>76.0</v>
      </c>
      <c r="P1827" s="28">
        <v>25.0</v>
      </c>
      <c r="Q1827" s="28">
        <v>49.0</v>
      </c>
      <c r="R1827" s="84"/>
      <c r="S1827" s="84"/>
      <c r="T1827" s="84"/>
      <c r="U1827" s="84"/>
      <c r="V1827" s="84"/>
      <c r="W1827" s="84"/>
      <c r="X1827" s="84"/>
      <c r="Y1827" s="84"/>
      <c r="Z1827" s="84"/>
      <c r="AA1827" s="84"/>
    </row>
    <row r="1828" ht="15.75" customHeight="1">
      <c r="A1828" s="14" t="s">
        <v>2137</v>
      </c>
      <c r="B1828" s="15" t="s">
        <v>20032</v>
      </c>
      <c r="C1828" s="14" t="s">
        <v>20292</v>
      </c>
      <c r="D1828" s="14" t="s">
        <v>20293</v>
      </c>
      <c r="E1828" s="26" t="str">
        <f t="shared" si="27"/>
        <v>http://dx.doi.org/10.1109/TVCG.2009.191</v>
      </c>
      <c r="F1828" s="14">
        <v>1105.0</v>
      </c>
      <c r="G1828" s="14">
        <v>1112.0</v>
      </c>
      <c r="H1828" s="14" t="s">
        <v>17059</v>
      </c>
      <c r="I1828" s="19" t="s">
        <v>20295</v>
      </c>
      <c r="J1828" s="19" t="s">
        <v>20296</v>
      </c>
      <c r="K1828" s="19" t="s">
        <v>20296</v>
      </c>
      <c r="L1828" s="19" t="s">
        <v>20297</v>
      </c>
      <c r="M1828" s="20" t="s">
        <v>20298</v>
      </c>
      <c r="N1828" s="44" t="s">
        <v>20299</v>
      </c>
      <c r="O1828" s="22">
        <v>50.0</v>
      </c>
      <c r="P1828" s="28">
        <v>19.0</v>
      </c>
      <c r="Q1828" s="28">
        <v>40.0</v>
      </c>
      <c r="R1828" s="84"/>
      <c r="S1828" s="84"/>
      <c r="T1828" s="84"/>
      <c r="U1828" s="84"/>
      <c r="V1828" s="84"/>
      <c r="W1828" s="84"/>
      <c r="X1828" s="84"/>
      <c r="Y1828" s="84"/>
      <c r="Z1828" s="84"/>
      <c r="AA1828" s="84"/>
    </row>
    <row r="1829" ht="15.75" customHeight="1">
      <c r="A1829" s="14" t="s">
        <v>2137</v>
      </c>
      <c r="B1829" s="15" t="s">
        <v>20032</v>
      </c>
      <c r="C1829" s="14" t="s">
        <v>20301</v>
      </c>
      <c r="D1829" s="14" t="s">
        <v>20302</v>
      </c>
      <c r="E1829" s="26" t="str">
        <f t="shared" si="27"/>
        <v>http://dx.doi.org/10.1109/TVCG.2009.196</v>
      </c>
      <c r="F1829" s="14">
        <v>1129.0</v>
      </c>
      <c r="G1829" s="14">
        <v>1136.0</v>
      </c>
      <c r="H1829" s="14" t="s">
        <v>17059</v>
      </c>
      <c r="I1829" s="19" t="s">
        <v>20303</v>
      </c>
      <c r="J1829" s="19" t="s">
        <v>20304</v>
      </c>
      <c r="K1829" s="19" t="s">
        <v>20305</v>
      </c>
      <c r="L1829" s="19" t="s">
        <v>19791</v>
      </c>
      <c r="M1829" s="20" t="s">
        <v>20306</v>
      </c>
      <c r="N1829" s="44" t="s">
        <v>20307</v>
      </c>
      <c r="O1829" s="22">
        <v>31.0</v>
      </c>
      <c r="P1829" s="28">
        <v>14.0</v>
      </c>
      <c r="Q1829" s="28">
        <v>33.0</v>
      </c>
      <c r="R1829" s="84"/>
      <c r="S1829" s="84"/>
      <c r="T1829" s="84"/>
      <c r="U1829" s="84"/>
      <c r="V1829" s="84"/>
      <c r="W1829" s="84"/>
      <c r="X1829" s="84"/>
      <c r="Y1829" s="84"/>
      <c r="Z1829" s="84"/>
      <c r="AA1829" s="84"/>
    </row>
    <row r="1830" ht="15.75" customHeight="1">
      <c r="A1830" s="14" t="s">
        <v>2137</v>
      </c>
      <c r="B1830" s="15" t="s">
        <v>20032</v>
      </c>
      <c r="C1830" s="14" t="s">
        <v>20308</v>
      </c>
      <c r="D1830" s="14" t="s">
        <v>20309</v>
      </c>
      <c r="E1830" s="26" t="str">
        <f t="shared" si="27"/>
        <v>http://dx.doi.org/10.1109/TVCG.2009.201</v>
      </c>
      <c r="F1830" s="14">
        <v>985.0</v>
      </c>
      <c r="G1830" s="14">
        <v>992.0</v>
      </c>
      <c r="H1830" s="14" t="s">
        <v>17059</v>
      </c>
      <c r="I1830" s="19" t="s">
        <v>20310</v>
      </c>
      <c r="J1830" s="19" t="s">
        <v>20311</v>
      </c>
      <c r="K1830" s="19" t="s">
        <v>20311</v>
      </c>
      <c r="L1830" s="19" t="s">
        <v>20312</v>
      </c>
      <c r="M1830" s="20"/>
      <c r="N1830" s="44" t="s">
        <v>20313</v>
      </c>
      <c r="O1830" s="22">
        <v>11.0</v>
      </c>
      <c r="P1830" s="28">
        <v>12.0</v>
      </c>
      <c r="Q1830" s="28">
        <v>26.0</v>
      </c>
      <c r="R1830" s="84"/>
      <c r="S1830" s="84"/>
      <c r="T1830" s="84"/>
      <c r="U1830" s="84"/>
      <c r="V1830" s="84"/>
      <c r="W1830" s="84"/>
      <c r="X1830" s="84"/>
      <c r="Y1830" s="84"/>
      <c r="Z1830" s="84"/>
      <c r="AA1830" s="84"/>
    </row>
    <row r="1831" ht="15.75" customHeight="1">
      <c r="A1831" s="14" t="s">
        <v>2137</v>
      </c>
      <c r="B1831" s="15" t="s">
        <v>20032</v>
      </c>
      <c r="C1831" s="14" t="s">
        <v>20314</v>
      </c>
      <c r="D1831" s="14" t="s">
        <v>20315</v>
      </c>
      <c r="E1831" s="26" t="str">
        <f t="shared" si="27"/>
        <v>http://dx.doi.org/10.1109/TVCG.2009.202</v>
      </c>
      <c r="F1831" s="14">
        <v>1153.0</v>
      </c>
      <c r="G1831" s="14">
        <v>1160.0</v>
      </c>
      <c r="H1831" s="14" t="s">
        <v>17059</v>
      </c>
      <c r="I1831" s="19" t="s">
        <v>20316</v>
      </c>
      <c r="J1831" s="19" t="s">
        <v>20317</v>
      </c>
      <c r="K1831" s="19" t="s">
        <v>20318</v>
      </c>
      <c r="L1831" s="19" t="s">
        <v>20319</v>
      </c>
      <c r="M1831" s="20" t="s">
        <v>20320</v>
      </c>
      <c r="N1831" s="44" t="s">
        <v>20321</v>
      </c>
      <c r="O1831" s="22">
        <v>27.0</v>
      </c>
      <c r="P1831" s="28">
        <v>14.0</v>
      </c>
      <c r="Q1831" s="28">
        <v>35.0</v>
      </c>
      <c r="R1831" s="84"/>
      <c r="S1831" s="84"/>
      <c r="T1831" s="84"/>
      <c r="U1831" s="84"/>
      <c r="V1831" s="84"/>
      <c r="W1831" s="84"/>
      <c r="X1831" s="84"/>
      <c r="Y1831" s="84"/>
      <c r="Z1831" s="84"/>
      <c r="AA1831" s="84"/>
    </row>
    <row r="1832" ht="15.75" customHeight="1">
      <c r="A1832" s="14" t="s">
        <v>120</v>
      </c>
      <c r="B1832" s="15" t="s">
        <v>20032</v>
      </c>
      <c r="C1832" s="14" t="s">
        <v>20322</v>
      </c>
      <c r="D1832" s="14" t="s">
        <v>20323</v>
      </c>
      <c r="E1832" s="26" t="str">
        <f t="shared" si="27"/>
        <v>http://dx.doi.org/10.1109/VAST.2009.5332481</v>
      </c>
      <c r="F1832" s="14"/>
      <c r="G1832" s="14"/>
      <c r="H1832" s="14" t="s">
        <v>21</v>
      </c>
      <c r="I1832" s="19" t="s">
        <v>20324</v>
      </c>
      <c r="J1832" s="19" t="s">
        <v>19621</v>
      </c>
      <c r="K1832" s="19" t="s">
        <v>19621</v>
      </c>
      <c r="L1832" s="19" t="s">
        <v>19622</v>
      </c>
      <c r="M1832" s="20"/>
      <c r="N1832" s="27"/>
      <c r="O1832" s="109"/>
      <c r="P1832" s="28">
        <v>0.0</v>
      </c>
      <c r="Q1832" s="28">
        <v>4.0</v>
      </c>
      <c r="R1832" s="84"/>
      <c r="S1832" s="84"/>
      <c r="T1832" s="84"/>
      <c r="U1832" s="84"/>
      <c r="V1832" s="84"/>
      <c r="W1832" s="84"/>
      <c r="X1832" s="84"/>
      <c r="Y1832" s="84"/>
      <c r="Z1832" s="84"/>
      <c r="AA1832" s="84"/>
    </row>
    <row r="1833" ht="15.75" customHeight="1">
      <c r="A1833" s="14" t="s">
        <v>120</v>
      </c>
      <c r="B1833" s="15" t="s">
        <v>20032</v>
      </c>
      <c r="C1833" s="14" t="s">
        <v>20325</v>
      </c>
      <c r="D1833" s="14" t="s">
        <v>20326</v>
      </c>
      <c r="E1833" s="26" t="str">
        <f t="shared" si="27"/>
        <v>http://dx.doi.org/10.1109/VAST.2009.5332485</v>
      </c>
      <c r="F1833" s="14"/>
      <c r="G1833" s="14"/>
      <c r="H1833" s="14" t="s">
        <v>21</v>
      </c>
      <c r="I1833" s="19" t="s">
        <v>20328</v>
      </c>
      <c r="J1833" s="19" t="s">
        <v>20329</v>
      </c>
      <c r="K1833" s="19" t="s">
        <v>20329</v>
      </c>
      <c r="L1833" s="19" t="s">
        <v>20330</v>
      </c>
      <c r="M1833" s="20"/>
      <c r="N1833" s="27"/>
      <c r="O1833" s="22">
        <v>11.0</v>
      </c>
      <c r="P1833" s="28">
        <v>5.0</v>
      </c>
      <c r="Q1833" s="28">
        <v>2.0</v>
      </c>
      <c r="R1833" s="84"/>
      <c r="S1833" s="84"/>
      <c r="T1833" s="84"/>
      <c r="U1833" s="84"/>
      <c r="V1833" s="84"/>
      <c r="W1833" s="84"/>
      <c r="X1833" s="84"/>
      <c r="Y1833" s="84"/>
      <c r="Z1833" s="84"/>
      <c r="AA1833" s="84"/>
    </row>
    <row r="1834" ht="15.75" customHeight="1">
      <c r="A1834" s="14" t="s">
        <v>120</v>
      </c>
      <c r="B1834" s="15" t="s">
        <v>20032</v>
      </c>
      <c r="C1834" s="14" t="s">
        <v>20331</v>
      </c>
      <c r="D1834" s="14" t="s">
        <v>20333</v>
      </c>
      <c r="E1834" s="26" t="str">
        <f t="shared" si="27"/>
        <v>http://dx.doi.org/10.1109/VAST.2009.5332584</v>
      </c>
      <c r="F1834" s="14">
        <v>3.0</v>
      </c>
      <c r="G1834" s="14">
        <v>10.0</v>
      </c>
      <c r="H1834" s="14" t="s">
        <v>28</v>
      </c>
      <c r="I1834" s="19" t="s">
        <v>20334</v>
      </c>
      <c r="J1834" s="19" t="s">
        <v>20335</v>
      </c>
      <c r="K1834" s="19" t="s">
        <v>20336</v>
      </c>
      <c r="L1834" s="19" t="s">
        <v>20337</v>
      </c>
      <c r="M1834" s="20" t="s">
        <v>20338</v>
      </c>
      <c r="N1834" s="44" t="s">
        <v>20339</v>
      </c>
      <c r="O1834" s="22">
        <v>197.0</v>
      </c>
      <c r="P1834" s="28">
        <v>69.0</v>
      </c>
      <c r="Q1834" s="28">
        <v>26.0</v>
      </c>
      <c r="R1834" s="84"/>
      <c r="S1834" s="84"/>
      <c r="T1834" s="84"/>
      <c r="U1834" s="84"/>
      <c r="V1834" s="84"/>
      <c r="W1834" s="84"/>
      <c r="X1834" s="84"/>
      <c r="Y1834" s="84"/>
      <c r="Z1834" s="84"/>
      <c r="AA1834" s="84"/>
    </row>
    <row r="1835" ht="15.75" customHeight="1">
      <c r="A1835" s="14" t="s">
        <v>120</v>
      </c>
      <c r="B1835" s="15" t="s">
        <v>20032</v>
      </c>
      <c r="C1835" s="14" t="s">
        <v>20340</v>
      </c>
      <c r="D1835" s="14" t="s">
        <v>20341</v>
      </c>
      <c r="E1835" s="26" t="str">
        <f t="shared" si="27"/>
        <v>http://dx.doi.org/10.1109/VAST.2009.5332586</v>
      </c>
      <c r="F1835" s="14">
        <v>19.0</v>
      </c>
      <c r="G1835" s="14">
        <v>26.0</v>
      </c>
      <c r="H1835" s="14" t="s">
        <v>28</v>
      </c>
      <c r="I1835" s="19" t="s">
        <v>20342</v>
      </c>
      <c r="J1835" s="19" t="s">
        <v>20343</v>
      </c>
      <c r="K1835" s="19" t="s">
        <v>20352</v>
      </c>
      <c r="L1835" s="19" t="s">
        <v>20353</v>
      </c>
      <c r="M1835" s="20" t="s">
        <v>20354</v>
      </c>
      <c r="N1835" s="44" t="s">
        <v>20355</v>
      </c>
      <c r="O1835" s="22">
        <v>50.0</v>
      </c>
      <c r="P1835" s="28">
        <v>14.0</v>
      </c>
      <c r="Q1835" s="28">
        <v>32.0</v>
      </c>
      <c r="R1835" s="84"/>
      <c r="S1835" s="84"/>
      <c r="T1835" s="84"/>
      <c r="U1835" s="84"/>
      <c r="V1835" s="84"/>
      <c r="W1835" s="84"/>
      <c r="X1835" s="84"/>
      <c r="Y1835" s="84"/>
      <c r="Z1835" s="84"/>
      <c r="AA1835" s="84"/>
    </row>
    <row r="1836" ht="15.75" customHeight="1">
      <c r="A1836" s="14" t="s">
        <v>120</v>
      </c>
      <c r="B1836" s="15" t="s">
        <v>20032</v>
      </c>
      <c r="C1836" s="14" t="s">
        <v>20356</v>
      </c>
      <c r="D1836" s="14" t="s">
        <v>20357</v>
      </c>
      <c r="E1836" s="26" t="str">
        <f t="shared" si="27"/>
        <v>http://dx.doi.org/10.1109/VAST.2009.5332593</v>
      </c>
      <c r="F1836" s="14">
        <v>11.0</v>
      </c>
      <c r="G1836" s="14">
        <v>18.0</v>
      </c>
      <c r="H1836" s="14" t="s">
        <v>28</v>
      </c>
      <c r="I1836" s="19" t="s">
        <v>20359</v>
      </c>
      <c r="J1836" s="19" t="s">
        <v>20360</v>
      </c>
      <c r="K1836" s="19" t="s">
        <v>20361</v>
      </c>
      <c r="L1836" s="19" t="s">
        <v>20363</v>
      </c>
      <c r="M1836" s="20" t="s">
        <v>20364</v>
      </c>
      <c r="N1836" s="44" t="s">
        <v>20365</v>
      </c>
      <c r="O1836" s="22">
        <v>75.0</v>
      </c>
      <c r="P1836" s="28">
        <v>36.0</v>
      </c>
      <c r="Q1836" s="28">
        <v>33.0</v>
      </c>
      <c r="R1836" s="84"/>
      <c r="S1836" s="84"/>
      <c r="T1836" s="84"/>
      <c r="U1836" s="84"/>
      <c r="V1836" s="84"/>
      <c r="W1836" s="84"/>
      <c r="X1836" s="84"/>
      <c r="Y1836" s="84"/>
      <c r="Z1836" s="84"/>
      <c r="AA1836" s="84"/>
    </row>
    <row r="1837" ht="15.75" customHeight="1">
      <c r="A1837" s="14" t="s">
        <v>120</v>
      </c>
      <c r="B1837" s="15" t="s">
        <v>20032</v>
      </c>
      <c r="C1837" s="14" t="s">
        <v>20366</v>
      </c>
      <c r="D1837" s="14" t="s">
        <v>20367</v>
      </c>
      <c r="E1837" s="26" t="str">
        <f t="shared" si="27"/>
        <v>http://dx.doi.org/10.1109/VAST.2009.5332595</v>
      </c>
      <c r="F1837" s="14">
        <v>27.0</v>
      </c>
      <c r="G1837" s="14">
        <v>34.0</v>
      </c>
      <c r="H1837" s="14" t="s">
        <v>28</v>
      </c>
      <c r="I1837" s="19" t="s">
        <v>20368</v>
      </c>
      <c r="J1837" s="19" t="s">
        <v>20369</v>
      </c>
      <c r="K1837" s="19" t="s">
        <v>20369</v>
      </c>
      <c r="L1837" s="19" t="s">
        <v>20370</v>
      </c>
      <c r="M1837" s="20" t="s">
        <v>17421</v>
      </c>
      <c r="N1837" s="44" t="s">
        <v>20372</v>
      </c>
      <c r="O1837" s="22">
        <v>81.0</v>
      </c>
      <c r="P1837" s="28">
        <v>26.0</v>
      </c>
      <c r="Q1837" s="28">
        <v>27.0</v>
      </c>
      <c r="R1837" s="84"/>
      <c r="S1837" s="84"/>
      <c r="T1837" s="84"/>
      <c r="U1837" s="84"/>
      <c r="V1837" s="84"/>
      <c r="W1837" s="84"/>
      <c r="X1837" s="84"/>
      <c r="Y1837" s="84"/>
      <c r="Z1837" s="84"/>
      <c r="AA1837" s="84"/>
    </row>
    <row r="1838" ht="15.75" customHeight="1">
      <c r="A1838" s="14" t="s">
        <v>120</v>
      </c>
      <c r="B1838" s="15" t="s">
        <v>20032</v>
      </c>
      <c r="C1838" s="14" t="s">
        <v>20373</v>
      </c>
      <c r="D1838" s="14" t="s">
        <v>20374</v>
      </c>
      <c r="E1838" s="26" t="str">
        <f t="shared" si="27"/>
        <v>http://dx.doi.org/10.1109/VAST.2009.5332596</v>
      </c>
      <c r="F1838" s="14">
        <v>35.0</v>
      </c>
      <c r="G1838" s="14">
        <v>42.0</v>
      </c>
      <c r="H1838" s="14" t="s">
        <v>28</v>
      </c>
      <c r="I1838" s="19" t="s">
        <v>20376</v>
      </c>
      <c r="J1838" s="19" t="s">
        <v>20377</v>
      </c>
      <c r="K1838" s="19" t="s">
        <v>20377</v>
      </c>
      <c r="L1838" s="19" t="s">
        <v>20378</v>
      </c>
      <c r="M1838" s="20" t="s">
        <v>3421</v>
      </c>
      <c r="N1838" s="44"/>
      <c r="O1838" s="22">
        <v>15.0</v>
      </c>
      <c r="P1838" s="28">
        <v>6.0</v>
      </c>
      <c r="Q1838" s="28">
        <v>15.0</v>
      </c>
      <c r="R1838" s="84"/>
      <c r="S1838" s="84"/>
      <c r="T1838" s="84"/>
      <c r="U1838" s="84"/>
      <c r="V1838" s="84"/>
      <c r="W1838" s="84"/>
      <c r="X1838" s="84"/>
      <c r="Y1838" s="84"/>
      <c r="Z1838" s="84"/>
      <c r="AA1838" s="84"/>
    </row>
    <row r="1839" ht="15.75" customHeight="1">
      <c r="A1839" s="14" t="s">
        <v>120</v>
      </c>
      <c r="B1839" s="15" t="s">
        <v>20032</v>
      </c>
      <c r="C1839" s="14" t="s">
        <v>20379</v>
      </c>
      <c r="D1839" s="14" t="s">
        <v>20380</v>
      </c>
      <c r="E1839" s="26" t="str">
        <f t="shared" si="27"/>
        <v>http://dx.doi.org/10.1109/VAST.2009.5332610</v>
      </c>
      <c r="F1839" s="14">
        <v>43.0</v>
      </c>
      <c r="G1839" s="14">
        <v>50.0</v>
      </c>
      <c r="H1839" s="14" t="s">
        <v>28</v>
      </c>
      <c r="I1839" s="19" t="s">
        <v>20381</v>
      </c>
      <c r="J1839" s="19" t="s">
        <v>20382</v>
      </c>
      <c r="K1839" s="19" t="s">
        <v>20383</v>
      </c>
      <c r="L1839" s="19" t="s">
        <v>20384</v>
      </c>
      <c r="M1839" s="20" t="s">
        <v>5419</v>
      </c>
      <c r="N1839" s="44" t="s">
        <v>20385</v>
      </c>
      <c r="O1839" s="22">
        <v>2.0</v>
      </c>
      <c r="P1839" s="28">
        <v>0.0</v>
      </c>
      <c r="Q1839" s="28">
        <v>22.0</v>
      </c>
      <c r="R1839" s="84"/>
      <c r="S1839" s="84"/>
      <c r="T1839" s="84"/>
      <c r="U1839" s="84"/>
      <c r="V1839" s="84"/>
      <c r="W1839" s="84"/>
      <c r="X1839" s="84"/>
      <c r="Y1839" s="84"/>
      <c r="Z1839" s="84"/>
      <c r="AA1839" s="84"/>
    </row>
    <row r="1840" ht="15.75" customHeight="1">
      <c r="A1840" s="14" t="s">
        <v>120</v>
      </c>
      <c r="B1840" s="15" t="s">
        <v>20032</v>
      </c>
      <c r="C1840" s="14" t="s">
        <v>20386</v>
      </c>
      <c r="D1840" s="14" t="s">
        <v>20387</v>
      </c>
      <c r="E1840" s="26" t="str">
        <f t="shared" si="27"/>
        <v>http://dx.doi.org/10.1109/VAST.2009.5332611</v>
      </c>
      <c r="F1840" s="14">
        <v>51.0</v>
      </c>
      <c r="G1840" s="14">
        <v>58.0</v>
      </c>
      <c r="H1840" s="14" t="s">
        <v>28</v>
      </c>
      <c r="I1840" s="19" t="s">
        <v>20388</v>
      </c>
      <c r="J1840" s="19" t="s">
        <v>20389</v>
      </c>
      <c r="K1840" s="19" t="s">
        <v>20389</v>
      </c>
      <c r="L1840" s="19" t="s">
        <v>20390</v>
      </c>
      <c r="M1840" s="20" t="s">
        <v>20391</v>
      </c>
      <c r="N1840" s="44" t="s">
        <v>20392</v>
      </c>
      <c r="O1840" s="22">
        <v>75.0</v>
      </c>
      <c r="P1840" s="28">
        <v>39.0</v>
      </c>
      <c r="Q1840" s="28">
        <v>35.0</v>
      </c>
      <c r="R1840" s="84"/>
      <c r="S1840" s="84"/>
      <c r="T1840" s="84"/>
      <c r="U1840" s="84"/>
      <c r="V1840" s="84"/>
      <c r="W1840" s="84"/>
      <c r="X1840" s="84"/>
      <c r="Y1840" s="84"/>
      <c r="Z1840" s="84"/>
      <c r="AA1840" s="84"/>
    </row>
    <row r="1841" ht="15.75" customHeight="1">
      <c r="A1841" s="14" t="s">
        <v>120</v>
      </c>
      <c r="B1841" s="15" t="s">
        <v>20032</v>
      </c>
      <c r="C1841" s="14" t="s">
        <v>20393</v>
      </c>
      <c r="D1841" s="14" t="s">
        <v>20394</v>
      </c>
      <c r="E1841" s="26" t="str">
        <f t="shared" si="27"/>
        <v>http://dx.doi.org/10.1109/VAST.2009.5332628</v>
      </c>
      <c r="F1841" s="14">
        <v>59.0</v>
      </c>
      <c r="G1841" s="14">
        <v>66.0</v>
      </c>
      <c r="H1841" s="14" t="s">
        <v>28</v>
      </c>
      <c r="I1841" s="19" t="s">
        <v>20395</v>
      </c>
      <c r="J1841" s="19" t="s">
        <v>20396</v>
      </c>
      <c r="K1841" s="19" t="s">
        <v>20397</v>
      </c>
      <c r="L1841" s="19" t="s">
        <v>20398</v>
      </c>
      <c r="M1841" s="20" t="s">
        <v>20399</v>
      </c>
      <c r="N1841" s="44"/>
      <c r="O1841" s="22">
        <v>111.0</v>
      </c>
      <c r="P1841" s="28">
        <v>52.0</v>
      </c>
      <c r="Q1841" s="28">
        <v>25.0</v>
      </c>
      <c r="R1841" s="84"/>
      <c r="S1841" s="84"/>
      <c r="T1841" s="84"/>
      <c r="U1841" s="84"/>
      <c r="V1841" s="84"/>
      <c r="W1841" s="84"/>
      <c r="X1841" s="84"/>
      <c r="Y1841" s="84"/>
      <c r="Z1841" s="84"/>
      <c r="AA1841" s="84"/>
    </row>
    <row r="1842" ht="15.75" customHeight="1">
      <c r="A1842" s="14" t="s">
        <v>120</v>
      </c>
      <c r="B1842" s="15" t="s">
        <v>20032</v>
      </c>
      <c r="C1842" s="14" t="s">
        <v>20400</v>
      </c>
      <c r="D1842" s="14" t="s">
        <v>20401</v>
      </c>
      <c r="E1842" s="26" t="str">
        <f t="shared" si="27"/>
        <v>http://dx.doi.org/10.1109/VAST.2009.5332629</v>
      </c>
      <c r="F1842" s="14">
        <v>67.0</v>
      </c>
      <c r="G1842" s="14">
        <v>74.0</v>
      </c>
      <c r="H1842" s="14" t="s">
        <v>28</v>
      </c>
      <c r="I1842" s="19" t="s">
        <v>20402</v>
      </c>
      <c r="J1842" s="19" t="s">
        <v>20403</v>
      </c>
      <c r="K1842" s="19" t="s">
        <v>20403</v>
      </c>
      <c r="L1842" s="19" t="s">
        <v>20404</v>
      </c>
      <c r="M1842" s="20" t="s">
        <v>13005</v>
      </c>
      <c r="N1842" s="44" t="s">
        <v>20405</v>
      </c>
      <c r="O1842" s="22">
        <v>50.0</v>
      </c>
      <c r="P1842" s="28">
        <v>26.0</v>
      </c>
      <c r="Q1842" s="28">
        <v>21.0</v>
      </c>
      <c r="R1842" s="84"/>
      <c r="S1842" s="84"/>
      <c r="T1842" s="84"/>
      <c r="U1842" s="84"/>
      <c r="V1842" s="84"/>
      <c r="W1842" s="84"/>
      <c r="X1842" s="84"/>
      <c r="Y1842" s="84"/>
      <c r="Z1842" s="84"/>
      <c r="AA1842" s="84"/>
    </row>
    <row r="1843" ht="15.75" customHeight="1">
      <c r="A1843" s="14" t="s">
        <v>120</v>
      </c>
      <c r="B1843" s="15" t="s">
        <v>20032</v>
      </c>
      <c r="C1843" s="14" t="s">
        <v>20406</v>
      </c>
      <c r="D1843" s="14" t="s">
        <v>20407</v>
      </c>
      <c r="E1843" s="26" t="str">
        <f t="shared" si="27"/>
        <v>http://dx.doi.org/10.1109/VAST.2009.5333020</v>
      </c>
      <c r="F1843" s="14">
        <v>131.0</v>
      </c>
      <c r="G1843" s="14">
        <v>138.0</v>
      </c>
      <c r="H1843" s="14" t="s">
        <v>28</v>
      </c>
      <c r="I1843" s="19" t="s">
        <v>20408</v>
      </c>
      <c r="J1843" s="19" t="s">
        <v>20409</v>
      </c>
      <c r="K1843" s="19" t="s">
        <v>20410</v>
      </c>
      <c r="L1843" s="19" t="s">
        <v>20411</v>
      </c>
      <c r="M1843" s="20" t="s">
        <v>20412</v>
      </c>
      <c r="N1843" s="44" t="s">
        <v>20413</v>
      </c>
      <c r="O1843" s="22">
        <v>78.0</v>
      </c>
      <c r="P1843" s="28">
        <v>28.0</v>
      </c>
      <c r="Q1843" s="28">
        <v>28.0</v>
      </c>
      <c r="R1843" s="84"/>
      <c r="S1843" s="84"/>
      <c r="T1843" s="84"/>
      <c r="U1843" s="84"/>
      <c r="V1843" s="84"/>
      <c r="W1843" s="84"/>
      <c r="X1843" s="84"/>
      <c r="Y1843" s="84"/>
      <c r="Z1843" s="84"/>
      <c r="AA1843" s="84"/>
    </row>
    <row r="1844" ht="15.75" customHeight="1">
      <c r="A1844" s="14" t="s">
        <v>120</v>
      </c>
      <c r="B1844" s="15" t="s">
        <v>20032</v>
      </c>
      <c r="C1844" s="14" t="s">
        <v>20414</v>
      </c>
      <c r="D1844" s="14" t="s">
        <v>20415</v>
      </c>
      <c r="E1844" s="26" t="str">
        <f t="shared" si="27"/>
        <v>http://dx.doi.org/10.1109/VAST.2009.5333023</v>
      </c>
      <c r="F1844" s="14">
        <v>123.0</v>
      </c>
      <c r="G1844" s="14">
        <v>130.0</v>
      </c>
      <c r="H1844" s="14" t="s">
        <v>28</v>
      </c>
      <c r="I1844" s="19" t="s">
        <v>20416</v>
      </c>
      <c r="J1844" s="19" t="s">
        <v>20417</v>
      </c>
      <c r="K1844" s="19" t="s">
        <v>20418</v>
      </c>
      <c r="L1844" s="19" t="s">
        <v>20419</v>
      </c>
      <c r="M1844" s="20" t="s">
        <v>20420</v>
      </c>
      <c r="N1844" s="27"/>
      <c r="O1844" s="22">
        <v>50.0</v>
      </c>
      <c r="P1844" s="28">
        <v>12.0</v>
      </c>
      <c r="Q1844" s="28">
        <v>20.0</v>
      </c>
      <c r="R1844" s="84"/>
      <c r="S1844" s="84"/>
      <c r="T1844" s="84"/>
      <c r="U1844" s="84"/>
      <c r="V1844" s="84"/>
      <c r="W1844" s="84"/>
      <c r="X1844" s="84"/>
      <c r="Y1844" s="84"/>
      <c r="Z1844" s="84"/>
      <c r="AA1844" s="84"/>
    </row>
    <row r="1845" ht="15.75" customHeight="1">
      <c r="A1845" s="14" t="s">
        <v>120</v>
      </c>
      <c r="B1845" s="15" t="s">
        <v>20032</v>
      </c>
      <c r="C1845" s="14" t="s">
        <v>20421</v>
      </c>
      <c r="D1845" s="14" t="s">
        <v>20423</v>
      </c>
      <c r="E1845" s="26" t="str">
        <f t="shared" si="27"/>
        <v>http://dx.doi.org/10.1109/VAST.2009.5333081</v>
      </c>
      <c r="F1845" s="14">
        <v>237.0</v>
      </c>
      <c r="G1845" s="14">
        <v>238.0</v>
      </c>
      <c r="H1845" s="14" t="s">
        <v>21</v>
      </c>
      <c r="I1845" s="19" t="s">
        <v>20424</v>
      </c>
      <c r="J1845" s="19" t="s">
        <v>20426</v>
      </c>
      <c r="K1845" s="19" t="s">
        <v>20426</v>
      </c>
      <c r="L1845" s="19" t="s">
        <v>20427</v>
      </c>
      <c r="M1845" s="20"/>
      <c r="N1845" s="27"/>
      <c r="O1845" s="22">
        <v>4.0</v>
      </c>
      <c r="P1845" s="28">
        <v>4.0</v>
      </c>
      <c r="Q1845" s="28">
        <v>6.0</v>
      </c>
      <c r="R1845" s="84"/>
      <c r="S1845" s="84"/>
      <c r="T1845" s="84"/>
      <c r="U1845" s="84"/>
      <c r="V1845" s="84"/>
      <c r="W1845" s="84"/>
      <c r="X1845" s="84"/>
      <c r="Y1845" s="84"/>
      <c r="Z1845" s="84"/>
      <c r="AA1845" s="84"/>
    </row>
    <row r="1846" ht="15.75" customHeight="1">
      <c r="A1846" s="14" t="s">
        <v>120</v>
      </c>
      <c r="B1846" s="15" t="s">
        <v>20032</v>
      </c>
      <c r="C1846" s="14" t="s">
        <v>20428</v>
      </c>
      <c r="D1846" s="14" t="s">
        <v>20429</v>
      </c>
      <c r="E1846" s="26" t="str">
        <f t="shared" si="27"/>
        <v>http://dx.doi.org/10.1109/VAST.2009.5333082</v>
      </c>
      <c r="F1846" s="14">
        <v>239.0</v>
      </c>
      <c r="G1846" s="14">
        <v>240.0</v>
      </c>
      <c r="H1846" s="14" t="s">
        <v>21</v>
      </c>
      <c r="I1846" s="19" t="s">
        <v>20430</v>
      </c>
      <c r="J1846" s="19" t="s">
        <v>20431</v>
      </c>
      <c r="K1846" s="19" t="s">
        <v>20432</v>
      </c>
      <c r="L1846" s="19" t="s">
        <v>20433</v>
      </c>
      <c r="M1846" s="20"/>
      <c r="N1846" s="27"/>
      <c r="O1846" s="22">
        <v>0.0</v>
      </c>
      <c r="P1846" s="28">
        <v>0.0</v>
      </c>
      <c r="Q1846" s="28">
        <v>6.0</v>
      </c>
      <c r="R1846" s="84"/>
      <c r="S1846" s="84"/>
      <c r="T1846" s="84"/>
      <c r="U1846" s="84"/>
      <c r="V1846" s="84"/>
      <c r="W1846" s="84"/>
      <c r="X1846" s="84"/>
      <c r="Y1846" s="84"/>
      <c r="Z1846" s="84"/>
      <c r="AA1846" s="84"/>
    </row>
    <row r="1847" ht="15.75" customHeight="1">
      <c r="A1847" s="14" t="s">
        <v>120</v>
      </c>
      <c r="B1847" s="15" t="s">
        <v>20032</v>
      </c>
      <c r="C1847" s="14" t="s">
        <v>20434</v>
      </c>
      <c r="D1847" s="14" t="s">
        <v>20435</v>
      </c>
      <c r="E1847" s="26" t="str">
        <f t="shared" si="27"/>
        <v>http://dx.doi.org/10.1109/VAST.2009.5333099</v>
      </c>
      <c r="F1847" s="14">
        <v>233.0</v>
      </c>
      <c r="G1847" s="14">
        <v>234.0</v>
      </c>
      <c r="H1847" s="14" t="s">
        <v>21</v>
      </c>
      <c r="I1847" s="19" t="s">
        <v>20436</v>
      </c>
      <c r="J1847" s="19" t="s">
        <v>20437</v>
      </c>
      <c r="K1847" s="19" t="s">
        <v>20438</v>
      </c>
      <c r="L1847" s="19" t="s">
        <v>20439</v>
      </c>
      <c r="M1847" s="20"/>
      <c r="N1847" s="27"/>
      <c r="O1847" s="22">
        <v>50.0</v>
      </c>
      <c r="P1847" s="28">
        <v>0.0</v>
      </c>
      <c r="Q1847" s="28">
        <v>9.0</v>
      </c>
      <c r="R1847" s="84"/>
      <c r="S1847" s="84"/>
      <c r="T1847" s="84"/>
      <c r="U1847" s="84"/>
      <c r="V1847" s="84"/>
      <c r="W1847" s="84"/>
      <c r="X1847" s="84"/>
      <c r="Y1847" s="84"/>
      <c r="Z1847" s="84"/>
      <c r="AA1847" s="84"/>
    </row>
    <row r="1848" ht="15.75" customHeight="1">
      <c r="A1848" s="14" t="s">
        <v>120</v>
      </c>
      <c r="B1848" s="15" t="s">
        <v>20032</v>
      </c>
      <c r="C1848" s="14" t="s">
        <v>20440</v>
      </c>
      <c r="D1848" s="14" t="s">
        <v>20441</v>
      </c>
      <c r="E1848" s="26" t="str">
        <f t="shared" si="27"/>
        <v>http://dx.doi.org/10.1109/VAST.2009.5333245</v>
      </c>
      <c r="F1848" s="14">
        <v>115.0</v>
      </c>
      <c r="G1848" s="14">
        <v>122.0</v>
      </c>
      <c r="H1848" s="14" t="s">
        <v>28</v>
      </c>
      <c r="I1848" s="19" t="s">
        <v>20443</v>
      </c>
      <c r="J1848" s="19" t="s">
        <v>20444</v>
      </c>
      <c r="K1848" s="19" t="s">
        <v>20445</v>
      </c>
      <c r="L1848" s="19" t="s">
        <v>20446</v>
      </c>
      <c r="M1848" s="20" t="s">
        <v>17395</v>
      </c>
      <c r="N1848" s="44" t="s">
        <v>20447</v>
      </c>
      <c r="O1848" s="22">
        <v>11.0</v>
      </c>
      <c r="P1848" s="28">
        <v>3.0</v>
      </c>
      <c r="Q1848" s="28">
        <v>24.0</v>
      </c>
      <c r="R1848" s="84"/>
      <c r="S1848" s="84"/>
      <c r="T1848" s="84"/>
      <c r="U1848" s="84"/>
      <c r="V1848" s="84"/>
      <c r="W1848" s="84"/>
      <c r="X1848" s="84"/>
      <c r="Y1848" s="84"/>
      <c r="Z1848" s="84"/>
      <c r="AA1848" s="84"/>
    </row>
    <row r="1849" ht="15.75" customHeight="1">
      <c r="A1849" s="14" t="s">
        <v>120</v>
      </c>
      <c r="B1849" s="15" t="s">
        <v>20032</v>
      </c>
      <c r="C1849" s="14" t="s">
        <v>20449</v>
      </c>
      <c r="D1849" s="14" t="s">
        <v>20450</v>
      </c>
      <c r="E1849" s="26" t="str">
        <f t="shared" si="27"/>
        <v>http://dx.doi.org/10.1109/VAST.2009.5333248</v>
      </c>
      <c r="F1849" s="14">
        <v>107.0</v>
      </c>
      <c r="G1849" s="14">
        <v>114.0</v>
      </c>
      <c r="H1849" s="14" t="s">
        <v>28</v>
      </c>
      <c r="I1849" s="19" t="s">
        <v>20451</v>
      </c>
      <c r="J1849" s="19" t="s">
        <v>20452</v>
      </c>
      <c r="K1849" s="19" t="s">
        <v>20453</v>
      </c>
      <c r="L1849" s="19" t="s">
        <v>20454</v>
      </c>
      <c r="M1849" s="20" t="s">
        <v>20455</v>
      </c>
      <c r="N1849" s="44" t="s">
        <v>20456</v>
      </c>
      <c r="O1849" s="22">
        <v>60.0</v>
      </c>
      <c r="P1849" s="28">
        <v>16.0</v>
      </c>
      <c r="Q1849" s="28">
        <v>19.0</v>
      </c>
      <c r="R1849" s="84"/>
      <c r="S1849" s="84"/>
      <c r="T1849" s="84"/>
      <c r="U1849" s="84"/>
      <c r="V1849" s="84"/>
      <c r="W1849" s="84"/>
      <c r="X1849" s="84"/>
      <c r="Y1849" s="84"/>
      <c r="Z1849" s="84"/>
      <c r="AA1849" s="84"/>
    </row>
    <row r="1850" ht="15.75" customHeight="1">
      <c r="A1850" s="14" t="s">
        <v>120</v>
      </c>
      <c r="B1850" s="15" t="s">
        <v>20032</v>
      </c>
      <c r="C1850" s="14" t="s">
        <v>20457</v>
      </c>
      <c r="D1850" s="14" t="s">
        <v>20458</v>
      </c>
      <c r="E1850" s="26" t="str">
        <f t="shared" si="27"/>
        <v>http://dx.doi.org/10.1109/VAST.2009.5333417</v>
      </c>
      <c r="F1850" s="14">
        <v>235.0</v>
      </c>
      <c r="G1850" s="14">
        <v>236.0</v>
      </c>
      <c r="H1850" s="14" t="s">
        <v>21</v>
      </c>
      <c r="I1850" s="19" t="s">
        <v>20459</v>
      </c>
      <c r="J1850" s="19" t="s">
        <v>20460</v>
      </c>
      <c r="K1850" s="19" t="s">
        <v>20460</v>
      </c>
      <c r="L1850" s="19" t="s">
        <v>20461</v>
      </c>
      <c r="M1850" s="20"/>
      <c r="N1850" s="27"/>
      <c r="O1850" s="22">
        <v>0.0</v>
      </c>
      <c r="P1850" s="28">
        <v>0.0</v>
      </c>
      <c r="Q1850" s="28">
        <v>4.0</v>
      </c>
      <c r="R1850" s="84"/>
      <c r="S1850" s="84"/>
      <c r="T1850" s="84"/>
      <c r="U1850" s="84"/>
      <c r="V1850" s="84"/>
      <c r="W1850" s="84"/>
      <c r="X1850" s="84"/>
      <c r="Y1850" s="84"/>
      <c r="Z1850" s="84"/>
      <c r="AA1850" s="84"/>
    </row>
    <row r="1851" ht="15.75" customHeight="1">
      <c r="A1851" s="14" t="s">
        <v>120</v>
      </c>
      <c r="B1851" s="15" t="s">
        <v>20032</v>
      </c>
      <c r="C1851" s="14" t="s">
        <v>20462</v>
      </c>
      <c r="D1851" s="14" t="s">
        <v>20463</v>
      </c>
      <c r="E1851" s="26" t="str">
        <f t="shared" si="27"/>
        <v>http://dx.doi.org/10.1109/VAST.2009.5333420</v>
      </c>
      <c r="F1851" s="14">
        <v>229.0</v>
      </c>
      <c r="G1851" s="14">
        <v>230.0</v>
      </c>
      <c r="H1851" s="14" t="s">
        <v>21</v>
      </c>
      <c r="I1851" s="19" t="s">
        <v>20465</v>
      </c>
      <c r="J1851" s="19" t="s">
        <v>20466</v>
      </c>
      <c r="K1851" s="19" t="s">
        <v>20467</v>
      </c>
      <c r="L1851" s="19" t="s">
        <v>20468</v>
      </c>
      <c r="M1851" s="20"/>
      <c r="N1851" s="27"/>
      <c r="O1851" s="22">
        <v>50.0</v>
      </c>
      <c r="P1851" s="28">
        <v>1.0</v>
      </c>
      <c r="Q1851" s="28">
        <v>4.0</v>
      </c>
      <c r="R1851" s="84"/>
      <c r="S1851" s="84"/>
      <c r="T1851" s="84"/>
      <c r="U1851" s="84"/>
      <c r="V1851" s="84"/>
      <c r="W1851" s="84"/>
      <c r="X1851" s="84"/>
      <c r="Y1851" s="84"/>
      <c r="Z1851" s="84"/>
      <c r="AA1851" s="84"/>
    </row>
    <row r="1852" ht="15.75" customHeight="1">
      <c r="A1852" s="14" t="s">
        <v>120</v>
      </c>
      <c r="B1852" s="15" t="s">
        <v>20032</v>
      </c>
      <c r="C1852" s="14" t="s">
        <v>20470</v>
      </c>
      <c r="D1852" s="14" t="s">
        <v>20471</v>
      </c>
      <c r="E1852" s="26" t="str">
        <f t="shared" si="27"/>
        <v>http://dx.doi.org/10.1109/VAST.2009.5333421</v>
      </c>
      <c r="F1852" s="14">
        <v>231.0</v>
      </c>
      <c r="G1852" s="14">
        <v>232.0</v>
      </c>
      <c r="H1852" s="14" t="s">
        <v>21</v>
      </c>
      <c r="I1852" s="19" t="s">
        <v>20472</v>
      </c>
      <c r="J1852" s="19" t="s">
        <v>20473</v>
      </c>
      <c r="K1852" s="19" t="s">
        <v>20474</v>
      </c>
      <c r="L1852" s="19" t="s">
        <v>20475</v>
      </c>
      <c r="M1852" s="20"/>
      <c r="N1852" s="27"/>
      <c r="O1852" s="22">
        <v>1.0</v>
      </c>
      <c r="P1852" s="28">
        <v>0.0</v>
      </c>
      <c r="Q1852" s="28">
        <v>6.0</v>
      </c>
      <c r="R1852" s="84"/>
      <c r="S1852" s="84"/>
      <c r="T1852" s="84"/>
      <c r="U1852" s="84"/>
      <c r="V1852" s="84"/>
      <c r="W1852" s="84"/>
      <c r="X1852" s="84"/>
      <c r="Y1852" s="84"/>
      <c r="Z1852" s="84"/>
      <c r="AA1852" s="84"/>
    </row>
    <row r="1853" ht="15.75" customHeight="1">
      <c r="A1853" s="14" t="s">
        <v>120</v>
      </c>
      <c r="B1853" s="15" t="s">
        <v>20032</v>
      </c>
      <c r="C1853" s="14" t="s">
        <v>20476</v>
      </c>
      <c r="D1853" s="14" t="s">
        <v>20477</v>
      </c>
      <c r="E1853" s="26" t="str">
        <f t="shared" si="27"/>
        <v>http://dx.doi.org/10.1109/VAST.2009.5333428</v>
      </c>
      <c r="F1853" s="14">
        <v>83.0</v>
      </c>
      <c r="G1853" s="14">
        <v>90.0</v>
      </c>
      <c r="H1853" s="14" t="s">
        <v>28</v>
      </c>
      <c r="I1853" s="19" t="s">
        <v>20478</v>
      </c>
      <c r="J1853" s="19" t="s">
        <v>20479</v>
      </c>
      <c r="K1853" s="19" t="s">
        <v>20480</v>
      </c>
      <c r="L1853" s="19" t="s">
        <v>20481</v>
      </c>
      <c r="M1853" s="20"/>
      <c r="N1853" s="27"/>
      <c r="O1853" s="22">
        <v>20.0</v>
      </c>
      <c r="P1853" s="28">
        <v>7.0</v>
      </c>
      <c r="Q1853" s="28">
        <v>27.0</v>
      </c>
      <c r="R1853" s="84"/>
      <c r="S1853" s="84"/>
      <c r="T1853" s="84"/>
      <c r="U1853" s="84"/>
      <c r="V1853" s="84"/>
      <c r="W1853" s="84"/>
      <c r="X1853" s="84"/>
      <c r="Y1853" s="84"/>
      <c r="Z1853" s="84"/>
      <c r="AA1853" s="84"/>
    </row>
    <row r="1854" ht="15.75" customHeight="1">
      <c r="A1854" s="14" t="s">
        <v>120</v>
      </c>
      <c r="B1854" s="15" t="s">
        <v>20032</v>
      </c>
      <c r="C1854" s="14" t="s">
        <v>20482</v>
      </c>
      <c r="D1854" s="14" t="s">
        <v>20483</v>
      </c>
      <c r="E1854" s="26" t="str">
        <f t="shared" si="27"/>
        <v>http://dx.doi.org/10.1109/VAST.2009.5333431</v>
      </c>
      <c r="F1854" s="14">
        <v>75.0</v>
      </c>
      <c r="G1854" s="14">
        <v>82.0</v>
      </c>
      <c r="H1854" s="14" t="s">
        <v>28</v>
      </c>
      <c r="I1854" s="19" t="s">
        <v>20486</v>
      </c>
      <c r="J1854" s="19" t="s">
        <v>20487</v>
      </c>
      <c r="K1854" s="19" t="s">
        <v>20487</v>
      </c>
      <c r="L1854" s="19" t="s">
        <v>20489</v>
      </c>
      <c r="M1854" s="20" t="s">
        <v>20490</v>
      </c>
      <c r="N1854" s="44" t="s">
        <v>20491</v>
      </c>
      <c r="O1854" s="22">
        <v>50.0</v>
      </c>
      <c r="P1854" s="28">
        <v>13.0</v>
      </c>
      <c r="Q1854" s="28">
        <v>21.0</v>
      </c>
      <c r="R1854" s="84"/>
      <c r="S1854" s="84"/>
      <c r="T1854" s="84"/>
      <c r="U1854" s="84"/>
      <c r="V1854" s="84"/>
      <c r="W1854" s="84"/>
      <c r="X1854" s="84"/>
      <c r="Y1854" s="84"/>
      <c r="Z1854" s="84"/>
      <c r="AA1854" s="84"/>
    </row>
    <row r="1855" ht="15.75" customHeight="1">
      <c r="A1855" s="14" t="s">
        <v>120</v>
      </c>
      <c r="B1855" s="15" t="s">
        <v>20032</v>
      </c>
      <c r="C1855" s="14" t="s">
        <v>20492</v>
      </c>
      <c r="D1855" s="14" t="s">
        <v>20493</v>
      </c>
      <c r="E1855" s="26" t="str">
        <f t="shared" si="27"/>
        <v>http://dx.doi.org/10.1109/VAST.2009.5333436</v>
      </c>
      <c r="F1855" s="14">
        <v>225.0</v>
      </c>
      <c r="G1855" s="14">
        <v>226.0</v>
      </c>
      <c r="H1855" s="14" t="s">
        <v>21</v>
      </c>
      <c r="I1855" s="19" t="s">
        <v>20494</v>
      </c>
      <c r="J1855" s="19" t="s">
        <v>20495</v>
      </c>
      <c r="K1855" s="19" t="s">
        <v>20495</v>
      </c>
      <c r="L1855" s="19" t="s">
        <v>20496</v>
      </c>
      <c r="M1855" s="20"/>
      <c r="N1855" s="27"/>
      <c r="O1855" s="22">
        <v>0.0</v>
      </c>
      <c r="P1855" s="28">
        <v>0.0</v>
      </c>
      <c r="Q1855" s="28">
        <v>9.0</v>
      </c>
      <c r="R1855" s="84"/>
      <c r="S1855" s="84"/>
      <c r="T1855" s="84"/>
      <c r="U1855" s="84"/>
      <c r="V1855" s="84"/>
      <c r="W1855" s="84"/>
      <c r="X1855" s="84"/>
      <c r="Y1855" s="84"/>
      <c r="Z1855" s="84"/>
      <c r="AA1855" s="84"/>
    </row>
    <row r="1856" ht="15.75" customHeight="1">
      <c r="A1856" s="14" t="s">
        <v>120</v>
      </c>
      <c r="B1856" s="15" t="s">
        <v>20032</v>
      </c>
      <c r="C1856" s="14" t="s">
        <v>20497</v>
      </c>
      <c r="D1856" s="14" t="s">
        <v>20498</v>
      </c>
      <c r="E1856" s="26" t="str">
        <f t="shared" si="27"/>
        <v>http://dx.doi.org/10.1109/VAST.2009.5333437</v>
      </c>
      <c r="F1856" s="14">
        <v>99.0</v>
      </c>
      <c r="G1856" s="14">
        <v>106.0</v>
      </c>
      <c r="H1856" s="14" t="s">
        <v>28</v>
      </c>
      <c r="I1856" s="19" t="s">
        <v>20499</v>
      </c>
      <c r="J1856" s="19" t="s">
        <v>20500</v>
      </c>
      <c r="K1856" s="19" t="s">
        <v>20501</v>
      </c>
      <c r="L1856" s="19" t="s">
        <v>20502</v>
      </c>
      <c r="M1856" s="20" t="s">
        <v>20503</v>
      </c>
      <c r="N1856" s="27"/>
      <c r="O1856" s="22">
        <v>50.0</v>
      </c>
      <c r="P1856" s="28">
        <v>13.0</v>
      </c>
      <c r="Q1856" s="28">
        <v>18.0</v>
      </c>
      <c r="R1856" s="84"/>
      <c r="S1856" s="84"/>
      <c r="T1856" s="84"/>
      <c r="U1856" s="84"/>
      <c r="V1856" s="84"/>
      <c r="W1856" s="84"/>
      <c r="X1856" s="84"/>
      <c r="Y1856" s="84"/>
      <c r="Z1856" s="84"/>
      <c r="AA1856" s="84"/>
    </row>
    <row r="1857" ht="15.75" customHeight="1">
      <c r="A1857" s="14" t="s">
        <v>120</v>
      </c>
      <c r="B1857" s="15" t="s">
        <v>20032</v>
      </c>
      <c r="C1857" s="14" t="s">
        <v>20504</v>
      </c>
      <c r="D1857" s="14" t="s">
        <v>20505</v>
      </c>
      <c r="E1857" s="26" t="str">
        <f t="shared" si="27"/>
        <v>http://dx.doi.org/10.1109/VAST.2009.5333438</v>
      </c>
      <c r="F1857" s="14">
        <v>227.0</v>
      </c>
      <c r="G1857" s="14">
        <v>228.0</v>
      </c>
      <c r="H1857" s="14" t="s">
        <v>21</v>
      </c>
      <c r="I1857" s="19" t="s">
        <v>20506</v>
      </c>
      <c r="J1857" s="19" t="s">
        <v>20507</v>
      </c>
      <c r="K1857" s="19" t="s">
        <v>20507</v>
      </c>
      <c r="L1857" s="19" t="s">
        <v>20508</v>
      </c>
      <c r="M1857" s="20"/>
      <c r="N1857" s="27"/>
      <c r="O1857" s="22">
        <v>2.0</v>
      </c>
      <c r="P1857" s="28">
        <v>0.0</v>
      </c>
      <c r="Q1857" s="28">
        <v>6.0</v>
      </c>
      <c r="R1857" s="84"/>
      <c r="S1857" s="84"/>
      <c r="T1857" s="84"/>
      <c r="U1857" s="84"/>
      <c r="V1857" s="84"/>
      <c r="W1857" s="84"/>
      <c r="X1857" s="84"/>
      <c r="Y1857" s="84"/>
      <c r="Z1857" s="84"/>
      <c r="AA1857" s="84"/>
    </row>
    <row r="1858" ht="15.75" customHeight="1">
      <c r="A1858" s="14" t="s">
        <v>120</v>
      </c>
      <c r="B1858" s="15" t="s">
        <v>20032</v>
      </c>
      <c r="C1858" s="14" t="s">
        <v>20509</v>
      </c>
      <c r="D1858" s="14" t="s">
        <v>20510</v>
      </c>
      <c r="E1858" s="26" t="str">
        <f t="shared" si="27"/>
        <v>http://dx.doi.org/10.1109/VAST.2009.5333443</v>
      </c>
      <c r="F1858" s="14">
        <v>91.0</v>
      </c>
      <c r="G1858" s="14">
        <v>98.0</v>
      </c>
      <c r="H1858" s="14" t="s">
        <v>28</v>
      </c>
      <c r="I1858" s="19" t="s">
        <v>20512</v>
      </c>
      <c r="J1858" s="19" t="s">
        <v>20513</v>
      </c>
      <c r="K1858" s="19" t="s">
        <v>20514</v>
      </c>
      <c r="L1858" s="19" t="s">
        <v>20515</v>
      </c>
      <c r="M1858" s="20" t="s">
        <v>20516</v>
      </c>
      <c r="N1858" s="44" t="s">
        <v>20517</v>
      </c>
      <c r="O1858" s="22">
        <v>204.0</v>
      </c>
      <c r="P1858" s="28">
        <v>76.0</v>
      </c>
      <c r="Q1858" s="28">
        <v>35.0</v>
      </c>
      <c r="R1858" s="84"/>
      <c r="S1858" s="84"/>
      <c r="T1858" s="84"/>
      <c r="U1858" s="84"/>
      <c r="V1858" s="84"/>
      <c r="W1858" s="84"/>
      <c r="X1858" s="84"/>
      <c r="Y1858" s="84"/>
      <c r="Z1858" s="84"/>
      <c r="AA1858" s="84"/>
    </row>
    <row r="1859" ht="15.75" customHeight="1">
      <c r="A1859" s="14" t="s">
        <v>120</v>
      </c>
      <c r="B1859" s="15" t="s">
        <v>20032</v>
      </c>
      <c r="C1859" s="14" t="s">
        <v>20519</v>
      </c>
      <c r="D1859" s="14" t="s">
        <v>20520</v>
      </c>
      <c r="E1859" s="26" t="str">
        <f t="shared" si="27"/>
        <v>http://dx.doi.org/10.1109/VAST.2009.5333451</v>
      </c>
      <c r="F1859" s="14">
        <v>221.0</v>
      </c>
      <c r="G1859" s="14">
        <v>222.0</v>
      </c>
      <c r="H1859" s="14" t="s">
        <v>21</v>
      </c>
      <c r="I1859" s="19" t="s">
        <v>20521</v>
      </c>
      <c r="J1859" s="19" t="s">
        <v>20522</v>
      </c>
      <c r="K1859" s="19" t="s">
        <v>20523</v>
      </c>
      <c r="L1859" s="19" t="s">
        <v>20524</v>
      </c>
      <c r="M1859" s="20"/>
      <c r="N1859" s="27"/>
      <c r="O1859" s="22">
        <v>0.0</v>
      </c>
      <c r="P1859" s="28">
        <v>0.0</v>
      </c>
      <c r="Q1859" s="28">
        <v>7.0</v>
      </c>
      <c r="R1859" s="84"/>
      <c r="S1859" s="84"/>
      <c r="T1859" s="84"/>
      <c r="U1859" s="84"/>
      <c r="V1859" s="84"/>
      <c r="W1859" s="84"/>
      <c r="X1859" s="84"/>
      <c r="Y1859" s="84"/>
      <c r="Z1859" s="84"/>
      <c r="AA1859" s="84"/>
    </row>
    <row r="1860" ht="15.75" customHeight="1">
      <c r="A1860" s="14" t="s">
        <v>120</v>
      </c>
      <c r="B1860" s="15" t="s">
        <v>20032</v>
      </c>
      <c r="C1860" s="14" t="s">
        <v>20525</v>
      </c>
      <c r="D1860" s="14" t="s">
        <v>20526</v>
      </c>
      <c r="E1860" s="26" t="str">
        <f t="shared" si="27"/>
        <v>http://dx.doi.org/10.1109/VAST.2009.5333453</v>
      </c>
      <c r="F1860" s="14">
        <v>223.0</v>
      </c>
      <c r="G1860" s="14">
        <v>224.0</v>
      </c>
      <c r="H1860" s="14" t="s">
        <v>21</v>
      </c>
      <c r="I1860" s="19" t="s">
        <v>20527</v>
      </c>
      <c r="J1860" s="19" t="s">
        <v>20528</v>
      </c>
      <c r="K1860" s="19" t="s">
        <v>20528</v>
      </c>
      <c r="L1860" s="19" t="s">
        <v>20529</v>
      </c>
      <c r="M1860" s="20"/>
      <c r="N1860" s="27"/>
      <c r="O1860" s="22">
        <v>50.0</v>
      </c>
      <c r="P1860" s="28">
        <v>0.0</v>
      </c>
      <c r="Q1860" s="28">
        <v>4.0</v>
      </c>
      <c r="R1860" s="84"/>
      <c r="S1860" s="84"/>
      <c r="T1860" s="84"/>
      <c r="U1860" s="84"/>
      <c r="V1860" s="84"/>
      <c r="W1860" s="84"/>
      <c r="X1860" s="84"/>
      <c r="Y1860" s="84"/>
      <c r="Z1860" s="84"/>
      <c r="AA1860" s="84"/>
    </row>
    <row r="1861" ht="15.75" customHeight="1">
      <c r="A1861" s="14" t="s">
        <v>120</v>
      </c>
      <c r="B1861" s="15" t="s">
        <v>20032</v>
      </c>
      <c r="C1861" s="14" t="s">
        <v>20532</v>
      </c>
      <c r="D1861" s="14" t="s">
        <v>20533</v>
      </c>
      <c r="E1861" s="26" t="str">
        <f t="shared" si="27"/>
        <v>http://dx.doi.org/10.1109/VAST.2009.5333468</v>
      </c>
      <c r="F1861" s="14">
        <v>217.0</v>
      </c>
      <c r="G1861" s="14">
        <v>218.0</v>
      </c>
      <c r="H1861" s="14" t="s">
        <v>21</v>
      </c>
      <c r="I1861" s="19" t="s">
        <v>20535</v>
      </c>
      <c r="J1861" s="19" t="s">
        <v>20536</v>
      </c>
      <c r="K1861" s="19" t="s">
        <v>20536</v>
      </c>
      <c r="L1861" s="19" t="s">
        <v>20537</v>
      </c>
      <c r="M1861" s="20"/>
      <c r="N1861" s="27"/>
      <c r="O1861" s="22">
        <v>50.0</v>
      </c>
      <c r="P1861" s="28">
        <v>0.0</v>
      </c>
      <c r="Q1861" s="28">
        <v>7.0</v>
      </c>
      <c r="R1861" s="84"/>
      <c r="S1861" s="84"/>
      <c r="T1861" s="84"/>
      <c r="U1861" s="84"/>
      <c r="V1861" s="84"/>
      <c r="W1861" s="84"/>
      <c r="X1861" s="84"/>
      <c r="Y1861" s="84"/>
      <c r="Z1861" s="84"/>
      <c r="AA1861" s="84"/>
    </row>
    <row r="1862" ht="15.75" customHeight="1">
      <c r="A1862" s="14" t="s">
        <v>120</v>
      </c>
      <c r="B1862" s="15" t="s">
        <v>20032</v>
      </c>
      <c r="C1862" s="14" t="s">
        <v>20538</v>
      </c>
      <c r="D1862" s="14" t="s">
        <v>20539</v>
      </c>
      <c r="E1862" s="26" t="str">
        <f t="shared" si="27"/>
        <v>http://dx.doi.org/10.1109/VAST.2009.5333469</v>
      </c>
      <c r="F1862" s="14">
        <v>219.0</v>
      </c>
      <c r="G1862" s="14">
        <v>220.0</v>
      </c>
      <c r="H1862" s="14" t="s">
        <v>21</v>
      </c>
      <c r="I1862" s="19" t="s">
        <v>20540</v>
      </c>
      <c r="J1862" s="19" t="s">
        <v>20541</v>
      </c>
      <c r="K1862" s="19" t="s">
        <v>20541</v>
      </c>
      <c r="L1862" s="19" t="s">
        <v>20542</v>
      </c>
      <c r="M1862" s="20"/>
      <c r="N1862" s="27"/>
      <c r="O1862" s="22">
        <v>50.0</v>
      </c>
      <c r="P1862" s="28">
        <v>0.0</v>
      </c>
      <c r="Q1862" s="28">
        <v>3.0</v>
      </c>
      <c r="R1862" s="84"/>
      <c r="S1862" s="84"/>
      <c r="T1862" s="84"/>
      <c r="U1862" s="84"/>
      <c r="V1862" s="84"/>
      <c r="W1862" s="84"/>
      <c r="X1862" s="84"/>
      <c r="Y1862" s="84"/>
      <c r="Z1862" s="84"/>
      <c r="AA1862" s="84"/>
    </row>
    <row r="1863" ht="15.75" customHeight="1">
      <c r="A1863" s="14" t="s">
        <v>120</v>
      </c>
      <c r="B1863" s="15" t="s">
        <v>20032</v>
      </c>
      <c r="C1863" s="14" t="s">
        <v>20543</v>
      </c>
      <c r="D1863" s="14" t="s">
        <v>20544</v>
      </c>
      <c r="E1863" s="26" t="str">
        <f t="shared" si="27"/>
        <v>http://dx.doi.org/10.1109/VAST.2009.5333472</v>
      </c>
      <c r="F1863" s="14">
        <v>213.0</v>
      </c>
      <c r="G1863" s="14">
        <v>214.0</v>
      </c>
      <c r="H1863" s="14" t="s">
        <v>21</v>
      </c>
      <c r="I1863" s="19" t="s">
        <v>20545</v>
      </c>
      <c r="J1863" s="19" t="s">
        <v>20546</v>
      </c>
      <c r="K1863" s="19" t="s">
        <v>20547</v>
      </c>
      <c r="L1863" s="19" t="s">
        <v>20548</v>
      </c>
      <c r="M1863" s="20"/>
      <c r="N1863" s="27"/>
      <c r="O1863" s="22">
        <v>50.0</v>
      </c>
      <c r="P1863" s="28">
        <v>8.0</v>
      </c>
      <c r="Q1863" s="28">
        <v>3.0</v>
      </c>
      <c r="R1863" s="84"/>
      <c r="S1863" s="84"/>
      <c r="T1863" s="84"/>
      <c r="U1863" s="84"/>
      <c r="V1863" s="84"/>
      <c r="W1863" s="84"/>
      <c r="X1863" s="84"/>
      <c r="Y1863" s="84"/>
      <c r="Z1863" s="84"/>
      <c r="AA1863" s="84"/>
    </row>
    <row r="1864" ht="15.75" customHeight="1">
      <c r="A1864" s="14" t="s">
        <v>120</v>
      </c>
      <c r="B1864" s="15" t="s">
        <v>20032</v>
      </c>
      <c r="C1864" s="14" t="s">
        <v>20549</v>
      </c>
      <c r="D1864" s="14" t="s">
        <v>20550</v>
      </c>
      <c r="E1864" s="26" t="str">
        <f t="shared" si="27"/>
        <v>http://dx.doi.org/10.1109/VAST.2009.5333474</v>
      </c>
      <c r="F1864" s="14">
        <v>215.0</v>
      </c>
      <c r="G1864" s="14">
        <v>216.0</v>
      </c>
      <c r="H1864" s="14" t="s">
        <v>21</v>
      </c>
      <c r="I1864" s="19" t="s">
        <v>20552</v>
      </c>
      <c r="J1864" s="19" t="s">
        <v>17397</v>
      </c>
      <c r="K1864" s="19" t="s">
        <v>17397</v>
      </c>
      <c r="L1864" s="19" t="s">
        <v>20553</v>
      </c>
      <c r="M1864" s="20"/>
      <c r="N1864" s="27"/>
      <c r="O1864" s="22">
        <v>1.0</v>
      </c>
      <c r="P1864" s="28">
        <v>0.0</v>
      </c>
      <c r="Q1864" s="28">
        <v>8.0</v>
      </c>
      <c r="R1864" s="84"/>
      <c r="S1864" s="84"/>
      <c r="T1864" s="84"/>
      <c r="U1864" s="84"/>
      <c r="V1864" s="84"/>
      <c r="W1864" s="84"/>
      <c r="X1864" s="84"/>
      <c r="Y1864" s="84"/>
      <c r="Z1864" s="84"/>
      <c r="AA1864" s="84"/>
    </row>
    <row r="1865" ht="15.75" customHeight="1">
      <c r="A1865" s="14" t="s">
        <v>120</v>
      </c>
      <c r="B1865" s="15" t="s">
        <v>20032</v>
      </c>
      <c r="C1865" s="14" t="s">
        <v>20554</v>
      </c>
      <c r="D1865" s="14" t="s">
        <v>20555</v>
      </c>
      <c r="E1865" s="26" t="str">
        <f t="shared" si="27"/>
        <v>http://dx.doi.org/10.1109/VAST.2009.5333564</v>
      </c>
      <c r="F1865" s="14">
        <v>203.0</v>
      </c>
      <c r="G1865" s="14">
        <v>210.0</v>
      </c>
      <c r="H1865" s="14" t="s">
        <v>28</v>
      </c>
      <c r="I1865" s="19" t="s">
        <v>20556</v>
      </c>
      <c r="J1865" s="19" t="s">
        <v>20557</v>
      </c>
      <c r="K1865" s="19" t="s">
        <v>20557</v>
      </c>
      <c r="L1865" s="19" t="s">
        <v>20558</v>
      </c>
      <c r="M1865" s="20" t="s">
        <v>20559</v>
      </c>
      <c r="N1865" s="44" t="s">
        <v>20560</v>
      </c>
      <c r="O1865" s="22">
        <v>45.0</v>
      </c>
      <c r="P1865" s="28">
        <v>12.0</v>
      </c>
      <c r="Q1865" s="28">
        <v>23.0</v>
      </c>
      <c r="R1865" s="85" t="s">
        <v>106</v>
      </c>
      <c r="S1865" s="84"/>
      <c r="T1865" s="84"/>
      <c r="U1865" s="84"/>
      <c r="V1865" s="84"/>
      <c r="W1865" s="84"/>
      <c r="X1865" s="84"/>
      <c r="Y1865" s="84"/>
      <c r="Z1865" s="84"/>
      <c r="AA1865" s="84"/>
    </row>
    <row r="1866" ht="15.75" customHeight="1">
      <c r="A1866" s="14" t="s">
        <v>120</v>
      </c>
      <c r="B1866" s="15" t="s">
        <v>20032</v>
      </c>
      <c r="C1866" s="14" t="s">
        <v>20561</v>
      </c>
      <c r="D1866" s="14" t="s">
        <v>20562</v>
      </c>
      <c r="E1866" s="26" t="str">
        <f t="shared" si="27"/>
        <v>http://dx.doi.org/10.1109/VAST.2009.5333878</v>
      </c>
      <c r="F1866" s="14">
        <v>139.0</v>
      </c>
      <c r="G1866" s="14">
        <v>146.0</v>
      </c>
      <c r="H1866" s="14" t="s">
        <v>28</v>
      </c>
      <c r="I1866" s="19" t="s">
        <v>20563</v>
      </c>
      <c r="J1866" s="19" t="s">
        <v>20565</v>
      </c>
      <c r="K1866" s="19" t="s">
        <v>20566</v>
      </c>
      <c r="L1866" s="19" t="s">
        <v>20567</v>
      </c>
      <c r="M1866" s="20" t="s">
        <v>20568</v>
      </c>
      <c r="N1866" s="27"/>
      <c r="O1866" s="22">
        <v>74.0</v>
      </c>
      <c r="P1866" s="28">
        <v>28.0</v>
      </c>
      <c r="Q1866" s="28">
        <v>17.0</v>
      </c>
      <c r="R1866" s="84"/>
      <c r="S1866" s="84"/>
      <c r="T1866" s="84"/>
      <c r="U1866" s="84"/>
      <c r="V1866" s="84"/>
      <c r="W1866" s="84"/>
      <c r="X1866" s="84"/>
      <c r="Y1866" s="84"/>
      <c r="Z1866" s="84"/>
      <c r="AA1866" s="84"/>
    </row>
    <row r="1867" ht="15.75" customHeight="1">
      <c r="A1867" s="14" t="s">
        <v>120</v>
      </c>
      <c r="B1867" s="15" t="s">
        <v>20032</v>
      </c>
      <c r="C1867" s="14" t="s">
        <v>20570</v>
      </c>
      <c r="D1867" s="14" t="s">
        <v>20571</v>
      </c>
      <c r="E1867" s="26" t="str">
        <f t="shared" si="27"/>
        <v>http://dx.doi.org/10.1109/VAST.2009.5333880</v>
      </c>
      <c r="F1867" s="14">
        <v>147.0</v>
      </c>
      <c r="G1867" s="14">
        <v>154.0</v>
      </c>
      <c r="H1867" s="14" t="s">
        <v>28</v>
      </c>
      <c r="I1867" s="19" t="s">
        <v>20572</v>
      </c>
      <c r="J1867" s="19" t="s">
        <v>20573</v>
      </c>
      <c r="K1867" s="19" t="s">
        <v>20573</v>
      </c>
      <c r="L1867" s="19" t="s">
        <v>20574</v>
      </c>
      <c r="M1867" s="20" t="s">
        <v>20575</v>
      </c>
      <c r="N1867" s="44" t="s">
        <v>20576</v>
      </c>
      <c r="O1867" s="22">
        <v>12.0</v>
      </c>
      <c r="P1867" s="28">
        <v>4.0</v>
      </c>
      <c r="Q1867" s="28">
        <v>26.0</v>
      </c>
      <c r="R1867" s="84"/>
      <c r="S1867" s="84"/>
      <c r="T1867" s="84"/>
      <c r="U1867" s="84"/>
      <c r="V1867" s="84"/>
      <c r="W1867" s="84"/>
      <c r="X1867" s="84"/>
      <c r="Y1867" s="84"/>
      <c r="Z1867" s="84"/>
      <c r="AA1867" s="84"/>
    </row>
    <row r="1868" ht="15.75" customHeight="1">
      <c r="A1868" s="14" t="s">
        <v>120</v>
      </c>
      <c r="B1868" s="15" t="s">
        <v>20032</v>
      </c>
      <c r="C1868" s="14" t="s">
        <v>20577</v>
      </c>
      <c r="D1868" s="14" t="s">
        <v>20578</v>
      </c>
      <c r="E1868" s="26" t="str">
        <f t="shared" si="27"/>
        <v>http://dx.doi.org/10.1109/VAST.2009.5333893</v>
      </c>
      <c r="F1868" s="14">
        <v>155.0</v>
      </c>
      <c r="G1868" s="14">
        <v>162.0</v>
      </c>
      <c r="H1868" s="14" t="s">
        <v>28</v>
      </c>
      <c r="I1868" s="19" t="s">
        <v>20580</v>
      </c>
      <c r="J1868" s="19" t="s">
        <v>20581</v>
      </c>
      <c r="K1868" s="19" t="s">
        <v>20583</v>
      </c>
      <c r="L1868" s="19" t="s">
        <v>20584</v>
      </c>
      <c r="M1868" s="20" t="s">
        <v>20585</v>
      </c>
      <c r="N1868" s="27"/>
      <c r="O1868" s="22">
        <v>37.0</v>
      </c>
      <c r="P1868" s="28">
        <v>12.0</v>
      </c>
      <c r="Q1868" s="28">
        <v>48.0</v>
      </c>
      <c r="R1868" s="84"/>
      <c r="S1868" s="84"/>
      <c r="T1868" s="84"/>
      <c r="U1868" s="84"/>
      <c r="V1868" s="84"/>
      <c r="W1868" s="84"/>
      <c r="X1868" s="84"/>
      <c r="Y1868" s="84"/>
      <c r="Z1868" s="84"/>
      <c r="AA1868" s="84"/>
    </row>
    <row r="1869" ht="15.75" customHeight="1">
      <c r="A1869" s="14" t="s">
        <v>120</v>
      </c>
      <c r="B1869" s="15" t="s">
        <v>20032</v>
      </c>
      <c r="C1869" s="14" t="s">
        <v>20587</v>
      </c>
      <c r="D1869" s="14" t="s">
        <v>20588</v>
      </c>
      <c r="E1869" s="26" t="str">
        <f t="shared" si="27"/>
        <v>http://dx.doi.org/10.1109/VAST.2009.5333895</v>
      </c>
      <c r="F1869" s="14">
        <v>163.0</v>
      </c>
      <c r="G1869" s="14">
        <v>170.0</v>
      </c>
      <c r="H1869" s="14" t="s">
        <v>28</v>
      </c>
      <c r="I1869" s="19" t="s">
        <v>20589</v>
      </c>
      <c r="J1869" s="19" t="s">
        <v>20590</v>
      </c>
      <c r="K1869" s="19" t="s">
        <v>20590</v>
      </c>
      <c r="L1869" s="19" t="s">
        <v>20591</v>
      </c>
      <c r="M1869" s="20" t="s">
        <v>20592</v>
      </c>
      <c r="N1869" s="44" t="s">
        <v>20593</v>
      </c>
      <c r="O1869" s="22">
        <v>7.0</v>
      </c>
      <c r="P1869" s="28">
        <v>6.0</v>
      </c>
      <c r="Q1869" s="28">
        <v>27.0</v>
      </c>
      <c r="R1869" s="84"/>
      <c r="S1869" s="84"/>
      <c r="T1869" s="84"/>
      <c r="U1869" s="84"/>
      <c r="V1869" s="84"/>
      <c r="W1869" s="84"/>
      <c r="X1869" s="84"/>
      <c r="Y1869" s="84"/>
      <c r="Z1869" s="84"/>
      <c r="AA1869" s="84"/>
    </row>
    <row r="1870" ht="15.75" customHeight="1">
      <c r="A1870" s="14" t="s">
        <v>120</v>
      </c>
      <c r="B1870" s="15" t="s">
        <v>20032</v>
      </c>
      <c r="C1870" s="14" t="s">
        <v>20594</v>
      </c>
      <c r="D1870" s="14" t="s">
        <v>20595</v>
      </c>
      <c r="E1870" s="26" t="str">
        <f t="shared" si="27"/>
        <v>http://dx.doi.org/10.1109/VAST.2009.5333911</v>
      </c>
      <c r="F1870" s="14">
        <v>179.0</v>
      </c>
      <c r="G1870" s="14">
        <v>186.0</v>
      </c>
      <c r="H1870" s="14" t="s">
        <v>28</v>
      </c>
      <c r="I1870" s="19" t="s">
        <v>20597</v>
      </c>
      <c r="J1870" s="19" t="s">
        <v>20598</v>
      </c>
      <c r="K1870" s="19" t="s">
        <v>20598</v>
      </c>
      <c r="L1870" s="19" t="s">
        <v>20599</v>
      </c>
      <c r="M1870" s="20" t="s">
        <v>20601</v>
      </c>
      <c r="N1870" s="44" t="s">
        <v>20602</v>
      </c>
      <c r="O1870" s="22">
        <v>50.0</v>
      </c>
      <c r="P1870" s="28">
        <v>6.0</v>
      </c>
      <c r="Q1870" s="28">
        <v>30.0</v>
      </c>
      <c r="R1870" s="84"/>
      <c r="S1870" s="84"/>
      <c r="T1870" s="84"/>
      <c r="U1870" s="84"/>
      <c r="V1870" s="84"/>
      <c r="W1870" s="84"/>
      <c r="X1870" s="84"/>
      <c r="Y1870" s="84"/>
      <c r="Z1870" s="84"/>
      <c r="AA1870" s="84"/>
    </row>
    <row r="1871" ht="15.75" customHeight="1">
      <c r="A1871" s="14" t="s">
        <v>120</v>
      </c>
      <c r="B1871" s="15" t="s">
        <v>20032</v>
      </c>
      <c r="C1871" s="14" t="s">
        <v>20603</v>
      </c>
      <c r="D1871" s="14" t="s">
        <v>20604</v>
      </c>
      <c r="E1871" s="26" t="str">
        <f t="shared" si="27"/>
        <v>http://dx.doi.org/10.1109/VAST.2009.5333917</v>
      </c>
      <c r="F1871" s="14">
        <v>171.0</v>
      </c>
      <c r="G1871" s="14">
        <v>178.0</v>
      </c>
      <c r="H1871" s="14" t="s">
        <v>28</v>
      </c>
      <c r="I1871" s="19" t="s">
        <v>20605</v>
      </c>
      <c r="J1871" s="19" t="s">
        <v>20606</v>
      </c>
      <c r="K1871" s="19" t="s">
        <v>20607</v>
      </c>
      <c r="L1871" s="19" t="s">
        <v>20608</v>
      </c>
      <c r="M1871" s="20" t="s">
        <v>1437</v>
      </c>
      <c r="N1871" s="44" t="s">
        <v>20609</v>
      </c>
      <c r="O1871" s="22">
        <v>50.0</v>
      </c>
      <c r="P1871" s="28">
        <v>1.0</v>
      </c>
      <c r="Q1871" s="28">
        <v>14.0</v>
      </c>
      <c r="R1871" s="84"/>
      <c r="S1871" s="84"/>
      <c r="T1871" s="84"/>
      <c r="U1871" s="84"/>
      <c r="V1871" s="84"/>
      <c r="W1871" s="84"/>
      <c r="X1871" s="84"/>
      <c r="Y1871" s="84"/>
      <c r="Z1871" s="84"/>
      <c r="AA1871" s="84"/>
    </row>
    <row r="1872" ht="15.75" customHeight="1">
      <c r="A1872" s="14" t="s">
        <v>120</v>
      </c>
      <c r="B1872" s="15" t="s">
        <v>20032</v>
      </c>
      <c r="C1872" s="14" t="s">
        <v>20610</v>
      </c>
      <c r="D1872" s="14" t="s">
        <v>20611</v>
      </c>
      <c r="E1872" s="26" t="str">
        <f t="shared" si="27"/>
        <v>http://dx.doi.org/10.1109/VAST.2009.5333919</v>
      </c>
      <c r="F1872" s="14">
        <v>187.0</v>
      </c>
      <c r="G1872" s="14">
        <v>194.0</v>
      </c>
      <c r="H1872" s="14" t="s">
        <v>28</v>
      </c>
      <c r="I1872" s="19" t="s">
        <v>20612</v>
      </c>
      <c r="J1872" s="19" t="s">
        <v>20613</v>
      </c>
      <c r="K1872" s="19" t="s">
        <v>20614</v>
      </c>
      <c r="L1872" s="19" t="s">
        <v>20615</v>
      </c>
      <c r="M1872" s="20"/>
      <c r="N1872" s="44" t="s">
        <v>20616</v>
      </c>
      <c r="O1872" s="22">
        <v>103.0</v>
      </c>
      <c r="P1872" s="28">
        <v>24.0</v>
      </c>
      <c r="Q1872" s="28">
        <v>19.0</v>
      </c>
      <c r="R1872" s="84"/>
      <c r="S1872" s="84"/>
      <c r="T1872" s="84"/>
      <c r="U1872" s="84"/>
      <c r="V1872" s="84"/>
      <c r="W1872" s="84"/>
      <c r="X1872" s="84"/>
      <c r="Y1872" s="84"/>
      <c r="Z1872" s="84"/>
      <c r="AA1872" s="84"/>
    </row>
    <row r="1873" ht="15.75" customHeight="1">
      <c r="A1873" s="14" t="s">
        <v>120</v>
      </c>
      <c r="B1873" s="15" t="s">
        <v>20032</v>
      </c>
      <c r="C1873" s="14" t="s">
        <v>20618</v>
      </c>
      <c r="D1873" s="14" t="s">
        <v>20620</v>
      </c>
      <c r="E1873" s="26" t="str">
        <f t="shared" si="27"/>
        <v>http://dx.doi.org/10.1109/VAST.2009.5333920</v>
      </c>
      <c r="F1873" s="14">
        <v>195.0</v>
      </c>
      <c r="G1873" s="14">
        <v>202.0</v>
      </c>
      <c r="H1873" s="14" t="s">
        <v>28</v>
      </c>
      <c r="I1873" s="19" t="s">
        <v>20621</v>
      </c>
      <c r="J1873" s="19" t="s">
        <v>20622</v>
      </c>
      <c r="K1873" s="19" t="s">
        <v>20623</v>
      </c>
      <c r="L1873" s="19" t="s">
        <v>20624</v>
      </c>
      <c r="M1873" s="20" t="s">
        <v>20625</v>
      </c>
      <c r="N1873" s="44" t="s">
        <v>20626</v>
      </c>
      <c r="O1873" s="22">
        <v>50.0</v>
      </c>
      <c r="P1873" s="28">
        <v>15.0</v>
      </c>
      <c r="Q1873" s="28">
        <v>39.0</v>
      </c>
      <c r="R1873" s="84"/>
      <c r="S1873" s="84"/>
      <c r="T1873" s="84"/>
      <c r="U1873" s="84"/>
      <c r="V1873" s="84"/>
      <c r="W1873" s="84"/>
      <c r="X1873" s="84"/>
      <c r="Y1873" s="84"/>
      <c r="Z1873" s="84"/>
      <c r="AA1873" s="84"/>
    </row>
    <row r="1874" ht="15.75" customHeight="1">
      <c r="A1874" s="14" t="s">
        <v>120</v>
      </c>
      <c r="B1874" s="15" t="s">
        <v>20032</v>
      </c>
      <c r="C1874" s="14" t="s">
        <v>20627</v>
      </c>
      <c r="D1874" s="14" t="s">
        <v>20628</v>
      </c>
      <c r="E1874" s="26" t="str">
        <f t="shared" si="27"/>
        <v>http://dx.doi.org/10.1109/VAST.2009.5333946</v>
      </c>
      <c r="F1874" s="14"/>
      <c r="G1874" s="14"/>
      <c r="H1874" s="14" t="s">
        <v>21</v>
      </c>
      <c r="I1874" s="19" t="s">
        <v>20629</v>
      </c>
      <c r="J1874" s="19" t="s">
        <v>20630</v>
      </c>
      <c r="K1874" s="19" t="s">
        <v>20632</v>
      </c>
      <c r="L1874" s="19" t="s">
        <v>20633</v>
      </c>
      <c r="M1874" s="20"/>
      <c r="N1874" s="27"/>
      <c r="O1874" s="22">
        <v>50.0</v>
      </c>
      <c r="P1874" s="28">
        <v>0.0</v>
      </c>
      <c r="Q1874" s="28">
        <v>3.0</v>
      </c>
      <c r="R1874" s="84"/>
      <c r="S1874" s="84"/>
      <c r="T1874" s="84"/>
      <c r="U1874" s="84"/>
      <c r="V1874" s="84"/>
      <c r="W1874" s="84"/>
      <c r="X1874" s="84"/>
      <c r="Y1874" s="84"/>
      <c r="Z1874" s="84"/>
      <c r="AA1874" s="84"/>
    </row>
    <row r="1875" ht="15.75" customHeight="1">
      <c r="A1875" s="14" t="s">
        <v>120</v>
      </c>
      <c r="B1875" s="15" t="s">
        <v>20032</v>
      </c>
      <c r="C1875" s="14" t="s">
        <v>20635</v>
      </c>
      <c r="D1875" s="14" t="s">
        <v>20636</v>
      </c>
      <c r="E1875" s="26" t="str">
        <f t="shared" si="27"/>
        <v>http://dx.doi.org/10.1109/VAST.2009.5333950</v>
      </c>
      <c r="F1875" s="14"/>
      <c r="G1875" s="14"/>
      <c r="H1875" s="14" t="s">
        <v>21</v>
      </c>
      <c r="I1875" s="19" t="s">
        <v>20637</v>
      </c>
      <c r="J1875" s="19" t="s">
        <v>20638</v>
      </c>
      <c r="K1875" s="19" t="s">
        <v>20638</v>
      </c>
      <c r="L1875" s="19" t="s">
        <v>20639</v>
      </c>
      <c r="M1875" s="20"/>
      <c r="N1875" s="27"/>
      <c r="O1875" s="22">
        <v>1.0</v>
      </c>
      <c r="P1875" s="28">
        <v>0.0</v>
      </c>
      <c r="Q1875" s="28">
        <v>3.0</v>
      </c>
      <c r="R1875" s="84"/>
      <c r="S1875" s="84"/>
      <c r="T1875" s="84"/>
      <c r="U1875" s="84"/>
      <c r="V1875" s="84"/>
      <c r="W1875" s="84"/>
      <c r="X1875" s="84"/>
      <c r="Y1875" s="84"/>
      <c r="Z1875" s="84"/>
      <c r="AA1875" s="84"/>
    </row>
    <row r="1876" ht="15.75" customHeight="1">
      <c r="A1876" s="14" t="s">
        <v>120</v>
      </c>
      <c r="B1876" s="15" t="s">
        <v>20032</v>
      </c>
      <c r="C1876" s="14" t="s">
        <v>20640</v>
      </c>
      <c r="D1876" s="14" t="s">
        <v>20641</v>
      </c>
      <c r="E1876" s="26" t="str">
        <f t="shared" si="27"/>
        <v>http://dx.doi.org/10.1109/VAST.2009.5333961</v>
      </c>
      <c r="F1876" s="14"/>
      <c r="G1876" s="14"/>
      <c r="H1876" s="14" t="s">
        <v>21</v>
      </c>
      <c r="I1876" s="19" t="s">
        <v>20642</v>
      </c>
      <c r="J1876" s="19" t="s">
        <v>20643</v>
      </c>
      <c r="K1876" s="19" t="s">
        <v>20644</v>
      </c>
      <c r="L1876" s="19" t="s">
        <v>20645</v>
      </c>
      <c r="M1876" s="20"/>
      <c r="N1876" s="27"/>
      <c r="O1876" s="22">
        <v>50.0</v>
      </c>
      <c r="P1876" s="28">
        <v>1.0</v>
      </c>
      <c r="Q1876" s="28">
        <v>3.0</v>
      </c>
      <c r="R1876" s="84"/>
      <c r="S1876" s="84"/>
      <c r="T1876" s="84"/>
      <c r="U1876" s="84"/>
      <c r="V1876" s="84"/>
      <c r="W1876" s="84"/>
      <c r="X1876" s="84"/>
      <c r="Y1876" s="84"/>
      <c r="Z1876" s="84"/>
      <c r="AA1876" s="84"/>
    </row>
    <row r="1877" ht="15.75" customHeight="1">
      <c r="A1877" s="14" t="s">
        <v>120</v>
      </c>
      <c r="B1877" s="15" t="s">
        <v>20032</v>
      </c>
      <c r="C1877" s="14" t="s">
        <v>20646</v>
      </c>
      <c r="D1877" s="14" t="s">
        <v>20647</v>
      </c>
      <c r="E1877" s="26" t="str">
        <f t="shared" si="27"/>
        <v>http://dx.doi.org/10.1109/VAST.2009.5333965</v>
      </c>
      <c r="F1877" s="14"/>
      <c r="G1877" s="14"/>
      <c r="H1877" s="14" t="s">
        <v>21</v>
      </c>
      <c r="I1877" s="19" t="s">
        <v>20649</v>
      </c>
      <c r="J1877" s="19" t="s">
        <v>20650</v>
      </c>
      <c r="K1877" s="19" t="s">
        <v>20651</v>
      </c>
      <c r="L1877" s="19" t="s">
        <v>20653</v>
      </c>
      <c r="M1877" s="20"/>
      <c r="N1877" s="27"/>
      <c r="O1877" s="22">
        <v>0.0</v>
      </c>
      <c r="P1877" s="28">
        <v>0.0</v>
      </c>
      <c r="Q1877" s="28">
        <v>2.0</v>
      </c>
      <c r="R1877" s="84"/>
      <c r="S1877" s="84"/>
      <c r="T1877" s="84"/>
      <c r="U1877" s="84"/>
      <c r="V1877" s="84"/>
      <c r="W1877" s="84"/>
      <c r="X1877" s="84"/>
      <c r="Y1877" s="84"/>
      <c r="Z1877" s="84"/>
      <c r="AA1877" s="84"/>
    </row>
    <row r="1878" ht="15.75" customHeight="1">
      <c r="A1878" s="14" t="s">
        <v>120</v>
      </c>
      <c r="B1878" s="15" t="s">
        <v>20032</v>
      </c>
      <c r="C1878" s="14" t="s">
        <v>20654</v>
      </c>
      <c r="D1878" s="14" t="s">
        <v>20655</v>
      </c>
      <c r="E1878" s="26" t="str">
        <f t="shared" si="27"/>
        <v>http://dx.doi.org/10.1109/VAST.2009.5333967</v>
      </c>
      <c r="F1878" s="14"/>
      <c r="G1878" s="14"/>
      <c r="H1878" s="14" t="s">
        <v>21</v>
      </c>
      <c r="I1878" s="19" t="s">
        <v>20656</v>
      </c>
      <c r="J1878" s="19" t="s">
        <v>20657</v>
      </c>
      <c r="K1878" s="19" t="s">
        <v>20657</v>
      </c>
      <c r="L1878" s="19" t="s">
        <v>20658</v>
      </c>
      <c r="M1878" s="20"/>
      <c r="N1878" s="27"/>
      <c r="O1878" s="22">
        <v>0.0</v>
      </c>
      <c r="P1878" s="28">
        <v>0.0</v>
      </c>
      <c r="Q1878" s="28">
        <v>0.0</v>
      </c>
      <c r="R1878" s="84"/>
      <c r="S1878" s="84"/>
      <c r="T1878" s="84"/>
      <c r="U1878" s="84"/>
      <c r="V1878" s="84"/>
      <c r="W1878" s="84"/>
      <c r="X1878" s="84"/>
      <c r="Y1878" s="84"/>
      <c r="Z1878" s="84"/>
      <c r="AA1878" s="84"/>
    </row>
    <row r="1879" ht="15.75" customHeight="1">
      <c r="A1879" s="14" t="s">
        <v>120</v>
      </c>
      <c r="B1879" s="15" t="s">
        <v>20032</v>
      </c>
      <c r="C1879" s="14" t="s">
        <v>20659</v>
      </c>
      <c r="D1879" s="14" t="s">
        <v>20660</v>
      </c>
      <c r="E1879" s="26" t="str">
        <f t="shared" si="27"/>
        <v>http://dx.doi.org/10.1109/VAST.2009.5333968</v>
      </c>
      <c r="F1879" s="14"/>
      <c r="G1879" s="14"/>
      <c r="H1879" s="14" t="s">
        <v>21</v>
      </c>
      <c r="I1879" s="19" t="s">
        <v>20661</v>
      </c>
      <c r="J1879" s="19" t="s">
        <v>20662</v>
      </c>
      <c r="K1879" s="19" t="s">
        <v>20663</v>
      </c>
      <c r="L1879" s="19" t="s">
        <v>20664</v>
      </c>
      <c r="M1879" s="20"/>
      <c r="N1879" s="27"/>
      <c r="O1879" s="22">
        <v>50.0</v>
      </c>
      <c r="P1879" s="28">
        <v>0.0</v>
      </c>
      <c r="Q1879" s="28">
        <v>1.0</v>
      </c>
      <c r="R1879" s="84"/>
      <c r="S1879" s="84"/>
      <c r="T1879" s="84"/>
      <c r="U1879" s="84"/>
      <c r="V1879" s="84"/>
      <c r="W1879" s="84"/>
      <c r="X1879" s="84"/>
      <c r="Y1879" s="84"/>
      <c r="Z1879" s="84"/>
      <c r="AA1879" s="84"/>
    </row>
    <row r="1880" ht="15.75" customHeight="1">
      <c r="A1880" s="14" t="s">
        <v>120</v>
      </c>
      <c r="B1880" s="15" t="s">
        <v>20032</v>
      </c>
      <c r="C1880" s="14" t="s">
        <v>20666</v>
      </c>
      <c r="D1880" s="14" t="s">
        <v>20668</v>
      </c>
      <c r="E1880" s="26" t="str">
        <f t="shared" si="27"/>
        <v>http://dx.doi.org/10.1109/VAST.2009.5334300</v>
      </c>
      <c r="F1880" s="14"/>
      <c r="G1880" s="14"/>
      <c r="H1880" s="14" t="s">
        <v>21</v>
      </c>
      <c r="I1880" s="19" t="s">
        <v>20669</v>
      </c>
      <c r="J1880" s="19" t="s">
        <v>20670</v>
      </c>
      <c r="K1880" s="19" t="s">
        <v>20671</v>
      </c>
      <c r="L1880" s="19" t="s">
        <v>20672</v>
      </c>
      <c r="M1880" s="20"/>
      <c r="N1880" s="27"/>
      <c r="O1880" s="22">
        <v>12.0</v>
      </c>
      <c r="P1880" s="28">
        <v>1.0</v>
      </c>
      <c r="Q1880" s="28">
        <v>3.0</v>
      </c>
      <c r="R1880" s="84"/>
      <c r="S1880" s="84"/>
      <c r="T1880" s="84"/>
      <c r="U1880" s="84"/>
      <c r="V1880" s="84"/>
      <c r="W1880" s="84"/>
      <c r="X1880" s="84"/>
      <c r="Y1880" s="84"/>
      <c r="Z1880" s="84"/>
      <c r="AA1880" s="84"/>
    </row>
    <row r="1881" ht="15.75" customHeight="1">
      <c r="A1881" s="14" t="s">
        <v>120</v>
      </c>
      <c r="B1881" s="15" t="s">
        <v>20032</v>
      </c>
      <c r="C1881" s="14" t="s">
        <v>20673</v>
      </c>
      <c r="D1881" s="14" t="s">
        <v>20674</v>
      </c>
      <c r="E1881" s="26" t="str">
        <f t="shared" si="27"/>
        <v>http://dx.doi.org/10.1109/VAST.2009.5334301</v>
      </c>
      <c r="F1881" s="14"/>
      <c r="G1881" s="14"/>
      <c r="H1881" s="14" t="s">
        <v>21</v>
      </c>
      <c r="I1881" s="19" t="s">
        <v>20675</v>
      </c>
      <c r="J1881" s="19" t="s">
        <v>20676</v>
      </c>
      <c r="K1881" s="19" t="s">
        <v>20676</v>
      </c>
      <c r="L1881" s="19" t="s">
        <v>20677</v>
      </c>
      <c r="M1881" s="20"/>
      <c r="N1881" s="27"/>
      <c r="O1881" s="22">
        <v>50.0</v>
      </c>
      <c r="P1881" s="28">
        <v>0.0</v>
      </c>
      <c r="Q1881" s="28">
        <v>0.0</v>
      </c>
      <c r="R1881" s="84"/>
      <c r="S1881" s="84"/>
      <c r="T1881" s="84"/>
      <c r="U1881" s="84"/>
      <c r="V1881" s="84"/>
      <c r="W1881" s="84"/>
      <c r="X1881" s="84"/>
      <c r="Y1881" s="84"/>
      <c r="Z1881" s="84"/>
      <c r="AA1881" s="84"/>
    </row>
    <row r="1882" ht="15.75" customHeight="1">
      <c r="A1882" s="14" t="s">
        <v>120</v>
      </c>
      <c r="B1882" s="15" t="s">
        <v>20032</v>
      </c>
      <c r="C1882" s="14" t="s">
        <v>20679</v>
      </c>
      <c r="D1882" s="14" t="s">
        <v>20680</v>
      </c>
      <c r="E1882" s="26" t="str">
        <f t="shared" si="27"/>
        <v>http://dx.doi.org/10.1109/VAST.2009.5334426</v>
      </c>
      <c r="F1882" s="14"/>
      <c r="G1882" s="14"/>
      <c r="H1882" s="14" t="s">
        <v>21</v>
      </c>
      <c r="I1882" s="19" t="s">
        <v>20682</v>
      </c>
      <c r="J1882" s="19" t="s">
        <v>20683</v>
      </c>
      <c r="K1882" s="19" t="s">
        <v>20684</v>
      </c>
      <c r="L1882" s="19" t="s">
        <v>20685</v>
      </c>
      <c r="M1882" s="20"/>
      <c r="N1882" s="27"/>
      <c r="O1882" s="22">
        <v>2.0</v>
      </c>
      <c r="P1882" s="28">
        <v>0.0</v>
      </c>
      <c r="Q1882" s="28">
        <v>1.0</v>
      </c>
      <c r="R1882" s="84"/>
      <c r="S1882" s="84"/>
      <c r="T1882" s="84"/>
      <c r="U1882" s="84"/>
      <c r="V1882" s="84"/>
      <c r="W1882" s="84"/>
      <c r="X1882" s="84"/>
      <c r="Y1882" s="84"/>
      <c r="Z1882" s="84"/>
      <c r="AA1882" s="84"/>
    </row>
    <row r="1883" ht="15.75" customHeight="1">
      <c r="A1883" s="14" t="s">
        <v>120</v>
      </c>
      <c r="B1883" s="15" t="s">
        <v>20032</v>
      </c>
      <c r="C1883" s="14" t="s">
        <v>20686</v>
      </c>
      <c r="D1883" s="14" t="s">
        <v>20687</v>
      </c>
      <c r="E1883" s="26" t="str">
        <f t="shared" si="27"/>
        <v>http://dx.doi.org/10.1109/VAST.2009.5334430</v>
      </c>
      <c r="F1883" s="14"/>
      <c r="G1883" s="14"/>
      <c r="H1883" s="14" t="s">
        <v>21</v>
      </c>
      <c r="I1883" s="19" t="s">
        <v>20688</v>
      </c>
      <c r="J1883" s="19" t="s">
        <v>20689</v>
      </c>
      <c r="K1883" s="19" t="s">
        <v>20689</v>
      </c>
      <c r="L1883" s="19" t="s">
        <v>20690</v>
      </c>
      <c r="M1883" s="20"/>
      <c r="N1883" s="27"/>
      <c r="O1883" s="22">
        <v>50.0</v>
      </c>
      <c r="P1883" s="28">
        <v>0.0</v>
      </c>
      <c r="Q1883" s="28">
        <v>3.0</v>
      </c>
      <c r="R1883" s="84"/>
      <c r="S1883" s="84"/>
      <c r="T1883" s="84"/>
      <c r="U1883" s="84"/>
      <c r="V1883" s="84"/>
      <c r="W1883" s="84"/>
      <c r="X1883" s="84"/>
      <c r="Y1883" s="84"/>
      <c r="Z1883" s="84"/>
      <c r="AA1883" s="84"/>
    </row>
    <row r="1884" ht="15.75" customHeight="1">
      <c r="A1884" s="14" t="s">
        <v>120</v>
      </c>
      <c r="B1884" s="15" t="s">
        <v>20032</v>
      </c>
      <c r="C1884" s="14" t="s">
        <v>20691</v>
      </c>
      <c r="D1884" s="14" t="s">
        <v>20692</v>
      </c>
      <c r="E1884" s="26" t="str">
        <f t="shared" si="27"/>
        <v>http://dx.doi.org/10.1109/VAST.2009.5334454</v>
      </c>
      <c r="F1884" s="14"/>
      <c r="G1884" s="14"/>
      <c r="H1884" s="14" t="s">
        <v>21</v>
      </c>
      <c r="I1884" s="19" t="s">
        <v>20693</v>
      </c>
      <c r="J1884" s="19" t="s">
        <v>20694</v>
      </c>
      <c r="K1884" s="19" t="s">
        <v>20695</v>
      </c>
      <c r="L1884" s="19" t="s">
        <v>20696</v>
      </c>
      <c r="M1884" s="20"/>
      <c r="N1884" s="27"/>
      <c r="O1884" s="22">
        <v>50.0</v>
      </c>
      <c r="P1884" s="28">
        <v>0.0</v>
      </c>
      <c r="Q1884" s="28">
        <v>7.0</v>
      </c>
      <c r="R1884" s="84"/>
      <c r="S1884" s="84"/>
      <c r="T1884" s="84"/>
      <c r="U1884" s="84"/>
      <c r="V1884" s="84"/>
      <c r="W1884" s="84"/>
      <c r="X1884" s="84"/>
      <c r="Y1884" s="84"/>
      <c r="Z1884" s="84"/>
      <c r="AA1884" s="84"/>
    </row>
    <row r="1885" ht="15.75" customHeight="1">
      <c r="A1885" s="14" t="s">
        <v>120</v>
      </c>
      <c r="B1885" s="15" t="s">
        <v>20032</v>
      </c>
      <c r="C1885" s="14" t="s">
        <v>20697</v>
      </c>
      <c r="D1885" s="14" t="s">
        <v>20698</v>
      </c>
      <c r="E1885" s="26" t="str">
        <f t="shared" si="27"/>
        <v>http://dx.doi.org/10.1109/VAST.2009.5334456</v>
      </c>
      <c r="F1885" s="14"/>
      <c r="G1885" s="14"/>
      <c r="H1885" s="14" t="s">
        <v>21</v>
      </c>
      <c r="I1885" s="19" t="s">
        <v>20700</v>
      </c>
      <c r="J1885" s="19" t="s">
        <v>20701</v>
      </c>
      <c r="K1885" s="19" t="s">
        <v>20702</v>
      </c>
      <c r="L1885" s="19" t="s">
        <v>20703</v>
      </c>
      <c r="M1885" s="20"/>
      <c r="N1885" s="27"/>
      <c r="O1885" s="22">
        <v>50.0</v>
      </c>
      <c r="P1885" s="28">
        <v>0.0</v>
      </c>
      <c r="Q1885" s="28">
        <v>1.0</v>
      </c>
      <c r="R1885" s="84"/>
      <c r="S1885" s="84"/>
      <c r="T1885" s="84"/>
      <c r="U1885" s="84"/>
      <c r="V1885" s="84"/>
      <c r="W1885" s="84"/>
      <c r="X1885" s="84"/>
      <c r="Y1885" s="84"/>
      <c r="Z1885" s="84"/>
      <c r="AA1885" s="84"/>
    </row>
    <row r="1886" ht="15.75" customHeight="1">
      <c r="A1886" s="14" t="s">
        <v>120</v>
      </c>
      <c r="B1886" s="15" t="s">
        <v>20032</v>
      </c>
      <c r="C1886" s="14" t="s">
        <v>20704</v>
      </c>
      <c r="D1886" s="14" t="s">
        <v>20705</v>
      </c>
      <c r="E1886" s="26" t="str">
        <f t="shared" si="27"/>
        <v>http://dx.doi.org/10.1109/VAST.2009.5334460</v>
      </c>
      <c r="F1886" s="14"/>
      <c r="G1886" s="14"/>
      <c r="H1886" s="14" t="s">
        <v>21</v>
      </c>
      <c r="I1886" s="19" t="s">
        <v>20814</v>
      </c>
      <c r="J1886" s="19" t="s">
        <v>20815</v>
      </c>
      <c r="K1886" s="19" t="s">
        <v>20815</v>
      </c>
      <c r="L1886" s="19" t="s">
        <v>20816</v>
      </c>
      <c r="M1886" s="20"/>
      <c r="N1886" s="27"/>
      <c r="O1886" s="22">
        <v>0.0</v>
      </c>
      <c r="P1886" s="28">
        <v>0.0</v>
      </c>
      <c r="Q1886" s="28">
        <v>0.0</v>
      </c>
      <c r="R1886" s="84"/>
      <c r="S1886" s="84"/>
      <c r="T1886" s="84"/>
      <c r="U1886" s="84"/>
      <c r="V1886" s="84"/>
      <c r="W1886" s="84"/>
      <c r="X1886" s="84"/>
      <c r="Y1886" s="84"/>
      <c r="Z1886" s="84"/>
      <c r="AA1886" s="84"/>
    </row>
    <row r="1887" ht="15.75" customHeight="1">
      <c r="A1887" s="14" t="s">
        <v>120</v>
      </c>
      <c r="B1887" s="15" t="s">
        <v>20032</v>
      </c>
      <c r="C1887" s="14" t="s">
        <v>20817</v>
      </c>
      <c r="D1887" s="14" t="s">
        <v>20818</v>
      </c>
      <c r="E1887" s="26" t="str">
        <f t="shared" si="27"/>
        <v>http://dx.doi.org/10.1109/VAST.2009.5334462</v>
      </c>
      <c r="F1887" s="14"/>
      <c r="G1887" s="14"/>
      <c r="H1887" s="14" t="s">
        <v>21</v>
      </c>
      <c r="I1887" s="19" t="s">
        <v>20821</v>
      </c>
      <c r="J1887" s="19" t="s">
        <v>20822</v>
      </c>
      <c r="K1887" s="19" t="s">
        <v>20822</v>
      </c>
      <c r="L1887" s="19" t="s">
        <v>20823</v>
      </c>
      <c r="M1887" s="20"/>
      <c r="N1887" s="27"/>
      <c r="O1887" s="109"/>
      <c r="P1887" s="28">
        <v>1.0</v>
      </c>
      <c r="Q1887" s="28">
        <v>0.0</v>
      </c>
      <c r="R1887" s="84"/>
      <c r="S1887" s="84"/>
      <c r="T1887" s="84"/>
      <c r="U1887" s="84"/>
      <c r="V1887" s="84"/>
      <c r="W1887" s="84"/>
      <c r="X1887" s="84"/>
      <c r="Y1887" s="84"/>
      <c r="Z1887" s="84"/>
      <c r="AA1887" s="84"/>
    </row>
    <row r="1888" ht="15.75" customHeight="1">
      <c r="A1888" s="14" t="s">
        <v>120</v>
      </c>
      <c r="B1888" s="15" t="s">
        <v>20032</v>
      </c>
      <c r="C1888" s="14" t="s">
        <v>20824</v>
      </c>
      <c r="D1888" s="14" t="s">
        <v>20825</v>
      </c>
      <c r="E1888" s="26" t="str">
        <f t="shared" si="27"/>
        <v>http://dx.doi.org/10.1109/VAST.2009.5334463</v>
      </c>
      <c r="F1888" s="14"/>
      <c r="G1888" s="14"/>
      <c r="H1888" s="14" t="s">
        <v>21</v>
      </c>
      <c r="I1888" s="19" t="s">
        <v>20826</v>
      </c>
      <c r="J1888" s="19" t="s">
        <v>20827</v>
      </c>
      <c r="K1888" s="19" t="s">
        <v>20828</v>
      </c>
      <c r="L1888" s="19" t="s">
        <v>20829</v>
      </c>
      <c r="M1888" s="20"/>
      <c r="N1888" s="27"/>
      <c r="O1888" s="22">
        <v>0.0</v>
      </c>
      <c r="P1888" s="28">
        <v>0.0</v>
      </c>
      <c r="Q1888" s="28">
        <v>4.0</v>
      </c>
      <c r="R1888" s="84"/>
      <c r="S1888" s="84"/>
      <c r="T1888" s="84"/>
      <c r="U1888" s="84"/>
      <c r="V1888" s="84"/>
      <c r="W1888" s="84"/>
      <c r="X1888" s="84"/>
      <c r="Y1888" s="84"/>
      <c r="Z1888" s="84"/>
      <c r="AA1888" s="84"/>
    </row>
    <row r="1889" ht="15.75" customHeight="1">
      <c r="A1889" s="14" t="s">
        <v>17</v>
      </c>
      <c r="B1889" s="15" t="s">
        <v>20032</v>
      </c>
      <c r="C1889" s="14" t="s">
        <v>20830</v>
      </c>
      <c r="D1889" s="14" t="s">
        <v>20831</v>
      </c>
      <c r="E1889" s="26" t="str">
        <f t="shared" si="27"/>
        <v>http://dx.doi.org/10.1109/TVCG.2009.112</v>
      </c>
      <c r="F1889" s="14">
        <v>1433.0</v>
      </c>
      <c r="G1889" s="14">
        <v>1440.0</v>
      </c>
      <c r="H1889" s="14" t="s">
        <v>17059</v>
      </c>
      <c r="I1889" s="19" t="s">
        <v>20833</v>
      </c>
      <c r="J1889" s="19" t="s">
        <v>20834</v>
      </c>
      <c r="K1889" s="19" t="s">
        <v>20836</v>
      </c>
      <c r="L1889" s="19" t="s">
        <v>20837</v>
      </c>
      <c r="M1889" s="20" t="s">
        <v>20838</v>
      </c>
      <c r="N1889" s="44" t="s">
        <v>20839</v>
      </c>
      <c r="O1889" s="22">
        <v>54.0</v>
      </c>
      <c r="P1889" s="28">
        <v>27.0</v>
      </c>
      <c r="Q1889" s="28">
        <v>30.0</v>
      </c>
      <c r="R1889" s="84"/>
      <c r="S1889" s="84"/>
      <c r="T1889" s="84"/>
      <c r="U1889" s="84"/>
      <c r="V1889" s="84"/>
      <c r="W1889" s="84"/>
      <c r="X1889" s="84"/>
      <c r="Y1889" s="84"/>
      <c r="Z1889" s="84"/>
      <c r="AA1889" s="84"/>
    </row>
    <row r="1890" ht="15.75" customHeight="1">
      <c r="A1890" s="14" t="s">
        <v>17</v>
      </c>
      <c r="B1890" s="15" t="s">
        <v>20032</v>
      </c>
      <c r="C1890" s="14" t="s">
        <v>20840</v>
      </c>
      <c r="D1890" s="14" t="s">
        <v>20841</v>
      </c>
      <c r="E1890" s="26" t="str">
        <f t="shared" si="27"/>
        <v>http://dx.doi.org/10.1109/TVCG.2009.113</v>
      </c>
      <c r="F1890" s="14">
        <v>1291.0</v>
      </c>
      <c r="G1890" s="14">
        <v>1298.0</v>
      </c>
      <c r="H1890" s="14" t="s">
        <v>17059</v>
      </c>
      <c r="I1890" s="19" t="s">
        <v>20842</v>
      </c>
      <c r="J1890" s="19" t="s">
        <v>20843</v>
      </c>
      <c r="K1890" s="19" t="s">
        <v>20844</v>
      </c>
      <c r="L1890" s="19" t="s">
        <v>20845</v>
      </c>
      <c r="M1890" s="20" t="s">
        <v>20846</v>
      </c>
      <c r="N1890" s="44" t="s">
        <v>20847</v>
      </c>
      <c r="O1890" s="22">
        <v>80.0</v>
      </c>
      <c r="P1890" s="28">
        <v>41.0</v>
      </c>
      <c r="Q1890" s="28">
        <v>33.0</v>
      </c>
      <c r="R1890" s="84"/>
      <c r="S1890" s="84"/>
      <c r="T1890" s="84"/>
      <c r="U1890" s="84"/>
      <c r="V1890" s="84"/>
      <c r="W1890" s="84"/>
      <c r="X1890" s="84"/>
      <c r="Y1890" s="84"/>
      <c r="Z1890" s="84"/>
      <c r="AA1890" s="84"/>
    </row>
    <row r="1891" ht="15.75" customHeight="1">
      <c r="A1891" s="14" t="s">
        <v>17</v>
      </c>
      <c r="B1891" s="15" t="s">
        <v>20032</v>
      </c>
      <c r="C1891" s="14" t="s">
        <v>20848</v>
      </c>
      <c r="D1891" s="14" t="s">
        <v>20849</v>
      </c>
      <c r="E1891" s="26" t="str">
        <f t="shared" si="27"/>
        <v>http://dx.doi.org/10.1109/TVCG.2009.114</v>
      </c>
      <c r="F1891" s="14">
        <v>1209.0</v>
      </c>
      <c r="G1891" s="14">
        <v>1218.0</v>
      </c>
      <c r="H1891" s="14" t="s">
        <v>17059</v>
      </c>
      <c r="I1891" s="19" t="s">
        <v>20851</v>
      </c>
      <c r="J1891" s="19" t="s">
        <v>20852</v>
      </c>
      <c r="K1891" s="19" t="s">
        <v>20853</v>
      </c>
      <c r="L1891" s="19" t="s">
        <v>20854</v>
      </c>
      <c r="M1891" s="20" t="s">
        <v>20855</v>
      </c>
      <c r="N1891" s="44" t="s">
        <v>20856</v>
      </c>
      <c r="O1891" s="22">
        <v>115.0</v>
      </c>
      <c r="P1891" s="28">
        <v>58.0</v>
      </c>
      <c r="Q1891" s="28">
        <v>42.0</v>
      </c>
      <c r="R1891" s="84"/>
      <c r="S1891" s="84"/>
      <c r="T1891" s="84"/>
      <c r="U1891" s="84"/>
      <c r="V1891" s="84"/>
      <c r="W1891" s="84"/>
      <c r="X1891" s="84"/>
      <c r="Y1891" s="84"/>
      <c r="Z1891" s="84"/>
      <c r="AA1891" s="84"/>
    </row>
    <row r="1892" ht="15.75" customHeight="1">
      <c r="A1892" s="14" t="s">
        <v>17</v>
      </c>
      <c r="B1892" s="15" t="s">
        <v>20032</v>
      </c>
      <c r="C1892" s="14" t="s">
        <v>20858</v>
      </c>
      <c r="D1892" s="14" t="s">
        <v>20859</v>
      </c>
      <c r="E1892" s="26" t="str">
        <f t="shared" si="27"/>
        <v>http://dx.doi.org/10.1109/TVCG.2009.115</v>
      </c>
      <c r="F1892" s="14">
        <v>1343.0</v>
      </c>
      <c r="G1892" s="14">
        <v>1350.0</v>
      </c>
      <c r="H1892" s="14" t="s">
        <v>17059</v>
      </c>
      <c r="I1892" s="19" t="s">
        <v>20860</v>
      </c>
      <c r="J1892" s="19" t="s">
        <v>20861</v>
      </c>
      <c r="K1892" s="19" t="s">
        <v>20862</v>
      </c>
      <c r="L1892" s="19" t="s">
        <v>20863</v>
      </c>
      <c r="M1892" s="20" t="s">
        <v>20864</v>
      </c>
      <c r="N1892" s="44" t="s">
        <v>20865</v>
      </c>
      <c r="O1892" s="22">
        <v>50.0</v>
      </c>
      <c r="P1892" s="28">
        <v>10.0</v>
      </c>
      <c r="Q1892" s="28">
        <v>22.0</v>
      </c>
      <c r="R1892" s="84"/>
      <c r="S1892" s="84"/>
      <c r="T1892" s="84"/>
      <c r="U1892" s="84"/>
      <c r="V1892" s="84"/>
      <c r="W1892" s="84"/>
      <c r="X1892" s="84"/>
      <c r="Y1892" s="84"/>
      <c r="Z1892" s="84"/>
      <c r="AA1892" s="84"/>
    </row>
    <row r="1893" ht="15.75" customHeight="1">
      <c r="A1893" s="14" t="s">
        <v>17</v>
      </c>
      <c r="B1893" s="15" t="s">
        <v>20032</v>
      </c>
      <c r="C1893" s="14" t="s">
        <v>20866</v>
      </c>
      <c r="D1893" s="14" t="s">
        <v>20867</v>
      </c>
      <c r="E1893" s="26" t="str">
        <f t="shared" si="27"/>
        <v>http://dx.doi.org/10.1109/TVCG.2009.118</v>
      </c>
      <c r="F1893" s="14">
        <v>1489.0</v>
      </c>
      <c r="G1893" s="14">
        <v>1496.0</v>
      </c>
      <c r="H1893" s="14" t="s">
        <v>17059</v>
      </c>
      <c r="I1893" s="19" t="s">
        <v>20868</v>
      </c>
      <c r="J1893" s="19" t="s">
        <v>20869</v>
      </c>
      <c r="K1893" s="19" t="s">
        <v>20870</v>
      </c>
      <c r="L1893" s="19" t="s">
        <v>20871</v>
      </c>
      <c r="M1893" s="20" t="s">
        <v>20872</v>
      </c>
      <c r="N1893" s="44" t="s">
        <v>20873</v>
      </c>
      <c r="O1893" s="22">
        <v>64.0</v>
      </c>
      <c r="P1893" s="28">
        <v>47.0</v>
      </c>
      <c r="Q1893" s="28">
        <v>26.0</v>
      </c>
      <c r="R1893" s="84"/>
      <c r="S1893" s="84"/>
      <c r="T1893" s="84"/>
      <c r="U1893" s="84"/>
      <c r="V1893" s="84"/>
      <c r="W1893" s="84"/>
      <c r="X1893" s="84"/>
      <c r="Y1893" s="84"/>
      <c r="Z1893" s="84"/>
      <c r="AA1893" s="84"/>
    </row>
    <row r="1894" ht="15.75" customHeight="1">
      <c r="A1894" s="14" t="s">
        <v>17</v>
      </c>
      <c r="B1894" s="15" t="s">
        <v>20032</v>
      </c>
      <c r="C1894" s="14" t="s">
        <v>20874</v>
      </c>
      <c r="D1894" s="14" t="s">
        <v>20877</v>
      </c>
      <c r="E1894" s="26" t="str">
        <f t="shared" si="27"/>
        <v>http://dx.doi.org/10.1109/TVCG.2009.119</v>
      </c>
      <c r="F1894" s="14">
        <v>1185.0</v>
      </c>
      <c r="G1894" s="14">
        <v>1192.0</v>
      </c>
      <c r="H1894" s="14" t="s">
        <v>17059</v>
      </c>
      <c r="I1894" s="19" t="s">
        <v>20878</v>
      </c>
      <c r="J1894" s="19" t="s">
        <v>20879</v>
      </c>
      <c r="K1894" s="19" t="s">
        <v>20879</v>
      </c>
      <c r="L1894" s="19" t="s">
        <v>20880</v>
      </c>
      <c r="M1894" s="20" t="s">
        <v>20881</v>
      </c>
      <c r="N1894" s="44" t="s">
        <v>20882</v>
      </c>
      <c r="O1894" s="22">
        <v>33.0</v>
      </c>
      <c r="P1894" s="28">
        <v>19.0</v>
      </c>
      <c r="Q1894" s="28">
        <v>38.0</v>
      </c>
      <c r="R1894" s="84"/>
      <c r="S1894" s="84"/>
      <c r="T1894" s="84"/>
      <c r="U1894" s="84"/>
      <c r="V1894" s="84"/>
      <c r="W1894" s="84"/>
      <c r="X1894" s="84"/>
      <c r="Y1894" s="84"/>
      <c r="Z1894" s="84"/>
      <c r="AA1894" s="84"/>
    </row>
    <row r="1895" ht="15.75" customHeight="1">
      <c r="A1895" s="14" t="s">
        <v>17</v>
      </c>
      <c r="B1895" s="15" t="s">
        <v>20032</v>
      </c>
      <c r="C1895" s="14" t="s">
        <v>20883</v>
      </c>
      <c r="D1895" s="14" t="s">
        <v>20884</v>
      </c>
      <c r="E1895" s="26" t="str">
        <f t="shared" si="27"/>
        <v>http://dx.doi.org/10.1109/TVCG.2009.120</v>
      </c>
      <c r="F1895" s="14">
        <v>1481.0</v>
      </c>
      <c r="G1895" s="14">
        <v>1488.0</v>
      </c>
      <c r="H1895" s="14" t="s">
        <v>17059</v>
      </c>
      <c r="I1895" s="19" t="s">
        <v>20885</v>
      </c>
      <c r="J1895" s="19" t="s">
        <v>20886</v>
      </c>
      <c r="K1895" s="19" t="s">
        <v>20886</v>
      </c>
      <c r="L1895" s="19" t="s">
        <v>20887</v>
      </c>
      <c r="M1895" s="20" t="s">
        <v>20888</v>
      </c>
      <c r="N1895" s="44" t="s">
        <v>20889</v>
      </c>
      <c r="O1895" s="22">
        <v>74.0</v>
      </c>
      <c r="P1895" s="28">
        <v>42.0</v>
      </c>
      <c r="Q1895" s="28">
        <v>30.0</v>
      </c>
      <c r="R1895" s="84"/>
      <c r="S1895" s="84"/>
      <c r="T1895" s="84"/>
      <c r="U1895" s="84"/>
      <c r="V1895" s="84"/>
      <c r="W1895" s="84"/>
      <c r="X1895" s="84"/>
      <c r="Y1895" s="84"/>
      <c r="Z1895" s="84"/>
      <c r="AA1895" s="84"/>
    </row>
    <row r="1896" ht="15.75" customHeight="1">
      <c r="A1896" s="14" t="s">
        <v>17</v>
      </c>
      <c r="B1896" s="15" t="s">
        <v>20032</v>
      </c>
      <c r="C1896" s="14" t="s">
        <v>20891</v>
      </c>
      <c r="D1896" s="14" t="s">
        <v>20892</v>
      </c>
      <c r="E1896" s="26" t="str">
        <f t="shared" si="27"/>
        <v>http://dx.doi.org/10.1109/TVCG.2009.121</v>
      </c>
      <c r="F1896" s="14">
        <v>1497.0</v>
      </c>
      <c r="G1896" s="14">
        <v>1504.0</v>
      </c>
      <c r="H1896" s="14" t="s">
        <v>17059</v>
      </c>
      <c r="I1896" s="19" t="s">
        <v>20894</v>
      </c>
      <c r="J1896" s="19" t="s">
        <v>20895</v>
      </c>
      <c r="K1896" s="19" t="s">
        <v>20896</v>
      </c>
      <c r="L1896" s="19" t="s">
        <v>20897</v>
      </c>
      <c r="M1896" s="20" t="s">
        <v>20898</v>
      </c>
      <c r="N1896" s="44" t="s">
        <v>20899</v>
      </c>
      <c r="O1896" s="22">
        <v>55.0</v>
      </c>
      <c r="P1896" s="28">
        <v>33.0</v>
      </c>
      <c r="Q1896" s="28">
        <v>43.0</v>
      </c>
      <c r="R1896" s="84"/>
      <c r="S1896" s="84"/>
      <c r="T1896" s="84"/>
      <c r="U1896" s="84"/>
      <c r="V1896" s="84"/>
      <c r="W1896" s="84"/>
      <c r="X1896" s="84"/>
      <c r="Y1896" s="84"/>
      <c r="Z1896" s="84"/>
      <c r="AA1896" s="84"/>
    </row>
    <row r="1897" ht="15.75" customHeight="1">
      <c r="A1897" s="14" t="s">
        <v>17</v>
      </c>
      <c r="B1897" s="15" t="s">
        <v>20032</v>
      </c>
      <c r="C1897" s="14" t="s">
        <v>20900</v>
      </c>
      <c r="D1897" s="14" t="s">
        <v>20901</v>
      </c>
      <c r="E1897" s="26" t="str">
        <f t="shared" si="27"/>
        <v>http://dx.doi.org/10.1109/TVCG.2009.124</v>
      </c>
      <c r="F1897" s="14">
        <v>1317.0</v>
      </c>
      <c r="G1897" s="14">
        <v>1326.0</v>
      </c>
      <c r="H1897" s="14" t="s">
        <v>17059</v>
      </c>
      <c r="I1897" s="19" t="s">
        <v>20902</v>
      </c>
      <c r="J1897" s="19" t="s">
        <v>20903</v>
      </c>
      <c r="K1897" s="19" t="s">
        <v>20904</v>
      </c>
      <c r="L1897" s="19" t="s">
        <v>20905</v>
      </c>
      <c r="M1897" s="20" t="s">
        <v>20906</v>
      </c>
      <c r="N1897" s="44" t="s">
        <v>20907</v>
      </c>
      <c r="O1897" s="22">
        <v>72.0</v>
      </c>
      <c r="P1897" s="28">
        <v>32.0</v>
      </c>
      <c r="Q1897" s="28">
        <v>19.0</v>
      </c>
      <c r="R1897" s="84"/>
      <c r="S1897" s="84"/>
      <c r="T1897" s="84"/>
      <c r="U1897" s="84"/>
      <c r="V1897" s="84"/>
      <c r="W1897" s="84"/>
      <c r="X1897" s="84"/>
      <c r="Y1897" s="84"/>
      <c r="Z1897" s="84"/>
      <c r="AA1897" s="84"/>
    </row>
    <row r="1898" ht="15.75" customHeight="1">
      <c r="A1898" s="14" t="s">
        <v>17</v>
      </c>
      <c r="B1898" s="15" t="s">
        <v>20032</v>
      </c>
      <c r="C1898" s="14" t="s">
        <v>20908</v>
      </c>
      <c r="D1898" s="14" t="s">
        <v>20909</v>
      </c>
      <c r="E1898" s="26" t="str">
        <f t="shared" si="27"/>
        <v>http://dx.doi.org/10.1109/TVCG.2009.125</v>
      </c>
      <c r="F1898" s="14">
        <v>1457.0</v>
      </c>
      <c r="G1898" s="14">
        <v>1464.0</v>
      </c>
      <c r="H1898" s="14" t="s">
        <v>17059</v>
      </c>
      <c r="I1898" s="19" t="s">
        <v>20910</v>
      </c>
      <c r="J1898" s="19" t="s">
        <v>20911</v>
      </c>
      <c r="K1898" s="19" t="s">
        <v>20912</v>
      </c>
      <c r="L1898" s="19" t="s">
        <v>20913</v>
      </c>
      <c r="M1898" s="20" t="s">
        <v>20915</v>
      </c>
      <c r="N1898" s="44" t="s">
        <v>20916</v>
      </c>
      <c r="O1898" s="22">
        <v>50.0</v>
      </c>
      <c r="P1898" s="28">
        <v>10.0</v>
      </c>
      <c r="Q1898" s="28">
        <v>16.0</v>
      </c>
      <c r="R1898" s="84"/>
      <c r="S1898" s="84"/>
      <c r="T1898" s="84"/>
      <c r="U1898" s="84"/>
      <c r="V1898" s="84"/>
      <c r="W1898" s="84"/>
      <c r="X1898" s="84"/>
      <c r="Y1898" s="84"/>
      <c r="Z1898" s="84"/>
      <c r="AA1898" s="84"/>
    </row>
    <row r="1899" ht="15.75" customHeight="1">
      <c r="A1899" s="14" t="s">
        <v>17</v>
      </c>
      <c r="B1899" s="15" t="s">
        <v>20032</v>
      </c>
      <c r="C1899" s="14" t="s">
        <v>20918</v>
      </c>
      <c r="D1899" s="14" t="s">
        <v>20919</v>
      </c>
      <c r="E1899" s="26" t="str">
        <f t="shared" si="27"/>
        <v>http://dx.doi.org/10.1109/TVCG.2009.126</v>
      </c>
      <c r="F1899" s="14">
        <v>1219.0</v>
      </c>
      <c r="G1899" s="14">
        <v>1226.0</v>
      </c>
      <c r="H1899" s="14" t="s">
        <v>17059</v>
      </c>
      <c r="I1899" s="19" t="s">
        <v>20920</v>
      </c>
      <c r="J1899" s="19" t="s">
        <v>20921</v>
      </c>
      <c r="K1899" s="19" t="s">
        <v>20922</v>
      </c>
      <c r="L1899" s="19" t="s">
        <v>20913</v>
      </c>
      <c r="M1899" s="20" t="s">
        <v>20923</v>
      </c>
      <c r="N1899" s="44" t="s">
        <v>20924</v>
      </c>
      <c r="O1899" s="109"/>
      <c r="P1899" s="28">
        <v>24.0</v>
      </c>
      <c r="Q1899" s="28">
        <v>28.0</v>
      </c>
      <c r="R1899" s="84"/>
      <c r="S1899" s="84"/>
      <c r="T1899" s="84"/>
      <c r="U1899" s="84"/>
      <c r="V1899" s="84"/>
      <c r="W1899" s="84"/>
      <c r="X1899" s="84"/>
      <c r="Y1899" s="84"/>
      <c r="Z1899" s="84"/>
      <c r="AA1899" s="84"/>
    </row>
    <row r="1900" ht="15.75" customHeight="1">
      <c r="A1900" s="14" t="s">
        <v>17</v>
      </c>
      <c r="B1900" s="15" t="s">
        <v>20032</v>
      </c>
      <c r="C1900" s="14" t="s">
        <v>20925</v>
      </c>
      <c r="D1900" s="14" t="s">
        <v>20926</v>
      </c>
      <c r="E1900" s="26" t="str">
        <f t="shared" si="27"/>
        <v>http://dx.doi.org/10.1109/TVCG.2009.131</v>
      </c>
      <c r="F1900" s="14">
        <v>1531.0</v>
      </c>
      <c r="G1900" s="14">
        <v>1538.0</v>
      </c>
      <c r="H1900" s="14" t="s">
        <v>17059</v>
      </c>
      <c r="I1900" s="19" t="s">
        <v>20927</v>
      </c>
      <c r="J1900" s="19" t="s">
        <v>20928</v>
      </c>
      <c r="K1900" s="19" t="s">
        <v>20928</v>
      </c>
      <c r="L1900" s="19" t="s">
        <v>20929</v>
      </c>
      <c r="M1900" s="20" t="s">
        <v>20930</v>
      </c>
      <c r="N1900" s="44" t="s">
        <v>20931</v>
      </c>
      <c r="O1900" s="22">
        <v>68.0</v>
      </c>
      <c r="P1900" s="28">
        <v>48.0</v>
      </c>
      <c r="Q1900" s="28">
        <v>28.0</v>
      </c>
      <c r="R1900" s="84"/>
      <c r="S1900" s="84"/>
      <c r="T1900" s="84"/>
      <c r="U1900" s="84"/>
      <c r="V1900" s="84"/>
      <c r="W1900" s="84"/>
      <c r="X1900" s="84"/>
      <c r="Y1900" s="84"/>
      <c r="Z1900" s="84"/>
      <c r="AA1900" s="84"/>
    </row>
    <row r="1901" ht="15.75" customHeight="1">
      <c r="A1901" s="14" t="s">
        <v>17</v>
      </c>
      <c r="B1901" s="15" t="s">
        <v>20032</v>
      </c>
      <c r="C1901" s="14" t="s">
        <v>20933</v>
      </c>
      <c r="D1901" s="14" t="s">
        <v>20934</v>
      </c>
      <c r="E1901" s="26" t="str">
        <f t="shared" si="27"/>
        <v>http://dx.doi.org/10.1109/TVCG.2009.136</v>
      </c>
      <c r="F1901" s="14">
        <v>1235.0</v>
      </c>
      <c r="G1901" s="14">
        <v>1242.0</v>
      </c>
      <c r="H1901" s="14" t="s">
        <v>17059</v>
      </c>
      <c r="I1901" s="19" t="s">
        <v>20936</v>
      </c>
      <c r="J1901" s="19" t="s">
        <v>20937</v>
      </c>
      <c r="K1901" s="19" t="s">
        <v>20938</v>
      </c>
      <c r="L1901" s="19" t="s">
        <v>20939</v>
      </c>
      <c r="M1901" s="20" t="s">
        <v>20940</v>
      </c>
      <c r="N1901" s="44" t="s">
        <v>20941</v>
      </c>
      <c r="O1901" s="22">
        <v>31.0</v>
      </c>
      <c r="P1901" s="28">
        <v>20.0</v>
      </c>
      <c r="Q1901" s="28">
        <v>29.0</v>
      </c>
      <c r="R1901" s="84"/>
      <c r="S1901" s="84"/>
      <c r="T1901" s="84"/>
      <c r="U1901" s="84"/>
      <c r="V1901" s="84"/>
      <c r="W1901" s="84"/>
      <c r="X1901" s="84"/>
      <c r="Y1901" s="84"/>
      <c r="Z1901" s="84"/>
      <c r="AA1901" s="84"/>
    </row>
    <row r="1902" ht="15.75" customHeight="1">
      <c r="A1902" s="14" t="s">
        <v>17</v>
      </c>
      <c r="B1902" s="15" t="s">
        <v>20032</v>
      </c>
      <c r="C1902" s="14" t="s">
        <v>20942</v>
      </c>
      <c r="D1902" s="14" t="s">
        <v>20943</v>
      </c>
      <c r="E1902" s="26" t="str">
        <f t="shared" si="27"/>
        <v>http://dx.doi.org/10.1109/TVCG.2009.137</v>
      </c>
      <c r="F1902" s="14">
        <v>1595.0</v>
      </c>
      <c r="G1902" s="14">
        <v>1602.0</v>
      </c>
      <c r="H1902" s="14" t="s">
        <v>17059</v>
      </c>
      <c r="I1902" s="19" t="s">
        <v>20945</v>
      </c>
      <c r="J1902" s="19" t="s">
        <v>20946</v>
      </c>
      <c r="K1902" s="19" t="s">
        <v>20946</v>
      </c>
      <c r="L1902" s="19" t="s">
        <v>20947</v>
      </c>
      <c r="M1902" s="20" t="s">
        <v>20948</v>
      </c>
      <c r="N1902" s="44" t="s">
        <v>20949</v>
      </c>
      <c r="O1902" s="22">
        <v>50.0</v>
      </c>
      <c r="P1902" s="28">
        <v>5.0</v>
      </c>
      <c r="Q1902" s="28">
        <v>18.0</v>
      </c>
      <c r="R1902" s="84"/>
      <c r="S1902" s="84"/>
      <c r="T1902" s="84"/>
      <c r="U1902" s="84"/>
      <c r="V1902" s="84"/>
      <c r="W1902" s="84"/>
      <c r="X1902" s="84"/>
      <c r="Y1902" s="84"/>
      <c r="Z1902" s="84"/>
      <c r="AA1902" s="84"/>
    </row>
    <row r="1903" ht="15.75" customHeight="1">
      <c r="A1903" s="14" t="s">
        <v>17</v>
      </c>
      <c r="B1903" s="15" t="s">
        <v>20032</v>
      </c>
      <c r="C1903" s="14" t="s">
        <v>20951</v>
      </c>
      <c r="D1903" s="14" t="s">
        <v>20952</v>
      </c>
      <c r="E1903" s="26" t="str">
        <f t="shared" si="27"/>
        <v>http://dx.doi.org/10.1109/TVCG.2009.138</v>
      </c>
      <c r="F1903" s="14">
        <v>1299.0</v>
      </c>
      <c r="G1903" s="14">
        <v>1306.0</v>
      </c>
      <c r="H1903" s="14" t="s">
        <v>17059</v>
      </c>
      <c r="I1903" s="19" t="s">
        <v>20953</v>
      </c>
      <c r="J1903" s="19" t="s">
        <v>20954</v>
      </c>
      <c r="K1903" s="19" t="s">
        <v>20955</v>
      </c>
      <c r="L1903" s="19" t="s">
        <v>20956</v>
      </c>
      <c r="M1903" s="20" t="s">
        <v>20957</v>
      </c>
      <c r="N1903" s="44" t="s">
        <v>20958</v>
      </c>
      <c r="O1903" s="22">
        <v>113.0</v>
      </c>
      <c r="P1903" s="28">
        <v>56.0</v>
      </c>
      <c r="Q1903" s="28">
        <v>44.0</v>
      </c>
      <c r="R1903" s="85" t="s">
        <v>106</v>
      </c>
      <c r="S1903" s="84"/>
      <c r="T1903" s="84"/>
      <c r="U1903" s="84"/>
      <c r="V1903" s="84"/>
      <c r="W1903" s="84"/>
      <c r="X1903" s="84"/>
      <c r="Y1903" s="84"/>
      <c r="Z1903" s="84"/>
      <c r="AA1903" s="84"/>
    </row>
    <row r="1904" ht="15.75" customHeight="1">
      <c r="A1904" s="14" t="s">
        <v>17</v>
      </c>
      <c r="B1904" s="15" t="s">
        <v>20032</v>
      </c>
      <c r="C1904" s="14" t="s">
        <v>20959</v>
      </c>
      <c r="D1904" s="14" t="s">
        <v>20960</v>
      </c>
      <c r="E1904" s="26" t="str">
        <f t="shared" si="27"/>
        <v>http://dx.doi.org/10.1109/TVCG.2009.141</v>
      </c>
      <c r="F1904" s="14">
        <v>1449.0</v>
      </c>
      <c r="G1904" s="14">
        <v>1456.0</v>
      </c>
      <c r="H1904" s="14" t="s">
        <v>17059</v>
      </c>
      <c r="I1904" s="19" t="s">
        <v>20961</v>
      </c>
      <c r="J1904" s="19" t="s">
        <v>20962</v>
      </c>
      <c r="K1904" s="19" t="s">
        <v>20963</v>
      </c>
      <c r="L1904" s="19" t="s">
        <v>20913</v>
      </c>
      <c r="M1904" s="20" t="s">
        <v>20968</v>
      </c>
      <c r="N1904" s="44" t="s">
        <v>20969</v>
      </c>
      <c r="O1904" s="22">
        <v>77.0</v>
      </c>
      <c r="P1904" s="28">
        <v>36.0</v>
      </c>
      <c r="Q1904" s="28">
        <v>42.0</v>
      </c>
      <c r="R1904" s="84"/>
      <c r="S1904" s="84"/>
      <c r="T1904" s="84"/>
      <c r="U1904" s="84"/>
      <c r="V1904" s="84"/>
      <c r="W1904" s="84"/>
      <c r="X1904" s="84"/>
      <c r="Y1904" s="84"/>
      <c r="Z1904" s="84"/>
      <c r="AA1904" s="84"/>
    </row>
    <row r="1905" ht="15.75" customHeight="1">
      <c r="A1905" s="14" t="s">
        <v>17</v>
      </c>
      <c r="B1905" s="15" t="s">
        <v>20032</v>
      </c>
      <c r="C1905" s="14" t="s">
        <v>20971</v>
      </c>
      <c r="D1905" s="14" t="s">
        <v>20972</v>
      </c>
      <c r="E1905" s="26" t="str">
        <f t="shared" si="27"/>
        <v>http://dx.doi.org/10.1109/TVCG.2009.142</v>
      </c>
      <c r="F1905" s="14">
        <v>1251.0</v>
      </c>
      <c r="G1905" s="14">
        <v>1258.0</v>
      </c>
      <c r="H1905" s="14" t="s">
        <v>17059</v>
      </c>
      <c r="I1905" s="19" t="s">
        <v>20973</v>
      </c>
      <c r="J1905" s="19" t="s">
        <v>20974</v>
      </c>
      <c r="K1905" s="19" t="s">
        <v>20974</v>
      </c>
      <c r="L1905" s="19" t="s">
        <v>20975</v>
      </c>
      <c r="M1905" s="20" t="s">
        <v>20976</v>
      </c>
      <c r="N1905" s="44" t="s">
        <v>20977</v>
      </c>
      <c r="O1905" s="22">
        <v>50.0</v>
      </c>
      <c r="P1905" s="28">
        <v>26.0</v>
      </c>
      <c r="Q1905" s="28">
        <v>26.0</v>
      </c>
      <c r="R1905" s="84"/>
      <c r="S1905" s="84"/>
      <c r="T1905" s="84"/>
      <c r="U1905" s="84"/>
      <c r="V1905" s="84"/>
      <c r="W1905" s="84"/>
      <c r="X1905" s="84"/>
      <c r="Y1905" s="84"/>
      <c r="Z1905" s="84"/>
      <c r="AA1905" s="84"/>
    </row>
    <row r="1906" ht="15.75" customHeight="1">
      <c r="A1906" s="14" t="s">
        <v>17</v>
      </c>
      <c r="B1906" s="15" t="s">
        <v>20032</v>
      </c>
      <c r="C1906" s="14" t="s">
        <v>20978</v>
      </c>
      <c r="D1906" s="14" t="s">
        <v>20979</v>
      </c>
      <c r="E1906" s="26" t="str">
        <f t="shared" si="27"/>
        <v>http://dx.doi.org/10.1109/TVCG.2009.144</v>
      </c>
      <c r="F1906" s="14">
        <v>1547.0</v>
      </c>
      <c r="G1906" s="14">
        <v>1554.0</v>
      </c>
      <c r="H1906" s="14" t="s">
        <v>17059</v>
      </c>
      <c r="I1906" s="19" t="s">
        <v>20980</v>
      </c>
      <c r="J1906" s="19" t="s">
        <v>20981</v>
      </c>
      <c r="K1906" s="19" t="s">
        <v>20981</v>
      </c>
      <c r="L1906" s="19" t="s">
        <v>20984</v>
      </c>
      <c r="M1906" s="20" t="s">
        <v>20985</v>
      </c>
      <c r="N1906" s="44" t="s">
        <v>20986</v>
      </c>
      <c r="O1906" s="22">
        <v>40.0</v>
      </c>
      <c r="P1906" s="28">
        <v>20.0</v>
      </c>
      <c r="Q1906" s="28">
        <v>20.0</v>
      </c>
      <c r="R1906" s="84"/>
      <c r="S1906" s="84"/>
      <c r="T1906" s="84"/>
      <c r="U1906" s="84"/>
      <c r="V1906" s="84"/>
      <c r="W1906" s="84"/>
      <c r="X1906" s="84"/>
      <c r="Y1906" s="84"/>
      <c r="Z1906" s="84"/>
      <c r="AA1906" s="84"/>
    </row>
    <row r="1907" ht="15.75" customHeight="1">
      <c r="A1907" s="14" t="s">
        <v>17</v>
      </c>
      <c r="B1907" s="15" t="s">
        <v>20032</v>
      </c>
      <c r="C1907" s="14" t="s">
        <v>20987</v>
      </c>
      <c r="D1907" s="14" t="s">
        <v>20989</v>
      </c>
      <c r="E1907" s="26" t="str">
        <f t="shared" si="27"/>
        <v>http://dx.doi.org/10.1109/TVCG.2009.147</v>
      </c>
      <c r="F1907" s="14">
        <v>1587.0</v>
      </c>
      <c r="G1907" s="14">
        <v>1594.0</v>
      </c>
      <c r="H1907" s="14" t="s">
        <v>17059</v>
      </c>
      <c r="I1907" s="19" t="s">
        <v>20990</v>
      </c>
      <c r="J1907" s="19" t="s">
        <v>20991</v>
      </c>
      <c r="K1907" s="19" t="s">
        <v>20992</v>
      </c>
      <c r="L1907" s="19" t="s">
        <v>20993</v>
      </c>
      <c r="M1907" s="20" t="s">
        <v>20994</v>
      </c>
      <c r="N1907" s="44" t="s">
        <v>20995</v>
      </c>
      <c r="O1907" s="22">
        <v>50.0</v>
      </c>
      <c r="P1907" s="28">
        <v>11.0</v>
      </c>
      <c r="Q1907" s="28">
        <v>37.0</v>
      </c>
      <c r="R1907" s="84"/>
      <c r="S1907" s="84"/>
      <c r="T1907" s="84"/>
      <c r="U1907" s="84"/>
      <c r="V1907" s="84"/>
      <c r="W1907" s="84"/>
      <c r="X1907" s="84"/>
      <c r="Y1907" s="84"/>
      <c r="Z1907" s="84"/>
      <c r="AA1907" s="84"/>
    </row>
    <row r="1908" ht="15.75" customHeight="1">
      <c r="A1908" s="14" t="s">
        <v>17</v>
      </c>
      <c r="B1908" s="15" t="s">
        <v>20032</v>
      </c>
      <c r="C1908" s="14" t="s">
        <v>20996</v>
      </c>
      <c r="D1908" s="14" t="s">
        <v>20997</v>
      </c>
      <c r="E1908" s="26" t="str">
        <f t="shared" si="27"/>
        <v>http://dx.doi.org/10.1109/TVCG.2009.149</v>
      </c>
      <c r="F1908" s="14">
        <v>1611.0</v>
      </c>
      <c r="G1908" s="14">
        <v>1618.0</v>
      </c>
      <c r="H1908" s="14" t="s">
        <v>17059</v>
      </c>
      <c r="I1908" s="19" t="s">
        <v>20998</v>
      </c>
      <c r="J1908" s="19" t="s">
        <v>20999</v>
      </c>
      <c r="K1908" s="19" t="s">
        <v>21000</v>
      </c>
      <c r="L1908" s="18"/>
      <c r="M1908" s="20" t="s">
        <v>21001</v>
      </c>
      <c r="N1908" s="44" t="s">
        <v>21002</v>
      </c>
      <c r="O1908" s="109"/>
      <c r="P1908" s="28">
        <v>13.0</v>
      </c>
      <c r="Q1908" s="28">
        <v>20.0</v>
      </c>
      <c r="R1908" s="84"/>
      <c r="S1908" s="84"/>
      <c r="T1908" s="84"/>
      <c r="U1908" s="84"/>
      <c r="V1908" s="84"/>
      <c r="W1908" s="84"/>
      <c r="X1908" s="84"/>
      <c r="Y1908" s="84"/>
      <c r="Z1908" s="84"/>
      <c r="AA1908" s="84"/>
    </row>
    <row r="1909" ht="15.75" customHeight="1">
      <c r="A1909" s="14" t="s">
        <v>17</v>
      </c>
      <c r="B1909" s="15" t="s">
        <v>20032</v>
      </c>
      <c r="C1909" s="14" t="s">
        <v>21003</v>
      </c>
      <c r="D1909" s="14" t="s">
        <v>21004</v>
      </c>
      <c r="E1909" s="26" t="str">
        <f t="shared" si="27"/>
        <v>http://dx.doi.org/10.1109/TVCG.2009.150</v>
      </c>
      <c r="F1909" s="14">
        <v>1275.0</v>
      </c>
      <c r="G1909" s="14">
        <v>1282.0</v>
      </c>
      <c r="H1909" s="14" t="s">
        <v>17059</v>
      </c>
      <c r="I1909" s="19" t="s">
        <v>21006</v>
      </c>
      <c r="J1909" s="19" t="s">
        <v>21007</v>
      </c>
      <c r="K1909" s="19" t="s">
        <v>21008</v>
      </c>
      <c r="L1909" s="19" t="s">
        <v>21009</v>
      </c>
      <c r="M1909" s="20" t="s">
        <v>21010</v>
      </c>
      <c r="N1909" s="44" t="s">
        <v>21011</v>
      </c>
      <c r="O1909" s="22">
        <v>50.0</v>
      </c>
      <c r="P1909" s="28">
        <v>21.0</v>
      </c>
      <c r="Q1909" s="28">
        <v>35.0</v>
      </c>
      <c r="R1909" s="84"/>
      <c r="S1909" s="84"/>
      <c r="T1909" s="84"/>
      <c r="U1909" s="84"/>
      <c r="V1909" s="84"/>
      <c r="W1909" s="84"/>
      <c r="X1909" s="84"/>
      <c r="Y1909" s="84"/>
      <c r="Z1909" s="84"/>
      <c r="AA1909" s="84"/>
    </row>
    <row r="1910" ht="15.75" customHeight="1">
      <c r="A1910" s="14" t="s">
        <v>17</v>
      </c>
      <c r="B1910" s="15" t="s">
        <v>20032</v>
      </c>
      <c r="C1910" s="14" t="s">
        <v>21012</v>
      </c>
      <c r="D1910" s="14" t="s">
        <v>21013</v>
      </c>
      <c r="E1910" s="26" t="str">
        <f t="shared" si="27"/>
        <v>http://dx.doi.org/10.1109/TVCG.2009.152</v>
      </c>
      <c r="F1910" s="14">
        <v>1383.0</v>
      </c>
      <c r="G1910" s="14">
        <v>1390.0</v>
      </c>
      <c r="H1910" s="14" t="s">
        <v>17059</v>
      </c>
      <c r="I1910" s="19" t="s">
        <v>21014</v>
      </c>
      <c r="J1910" s="19" t="s">
        <v>21015</v>
      </c>
      <c r="K1910" s="19" t="s">
        <v>21016</v>
      </c>
      <c r="L1910" s="19" t="s">
        <v>21017</v>
      </c>
      <c r="M1910" s="20" t="s">
        <v>21018</v>
      </c>
      <c r="N1910" s="44" t="s">
        <v>21019</v>
      </c>
      <c r="O1910" s="22">
        <v>57.0</v>
      </c>
      <c r="P1910" s="28">
        <v>26.0</v>
      </c>
      <c r="Q1910" s="28">
        <v>22.0</v>
      </c>
      <c r="R1910" s="84"/>
      <c r="S1910" s="84"/>
      <c r="T1910" s="84"/>
      <c r="U1910" s="84"/>
      <c r="V1910" s="84"/>
      <c r="W1910" s="84"/>
      <c r="X1910" s="84"/>
      <c r="Y1910" s="84"/>
      <c r="Z1910" s="84"/>
      <c r="AA1910" s="84"/>
    </row>
    <row r="1911" ht="15.75" customHeight="1">
      <c r="A1911" s="14" t="s">
        <v>17</v>
      </c>
      <c r="B1911" s="15" t="s">
        <v>20032</v>
      </c>
      <c r="C1911" s="14" t="s">
        <v>21020</v>
      </c>
      <c r="D1911" s="14" t="s">
        <v>21021</v>
      </c>
      <c r="E1911" s="26" t="str">
        <f t="shared" si="27"/>
        <v>http://dx.doi.org/10.1109/TVCG.2009.154</v>
      </c>
      <c r="F1911" s="14">
        <v>1259.0</v>
      </c>
      <c r="G1911" s="14">
        <v>1266.0</v>
      </c>
      <c r="H1911" s="14" t="s">
        <v>17059</v>
      </c>
      <c r="I1911" s="19" t="s">
        <v>21023</v>
      </c>
      <c r="J1911" s="19" t="s">
        <v>21024</v>
      </c>
      <c r="K1911" s="19" t="s">
        <v>21025</v>
      </c>
      <c r="L1911" s="19" t="s">
        <v>21026</v>
      </c>
      <c r="M1911" s="20" t="s">
        <v>21027</v>
      </c>
      <c r="N1911" s="44" t="s">
        <v>21028</v>
      </c>
      <c r="O1911" s="22">
        <v>55.0</v>
      </c>
      <c r="P1911" s="28">
        <v>26.0</v>
      </c>
      <c r="Q1911" s="28">
        <v>20.0</v>
      </c>
      <c r="R1911" s="84"/>
      <c r="S1911" s="84"/>
      <c r="T1911" s="84"/>
      <c r="U1911" s="84"/>
      <c r="V1911" s="84"/>
      <c r="W1911" s="84"/>
      <c r="X1911" s="84"/>
      <c r="Y1911" s="84"/>
      <c r="Z1911" s="84"/>
      <c r="AA1911" s="84"/>
    </row>
    <row r="1912" ht="15.75" customHeight="1">
      <c r="A1912" s="14" t="s">
        <v>17</v>
      </c>
      <c r="B1912" s="15" t="s">
        <v>20032</v>
      </c>
      <c r="C1912" s="14" t="s">
        <v>21030</v>
      </c>
      <c r="D1912" s="14" t="s">
        <v>21031</v>
      </c>
      <c r="E1912" s="26" t="str">
        <f t="shared" si="27"/>
        <v>http://dx.doi.org/10.1109/TVCG.2009.155</v>
      </c>
      <c r="F1912" s="14">
        <v>1351.0</v>
      </c>
      <c r="G1912" s="14">
        <v>1358.0</v>
      </c>
      <c r="H1912" s="14" t="s">
        <v>17059</v>
      </c>
      <c r="I1912" s="19" t="s">
        <v>21032</v>
      </c>
      <c r="J1912" s="19" t="s">
        <v>21033</v>
      </c>
      <c r="K1912" s="19" t="s">
        <v>21033</v>
      </c>
      <c r="L1912" s="19" t="s">
        <v>21034</v>
      </c>
      <c r="M1912" s="20" t="s">
        <v>21035</v>
      </c>
      <c r="N1912" s="44" t="s">
        <v>21036</v>
      </c>
      <c r="O1912" s="109"/>
      <c r="P1912" s="28">
        <v>16.0</v>
      </c>
      <c r="Q1912" s="28">
        <v>23.0</v>
      </c>
      <c r="R1912" s="84"/>
      <c r="S1912" s="84"/>
      <c r="T1912" s="84"/>
      <c r="U1912" s="84"/>
      <c r="V1912" s="84"/>
      <c r="W1912" s="84"/>
      <c r="X1912" s="84"/>
      <c r="Y1912" s="84"/>
      <c r="Z1912" s="84"/>
      <c r="AA1912" s="84"/>
    </row>
    <row r="1913" ht="15.75" customHeight="1">
      <c r="A1913" s="14" t="s">
        <v>17</v>
      </c>
      <c r="B1913" s="15" t="s">
        <v>20032</v>
      </c>
      <c r="C1913" s="14" t="s">
        <v>21037</v>
      </c>
      <c r="D1913" s="14" t="s">
        <v>21038</v>
      </c>
      <c r="E1913" s="26" t="str">
        <f t="shared" si="27"/>
        <v>http://dx.doi.org/10.1109/TVCG.2009.156</v>
      </c>
      <c r="F1913" s="14">
        <v>1335.0</v>
      </c>
      <c r="G1913" s="14">
        <v>1342.0</v>
      </c>
      <c r="H1913" s="14" t="s">
        <v>17059</v>
      </c>
      <c r="I1913" s="19" t="s">
        <v>21039</v>
      </c>
      <c r="J1913" s="19" t="s">
        <v>21040</v>
      </c>
      <c r="K1913" s="19" t="s">
        <v>21042</v>
      </c>
      <c r="L1913" s="19" t="s">
        <v>21043</v>
      </c>
      <c r="M1913" s="20" t="s">
        <v>21045</v>
      </c>
      <c r="N1913" s="44" t="s">
        <v>21046</v>
      </c>
      <c r="O1913" s="22">
        <v>10.0</v>
      </c>
      <c r="P1913" s="28">
        <v>8.0</v>
      </c>
      <c r="Q1913" s="28">
        <v>23.0</v>
      </c>
      <c r="R1913" s="84"/>
      <c r="S1913" s="84"/>
      <c r="T1913" s="84"/>
      <c r="U1913" s="84"/>
      <c r="V1913" s="84"/>
      <c r="W1913" s="84"/>
      <c r="X1913" s="84"/>
      <c r="Y1913" s="84"/>
      <c r="Z1913" s="84"/>
      <c r="AA1913" s="84"/>
    </row>
    <row r="1914" ht="15.75" customHeight="1">
      <c r="A1914" s="14" t="s">
        <v>17</v>
      </c>
      <c r="B1914" s="15" t="s">
        <v>20032</v>
      </c>
      <c r="C1914" s="14" t="s">
        <v>21047</v>
      </c>
      <c r="D1914" s="14" t="s">
        <v>21048</v>
      </c>
      <c r="E1914" s="26" t="str">
        <f t="shared" si="27"/>
        <v>http://dx.doi.org/10.1109/TVCG.2009.157</v>
      </c>
      <c r="F1914" s="14">
        <v>1391.0</v>
      </c>
      <c r="G1914" s="14">
        <v>1398.0</v>
      </c>
      <c r="H1914" s="14" t="s">
        <v>17059</v>
      </c>
      <c r="I1914" s="19" t="s">
        <v>21050</v>
      </c>
      <c r="J1914" s="19" t="s">
        <v>21051</v>
      </c>
      <c r="K1914" s="19" t="s">
        <v>21051</v>
      </c>
      <c r="L1914" s="19" t="s">
        <v>21052</v>
      </c>
      <c r="M1914" s="20" t="s">
        <v>21053</v>
      </c>
      <c r="N1914" s="44" t="s">
        <v>21054</v>
      </c>
      <c r="O1914" s="22">
        <v>79.0</v>
      </c>
      <c r="P1914" s="28">
        <v>49.0</v>
      </c>
      <c r="Q1914" s="28">
        <v>42.0</v>
      </c>
      <c r="R1914" s="85" t="s">
        <v>19037</v>
      </c>
      <c r="S1914" s="84"/>
      <c r="T1914" s="84"/>
      <c r="U1914" s="84"/>
      <c r="V1914" s="84"/>
      <c r="W1914" s="84"/>
      <c r="X1914" s="84"/>
      <c r="Y1914" s="84"/>
      <c r="Z1914" s="84"/>
      <c r="AA1914" s="84"/>
    </row>
    <row r="1915" ht="15.75" customHeight="1">
      <c r="A1915" s="14" t="s">
        <v>17</v>
      </c>
      <c r="B1915" s="15" t="s">
        <v>20032</v>
      </c>
      <c r="C1915" s="14" t="s">
        <v>21055</v>
      </c>
      <c r="D1915" s="14" t="s">
        <v>21056</v>
      </c>
      <c r="E1915" s="26" t="str">
        <f t="shared" si="27"/>
        <v>http://dx.doi.org/10.1109/TVCG.2009.158</v>
      </c>
      <c r="F1915" s="14">
        <v>1579.0</v>
      </c>
      <c r="G1915" s="14">
        <v>5186.0</v>
      </c>
      <c r="H1915" s="14" t="s">
        <v>17059</v>
      </c>
      <c r="I1915" s="19" t="s">
        <v>21057</v>
      </c>
      <c r="J1915" s="19" t="s">
        <v>21058</v>
      </c>
      <c r="K1915" s="19" t="s">
        <v>21058</v>
      </c>
      <c r="L1915" s="19" t="s">
        <v>21060</v>
      </c>
      <c r="M1915" s="20" t="s">
        <v>21061</v>
      </c>
      <c r="N1915" s="44" t="s">
        <v>21062</v>
      </c>
      <c r="O1915" s="22">
        <v>50.0</v>
      </c>
      <c r="P1915" s="28">
        <v>6.0</v>
      </c>
      <c r="Q1915" s="28">
        <v>32.0</v>
      </c>
      <c r="R1915" s="84"/>
      <c r="S1915" s="84"/>
      <c r="T1915" s="84"/>
      <c r="U1915" s="84"/>
      <c r="V1915" s="84"/>
      <c r="W1915" s="84"/>
      <c r="X1915" s="84"/>
      <c r="Y1915" s="84"/>
      <c r="Z1915" s="84"/>
      <c r="AA1915" s="84"/>
    </row>
    <row r="1916" ht="15.75" customHeight="1">
      <c r="A1916" s="14" t="s">
        <v>17</v>
      </c>
      <c r="B1916" s="15" t="s">
        <v>20032</v>
      </c>
      <c r="C1916" s="14" t="s">
        <v>21064</v>
      </c>
      <c r="D1916" s="14" t="s">
        <v>21065</v>
      </c>
      <c r="E1916" s="26" t="str">
        <f t="shared" si="27"/>
        <v>http://dx.doi.org/10.1109/TVCG.2009.159</v>
      </c>
      <c r="F1916" s="14">
        <v>1193.0</v>
      </c>
      <c r="G1916" s="14">
        <v>1200.0</v>
      </c>
      <c r="H1916" s="14" t="s">
        <v>17059</v>
      </c>
      <c r="I1916" s="19" t="s">
        <v>21066</v>
      </c>
      <c r="J1916" s="19" t="s">
        <v>21067</v>
      </c>
      <c r="K1916" s="19" t="s">
        <v>21067</v>
      </c>
      <c r="L1916" s="19" t="s">
        <v>21068</v>
      </c>
      <c r="M1916" s="20" t="s">
        <v>19765</v>
      </c>
      <c r="N1916" s="44" t="s">
        <v>21069</v>
      </c>
      <c r="O1916" s="22">
        <v>50.0</v>
      </c>
      <c r="P1916" s="28">
        <v>22.0</v>
      </c>
      <c r="Q1916" s="28">
        <v>37.0</v>
      </c>
      <c r="R1916" s="84"/>
      <c r="S1916" s="84"/>
      <c r="T1916" s="84"/>
      <c r="U1916" s="84"/>
      <c r="V1916" s="84"/>
      <c r="W1916" s="84"/>
      <c r="X1916" s="84"/>
      <c r="Y1916" s="84"/>
      <c r="Z1916" s="84"/>
      <c r="AA1916" s="84"/>
    </row>
    <row r="1917" ht="15.75" customHeight="1">
      <c r="A1917" s="14" t="s">
        <v>17</v>
      </c>
      <c r="B1917" s="15" t="s">
        <v>20032</v>
      </c>
      <c r="C1917" s="14" t="s">
        <v>21070</v>
      </c>
      <c r="D1917" s="14" t="s">
        <v>21071</v>
      </c>
      <c r="E1917" s="26" t="str">
        <f t="shared" si="27"/>
        <v>http://dx.doi.org/10.1109/TVCG.2009.160</v>
      </c>
      <c r="F1917" s="14">
        <v>1367.0</v>
      </c>
      <c r="G1917" s="14">
        <v>1374.0</v>
      </c>
      <c r="H1917" s="14" t="s">
        <v>17059</v>
      </c>
      <c r="I1917" s="19" t="s">
        <v>21072</v>
      </c>
      <c r="J1917" s="19" t="s">
        <v>21073</v>
      </c>
      <c r="K1917" s="19" t="s">
        <v>21073</v>
      </c>
      <c r="L1917" s="19" t="s">
        <v>21074</v>
      </c>
      <c r="M1917" s="20" t="s">
        <v>21075</v>
      </c>
      <c r="N1917" s="44" t="s">
        <v>21076</v>
      </c>
      <c r="O1917" s="22">
        <v>8.0</v>
      </c>
      <c r="P1917" s="28">
        <v>8.0</v>
      </c>
      <c r="Q1917" s="28">
        <v>30.0</v>
      </c>
      <c r="R1917" s="84"/>
      <c r="S1917" s="84"/>
      <c r="T1917" s="84"/>
      <c r="U1917" s="84"/>
      <c r="V1917" s="84"/>
      <c r="W1917" s="84"/>
      <c r="X1917" s="84"/>
      <c r="Y1917" s="84"/>
      <c r="Z1917" s="84"/>
      <c r="AA1917" s="84"/>
    </row>
    <row r="1918" ht="15.75" customHeight="1">
      <c r="A1918" s="14" t="s">
        <v>17</v>
      </c>
      <c r="B1918" s="15" t="s">
        <v>20032</v>
      </c>
      <c r="C1918" s="14" t="s">
        <v>21078</v>
      </c>
      <c r="D1918" s="14" t="s">
        <v>21079</v>
      </c>
      <c r="E1918" s="26" t="str">
        <f t="shared" si="27"/>
        <v>http://dx.doi.org/10.1109/TVCG.2009.161</v>
      </c>
      <c r="F1918" s="14">
        <v>1555.0</v>
      </c>
      <c r="G1918" s="14">
        <v>1562.0</v>
      </c>
      <c r="H1918" s="14" t="s">
        <v>17059</v>
      </c>
      <c r="I1918" s="19" t="s">
        <v>21081</v>
      </c>
      <c r="J1918" s="19" t="s">
        <v>21082</v>
      </c>
      <c r="K1918" s="19" t="s">
        <v>21083</v>
      </c>
      <c r="L1918" s="19" t="s">
        <v>21084</v>
      </c>
      <c r="M1918" s="20" t="s">
        <v>15028</v>
      </c>
      <c r="N1918" s="44" t="s">
        <v>21085</v>
      </c>
      <c r="O1918" s="22">
        <v>50.0</v>
      </c>
      <c r="P1918" s="28">
        <v>18.0</v>
      </c>
      <c r="Q1918" s="28">
        <v>25.0</v>
      </c>
      <c r="R1918" s="84"/>
      <c r="S1918" s="84"/>
      <c r="T1918" s="84"/>
      <c r="U1918" s="84"/>
      <c r="V1918" s="84"/>
      <c r="W1918" s="84"/>
      <c r="X1918" s="84"/>
      <c r="Y1918" s="84"/>
      <c r="Z1918" s="84"/>
      <c r="AA1918" s="84"/>
    </row>
    <row r="1919" ht="15.75" customHeight="1">
      <c r="A1919" s="14" t="s">
        <v>17</v>
      </c>
      <c r="B1919" s="15" t="s">
        <v>20032</v>
      </c>
      <c r="C1919" s="14" t="s">
        <v>21086</v>
      </c>
      <c r="D1919" s="14" t="s">
        <v>21087</v>
      </c>
      <c r="E1919" s="26" t="str">
        <f t="shared" si="27"/>
        <v>http://dx.doi.org/10.1109/TVCG.2009.163</v>
      </c>
      <c r="F1919" s="14">
        <v>1177.0</v>
      </c>
      <c r="G1919" s="14">
        <v>1184.0</v>
      </c>
      <c r="H1919" s="14" t="s">
        <v>17059</v>
      </c>
      <c r="I1919" s="19" t="s">
        <v>21088</v>
      </c>
      <c r="J1919" s="19" t="s">
        <v>21089</v>
      </c>
      <c r="K1919" s="19" t="s">
        <v>21089</v>
      </c>
      <c r="L1919" s="19" t="s">
        <v>21091</v>
      </c>
      <c r="M1919" s="20" t="s">
        <v>21092</v>
      </c>
      <c r="N1919" s="44" t="s">
        <v>21093</v>
      </c>
      <c r="O1919" s="22">
        <v>52.0</v>
      </c>
      <c r="P1919" s="28">
        <v>34.0</v>
      </c>
      <c r="Q1919" s="28">
        <v>29.0</v>
      </c>
      <c r="R1919" s="84"/>
      <c r="S1919" s="84"/>
      <c r="T1919" s="84"/>
      <c r="U1919" s="84"/>
      <c r="V1919" s="84"/>
      <c r="W1919" s="84"/>
      <c r="X1919" s="84"/>
      <c r="Y1919" s="84"/>
      <c r="Z1919" s="84"/>
      <c r="AA1919" s="84"/>
    </row>
    <row r="1920" ht="15.75" customHeight="1">
      <c r="A1920" s="14" t="s">
        <v>17</v>
      </c>
      <c r="B1920" s="15" t="s">
        <v>20032</v>
      </c>
      <c r="C1920" s="14" t="s">
        <v>21094</v>
      </c>
      <c r="D1920" s="14" t="s">
        <v>21096</v>
      </c>
      <c r="E1920" s="26" t="str">
        <f t="shared" si="27"/>
        <v>http://dx.doi.org/10.1109/TVCG.2009.164</v>
      </c>
      <c r="F1920" s="14">
        <v>1563.0</v>
      </c>
      <c r="G1920" s="14">
        <v>1570.0</v>
      </c>
      <c r="H1920" s="14" t="s">
        <v>17059</v>
      </c>
      <c r="I1920" s="19" t="s">
        <v>21097</v>
      </c>
      <c r="J1920" s="19" t="s">
        <v>21098</v>
      </c>
      <c r="K1920" s="19" t="s">
        <v>21099</v>
      </c>
      <c r="L1920" s="19" t="s">
        <v>21100</v>
      </c>
      <c r="M1920" s="20" t="s">
        <v>21101</v>
      </c>
      <c r="N1920" s="44" t="s">
        <v>21102</v>
      </c>
      <c r="O1920" s="22">
        <v>89.0</v>
      </c>
      <c r="P1920" s="28">
        <v>35.0</v>
      </c>
      <c r="Q1920" s="28">
        <v>31.0</v>
      </c>
      <c r="R1920" s="84"/>
      <c r="S1920" s="84"/>
      <c r="T1920" s="84"/>
      <c r="U1920" s="84"/>
      <c r="V1920" s="84"/>
      <c r="W1920" s="84"/>
      <c r="X1920" s="84"/>
      <c r="Y1920" s="84"/>
      <c r="Z1920" s="84"/>
      <c r="AA1920" s="84"/>
    </row>
    <row r="1921" ht="15.75" customHeight="1">
      <c r="A1921" s="14" t="s">
        <v>17</v>
      </c>
      <c r="B1921" s="15" t="s">
        <v>20032</v>
      </c>
      <c r="C1921" s="14" t="s">
        <v>21103</v>
      </c>
      <c r="D1921" s="14" t="s">
        <v>21104</v>
      </c>
      <c r="E1921" s="26" t="str">
        <f t="shared" si="27"/>
        <v>http://dx.doi.org/10.1109/TVCG.2009.166</v>
      </c>
      <c r="F1921" s="14">
        <v>1307.0</v>
      </c>
      <c r="G1921" s="14">
        <v>1316.0</v>
      </c>
      <c r="H1921" s="14" t="s">
        <v>17059</v>
      </c>
      <c r="I1921" s="19" t="s">
        <v>21105</v>
      </c>
      <c r="J1921" s="19" t="s">
        <v>21106</v>
      </c>
      <c r="K1921" s="19" t="s">
        <v>21106</v>
      </c>
      <c r="L1921" s="19" t="s">
        <v>21107</v>
      </c>
      <c r="M1921" s="20" t="s">
        <v>21108</v>
      </c>
      <c r="N1921" s="44" t="s">
        <v>21109</v>
      </c>
      <c r="O1921" s="109"/>
      <c r="P1921" s="28">
        <v>26.0</v>
      </c>
      <c r="Q1921" s="28">
        <v>20.0</v>
      </c>
      <c r="R1921" s="85" t="s">
        <v>19037</v>
      </c>
      <c r="S1921" s="84"/>
      <c r="T1921" s="84"/>
      <c r="U1921" s="84"/>
      <c r="V1921" s="84"/>
      <c r="W1921" s="84"/>
      <c r="X1921" s="84"/>
      <c r="Y1921" s="84"/>
      <c r="Z1921" s="84"/>
      <c r="AA1921" s="84"/>
    </row>
    <row r="1922" ht="15.75" customHeight="1">
      <c r="A1922" s="14" t="s">
        <v>17</v>
      </c>
      <c r="B1922" s="15" t="s">
        <v>20032</v>
      </c>
      <c r="C1922" s="14" t="s">
        <v>21111</v>
      </c>
      <c r="D1922" s="14" t="s">
        <v>21112</v>
      </c>
      <c r="E1922" s="26" t="str">
        <f t="shared" si="27"/>
        <v>http://dx.doi.org/10.1109/TVCG.2009.168</v>
      </c>
      <c r="F1922" s="14">
        <v>1201.0</v>
      </c>
      <c r="G1922" s="14">
        <v>1208.0</v>
      </c>
      <c r="H1922" s="14" t="s">
        <v>17059</v>
      </c>
      <c r="I1922" s="19" t="s">
        <v>21113</v>
      </c>
      <c r="J1922" s="19" t="s">
        <v>21114</v>
      </c>
      <c r="K1922" s="19" t="s">
        <v>21114</v>
      </c>
      <c r="L1922" s="19" t="s">
        <v>21116</v>
      </c>
      <c r="M1922" s="20" t="s">
        <v>21117</v>
      </c>
      <c r="N1922" s="44" t="s">
        <v>21118</v>
      </c>
      <c r="O1922" s="22">
        <v>50.0</v>
      </c>
      <c r="P1922" s="28">
        <v>25.0</v>
      </c>
      <c r="Q1922" s="28">
        <v>35.0</v>
      </c>
      <c r="R1922" s="84"/>
      <c r="S1922" s="84"/>
      <c r="T1922" s="84"/>
      <c r="U1922" s="84"/>
      <c r="V1922" s="84"/>
      <c r="W1922" s="84"/>
      <c r="X1922" s="84"/>
      <c r="Y1922" s="84"/>
      <c r="Z1922" s="84"/>
      <c r="AA1922" s="84"/>
    </row>
    <row r="1923" ht="15.75" customHeight="1">
      <c r="A1923" s="14" t="s">
        <v>17</v>
      </c>
      <c r="B1923" s="15" t="s">
        <v>20032</v>
      </c>
      <c r="C1923" s="14" t="s">
        <v>21119</v>
      </c>
      <c r="D1923" s="14" t="s">
        <v>21120</v>
      </c>
      <c r="E1923" s="26" t="str">
        <f t="shared" si="27"/>
        <v>http://dx.doi.org/10.1109/TVCG.2009.169</v>
      </c>
      <c r="F1923" s="14">
        <v>1515.0</v>
      </c>
      <c r="G1923" s="14">
        <v>1522.0</v>
      </c>
      <c r="H1923" s="14" t="s">
        <v>17059</v>
      </c>
      <c r="I1923" s="19" t="s">
        <v>21121</v>
      </c>
      <c r="J1923" s="19" t="s">
        <v>21122</v>
      </c>
      <c r="K1923" s="19" t="s">
        <v>21123</v>
      </c>
      <c r="L1923" s="19" t="s">
        <v>21124</v>
      </c>
      <c r="M1923" s="20" t="s">
        <v>21125</v>
      </c>
      <c r="N1923" s="44" t="s">
        <v>21126</v>
      </c>
      <c r="O1923" s="22">
        <v>32.0</v>
      </c>
      <c r="P1923" s="28">
        <v>18.0</v>
      </c>
      <c r="Q1923" s="28">
        <v>36.0</v>
      </c>
      <c r="R1923" s="84"/>
      <c r="S1923" s="84"/>
      <c r="T1923" s="84"/>
      <c r="U1923" s="84"/>
      <c r="V1923" s="84"/>
      <c r="W1923" s="84"/>
      <c r="X1923" s="84"/>
      <c r="Y1923" s="84"/>
      <c r="Z1923" s="84"/>
      <c r="AA1923" s="84"/>
    </row>
    <row r="1924" ht="15.75" customHeight="1">
      <c r="A1924" s="14" t="s">
        <v>17</v>
      </c>
      <c r="B1924" s="15" t="s">
        <v>20032</v>
      </c>
      <c r="C1924" s="14" t="s">
        <v>21127</v>
      </c>
      <c r="D1924" s="14" t="s">
        <v>21128</v>
      </c>
      <c r="E1924" s="26" t="str">
        <f t="shared" si="27"/>
        <v>http://dx.doi.org/10.1109/TVCG.2009.170</v>
      </c>
      <c r="F1924" s="14">
        <v>1441.0</v>
      </c>
      <c r="G1924" s="14">
        <v>1448.0</v>
      </c>
      <c r="H1924" s="14" t="s">
        <v>17059</v>
      </c>
      <c r="I1924" s="19" t="s">
        <v>21130</v>
      </c>
      <c r="J1924" s="19" t="s">
        <v>21131</v>
      </c>
      <c r="K1924" s="19" t="s">
        <v>21132</v>
      </c>
      <c r="L1924" s="19" t="s">
        <v>21133</v>
      </c>
      <c r="M1924" s="20" t="s">
        <v>21134</v>
      </c>
      <c r="N1924" s="44" t="s">
        <v>21135</v>
      </c>
      <c r="O1924" s="22">
        <v>52.0</v>
      </c>
      <c r="P1924" s="28">
        <v>22.0</v>
      </c>
      <c r="Q1924" s="28">
        <v>33.0</v>
      </c>
      <c r="R1924" s="84"/>
      <c r="S1924" s="84"/>
      <c r="T1924" s="84"/>
      <c r="U1924" s="84"/>
      <c r="V1924" s="84"/>
      <c r="W1924" s="84"/>
      <c r="X1924" s="84"/>
      <c r="Y1924" s="84"/>
      <c r="Z1924" s="84"/>
      <c r="AA1924" s="84"/>
    </row>
    <row r="1925" ht="15.75" customHeight="1">
      <c r="A1925" s="14" t="s">
        <v>17</v>
      </c>
      <c r="B1925" s="15" t="s">
        <v>20032</v>
      </c>
      <c r="C1925" s="14" t="s">
        <v>21136</v>
      </c>
      <c r="D1925" s="14" t="s">
        <v>21137</v>
      </c>
      <c r="E1925" s="26" t="str">
        <f t="shared" si="27"/>
        <v>http://dx.doi.org/10.1109/TVCG.2009.172</v>
      </c>
      <c r="F1925" s="14">
        <v>1283.0</v>
      </c>
      <c r="G1925" s="14">
        <v>1290.0</v>
      </c>
      <c r="H1925" s="14" t="s">
        <v>17059</v>
      </c>
      <c r="I1925" s="19" t="s">
        <v>21138</v>
      </c>
      <c r="J1925" s="19" t="s">
        <v>21139</v>
      </c>
      <c r="K1925" s="19" t="s">
        <v>21140</v>
      </c>
      <c r="L1925" s="19" t="s">
        <v>21141</v>
      </c>
      <c r="M1925" s="20" t="s">
        <v>21142</v>
      </c>
      <c r="N1925" s="44" t="s">
        <v>21143</v>
      </c>
      <c r="O1925" s="22">
        <v>60.0</v>
      </c>
      <c r="P1925" s="28">
        <v>24.0</v>
      </c>
      <c r="Q1925" s="28">
        <v>29.0</v>
      </c>
      <c r="R1925" s="85" t="s">
        <v>19037</v>
      </c>
      <c r="S1925" s="84"/>
      <c r="T1925" s="84"/>
      <c r="U1925" s="84"/>
      <c r="V1925" s="84"/>
      <c r="W1925" s="84"/>
      <c r="X1925" s="84"/>
      <c r="Y1925" s="84"/>
      <c r="Z1925" s="84"/>
      <c r="AA1925" s="84"/>
    </row>
    <row r="1926" ht="15.75" customHeight="1">
      <c r="A1926" s="14" t="s">
        <v>17</v>
      </c>
      <c r="B1926" s="15" t="s">
        <v>20032</v>
      </c>
      <c r="C1926" s="14" t="s">
        <v>21144</v>
      </c>
      <c r="D1926" s="14" t="s">
        <v>21145</v>
      </c>
      <c r="E1926" s="26" t="str">
        <f t="shared" si="27"/>
        <v>http://dx.doi.org/10.1109/TVCG.2009.173</v>
      </c>
      <c r="F1926" s="14">
        <v>1243.0</v>
      </c>
      <c r="G1926" s="14">
        <v>1250.0</v>
      </c>
      <c r="H1926" s="14" t="s">
        <v>17059</v>
      </c>
      <c r="I1926" s="19" t="s">
        <v>21148</v>
      </c>
      <c r="J1926" s="19" t="s">
        <v>21149</v>
      </c>
      <c r="K1926" s="19" t="s">
        <v>21149</v>
      </c>
      <c r="L1926" s="19" t="s">
        <v>21150</v>
      </c>
      <c r="M1926" s="20" t="s">
        <v>21151</v>
      </c>
      <c r="N1926" s="44" t="s">
        <v>21152</v>
      </c>
      <c r="O1926" s="22">
        <v>50.0</v>
      </c>
      <c r="P1926" s="28">
        <v>5.0</v>
      </c>
      <c r="Q1926" s="28">
        <v>27.0</v>
      </c>
      <c r="R1926" s="84"/>
      <c r="S1926" s="84"/>
      <c r="T1926" s="84"/>
      <c r="U1926" s="84"/>
      <c r="V1926" s="84"/>
      <c r="W1926" s="84"/>
      <c r="X1926" s="84"/>
      <c r="Y1926" s="84"/>
      <c r="Z1926" s="84"/>
      <c r="AA1926" s="84"/>
    </row>
    <row r="1927" ht="15.75" customHeight="1">
      <c r="A1927" s="14" t="s">
        <v>17</v>
      </c>
      <c r="B1927" s="15" t="s">
        <v>20032</v>
      </c>
      <c r="C1927" s="14" t="s">
        <v>21154</v>
      </c>
      <c r="D1927" s="14" t="s">
        <v>21155</v>
      </c>
      <c r="E1927" s="26" t="str">
        <f t="shared" si="27"/>
        <v>http://dx.doi.org/10.1109/TVCG.2009.175</v>
      </c>
      <c r="F1927" s="14">
        <v>1523.0</v>
      </c>
      <c r="G1927" s="14">
        <v>1530.0</v>
      </c>
      <c r="H1927" s="14" t="s">
        <v>17059</v>
      </c>
      <c r="I1927" s="19" t="s">
        <v>21156</v>
      </c>
      <c r="J1927" s="19" t="s">
        <v>12848</v>
      </c>
      <c r="K1927" s="19" t="s">
        <v>12848</v>
      </c>
      <c r="L1927" s="19" t="s">
        <v>21157</v>
      </c>
      <c r="M1927" s="20" t="s">
        <v>21158</v>
      </c>
      <c r="N1927" s="44" t="s">
        <v>21159</v>
      </c>
      <c r="O1927" s="22">
        <v>50.0</v>
      </c>
      <c r="P1927" s="28">
        <v>7.0</v>
      </c>
      <c r="Q1927" s="28">
        <v>29.0</v>
      </c>
      <c r="R1927" s="84"/>
      <c r="S1927" s="84"/>
      <c r="T1927" s="84"/>
      <c r="U1927" s="84"/>
      <c r="V1927" s="84"/>
      <c r="W1927" s="84"/>
      <c r="X1927" s="84"/>
      <c r="Y1927" s="84"/>
      <c r="Z1927" s="84"/>
      <c r="AA1927" s="84"/>
    </row>
    <row r="1928" ht="15.75" customHeight="1">
      <c r="A1928" s="14" t="s">
        <v>17</v>
      </c>
      <c r="B1928" s="15" t="s">
        <v>20032</v>
      </c>
      <c r="C1928" s="14" t="s">
        <v>21160</v>
      </c>
      <c r="D1928" s="14" t="s">
        <v>21161</v>
      </c>
      <c r="E1928" s="26" t="str">
        <f t="shared" si="27"/>
        <v>http://dx.doi.org/10.1109/TVCG.2009.177</v>
      </c>
      <c r="F1928" s="14">
        <v>1415.0</v>
      </c>
      <c r="G1928" s="14">
        <v>1424.0</v>
      </c>
      <c r="H1928" s="14" t="s">
        <v>17059</v>
      </c>
      <c r="I1928" s="19" t="s">
        <v>21162</v>
      </c>
      <c r="J1928" s="19" t="s">
        <v>21163</v>
      </c>
      <c r="K1928" s="19" t="s">
        <v>21164</v>
      </c>
      <c r="L1928" s="19" t="s">
        <v>21165</v>
      </c>
      <c r="M1928" s="20" t="s">
        <v>21166</v>
      </c>
      <c r="N1928" s="44" t="s">
        <v>21167</v>
      </c>
      <c r="O1928" s="22">
        <v>54.0</v>
      </c>
      <c r="P1928" s="28">
        <v>36.0</v>
      </c>
      <c r="Q1928" s="28">
        <v>72.0</v>
      </c>
      <c r="R1928" s="84"/>
      <c r="S1928" s="84"/>
      <c r="T1928" s="84"/>
      <c r="U1928" s="84"/>
      <c r="V1928" s="84"/>
      <c r="W1928" s="84"/>
      <c r="X1928" s="84"/>
      <c r="Y1928" s="84"/>
      <c r="Z1928" s="84"/>
      <c r="AA1928" s="84"/>
    </row>
    <row r="1929" ht="15.75" customHeight="1">
      <c r="A1929" s="14" t="s">
        <v>17</v>
      </c>
      <c r="B1929" s="15" t="s">
        <v>20032</v>
      </c>
      <c r="C1929" s="14" t="s">
        <v>21168</v>
      </c>
      <c r="D1929" s="14" t="s">
        <v>21170</v>
      </c>
      <c r="E1929" s="26" t="str">
        <f t="shared" si="27"/>
        <v>http://dx.doi.org/10.1109/TVCG.2009.178</v>
      </c>
      <c r="F1929" s="14">
        <v>1505.0</v>
      </c>
      <c r="G1929" s="14">
        <v>1514.0</v>
      </c>
      <c r="H1929" s="14" t="s">
        <v>17059</v>
      </c>
      <c r="I1929" s="19" t="s">
        <v>21171</v>
      </c>
      <c r="J1929" s="19" t="s">
        <v>21172</v>
      </c>
      <c r="K1929" s="19" t="s">
        <v>21174</v>
      </c>
      <c r="L1929" s="19" t="s">
        <v>21175</v>
      </c>
      <c r="M1929" s="20" t="s">
        <v>21176</v>
      </c>
      <c r="N1929" s="44" t="s">
        <v>21177</v>
      </c>
      <c r="O1929" s="22">
        <v>68.0</v>
      </c>
      <c r="P1929" s="28">
        <v>34.0</v>
      </c>
      <c r="Q1929" s="28">
        <v>32.0</v>
      </c>
      <c r="R1929" s="84"/>
      <c r="S1929" s="84"/>
      <c r="T1929" s="84"/>
      <c r="U1929" s="84"/>
      <c r="V1929" s="84"/>
      <c r="W1929" s="84"/>
      <c r="X1929" s="84"/>
      <c r="Y1929" s="84"/>
      <c r="Z1929" s="84"/>
      <c r="AA1929" s="84"/>
    </row>
    <row r="1930" ht="15.75" customHeight="1">
      <c r="A1930" s="14" t="s">
        <v>17</v>
      </c>
      <c r="B1930" s="15" t="s">
        <v>20032</v>
      </c>
      <c r="C1930" s="14" t="s">
        <v>21178</v>
      </c>
      <c r="D1930" s="14" t="s">
        <v>21179</v>
      </c>
      <c r="E1930" s="26" t="str">
        <f t="shared" si="27"/>
        <v>http://dx.doi.org/10.1109/TVCG.2009.184</v>
      </c>
      <c r="F1930" s="14">
        <v>1399.0</v>
      </c>
      <c r="G1930" s="14">
        <v>1406.0</v>
      </c>
      <c r="H1930" s="14" t="s">
        <v>17059</v>
      </c>
      <c r="I1930" s="19" t="s">
        <v>21180</v>
      </c>
      <c r="J1930" s="19" t="s">
        <v>21181</v>
      </c>
      <c r="K1930" s="19" t="s">
        <v>21181</v>
      </c>
      <c r="L1930" s="19" t="s">
        <v>21182</v>
      </c>
      <c r="M1930" s="20" t="s">
        <v>21183</v>
      </c>
      <c r="N1930" s="44" t="s">
        <v>21184</v>
      </c>
      <c r="O1930" s="22">
        <v>58.0</v>
      </c>
      <c r="P1930" s="28">
        <v>25.0</v>
      </c>
      <c r="Q1930" s="28">
        <v>48.0</v>
      </c>
      <c r="R1930" s="84"/>
      <c r="S1930" s="84"/>
      <c r="T1930" s="84"/>
      <c r="U1930" s="84"/>
      <c r="V1930" s="84"/>
      <c r="W1930" s="84"/>
      <c r="X1930" s="84"/>
      <c r="Y1930" s="84"/>
      <c r="Z1930" s="84"/>
      <c r="AA1930" s="84"/>
    </row>
    <row r="1931" ht="15.75" customHeight="1">
      <c r="A1931" s="14" t="s">
        <v>17</v>
      </c>
      <c r="B1931" s="15" t="s">
        <v>20032</v>
      </c>
      <c r="C1931" s="14" t="s">
        <v>21185</v>
      </c>
      <c r="D1931" s="14" t="s">
        <v>21186</v>
      </c>
      <c r="E1931" s="26" t="str">
        <f t="shared" si="27"/>
        <v>http://dx.doi.org/10.1109/TVCG.2009.185</v>
      </c>
      <c r="F1931" s="14">
        <v>1473.0</v>
      </c>
      <c r="G1931" s="14">
        <v>1480.0</v>
      </c>
      <c r="H1931" s="14" t="s">
        <v>17059</v>
      </c>
      <c r="I1931" s="19" t="s">
        <v>21187</v>
      </c>
      <c r="J1931" s="19" t="s">
        <v>21189</v>
      </c>
      <c r="K1931" s="19" t="s">
        <v>21191</v>
      </c>
      <c r="L1931" s="19" t="s">
        <v>21192</v>
      </c>
      <c r="M1931" s="20" t="s">
        <v>21193</v>
      </c>
      <c r="N1931" s="44" t="s">
        <v>21194</v>
      </c>
      <c r="O1931" s="22">
        <v>97.0</v>
      </c>
      <c r="P1931" s="28">
        <v>56.0</v>
      </c>
      <c r="Q1931" s="28">
        <v>29.0</v>
      </c>
      <c r="R1931" s="84"/>
      <c r="S1931" s="84"/>
      <c r="T1931" s="84"/>
      <c r="U1931" s="84"/>
      <c r="V1931" s="84"/>
      <c r="W1931" s="84"/>
      <c r="X1931" s="84"/>
      <c r="Y1931" s="84"/>
      <c r="Z1931" s="84"/>
      <c r="AA1931" s="84"/>
    </row>
    <row r="1932" ht="15.75" customHeight="1">
      <c r="A1932" s="14" t="s">
        <v>17</v>
      </c>
      <c r="B1932" s="15" t="s">
        <v>20032</v>
      </c>
      <c r="C1932" s="14" t="s">
        <v>21196</v>
      </c>
      <c r="D1932" s="14" t="s">
        <v>21197</v>
      </c>
      <c r="E1932" s="26" t="str">
        <f t="shared" si="27"/>
        <v>http://dx.doi.org/10.1109/TVCG.2009.186</v>
      </c>
      <c r="F1932" s="14">
        <v>1603.0</v>
      </c>
      <c r="G1932" s="14">
        <v>1610.0</v>
      </c>
      <c r="H1932" s="14" t="s">
        <v>17059</v>
      </c>
      <c r="I1932" s="19" t="s">
        <v>21198</v>
      </c>
      <c r="J1932" s="19" t="s">
        <v>21199</v>
      </c>
      <c r="K1932" s="19" t="s">
        <v>21199</v>
      </c>
      <c r="L1932" s="19" t="s">
        <v>21200</v>
      </c>
      <c r="M1932" s="20" t="s">
        <v>21201</v>
      </c>
      <c r="N1932" s="44" t="s">
        <v>21202</v>
      </c>
      <c r="O1932" s="22">
        <v>50.0</v>
      </c>
      <c r="P1932" s="28">
        <v>5.0</v>
      </c>
      <c r="Q1932" s="28">
        <v>31.0</v>
      </c>
      <c r="R1932" s="84"/>
      <c r="S1932" s="84"/>
      <c r="T1932" s="84"/>
      <c r="U1932" s="84"/>
      <c r="V1932" s="84"/>
      <c r="W1932" s="84"/>
      <c r="X1932" s="84"/>
      <c r="Y1932" s="84"/>
      <c r="Z1932" s="84"/>
      <c r="AA1932" s="84"/>
    </row>
    <row r="1933" ht="15.75" customHeight="1">
      <c r="A1933" s="14" t="s">
        <v>17</v>
      </c>
      <c r="B1933" s="15" t="s">
        <v>20032</v>
      </c>
      <c r="C1933" s="14" t="s">
        <v>21203</v>
      </c>
      <c r="D1933" s="14" t="s">
        <v>21204</v>
      </c>
      <c r="E1933" s="26" t="str">
        <f t="shared" si="27"/>
        <v>http://dx.doi.org/10.1109/TVCG.2009.189</v>
      </c>
      <c r="F1933" s="14">
        <v>1465.0</v>
      </c>
      <c r="G1933" s="14">
        <v>1472.0</v>
      </c>
      <c r="H1933" s="14" t="s">
        <v>17059</v>
      </c>
      <c r="I1933" s="19" t="s">
        <v>21205</v>
      </c>
      <c r="J1933" s="19" t="s">
        <v>19898</v>
      </c>
      <c r="K1933" s="19" t="s">
        <v>19899</v>
      </c>
      <c r="L1933" s="19" t="s">
        <v>19900</v>
      </c>
      <c r="M1933" s="20" t="s">
        <v>21206</v>
      </c>
      <c r="N1933" s="44" t="s">
        <v>21207</v>
      </c>
      <c r="O1933" s="22">
        <v>103.0</v>
      </c>
      <c r="P1933" s="28">
        <v>55.0</v>
      </c>
      <c r="Q1933" s="28">
        <v>35.0</v>
      </c>
      <c r="R1933" s="84"/>
      <c r="S1933" s="84"/>
      <c r="T1933" s="84"/>
      <c r="U1933" s="84"/>
      <c r="V1933" s="84"/>
      <c r="W1933" s="84"/>
      <c r="X1933" s="84"/>
      <c r="Y1933" s="84"/>
      <c r="Z1933" s="84"/>
      <c r="AA1933" s="84"/>
    </row>
    <row r="1934" ht="15.75" customHeight="1">
      <c r="A1934" s="14" t="s">
        <v>17</v>
      </c>
      <c r="B1934" s="15" t="s">
        <v>20032</v>
      </c>
      <c r="C1934" s="14" t="s">
        <v>21208</v>
      </c>
      <c r="D1934" s="14" t="s">
        <v>21209</v>
      </c>
      <c r="E1934" s="26" t="str">
        <f t="shared" si="27"/>
        <v>http://dx.doi.org/10.1109/TVCG.2009.190</v>
      </c>
      <c r="F1934" s="14">
        <v>1267.0</v>
      </c>
      <c r="G1934" s="14">
        <v>1274.0</v>
      </c>
      <c r="H1934" s="14" t="s">
        <v>17059</v>
      </c>
      <c r="I1934" s="19" t="s">
        <v>21211</v>
      </c>
      <c r="J1934" s="19" t="s">
        <v>21213</v>
      </c>
      <c r="K1934" s="19" t="s">
        <v>21214</v>
      </c>
      <c r="L1934" s="19" t="s">
        <v>19791</v>
      </c>
      <c r="M1934" s="20" t="s">
        <v>21215</v>
      </c>
      <c r="N1934" s="44" t="s">
        <v>21216</v>
      </c>
      <c r="O1934" s="22">
        <v>80.0</v>
      </c>
      <c r="P1934" s="28">
        <v>34.0</v>
      </c>
      <c r="Q1934" s="28">
        <v>18.0</v>
      </c>
      <c r="R1934" s="84"/>
      <c r="S1934" s="84"/>
      <c r="T1934" s="84"/>
      <c r="U1934" s="84"/>
      <c r="V1934" s="84"/>
      <c r="W1934" s="84"/>
      <c r="X1934" s="84"/>
      <c r="Y1934" s="84"/>
      <c r="Z1934" s="84"/>
      <c r="AA1934" s="84"/>
    </row>
    <row r="1935" ht="15.75" customHeight="1">
      <c r="A1935" s="14" t="s">
        <v>17</v>
      </c>
      <c r="B1935" s="15" t="s">
        <v>20032</v>
      </c>
      <c r="C1935" s="14" t="s">
        <v>21217</v>
      </c>
      <c r="D1935" s="14" t="s">
        <v>21218</v>
      </c>
      <c r="E1935" s="26" t="str">
        <f t="shared" si="27"/>
        <v>http://dx.doi.org/10.1109/TVCG.2009.194</v>
      </c>
      <c r="F1935" s="14">
        <v>1227.0</v>
      </c>
      <c r="G1935" s="14">
        <v>1234.0</v>
      </c>
      <c r="H1935" s="14" t="s">
        <v>17059</v>
      </c>
      <c r="I1935" s="19" t="s">
        <v>21219</v>
      </c>
      <c r="J1935" s="19" t="s">
        <v>21220</v>
      </c>
      <c r="K1935" s="19" t="s">
        <v>21221</v>
      </c>
      <c r="L1935" s="19" t="s">
        <v>21222</v>
      </c>
      <c r="M1935" s="20" t="s">
        <v>21223</v>
      </c>
      <c r="N1935" s="44" t="s">
        <v>21224</v>
      </c>
      <c r="O1935" s="22">
        <v>28.0</v>
      </c>
      <c r="P1935" s="28">
        <v>16.0</v>
      </c>
      <c r="Q1935" s="28">
        <v>29.0</v>
      </c>
      <c r="R1935" s="84"/>
      <c r="S1935" s="84"/>
      <c r="T1935" s="84"/>
      <c r="U1935" s="84"/>
      <c r="V1935" s="84"/>
      <c r="W1935" s="84"/>
      <c r="X1935" s="84"/>
      <c r="Y1935" s="84"/>
      <c r="Z1935" s="84"/>
      <c r="AA1935" s="84"/>
    </row>
    <row r="1936" ht="15.75" customHeight="1">
      <c r="A1936" s="14" t="s">
        <v>17</v>
      </c>
      <c r="B1936" s="15" t="s">
        <v>20032</v>
      </c>
      <c r="C1936" s="14" t="s">
        <v>21225</v>
      </c>
      <c r="D1936" s="14" t="s">
        <v>21226</v>
      </c>
      <c r="E1936" s="26" t="str">
        <f t="shared" si="27"/>
        <v>http://dx.doi.org/10.1109/TVCG.2009.195</v>
      </c>
      <c r="F1936" s="14">
        <v>1539.0</v>
      </c>
      <c r="G1936" s="14">
        <v>1546.0</v>
      </c>
      <c r="H1936" s="14" t="s">
        <v>17059</v>
      </c>
      <c r="I1936" s="19" t="s">
        <v>21228</v>
      </c>
      <c r="J1936" s="19" t="s">
        <v>21230</v>
      </c>
      <c r="K1936" s="19" t="s">
        <v>21231</v>
      </c>
      <c r="L1936" s="19" t="s">
        <v>21232</v>
      </c>
      <c r="M1936" s="20" t="s">
        <v>21233</v>
      </c>
      <c r="N1936" s="44" t="s">
        <v>21234</v>
      </c>
      <c r="O1936" s="22">
        <v>50.0</v>
      </c>
      <c r="P1936" s="28">
        <v>23.0</v>
      </c>
      <c r="Q1936" s="28">
        <v>37.0</v>
      </c>
      <c r="R1936" s="84"/>
      <c r="S1936" s="84"/>
      <c r="T1936" s="84"/>
      <c r="U1936" s="84"/>
      <c r="V1936" s="84"/>
      <c r="W1936" s="84"/>
      <c r="X1936" s="84"/>
      <c r="Y1936" s="84"/>
      <c r="Z1936" s="84"/>
      <c r="AA1936" s="84"/>
    </row>
    <row r="1937" ht="15.75" customHeight="1">
      <c r="A1937" s="14" t="s">
        <v>17</v>
      </c>
      <c r="B1937" s="15" t="s">
        <v>20032</v>
      </c>
      <c r="C1937" s="14" t="s">
        <v>21235</v>
      </c>
      <c r="D1937" s="14" t="s">
        <v>21237</v>
      </c>
      <c r="E1937" s="26" t="str">
        <f t="shared" si="27"/>
        <v>http://dx.doi.org/10.1109/TVCG.2009.197</v>
      </c>
      <c r="F1937" s="14">
        <v>1375.0</v>
      </c>
      <c r="G1937" s="14">
        <v>1382.0</v>
      </c>
      <c r="H1937" s="14" t="s">
        <v>17059</v>
      </c>
      <c r="I1937" s="19" t="s">
        <v>21238</v>
      </c>
      <c r="J1937" s="19" t="s">
        <v>21239</v>
      </c>
      <c r="K1937" s="19" t="s">
        <v>21240</v>
      </c>
      <c r="L1937" s="19" t="s">
        <v>21241</v>
      </c>
      <c r="M1937" s="20" t="s">
        <v>21242</v>
      </c>
      <c r="N1937" s="44" t="s">
        <v>21243</v>
      </c>
      <c r="O1937" s="22">
        <v>50.0</v>
      </c>
      <c r="P1937" s="28">
        <v>28.0</v>
      </c>
      <c r="Q1937" s="28">
        <v>33.0</v>
      </c>
      <c r="R1937" s="84"/>
      <c r="S1937" s="84"/>
      <c r="T1937" s="84"/>
      <c r="U1937" s="84"/>
      <c r="V1937" s="84"/>
      <c r="W1937" s="84"/>
      <c r="X1937" s="84"/>
      <c r="Y1937" s="84"/>
      <c r="Z1937" s="84"/>
      <c r="AA1937" s="84"/>
    </row>
    <row r="1938" ht="15.75" customHeight="1">
      <c r="A1938" s="14" t="s">
        <v>17</v>
      </c>
      <c r="B1938" s="15" t="s">
        <v>20032</v>
      </c>
      <c r="C1938" s="14" t="s">
        <v>21244</v>
      </c>
      <c r="D1938" s="14" t="s">
        <v>21245</v>
      </c>
      <c r="E1938" s="26" t="str">
        <f t="shared" si="27"/>
        <v>http://dx.doi.org/10.1109/TVCG.2009.198</v>
      </c>
      <c r="F1938" s="14">
        <v>1407.0</v>
      </c>
      <c r="G1938" s="14">
        <v>1414.0</v>
      </c>
      <c r="H1938" s="14" t="s">
        <v>17059</v>
      </c>
      <c r="I1938" s="19" t="s">
        <v>21246</v>
      </c>
      <c r="J1938" s="19" t="s">
        <v>21247</v>
      </c>
      <c r="K1938" s="19" t="s">
        <v>21247</v>
      </c>
      <c r="L1938" s="19" t="s">
        <v>21248</v>
      </c>
      <c r="M1938" s="20" t="s">
        <v>21249</v>
      </c>
      <c r="N1938" s="44" t="s">
        <v>21250</v>
      </c>
      <c r="O1938" s="22">
        <v>37.0</v>
      </c>
      <c r="P1938" s="28">
        <v>18.0</v>
      </c>
      <c r="Q1938" s="28">
        <v>44.0</v>
      </c>
      <c r="R1938" s="84"/>
      <c r="S1938" s="84"/>
      <c r="T1938" s="84"/>
      <c r="U1938" s="84"/>
      <c r="V1938" s="84"/>
      <c r="W1938" s="84"/>
      <c r="X1938" s="84"/>
      <c r="Y1938" s="84"/>
      <c r="Z1938" s="84"/>
      <c r="AA1938" s="84"/>
    </row>
    <row r="1939" ht="15.75" customHeight="1">
      <c r="A1939" s="14" t="s">
        <v>17</v>
      </c>
      <c r="B1939" s="15" t="s">
        <v>20032</v>
      </c>
      <c r="C1939" s="14" t="s">
        <v>21251</v>
      </c>
      <c r="D1939" s="14" t="s">
        <v>21252</v>
      </c>
      <c r="E1939" s="26" t="str">
        <f t="shared" si="27"/>
        <v>http://dx.doi.org/10.1109/TVCG.2009.199</v>
      </c>
      <c r="F1939" s="14">
        <v>1327.0</v>
      </c>
      <c r="G1939" s="14">
        <v>1334.0</v>
      </c>
      <c r="H1939" s="14" t="s">
        <v>17059</v>
      </c>
      <c r="I1939" s="19" t="s">
        <v>21255</v>
      </c>
      <c r="J1939" s="19" t="s">
        <v>21256</v>
      </c>
      <c r="K1939" s="19" t="s">
        <v>21257</v>
      </c>
      <c r="L1939" s="19" t="s">
        <v>21258</v>
      </c>
      <c r="M1939" s="20" t="s">
        <v>21259</v>
      </c>
      <c r="N1939" s="44" t="s">
        <v>21260</v>
      </c>
      <c r="O1939" s="22">
        <v>50.0</v>
      </c>
      <c r="P1939" s="28">
        <v>22.0</v>
      </c>
      <c r="Q1939" s="28">
        <v>31.0</v>
      </c>
      <c r="R1939" s="84"/>
      <c r="S1939" s="84"/>
      <c r="T1939" s="84"/>
      <c r="U1939" s="84"/>
      <c r="V1939" s="84"/>
      <c r="W1939" s="84"/>
      <c r="X1939" s="84"/>
      <c r="Y1939" s="84"/>
      <c r="Z1939" s="84"/>
      <c r="AA1939" s="84"/>
    </row>
    <row r="1940" ht="15.75" customHeight="1">
      <c r="A1940" s="14" t="s">
        <v>17</v>
      </c>
      <c r="B1940" s="15" t="s">
        <v>20032</v>
      </c>
      <c r="C1940" s="14" t="s">
        <v>21261</v>
      </c>
      <c r="D1940" s="14" t="s">
        <v>21262</v>
      </c>
      <c r="E1940" s="26" t="str">
        <f t="shared" si="27"/>
        <v>http://dx.doi.org/10.1109/TVCG.2009.200</v>
      </c>
      <c r="F1940" s="14">
        <v>1359.0</v>
      </c>
      <c r="G1940" s="14">
        <v>1366.0</v>
      </c>
      <c r="H1940" s="14" t="s">
        <v>17059</v>
      </c>
      <c r="I1940" s="19" t="s">
        <v>21263</v>
      </c>
      <c r="J1940" s="19" t="s">
        <v>21264</v>
      </c>
      <c r="K1940" s="19" t="s">
        <v>21264</v>
      </c>
      <c r="L1940" s="19" t="s">
        <v>21265</v>
      </c>
      <c r="M1940" s="20" t="s">
        <v>21267</v>
      </c>
      <c r="N1940" s="44" t="s">
        <v>21268</v>
      </c>
      <c r="O1940" s="22">
        <v>50.0</v>
      </c>
      <c r="P1940" s="28">
        <v>28.0</v>
      </c>
      <c r="Q1940" s="28">
        <v>26.0</v>
      </c>
      <c r="R1940" s="84"/>
      <c r="S1940" s="84"/>
      <c r="T1940" s="84"/>
      <c r="U1940" s="84"/>
      <c r="V1940" s="84"/>
      <c r="W1940" s="84"/>
      <c r="X1940" s="84"/>
      <c r="Y1940" s="84"/>
      <c r="Z1940" s="84"/>
      <c r="AA1940" s="84"/>
    </row>
    <row r="1941" ht="15.75" customHeight="1">
      <c r="A1941" s="14" t="s">
        <v>17</v>
      </c>
      <c r="B1941" s="15" t="s">
        <v>20032</v>
      </c>
      <c r="C1941" s="14" t="s">
        <v>21269</v>
      </c>
      <c r="D1941" s="14" t="s">
        <v>21270</v>
      </c>
      <c r="E1941" s="26" t="str">
        <f t="shared" si="27"/>
        <v>http://dx.doi.org/10.1109/TVCG.2009.203</v>
      </c>
      <c r="F1941" s="14">
        <v>1425.0</v>
      </c>
      <c r="G1941" s="14">
        <v>1432.0</v>
      </c>
      <c r="H1941" s="14" t="s">
        <v>17059</v>
      </c>
      <c r="I1941" s="19" t="s">
        <v>21271</v>
      </c>
      <c r="J1941" s="19" t="s">
        <v>21272</v>
      </c>
      <c r="K1941" s="19" t="s">
        <v>21273</v>
      </c>
      <c r="L1941" s="19" t="s">
        <v>21274</v>
      </c>
      <c r="M1941" s="20" t="s">
        <v>21275</v>
      </c>
      <c r="N1941" s="44" t="s">
        <v>21276</v>
      </c>
      <c r="O1941" s="22">
        <v>50.0</v>
      </c>
      <c r="P1941" s="28">
        <v>3.0</v>
      </c>
      <c r="Q1941" s="28">
        <v>45.0</v>
      </c>
      <c r="R1941" s="84"/>
      <c r="S1941" s="84"/>
      <c r="T1941" s="84"/>
      <c r="U1941" s="84"/>
      <c r="V1941" s="84"/>
      <c r="W1941" s="84"/>
      <c r="X1941" s="84"/>
      <c r="Y1941" s="84"/>
      <c r="Z1941" s="84"/>
      <c r="AA1941" s="84"/>
    </row>
    <row r="1942" ht="15.75" customHeight="1">
      <c r="A1942" s="14" t="s">
        <v>17</v>
      </c>
      <c r="B1942" s="15" t="s">
        <v>20032</v>
      </c>
      <c r="C1942" s="14" t="s">
        <v>21277</v>
      </c>
      <c r="D1942" s="14" t="s">
        <v>21278</v>
      </c>
      <c r="E1942" s="26" t="str">
        <f t="shared" si="27"/>
        <v>http://dx.doi.org/10.1109/TVCG.2009.204</v>
      </c>
      <c r="F1942" s="14">
        <v>1571.0</v>
      </c>
      <c r="G1942" s="14">
        <v>1578.0</v>
      </c>
      <c r="H1942" s="14" t="s">
        <v>17059</v>
      </c>
      <c r="I1942" s="19" t="s">
        <v>21279</v>
      </c>
      <c r="J1942" s="19" t="s">
        <v>21280</v>
      </c>
      <c r="K1942" s="19" t="s">
        <v>21281</v>
      </c>
      <c r="L1942" s="19" t="s">
        <v>21283</v>
      </c>
      <c r="M1942" s="20" t="s">
        <v>21285</v>
      </c>
      <c r="N1942" s="44" t="s">
        <v>21286</v>
      </c>
      <c r="O1942" s="22">
        <v>53.0</v>
      </c>
      <c r="P1942" s="28">
        <v>27.0</v>
      </c>
      <c r="Q1942" s="28">
        <v>35.0</v>
      </c>
      <c r="R1942" s="84"/>
      <c r="S1942" s="84"/>
      <c r="T1942" s="84"/>
      <c r="U1942" s="84"/>
      <c r="V1942" s="84"/>
      <c r="W1942" s="84"/>
      <c r="X1942" s="84"/>
      <c r="Y1942" s="84"/>
      <c r="Z1942" s="84"/>
      <c r="AA1942" s="84"/>
    </row>
    <row r="1943" ht="15.75" customHeight="1">
      <c r="A1943" s="14" t="s">
        <v>2137</v>
      </c>
      <c r="B1943" s="15" t="s">
        <v>21288</v>
      </c>
      <c r="C1943" s="14" t="s">
        <v>21290</v>
      </c>
      <c r="D1943" s="14" t="s">
        <v>21291</v>
      </c>
      <c r="E1943" s="26" t="str">
        <f t="shared" si="27"/>
        <v>http://dx.doi.org/10.1109/TVCG.2010.126</v>
      </c>
      <c r="F1943" s="14">
        <v>1164.0</v>
      </c>
      <c r="G1943" s="14">
        <v>1171.0</v>
      </c>
      <c r="H1943" s="14" t="s">
        <v>17059</v>
      </c>
      <c r="I1943" s="19" t="s">
        <v>21292</v>
      </c>
      <c r="J1943" s="19" t="s">
        <v>21293</v>
      </c>
      <c r="K1943" s="19" t="s">
        <v>21294</v>
      </c>
      <c r="L1943" s="19" t="s">
        <v>21295</v>
      </c>
      <c r="M1943" s="20" t="s">
        <v>21296</v>
      </c>
      <c r="N1943" s="120" t="s">
        <v>21297</v>
      </c>
      <c r="O1943" s="22">
        <v>50.0</v>
      </c>
      <c r="P1943" s="28">
        <v>13.0</v>
      </c>
      <c r="Q1943" s="28">
        <v>37.0</v>
      </c>
      <c r="R1943" s="84"/>
      <c r="S1943" s="84"/>
      <c r="T1943" s="84"/>
      <c r="U1943" s="84"/>
      <c r="V1943" s="84"/>
      <c r="W1943" s="84"/>
      <c r="X1943" s="84"/>
      <c r="Y1943" s="84"/>
      <c r="Z1943" s="84"/>
      <c r="AA1943" s="84"/>
    </row>
    <row r="1944" ht="15.75" customHeight="1">
      <c r="A1944" s="14" t="s">
        <v>2137</v>
      </c>
      <c r="B1944" s="15" t="s">
        <v>21288</v>
      </c>
      <c r="C1944" s="14" t="s">
        <v>21300</v>
      </c>
      <c r="D1944" s="14" t="s">
        <v>21301</v>
      </c>
      <c r="E1944" s="26" t="str">
        <f t="shared" si="27"/>
        <v>http://dx.doi.org/10.1109/TVCG.2010.129</v>
      </c>
      <c r="F1944" s="14">
        <v>1129.0</v>
      </c>
      <c r="G1944" s="14">
        <v>1138.0</v>
      </c>
      <c r="H1944" s="14" t="s">
        <v>17059</v>
      </c>
      <c r="I1944" s="19" t="s">
        <v>21302</v>
      </c>
      <c r="J1944" s="19" t="s">
        <v>21303</v>
      </c>
      <c r="K1944" s="19" t="s">
        <v>21304</v>
      </c>
      <c r="L1944" s="18"/>
      <c r="M1944" s="20" t="s">
        <v>21306</v>
      </c>
      <c r="N1944" s="44" t="s">
        <v>21307</v>
      </c>
      <c r="O1944" s="22">
        <v>186.0</v>
      </c>
      <c r="P1944" s="28">
        <v>84.0</v>
      </c>
      <c r="Q1944" s="28">
        <v>43.0</v>
      </c>
      <c r="R1944" s="84"/>
      <c r="S1944" s="84"/>
      <c r="T1944" s="84"/>
      <c r="U1944" s="84"/>
      <c r="V1944" s="84"/>
      <c r="W1944" s="84"/>
      <c r="X1944" s="84"/>
      <c r="Y1944" s="84"/>
      <c r="Z1944" s="84"/>
      <c r="AA1944" s="84"/>
    </row>
    <row r="1945" ht="15.75" customHeight="1">
      <c r="A1945" s="14" t="s">
        <v>2137</v>
      </c>
      <c r="B1945" s="15" t="s">
        <v>21288</v>
      </c>
      <c r="C1945" s="14" t="s">
        <v>21308</v>
      </c>
      <c r="D1945" s="14" t="s">
        <v>21309</v>
      </c>
      <c r="E1945" s="26" t="str">
        <f t="shared" si="27"/>
        <v>http://dx.doi.org/10.1109/TVCG.2010.130</v>
      </c>
      <c r="F1945" s="14">
        <v>1036.0</v>
      </c>
      <c r="G1945" s="14">
        <v>1043.0</v>
      </c>
      <c r="H1945" s="14" t="s">
        <v>17059</v>
      </c>
      <c r="I1945" s="19" t="s">
        <v>21311</v>
      </c>
      <c r="J1945" s="19" t="s">
        <v>21312</v>
      </c>
      <c r="K1945" s="19" t="s">
        <v>21312</v>
      </c>
      <c r="L1945" s="19" t="s">
        <v>21313</v>
      </c>
      <c r="M1945" s="20"/>
      <c r="N1945" s="44" t="s">
        <v>21314</v>
      </c>
      <c r="O1945" s="22">
        <v>25.0</v>
      </c>
      <c r="P1945" s="28">
        <v>9.0</v>
      </c>
      <c r="Q1945" s="28">
        <v>12.0</v>
      </c>
      <c r="R1945" s="84"/>
      <c r="S1945" s="84"/>
      <c r="T1945" s="84"/>
      <c r="U1945" s="84"/>
      <c r="V1945" s="84"/>
      <c r="W1945" s="84"/>
      <c r="X1945" s="84"/>
      <c r="Y1945" s="84"/>
      <c r="Z1945" s="84"/>
      <c r="AA1945" s="84"/>
    </row>
    <row r="1946" ht="15.75" customHeight="1">
      <c r="A1946" s="14" t="s">
        <v>2137</v>
      </c>
      <c r="B1946" s="15" t="s">
        <v>21288</v>
      </c>
      <c r="C1946" s="14" t="s">
        <v>21315</v>
      </c>
      <c r="D1946" s="14" t="s">
        <v>21316</v>
      </c>
      <c r="E1946" s="26" t="str">
        <f t="shared" si="27"/>
        <v>http://dx.doi.org/10.1109/TVCG.2010.137</v>
      </c>
      <c r="F1946" s="14">
        <v>908.0</v>
      </c>
      <c r="G1946" s="14">
        <v>917.0</v>
      </c>
      <c r="H1946" s="14" t="s">
        <v>17059</v>
      </c>
      <c r="I1946" s="19" t="s">
        <v>21317</v>
      </c>
      <c r="J1946" s="19" t="s">
        <v>21318</v>
      </c>
      <c r="K1946" s="19" t="s">
        <v>21319</v>
      </c>
      <c r="L1946" s="18"/>
      <c r="M1946" s="20" t="s">
        <v>21320</v>
      </c>
      <c r="N1946" s="44" t="s">
        <v>21321</v>
      </c>
      <c r="O1946" s="22">
        <v>51.0</v>
      </c>
      <c r="P1946" s="28">
        <v>30.0</v>
      </c>
      <c r="Q1946" s="28">
        <v>27.0</v>
      </c>
      <c r="R1946" s="84"/>
      <c r="S1946" s="84"/>
      <c r="T1946" s="84"/>
      <c r="U1946" s="84"/>
      <c r="V1946" s="84"/>
      <c r="W1946" s="84"/>
      <c r="X1946" s="84"/>
      <c r="Y1946" s="84"/>
      <c r="Z1946" s="84"/>
      <c r="AA1946" s="84"/>
    </row>
    <row r="1947" ht="15.75" customHeight="1">
      <c r="A1947" s="14" t="s">
        <v>2137</v>
      </c>
      <c r="B1947" s="15" t="s">
        <v>21288</v>
      </c>
      <c r="C1947" s="14" t="s">
        <v>21322</v>
      </c>
      <c r="D1947" s="14" t="s">
        <v>21323</v>
      </c>
      <c r="E1947" s="26" t="str">
        <f t="shared" si="27"/>
        <v>http://dx.doi.org/10.1109/TVCG.2010.138</v>
      </c>
      <c r="F1947" s="14">
        <v>1027.0</v>
      </c>
      <c r="G1947" s="14">
        <v>1035.0</v>
      </c>
      <c r="H1947" s="14" t="s">
        <v>17059</v>
      </c>
      <c r="I1947" s="19" t="s">
        <v>21325</v>
      </c>
      <c r="J1947" s="19" t="s">
        <v>21326</v>
      </c>
      <c r="K1947" s="19" t="s">
        <v>21326</v>
      </c>
      <c r="L1947" s="18"/>
      <c r="M1947" s="20" t="s">
        <v>21327</v>
      </c>
      <c r="N1947" s="44" t="s">
        <v>21328</v>
      </c>
      <c r="O1947" s="22">
        <v>74.0</v>
      </c>
      <c r="P1947" s="28">
        <v>36.0</v>
      </c>
      <c r="Q1947" s="28">
        <v>33.0</v>
      </c>
      <c r="R1947" s="84"/>
      <c r="S1947" s="84"/>
      <c r="T1947" s="84"/>
      <c r="U1947" s="84"/>
      <c r="V1947" s="84"/>
      <c r="W1947" s="84"/>
      <c r="X1947" s="84"/>
      <c r="Y1947" s="84"/>
      <c r="Z1947" s="84"/>
      <c r="AA1947" s="84"/>
    </row>
    <row r="1948" ht="15.75" customHeight="1">
      <c r="A1948" s="14" t="s">
        <v>2137</v>
      </c>
      <c r="B1948" s="15" t="s">
        <v>21288</v>
      </c>
      <c r="C1948" s="14" t="s">
        <v>21330</v>
      </c>
      <c r="D1948" s="14" t="s">
        <v>21331</v>
      </c>
      <c r="E1948" s="26" t="str">
        <f t="shared" si="27"/>
        <v>http://dx.doi.org/10.1109/TVCG.2010.144</v>
      </c>
      <c r="F1948" s="14">
        <v>1149.0</v>
      </c>
      <c r="G1948" s="14">
        <v>1156.0</v>
      </c>
      <c r="H1948" s="14" t="s">
        <v>17059</v>
      </c>
      <c r="I1948" s="19" t="s">
        <v>21332</v>
      </c>
      <c r="J1948" s="19" t="s">
        <v>21333</v>
      </c>
      <c r="K1948" s="19" t="s">
        <v>21333</v>
      </c>
      <c r="L1948" s="18"/>
      <c r="M1948" s="20" t="s">
        <v>21334</v>
      </c>
      <c r="N1948" s="44" t="s">
        <v>21335</v>
      </c>
      <c r="O1948" s="22">
        <v>80.0</v>
      </c>
      <c r="P1948" s="28">
        <v>32.0</v>
      </c>
      <c r="Q1948" s="28">
        <v>25.0</v>
      </c>
      <c r="R1948" s="85" t="s">
        <v>19037</v>
      </c>
      <c r="S1948" s="84"/>
      <c r="T1948" s="84"/>
      <c r="U1948" s="84"/>
      <c r="V1948" s="84"/>
      <c r="W1948" s="84"/>
      <c r="X1948" s="84"/>
      <c r="Y1948" s="84"/>
      <c r="Z1948" s="84"/>
      <c r="AA1948" s="84"/>
    </row>
    <row r="1949" ht="15.75" customHeight="1">
      <c r="A1949" s="14" t="s">
        <v>2137</v>
      </c>
      <c r="B1949" s="15" t="s">
        <v>21288</v>
      </c>
      <c r="C1949" s="42" t="s">
        <v>21336</v>
      </c>
      <c r="D1949" s="14" t="s">
        <v>21337</v>
      </c>
      <c r="E1949" s="26" t="str">
        <f t="shared" si="27"/>
        <v>http://dx.doi.org/10.1109/TVCG.2010.149</v>
      </c>
      <c r="F1949" s="14">
        <v>953.0</v>
      </c>
      <c r="G1949" s="14">
        <v>962.0</v>
      </c>
      <c r="H1949" s="14" t="s">
        <v>17059</v>
      </c>
      <c r="I1949" s="19" t="s">
        <v>21338</v>
      </c>
      <c r="J1949" s="19" t="s">
        <v>21339</v>
      </c>
      <c r="K1949" s="19" t="s">
        <v>21339</v>
      </c>
      <c r="L1949" s="19" t="s">
        <v>21340</v>
      </c>
      <c r="M1949" s="20" t="s">
        <v>21341</v>
      </c>
      <c r="N1949" s="27"/>
      <c r="O1949" s="22">
        <v>54.0</v>
      </c>
      <c r="P1949" s="28">
        <v>26.0</v>
      </c>
      <c r="Q1949" s="28">
        <v>33.0</v>
      </c>
      <c r="R1949" s="84"/>
      <c r="S1949" s="84"/>
      <c r="T1949" s="84"/>
      <c r="U1949" s="84"/>
      <c r="V1949" s="84"/>
      <c r="W1949" s="84"/>
      <c r="X1949" s="84"/>
      <c r="Y1949" s="84"/>
      <c r="Z1949" s="84"/>
      <c r="AA1949" s="84"/>
    </row>
    <row r="1950" ht="15.75" customHeight="1">
      <c r="A1950" s="14" t="s">
        <v>2137</v>
      </c>
      <c r="B1950" s="15" t="s">
        <v>21288</v>
      </c>
      <c r="C1950" s="14" t="s">
        <v>21342</v>
      </c>
      <c r="D1950" s="14" t="s">
        <v>21343</v>
      </c>
      <c r="E1950" s="26" t="str">
        <f t="shared" si="27"/>
        <v>http://dx.doi.org/10.1109/TVCG.2010.150</v>
      </c>
      <c r="F1950" s="14">
        <v>963.0</v>
      </c>
      <c r="G1950" s="14">
        <v>972.0</v>
      </c>
      <c r="H1950" s="14" t="s">
        <v>17059</v>
      </c>
      <c r="I1950" s="19" t="s">
        <v>21345</v>
      </c>
      <c r="J1950" s="19" t="s">
        <v>21347</v>
      </c>
      <c r="K1950" s="19" t="s">
        <v>21348</v>
      </c>
      <c r="L1950" s="19" t="s">
        <v>21349</v>
      </c>
      <c r="M1950" s="20" t="s">
        <v>2378</v>
      </c>
      <c r="N1950" s="44" t="s">
        <v>21350</v>
      </c>
      <c r="O1950" s="22">
        <v>50.0</v>
      </c>
      <c r="P1950" s="28">
        <v>12.0</v>
      </c>
      <c r="Q1950" s="28">
        <v>38.0</v>
      </c>
      <c r="R1950" s="84"/>
      <c r="S1950" s="84"/>
      <c r="T1950" s="84"/>
      <c r="U1950" s="84"/>
      <c r="V1950" s="84"/>
      <c r="W1950" s="84"/>
      <c r="X1950" s="84"/>
      <c r="Y1950" s="84"/>
      <c r="Z1950" s="84"/>
      <c r="AA1950" s="84"/>
    </row>
    <row r="1951" ht="15.75" customHeight="1">
      <c r="A1951" s="14" t="s">
        <v>2137</v>
      </c>
      <c r="B1951" s="15" t="s">
        <v>21288</v>
      </c>
      <c r="C1951" s="14" t="s">
        <v>21352</v>
      </c>
      <c r="D1951" s="14" t="s">
        <v>21353</v>
      </c>
      <c r="E1951" s="26" t="str">
        <f t="shared" si="27"/>
        <v>http://dx.doi.org/10.1109/TVCG.2010.154</v>
      </c>
      <c r="F1951" s="14">
        <v>1172.0</v>
      </c>
      <c r="G1951" s="14">
        <v>1181.0</v>
      </c>
      <c r="H1951" s="14" t="s">
        <v>17059</v>
      </c>
      <c r="I1951" s="19" t="s">
        <v>21354</v>
      </c>
      <c r="J1951" s="19" t="s">
        <v>21355</v>
      </c>
      <c r="K1951" s="19" t="s">
        <v>21355</v>
      </c>
      <c r="L1951" s="19" t="s">
        <v>21356</v>
      </c>
      <c r="M1951" s="20" t="s">
        <v>21357</v>
      </c>
      <c r="N1951" s="44" t="s">
        <v>21358</v>
      </c>
      <c r="O1951" s="22">
        <v>94.0</v>
      </c>
      <c r="P1951" s="28">
        <v>46.0</v>
      </c>
      <c r="Q1951" s="28">
        <v>32.0</v>
      </c>
      <c r="R1951" s="84"/>
      <c r="S1951" s="84"/>
      <c r="T1951" s="84"/>
      <c r="U1951" s="84"/>
      <c r="V1951" s="84"/>
      <c r="W1951" s="84"/>
      <c r="X1951" s="84"/>
      <c r="Y1951" s="84"/>
      <c r="Z1951" s="84"/>
      <c r="AA1951" s="84"/>
    </row>
    <row r="1952" ht="15.75" customHeight="1">
      <c r="A1952" s="14" t="s">
        <v>2137</v>
      </c>
      <c r="B1952" s="15" t="s">
        <v>21288</v>
      </c>
      <c r="C1952" s="14" t="s">
        <v>21359</v>
      </c>
      <c r="D1952" s="14" t="s">
        <v>21360</v>
      </c>
      <c r="E1952" s="26" t="str">
        <f t="shared" si="27"/>
        <v>http://dx.doi.org/10.1109/TVCG.2010.159</v>
      </c>
      <c r="F1952" s="14">
        <v>1073.0</v>
      </c>
      <c r="G1952" s="14">
        <v>1081.0</v>
      </c>
      <c r="H1952" s="14" t="s">
        <v>17059</v>
      </c>
      <c r="I1952" s="19" t="s">
        <v>21361</v>
      </c>
      <c r="J1952" s="19" t="s">
        <v>21362</v>
      </c>
      <c r="K1952" s="19" t="s">
        <v>21363</v>
      </c>
      <c r="L1952" s="18"/>
      <c r="M1952" s="20" t="s">
        <v>21364</v>
      </c>
      <c r="N1952" s="44" t="s">
        <v>21365</v>
      </c>
      <c r="O1952" s="22">
        <v>61.0</v>
      </c>
      <c r="P1952" s="28">
        <v>30.0</v>
      </c>
      <c r="Q1952" s="28">
        <v>41.0</v>
      </c>
      <c r="R1952" s="84"/>
      <c r="S1952" s="84"/>
      <c r="T1952" s="84"/>
      <c r="U1952" s="84"/>
      <c r="V1952" s="84"/>
      <c r="W1952" s="84"/>
      <c r="X1952" s="84"/>
      <c r="Y1952" s="84"/>
      <c r="Z1952" s="84"/>
      <c r="AA1952" s="84"/>
    </row>
    <row r="1953" ht="15.75" customHeight="1">
      <c r="A1953" s="14" t="s">
        <v>2137</v>
      </c>
      <c r="B1953" s="15" t="s">
        <v>21288</v>
      </c>
      <c r="C1953" s="14" t="s">
        <v>21368</v>
      </c>
      <c r="D1953" s="14" t="s">
        <v>21369</v>
      </c>
      <c r="E1953" s="26" t="str">
        <f t="shared" si="27"/>
        <v>http://dx.doi.org/10.1109/TVCG.2010.161</v>
      </c>
      <c r="F1953" s="14">
        <v>973.0</v>
      </c>
      <c r="G1953" s="14">
        <v>979.0</v>
      </c>
      <c r="H1953" s="14" t="s">
        <v>17059</v>
      </c>
      <c r="I1953" s="19" t="s">
        <v>21370</v>
      </c>
      <c r="J1953" s="19" t="s">
        <v>21371</v>
      </c>
      <c r="K1953" s="19" t="s">
        <v>21371</v>
      </c>
      <c r="L1953" s="19" t="s">
        <v>21372</v>
      </c>
      <c r="M1953" s="20" t="s">
        <v>18191</v>
      </c>
      <c r="N1953" s="44" t="s">
        <v>21374</v>
      </c>
      <c r="O1953" s="22">
        <v>52.0</v>
      </c>
      <c r="P1953" s="28">
        <v>29.0</v>
      </c>
      <c r="Q1953" s="28">
        <v>17.0</v>
      </c>
      <c r="R1953" s="85" t="s">
        <v>106</v>
      </c>
      <c r="S1953" s="84"/>
      <c r="T1953" s="84"/>
      <c r="U1953" s="84"/>
      <c r="V1953" s="84"/>
      <c r="W1953" s="84"/>
      <c r="X1953" s="84"/>
      <c r="Y1953" s="84"/>
      <c r="Z1953" s="84"/>
      <c r="AA1953" s="84"/>
    </row>
    <row r="1954" ht="15.75" customHeight="1">
      <c r="A1954" s="14" t="s">
        <v>2137</v>
      </c>
      <c r="B1954" s="15" t="s">
        <v>21288</v>
      </c>
      <c r="C1954" s="14" t="s">
        <v>21375</v>
      </c>
      <c r="D1954" s="14" t="s">
        <v>21376</v>
      </c>
      <c r="E1954" s="26" t="str">
        <f t="shared" si="27"/>
        <v>http://dx.doi.org/10.1109/TVCG.2010.162</v>
      </c>
      <c r="F1954" s="14">
        <v>927.0</v>
      </c>
      <c r="G1954" s="14">
        <v>934.0</v>
      </c>
      <c r="H1954" s="14" t="s">
        <v>17059</v>
      </c>
      <c r="I1954" s="19" t="s">
        <v>21378</v>
      </c>
      <c r="J1954" s="19" t="s">
        <v>21379</v>
      </c>
      <c r="K1954" s="19" t="s">
        <v>21379</v>
      </c>
      <c r="L1954" s="19" t="s">
        <v>21380</v>
      </c>
      <c r="M1954" s="20" t="s">
        <v>21381</v>
      </c>
      <c r="N1954" s="44" t="s">
        <v>21382</v>
      </c>
      <c r="O1954" s="22">
        <v>127.0</v>
      </c>
      <c r="P1954" s="28">
        <v>68.0</v>
      </c>
      <c r="Q1954" s="28">
        <v>29.0</v>
      </c>
      <c r="R1954" s="84"/>
      <c r="S1954" s="84"/>
      <c r="T1954" s="84"/>
      <c r="U1954" s="84"/>
      <c r="V1954" s="84"/>
      <c r="W1954" s="84"/>
      <c r="X1954" s="84"/>
      <c r="Y1954" s="84"/>
      <c r="Z1954" s="84"/>
      <c r="AA1954" s="84"/>
    </row>
    <row r="1955" ht="15.75" customHeight="1">
      <c r="A1955" s="14" t="s">
        <v>2137</v>
      </c>
      <c r="B1955" s="15" t="s">
        <v>21288</v>
      </c>
      <c r="C1955" s="14" t="s">
        <v>21383</v>
      </c>
      <c r="D1955" s="14" t="s">
        <v>21384</v>
      </c>
      <c r="E1955" s="26" t="str">
        <f t="shared" si="27"/>
        <v>http://dx.doi.org/10.1109/TVCG.2010.163</v>
      </c>
      <c r="F1955" s="14">
        <v>918.0</v>
      </c>
      <c r="G1955" s="14">
        <v>926.0</v>
      </c>
      <c r="H1955" s="14" t="s">
        <v>17059</v>
      </c>
      <c r="I1955" s="19" t="s">
        <v>21385</v>
      </c>
      <c r="J1955" s="19" t="s">
        <v>21386</v>
      </c>
      <c r="K1955" s="19" t="s">
        <v>21387</v>
      </c>
      <c r="L1955" s="19" t="s">
        <v>21388</v>
      </c>
      <c r="M1955" s="20" t="s">
        <v>21389</v>
      </c>
      <c r="N1955" s="44" t="s">
        <v>21390</v>
      </c>
      <c r="O1955" s="22">
        <v>50.0</v>
      </c>
      <c r="P1955" s="28">
        <v>12.0</v>
      </c>
      <c r="Q1955" s="28">
        <v>14.0</v>
      </c>
      <c r="R1955" s="84"/>
      <c r="S1955" s="84"/>
      <c r="T1955" s="84"/>
      <c r="U1955" s="84"/>
      <c r="V1955" s="84"/>
      <c r="W1955" s="84"/>
      <c r="X1955" s="84"/>
      <c r="Y1955" s="84"/>
      <c r="Z1955" s="84"/>
      <c r="AA1955" s="84"/>
    </row>
    <row r="1956" ht="15.75" customHeight="1">
      <c r="A1956" s="14" t="s">
        <v>2137</v>
      </c>
      <c r="B1956" s="15" t="s">
        <v>21288</v>
      </c>
      <c r="C1956" s="14" t="s">
        <v>21392</v>
      </c>
      <c r="D1956" s="14" t="s">
        <v>21393</v>
      </c>
      <c r="E1956" s="26" t="str">
        <f t="shared" si="27"/>
        <v>http://dx.doi.org/10.1109/TVCG.2010.164</v>
      </c>
      <c r="F1956" s="14">
        <v>943.0</v>
      </c>
      <c r="G1956" s="14">
        <v>952.0</v>
      </c>
      <c r="H1956" s="14" t="s">
        <v>17059</v>
      </c>
      <c r="I1956" s="19" t="s">
        <v>21395</v>
      </c>
      <c r="J1956" s="19" t="s">
        <v>21396</v>
      </c>
      <c r="K1956" s="19" t="s">
        <v>21397</v>
      </c>
      <c r="L1956" s="19" t="s">
        <v>21398</v>
      </c>
      <c r="M1956" s="20" t="s">
        <v>21399</v>
      </c>
      <c r="N1956" s="44" t="s">
        <v>21400</v>
      </c>
      <c r="O1956" s="22">
        <v>137.0</v>
      </c>
      <c r="P1956" s="28">
        <v>52.0</v>
      </c>
      <c r="Q1956" s="28">
        <v>40.0</v>
      </c>
      <c r="R1956" s="84"/>
      <c r="S1956" s="84"/>
      <c r="T1956" s="84"/>
      <c r="U1956" s="84"/>
      <c r="V1956" s="84"/>
      <c r="W1956" s="84"/>
      <c r="X1956" s="84"/>
      <c r="Y1956" s="84"/>
      <c r="Z1956" s="84"/>
      <c r="AA1956" s="84"/>
    </row>
    <row r="1957" ht="15.75" customHeight="1">
      <c r="A1957" s="14" t="s">
        <v>2137</v>
      </c>
      <c r="B1957" s="15" t="s">
        <v>21288</v>
      </c>
      <c r="C1957" s="14" t="s">
        <v>21401</v>
      </c>
      <c r="D1957" s="14" t="s">
        <v>21402</v>
      </c>
      <c r="E1957" s="26" t="str">
        <f t="shared" si="27"/>
        <v>http://dx.doi.org/10.1109/TVCG.2010.174</v>
      </c>
      <c r="F1957" s="14">
        <v>1009.0</v>
      </c>
      <c r="G1957" s="14">
        <v>1016.0</v>
      </c>
      <c r="H1957" s="14" t="s">
        <v>17059</v>
      </c>
      <c r="I1957" s="19" t="s">
        <v>21403</v>
      </c>
      <c r="J1957" s="19" t="s">
        <v>19213</v>
      </c>
      <c r="K1957" s="19" t="s">
        <v>19213</v>
      </c>
      <c r="L1957" s="19" t="s">
        <v>19214</v>
      </c>
      <c r="M1957" s="20" t="s">
        <v>19071</v>
      </c>
      <c r="N1957" s="44" t="s">
        <v>21405</v>
      </c>
      <c r="O1957" s="22">
        <v>50.0</v>
      </c>
      <c r="P1957" s="28">
        <v>6.0</v>
      </c>
      <c r="Q1957" s="28">
        <v>17.0</v>
      </c>
      <c r="R1957" s="84"/>
      <c r="S1957" s="84"/>
      <c r="T1957" s="84"/>
      <c r="U1957" s="84"/>
      <c r="V1957" s="84"/>
      <c r="W1957" s="84"/>
      <c r="X1957" s="84"/>
      <c r="Y1957" s="84"/>
      <c r="Z1957" s="84"/>
      <c r="AA1957" s="84"/>
    </row>
    <row r="1958" ht="15.75" customHeight="1">
      <c r="A1958" s="14" t="s">
        <v>2137</v>
      </c>
      <c r="B1958" s="15" t="s">
        <v>21288</v>
      </c>
      <c r="C1958" s="14" t="s">
        <v>21406</v>
      </c>
      <c r="D1958" s="14" t="s">
        <v>21408</v>
      </c>
      <c r="E1958" s="26" t="str">
        <f t="shared" si="27"/>
        <v>http://dx.doi.org/10.1109/TVCG.2010.175</v>
      </c>
      <c r="F1958" s="14">
        <v>1190.0</v>
      </c>
      <c r="G1958" s="14">
        <v>1197.0</v>
      </c>
      <c r="H1958" s="14" t="s">
        <v>17059</v>
      </c>
      <c r="I1958" s="19" t="s">
        <v>21409</v>
      </c>
      <c r="J1958" s="19" t="s">
        <v>21410</v>
      </c>
      <c r="K1958" s="19" t="s">
        <v>21411</v>
      </c>
      <c r="L1958" s="19" t="s">
        <v>21412</v>
      </c>
      <c r="M1958" s="20" t="s">
        <v>21413</v>
      </c>
      <c r="N1958" s="44" t="s">
        <v>21414</v>
      </c>
      <c r="O1958" s="22">
        <v>76.0</v>
      </c>
      <c r="P1958" s="28">
        <v>43.0</v>
      </c>
      <c r="Q1958" s="28">
        <v>30.0</v>
      </c>
      <c r="R1958" s="84"/>
      <c r="S1958" s="84"/>
      <c r="T1958" s="84"/>
      <c r="U1958" s="84"/>
      <c r="V1958" s="84"/>
      <c r="W1958" s="84"/>
      <c r="X1958" s="84"/>
      <c r="Y1958" s="84"/>
      <c r="Z1958" s="84"/>
      <c r="AA1958" s="84"/>
    </row>
    <row r="1959" ht="15.75" customHeight="1">
      <c r="A1959" s="14" t="s">
        <v>2137</v>
      </c>
      <c r="B1959" s="15" t="s">
        <v>21288</v>
      </c>
      <c r="C1959" s="14" t="s">
        <v>21415</v>
      </c>
      <c r="D1959" s="14" t="s">
        <v>21416</v>
      </c>
      <c r="E1959" s="26" t="str">
        <f t="shared" si="27"/>
        <v>http://dx.doi.org/10.1109/TVCG.2010.176</v>
      </c>
      <c r="F1959" s="14">
        <v>980.0</v>
      </c>
      <c r="G1959" s="14">
        <v>989.0</v>
      </c>
      <c r="H1959" s="14" t="s">
        <v>17059</v>
      </c>
      <c r="I1959" s="19" t="s">
        <v>21418</v>
      </c>
      <c r="J1959" s="19" t="s">
        <v>21419</v>
      </c>
      <c r="K1959" s="19" t="s">
        <v>21420</v>
      </c>
      <c r="L1959" s="19" t="s">
        <v>21421</v>
      </c>
      <c r="M1959" s="20" t="s">
        <v>21422</v>
      </c>
      <c r="N1959" s="44" t="s">
        <v>21423</v>
      </c>
      <c r="O1959" s="22">
        <v>58.0</v>
      </c>
      <c r="P1959" s="28">
        <v>28.0</v>
      </c>
      <c r="Q1959" s="28">
        <v>39.0</v>
      </c>
      <c r="R1959" s="84"/>
      <c r="S1959" s="84"/>
      <c r="T1959" s="84"/>
      <c r="U1959" s="84"/>
      <c r="V1959" s="84"/>
      <c r="W1959" s="84"/>
      <c r="X1959" s="84"/>
      <c r="Y1959" s="84"/>
      <c r="Z1959" s="84"/>
      <c r="AA1959" s="84"/>
    </row>
    <row r="1960" ht="15.75" customHeight="1">
      <c r="A1960" s="14" t="s">
        <v>2137</v>
      </c>
      <c r="B1960" s="15" t="s">
        <v>21288</v>
      </c>
      <c r="C1960" s="14" t="s">
        <v>21425</v>
      </c>
      <c r="D1960" s="14" t="s">
        <v>21426</v>
      </c>
      <c r="E1960" s="26" t="str">
        <f t="shared" si="27"/>
        <v>http://dx.doi.org/10.1109/TVCG.2010.177</v>
      </c>
      <c r="F1960" s="14">
        <v>999.0</v>
      </c>
      <c r="G1960" s="14">
        <v>1008.0</v>
      </c>
      <c r="H1960" s="14" t="s">
        <v>17059</v>
      </c>
      <c r="I1960" s="19" t="s">
        <v>21427</v>
      </c>
      <c r="J1960" s="19" t="s">
        <v>21428</v>
      </c>
      <c r="K1960" s="19" t="s">
        <v>21429</v>
      </c>
      <c r="L1960" s="19" t="s">
        <v>21430</v>
      </c>
      <c r="M1960" s="20" t="s">
        <v>21431</v>
      </c>
      <c r="N1960" s="44" t="s">
        <v>21432</v>
      </c>
      <c r="O1960" s="22">
        <v>175.0</v>
      </c>
      <c r="P1960" s="28">
        <v>62.0</v>
      </c>
      <c r="Q1960" s="28">
        <v>67.0</v>
      </c>
      <c r="R1960" s="84"/>
      <c r="S1960" s="84"/>
      <c r="T1960" s="84"/>
      <c r="U1960" s="84"/>
      <c r="V1960" s="84"/>
      <c r="W1960" s="84"/>
      <c r="X1960" s="84"/>
      <c r="Y1960" s="84"/>
      <c r="Z1960" s="84"/>
      <c r="AA1960" s="84"/>
    </row>
    <row r="1961" ht="15.75" customHeight="1">
      <c r="A1961" s="14" t="s">
        <v>2137</v>
      </c>
      <c r="B1961" s="15" t="s">
        <v>21288</v>
      </c>
      <c r="C1961" s="14" t="s">
        <v>21433</v>
      </c>
      <c r="D1961" s="14" t="s">
        <v>21434</v>
      </c>
      <c r="E1961" s="26" t="str">
        <f t="shared" si="27"/>
        <v>http://dx.doi.org/10.1109/TVCG.2010.179</v>
      </c>
      <c r="F1961" s="14">
        <v>1139.0</v>
      </c>
      <c r="G1961" s="14">
        <v>1148.0</v>
      </c>
      <c r="H1961" s="14" t="s">
        <v>17059</v>
      </c>
      <c r="I1961" s="19" t="s">
        <v>21435</v>
      </c>
      <c r="J1961" s="19" t="s">
        <v>21436</v>
      </c>
      <c r="K1961" s="19" t="s">
        <v>21436</v>
      </c>
      <c r="L1961" s="19" t="s">
        <v>20226</v>
      </c>
      <c r="M1961" s="20" t="s">
        <v>21437</v>
      </c>
      <c r="N1961" s="44" t="s">
        <v>21438</v>
      </c>
      <c r="O1961" s="22">
        <v>493.0</v>
      </c>
      <c r="P1961" s="28">
        <v>183.0</v>
      </c>
      <c r="Q1961" s="28">
        <v>27.0</v>
      </c>
      <c r="R1961" s="84"/>
      <c r="S1961" s="84"/>
      <c r="T1961" s="84"/>
      <c r="U1961" s="84"/>
      <c r="V1961" s="84"/>
      <c r="W1961" s="84"/>
      <c r="X1961" s="84"/>
      <c r="Y1961" s="84"/>
      <c r="Z1961" s="84"/>
      <c r="AA1961" s="84"/>
    </row>
    <row r="1962" ht="15.75" customHeight="1">
      <c r="A1962" s="14" t="s">
        <v>2137</v>
      </c>
      <c r="B1962" s="15" t="s">
        <v>21288</v>
      </c>
      <c r="C1962" s="14" t="s">
        <v>21439</v>
      </c>
      <c r="D1962" s="14" t="s">
        <v>21440</v>
      </c>
      <c r="E1962" s="26" t="str">
        <f t="shared" si="27"/>
        <v>http://dx.doi.org/10.1109/TVCG.2010.180</v>
      </c>
      <c r="F1962" s="14">
        <v>881.0</v>
      </c>
      <c r="G1962" s="14">
        <v>889.0</v>
      </c>
      <c r="H1962" s="14" t="s">
        <v>17059</v>
      </c>
      <c r="I1962" s="19" t="s">
        <v>21449</v>
      </c>
      <c r="J1962" s="19" t="s">
        <v>21450</v>
      </c>
      <c r="K1962" s="19" t="s">
        <v>21451</v>
      </c>
      <c r="L1962" s="18"/>
      <c r="M1962" s="20" t="s">
        <v>21452</v>
      </c>
      <c r="N1962" s="44" t="s">
        <v>21453</v>
      </c>
      <c r="O1962" s="109"/>
      <c r="P1962" s="28">
        <v>26.0</v>
      </c>
      <c r="Q1962" s="28">
        <v>18.0</v>
      </c>
      <c r="R1962" s="85" t="s">
        <v>19037</v>
      </c>
      <c r="S1962" s="84"/>
      <c r="T1962" s="84"/>
      <c r="U1962" s="84"/>
      <c r="V1962" s="84"/>
      <c r="W1962" s="84"/>
      <c r="X1962" s="84"/>
      <c r="Y1962" s="84"/>
      <c r="Z1962" s="84"/>
      <c r="AA1962" s="84"/>
    </row>
    <row r="1963" ht="15.75" customHeight="1">
      <c r="A1963" s="14" t="s">
        <v>2137</v>
      </c>
      <c r="B1963" s="15" t="s">
        <v>21288</v>
      </c>
      <c r="C1963" s="14" t="s">
        <v>21455</v>
      </c>
      <c r="D1963" s="14" t="s">
        <v>21456</v>
      </c>
      <c r="E1963" s="26" t="str">
        <f t="shared" si="27"/>
        <v>http://dx.doi.org/10.1109/TVCG.2010.183</v>
      </c>
      <c r="F1963" s="14">
        <v>1109.0</v>
      </c>
      <c r="G1963" s="14">
        <v>1118.0</v>
      </c>
      <c r="H1963" s="14" t="s">
        <v>17059</v>
      </c>
      <c r="I1963" s="19" t="s">
        <v>21458</v>
      </c>
      <c r="J1963" s="19" t="s">
        <v>21459</v>
      </c>
      <c r="K1963" s="19" t="s">
        <v>21459</v>
      </c>
      <c r="L1963" s="18"/>
      <c r="M1963" s="20" t="s">
        <v>21460</v>
      </c>
      <c r="N1963" s="44" t="s">
        <v>21461</v>
      </c>
      <c r="O1963" s="22">
        <v>139.0</v>
      </c>
      <c r="P1963" s="28">
        <v>65.0</v>
      </c>
      <c r="Q1963" s="28">
        <v>31.0</v>
      </c>
      <c r="R1963" s="84"/>
      <c r="S1963" s="84"/>
      <c r="T1963" s="84"/>
      <c r="U1963" s="84"/>
      <c r="V1963" s="84"/>
      <c r="W1963" s="84"/>
      <c r="X1963" s="84"/>
      <c r="Y1963" s="84"/>
      <c r="Z1963" s="84"/>
      <c r="AA1963" s="84"/>
    </row>
    <row r="1964" ht="15.75" customHeight="1">
      <c r="A1964" s="14" t="s">
        <v>2137</v>
      </c>
      <c r="B1964" s="15" t="s">
        <v>21288</v>
      </c>
      <c r="C1964" s="14" t="s">
        <v>21462</v>
      </c>
      <c r="D1964" s="14" t="s">
        <v>21463</v>
      </c>
      <c r="E1964" s="26" t="str">
        <f t="shared" si="27"/>
        <v>http://dx.doi.org/10.1109/TVCG.2010.184</v>
      </c>
      <c r="F1964" s="14">
        <v>1017.0</v>
      </c>
      <c r="G1964" s="14">
        <v>1026.0</v>
      </c>
      <c r="H1964" s="14" t="s">
        <v>17059</v>
      </c>
      <c r="I1964" s="19" t="s">
        <v>21464</v>
      </c>
      <c r="J1964" s="19" t="s">
        <v>21465</v>
      </c>
      <c r="K1964" s="19" t="s">
        <v>21465</v>
      </c>
      <c r="L1964" s="19" t="s">
        <v>21466</v>
      </c>
      <c r="M1964" s="20" t="s">
        <v>21467</v>
      </c>
      <c r="N1964" s="44" t="s">
        <v>21468</v>
      </c>
      <c r="O1964" s="22">
        <v>83.0</v>
      </c>
      <c r="P1964" s="28">
        <v>56.0</v>
      </c>
      <c r="Q1964" s="28">
        <v>32.0</v>
      </c>
      <c r="R1964" s="84"/>
      <c r="S1964" s="84"/>
      <c r="T1964" s="84"/>
      <c r="U1964" s="84"/>
      <c r="V1964" s="84"/>
      <c r="W1964" s="84"/>
      <c r="X1964" s="84"/>
      <c r="Y1964" s="84"/>
      <c r="Z1964" s="84"/>
      <c r="AA1964" s="84"/>
    </row>
    <row r="1965" ht="15.75" customHeight="1">
      <c r="A1965" s="14" t="s">
        <v>2137</v>
      </c>
      <c r="B1965" s="15" t="s">
        <v>21288</v>
      </c>
      <c r="C1965" s="14" t="s">
        <v>21469</v>
      </c>
      <c r="D1965" s="14" t="s">
        <v>21470</v>
      </c>
      <c r="E1965" s="26" t="str">
        <f t="shared" si="27"/>
        <v>http://dx.doi.org/10.1109/TVCG.2010.185</v>
      </c>
      <c r="F1965" s="14">
        <v>1063.0</v>
      </c>
      <c r="G1965" s="14">
        <v>1072.0</v>
      </c>
      <c r="H1965" s="14" t="s">
        <v>17059</v>
      </c>
      <c r="I1965" s="19" t="s">
        <v>21471</v>
      </c>
      <c r="J1965" s="19" t="s">
        <v>21472</v>
      </c>
      <c r="K1965" s="19" t="s">
        <v>21473</v>
      </c>
      <c r="L1965" s="19" t="s">
        <v>21474</v>
      </c>
      <c r="M1965" s="20" t="s">
        <v>21475</v>
      </c>
      <c r="N1965" s="44" t="s">
        <v>21476</v>
      </c>
      <c r="O1965" s="22">
        <v>27.0</v>
      </c>
      <c r="P1965" s="28">
        <v>14.0</v>
      </c>
      <c r="Q1965" s="28">
        <v>35.0</v>
      </c>
      <c r="R1965" s="84"/>
      <c r="S1965" s="84"/>
      <c r="T1965" s="84"/>
      <c r="U1965" s="84"/>
      <c r="V1965" s="84"/>
      <c r="W1965" s="84"/>
      <c r="X1965" s="84"/>
      <c r="Y1965" s="84"/>
      <c r="Z1965" s="84"/>
      <c r="AA1965" s="84"/>
    </row>
    <row r="1966" ht="15.75" customHeight="1">
      <c r="A1966" s="14" t="s">
        <v>2137</v>
      </c>
      <c r="B1966" s="15" t="s">
        <v>21288</v>
      </c>
      <c r="C1966" s="14" t="s">
        <v>21477</v>
      </c>
      <c r="D1966" s="14" t="s">
        <v>21478</v>
      </c>
      <c r="E1966" s="26" t="str">
        <f t="shared" si="27"/>
        <v>http://dx.doi.org/10.1109/TVCG.2010.186</v>
      </c>
      <c r="F1966" s="14">
        <v>990.0</v>
      </c>
      <c r="G1966" s="14">
        <v>998.0</v>
      </c>
      <c r="H1966" s="14" t="s">
        <v>17059</v>
      </c>
      <c r="I1966" s="19" t="s">
        <v>21479</v>
      </c>
      <c r="J1966" s="19" t="s">
        <v>21480</v>
      </c>
      <c r="K1966" s="19" t="s">
        <v>21480</v>
      </c>
      <c r="L1966" s="19" t="s">
        <v>21481</v>
      </c>
      <c r="M1966" s="20" t="s">
        <v>21482</v>
      </c>
      <c r="N1966" s="44" t="s">
        <v>21483</v>
      </c>
      <c r="O1966" s="22">
        <v>77.0</v>
      </c>
      <c r="P1966" s="28">
        <v>36.0</v>
      </c>
      <c r="Q1966" s="28">
        <v>45.0</v>
      </c>
      <c r="R1966" s="85" t="s">
        <v>19037</v>
      </c>
      <c r="S1966" s="84"/>
      <c r="T1966" s="84"/>
      <c r="U1966" s="84"/>
      <c r="V1966" s="84"/>
      <c r="W1966" s="84"/>
      <c r="X1966" s="84"/>
      <c r="Y1966" s="84"/>
      <c r="Z1966" s="84"/>
      <c r="AA1966" s="84"/>
    </row>
    <row r="1967" ht="15.75" customHeight="1">
      <c r="A1967" s="14" t="s">
        <v>2137</v>
      </c>
      <c r="B1967" s="15" t="s">
        <v>21288</v>
      </c>
      <c r="C1967" s="14" t="s">
        <v>21484</v>
      </c>
      <c r="D1967" s="14" t="s">
        <v>21485</v>
      </c>
      <c r="E1967" s="26" t="str">
        <f t="shared" si="27"/>
        <v>http://dx.doi.org/10.1109/TVCG.2010.191</v>
      </c>
      <c r="F1967" s="14">
        <v>890.0</v>
      </c>
      <c r="G1967" s="14">
        <v>899.0</v>
      </c>
      <c r="H1967" s="14" t="s">
        <v>17059</v>
      </c>
      <c r="I1967" s="19" t="s">
        <v>21487</v>
      </c>
      <c r="J1967" s="19" t="s">
        <v>21488</v>
      </c>
      <c r="K1967" s="19" t="s">
        <v>21488</v>
      </c>
      <c r="L1967" s="18"/>
      <c r="M1967" s="20" t="s">
        <v>21489</v>
      </c>
      <c r="N1967" s="44" t="s">
        <v>21490</v>
      </c>
      <c r="O1967" s="22">
        <v>47.0</v>
      </c>
      <c r="P1967" s="28">
        <v>20.0</v>
      </c>
      <c r="Q1967" s="28">
        <v>62.0</v>
      </c>
      <c r="R1967" s="85" t="s">
        <v>19037</v>
      </c>
      <c r="S1967" s="84"/>
      <c r="T1967" s="84"/>
      <c r="U1967" s="84"/>
      <c r="V1967" s="84"/>
      <c r="W1967" s="84"/>
      <c r="X1967" s="84"/>
      <c r="Y1967" s="84"/>
      <c r="Z1967" s="84"/>
      <c r="AA1967" s="84"/>
    </row>
    <row r="1968" ht="15.75" customHeight="1">
      <c r="A1968" s="14" t="s">
        <v>2137</v>
      </c>
      <c r="B1968" s="15" t="s">
        <v>21288</v>
      </c>
      <c r="C1968" s="14" t="s">
        <v>21492</v>
      </c>
      <c r="D1968" s="14" t="s">
        <v>21493</v>
      </c>
      <c r="E1968" s="26" t="str">
        <f t="shared" si="27"/>
        <v>http://dx.doi.org/10.1109/TVCG.2010.193</v>
      </c>
      <c r="F1968" s="14">
        <v>900.0</v>
      </c>
      <c r="G1968" s="14">
        <v>907.0</v>
      </c>
      <c r="H1968" s="14" t="s">
        <v>17059</v>
      </c>
      <c r="I1968" s="19" t="s">
        <v>21494</v>
      </c>
      <c r="J1968" s="19" t="s">
        <v>21495</v>
      </c>
      <c r="K1968" s="19" t="s">
        <v>21495</v>
      </c>
      <c r="L1968" s="19" t="s">
        <v>21496</v>
      </c>
      <c r="M1968" s="20" t="s">
        <v>20588</v>
      </c>
      <c r="N1968" s="44" t="s">
        <v>21497</v>
      </c>
      <c r="O1968" s="22">
        <v>50.0</v>
      </c>
      <c r="P1968" s="28">
        <v>27.0</v>
      </c>
      <c r="Q1968" s="28">
        <v>26.0</v>
      </c>
      <c r="R1968" s="85" t="s">
        <v>19037</v>
      </c>
      <c r="S1968" s="84"/>
      <c r="T1968" s="84"/>
      <c r="U1968" s="84"/>
      <c r="V1968" s="84"/>
      <c r="W1968" s="84"/>
      <c r="X1968" s="84"/>
      <c r="Y1968" s="84"/>
      <c r="Z1968" s="84"/>
      <c r="AA1968" s="84"/>
    </row>
    <row r="1969" ht="15.75" customHeight="1">
      <c r="A1969" s="14" t="s">
        <v>2137</v>
      </c>
      <c r="B1969" s="15" t="s">
        <v>21288</v>
      </c>
      <c r="C1969" s="14" t="s">
        <v>21498</v>
      </c>
      <c r="D1969" s="14" t="s">
        <v>21499</v>
      </c>
      <c r="E1969" s="26" t="str">
        <f t="shared" si="27"/>
        <v>http://dx.doi.org/10.1109/TVCG.2010.194</v>
      </c>
      <c r="F1969" s="14">
        <v>1182.0</v>
      </c>
      <c r="G1969" s="14">
        <v>1189.0</v>
      </c>
      <c r="H1969" s="14" t="s">
        <v>17059</v>
      </c>
      <c r="I1969" s="19" t="s">
        <v>21500</v>
      </c>
      <c r="J1969" s="19" t="s">
        <v>21501</v>
      </c>
      <c r="K1969" s="19" t="s">
        <v>21502</v>
      </c>
      <c r="L1969" s="19" t="s">
        <v>21503</v>
      </c>
      <c r="M1969" s="20" t="s">
        <v>21504</v>
      </c>
      <c r="N1969" s="44" t="s">
        <v>21505</v>
      </c>
      <c r="O1969" s="22">
        <v>156.0</v>
      </c>
      <c r="P1969" s="28">
        <v>68.0</v>
      </c>
      <c r="Q1969" s="28">
        <v>29.0</v>
      </c>
      <c r="R1969" s="84"/>
      <c r="S1969" s="84"/>
      <c r="T1969" s="84"/>
      <c r="U1969" s="84"/>
      <c r="V1969" s="84"/>
      <c r="W1969" s="84"/>
      <c r="X1969" s="84"/>
      <c r="Y1969" s="84"/>
      <c r="Z1969" s="84"/>
      <c r="AA1969" s="84"/>
    </row>
    <row r="1970" ht="15.75" customHeight="1">
      <c r="A1970" s="14" t="s">
        <v>2137</v>
      </c>
      <c r="B1970" s="15" t="s">
        <v>21288</v>
      </c>
      <c r="C1970" s="14" t="s">
        <v>21507</v>
      </c>
      <c r="D1970" s="14" t="s">
        <v>21508</v>
      </c>
      <c r="E1970" s="26" t="str">
        <f t="shared" si="27"/>
        <v>http://dx.doi.org/10.1109/TVCG.2010.197</v>
      </c>
      <c r="F1970" s="14">
        <v>1044.0</v>
      </c>
      <c r="G1970" s="14">
        <v>1052.0</v>
      </c>
      <c r="H1970" s="14" t="s">
        <v>17059</v>
      </c>
      <c r="I1970" s="19" t="s">
        <v>21510</v>
      </c>
      <c r="J1970" s="19" t="s">
        <v>21511</v>
      </c>
      <c r="K1970" s="19" t="s">
        <v>21512</v>
      </c>
      <c r="L1970" s="18"/>
      <c r="M1970" s="20" t="s">
        <v>21513</v>
      </c>
      <c r="N1970" s="44" t="s">
        <v>21514</v>
      </c>
      <c r="O1970" s="22">
        <v>36.0</v>
      </c>
      <c r="P1970" s="28">
        <v>23.0</v>
      </c>
      <c r="Q1970" s="28">
        <v>38.0</v>
      </c>
      <c r="R1970" s="84"/>
      <c r="S1970" s="84"/>
      <c r="T1970" s="84"/>
      <c r="U1970" s="84"/>
      <c r="V1970" s="84"/>
      <c r="W1970" s="84"/>
      <c r="X1970" s="84"/>
      <c r="Y1970" s="84"/>
      <c r="Z1970" s="84"/>
      <c r="AA1970" s="84"/>
    </row>
    <row r="1971" ht="15.75" customHeight="1">
      <c r="A1971" s="14" t="s">
        <v>2137</v>
      </c>
      <c r="B1971" s="15" t="s">
        <v>21288</v>
      </c>
      <c r="C1971" s="14" t="s">
        <v>21515</v>
      </c>
      <c r="D1971" s="14" t="s">
        <v>21516</v>
      </c>
      <c r="E1971" s="26" t="str">
        <f t="shared" si="27"/>
        <v>http://dx.doi.org/10.1109/TVCG.2010.205</v>
      </c>
      <c r="F1971" s="14">
        <v>1100.0</v>
      </c>
      <c r="G1971" s="14">
        <v>1108.0</v>
      </c>
      <c r="H1971" s="14" t="s">
        <v>17059</v>
      </c>
      <c r="I1971" s="19" t="s">
        <v>21517</v>
      </c>
      <c r="J1971" s="19" t="s">
        <v>21518</v>
      </c>
      <c r="K1971" s="19" t="s">
        <v>21518</v>
      </c>
      <c r="L1971" s="19" t="s">
        <v>21519</v>
      </c>
      <c r="M1971" s="20" t="s">
        <v>21520</v>
      </c>
      <c r="N1971" s="44" t="s">
        <v>21521</v>
      </c>
      <c r="O1971" s="22">
        <v>71.0</v>
      </c>
      <c r="P1971" s="28">
        <v>36.0</v>
      </c>
      <c r="Q1971" s="28">
        <v>39.0</v>
      </c>
      <c r="R1971" s="84"/>
      <c r="S1971" s="84"/>
      <c r="T1971" s="84"/>
      <c r="U1971" s="84"/>
      <c r="V1971" s="84"/>
      <c r="W1971" s="84"/>
      <c r="X1971" s="84"/>
      <c r="Y1971" s="84"/>
      <c r="Z1971" s="84"/>
      <c r="AA1971" s="84"/>
    </row>
    <row r="1972" ht="15.75" customHeight="1">
      <c r="A1972" s="14" t="s">
        <v>2137</v>
      </c>
      <c r="B1972" s="15" t="s">
        <v>21288</v>
      </c>
      <c r="C1972" s="14" t="s">
        <v>21522</v>
      </c>
      <c r="D1972" s="14" t="s">
        <v>21523</v>
      </c>
      <c r="E1972" s="26" t="str">
        <f t="shared" si="27"/>
        <v>http://dx.doi.org/10.1109/TVCG.2010.206</v>
      </c>
      <c r="F1972" s="14">
        <v>1119.0</v>
      </c>
      <c r="G1972" s="14">
        <v>1128.0</v>
      </c>
      <c r="H1972" s="14" t="s">
        <v>17059</v>
      </c>
      <c r="I1972" s="19" t="s">
        <v>21524</v>
      </c>
      <c r="J1972" s="19" t="s">
        <v>21525</v>
      </c>
      <c r="K1972" s="19" t="s">
        <v>21525</v>
      </c>
      <c r="L1972" s="19" t="s">
        <v>21526</v>
      </c>
      <c r="M1972" s="20" t="s">
        <v>21527</v>
      </c>
      <c r="N1972" s="44" t="s">
        <v>21528</v>
      </c>
      <c r="O1972" s="22">
        <v>50.0</v>
      </c>
      <c r="P1972" s="28">
        <v>17.0</v>
      </c>
      <c r="Q1972" s="28">
        <v>38.0</v>
      </c>
      <c r="R1972" s="84"/>
      <c r="S1972" s="84"/>
      <c r="T1972" s="84"/>
      <c r="U1972" s="84"/>
      <c r="V1972" s="84"/>
      <c r="W1972" s="84"/>
      <c r="X1972" s="84"/>
      <c r="Y1972" s="84"/>
      <c r="Z1972" s="84"/>
      <c r="AA1972" s="84"/>
    </row>
    <row r="1973" ht="15.75" customHeight="1">
      <c r="A1973" s="14" t="s">
        <v>2137</v>
      </c>
      <c r="B1973" s="15" t="s">
        <v>21288</v>
      </c>
      <c r="C1973" s="14" t="s">
        <v>21530</v>
      </c>
      <c r="D1973" s="14" t="s">
        <v>21531</v>
      </c>
      <c r="E1973" s="26" t="str">
        <f t="shared" si="27"/>
        <v>http://dx.doi.org/10.1109/TVCG.2010.209</v>
      </c>
      <c r="F1973" s="14">
        <v>935.0</v>
      </c>
      <c r="G1973" s="14">
        <v>942.0</v>
      </c>
      <c r="H1973" s="14" t="s">
        <v>17059</v>
      </c>
      <c r="I1973" s="19" t="s">
        <v>21532</v>
      </c>
      <c r="J1973" s="19" t="s">
        <v>21533</v>
      </c>
      <c r="K1973" s="19" t="s">
        <v>21534</v>
      </c>
      <c r="L1973" s="19" t="s">
        <v>21535</v>
      </c>
      <c r="M1973" s="20" t="s">
        <v>21536</v>
      </c>
      <c r="N1973" s="44" t="s">
        <v>21537</v>
      </c>
      <c r="O1973" s="22">
        <v>52.0</v>
      </c>
      <c r="P1973" s="28">
        <v>24.0</v>
      </c>
      <c r="Q1973" s="28">
        <v>19.0</v>
      </c>
      <c r="R1973" s="84"/>
      <c r="S1973" s="84"/>
      <c r="T1973" s="84"/>
      <c r="U1973" s="84"/>
      <c r="V1973" s="84"/>
      <c r="W1973" s="84"/>
      <c r="X1973" s="84"/>
      <c r="Y1973" s="84"/>
      <c r="Z1973" s="84"/>
      <c r="AA1973" s="84"/>
    </row>
    <row r="1974" ht="15.75" customHeight="1">
      <c r="A1974" s="14" t="s">
        <v>2137</v>
      </c>
      <c r="B1974" s="15" t="s">
        <v>21288</v>
      </c>
      <c r="C1974" s="14" t="s">
        <v>21538</v>
      </c>
      <c r="D1974" s="14" t="s">
        <v>21539</v>
      </c>
      <c r="E1974" s="26" t="str">
        <f t="shared" si="27"/>
        <v>http://dx.doi.org/10.1109/TVCG.2010.210</v>
      </c>
      <c r="F1974" s="14">
        <v>1090.0</v>
      </c>
      <c r="G1974" s="14">
        <v>1099.0</v>
      </c>
      <c r="H1974" s="14" t="s">
        <v>17059</v>
      </c>
      <c r="I1974" s="19" t="s">
        <v>21540</v>
      </c>
      <c r="J1974" s="19" t="s">
        <v>21541</v>
      </c>
      <c r="K1974" s="19" t="s">
        <v>21541</v>
      </c>
      <c r="L1974" s="19" t="s">
        <v>21542</v>
      </c>
      <c r="M1974" s="20" t="s">
        <v>21543</v>
      </c>
      <c r="N1974" s="44" t="s">
        <v>21544</v>
      </c>
      <c r="O1974" s="22">
        <v>115.0</v>
      </c>
      <c r="P1974" s="28">
        <v>64.0</v>
      </c>
      <c r="Q1974" s="28">
        <v>33.0</v>
      </c>
      <c r="R1974" s="84"/>
      <c r="S1974" s="84"/>
      <c r="T1974" s="84"/>
      <c r="U1974" s="84"/>
      <c r="V1974" s="84"/>
      <c r="W1974" s="84"/>
      <c r="X1974" s="84"/>
      <c r="Y1974" s="84"/>
      <c r="Z1974" s="84"/>
      <c r="AA1974" s="84"/>
    </row>
    <row r="1975" ht="15.75" customHeight="1">
      <c r="A1975" s="14" t="s">
        <v>2137</v>
      </c>
      <c r="B1975" s="15" t="s">
        <v>21288</v>
      </c>
      <c r="C1975" s="14" t="s">
        <v>21545</v>
      </c>
      <c r="D1975" s="14" t="s">
        <v>21546</v>
      </c>
      <c r="E1975" s="26" t="str">
        <f t="shared" si="27"/>
        <v>http://dx.doi.org/10.1109/TVCG.2010.216</v>
      </c>
      <c r="F1975" s="14">
        <v>1053.0</v>
      </c>
      <c r="G1975" s="14">
        <v>1062.0</v>
      </c>
      <c r="H1975" s="14" t="s">
        <v>17059</v>
      </c>
      <c r="I1975" s="19" t="s">
        <v>21547</v>
      </c>
      <c r="J1975" s="19" t="s">
        <v>21548</v>
      </c>
      <c r="K1975" s="19" t="s">
        <v>21549</v>
      </c>
      <c r="L1975" s="19" t="s">
        <v>21550</v>
      </c>
      <c r="M1975" s="20" t="s">
        <v>21551</v>
      </c>
      <c r="N1975" s="44" t="s">
        <v>21552</v>
      </c>
      <c r="O1975" s="22">
        <v>29.0</v>
      </c>
      <c r="P1975" s="28">
        <v>15.0</v>
      </c>
      <c r="Q1975" s="28">
        <v>38.0</v>
      </c>
      <c r="R1975" s="84"/>
      <c r="S1975" s="84"/>
      <c r="T1975" s="84"/>
      <c r="U1975" s="84"/>
      <c r="V1975" s="84"/>
      <c r="W1975" s="84"/>
      <c r="X1975" s="84"/>
      <c r="Y1975" s="84"/>
      <c r="Z1975" s="84"/>
      <c r="AA1975" s="84"/>
    </row>
    <row r="1976" ht="15.75" customHeight="1">
      <c r="A1976" s="14" t="s">
        <v>2137</v>
      </c>
      <c r="B1976" s="15" t="s">
        <v>21288</v>
      </c>
      <c r="C1976" s="14" t="s">
        <v>21554</v>
      </c>
      <c r="D1976" s="14" t="s">
        <v>21555</v>
      </c>
      <c r="E1976" s="26" t="str">
        <f t="shared" si="27"/>
        <v>http://dx.doi.org/10.1109/TVCG.2010.217</v>
      </c>
      <c r="F1976" s="14">
        <v>1082.0</v>
      </c>
      <c r="G1976" s="14">
        <v>1089.0</v>
      </c>
      <c r="H1976" s="14" t="s">
        <v>17059</v>
      </c>
      <c r="I1976" s="19" t="s">
        <v>21556</v>
      </c>
      <c r="J1976" s="19" t="s">
        <v>21557</v>
      </c>
      <c r="K1976" s="19" t="s">
        <v>21558</v>
      </c>
      <c r="L1976" s="19" t="s">
        <v>21559</v>
      </c>
      <c r="M1976" s="20" t="s">
        <v>18198</v>
      </c>
      <c r="N1976" s="44" t="s">
        <v>21560</v>
      </c>
      <c r="O1976" s="22">
        <v>50.0</v>
      </c>
      <c r="P1976" s="28">
        <v>8.0</v>
      </c>
      <c r="Q1976" s="28">
        <v>35.0</v>
      </c>
      <c r="R1976" s="84"/>
      <c r="S1976" s="84"/>
      <c r="T1976" s="84"/>
      <c r="U1976" s="84"/>
      <c r="V1976" s="84"/>
      <c r="W1976" s="84"/>
      <c r="X1976" s="84"/>
      <c r="Y1976" s="84"/>
      <c r="Z1976" s="84"/>
      <c r="AA1976" s="84"/>
    </row>
    <row r="1977" ht="15.75" customHeight="1">
      <c r="A1977" s="14" t="s">
        <v>2137</v>
      </c>
      <c r="B1977" s="15" t="s">
        <v>21288</v>
      </c>
      <c r="C1977" s="14" t="s">
        <v>21561</v>
      </c>
      <c r="D1977" s="14" t="s">
        <v>21562</v>
      </c>
      <c r="E1977" s="26" t="str">
        <f t="shared" si="27"/>
        <v>http://dx.doi.org/10.1109/TVCG.2010.222</v>
      </c>
      <c r="F1977" s="14">
        <v>1157.0</v>
      </c>
      <c r="G1977" s="14">
        <v>1163.0</v>
      </c>
      <c r="H1977" s="14" t="s">
        <v>17059</v>
      </c>
      <c r="I1977" s="19" t="s">
        <v>21563</v>
      </c>
      <c r="J1977" s="19" t="s">
        <v>21564</v>
      </c>
      <c r="K1977" s="19" t="s">
        <v>21565</v>
      </c>
      <c r="L1977" s="19" t="s">
        <v>21566</v>
      </c>
      <c r="M1977" s="20" t="s">
        <v>21568</v>
      </c>
      <c r="N1977" s="44" t="s">
        <v>21569</v>
      </c>
      <c r="O1977" s="109"/>
      <c r="P1977" s="28">
        <v>10.0</v>
      </c>
      <c r="Q1977" s="28">
        <v>23.0</v>
      </c>
      <c r="R1977" s="84"/>
      <c r="S1977" s="84"/>
      <c r="T1977" s="84"/>
      <c r="U1977" s="84"/>
      <c r="V1977" s="84"/>
      <c r="W1977" s="84"/>
      <c r="X1977" s="84"/>
      <c r="Y1977" s="84"/>
      <c r="Z1977" s="84"/>
      <c r="AA1977" s="84"/>
    </row>
    <row r="1978" ht="15.75" customHeight="1">
      <c r="A1978" s="14" t="s">
        <v>120</v>
      </c>
      <c r="B1978" s="15" t="s">
        <v>21288</v>
      </c>
      <c r="C1978" s="14" t="s">
        <v>21570</v>
      </c>
      <c r="D1978" s="14" t="s">
        <v>21572</v>
      </c>
      <c r="E1978" s="26" t="str">
        <f t="shared" si="27"/>
        <v>http://dx.doi.org/10.1109/VAST.2010.5649831</v>
      </c>
      <c r="F1978" s="14">
        <v>253.0</v>
      </c>
      <c r="G1978" s="14">
        <v>254.0</v>
      </c>
      <c r="H1978" s="14" t="s">
        <v>21</v>
      </c>
      <c r="I1978" s="19" t="s">
        <v>21573</v>
      </c>
      <c r="J1978" s="19" t="s">
        <v>21574</v>
      </c>
      <c r="K1978" s="19" t="s">
        <v>21574</v>
      </c>
      <c r="L1978" s="19" t="s">
        <v>21575</v>
      </c>
      <c r="M1978" s="20"/>
      <c r="N1978" s="27"/>
      <c r="O1978" s="22">
        <v>0.0</v>
      </c>
      <c r="P1978" s="28">
        <v>0.0</v>
      </c>
      <c r="Q1978" s="28">
        <v>9.0</v>
      </c>
      <c r="R1978" s="84"/>
      <c r="S1978" s="84"/>
      <c r="T1978" s="84"/>
      <c r="U1978" s="84"/>
      <c r="V1978" s="84"/>
      <c r="W1978" s="84"/>
      <c r="X1978" s="84"/>
      <c r="Y1978" s="84"/>
      <c r="Z1978" s="84"/>
      <c r="AA1978" s="84"/>
    </row>
    <row r="1979" ht="15.75" customHeight="1">
      <c r="A1979" s="14" t="s">
        <v>120</v>
      </c>
      <c r="B1979" s="15" t="s">
        <v>21288</v>
      </c>
      <c r="C1979" s="14" t="s">
        <v>21576</v>
      </c>
      <c r="D1979" s="14" t="s">
        <v>21577</v>
      </c>
      <c r="E1979" s="26" t="str">
        <f t="shared" si="27"/>
        <v>http://dx.doi.org/10.1109/VAST.2010.5649905</v>
      </c>
      <c r="F1979" s="14">
        <v>235.0</v>
      </c>
      <c r="G1979" s="14">
        <v>236.0</v>
      </c>
      <c r="H1979" s="14" t="s">
        <v>21</v>
      </c>
      <c r="I1979" s="19" t="s">
        <v>21578</v>
      </c>
      <c r="J1979" s="19" t="s">
        <v>21579</v>
      </c>
      <c r="K1979" s="19" t="s">
        <v>21580</v>
      </c>
      <c r="L1979" s="19" t="s">
        <v>21581</v>
      </c>
      <c r="M1979" s="20"/>
      <c r="N1979" s="44" t="s">
        <v>21582</v>
      </c>
      <c r="O1979" s="22">
        <v>2.0</v>
      </c>
      <c r="P1979" s="28">
        <v>1.0</v>
      </c>
      <c r="Q1979" s="28">
        <v>4.0</v>
      </c>
      <c r="R1979" s="84"/>
      <c r="S1979" s="84"/>
      <c r="T1979" s="84"/>
      <c r="U1979" s="84"/>
      <c r="V1979" s="84"/>
      <c r="W1979" s="84"/>
      <c r="X1979" s="84"/>
      <c r="Y1979" s="84"/>
      <c r="Z1979" s="84"/>
      <c r="AA1979" s="84"/>
    </row>
    <row r="1980" ht="15.75" customHeight="1">
      <c r="A1980" s="14" t="s">
        <v>120</v>
      </c>
      <c r="B1980" s="15" t="s">
        <v>21288</v>
      </c>
      <c r="C1980" s="14" t="s">
        <v>21585</v>
      </c>
      <c r="D1980" s="67" t="s">
        <v>21586</v>
      </c>
      <c r="E1980" s="119" t="str">
        <f>"http://ieeexplore.ieee.org/xpl/articleDetails.jsp?arnumber=5650177"</f>
        <v>http://ieeexplore.ieee.org/xpl/articleDetails.jsp?arnumber=5650177</v>
      </c>
      <c r="F1980" s="14">
        <v>251.0</v>
      </c>
      <c r="G1980" s="14">
        <v>252.0</v>
      </c>
      <c r="H1980" s="14" t="s">
        <v>21</v>
      </c>
      <c r="I1980" s="19" t="s">
        <v>21588</v>
      </c>
      <c r="J1980" s="19" t="s">
        <v>21589</v>
      </c>
      <c r="K1980" s="19" t="s">
        <v>21589</v>
      </c>
      <c r="L1980" s="19" t="s">
        <v>21590</v>
      </c>
      <c r="M1980" s="20"/>
      <c r="N1980" s="27"/>
      <c r="O1980" s="22">
        <v>2.0</v>
      </c>
      <c r="P1980" s="28">
        <v>0.0</v>
      </c>
      <c r="Q1980" s="28">
        <v>3.0</v>
      </c>
      <c r="R1980" s="84"/>
      <c r="S1980" s="84"/>
      <c r="T1980" s="84"/>
      <c r="U1980" s="84"/>
      <c r="V1980" s="84"/>
      <c r="W1980" s="84"/>
      <c r="X1980" s="84"/>
      <c r="Y1980" s="84"/>
      <c r="Z1980" s="84"/>
      <c r="AA1980" s="84"/>
    </row>
    <row r="1981" ht="15.75" customHeight="1">
      <c r="A1981" s="14" t="s">
        <v>120</v>
      </c>
      <c r="B1981" s="15" t="s">
        <v>21288</v>
      </c>
      <c r="C1981" s="14" t="s">
        <v>21591</v>
      </c>
      <c r="D1981" s="14" t="s">
        <v>21592</v>
      </c>
      <c r="E1981" s="26" t="str">
        <f t="shared" ref="E1981:E2153" si="28">"http://dx.doi.org/" &amp; D1981</f>
        <v>http://dx.doi.org/10.1109/VAST.2010.5650199</v>
      </c>
      <c r="F1981" s="14">
        <v>249.0</v>
      </c>
      <c r="G1981" s="14">
        <v>250.0</v>
      </c>
      <c r="H1981" s="14" t="s">
        <v>21</v>
      </c>
      <c r="I1981" s="19" t="s">
        <v>21595</v>
      </c>
      <c r="J1981" s="19" t="s">
        <v>21596</v>
      </c>
      <c r="K1981" s="19" t="s">
        <v>21596</v>
      </c>
      <c r="L1981" s="19" t="s">
        <v>21597</v>
      </c>
      <c r="M1981" s="20"/>
      <c r="N1981" s="44" t="s">
        <v>21598</v>
      </c>
      <c r="O1981" s="22">
        <v>50.0</v>
      </c>
      <c r="P1981" s="28">
        <v>0.0</v>
      </c>
      <c r="Q1981" s="28">
        <v>3.0</v>
      </c>
      <c r="R1981" s="84"/>
      <c r="S1981" s="84"/>
      <c r="T1981" s="84"/>
      <c r="U1981" s="84"/>
      <c r="V1981" s="84"/>
      <c r="W1981" s="84"/>
      <c r="X1981" s="84"/>
      <c r="Y1981" s="84"/>
      <c r="Z1981" s="84"/>
      <c r="AA1981" s="84"/>
    </row>
    <row r="1982" ht="15.75" customHeight="1">
      <c r="A1982" s="14" t="s">
        <v>120</v>
      </c>
      <c r="B1982" s="15" t="s">
        <v>21288</v>
      </c>
      <c r="C1982" s="42" t="s">
        <v>21599</v>
      </c>
      <c r="D1982" s="14" t="s">
        <v>21600</v>
      </c>
      <c r="E1982" s="26" t="str">
        <f t="shared" si="28"/>
        <v>http://dx.doi.org/10.1109/VAST.2010.5650219</v>
      </c>
      <c r="F1982" s="14">
        <v>247.0</v>
      </c>
      <c r="G1982" s="14">
        <v>248.0</v>
      </c>
      <c r="H1982" s="14" t="s">
        <v>21</v>
      </c>
      <c r="I1982" s="19" t="s">
        <v>21601</v>
      </c>
      <c r="J1982" s="19" t="s">
        <v>20528</v>
      </c>
      <c r="K1982" s="19" t="s">
        <v>20528</v>
      </c>
      <c r="L1982" s="19" t="s">
        <v>21602</v>
      </c>
      <c r="M1982" s="20"/>
      <c r="N1982" s="44" t="s">
        <v>21603</v>
      </c>
      <c r="O1982" s="22">
        <v>50.0</v>
      </c>
      <c r="P1982" s="28">
        <v>0.0</v>
      </c>
      <c r="Q1982" s="28">
        <v>4.0</v>
      </c>
      <c r="R1982" s="84"/>
      <c r="S1982" s="84"/>
      <c r="T1982" s="84"/>
      <c r="U1982" s="84"/>
      <c r="V1982" s="84"/>
      <c r="W1982" s="84"/>
      <c r="X1982" s="84"/>
      <c r="Y1982" s="84"/>
      <c r="Z1982" s="84"/>
      <c r="AA1982" s="84"/>
    </row>
    <row r="1983" ht="15.75" customHeight="1">
      <c r="A1983" s="14" t="s">
        <v>120</v>
      </c>
      <c r="B1983" s="15" t="s">
        <v>21288</v>
      </c>
      <c r="C1983" s="14" t="s">
        <v>21604</v>
      </c>
      <c r="D1983" s="14" t="s">
        <v>21605</v>
      </c>
      <c r="E1983" s="26" t="str">
        <f t="shared" si="28"/>
        <v>http://dx.doi.org/10.1109/VAST.2010.5650251</v>
      </c>
      <c r="F1983" s="14">
        <v>245.0</v>
      </c>
      <c r="G1983" s="14">
        <v>246.0</v>
      </c>
      <c r="H1983" s="14" t="s">
        <v>21</v>
      </c>
      <c r="I1983" s="19" t="s">
        <v>21606</v>
      </c>
      <c r="J1983" s="19" t="s">
        <v>21607</v>
      </c>
      <c r="K1983" s="19" t="s">
        <v>21607</v>
      </c>
      <c r="L1983" s="19" t="s">
        <v>21608</v>
      </c>
      <c r="M1983" s="20"/>
      <c r="N1983" s="88" t="s">
        <v>21610</v>
      </c>
      <c r="O1983" s="22">
        <v>0.0</v>
      </c>
      <c r="P1983" s="28">
        <v>0.0</v>
      </c>
      <c r="Q1983" s="28">
        <v>8.0</v>
      </c>
      <c r="R1983" s="84"/>
      <c r="S1983" s="84"/>
      <c r="T1983" s="84"/>
      <c r="U1983" s="84"/>
      <c r="V1983" s="84"/>
      <c r="W1983" s="84"/>
      <c r="X1983" s="84"/>
      <c r="Y1983" s="84"/>
      <c r="Z1983" s="84"/>
      <c r="AA1983" s="84"/>
    </row>
    <row r="1984" ht="15.75" customHeight="1">
      <c r="A1984" s="14" t="s">
        <v>120</v>
      </c>
      <c r="B1984" s="15" t="s">
        <v>21288</v>
      </c>
      <c r="C1984" s="14" t="s">
        <v>21611</v>
      </c>
      <c r="D1984" s="14" t="s">
        <v>21612</v>
      </c>
      <c r="E1984" s="26" t="str">
        <f t="shared" si="28"/>
        <v>http://dx.doi.org/10.1109/VAST.2010.5650766</v>
      </c>
      <c r="F1984" s="14">
        <v>227.0</v>
      </c>
      <c r="G1984" s="14">
        <v>228.0</v>
      </c>
      <c r="H1984" s="14" t="s">
        <v>21</v>
      </c>
      <c r="I1984" s="19" t="s">
        <v>21613</v>
      </c>
      <c r="J1984" s="19" t="s">
        <v>21614</v>
      </c>
      <c r="K1984" s="19" t="s">
        <v>21615</v>
      </c>
      <c r="L1984" s="19" t="s">
        <v>21616</v>
      </c>
      <c r="M1984" s="20"/>
      <c r="N1984" s="27"/>
      <c r="O1984" s="22">
        <v>1.0</v>
      </c>
      <c r="P1984" s="28">
        <v>1.0</v>
      </c>
      <c r="Q1984" s="28">
        <v>2.0</v>
      </c>
      <c r="R1984" s="84"/>
      <c r="S1984" s="84"/>
      <c r="T1984" s="84"/>
      <c r="U1984" s="84"/>
      <c r="V1984" s="84"/>
      <c r="W1984" s="84"/>
      <c r="X1984" s="84"/>
      <c r="Y1984" s="84"/>
      <c r="Z1984" s="84"/>
      <c r="AA1984" s="84"/>
    </row>
    <row r="1985" ht="15.75" customHeight="1">
      <c r="A1985" s="14" t="s">
        <v>120</v>
      </c>
      <c r="B1985" s="15" t="s">
        <v>21288</v>
      </c>
      <c r="C1985" s="14" t="s">
        <v>21617</v>
      </c>
      <c r="D1985" s="14" t="s">
        <v>21618</v>
      </c>
      <c r="E1985" s="26" t="str">
        <f t="shared" si="28"/>
        <v>http://dx.doi.org/10.1109/VAST.2010.5650815</v>
      </c>
      <c r="F1985" s="14">
        <v>225.0</v>
      </c>
      <c r="G1985" s="14">
        <v>226.0</v>
      </c>
      <c r="H1985" s="14" t="s">
        <v>21</v>
      </c>
      <c r="I1985" s="19" t="s">
        <v>21619</v>
      </c>
      <c r="J1985" s="19" t="s">
        <v>21620</v>
      </c>
      <c r="K1985" s="19" t="s">
        <v>21620</v>
      </c>
      <c r="L1985" s="19" t="s">
        <v>21621</v>
      </c>
      <c r="M1985" s="20"/>
      <c r="N1985" s="88" t="s">
        <v>21622</v>
      </c>
      <c r="O1985" s="22">
        <v>0.0</v>
      </c>
      <c r="P1985" s="28">
        <v>0.0</v>
      </c>
      <c r="Q1985" s="28">
        <v>4.0</v>
      </c>
      <c r="R1985" s="84"/>
      <c r="S1985" s="84"/>
      <c r="T1985" s="84"/>
      <c r="U1985" s="84"/>
      <c r="V1985" s="84"/>
      <c r="W1985" s="84"/>
      <c r="X1985" s="84"/>
      <c r="Y1985" s="84"/>
      <c r="Z1985" s="84"/>
      <c r="AA1985" s="84"/>
    </row>
    <row r="1986" ht="15.75" customHeight="1">
      <c r="A1986" s="14" t="s">
        <v>120</v>
      </c>
      <c r="B1986" s="15" t="s">
        <v>21288</v>
      </c>
      <c r="C1986" s="14" t="s">
        <v>21624</v>
      </c>
      <c r="D1986" s="14" t="s">
        <v>21625</v>
      </c>
      <c r="E1986" s="26" t="str">
        <f t="shared" si="28"/>
        <v>http://dx.doi.org/10.1109/VAST.2010.5650854</v>
      </c>
      <c r="F1986" s="14">
        <v>223.0</v>
      </c>
      <c r="G1986" s="14">
        <v>224.0</v>
      </c>
      <c r="H1986" s="14" t="s">
        <v>21</v>
      </c>
      <c r="I1986" s="19" t="s">
        <v>21626</v>
      </c>
      <c r="J1986" s="19" t="s">
        <v>21627</v>
      </c>
      <c r="K1986" s="19" t="s">
        <v>21627</v>
      </c>
      <c r="L1986" s="19" t="s">
        <v>21628</v>
      </c>
      <c r="M1986" s="20"/>
      <c r="N1986" s="88" t="s">
        <v>21629</v>
      </c>
      <c r="O1986" s="22">
        <v>50.0</v>
      </c>
      <c r="P1986" s="28">
        <v>2.0</v>
      </c>
      <c r="Q1986" s="28">
        <v>6.0</v>
      </c>
      <c r="R1986" s="84"/>
      <c r="S1986" s="84"/>
      <c r="T1986" s="84"/>
      <c r="U1986" s="84"/>
      <c r="V1986" s="84"/>
      <c r="W1986" s="84"/>
      <c r="X1986" s="84"/>
      <c r="Y1986" s="84"/>
      <c r="Z1986" s="84"/>
      <c r="AA1986" s="84"/>
    </row>
    <row r="1987" ht="15.75" customHeight="1">
      <c r="A1987" s="14" t="s">
        <v>120</v>
      </c>
      <c r="B1987" s="15" t="s">
        <v>21288</v>
      </c>
      <c r="C1987" s="14" t="s">
        <v>21630</v>
      </c>
      <c r="D1987" s="14" t="s">
        <v>21631</v>
      </c>
      <c r="E1987" s="26" t="str">
        <f t="shared" si="28"/>
        <v>http://dx.doi.org/10.1109/VAST.2010.5651192</v>
      </c>
      <c r="F1987" s="14">
        <v>221.0</v>
      </c>
      <c r="G1987" s="14">
        <v>222.0</v>
      </c>
      <c r="H1987" s="14" t="s">
        <v>21</v>
      </c>
      <c r="I1987" s="19" t="s">
        <v>21632</v>
      </c>
      <c r="J1987" s="19" t="s">
        <v>21633</v>
      </c>
      <c r="K1987" s="19" t="s">
        <v>21633</v>
      </c>
      <c r="L1987" s="19" t="s">
        <v>21634</v>
      </c>
      <c r="M1987" s="20"/>
      <c r="N1987" s="27"/>
      <c r="O1987" s="22">
        <v>1.0</v>
      </c>
      <c r="P1987" s="28">
        <v>1.0</v>
      </c>
      <c r="Q1987" s="28">
        <v>2.0</v>
      </c>
      <c r="R1987" s="84"/>
      <c r="S1987" s="84"/>
      <c r="T1987" s="84"/>
      <c r="U1987" s="84"/>
      <c r="V1987" s="84"/>
      <c r="W1987" s="84"/>
      <c r="X1987" s="84"/>
      <c r="Y1987" s="84"/>
      <c r="Z1987" s="84"/>
      <c r="AA1987" s="84"/>
    </row>
    <row r="1988" ht="15.75" customHeight="1">
      <c r="A1988" s="14" t="s">
        <v>120</v>
      </c>
      <c r="B1988" s="15" t="s">
        <v>21288</v>
      </c>
      <c r="C1988" s="14" t="s">
        <v>21635</v>
      </c>
      <c r="D1988" s="14" t="s">
        <v>21636</v>
      </c>
      <c r="E1988" s="26" t="str">
        <f t="shared" si="28"/>
        <v>http://dx.doi.org/10.1109/VAST.2010.5651617</v>
      </c>
      <c r="F1988" s="14">
        <v>219.0</v>
      </c>
      <c r="G1988" s="14">
        <v>220.0</v>
      </c>
      <c r="H1988" s="14" t="s">
        <v>21</v>
      </c>
      <c r="I1988" s="19" t="s">
        <v>21637</v>
      </c>
      <c r="J1988" s="19" t="s">
        <v>21638</v>
      </c>
      <c r="K1988" s="19" t="s">
        <v>21638</v>
      </c>
      <c r="L1988" s="19" t="s">
        <v>21639</v>
      </c>
      <c r="M1988" s="20"/>
      <c r="N1988" s="88" t="s">
        <v>21640</v>
      </c>
      <c r="O1988" s="22">
        <v>50.0</v>
      </c>
      <c r="P1988" s="28">
        <v>1.0</v>
      </c>
      <c r="Q1988" s="28">
        <v>3.0</v>
      </c>
      <c r="R1988" s="84"/>
      <c r="S1988" s="84"/>
      <c r="T1988" s="84"/>
      <c r="U1988" s="84"/>
      <c r="V1988" s="84"/>
      <c r="W1988" s="84"/>
      <c r="X1988" s="84"/>
      <c r="Y1988" s="84"/>
      <c r="Z1988" s="84"/>
      <c r="AA1988" s="84"/>
    </row>
    <row r="1989" ht="15.75" customHeight="1">
      <c r="A1989" s="14" t="s">
        <v>120</v>
      </c>
      <c r="B1989" s="15" t="s">
        <v>21288</v>
      </c>
      <c r="C1989" s="14" t="s">
        <v>21641</v>
      </c>
      <c r="D1989" s="14" t="s">
        <v>21642</v>
      </c>
      <c r="E1989" s="26" t="str">
        <f t="shared" si="28"/>
        <v>http://dx.doi.org/10.1109/VAST.2010.5651676</v>
      </c>
      <c r="F1989" s="14">
        <v>217.0</v>
      </c>
      <c r="G1989" s="14">
        <v>218.0</v>
      </c>
      <c r="H1989" s="14" t="s">
        <v>21</v>
      </c>
      <c r="I1989" s="19" t="s">
        <v>21644</v>
      </c>
      <c r="J1989" s="19" t="s">
        <v>21645</v>
      </c>
      <c r="K1989" s="19" t="s">
        <v>21645</v>
      </c>
      <c r="L1989" s="19" t="s">
        <v>21646</v>
      </c>
      <c r="M1989" s="20"/>
      <c r="N1989" s="27"/>
      <c r="O1989" s="22">
        <v>3.0</v>
      </c>
      <c r="P1989" s="28">
        <v>1.0</v>
      </c>
      <c r="Q1989" s="28">
        <v>5.0</v>
      </c>
      <c r="R1989" s="84"/>
      <c r="S1989" s="84"/>
      <c r="T1989" s="84"/>
      <c r="U1989" s="84"/>
      <c r="V1989" s="84"/>
      <c r="W1989" s="84"/>
      <c r="X1989" s="84"/>
      <c r="Y1989" s="84"/>
      <c r="Z1989" s="84"/>
      <c r="AA1989" s="84"/>
    </row>
    <row r="1990" ht="15.75" customHeight="1">
      <c r="A1990" s="14" t="s">
        <v>120</v>
      </c>
      <c r="B1990" s="15" t="s">
        <v>21288</v>
      </c>
      <c r="C1990" s="14" t="s">
        <v>21648</v>
      </c>
      <c r="D1990" s="14" t="s">
        <v>21649</v>
      </c>
      <c r="E1990" s="26" t="str">
        <f t="shared" si="28"/>
        <v>http://dx.doi.org/10.1109/VAST.2010.5651694</v>
      </c>
      <c r="F1990" s="14">
        <v>215.0</v>
      </c>
      <c r="G1990" s="14">
        <v>216.0</v>
      </c>
      <c r="H1990" s="14" t="s">
        <v>21</v>
      </c>
      <c r="I1990" s="19" t="s">
        <v>21650</v>
      </c>
      <c r="J1990" s="19" t="s">
        <v>21651</v>
      </c>
      <c r="K1990" s="19" t="s">
        <v>21651</v>
      </c>
      <c r="L1990" s="19" t="s">
        <v>13502</v>
      </c>
      <c r="M1990" s="20"/>
      <c r="N1990" s="27"/>
      <c r="O1990" s="22">
        <v>50.0</v>
      </c>
      <c r="P1990" s="28">
        <v>4.0</v>
      </c>
      <c r="Q1990" s="28">
        <v>7.0</v>
      </c>
      <c r="R1990" s="84"/>
      <c r="S1990" s="84"/>
      <c r="T1990" s="84"/>
      <c r="U1990" s="84"/>
      <c r="V1990" s="84"/>
      <c r="W1990" s="84"/>
      <c r="X1990" s="84"/>
      <c r="Y1990" s="84"/>
      <c r="Z1990" s="84"/>
      <c r="AA1990" s="84"/>
    </row>
    <row r="1991" ht="15.75" customHeight="1">
      <c r="A1991" s="14" t="s">
        <v>120</v>
      </c>
      <c r="B1991" s="15" t="s">
        <v>21288</v>
      </c>
      <c r="C1991" s="14" t="s">
        <v>21652</v>
      </c>
      <c r="D1991" s="14" t="s">
        <v>21653</v>
      </c>
      <c r="E1991" s="26" t="str">
        <f t="shared" si="28"/>
        <v>http://dx.doi.org/10.1109/VAST.2010.5652392</v>
      </c>
      <c r="F1991" s="14">
        <v>3.0</v>
      </c>
      <c r="G1991" s="14">
        <v>10.0</v>
      </c>
      <c r="H1991" s="14" t="s">
        <v>28</v>
      </c>
      <c r="I1991" s="19" t="s">
        <v>21654</v>
      </c>
      <c r="J1991" s="19" t="s">
        <v>21655</v>
      </c>
      <c r="K1991" s="19" t="s">
        <v>21655</v>
      </c>
      <c r="L1991" s="19" t="s">
        <v>21656</v>
      </c>
      <c r="M1991" s="20" t="s">
        <v>21657</v>
      </c>
      <c r="N1991" s="27"/>
      <c r="O1991" s="22">
        <v>89.0</v>
      </c>
      <c r="P1991" s="28">
        <v>25.0</v>
      </c>
      <c r="Q1991" s="28">
        <v>20.0</v>
      </c>
      <c r="R1991" s="84"/>
      <c r="S1991" s="84"/>
      <c r="T1991" s="84"/>
      <c r="U1991" s="84"/>
      <c r="V1991" s="84"/>
      <c r="W1991" s="84"/>
      <c r="X1991" s="84"/>
      <c r="Y1991" s="84"/>
      <c r="Z1991" s="84"/>
      <c r="AA1991" s="84"/>
    </row>
    <row r="1992" ht="15.75" customHeight="1">
      <c r="A1992" s="14" t="s">
        <v>120</v>
      </c>
      <c r="B1992" s="15" t="s">
        <v>21288</v>
      </c>
      <c r="C1992" s="14" t="s">
        <v>21659</v>
      </c>
      <c r="D1992" s="14" t="s">
        <v>21660</v>
      </c>
      <c r="E1992" s="26" t="str">
        <f t="shared" si="28"/>
        <v>http://dx.doi.org/10.1109/VAST.2010.5652398</v>
      </c>
      <c r="F1992" s="14">
        <v>11.0</v>
      </c>
      <c r="G1992" s="14">
        <v>18.0</v>
      </c>
      <c r="H1992" s="14" t="s">
        <v>28</v>
      </c>
      <c r="I1992" s="19" t="s">
        <v>21662</v>
      </c>
      <c r="J1992" s="19" t="s">
        <v>21663</v>
      </c>
      <c r="K1992" s="19" t="s">
        <v>21663</v>
      </c>
      <c r="L1992" s="19" t="s">
        <v>21664</v>
      </c>
      <c r="M1992" s="20" t="s">
        <v>21665</v>
      </c>
      <c r="N1992" s="44" t="s">
        <v>21666</v>
      </c>
      <c r="O1992" s="22">
        <v>50.0</v>
      </c>
      <c r="P1992" s="28">
        <v>14.0</v>
      </c>
      <c r="Q1992" s="28">
        <v>29.0</v>
      </c>
      <c r="R1992" s="84"/>
      <c r="S1992" s="84"/>
      <c r="T1992" s="84"/>
      <c r="U1992" s="84"/>
      <c r="V1992" s="84"/>
      <c r="W1992" s="84"/>
      <c r="X1992" s="84"/>
      <c r="Y1992" s="84"/>
      <c r="Z1992" s="84"/>
      <c r="AA1992" s="84"/>
    </row>
    <row r="1993" ht="15.75" customHeight="1">
      <c r="A1993" s="14" t="s">
        <v>120</v>
      </c>
      <c r="B1993" s="15" t="s">
        <v>21288</v>
      </c>
      <c r="C1993" s="14" t="s">
        <v>21667</v>
      </c>
      <c r="D1993" s="14" t="s">
        <v>21668</v>
      </c>
      <c r="E1993" s="26" t="str">
        <f t="shared" si="28"/>
        <v>http://dx.doi.org/10.1109/VAST.2010.5652433</v>
      </c>
      <c r="F1993" s="14">
        <v>19.0</v>
      </c>
      <c r="G1993" s="14">
        <v>26.0</v>
      </c>
      <c r="H1993" s="14" t="s">
        <v>28</v>
      </c>
      <c r="I1993" s="19" t="s">
        <v>21669</v>
      </c>
      <c r="J1993" s="19" t="s">
        <v>21670</v>
      </c>
      <c r="K1993" s="19" t="s">
        <v>21671</v>
      </c>
      <c r="L1993" s="19" t="s">
        <v>21672</v>
      </c>
      <c r="M1993" s="20" t="s">
        <v>21673</v>
      </c>
      <c r="N1993" s="27"/>
      <c r="O1993" s="22">
        <v>50.0</v>
      </c>
      <c r="P1993" s="28">
        <v>20.0</v>
      </c>
      <c r="Q1993" s="28">
        <v>29.0</v>
      </c>
      <c r="R1993" s="84"/>
      <c r="S1993" s="84"/>
      <c r="T1993" s="84"/>
      <c r="U1993" s="84"/>
      <c r="V1993" s="84"/>
      <c r="W1993" s="84"/>
      <c r="X1993" s="84"/>
      <c r="Y1993" s="84"/>
      <c r="Z1993" s="84"/>
      <c r="AA1993" s="84"/>
    </row>
    <row r="1994" ht="15.75" customHeight="1">
      <c r="A1994" s="14" t="s">
        <v>120</v>
      </c>
      <c r="B1994" s="15" t="s">
        <v>21288</v>
      </c>
      <c r="C1994" s="14" t="s">
        <v>21674</v>
      </c>
      <c r="D1994" s="14" t="s">
        <v>21675</v>
      </c>
      <c r="E1994" s="26" t="str">
        <f t="shared" si="28"/>
        <v>http://dx.doi.org/10.1109/VAST.2010.5652443</v>
      </c>
      <c r="F1994" s="14">
        <v>27.0</v>
      </c>
      <c r="G1994" s="14">
        <v>34.0</v>
      </c>
      <c r="H1994" s="14" t="s">
        <v>28</v>
      </c>
      <c r="I1994" s="19" t="s">
        <v>21676</v>
      </c>
      <c r="J1994" s="19" t="s">
        <v>21678</v>
      </c>
      <c r="K1994" s="19" t="s">
        <v>21678</v>
      </c>
      <c r="L1994" s="19" t="s">
        <v>21679</v>
      </c>
      <c r="M1994" s="20" t="s">
        <v>21680</v>
      </c>
      <c r="N1994" s="27"/>
      <c r="O1994" s="22">
        <v>59.0</v>
      </c>
      <c r="P1994" s="28">
        <v>39.0</v>
      </c>
      <c r="Q1994" s="28">
        <v>29.0</v>
      </c>
      <c r="R1994" s="84"/>
      <c r="S1994" s="84"/>
      <c r="T1994" s="84"/>
      <c r="U1994" s="84"/>
      <c r="V1994" s="84"/>
      <c r="W1994" s="84"/>
      <c r="X1994" s="84"/>
      <c r="Y1994" s="84"/>
      <c r="Z1994" s="84"/>
      <c r="AA1994" s="84"/>
    </row>
    <row r="1995" ht="15.75" customHeight="1">
      <c r="A1995" s="14" t="s">
        <v>120</v>
      </c>
      <c r="B1995" s="15" t="s">
        <v>21288</v>
      </c>
      <c r="C1995" s="14" t="s">
        <v>21682</v>
      </c>
      <c r="D1995" s="14" t="s">
        <v>21683</v>
      </c>
      <c r="E1995" s="26" t="str">
        <f t="shared" si="28"/>
        <v>http://dx.doi.org/10.1109/VAST.2010.5652450</v>
      </c>
      <c r="F1995" s="14">
        <v>35.0</v>
      </c>
      <c r="G1995" s="14">
        <v>42.0</v>
      </c>
      <c r="H1995" s="14" t="s">
        <v>28</v>
      </c>
      <c r="I1995" s="19" t="s">
        <v>21684</v>
      </c>
      <c r="J1995" s="19" t="s">
        <v>21685</v>
      </c>
      <c r="K1995" s="19" t="s">
        <v>21686</v>
      </c>
      <c r="L1995" s="19" t="s">
        <v>21687</v>
      </c>
      <c r="M1995" s="20"/>
      <c r="N1995" s="44" t="s">
        <v>21688</v>
      </c>
      <c r="O1995" s="22">
        <v>0.0</v>
      </c>
      <c r="P1995" s="28">
        <v>12.0</v>
      </c>
      <c r="Q1995" s="28">
        <v>31.0</v>
      </c>
      <c r="R1995" s="84"/>
      <c r="S1995" s="84"/>
      <c r="T1995" s="84"/>
      <c r="U1995" s="84"/>
      <c r="V1995" s="84"/>
      <c r="W1995" s="84"/>
      <c r="X1995" s="84"/>
      <c r="Y1995" s="84"/>
      <c r="Z1995" s="84"/>
      <c r="AA1995" s="84"/>
    </row>
    <row r="1996" ht="15.75" customHeight="1">
      <c r="A1996" s="14" t="s">
        <v>120</v>
      </c>
      <c r="B1996" s="15" t="s">
        <v>21288</v>
      </c>
      <c r="C1996" s="14" t="s">
        <v>21689</v>
      </c>
      <c r="D1996" s="14" t="s">
        <v>21690</v>
      </c>
      <c r="E1996" s="26" t="str">
        <f t="shared" si="28"/>
        <v>http://dx.doi.org/10.1109/VAST.2010.5652460</v>
      </c>
      <c r="F1996" s="14">
        <v>43.0</v>
      </c>
      <c r="G1996" s="14">
        <v>50.0</v>
      </c>
      <c r="H1996" s="14" t="s">
        <v>28</v>
      </c>
      <c r="I1996" s="19" t="s">
        <v>21691</v>
      </c>
      <c r="J1996" s="19" t="s">
        <v>21692</v>
      </c>
      <c r="K1996" s="19" t="s">
        <v>21692</v>
      </c>
      <c r="L1996" s="19" t="s">
        <v>21693</v>
      </c>
      <c r="M1996" s="20" t="s">
        <v>21694</v>
      </c>
      <c r="N1996" s="88" t="s">
        <v>20392</v>
      </c>
      <c r="O1996" s="22">
        <v>50.0</v>
      </c>
      <c r="P1996" s="28">
        <v>21.0</v>
      </c>
      <c r="Q1996" s="28">
        <v>35.0</v>
      </c>
      <c r="R1996" s="84"/>
      <c r="S1996" s="84"/>
      <c r="T1996" s="84"/>
      <c r="U1996" s="84"/>
      <c r="V1996" s="84"/>
      <c r="W1996" s="84"/>
      <c r="X1996" s="84"/>
      <c r="Y1996" s="84"/>
      <c r="Z1996" s="84"/>
      <c r="AA1996" s="84"/>
    </row>
    <row r="1997" ht="15.75" customHeight="1">
      <c r="A1997" s="14" t="s">
        <v>120</v>
      </c>
      <c r="B1997" s="15" t="s">
        <v>21288</v>
      </c>
      <c r="C1997" s="14" t="s">
        <v>21695</v>
      </c>
      <c r="D1997" s="14" t="s">
        <v>21696</v>
      </c>
      <c r="E1997" s="26" t="str">
        <f t="shared" si="28"/>
        <v>http://dx.doi.org/10.1109/VAST.2010.5652467</v>
      </c>
      <c r="F1997" s="14">
        <v>51.0</v>
      </c>
      <c r="G1997" s="14">
        <v>58.0</v>
      </c>
      <c r="H1997" s="14" t="s">
        <v>28</v>
      </c>
      <c r="I1997" s="19" t="s">
        <v>21697</v>
      </c>
      <c r="J1997" s="19" t="s">
        <v>21698</v>
      </c>
      <c r="K1997" s="19" t="s">
        <v>21698</v>
      </c>
      <c r="L1997" s="19" t="s">
        <v>21699</v>
      </c>
      <c r="M1997" s="20" t="s">
        <v>20150</v>
      </c>
      <c r="N1997" s="27"/>
      <c r="O1997" s="22">
        <v>50.0</v>
      </c>
      <c r="P1997" s="28">
        <v>27.0</v>
      </c>
      <c r="Q1997" s="28">
        <v>28.0</v>
      </c>
      <c r="R1997" s="84"/>
      <c r="S1997" s="84"/>
      <c r="T1997" s="84"/>
      <c r="U1997" s="84"/>
      <c r="V1997" s="84"/>
      <c r="W1997" s="84"/>
      <c r="X1997" s="84"/>
      <c r="Y1997" s="84"/>
      <c r="Z1997" s="84"/>
      <c r="AA1997" s="84"/>
    </row>
    <row r="1998" ht="15.75" customHeight="1">
      <c r="A1998" s="14" t="s">
        <v>120</v>
      </c>
      <c r="B1998" s="15" t="s">
        <v>21288</v>
      </c>
      <c r="C1998" s="14" t="s">
        <v>21701</v>
      </c>
      <c r="D1998" s="14" t="s">
        <v>21702</v>
      </c>
      <c r="E1998" s="26" t="str">
        <f t="shared" si="28"/>
        <v>http://dx.doi.org/10.1109/VAST.2010.5652478</v>
      </c>
      <c r="F1998" s="14">
        <v>59.0</v>
      </c>
      <c r="G1998" s="14">
        <v>66.0</v>
      </c>
      <c r="H1998" s="14" t="s">
        <v>28</v>
      </c>
      <c r="I1998" s="19" t="s">
        <v>21703</v>
      </c>
      <c r="J1998" s="19" t="s">
        <v>21704</v>
      </c>
      <c r="K1998" s="19" t="s">
        <v>21705</v>
      </c>
      <c r="L1998" s="19" t="s">
        <v>21706</v>
      </c>
      <c r="M1998" s="20" t="s">
        <v>21707</v>
      </c>
      <c r="N1998" s="88" t="s">
        <v>21708</v>
      </c>
      <c r="O1998" s="22">
        <v>50.0</v>
      </c>
      <c r="P1998" s="28">
        <v>13.0</v>
      </c>
      <c r="Q1998" s="28">
        <v>23.0</v>
      </c>
      <c r="R1998" s="85" t="s">
        <v>19037</v>
      </c>
      <c r="S1998" s="84"/>
      <c r="T1998" s="84"/>
      <c r="U1998" s="84"/>
      <c r="V1998" s="84"/>
      <c r="W1998" s="84"/>
      <c r="X1998" s="84"/>
      <c r="Y1998" s="84"/>
      <c r="Z1998" s="84"/>
      <c r="AA1998" s="84"/>
    </row>
    <row r="1999" ht="15.75" customHeight="1">
      <c r="A1999" s="14" t="s">
        <v>120</v>
      </c>
      <c r="B1999" s="15" t="s">
        <v>21288</v>
      </c>
      <c r="C1999" s="14" t="s">
        <v>21709</v>
      </c>
      <c r="D1999" s="14" t="s">
        <v>21710</v>
      </c>
      <c r="E1999" s="26" t="str">
        <f t="shared" si="28"/>
        <v>http://dx.doi.org/10.1109/VAST.2010.5652484</v>
      </c>
      <c r="F1999" s="14">
        <v>67.0</v>
      </c>
      <c r="G1999" s="14">
        <v>74.0</v>
      </c>
      <c r="H1999" s="14" t="s">
        <v>28</v>
      </c>
      <c r="I1999" s="19" t="s">
        <v>21712</v>
      </c>
      <c r="J1999" s="19" t="s">
        <v>21713</v>
      </c>
      <c r="K1999" s="19" t="s">
        <v>21713</v>
      </c>
      <c r="L1999" s="19" t="s">
        <v>21714</v>
      </c>
      <c r="M1999" s="20" t="s">
        <v>21715</v>
      </c>
      <c r="N1999" s="88" t="s">
        <v>21716</v>
      </c>
      <c r="O1999" s="22">
        <v>13.0</v>
      </c>
      <c r="P1999" s="28">
        <v>8.0</v>
      </c>
      <c r="Q1999" s="28">
        <v>20.0</v>
      </c>
      <c r="R1999" s="84"/>
      <c r="S1999" s="84"/>
      <c r="T1999" s="84"/>
      <c r="U1999" s="84"/>
      <c r="V1999" s="84"/>
      <c r="W1999" s="84"/>
      <c r="X1999" s="84"/>
      <c r="Y1999" s="84"/>
      <c r="Z1999" s="84"/>
      <c r="AA1999" s="84"/>
    </row>
    <row r="2000" ht="15.75" customHeight="1">
      <c r="A2000" s="14" t="s">
        <v>120</v>
      </c>
      <c r="B2000" s="15" t="s">
        <v>21288</v>
      </c>
      <c r="C2000" s="14" t="s">
        <v>21717</v>
      </c>
      <c r="D2000" s="14" t="s">
        <v>21718</v>
      </c>
      <c r="E2000" s="26" t="str">
        <f t="shared" si="28"/>
        <v>http://dx.doi.org/10.1109/VAST.2010.5652520</v>
      </c>
      <c r="F2000" s="14">
        <v>75.0</v>
      </c>
      <c r="G2000" s="14">
        <v>82.0</v>
      </c>
      <c r="H2000" s="14" t="s">
        <v>28</v>
      </c>
      <c r="I2000" s="19" t="s">
        <v>21719</v>
      </c>
      <c r="J2000" s="19" t="s">
        <v>14085</v>
      </c>
      <c r="K2000" s="19" t="s">
        <v>14085</v>
      </c>
      <c r="L2000" s="19" t="s">
        <v>21720</v>
      </c>
      <c r="M2000" s="20" t="s">
        <v>21721</v>
      </c>
      <c r="N2000" s="27"/>
      <c r="O2000" s="22">
        <v>15.0</v>
      </c>
      <c r="P2000" s="28">
        <v>5.0</v>
      </c>
      <c r="Q2000" s="28">
        <v>37.0</v>
      </c>
      <c r="R2000" s="84"/>
      <c r="S2000" s="84"/>
      <c r="T2000" s="84"/>
      <c r="U2000" s="84"/>
      <c r="V2000" s="84"/>
      <c r="W2000" s="84"/>
      <c r="X2000" s="84"/>
      <c r="Y2000" s="84"/>
      <c r="Z2000" s="84"/>
      <c r="AA2000" s="84"/>
    </row>
    <row r="2001" ht="15.75" customHeight="1">
      <c r="A2001" s="14" t="s">
        <v>120</v>
      </c>
      <c r="B2001" s="15" t="s">
        <v>21288</v>
      </c>
      <c r="C2001" s="14" t="s">
        <v>21722</v>
      </c>
      <c r="D2001" s="14" t="s">
        <v>21723</v>
      </c>
      <c r="E2001" s="26" t="str">
        <f t="shared" si="28"/>
        <v>http://dx.doi.org/10.1109/VAST.2010.5652530</v>
      </c>
      <c r="F2001" s="14">
        <v>83.0</v>
      </c>
      <c r="G2001" s="14">
        <v>90.0</v>
      </c>
      <c r="H2001" s="14" t="s">
        <v>28</v>
      </c>
      <c r="I2001" s="19" t="s">
        <v>21725</v>
      </c>
      <c r="J2001" s="19" t="s">
        <v>21726</v>
      </c>
      <c r="K2001" s="19" t="s">
        <v>21726</v>
      </c>
      <c r="L2001" s="19" t="s">
        <v>20267</v>
      </c>
      <c r="M2001" s="20" t="s">
        <v>21727</v>
      </c>
      <c r="N2001" s="88" t="s">
        <v>21728</v>
      </c>
      <c r="O2001" s="22">
        <v>48.0</v>
      </c>
      <c r="P2001" s="28">
        <v>26.0</v>
      </c>
      <c r="Q2001" s="28">
        <v>49.0</v>
      </c>
      <c r="R2001" s="84"/>
      <c r="S2001" s="84"/>
      <c r="T2001" s="84"/>
      <c r="U2001" s="84"/>
      <c r="V2001" s="84"/>
      <c r="W2001" s="84"/>
      <c r="X2001" s="84"/>
      <c r="Y2001" s="84"/>
      <c r="Z2001" s="84"/>
      <c r="AA2001" s="84"/>
    </row>
    <row r="2002" ht="15.75" customHeight="1">
      <c r="A2002" s="14" t="s">
        <v>120</v>
      </c>
      <c r="B2002" s="15" t="s">
        <v>21288</v>
      </c>
      <c r="C2002" s="14" t="s">
        <v>21729</v>
      </c>
      <c r="D2002" s="14" t="s">
        <v>21730</v>
      </c>
      <c r="E2002" s="26" t="str">
        <f t="shared" si="28"/>
        <v>http://dx.doi.org/10.1109/VAST.2010.5652532</v>
      </c>
      <c r="F2002" s="14">
        <v>237.0</v>
      </c>
      <c r="G2002" s="14">
        <v>238.0</v>
      </c>
      <c r="H2002" s="14" t="s">
        <v>21</v>
      </c>
      <c r="I2002" s="19" t="s">
        <v>21731</v>
      </c>
      <c r="J2002" s="19" t="s">
        <v>21732</v>
      </c>
      <c r="K2002" s="19" t="s">
        <v>21733</v>
      </c>
      <c r="L2002" s="19" t="s">
        <v>21734</v>
      </c>
      <c r="M2002" s="20"/>
      <c r="N2002" s="27"/>
      <c r="O2002" s="22">
        <v>1.0</v>
      </c>
      <c r="P2002" s="28">
        <v>0.0</v>
      </c>
      <c r="Q2002" s="28">
        <v>6.0</v>
      </c>
      <c r="R2002" s="84"/>
      <c r="S2002" s="84"/>
      <c r="T2002" s="84"/>
      <c r="U2002" s="84"/>
      <c r="V2002" s="84"/>
      <c r="W2002" s="84"/>
      <c r="X2002" s="84"/>
      <c r="Y2002" s="84"/>
      <c r="Z2002" s="84"/>
      <c r="AA2002" s="84"/>
    </row>
    <row r="2003" ht="15.75" customHeight="1">
      <c r="A2003" s="14" t="s">
        <v>120</v>
      </c>
      <c r="B2003" s="15" t="s">
        <v>21288</v>
      </c>
      <c r="C2003" s="14" t="s">
        <v>21735</v>
      </c>
      <c r="D2003" s="14" t="s">
        <v>21736</v>
      </c>
      <c r="E2003" s="26" t="str">
        <f t="shared" si="28"/>
        <v>http://dx.doi.org/10.1109/VAST.2010.5652879</v>
      </c>
      <c r="F2003" s="14">
        <v>171.0</v>
      </c>
      <c r="G2003" s="14">
        <v>178.0</v>
      </c>
      <c r="H2003" s="14" t="s">
        <v>28</v>
      </c>
      <c r="I2003" s="19" t="s">
        <v>21737</v>
      </c>
      <c r="J2003" s="19" t="s">
        <v>21738</v>
      </c>
      <c r="K2003" s="19" t="s">
        <v>21738</v>
      </c>
      <c r="L2003" s="19" t="s">
        <v>21398</v>
      </c>
      <c r="M2003" s="20" t="s">
        <v>21739</v>
      </c>
      <c r="N2003" s="88" t="s">
        <v>21741</v>
      </c>
      <c r="O2003" s="22">
        <v>18.0</v>
      </c>
      <c r="P2003" s="28">
        <v>6.0</v>
      </c>
      <c r="Q2003" s="28">
        <v>33.0</v>
      </c>
      <c r="R2003" s="84"/>
      <c r="S2003" s="84"/>
      <c r="T2003" s="84"/>
      <c r="U2003" s="84"/>
      <c r="V2003" s="84"/>
      <c r="W2003" s="84"/>
      <c r="X2003" s="84"/>
      <c r="Y2003" s="84"/>
      <c r="Z2003" s="84"/>
      <c r="AA2003" s="84"/>
    </row>
    <row r="2004" ht="15.75" customHeight="1">
      <c r="A2004" s="14" t="s">
        <v>120</v>
      </c>
      <c r="B2004" s="15" t="s">
        <v>21288</v>
      </c>
      <c r="C2004" s="14" t="s">
        <v>21742</v>
      </c>
      <c r="D2004" s="14" t="s">
        <v>21743</v>
      </c>
      <c r="E2004" s="26" t="str">
        <f t="shared" si="28"/>
        <v>http://dx.doi.org/10.1109/VAST.2010.5652880</v>
      </c>
      <c r="F2004" s="14">
        <v>179.0</v>
      </c>
      <c r="G2004" s="14">
        <v>186.0</v>
      </c>
      <c r="H2004" s="14" t="s">
        <v>28</v>
      </c>
      <c r="I2004" s="19" t="s">
        <v>21744</v>
      </c>
      <c r="J2004" s="19" t="s">
        <v>21745</v>
      </c>
      <c r="K2004" s="19" t="s">
        <v>21746</v>
      </c>
      <c r="L2004" s="19" t="s">
        <v>21747</v>
      </c>
      <c r="M2004" s="20" t="s">
        <v>21748</v>
      </c>
      <c r="N2004" s="27"/>
      <c r="O2004" s="22">
        <v>76.0</v>
      </c>
      <c r="P2004" s="28">
        <v>27.0</v>
      </c>
      <c r="Q2004" s="28">
        <v>22.0</v>
      </c>
      <c r="R2004" s="85" t="s">
        <v>19037</v>
      </c>
      <c r="S2004" s="84"/>
      <c r="T2004" s="84"/>
      <c r="U2004" s="84"/>
      <c r="V2004" s="84"/>
      <c r="W2004" s="84"/>
      <c r="X2004" s="84"/>
      <c r="Y2004" s="84"/>
      <c r="Z2004" s="84"/>
      <c r="AA2004" s="84"/>
    </row>
    <row r="2005" ht="15.75" customHeight="1">
      <c r="A2005" s="14" t="s">
        <v>120</v>
      </c>
      <c r="B2005" s="15" t="s">
        <v>21288</v>
      </c>
      <c r="C2005" s="14" t="s">
        <v>21749</v>
      </c>
      <c r="D2005" s="14" t="s">
        <v>21750</v>
      </c>
      <c r="E2005" s="26" t="str">
        <f t="shared" si="28"/>
        <v>http://dx.doi.org/10.1109/VAST.2010.5652885</v>
      </c>
      <c r="F2005" s="14">
        <v>155.0</v>
      </c>
      <c r="G2005" s="14">
        <v>162.0</v>
      </c>
      <c r="H2005" s="14" t="s">
        <v>28</v>
      </c>
      <c r="I2005" s="19" t="s">
        <v>21751</v>
      </c>
      <c r="J2005" s="19" t="s">
        <v>21752</v>
      </c>
      <c r="K2005" s="19" t="s">
        <v>21753</v>
      </c>
      <c r="L2005" s="19" t="s">
        <v>21754</v>
      </c>
      <c r="M2005" s="20" t="s">
        <v>21755</v>
      </c>
      <c r="N2005" s="44" t="s">
        <v>21756</v>
      </c>
      <c r="O2005" s="22">
        <v>50.0</v>
      </c>
      <c r="P2005" s="28">
        <v>11.0</v>
      </c>
      <c r="Q2005" s="28">
        <v>18.0</v>
      </c>
      <c r="R2005" s="84"/>
      <c r="S2005" s="84"/>
      <c r="T2005" s="84"/>
      <c r="U2005" s="84"/>
      <c r="V2005" s="84"/>
      <c r="W2005" s="84"/>
      <c r="X2005" s="84"/>
      <c r="Y2005" s="84"/>
      <c r="Z2005" s="84"/>
      <c r="AA2005" s="84"/>
    </row>
    <row r="2006" ht="15.75" customHeight="1">
      <c r="A2006" s="14" t="s">
        <v>120</v>
      </c>
      <c r="B2006" s="15" t="s">
        <v>21288</v>
      </c>
      <c r="C2006" s="14" t="s">
        <v>21758</v>
      </c>
      <c r="D2006" s="14" t="s">
        <v>21759</v>
      </c>
      <c r="E2006" s="26" t="str">
        <f t="shared" si="28"/>
        <v>http://dx.doi.org/10.1109/VAST.2010.5652890</v>
      </c>
      <c r="F2006" s="14">
        <v>163.0</v>
      </c>
      <c r="G2006" s="14">
        <v>170.0</v>
      </c>
      <c r="H2006" s="14" t="s">
        <v>28</v>
      </c>
      <c r="I2006" s="19" t="s">
        <v>21761</v>
      </c>
      <c r="J2006" s="19" t="s">
        <v>21762</v>
      </c>
      <c r="K2006" s="19" t="s">
        <v>21763</v>
      </c>
      <c r="L2006" s="19" t="s">
        <v>21764</v>
      </c>
      <c r="M2006" s="20" t="s">
        <v>21765</v>
      </c>
      <c r="N2006" s="27"/>
      <c r="O2006" s="22">
        <v>28.0</v>
      </c>
      <c r="P2006" s="28">
        <v>7.0</v>
      </c>
      <c r="Q2006" s="28">
        <v>23.0</v>
      </c>
      <c r="R2006" s="84"/>
      <c r="S2006" s="84"/>
      <c r="T2006" s="84"/>
      <c r="U2006" s="84"/>
      <c r="V2006" s="84"/>
      <c r="W2006" s="84"/>
      <c r="X2006" s="84"/>
      <c r="Y2006" s="84"/>
      <c r="Z2006" s="84"/>
      <c r="AA2006" s="84"/>
    </row>
    <row r="2007" ht="15.75" customHeight="1">
      <c r="A2007" s="14" t="s">
        <v>120</v>
      </c>
      <c r="B2007" s="15" t="s">
        <v>21288</v>
      </c>
      <c r="C2007" s="14" t="s">
        <v>21766</v>
      </c>
      <c r="D2007" s="14" t="s">
        <v>21767</v>
      </c>
      <c r="E2007" s="26" t="str">
        <f t="shared" si="28"/>
        <v>http://dx.doi.org/10.1109/VAST.2010.5652895</v>
      </c>
      <c r="F2007" s="14">
        <v>139.0</v>
      </c>
      <c r="G2007" s="14">
        <v>146.0</v>
      </c>
      <c r="H2007" s="14" t="s">
        <v>28</v>
      </c>
      <c r="I2007" s="19" t="s">
        <v>21768</v>
      </c>
      <c r="J2007" s="19" t="s">
        <v>21769</v>
      </c>
      <c r="K2007" s="19" t="s">
        <v>21770</v>
      </c>
      <c r="L2007" s="19" t="s">
        <v>21771</v>
      </c>
      <c r="M2007" s="20"/>
      <c r="N2007" s="88" t="s">
        <v>21772</v>
      </c>
      <c r="O2007" s="22">
        <v>23.0</v>
      </c>
      <c r="P2007" s="28">
        <v>4.0</v>
      </c>
      <c r="Q2007" s="28">
        <v>32.0</v>
      </c>
      <c r="R2007" s="84"/>
      <c r="S2007" s="84"/>
      <c r="T2007" s="84"/>
      <c r="U2007" s="84"/>
      <c r="V2007" s="84"/>
      <c r="W2007" s="84"/>
      <c r="X2007" s="84"/>
      <c r="Y2007" s="84"/>
      <c r="Z2007" s="84"/>
      <c r="AA2007" s="84"/>
    </row>
    <row r="2008" ht="15.75" customHeight="1">
      <c r="A2008" s="14" t="s">
        <v>120</v>
      </c>
      <c r="B2008" s="15" t="s">
        <v>21288</v>
      </c>
      <c r="C2008" s="14" t="s">
        <v>21773</v>
      </c>
      <c r="D2008" s="14" t="s">
        <v>21774</v>
      </c>
      <c r="E2008" s="26" t="str">
        <f t="shared" si="28"/>
        <v>http://dx.doi.org/10.1109/VAST.2010.5652896</v>
      </c>
      <c r="F2008" s="14">
        <v>147.0</v>
      </c>
      <c r="G2008" s="14">
        <v>154.0</v>
      </c>
      <c r="H2008" s="14" t="s">
        <v>28</v>
      </c>
      <c r="I2008" s="19" t="s">
        <v>21775</v>
      </c>
      <c r="J2008" s="19" t="s">
        <v>21777</v>
      </c>
      <c r="K2008" s="19" t="s">
        <v>21777</v>
      </c>
      <c r="L2008" s="19" t="s">
        <v>21778</v>
      </c>
      <c r="M2008" s="20"/>
      <c r="N2008" s="27"/>
      <c r="O2008" s="22">
        <v>50.0</v>
      </c>
      <c r="P2008" s="28">
        <v>3.0</v>
      </c>
      <c r="Q2008" s="28">
        <v>23.0</v>
      </c>
      <c r="R2008" s="84"/>
      <c r="S2008" s="84"/>
      <c r="T2008" s="84"/>
      <c r="U2008" s="84"/>
      <c r="V2008" s="84"/>
      <c r="W2008" s="84"/>
      <c r="X2008" s="84"/>
      <c r="Y2008" s="84"/>
      <c r="Z2008" s="84"/>
      <c r="AA2008" s="84"/>
    </row>
    <row r="2009" ht="15.75" customHeight="1">
      <c r="A2009" s="14" t="s">
        <v>120</v>
      </c>
      <c r="B2009" s="15" t="s">
        <v>21288</v>
      </c>
      <c r="C2009" s="14" t="s">
        <v>21779</v>
      </c>
      <c r="D2009" s="14" t="s">
        <v>21780</v>
      </c>
      <c r="E2009" s="26" t="str">
        <f t="shared" si="28"/>
        <v>http://dx.doi.org/10.1109/VAST.2010.5652910</v>
      </c>
      <c r="F2009" s="14">
        <v>131.0</v>
      </c>
      <c r="G2009" s="14">
        <v>138.0</v>
      </c>
      <c r="H2009" s="14" t="s">
        <v>28</v>
      </c>
      <c r="I2009" s="19" t="s">
        <v>21782</v>
      </c>
      <c r="J2009" s="19" t="s">
        <v>21783</v>
      </c>
      <c r="K2009" s="19" t="s">
        <v>21783</v>
      </c>
      <c r="L2009" s="19" t="s">
        <v>21784</v>
      </c>
      <c r="M2009" s="20" t="s">
        <v>21785</v>
      </c>
      <c r="N2009" s="44" t="s">
        <v>21786</v>
      </c>
      <c r="O2009" s="22">
        <v>50.0</v>
      </c>
      <c r="P2009" s="28">
        <v>8.0</v>
      </c>
      <c r="Q2009" s="28">
        <v>28.0</v>
      </c>
      <c r="R2009" s="84"/>
      <c r="S2009" s="84"/>
      <c r="T2009" s="84"/>
      <c r="U2009" s="84"/>
      <c r="V2009" s="84"/>
      <c r="W2009" s="84"/>
      <c r="X2009" s="84"/>
      <c r="Y2009" s="84"/>
      <c r="Z2009" s="84"/>
      <c r="AA2009" s="84"/>
    </row>
    <row r="2010" ht="15.75" customHeight="1">
      <c r="A2010" s="14" t="s">
        <v>120</v>
      </c>
      <c r="B2010" s="15" t="s">
        <v>21288</v>
      </c>
      <c r="C2010" s="14" t="s">
        <v>21787</v>
      </c>
      <c r="D2010" s="14" t="s">
        <v>21788</v>
      </c>
      <c r="E2010" s="26" t="str">
        <f t="shared" si="28"/>
        <v>http://dx.doi.org/10.1109/VAST.2010.5652922</v>
      </c>
      <c r="F2010" s="14">
        <v>115.0</v>
      </c>
      <c r="G2010" s="14">
        <v>122.0</v>
      </c>
      <c r="H2010" s="14" t="s">
        <v>28</v>
      </c>
      <c r="I2010" s="19" t="s">
        <v>21789</v>
      </c>
      <c r="J2010" s="19" t="s">
        <v>21790</v>
      </c>
      <c r="K2010" s="19" t="s">
        <v>21790</v>
      </c>
      <c r="L2010" s="19" t="s">
        <v>21791</v>
      </c>
      <c r="M2010" s="20" t="s">
        <v>21792</v>
      </c>
      <c r="N2010" s="88" t="s">
        <v>21793</v>
      </c>
      <c r="O2010" s="22">
        <v>188.0</v>
      </c>
      <c r="P2010" s="28">
        <v>62.0</v>
      </c>
      <c r="Q2010" s="28">
        <v>27.0</v>
      </c>
      <c r="R2010" s="84"/>
      <c r="S2010" s="84"/>
      <c r="T2010" s="84"/>
      <c r="U2010" s="84"/>
      <c r="V2010" s="84"/>
      <c r="W2010" s="84"/>
      <c r="X2010" s="84"/>
      <c r="Y2010" s="84"/>
      <c r="Z2010" s="84"/>
      <c r="AA2010" s="84"/>
    </row>
    <row r="2011" ht="15.75" customHeight="1">
      <c r="A2011" s="14" t="s">
        <v>120</v>
      </c>
      <c r="B2011" s="15" t="s">
        <v>21288</v>
      </c>
      <c r="C2011" s="14" t="s">
        <v>21794</v>
      </c>
      <c r="D2011" s="14" t="s">
        <v>21795</v>
      </c>
      <c r="E2011" s="26" t="str">
        <f t="shared" si="28"/>
        <v>http://dx.doi.org/10.1109/VAST.2010.5652926</v>
      </c>
      <c r="F2011" s="14">
        <v>123.0</v>
      </c>
      <c r="G2011" s="14">
        <v>130.0</v>
      </c>
      <c r="H2011" s="14" t="s">
        <v>28</v>
      </c>
      <c r="I2011" s="19" t="s">
        <v>21799</v>
      </c>
      <c r="J2011" s="19" t="s">
        <v>21800</v>
      </c>
      <c r="K2011" s="19" t="s">
        <v>21800</v>
      </c>
      <c r="L2011" s="19" t="s">
        <v>20267</v>
      </c>
      <c r="M2011" s="20" t="s">
        <v>18386</v>
      </c>
      <c r="N2011" s="27"/>
      <c r="O2011" s="22">
        <v>50.0</v>
      </c>
      <c r="P2011" s="28">
        <v>2.0</v>
      </c>
      <c r="Q2011" s="28">
        <v>29.0</v>
      </c>
      <c r="R2011" s="85" t="s">
        <v>106</v>
      </c>
      <c r="S2011" s="84"/>
      <c r="T2011" s="84"/>
      <c r="U2011" s="84"/>
      <c r="V2011" s="84"/>
      <c r="W2011" s="84"/>
      <c r="X2011" s="84"/>
      <c r="Y2011" s="84"/>
      <c r="Z2011" s="84"/>
      <c r="AA2011" s="84"/>
    </row>
    <row r="2012" ht="15.75" customHeight="1">
      <c r="A2012" s="14" t="s">
        <v>120</v>
      </c>
      <c r="B2012" s="15" t="s">
        <v>21288</v>
      </c>
      <c r="C2012" s="14" t="s">
        <v>21801</v>
      </c>
      <c r="D2012" s="14" t="s">
        <v>21802</v>
      </c>
      <c r="E2012" s="26" t="str">
        <f t="shared" si="28"/>
        <v>http://dx.doi.org/10.1109/VAST.2010.5652931</v>
      </c>
      <c r="F2012" s="14">
        <v>99.0</v>
      </c>
      <c r="G2012" s="14">
        <v>106.0</v>
      </c>
      <c r="H2012" s="14" t="s">
        <v>28</v>
      </c>
      <c r="I2012" s="19" t="s">
        <v>21804</v>
      </c>
      <c r="J2012" s="19" t="s">
        <v>21805</v>
      </c>
      <c r="K2012" s="19" t="s">
        <v>21805</v>
      </c>
      <c r="L2012" s="19" t="s">
        <v>21806</v>
      </c>
      <c r="M2012" s="20" t="s">
        <v>21807</v>
      </c>
      <c r="N2012" s="44" t="s">
        <v>21808</v>
      </c>
      <c r="O2012" s="22">
        <v>64.0</v>
      </c>
      <c r="P2012" s="28">
        <v>23.0</v>
      </c>
      <c r="Q2012" s="28">
        <v>29.0</v>
      </c>
      <c r="R2012" s="84"/>
      <c r="S2012" s="84"/>
      <c r="T2012" s="84"/>
      <c r="U2012" s="84"/>
      <c r="V2012" s="84"/>
      <c r="W2012" s="84"/>
      <c r="X2012" s="84"/>
      <c r="Y2012" s="84"/>
      <c r="Z2012" s="84"/>
      <c r="AA2012" s="84"/>
    </row>
    <row r="2013" ht="15.75" customHeight="1">
      <c r="A2013" s="14" t="s">
        <v>120</v>
      </c>
      <c r="B2013" s="15" t="s">
        <v>21288</v>
      </c>
      <c r="C2013" s="14" t="s">
        <v>21810</v>
      </c>
      <c r="D2013" s="14" t="s">
        <v>21811</v>
      </c>
      <c r="E2013" s="26" t="str">
        <f t="shared" si="28"/>
        <v>http://dx.doi.org/10.1109/VAST.2010.5652932</v>
      </c>
      <c r="F2013" s="14">
        <v>107.0</v>
      </c>
      <c r="G2013" s="14">
        <v>114.0</v>
      </c>
      <c r="H2013" s="14" t="s">
        <v>28</v>
      </c>
      <c r="I2013" s="19" t="s">
        <v>21812</v>
      </c>
      <c r="J2013" s="19" t="s">
        <v>21813</v>
      </c>
      <c r="K2013" s="19" t="s">
        <v>21813</v>
      </c>
      <c r="L2013" s="19" t="s">
        <v>21814</v>
      </c>
      <c r="M2013" s="20" t="s">
        <v>21815</v>
      </c>
      <c r="N2013" s="44" t="s">
        <v>21816</v>
      </c>
      <c r="O2013" s="22">
        <v>30.0</v>
      </c>
      <c r="P2013" s="28">
        <v>9.0</v>
      </c>
      <c r="Q2013" s="28">
        <v>24.0</v>
      </c>
      <c r="R2013" s="84"/>
      <c r="S2013" s="84"/>
      <c r="T2013" s="84"/>
      <c r="U2013" s="84"/>
      <c r="V2013" s="84"/>
      <c r="W2013" s="84"/>
      <c r="X2013" s="84"/>
      <c r="Y2013" s="84"/>
      <c r="Z2013" s="84"/>
      <c r="AA2013" s="84"/>
    </row>
    <row r="2014" ht="15.75" customHeight="1">
      <c r="A2014" s="14" t="s">
        <v>120</v>
      </c>
      <c r="B2014" s="15" t="s">
        <v>21288</v>
      </c>
      <c r="C2014" s="14" t="s">
        <v>21817</v>
      </c>
      <c r="D2014" s="14" t="s">
        <v>21818</v>
      </c>
      <c r="E2014" s="26" t="str">
        <f t="shared" si="28"/>
        <v>http://dx.doi.org/10.1109/VAST.2010.5652940</v>
      </c>
      <c r="F2014" s="14">
        <v>91.0</v>
      </c>
      <c r="G2014" s="14">
        <v>98.0</v>
      </c>
      <c r="H2014" s="14" t="s">
        <v>28</v>
      </c>
      <c r="I2014" s="19" t="s">
        <v>21819</v>
      </c>
      <c r="J2014" s="19" t="s">
        <v>21820</v>
      </c>
      <c r="K2014" s="19" t="s">
        <v>21820</v>
      </c>
      <c r="L2014" s="19" t="s">
        <v>21821</v>
      </c>
      <c r="M2014" s="20" t="s">
        <v>21822</v>
      </c>
      <c r="N2014" s="27"/>
      <c r="O2014" s="22">
        <v>10.0</v>
      </c>
      <c r="P2014" s="28">
        <v>11.0</v>
      </c>
      <c r="Q2014" s="28">
        <v>25.0</v>
      </c>
      <c r="R2014" s="84"/>
      <c r="S2014" s="84"/>
      <c r="T2014" s="84"/>
      <c r="U2014" s="84"/>
      <c r="V2014" s="84"/>
      <c r="W2014" s="84"/>
      <c r="X2014" s="84"/>
      <c r="Y2014" s="84"/>
      <c r="Z2014" s="84"/>
      <c r="AA2014" s="84"/>
    </row>
    <row r="2015" ht="15.75" customHeight="1">
      <c r="A2015" s="14" t="s">
        <v>120</v>
      </c>
      <c r="B2015" s="15" t="s">
        <v>21288</v>
      </c>
      <c r="C2015" s="14" t="s">
        <v>21823</v>
      </c>
      <c r="D2015" s="14" t="s">
        <v>21824</v>
      </c>
      <c r="E2015" s="26" t="str">
        <f t="shared" si="28"/>
        <v>http://dx.doi.org/10.1109/VAST.2010.5652951</v>
      </c>
      <c r="F2015" s="14">
        <v>229.0</v>
      </c>
      <c r="G2015" s="14">
        <v>230.0</v>
      </c>
      <c r="H2015" s="14" t="s">
        <v>21</v>
      </c>
      <c r="I2015" s="19" t="s">
        <v>21826</v>
      </c>
      <c r="J2015" s="19" t="s">
        <v>21827</v>
      </c>
      <c r="K2015" s="19" t="s">
        <v>21828</v>
      </c>
      <c r="L2015" s="19" t="s">
        <v>21829</v>
      </c>
      <c r="M2015" s="20"/>
      <c r="N2015" s="27"/>
      <c r="O2015" s="22">
        <v>50.0</v>
      </c>
      <c r="P2015" s="28">
        <v>3.0</v>
      </c>
      <c r="Q2015" s="28">
        <v>5.0</v>
      </c>
      <c r="R2015" s="84"/>
      <c r="S2015" s="84"/>
      <c r="T2015" s="84"/>
      <c r="U2015" s="84"/>
      <c r="V2015" s="84"/>
      <c r="W2015" s="84"/>
      <c r="X2015" s="84"/>
      <c r="Y2015" s="84"/>
      <c r="Z2015" s="84"/>
      <c r="AA2015" s="84"/>
    </row>
    <row r="2016" ht="15.75" customHeight="1">
      <c r="A2016" s="14" t="s">
        <v>120</v>
      </c>
      <c r="B2016" s="15" t="s">
        <v>21288</v>
      </c>
      <c r="C2016" s="14" t="s">
        <v>21831</v>
      </c>
      <c r="D2016" s="14" t="s">
        <v>21832</v>
      </c>
      <c r="E2016" s="26" t="str">
        <f t="shared" si="28"/>
        <v>http://dx.doi.org/10.1109/VAST.2010.5652958</v>
      </c>
      <c r="F2016" s="14">
        <v>231.0</v>
      </c>
      <c r="G2016" s="14">
        <v>232.0</v>
      </c>
      <c r="H2016" s="14" t="s">
        <v>21</v>
      </c>
      <c r="I2016" s="19" t="s">
        <v>21833</v>
      </c>
      <c r="J2016" s="19" t="s">
        <v>21834</v>
      </c>
      <c r="K2016" s="19" t="s">
        <v>21835</v>
      </c>
      <c r="L2016" s="19" t="s">
        <v>21836</v>
      </c>
      <c r="M2016" s="20"/>
      <c r="N2016" s="27"/>
      <c r="O2016" s="22">
        <v>50.0</v>
      </c>
      <c r="P2016" s="28">
        <v>1.0</v>
      </c>
      <c r="Q2016" s="28">
        <v>2.0</v>
      </c>
      <c r="R2016" s="84"/>
      <c r="S2016" s="84"/>
      <c r="T2016" s="84"/>
      <c r="U2016" s="84"/>
      <c r="V2016" s="84"/>
      <c r="W2016" s="84"/>
      <c r="X2016" s="84"/>
      <c r="Y2016" s="84"/>
      <c r="Z2016" s="84"/>
      <c r="AA2016" s="84"/>
    </row>
    <row r="2017" ht="15.75" customHeight="1">
      <c r="A2017" s="14" t="s">
        <v>120</v>
      </c>
      <c r="B2017" s="15" t="s">
        <v>21288</v>
      </c>
      <c r="C2017" s="14" t="s">
        <v>21837</v>
      </c>
      <c r="D2017" s="14" t="s">
        <v>21838</v>
      </c>
      <c r="E2017" s="26" t="str">
        <f t="shared" si="28"/>
        <v>http://dx.doi.org/10.1109/VAST.2010.5652968</v>
      </c>
      <c r="F2017" s="14">
        <v>233.0</v>
      </c>
      <c r="G2017" s="14">
        <v>234.0</v>
      </c>
      <c r="H2017" s="14" t="s">
        <v>21</v>
      </c>
      <c r="I2017" s="19" t="s">
        <v>21839</v>
      </c>
      <c r="J2017" s="19" t="s">
        <v>21840</v>
      </c>
      <c r="K2017" s="19" t="s">
        <v>21841</v>
      </c>
      <c r="L2017" s="19" t="s">
        <v>21842</v>
      </c>
      <c r="M2017" s="20"/>
      <c r="N2017" s="44" t="s">
        <v>21843</v>
      </c>
      <c r="O2017" s="22">
        <v>7.0</v>
      </c>
      <c r="P2017" s="28">
        <v>3.0</v>
      </c>
      <c r="Q2017" s="28">
        <v>2.0</v>
      </c>
      <c r="R2017" s="84"/>
      <c r="S2017" s="84"/>
      <c r="T2017" s="84"/>
      <c r="U2017" s="84"/>
      <c r="V2017" s="84"/>
      <c r="W2017" s="84"/>
      <c r="X2017" s="84"/>
      <c r="Y2017" s="84"/>
      <c r="Z2017" s="84"/>
      <c r="AA2017" s="84"/>
    </row>
    <row r="2018" ht="15.75" customHeight="1">
      <c r="A2018" s="14" t="s">
        <v>120</v>
      </c>
      <c r="B2018" s="15" t="s">
        <v>21288</v>
      </c>
      <c r="C2018" s="14" t="s">
        <v>21844</v>
      </c>
      <c r="D2018" s="14" t="s">
        <v>21846</v>
      </c>
      <c r="E2018" s="26" t="str">
        <f t="shared" si="28"/>
        <v>http://dx.doi.org/10.1109/VAST.2010.5653580</v>
      </c>
      <c r="F2018" s="14">
        <v>213.0</v>
      </c>
      <c r="G2018" s="14">
        <v>214.0</v>
      </c>
      <c r="H2018" s="14" t="s">
        <v>21</v>
      </c>
      <c r="I2018" s="19" t="s">
        <v>21848</v>
      </c>
      <c r="J2018" s="19" t="s">
        <v>19310</v>
      </c>
      <c r="K2018" s="19" t="s">
        <v>19311</v>
      </c>
      <c r="L2018" s="19" t="s">
        <v>21849</v>
      </c>
      <c r="M2018" s="20"/>
      <c r="N2018" s="27"/>
      <c r="O2018" s="22">
        <v>20.0</v>
      </c>
      <c r="P2018" s="28">
        <v>9.0</v>
      </c>
      <c r="Q2018" s="28">
        <v>9.0</v>
      </c>
      <c r="R2018" s="84"/>
      <c r="S2018" s="84"/>
      <c r="T2018" s="84"/>
      <c r="U2018" s="84"/>
      <c r="V2018" s="84"/>
      <c r="W2018" s="84"/>
      <c r="X2018" s="84"/>
      <c r="Y2018" s="84"/>
      <c r="Z2018" s="84"/>
      <c r="AA2018" s="84"/>
    </row>
    <row r="2019" ht="15.75" customHeight="1">
      <c r="A2019" s="14" t="s">
        <v>120</v>
      </c>
      <c r="B2019" s="15" t="s">
        <v>21288</v>
      </c>
      <c r="C2019" s="14" t="s">
        <v>21850</v>
      </c>
      <c r="D2019" s="14" t="s">
        <v>21851</v>
      </c>
      <c r="E2019" s="26" t="str">
        <f t="shared" si="28"/>
        <v>http://dx.doi.org/10.1109/VAST.2010.5653587</v>
      </c>
      <c r="F2019" s="14">
        <v>203.0</v>
      </c>
      <c r="G2019" s="14">
        <v>210.0</v>
      </c>
      <c r="H2019" s="14" t="s">
        <v>28</v>
      </c>
      <c r="I2019" s="19" t="s">
        <v>21852</v>
      </c>
      <c r="J2019" s="19" t="s">
        <v>21853</v>
      </c>
      <c r="K2019" s="19" t="s">
        <v>21854</v>
      </c>
      <c r="L2019" s="19" t="s">
        <v>21855</v>
      </c>
      <c r="M2019" s="20"/>
      <c r="N2019" s="88" t="s">
        <v>19345</v>
      </c>
      <c r="O2019" s="22">
        <v>50.0</v>
      </c>
      <c r="P2019" s="28">
        <v>15.0</v>
      </c>
      <c r="Q2019" s="28">
        <v>25.0</v>
      </c>
      <c r="R2019" s="84"/>
      <c r="S2019" s="84"/>
      <c r="T2019" s="84"/>
      <c r="U2019" s="84"/>
      <c r="V2019" s="84"/>
      <c r="W2019" s="84"/>
      <c r="X2019" s="84"/>
      <c r="Y2019" s="84"/>
      <c r="Z2019" s="84"/>
      <c r="AA2019" s="84"/>
    </row>
    <row r="2020" ht="15.75" customHeight="1">
      <c r="A2020" s="14" t="s">
        <v>120</v>
      </c>
      <c r="B2020" s="15" t="s">
        <v>21288</v>
      </c>
      <c r="C2020" s="14" t="s">
        <v>21856</v>
      </c>
      <c r="D2020" s="14" t="s">
        <v>21857</v>
      </c>
      <c r="E2020" s="26" t="str">
        <f t="shared" si="28"/>
        <v>http://dx.doi.org/10.1109/VAST.2010.5653598</v>
      </c>
      <c r="F2020" s="14">
        <v>187.0</v>
      </c>
      <c r="G2020" s="14">
        <v>194.0</v>
      </c>
      <c r="H2020" s="14" t="s">
        <v>28</v>
      </c>
      <c r="I2020" s="19" t="s">
        <v>21858</v>
      </c>
      <c r="J2020" s="19" t="s">
        <v>21859</v>
      </c>
      <c r="K2020" s="19" t="s">
        <v>21861</v>
      </c>
      <c r="L2020" s="19" t="s">
        <v>21862</v>
      </c>
      <c r="M2020" s="20" t="s">
        <v>21863</v>
      </c>
      <c r="N2020" s="44" t="s">
        <v>21864</v>
      </c>
      <c r="O2020" s="22">
        <v>37.0</v>
      </c>
      <c r="P2020" s="28">
        <v>14.0</v>
      </c>
      <c r="Q2020" s="28">
        <v>20.0</v>
      </c>
      <c r="R2020" s="84"/>
      <c r="S2020" s="84"/>
      <c r="T2020" s="84"/>
      <c r="U2020" s="84"/>
      <c r="V2020" s="84"/>
      <c r="W2020" s="84"/>
      <c r="X2020" s="84"/>
      <c r="Y2020" s="84"/>
      <c r="Z2020" s="84"/>
      <c r="AA2020" s="84"/>
    </row>
    <row r="2021" ht="15.75" customHeight="1">
      <c r="A2021" s="14" t="s">
        <v>120</v>
      </c>
      <c r="B2021" s="15" t="s">
        <v>21288</v>
      </c>
      <c r="C2021" s="14" t="s">
        <v>21866</v>
      </c>
      <c r="D2021" s="14" t="s">
        <v>21867</v>
      </c>
      <c r="E2021" s="26" t="str">
        <f t="shared" si="28"/>
        <v>http://dx.doi.org/10.1109/VAST.2010.5653599</v>
      </c>
      <c r="F2021" s="14">
        <v>195.0</v>
      </c>
      <c r="G2021" s="14">
        <v>202.0</v>
      </c>
      <c r="H2021" s="14" t="s">
        <v>28</v>
      </c>
      <c r="I2021" s="19" t="s">
        <v>21868</v>
      </c>
      <c r="J2021" s="19" t="s">
        <v>21869</v>
      </c>
      <c r="K2021" s="19" t="s">
        <v>21869</v>
      </c>
      <c r="L2021" s="19" t="s">
        <v>21870</v>
      </c>
      <c r="M2021" s="20" t="s">
        <v>21871</v>
      </c>
      <c r="N2021" s="44" t="s">
        <v>21872</v>
      </c>
      <c r="O2021" s="22">
        <v>50.0</v>
      </c>
      <c r="P2021" s="28">
        <v>3.0</v>
      </c>
      <c r="Q2021" s="28">
        <v>21.0</v>
      </c>
      <c r="R2021" s="84"/>
      <c r="S2021" s="84"/>
      <c r="T2021" s="84"/>
      <c r="U2021" s="84"/>
      <c r="V2021" s="84"/>
      <c r="W2021" s="84"/>
      <c r="X2021" s="84"/>
      <c r="Y2021" s="84"/>
      <c r="Z2021" s="84"/>
      <c r="AA2021" s="84"/>
    </row>
    <row r="2022" ht="15.75" customHeight="1">
      <c r="A2022" s="14" t="s">
        <v>120</v>
      </c>
      <c r="B2022" s="15" t="s">
        <v>21288</v>
      </c>
      <c r="C2022" s="14" t="s">
        <v>21873</v>
      </c>
      <c r="D2022" s="14" t="s">
        <v>21874</v>
      </c>
      <c r="E2022" s="26" t="str">
        <f t="shared" si="28"/>
        <v>http://dx.doi.org/10.1109/VAST.2010.5653822</v>
      </c>
      <c r="F2022" s="14">
        <v>243.0</v>
      </c>
      <c r="G2022" s="14">
        <v>244.0</v>
      </c>
      <c r="H2022" s="14" t="s">
        <v>21</v>
      </c>
      <c r="I2022" s="19" t="s">
        <v>21875</v>
      </c>
      <c r="J2022" s="19" t="s">
        <v>21876</v>
      </c>
      <c r="K2022" s="19" t="s">
        <v>21877</v>
      </c>
      <c r="L2022" s="19" t="s">
        <v>21878</v>
      </c>
      <c r="M2022" s="20"/>
      <c r="N2022" s="27"/>
      <c r="O2022" s="22">
        <v>3.0</v>
      </c>
      <c r="P2022" s="28">
        <v>1.0</v>
      </c>
      <c r="Q2022" s="28">
        <v>7.0</v>
      </c>
      <c r="R2022" s="84"/>
      <c r="S2022" s="84"/>
      <c r="T2022" s="84"/>
      <c r="U2022" s="84"/>
      <c r="V2022" s="84"/>
      <c r="W2022" s="84"/>
      <c r="X2022" s="84"/>
      <c r="Y2022" s="84"/>
      <c r="Z2022" s="84"/>
      <c r="AA2022" s="84"/>
    </row>
    <row r="2023" ht="15.75" customHeight="1">
      <c r="A2023" s="14" t="s">
        <v>120</v>
      </c>
      <c r="B2023" s="15" t="s">
        <v>21288</v>
      </c>
      <c r="C2023" s="14" t="s">
        <v>21879</v>
      </c>
      <c r="D2023" s="14" t="s">
        <v>21880</v>
      </c>
      <c r="E2023" s="26" t="str">
        <f t="shared" si="28"/>
        <v>http://dx.doi.org/10.1109/VAST.2010.5654445</v>
      </c>
      <c r="F2023" s="14">
        <v>239.0</v>
      </c>
      <c r="G2023" s="14">
        <v>240.0</v>
      </c>
      <c r="H2023" s="14" t="s">
        <v>21</v>
      </c>
      <c r="I2023" s="19" t="s">
        <v>21883</v>
      </c>
      <c r="J2023" s="19" t="s">
        <v>21884</v>
      </c>
      <c r="K2023" s="19" t="s">
        <v>21884</v>
      </c>
      <c r="L2023" s="19" t="s">
        <v>21885</v>
      </c>
      <c r="M2023" s="20"/>
      <c r="N2023" s="27"/>
      <c r="O2023" s="22">
        <v>0.0</v>
      </c>
      <c r="P2023" s="28">
        <v>0.0</v>
      </c>
      <c r="Q2023" s="28">
        <v>5.0</v>
      </c>
      <c r="R2023" s="84"/>
      <c r="S2023" s="84"/>
      <c r="T2023" s="84"/>
      <c r="U2023" s="84"/>
      <c r="V2023" s="84"/>
      <c r="W2023" s="84"/>
      <c r="X2023" s="84"/>
      <c r="Y2023" s="84"/>
      <c r="Z2023" s="84"/>
      <c r="AA2023" s="84"/>
    </row>
    <row r="2024" ht="15.75" customHeight="1">
      <c r="A2024" s="14" t="s">
        <v>120</v>
      </c>
      <c r="B2024" s="15" t="s">
        <v>21288</v>
      </c>
      <c r="C2024" s="14" t="s">
        <v>21886</v>
      </c>
      <c r="D2024" s="14" t="s">
        <v>21887</v>
      </c>
      <c r="E2024" s="26" t="str">
        <f t="shared" si="28"/>
        <v>http://dx.doi.org/10.1109/VAST.2010.5654451</v>
      </c>
      <c r="F2024" s="14">
        <v>241.0</v>
      </c>
      <c r="G2024" s="14">
        <v>242.0</v>
      </c>
      <c r="H2024" s="14" t="s">
        <v>21</v>
      </c>
      <c r="I2024" s="19" t="s">
        <v>21888</v>
      </c>
      <c r="J2024" s="19" t="s">
        <v>21889</v>
      </c>
      <c r="K2024" s="19" t="s">
        <v>21889</v>
      </c>
      <c r="L2024" s="19" t="s">
        <v>21890</v>
      </c>
      <c r="M2024" s="20"/>
      <c r="N2024" s="88" t="s">
        <v>21891</v>
      </c>
      <c r="O2024" s="22">
        <v>50.0</v>
      </c>
      <c r="P2024" s="28">
        <v>2.0</v>
      </c>
      <c r="Q2024" s="28">
        <v>5.0</v>
      </c>
      <c r="R2024" s="84"/>
      <c r="S2024" s="84"/>
      <c r="T2024" s="84"/>
      <c r="U2024" s="84"/>
      <c r="V2024" s="84"/>
      <c r="W2024" s="84"/>
      <c r="X2024" s="84"/>
      <c r="Y2024" s="84"/>
      <c r="Z2024" s="84"/>
      <c r="AA2024" s="84"/>
    </row>
    <row r="2025" ht="15.75" customHeight="1">
      <c r="A2025" s="14" t="s">
        <v>17</v>
      </c>
      <c r="B2025" s="15" t="s">
        <v>21288</v>
      </c>
      <c r="C2025" s="14" t="s">
        <v>21892</v>
      </c>
      <c r="D2025" s="14" t="s">
        <v>21893</v>
      </c>
      <c r="E2025" s="26" t="str">
        <f t="shared" si="28"/>
        <v>http://dx.doi.org/10.1109/TVCG.2010.127</v>
      </c>
      <c r="F2025" s="14">
        <v>1235.0</v>
      </c>
      <c r="G2025" s="14">
        <v>1242.0</v>
      </c>
      <c r="H2025" s="14" t="s">
        <v>17059</v>
      </c>
      <c r="I2025" s="19" t="s">
        <v>21894</v>
      </c>
      <c r="J2025" s="19" t="s">
        <v>21895</v>
      </c>
      <c r="K2025" s="19" t="s">
        <v>21896</v>
      </c>
      <c r="L2025" s="19" t="s">
        <v>21897</v>
      </c>
      <c r="M2025" s="20" t="s">
        <v>21898</v>
      </c>
      <c r="N2025" s="44" t="s">
        <v>21899</v>
      </c>
      <c r="O2025" s="22">
        <v>50.0</v>
      </c>
      <c r="P2025" s="28">
        <v>14.0</v>
      </c>
      <c r="Q2025" s="28">
        <v>28.0</v>
      </c>
      <c r="R2025" s="84"/>
      <c r="S2025" s="84"/>
      <c r="T2025" s="84"/>
      <c r="U2025" s="84"/>
      <c r="V2025" s="84"/>
      <c r="W2025" s="84"/>
      <c r="X2025" s="84"/>
      <c r="Y2025" s="84"/>
      <c r="Z2025" s="84"/>
      <c r="AA2025" s="84"/>
    </row>
    <row r="2026" ht="15.75" customHeight="1">
      <c r="A2026" s="14" t="s">
        <v>17</v>
      </c>
      <c r="B2026" s="15" t="s">
        <v>21288</v>
      </c>
      <c r="C2026" s="14" t="s">
        <v>21900</v>
      </c>
      <c r="D2026" s="14" t="s">
        <v>21902</v>
      </c>
      <c r="E2026" s="26" t="str">
        <f t="shared" si="28"/>
        <v>http://dx.doi.org/10.1109/TVCG.2010.128</v>
      </c>
      <c r="F2026" s="14">
        <v>1623.0</v>
      </c>
      <c r="G2026" s="14">
        <v>1632.0</v>
      </c>
      <c r="H2026" s="14" t="s">
        <v>17059</v>
      </c>
      <c r="I2026" s="19" t="s">
        <v>21904</v>
      </c>
      <c r="J2026" s="19" t="s">
        <v>21905</v>
      </c>
      <c r="K2026" s="19" t="s">
        <v>21905</v>
      </c>
      <c r="L2026" s="19" t="s">
        <v>21906</v>
      </c>
      <c r="M2026" s="20" t="s">
        <v>21907</v>
      </c>
      <c r="N2026" s="44" t="s">
        <v>21908</v>
      </c>
      <c r="O2026" s="22">
        <v>36.0</v>
      </c>
      <c r="P2026" s="28">
        <v>19.0</v>
      </c>
      <c r="Q2026" s="28">
        <v>38.0</v>
      </c>
      <c r="R2026" s="84"/>
      <c r="S2026" s="84"/>
      <c r="T2026" s="84"/>
      <c r="U2026" s="84"/>
      <c r="V2026" s="84"/>
      <c r="W2026" s="84"/>
      <c r="X2026" s="84"/>
      <c r="Y2026" s="84"/>
      <c r="Z2026" s="84"/>
      <c r="AA2026" s="84"/>
    </row>
    <row r="2027" ht="15.75" customHeight="1">
      <c r="A2027" s="14" t="s">
        <v>17</v>
      </c>
      <c r="B2027" s="15" t="s">
        <v>21288</v>
      </c>
      <c r="C2027" s="14" t="s">
        <v>21909</v>
      </c>
      <c r="D2027" s="14" t="s">
        <v>21910</v>
      </c>
      <c r="E2027" s="26" t="str">
        <f t="shared" si="28"/>
        <v>http://dx.doi.org/10.1109/TVCG.2010.131</v>
      </c>
      <c r="F2027" s="14">
        <v>1216.0</v>
      </c>
      <c r="G2027" s="14">
        <v>1224.0</v>
      </c>
      <c r="H2027" s="14" t="s">
        <v>17059</v>
      </c>
      <c r="I2027" s="19" t="s">
        <v>21911</v>
      </c>
      <c r="J2027" s="19" t="s">
        <v>21912</v>
      </c>
      <c r="K2027" s="19" t="s">
        <v>21912</v>
      </c>
      <c r="L2027" s="19" t="s">
        <v>21913</v>
      </c>
      <c r="M2027" s="20" t="s">
        <v>21914</v>
      </c>
      <c r="N2027" s="44" t="s">
        <v>21915</v>
      </c>
      <c r="O2027" s="22">
        <v>113.0</v>
      </c>
      <c r="P2027" s="28">
        <v>56.0</v>
      </c>
      <c r="Q2027" s="28">
        <v>31.0</v>
      </c>
      <c r="R2027" s="84"/>
      <c r="S2027" s="84"/>
      <c r="T2027" s="84"/>
      <c r="U2027" s="84"/>
      <c r="V2027" s="84"/>
      <c r="W2027" s="84"/>
      <c r="X2027" s="84"/>
      <c r="Y2027" s="84"/>
      <c r="Z2027" s="84"/>
      <c r="AA2027" s="84"/>
    </row>
    <row r="2028" ht="15.75" customHeight="1">
      <c r="A2028" s="14" t="s">
        <v>17</v>
      </c>
      <c r="B2028" s="15" t="s">
        <v>21288</v>
      </c>
      <c r="C2028" s="14" t="s">
        <v>21916</v>
      </c>
      <c r="D2028" s="14" t="s">
        <v>21917</v>
      </c>
      <c r="E2028" s="26" t="str">
        <f t="shared" si="28"/>
        <v>http://dx.doi.org/10.1109/TVCG.2010.132</v>
      </c>
      <c r="F2028" s="14">
        <v>1206.0</v>
      </c>
      <c r="G2028" s="14">
        <v>1215.0</v>
      </c>
      <c r="H2028" s="14" t="s">
        <v>17059</v>
      </c>
      <c r="I2028" s="19" t="s">
        <v>21918</v>
      </c>
      <c r="J2028" s="19" t="s">
        <v>21920</v>
      </c>
      <c r="K2028" s="19" t="s">
        <v>21921</v>
      </c>
      <c r="L2028" s="19" t="s">
        <v>21922</v>
      </c>
      <c r="M2028" s="20" t="s">
        <v>21923</v>
      </c>
      <c r="N2028" s="44" t="s">
        <v>21924</v>
      </c>
      <c r="O2028" s="22">
        <v>97.0</v>
      </c>
      <c r="P2028" s="28">
        <v>59.0</v>
      </c>
      <c r="Q2028" s="28">
        <v>56.0</v>
      </c>
      <c r="R2028" s="84"/>
      <c r="S2028" s="84"/>
      <c r="T2028" s="84"/>
      <c r="U2028" s="84"/>
      <c r="V2028" s="84"/>
      <c r="W2028" s="84"/>
      <c r="X2028" s="84"/>
      <c r="Y2028" s="84"/>
      <c r="Z2028" s="84"/>
      <c r="AA2028" s="84"/>
    </row>
    <row r="2029" ht="15.75" customHeight="1">
      <c r="A2029" s="14" t="s">
        <v>17</v>
      </c>
      <c r="B2029" s="15" t="s">
        <v>21288</v>
      </c>
      <c r="C2029" s="14" t="s">
        <v>21926</v>
      </c>
      <c r="D2029" s="14" t="s">
        <v>21927</v>
      </c>
      <c r="E2029" s="26" t="str">
        <f t="shared" si="28"/>
        <v>http://dx.doi.org/10.1109/TVCG.2010.133</v>
      </c>
      <c r="F2029" s="14">
        <v>1431.0</v>
      </c>
      <c r="G2029" s="14">
        <v>1440.0</v>
      </c>
      <c r="H2029" s="14" t="s">
        <v>17059</v>
      </c>
      <c r="I2029" s="19" t="s">
        <v>21928</v>
      </c>
      <c r="J2029" s="19" t="s">
        <v>21929</v>
      </c>
      <c r="K2029" s="19" t="s">
        <v>21930</v>
      </c>
      <c r="L2029" s="19" t="s">
        <v>21931</v>
      </c>
      <c r="M2029" s="20" t="s">
        <v>21932</v>
      </c>
      <c r="N2029" s="44" t="s">
        <v>21933</v>
      </c>
      <c r="O2029" s="22">
        <v>50.0</v>
      </c>
      <c r="P2029" s="28">
        <v>11.0</v>
      </c>
      <c r="Q2029" s="28">
        <v>44.0</v>
      </c>
      <c r="R2029" s="84"/>
      <c r="S2029" s="84"/>
      <c r="T2029" s="84"/>
      <c r="U2029" s="84"/>
      <c r="V2029" s="84"/>
      <c r="W2029" s="84"/>
      <c r="X2029" s="84"/>
      <c r="Y2029" s="84"/>
      <c r="Z2029" s="84"/>
      <c r="AA2029" s="84"/>
    </row>
    <row r="2030" ht="15.75" customHeight="1">
      <c r="A2030" s="14" t="s">
        <v>17</v>
      </c>
      <c r="B2030" s="15" t="s">
        <v>21288</v>
      </c>
      <c r="C2030" s="14" t="s">
        <v>21934</v>
      </c>
      <c r="D2030" s="14" t="s">
        <v>21935</v>
      </c>
      <c r="E2030" s="26" t="str">
        <f t="shared" si="28"/>
        <v>http://dx.doi.org/10.1109/TVCG.2010.134</v>
      </c>
      <c r="F2030" s="14">
        <v>1396.0</v>
      </c>
      <c r="G2030" s="14">
        <v>1404.0</v>
      </c>
      <c r="H2030" s="14" t="s">
        <v>17059</v>
      </c>
      <c r="I2030" s="19" t="s">
        <v>21936</v>
      </c>
      <c r="J2030" s="19" t="s">
        <v>21937</v>
      </c>
      <c r="K2030" s="19" t="s">
        <v>21938</v>
      </c>
      <c r="L2030" s="18"/>
      <c r="M2030" s="20" t="s">
        <v>21939</v>
      </c>
      <c r="N2030" s="44" t="s">
        <v>21940</v>
      </c>
      <c r="O2030" s="22">
        <v>27.0</v>
      </c>
      <c r="P2030" s="28">
        <v>16.0</v>
      </c>
      <c r="Q2030" s="28">
        <v>28.0</v>
      </c>
      <c r="R2030" s="84"/>
      <c r="S2030" s="84"/>
      <c r="T2030" s="84"/>
      <c r="U2030" s="84"/>
      <c r="V2030" s="84"/>
      <c r="W2030" s="84"/>
      <c r="X2030" s="84"/>
      <c r="Y2030" s="84"/>
      <c r="Z2030" s="84"/>
      <c r="AA2030" s="84"/>
    </row>
    <row r="2031" ht="15.75" customHeight="1">
      <c r="A2031" s="14" t="s">
        <v>17</v>
      </c>
      <c r="B2031" s="15" t="s">
        <v>21288</v>
      </c>
      <c r="C2031" s="14" t="s">
        <v>21941</v>
      </c>
      <c r="D2031" s="14" t="s">
        <v>21942</v>
      </c>
      <c r="E2031" s="26" t="str">
        <f t="shared" si="28"/>
        <v>http://dx.doi.org/10.1109/TVCG.2010.136</v>
      </c>
      <c r="F2031" s="14">
        <v>1261.0</v>
      </c>
      <c r="G2031" s="14">
        <v>1270.0</v>
      </c>
      <c r="H2031" s="14" t="s">
        <v>17059</v>
      </c>
      <c r="I2031" s="19" t="s">
        <v>21943</v>
      </c>
      <c r="J2031" s="19" t="s">
        <v>21944</v>
      </c>
      <c r="K2031" s="19" t="s">
        <v>21944</v>
      </c>
      <c r="L2031" s="18"/>
      <c r="M2031" s="20"/>
      <c r="N2031" s="44" t="s">
        <v>21945</v>
      </c>
      <c r="O2031" s="22">
        <v>50.0</v>
      </c>
      <c r="P2031" s="28">
        <v>16.0</v>
      </c>
      <c r="Q2031" s="28">
        <v>33.0</v>
      </c>
      <c r="R2031" s="84"/>
      <c r="S2031" s="84"/>
      <c r="T2031" s="84"/>
      <c r="U2031" s="84"/>
      <c r="V2031" s="84"/>
      <c r="W2031" s="84"/>
      <c r="X2031" s="84"/>
      <c r="Y2031" s="84"/>
      <c r="Z2031" s="84"/>
      <c r="AA2031" s="84"/>
    </row>
    <row r="2032" ht="15.75" customHeight="1">
      <c r="A2032" s="14" t="s">
        <v>17</v>
      </c>
      <c r="B2032" s="15" t="s">
        <v>21288</v>
      </c>
      <c r="C2032" s="14" t="s">
        <v>21946</v>
      </c>
      <c r="D2032" s="14" t="s">
        <v>21947</v>
      </c>
      <c r="E2032" s="26" t="str">
        <f t="shared" si="28"/>
        <v>http://dx.doi.org/10.1109/TVCG.2010.139</v>
      </c>
      <c r="F2032" s="14">
        <v>1251.0</v>
      </c>
      <c r="G2032" s="14">
        <v>1260.0</v>
      </c>
      <c r="H2032" s="14" t="s">
        <v>17059</v>
      </c>
      <c r="I2032" s="19" t="s">
        <v>21949</v>
      </c>
      <c r="J2032" s="19" t="s">
        <v>21951</v>
      </c>
      <c r="K2032" s="19" t="s">
        <v>21951</v>
      </c>
      <c r="L2032" s="18"/>
      <c r="M2032" s="20" t="s">
        <v>3572</v>
      </c>
      <c r="N2032" s="44" t="s">
        <v>21952</v>
      </c>
      <c r="O2032" s="22">
        <v>53.0</v>
      </c>
      <c r="P2032" s="28">
        <v>34.0</v>
      </c>
      <c r="Q2032" s="28">
        <v>20.0</v>
      </c>
      <c r="R2032" s="84"/>
      <c r="S2032" s="84"/>
      <c r="T2032" s="84"/>
      <c r="U2032" s="84"/>
      <c r="V2032" s="84"/>
      <c r="W2032" s="84"/>
      <c r="X2032" s="84"/>
      <c r="Y2032" s="84"/>
      <c r="Z2032" s="84"/>
      <c r="AA2032" s="84"/>
    </row>
    <row r="2033" ht="15.75" customHeight="1">
      <c r="A2033" s="14" t="s">
        <v>17</v>
      </c>
      <c r="B2033" s="15" t="s">
        <v>21288</v>
      </c>
      <c r="C2033" s="14" t="s">
        <v>21953</v>
      </c>
      <c r="D2033" s="14" t="s">
        <v>21954</v>
      </c>
      <c r="E2033" s="26" t="str">
        <f t="shared" si="28"/>
        <v>http://dx.doi.org/10.1109/TVCG.2010.145</v>
      </c>
      <c r="F2033" s="14">
        <v>1505.0</v>
      </c>
      <c r="G2033" s="14">
        <v>1514.0</v>
      </c>
      <c r="H2033" s="14" t="s">
        <v>17059</v>
      </c>
      <c r="I2033" s="19" t="s">
        <v>21955</v>
      </c>
      <c r="J2033" s="19" t="s">
        <v>21956</v>
      </c>
      <c r="K2033" s="19" t="s">
        <v>21957</v>
      </c>
      <c r="L2033" s="19" t="s">
        <v>21958</v>
      </c>
      <c r="M2033" s="20" t="s">
        <v>21959</v>
      </c>
      <c r="N2033" s="44" t="s">
        <v>21960</v>
      </c>
      <c r="O2033" s="22">
        <v>50.0</v>
      </c>
      <c r="P2033" s="28">
        <v>14.0</v>
      </c>
      <c r="Q2033" s="28">
        <v>41.0</v>
      </c>
      <c r="R2033" s="84"/>
      <c r="S2033" s="84"/>
      <c r="T2033" s="84"/>
      <c r="U2033" s="84"/>
      <c r="V2033" s="84"/>
      <c r="W2033" s="84"/>
      <c r="X2033" s="84"/>
      <c r="Y2033" s="84"/>
      <c r="Z2033" s="84"/>
      <c r="AA2033" s="84"/>
    </row>
    <row r="2034" ht="15.75" customHeight="1">
      <c r="A2034" s="14" t="s">
        <v>17</v>
      </c>
      <c r="B2034" s="15" t="s">
        <v>21288</v>
      </c>
      <c r="C2034" s="42" t="s">
        <v>21961</v>
      </c>
      <c r="D2034" s="14" t="s">
        <v>21962</v>
      </c>
      <c r="E2034" s="26" t="str">
        <f t="shared" si="28"/>
        <v>http://dx.doi.org/10.1109/TVCG.2010.146</v>
      </c>
      <c r="F2034" s="14">
        <v>1291.0</v>
      </c>
      <c r="G2034" s="14">
        <v>1300.0</v>
      </c>
      <c r="H2034" s="14" t="s">
        <v>17059</v>
      </c>
      <c r="I2034" s="19" t="s">
        <v>21963</v>
      </c>
      <c r="J2034" s="19" t="s">
        <v>21965</v>
      </c>
      <c r="K2034" s="19" t="s">
        <v>21965</v>
      </c>
      <c r="L2034" s="19" t="s">
        <v>21966</v>
      </c>
      <c r="M2034" s="20" t="s">
        <v>21967</v>
      </c>
      <c r="N2034" s="44" t="s">
        <v>21968</v>
      </c>
      <c r="O2034" s="22">
        <v>25.0</v>
      </c>
      <c r="P2034" s="28">
        <v>13.0</v>
      </c>
      <c r="Q2034" s="28">
        <v>16.0</v>
      </c>
      <c r="R2034" s="84"/>
      <c r="S2034" s="84"/>
      <c r="T2034" s="84"/>
      <c r="U2034" s="84"/>
      <c r="V2034" s="84"/>
      <c r="W2034" s="84"/>
      <c r="X2034" s="84"/>
      <c r="Y2034" s="84"/>
      <c r="Z2034" s="84"/>
      <c r="AA2034" s="84"/>
    </row>
    <row r="2035" ht="15.75" customHeight="1">
      <c r="A2035" s="14" t="s">
        <v>17</v>
      </c>
      <c r="B2035" s="15" t="s">
        <v>21288</v>
      </c>
      <c r="C2035" s="14" t="s">
        <v>21970</v>
      </c>
      <c r="D2035" s="14" t="s">
        <v>21971</v>
      </c>
      <c r="E2035" s="26" t="str">
        <f t="shared" si="28"/>
        <v>http://dx.doi.org/10.1109/TVCG.2010.147</v>
      </c>
      <c r="F2035" s="14">
        <v>1376.0</v>
      </c>
      <c r="G2035" s="14">
        <v>1385.0</v>
      </c>
      <c r="H2035" s="14" t="s">
        <v>17059</v>
      </c>
      <c r="I2035" s="19" t="s">
        <v>21972</v>
      </c>
      <c r="J2035" s="19" t="s">
        <v>21973</v>
      </c>
      <c r="K2035" s="19" t="s">
        <v>21974</v>
      </c>
      <c r="L2035" s="19" t="s">
        <v>21975</v>
      </c>
      <c r="M2035" s="20" t="s">
        <v>21976</v>
      </c>
      <c r="N2035" s="44" t="s">
        <v>21977</v>
      </c>
      <c r="O2035" s="22">
        <v>50.0</v>
      </c>
      <c r="P2035" s="28">
        <v>13.0</v>
      </c>
      <c r="Q2035" s="28">
        <v>40.0</v>
      </c>
      <c r="R2035" s="84"/>
      <c r="S2035" s="84"/>
      <c r="T2035" s="84"/>
      <c r="U2035" s="84"/>
      <c r="V2035" s="84"/>
      <c r="W2035" s="84"/>
      <c r="X2035" s="84"/>
      <c r="Y2035" s="84"/>
      <c r="Z2035" s="84"/>
      <c r="AA2035" s="84"/>
    </row>
    <row r="2036" ht="15.75" customHeight="1">
      <c r="A2036" s="14" t="s">
        <v>17</v>
      </c>
      <c r="B2036" s="15" t="s">
        <v>21288</v>
      </c>
      <c r="C2036" s="14" t="s">
        <v>21978</v>
      </c>
      <c r="D2036" s="14" t="s">
        <v>21979</v>
      </c>
      <c r="E2036" s="26" t="str">
        <f t="shared" si="28"/>
        <v>http://dx.doi.org/10.1109/TVCG.2010.148</v>
      </c>
      <c r="F2036" s="14">
        <v>1533.0</v>
      </c>
      <c r="G2036" s="14">
        <v>1540.0</v>
      </c>
      <c r="H2036" s="14" t="s">
        <v>17059</v>
      </c>
      <c r="I2036" s="19" t="s">
        <v>21982</v>
      </c>
      <c r="J2036" s="19" t="s">
        <v>21983</v>
      </c>
      <c r="K2036" s="19" t="s">
        <v>21985</v>
      </c>
      <c r="L2036" s="19" t="s">
        <v>20975</v>
      </c>
      <c r="M2036" s="20" t="s">
        <v>21986</v>
      </c>
      <c r="N2036" s="44" t="s">
        <v>21987</v>
      </c>
      <c r="O2036" s="22">
        <v>84.0</v>
      </c>
      <c r="P2036" s="28">
        <v>28.0</v>
      </c>
      <c r="Q2036" s="28">
        <v>38.0</v>
      </c>
      <c r="R2036" s="84"/>
      <c r="S2036" s="84"/>
      <c r="T2036" s="84"/>
      <c r="U2036" s="84"/>
      <c r="V2036" s="84"/>
      <c r="W2036" s="84"/>
      <c r="X2036" s="84"/>
      <c r="Y2036" s="84"/>
      <c r="Z2036" s="84"/>
      <c r="AA2036" s="84"/>
    </row>
    <row r="2037" ht="15.75" customHeight="1">
      <c r="A2037" s="14" t="s">
        <v>17</v>
      </c>
      <c r="B2037" s="15" t="s">
        <v>21288</v>
      </c>
      <c r="C2037" s="14" t="s">
        <v>21988</v>
      </c>
      <c r="D2037" s="14" t="s">
        <v>21989</v>
      </c>
      <c r="E2037" s="26" t="str">
        <f t="shared" si="28"/>
        <v>http://dx.doi.org/10.1109/TVCG.2010.151</v>
      </c>
      <c r="F2037" s="14">
        <v>1311.0</v>
      </c>
      <c r="G2037" s="14">
        <v>1318.0</v>
      </c>
      <c r="H2037" s="14" t="s">
        <v>17059</v>
      </c>
      <c r="I2037" s="19" t="s">
        <v>21990</v>
      </c>
      <c r="J2037" s="19" t="s">
        <v>21991</v>
      </c>
      <c r="K2037" s="19" t="s">
        <v>21992</v>
      </c>
      <c r="L2037" s="19" t="s">
        <v>21993</v>
      </c>
      <c r="M2037" s="20" t="s">
        <v>21994</v>
      </c>
      <c r="N2037" s="44" t="s">
        <v>21995</v>
      </c>
      <c r="O2037" s="22">
        <v>18.0</v>
      </c>
      <c r="P2037" s="28">
        <v>9.0</v>
      </c>
      <c r="Q2037" s="28">
        <v>33.0</v>
      </c>
      <c r="R2037" s="84"/>
      <c r="S2037" s="84"/>
      <c r="T2037" s="84"/>
      <c r="U2037" s="84"/>
      <c r="V2037" s="84"/>
      <c r="W2037" s="84"/>
      <c r="X2037" s="84"/>
      <c r="Y2037" s="84"/>
      <c r="Z2037" s="84"/>
      <c r="AA2037" s="84"/>
    </row>
    <row r="2038" ht="15.75" customHeight="1">
      <c r="A2038" s="14" t="s">
        <v>17</v>
      </c>
      <c r="B2038" s="15" t="s">
        <v>21288</v>
      </c>
      <c r="C2038" s="14" t="s">
        <v>21996</v>
      </c>
      <c r="D2038" s="14" t="s">
        <v>21997</v>
      </c>
      <c r="E2038" s="26" t="str">
        <f t="shared" si="28"/>
        <v>http://dx.doi.org/10.1109/TVCG.2010.152</v>
      </c>
      <c r="F2038" s="14">
        <v>1366.0</v>
      </c>
      <c r="G2038" s="14">
        <v>1375.0</v>
      </c>
      <c r="H2038" s="14" t="s">
        <v>17059</v>
      </c>
      <c r="I2038" s="19" t="s">
        <v>21999</v>
      </c>
      <c r="J2038" s="19" t="s">
        <v>22000</v>
      </c>
      <c r="K2038" s="19" t="s">
        <v>22001</v>
      </c>
      <c r="L2038" s="19" t="s">
        <v>21842</v>
      </c>
      <c r="M2038" s="20" t="s">
        <v>22002</v>
      </c>
      <c r="N2038" s="44" t="s">
        <v>22003</v>
      </c>
      <c r="O2038" s="22">
        <v>42.0</v>
      </c>
      <c r="P2038" s="28">
        <v>13.0</v>
      </c>
      <c r="Q2038" s="28">
        <v>51.0</v>
      </c>
      <c r="R2038" s="84"/>
      <c r="S2038" s="84"/>
      <c r="T2038" s="84"/>
      <c r="U2038" s="84"/>
      <c r="V2038" s="84"/>
      <c r="W2038" s="84"/>
      <c r="X2038" s="84"/>
      <c r="Y2038" s="84"/>
      <c r="Z2038" s="84"/>
      <c r="AA2038" s="84"/>
    </row>
    <row r="2039" ht="15.75" customHeight="1">
      <c r="A2039" s="14" t="s">
        <v>17</v>
      </c>
      <c r="B2039" s="15" t="s">
        <v>21288</v>
      </c>
      <c r="C2039" s="14" t="s">
        <v>22004</v>
      </c>
      <c r="D2039" s="14" t="s">
        <v>22005</v>
      </c>
      <c r="E2039" s="26" t="str">
        <f t="shared" si="28"/>
        <v>http://dx.doi.org/10.1109/TVCG.2010.153</v>
      </c>
      <c r="F2039" s="14">
        <v>1339.0</v>
      </c>
      <c r="G2039" s="14">
        <v>1347.0</v>
      </c>
      <c r="H2039" s="14" t="s">
        <v>17059</v>
      </c>
      <c r="I2039" s="19" t="s">
        <v>22006</v>
      </c>
      <c r="J2039" s="19" t="s">
        <v>22007</v>
      </c>
      <c r="K2039" s="19" t="s">
        <v>22008</v>
      </c>
      <c r="L2039" s="19" t="s">
        <v>22009</v>
      </c>
      <c r="M2039" s="20" t="s">
        <v>22010</v>
      </c>
      <c r="N2039" s="44" t="s">
        <v>22011</v>
      </c>
      <c r="O2039" s="22">
        <v>57.0</v>
      </c>
      <c r="P2039" s="28">
        <v>28.0</v>
      </c>
      <c r="Q2039" s="28">
        <v>33.0</v>
      </c>
      <c r="R2039" s="84"/>
      <c r="S2039" s="84"/>
      <c r="T2039" s="84"/>
      <c r="U2039" s="84"/>
      <c r="V2039" s="84"/>
      <c r="W2039" s="84"/>
      <c r="X2039" s="84"/>
      <c r="Y2039" s="84"/>
      <c r="Z2039" s="84"/>
      <c r="AA2039" s="84"/>
    </row>
    <row r="2040" ht="15.75" customHeight="1">
      <c r="A2040" s="14" t="s">
        <v>17</v>
      </c>
      <c r="B2040" s="15" t="s">
        <v>21288</v>
      </c>
      <c r="C2040" s="14" t="s">
        <v>22012</v>
      </c>
      <c r="D2040" s="14" t="s">
        <v>22013</v>
      </c>
      <c r="E2040" s="26" t="str">
        <f t="shared" si="28"/>
        <v>http://dx.doi.org/10.1109/TVCG.2010.155</v>
      </c>
      <c r="F2040" s="14">
        <v>1525.0</v>
      </c>
      <c r="G2040" s="14">
        <v>1532.0</v>
      </c>
      <c r="H2040" s="14" t="s">
        <v>17059</v>
      </c>
      <c r="I2040" s="19" t="s">
        <v>22014</v>
      </c>
      <c r="J2040" s="19" t="s">
        <v>22016</v>
      </c>
      <c r="K2040" s="19" t="s">
        <v>22017</v>
      </c>
      <c r="L2040" s="19" t="s">
        <v>22018</v>
      </c>
      <c r="M2040" s="20" t="s">
        <v>22019</v>
      </c>
      <c r="N2040" s="44" t="s">
        <v>22020</v>
      </c>
      <c r="O2040" s="22">
        <v>26.0</v>
      </c>
      <c r="P2040" s="28">
        <v>11.0</v>
      </c>
      <c r="Q2040" s="28">
        <v>23.0</v>
      </c>
      <c r="R2040" s="84"/>
      <c r="S2040" s="84"/>
      <c r="T2040" s="84"/>
      <c r="U2040" s="84"/>
      <c r="V2040" s="84"/>
      <c r="W2040" s="84"/>
      <c r="X2040" s="84"/>
      <c r="Y2040" s="84"/>
      <c r="Z2040" s="84"/>
      <c r="AA2040" s="84"/>
    </row>
    <row r="2041" ht="15.75" customHeight="1">
      <c r="A2041" s="14" t="s">
        <v>17</v>
      </c>
      <c r="B2041" s="15" t="s">
        <v>21288</v>
      </c>
      <c r="C2041" s="14" t="s">
        <v>22021</v>
      </c>
      <c r="D2041" s="14" t="s">
        <v>22022</v>
      </c>
      <c r="E2041" s="26" t="str">
        <f t="shared" si="28"/>
        <v>http://dx.doi.org/10.1109/TVCG.2010.156</v>
      </c>
      <c r="F2041" s="14">
        <v>1541.0</v>
      </c>
      <c r="G2041" s="14">
        <v>1550.0</v>
      </c>
      <c r="H2041" s="14" t="s">
        <v>17059</v>
      </c>
      <c r="I2041" s="19" t="s">
        <v>22023</v>
      </c>
      <c r="J2041" s="19" t="s">
        <v>22024</v>
      </c>
      <c r="K2041" s="19" t="s">
        <v>22024</v>
      </c>
      <c r="L2041" s="19" t="s">
        <v>19192</v>
      </c>
      <c r="M2041" s="20" t="s">
        <v>22025</v>
      </c>
      <c r="N2041" s="44" t="s">
        <v>22026</v>
      </c>
      <c r="O2041" s="22">
        <v>50.0</v>
      </c>
      <c r="P2041" s="28">
        <v>18.0</v>
      </c>
      <c r="Q2041" s="28">
        <v>22.0</v>
      </c>
      <c r="R2041" s="84"/>
      <c r="S2041" s="84"/>
      <c r="T2041" s="84"/>
      <c r="U2041" s="84"/>
      <c r="V2041" s="84"/>
      <c r="W2041" s="84"/>
      <c r="X2041" s="84"/>
      <c r="Y2041" s="84"/>
      <c r="Z2041" s="84"/>
      <c r="AA2041" s="84"/>
    </row>
    <row r="2042" ht="15.75" customHeight="1">
      <c r="A2042" s="14" t="s">
        <v>17</v>
      </c>
      <c r="B2042" s="15" t="s">
        <v>21288</v>
      </c>
      <c r="C2042" s="14" t="s">
        <v>22027</v>
      </c>
      <c r="D2042" s="14" t="s">
        <v>22028</v>
      </c>
      <c r="E2042" s="26" t="str">
        <f t="shared" si="28"/>
        <v>http://dx.doi.org/10.1109/TVCG.2010.157</v>
      </c>
      <c r="F2042" s="14">
        <v>1613.0</v>
      </c>
      <c r="G2042" s="14">
        <v>1622.0</v>
      </c>
      <c r="H2042" s="14" t="s">
        <v>17059</v>
      </c>
      <c r="I2042" s="19" t="s">
        <v>22030</v>
      </c>
      <c r="J2042" s="19" t="s">
        <v>22031</v>
      </c>
      <c r="K2042" s="19" t="s">
        <v>22032</v>
      </c>
      <c r="L2042" s="19" t="s">
        <v>22033</v>
      </c>
      <c r="M2042" s="20" t="s">
        <v>22034</v>
      </c>
      <c r="N2042" s="44" t="s">
        <v>22035</v>
      </c>
      <c r="O2042" s="22">
        <v>76.0</v>
      </c>
      <c r="P2042" s="28">
        <v>24.0</v>
      </c>
      <c r="Q2042" s="28">
        <v>55.0</v>
      </c>
      <c r="R2042" s="84"/>
      <c r="S2042" s="84"/>
      <c r="T2042" s="84"/>
      <c r="U2042" s="84"/>
      <c r="V2042" s="84"/>
      <c r="W2042" s="84"/>
      <c r="X2042" s="84"/>
      <c r="Y2042" s="84"/>
      <c r="Z2042" s="84"/>
      <c r="AA2042" s="84"/>
    </row>
    <row r="2043" ht="15.75" customHeight="1">
      <c r="A2043" s="14" t="s">
        <v>17</v>
      </c>
      <c r="B2043" s="15" t="s">
        <v>21288</v>
      </c>
      <c r="C2043" s="14" t="s">
        <v>22036</v>
      </c>
      <c r="D2043" s="14" t="s">
        <v>22037</v>
      </c>
      <c r="E2043" s="26" t="str">
        <f t="shared" si="28"/>
        <v>http://dx.doi.org/10.1109/TVCG.2010.160</v>
      </c>
      <c r="F2043" s="14">
        <v>1495.0</v>
      </c>
      <c r="G2043" s="14">
        <v>1504.0</v>
      </c>
      <c r="H2043" s="14" t="s">
        <v>17059</v>
      </c>
      <c r="I2043" s="19" t="s">
        <v>22038</v>
      </c>
      <c r="J2043" s="19" t="s">
        <v>22039</v>
      </c>
      <c r="K2043" s="19" t="s">
        <v>22040</v>
      </c>
      <c r="L2043" s="19" t="s">
        <v>22041</v>
      </c>
      <c r="M2043" s="20" t="s">
        <v>22043</v>
      </c>
      <c r="N2043" s="44" t="s">
        <v>22044</v>
      </c>
      <c r="O2043" s="22">
        <v>50.0</v>
      </c>
      <c r="P2043" s="28">
        <v>6.0</v>
      </c>
      <c r="Q2043" s="28">
        <v>37.0</v>
      </c>
      <c r="R2043" s="84"/>
      <c r="S2043" s="84"/>
      <c r="T2043" s="84"/>
      <c r="U2043" s="84"/>
      <c r="V2043" s="84"/>
      <c r="W2043" s="84"/>
      <c r="X2043" s="84"/>
      <c r="Y2043" s="84"/>
      <c r="Z2043" s="84"/>
      <c r="AA2043" s="84"/>
    </row>
    <row r="2044" ht="15.75" customHeight="1">
      <c r="A2044" s="14" t="s">
        <v>17</v>
      </c>
      <c r="B2044" s="15" t="s">
        <v>21288</v>
      </c>
      <c r="C2044" s="14" t="s">
        <v>22045</v>
      </c>
      <c r="D2044" s="14" t="s">
        <v>22046</v>
      </c>
      <c r="E2044" s="26" t="str">
        <f t="shared" si="28"/>
        <v>http://dx.doi.org/10.1109/TVCG.2010.166</v>
      </c>
      <c r="F2044" s="14">
        <v>1329.0</v>
      </c>
      <c r="G2044" s="14">
        <v>1338.0</v>
      </c>
      <c r="H2044" s="14" t="s">
        <v>17059</v>
      </c>
      <c r="I2044" s="19" t="s">
        <v>22047</v>
      </c>
      <c r="J2044" s="19" t="s">
        <v>22048</v>
      </c>
      <c r="K2044" s="19" t="s">
        <v>22048</v>
      </c>
      <c r="L2044" s="19" t="s">
        <v>22049</v>
      </c>
      <c r="M2044" s="20" t="s">
        <v>22050</v>
      </c>
      <c r="N2044" s="44" t="s">
        <v>22051</v>
      </c>
      <c r="O2044" s="22">
        <v>50.0</v>
      </c>
      <c r="P2044" s="28">
        <v>23.0</v>
      </c>
      <c r="Q2044" s="28">
        <v>51.0</v>
      </c>
      <c r="R2044" s="85" t="s">
        <v>19037</v>
      </c>
      <c r="S2044" s="84"/>
      <c r="T2044" s="84"/>
      <c r="U2044" s="84"/>
      <c r="V2044" s="84"/>
      <c r="W2044" s="84"/>
      <c r="X2044" s="84"/>
      <c r="Y2044" s="84"/>
      <c r="Z2044" s="84"/>
      <c r="AA2044" s="84"/>
    </row>
    <row r="2045" ht="15.75" customHeight="1">
      <c r="A2045" s="14" t="s">
        <v>17</v>
      </c>
      <c r="B2045" s="15" t="s">
        <v>21288</v>
      </c>
      <c r="C2045" s="14" t="s">
        <v>22155</v>
      </c>
      <c r="D2045" s="14" t="s">
        <v>22156</v>
      </c>
      <c r="E2045" s="26" t="str">
        <f t="shared" si="28"/>
        <v>http://dx.doi.org/10.1109/TVCG.2010.168</v>
      </c>
      <c r="F2045" s="14">
        <v>1386.0</v>
      </c>
      <c r="G2045" s="14">
        <v>1395.0</v>
      </c>
      <c r="H2045" s="14" t="s">
        <v>17059</v>
      </c>
      <c r="I2045" s="19" t="s">
        <v>22157</v>
      </c>
      <c r="J2045" s="19" t="s">
        <v>22158</v>
      </c>
      <c r="K2045" s="19" t="s">
        <v>22159</v>
      </c>
      <c r="L2045" s="19" t="s">
        <v>22160</v>
      </c>
      <c r="M2045" s="20" t="s">
        <v>22161</v>
      </c>
      <c r="N2045" s="44" t="s">
        <v>22162</v>
      </c>
      <c r="O2045" s="22">
        <v>50.0</v>
      </c>
      <c r="P2045" s="28">
        <v>16.0</v>
      </c>
      <c r="Q2045" s="28">
        <v>39.0</v>
      </c>
      <c r="R2045" s="84"/>
      <c r="S2045" s="84"/>
      <c r="T2045" s="84"/>
      <c r="U2045" s="84"/>
      <c r="V2045" s="84"/>
      <c r="W2045" s="84"/>
      <c r="X2045" s="84"/>
      <c r="Y2045" s="84"/>
      <c r="Z2045" s="84"/>
      <c r="AA2045" s="84"/>
    </row>
    <row r="2046" ht="15.75" customHeight="1">
      <c r="A2046" s="14" t="s">
        <v>17</v>
      </c>
      <c r="B2046" s="15" t="s">
        <v>21288</v>
      </c>
      <c r="C2046" s="14" t="s">
        <v>22163</v>
      </c>
      <c r="D2046" s="14" t="s">
        <v>22164</v>
      </c>
      <c r="E2046" s="26" t="str">
        <f t="shared" si="28"/>
        <v>http://dx.doi.org/10.1109/TVCG.2010.169</v>
      </c>
      <c r="F2046" s="14">
        <v>1569.0</v>
      </c>
      <c r="G2046" s="14">
        <v>1577.0</v>
      </c>
      <c r="H2046" s="14" t="s">
        <v>17059</v>
      </c>
      <c r="I2046" s="19" t="s">
        <v>22165</v>
      </c>
      <c r="J2046" s="19" t="s">
        <v>22166</v>
      </c>
      <c r="K2046" s="19" t="s">
        <v>22167</v>
      </c>
      <c r="L2046" s="19" t="s">
        <v>21026</v>
      </c>
      <c r="M2046" s="20" t="s">
        <v>22168</v>
      </c>
      <c r="N2046" s="44" t="s">
        <v>22169</v>
      </c>
      <c r="O2046" s="22">
        <v>28.0</v>
      </c>
      <c r="P2046" s="28">
        <v>12.0</v>
      </c>
      <c r="Q2046" s="28">
        <v>52.0</v>
      </c>
      <c r="R2046" s="84"/>
      <c r="S2046" s="84"/>
      <c r="T2046" s="84"/>
      <c r="U2046" s="84"/>
      <c r="V2046" s="84"/>
      <c r="W2046" s="84"/>
      <c r="X2046" s="84"/>
      <c r="Y2046" s="84"/>
      <c r="Z2046" s="84"/>
      <c r="AA2046" s="84"/>
    </row>
    <row r="2047" ht="15.75" customHeight="1">
      <c r="A2047" s="14" t="s">
        <v>17</v>
      </c>
      <c r="B2047" s="15" t="s">
        <v>21288</v>
      </c>
      <c r="C2047" s="14" t="s">
        <v>22170</v>
      </c>
      <c r="D2047" s="14" t="s">
        <v>22171</v>
      </c>
      <c r="E2047" s="26" t="str">
        <f t="shared" si="28"/>
        <v>http://dx.doi.org/10.1109/TVCG.2010.170</v>
      </c>
      <c r="F2047" s="14">
        <v>1560.0</v>
      </c>
      <c r="G2047" s="14">
        <v>1568.0</v>
      </c>
      <c r="H2047" s="14" t="s">
        <v>17059</v>
      </c>
      <c r="I2047" s="19" t="s">
        <v>22172</v>
      </c>
      <c r="J2047" s="19" t="s">
        <v>22173</v>
      </c>
      <c r="K2047" s="19" t="s">
        <v>22174</v>
      </c>
      <c r="L2047" s="18"/>
      <c r="M2047" s="20" t="s">
        <v>22175</v>
      </c>
      <c r="N2047" s="44" t="s">
        <v>22176</v>
      </c>
      <c r="O2047" s="22">
        <v>43.0</v>
      </c>
      <c r="P2047" s="28">
        <v>27.0</v>
      </c>
      <c r="Q2047" s="28">
        <v>46.0</v>
      </c>
      <c r="R2047" s="84"/>
      <c r="S2047" s="84"/>
      <c r="T2047" s="84"/>
      <c r="U2047" s="84"/>
      <c r="V2047" s="84"/>
      <c r="W2047" s="84"/>
      <c r="X2047" s="84"/>
      <c r="Y2047" s="84"/>
      <c r="Z2047" s="84"/>
      <c r="AA2047" s="84"/>
    </row>
    <row r="2048" ht="15.75" customHeight="1">
      <c r="A2048" s="14" t="s">
        <v>17</v>
      </c>
      <c r="B2048" s="15" t="s">
        <v>21288</v>
      </c>
      <c r="C2048" s="14" t="s">
        <v>22177</v>
      </c>
      <c r="D2048" s="14" t="s">
        <v>22178</v>
      </c>
      <c r="E2048" s="26" t="str">
        <f t="shared" si="28"/>
        <v>http://dx.doi.org/10.1109/TVCG.2010.171</v>
      </c>
      <c r="F2048" s="14">
        <v>1449.0</v>
      </c>
      <c r="G2048" s="14">
        <v>1457.0</v>
      </c>
      <c r="H2048" s="14" t="s">
        <v>17059</v>
      </c>
      <c r="I2048" s="19" t="s">
        <v>22179</v>
      </c>
      <c r="J2048" s="19" t="s">
        <v>22180</v>
      </c>
      <c r="K2048" s="19" t="s">
        <v>22180</v>
      </c>
      <c r="L2048" s="19" t="s">
        <v>22181</v>
      </c>
      <c r="M2048" s="20" t="s">
        <v>22182</v>
      </c>
      <c r="N2048" s="44" t="s">
        <v>22183</v>
      </c>
      <c r="O2048" s="22">
        <v>39.0</v>
      </c>
      <c r="P2048" s="28">
        <v>17.0</v>
      </c>
      <c r="Q2048" s="28">
        <v>20.0</v>
      </c>
      <c r="R2048" s="84"/>
      <c r="S2048" s="84"/>
      <c r="T2048" s="84"/>
      <c r="U2048" s="84"/>
      <c r="V2048" s="84"/>
      <c r="W2048" s="84"/>
      <c r="X2048" s="84"/>
      <c r="Y2048" s="84"/>
      <c r="Z2048" s="84"/>
      <c r="AA2048" s="84"/>
    </row>
    <row r="2049" ht="15.75" customHeight="1">
      <c r="A2049" s="14" t="s">
        <v>17</v>
      </c>
      <c r="B2049" s="15" t="s">
        <v>21288</v>
      </c>
      <c r="C2049" s="14" t="s">
        <v>22184</v>
      </c>
      <c r="D2049" s="14" t="s">
        <v>22185</v>
      </c>
      <c r="E2049" s="26" t="str">
        <f t="shared" si="28"/>
        <v>http://dx.doi.org/10.1109/TVCG.2010.172</v>
      </c>
      <c r="F2049" s="14">
        <v>1441.0</v>
      </c>
      <c r="G2049" s="14">
        <v>1448.0</v>
      </c>
      <c r="H2049" s="14" t="s">
        <v>17059</v>
      </c>
      <c r="I2049" s="19" t="s">
        <v>22186</v>
      </c>
      <c r="J2049" s="19" t="s">
        <v>22187</v>
      </c>
      <c r="K2049" s="19" t="s">
        <v>22188</v>
      </c>
      <c r="L2049" s="19" t="s">
        <v>22189</v>
      </c>
      <c r="M2049" s="20" t="s">
        <v>22190</v>
      </c>
      <c r="N2049" s="44" t="s">
        <v>22191</v>
      </c>
      <c r="O2049" s="22">
        <v>50.0</v>
      </c>
      <c r="P2049" s="28">
        <v>14.0</v>
      </c>
      <c r="Q2049" s="28">
        <v>31.0</v>
      </c>
      <c r="R2049" s="84"/>
      <c r="S2049" s="84"/>
      <c r="T2049" s="84"/>
      <c r="U2049" s="84"/>
      <c r="V2049" s="84"/>
      <c r="W2049" s="84"/>
      <c r="X2049" s="84"/>
      <c r="Y2049" s="84"/>
      <c r="Z2049" s="84"/>
      <c r="AA2049" s="84"/>
    </row>
    <row r="2050" ht="15.75" customHeight="1">
      <c r="A2050" s="14" t="s">
        <v>17</v>
      </c>
      <c r="B2050" s="15" t="s">
        <v>21288</v>
      </c>
      <c r="C2050" s="14" t="s">
        <v>22192</v>
      </c>
      <c r="D2050" s="14" t="s">
        <v>22193</v>
      </c>
      <c r="E2050" s="26" t="str">
        <f t="shared" si="28"/>
        <v>http://dx.doi.org/10.1109/TVCG.2010.173</v>
      </c>
      <c r="F2050" s="14">
        <v>1319.0</v>
      </c>
      <c r="G2050" s="14">
        <v>1328.0</v>
      </c>
      <c r="H2050" s="14" t="s">
        <v>17059</v>
      </c>
      <c r="I2050" s="19" t="s">
        <v>22194</v>
      </c>
      <c r="J2050" s="19" t="s">
        <v>22195</v>
      </c>
      <c r="K2050" s="19" t="s">
        <v>22195</v>
      </c>
      <c r="L2050" s="19" t="s">
        <v>22196</v>
      </c>
      <c r="M2050" s="20" t="s">
        <v>22197</v>
      </c>
      <c r="N2050" s="44" t="s">
        <v>22198</v>
      </c>
      <c r="O2050" s="22">
        <v>68.0</v>
      </c>
      <c r="P2050" s="28">
        <v>26.0</v>
      </c>
      <c r="Q2050" s="28">
        <v>36.0</v>
      </c>
      <c r="R2050" s="84"/>
      <c r="S2050" s="84"/>
      <c r="T2050" s="84"/>
      <c r="U2050" s="84"/>
      <c r="V2050" s="84"/>
      <c r="W2050" s="84"/>
      <c r="X2050" s="84"/>
      <c r="Y2050" s="84"/>
      <c r="Z2050" s="84"/>
      <c r="AA2050" s="84"/>
    </row>
    <row r="2051" ht="15.75" customHeight="1">
      <c r="A2051" s="14" t="s">
        <v>17</v>
      </c>
      <c r="B2051" s="15" t="s">
        <v>21288</v>
      </c>
      <c r="C2051" s="14" t="s">
        <v>22199</v>
      </c>
      <c r="D2051" s="14" t="s">
        <v>22200</v>
      </c>
      <c r="E2051" s="26" t="str">
        <f t="shared" si="28"/>
        <v>http://dx.doi.org/10.1109/TVCG.2010.181</v>
      </c>
      <c r="F2051" s="14">
        <v>1421.0</v>
      </c>
      <c r="G2051" s="14">
        <v>1430.0</v>
      </c>
      <c r="H2051" s="14" t="s">
        <v>17059</v>
      </c>
      <c r="I2051" s="19" t="s">
        <v>22201</v>
      </c>
      <c r="J2051" s="19" t="s">
        <v>22202</v>
      </c>
      <c r="K2051" s="19" t="s">
        <v>22203</v>
      </c>
      <c r="L2051" s="19" t="s">
        <v>22204</v>
      </c>
      <c r="M2051" s="20" t="s">
        <v>22205</v>
      </c>
      <c r="N2051" s="44" t="s">
        <v>22206</v>
      </c>
      <c r="O2051" s="22">
        <v>69.0</v>
      </c>
      <c r="P2051" s="28">
        <v>101.0</v>
      </c>
      <c r="Q2051" s="28">
        <v>58.0</v>
      </c>
      <c r="R2051" s="84"/>
      <c r="S2051" s="84"/>
      <c r="T2051" s="84"/>
      <c r="U2051" s="84"/>
      <c r="V2051" s="84"/>
      <c r="W2051" s="84"/>
      <c r="X2051" s="84"/>
      <c r="Y2051" s="84"/>
      <c r="Z2051" s="84"/>
      <c r="AA2051" s="84"/>
    </row>
    <row r="2052" ht="15.75" customHeight="1">
      <c r="A2052" s="14" t="s">
        <v>17</v>
      </c>
      <c r="B2052" s="15" t="s">
        <v>21288</v>
      </c>
      <c r="C2052" s="14" t="s">
        <v>22207</v>
      </c>
      <c r="D2052" s="14" t="s">
        <v>22208</v>
      </c>
      <c r="E2052" s="26" t="str">
        <f t="shared" si="28"/>
        <v>http://dx.doi.org/10.1109/TVCG.2010.182</v>
      </c>
      <c r="F2052" s="14">
        <v>1198.0</v>
      </c>
      <c r="G2052" s="14">
        <v>1205.0</v>
      </c>
      <c r="H2052" s="14" t="s">
        <v>17059</v>
      </c>
      <c r="I2052" s="19" t="s">
        <v>22209</v>
      </c>
      <c r="J2052" s="19" t="s">
        <v>22210</v>
      </c>
      <c r="K2052" s="19" t="s">
        <v>22210</v>
      </c>
      <c r="L2052" s="19" t="s">
        <v>22211</v>
      </c>
      <c r="M2052" s="20" t="s">
        <v>22212</v>
      </c>
      <c r="N2052" s="44" t="s">
        <v>22213</v>
      </c>
      <c r="O2052" s="22">
        <v>50.0</v>
      </c>
      <c r="P2052" s="28">
        <v>14.0</v>
      </c>
      <c r="Q2052" s="28">
        <v>20.0</v>
      </c>
      <c r="R2052" s="84"/>
      <c r="S2052" s="84"/>
      <c r="T2052" s="84"/>
      <c r="U2052" s="84"/>
      <c r="V2052" s="84"/>
      <c r="W2052" s="84"/>
      <c r="X2052" s="84"/>
      <c r="Y2052" s="84"/>
      <c r="Z2052" s="84"/>
      <c r="AA2052" s="84"/>
    </row>
    <row r="2053" ht="15.75" customHeight="1">
      <c r="A2053" s="14" t="s">
        <v>17</v>
      </c>
      <c r="B2053" s="15" t="s">
        <v>21288</v>
      </c>
      <c r="C2053" s="14" t="s">
        <v>22214</v>
      </c>
      <c r="D2053" s="14" t="s">
        <v>22215</v>
      </c>
      <c r="E2053" s="26" t="str">
        <f t="shared" si="28"/>
        <v>http://dx.doi.org/10.1109/TVCG.2010.187</v>
      </c>
      <c r="F2053" s="14">
        <v>1487.0</v>
      </c>
      <c r="G2053" s="14">
        <v>1494.0</v>
      </c>
      <c r="H2053" s="14" t="s">
        <v>17059</v>
      </c>
      <c r="I2053" s="19" t="s">
        <v>22216</v>
      </c>
      <c r="J2053" s="19" t="s">
        <v>22217</v>
      </c>
      <c r="K2053" s="19" t="s">
        <v>22218</v>
      </c>
      <c r="L2053" s="19" t="s">
        <v>22219</v>
      </c>
      <c r="M2053" s="20" t="s">
        <v>22220</v>
      </c>
      <c r="N2053" s="44" t="s">
        <v>22221</v>
      </c>
      <c r="O2053" s="22">
        <v>18.0</v>
      </c>
      <c r="P2053" s="28">
        <v>8.0</v>
      </c>
      <c r="Q2053" s="28">
        <v>21.0</v>
      </c>
      <c r="R2053" s="84"/>
      <c r="S2053" s="84"/>
      <c r="T2053" s="84"/>
      <c r="U2053" s="84"/>
      <c r="V2053" s="84"/>
      <c r="W2053" s="84"/>
      <c r="X2053" s="84"/>
      <c r="Y2053" s="84"/>
      <c r="Z2053" s="84"/>
      <c r="AA2053" s="84"/>
    </row>
    <row r="2054" ht="15.75" customHeight="1">
      <c r="A2054" s="14" t="s">
        <v>17</v>
      </c>
      <c r="B2054" s="15" t="s">
        <v>21288</v>
      </c>
      <c r="C2054" s="14" t="s">
        <v>22222</v>
      </c>
      <c r="D2054" s="14" t="s">
        <v>22223</v>
      </c>
      <c r="E2054" s="26" t="str">
        <f t="shared" si="28"/>
        <v>http://dx.doi.org/10.1109/TVCG.2010.189</v>
      </c>
      <c r="F2054" s="14">
        <v>1633.0</v>
      </c>
      <c r="G2054" s="14">
        <v>1641.0</v>
      </c>
      <c r="H2054" s="14" t="s">
        <v>17059</v>
      </c>
      <c r="I2054" s="19" t="s">
        <v>22224</v>
      </c>
      <c r="J2054" s="19" t="s">
        <v>22225</v>
      </c>
      <c r="K2054" s="19" t="s">
        <v>22225</v>
      </c>
      <c r="L2054" s="18"/>
      <c r="M2054" s="20" t="s">
        <v>22226</v>
      </c>
      <c r="N2054" s="44" t="s">
        <v>22227</v>
      </c>
      <c r="O2054" s="22">
        <v>50.0</v>
      </c>
      <c r="P2054" s="28">
        <v>7.0</v>
      </c>
      <c r="Q2054" s="28">
        <v>34.0</v>
      </c>
      <c r="R2054" s="84"/>
      <c r="S2054" s="84"/>
      <c r="T2054" s="84"/>
      <c r="U2054" s="84"/>
      <c r="V2054" s="84"/>
      <c r="W2054" s="84"/>
      <c r="X2054" s="84"/>
      <c r="Y2054" s="84"/>
      <c r="Z2054" s="84"/>
      <c r="AA2054" s="84"/>
    </row>
    <row r="2055" ht="15.75" customHeight="1">
      <c r="A2055" s="14" t="s">
        <v>17</v>
      </c>
      <c r="B2055" s="15" t="s">
        <v>21288</v>
      </c>
      <c r="C2055" s="14" t="s">
        <v>22228</v>
      </c>
      <c r="D2055" s="14" t="s">
        <v>22229</v>
      </c>
      <c r="E2055" s="26" t="str">
        <f t="shared" si="28"/>
        <v>http://dx.doi.org/10.1109/TVCG.2010.190</v>
      </c>
      <c r="F2055" s="14">
        <v>1468.0</v>
      </c>
      <c r="G2055" s="14">
        <v>1476.0</v>
      </c>
      <c r="H2055" s="14" t="s">
        <v>17059</v>
      </c>
      <c r="I2055" s="19" t="s">
        <v>22230</v>
      </c>
      <c r="J2055" s="19" t="s">
        <v>22231</v>
      </c>
      <c r="K2055" s="19" t="s">
        <v>22232</v>
      </c>
      <c r="L2055" s="19" t="s">
        <v>22233</v>
      </c>
      <c r="M2055" s="20" t="s">
        <v>22234</v>
      </c>
      <c r="N2055" s="44" t="s">
        <v>22235</v>
      </c>
      <c r="O2055" s="22">
        <v>86.0</v>
      </c>
      <c r="P2055" s="28">
        <v>46.0</v>
      </c>
      <c r="Q2055" s="28">
        <v>41.0</v>
      </c>
      <c r="R2055" s="84"/>
      <c r="S2055" s="84"/>
      <c r="T2055" s="84"/>
      <c r="U2055" s="84"/>
      <c r="V2055" s="84"/>
      <c r="W2055" s="84"/>
      <c r="X2055" s="84"/>
      <c r="Y2055" s="84"/>
      <c r="Z2055" s="84"/>
      <c r="AA2055" s="84"/>
    </row>
    <row r="2056" ht="15.75" customHeight="1">
      <c r="A2056" s="14" t="s">
        <v>17</v>
      </c>
      <c r="B2056" s="15" t="s">
        <v>21288</v>
      </c>
      <c r="C2056" s="14" t="s">
        <v>22236</v>
      </c>
      <c r="D2056" s="14" t="s">
        <v>22237</v>
      </c>
      <c r="E2056" s="26" t="str">
        <f t="shared" si="28"/>
        <v>http://dx.doi.org/10.1109/TVCG.2010.192</v>
      </c>
      <c r="F2056" s="14">
        <v>1413.0</v>
      </c>
      <c r="G2056" s="14">
        <v>1420.0</v>
      </c>
      <c r="H2056" s="14" t="s">
        <v>17059</v>
      </c>
      <c r="I2056" s="19" t="s">
        <v>22238</v>
      </c>
      <c r="J2056" s="19" t="s">
        <v>22239</v>
      </c>
      <c r="K2056" s="19" t="s">
        <v>22240</v>
      </c>
      <c r="L2056" s="19" t="s">
        <v>22241</v>
      </c>
      <c r="M2056" s="20" t="s">
        <v>22242</v>
      </c>
      <c r="N2056" s="44" t="s">
        <v>22243</v>
      </c>
      <c r="O2056" s="22">
        <v>24.0</v>
      </c>
      <c r="P2056" s="28">
        <v>10.0</v>
      </c>
      <c r="Q2056" s="28">
        <v>36.0</v>
      </c>
      <c r="R2056" s="84"/>
      <c r="S2056" s="84"/>
      <c r="T2056" s="84"/>
      <c r="U2056" s="84"/>
      <c r="V2056" s="84"/>
      <c r="W2056" s="84"/>
      <c r="X2056" s="84"/>
      <c r="Y2056" s="84"/>
      <c r="Z2056" s="84"/>
      <c r="AA2056" s="84"/>
    </row>
    <row r="2057" ht="15.75" customHeight="1">
      <c r="A2057" s="14" t="s">
        <v>17</v>
      </c>
      <c r="B2057" s="15" t="s">
        <v>21288</v>
      </c>
      <c r="C2057" s="14" t="s">
        <v>22244</v>
      </c>
      <c r="D2057" s="14" t="s">
        <v>22245</v>
      </c>
      <c r="E2057" s="26" t="str">
        <f t="shared" si="28"/>
        <v>http://dx.doi.org/10.1109/TVCG.2010.195</v>
      </c>
      <c r="F2057" s="14">
        <v>1301.0</v>
      </c>
      <c r="G2057" s="14">
        <v>1310.0</v>
      </c>
      <c r="H2057" s="14" t="s">
        <v>17059</v>
      </c>
      <c r="I2057" s="19" t="s">
        <v>22246</v>
      </c>
      <c r="J2057" s="19" t="s">
        <v>22247</v>
      </c>
      <c r="K2057" s="19" t="s">
        <v>22248</v>
      </c>
      <c r="L2057" s="19" t="s">
        <v>22249</v>
      </c>
      <c r="M2057" s="20" t="s">
        <v>22250</v>
      </c>
      <c r="N2057" s="44" t="s">
        <v>22251</v>
      </c>
      <c r="O2057" s="22">
        <v>50.0</v>
      </c>
      <c r="P2057" s="28">
        <v>13.0</v>
      </c>
      <c r="Q2057" s="28">
        <v>39.0</v>
      </c>
      <c r="R2057" s="84"/>
      <c r="S2057" s="84"/>
      <c r="T2057" s="84"/>
      <c r="U2057" s="84"/>
      <c r="V2057" s="84"/>
      <c r="W2057" s="84"/>
      <c r="X2057" s="84"/>
      <c r="Y2057" s="84"/>
      <c r="Z2057" s="84"/>
      <c r="AA2057" s="84"/>
    </row>
    <row r="2058" ht="15.75" customHeight="1">
      <c r="A2058" s="14" t="s">
        <v>17</v>
      </c>
      <c r="B2058" s="15" t="s">
        <v>21288</v>
      </c>
      <c r="C2058" s="14" t="s">
        <v>22252</v>
      </c>
      <c r="D2058" s="14" t="s">
        <v>22253</v>
      </c>
      <c r="E2058" s="26" t="str">
        <f t="shared" si="28"/>
        <v>http://dx.doi.org/10.1109/TVCG.2010.196</v>
      </c>
      <c r="F2058" s="14">
        <v>1243.0</v>
      </c>
      <c r="G2058" s="14">
        <v>1250.0</v>
      </c>
      <c r="H2058" s="14" t="s">
        <v>17059</v>
      </c>
      <c r="I2058" s="19" t="s">
        <v>22254</v>
      </c>
      <c r="J2058" s="19" t="s">
        <v>22255</v>
      </c>
      <c r="K2058" s="19" t="s">
        <v>22256</v>
      </c>
      <c r="L2058" s="19" t="s">
        <v>22257</v>
      </c>
      <c r="M2058" s="20" t="s">
        <v>5858</v>
      </c>
      <c r="N2058" s="44" t="s">
        <v>22258</v>
      </c>
      <c r="O2058" s="22">
        <v>12.0</v>
      </c>
      <c r="P2058" s="28">
        <v>7.0</v>
      </c>
      <c r="Q2058" s="28">
        <v>31.0</v>
      </c>
      <c r="R2058" s="84"/>
      <c r="S2058" s="84"/>
      <c r="T2058" s="84"/>
      <c r="U2058" s="84"/>
      <c r="V2058" s="84"/>
      <c r="W2058" s="84"/>
      <c r="X2058" s="84"/>
      <c r="Y2058" s="84"/>
      <c r="Z2058" s="84"/>
      <c r="AA2058" s="84"/>
    </row>
    <row r="2059" ht="15.75" customHeight="1">
      <c r="A2059" s="14" t="s">
        <v>17</v>
      </c>
      <c r="B2059" s="15" t="s">
        <v>21288</v>
      </c>
      <c r="C2059" s="14" t="s">
        <v>22259</v>
      </c>
      <c r="D2059" s="14" t="s">
        <v>22260</v>
      </c>
      <c r="E2059" s="26" t="str">
        <f t="shared" si="28"/>
        <v>http://dx.doi.org/10.1109/TVCG.2010.198</v>
      </c>
      <c r="F2059" s="14">
        <v>1225.0</v>
      </c>
      <c r="G2059" s="14">
        <v>1234.0</v>
      </c>
      <c r="H2059" s="14" t="s">
        <v>17059</v>
      </c>
      <c r="I2059" s="19" t="s">
        <v>22261</v>
      </c>
      <c r="J2059" s="19" t="s">
        <v>22262</v>
      </c>
      <c r="K2059" s="19" t="s">
        <v>22262</v>
      </c>
      <c r="L2059" s="19" t="s">
        <v>22263</v>
      </c>
      <c r="M2059" s="20" t="s">
        <v>22264</v>
      </c>
      <c r="N2059" s="44" t="s">
        <v>22265</v>
      </c>
      <c r="O2059" s="22">
        <v>69.0</v>
      </c>
      <c r="P2059" s="28">
        <v>32.0</v>
      </c>
      <c r="Q2059" s="28">
        <v>38.0</v>
      </c>
      <c r="R2059" s="85" t="s">
        <v>106</v>
      </c>
      <c r="S2059" s="84"/>
      <c r="T2059" s="84"/>
      <c r="U2059" s="84"/>
      <c r="V2059" s="84"/>
      <c r="W2059" s="84"/>
      <c r="X2059" s="84"/>
      <c r="Y2059" s="84"/>
      <c r="Z2059" s="84"/>
      <c r="AA2059" s="84"/>
    </row>
    <row r="2060" ht="15.75" customHeight="1">
      <c r="A2060" s="14" t="s">
        <v>17</v>
      </c>
      <c r="B2060" s="15" t="s">
        <v>21288</v>
      </c>
      <c r="C2060" s="14" t="s">
        <v>22266</v>
      </c>
      <c r="D2060" s="14" t="s">
        <v>22267</v>
      </c>
      <c r="E2060" s="26" t="str">
        <f t="shared" si="28"/>
        <v>http://dx.doi.org/10.1109/TVCG.2010.199</v>
      </c>
      <c r="F2060" s="14">
        <v>1595.0</v>
      </c>
      <c r="G2060" s="14">
        <v>1604.0</v>
      </c>
      <c r="H2060" s="14" t="s">
        <v>17059</v>
      </c>
      <c r="I2060" s="19" t="s">
        <v>22268</v>
      </c>
      <c r="J2060" s="19" t="s">
        <v>22269</v>
      </c>
      <c r="K2060" s="19" t="s">
        <v>22270</v>
      </c>
      <c r="L2060" s="19" t="s">
        <v>22271</v>
      </c>
      <c r="M2060" s="20" t="s">
        <v>22272</v>
      </c>
      <c r="N2060" s="44" t="s">
        <v>22273</v>
      </c>
      <c r="O2060" s="22">
        <v>68.0</v>
      </c>
      <c r="P2060" s="28">
        <v>60.0</v>
      </c>
      <c r="Q2060" s="28">
        <v>61.0</v>
      </c>
      <c r="R2060" s="84"/>
      <c r="S2060" s="84"/>
      <c r="T2060" s="84"/>
      <c r="U2060" s="84"/>
      <c r="V2060" s="84"/>
      <c r="W2060" s="84"/>
      <c r="X2060" s="84"/>
      <c r="Y2060" s="84"/>
      <c r="Z2060" s="84"/>
      <c r="AA2060" s="84"/>
    </row>
    <row r="2061" ht="15.75" customHeight="1">
      <c r="A2061" s="14" t="s">
        <v>17</v>
      </c>
      <c r="B2061" s="15" t="s">
        <v>21288</v>
      </c>
      <c r="C2061" s="14" t="s">
        <v>22274</v>
      </c>
      <c r="D2061" s="14" t="s">
        <v>22275</v>
      </c>
      <c r="E2061" s="26" t="str">
        <f t="shared" si="28"/>
        <v>http://dx.doi.org/10.1109/TVCG.2010.200</v>
      </c>
      <c r="F2061" s="14">
        <v>1348.0</v>
      </c>
      <c r="G2061" s="14">
        <v>1357.0</v>
      </c>
      <c r="H2061" s="14" t="s">
        <v>17059</v>
      </c>
      <c r="I2061" s="19" t="s">
        <v>22276</v>
      </c>
      <c r="J2061" s="19" t="s">
        <v>22277</v>
      </c>
      <c r="K2061" s="19" t="s">
        <v>22278</v>
      </c>
      <c r="L2061" s="19" t="s">
        <v>22279</v>
      </c>
      <c r="M2061" s="20" t="s">
        <v>22280</v>
      </c>
      <c r="N2061" s="44" t="s">
        <v>22281</v>
      </c>
      <c r="O2061" s="22">
        <v>65.0</v>
      </c>
      <c r="P2061" s="28">
        <v>34.0</v>
      </c>
      <c r="Q2061" s="28">
        <v>39.0</v>
      </c>
      <c r="R2061" s="84"/>
      <c r="S2061" s="84"/>
      <c r="T2061" s="84"/>
      <c r="U2061" s="84"/>
      <c r="V2061" s="84"/>
      <c r="W2061" s="84"/>
      <c r="X2061" s="84"/>
      <c r="Y2061" s="84"/>
      <c r="Z2061" s="84"/>
      <c r="AA2061" s="84"/>
    </row>
    <row r="2062" ht="15.75" customHeight="1">
      <c r="A2062" s="14" t="s">
        <v>17</v>
      </c>
      <c r="B2062" s="15" t="s">
        <v>21288</v>
      </c>
      <c r="C2062" s="14" t="s">
        <v>22282</v>
      </c>
      <c r="D2062" s="14" t="s">
        <v>22283</v>
      </c>
      <c r="E2062" s="26" t="str">
        <f t="shared" si="28"/>
        <v>http://dx.doi.org/10.1109/TVCG.2010.202</v>
      </c>
      <c r="F2062" s="14">
        <v>1605.0</v>
      </c>
      <c r="G2062" s="14">
        <v>1612.0</v>
      </c>
      <c r="H2062" s="14" t="s">
        <v>17059</v>
      </c>
      <c r="I2062" s="19" t="s">
        <v>22284</v>
      </c>
      <c r="J2062" s="19" t="s">
        <v>22285</v>
      </c>
      <c r="K2062" s="19" t="s">
        <v>22286</v>
      </c>
      <c r="L2062" s="19" t="s">
        <v>22287</v>
      </c>
      <c r="M2062" s="20" t="s">
        <v>5110</v>
      </c>
      <c r="N2062" s="44" t="s">
        <v>22288</v>
      </c>
      <c r="O2062" s="22">
        <v>50.0</v>
      </c>
      <c r="P2062" s="28">
        <v>14.0</v>
      </c>
      <c r="Q2062" s="28">
        <v>13.0</v>
      </c>
      <c r="R2062" s="84"/>
      <c r="S2062" s="84"/>
      <c r="T2062" s="84"/>
      <c r="U2062" s="84"/>
      <c r="V2062" s="84"/>
      <c r="W2062" s="84"/>
      <c r="X2062" s="84"/>
      <c r="Y2062" s="84"/>
      <c r="Z2062" s="84"/>
      <c r="AA2062" s="84"/>
    </row>
    <row r="2063" ht="15.75" customHeight="1">
      <c r="A2063" s="14" t="s">
        <v>17</v>
      </c>
      <c r="B2063" s="15" t="s">
        <v>21288</v>
      </c>
      <c r="C2063" s="14" t="s">
        <v>22289</v>
      </c>
      <c r="D2063" s="14" t="s">
        <v>22290</v>
      </c>
      <c r="E2063" s="26" t="str">
        <f t="shared" si="28"/>
        <v>http://dx.doi.org/10.1109/TVCG.2010.207</v>
      </c>
      <c r="F2063" s="14">
        <v>1281.0</v>
      </c>
      <c r="G2063" s="14">
        <v>1290.0</v>
      </c>
      <c r="H2063" s="14" t="s">
        <v>17059</v>
      </c>
      <c r="I2063" s="19" t="s">
        <v>22291</v>
      </c>
      <c r="J2063" s="19" t="s">
        <v>22292</v>
      </c>
      <c r="K2063" s="19" t="s">
        <v>22293</v>
      </c>
      <c r="L2063" s="19" t="s">
        <v>22294</v>
      </c>
      <c r="M2063" s="20" t="s">
        <v>22295</v>
      </c>
      <c r="N2063" s="44" t="s">
        <v>22296</v>
      </c>
      <c r="O2063" s="22">
        <v>74.0</v>
      </c>
      <c r="P2063" s="28">
        <v>47.0</v>
      </c>
      <c r="Q2063" s="28">
        <v>39.0</v>
      </c>
      <c r="R2063" s="84"/>
      <c r="S2063" s="84"/>
      <c r="T2063" s="84"/>
      <c r="U2063" s="84"/>
      <c r="V2063" s="84"/>
      <c r="W2063" s="84"/>
      <c r="X2063" s="84"/>
      <c r="Y2063" s="84"/>
      <c r="Z2063" s="84"/>
      <c r="AA2063" s="84"/>
    </row>
    <row r="2064" ht="15.75" customHeight="1">
      <c r="A2064" s="14" t="s">
        <v>17</v>
      </c>
      <c r="B2064" s="15" t="s">
        <v>21288</v>
      </c>
      <c r="C2064" s="14" t="s">
        <v>22297</v>
      </c>
      <c r="D2064" s="14" t="s">
        <v>22298</v>
      </c>
      <c r="E2064" s="26" t="str">
        <f t="shared" si="28"/>
        <v>http://dx.doi.org/10.1109/TVCG.2010.208</v>
      </c>
      <c r="F2064" s="14">
        <v>1358.0</v>
      </c>
      <c r="G2064" s="14">
        <v>1365.0</v>
      </c>
      <c r="H2064" s="14" t="s">
        <v>17059</v>
      </c>
      <c r="I2064" s="19" t="s">
        <v>22299</v>
      </c>
      <c r="J2064" s="19" t="s">
        <v>22300</v>
      </c>
      <c r="K2064" s="19" t="s">
        <v>22301</v>
      </c>
      <c r="L2064" s="19" t="s">
        <v>22302</v>
      </c>
      <c r="M2064" s="20" t="s">
        <v>22303</v>
      </c>
      <c r="N2064" s="44" t="s">
        <v>22304</v>
      </c>
      <c r="O2064" s="22">
        <v>60.0</v>
      </c>
      <c r="P2064" s="28">
        <v>30.0</v>
      </c>
      <c r="Q2064" s="28">
        <v>40.0</v>
      </c>
      <c r="R2064" s="84"/>
      <c r="S2064" s="84"/>
      <c r="T2064" s="84"/>
      <c r="U2064" s="84"/>
      <c r="V2064" s="84"/>
      <c r="W2064" s="84"/>
      <c r="X2064" s="84"/>
      <c r="Y2064" s="84"/>
      <c r="Z2064" s="84"/>
      <c r="AA2064" s="84"/>
    </row>
    <row r="2065" ht="15.75" customHeight="1">
      <c r="A2065" s="14" t="s">
        <v>17</v>
      </c>
      <c r="B2065" s="15" t="s">
        <v>21288</v>
      </c>
      <c r="C2065" s="14" t="s">
        <v>22305</v>
      </c>
      <c r="D2065" s="14" t="s">
        <v>22306</v>
      </c>
      <c r="E2065" s="26" t="str">
        <f t="shared" si="28"/>
        <v>http://dx.doi.org/10.1109/TVCG.2010.211</v>
      </c>
      <c r="F2065" s="14">
        <v>1515.0</v>
      </c>
      <c r="G2065" s="14">
        <v>1524.0</v>
      </c>
      <c r="H2065" s="14" t="s">
        <v>17059</v>
      </c>
      <c r="I2065" s="19" t="s">
        <v>22307</v>
      </c>
      <c r="J2065" s="19" t="s">
        <v>22308</v>
      </c>
      <c r="K2065" s="19" t="s">
        <v>22308</v>
      </c>
      <c r="L2065" s="19" t="s">
        <v>22309</v>
      </c>
      <c r="M2065" s="20" t="s">
        <v>22310</v>
      </c>
      <c r="N2065" s="44" t="s">
        <v>22311</v>
      </c>
      <c r="O2065" s="22">
        <v>11.0</v>
      </c>
      <c r="P2065" s="28">
        <v>5.0</v>
      </c>
      <c r="Q2065" s="28">
        <v>36.0</v>
      </c>
      <c r="R2065" s="84"/>
      <c r="S2065" s="84"/>
      <c r="T2065" s="84"/>
      <c r="U2065" s="84"/>
      <c r="V2065" s="84"/>
      <c r="W2065" s="84"/>
      <c r="X2065" s="84"/>
      <c r="Y2065" s="84"/>
      <c r="Z2065" s="84"/>
      <c r="AA2065" s="84"/>
    </row>
    <row r="2066" ht="15.75" customHeight="1">
      <c r="A2066" s="14" t="s">
        <v>17</v>
      </c>
      <c r="B2066" s="15" t="s">
        <v>21288</v>
      </c>
      <c r="C2066" s="14" t="s">
        <v>22312</v>
      </c>
      <c r="D2066" s="14" t="s">
        <v>22313</v>
      </c>
      <c r="E2066" s="26" t="str">
        <f t="shared" si="28"/>
        <v>http://dx.doi.org/10.1109/TVCG.2010.212</v>
      </c>
      <c r="F2066" s="14">
        <v>1578.0</v>
      </c>
      <c r="G2066" s="14">
        <v>1586.0</v>
      </c>
      <c r="H2066" s="14" t="s">
        <v>17059</v>
      </c>
      <c r="I2066" s="19" t="s">
        <v>22314</v>
      </c>
      <c r="J2066" s="19" t="s">
        <v>22315</v>
      </c>
      <c r="K2066" s="19" t="s">
        <v>22316</v>
      </c>
      <c r="L2066" s="19" t="s">
        <v>22317</v>
      </c>
      <c r="M2066" s="20" t="s">
        <v>22318</v>
      </c>
      <c r="N2066" s="44" t="s">
        <v>22319</v>
      </c>
      <c r="O2066" s="22">
        <v>82.0</v>
      </c>
      <c r="P2066" s="28">
        <v>33.0</v>
      </c>
      <c r="Q2066" s="28">
        <v>31.0</v>
      </c>
      <c r="R2066" s="84"/>
      <c r="S2066" s="84"/>
      <c r="T2066" s="84"/>
      <c r="U2066" s="84"/>
      <c r="V2066" s="84"/>
      <c r="W2066" s="84"/>
      <c r="X2066" s="84"/>
      <c r="Y2066" s="84"/>
      <c r="Z2066" s="84"/>
      <c r="AA2066" s="84"/>
    </row>
    <row r="2067" ht="15.75" customHeight="1">
      <c r="A2067" s="14" t="s">
        <v>17</v>
      </c>
      <c r="B2067" s="15" t="s">
        <v>21288</v>
      </c>
      <c r="C2067" s="14" t="s">
        <v>22320</v>
      </c>
      <c r="D2067" s="14" t="s">
        <v>22321</v>
      </c>
      <c r="E2067" s="26" t="str">
        <f t="shared" si="28"/>
        <v>http://dx.doi.org/10.1109/TVCG.2010.213</v>
      </c>
      <c r="F2067" s="14">
        <v>1271.0</v>
      </c>
      <c r="G2067" s="14">
        <v>1280.0</v>
      </c>
      <c r="H2067" s="14" t="s">
        <v>17059</v>
      </c>
      <c r="I2067" s="19" t="s">
        <v>22322</v>
      </c>
      <c r="J2067" s="19" t="s">
        <v>22323</v>
      </c>
      <c r="K2067" s="19" t="s">
        <v>22324</v>
      </c>
      <c r="L2067" s="19" t="s">
        <v>22325</v>
      </c>
      <c r="M2067" s="20" t="s">
        <v>22326</v>
      </c>
      <c r="N2067" s="44" t="s">
        <v>22327</v>
      </c>
      <c r="O2067" s="22">
        <v>88.0</v>
      </c>
      <c r="P2067" s="28">
        <v>34.0</v>
      </c>
      <c r="Q2067" s="28">
        <v>60.0</v>
      </c>
      <c r="R2067" s="84"/>
      <c r="S2067" s="84"/>
      <c r="T2067" s="84"/>
      <c r="U2067" s="84"/>
      <c r="V2067" s="84"/>
      <c r="W2067" s="84"/>
      <c r="X2067" s="84"/>
      <c r="Y2067" s="84"/>
      <c r="Z2067" s="84"/>
      <c r="AA2067" s="84"/>
    </row>
    <row r="2068" ht="15.75" customHeight="1">
      <c r="A2068" s="14" t="s">
        <v>17</v>
      </c>
      <c r="B2068" s="15" t="s">
        <v>21288</v>
      </c>
      <c r="C2068" s="14" t="s">
        <v>22328</v>
      </c>
      <c r="D2068" s="14" t="s">
        <v>22329</v>
      </c>
      <c r="E2068" s="26" t="str">
        <f t="shared" si="28"/>
        <v>http://dx.doi.org/10.1109/TVCG.2010.214</v>
      </c>
      <c r="F2068" s="14">
        <v>1477.0</v>
      </c>
      <c r="G2068" s="14">
        <v>1486.0</v>
      </c>
      <c r="H2068" s="14" t="s">
        <v>17059</v>
      </c>
      <c r="I2068" s="19" t="s">
        <v>22330</v>
      </c>
      <c r="J2068" s="19" t="s">
        <v>22331</v>
      </c>
      <c r="K2068" s="19" t="s">
        <v>22332</v>
      </c>
      <c r="L2068" s="19" t="s">
        <v>22333</v>
      </c>
      <c r="M2068" s="20" t="s">
        <v>22334</v>
      </c>
      <c r="N2068" s="27"/>
      <c r="O2068" s="22">
        <v>50.0</v>
      </c>
      <c r="P2068" s="28">
        <v>9.0</v>
      </c>
      <c r="Q2068" s="28">
        <v>25.0</v>
      </c>
      <c r="R2068" s="84"/>
      <c r="S2068" s="84"/>
      <c r="T2068" s="84"/>
      <c r="U2068" s="84"/>
      <c r="V2068" s="84"/>
      <c r="W2068" s="84"/>
      <c r="X2068" s="84"/>
      <c r="Y2068" s="84"/>
      <c r="Z2068" s="84"/>
      <c r="AA2068" s="84"/>
    </row>
    <row r="2069" ht="15.75" customHeight="1">
      <c r="A2069" s="14" t="s">
        <v>17</v>
      </c>
      <c r="B2069" s="15" t="s">
        <v>21288</v>
      </c>
      <c r="C2069" s="14" t="s">
        <v>22335</v>
      </c>
      <c r="D2069" s="14" t="s">
        <v>22336</v>
      </c>
      <c r="E2069" s="26" t="str">
        <f t="shared" si="28"/>
        <v>http://dx.doi.org/10.1109/TVCG.2010.215</v>
      </c>
      <c r="F2069" s="14">
        <v>1551.0</v>
      </c>
      <c r="G2069" s="14">
        <v>1559.0</v>
      </c>
      <c r="H2069" s="14" t="s">
        <v>17059</v>
      </c>
      <c r="I2069" s="19" t="s">
        <v>22337</v>
      </c>
      <c r="J2069" s="19" t="s">
        <v>22338</v>
      </c>
      <c r="K2069" s="19" t="s">
        <v>22338</v>
      </c>
      <c r="L2069" s="18"/>
      <c r="M2069" s="20" t="s">
        <v>22339</v>
      </c>
      <c r="N2069" s="44" t="s">
        <v>22340</v>
      </c>
      <c r="O2069" s="22">
        <v>50.0</v>
      </c>
      <c r="P2069" s="28">
        <v>22.0</v>
      </c>
      <c r="Q2069" s="28">
        <v>34.0</v>
      </c>
      <c r="R2069" s="84"/>
      <c r="S2069" s="84"/>
      <c r="T2069" s="84"/>
      <c r="U2069" s="84"/>
      <c r="V2069" s="84"/>
      <c r="W2069" s="84"/>
      <c r="X2069" s="84"/>
      <c r="Y2069" s="84"/>
      <c r="Z2069" s="84"/>
      <c r="AA2069" s="84"/>
    </row>
    <row r="2070" ht="15.75" customHeight="1">
      <c r="A2070" s="14" t="s">
        <v>17</v>
      </c>
      <c r="B2070" s="15" t="s">
        <v>21288</v>
      </c>
      <c r="C2070" s="14" t="s">
        <v>22341</v>
      </c>
      <c r="D2070" s="14" t="s">
        <v>22342</v>
      </c>
      <c r="E2070" s="26" t="str">
        <f t="shared" si="28"/>
        <v>http://dx.doi.org/10.1109/TVCG.2010.218</v>
      </c>
      <c r="F2070" s="14">
        <v>1587.0</v>
      </c>
      <c r="G2070" s="14">
        <v>1594.0</v>
      </c>
      <c r="H2070" s="14" t="s">
        <v>17059</v>
      </c>
      <c r="I2070" s="19" t="s">
        <v>22343</v>
      </c>
      <c r="J2070" s="19" t="s">
        <v>22344</v>
      </c>
      <c r="K2070" s="19" t="s">
        <v>22344</v>
      </c>
      <c r="L2070" s="18"/>
      <c r="M2070" s="20" t="s">
        <v>22345</v>
      </c>
      <c r="N2070" s="44" t="s">
        <v>22346</v>
      </c>
      <c r="O2070" s="22">
        <v>50.0</v>
      </c>
      <c r="P2070" s="28">
        <v>5.0</v>
      </c>
      <c r="Q2070" s="28">
        <v>20.0</v>
      </c>
      <c r="R2070" s="84"/>
      <c r="S2070" s="84"/>
      <c r="T2070" s="84"/>
      <c r="U2070" s="84"/>
      <c r="V2070" s="84"/>
      <c r="W2070" s="84"/>
      <c r="X2070" s="84"/>
      <c r="Y2070" s="84"/>
      <c r="Z2070" s="84"/>
      <c r="AA2070" s="84"/>
    </row>
    <row r="2071" ht="15.75" customHeight="1">
      <c r="A2071" s="14" t="s">
        <v>17</v>
      </c>
      <c r="B2071" s="15" t="s">
        <v>21288</v>
      </c>
      <c r="C2071" s="14" t="s">
        <v>22347</v>
      </c>
      <c r="D2071" s="14" t="s">
        <v>22348</v>
      </c>
      <c r="E2071" s="26" t="str">
        <f t="shared" si="28"/>
        <v>http://dx.doi.org/10.1109/TVCG.2010.221</v>
      </c>
      <c r="F2071" s="14">
        <v>1405.0</v>
      </c>
      <c r="G2071" s="14">
        <v>1412.0</v>
      </c>
      <c r="H2071" s="14" t="s">
        <v>17059</v>
      </c>
      <c r="I2071" s="19" t="s">
        <v>22349</v>
      </c>
      <c r="J2071" s="19" t="s">
        <v>22350</v>
      </c>
      <c r="K2071" s="19" t="s">
        <v>22351</v>
      </c>
      <c r="L2071" s="19" t="s">
        <v>22352</v>
      </c>
      <c r="M2071" s="20" t="s">
        <v>22353</v>
      </c>
      <c r="N2071" s="44" t="s">
        <v>22354</v>
      </c>
      <c r="O2071" s="22">
        <v>5.0</v>
      </c>
      <c r="P2071" s="28">
        <v>2.0</v>
      </c>
      <c r="Q2071" s="28">
        <v>30.0</v>
      </c>
      <c r="R2071" s="84"/>
      <c r="S2071" s="84"/>
      <c r="T2071" s="84"/>
      <c r="U2071" s="84"/>
      <c r="V2071" s="84"/>
      <c r="W2071" s="84"/>
      <c r="X2071" s="84"/>
      <c r="Y2071" s="84"/>
      <c r="Z2071" s="84"/>
      <c r="AA2071" s="84"/>
    </row>
    <row r="2072" ht="15.75" customHeight="1">
      <c r="A2072" s="14" t="s">
        <v>17</v>
      </c>
      <c r="B2072" s="15" t="s">
        <v>21288</v>
      </c>
      <c r="C2072" s="14" t="s">
        <v>22355</v>
      </c>
      <c r="D2072" s="14" t="s">
        <v>22356</v>
      </c>
      <c r="E2072" s="26" t="str">
        <f t="shared" si="28"/>
        <v>http://dx.doi.org/10.1109/TVCG.2010.223</v>
      </c>
      <c r="F2072" s="14">
        <v>1458.0</v>
      </c>
      <c r="G2072" s="14">
        <v>1467.0</v>
      </c>
      <c r="H2072" s="14" t="s">
        <v>17059</v>
      </c>
      <c r="I2072" s="19" t="s">
        <v>22357</v>
      </c>
      <c r="J2072" s="19" t="s">
        <v>22358</v>
      </c>
      <c r="K2072" s="19" t="s">
        <v>22359</v>
      </c>
      <c r="L2072" s="19" t="s">
        <v>22360</v>
      </c>
      <c r="M2072" s="20" t="s">
        <v>22361</v>
      </c>
      <c r="N2072" s="44" t="s">
        <v>22362</v>
      </c>
      <c r="O2072" s="22">
        <v>91.0</v>
      </c>
      <c r="P2072" s="28">
        <v>53.0</v>
      </c>
      <c r="Q2072" s="28">
        <v>45.0</v>
      </c>
      <c r="R2072" s="85" t="s">
        <v>19037</v>
      </c>
      <c r="S2072" s="84"/>
      <c r="T2072" s="84"/>
      <c r="U2072" s="84"/>
      <c r="V2072" s="84"/>
      <c r="W2072" s="84"/>
      <c r="X2072" s="84"/>
      <c r="Y2072" s="84"/>
      <c r="Z2072" s="84"/>
      <c r="AA2072" s="84"/>
    </row>
    <row r="2073" ht="15.75" customHeight="1">
      <c r="A2073" s="14" t="s">
        <v>2137</v>
      </c>
      <c r="B2073" s="15" t="s">
        <v>22363</v>
      </c>
      <c r="C2073" s="14" t="s">
        <v>22364</v>
      </c>
      <c r="D2073" s="14" t="s">
        <v>22365</v>
      </c>
      <c r="E2073" s="26" t="str">
        <f t="shared" si="28"/>
        <v>http://dx.doi.org/10.1109/TVCG.2011.160</v>
      </c>
      <c r="F2073" s="14">
        <v>2469.0</v>
      </c>
      <c r="G2073" s="14">
        <v>2478.0</v>
      </c>
      <c r="H2073" s="14" t="s">
        <v>17059</v>
      </c>
      <c r="I2073" s="19" t="s">
        <v>22366</v>
      </c>
      <c r="J2073" s="19" t="s">
        <v>22367</v>
      </c>
      <c r="K2073" s="19" t="s">
        <v>22367</v>
      </c>
      <c r="L2073" s="19" t="s">
        <v>22368</v>
      </c>
      <c r="M2073" s="20" t="s">
        <v>22369</v>
      </c>
      <c r="N2073" s="44" t="s">
        <v>22370</v>
      </c>
      <c r="O2073" s="22">
        <v>29.0</v>
      </c>
      <c r="P2073" s="28">
        <v>13.0</v>
      </c>
      <c r="Q2073" s="28">
        <v>36.0</v>
      </c>
      <c r="R2073" s="84"/>
      <c r="S2073" s="84"/>
      <c r="T2073" s="84"/>
      <c r="U2073" s="84"/>
      <c r="V2073" s="84"/>
      <c r="W2073" s="84"/>
      <c r="X2073" s="84"/>
      <c r="Y2073" s="84"/>
      <c r="Z2073" s="84"/>
      <c r="AA2073" s="84"/>
    </row>
    <row r="2074" ht="15.75" customHeight="1">
      <c r="A2074" s="14" t="s">
        <v>2137</v>
      </c>
      <c r="B2074" s="15" t="s">
        <v>22363</v>
      </c>
      <c r="C2074" s="14" t="s">
        <v>22371</v>
      </c>
      <c r="D2074" s="14" t="s">
        <v>22372</v>
      </c>
      <c r="E2074" s="26" t="str">
        <f t="shared" si="28"/>
        <v>http://dx.doi.org/10.1109/TVCG.2011.163</v>
      </c>
      <c r="F2074" s="14">
        <v>2241.0</v>
      </c>
      <c r="G2074" s="14">
        <v>2248.0</v>
      </c>
      <c r="H2074" s="14" t="s">
        <v>17059</v>
      </c>
      <c r="I2074" s="19" t="s">
        <v>22373</v>
      </c>
      <c r="J2074" s="19" t="s">
        <v>21465</v>
      </c>
      <c r="K2074" s="19" t="s">
        <v>21465</v>
      </c>
      <c r="L2074" s="19" t="s">
        <v>22374</v>
      </c>
      <c r="M2074" s="20" t="s">
        <v>22375</v>
      </c>
      <c r="N2074" s="44" t="s">
        <v>22376</v>
      </c>
      <c r="O2074" s="22">
        <v>50.0</v>
      </c>
      <c r="P2074" s="28">
        <v>17.0</v>
      </c>
      <c r="Q2074" s="28">
        <v>30.0</v>
      </c>
      <c r="R2074" s="84"/>
      <c r="S2074" s="84"/>
      <c r="T2074" s="84"/>
      <c r="U2074" s="84"/>
      <c r="V2074" s="84"/>
      <c r="W2074" s="84"/>
      <c r="X2074" s="84"/>
      <c r="Y2074" s="84"/>
      <c r="Z2074" s="84"/>
      <c r="AA2074" s="84"/>
    </row>
    <row r="2075" ht="15.75" customHeight="1">
      <c r="A2075" s="14" t="s">
        <v>2137</v>
      </c>
      <c r="B2075" s="15" t="s">
        <v>22363</v>
      </c>
      <c r="C2075" s="14" t="s">
        <v>22377</v>
      </c>
      <c r="D2075" s="14" t="s">
        <v>22378</v>
      </c>
      <c r="E2075" s="26" t="str">
        <f t="shared" si="28"/>
        <v>http://dx.doi.org/10.1109/TVCG.2011.166</v>
      </c>
      <c r="F2075" s="14">
        <v>2572.0</v>
      </c>
      <c r="G2075" s="14">
        <v>2580.0</v>
      </c>
      <c r="H2075" s="14" t="s">
        <v>17059</v>
      </c>
      <c r="I2075" s="19" t="s">
        <v>22379</v>
      </c>
      <c r="J2075" s="19" t="s">
        <v>22380</v>
      </c>
      <c r="K2075" s="19" t="s">
        <v>22381</v>
      </c>
      <c r="L2075" s="19" t="s">
        <v>22382</v>
      </c>
      <c r="M2075" s="20" t="s">
        <v>22383</v>
      </c>
      <c r="N2075" s="44" t="s">
        <v>22384</v>
      </c>
      <c r="O2075" s="22">
        <v>50.0</v>
      </c>
      <c r="P2075" s="28">
        <v>19.0</v>
      </c>
      <c r="Q2075" s="28">
        <v>28.0</v>
      </c>
      <c r="R2075" s="84"/>
      <c r="S2075" s="84"/>
      <c r="T2075" s="84"/>
      <c r="U2075" s="84"/>
      <c r="V2075" s="84"/>
      <c r="W2075" s="84"/>
      <c r="X2075" s="84"/>
      <c r="Y2075" s="84"/>
      <c r="Z2075" s="84"/>
      <c r="AA2075" s="84"/>
    </row>
    <row r="2076" ht="15.75" customHeight="1">
      <c r="A2076" s="14" t="s">
        <v>2137</v>
      </c>
      <c r="B2076" s="15" t="s">
        <v>22363</v>
      </c>
      <c r="C2076" s="14" t="s">
        <v>22385</v>
      </c>
      <c r="D2076" s="14" t="s">
        <v>22386</v>
      </c>
      <c r="E2076" s="26" t="str">
        <f t="shared" si="28"/>
        <v>http://dx.doi.org/10.1109/TVCG.2011.167</v>
      </c>
      <c r="F2076" s="14">
        <v>2276.0</v>
      </c>
      <c r="G2076" s="14">
        <v>2282.0</v>
      </c>
      <c r="H2076" s="14" t="s">
        <v>17059</v>
      </c>
      <c r="I2076" s="19" t="s">
        <v>22387</v>
      </c>
      <c r="J2076" s="19" t="s">
        <v>22388</v>
      </c>
      <c r="K2076" s="19" t="s">
        <v>22388</v>
      </c>
      <c r="L2076" s="19" t="s">
        <v>21313</v>
      </c>
      <c r="M2076" s="20" t="s">
        <v>17295</v>
      </c>
      <c r="N2076" s="44" t="s">
        <v>22389</v>
      </c>
      <c r="O2076" s="109"/>
      <c r="P2076" s="28">
        <v>13.0</v>
      </c>
      <c r="Q2076" s="28">
        <v>17.0</v>
      </c>
      <c r="R2076" s="84"/>
      <c r="S2076" s="84"/>
      <c r="T2076" s="84"/>
      <c r="U2076" s="84"/>
      <c r="V2076" s="84"/>
      <c r="W2076" s="84"/>
      <c r="X2076" s="84"/>
      <c r="Y2076" s="84"/>
      <c r="Z2076" s="84"/>
      <c r="AA2076" s="84"/>
    </row>
    <row r="2077" ht="15.75" customHeight="1">
      <c r="A2077" s="14" t="s">
        <v>2137</v>
      </c>
      <c r="B2077" s="15" t="s">
        <v>22363</v>
      </c>
      <c r="C2077" s="14" t="s">
        <v>22390</v>
      </c>
      <c r="D2077" s="14" t="s">
        <v>22391</v>
      </c>
      <c r="E2077" s="26" t="str">
        <f t="shared" si="28"/>
        <v>http://dx.doi.org/10.1109/TVCG.2011.169</v>
      </c>
      <c r="F2077" s="14">
        <v>2283.0</v>
      </c>
      <c r="G2077" s="14">
        <v>2290.0</v>
      </c>
      <c r="H2077" s="14" t="s">
        <v>17059</v>
      </c>
      <c r="I2077" s="19" t="s">
        <v>22392</v>
      </c>
      <c r="J2077" s="19" t="s">
        <v>22393</v>
      </c>
      <c r="K2077" s="19" t="s">
        <v>22393</v>
      </c>
      <c r="L2077" s="19" t="s">
        <v>22394</v>
      </c>
      <c r="M2077" s="20" t="s">
        <v>22395</v>
      </c>
      <c r="N2077" s="44" t="s">
        <v>22396</v>
      </c>
      <c r="O2077" s="22">
        <v>76.0</v>
      </c>
      <c r="P2077" s="28">
        <v>34.0</v>
      </c>
      <c r="Q2077" s="28">
        <v>59.0</v>
      </c>
      <c r="R2077" s="84"/>
      <c r="S2077" s="84"/>
      <c r="T2077" s="84"/>
      <c r="U2077" s="84"/>
      <c r="V2077" s="84"/>
      <c r="W2077" s="84"/>
      <c r="X2077" s="84"/>
      <c r="Y2077" s="84"/>
      <c r="Z2077" s="84"/>
      <c r="AA2077" s="84"/>
    </row>
    <row r="2078" ht="15.75" customHeight="1">
      <c r="A2078" s="14" t="s">
        <v>2137</v>
      </c>
      <c r="B2078" s="15" t="s">
        <v>22363</v>
      </c>
      <c r="C2078" s="14" t="s">
        <v>22397</v>
      </c>
      <c r="D2078" s="14" t="s">
        <v>22398</v>
      </c>
      <c r="E2078" s="26" t="str">
        <f t="shared" si="28"/>
        <v>http://dx.doi.org/10.1109/TVCG.2011.174</v>
      </c>
      <c r="F2078" s="14">
        <v>2384.0</v>
      </c>
      <c r="G2078" s="14">
        <v>2391.0</v>
      </c>
      <c r="H2078" s="14" t="s">
        <v>17059</v>
      </c>
      <c r="I2078" s="19" t="s">
        <v>22399</v>
      </c>
      <c r="J2078" s="19" t="s">
        <v>22400</v>
      </c>
      <c r="K2078" s="19" t="s">
        <v>22400</v>
      </c>
      <c r="L2078" s="19" t="s">
        <v>22401</v>
      </c>
      <c r="M2078" s="20" t="s">
        <v>22402</v>
      </c>
      <c r="N2078" s="44" t="s">
        <v>22403</v>
      </c>
      <c r="O2078" s="22">
        <v>38.0</v>
      </c>
      <c r="P2078" s="28">
        <v>19.0</v>
      </c>
      <c r="Q2078" s="28">
        <v>27.0</v>
      </c>
      <c r="R2078" s="84"/>
      <c r="S2078" s="84"/>
      <c r="T2078" s="84"/>
      <c r="U2078" s="84"/>
      <c r="V2078" s="84"/>
      <c r="W2078" s="84"/>
      <c r="X2078" s="84"/>
      <c r="Y2078" s="84"/>
      <c r="Z2078" s="84"/>
      <c r="AA2078" s="84"/>
    </row>
    <row r="2079" ht="15.75" customHeight="1">
      <c r="A2079" s="14" t="s">
        <v>2137</v>
      </c>
      <c r="B2079" s="15" t="s">
        <v>22363</v>
      </c>
      <c r="C2079" s="14" t="s">
        <v>22404</v>
      </c>
      <c r="D2079" s="14" t="s">
        <v>22405</v>
      </c>
      <c r="E2079" s="26" t="str">
        <f t="shared" si="28"/>
        <v>http://dx.doi.org/10.1109/TVCG.2011.175</v>
      </c>
      <c r="F2079" s="14">
        <v>2213.0</v>
      </c>
      <c r="G2079" s="14">
        <v>2222.0</v>
      </c>
      <c r="H2079" s="14" t="s">
        <v>17059</v>
      </c>
      <c r="I2079" s="19" t="s">
        <v>22406</v>
      </c>
      <c r="J2079" s="19" t="s">
        <v>22407</v>
      </c>
      <c r="K2079" s="19" t="s">
        <v>22407</v>
      </c>
      <c r="L2079" s="19" t="s">
        <v>22408</v>
      </c>
      <c r="M2079" s="20" t="s">
        <v>22409</v>
      </c>
      <c r="N2079" s="44" t="s">
        <v>22410</v>
      </c>
      <c r="O2079" s="22">
        <v>64.0</v>
      </c>
      <c r="P2079" s="28">
        <v>34.0</v>
      </c>
      <c r="Q2079" s="28">
        <v>70.0</v>
      </c>
      <c r="R2079" s="85" t="s">
        <v>19037</v>
      </c>
      <c r="S2079" s="84"/>
      <c r="T2079" s="84"/>
      <c r="U2079" s="84"/>
      <c r="V2079" s="84"/>
      <c r="W2079" s="84"/>
      <c r="X2079" s="84"/>
      <c r="Y2079" s="84"/>
      <c r="Z2079" s="84"/>
      <c r="AA2079" s="84"/>
    </row>
    <row r="2080" ht="15.75" customHeight="1">
      <c r="A2080" s="14" t="s">
        <v>2137</v>
      </c>
      <c r="B2080" s="15" t="s">
        <v>22363</v>
      </c>
      <c r="C2080" s="14" t="s">
        <v>22411</v>
      </c>
      <c r="D2080" s="14" t="s">
        <v>22412</v>
      </c>
      <c r="E2080" s="26" t="str">
        <f t="shared" si="28"/>
        <v>http://dx.doi.org/10.1109/TVCG.2011.176</v>
      </c>
      <c r="F2080" s="14">
        <v>2374.0</v>
      </c>
      <c r="G2080" s="14">
        <v>2383.0</v>
      </c>
      <c r="H2080" s="14" t="s">
        <v>17059</v>
      </c>
      <c r="I2080" s="19" t="s">
        <v>22413</v>
      </c>
      <c r="J2080" s="19" t="s">
        <v>22414</v>
      </c>
      <c r="K2080" s="19" t="s">
        <v>22415</v>
      </c>
      <c r="L2080" s="19" t="s">
        <v>22416</v>
      </c>
      <c r="M2080" s="20" t="s">
        <v>22417</v>
      </c>
      <c r="N2080" s="44" t="s">
        <v>22418</v>
      </c>
      <c r="O2080" s="22">
        <v>41.0</v>
      </c>
      <c r="P2080" s="28">
        <v>22.0</v>
      </c>
      <c r="Q2080" s="28">
        <v>46.0</v>
      </c>
      <c r="R2080" s="84"/>
      <c r="S2080" s="84"/>
      <c r="T2080" s="84"/>
      <c r="U2080" s="84"/>
      <c r="V2080" s="84"/>
      <c r="W2080" s="84"/>
      <c r="X2080" s="84"/>
      <c r="Y2080" s="84"/>
      <c r="Z2080" s="84"/>
      <c r="AA2080" s="84"/>
    </row>
    <row r="2081" ht="15.75" customHeight="1">
      <c r="A2081" s="14" t="s">
        <v>2137</v>
      </c>
      <c r="B2081" s="15" t="s">
        <v>22363</v>
      </c>
      <c r="C2081" s="14" t="s">
        <v>22419</v>
      </c>
      <c r="D2081" s="14" t="s">
        <v>22420</v>
      </c>
      <c r="E2081" s="26" t="str">
        <f t="shared" si="28"/>
        <v>http://dx.doi.org/10.1109/TVCG.2011.178</v>
      </c>
      <c r="F2081" s="14">
        <v>2591.0</v>
      </c>
      <c r="G2081" s="14">
        <v>2599.0</v>
      </c>
      <c r="H2081" s="14" t="s">
        <v>17059</v>
      </c>
      <c r="I2081" s="19" t="s">
        <v>22421</v>
      </c>
      <c r="J2081" s="19" t="s">
        <v>22422</v>
      </c>
      <c r="K2081" s="19" t="s">
        <v>22422</v>
      </c>
      <c r="L2081" s="19" t="s">
        <v>22423</v>
      </c>
      <c r="M2081" s="20" t="s">
        <v>22424</v>
      </c>
      <c r="N2081" s="44" t="s">
        <v>22425</v>
      </c>
      <c r="O2081" s="22">
        <v>54.0</v>
      </c>
      <c r="P2081" s="28">
        <v>45.0</v>
      </c>
      <c r="Q2081" s="28">
        <v>38.0</v>
      </c>
      <c r="R2081" s="84"/>
      <c r="S2081" s="84"/>
      <c r="T2081" s="84"/>
      <c r="U2081" s="84"/>
      <c r="V2081" s="84"/>
      <c r="W2081" s="84"/>
      <c r="X2081" s="84"/>
      <c r="Y2081" s="84"/>
      <c r="Z2081" s="84"/>
      <c r="AA2081" s="84"/>
    </row>
    <row r="2082" ht="15.75" customHeight="1">
      <c r="A2082" s="14" t="s">
        <v>2137</v>
      </c>
      <c r="B2082" s="15" t="s">
        <v>22363</v>
      </c>
      <c r="C2082" s="14" t="s">
        <v>22426</v>
      </c>
      <c r="D2082" s="14" t="s">
        <v>22427</v>
      </c>
      <c r="E2082" s="26" t="str">
        <f t="shared" si="28"/>
        <v>http://dx.doi.org/10.1109/TVCG.2011.179</v>
      </c>
      <c r="F2082" s="14">
        <v>2432.0</v>
      </c>
      <c r="G2082" s="14">
        <v>2439.0</v>
      </c>
      <c r="H2082" s="14" t="s">
        <v>17059</v>
      </c>
      <c r="I2082" s="19" t="s">
        <v>22428</v>
      </c>
      <c r="J2082" s="19" t="s">
        <v>22429</v>
      </c>
      <c r="K2082" s="19" t="s">
        <v>22430</v>
      </c>
      <c r="L2082" s="19" t="s">
        <v>17343</v>
      </c>
      <c r="M2082" s="20" t="s">
        <v>22431</v>
      </c>
      <c r="N2082" s="44" t="s">
        <v>22432</v>
      </c>
      <c r="O2082" s="22">
        <v>118.0</v>
      </c>
      <c r="P2082" s="28">
        <v>63.0</v>
      </c>
      <c r="Q2082" s="28">
        <v>30.0</v>
      </c>
      <c r="R2082" s="84"/>
      <c r="S2082" s="84"/>
      <c r="T2082" s="84"/>
      <c r="U2082" s="84"/>
      <c r="V2082" s="84"/>
      <c r="W2082" s="84"/>
      <c r="X2082" s="84"/>
      <c r="Y2082" s="84"/>
      <c r="Z2082" s="84"/>
      <c r="AA2082" s="84"/>
    </row>
    <row r="2083" ht="15.75" customHeight="1">
      <c r="A2083" s="14" t="s">
        <v>2137</v>
      </c>
      <c r="B2083" s="15" t="s">
        <v>22363</v>
      </c>
      <c r="C2083" s="14" t="s">
        <v>22433</v>
      </c>
      <c r="D2083" s="14" t="s">
        <v>22434</v>
      </c>
      <c r="E2083" s="26" t="str">
        <f t="shared" si="28"/>
        <v>http://dx.doi.org/10.1109/TVCG.2011.181</v>
      </c>
      <c r="F2083" s="14">
        <v>2518.0</v>
      </c>
      <c r="G2083" s="14">
        <v>2527.0</v>
      </c>
      <c r="H2083" s="14" t="s">
        <v>17059</v>
      </c>
      <c r="I2083" s="19" t="s">
        <v>22435</v>
      </c>
      <c r="J2083" s="19" t="s">
        <v>22436</v>
      </c>
      <c r="K2083" s="19" t="s">
        <v>22437</v>
      </c>
      <c r="L2083" s="19" t="s">
        <v>22438</v>
      </c>
      <c r="M2083" s="20" t="s">
        <v>22439</v>
      </c>
      <c r="N2083" s="44" t="s">
        <v>22440</v>
      </c>
      <c r="O2083" s="22">
        <v>113.0</v>
      </c>
      <c r="P2083" s="28">
        <v>59.0</v>
      </c>
      <c r="Q2083" s="28">
        <v>34.0</v>
      </c>
      <c r="R2083" s="84"/>
      <c r="S2083" s="84"/>
      <c r="T2083" s="84"/>
      <c r="U2083" s="84"/>
      <c r="V2083" s="84"/>
      <c r="W2083" s="84"/>
      <c r="X2083" s="84"/>
      <c r="Y2083" s="84"/>
      <c r="Z2083" s="84"/>
      <c r="AA2083" s="84"/>
    </row>
    <row r="2084" ht="15.75" customHeight="1">
      <c r="A2084" s="14" t="s">
        <v>2137</v>
      </c>
      <c r="B2084" s="15" t="s">
        <v>22363</v>
      </c>
      <c r="C2084" s="14" t="s">
        <v>22441</v>
      </c>
      <c r="D2084" s="14" t="s">
        <v>22442</v>
      </c>
      <c r="E2084" s="26" t="str">
        <f t="shared" si="28"/>
        <v>http://dx.doi.org/10.1109/TVCG.2011.183</v>
      </c>
      <c r="F2084" s="14">
        <v>2249.0</v>
      </c>
      <c r="G2084" s="14">
        <v>2258.0</v>
      </c>
      <c r="H2084" s="14" t="s">
        <v>17059</v>
      </c>
      <c r="I2084" s="19" t="s">
        <v>22443</v>
      </c>
      <c r="J2084" s="19" t="s">
        <v>22444</v>
      </c>
      <c r="K2084" s="19" t="s">
        <v>22444</v>
      </c>
      <c r="L2084" s="19" t="s">
        <v>22445</v>
      </c>
      <c r="M2084" s="20" t="s">
        <v>22446</v>
      </c>
      <c r="N2084" s="44" t="s">
        <v>22447</v>
      </c>
      <c r="O2084" s="22">
        <v>74.0</v>
      </c>
      <c r="P2084" s="28">
        <v>38.0</v>
      </c>
      <c r="Q2084" s="28">
        <v>33.0</v>
      </c>
      <c r="R2084" s="85" t="s">
        <v>106</v>
      </c>
      <c r="S2084" s="84"/>
      <c r="T2084" s="84"/>
      <c r="U2084" s="84"/>
      <c r="V2084" s="84"/>
      <c r="W2084" s="84"/>
      <c r="X2084" s="84"/>
      <c r="Y2084" s="84"/>
      <c r="Z2084" s="84"/>
      <c r="AA2084" s="84"/>
    </row>
    <row r="2085" ht="15.75" customHeight="1">
      <c r="A2085" s="14" t="s">
        <v>2137</v>
      </c>
      <c r="B2085" s="15" t="s">
        <v>22363</v>
      </c>
      <c r="C2085" s="42" t="s">
        <v>22448</v>
      </c>
      <c r="D2085" s="14" t="s">
        <v>22449</v>
      </c>
      <c r="E2085" s="26" t="str">
        <f t="shared" si="28"/>
        <v>http://dx.doi.org/10.1109/TVCG.2011.185</v>
      </c>
      <c r="F2085" s="14">
        <v>2301.0</v>
      </c>
      <c r="G2085" s="14">
        <v>2309.0</v>
      </c>
      <c r="H2085" s="14" t="s">
        <v>17059</v>
      </c>
      <c r="I2085" s="19" t="s">
        <v>22450</v>
      </c>
      <c r="J2085" s="19" t="s">
        <v>22451</v>
      </c>
      <c r="K2085" s="19" t="s">
        <v>22451</v>
      </c>
      <c r="L2085" s="18"/>
      <c r="M2085" s="20" t="s">
        <v>22452</v>
      </c>
      <c r="N2085" s="44" t="s">
        <v>20228</v>
      </c>
      <c r="O2085" s="22">
        <v>1353.0</v>
      </c>
      <c r="P2085" s="28">
        <v>704.0</v>
      </c>
      <c r="Q2085" s="28">
        <v>41.0</v>
      </c>
      <c r="R2085" s="84"/>
      <c r="S2085" s="84"/>
      <c r="T2085" s="84"/>
      <c r="U2085" s="84"/>
      <c r="V2085" s="84"/>
      <c r="W2085" s="84"/>
      <c r="X2085" s="84"/>
      <c r="Y2085" s="84"/>
      <c r="Z2085" s="84"/>
      <c r="AA2085" s="84"/>
    </row>
    <row r="2086" ht="15.75" customHeight="1">
      <c r="A2086" s="14" t="s">
        <v>2137</v>
      </c>
      <c r="B2086" s="15" t="s">
        <v>22363</v>
      </c>
      <c r="C2086" s="14" t="s">
        <v>22453</v>
      </c>
      <c r="D2086" s="14" t="s">
        <v>22454</v>
      </c>
      <c r="E2086" s="26" t="str">
        <f t="shared" si="28"/>
        <v>http://dx.doi.org/10.1109/TVCG.2011.186</v>
      </c>
      <c r="F2086" s="14">
        <v>2259.0</v>
      </c>
      <c r="G2086" s="14">
        <v>2267.0</v>
      </c>
      <c r="H2086" s="14" t="s">
        <v>17059</v>
      </c>
      <c r="I2086" s="19" t="s">
        <v>22455</v>
      </c>
      <c r="J2086" s="19" t="s">
        <v>22456</v>
      </c>
      <c r="K2086" s="19" t="s">
        <v>22457</v>
      </c>
      <c r="L2086" s="19" t="s">
        <v>22458</v>
      </c>
      <c r="M2086" s="20" t="s">
        <v>22459</v>
      </c>
      <c r="N2086" s="88" t="s">
        <v>22460</v>
      </c>
      <c r="O2086" s="22">
        <v>132.0</v>
      </c>
      <c r="P2086" s="28">
        <v>64.0</v>
      </c>
      <c r="Q2086" s="28">
        <v>22.0</v>
      </c>
      <c r="R2086" s="84"/>
      <c r="S2086" s="84"/>
      <c r="T2086" s="84"/>
      <c r="U2086" s="84"/>
      <c r="V2086" s="84"/>
      <c r="W2086" s="84"/>
      <c r="X2086" s="84"/>
      <c r="Y2086" s="84"/>
      <c r="Z2086" s="84"/>
      <c r="AA2086" s="84"/>
    </row>
    <row r="2087" ht="15.75" customHeight="1">
      <c r="A2087" s="14" t="s">
        <v>2137</v>
      </c>
      <c r="B2087" s="15" t="s">
        <v>22363</v>
      </c>
      <c r="C2087" s="14" t="s">
        <v>22461</v>
      </c>
      <c r="D2087" s="14" t="s">
        <v>22462</v>
      </c>
      <c r="E2087" s="26" t="str">
        <f t="shared" si="28"/>
        <v>http://dx.doi.org/10.1109/TVCG.2011.187</v>
      </c>
      <c r="F2087" s="14">
        <v>2268.0</v>
      </c>
      <c r="G2087" s="14">
        <v>2275.0</v>
      </c>
      <c r="H2087" s="14" t="s">
        <v>17059</v>
      </c>
      <c r="I2087" s="19" t="s">
        <v>22463</v>
      </c>
      <c r="J2087" s="19" t="s">
        <v>22464</v>
      </c>
      <c r="K2087" s="19" t="s">
        <v>22464</v>
      </c>
      <c r="L2087" s="19" t="s">
        <v>22465</v>
      </c>
      <c r="M2087" s="20" t="s">
        <v>22466</v>
      </c>
      <c r="N2087" s="44" t="s">
        <v>22467</v>
      </c>
      <c r="O2087" s="22">
        <v>50.0</v>
      </c>
      <c r="P2087" s="28">
        <v>9.0</v>
      </c>
      <c r="Q2087" s="28">
        <v>16.0</v>
      </c>
      <c r="R2087" s="84"/>
      <c r="S2087" s="84"/>
      <c r="T2087" s="84"/>
      <c r="U2087" s="84"/>
      <c r="V2087" s="84"/>
      <c r="W2087" s="84"/>
      <c r="X2087" s="84"/>
      <c r="Y2087" s="84"/>
      <c r="Z2087" s="84"/>
      <c r="AA2087" s="84"/>
    </row>
    <row r="2088" ht="15.75" customHeight="1">
      <c r="A2088" s="14" t="s">
        <v>2137</v>
      </c>
      <c r="B2088" s="15" t="s">
        <v>22363</v>
      </c>
      <c r="C2088" s="14" t="s">
        <v>22468</v>
      </c>
      <c r="D2088" s="14" t="s">
        <v>22469</v>
      </c>
      <c r="E2088" s="26" t="str">
        <f t="shared" si="28"/>
        <v>http://dx.doi.org/10.1109/TVCG.2011.188</v>
      </c>
      <c r="F2088" s="14">
        <v>2581.0</v>
      </c>
      <c r="G2088" s="14">
        <v>2590.0</v>
      </c>
      <c r="H2088" s="14" t="s">
        <v>17059</v>
      </c>
      <c r="I2088" s="19" t="s">
        <v>22470</v>
      </c>
      <c r="J2088" s="19" t="s">
        <v>22471</v>
      </c>
      <c r="K2088" s="19" t="s">
        <v>22471</v>
      </c>
      <c r="L2088" s="19" t="s">
        <v>22472</v>
      </c>
      <c r="M2088" s="20" t="s">
        <v>22473</v>
      </c>
      <c r="N2088" s="44" t="s">
        <v>22474</v>
      </c>
      <c r="O2088" s="22">
        <v>81.0</v>
      </c>
      <c r="P2088" s="28">
        <v>41.0</v>
      </c>
      <c r="Q2088" s="28">
        <v>40.0</v>
      </c>
      <c r="R2088" s="84"/>
      <c r="S2088" s="84"/>
      <c r="T2088" s="84"/>
      <c r="U2088" s="84"/>
      <c r="V2088" s="84"/>
      <c r="W2088" s="84"/>
      <c r="X2088" s="84"/>
      <c r="Y2088" s="84"/>
      <c r="Z2088" s="84"/>
      <c r="AA2088" s="84"/>
    </row>
    <row r="2089" ht="15.75" customHeight="1">
      <c r="A2089" s="14" t="s">
        <v>2137</v>
      </c>
      <c r="B2089" s="15" t="s">
        <v>22363</v>
      </c>
      <c r="C2089" s="14" t="s">
        <v>22475</v>
      </c>
      <c r="D2089" s="14" t="s">
        <v>22476</v>
      </c>
      <c r="E2089" s="26" t="str">
        <f t="shared" si="28"/>
        <v>http://dx.doi.org/10.1109/TVCG.2011.190</v>
      </c>
      <c r="F2089" s="14">
        <v>2354.0</v>
      </c>
      <c r="G2089" s="14">
        <v>2363.0</v>
      </c>
      <c r="H2089" s="14" t="s">
        <v>17059</v>
      </c>
      <c r="I2089" s="19" t="s">
        <v>22477</v>
      </c>
      <c r="J2089" s="19" t="s">
        <v>22478</v>
      </c>
      <c r="K2089" s="19" t="s">
        <v>22478</v>
      </c>
      <c r="L2089" s="19" t="s">
        <v>21313</v>
      </c>
      <c r="M2089" s="20" t="s">
        <v>22479</v>
      </c>
      <c r="N2089" s="44" t="s">
        <v>22480</v>
      </c>
      <c r="O2089" s="22">
        <v>96.0</v>
      </c>
      <c r="P2089" s="28">
        <v>50.0</v>
      </c>
      <c r="Q2089" s="28">
        <v>19.0</v>
      </c>
      <c r="R2089" s="84"/>
      <c r="S2089" s="84"/>
      <c r="T2089" s="84"/>
      <c r="U2089" s="84"/>
      <c r="V2089" s="84"/>
      <c r="W2089" s="84"/>
      <c r="X2089" s="84"/>
      <c r="Y2089" s="84"/>
      <c r="Z2089" s="84"/>
      <c r="AA2089" s="84"/>
    </row>
    <row r="2090" ht="15.75" customHeight="1">
      <c r="A2090" s="14" t="s">
        <v>2137</v>
      </c>
      <c r="B2090" s="15" t="s">
        <v>22363</v>
      </c>
      <c r="C2090" s="14" t="s">
        <v>22481</v>
      </c>
      <c r="D2090" s="14" t="s">
        <v>22482</v>
      </c>
      <c r="E2090" s="26" t="str">
        <f t="shared" si="28"/>
        <v>http://dx.doi.org/10.1109/TVCG.2011.191</v>
      </c>
      <c r="F2090" s="14">
        <v>2555.0</v>
      </c>
      <c r="G2090" s="14">
        <v>2562.0</v>
      </c>
      <c r="H2090" s="14" t="s">
        <v>17059</v>
      </c>
      <c r="I2090" s="19" t="s">
        <v>22483</v>
      </c>
      <c r="J2090" s="19" t="s">
        <v>22484</v>
      </c>
      <c r="K2090" s="19" t="s">
        <v>22484</v>
      </c>
      <c r="L2090" s="19" t="s">
        <v>22485</v>
      </c>
      <c r="M2090" s="20" t="s">
        <v>22486</v>
      </c>
      <c r="N2090" s="44" t="s">
        <v>22487</v>
      </c>
      <c r="O2090" s="22">
        <v>55.0</v>
      </c>
      <c r="P2090" s="28">
        <v>24.0</v>
      </c>
      <c r="Q2090" s="28">
        <v>33.0</v>
      </c>
      <c r="R2090" s="84"/>
      <c r="S2090" s="84"/>
      <c r="T2090" s="84"/>
      <c r="U2090" s="84"/>
      <c r="V2090" s="84"/>
      <c r="W2090" s="84"/>
      <c r="X2090" s="84"/>
      <c r="Y2090" s="84"/>
      <c r="Z2090" s="84"/>
      <c r="AA2090" s="84"/>
    </row>
    <row r="2091" ht="15.75" customHeight="1">
      <c r="A2091" s="14" t="s">
        <v>2137</v>
      </c>
      <c r="B2091" s="15" t="s">
        <v>22363</v>
      </c>
      <c r="C2091" s="14" t="s">
        <v>22488</v>
      </c>
      <c r="D2091" s="14" t="s">
        <v>22489</v>
      </c>
      <c r="E2091" s="26" t="str">
        <f t="shared" si="28"/>
        <v>http://dx.doi.org/10.1109/TVCG.2011.192</v>
      </c>
      <c r="F2091" s="14">
        <v>2479.0</v>
      </c>
      <c r="G2091" s="14">
        <v>2488.0</v>
      </c>
      <c r="H2091" s="14" t="s">
        <v>17059</v>
      </c>
      <c r="I2091" s="19" t="s">
        <v>22490</v>
      </c>
      <c r="J2091" s="19" t="s">
        <v>22491</v>
      </c>
      <c r="K2091" s="19" t="s">
        <v>22492</v>
      </c>
      <c r="L2091" s="19" t="s">
        <v>22493</v>
      </c>
      <c r="M2091" s="20" t="s">
        <v>22494</v>
      </c>
      <c r="N2091" s="44" t="s">
        <v>22495</v>
      </c>
      <c r="O2091" s="22">
        <v>76.0</v>
      </c>
      <c r="P2091" s="28">
        <v>51.0</v>
      </c>
      <c r="Q2091" s="28">
        <v>52.0</v>
      </c>
      <c r="R2091" s="84"/>
      <c r="S2091" s="84"/>
      <c r="T2091" s="84"/>
      <c r="U2091" s="84"/>
      <c r="V2091" s="84"/>
      <c r="W2091" s="84"/>
      <c r="X2091" s="84"/>
      <c r="Y2091" s="84"/>
      <c r="Z2091" s="84"/>
      <c r="AA2091" s="84"/>
    </row>
    <row r="2092" ht="15.75" customHeight="1">
      <c r="A2092" s="14" t="s">
        <v>2137</v>
      </c>
      <c r="B2092" s="15" t="s">
        <v>22363</v>
      </c>
      <c r="C2092" s="14" t="s">
        <v>22496</v>
      </c>
      <c r="D2092" s="14" t="s">
        <v>22497</v>
      </c>
      <c r="E2092" s="26" t="str">
        <f t="shared" si="28"/>
        <v>http://dx.doi.org/10.1109/TVCG.2011.193</v>
      </c>
      <c r="F2092" s="14">
        <v>2440.0</v>
      </c>
      <c r="G2092" s="14">
        <v>2448.0</v>
      </c>
      <c r="H2092" s="14" t="s">
        <v>17059</v>
      </c>
      <c r="I2092" s="19" t="s">
        <v>22498</v>
      </c>
      <c r="J2092" s="19" t="s">
        <v>22499</v>
      </c>
      <c r="K2092" s="19" t="s">
        <v>22500</v>
      </c>
      <c r="L2092" s="19" t="s">
        <v>22501</v>
      </c>
      <c r="M2092" s="20" t="s">
        <v>22502</v>
      </c>
      <c r="N2092" s="44" t="s">
        <v>22503</v>
      </c>
      <c r="O2092" s="22">
        <v>87.0</v>
      </c>
      <c r="P2092" s="28">
        <v>45.0</v>
      </c>
      <c r="Q2092" s="28">
        <v>24.0</v>
      </c>
      <c r="R2092" s="84"/>
      <c r="S2092" s="84"/>
      <c r="T2092" s="84"/>
      <c r="U2092" s="84"/>
      <c r="V2092" s="84"/>
      <c r="W2092" s="84"/>
      <c r="X2092" s="84"/>
      <c r="Y2092" s="84"/>
      <c r="Z2092" s="84"/>
      <c r="AA2092" s="84"/>
    </row>
    <row r="2093" ht="15.75" customHeight="1">
      <c r="A2093" s="14" t="s">
        <v>2137</v>
      </c>
      <c r="B2093" s="15" t="s">
        <v>22363</v>
      </c>
      <c r="C2093" s="14" t="s">
        <v>22504</v>
      </c>
      <c r="D2093" s="14" t="s">
        <v>22505</v>
      </c>
      <c r="E2093" s="26" t="str">
        <f t="shared" si="28"/>
        <v>http://dx.doi.org/10.1109/TVCG.2011.195</v>
      </c>
      <c r="F2093" s="14">
        <v>2422.0</v>
      </c>
      <c r="G2093" s="14">
        <v>2431.0</v>
      </c>
      <c r="H2093" s="14" t="s">
        <v>17059</v>
      </c>
      <c r="I2093" s="19" t="s">
        <v>22506</v>
      </c>
      <c r="J2093" s="19" t="s">
        <v>22507</v>
      </c>
      <c r="K2093" s="19" t="s">
        <v>22507</v>
      </c>
      <c r="L2093" s="19" t="s">
        <v>22508</v>
      </c>
      <c r="M2093" s="20" t="s">
        <v>22509</v>
      </c>
      <c r="N2093" s="44" t="s">
        <v>22510</v>
      </c>
      <c r="O2093" s="22">
        <v>50.0</v>
      </c>
      <c r="P2093" s="28">
        <v>23.0</v>
      </c>
      <c r="Q2093" s="28">
        <v>41.0</v>
      </c>
      <c r="R2093" s="84"/>
      <c r="S2093" s="84"/>
      <c r="T2093" s="84"/>
      <c r="U2093" s="84"/>
      <c r="V2093" s="84"/>
      <c r="W2093" s="84"/>
      <c r="X2093" s="84"/>
      <c r="Y2093" s="84"/>
      <c r="Z2093" s="84"/>
      <c r="AA2093" s="84"/>
    </row>
    <row r="2094" ht="15.75" customHeight="1">
      <c r="A2094" s="14" t="s">
        <v>2137</v>
      </c>
      <c r="B2094" s="15" t="s">
        <v>22363</v>
      </c>
      <c r="C2094" s="14" t="s">
        <v>22511</v>
      </c>
      <c r="D2094" s="14" t="s">
        <v>22512</v>
      </c>
      <c r="E2094" s="26" t="str">
        <f t="shared" si="28"/>
        <v>http://dx.doi.org/10.1109/TVCG.2011.196</v>
      </c>
      <c r="F2094" s="14">
        <v>2489.0</v>
      </c>
      <c r="G2094" s="14">
        <v>2497.0</v>
      </c>
      <c r="H2094" s="14" t="s">
        <v>17059</v>
      </c>
      <c r="I2094" s="19" t="s">
        <v>22513</v>
      </c>
      <c r="J2094" s="19" t="s">
        <v>22514</v>
      </c>
      <c r="K2094" s="19" t="s">
        <v>22514</v>
      </c>
      <c r="L2094" s="19" t="s">
        <v>22515</v>
      </c>
      <c r="M2094" s="20" t="s">
        <v>22516</v>
      </c>
      <c r="N2094" s="44" t="s">
        <v>22517</v>
      </c>
      <c r="O2094" s="22">
        <v>67.0</v>
      </c>
      <c r="P2094" s="28">
        <v>30.0</v>
      </c>
      <c r="Q2094" s="28">
        <v>31.0</v>
      </c>
      <c r="R2094" s="84"/>
      <c r="S2094" s="84"/>
      <c r="T2094" s="84"/>
      <c r="U2094" s="84"/>
      <c r="V2094" s="84"/>
      <c r="W2094" s="84"/>
      <c r="X2094" s="84"/>
      <c r="Y2094" s="84"/>
      <c r="Z2094" s="84"/>
      <c r="AA2094" s="84"/>
    </row>
    <row r="2095" ht="15.75" customHeight="1">
      <c r="A2095" s="14" t="s">
        <v>2137</v>
      </c>
      <c r="B2095" s="15" t="s">
        <v>22363</v>
      </c>
      <c r="C2095" s="14" t="s">
        <v>22518</v>
      </c>
      <c r="D2095" s="14" t="s">
        <v>22519</v>
      </c>
      <c r="E2095" s="26" t="str">
        <f t="shared" si="28"/>
        <v>http://dx.doi.org/10.1109/TVCG.2011.197</v>
      </c>
      <c r="F2095" s="14">
        <v>2545.0</v>
      </c>
      <c r="G2095" s="14">
        <v>2554.0</v>
      </c>
      <c r="H2095" s="14" t="s">
        <v>17059</v>
      </c>
      <c r="I2095" s="19" t="s">
        <v>22520</v>
      </c>
      <c r="J2095" s="19" t="s">
        <v>20107</v>
      </c>
      <c r="K2095" s="19" t="s">
        <v>20107</v>
      </c>
      <c r="L2095" s="19" t="s">
        <v>22521</v>
      </c>
      <c r="M2095" s="20" t="s">
        <v>22522</v>
      </c>
      <c r="N2095" s="44" t="s">
        <v>22523</v>
      </c>
      <c r="O2095" s="22">
        <v>50.0</v>
      </c>
      <c r="P2095" s="28">
        <v>29.0</v>
      </c>
      <c r="Q2095" s="28">
        <v>58.0</v>
      </c>
      <c r="R2095" s="84"/>
      <c r="S2095" s="84"/>
      <c r="T2095" s="84"/>
      <c r="U2095" s="84"/>
      <c r="V2095" s="84"/>
      <c r="W2095" s="84"/>
      <c r="X2095" s="84"/>
      <c r="Y2095" s="84"/>
      <c r="Z2095" s="84"/>
      <c r="AA2095" s="84"/>
    </row>
    <row r="2096" ht="15.75" customHeight="1">
      <c r="A2096" s="14" t="s">
        <v>2137</v>
      </c>
      <c r="B2096" s="15" t="s">
        <v>22363</v>
      </c>
      <c r="C2096" s="14" t="s">
        <v>22524</v>
      </c>
      <c r="D2096" s="14" t="s">
        <v>22525</v>
      </c>
      <c r="E2096" s="26" t="str">
        <f t="shared" si="28"/>
        <v>http://dx.doi.org/10.1109/TVCG.2011.201</v>
      </c>
      <c r="F2096" s="14">
        <v>2310.0</v>
      </c>
      <c r="G2096" s="14">
        <v>2316.0</v>
      </c>
      <c r="H2096" s="14" t="s">
        <v>17059</v>
      </c>
      <c r="I2096" s="19" t="s">
        <v>22526</v>
      </c>
      <c r="J2096" s="19" t="s">
        <v>22527</v>
      </c>
      <c r="K2096" s="19" t="s">
        <v>22528</v>
      </c>
      <c r="L2096" s="19" t="s">
        <v>22529</v>
      </c>
      <c r="M2096" s="20" t="s">
        <v>22530</v>
      </c>
      <c r="N2096" s="44" t="s">
        <v>22531</v>
      </c>
      <c r="O2096" s="109"/>
      <c r="P2096" s="28">
        <v>53.0</v>
      </c>
      <c r="Q2096" s="28">
        <v>21.0</v>
      </c>
      <c r="R2096" s="84"/>
      <c r="S2096" s="84"/>
      <c r="T2096" s="84"/>
      <c r="U2096" s="84"/>
      <c r="V2096" s="84"/>
      <c r="W2096" s="84"/>
      <c r="X2096" s="84"/>
      <c r="Y2096" s="84"/>
      <c r="Z2096" s="84"/>
      <c r="AA2096" s="84"/>
    </row>
    <row r="2097" ht="15.75" customHeight="1">
      <c r="A2097" s="14" t="s">
        <v>2137</v>
      </c>
      <c r="B2097" s="15" t="s">
        <v>22363</v>
      </c>
      <c r="C2097" s="14" t="s">
        <v>22532</v>
      </c>
      <c r="D2097" s="14" t="s">
        <v>22533</v>
      </c>
      <c r="E2097" s="26" t="str">
        <f t="shared" si="28"/>
        <v>http://dx.doi.org/10.1109/TVCG.2011.202</v>
      </c>
      <c r="F2097" s="14">
        <v>2536.0</v>
      </c>
      <c r="G2097" s="14">
        <v>2544.0</v>
      </c>
      <c r="H2097" s="14" t="s">
        <v>17059</v>
      </c>
      <c r="I2097" s="19" t="s">
        <v>22534</v>
      </c>
      <c r="J2097" s="19" t="s">
        <v>22535</v>
      </c>
      <c r="K2097" s="19" t="s">
        <v>22535</v>
      </c>
      <c r="L2097" s="19" t="s">
        <v>22536</v>
      </c>
      <c r="M2097" s="20" t="s">
        <v>22537</v>
      </c>
      <c r="N2097" s="44" t="s">
        <v>22538</v>
      </c>
      <c r="O2097" s="22">
        <v>96.0</v>
      </c>
      <c r="P2097" s="28">
        <v>52.0</v>
      </c>
      <c r="Q2097" s="28">
        <v>23.0</v>
      </c>
      <c r="R2097" s="84"/>
      <c r="S2097" s="84"/>
      <c r="T2097" s="84"/>
      <c r="U2097" s="84"/>
      <c r="V2097" s="84"/>
      <c r="W2097" s="84"/>
      <c r="X2097" s="84"/>
      <c r="Y2097" s="84"/>
      <c r="Z2097" s="84"/>
      <c r="AA2097" s="84"/>
    </row>
    <row r="2098" ht="15.75" customHeight="1">
      <c r="A2098" s="14" t="s">
        <v>2137</v>
      </c>
      <c r="B2098" s="15" t="s">
        <v>22363</v>
      </c>
      <c r="C2098" s="14" t="s">
        <v>22539</v>
      </c>
      <c r="D2098" s="14" t="s">
        <v>22540</v>
      </c>
      <c r="E2098" s="26" t="str">
        <f t="shared" si="28"/>
        <v>http://dx.doi.org/10.1109/TVCG.2011.205</v>
      </c>
      <c r="F2098" s="14">
        <v>2528.0</v>
      </c>
      <c r="G2098" s="14">
        <v>2535.0</v>
      </c>
      <c r="H2098" s="14" t="s">
        <v>17059</v>
      </c>
      <c r="I2098" s="19" t="s">
        <v>22541</v>
      </c>
      <c r="J2098" s="19" t="s">
        <v>22542</v>
      </c>
      <c r="K2098" s="19" t="s">
        <v>22542</v>
      </c>
      <c r="L2098" s="19" t="s">
        <v>22543</v>
      </c>
      <c r="M2098" s="20" t="s">
        <v>22544</v>
      </c>
      <c r="N2098" s="44" t="s">
        <v>22545</v>
      </c>
      <c r="O2098" s="22">
        <v>59.0</v>
      </c>
      <c r="P2098" s="28">
        <v>25.0</v>
      </c>
      <c r="Q2098" s="28">
        <v>26.0</v>
      </c>
      <c r="R2098" s="84"/>
      <c r="S2098" s="84"/>
      <c r="T2098" s="84"/>
      <c r="U2098" s="84"/>
      <c r="V2098" s="84"/>
      <c r="W2098" s="84"/>
      <c r="X2098" s="84"/>
      <c r="Y2098" s="84"/>
      <c r="Z2098" s="84"/>
      <c r="AA2098" s="84"/>
    </row>
    <row r="2099" ht="15.75" customHeight="1">
      <c r="A2099" s="14" t="s">
        <v>2137</v>
      </c>
      <c r="B2099" s="15" t="s">
        <v>22363</v>
      </c>
      <c r="C2099" s="14" t="s">
        <v>22546</v>
      </c>
      <c r="D2099" s="14" t="s">
        <v>22547</v>
      </c>
      <c r="E2099" s="26" t="str">
        <f t="shared" si="28"/>
        <v>http://dx.doi.org/10.1109/TVCG.2011.209</v>
      </c>
      <c r="F2099" s="14">
        <v>2498.0</v>
      </c>
      <c r="G2099" s="14">
        <v>2507.0</v>
      </c>
      <c r="H2099" s="14" t="s">
        <v>17059</v>
      </c>
      <c r="I2099" s="19" t="s">
        <v>22548</v>
      </c>
      <c r="J2099" s="19" t="s">
        <v>22549</v>
      </c>
      <c r="K2099" s="19" t="s">
        <v>22549</v>
      </c>
      <c r="L2099" s="19" t="s">
        <v>19199</v>
      </c>
      <c r="M2099" s="20" t="s">
        <v>22550</v>
      </c>
      <c r="N2099" s="44" t="s">
        <v>22551</v>
      </c>
      <c r="O2099" s="22">
        <v>50.0</v>
      </c>
      <c r="P2099" s="28">
        <v>33.0</v>
      </c>
      <c r="Q2099" s="28">
        <v>70.0</v>
      </c>
      <c r="R2099" s="84"/>
      <c r="S2099" s="84"/>
      <c r="T2099" s="84"/>
      <c r="U2099" s="84"/>
      <c r="V2099" s="84"/>
      <c r="W2099" s="84"/>
      <c r="X2099" s="84"/>
      <c r="Y2099" s="84"/>
      <c r="Z2099" s="84"/>
      <c r="AA2099" s="84"/>
    </row>
    <row r="2100" ht="15.75" customHeight="1">
      <c r="A2100" s="14" t="s">
        <v>2137</v>
      </c>
      <c r="B2100" s="15" t="s">
        <v>22363</v>
      </c>
      <c r="C2100" s="14" t="s">
        <v>22552</v>
      </c>
      <c r="D2100" s="14" t="s">
        <v>22553</v>
      </c>
      <c r="E2100" s="26" t="str">
        <f t="shared" si="28"/>
        <v>http://dx.doi.org/10.1109/TVCG.2011.212</v>
      </c>
      <c r="F2100" s="14">
        <v>2459.0</v>
      </c>
      <c r="G2100" s="14">
        <v>2468.0</v>
      </c>
      <c r="H2100" s="14" t="s">
        <v>17059</v>
      </c>
      <c r="I2100" s="19" t="s">
        <v>22554</v>
      </c>
      <c r="J2100" s="19" t="s">
        <v>22555</v>
      </c>
      <c r="K2100" s="19" t="s">
        <v>22556</v>
      </c>
      <c r="L2100" s="19" t="s">
        <v>22557</v>
      </c>
      <c r="M2100" s="20" t="s">
        <v>22558</v>
      </c>
      <c r="N2100" s="44" t="s">
        <v>22559</v>
      </c>
      <c r="O2100" s="22">
        <v>40.0</v>
      </c>
      <c r="P2100" s="28">
        <v>19.0</v>
      </c>
      <c r="Q2100" s="28">
        <v>42.0</v>
      </c>
      <c r="R2100" s="84"/>
      <c r="S2100" s="84"/>
      <c r="T2100" s="84"/>
      <c r="U2100" s="84"/>
      <c r="V2100" s="84"/>
      <c r="W2100" s="84"/>
      <c r="X2100" s="84"/>
      <c r="Y2100" s="84"/>
      <c r="Z2100" s="84"/>
      <c r="AA2100" s="84"/>
    </row>
    <row r="2101" ht="15.75" customHeight="1">
      <c r="A2101" s="14" t="s">
        <v>2137</v>
      </c>
      <c r="B2101" s="15" t="s">
        <v>22363</v>
      </c>
      <c r="C2101" s="14" t="s">
        <v>22560</v>
      </c>
      <c r="D2101" s="14" t="s">
        <v>22561</v>
      </c>
      <c r="E2101" s="26" t="str">
        <f t="shared" si="28"/>
        <v>http://dx.doi.org/10.1109/TVCG.2011.213</v>
      </c>
      <c r="F2101" s="14">
        <v>2334.0</v>
      </c>
      <c r="G2101" s="14">
        <v>2343.0</v>
      </c>
      <c r="H2101" s="14" t="s">
        <v>17059</v>
      </c>
      <c r="I2101" s="19" t="s">
        <v>22562</v>
      </c>
      <c r="J2101" s="19" t="s">
        <v>22563</v>
      </c>
      <c r="K2101" s="19" t="s">
        <v>22564</v>
      </c>
      <c r="L2101" s="19" t="s">
        <v>22565</v>
      </c>
      <c r="M2101" s="20" t="s">
        <v>22566</v>
      </c>
      <c r="N2101" s="44" t="s">
        <v>22567</v>
      </c>
      <c r="O2101" s="22">
        <v>53.0</v>
      </c>
      <c r="P2101" s="28">
        <v>27.0</v>
      </c>
      <c r="Q2101" s="28">
        <v>51.0</v>
      </c>
      <c r="R2101" s="84"/>
      <c r="S2101" s="84"/>
      <c r="T2101" s="84"/>
      <c r="U2101" s="84"/>
      <c r="V2101" s="84"/>
      <c r="W2101" s="84"/>
      <c r="X2101" s="84"/>
      <c r="Y2101" s="84"/>
      <c r="Z2101" s="84"/>
      <c r="AA2101" s="84"/>
    </row>
    <row r="2102" ht="15.75" customHeight="1">
      <c r="A2102" s="14" t="s">
        <v>2137</v>
      </c>
      <c r="B2102" s="15" t="s">
        <v>22363</v>
      </c>
      <c r="C2102" s="14" t="s">
        <v>22568</v>
      </c>
      <c r="D2102" s="14" t="s">
        <v>22569</v>
      </c>
      <c r="E2102" s="26" t="str">
        <f t="shared" si="28"/>
        <v>http://dx.doi.org/10.1109/TVCG.2011.220</v>
      </c>
      <c r="F2102" s="14">
        <v>2563.0</v>
      </c>
      <c r="G2102" s="14">
        <v>2571.0</v>
      </c>
      <c r="H2102" s="14" t="s">
        <v>17059</v>
      </c>
      <c r="I2102" s="19" t="s">
        <v>22570</v>
      </c>
      <c r="J2102" s="19" t="s">
        <v>22571</v>
      </c>
      <c r="K2102" s="19" t="s">
        <v>22572</v>
      </c>
      <c r="L2102" s="19" t="s">
        <v>22573</v>
      </c>
      <c r="M2102" s="20" t="s">
        <v>22574</v>
      </c>
      <c r="N2102" s="44" t="s">
        <v>22575</v>
      </c>
      <c r="O2102" s="22">
        <v>132.0</v>
      </c>
      <c r="P2102" s="28">
        <v>80.0</v>
      </c>
      <c r="Q2102" s="28">
        <v>36.0</v>
      </c>
      <c r="R2102" s="85" t="s">
        <v>19037</v>
      </c>
      <c r="S2102" s="84"/>
      <c r="T2102" s="84"/>
      <c r="U2102" s="84"/>
      <c r="V2102" s="84"/>
      <c r="W2102" s="84"/>
      <c r="X2102" s="84"/>
      <c r="Y2102" s="84"/>
      <c r="Z2102" s="84"/>
      <c r="AA2102" s="84"/>
    </row>
    <row r="2103" ht="15.75" customHeight="1">
      <c r="A2103" s="14" t="s">
        <v>2137</v>
      </c>
      <c r="B2103" s="15" t="s">
        <v>22363</v>
      </c>
      <c r="C2103" s="14" t="s">
        <v>22576</v>
      </c>
      <c r="D2103" s="14" t="s">
        <v>22577</v>
      </c>
      <c r="E2103" s="26" t="str">
        <f t="shared" si="28"/>
        <v>http://dx.doi.org/10.1109/TVCG.2011.223</v>
      </c>
      <c r="F2103" s="14">
        <v>2600.0</v>
      </c>
      <c r="G2103" s="14">
        <v>2609.0</v>
      </c>
      <c r="H2103" s="14" t="s">
        <v>17059</v>
      </c>
      <c r="I2103" s="19" t="s">
        <v>22578</v>
      </c>
      <c r="J2103" s="19" t="s">
        <v>22579</v>
      </c>
      <c r="K2103" s="19" t="s">
        <v>22579</v>
      </c>
      <c r="L2103" s="19" t="s">
        <v>22580</v>
      </c>
      <c r="M2103" s="20" t="s">
        <v>22581</v>
      </c>
      <c r="N2103" s="44" t="s">
        <v>22582</v>
      </c>
      <c r="O2103" s="22">
        <v>57.0</v>
      </c>
      <c r="P2103" s="28">
        <v>26.0</v>
      </c>
      <c r="Q2103" s="28">
        <v>35.0</v>
      </c>
      <c r="R2103" s="84"/>
      <c r="S2103" s="84"/>
      <c r="T2103" s="84"/>
      <c r="U2103" s="84"/>
      <c r="V2103" s="84"/>
      <c r="W2103" s="84"/>
      <c r="X2103" s="84"/>
      <c r="Y2103" s="84"/>
      <c r="Z2103" s="84"/>
      <c r="AA2103" s="84"/>
    </row>
    <row r="2104" ht="15.75" customHeight="1">
      <c r="A2104" s="14" t="s">
        <v>2137</v>
      </c>
      <c r="B2104" s="15" t="s">
        <v>22363</v>
      </c>
      <c r="C2104" s="14" t="s">
        <v>22583</v>
      </c>
      <c r="D2104" s="14" t="s">
        <v>22584</v>
      </c>
      <c r="E2104" s="26" t="str">
        <f t="shared" si="28"/>
        <v>http://dx.doi.org/10.1109/TVCG.2011.226</v>
      </c>
      <c r="F2104" s="14">
        <v>2344.0</v>
      </c>
      <c r="G2104" s="14">
        <v>2353.0</v>
      </c>
      <c r="H2104" s="14" t="s">
        <v>17059</v>
      </c>
      <c r="I2104" s="19" t="s">
        <v>22585</v>
      </c>
      <c r="J2104" s="19" t="s">
        <v>22586</v>
      </c>
      <c r="K2104" s="19" t="s">
        <v>22587</v>
      </c>
      <c r="L2104" s="19" t="s">
        <v>22588</v>
      </c>
      <c r="M2104" s="20" t="s">
        <v>22589</v>
      </c>
      <c r="N2104" s="44" t="s">
        <v>22590</v>
      </c>
      <c r="O2104" s="22">
        <v>117.0</v>
      </c>
      <c r="P2104" s="28">
        <v>71.0</v>
      </c>
      <c r="Q2104" s="28">
        <v>40.0</v>
      </c>
      <c r="R2104" s="84"/>
      <c r="S2104" s="84"/>
      <c r="T2104" s="84"/>
      <c r="U2104" s="84"/>
      <c r="V2104" s="84"/>
      <c r="W2104" s="84"/>
      <c r="X2104" s="84"/>
      <c r="Y2104" s="84"/>
      <c r="Z2104" s="84"/>
      <c r="AA2104" s="84"/>
    </row>
    <row r="2105" ht="15.75" customHeight="1">
      <c r="A2105" s="14" t="s">
        <v>2137</v>
      </c>
      <c r="B2105" s="15" t="s">
        <v>22363</v>
      </c>
      <c r="C2105" s="14" t="s">
        <v>22591</v>
      </c>
      <c r="D2105" s="14" t="s">
        <v>22592</v>
      </c>
      <c r="E2105" s="26" t="str">
        <f t="shared" si="28"/>
        <v>http://dx.doi.org/10.1109/TVCG.2011.227</v>
      </c>
      <c r="F2105" s="14">
        <v>2223.0</v>
      </c>
      <c r="G2105" s="14">
        <v>2230.0</v>
      </c>
      <c r="H2105" s="14" t="s">
        <v>17059</v>
      </c>
      <c r="I2105" s="19" t="s">
        <v>22593</v>
      </c>
      <c r="J2105" s="19" t="s">
        <v>22594</v>
      </c>
      <c r="K2105" s="19" t="s">
        <v>22594</v>
      </c>
      <c r="L2105" s="19" t="s">
        <v>22595</v>
      </c>
      <c r="M2105" s="20" t="s">
        <v>22596</v>
      </c>
      <c r="N2105" s="44" t="s">
        <v>22597</v>
      </c>
      <c r="O2105" s="22">
        <v>50.0</v>
      </c>
      <c r="P2105" s="28">
        <v>20.0</v>
      </c>
      <c r="Q2105" s="28">
        <v>52.0</v>
      </c>
      <c r="R2105" s="84"/>
      <c r="S2105" s="84"/>
      <c r="T2105" s="84"/>
      <c r="U2105" s="84"/>
      <c r="V2105" s="84"/>
      <c r="W2105" s="84"/>
      <c r="X2105" s="84"/>
      <c r="Y2105" s="84"/>
      <c r="Z2105" s="84"/>
      <c r="AA2105" s="84"/>
    </row>
    <row r="2106" ht="15.75" customHeight="1">
      <c r="A2106" s="14" t="s">
        <v>2137</v>
      </c>
      <c r="B2106" s="15" t="s">
        <v>22363</v>
      </c>
      <c r="C2106" s="14" t="s">
        <v>22598</v>
      </c>
      <c r="D2106" s="14" t="s">
        <v>22599</v>
      </c>
      <c r="E2106" s="26" t="str">
        <f t="shared" si="28"/>
        <v>http://dx.doi.org/10.1109/TVCG.2011.229</v>
      </c>
      <c r="F2106" s="14">
        <v>2203.0</v>
      </c>
      <c r="G2106" s="14">
        <v>2212.0</v>
      </c>
      <c r="H2106" s="14" t="s">
        <v>17059</v>
      </c>
      <c r="I2106" s="19" t="s">
        <v>22600</v>
      </c>
      <c r="J2106" s="19" t="s">
        <v>22601</v>
      </c>
      <c r="K2106" s="19" t="s">
        <v>22602</v>
      </c>
      <c r="L2106" s="19" t="s">
        <v>15441</v>
      </c>
      <c r="M2106" s="20" t="s">
        <v>22603</v>
      </c>
      <c r="N2106" s="44" t="s">
        <v>22604</v>
      </c>
      <c r="O2106" s="22">
        <v>131.0</v>
      </c>
      <c r="P2106" s="28">
        <v>97.0</v>
      </c>
      <c r="Q2106" s="28">
        <v>60.0</v>
      </c>
      <c r="R2106" s="84"/>
      <c r="S2106" s="84"/>
      <c r="T2106" s="84"/>
      <c r="U2106" s="84"/>
      <c r="V2106" s="84"/>
      <c r="W2106" s="84"/>
      <c r="X2106" s="84"/>
      <c r="Y2106" s="84"/>
      <c r="Z2106" s="84"/>
      <c r="AA2106" s="84"/>
    </row>
    <row r="2107" ht="15.75" customHeight="1">
      <c r="A2107" s="14" t="s">
        <v>2137</v>
      </c>
      <c r="B2107" s="15" t="s">
        <v>22363</v>
      </c>
      <c r="C2107" s="14" t="s">
        <v>22605</v>
      </c>
      <c r="D2107" s="14" t="s">
        <v>22606</v>
      </c>
      <c r="E2107" s="26" t="str">
        <f t="shared" si="28"/>
        <v>http://dx.doi.org/10.1109/TVCG.2011.232</v>
      </c>
      <c r="F2107" s="14">
        <v>2392.0</v>
      </c>
      <c r="G2107" s="14">
        <v>2401.0</v>
      </c>
      <c r="H2107" s="14" t="s">
        <v>17059</v>
      </c>
      <c r="I2107" s="19" t="s">
        <v>22607</v>
      </c>
      <c r="J2107" s="19" t="s">
        <v>22608</v>
      </c>
      <c r="K2107" s="19" t="s">
        <v>22609</v>
      </c>
      <c r="L2107" s="19" t="s">
        <v>22610</v>
      </c>
      <c r="M2107" s="20" t="s">
        <v>22611</v>
      </c>
      <c r="N2107" s="44" t="s">
        <v>22612</v>
      </c>
      <c r="O2107" s="22">
        <v>50.0</v>
      </c>
      <c r="P2107" s="28">
        <v>17.0</v>
      </c>
      <c r="Q2107" s="28">
        <v>34.0</v>
      </c>
      <c r="R2107" s="84"/>
      <c r="S2107" s="84"/>
      <c r="T2107" s="84"/>
      <c r="U2107" s="84"/>
      <c r="V2107" s="84"/>
      <c r="W2107" s="84"/>
      <c r="X2107" s="84"/>
      <c r="Y2107" s="84"/>
      <c r="Z2107" s="84"/>
      <c r="AA2107" s="84"/>
    </row>
    <row r="2108" ht="15.75" customHeight="1">
      <c r="A2108" s="14" t="s">
        <v>2137</v>
      </c>
      <c r="B2108" s="15" t="s">
        <v>22363</v>
      </c>
      <c r="C2108" s="14" t="s">
        <v>22613</v>
      </c>
      <c r="D2108" s="14" t="s">
        <v>22614</v>
      </c>
      <c r="E2108" s="26" t="str">
        <f t="shared" si="28"/>
        <v>http://dx.doi.org/10.1109/TVCG.2011.233</v>
      </c>
      <c r="F2108" s="14">
        <v>2364.0</v>
      </c>
      <c r="G2108" s="14">
        <v>2373.0</v>
      </c>
      <c r="H2108" s="14" t="s">
        <v>17059</v>
      </c>
      <c r="I2108" s="19" t="s">
        <v>22615</v>
      </c>
      <c r="J2108" s="19" t="s">
        <v>22616</v>
      </c>
      <c r="K2108" s="19" t="s">
        <v>22617</v>
      </c>
      <c r="L2108" s="19" t="s">
        <v>22618</v>
      </c>
      <c r="M2108" s="20" t="s">
        <v>22619</v>
      </c>
      <c r="N2108" s="44" t="s">
        <v>22620</v>
      </c>
      <c r="O2108" s="22">
        <v>105.0</v>
      </c>
      <c r="P2108" s="28">
        <v>64.0</v>
      </c>
      <c r="Q2108" s="28">
        <v>36.0</v>
      </c>
      <c r="R2108" s="84"/>
      <c r="S2108" s="84"/>
      <c r="T2108" s="84"/>
      <c r="U2108" s="84"/>
      <c r="V2108" s="84"/>
      <c r="W2108" s="84"/>
      <c r="X2108" s="84"/>
      <c r="Y2108" s="84"/>
      <c r="Z2108" s="84"/>
      <c r="AA2108" s="84"/>
    </row>
    <row r="2109" ht="15.75" customHeight="1">
      <c r="A2109" s="14" t="s">
        <v>2137</v>
      </c>
      <c r="B2109" s="15" t="s">
        <v>22363</v>
      </c>
      <c r="C2109" s="14" t="s">
        <v>22621</v>
      </c>
      <c r="D2109" s="14" t="s">
        <v>22622</v>
      </c>
      <c r="E2109" s="26" t="str">
        <f t="shared" si="28"/>
        <v>http://dx.doi.org/10.1109/TVCG.2011.234</v>
      </c>
      <c r="F2109" s="14">
        <v>2325.0</v>
      </c>
      <c r="G2109" s="14">
        <v>2333.0</v>
      </c>
      <c r="H2109" s="14" t="s">
        <v>17059</v>
      </c>
      <c r="I2109" s="19" t="s">
        <v>22623</v>
      </c>
      <c r="J2109" s="19" t="s">
        <v>22624</v>
      </c>
      <c r="K2109" s="19" t="s">
        <v>22625</v>
      </c>
      <c r="L2109" s="19" t="s">
        <v>22626</v>
      </c>
      <c r="M2109" s="20" t="s">
        <v>22627</v>
      </c>
      <c r="N2109" s="44" t="s">
        <v>22628</v>
      </c>
      <c r="O2109" s="22">
        <v>57.0</v>
      </c>
      <c r="P2109" s="28">
        <v>30.0</v>
      </c>
      <c r="Q2109" s="28">
        <v>30.0</v>
      </c>
      <c r="R2109" s="84"/>
      <c r="S2109" s="84"/>
      <c r="T2109" s="84"/>
      <c r="U2109" s="84"/>
      <c r="V2109" s="84"/>
      <c r="W2109" s="84"/>
      <c r="X2109" s="84"/>
      <c r="Y2109" s="84"/>
      <c r="Z2109" s="84"/>
      <c r="AA2109" s="84"/>
    </row>
    <row r="2110" ht="15.75" customHeight="1">
      <c r="A2110" s="14" t="s">
        <v>2137</v>
      </c>
      <c r="B2110" s="15" t="s">
        <v>22363</v>
      </c>
      <c r="C2110" s="14" t="s">
        <v>22629</v>
      </c>
      <c r="D2110" s="14" t="s">
        <v>22630</v>
      </c>
      <c r="E2110" s="26" t="str">
        <f t="shared" si="28"/>
        <v>http://dx.doi.org/10.1109/TVCG.2011.237</v>
      </c>
      <c r="F2110" s="14">
        <v>2317.0</v>
      </c>
      <c r="G2110" s="14">
        <v>2324.0</v>
      </c>
      <c r="H2110" s="14" t="s">
        <v>17059</v>
      </c>
      <c r="I2110" s="19" t="s">
        <v>22631</v>
      </c>
      <c r="J2110" s="19" t="s">
        <v>22632</v>
      </c>
      <c r="K2110" s="19" t="s">
        <v>22633</v>
      </c>
      <c r="L2110" s="19" t="s">
        <v>22634</v>
      </c>
      <c r="M2110" s="20" t="s">
        <v>22635</v>
      </c>
      <c r="N2110" s="44" t="s">
        <v>22636</v>
      </c>
      <c r="O2110" s="22">
        <v>50.0</v>
      </c>
      <c r="P2110" s="28">
        <v>14.0</v>
      </c>
      <c r="Q2110" s="28">
        <v>20.0</v>
      </c>
      <c r="R2110" s="84"/>
      <c r="S2110" s="84"/>
      <c r="T2110" s="84"/>
      <c r="U2110" s="84"/>
      <c r="V2110" s="84"/>
      <c r="W2110" s="84"/>
      <c r="X2110" s="84"/>
      <c r="Y2110" s="84"/>
      <c r="Z2110" s="84"/>
      <c r="AA2110" s="84"/>
    </row>
    <row r="2111" ht="15.75" customHeight="1">
      <c r="A2111" s="14" t="s">
        <v>2137</v>
      </c>
      <c r="B2111" s="15" t="s">
        <v>22363</v>
      </c>
      <c r="C2111" s="14" t="s">
        <v>22637</v>
      </c>
      <c r="D2111" s="14" t="s">
        <v>22638</v>
      </c>
      <c r="E2111" s="26" t="str">
        <f t="shared" si="28"/>
        <v>http://dx.doi.org/10.1109/TVCG.2011.239</v>
      </c>
      <c r="F2111" s="14">
        <v>2412.0</v>
      </c>
      <c r="G2111" s="14">
        <v>2421.0</v>
      </c>
      <c r="H2111" s="14" t="s">
        <v>17059</v>
      </c>
      <c r="I2111" s="19" t="s">
        <v>22640</v>
      </c>
      <c r="J2111" s="19" t="s">
        <v>22641</v>
      </c>
      <c r="K2111" s="19" t="s">
        <v>22641</v>
      </c>
      <c r="L2111" s="19" t="s">
        <v>22642</v>
      </c>
      <c r="M2111" s="20" t="s">
        <v>22643</v>
      </c>
      <c r="N2111" s="44" t="s">
        <v>22644</v>
      </c>
      <c r="O2111" s="22">
        <v>263.0</v>
      </c>
      <c r="P2111" s="28">
        <v>131.0</v>
      </c>
      <c r="Q2111" s="28">
        <v>35.0</v>
      </c>
      <c r="R2111" s="84"/>
      <c r="S2111" s="84"/>
      <c r="T2111" s="84"/>
      <c r="U2111" s="84"/>
      <c r="V2111" s="84"/>
      <c r="W2111" s="84"/>
      <c r="X2111" s="84"/>
      <c r="Y2111" s="84"/>
      <c r="Z2111" s="84"/>
      <c r="AA2111" s="84"/>
    </row>
    <row r="2112" ht="15.75" customHeight="1">
      <c r="A2112" s="14" t="s">
        <v>2137</v>
      </c>
      <c r="B2112" s="15" t="s">
        <v>22363</v>
      </c>
      <c r="C2112" s="14" t="s">
        <v>22645</v>
      </c>
      <c r="D2112" s="14" t="s">
        <v>22646</v>
      </c>
      <c r="E2112" s="26" t="str">
        <f t="shared" si="28"/>
        <v>http://dx.doi.org/10.1109/TVCG.2011.247</v>
      </c>
      <c r="F2112" s="14">
        <v>2449.0</v>
      </c>
      <c r="G2112" s="14">
        <v>2458.0</v>
      </c>
      <c r="H2112" s="14" t="s">
        <v>17059</v>
      </c>
      <c r="I2112" s="19" t="s">
        <v>22647</v>
      </c>
      <c r="J2112" s="19" t="s">
        <v>22648</v>
      </c>
      <c r="K2112" s="19" t="s">
        <v>22649</v>
      </c>
      <c r="L2112" s="19" t="s">
        <v>22650</v>
      </c>
      <c r="M2112" s="20" t="s">
        <v>22651</v>
      </c>
      <c r="N2112" s="44" t="s">
        <v>22652</v>
      </c>
      <c r="O2112" s="22">
        <v>40.0</v>
      </c>
      <c r="P2112" s="28">
        <v>13.0</v>
      </c>
      <c r="Q2112" s="28">
        <v>42.0</v>
      </c>
      <c r="R2112" s="84"/>
      <c r="S2112" s="84"/>
      <c r="T2112" s="84"/>
      <c r="U2112" s="84"/>
      <c r="V2112" s="84"/>
      <c r="W2112" s="84"/>
      <c r="X2112" s="84"/>
      <c r="Y2112" s="84"/>
      <c r="Z2112" s="84"/>
      <c r="AA2112" s="84"/>
    </row>
    <row r="2113" ht="15.75" customHeight="1">
      <c r="A2113" s="14" t="s">
        <v>2137</v>
      </c>
      <c r="B2113" s="15" t="s">
        <v>22363</v>
      </c>
      <c r="C2113" s="14" t="s">
        <v>22653</v>
      </c>
      <c r="D2113" s="14" t="s">
        <v>22654</v>
      </c>
      <c r="E2113" s="26" t="str">
        <f t="shared" si="28"/>
        <v>http://dx.doi.org/10.1109/TVCG.2011.250</v>
      </c>
      <c r="F2113" s="14">
        <v>2291.0</v>
      </c>
      <c r="G2113" s="14">
        <v>2300.0</v>
      </c>
      <c r="H2113" s="14" t="s">
        <v>17059</v>
      </c>
      <c r="I2113" s="19" t="s">
        <v>22655</v>
      </c>
      <c r="J2113" s="19" t="s">
        <v>22656</v>
      </c>
      <c r="K2113" s="19" t="s">
        <v>22657</v>
      </c>
      <c r="L2113" s="19" t="s">
        <v>22445</v>
      </c>
      <c r="M2113" s="20" t="s">
        <v>22658</v>
      </c>
      <c r="N2113" s="44" t="s">
        <v>22659</v>
      </c>
      <c r="O2113" s="22">
        <v>41.0</v>
      </c>
      <c r="P2113" s="28">
        <v>27.0</v>
      </c>
      <c r="Q2113" s="28">
        <v>34.0</v>
      </c>
      <c r="R2113" s="84"/>
      <c r="S2113" s="84"/>
      <c r="T2113" s="84"/>
      <c r="U2113" s="84"/>
      <c r="V2113" s="84"/>
      <c r="W2113" s="84"/>
      <c r="X2113" s="84"/>
      <c r="Y2113" s="84"/>
      <c r="Z2113" s="84"/>
      <c r="AA2113" s="84"/>
    </row>
    <row r="2114" ht="15.75" customHeight="1">
      <c r="A2114" s="14" t="s">
        <v>2137</v>
      </c>
      <c r="B2114" s="15" t="s">
        <v>22363</v>
      </c>
      <c r="C2114" s="14" t="s">
        <v>22660</v>
      </c>
      <c r="D2114" s="14" t="s">
        <v>22662</v>
      </c>
      <c r="E2114" s="26" t="str">
        <f t="shared" si="28"/>
        <v>http://dx.doi.org/10.1109/TVCG.2011.251</v>
      </c>
      <c r="F2114" s="14">
        <v>2508.0</v>
      </c>
      <c r="G2114" s="14">
        <v>2517.0</v>
      </c>
      <c r="H2114" s="14" t="s">
        <v>17059</v>
      </c>
      <c r="I2114" s="19" t="s">
        <v>22663</v>
      </c>
      <c r="J2114" s="19" t="s">
        <v>22664</v>
      </c>
      <c r="K2114" s="19" t="s">
        <v>22664</v>
      </c>
      <c r="L2114" s="19" t="s">
        <v>22666</v>
      </c>
      <c r="M2114" s="20" t="s">
        <v>22667</v>
      </c>
      <c r="N2114" s="44" t="s">
        <v>22668</v>
      </c>
      <c r="O2114" s="22">
        <v>51.0</v>
      </c>
      <c r="P2114" s="28">
        <v>24.0</v>
      </c>
      <c r="Q2114" s="28">
        <v>51.0</v>
      </c>
      <c r="R2114" s="84"/>
      <c r="S2114" s="84"/>
      <c r="T2114" s="84"/>
      <c r="U2114" s="84"/>
      <c r="V2114" s="84"/>
      <c r="W2114" s="84"/>
      <c r="X2114" s="84"/>
      <c r="Y2114" s="84"/>
      <c r="Z2114" s="84"/>
      <c r="AA2114" s="84"/>
    </row>
    <row r="2115" ht="15.75" customHeight="1">
      <c r="A2115" s="14" t="s">
        <v>2137</v>
      </c>
      <c r="B2115" s="15" t="s">
        <v>22363</v>
      </c>
      <c r="C2115" s="14" t="s">
        <v>22669</v>
      </c>
      <c r="D2115" s="14" t="s">
        <v>22670</v>
      </c>
      <c r="E2115" s="26" t="str">
        <f t="shared" si="28"/>
        <v>http://dx.doi.org/10.1109/TVCG.2011.253</v>
      </c>
      <c r="F2115" s="14">
        <v>2402.0</v>
      </c>
      <c r="G2115" s="14">
        <v>2411.0</v>
      </c>
      <c r="H2115" s="14" t="s">
        <v>17059</v>
      </c>
      <c r="I2115" s="19" t="s">
        <v>22671</v>
      </c>
      <c r="J2115" s="19" t="s">
        <v>22672</v>
      </c>
      <c r="K2115" s="19" t="s">
        <v>22672</v>
      </c>
      <c r="L2115" s="19" t="s">
        <v>22673</v>
      </c>
      <c r="M2115" s="20" t="s">
        <v>22674</v>
      </c>
      <c r="N2115" s="44" t="s">
        <v>22675</v>
      </c>
      <c r="O2115" s="22">
        <v>64.0</v>
      </c>
      <c r="P2115" s="28">
        <v>33.0</v>
      </c>
      <c r="Q2115" s="28">
        <v>27.0</v>
      </c>
      <c r="R2115" s="84"/>
      <c r="S2115" s="84"/>
      <c r="T2115" s="84"/>
      <c r="U2115" s="84"/>
      <c r="V2115" s="84"/>
      <c r="W2115" s="84"/>
      <c r="X2115" s="84"/>
      <c r="Y2115" s="84"/>
      <c r="Z2115" s="84"/>
      <c r="AA2115" s="84"/>
    </row>
    <row r="2116" ht="15.75" customHeight="1">
      <c r="A2116" s="14" t="s">
        <v>2137</v>
      </c>
      <c r="B2116" s="15" t="s">
        <v>22363</v>
      </c>
      <c r="C2116" s="14" t="s">
        <v>22676</v>
      </c>
      <c r="D2116" s="14" t="s">
        <v>22677</v>
      </c>
      <c r="E2116" s="26" t="str">
        <f t="shared" si="28"/>
        <v>http://dx.doi.org/10.1109/TVCG.2011.255</v>
      </c>
      <c r="F2116" s="14">
        <v>2231.0</v>
      </c>
      <c r="G2116" s="14">
        <v>2240.0</v>
      </c>
      <c r="H2116" s="14" t="s">
        <v>17059</v>
      </c>
      <c r="I2116" s="19" t="s">
        <v>22678</v>
      </c>
      <c r="J2116" s="19" t="s">
        <v>22679</v>
      </c>
      <c r="K2116" s="19" t="s">
        <v>22680</v>
      </c>
      <c r="L2116" s="19" t="s">
        <v>22681</v>
      </c>
      <c r="M2116" s="20" t="s">
        <v>22682</v>
      </c>
      <c r="N2116" s="44" t="s">
        <v>22683</v>
      </c>
      <c r="O2116" s="22">
        <v>129.0</v>
      </c>
      <c r="P2116" s="28">
        <v>64.0</v>
      </c>
      <c r="Q2116" s="28">
        <v>56.0</v>
      </c>
      <c r="R2116" s="84"/>
      <c r="S2116" s="84"/>
      <c r="T2116" s="84"/>
      <c r="U2116" s="84"/>
      <c r="V2116" s="84"/>
      <c r="W2116" s="84"/>
      <c r="X2116" s="84"/>
      <c r="Y2116" s="84"/>
      <c r="Z2116" s="84"/>
      <c r="AA2116" s="84"/>
    </row>
    <row r="2117" ht="15.75" customHeight="1">
      <c r="A2117" s="14" t="s">
        <v>120</v>
      </c>
      <c r="B2117" s="15" t="s">
        <v>22363</v>
      </c>
      <c r="C2117" s="14" t="s">
        <v>22685</v>
      </c>
      <c r="D2117" s="14" t="s">
        <v>22686</v>
      </c>
      <c r="E2117" s="26" t="str">
        <f t="shared" si="28"/>
        <v>http://dx.doi.org/10.1109/VAST.2011.6102435</v>
      </c>
      <c r="F2117" s="14">
        <v>3.0</v>
      </c>
      <c r="G2117" s="14">
        <v>11.0</v>
      </c>
      <c r="H2117" s="14" t="s">
        <v>28</v>
      </c>
      <c r="I2117" s="19" t="s">
        <v>22688</v>
      </c>
      <c r="J2117" s="19" t="s">
        <v>22689</v>
      </c>
      <c r="K2117" s="19" t="s">
        <v>22690</v>
      </c>
      <c r="L2117" s="19" t="s">
        <v>22691</v>
      </c>
      <c r="M2117" s="20" t="s">
        <v>22692</v>
      </c>
      <c r="N2117" s="88" t="s">
        <v>22693</v>
      </c>
      <c r="O2117" s="22">
        <v>50.0</v>
      </c>
      <c r="P2117" s="28">
        <v>10.0</v>
      </c>
      <c r="Q2117" s="28">
        <v>28.0</v>
      </c>
      <c r="R2117" s="84"/>
      <c r="S2117" s="84"/>
      <c r="T2117" s="84"/>
      <c r="U2117" s="84"/>
      <c r="V2117" s="84"/>
      <c r="W2117" s="84"/>
      <c r="X2117" s="84"/>
      <c r="Y2117" s="84"/>
      <c r="Z2117" s="84"/>
      <c r="AA2117" s="84"/>
    </row>
    <row r="2118" ht="15.75" customHeight="1">
      <c r="A2118" s="14" t="s">
        <v>120</v>
      </c>
      <c r="B2118" s="15" t="s">
        <v>22363</v>
      </c>
      <c r="C2118" s="14" t="s">
        <v>22694</v>
      </c>
      <c r="D2118" s="14" t="s">
        <v>22695</v>
      </c>
      <c r="E2118" s="26" t="str">
        <f t="shared" si="28"/>
        <v>http://dx.doi.org/10.1109/VAST.2011.6102437</v>
      </c>
      <c r="F2118" s="14">
        <v>13.0</v>
      </c>
      <c r="G2118" s="14">
        <v>20.0</v>
      </c>
      <c r="H2118" s="14" t="s">
        <v>28</v>
      </c>
      <c r="I2118" s="19" t="s">
        <v>22696</v>
      </c>
      <c r="J2118" s="19" t="s">
        <v>22697</v>
      </c>
      <c r="K2118" s="19" t="s">
        <v>22698</v>
      </c>
      <c r="L2118" s="19" t="s">
        <v>22699</v>
      </c>
      <c r="M2118" s="20" t="s">
        <v>22700</v>
      </c>
      <c r="N2118" s="27"/>
      <c r="O2118" s="22">
        <v>50.0</v>
      </c>
      <c r="P2118" s="28">
        <v>15.0</v>
      </c>
      <c r="Q2118" s="28">
        <v>19.0</v>
      </c>
      <c r="R2118" s="84"/>
      <c r="S2118" s="84"/>
      <c r="T2118" s="84"/>
      <c r="U2118" s="84"/>
      <c r="V2118" s="84"/>
      <c r="W2118" s="84"/>
      <c r="X2118" s="84"/>
      <c r="Y2118" s="84"/>
      <c r="Z2118" s="84"/>
      <c r="AA2118" s="84"/>
    </row>
    <row r="2119" ht="15.75" customHeight="1">
      <c r="A2119" s="14" t="s">
        <v>120</v>
      </c>
      <c r="B2119" s="15" t="s">
        <v>22363</v>
      </c>
      <c r="C2119" s="14" t="s">
        <v>22701</v>
      </c>
      <c r="D2119" s="14" t="s">
        <v>22702</v>
      </c>
      <c r="E2119" s="26" t="str">
        <f t="shared" si="28"/>
        <v>http://dx.doi.org/10.1109/VAST.2011.6102438</v>
      </c>
      <c r="F2119" s="14">
        <v>21.0</v>
      </c>
      <c r="G2119" s="14">
        <v>30.0</v>
      </c>
      <c r="H2119" s="14" t="s">
        <v>28</v>
      </c>
      <c r="I2119" s="19" t="s">
        <v>22705</v>
      </c>
      <c r="J2119" s="19" t="s">
        <v>22706</v>
      </c>
      <c r="K2119" s="19" t="s">
        <v>22707</v>
      </c>
      <c r="L2119" s="19" t="s">
        <v>22708</v>
      </c>
      <c r="M2119" s="20" t="s">
        <v>22709</v>
      </c>
      <c r="N2119" s="88" t="s">
        <v>22710</v>
      </c>
      <c r="O2119" s="22">
        <v>67.0</v>
      </c>
      <c r="P2119" s="28">
        <v>27.0</v>
      </c>
      <c r="Q2119" s="28">
        <v>31.0</v>
      </c>
      <c r="R2119" s="84"/>
      <c r="S2119" s="84"/>
      <c r="T2119" s="84"/>
      <c r="U2119" s="84"/>
      <c r="V2119" s="84"/>
      <c r="W2119" s="84"/>
      <c r="X2119" s="84"/>
      <c r="Y2119" s="84"/>
      <c r="Z2119" s="84"/>
      <c r="AA2119" s="84"/>
    </row>
    <row r="2120" ht="15.75" customHeight="1">
      <c r="A2120" s="14" t="s">
        <v>120</v>
      </c>
      <c r="B2120" s="15" t="s">
        <v>22363</v>
      </c>
      <c r="C2120" s="14" t="s">
        <v>22712</v>
      </c>
      <c r="D2120" s="14" t="s">
        <v>22713</v>
      </c>
      <c r="E2120" s="26" t="str">
        <f t="shared" si="28"/>
        <v>http://dx.doi.org/10.1109/VAST.2011.6102439</v>
      </c>
      <c r="F2120" s="14">
        <v>31.0</v>
      </c>
      <c r="G2120" s="14">
        <v>40.0</v>
      </c>
      <c r="H2120" s="14" t="s">
        <v>28</v>
      </c>
      <c r="I2120" s="19" t="s">
        <v>22714</v>
      </c>
      <c r="J2120" s="19" t="s">
        <v>22715</v>
      </c>
      <c r="K2120" s="19" t="s">
        <v>22716</v>
      </c>
      <c r="L2120" s="19" t="s">
        <v>22717</v>
      </c>
      <c r="M2120" s="20" t="s">
        <v>22718</v>
      </c>
      <c r="N2120" s="27"/>
      <c r="O2120" s="22">
        <v>60.0</v>
      </c>
      <c r="P2120" s="28">
        <v>25.0</v>
      </c>
      <c r="Q2120" s="28">
        <v>39.0</v>
      </c>
      <c r="R2120" s="84"/>
      <c r="S2120" s="84"/>
      <c r="T2120" s="84"/>
      <c r="U2120" s="84"/>
      <c r="V2120" s="84"/>
      <c r="W2120" s="84"/>
      <c r="X2120" s="84"/>
      <c r="Y2120" s="84"/>
      <c r="Z2120" s="84"/>
      <c r="AA2120" s="84"/>
    </row>
    <row r="2121" ht="15.75" customHeight="1">
      <c r="A2121" s="14" t="s">
        <v>120</v>
      </c>
      <c r="B2121" s="15" t="s">
        <v>22363</v>
      </c>
      <c r="C2121" s="14" t="s">
        <v>22719</v>
      </c>
      <c r="D2121" s="14" t="s">
        <v>22720</v>
      </c>
      <c r="E2121" s="26" t="str">
        <f t="shared" si="28"/>
        <v>http://dx.doi.org/10.1109/VAST.2011.6102440</v>
      </c>
      <c r="F2121" s="14">
        <v>41.0</v>
      </c>
      <c r="G2121" s="14">
        <v>50.0</v>
      </c>
      <c r="H2121" s="14" t="s">
        <v>28</v>
      </c>
      <c r="I2121" s="19" t="s">
        <v>22721</v>
      </c>
      <c r="J2121" s="19" t="s">
        <v>22722</v>
      </c>
      <c r="K2121" s="19" t="s">
        <v>22722</v>
      </c>
      <c r="L2121" s="19" t="s">
        <v>22723</v>
      </c>
      <c r="M2121" s="20" t="s">
        <v>22724</v>
      </c>
      <c r="N2121" s="27"/>
      <c r="O2121" s="22">
        <v>50.0</v>
      </c>
      <c r="P2121" s="28">
        <v>16.0</v>
      </c>
      <c r="Q2121" s="28">
        <v>37.0</v>
      </c>
      <c r="R2121" s="85" t="s">
        <v>19037</v>
      </c>
      <c r="S2121" s="84"/>
      <c r="T2121" s="84"/>
      <c r="U2121" s="84"/>
      <c r="V2121" s="84"/>
      <c r="W2121" s="84"/>
      <c r="X2121" s="84"/>
      <c r="Y2121" s="84"/>
      <c r="Z2121" s="84"/>
      <c r="AA2121" s="84"/>
    </row>
    <row r="2122" ht="15.75" customHeight="1">
      <c r="A2122" s="14" t="s">
        <v>120</v>
      </c>
      <c r="B2122" s="15" t="s">
        <v>22363</v>
      </c>
      <c r="C2122" s="14" t="s">
        <v>22725</v>
      </c>
      <c r="D2122" s="14" t="s">
        <v>22726</v>
      </c>
      <c r="E2122" s="26" t="str">
        <f t="shared" si="28"/>
        <v>http://dx.doi.org/10.1109/VAST.2011.6102441</v>
      </c>
      <c r="F2122" s="14">
        <v>51.0</v>
      </c>
      <c r="G2122" s="14">
        <v>60.0</v>
      </c>
      <c r="H2122" s="14" t="s">
        <v>28</v>
      </c>
      <c r="I2122" s="19" t="s">
        <v>22728</v>
      </c>
      <c r="J2122" s="19" t="s">
        <v>22729</v>
      </c>
      <c r="K2122" s="19" t="s">
        <v>22729</v>
      </c>
      <c r="L2122" s="19" t="s">
        <v>22730</v>
      </c>
      <c r="M2122" s="20" t="s">
        <v>22731</v>
      </c>
      <c r="N2122" s="88" t="s">
        <v>22732</v>
      </c>
      <c r="O2122" s="22">
        <v>55.0</v>
      </c>
      <c r="P2122" s="28">
        <v>8.0</v>
      </c>
      <c r="Q2122" s="28">
        <v>34.0</v>
      </c>
      <c r="R2122" s="84"/>
      <c r="S2122" s="84"/>
      <c r="T2122" s="84"/>
      <c r="U2122" s="84"/>
      <c r="V2122" s="84"/>
      <c r="W2122" s="84"/>
      <c r="X2122" s="84"/>
      <c r="Y2122" s="84"/>
      <c r="Z2122" s="84"/>
      <c r="AA2122" s="84"/>
    </row>
    <row r="2123" ht="15.75" customHeight="1">
      <c r="A2123" s="14" t="s">
        <v>120</v>
      </c>
      <c r="B2123" s="15" t="s">
        <v>22363</v>
      </c>
      <c r="C2123" s="14" t="s">
        <v>22733</v>
      </c>
      <c r="D2123" s="14" t="s">
        <v>22734</v>
      </c>
      <c r="E2123" s="26" t="str">
        <f t="shared" si="28"/>
        <v>http://dx.doi.org/10.1109/VAST.2011.6102442</v>
      </c>
      <c r="F2123" s="14">
        <v>61.0</v>
      </c>
      <c r="G2123" s="14">
        <v>70.0</v>
      </c>
      <c r="H2123" s="14" t="s">
        <v>28</v>
      </c>
      <c r="I2123" s="19" t="s">
        <v>22735</v>
      </c>
      <c r="J2123" s="19" t="s">
        <v>22736</v>
      </c>
      <c r="K2123" s="19" t="s">
        <v>22736</v>
      </c>
      <c r="L2123" s="19" t="s">
        <v>22737</v>
      </c>
      <c r="M2123" s="20" t="s">
        <v>22738</v>
      </c>
      <c r="N2123" s="44" t="s">
        <v>22739</v>
      </c>
      <c r="O2123" s="22">
        <v>50.0</v>
      </c>
      <c r="P2123" s="28">
        <v>6.0</v>
      </c>
      <c r="Q2123" s="28">
        <v>38.0</v>
      </c>
      <c r="R2123" s="84"/>
      <c r="S2123" s="84"/>
      <c r="T2123" s="84"/>
      <c r="U2123" s="84"/>
      <c r="V2123" s="84"/>
      <c r="W2123" s="84"/>
      <c r="X2123" s="84"/>
      <c r="Y2123" s="84"/>
      <c r="Z2123" s="84"/>
      <c r="AA2123" s="84"/>
    </row>
    <row r="2124" ht="15.75" customHeight="1">
      <c r="A2124" s="14" t="s">
        <v>120</v>
      </c>
      <c r="B2124" s="15" t="s">
        <v>22363</v>
      </c>
      <c r="C2124" s="14" t="s">
        <v>22740</v>
      </c>
      <c r="D2124" s="14" t="s">
        <v>22741</v>
      </c>
      <c r="E2124" s="26" t="str">
        <f t="shared" si="28"/>
        <v>http://dx.doi.org/10.1109/VAST.2011.6102443</v>
      </c>
      <c r="F2124" s="14">
        <v>71.0</v>
      </c>
      <c r="G2124" s="14">
        <v>79.0</v>
      </c>
      <c r="H2124" s="14" t="s">
        <v>28</v>
      </c>
      <c r="I2124" s="19" t="s">
        <v>22743</v>
      </c>
      <c r="J2124" s="19" t="s">
        <v>22744</v>
      </c>
      <c r="K2124" s="19" t="s">
        <v>22744</v>
      </c>
      <c r="L2124" s="19" t="s">
        <v>22746</v>
      </c>
      <c r="M2124" s="20" t="s">
        <v>22747</v>
      </c>
      <c r="N2124" s="88" t="s">
        <v>22748</v>
      </c>
      <c r="O2124" s="22">
        <v>28.0</v>
      </c>
      <c r="P2124" s="28">
        <v>13.0</v>
      </c>
      <c r="Q2124" s="28">
        <v>45.0</v>
      </c>
      <c r="R2124" s="85" t="s">
        <v>19037</v>
      </c>
      <c r="S2124" s="84"/>
      <c r="T2124" s="84"/>
      <c r="U2124" s="84"/>
      <c r="V2124" s="84"/>
      <c r="W2124" s="84"/>
      <c r="X2124" s="84"/>
      <c r="Y2124" s="84"/>
      <c r="Z2124" s="84"/>
      <c r="AA2124" s="84"/>
    </row>
    <row r="2125" ht="15.75" customHeight="1">
      <c r="A2125" s="14" t="s">
        <v>120</v>
      </c>
      <c r="B2125" s="15" t="s">
        <v>22363</v>
      </c>
      <c r="C2125" s="14" t="s">
        <v>22749</v>
      </c>
      <c r="D2125" s="14" t="s">
        <v>22750</v>
      </c>
      <c r="E2125" s="26" t="str">
        <f t="shared" si="28"/>
        <v>http://dx.doi.org/10.1109/VAST.2011.6102445</v>
      </c>
      <c r="F2125" s="14">
        <v>81.0</v>
      </c>
      <c r="G2125" s="14">
        <v>90.0</v>
      </c>
      <c r="H2125" s="14" t="s">
        <v>28</v>
      </c>
      <c r="I2125" s="19" t="s">
        <v>22751</v>
      </c>
      <c r="J2125" s="19" t="s">
        <v>22752</v>
      </c>
      <c r="K2125" s="19" t="s">
        <v>22752</v>
      </c>
      <c r="L2125" s="19" t="s">
        <v>22753</v>
      </c>
      <c r="M2125" s="20" t="s">
        <v>22754</v>
      </c>
      <c r="N2125" s="27"/>
      <c r="O2125" s="22">
        <v>53.0</v>
      </c>
      <c r="P2125" s="28">
        <v>9.0</v>
      </c>
      <c r="Q2125" s="28">
        <v>31.0</v>
      </c>
      <c r="R2125" s="85" t="s">
        <v>19037</v>
      </c>
      <c r="S2125" s="84"/>
      <c r="T2125" s="84"/>
      <c r="U2125" s="84"/>
      <c r="V2125" s="84"/>
      <c r="W2125" s="84"/>
      <c r="X2125" s="84"/>
      <c r="Y2125" s="84"/>
      <c r="Z2125" s="84"/>
      <c r="AA2125" s="84"/>
    </row>
    <row r="2126" ht="15.75" customHeight="1">
      <c r="A2126" s="14" t="s">
        <v>120</v>
      </c>
      <c r="B2126" s="15" t="s">
        <v>22363</v>
      </c>
      <c r="C2126" s="14" t="s">
        <v>22755</v>
      </c>
      <c r="D2126" s="14" t="s">
        <v>22756</v>
      </c>
      <c r="E2126" s="26" t="str">
        <f t="shared" si="28"/>
        <v>http://dx.doi.org/10.1109/VAST.2011.6102446</v>
      </c>
      <c r="F2126" s="14">
        <v>91.0</v>
      </c>
      <c r="G2126" s="14">
        <v>100.0</v>
      </c>
      <c r="H2126" s="14" t="s">
        <v>28</v>
      </c>
      <c r="I2126" s="19" t="s">
        <v>22757</v>
      </c>
      <c r="J2126" s="19" t="s">
        <v>22758</v>
      </c>
      <c r="K2126" s="19" t="s">
        <v>22759</v>
      </c>
      <c r="L2126" s="19" t="s">
        <v>22760</v>
      </c>
      <c r="M2126" s="20" t="s">
        <v>22761</v>
      </c>
      <c r="N2126" s="27"/>
      <c r="O2126" s="22">
        <v>17.0</v>
      </c>
      <c r="P2126" s="28">
        <v>4.0</v>
      </c>
      <c r="Q2126" s="28">
        <v>42.0</v>
      </c>
      <c r="R2126" s="84"/>
      <c r="S2126" s="84"/>
      <c r="T2126" s="84"/>
      <c r="U2126" s="84"/>
      <c r="V2126" s="84"/>
      <c r="W2126" s="84"/>
      <c r="X2126" s="84"/>
      <c r="Y2126" s="84"/>
      <c r="Z2126" s="84"/>
      <c r="AA2126" s="84"/>
    </row>
    <row r="2127" ht="15.75" customHeight="1">
      <c r="A2127" s="14" t="s">
        <v>120</v>
      </c>
      <c r="B2127" s="15" t="s">
        <v>22363</v>
      </c>
      <c r="C2127" s="14" t="s">
        <v>22762</v>
      </c>
      <c r="D2127" s="14" t="s">
        <v>22763</v>
      </c>
      <c r="E2127" s="26" t="str">
        <f t="shared" si="28"/>
        <v>http://dx.doi.org/10.1109/VAST.2011.6102447</v>
      </c>
      <c r="F2127" s="14">
        <v>101.0</v>
      </c>
      <c r="G2127" s="14">
        <v>110.0</v>
      </c>
      <c r="H2127" s="14" t="s">
        <v>28</v>
      </c>
      <c r="I2127" s="19" t="s">
        <v>22765</v>
      </c>
      <c r="J2127" s="19" t="s">
        <v>22766</v>
      </c>
      <c r="K2127" s="19" t="s">
        <v>22767</v>
      </c>
      <c r="L2127" s="19" t="s">
        <v>22769</v>
      </c>
      <c r="M2127" s="20" t="s">
        <v>22770</v>
      </c>
      <c r="N2127" s="44" t="s">
        <v>22771</v>
      </c>
      <c r="O2127" s="22">
        <v>21.0</v>
      </c>
      <c r="P2127" s="28">
        <v>9.0</v>
      </c>
      <c r="Q2127" s="28">
        <v>30.0</v>
      </c>
      <c r="R2127" s="84"/>
      <c r="S2127" s="84"/>
      <c r="T2127" s="84"/>
      <c r="U2127" s="84"/>
      <c r="V2127" s="84"/>
      <c r="W2127" s="84"/>
      <c r="X2127" s="84"/>
      <c r="Y2127" s="84"/>
      <c r="Z2127" s="84"/>
      <c r="AA2127" s="84"/>
    </row>
    <row r="2128" ht="15.75" customHeight="1">
      <c r="A2128" s="14" t="s">
        <v>120</v>
      </c>
      <c r="B2128" s="15" t="s">
        <v>22363</v>
      </c>
      <c r="C2128" s="14" t="s">
        <v>22772</v>
      </c>
      <c r="D2128" s="14" t="s">
        <v>22773</v>
      </c>
      <c r="E2128" s="26" t="str">
        <f t="shared" si="28"/>
        <v>http://dx.doi.org/10.1109/VAST.2011.6102448</v>
      </c>
      <c r="F2128" s="14">
        <v>111.0</v>
      </c>
      <c r="G2128" s="14">
        <v>120.0</v>
      </c>
      <c r="H2128" s="14" t="s">
        <v>28</v>
      </c>
      <c r="I2128" s="19" t="s">
        <v>22774</v>
      </c>
      <c r="J2128" s="19" t="s">
        <v>22775</v>
      </c>
      <c r="K2128" s="19" t="s">
        <v>22775</v>
      </c>
      <c r="L2128" s="19" t="s">
        <v>22776</v>
      </c>
      <c r="M2128" s="20" t="s">
        <v>22777</v>
      </c>
      <c r="N2128" s="27"/>
      <c r="O2128" s="22">
        <v>54.0</v>
      </c>
      <c r="P2128" s="28">
        <v>24.0</v>
      </c>
      <c r="Q2128" s="28">
        <v>23.0</v>
      </c>
      <c r="R2128" s="84"/>
      <c r="S2128" s="84"/>
      <c r="T2128" s="84"/>
      <c r="U2128" s="84"/>
      <c r="V2128" s="84"/>
      <c r="W2128" s="84"/>
      <c r="X2128" s="84"/>
      <c r="Y2128" s="84"/>
      <c r="Z2128" s="84"/>
      <c r="AA2128" s="84"/>
    </row>
    <row r="2129" ht="15.75" customHeight="1">
      <c r="A2129" s="14" t="s">
        <v>120</v>
      </c>
      <c r="B2129" s="15" t="s">
        <v>22363</v>
      </c>
      <c r="C2129" s="14" t="s">
        <v>22778</v>
      </c>
      <c r="D2129" s="14" t="s">
        <v>22779</v>
      </c>
      <c r="E2129" s="26" t="str">
        <f t="shared" si="28"/>
        <v>http://dx.doi.org/10.1109/VAST.2011.6102449</v>
      </c>
      <c r="F2129" s="14">
        <v>121.0</v>
      </c>
      <c r="G2129" s="14">
        <v>130.0</v>
      </c>
      <c r="H2129" s="14" t="s">
        <v>28</v>
      </c>
      <c r="I2129" s="19" t="s">
        <v>22780</v>
      </c>
      <c r="J2129" s="19" t="s">
        <v>22781</v>
      </c>
      <c r="K2129" s="19" t="s">
        <v>22781</v>
      </c>
      <c r="L2129" s="19" t="s">
        <v>22782</v>
      </c>
      <c r="M2129" s="20"/>
      <c r="N2129" s="44" t="s">
        <v>22783</v>
      </c>
      <c r="O2129" s="22">
        <v>98.0</v>
      </c>
      <c r="P2129" s="28">
        <v>42.0</v>
      </c>
      <c r="Q2129" s="28">
        <v>34.0</v>
      </c>
      <c r="R2129" s="84"/>
      <c r="S2129" s="84"/>
      <c r="T2129" s="84"/>
      <c r="U2129" s="84"/>
      <c r="V2129" s="84"/>
      <c r="W2129" s="84"/>
      <c r="X2129" s="84"/>
      <c r="Y2129" s="84"/>
      <c r="Z2129" s="84"/>
      <c r="AA2129" s="84"/>
    </row>
    <row r="2130" ht="15.75" customHeight="1">
      <c r="A2130" s="14" t="s">
        <v>120</v>
      </c>
      <c r="B2130" s="15" t="s">
        <v>22363</v>
      </c>
      <c r="C2130" s="14" t="s">
        <v>22785</v>
      </c>
      <c r="D2130" s="14" t="s">
        <v>22786</v>
      </c>
      <c r="E2130" s="26" t="str">
        <f t="shared" si="28"/>
        <v>http://dx.doi.org/10.1109/VAST.2011.6102450</v>
      </c>
      <c r="F2130" s="14">
        <v>131.0</v>
      </c>
      <c r="G2130" s="14">
        <v>140.0</v>
      </c>
      <c r="H2130" s="14" t="s">
        <v>28</v>
      </c>
      <c r="I2130" s="19" t="s">
        <v>22788</v>
      </c>
      <c r="J2130" s="19" t="s">
        <v>22789</v>
      </c>
      <c r="K2130" s="19" t="s">
        <v>22789</v>
      </c>
      <c r="L2130" s="19" t="s">
        <v>22790</v>
      </c>
      <c r="M2130" s="20" t="s">
        <v>22791</v>
      </c>
      <c r="N2130" s="44" t="s">
        <v>22792</v>
      </c>
      <c r="O2130" s="22">
        <v>50.0</v>
      </c>
      <c r="P2130" s="28">
        <v>7.0</v>
      </c>
      <c r="Q2130" s="28">
        <v>26.0</v>
      </c>
      <c r="R2130" s="84"/>
      <c r="S2130" s="84"/>
      <c r="T2130" s="84"/>
      <c r="U2130" s="84"/>
      <c r="V2130" s="84"/>
      <c r="W2130" s="84"/>
      <c r="X2130" s="84"/>
      <c r="Y2130" s="84"/>
      <c r="Z2130" s="84"/>
      <c r="AA2130" s="84"/>
    </row>
    <row r="2131" ht="15.75" customHeight="1">
      <c r="A2131" s="14" t="s">
        <v>120</v>
      </c>
      <c r="B2131" s="15" t="s">
        <v>22363</v>
      </c>
      <c r="C2131" s="14" t="s">
        <v>22793</v>
      </c>
      <c r="D2131" s="14" t="s">
        <v>22794</v>
      </c>
      <c r="E2131" s="26" t="str">
        <f t="shared" si="28"/>
        <v>http://dx.doi.org/10.1109/VAST.2011.6102451</v>
      </c>
      <c r="F2131" s="14">
        <v>141.0</v>
      </c>
      <c r="G2131" s="14">
        <v>149.0</v>
      </c>
      <c r="H2131" s="14" t="s">
        <v>28</v>
      </c>
      <c r="I2131" s="19" t="s">
        <v>22795</v>
      </c>
      <c r="J2131" s="19" t="s">
        <v>22796</v>
      </c>
      <c r="K2131" s="19" t="s">
        <v>22797</v>
      </c>
      <c r="L2131" s="19" t="s">
        <v>22798</v>
      </c>
      <c r="M2131" s="20" t="s">
        <v>22799</v>
      </c>
      <c r="N2131" s="88" t="s">
        <v>22800</v>
      </c>
      <c r="O2131" s="22">
        <v>50.0</v>
      </c>
      <c r="P2131" s="28">
        <v>3.0</v>
      </c>
      <c r="Q2131" s="28">
        <v>35.0</v>
      </c>
      <c r="R2131" s="84"/>
      <c r="S2131" s="84"/>
      <c r="T2131" s="84"/>
      <c r="U2131" s="84"/>
      <c r="V2131" s="84"/>
      <c r="W2131" s="84"/>
      <c r="X2131" s="84"/>
      <c r="Y2131" s="84"/>
      <c r="Z2131" s="84"/>
      <c r="AA2131" s="84"/>
    </row>
    <row r="2132" ht="15.75" customHeight="1">
      <c r="A2132" s="14" t="s">
        <v>120</v>
      </c>
      <c r="B2132" s="15" t="s">
        <v>22363</v>
      </c>
      <c r="C2132" s="14" t="s">
        <v>22801</v>
      </c>
      <c r="D2132" s="14" t="s">
        <v>22802</v>
      </c>
      <c r="E2132" s="26" t="str">
        <f t="shared" si="28"/>
        <v>http://dx.doi.org/10.1109/VAST.2011.6102453</v>
      </c>
      <c r="F2132" s="14">
        <v>151.0</v>
      </c>
      <c r="G2132" s="14">
        <v>160.0</v>
      </c>
      <c r="H2132" s="14" t="s">
        <v>28</v>
      </c>
      <c r="I2132" s="19" t="s">
        <v>22804</v>
      </c>
      <c r="J2132" s="19" t="s">
        <v>22805</v>
      </c>
      <c r="K2132" s="19" t="s">
        <v>22805</v>
      </c>
      <c r="L2132" s="19" t="s">
        <v>22806</v>
      </c>
      <c r="M2132" s="20" t="s">
        <v>22807</v>
      </c>
      <c r="N2132" s="27"/>
      <c r="O2132" s="22">
        <v>50.0</v>
      </c>
      <c r="P2132" s="28">
        <v>30.0</v>
      </c>
      <c r="Q2132" s="28">
        <v>44.0</v>
      </c>
      <c r="R2132" s="84"/>
      <c r="S2132" s="84"/>
      <c r="T2132" s="84"/>
      <c r="U2132" s="84"/>
      <c r="V2132" s="84"/>
      <c r="W2132" s="84"/>
      <c r="X2132" s="84"/>
      <c r="Y2132" s="84"/>
      <c r="Z2132" s="84"/>
      <c r="AA2132" s="84"/>
    </row>
    <row r="2133" ht="15.75" customHeight="1">
      <c r="A2133" s="14" t="s">
        <v>120</v>
      </c>
      <c r="B2133" s="15" t="s">
        <v>22363</v>
      </c>
      <c r="C2133" s="14" t="s">
        <v>22809</v>
      </c>
      <c r="D2133" s="14" t="s">
        <v>22810</v>
      </c>
      <c r="E2133" s="26" t="str">
        <f t="shared" si="28"/>
        <v>http://dx.doi.org/10.1109/VAST.2011.6102454</v>
      </c>
      <c r="F2133" s="14">
        <v>161.0</v>
      </c>
      <c r="G2133" s="14">
        <v>170.0</v>
      </c>
      <c r="H2133" s="14" t="s">
        <v>28</v>
      </c>
      <c r="I2133" s="19" t="s">
        <v>22811</v>
      </c>
      <c r="J2133" s="19" t="s">
        <v>22812</v>
      </c>
      <c r="K2133" s="19" t="s">
        <v>22813</v>
      </c>
      <c r="L2133" s="19" t="s">
        <v>22814</v>
      </c>
      <c r="M2133" s="20" t="s">
        <v>22815</v>
      </c>
      <c r="N2133" s="88" t="s">
        <v>22816</v>
      </c>
      <c r="O2133" s="22">
        <v>98.0</v>
      </c>
      <c r="P2133" s="28">
        <v>30.0</v>
      </c>
      <c r="Q2133" s="28">
        <v>31.0</v>
      </c>
      <c r="R2133" s="85" t="s">
        <v>106</v>
      </c>
      <c r="S2133" s="84"/>
      <c r="T2133" s="84"/>
      <c r="U2133" s="84"/>
      <c r="V2133" s="84"/>
      <c r="W2133" s="84"/>
      <c r="X2133" s="84"/>
      <c r="Y2133" s="84"/>
      <c r="Z2133" s="84"/>
      <c r="AA2133" s="84"/>
    </row>
    <row r="2134" ht="15.75" customHeight="1">
      <c r="A2134" s="14" t="s">
        <v>120</v>
      </c>
      <c r="B2134" s="15" t="s">
        <v>22363</v>
      </c>
      <c r="C2134" s="14" t="s">
        <v>22817</v>
      </c>
      <c r="D2134" s="14" t="s">
        <v>22818</v>
      </c>
      <c r="E2134" s="26" t="str">
        <f t="shared" si="28"/>
        <v>http://dx.doi.org/10.1109/VAST.2011.6102455</v>
      </c>
      <c r="F2134" s="14">
        <v>171.0</v>
      </c>
      <c r="G2134" s="14">
        <v>180.0</v>
      </c>
      <c r="H2134" s="14" t="s">
        <v>28</v>
      </c>
      <c r="I2134" s="19" t="s">
        <v>22819</v>
      </c>
      <c r="J2134" s="19" t="s">
        <v>22820</v>
      </c>
      <c r="K2134" s="19" t="s">
        <v>22820</v>
      </c>
      <c r="L2134" s="19" t="s">
        <v>22821</v>
      </c>
      <c r="M2134" s="20" t="s">
        <v>22822</v>
      </c>
      <c r="N2134" s="27"/>
      <c r="O2134" s="22">
        <v>65.0</v>
      </c>
      <c r="P2134" s="28">
        <v>40.0</v>
      </c>
      <c r="Q2134" s="28">
        <v>30.0</v>
      </c>
      <c r="R2134" s="84"/>
      <c r="S2134" s="84"/>
      <c r="T2134" s="84"/>
      <c r="U2134" s="84"/>
      <c r="V2134" s="84"/>
      <c r="W2134" s="84"/>
      <c r="X2134" s="84"/>
      <c r="Y2134" s="84"/>
      <c r="Z2134" s="84"/>
      <c r="AA2134" s="84"/>
    </row>
    <row r="2135" ht="15.75" customHeight="1">
      <c r="A2135" s="14" t="s">
        <v>120</v>
      </c>
      <c r="B2135" s="15" t="s">
        <v>22363</v>
      </c>
      <c r="C2135" s="14" t="s">
        <v>22823</v>
      </c>
      <c r="D2135" s="14" t="s">
        <v>22824</v>
      </c>
      <c r="E2135" s="26" t="str">
        <f t="shared" si="28"/>
        <v>http://dx.doi.org/10.1109/VAST.2011.6102456</v>
      </c>
      <c r="F2135" s="14">
        <v>181.0</v>
      </c>
      <c r="G2135" s="14">
        <v>190.0</v>
      </c>
      <c r="H2135" s="14" t="s">
        <v>28</v>
      </c>
      <c r="I2135" s="19" t="s">
        <v>22827</v>
      </c>
      <c r="J2135" s="19" t="s">
        <v>22828</v>
      </c>
      <c r="K2135" s="19" t="s">
        <v>22829</v>
      </c>
      <c r="L2135" s="19" t="s">
        <v>22830</v>
      </c>
      <c r="M2135" s="20" t="s">
        <v>22831</v>
      </c>
      <c r="N2135" s="44" t="s">
        <v>22832</v>
      </c>
      <c r="O2135" s="22">
        <v>245.0</v>
      </c>
      <c r="P2135" s="28">
        <v>96.0</v>
      </c>
      <c r="Q2135" s="28">
        <v>37.0</v>
      </c>
      <c r="R2135" s="84"/>
      <c r="S2135" s="84"/>
      <c r="T2135" s="84"/>
      <c r="U2135" s="84"/>
      <c r="V2135" s="84"/>
      <c r="W2135" s="84"/>
      <c r="X2135" s="84"/>
      <c r="Y2135" s="84"/>
      <c r="Z2135" s="84"/>
      <c r="AA2135" s="84"/>
    </row>
    <row r="2136" ht="15.75" customHeight="1">
      <c r="A2136" s="14" t="s">
        <v>120</v>
      </c>
      <c r="B2136" s="15" t="s">
        <v>22363</v>
      </c>
      <c r="C2136" s="14" t="s">
        <v>22833</v>
      </c>
      <c r="D2136" s="14" t="s">
        <v>22834</v>
      </c>
      <c r="E2136" s="26" t="str">
        <f t="shared" si="28"/>
        <v>http://dx.doi.org/10.1109/VAST.2011.6102457</v>
      </c>
      <c r="F2136" s="14">
        <v>191.0</v>
      </c>
      <c r="G2136" s="14">
        <v>200.0</v>
      </c>
      <c r="H2136" s="14" t="s">
        <v>28</v>
      </c>
      <c r="I2136" s="19" t="s">
        <v>22835</v>
      </c>
      <c r="J2136" s="19" t="s">
        <v>22836</v>
      </c>
      <c r="K2136" s="19" t="s">
        <v>22836</v>
      </c>
      <c r="L2136" s="19" t="s">
        <v>22837</v>
      </c>
      <c r="M2136" s="20" t="s">
        <v>22838</v>
      </c>
      <c r="N2136" s="27"/>
      <c r="O2136" s="22">
        <v>54.0</v>
      </c>
      <c r="P2136" s="28">
        <v>24.0</v>
      </c>
      <c r="Q2136" s="28">
        <v>30.0</v>
      </c>
      <c r="R2136" s="84"/>
      <c r="S2136" s="84"/>
      <c r="T2136" s="84"/>
      <c r="U2136" s="84"/>
      <c r="V2136" s="84"/>
      <c r="W2136" s="84"/>
      <c r="X2136" s="84"/>
      <c r="Y2136" s="84"/>
      <c r="Z2136" s="84"/>
      <c r="AA2136" s="84"/>
    </row>
    <row r="2137" ht="15.75" customHeight="1">
      <c r="A2137" s="14" t="s">
        <v>120</v>
      </c>
      <c r="B2137" s="15" t="s">
        <v>22363</v>
      </c>
      <c r="C2137" s="14" t="s">
        <v>22840</v>
      </c>
      <c r="D2137" s="14" t="s">
        <v>22841</v>
      </c>
      <c r="E2137" s="26" t="str">
        <f t="shared" si="28"/>
        <v>http://dx.doi.org/10.1109/VAST.2011.6102458</v>
      </c>
      <c r="F2137" s="14">
        <v>201.0</v>
      </c>
      <c r="G2137" s="14">
        <v>210.0</v>
      </c>
      <c r="H2137" s="14" t="s">
        <v>28</v>
      </c>
      <c r="I2137" s="19" t="s">
        <v>22842</v>
      </c>
      <c r="J2137" s="19" t="s">
        <v>22843</v>
      </c>
      <c r="K2137" s="19" t="s">
        <v>22843</v>
      </c>
      <c r="L2137" s="19" t="s">
        <v>22844</v>
      </c>
      <c r="M2137" s="20" t="s">
        <v>22845</v>
      </c>
      <c r="N2137" s="27"/>
      <c r="O2137" s="22">
        <v>22.0</v>
      </c>
      <c r="P2137" s="28">
        <v>11.0</v>
      </c>
      <c r="Q2137" s="28">
        <v>30.0</v>
      </c>
      <c r="R2137" s="84"/>
      <c r="S2137" s="84"/>
      <c r="T2137" s="84"/>
      <c r="U2137" s="84"/>
      <c r="V2137" s="84"/>
      <c r="W2137" s="84"/>
      <c r="X2137" s="84"/>
      <c r="Y2137" s="84"/>
      <c r="Z2137" s="84"/>
      <c r="AA2137" s="84"/>
    </row>
    <row r="2138" ht="15.75" customHeight="1">
      <c r="A2138" s="14" t="s">
        <v>120</v>
      </c>
      <c r="B2138" s="15" t="s">
        <v>22363</v>
      </c>
      <c r="C2138" s="14" t="s">
        <v>22846</v>
      </c>
      <c r="D2138" s="14" t="s">
        <v>22847</v>
      </c>
      <c r="E2138" s="26" t="str">
        <f t="shared" si="28"/>
        <v>http://dx.doi.org/10.1109/VAST.2011.6102459</v>
      </c>
      <c r="F2138" s="14">
        <v>211.0</v>
      </c>
      <c r="G2138" s="14">
        <v>220.0</v>
      </c>
      <c r="H2138" s="14" t="s">
        <v>28</v>
      </c>
      <c r="I2138" s="19" t="s">
        <v>22848</v>
      </c>
      <c r="J2138" s="19" t="s">
        <v>22849</v>
      </c>
      <c r="K2138" s="19" t="s">
        <v>22850</v>
      </c>
      <c r="L2138" s="19" t="s">
        <v>22851</v>
      </c>
      <c r="M2138" s="20" t="s">
        <v>22852</v>
      </c>
      <c r="N2138" s="44" t="s">
        <v>22853</v>
      </c>
      <c r="O2138" s="22">
        <v>2.0</v>
      </c>
      <c r="P2138" s="28">
        <v>0.0</v>
      </c>
      <c r="Q2138" s="28">
        <v>23.0</v>
      </c>
      <c r="R2138" s="84"/>
      <c r="S2138" s="84"/>
      <c r="T2138" s="84"/>
      <c r="U2138" s="84"/>
      <c r="V2138" s="84"/>
      <c r="W2138" s="84"/>
      <c r="X2138" s="84"/>
      <c r="Y2138" s="84"/>
      <c r="Z2138" s="84"/>
      <c r="AA2138" s="84"/>
    </row>
    <row r="2139" ht="15.75" customHeight="1">
      <c r="A2139" s="14" t="s">
        <v>120</v>
      </c>
      <c r="B2139" s="15" t="s">
        <v>22363</v>
      </c>
      <c r="C2139" s="14" t="s">
        <v>22854</v>
      </c>
      <c r="D2139" s="14" t="s">
        <v>22855</v>
      </c>
      <c r="E2139" s="26" t="str">
        <f t="shared" si="28"/>
        <v>http://dx.doi.org/10.1109/VAST.2011.6102460</v>
      </c>
      <c r="F2139" s="14">
        <v>221.0</v>
      </c>
      <c r="G2139" s="14">
        <v>230.0</v>
      </c>
      <c r="H2139" s="14" t="s">
        <v>28</v>
      </c>
      <c r="I2139" s="19" t="s">
        <v>22857</v>
      </c>
      <c r="J2139" s="19" t="s">
        <v>22858</v>
      </c>
      <c r="K2139" s="19" t="s">
        <v>22858</v>
      </c>
      <c r="L2139" s="19" t="s">
        <v>22859</v>
      </c>
      <c r="M2139" s="20" t="s">
        <v>22860</v>
      </c>
      <c r="N2139" s="44" t="s">
        <v>22861</v>
      </c>
      <c r="O2139" s="22">
        <v>31.0</v>
      </c>
      <c r="P2139" s="28">
        <v>12.0</v>
      </c>
      <c r="Q2139" s="28">
        <v>34.0</v>
      </c>
      <c r="R2139" s="84"/>
      <c r="S2139" s="84"/>
      <c r="T2139" s="84"/>
      <c r="U2139" s="84"/>
      <c r="V2139" s="84"/>
      <c r="W2139" s="84"/>
      <c r="X2139" s="84"/>
      <c r="Y2139" s="84"/>
      <c r="Z2139" s="84"/>
      <c r="AA2139" s="84"/>
    </row>
    <row r="2140" ht="15.75" customHeight="1">
      <c r="A2140" s="14" t="s">
        <v>120</v>
      </c>
      <c r="B2140" s="15" t="s">
        <v>22363</v>
      </c>
      <c r="C2140" s="14" t="s">
        <v>22863</v>
      </c>
      <c r="D2140" s="14" t="s">
        <v>22864</v>
      </c>
      <c r="E2140" s="26" t="str">
        <f t="shared" si="28"/>
        <v>http://dx.doi.org/10.1109/VAST.2011.6102461</v>
      </c>
      <c r="F2140" s="14">
        <v>231.0</v>
      </c>
      <c r="G2140" s="14">
        <v>240.0</v>
      </c>
      <c r="H2140" s="14" t="s">
        <v>28</v>
      </c>
      <c r="I2140" s="19" t="s">
        <v>22865</v>
      </c>
      <c r="J2140" s="19" t="s">
        <v>22866</v>
      </c>
      <c r="K2140" s="19" t="s">
        <v>22866</v>
      </c>
      <c r="L2140" s="19" t="s">
        <v>22867</v>
      </c>
      <c r="M2140" s="20" t="s">
        <v>22868</v>
      </c>
      <c r="N2140" s="27"/>
      <c r="O2140" s="22">
        <v>88.0</v>
      </c>
      <c r="P2140" s="28">
        <v>39.0</v>
      </c>
      <c r="Q2140" s="28">
        <v>32.0</v>
      </c>
      <c r="R2140" s="84"/>
      <c r="S2140" s="84"/>
      <c r="T2140" s="84"/>
      <c r="U2140" s="84"/>
      <c r="V2140" s="84"/>
      <c r="W2140" s="84"/>
      <c r="X2140" s="84"/>
      <c r="Y2140" s="84"/>
      <c r="Z2140" s="84"/>
      <c r="AA2140" s="84"/>
    </row>
    <row r="2141" ht="15.75" customHeight="1">
      <c r="A2141" s="14" t="s">
        <v>120</v>
      </c>
      <c r="B2141" s="15" t="s">
        <v>22363</v>
      </c>
      <c r="C2141" s="14" t="s">
        <v>22869</v>
      </c>
      <c r="D2141" s="14" t="s">
        <v>22870</v>
      </c>
      <c r="E2141" s="26" t="str">
        <f t="shared" si="28"/>
        <v>http://dx.doi.org/10.1109/VAST.2011.6102462</v>
      </c>
      <c r="F2141" s="14">
        <v>241.0</v>
      </c>
      <c r="G2141" s="14">
        <v>250.0</v>
      </c>
      <c r="H2141" s="14" t="s">
        <v>28</v>
      </c>
      <c r="I2141" s="19" t="s">
        <v>22871</v>
      </c>
      <c r="J2141" s="19" t="s">
        <v>22872</v>
      </c>
      <c r="K2141" s="19" t="s">
        <v>22873</v>
      </c>
      <c r="L2141" s="19" t="s">
        <v>22874</v>
      </c>
      <c r="M2141" s="20" t="s">
        <v>22875</v>
      </c>
      <c r="N2141" s="44" t="s">
        <v>22876</v>
      </c>
      <c r="O2141" s="22">
        <v>50.0</v>
      </c>
      <c r="P2141" s="28">
        <v>4.0</v>
      </c>
      <c r="Q2141" s="28">
        <v>34.0</v>
      </c>
      <c r="R2141" s="84"/>
      <c r="S2141" s="84"/>
      <c r="T2141" s="84"/>
      <c r="U2141" s="84"/>
      <c r="V2141" s="84"/>
      <c r="W2141" s="84"/>
      <c r="X2141" s="84"/>
      <c r="Y2141" s="84"/>
      <c r="Z2141" s="84"/>
      <c r="AA2141" s="84"/>
    </row>
    <row r="2142" ht="15.75" customHeight="1">
      <c r="A2142" s="14" t="s">
        <v>120</v>
      </c>
      <c r="B2142" s="15" t="s">
        <v>22363</v>
      </c>
      <c r="C2142" s="14" t="s">
        <v>22878</v>
      </c>
      <c r="D2142" s="14" t="s">
        <v>22879</v>
      </c>
      <c r="E2142" s="26" t="str">
        <f t="shared" si="28"/>
        <v>http://dx.doi.org/10.1109/VAST.2011.6102463</v>
      </c>
      <c r="F2142" s="14">
        <v>251.0</v>
      </c>
      <c r="G2142" s="14">
        <v>260.0</v>
      </c>
      <c r="H2142" s="14" t="s">
        <v>28</v>
      </c>
      <c r="I2142" s="19" t="s">
        <v>22881</v>
      </c>
      <c r="J2142" s="19" t="s">
        <v>22882</v>
      </c>
      <c r="K2142" s="19" t="s">
        <v>22882</v>
      </c>
      <c r="L2142" s="19" t="s">
        <v>22883</v>
      </c>
      <c r="M2142" s="20" t="s">
        <v>22884</v>
      </c>
      <c r="N2142" s="44" t="s">
        <v>22885</v>
      </c>
      <c r="O2142" s="22">
        <v>22.0</v>
      </c>
      <c r="P2142" s="28">
        <v>5.0</v>
      </c>
      <c r="Q2142" s="28">
        <v>66.0</v>
      </c>
      <c r="R2142" s="84"/>
      <c r="S2142" s="84"/>
      <c r="T2142" s="84"/>
      <c r="U2142" s="84"/>
      <c r="V2142" s="84"/>
      <c r="W2142" s="84"/>
      <c r="X2142" s="84"/>
      <c r="Y2142" s="84"/>
      <c r="Z2142" s="84"/>
      <c r="AA2142" s="84"/>
    </row>
    <row r="2143" ht="15.75" customHeight="1">
      <c r="A2143" s="14" t="s">
        <v>120</v>
      </c>
      <c r="B2143" s="15" t="s">
        <v>22363</v>
      </c>
      <c r="C2143" s="14" t="s">
        <v>22886</v>
      </c>
      <c r="D2143" s="14" t="s">
        <v>22887</v>
      </c>
      <c r="E2143" s="26" t="str">
        <f t="shared" si="28"/>
        <v>http://dx.doi.org/10.1109/VAST.2011.6102465</v>
      </c>
      <c r="F2143" s="14">
        <v>263.0</v>
      </c>
      <c r="G2143" s="14">
        <v>264.0</v>
      </c>
      <c r="H2143" s="14" t="s">
        <v>21</v>
      </c>
      <c r="I2143" s="19" t="s">
        <v>22888</v>
      </c>
      <c r="J2143" s="19" t="s">
        <v>22889</v>
      </c>
      <c r="K2143" s="19" t="s">
        <v>22890</v>
      </c>
      <c r="L2143" s="19" t="s">
        <v>22891</v>
      </c>
      <c r="M2143" s="20"/>
      <c r="N2143" s="27"/>
      <c r="O2143" s="22">
        <v>50.0</v>
      </c>
      <c r="P2143" s="28">
        <v>1.0</v>
      </c>
      <c r="Q2143" s="28">
        <v>12.0</v>
      </c>
      <c r="R2143" s="84"/>
      <c r="S2143" s="84"/>
      <c r="T2143" s="84"/>
      <c r="U2143" s="84"/>
      <c r="V2143" s="84"/>
      <c r="W2143" s="84"/>
      <c r="X2143" s="84"/>
      <c r="Y2143" s="84"/>
      <c r="Z2143" s="84"/>
      <c r="AA2143" s="84"/>
    </row>
    <row r="2144" ht="15.75" customHeight="1">
      <c r="A2144" s="14" t="s">
        <v>120</v>
      </c>
      <c r="B2144" s="15" t="s">
        <v>22363</v>
      </c>
      <c r="C2144" s="14" t="s">
        <v>22892</v>
      </c>
      <c r="D2144" s="14" t="s">
        <v>22893</v>
      </c>
      <c r="E2144" s="26" t="str">
        <f t="shared" si="28"/>
        <v>http://dx.doi.org/10.1109/VAST.2011.6102466</v>
      </c>
      <c r="F2144" s="14">
        <v>265.0</v>
      </c>
      <c r="G2144" s="14">
        <v>266.0</v>
      </c>
      <c r="H2144" s="121" t="s">
        <v>21</v>
      </c>
      <c r="I2144" s="19" t="s">
        <v>22897</v>
      </c>
      <c r="J2144" s="19" t="s">
        <v>22898</v>
      </c>
      <c r="K2144" s="19" t="s">
        <v>22898</v>
      </c>
      <c r="L2144" s="19" t="s">
        <v>22899</v>
      </c>
      <c r="M2144" s="20"/>
      <c r="N2144" s="27"/>
      <c r="O2144" s="22">
        <v>3.0</v>
      </c>
      <c r="P2144" s="28">
        <v>0.0</v>
      </c>
      <c r="Q2144" s="28">
        <v>5.0</v>
      </c>
      <c r="R2144" s="84"/>
      <c r="S2144" s="84"/>
      <c r="T2144" s="84"/>
      <c r="U2144" s="84"/>
      <c r="V2144" s="84"/>
      <c r="W2144" s="84"/>
      <c r="X2144" s="84"/>
      <c r="Y2144" s="84"/>
      <c r="Z2144" s="84"/>
      <c r="AA2144" s="84"/>
    </row>
    <row r="2145" ht="15.75" customHeight="1">
      <c r="A2145" s="14" t="s">
        <v>120</v>
      </c>
      <c r="B2145" s="15" t="s">
        <v>22363</v>
      </c>
      <c r="C2145" s="14" t="s">
        <v>22901</v>
      </c>
      <c r="D2145" s="14" t="s">
        <v>22903</v>
      </c>
      <c r="E2145" s="26" t="str">
        <f t="shared" si="28"/>
        <v>http://dx.doi.org/10.1109/VAST.2011.6102467</v>
      </c>
      <c r="F2145" s="14">
        <v>267.0</v>
      </c>
      <c r="G2145" s="14">
        <v>268.0</v>
      </c>
      <c r="H2145" s="14" t="s">
        <v>21</v>
      </c>
      <c r="I2145" s="19" t="s">
        <v>22905</v>
      </c>
      <c r="J2145" s="19" t="s">
        <v>22906</v>
      </c>
      <c r="K2145" s="19" t="s">
        <v>22907</v>
      </c>
      <c r="L2145" s="19" t="s">
        <v>22908</v>
      </c>
      <c r="M2145" s="20"/>
      <c r="N2145" s="27"/>
      <c r="O2145" s="22">
        <v>8.0</v>
      </c>
      <c r="P2145" s="28">
        <v>4.0</v>
      </c>
      <c r="Q2145" s="28">
        <v>2.0</v>
      </c>
      <c r="R2145" s="84"/>
      <c r="S2145" s="84"/>
      <c r="T2145" s="84"/>
      <c r="U2145" s="84"/>
      <c r="V2145" s="84"/>
      <c r="W2145" s="84"/>
      <c r="X2145" s="84"/>
      <c r="Y2145" s="84"/>
      <c r="Z2145" s="84"/>
      <c r="AA2145" s="84"/>
    </row>
    <row r="2146" ht="15.75" customHeight="1">
      <c r="A2146" s="14" t="s">
        <v>120</v>
      </c>
      <c r="B2146" s="15" t="s">
        <v>22363</v>
      </c>
      <c r="C2146" s="14" t="s">
        <v>22909</v>
      </c>
      <c r="D2146" s="14" t="s">
        <v>22910</v>
      </c>
      <c r="E2146" s="26" t="str">
        <f t="shared" si="28"/>
        <v>http://dx.doi.org/10.1109/VAST.2011.6102468</v>
      </c>
      <c r="F2146" s="14">
        <v>269.0</v>
      </c>
      <c r="G2146" s="14">
        <v>270.0</v>
      </c>
      <c r="H2146" s="14" t="s">
        <v>21</v>
      </c>
      <c r="I2146" s="19" t="s">
        <v>22911</v>
      </c>
      <c r="J2146" s="19" t="s">
        <v>22912</v>
      </c>
      <c r="K2146" s="19" t="s">
        <v>22912</v>
      </c>
      <c r="L2146" s="18"/>
      <c r="M2146" s="20"/>
      <c r="N2146" s="27"/>
      <c r="O2146" s="22">
        <v>0.0</v>
      </c>
      <c r="P2146" s="28">
        <v>0.0</v>
      </c>
      <c r="Q2146" s="28">
        <v>6.0</v>
      </c>
      <c r="R2146" s="84"/>
      <c r="S2146" s="84"/>
      <c r="T2146" s="84"/>
      <c r="U2146" s="84"/>
      <c r="V2146" s="84"/>
      <c r="W2146" s="84"/>
      <c r="X2146" s="84"/>
      <c r="Y2146" s="84"/>
      <c r="Z2146" s="84"/>
      <c r="AA2146" s="84"/>
    </row>
    <row r="2147" ht="15.75" customHeight="1">
      <c r="A2147" s="14" t="s">
        <v>120</v>
      </c>
      <c r="B2147" s="15" t="s">
        <v>22363</v>
      </c>
      <c r="C2147" s="14" t="s">
        <v>22913</v>
      </c>
      <c r="D2147" s="14" t="s">
        <v>22914</v>
      </c>
      <c r="E2147" s="26" t="str">
        <f t="shared" si="28"/>
        <v>http://dx.doi.org/10.1109/VAST.2011.6102469</v>
      </c>
      <c r="F2147" s="14">
        <v>271.0</v>
      </c>
      <c r="G2147" s="14">
        <v>272.0</v>
      </c>
      <c r="H2147" s="121" t="s">
        <v>21</v>
      </c>
      <c r="I2147" s="19" t="s">
        <v>22916</v>
      </c>
      <c r="J2147" s="19" t="s">
        <v>22917</v>
      </c>
      <c r="K2147" s="19" t="s">
        <v>22917</v>
      </c>
      <c r="L2147" s="19" t="s">
        <v>22918</v>
      </c>
      <c r="M2147" s="20"/>
      <c r="N2147" s="27"/>
      <c r="O2147" s="22">
        <v>0.0</v>
      </c>
      <c r="P2147" s="28">
        <v>0.0</v>
      </c>
      <c r="Q2147" s="28">
        <v>8.0</v>
      </c>
      <c r="R2147" s="84"/>
      <c r="S2147" s="84"/>
      <c r="T2147" s="84"/>
      <c r="U2147" s="84"/>
      <c r="V2147" s="84"/>
      <c r="W2147" s="84"/>
      <c r="X2147" s="84"/>
      <c r="Y2147" s="84"/>
      <c r="Z2147" s="84"/>
      <c r="AA2147" s="84"/>
    </row>
    <row r="2148" ht="15.75" customHeight="1">
      <c r="A2148" s="14" t="s">
        <v>120</v>
      </c>
      <c r="B2148" s="15" t="s">
        <v>22363</v>
      </c>
      <c r="C2148" s="14" t="s">
        <v>22927</v>
      </c>
      <c r="D2148" s="14" t="s">
        <v>22928</v>
      </c>
      <c r="E2148" s="26" t="str">
        <f t="shared" si="28"/>
        <v>http://dx.doi.org/10.1109/VAST.2011.6102470</v>
      </c>
      <c r="F2148" s="14">
        <v>273.0</v>
      </c>
      <c r="G2148" s="14">
        <v>274.0</v>
      </c>
      <c r="H2148" s="14" t="s">
        <v>21</v>
      </c>
      <c r="I2148" s="19" t="s">
        <v>22930</v>
      </c>
      <c r="J2148" s="19" t="s">
        <v>22931</v>
      </c>
      <c r="K2148" s="19" t="s">
        <v>22931</v>
      </c>
      <c r="L2148" s="19" t="s">
        <v>22932</v>
      </c>
      <c r="M2148" s="20"/>
      <c r="N2148" s="27"/>
      <c r="O2148" s="22">
        <v>3.0</v>
      </c>
      <c r="P2148" s="28">
        <v>0.0</v>
      </c>
      <c r="Q2148" s="28">
        <v>16.0</v>
      </c>
      <c r="R2148" s="84"/>
      <c r="S2148" s="84"/>
      <c r="T2148" s="84"/>
      <c r="U2148" s="84"/>
      <c r="V2148" s="84"/>
      <c r="W2148" s="84"/>
      <c r="X2148" s="84"/>
      <c r="Y2148" s="84"/>
      <c r="Z2148" s="84"/>
      <c r="AA2148" s="84"/>
    </row>
    <row r="2149" ht="15.75" customHeight="1">
      <c r="A2149" s="14" t="s">
        <v>120</v>
      </c>
      <c r="B2149" s="15" t="s">
        <v>22363</v>
      </c>
      <c r="C2149" s="14" t="s">
        <v>22933</v>
      </c>
      <c r="D2149" s="14" t="s">
        <v>22934</v>
      </c>
      <c r="E2149" s="26" t="str">
        <f t="shared" si="28"/>
        <v>http://dx.doi.org/10.1109/VAST.2011.6102471</v>
      </c>
      <c r="F2149" s="14">
        <v>275.0</v>
      </c>
      <c r="G2149" s="14">
        <v>276.0</v>
      </c>
      <c r="H2149" s="14" t="s">
        <v>21</v>
      </c>
      <c r="I2149" s="19" t="s">
        <v>22936</v>
      </c>
      <c r="J2149" s="19" t="s">
        <v>22937</v>
      </c>
      <c r="K2149" s="19" t="s">
        <v>22937</v>
      </c>
      <c r="L2149" s="19" t="s">
        <v>22938</v>
      </c>
      <c r="M2149" s="20"/>
      <c r="N2149" s="27"/>
      <c r="O2149" s="22">
        <v>50.0</v>
      </c>
      <c r="P2149" s="28">
        <v>0.0</v>
      </c>
      <c r="Q2149" s="28">
        <v>9.0</v>
      </c>
      <c r="R2149" s="84"/>
      <c r="S2149" s="84"/>
      <c r="T2149" s="84"/>
      <c r="U2149" s="84"/>
      <c r="V2149" s="84"/>
      <c r="W2149" s="84"/>
      <c r="X2149" s="84"/>
      <c r="Y2149" s="84"/>
      <c r="Z2149" s="84"/>
      <c r="AA2149" s="84"/>
    </row>
    <row r="2150" ht="15.75" customHeight="1">
      <c r="A2150" s="14" t="s">
        <v>120</v>
      </c>
      <c r="B2150" s="15" t="s">
        <v>22363</v>
      </c>
      <c r="C2150" s="14" t="s">
        <v>22940</v>
      </c>
      <c r="D2150" s="14" t="s">
        <v>22941</v>
      </c>
      <c r="E2150" s="26" t="str">
        <f t="shared" si="28"/>
        <v>http://dx.doi.org/10.1109/VAST.2011.6102472</v>
      </c>
      <c r="F2150" s="14">
        <v>277.0</v>
      </c>
      <c r="G2150" s="14">
        <v>278.0</v>
      </c>
      <c r="H2150" s="14" t="s">
        <v>21</v>
      </c>
      <c r="I2150" s="19" t="s">
        <v>22942</v>
      </c>
      <c r="J2150" s="19" t="s">
        <v>22943</v>
      </c>
      <c r="K2150" s="19" t="s">
        <v>22944</v>
      </c>
      <c r="L2150" s="19" t="s">
        <v>22945</v>
      </c>
      <c r="M2150" s="20"/>
      <c r="N2150" s="27"/>
      <c r="O2150" s="22">
        <v>50.0</v>
      </c>
      <c r="P2150" s="28">
        <v>12.0</v>
      </c>
      <c r="Q2150" s="28">
        <v>3.0</v>
      </c>
      <c r="R2150" s="84"/>
      <c r="S2150" s="84"/>
      <c r="T2150" s="84"/>
      <c r="U2150" s="84"/>
      <c r="V2150" s="84"/>
      <c r="W2150" s="84"/>
      <c r="X2150" s="84"/>
      <c r="Y2150" s="84"/>
      <c r="Z2150" s="84"/>
      <c r="AA2150" s="84"/>
    </row>
    <row r="2151" ht="15.75" customHeight="1">
      <c r="A2151" s="14" t="s">
        <v>120</v>
      </c>
      <c r="B2151" s="15" t="s">
        <v>22363</v>
      </c>
      <c r="C2151" s="14" t="s">
        <v>22946</v>
      </c>
      <c r="D2151" s="14" t="s">
        <v>22947</v>
      </c>
      <c r="E2151" s="26" t="str">
        <f t="shared" si="28"/>
        <v>http://dx.doi.org/10.1109/VAST.2011.6102473</v>
      </c>
      <c r="F2151" s="14">
        <v>279.0</v>
      </c>
      <c r="G2151" s="14">
        <v>280.0</v>
      </c>
      <c r="H2151" s="14" t="s">
        <v>21</v>
      </c>
      <c r="I2151" s="19" t="s">
        <v>22949</v>
      </c>
      <c r="J2151" s="19" t="s">
        <v>22951</v>
      </c>
      <c r="K2151" s="19" t="s">
        <v>22951</v>
      </c>
      <c r="L2151" s="19" t="s">
        <v>22952</v>
      </c>
      <c r="M2151" s="20"/>
      <c r="N2151" s="27"/>
      <c r="O2151" s="22">
        <v>3.0</v>
      </c>
      <c r="P2151" s="28">
        <v>1.0</v>
      </c>
      <c r="Q2151" s="28">
        <v>7.0</v>
      </c>
      <c r="R2151" s="84"/>
      <c r="S2151" s="84"/>
      <c r="T2151" s="84"/>
      <c r="U2151" s="84"/>
      <c r="V2151" s="84"/>
      <c r="W2151" s="84"/>
      <c r="X2151" s="84"/>
      <c r="Y2151" s="84"/>
      <c r="Z2151" s="84"/>
      <c r="AA2151" s="84"/>
    </row>
    <row r="2152" ht="15.75" customHeight="1">
      <c r="A2152" s="14" t="s">
        <v>120</v>
      </c>
      <c r="B2152" s="15" t="s">
        <v>22363</v>
      </c>
      <c r="C2152" s="14" t="s">
        <v>22954</v>
      </c>
      <c r="D2152" s="14" t="s">
        <v>22955</v>
      </c>
      <c r="E2152" s="26" t="str">
        <f t="shared" si="28"/>
        <v>http://dx.doi.org/10.1109/VAST.2011.6102474</v>
      </c>
      <c r="F2152" s="14">
        <v>281.0</v>
      </c>
      <c r="G2152" s="14">
        <v>282.0</v>
      </c>
      <c r="H2152" s="14" t="s">
        <v>21</v>
      </c>
      <c r="I2152" s="19" t="s">
        <v>22956</v>
      </c>
      <c r="J2152" s="19" t="s">
        <v>22957</v>
      </c>
      <c r="K2152" s="19" t="s">
        <v>22957</v>
      </c>
      <c r="L2152" s="19" t="s">
        <v>22958</v>
      </c>
      <c r="M2152" s="20"/>
      <c r="N2152" s="27"/>
      <c r="O2152" s="22">
        <v>50.0</v>
      </c>
      <c r="P2152" s="28">
        <v>0.0</v>
      </c>
      <c r="Q2152" s="28">
        <v>8.0</v>
      </c>
      <c r="R2152" s="84"/>
      <c r="S2152" s="84"/>
      <c r="T2152" s="84"/>
      <c r="U2152" s="84"/>
      <c r="V2152" s="84"/>
      <c r="W2152" s="84"/>
      <c r="X2152" s="84"/>
      <c r="Y2152" s="84"/>
      <c r="Z2152" s="84"/>
      <c r="AA2152" s="84"/>
    </row>
    <row r="2153" ht="15.75" customHeight="1">
      <c r="A2153" s="14" t="s">
        <v>120</v>
      </c>
      <c r="B2153" s="15" t="s">
        <v>22363</v>
      </c>
      <c r="C2153" s="14" t="s">
        <v>22959</v>
      </c>
      <c r="D2153" s="14" t="s">
        <v>22960</v>
      </c>
      <c r="E2153" s="26" t="str">
        <f t="shared" si="28"/>
        <v>http://dx.doi.org/10.1109/VAST.2011.6102475</v>
      </c>
      <c r="F2153" s="14">
        <v>283.0</v>
      </c>
      <c r="G2153" s="14">
        <v>284.0</v>
      </c>
      <c r="H2153" s="14" t="s">
        <v>21</v>
      </c>
      <c r="I2153" s="19" t="s">
        <v>22961</v>
      </c>
      <c r="J2153" s="19" t="s">
        <v>22962</v>
      </c>
      <c r="K2153" s="19" t="s">
        <v>22963</v>
      </c>
      <c r="L2153" s="19" t="s">
        <v>22964</v>
      </c>
      <c r="M2153" s="20"/>
      <c r="N2153" s="27"/>
      <c r="O2153" s="22">
        <v>0.0</v>
      </c>
      <c r="P2153" s="28">
        <v>0.0</v>
      </c>
      <c r="Q2153" s="28">
        <v>3.0</v>
      </c>
      <c r="R2153" s="84"/>
      <c r="S2153" s="84"/>
      <c r="T2153" s="84"/>
      <c r="U2153" s="84"/>
      <c r="V2153" s="84"/>
      <c r="W2153" s="84"/>
      <c r="X2153" s="84"/>
      <c r="Y2153" s="84"/>
      <c r="Z2153" s="84"/>
      <c r="AA2153" s="84"/>
    </row>
    <row r="2154" ht="15.75" customHeight="1">
      <c r="A2154" s="14" t="s">
        <v>120</v>
      </c>
      <c r="B2154" s="15" t="s">
        <v>22363</v>
      </c>
      <c r="C2154" s="42" t="s">
        <v>22965</v>
      </c>
      <c r="D2154" s="14" t="s">
        <v>22966</v>
      </c>
      <c r="E2154" s="26" t="s">
        <v>22967</v>
      </c>
      <c r="F2154" s="14">
        <v>285.0</v>
      </c>
      <c r="G2154" s="14">
        <v>286.0</v>
      </c>
      <c r="H2154" s="121" t="s">
        <v>21</v>
      </c>
      <c r="I2154" s="19" t="s">
        <v>22970</v>
      </c>
      <c r="J2154" s="19" t="s">
        <v>22971</v>
      </c>
      <c r="K2154" s="19" t="s">
        <v>22971</v>
      </c>
      <c r="L2154" s="19" t="s">
        <v>22972</v>
      </c>
      <c r="M2154" s="20"/>
      <c r="N2154" s="27"/>
      <c r="O2154" s="22">
        <v>50.0</v>
      </c>
      <c r="P2154" s="28">
        <v>0.0</v>
      </c>
      <c r="Q2154" s="28">
        <v>5.0</v>
      </c>
      <c r="R2154" s="84"/>
      <c r="S2154" s="84"/>
      <c r="T2154" s="84"/>
      <c r="U2154" s="84"/>
      <c r="V2154" s="84"/>
      <c r="W2154" s="84"/>
      <c r="X2154" s="84"/>
      <c r="Y2154" s="84"/>
      <c r="Z2154" s="84"/>
      <c r="AA2154" s="84"/>
    </row>
    <row r="2155" ht="15.75" customHeight="1">
      <c r="A2155" s="14" t="s">
        <v>120</v>
      </c>
      <c r="B2155" s="15" t="s">
        <v>22363</v>
      </c>
      <c r="C2155" s="14" t="s">
        <v>22973</v>
      </c>
      <c r="D2155" s="14" t="s">
        <v>22974</v>
      </c>
      <c r="E2155" s="26" t="s">
        <v>22975</v>
      </c>
      <c r="F2155" s="14">
        <v>287.0</v>
      </c>
      <c r="G2155" s="14">
        <v>288.0</v>
      </c>
      <c r="H2155" s="121" t="s">
        <v>21</v>
      </c>
      <c r="I2155" s="19" t="s">
        <v>22978</v>
      </c>
      <c r="J2155" s="19" t="s">
        <v>22979</v>
      </c>
      <c r="K2155" s="19" t="s">
        <v>22979</v>
      </c>
      <c r="L2155" s="19" t="s">
        <v>22980</v>
      </c>
      <c r="M2155" s="20"/>
      <c r="N2155" s="27"/>
      <c r="O2155" s="22">
        <v>0.0</v>
      </c>
      <c r="P2155" s="28">
        <v>0.0</v>
      </c>
      <c r="Q2155" s="28">
        <v>2.0</v>
      </c>
      <c r="R2155" s="84"/>
      <c r="S2155" s="84"/>
      <c r="T2155" s="84"/>
      <c r="U2155" s="84"/>
      <c r="V2155" s="84"/>
      <c r="W2155" s="84"/>
      <c r="X2155" s="84"/>
      <c r="Y2155" s="84"/>
      <c r="Z2155" s="84"/>
      <c r="AA2155" s="84"/>
    </row>
    <row r="2156" ht="15.75" customHeight="1">
      <c r="A2156" s="14" t="s">
        <v>120</v>
      </c>
      <c r="B2156" s="15" t="s">
        <v>22363</v>
      </c>
      <c r="C2156" s="14" t="s">
        <v>22982</v>
      </c>
      <c r="D2156" s="14" t="s">
        <v>22983</v>
      </c>
      <c r="E2156" s="26" t="s">
        <v>22984</v>
      </c>
      <c r="F2156" s="14">
        <v>289.0</v>
      </c>
      <c r="G2156" s="14">
        <v>290.0</v>
      </c>
      <c r="H2156" s="121" t="s">
        <v>21</v>
      </c>
      <c r="I2156" s="19" t="s">
        <v>22986</v>
      </c>
      <c r="J2156" s="19" t="s">
        <v>22987</v>
      </c>
      <c r="K2156" s="19" t="s">
        <v>22987</v>
      </c>
      <c r="L2156" s="19" t="s">
        <v>22918</v>
      </c>
      <c r="M2156" s="20"/>
      <c r="N2156" s="27"/>
      <c r="O2156" s="22">
        <v>50.0</v>
      </c>
      <c r="P2156" s="28">
        <v>2.0</v>
      </c>
      <c r="Q2156" s="28">
        <v>4.0</v>
      </c>
      <c r="R2156" s="84"/>
      <c r="S2156" s="84"/>
      <c r="T2156" s="84"/>
      <c r="U2156" s="84"/>
      <c r="V2156" s="84"/>
      <c r="W2156" s="84"/>
      <c r="X2156" s="84"/>
      <c r="Y2156" s="84"/>
      <c r="Z2156" s="84"/>
      <c r="AA2156" s="84"/>
    </row>
    <row r="2157" ht="15.75" customHeight="1">
      <c r="A2157" s="14" t="s">
        <v>120</v>
      </c>
      <c r="B2157" s="15" t="s">
        <v>22363</v>
      </c>
      <c r="C2157" s="14" t="s">
        <v>22988</v>
      </c>
      <c r="D2157" s="14" t="s">
        <v>22989</v>
      </c>
      <c r="E2157" s="26" t="s">
        <v>22990</v>
      </c>
      <c r="F2157" s="14">
        <v>291.0</v>
      </c>
      <c r="G2157" s="14">
        <v>292.0</v>
      </c>
      <c r="H2157" s="121" t="s">
        <v>21</v>
      </c>
      <c r="I2157" s="19" t="s">
        <v>22993</v>
      </c>
      <c r="J2157" s="19" t="s">
        <v>22994</v>
      </c>
      <c r="K2157" s="19" t="s">
        <v>22995</v>
      </c>
      <c r="L2157" s="19" t="s">
        <v>22996</v>
      </c>
      <c r="M2157" s="20"/>
      <c r="N2157" s="27"/>
      <c r="O2157" s="22">
        <v>5.0</v>
      </c>
      <c r="P2157" s="28">
        <v>2.0</v>
      </c>
      <c r="Q2157" s="28">
        <v>6.0</v>
      </c>
      <c r="R2157" s="84"/>
      <c r="S2157" s="84"/>
      <c r="T2157" s="84"/>
      <c r="U2157" s="84"/>
      <c r="V2157" s="84"/>
      <c r="W2157" s="84"/>
      <c r="X2157" s="84"/>
      <c r="Y2157" s="84"/>
      <c r="Z2157" s="84"/>
      <c r="AA2157" s="84"/>
    </row>
    <row r="2158" ht="15.75" customHeight="1">
      <c r="A2158" s="14" t="s">
        <v>120</v>
      </c>
      <c r="B2158" s="15" t="s">
        <v>22363</v>
      </c>
      <c r="C2158" s="14" t="s">
        <v>22997</v>
      </c>
      <c r="D2158" s="14" t="s">
        <v>22998</v>
      </c>
      <c r="E2158" s="26" t="s">
        <v>22999</v>
      </c>
      <c r="F2158" s="14">
        <v>293.0</v>
      </c>
      <c r="G2158" s="14">
        <v>294.0</v>
      </c>
      <c r="H2158" s="121" t="s">
        <v>21</v>
      </c>
      <c r="I2158" s="19" t="s">
        <v>23002</v>
      </c>
      <c r="J2158" s="19" t="s">
        <v>23003</v>
      </c>
      <c r="K2158" s="19" t="s">
        <v>23003</v>
      </c>
      <c r="L2158" s="19" t="s">
        <v>23004</v>
      </c>
      <c r="M2158" s="20"/>
      <c r="N2158" s="27"/>
      <c r="O2158" s="22">
        <v>1.0</v>
      </c>
      <c r="P2158" s="28">
        <v>1.0</v>
      </c>
      <c r="Q2158" s="28">
        <v>6.0</v>
      </c>
      <c r="R2158" s="84"/>
      <c r="S2158" s="84"/>
      <c r="T2158" s="84"/>
      <c r="U2158" s="84"/>
      <c r="V2158" s="84"/>
      <c r="W2158" s="84"/>
      <c r="X2158" s="84"/>
      <c r="Y2158" s="84"/>
      <c r="Z2158" s="84"/>
      <c r="AA2158" s="84"/>
    </row>
    <row r="2159" ht="15.75" customHeight="1">
      <c r="A2159" s="14" t="s">
        <v>120</v>
      </c>
      <c r="B2159" s="15" t="s">
        <v>22363</v>
      </c>
      <c r="C2159" s="14" t="s">
        <v>23005</v>
      </c>
      <c r="D2159" s="14" t="s">
        <v>23006</v>
      </c>
      <c r="E2159" s="26" t="s">
        <v>23007</v>
      </c>
      <c r="F2159" s="14">
        <v>295.0</v>
      </c>
      <c r="G2159" s="14">
        <v>296.0</v>
      </c>
      <c r="H2159" s="121" t="s">
        <v>21</v>
      </c>
      <c r="I2159" s="19" t="s">
        <v>23009</v>
      </c>
      <c r="J2159" s="19" t="s">
        <v>23011</v>
      </c>
      <c r="K2159" s="19" t="s">
        <v>23011</v>
      </c>
      <c r="L2159" s="19" t="s">
        <v>13502</v>
      </c>
      <c r="M2159" s="20"/>
      <c r="N2159" s="27"/>
      <c r="O2159" s="22">
        <v>3.0</v>
      </c>
      <c r="P2159" s="28">
        <v>2.0</v>
      </c>
      <c r="Q2159" s="28">
        <v>4.0</v>
      </c>
      <c r="R2159" s="84"/>
      <c r="S2159" s="84"/>
      <c r="T2159" s="84"/>
      <c r="U2159" s="84"/>
      <c r="V2159" s="84"/>
      <c r="W2159" s="84"/>
      <c r="X2159" s="84"/>
      <c r="Y2159" s="84"/>
      <c r="Z2159" s="84"/>
      <c r="AA2159" s="84"/>
    </row>
    <row r="2160" ht="15.75" customHeight="1">
      <c r="A2160" s="14" t="s">
        <v>120</v>
      </c>
      <c r="B2160" s="15" t="s">
        <v>22363</v>
      </c>
      <c r="C2160" s="14" t="s">
        <v>23012</v>
      </c>
      <c r="D2160" s="14" t="s">
        <v>23014</v>
      </c>
      <c r="E2160" s="26" t="s">
        <v>23015</v>
      </c>
      <c r="F2160" s="14">
        <v>297.0</v>
      </c>
      <c r="G2160" s="14">
        <v>298.0</v>
      </c>
      <c r="H2160" s="121" t="s">
        <v>21</v>
      </c>
      <c r="I2160" s="19" t="s">
        <v>23016</v>
      </c>
      <c r="J2160" s="19" t="s">
        <v>23017</v>
      </c>
      <c r="K2160" s="19" t="s">
        <v>23017</v>
      </c>
      <c r="L2160" s="19" t="s">
        <v>23018</v>
      </c>
      <c r="M2160" s="20"/>
      <c r="N2160" s="27"/>
      <c r="O2160" s="22">
        <v>1.0</v>
      </c>
      <c r="P2160" s="28">
        <v>1.0</v>
      </c>
      <c r="Q2160" s="28">
        <v>4.0</v>
      </c>
      <c r="R2160" s="84"/>
      <c r="S2160" s="84"/>
      <c r="T2160" s="84"/>
      <c r="U2160" s="84"/>
      <c r="V2160" s="84"/>
      <c r="W2160" s="84"/>
      <c r="X2160" s="84"/>
      <c r="Y2160" s="84"/>
      <c r="Z2160" s="84"/>
      <c r="AA2160" s="84"/>
    </row>
    <row r="2161" ht="15.75" customHeight="1">
      <c r="A2161" s="14" t="s">
        <v>120</v>
      </c>
      <c r="B2161" s="15" t="s">
        <v>22363</v>
      </c>
      <c r="C2161" s="42" t="s">
        <v>23020</v>
      </c>
      <c r="D2161" s="14" t="s">
        <v>23022</v>
      </c>
      <c r="E2161" s="26" t="s">
        <v>23023</v>
      </c>
      <c r="F2161" s="14">
        <v>305.0</v>
      </c>
      <c r="G2161" s="14">
        <v>306.0</v>
      </c>
      <c r="H2161" s="121" t="s">
        <v>21</v>
      </c>
      <c r="I2161" s="19" t="s">
        <v>23025</v>
      </c>
      <c r="J2161" s="19" t="s">
        <v>23026</v>
      </c>
      <c r="K2161" s="19" t="s">
        <v>23027</v>
      </c>
      <c r="L2161" s="19" t="s">
        <v>23028</v>
      </c>
      <c r="M2161" s="20"/>
      <c r="N2161" s="27"/>
      <c r="O2161" s="22">
        <v>1.0</v>
      </c>
      <c r="P2161" s="28">
        <v>0.0</v>
      </c>
      <c r="Q2161" s="28">
        <v>3.0</v>
      </c>
      <c r="R2161" s="84"/>
      <c r="S2161" s="84"/>
      <c r="T2161" s="84"/>
      <c r="U2161" s="84"/>
      <c r="V2161" s="84"/>
      <c r="W2161" s="84"/>
      <c r="X2161" s="84"/>
      <c r="Y2161" s="84"/>
      <c r="Z2161" s="84"/>
      <c r="AA2161" s="84"/>
    </row>
    <row r="2162" ht="15.75" customHeight="1">
      <c r="A2162" s="14" t="s">
        <v>120</v>
      </c>
      <c r="B2162" s="15" t="s">
        <v>22363</v>
      </c>
      <c r="C2162" s="14" t="s">
        <v>23029</v>
      </c>
      <c r="D2162" s="14" t="s">
        <v>23030</v>
      </c>
      <c r="E2162" s="26" t="s">
        <v>23031</v>
      </c>
      <c r="F2162" s="14">
        <v>307.0</v>
      </c>
      <c r="G2162" s="14">
        <v>308.0</v>
      </c>
      <c r="H2162" s="121" t="s">
        <v>21</v>
      </c>
      <c r="I2162" s="19" t="s">
        <v>23034</v>
      </c>
      <c r="J2162" s="19" t="s">
        <v>23035</v>
      </c>
      <c r="K2162" s="19" t="s">
        <v>23035</v>
      </c>
      <c r="L2162" s="19" t="s">
        <v>23036</v>
      </c>
      <c r="M2162" s="20"/>
      <c r="N2162" s="27"/>
      <c r="O2162" s="109"/>
      <c r="P2162" s="28">
        <v>0.0</v>
      </c>
      <c r="Q2162" s="28">
        <v>1.0</v>
      </c>
      <c r="R2162" s="84"/>
      <c r="S2162" s="84"/>
      <c r="T2162" s="84"/>
      <c r="U2162" s="84"/>
      <c r="V2162" s="84"/>
      <c r="W2162" s="84"/>
      <c r="X2162" s="84"/>
      <c r="Y2162" s="84"/>
      <c r="Z2162" s="84"/>
      <c r="AA2162" s="84"/>
    </row>
    <row r="2163" ht="15.75" customHeight="1">
      <c r="A2163" s="14" t="s">
        <v>120</v>
      </c>
      <c r="B2163" s="15" t="s">
        <v>22363</v>
      </c>
      <c r="C2163" s="14" t="s">
        <v>23037</v>
      </c>
      <c r="D2163" s="14" t="s">
        <v>23038</v>
      </c>
      <c r="E2163" s="26" t="s">
        <v>23039</v>
      </c>
      <c r="F2163" s="14">
        <v>309.0</v>
      </c>
      <c r="G2163" s="14">
        <v>310.0</v>
      </c>
      <c r="H2163" s="121" t="s">
        <v>21</v>
      </c>
      <c r="I2163" s="19" t="s">
        <v>23040</v>
      </c>
      <c r="J2163" s="19" t="s">
        <v>23041</v>
      </c>
      <c r="K2163" s="19" t="s">
        <v>23042</v>
      </c>
      <c r="L2163" s="19" t="s">
        <v>23043</v>
      </c>
      <c r="M2163" s="20"/>
      <c r="N2163" s="27"/>
      <c r="O2163" s="22">
        <v>50.0</v>
      </c>
      <c r="P2163" s="28">
        <v>13.0</v>
      </c>
      <c r="Q2163" s="28">
        <v>2.0</v>
      </c>
      <c r="R2163" s="84"/>
      <c r="S2163" s="84"/>
      <c r="T2163" s="84"/>
      <c r="U2163" s="84"/>
      <c r="V2163" s="84"/>
      <c r="W2163" s="84"/>
      <c r="X2163" s="84"/>
      <c r="Y2163" s="84"/>
      <c r="Z2163" s="84"/>
      <c r="AA2163" s="84"/>
    </row>
    <row r="2164" ht="15.75" customHeight="1">
      <c r="A2164" s="14" t="s">
        <v>120</v>
      </c>
      <c r="B2164" s="15" t="s">
        <v>22363</v>
      </c>
      <c r="C2164" s="14" t="s">
        <v>23045</v>
      </c>
      <c r="D2164" s="14" t="s">
        <v>23046</v>
      </c>
      <c r="E2164" s="26" t="s">
        <v>23047</v>
      </c>
      <c r="F2164" s="14">
        <v>311.0</v>
      </c>
      <c r="G2164" s="14">
        <v>312.0</v>
      </c>
      <c r="H2164" s="121" t="s">
        <v>21</v>
      </c>
      <c r="I2164" s="19" t="s">
        <v>23049</v>
      </c>
      <c r="J2164" s="19" t="s">
        <v>23050</v>
      </c>
      <c r="K2164" s="19" t="s">
        <v>23051</v>
      </c>
      <c r="L2164" s="19" t="s">
        <v>23052</v>
      </c>
      <c r="M2164" s="20"/>
      <c r="N2164" s="27"/>
      <c r="O2164" s="22">
        <v>50.0</v>
      </c>
      <c r="P2164" s="28">
        <v>2.0</v>
      </c>
      <c r="Q2164" s="28">
        <v>3.0</v>
      </c>
      <c r="R2164" s="84"/>
      <c r="S2164" s="84"/>
      <c r="T2164" s="84"/>
      <c r="U2164" s="84"/>
      <c r="V2164" s="84"/>
      <c r="W2164" s="84"/>
      <c r="X2164" s="84"/>
      <c r="Y2164" s="84"/>
      <c r="Z2164" s="84"/>
      <c r="AA2164" s="84"/>
    </row>
    <row r="2165" ht="15.75" customHeight="1">
      <c r="A2165" s="14" t="s">
        <v>120</v>
      </c>
      <c r="B2165" s="15" t="s">
        <v>22363</v>
      </c>
      <c r="C2165" s="14" t="s">
        <v>23053</v>
      </c>
      <c r="D2165" s="14" t="s">
        <v>23054</v>
      </c>
      <c r="E2165" s="26" t="s">
        <v>23055</v>
      </c>
      <c r="F2165" s="14">
        <v>313.0</v>
      </c>
      <c r="G2165" s="14">
        <v>314.0</v>
      </c>
      <c r="H2165" s="121" t="s">
        <v>21</v>
      </c>
      <c r="I2165" s="19" t="s">
        <v>23058</v>
      </c>
      <c r="J2165" s="19" t="s">
        <v>23059</v>
      </c>
      <c r="K2165" s="19" t="s">
        <v>23060</v>
      </c>
      <c r="L2165" s="19" t="s">
        <v>23061</v>
      </c>
      <c r="M2165" s="20"/>
      <c r="N2165" s="27"/>
      <c r="O2165" s="22">
        <v>3.0</v>
      </c>
      <c r="P2165" s="28">
        <v>0.0</v>
      </c>
      <c r="Q2165" s="28">
        <v>3.0</v>
      </c>
      <c r="R2165" s="84"/>
      <c r="S2165" s="84"/>
      <c r="T2165" s="84"/>
      <c r="U2165" s="84"/>
      <c r="V2165" s="84"/>
      <c r="W2165" s="84"/>
      <c r="X2165" s="84"/>
      <c r="Y2165" s="84"/>
      <c r="Z2165" s="84"/>
      <c r="AA2165" s="84"/>
    </row>
    <row r="2166" ht="15.75" customHeight="1">
      <c r="A2166" s="14" t="s">
        <v>120</v>
      </c>
      <c r="B2166" s="15" t="s">
        <v>22363</v>
      </c>
      <c r="C2166" s="14" t="s">
        <v>23062</v>
      </c>
      <c r="D2166" s="14" t="s">
        <v>23063</v>
      </c>
      <c r="E2166" s="26" t="s">
        <v>23064</v>
      </c>
      <c r="F2166" s="14">
        <v>315.0</v>
      </c>
      <c r="G2166" s="14">
        <v>316.0</v>
      </c>
      <c r="H2166" s="121" t="s">
        <v>21</v>
      </c>
      <c r="I2166" s="19" t="s">
        <v>23068</v>
      </c>
      <c r="J2166" s="19" t="s">
        <v>23069</v>
      </c>
      <c r="K2166" s="19" t="s">
        <v>23069</v>
      </c>
      <c r="L2166" s="19" t="s">
        <v>23070</v>
      </c>
      <c r="M2166" s="20"/>
      <c r="N2166" s="27"/>
      <c r="O2166" s="22">
        <v>16.0</v>
      </c>
      <c r="P2166" s="28">
        <v>4.0</v>
      </c>
      <c r="Q2166" s="28">
        <v>6.0</v>
      </c>
      <c r="R2166" s="84"/>
      <c r="S2166" s="84"/>
      <c r="T2166" s="84"/>
      <c r="U2166" s="84"/>
      <c r="V2166" s="84"/>
      <c r="W2166" s="84"/>
      <c r="X2166" s="84"/>
      <c r="Y2166" s="84"/>
      <c r="Z2166" s="84"/>
      <c r="AA2166" s="84"/>
    </row>
    <row r="2167" ht="15.75" customHeight="1">
      <c r="A2167" s="14" t="s">
        <v>120</v>
      </c>
      <c r="B2167" s="15" t="s">
        <v>22363</v>
      </c>
      <c r="C2167" s="14" t="s">
        <v>23071</v>
      </c>
      <c r="D2167" s="14" t="s">
        <v>23072</v>
      </c>
      <c r="E2167" s="26" t="s">
        <v>23073</v>
      </c>
      <c r="F2167" s="14">
        <v>317.0</v>
      </c>
      <c r="G2167" s="14">
        <v>318.0</v>
      </c>
      <c r="H2167" s="121" t="s">
        <v>21</v>
      </c>
      <c r="I2167" s="19" t="s">
        <v>23074</v>
      </c>
      <c r="J2167" s="19" t="s">
        <v>22951</v>
      </c>
      <c r="K2167" s="19" t="s">
        <v>22951</v>
      </c>
      <c r="L2167" s="19" t="s">
        <v>22952</v>
      </c>
      <c r="M2167" s="20"/>
      <c r="N2167" s="27"/>
      <c r="O2167" s="22">
        <v>50.0</v>
      </c>
      <c r="P2167" s="28">
        <v>0.0</v>
      </c>
      <c r="Q2167" s="28">
        <v>3.0</v>
      </c>
      <c r="R2167" s="84"/>
      <c r="S2167" s="84"/>
      <c r="T2167" s="84"/>
      <c r="U2167" s="84"/>
      <c r="V2167" s="84"/>
      <c r="W2167" s="84"/>
      <c r="X2167" s="84"/>
      <c r="Y2167" s="84"/>
      <c r="Z2167" s="84"/>
      <c r="AA2167" s="84"/>
    </row>
    <row r="2168" ht="15.75" customHeight="1">
      <c r="A2168" s="14" t="s">
        <v>120</v>
      </c>
      <c r="B2168" s="15" t="s">
        <v>22363</v>
      </c>
      <c r="C2168" s="42" t="s">
        <v>23075</v>
      </c>
      <c r="D2168" s="14" t="s">
        <v>23076</v>
      </c>
      <c r="E2168" s="26" t="s">
        <v>23078</v>
      </c>
      <c r="F2168" s="14">
        <v>319.0</v>
      </c>
      <c r="G2168" s="14">
        <v>321.0</v>
      </c>
      <c r="H2168" s="121" t="s">
        <v>21</v>
      </c>
      <c r="I2168" s="19" t="s">
        <v>23079</v>
      </c>
      <c r="J2168" s="19" t="s">
        <v>23080</v>
      </c>
      <c r="K2168" s="19" t="s">
        <v>23080</v>
      </c>
      <c r="L2168" s="19" t="s">
        <v>23081</v>
      </c>
      <c r="M2168" s="20"/>
      <c r="N2168" s="27"/>
      <c r="O2168" s="22">
        <v>50.0</v>
      </c>
      <c r="P2168" s="28">
        <v>1.0</v>
      </c>
      <c r="Q2168" s="28">
        <v>8.0</v>
      </c>
      <c r="R2168" s="84"/>
      <c r="S2168" s="84"/>
      <c r="T2168" s="84"/>
      <c r="U2168" s="84"/>
      <c r="V2168" s="84"/>
      <c r="W2168" s="84"/>
      <c r="X2168" s="84"/>
      <c r="Y2168" s="84"/>
      <c r="Z2168" s="84"/>
      <c r="AA2168" s="84"/>
    </row>
    <row r="2169" ht="15.75" customHeight="1">
      <c r="A2169" s="14" t="s">
        <v>120</v>
      </c>
      <c r="B2169" s="15" t="s">
        <v>22363</v>
      </c>
      <c r="C2169" s="42" t="s">
        <v>23082</v>
      </c>
      <c r="D2169" s="14" t="s">
        <v>23083</v>
      </c>
      <c r="E2169" s="26" t="s">
        <v>23084</v>
      </c>
      <c r="F2169" s="14">
        <v>323.0</v>
      </c>
      <c r="G2169" s="14">
        <v>324.0</v>
      </c>
      <c r="H2169" s="121" t="s">
        <v>21</v>
      </c>
      <c r="I2169" s="19" t="s">
        <v>23088</v>
      </c>
      <c r="J2169" s="19" t="s">
        <v>23089</v>
      </c>
      <c r="K2169" s="19" t="s">
        <v>23089</v>
      </c>
      <c r="L2169" s="19" t="s">
        <v>23090</v>
      </c>
      <c r="M2169" s="20"/>
      <c r="N2169" s="27"/>
      <c r="O2169" s="22">
        <v>50.0</v>
      </c>
      <c r="P2169" s="28">
        <v>1.0</v>
      </c>
      <c r="Q2169" s="28">
        <v>4.0</v>
      </c>
      <c r="R2169" s="84"/>
      <c r="S2169" s="84"/>
      <c r="T2169" s="84"/>
      <c r="U2169" s="84"/>
      <c r="V2169" s="84"/>
      <c r="W2169" s="84"/>
      <c r="X2169" s="84"/>
      <c r="Y2169" s="84"/>
      <c r="Z2169" s="84"/>
      <c r="AA2169" s="84"/>
    </row>
    <row r="2170" ht="15.75" customHeight="1">
      <c r="A2170" s="14" t="s">
        <v>120</v>
      </c>
      <c r="B2170" s="15" t="s">
        <v>22363</v>
      </c>
      <c r="C2170" s="14" t="s">
        <v>23091</v>
      </c>
      <c r="D2170" s="14" t="s">
        <v>23092</v>
      </c>
      <c r="E2170" s="26" t="s">
        <v>23093</v>
      </c>
      <c r="F2170" s="14">
        <v>325.0</v>
      </c>
      <c r="G2170" s="14">
        <v>326.0</v>
      </c>
      <c r="H2170" s="121" t="s">
        <v>21</v>
      </c>
      <c r="I2170" s="19" t="s">
        <v>23096</v>
      </c>
      <c r="J2170" s="19" t="s">
        <v>23098</v>
      </c>
      <c r="K2170" s="19" t="s">
        <v>23099</v>
      </c>
      <c r="L2170" s="19" t="s">
        <v>23100</v>
      </c>
      <c r="M2170" s="20"/>
      <c r="N2170" s="27"/>
      <c r="O2170" s="22">
        <v>1.0</v>
      </c>
      <c r="P2170" s="28">
        <v>0.0</v>
      </c>
      <c r="Q2170" s="28">
        <v>3.0</v>
      </c>
      <c r="R2170" s="84"/>
      <c r="S2170" s="84"/>
      <c r="T2170" s="84"/>
      <c r="U2170" s="84"/>
      <c r="V2170" s="84"/>
      <c r="W2170" s="84"/>
      <c r="X2170" s="84"/>
      <c r="Y2170" s="84"/>
      <c r="Z2170" s="84"/>
      <c r="AA2170" s="84"/>
    </row>
    <row r="2171" ht="15.75" customHeight="1">
      <c r="A2171" s="14" t="s">
        <v>120</v>
      </c>
      <c r="B2171" s="15" t="s">
        <v>22363</v>
      </c>
      <c r="C2171" s="42" t="s">
        <v>23101</v>
      </c>
      <c r="D2171" s="14" t="s">
        <v>23102</v>
      </c>
      <c r="E2171" s="26" t="s">
        <v>23103</v>
      </c>
      <c r="F2171" s="14">
        <v>327.0</v>
      </c>
      <c r="G2171" s="14">
        <v>328.0</v>
      </c>
      <c r="H2171" s="121" t="s">
        <v>21</v>
      </c>
      <c r="I2171" s="19" t="s">
        <v>23104</v>
      </c>
      <c r="J2171" s="19" t="s">
        <v>23106</v>
      </c>
      <c r="K2171" s="19" t="s">
        <v>23106</v>
      </c>
      <c r="L2171" s="19" t="s">
        <v>23107</v>
      </c>
      <c r="M2171" s="20"/>
      <c r="N2171" s="27"/>
      <c r="O2171" s="109"/>
      <c r="P2171" s="28">
        <v>0.0</v>
      </c>
      <c r="Q2171" s="28">
        <v>3.0</v>
      </c>
      <c r="R2171" s="84"/>
      <c r="S2171" s="84"/>
      <c r="T2171" s="84"/>
      <c r="U2171" s="84"/>
      <c r="V2171" s="84"/>
      <c r="W2171" s="84"/>
      <c r="X2171" s="84"/>
      <c r="Y2171" s="84"/>
      <c r="Z2171" s="84"/>
      <c r="AA2171" s="84"/>
    </row>
    <row r="2172" ht="15.75" customHeight="1">
      <c r="A2172" s="14" t="s">
        <v>120</v>
      </c>
      <c r="B2172" s="15" t="s">
        <v>22363</v>
      </c>
      <c r="C2172" s="14" t="s">
        <v>23109</v>
      </c>
      <c r="D2172" s="14" t="s">
        <v>23110</v>
      </c>
      <c r="E2172" s="26" t="s">
        <v>23111</v>
      </c>
      <c r="F2172" s="14">
        <v>329.0</v>
      </c>
      <c r="G2172" s="14">
        <v>330.0</v>
      </c>
      <c r="H2172" s="121" t="s">
        <v>21</v>
      </c>
      <c r="I2172" s="19" t="s">
        <v>23112</v>
      </c>
      <c r="J2172" s="19" t="s">
        <v>23113</v>
      </c>
      <c r="K2172" s="19" t="s">
        <v>23114</v>
      </c>
      <c r="L2172" s="19" t="s">
        <v>23115</v>
      </c>
      <c r="M2172" s="20"/>
      <c r="N2172" s="27"/>
      <c r="O2172" s="22">
        <v>7.0</v>
      </c>
      <c r="P2172" s="28">
        <v>3.0</v>
      </c>
      <c r="Q2172" s="28">
        <v>13.0</v>
      </c>
      <c r="R2172" s="84"/>
      <c r="S2172" s="84"/>
      <c r="T2172" s="84"/>
      <c r="U2172" s="84"/>
      <c r="V2172" s="84"/>
      <c r="W2172" s="84"/>
      <c r="X2172" s="84"/>
      <c r="Y2172" s="84"/>
      <c r="Z2172" s="84"/>
      <c r="AA2172" s="84"/>
    </row>
    <row r="2173" ht="15.75" customHeight="1">
      <c r="A2173" s="14" t="s">
        <v>17</v>
      </c>
      <c r="B2173" s="15" t="s">
        <v>22363</v>
      </c>
      <c r="C2173" s="14" t="s">
        <v>23116</v>
      </c>
      <c r="D2173" s="14" t="s">
        <v>23117</v>
      </c>
      <c r="E2173" s="26" t="str">
        <f t="shared" ref="E2173:E2404" si="29">"http://dx.doi.org/" &amp; D2173</f>
        <v>http://dx.doi.org/10.1109/TVCG.2011.159</v>
      </c>
      <c r="F2173" s="14">
        <v>2045.0</v>
      </c>
      <c r="G2173" s="14">
        <v>2052.0</v>
      </c>
      <c r="H2173" s="14" t="s">
        <v>17059</v>
      </c>
      <c r="I2173" s="19" t="s">
        <v>23120</v>
      </c>
      <c r="J2173" s="19" t="s">
        <v>23121</v>
      </c>
      <c r="K2173" s="19" t="s">
        <v>23122</v>
      </c>
      <c r="L2173" s="19" t="s">
        <v>23123</v>
      </c>
      <c r="M2173" s="20" t="s">
        <v>23124</v>
      </c>
      <c r="N2173" s="44" t="s">
        <v>23125</v>
      </c>
      <c r="O2173" s="22">
        <v>30.0</v>
      </c>
      <c r="P2173" s="28">
        <v>15.0</v>
      </c>
      <c r="Q2173" s="28">
        <v>40.0</v>
      </c>
      <c r="R2173" s="84"/>
      <c r="S2173" s="84"/>
      <c r="T2173" s="84"/>
      <c r="U2173" s="84"/>
      <c r="V2173" s="84"/>
      <c r="W2173" s="84"/>
      <c r="X2173" s="84"/>
      <c r="Y2173" s="84"/>
      <c r="Z2173" s="84"/>
      <c r="AA2173" s="84"/>
    </row>
    <row r="2174" ht="15.75" customHeight="1">
      <c r="A2174" s="14" t="s">
        <v>17</v>
      </c>
      <c r="B2174" s="15" t="s">
        <v>22363</v>
      </c>
      <c r="C2174" s="14" t="s">
        <v>23126</v>
      </c>
      <c r="D2174" s="14" t="s">
        <v>23127</v>
      </c>
      <c r="E2174" s="26" t="str">
        <f t="shared" si="29"/>
        <v>http://dx.doi.org/10.1109/TVCG.2011.161</v>
      </c>
      <c r="F2174" s="14">
        <v>1922.0</v>
      </c>
      <c r="G2174" s="14">
        <v>1931.0</v>
      </c>
      <c r="H2174" s="14" t="s">
        <v>17059</v>
      </c>
      <c r="I2174" s="19" t="s">
        <v>23128</v>
      </c>
      <c r="J2174" s="19" t="s">
        <v>23129</v>
      </c>
      <c r="K2174" s="19" t="s">
        <v>23129</v>
      </c>
      <c r="L2174" s="19" t="s">
        <v>23130</v>
      </c>
      <c r="M2174" s="20" t="s">
        <v>23131</v>
      </c>
      <c r="N2174" s="44" t="s">
        <v>23132</v>
      </c>
      <c r="O2174" s="22">
        <v>68.0</v>
      </c>
      <c r="P2174" s="28">
        <v>36.0</v>
      </c>
      <c r="Q2174" s="28">
        <v>42.0</v>
      </c>
      <c r="R2174" s="84"/>
      <c r="S2174" s="84"/>
      <c r="T2174" s="84"/>
      <c r="U2174" s="84"/>
      <c r="V2174" s="84"/>
      <c r="W2174" s="84"/>
      <c r="X2174" s="84"/>
      <c r="Y2174" s="84"/>
      <c r="Z2174" s="84"/>
      <c r="AA2174" s="84"/>
    </row>
    <row r="2175" ht="15.75" customHeight="1">
      <c r="A2175" s="14" t="s">
        <v>17</v>
      </c>
      <c r="B2175" s="15" t="s">
        <v>22363</v>
      </c>
      <c r="C2175" s="14" t="s">
        <v>23133</v>
      </c>
      <c r="D2175" s="14" t="s">
        <v>23134</v>
      </c>
      <c r="E2175" s="26" t="str">
        <f t="shared" si="29"/>
        <v>http://dx.doi.org/10.1109/TVCG.2011.162</v>
      </c>
      <c r="F2175" s="14">
        <v>2088.0</v>
      </c>
      <c r="G2175" s="14">
        <v>2095.0</v>
      </c>
      <c r="H2175" s="14" t="s">
        <v>17059</v>
      </c>
      <c r="I2175" s="19" t="s">
        <v>23137</v>
      </c>
      <c r="J2175" s="19" t="s">
        <v>23138</v>
      </c>
      <c r="K2175" s="19" t="s">
        <v>23139</v>
      </c>
      <c r="L2175" s="19" t="s">
        <v>23140</v>
      </c>
      <c r="M2175" s="20" t="s">
        <v>23141</v>
      </c>
      <c r="N2175" s="44" t="s">
        <v>23142</v>
      </c>
      <c r="O2175" s="22">
        <v>36.0</v>
      </c>
      <c r="P2175" s="28">
        <v>28.0</v>
      </c>
      <c r="Q2175" s="28">
        <v>19.0</v>
      </c>
      <c r="R2175" s="84"/>
      <c r="S2175" s="84"/>
      <c r="T2175" s="84"/>
      <c r="U2175" s="84"/>
      <c r="V2175" s="84"/>
      <c r="W2175" s="84"/>
      <c r="X2175" s="84"/>
      <c r="Y2175" s="84"/>
      <c r="Z2175" s="84"/>
      <c r="AA2175" s="84"/>
    </row>
    <row r="2176" ht="15.75" customHeight="1">
      <c r="A2176" s="14" t="s">
        <v>17</v>
      </c>
      <c r="B2176" s="15" t="s">
        <v>22363</v>
      </c>
      <c r="C2176" s="14" t="s">
        <v>23144</v>
      </c>
      <c r="D2176" s="14" t="s">
        <v>23145</v>
      </c>
      <c r="E2176" s="26" t="str">
        <f t="shared" si="29"/>
        <v>http://dx.doi.org/10.1109/TVCG.2011.164</v>
      </c>
      <c r="F2176" s="14">
        <v>2144.0</v>
      </c>
      <c r="G2176" s="14">
        <v>2152.0</v>
      </c>
      <c r="H2176" s="14" t="s">
        <v>17059</v>
      </c>
      <c r="I2176" s="19" t="s">
        <v>23146</v>
      </c>
      <c r="J2176" s="19" t="s">
        <v>23147</v>
      </c>
      <c r="K2176" s="19" t="s">
        <v>23148</v>
      </c>
      <c r="L2176" s="19" t="s">
        <v>23149</v>
      </c>
      <c r="M2176" s="20" t="s">
        <v>23150</v>
      </c>
      <c r="N2176" s="44" t="s">
        <v>23151</v>
      </c>
      <c r="O2176" s="22">
        <v>50.0</v>
      </c>
      <c r="P2176" s="28">
        <v>6.0</v>
      </c>
      <c r="Q2176" s="28">
        <v>28.0</v>
      </c>
      <c r="R2176" s="84"/>
      <c r="S2176" s="84"/>
      <c r="T2176" s="84"/>
      <c r="U2176" s="84"/>
      <c r="V2176" s="84"/>
      <c r="W2176" s="84"/>
      <c r="X2176" s="84"/>
      <c r="Y2176" s="84"/>
      <c r="Z2176" s="84"/>
      <c r="AA2176" s="84"/>
    </row>
    <row r="2177" ht="15.75" customHeight="1">
      <c r="A2177" s="14" t="s">
        <v>17</v>
      </c>
      <c r="B2177" s="15" t="s">
        <v>22363</v>
      </c>
      <c r="C2177" s="14" t="s">
        <v>23152</v>
      </c>
      <c r="D2177" s="14" t="s">
        <v>23153</v>
      </c>
      <c r="E2177" s="26" t="str">
        <f t="shared" si="29"/>
        <v>http://dx.doi.org/10.1109/TVCG.2011.165</v>
      </c>
      <c r="F2177" s="14">
        <v>1989.0</v>
      </c>
      <c r="G2177" s="14">
        <v>1996.0</v>
      </c>
      <c r="H2177" s="14" t="s">
        <v>17059</v>
      </c>
      <c r="I2177" s="19" t="s">
        <v>23154</v>
      </c>
      <c r="J2177" s="19" t="s">
        <v>23156</v>
      </c>
      <c r="K2177" s="19" t="s">
        <v>23157</v>
      </c>
      <c r="L2177" s="19" t="s">
        <v>23158</v>
      </c>
      <c r="M2177" s="20" t="s">
        <v>15280</v>
      </c>
      <c r="N2177" s="44" t="s">
        <v>23159</v>
      </c>
      <c r="O2177" s="22">
        <v>12.0</v>
      </c>
      <c r="P2177" s="28">
        <v>8.0</v>
      </c>
      <c r="Q2177" s="28">
        <v>27.0</v>
      </c>
      <c r="R2177" s="84"/>
      <c r="S2177" s="84"/>
      <c r="T2177" s="84"/>
      <c r="U2177" s="84"/>
      <c r="V2177" s="84"/>
      <c r="W2177" s="84"/>
      <c r="X2177" s="84"/>
      <c r="Y2177" s="84"/>
      <c r="Z2177" s="84"/>
      <c r="AA2177" s="84"/>
    </row>
    <row r="2178" ht="15.75" customHeight="1">
      <c r="A2178" s="14" t="s">
        <v>17</v>
      </c>
      <c r="B2178" s="15" t="s">
        <v>22363</v>
      </c>
      <c r="C2178" s="14" t="s">
        <v>23160</v>
      </c>
      <c r="D2178" s="14" t="s">
        <v>23162</v>
      </c>
      <c r="E2178" s="26" t="str">
        <f t="shared" si="29"/>
        <v>http://dx.doi.org/10.1109/TVCG.2011.168</v>
      </c>
      <c r="F2178" s="14">
        <v>1757.0</v>
      </c>
      <c r="G2178" s="14">
        <v>1764.0</v>
      </c>
      <c r="H2178" s="14" t="s">
        <v>17059</v>
      </c>
      <c r="I2178" s="19" t="s">
        <v>23163</v>
      </c>
      <c r="J2178" s="19" t="s">
        <v>23164</v>
      </c>
      <c r="K2178" s="19" t="s">
        <v>23165</v>
      </c>
      <c r="L2178" s="19" t="s">
        <v>23166</v>
      </c>
      <c r="M2178" s="20" t="s">
        <v>6032</v>
      </c>
      <c r="N2178" s="44" t="s">
        <v>23167</v>
      </c>
      <c r="O2178" s="22">
        <v>4.0</v>
      </c>
      <c r="P2178" s="28">
        <v>1.0</v>
      </c>
      <c r="Q2178" s="28">
        <v>36.0</v>
      </c>
      <c r="R2178" s="85" t="s">
        <v>19037</v>
      </c>
      <c r="S2178" s="84"/>
      <c r="T2178" s="84"/>
      <c r="U2178" s="84"/>
      <c r="V2178" s="84"/>
      <c r="W2178" s="84"/>
      <c r="X2178" s="84"/>
      <c r="Y2178" s="84"/>
      <c r="Z2178" s="84"/>
      <c r="AA2178" s="84"/>
    </row>
    <row r="2179" ht="15.75" customHeight="1">
      <c r="A2179" s="14" t="s">
        <v>17</v>
      </c>
      <c r="B2179" s="15" t="s">
        <v>22363</v>
      </c>
      <c r="C2179" s="14" t="s">
        <v>23168</v>
      </c>
      <c r="D2179" s="14" t="s">
        <v>23169</v>
      </c>
      <c r="E2179" s="26" t="str">
        <f t="shared" si="29"/>
        <v>http://dx.doi.org/10.1109/TVCG.2011.170</v>
      </c>
      <c r="F2179" s="14">
        <v>1979.0</v>
      </c>
      <c r="G2179" s="14">
        <v>1988.0</v>
      </c>
      <c r="H2179" s="14" t="s">
        <v>17059</v>
      </c>
      <c r="I2179" s="19" t="s">
        <v>23170</v>
      </c>
      <c r="J2179" s="19" t="s">
        <v>23171</v>
      </c>
      <c r="K2179" s="19" t="s">
        <v>23172</v>
      </c>
      <c r="L2179" s="19" t="s">
        <v>23173</v>
      </c>
      <c r="M2179" s="20" t="s">
        <v>23174</v>
      </c>
      <c r="N2179" s="44" t="s">
        <v>23175</v>
      </c>
      <c r="O2179" s="22">
        <v>22.0</v>
      </c>
      <c r="P2179" s="28">
        <v>11.0</v>
      </c>
      <c r="Q2179" s="28">
        <v>47.0</v>
      </c>
      <c r="R2179" s="84"/>
      <c r="S2179" s="84"/>
      <c r="T2179" s="84"/>
      <c r="U2179" s="84"/>
      <c r="V2179" s="84"/>
      <c r="W2179" s="84"/>
      <c r="X2179" s="84"/>
      <c r="Y2179" s="84"/>
      <c r="Z2179" s="84"/>
      <c r="AA2179" s="84"/>
    </row>
    <row r="2180" ht="15.75" customHeight="1">
      <c r="A2180" s="14" t="s">
        <v>17</v>
      </c>
      <c r="B2180" s="15" t="s">
        <v>22363</v>
      </c>
      <c r="C2180" s="14" t="s">
        <v>23176</v>
      </c>
      <c r="D2180" s="14" t="s">
        <v>23177</v>
      </c>
      <c r="E2180" s="26" t="str">
        <f t="shared" si="29"/>
        <v>http://dx.doi.org/10.1109/TVCG.2011.171</v>
      </c>
      <c r="F2180" s="14">
        <v>2005.0</v>
      </c>
      <c r="G2180" s="14">
        <v>2014.0</v>
      </c>
      <c r="H2180" s="14" t="s">
        <v>17059</v>
      </c>
      <c r="I2180" s="19" t="s">
        <v>23197</v>
      </c>
      <c r="J2180" s="19" t="s">
        <v>23198</v>
      </c>
      <c r="K2180" s="19" t="s">
        <v>23198</v>
      </c>
      <c r="L2180" s="19" t="s">
        <v>23199</v>
      </c>
      <c r="M2180" s="20" t="s">
        <v>23200</v>
      </c>
      <c r="N2180" s="44" t="s">
        <v>23202</v>
      </c>
      <c r="O2180" s="22">
        <v>50.0</v>
      </c>
      <c r="P2180" s="28">
        <v>17.0</v>
      </c>
      <c r="Q2180" s="28">
        <v>37.0</v>
      </c>
      <c r="R2180" s="84"/>
      <c r="S2180" s="84"/>
      <c r="T2180" s="84"/>
      <c r="U2180" s="84"/>
      <c r="V2180" s="84"/>
      <c r="W2180" s="84"/>
      <c r="X2180" s="84"/>
      <c r="Y2180" s="84"/>
      <c r="Z2180" s="84"/>
      <c r="AA2180" s="84"/>
    </row>
    <row r="2181" ht="15.75" customHeight="1">
      <c r="A2181" s="14" t="s">
        <v>17</v>
      </c>
      <c r="B2181" s="15" t="s">
        <v>22363</v>
      </c>
      <c r="C2181" s="14" t="s">
        <v>23203</v>
      </c>
      <c r="D2181" s="14" t="s">
        <v>23204</v>
      </c>
      <c r="E2181" s="26" t="str">
        <f t="shared" si="29"/>
        <v>http://dx.doi.org/10.1109/TVCG.2011.173</v>
      </c>
      <c r="F2181" s="14">
        <v>1932.0</v>
      </c>
      <c r="G2181" s="14">
        <v>1941.0</v>
      </c>
      <c r="H2181" s="14" t="s">
        <v>17059</v>
      </c>
      <c r="I2181" s="19" t="s">
        <v>23205</v>
      </c>
      <c r="J2181" s="19" t="s">
        <v>23206</v>
      </c>
      <c r="K2181" s="19" t="s">
        <v>23207</v>
      </c>
      <c r="L2181" s="19" t="s">
        <v>23208</v>
      </c>
      <c r="M2181" s="20" t="s">
        <v>23209</v>
      </c>
      <c r="N2181" s="44" t="s">
        <v>23210</v>
      </c>
      <c r="O2181" s="22">
        <v>57.0</v>
      </c>
      <c r="P2181" s="28">
        <v>29.0</v>
      </c>
      <c r="Q2181" s="28">
        <v>46.0</v>
      </c>
      <c r="R2181" s="84"/>
      <c r="S2181" s="84"/>
      <c r="T2181" s="84"/>
      <c r="U2181" s="84"/>
      <c r="V2181" s="84"/>
      <c r="W2181" s="84"/>
      <c r="X2181" s="84"/>
      <c r="Y2181" s="84"/>
      <c r="Z2181" s="84"/>
      <c r="AA2181" s="84"/>
    </row>
    <row r="2182" ht="15.75" customHeight="1">
      <c r="A2182" s="14" t="s">
        <v>17</v>
      </c>
      <c r="B2182" s="15" t="s">
        <v>22363</v>
      </c>
      <c r="C2182" s="14" t="s">
        <v>23212</v>
      </c>
      <c r="D2182" s="14" t="s">
        <v>23213</v>
      </c>
      <c r="E2182" s="26" t="str">
        <f t="shared" si="29"/>
        <v>http://dx.doi.org/10.1109/TVCG.2011.177</v>
      </c>
      <c r="F2182" s="14">
        <v>1902.0</v>
      </c>
      <c r="G2182" s="14">
        <v>1911.0</v>
      </c>
      <c r="H2182" s="14" t="s">
        <v>17059</v>
      </c>
      <c r="I2182" s="19" t="s">
        <v>23214</v>
      </c>
      <c r="J2182" s="19" t="s">
        <v>23215</v>
      </c>
      <c r="K2182" s="19" t="s">
        <v>23215</v>
      </c>
      <c r="L2182" s="19" t="s">
        <v>23216</v>
      </c>
      <c r="M2182" s="20" t="s">
        <v>23217</v>
      </c>
      <c r="N2182" s="44" t="s">
        <v>23218</v>
      </c>
      <c r="O2182" s="22">
        <v>24.0</v>
      </c>
      <c r="P2182" s="28">
        <v>12.0</v>
      </c>
      <c r="Q2182" s="28">
        <v>51.0</v>
      </c>
      <c r="R2182" s="84"/>
      <c r="S2182" s="84"/>
      <c r="T2182" s="84"/>
      <c r="U2182" s="84"/>
      <c r="V2182" s="84"/>
      <c r="W2182" s="84"/>
      <c r="X2182" s="84"/>
      <c r="Y2182" s="84"/>
      <c r="Z2182" s="84"/>
      <c r="AA2182" s="84"/>
    </row>
    <row r="2183" ht="15.75" customHeight="1">
      <c r="A2183" s="14" t="s">
        <v>17</v>
      </c>
      <c r="B2183" s="15" t="s">
        <v>22363</v>
      </c>
      <c r="C2183" s="14" t="s">
        <v>23219</v>
      </c>
      <c r="D2183" s="14" t="s">
        <v>23220</v>
      </c>
      <c r="E2183" s="26" t="str">
        <f t="shared" si="29"/>
        <v>http://dx.doi.org/10.1109/TVCG.2011.182</v>
      </c>
      <c r="F2183" s="14">
        <v>1997.0</v>
      </c>
      <c r="G2183" s="14">
        <v>2004.0</v>
      </c>
      <c r="H2183" s="14" t="s">
        <v>17059</v>
      </c>
      <c r="I2183" s="19" t="s">
        <v>23222</v>
      </c>
      <c r="J2183" s="19" t="s">
        <v>23223</v>
      </c>
      <c r="K2183" s="19" t="s">
        <v>23224</v>
      </c>
      <c r="L2183" s="19" t="s">
        <v>23225</v>
      </c>
      <c r="M2183" s="20" t="s">
        <v>23226</v>
      </c>
      <c r="N2183" s="44" t="s">
        <v>23227</v>
      </c>
      <c r="O2183" s="22">
        <v>50.0</v>
      </c>
      <c r="P2183" s="28">
        <v>6.0</v>
      </c>
      <c r="Q2183" s="28">
        <v>23.0</v>
      </c>
      <c r="R2183" s="84"/>
      <c r="S2183" s="84"/>
      <c r="T2183" s="84"/>
      <c r="U2183" s="84"/>
      <c r="V2183" s="84"/>
      <c r="W2183" s="84"/>
      <c r="X2183" s="84"/>
      <c r="Y2183" s="84"/>
      <c r="Z2183" s="84"/>
      <c r="AA2183" s="84"/>
    </row>
    <row r="2184" ht="15.75" customHeight="1">
      <c r="A2184" s="14" t="s">
        <v>17</v>
      </c>
      <c r="B2184" s="15" t="s">
        <v>22363</v>
      </c>
      <c r="C2184" s="14" t="s">
        <v>23229</v>
      </c>
      <c r="D2184" s="14" t="s">
        <v>23230</v>
      </c>
      <c r="E2184" s="26" t="str">
        <f t="shared" si="29"/>
        <v>http://dx.doi.org/10.1109/TVCG.2011.184</v>
      </c>
      <c r="F2184" s="14">
        <v>2163.0</v>
      </c>
      <c r="G2184" s="14">
        <v>2172.0</v>
      </c>
      <c r="H2184" s="14" t="s">
        <v>17059</v>
      </c>
      <c r="I2184" s="19" t="s">
        <v>23231</v>
      </c>
      <c r="J2184" s="19" t="s">
        <v>23232</v>
      </c>
      <c r="K2184" s="19" t="s">
        <v>23232</v>
      </c>
      <c r="L2184" s="19" t="s">
        <v>23233</v>
      </c>
      <c r="M2184" s="20" t="s">
        <v>18763</v>
      </c>
      <c r="N2184" s="44" t="s">
        <v>23234</v>
      </c>
      <c r="O2184" s="22">
        <v>50.0</v>
      </c>
      <c r="P2184" s="28">
        <v>10.0</v>
      </c>
      <c r="Q2184" s="28">
        <v>39.0</v>
      </c>
      <c r="R2184" s="84"/>
      <c r="S2184" s="84"/>
      <c r="T2184" s="84"/>
      <c r="U2184" s="84"/>
      <c r="V2184" s="84"/>
      <c r="W2184" s="84"/>
      <c r="X2184" s="84"/>
      <c r="Y2184" s="84"/>
      <c r="Z2184" s="84"/>
      <c r="AA2184" s="84"/>
    </row>
    <row r="2185" ht="15.75" customHeight="1">
      <c r="A2185" s="14" t="s">
        <v>17</v>
      </c>
      <c r="B2185" s="15" t="s">
        <v>22363</v>
      </c>
      <c r="C2185" s="14" t="s">
        <v>23235</v>
      </c>
      <c r="D2185" s="14" t="s">
        <v>23236</v>
      </c>
      <c r="E2185" s="26" t="str">
        <f t="shared" si="29"/>
        <v>http://dx.doi.org/10.1109/TVCG.2011.189</v>
      </c>
      <c r="F2185" s="14">
        <v>2173.0</v>
      </c>
      <c r="G2185" s="14">
        <v>2182.0</v>
      </c>
      <c r="H2185" s="14" t="s">
        <v>17059</v>
      </c>
      <c r="I2185" s="19" t="s">
        <v>23238</v>
      </c>
      <c r="J2185" s="19" t="s">
        <v>23240</v>
      </c>
      <c r="K2185" s="19" t="s">
        <v>23241</v>
      </c>
      <c r="L2185" s="19" t="s">
        <v>20975</v>
      </c>
      <c r="M2185" s="20" t="s">
        <v>23242</v>
      </c>
      <c r="N2185" s="44" t="s">
        <v>23243</v>
      </c>
      <c r="O2185" s="22">
        <v>21.0</v>
      </c>
      <c r="P2185" s="28">
        <v>9.0</v>
      </c>
      <c r="Q2185" s="28">
        <v>19.0</v>
      </c>
      <c r="R2185" s="84"/>
      <c r="S2185" s="84"/>
      <c r="T2185" s="84"/>
      <c r="U2185" s="84"/>
      <c r="V2185" s="84"/>
      <c r="W2185" s="84"/>
      <c r="X2185" s="84"/>
      <c r="Y2185" s="84"/>
      <c r="Z2185" s="84"/>
      <c r="AA2185" s="84"/>
    </row>
    <row r="2186" ht="15.75" customHeight="1">
      <c r="A2186" s="14" t="s">
        <v>17</v>
      </c>
      <c r="B2186" s="15" t="s">
        <v>22363</v>
      </c>
      <c r="C2186" s="14" t="s">
        <v>23244</v>
      </c>
      <c r="D2186" s="14" t="s">
        <v>23245</v>
      </c>
      <c r="E2186" s="26" t="str">
        <f t="shared" si="29"/>
        <v>http://dx.doi.org/10.1109/TVCG.2011.194</v>
      </c>
      <c r="F2186" s="14">
        <v>2053.0</v>
      </c>
      <c r="G2186" s="14">
        <v>2062.0</v>
      </c>
      <c r="H2186" s="14" t="s">
        <v>17059</v>
      </c>
      <c r="I2186" s="19" t="s">
        <v>23246</v>
      </c>
      <c r="J2186" s="19" t="s">
        <v>23247</v>
      </c>
      <c r="K2186" s="19" t="s">
        <v>23248</v>
      </c>
      <c r="L2186" s="19" t="s">
        <v>23249</v>
      </c>
      <c r="M2186" s="20" t="s">
        <v>23250</v>
      </c>
      <c r="N2186" s="44" t="s">
        <v>23251</v>
      </c>
      <c r="O2186" s="22">
        <v>50.0</v>
      </c>
      <c r="P2186" s="28">
        <v>6.0</v>
      </c>
      <c r="Q2186" s="28">
        <v>25.0</v>
      </c>
      <c r="R2186" s="84"/>
      <c r="S2186" s="84"/>
      <c r="T2186" s="84"/>
      <c r="U2186" s="84"/>
      <c r="V2186" s="84"/>
      <c r="W2186" s="84"/>
      <c r="X2186" s="84"/>
      <c r="Y2186" s="84"/>
      <c r="Z2186" s="84"/>
      <c r="AA2186" s="84"/>
    </row>
    <row r="2187" ht="15.75" customHeight="1">
      <c r="A2187" s="14" t="s">
        <v>17</v>
      </c>
      <c r="B2187" s="15" t="s">
        <v>22363</v>
      </c>
      <c r="C2187" s="14" t="s">
        <v>23252</v>
      </c>
      <c r="D2187" s="14" t="s">
        <v>23253</v>
      </c>
      <c r="E2187" s="26" t="str">
        <f t="shared" si="29"/>
        <v>http://dx.doi.org/10.1109/TVCG.2011.198</v>
      </c>
      <c r="F2187" s="14">
        <v>1795.0</v>
      </c>
      <c r="G2187" s="14">
        <v>1802.0</v>
      </c>
      <c r="H2187" s="14" t="s">
        <v>17059</v>
      </c>
      <c r="I2187" s="19" t="s">
        <v>23254</v>
      </c>
      <c r="J2187" s="19" t="s">
        <v>23255</v>
      </c>
      <c r="K2187" s="19" t="s">
        <v>23255</v>
      </c>
      <c r="L2187" s="19" t="s">
        <v>23256</v>
      </c>
      <c r="M2187" s="20" t="s">
        <v>23257</v>
      </c>
      <c r="N2187" s="44" t="s">
        <v>23258</v>
      </c>
      <c r="O2187" s="22">
        <v>50.0</v>
      </c>
      <c r="P2187" s="28">
        <v>25.0</v>
      </c>
      <c r="Q2187" s="28">
        <v>36.0</v>
      </c>
      <c r="R2187" s="84"/>
      <c r="S2187" s="84"/>
      <c r="T2187" s="84"/>
      <c r="U2187" s="84"/>
      <c r="V2187" s="84"/>
      <c r="W2187" s="84"/>
      <c r="X2187" s="84"/>
      <c r="Y2187" s="84"/>
      <c r="Z2187" s="84"/>
      <c r="AA2187" s="84"/>
    </row>
    <row r="2188" ht="15.75" customHeight="1">
      <c r="A2188" s="14" t="s">
        <v>17</v>
      </c>
      <c r="B2188" s="15" t="s">
        <v>22363</v>
      </c>
      <c r="C2188" s="14" t="s">
        <v>23259</v>
      </c>
      <c r="D2188" s="14" t="s">
        <v>23260</v>
      </c>
      <c r="E2188" s="26" t="str">
        <f t="shared" si="29"/>
        <v>http://dx.doi.org/10.1109/TVCG.2011.199</v>
      </c>
      <c r="F2188" s="14">
        <v>1822.0</v>
      </c>
      <c r="G2188" s="14">
        <v>1831.0</v>
      </c>
      <c r="H2188" s="14" t="s">
        <v>17059</v>
      </c>
      <c r="I2188" s="19" t="s">
        <v>23262</v>
      </c>
      <c r="J2188" s="19" t="s">
        <v>23263</v>
      </c>
      <c r="K2188" s="19" t="s">
        <v>23264</v>
      </c>
      <c r="L2188" s="19" t="s">
        <v>23265</v>
      </c>
      <c r="M2188" s="20" t="s">
        <v>23266</v>
      </c>
      <c r="N2188" s="44" t="s">
        <v>23267</v>
      </c>
      <c r="O2188" s="22">
        <v>50.0</v>
      </c>
      <c r="P2188" s="28">
        <v>20.0</v>
      </c>
      <c r="Q2188" s="28">
        <v>47.0</v>
      </c>
      <c r="R2188" s="84"/>
      <c r="S2188" s="84"/>
      <c r="T2188" s="84"/>
      <c r="U2188" s="84"/>
      <c r="V2188" s="84"/>
      <c r="W2188" s="84"/>
      <c r="X2188" s="84"/>
      <c r="Y2188" s="84"/>
      <c r="Z2188" s="84"/>
      <c r="AA2188" s="84"/>
    </row>
    <row r="2189" ht="15.75" customHeight="1">
      <c r="A2189" s="14" t="s">
        <v>17</v>
      </c>
      <c r="B2189" s="15" t="s">
        <v>22363</v>
      </c>
      <c r="C2189" s="14" t="s">
        <v>23268</v>
      </c>
      <c r="D2189" s="14" t="s">
        <v>23269</v>
      </c>
      <c r="E2189" s="26" t="str">
        <f t="shared" si="29"/>
        <v>http://dx.doi.org/10.1109/TVCG.2011.200</v>
      </c>
      <c r="F2189" s="14">
        <v>1912.0</v>
      </c>
      <c r="G2189" s="14">
        <v>1921.0</v>
      </c>
      <c r="H2189" s="14" t="s">
        <v>17059</v>
      </c>
      <c r="I2189" s="19" t="s">
        <v>23270</v>
      </c>
      <c r="J2189" s="19" t="s">
        <v>21965</v>
      </c>
      <c r="K2189" s="19" t="s">
        <v>21965</v>
      </c>
      <c r="L2189" s="19" t="s">
        <v>23271</v>
      </c>
      <c r="M2189" s="20" t="s">
        <v>23272</v>
      </c>
      <c r="N2189" s="44" t="s">
        <v>23273</v>
      </c>
      <c r="O2189" s="22">
        <v>14.0</v>
      </c>
      <c r="P2189" s="28">
        <v>6.0</v>
      </c>
      <c r="Q2189" s="28">
        <v>28.0</v>
      </c>
      <c r="R2189" s="84"/>
      <c r="S2189" s="84"/>
      <c r="T2189" s="84"/>
      <c r="U2189" s="84"/>
      <c r="V2189" s="84"/>
      <c r="W2189" s="84"/>
      <c r="X2189" s="84"/>
      <c r="Y2189" s="84"/>
      <c r="Z2189" s="84"/>
      <c r="AA2189" s="84"/>
    </row>
    <row r="2190" ht="15.75" customHeight="1">
      <c r="A2190" s="14" t="s">
        <v>17</v>
      </c>
      <c r="B2190" s="15" t="s">
        <v>22363</v>
      </c>
      <c r="C2190" s="42" t="s">
        <v>23274</v>
      </c>
      <c r="D2190" s="14" t="s">
        <v>23275</v>
      </c>
      <c r="E2190" s="26" t="str">
        <f t="shared" si="29"/>
        <v>http://dx.doi.org/10.1109/TVCG.2011.203</v>
      </c>
      <c r="F2190" s="14">
        <v>1949.0</v>
      </c>
      <c r="G2190" s="14">
        <v>1958.0</v>
      </c>
      <c r="H2190" s="14" t="s">
        <v>17059</v>
      </c>
      <c r="I2190" s="19" t="s">
        <v>23278</v>
      </c>
      <c r="J2190" s="19" t="s">
        <v>23279</v>
      </c>
      <c r="K2190" s="19" t="s">
        <v>23280</v>
      </c>
      <c r="L2190" s="19" t="s">
        <v>23281</v>
      </c>
      <c r="M2190" s="20" t="s">
        <v>23282</v>
      </c>
      <c r="N2190" s="44" t="s">
        <v>23283</v>
      </c>
      <c r="O2190" s="109"/>
      <c r="P2190" s="28">
        <v>24.0</v>
      </c>
      <c r="Q2190" s="28">
        <v>35.0</v>
      </c>
      <c r="R2190" s="84"/>
      <c r="S2190" s="84"/>
      <c r="T2190" s="84"/>
      <c r="U2190" s="84"/>
      <c r="V2190" s="84"/>
      <c r="W2190" s="84"/>
      <c r="X2190" s="84"/>
      <c r="Y2190" s="84"/>
      <c r="Z2190" s="84"/>
      <c r="AA2190" s="84"/>
    </row>
    <row r="2191" ht="15.75" customHeight="1">
      <c r="A2191" s="14" t="s">
        <v>17</v>
      </c>
      <c r="B2191" s="15" t="s">
        <v>22363</v>
      </c>
      <c r="C2191" s="14" t="s">
        <v>23285</v>
      </c>
      <c r="D2191" s="14" t="s">
        <v>23286</v>
      </c>
      <c r="E2191" s="26" t="str">
        <f t="shared" si="29"/>
        <v>http://dx.doi.org/10.1109/TVCG.2011.204</v>
      </c>
      <c r="F2191" s="14">
        <v>2096.0</v>
      </c>
      <c r="G2191" s="14">
        <v>2105.0</v>
      </c>
      <c r="H2191" s="14" t="s">
        <v>17059</v>
      </c>
      <c r="I2191" s="19" t="s">
        <v>23287</v>
      </c>
      <c r="J2191" s="19" t="s">
        <v>23288</v>
      </c>
      <c r="K2191" s="19" t="s">
        <v>23289</v>
      </c>
      <c r="L2191" s="19" t="s">
        <v>23290</v>
      </c>
      <c r="M2191" s="20" t="s">
        <v>23291</v>
      </c>
      <c r="N2191" s="44" t="s">
        <v>23292</v>
      </c>
      <c r="O2191" s="22">
        <v>50.0</v>
      </c>
      <c r="P2191" s="28">
        <v>5.0</v>
      </c>
      <c r="Q2191" s="28">
        <v>32.0</v>
      </c>
      <c r="R2191" s="84"/>
      <c r="S2191" s="84"/>
      <c r="T2191" s="84"/>
      <c r="U2191" s="84"/>
      <c r="V2191" s="84"/>
      <c r="W2191" s="84"/>
      <c r="X2191" s="84"/>
      <c r="Y2191" s="84"/>
      <c r="Z2191" s="84"/>
      <c r="AA2191" s="84"/>
    </row>
    <row r="2192" ht="15.75" customHeight="1">
      <c r="A2192" s="14" t="s">
        <v>17</v>
      </c>
      <c r="B2192" s="15" t="s">
        <v>22363</v>
      </c>
      <c r="C2192" s="14" t="s">
        <v>23293</v>
      </c>
      <c r="D2192" s="14" t="s">
        <v>23294</v>
      </c>
      <c r="E2192" s="26" t="str">
        <f t="shared" si="29"/>
        <v>http://dx.doi.org/10.1109/TVCG.2011.206</v>
      </c>
      <c r="F2192" s="14">
        <v>1803.0</v>
      </c>
      <c r="G2192" s="14">
        <v>1811.0</v>
      </c>
      <c r="H2192" s="14" t="s">
        <v>17059</v>
      </c>
      <c r="I2192" s="19" t="s">
        <v>23295</v>
      </c>
      <c r="J2192" s="19" t="s">
        <v>23296</v>
      </c>
      <c r="K2192" s="19" t="s">
        <v>23297</v>
      </c>
      <c r="L2192" s="19" t="s">
        <v>23298</v>
      </c>
      <c r="M2192" s="20" t="s">
        <v>23299</v>
      </c>
      <c r="N2192" s="44" t="s">
        <v>21598</v>
      </c>
      <c r="O2192" s="22">
        <v>16.0</v>
      </c>
      <c r="P2192" s="28">
        <v>8.0</v>
      </c>
      <c r="Q2192" s="28">
        <v>24.0</v>
      </c>
      <c r="R2192" s="84"/>
      <c r="S2192" s="84"/>
      <c r="T2192" s="84"/>
      <c r="U2192" s="84"/>
      <c r="V2192" s="84"/>
      <c r="W2192" s="84"/>
      <c r="X2192" s="84"/>
      <c r="Y2192" s="84"/>
      <c r="Z2192" s="84"/>
      <c r="AA2192" s="84"/>
    </row>
    <row r="2193" ht="15.75" customHeight="1">
      <c r="A2193" s="14" t="s">
        <v>17</v>
      </c>
      <c r="B2193" s="15" t="s">
        <v>22363</v>
      </c>
      <c r="C2193" s="14" t="s">
        <v>23301</v>
      </c>
      <c r="D2193" s="14" t="s">
        <v>23302</v>
      </c>
      <c r="E2193" s="26" t="str">
        <f t="shared" si="29"/>
        <v>http://dx.doi.org/10.1109/TVCG.2011.207</v>
      </c>
      <c r="F2193" s="14">
        <v>1812.0</v>
      </c>
      <c r="G2193" s="14">
        <v>1821.0</v>
      </c>
      <c r="H2193" s="14" t="s">
        <v>17059</v>
      </c>
      <c r="I2193" s="19" t="s">
        <v>23304</v>
      </c>
      <c r="J2193" s="19" t="s">
        <v>23305</v>
      </c>
      <c r="K2193" s="19" t="s">
        <v>23306</v>
      </c>
      <c r="L2193" s="19" t="s">
        <v>23307</v>
      </c>
      <c r="M2193" s="20" t="s">
        <v>23308</v>
      </c>
      <c r="N2193" s="44" t="s">
        <v>23309</v>
      </c>
      <c r="O2193" s="22">
        <v>14.0</v>
      </c>
      <c r="P2193" s="28">
        <v>36.0</v>
      </c>
      <c r="Q2193" s="28">
        <v>37.0</v>
      </c>
      <c r="R2193" s="84"/>
      <c r="S2193" s="84"/>
      <c r="T2193" s="84"/>
      <c r="U2193" s="84"/>
      <c r="V2193" s="84"/>
      <c r="W2193" s="84"/>
      <c r="X2193" s="84"/>
      <c r="Y2193" s="84"/>
      <c r="Z2193" s="84"/>
      <c r="AA2193" s="84"/>
    </row>
    <row r="2194" ht="15.75" customHeight="1">
      <c r="A2194" s="14" t="s">
        <v>17</v>
      </c>
      <c r="B2194" s="15" t="s">
        <v>22363</v>
      </c>
      <c r="C2194" s="14" t="s">
        <v>23310</v>
      </c>
      <c r="D2194" s="14" t="s">
        <v>23311</v>
      </c>
      <c r="E2194" s="26" t="str">
        <f t="shared" si="29"/>
        <v>http://dx.doi.org/10.1109/TVCG.2011.208</v>
      </c>
      <c r="F2194" s="14">
        <v>1747.0</v>
      </c>
      <c r="G2194" s="14">
        <v>1756.0</v>
      </c>
      <c r="H2194" s="14" t="s">
        <v>17059</v>
      </c>
      <c r="I2194" s="19" t="s">
        <v>23312</v>
      </c>
      <c r="J2194" s="19" t="s">
        <v>23313</v>
      </c>
      <c r="K2194" s="19" t="s">
        <v>23314</v>
      </c>
      <c r="L2194" s="19" t="s">
        <v>23315</v>
      </c>
      <c r="M2194" s="20" t="s">
        <v>23317</v>
      </c>
      <c r="N2194" s="44" t="s">
        <v>23318</v>
      </c>
      <c r="O2194" s="22">
        <v>21.0</v>
      </c>
      <c r="P2194" s="28">
        <v>13.0</v>
      </c>
      <c r="Q2194" s="28">
        <v>29.0</v>
      </c>
      <c r="R2194" s="84"/>
      <c r="S2194" s="84"/>
      <c r="T2194" s="84"/>
      <c r="U2194" s="84"/>
      <c r="V2194" s="84"/>
      <c r="W2194" s="84"/>
      <c r="X2194" s="84"/>
      <c r="Y2194" s="84"/>
      <c r="Z2194" s="84"/>
      <c r="AA2194" s="84"/>
    </row>
    <row r="2195" ht="15.75" customHeight="1">
      <c r="A2195" s="14" t="s">
        <v>17</v>
      </c>
      <c r="B2195" s="15" t="s">
        <v>22363</v>
      </c>
      <c r="C2195" s="14" t="s">
        <v>23320</v>
      </c>
      <c r="D2195" s="14" t="s">
        <v>23321</v>
      </c>
      <c r="E2195" s="26" t="str">
        <f t="shared" si="29"/>
        <v>http://dx.doi.org/10.1109/TVCG.2011.211</v>
      </c>
      <c r="F2195" s="14">
        <v>2125.0</v>
      </c>
      <c r="G2195" s="14">
        <v>2134.0</v>
      </c>
      <c r="H2195" s="14" t="s">
        <v>17059</v>
      </c>
      <c r="I2195" s="19" t="s">
        <v>23322</v>
      </c>
      <c r="J2195" s="19" t="s">
        <v>23323</v>
      </c>
      <c r="K2195" s="19" t="s">
        <v>23324</v>
      </c>
      <c r="L2195" s="19" t="s">
        <v>23325</v>
      </c>
      <c r="M2195" s="20" t="s">
        <v>23326</v>
      </c>
      <c r="N2195" s="44" t="s">
        <v>23327</v>
      </c>
      <c r="O2195" s="22">
        <v>29.0</v>
      </c>
      <c r="P2195" s="28">
        <v>17.0</v>
      </c>
      <c r="Q2195" s="28">
        <v>44.0</v>
      </c>
      <c r="R2195" s="84"/>
      <c r="S2195" s="84"/>
      <c r="T2195" s="84"/>
      <c r="U2195" s="84"/>
      <c r="V2195" s="84"/>
      <c r="W2195" s="84"/>
      <c r="X2195" s="84"/>
      <c r="Y2195" s="84"/>
      <c r="Z2195" s="84"/>
      <c r="AA2195" s="84"/>
    </row>
    <row r="2196" ht="15.75" customHeight="1">
      <c r="A2196" s="14" t="s">
        <v>17</v>
      </c>
      <c r="B2196" s="15" t="s">
        <v>22363</v>
      </c>
      <c r="C2196" s="14" t="s">
        <v>23328</v>
      </c>
      <c r="D2196" s="14" t="s">
        <v>23329</v>
      </c>
      <c r="E2196" s="26" t="str">
        <f t="shared" si="29"/>
        <v>http://dx.doi.org/10.1109/TVCG.2011.214</v>
      </c>
      <c r="F2196" s="14">
        <v>2135.0</v>
      </c>
      <c r="G2196" s="14">
        <v>2143.0</v>
      </c>
      <c r="H2196" s="14" t="s">
        <v>17059</v>
      </c>
      <c r="I2196" s="19" t="s">
        <v>23330</v>
      </c>
      <c r="J2196" s="19" t="s">
        <v>23331</v>
      </c>
      <c r="K2196" s="19" t="s">
        <v>23332</v>
      </c>
      <c r="L2196" s="19" t="s">
        <v>23333</v>
      </c>
      <c r="M2196" s="20" t="s">
        <v>23334</v>
      </c>
      <c r="N2196" s="44" t="s">
        <v>23335</v>
      </c>
      <c r="O2196" s="22">
        <v>50.0</v>
      </c>
      <c r="P2196" s="28">
        <v>17.0</v>
      </c>
      <c r="Q2196" s="28">
        <v>28.0</v>
      </c>
      <c r="R2196" s="84"/>
      <c r="S2196" s="84"/>
      <c r="T2196" s="84"/>
      <c r="U2196" s="84"/>
      <c r="V2196" s="84"/>
      <c r="W2196" s="84"/>
      <c r="X2196" s="84"/>
      <c r="Y2196" s="84"/>
      <c r="Z2196" s="84"/>
      <c r="AA2196" s="84"/>
    </row>
    <row r="2197" ht="15.75" customHeight="1">
      <c r="A2197" s="14" t="s">
        <v>17</v>
      </c>
      <c r="B2197" s="15" t="s">
        <v>22363</v>
      </c>
      <c r="C2197" s="14" t="s">
        <v>23337</v>
      </c>
      <c r="D2197" s="14" t="s">
        <v>23338</v>
      </c>
      <c r="E2197" s="26" t="str">
        <f t="shared" si="29"/>
        <v>http://dx.doi.org/10.1109/TVCG.2011.215</v>
      </c>
      <c r="F2197" s="14">
        <v>2153.0</v>
      </c>
      <c r="G2197" s="14">
        <v>2162.0</v>
      </c>
      <c r="H2197" s="14" t="s">
        <v>17059</v>
      </c>
      <c r="I2197" s="19" t="s">
        <v>23340</v>
      </c>
      <c r="J2197" s="19" t="s">
        <v>22007</v>
      </c>
      <c r="K2197" s="19" t="s">
        <v>22008</v>
      </c>
      <c r="L2197" s="19" t="s">
        <v>23341</v>
      </c>
      <c r="M2197" s="20" t="s">
        <v>23342</v>
      </c>
      <c r="N2197" s="44" t="s">
        <v>23343</v>
      </c>
      <c r="O2197" s="22">
        <v>36.0</v>
      </c>
      <c r="P2197" s="28">
        <v>19.0</v>
      </c>
      <c r="Q2197" s="28">
        <v>29.0</v>
      </c>
      <c r="R2197" s="84"/>
      <c r="S2197" s="84"/>
      <c r="T2197" s="84"/>
      <c r="U2197" s="84"/>
      <c r="V2197" s="84"/>
      <c r="W2197" s="84"/>
      <c r="X2197" s="84"/>
      <c r="Y2197" s="84"/>
      <c r="Z2197" s="84"/>
      <c r="AA2197" s="84"/>
    </row>
    <row r="2198" ht="15.75" customHeight="1">
      <c r="A2198" s="14" t="s">
        <v>17</v>
      </c>
      <c r="B2198" s="15" t="s">
        <v>22363</v>
      </c>
      <c r="C2198" s="14" t="s">
        <v>23344</v>
      </c>
      <c r="D2198" s="14" t="s">
        <v>23345</v>
      </c>
      <c r="E2198" s="26" t="str">
        <f t="shared" si="29"/>
        <v>http://dx.doi.org/10.1109/TVCG.2011.216</v>
      </c>
      <c r="F2198" s="14">
        <v>2115.0</v>
      </c>
      <c r="G2198" s="14">
        <v>2124.0</v>
      </c>
      <c r="H2198" s="14" t="s">
        <v>17059</v>
      </c>
      <c r="I2198" s="19" t="s">
        <v>23346</v>
      </c>
      <c r="J2198" s="19" t="s">
        <v>23347</v>
      </c>
      <c r="K2198" s="19" t="s">
        <v>23348</v>
      </c>
      <c r="L2198" s="19" t="s">
        <v>23349</v>
      </c>
      <c r="M2198" s="20" t="s">
        <v>23350</v>
      </c>
      <c r="N2198" s="44" t="s">
        <v>23351</v>
      </c>
      <c r="O2198" s="22">
        <v>23.0</v>
      </c>
      <c r="P2198" s="28">
        <v>8.0</v>
      </c>
      <c r="Q2198" s="28">
        <v>48.0</v>
      </c>
      <c r="R2198" s="84"/>
      <c r="S2198" s="84"/>
      <c r="T2198" s="84"/>
      <c r="U2198" s="84"/>
      <c r="V2198" s="84"/>
      <c r="W2198" s="84"/>
      <c r="X2198" s="84"/>
      <c r="Y2198" s="84"/>
      <c r="Z2198" s="84"/>
      <c r="AA2198" s="84"/>
    </row>
    <row r="2199" ht="15.75" customHeight="1">
      <c r="A2199" s="14" t="s">
        <v>17</v>
      </c>
      <c r="B2199" s="15" t="s">
        <v>22363</v>
      </c>
      <c r="C2199" s="14" t="s">
        <v>23352</v>
      </c>
      <c r="D2199" s="14" t="s">
        <v>23353</v>
      </c>
      <c r="E2199" s="26" t="str">
        <f t="shared" si="29"/>
        <v>http://dx.doi.org/10.1109/TVCG.2011.217</v>
      </c>
      <c r="F2199" s="14">
        <v>1882.0</v>
      </c>
      <c r="G2199" s="14">
        <v>1891.0</v>
      </c>
      <c r="H2199" s="14" t="s">
        <v>17059</v>
      </c>
      <c r="I2199" s="19" t="s">
        <v>23355</v>
      </c>
      <c r="J2199" s="19" t="s">
        <v>23356</v>
      </c>
      <c r="K2199" s="19" t="s">
        <v>23357</v>
      </c>
      <c r="L2199" s="19" t="s">
        <v>23358</v>
      </c>
      <c r="M2199" s="20" t="s">
        <v>23359</v>
      </c>
      <c r="N2199" s="44" t="s">
        <v>23360</v>
      </c>
      <c r="O2199" s="22">
        <v>50.0</v>
      </c>
      <c r="P2199" s="28">
        <v>7.0</v>
      </c>
      <c r="Q2199" s="28">
        <v>38.0</v>
      </c>
      <c r="R2199" s="84"/>
      <c r="S2199" s="84"/>
      <c r="T2199" s="84"/>
      <c r="U2199" s="84"/>
      <c r="V2199" s="84"/>
      <c r="W2199" s="84"/>
      <c r="X2199" s="84"/>
      <c r="Y2199" s="84"/>
      <c r="Z2199" s="84"/>
      <c r="AA2199" s="84"/>
    </row>
    <row r="2200" ht="15.75" customHeight="1">
      <c r="A2200" s="14" t="s">
        <v>17</v>
      </c>
      <c r="B2200" s="15" t="s">
        <v>22363</v>
      </c>
      <c r="C2200" s="14" t="s">
        <v>23362</v>
      </c>
      <c r="D2200" s="14" t="s">
        <v>23363</v>
      </c>
      <c r="E2200" s="26" t="str">
        <f t="shared" si="29"/>
        <v>http://dx.doi.org/10.1109/TVCG.2011.218</v>
      </c>
      <c r="F2200" s="14">
        <v>1959.0</v>
      </c>
      <c r="G2200" s="14">
        <v>1968.0</v>
      </c>
      <c r="H2200" s="14" t="s">
        <v>17059</v>
      </c>
      <c r="I2200" s="19" t="s">
        <v>23364</v>
      </c>
      <c r="J2200" s="19" t="s">
        <v>23365</v>
      </c>
      <c r="K2200" s="19" t="s">
        <v>23365</v>
      </c>
      <c r="L2200" s="19" t="s">
        <v>22309</v>
      </c>
      <c r="M2200" s="20" t="s">
        <v>23366</v>
      </c>
      <c r="N2200" s="44" t="s">
        <v>23367</v>
      </c>
      <c r="O2200" s="22">
        <v>50.0</v>
      </c>
      <c r="P2200" s="28">
        <v>10.0</v>
      </c>
      <c r="Q2200" s="28">
        <v>42.0</v>
      </c>
      <c r="R2200" s="84"/>
      <c r="S2200" s="84"/>
      <c r="T2200" s="84"/>
      <c r="U2200" s="84"/>
      <c r="V2200" s="84"/>
      <c r="W2200" s="84"/>
      <c r="X2200" s="84"/>
      <c r="Y2200" s="84"/>
      <c r="Z2200" s="84"/>
      <c r="AA2200" s="84"/>
    </row>
    <row r="2201" ht="15.75" customHeight="1">
      <c r="A2201" s="14" t="s">
        <v>17</v>
      </c>
      <c r="B2201" s="15" t="s">
        <v>22363</v>
      </c>
      <c r="C2201" s="14" t="s">
        <v>23368</v>
      </c>
      <c r="D2201" s="14" t="s">
        <v>23369</v>
      </c>
      <c r="E2201" s="26" t="str">
        <f t="shared" si="29"/>
        <v>http://dx.doi.org/10.1109/TVCG.2011.219</v>
      </c>
      <c r="F2201" s="14">
        <v>1785.0</v>
      </c>
      <c r="G2201" s="14">
        <v>1794.0</v>
      </c>
      <c r="H2201" s="14" t="s">
        <v>17059</v>
      </c>
      <c r="I2201" s="19" t="s">
        <v>23370</v>
      </c>
      <c r="J2201" s="19" t="s">
        <v>23371</v>
      </c>
      <c r="K2201" s="19" t="s">
        <v>23371</v>
      </c>
      <c r="L2201" s="19" t="s">
        <v>21913</v>
      </c>
      <c r="M2201" s="20"/>
      <c r="N2201" s="44" t="s">
        <v>23372</v>
      </c>
      <c r="O2201" s="22">
        <v>49.0</v>
      </c>
      <c r="P2201" s="28">
        <v>29.0</v>
      </c>
      <c r="Q2201" s="28">
        <v>24.0</v>
      </c>
      <c r="R2201" s="84"/>
      <c r="S2201" s="84"/>
      <c r="T2201" s="84"/>
      <c r="U2201" s="84"/>
      <c r="V2201" s="84"/>
      <c r="W2201" s="84"/>
      <c r="X2201" s="84"/>
      <c r="Y2201" s="84"/>
      <c r="Z2201" s="84"/>
      <c r="AA2201" s="84"/>
    </row>
    <row r="2202" ht="15.75" customHeight="1">
      <c r="A2202" s="14" t="s">
        <v>17</v>
      </c>
      <c r="B2202" s="15" t="s">
        <v>22363</v>
      </c>
      <c r="C2202" s="14" t="s">
        <v>23374</v>
      </c>
      <c r="D2202" s="14" t="s">
        <v>23375</v>
      </c>
      <c r="E2202" s="26" t="str">
        <f t="shared" si="29"/>
        <v>http://dx.doi.org/10.1109/TVCG.2011.224</v>
      </c>
      <c r="F2202" s="14">
        <v>1775.0</v>
      </c>
      <c r="G2202" s="14">
        <v>1784.0</v>
      </c>
      <c r="H2202" s="14" t="s">
        <v>17059</v>
      </c>
      <c r="I2202" s="19" t="s">
        <v>23377</v>
      </c>
      <c r="J2202" s="19" t="s">
        <v>23378</v>
      </c>
      <c r="K2202" s="19" t="s">
        <v>23379</v>
      </c>
      <c r="L2202" s="19" t="s">
        <v>23380</v>
      </c>
      <c r="M2202" s="20" t="s">
        <v>23381</v>
      </c>
      <c r="N2202" s="44" t="s">
        <v>23382</v>
      </c>
      <c r="O2202" s="22">
        <v>50.0</v>
      </c>
      <c r="P2202" s="28">
        <v>23.0</v>
      </c>
      <c r="Q2202" s="28">
        <v>42.0</v>
      </c>
      <c r="R2202" s="84"/>
      <c r="S2202" s="84"/>
      <c r="T2202" s="84"/>
      <c r="U2202" s="84"/>
      <c r="V2202" s="84"/>
      <c r="W2202" s="84"/>
      <c r="X2202" s="84"/>
      <c r="Y2202" s="84"/>
      <c r="Z2202" s="84"/>
      <c r="AA2202" s="84"/>
    </row>
    <row r="2203" ht="15.75" customHeight="1">
      <c r="A2203" s="14" t="s">
        <v>17</v>
      </c>
      <c r="B2203" s="15" t="s">
        <v>22363</v>
      </c>
      <c r="C2203" s="14" t="s">
        <v>23383</v>
      </c>
      <c r="D2203" s="14" t="s">
        <v>23384</v>
      </c>
      <c r="E2203" s="26" t="str">
        <f t="shared" si="29"/>
        <v>http://dx.doi.org/10.1109/TVCG.2011.225</v>
      </c>
      <c r="F2203" s="14">
        <v>1872.0</v>
      </c>
      <c r="G2203" s="14">
        <v>1881.0</v>
      </c>
      <c r="H2203" s="14" t="s">
        <v>17059</v>
      </c>
      <c r="I2203" s="19" t="s">
        <v>23385</v>
      </c>
      <c r="J2203" s="19" t="s">
        <v>23386</v>
      </c>
      <c r="K2203" s="19" t="s">
        <v>23387</v>
      </c>
      <c r="L2203" s="19" t="s">
        <v>23388</v>
      </c>
      <c r="M2203" s="20" t="s">
        <v>23389</v>
      </c>
      <c r="N2203" s="44" t="s">
        <v>23390</v>
      </c>
      <c r="O2203" s="22">
        <v>29.0</v>
      </c>
      <c r="P2203" s="28">
        <v>14.0</v>
      </c>
      <c r="Q2203" s="28">
        <v>48.0</v>
      </c>
      <c r="R2203" s="84"/>
      <c r="S2203" s="84"/>
      <c r="T2203" s="84"/>
      <c r="U2203" s="84"/>
      <c r="V2203" s="84"/>
      <c r="W2203" s="84"/>
      <c r="X2203" s="84"/>
      <c r="Y2203" s="84"/>
      <c r="Z2203" s="84"/>
      <c r="AA2203" s="84"/>
    </row>
    <row r="2204" ht="15.75" customHeight="1">
      <c r="A2204" s="14" t="s">
        <v>17</v>
      </c>
      <c r="B2204" s="15" t="s">
        <v>22363</v>
      </c>
      <c r="C2204" s="14" t="s">
        <v>23391</v>
      </c>
      <c r="D2204" s="14" t="s">
        <v>23392</v>
      </c>
      <c r="E2204" s="26" t="str">
        <f t="shared" si="29"/>
        <v>http://dx.doi.org/10.1109/TVCG.2011.228</v>
      </c>
      <c r="F2204" s="14">
        <v>2193.0</v>
      </c>
      <c r="G2204" s="14">
        <v>2202.0</v>
      </c>
      <c r="H2204" s="14" t="s">
        <v>17059</v>
      </c>
      <c r="I2204" s="19" t="s">
        <v>23395</v>
      </c>
      <c r="J2204" s="19" t="s">
        <v>23396</v>
      </c>
      <c r="K2204" s="19" t="s">
        <v>23397</v>
      </c>
      <c r="L2204" s="19" t="s">
        <v>23398</v>
      </c>
      <c r="M2204" s="20" t="s">
        <v>23399</v>
      </c>
      <c r="N2204" s="44" t="s">
        <v>23401</v>
      </c>
      <c r="O2204" s="22">
        <v>23.0</v>
      </c>
      <c r="P2204" s="28">
        <v>9.0</v>
      </c>
      <c r="Q2204" s="28">
        <v>34.0</v>
      </c>
      <c r="R2204" s="84"/>
      <c r="S2204" s="84"/>
      <c r="T2204" s="84"/>
      <c r="U2204" s="84"/>
      <c r="V2204" s="84"/>
      <c r="W2204" s="84"/>
      <c r="X2204" s="84"/>
      <c r="Y2204" s="84"/>
      <c r="Z2204" s="84"/>
      <c r="AA2204" s="84"/>
    </row>
    <row r="2205" ht="15.75" customHeight="1">
      <c r="A2205" s="14" t="s">
        <v>17</v>
      </c>
      <c r="B2205" s="15" t="s">
        <v>22363</v>
      </c>
      <c r="C2205" s="14" t="s">
        <v>23402</v>
      </c>
      <c r="D2205" s="14" t="s">
        <v>23403</v>
      </c>
      <c r="E2205" s="26" t="str">
        <f t="shared" si="29"/>
        <v>http://dx.doi.org/10.1109/TVCG.2011.230</v>
      </c>
      <c r="F2205" s="14">
        <v>1832.0</v>
      </c>
      <c r="G2205" s="14">
        <v>1841.0</v>
      </c>
      <c r="H2205" s="14" t="s">
        <v>17059</v>
      </c>
      <c r="I2205" s="19" t="s">
        <v>23404</v>
      </c>
      <c r="J2205" s="19" t="s">
        <v>23405</v>
      </c>
      <c r="K2205" s="19" t="s">
        <v>23405</v>
      </c>
      <c r="L2205" s="19" t="s">
        <v>23406</v>
      </c>
      <c r="M2205" s="20" t="s">
        <v>23407</v>
      </c>
      <c r="N2205" s="44" t="s">
        <v>23408</v>
      </c>
      <c r="O2205" s="22">
        <v>50.0</v>
      </c>
      <c r="P2205" s="28">
        <v>3.0</v>
      </c>
      <c r="Q2205" s="28">
        <v>49.0</v>
      </c>
      <c r="R2205" s="84"/>
      <c r="S2205" s="84"/>
      <c r="T2205" s="84"/>
      <c r="U2205" s="84"/>
      <c r="V2205" s="84"/>
      <c r="W2205" s="84"/>
      <c r="X2205" s="84"/>
      <c r="Y2205" s="84"/>
      <c r="Z2205" s="84"/>
      <c r="AA2205" s="84"/>
    </row>
    <row r="2206" ht="15.75" customHeight="1">
      <c r="A2206" s="14" t="s">
        <v>17</v>
      </c>
      <c r="B2206" s="15" t="s">
        <v>22363</v>
      </c>
      <c r="C2206" s="14" t="s">
        <v>23409</v>
      </c>
      <c r="D2206" s="14" t="s">
        <v>23410</v>
      </c>
      <c r="E2206" s="26" t="str">
        <f t="shared" si="29"/>
        <v>http://dx.doi.org/10.1109/TVCG.2011.231</v>
      </c>
      <c r="F2206" s="14">
        <v>1737.0</v>
      </c>
      <c r="G2206" s="14">
        <v>1746.0</v>
      </c>
      <c r="H2206" s="14" t="s">
        <v>17059</v>
      </c>
      <c r="I2206" s="19" t="s">
        <v>23411</v>
      </c>
      <c r="J2206" s="19" t="s">
        <v>23412</v>
      </c>
      <c r="K2206" s="19" t="s">
        <v>23412</v>
      </c>
      <c r="L2206" s="19" t="s">
        <v>23413</v>
      </c>
      <c r="M2206" s="20" t="s">
        <v>23414</v>
      </c>
      <c r="N2206" s="44" t="s">
        <v>23415</v>
      </c>
      <c r="O2206" s="22">
        <v>33.0</v>
      </c>
      <c r="P2206" s="28">
        <v>16.0</v>
      </c>
      <c r="Q2206" s="28">
        <v>46.0</v>
      </c>
      <c r="R2206" s="85" t="s">
        <v>19037</v>
      </c>
      <c r="S2206" s="84"/>
      <c r="T2206" s="84"/>
      <c r="U2206" s="84"/>
      <c r="V2206" s="84"/>
      <c r="W2206" s="84"/>
      <c r="X2206" s="84"/>
      <c r="Y2206" s="84"/>
      <c r="Z2206" s="84"/>
      <c r="AA2206" s="84"/>
    </row>
    <row r="2207" ht="15.75" customHeight="1">
      <c r="A2207" s="14" t="s">
        <v>17</v>
      </c>
      <c r="B2207" s="15" t="s">
        <v>22363</v>
      </c>
      <c r="C2207" s="14" t="s">
        <v>23417</v>
      </c>
      <c r="D2207" s="14" t="s">
        <v>23419</v>
      </c>
      <c r="E2207" s="26" t="str">
        <f t="shared" si="29"/>
        <v>http://dx.doi.org/10.1109/TVCG.2011.235</v>
      </c>
      <c r="F2207" s="14">
        <v>2063.0</v>
      </c>
      <c r="G2207" s="14">
        <v>2070.0</v>
      </c>
      <c r="H2207" s="14" t="s">
        <v>17059</v>
      </c>
      <c r="I2207" s="19" t="s">
        <v>23420</v>
      </c>
      <c r="J2207" s="19" t="s">
        <v>23421</v>
      </c>
      <c r="K2207" s="19" t="s">
        <v>23421</v>
      </c>
      <c r="L2207" s="19" t="s">
        <v>23422</v>
      </c>
      <c r="M2207" s="20" t="s">
        <v>23423</v>
      </c>
      <c r="N2207" s="44" t="s">
        <v>23424</v>
      </c>
      <c r="O2207" s="22">
        <v>26.0</v>
      </c>
      <c r="P2207" s="28">
        <v>16.0</v>
      </c>
      <c r="Q2207" s="28">
        <v>35.0</v>
      </c>
      <c r="R2207" s="84"/>
      <c r="S2207" s="84"/>
      <c r="T2207" s="84"/>
      <c r="U2207" s="84"/>
      <c r="V2207" s="84"/>
      <c r="W2207" s="84"/>
      <c r="X2207" s="84"/>
      <c r="Y2207" s="84"/>
      <c r="Z2207" s="84"/>
      <c r="AA2207" s="84"/>
    </row>
    <row r="2208" ht="15.75" customHeight="1">
      <c r="A2208" s="14" t="s">
        <v>17</v>
      </c>
      <c r="B2208" s="15" t="s">
        <v>22363</v>
      </c>
      <c r="C2208" s="14" t="s">
        <v>23425</v>
      </c>
      <c r="D2208" s="14" t="s">
        <v>23426</v>
      </c>
      <c r="E2208" s="26" t="str">
        <f t="shared" si="29"/>
        <v>http://dx.doi.org/10.1109/TVCG.2011.236</v>
      </c>
      <c r="F2208" s="14">
        <v>2035.0</v>
      </c>
      <c r="G2208" s="14">
        <v>2044.0</v>
      </c>
      <c r="H2208" s="14" t="s">
        <v>17059</v>
      </c>
      <c r="I2208" s="19" t="s">
        <v>23427</v>
      </c>
      <c r="J2208" s="19" t="s">
        <v>23428</v>
      </c>
      <c r="K2208" s="19" t="s">
        <v>23428</v>
      </c>
      <c r="L2208" s="19" t="s">
        <v>23429</v>
      </c>
      <c r="M2208" s="20" t="s">
        <v>23430</v>
      </c>
      <c r="N2208" s="44" t="s">
        <v>23431</v>
      </c>
      <c r="O2208" s="22">
        <v>50.0</v>
      </c>
      <c r="P2208" s="28">
        <v>11.0</v>
      </c>
      <c r="Q2208" s="28">
        <v>53.0</v>
      </c>
      <c r="R2208" s="84"/>
      <c r="S2208" s="84"/>
      <c r="T2208" s="84"/>
      <c r="U2208" s="84"/>
      <c r="V2208" s="84"/>
      <c r="W2208" s="84"/>
      <c r="X2208" s="84"/>
      <c r="Y2208" s="84"/>
      <c r="Z2208" s="84"/>
      <c r="AA2208" s="84"/>
    </row>
    <row r="2209" ht="15.75" customHeight="1">
      <c r="A2209" s="14" t="s">
        <v>17</v>
      </c>
      <c r="B2209" s="15" t="s">
        <v>22363</v>
      </c>
      <c r="C2209" s="14" t="s">
        <v>23432</v>
      </c>
      <c r="D2209" s="14" t="s">
        <v>23433</v>
      </c>
      <c r="E2209" s="26" t="str">
        <f t="shared" si="29"/>
        <v>http://dx.doi.org/10.1109/TVCG.2011.242</v>
      </c>
      <c r="F2209" s="14">
        <v>1942.0</v>
      </c>
      <c r="G2209" s="14">
        <v>1948.0</v>
      </c>
      <c r="H2209" s="14" t="s">
        <v>17059</v>
      </c>
      <c r="I2209" s="19" t="s">
        <v>23436</v>
      </c>
      <c r="J2209" s="19" t="s">
        <v>23437</v>
      </c>
      <c r="K2209" s="19" t="s">
        <v>23438</v>
      </c>
      <c r="L2209" s="19" t="s">
        <v>23439</v>
      </c>
      <c r="M2209" s="20" t="s">
        <v>23441</v>
      </c>
      <c r="N2209" s="44" t="s">
        <v>23442</v>
      </c>
      <c r="O2209" s="22">
        <v>50.0</v>
      </c>
      <c r="P2209" s="28">
        <v>4.0</v>
      </c>
      <c r="Q2209" s="28">
        <v>26.0</v>
      </c>
      <c r="R2209" s="84"/>
      <c r="S2209" s="84"/>
      <c r="T2209" s="84"/>
      <c r="U2209" s="84"/>
      <c r="V2209" s="84"/>
      <c r="W2209" s="84"/>
      <c r="X2209" s="84"/>
      <c r="Y2209" s="84"/>
      <c r="Z2209" s="84"/>
      <c r="AA2209" s="84"/>
    </row>
    <row r="2210" ht="15.75" customHeight="1">
      <c r="A2210" s="14" t="s">
        <v>17</v>
      </c>
      <c r="B2210" s="15" t="s">
        <v>22363</v>
      </c>
      <c r="C2210" s="14" t="s">
        <v>23443</v>
      </c>
      <c r="D2210" s="14" t="s">
        <v>23444</v>
      </c>
      <c r="E2210" s="26" t="str">
        <f t="shared" si="29"/>
        <v>http://dx.doi.org/10.1109/TVCG.2011.243</v>
      </c>
      <c r="F2210" s="14">
        <v>2183.0</v>
      </c>
      <c r="G2210" s="14">
        <v>2192.0</v>
      </c>
      <c r="H2210" s="14" t="s">
        <v>17059</v>
      </c>
      <c r="I2210" s="19" t="s">
        <v>23445</v>
      </c>
      <c r="J2210" s="19" t="s">
        <v>23446</v>
      </c>
      <c r="K2210" s="19" t="s">
        <v>23446</v>
      </c>
      <c r="L2210" s="19" t="s">
        <v>23447</v>
      </c>
      <c r="M2210" s="20" t="s">
        <v>23448</v>
      </c>
      <c r="N2210" s="44" t="s">
        <v>23449</v>
      </c>
      <c r="O2210" s="22">
        <v>60.0</v>
      </c>
      <c r="P2210" s="28">
        <v>31.0</v>
      </c>
      <c r="Q2210" s="28">
        <v>41.0</v>
      </c>
      <c r="R2210" s="84"/>
      <c r="S2210" s="84"/>
      <c r="T2210" s="84"/>
      <c r="U2210" s="84"/>
      <c r="V2210" s="84"/>
      <c r="W2210" s="84"/>
      <c r="X2210" s="84"/>
      <c r="Y2210" s="84"/>
      <c r="Z2210" s="84"/>
      <c r="AA2210" s="84"/>
    </row>
    <row r="2211" ht="15.75" customHeight="1">
      <c r="A2211" s="14" t="s">
        <v>17</v>
      </c>
      <c r="B2211" s="15" t="s">
        <v>22363</v>
      </c>
      <c r="C2211" s="14" t="s">
        <v>23450</v>
      </c>
      <c r="D2211" s="14" t="s">
        <v>23451</v>
      </c>
      <c r="E2211" s="26" t="str">
        <f t="shared" si="29"/>
        <v>http://dx.doi.org/10.1109/TVCG.2011.244</v>
      </c>
      <c r="F2211" s="14">
        <v>1842.0</v>
      </c>
      <c r="G2211" s="14">
        <v>1851.0</v>
      </c>
      <c r="H2211" s="14" t="s">
        <v>17059</v>
      </c>
      <c r="I2211" s="19" t="s">
        <v>23452</v>
      </c>
      <c r="J2211" s="19" t="s">
        <v>23454</v>
      </c>
      <c r="K2211" s="19" t="s">
        <v>23455</v>
      </c>
      <c r="L2211" s="19" t="s">
        <v>23456</v>
      </c>
      <c r="M2211" s="20" t="s">
        <v>23457</v>
      </c>
      <c r="N2211" s="44" t="s">
        <v>23458</v>
      </c>
      <c r="O2211" s="22">
        <v>50.0</v>
      </c>
      <c r="P2211" s="28">
        <v>28.0</v>
      </c>
      <c r="Q2211" s="28">
        <v>36.0</v>
      </c>
      <c r="R2211" s="84"/>
      <c r="S2211" s="84"/>
      <c r="T2211" s="84"/>
      <c r="U2211" s="84"/>
      <c r="V2211" s="84"/>
      <c r="W2211" s="84"/>
      <c r="X2211" s="84"/>
      <c r="Y2211" s="84"/>
      <c r="Z2211" s="84"/>
      <c r="AA2211" s="84"/>
    </row>
    <row r="2212" ht="15.75" customHeight="1">
      <c r="A2212" s="14" t="s">
        <v>17</v>
      </c>
      <c r="B2212" s="15" t="s">
        <v>22363</v>
      </c>
      <c r="C2212" s="14" t="s">
        <v>23460</v>
      </c>
      <c r="D2212" s="14" t="s">
        <v>23461</v>
      </c>
      <c r="E2212" s="26" t="str">
        <f t="shared" si="29"/>
        <v>http://dx.doi.org/10.1109/TVCG.2011.245</v>
      </c>
      <c r="F2212" s="14">
        <v>1852.0</v>
      </c>
      <c r="G2212" s="14">
        <v>1861.0</v>
      </c>
      <c r="H2212" s="14" t="s">
        <v>17059</v>
      </c>
      <c r="I2212" s="19" t="s">
        <v>23462</v>
      </c>
      <c r="J2212" s="19" t="s">
        <v>23463</v>
      </c>
      <c r="K2212" s="19" t="s">
        <v>23464</v>
      </c>
      <c r="L2212" s="19" t="s">
        <v>23465</v>
      </c>
      <c r="M2212" s="20" t="s">
        <v>23466</v>
      </c>
      <c r="N2212" s="44" t="s">
        <v>23467</v>
      </c>
      <c r="O2212" s="22">
        <v>28.0</v>
      </c>
      <c r="P2212" s="28">
        <v>12.0</v>
      </c>
      <c r="Q2212" s="28">
        <v>54.0</v>
      </c>
      <c r="R2212" s="85" t="s">
        <v>106</v>
      </c>
      <c r="S2212" s="84"/>
      <c r="T2212" s="84"/>
      <c r="U2212" s="84"/>
      <c r="V2212" s="84"/>
      <c r="W2212" s="84"/>
      <c r="X2212" s="84"/>
      <c r="Y2212" s="84"/>
      <c r="Z2212" s="84"/>
      <c r="AA2212" s="84"/>
    </row>
    <row r="2213" ht="15.75" customHeight="1">
      <c r="A2213" s="14" t="s">
        <v>17</v>
      </c>
      <c r="B2213" s="15" t="s">
        <v>22363</v>
      </c>
      <c r="C2213" s="14" t="s">
        <v>23468</v>
      </c>
      <c r="D2213" s="14" t="s">
        <v>23469</v>
      </c>
      <c r="E2213" s="26" t="str">
        <f t="shared" si="29"/>
        <v>http://dx.doi.org/10.1109/TVCG.2011.246</v>
      </c>
      <c r="F2213" s="14">
        <v>2015.0</v>
      </c>
      <c r="G2213" s="14">
        <v>2024.0</v>
      </c>
      <c r="H2213" s="14" t="s">
        <v>17059</v>
      </c>
      <c r="I2213" s="19" t="s">
        <v>23470</v>
      </c>
      <c r="J2213" s="19" t="s">
        <v>23471</v>
      </c>
      <c r="K2213" s="19" t="s">
        <v>23471</v>
      </c>
      <c r="L2213" s="19" t="s">
        <v>23472</v>
      </c>
      <c r="M2213" s="20" t="s">
        <v>23474</v>
      </c>
      <c r="N2213" s="44" t="s">
        <v>23475</v>
      </c>
      <c r="O2213" s="22">
        <v>50.0</v>
      </c>
      <c r="P2213" s="28">
        <v>24.0</v>
      </c>
      <c r="Q2213" s="28">
        <v>30.0</v>
      </c>
      <c r="R2213" s="84"/>
      <c r="S2213" s="84"/>
      <c r="T2213" s="84"/>
      <c r="U2213" s="84"/>
      <c r="V2213" s="84"/>
      <c r="W2213" s="84"/>
      <c r="X2213" s="84"/>
      <c r="Y2213" s="84"/>
      <c r="Z2213" s="84"/>
      <c r="AA2213" s="84"/>
    </row>
    <row r="2214" ht="15.75" customHeight="1">
      <c r="A2214" s="14" t="s">
        <v>17</v>
      </c>
      <c r="B2214" s="15" t="s">
        <v>22363</v>
      </c>
      <c r="C2214" s="14" t="s">
        <v>23477</v>
      </c>
      <c r="D2214" s="14" t="s">
        <v>23479</v>
      </c>
      <c r="E2214" s="26" t="str">
        <f t="shared" si="29"/>
        <v>http://dx.doi.org/10.1109/TVCG.2011.248</v>
      </c>
      <c r="F2214" s="14">
        <v>1892.0</v>
      </c>
      <c r="G2214" s="14">
        <v>1901.0</v>
      </c>
      <c r="H2214" s="14" t="s">
        <v>17059</v>
      </c>
      <c r="I2214" s="19" t="s">
        <v>23480</v>
      </c>
      <c r="J2214" s="19" t="s">
        <v>23481</v>
      </c>
      <c r="K2214" s="19" t="s">
        <v>23482</v>
      </c>
      <c r="L2214" s="19" t="s">
        <v>23483</v>
      </c>
      <c r="M2214" s="20" t="s">
        <v>23484</v>
      </c>
      <c r="N2214" s="44" t="s">
        <v>23485</v>
      </c>
      <c r="O2214" s="22">
        <v>84.0</v>
      </c>
      <c r="P2214" s="28">
        <v>57.0</v>
      </c>
      <c r="Q2214" s="28">
        <v>48.0</v>
      </c>
      <c r="R2214" s="84"/>
      <c r="S2214" s="84"/>
      <c r="T2214" s="84"/>
      <c r="U2214" s="84"/>
      <c r="V2214" s="84"/>
      <c r="W2214" s="84"/>
      <c r="X2214" s="84"/>
      <c r="Y2214" s="84"/>
      <c r="Z2214" s="84"/>
      <c r="AA2214" s="84"/>
    </row>
    <row r="2215" ht="15.75" customHeight="1">
      <c r="A2215" s="14" t="s">
        <v>17</v>
      </c>
      <c r="B2215" s="15" t="s">
        <v>22363</v>
      </c>
      <c r="C2215" s="14" t="s">
        <v>23486</v>
      </c>
      <c r="D2215" s="14" t="s">
        <v>23487</v>
      </c>
      <c r="E2215" s="26" t="str">
        <f t="shared" si="29"/>
        <v>http://dx.doi.org/10.1109/TVCG.2011.249</v>
      </c>
      <c r="F2215" s="14">
        <v>2080.0</v>
      </c>
      <c r="G2215" s="14">
        <v>2087.0</v>
      </c>
      <c r="H2215" s="14" t="s">
        <v>17059</v>
      </c>
      <c r="I2215" s="19" t="s">
        <v>23488</v>
      </c>
      <c r="J2215" s="19" t="s">
        <v>23489</v>
      </c>
      <c r="K2215" s="19" t="s">
        <v>23489</v>
      </c>
      <c r="L2215" s="19" t="s">
        <v>23490</v>
      </c>
      <c r="M2215" s="20" t="s">
        <v>23491</v>
      </c>
      <c r="N2215" s="44" t="s">
        <v>23492</v>
      </c>
      <c r="O2215" s="22">
        <v>50.0</v>
      </c>
      <c r="P2215" s="28">
        <v>19.0</v>
      </c>
      <c r="Q2215" s="28">
        <v>33.0</v>
      </c>
      <c r="R2215" s="84"/>
      <c r="S2215" s="84"/>
      <c r="T2215" s="84"/>
      <c r="U2215" s="84"/>
      <c r="V2215" s="84"/>
      <c r="W2215" s="84"/>
      <c r="X2215" s="84"/>
      <c r="Y2215" s="84"/>
      <c r="Z2215" s="84"/>
      <c r="AA2215" s="84"/>
    </row>
    <row r="2216" ht="15.75" customHeight="1">
      <c r="A2216" s="14" t="s">
        <v>17</v>
      </c>
      <c r="B2216" s="15" t="s">
        <v>22363</v>
      </c>
      <c r="C2216" s="14" t="s">
        <v>23493</v>
      </c>
      <c r="D2216" s="14" t="s">
        <v>23494</v>
      </c>
      <c r="E2216" s="26" t="str">
        <f t="shared" si="29"/>
        <v>http://dx.doi.org/10.1109/TVCG.2011.252</v>
      </c>
      <c r="F2216" s="14">
        <v>1862.0</v>
      </c>
      <c r="G2216" s="14">
        <v>1871.0</v>
      </c>
      <c r="H2216" s="14" t="s">
        <v>17059</v>
      </c>
      <c r="I2216" s="19" t="s">
        <v>23496</v>
      </c>
      <c r="J2216" s="19" t="s">
        <v>23497</v>
      </c>
      <c r="K2216" s="19" t="s">
        <v>23498</v>
      </c>
      <c r="L2216" s="19" t="s">
        <v>23499</v>
      </c>
      <c r="M2216" s="20" t="s">
        <v>23500</v>
      </c>
      <c r="N2216" s="44" t="s">
        <v>23501</v>
      </c>
      <c r="O2216" s="22">
        <v>5.0</v>
      </c>
      <c r="P2216" s="28">
        <v>5.0</v>
      </c>
      <c r="Q2216" s="28">
        <v>22.0</v>
      </c>
      <c r="R2216" s="84"/>
      <c r="S2216" s="84"/>
      <c r="T2216" s="84"/>
      <c r="U2216" s="84"/>
      <c r="V2216" s="84"/>
      <c r="W2216" s="84"/>
      <c r="X2216" s="84"/>
      <c r="Y2216" s="84"/>
      <c r="Z2216" s="84"/>
      <c r="AA2216" s="84"/>
    </row>
    <row r="2217" ht="15.75" customHeight="1">
      <c r="A2217" s="14" t="s">
        <v>17</v>
      </c>
      <c r="B2217" s="15" t="s">
        <v>22363</v>
      </c>
      <c r="C2217" s="14" t="s">
        <v>23502</v>
      </c>
      <c r="D2217" s="14" t="s">
        <v>23503</v>
      </c>
      <c r="E2217" s="26" t="str">
        <f t="shared" si="29"/>
        <v>http://dx.doi.org/10.1109/TVCG.2011.254</v>
      </c>
      <c r="F2217" s="14">
        <v>1765.0</v>
      </c>
      <c r="G2217" s="14">
        <v>1774.0</v>
      </c>
      <c r="H2217" s="14" t="s">
        <v>17059</v>
      </c>
      <c r="I2217" s="19" t="s">
        <v>23504</v>
      </c>
      <c r="J2217" s="19" t="s">
        <v>23505</v>
      </c>
      <c r="K2217" s="19" t="s">
        <v>23506</v>
      </c>
      <c r="L2217" s="19" t="s">
        <v>23507</v>
      </c>
      <c r="M2217" s="20" t="s">
        <v>23508</v>
      </c>
      <c r="N2217" s="44" t="s">
        <v>23509</v>
      </c>
      <c r="O2217" s="22">
        <v>11.0</v>
      </c>
      <c r="P2217" s="28">
        <v>6.0</v>
      </c>
      <c r="Q2217" s="28">
        <v>52.0</v>
      </c>
      <c r="R2217" s="84"/>
      <c r="S2217" s="84"/>
      <c r="T2217" s="84"/>
      <c r="U2217" s="84"/>
      <c r="V2217" s="84"/>
      <c r="W2217" s="84"/>
      <c r="X2217" s="84"/>
      <c r="Y2217" s="84"/>
      <c r="Z2217" s="84"/>
      <c r="AA2217" s="84"/>
    </row>
    <row r="2218" ht="15.75" customHeight="1">
      <c r="A2218" s="14" t="s">
        <v>17</v>
      </c>
      <c r="B2218" s="15" t="s">
        <v>22363</v>
      </c>
      <c r="C2218" s="14" t="s">
        <v>23511</v>
      </c>
      <c r="D2218" s="14" t="s">
        <v>23512</v>
      </c>
      <c r="E2218" s="26" t="str">
        <f t="shared" si="29"/>
        <v>http://dx.doi.org/10.1109/TVCG.2011.258</v>
      </c>
      <c r="F2218" s="14">
        <v>1969.0</v>
      </c>
      <c r="G2218" s="14">
        <v>1978.0</v>
      </c>
      <c r="H2218" s="14" t="s">
        <v>17059</v>
      </c>
      <c r="I2218" s="19" t="s">
        <v>23515</v>
      </c>
      <c r="J2218" s="19" t="s">
        <v>23516</v>
      </c>
      <c r="K2218" s="19" t="s">
        <v>23517</v>
      </c>
      <c r="L2218" s="19" t="s">
        <v>23518</v>
      </c>
      <c r="M2218" s="20" t="s">
        <v>23519</v>
      </c>
      <c r="N2218" s="44" t="s">
        <v>23520</v>
      </c>
      <c r="O2218" s="22">
        <v>50.0</v>
      </c>
      <c r="P2218" s="28">
        <v>18.0</v>
      </c>
      <c r="Q2218" s="28">
        <v>42.0</v>
      </c>
      <c r="R2218" s="84"/>
      <c r="S2218" s="84"/>
      <c r="T2218" s="84"/>
      <c r="U2218" s="84"/>
      <c r="V2218" s="84"/>
      <c r="W2218" s="84"/>
      <c r="X2218" s="84"/>
      <c r="Y2218" s="84"/>
      <c r="Z2218" s="84"/>
      <c r="AA2218" s="84"/>
    </row>
    <row r="2219" ht="15.75" customHeight="1">
      <c r="A2219" s="14" t="s">
        <v>17</v>
      </c>
      <c r="B2219" s="15" t="s">
        <v>22363</v>
      </c>
      <c r="C2219" s="14" t="s">
        <v>23522</v>
      </c>
      <c r="D2219" s="14" t="s">
        <v>23523</v>
      </c>
      <c r="E2219" s="26" t="str">
        <f t="shared" si="29"/>
        <v>http://dx.doi.org/10.1109/TVCG.2011.259</v>
      </c>
      <c r="F2219" s="14">
        <v>2025.0</v>
      </c>
      <c r="G2219" s="14">
        <v>2034.0</v>
      </c>
      <c r="H2219" s="14" t="s">
        <v>17059</v>
      </c>
      <c r="I2219" s="19" t="s">
        <v>23524</v>
      </c>
      <c r="J2219" s="19" t="s">
        <v>23525</v>
      </c>
      <c r="K2219" s="19" t="s">
        <v>23525</v>
      </c>
      <c r="L2219" s="19" t="s">
        <v>23526</v>
      </c>
      <c r="M2219" s="20" t="s">
        <v>23527</v>
      </c>
      <c r="N2219" s="44" t="s">
        <v>23528</v>
      </c>
      <c r="O2219" s="22">
        <v>50.0</v>
      </c>
      <c r="P2219" s="28">
        <v>35.0</v>
      </c>
      <c r="Q2219" s="28">
        <v>49.0</v>
      </c>
      <c r="R2219" s="85" t="s">
        <v>19037</v>
      </c>
      <c r="S2219" s="84"/>
      <c r="T2219" s="84"/>
      <c r="U2219" s="84"/>
      <c r="V2219" s="84"/>
      <c r="W2219" s="84"/>
      <c r="X2219" s="84"/>
      <c r="Y2219" s="84"/>
      <c r="Z2219" s="84"/>
      <c r="AA2219" s="84"/>
    </row>
    <row r="2220" ht="15.75" customHeight="1">
      <c r="A2220" s="14" t="s">
        <v>17</v>
      </c>
      <c r="B2220" s="15" t="s">
        <v>22363</v>
      </c>
      <c r="C2220" s="14" t="s">
        <v>23529</v>
      </c>
      <c r="D2220" s="14" t="s">
        <v>23530</v>
      </c>
      <c r="E2220" s="26" t="str">
        <f t="shared" si="29"/>
        <v>http://dx.doi.org/10.1109/TVCG.2011.260</v>
      </c>
      <c r="F2220" s="14">
        <v>2071.0</v>
      </c>
      <c r="G2220" s="14">
        <v>2079.0</v>
      </c>
      <c r="H2220" s="14" t="s">
        <v>17059</v>
      </c>
      <c r="I2220" s="19" t="s">
        <v>23531</v>
      </c>
      <c r="J2220" s="19" t="s">
        <v>23532</v>
      </c>
      <c r="K2220" s="19" t="s">
        <v>23532</v>
      </c>
      <c r="L2220" s="19" t="s">
        <v>23533</v>
      </c>
      <c r="M2220" s="20" t="s">
        <v>23534</v>
      </c>
      <c r="N2220" s="44" t="s">
        <v>23536</v>
      </c>
      <c r="O2220" s="22">
        <v>25.0</v>
      </c>
      <c r="P2220" s="28">
        <v>13.0</v>
      </c>
      <c r="Q2220" s="28">
        <v>47.0</v>
      </c>
      <c r="R2220" s="84"/>
      <c r="S2220" s="84"/>
      <c r="T2220" s="84"/>
      <c r="U2220" s="84"/>
      <c r="V2220" s="84"/>
      <c r="W2220" s="84"/>
      <c r="X2220" s="84"/>
      <c r="Y2220" s="84"/>
      <c r="Z2220" s="84"/>
      <c r="AA2220" s="84"/>
    </row>
    <row r="2221" ht="15.75" customHeight="1">
      <c r="A2221" s="14" t="s">
        <v>17</v>
      </c>
      <c r="B2221" s="15" t="s">
        <v>22363</v>
      </c>
      <c r="C2221" s="14" t="s">
        <v>23538</v>
      </c>
      <c r="D2221" s="14" t="s">
        <v>23539</v>
      </c>
      <c r="E2221" s="26" t="str">
        <f t="shared" si="29"/>
        <v>http://dx.doi.org/10.1109/TVCG.2011.261</v>
      </c>
      <c r="F2221" s="14">
        <v>2106.0</v>
      </c>
      <c r="G2221" s="14">
        <v>2114.0</v>
      </c>
      <c r="H2221" s="14" t="s">
        <v>17059</v>
      </c>
      <c r="I2221" s="19" t="s">
        <v>23540</v>
      </c>
      <c r="J2221" s="19" t="s">
        <v>23541</v>
      </c>
      <c r="K2221" s="19" t="s">
        <v>23541</v>
      </c>
      <c r="L2221" s="19" t="s">
        <v>23542</v>
      </c>
      <c r="M2221" s="20" t="s">
        <v>23543</v>
      </c>
      <c r="N2221" s="44" t="s">
        <v>23544</v>
      </c>
      <c r="O2221" s="22">
        <v>77.0</v>
      </c>
      <c r="P2221" s="28">
        <v>39.0</v>
      </c>
      <c r="Q2221" s="28">
        <v>38.0</v>
      </c>
      <c r="R2221" s="84"/>
      <c r="S2221" s="84"/>
      <c r="T2221" s="84"/>
      <c r="U2221" s="84"/>
      <c r="V2221" s="84"/>
      <c r="W2221" s="84"/>
      <c r="X2221" s="84"/>
      <c r="Y2221" s="84"/>
      <c r="Z2221" s="84"/>
      <c r="AA2221" s="84"/>
    </row>
    <row r="2222" ht="15.75" customHeight="1">
      <c r="A2222" s="14" t="s">
        <v>2137</v>
      </c>
      <c r="B2222" s="15" t="s">
        <v>23545</v>
      </c>
      <c r="C2222" s="14" t="s">
        <v>23546</v>
      </c>
      <c r="D2222" s="14" t="s">
        <v>23547</v>
      </c>
      <c r="E2222" s="26" t="str">
        <f t="shared" si="29"/>
        <v>http://dx.doi.org/10.1109/TVCG.2012.189</v>
      </c>
      <c r="F2222" s="14">
        <v>2449.0</v>
      </c>
      <c r="G2222" s="14">
        <v>2456.0</v>
      </c>
      <c r="H2222" s="14" t="s">
        <v>17059</v>
      </c>
      <c r="I2222" s="19" t="s">
        <v>23548</v>
      </c>
      <c r="J2222" s="19" t="s">
        <v>23549</v>
      </c>
      <c r="K2222" s="19" t="s">
        <v>23550</v>
      </c>
      <c r="L2222" s="19" t="s">
        <v>23551</v>
      </c>
      <c r="M2222" s="20" t="s">
        <v>23552</v>
      </c>
      <c r="N2222" s="44" t="s">
        <v>23553</v>
      </c>
      <c r="O2222" s="22">
        <v>42.0</v>
      </c>
      <c r="P2222" s="28">
        <v>22.0</v>
      </c>
      <c r="Q2222" s="28">
        <v>35.0</v>
      </c>
      <c r="R2222" s="84"/>
      <c r="S2222" s="84"/>
      <c r="T2222" s="84"/>
      <c r="U2222" s="84"/>
      <c r="V2222" s="84"/>
      <c r="W2222" s="84"/>
      <c r="X2222" s="84"/>
      <c r="Y2222" s="84"/>
      <c r="Z2222" s="84"/>
      <c r="AA2222" s="84"/>
    </row>
    <row r="2223" ht="15.75" customHeight="1">
      <c r="A2223" s="14" t="s">
        <v>2137</v>
      </c>
      <c r="B2223" s="15" t="s">
        <v>23545</v>
      </c>
      <c r="C2223" s="14" t="s">
        <v>23555</v>
      </c>
      <c r="D2223" s="14" t="s">
        <v>23556</v>
      </c>
      <c r="E2223" s="26" t="str">
        <f t="shared" si="29"/>
        <v>http://dx.doi.org/10.1109/TVCG.2012.192</v>
      </c>
      <c r="F2223" s="14">
        <v>2575.0</v>
      </c>
      <c r="G2223" s="14">
        <v>2582.0</v>
      </c>
      <c r="H2223" s="14" t="s">
        <v>17059</v>
      </c>
      <c r="I2223" s="19" t="s">
        <v>23558</v>
      </c>
      <c r="J2223" s="19" t="s">
        <v>23559</v>
      </c>
      <c r="K2223" s="19" t="s">
        <v>23559</v>
      </c>
      <c r="L2223" s="19" t="s">
        <v>23560</v>
      </c>
      <c r="M2223" s="20" t="s">
        <v>23561</v>
      </c>
      <c r="N2223" s="44" t="s">
        <v>23562</v>
      </c>
      <c r="O2223" s="22">
        <v>50.0</v>
      </c>
      <c r="P2223" s="28">
        <v>24.0</v>
      </c>
      <c r="Q2223" s="28">
        <v>38.0</v>
      </c>
      <c r="R2223" s="84"/>
      <c r="S2223" s="84"/>
      <c r="T2223" s="84"/>
      <c r="U2223" s="84"/>
      <c r="V2223" s="84"/>
      <c r="W2223" s="84"/>
      <c r="X2223" s="84"/>
      <c r="Y2223" s="84"/>
      <c r="Z2223" s="84"/>
      <c r="AA2223" s="84"/>
    </row>
    <row r="2224" ht="15.75" customHeight="1">
      <c r="A2224" s="14" t="s">
        <v>2137</v>
      </c>
      <c r="B2224" s="15" t="s">
        <v>23545</v>
      </c>
      <c r="C2224" s="14" t="s">
        <v>23563</v>
      </c>
      <c r="D2224" s="14" t="s">
        <v>23564</v>
      </c>
      <c r="E2224" s="26" t="str">
        <f t="shared" si="29"/>
        <v>http://dx.doi.org/10.1109/TVCG.2012.193</v>
      </c>
      <c r="F2224" s="14">
        <v>2583.0</v>
      </c>
      <c r="G2224" s="14">
        <v>2592.0</v>
      </c>
      <c r="H2224" s="14" t="s">
        <v>17059</v>
      </c>
      <c r="I2224" s="19" t="s">
        <v>23565</v>
      </c>
      <c r="J2224" s="19" t="s">
        <v>23566</v>
      </c>
      <c r="K2224" s="19" t="s">
        <v>23567</v>
      </c>
      <c r="L2224" s="19" t="s">
        <v>23568</v>
      </c>
      <c r="M2224" s="20" t="s">
        <v>23569</v>
      </c>
      <c r="N2224" s="44" t="s">
        <v>23570</v>
      </c>
      <c r="O2224" s="22">
        <v>26.0</v>
      </c>
      <c r="P2224" s="28">
        <v>18.0</v>
      </c>
      <c r="Q2224" s="28">
        <v>28.0</v>
      </c>
      <c r="R2224" s="84"/>
      <c r="S2224" s="84"/>
      <c r="T2224" s="84"/>
      <c r="U2224" s="84"/>
      <c r="V2224" s="84"/>
      <c r="W2224" s="84"/>
      <c r="X2224" s="84"/>
      <c r="Y2224" s="84"/>
      <c r="Z2224" s="84"/>
      <c r="AA2224" s="84"/>
    </row>
    <row r="2225" ht="15.75" customHeight="1">
      <c r="A2225" s="14" t="s">
        <v>2137</v>
      </c>
      <c r="B2225" s="15" t="s">
        <v>23545</v>
      </c>
      <c r="C2225" s="14" t="s">
        <v>23571</v>
      </c>
      <c r="D2225" s="14" t="s">
        <v>23572</v>
      </c>
      <c r="E2225" s="26" t="str">
        <f t="shared" si="29"/>
        <v>http://dx.doi.org/10.1109/TVCG.2012.196</v>
      </c>
      <c r="F2225" s="14">
        <v>2613.0</v>
      </c>
      <c r="G2225" s="14">
        <v>2620.0</v>
      </c>
      <c r="H2225" s="14" t="s">
        <v>17059</v>
      </c>
      <c r="I2225" s="19" t="s">
        <v>23573</v>
      </c>
      <c r="J2225" s="19" t="s">
        <v>22388</v>
      </c>
      <c r="K2225" s="19" t="s">
        <v>22388</v>
      </c>
      <c r="L2225" s="19" t="s">
        <v>21313</v>
      </c>
      <c r="M2225" s="20" t="s">
        <v>23575</v>
      </c>
      <c r="N2225" s="44" t="s">
        <v>23576</v>
      </c>
      <c r="O2225" s="22">
        <v>21.0</v>
      </c>
      <c r="P2225" s="28">
        <v>17.0</v>
      </c>
      <c r="Q2225" s="28">
        <v>15.0</v>
      </c>
      <c r="R2225" s="84"/>
      <c r="S2225" s="84"/>
      <c r="T2225" s="84"/>
      <c r="U2225" s="84"/>
      <c r="V2225" s="84"/>
      <c r="W2225" s="84"/>
      <c r="X2225" s="84"/>
      <c r="Y2225" s="84"/>
      <c r="Z2225" s="84"/>
      <c r="AA2225" s="84"/>
    </row>
    <row r="2226" ht="15.75" customHeight="1">
      <c r="A2226" s="14" t="s">
        <v>2137</v>
      </c>
      <c r="B2226" s="15" t="s">
        <v>23545</v>
      </c>
      <c r="C2226" s="14" t="s">
        <v>23578</v>
      </c>
      <c r="D2226" s="14" t="s">
        <v>23579</v>
      </c>
      <c r="E2226" s="26" t="str">
        <f t="shared" si="29"/>
        <v>http://dx.doi.org/10.1109/TVCG.2012.197</v>
      </c>
      <c r="F2226" s="14">
        <v>2759.0</v>
      </c>
      <c r="G2226" s="14">
        <v>2768.0</v>
      </c>
      <c r="H2226" s="14" t="s">
        <v>17059</v>
      </c>
      <c r="I2226" s="19" t="s">
        <v>23580</v>
      </c>
      <c r="J2226" s="19" t="s">
        <v>23581</v>
      </c>
      <c r="K2226" s="19" t="s">
        <v>23582</v>
      </c>
      <c r="L2226" s="19" t="s">
        <v>23583</v>
      </c>
      <c r="M2226" s="20" t="s">
        <v>23584</v>
      </c>
      <c r="N2226" s="44" t="s">
        <v>23585</v>
      </c>
      <c r="O2226" s="22">
        <v>50.0</v>
      </c>
      <c r="P2226" s="28">
        <v>21.0</v>
      </c>
      <c r="Q2226" s="28">
        <v>40.0</v>
      </c>
      <c r="R2226" s="84"/>
      <c r="S2226" s="84"/>
      <c r="T2226" s="84"/>
      <c r="U2226" s="84"/>
      <c r="V2226" s="84"/>
      <c r="W2226" s="84"/>
      <c r="X2226" s="84"/>
      <c r="Y2226" s="84"/>
      <c r="Z2226" s="84"/>
      <c r="AA2226" s="84"/>
    </row>
    <row r="2227" ht="15.75" customHeight="1">
      <c r="A2227" s="14" t="s">
        <v>2137</v>
      </c>
      <c r="B2227" s="15" t="s">
        <v>23545</v>
      </c>
      <c r="C2227" s="14" t="s">
        <v>23586</v>
      </c>
      <c r="D2227" s="14" t="s">
        <v>23587</v>
      </c>
      <c r="E2227" s="26" t="str">
        <f t="shared" si="29"/>
        <v>http://dx.doi.org/10.1109/TVCG.2012.199</v>
      </c>
      <c r="F2227" s="14">
        <v>2536.0</v>
      </c>
      <c r="G2227" s="14">
        <v>2545.0</v>
      </c>
      <c r="H2227" s="14" t="s">
        <v>17059</v>
      </c>
      <c r="I2227" s="19" t="s">
        <v>23588</v>
      </c>
      <c r="J2227" s="19" t="s">
        <v>23589</v>
      </c>
      <c r="K2227" s="19" t="s">
        <v>23589</v>
      </c>
      <c r="L2227" s="19" t="s">
        <v>23590</v>
      </c>
      <c r="M2227" s="20" t="s">
        <v>23591</v>
      </c>
      <c r="N2227" s="44" t="s">
        <v>23592</v>
      </c>
      <c r="O2227" s="22">
        <v>91.0</v>
      </c>
      <c r="P2227" s="28">
        <v>55.0</v>
      </c>
      <c r="Q2227" s="28">
        <v>58.0</v>
      </c>
      <c r="R2227" s="85" t="s">
        <v>19037</v>
      </c>
      <c r="S2227" s="84"/>
      <c r="T2227" s="84"/>
      <c r="U2227" s="84"/>
      <c r="V2227" s="84"/>
      <c r="W2227" s="84"/>
      <c r="X2227" s="84"/>
      <c r="Y2227" s="84"/>
      <c r="Z2227" s="84"/>
      <c r="AA2227" s="84"/>
    </row>
    <row r="2228" ht="15.75" customHeight="1">
      <c r="A2228" s="14" t="s">
        <v>2137</v>
      </c>
      <c r="B2228" s="15" t="s">
        <v>23545</v>
      </c>
      <c r="C2228" s="14" t="s">
        <v>23593</v>
      </c>
      <c r="D2228" s="14" t="s">
        <v>23594</v>
      </c>
      <c r="E2228" s="26" t="str">
        <f t="shared" si="29"/>
        <v>http://dx.doi.org/10.1109/TVCG.2012.204</v>
      </c>
      <c r="F2228" s="14">
        <v>2689.0</v>
      </c>
      <c r="G2228" s="14">
        <v>2698.0</v>
      </c>
      <c r="H2228" s="14" t="s">
        <v>17059</v>
      </c>
      <c r="I2228" s="19" t="s">
        <v>23596</v>
      </c>
      <c r="J2228" s="19" t="s">
        <v>23597</v>
      </c>
      <c r="K2228" s="19" t="s">
        <v>23597</v>
      </c>
      <c r="L2228" s="19" t="s">
        <v>23598</v>
      </c>
      <c r="M2228" s="20" t="s">
        <v>23599</v>
      </c>
      <c r="N2228" s="44" t="s">
        <v>23600</v>
      </c>
      <c r="O2228" s="22">
        <v>117.0</v>
      </c>
      <c r="P2228" s="28">
        <v>56.0</v>
      </c>
      <c r="Q2228" s="28">
        <v>82.0</v>
      </c>
      <c r="R2228" s="84"/>
      <c r="S2228" s="84"/>
      <c r="T2228" s="84"/>
      <c r="U2228" s="84"/>
      <c r="V2228" s="84"/>
      <c r="W2228" s="84"/>
      <c r="X2228" s="84"/>
      <c r="Y2228" s="84"/>
      <c r="Z2228" s="84"/>
      <c r="AA2228" s="84"/>
    </row>
    <row r="2229" ht="15.75" customHeight="1">
      <c r="A2229" s="14" t="s">
        <v>2137</v>
      </c>
      <c r="B2229" s="15" t="s">
        <v>23545</v>
      </c>
      <c r="C2229" s="14" t="s">
        <v>23601</v>
      </c>
      <c r="D2229" s="14" t="s">
        <v>23602</v>
      </c>
      <c r="E2229" s="26" t="str">
        <f t="shared" si="29"/>
        <v>http://dx.doi.org/10.1109/TVCG.2012.205</v>
      </c>
      <c r="F2229" s="14">
        <v>2593.0</v>
      </c>
      <c r="G2229" s="14">
        <v>2602.0</v>
      </c>
      <c r="H2229" s="14" t="s">
        <v>17059</v>
      </c>
      <c r="I2229" s="19" t="s">
        <v>23603</v>
      </c>
      <c r="J2229" s="19" t="s">
        <v>23604</v>
      </c>
      <c r="K2229" s="19" t="s">
        <v>23604</v>
      </c>
      <c r="L2229" s="19" t="s">
        <v>23605</v>
      </c>
      <c r="M2229" s="20" t="s">
        <v>23606</v>
      </c>
      <c r="N2229" s="44" t="s">
        <v>23607</v>
      </c>
      <c r="O2229" s="22">
        <v>50.0</v>
      </c>
      <c r="P2229" s="28">
        <v>12.0</v>
      </c>
      <c r="Q2229" s="28">
        <v>29.0</v>
      </c>
      <c r="R2229" s="84"/>
      <c r="S2229" s="84"/>
      <c r="T2229" s="84"/>
      <c r="U2229" s="84"/>
      <c r="V2229" s="84"/>
      <c r="W2229" s="84"/>
      <c r="X2229" s="84"/>
      <c r="Y2229" s="84"/>
      <c r="Z2229" s="84"/>
      <c r="AA2229" s="84"/>
    </row>
    <row r="2230" ht="15.75" customHeight="1">
      <c r="A2230" s="14" t="s">
        <v>2137</v>
      </c>
      <c r="B2230" s="15" t="s">
        <v>23545</v>
      </c>
      <c r="C2230" s="14" t="s">
        <v>23608</v>
      </c>
      <c r="D2230" s="14" t="s">
        <v>23609</v>
      </c>
      <c r="E2230" s="26" t="str">
        <f t="shared" si="29"/>
        <v>http://dx.doi.org/10.1109/TVCG.2012.207</v>
      </c>
      <c r="F2230" s="14">
        <v>2506.0</v>
      </c>
      <c r="G2230" s="14">
        <v>2515.0</v>
      </c>
      <c r="H2230" s="14" t="s">
        <v>17059</v>
      </c>
      <c r="I2230" s="19" t="s">
        <v>23610</v>
      </c>
      <c r="J2230" s="19" t="s">
        <v>23611</v>
      </c>
      <c r="K2230" s="19" t="s">
        <v>23612</v>
      </c>
      <c r="L2230" s="19" t="s">
        <v>23613</v>
      </c>
      <c r="M2230" s="20" t="s">
        <v>23614</v>
      </c>
      <c r="N2230" s="44" t="s">
        <v>23616</v>
      </c>
      <c r="O2230" s="22">
        <v>5.0</v>
      </c>
      <c r="P2230" s="28">
        <v>12.0</v>
      </c>
      <c r="Q2230" s="28">
        <v>37.0</v>
      </c>
      <c r="R2230" s="84"/>
      <c r="S2230" s="84"/>
      <c r="T2230" s="84"/>
      <c r="U2230" s="84"/>
      <c r="V2230" s="84"/>
      <c r="W2230" s="84"/>
      <c r="X2230" s="84"/>
      <c r="Y2230" s="84"/>
      <c r="Z2230" s="84"/>
      <c r="AA2230" s="84"/>
    </row>
    <row r="2231" ht="15.75" customHeight="1">
      <c r="A2231" s="14" t="s">
        <v>2137</v>
      </c>
      <c r="B2231" s="15" t="s">
        <v>23545</v>
      </c>
      <c r="C2231" s="14" t="s">
        <v>23617</v>
      </c>
      <c r="D2231" s="14" t="s">
        <v>23618</v>
      </c>
      <c r="E2231" s="26" t="str">
        <f t="shared" si="29"/>
        <v>http://dx.doi.org/10.1109/TVCG.2012.208</v>
      </c>
      <c r="F2231" s="14">
        <v>2457.0</v>
      </c>
      <c r="G2231" s="14">
        <v>2466.0</v>
      </c>
      <c r="H2231" s="14" t="s">
        <v>17059</v>
      </c>
      <c r="I2231" s="19" t="s">
        <v>23620</v>
      </c>
      <c r="J2231" s="19" t="s">
        <v>23621</v>
      </c>
      <c r="K2231" s="19" t="s">
        <v>23621</v>
      </c>
      <c r="L2231" s="19" t="s">
        <v>23622</v>
      </c>
      <c r="M2231" s="20" t="s">
        <v>23623</v>
      </c>
      <c r="N2231" s="44" t="s">
        <v>23624</v>
      </c>
      <c r="O2231" s="22">
        <v>41.0</v>
      </c>
      <c r="P2231" s="28">
        <v>25.0</v>
      </c>
      <c r="Q2231" s="28">
        <v>43.0</v>
      </c>
      <c r="R2231" s="84"/>
      <c r="S2231" s="84"/>
      <c r="T2231" s="84"/>
      <c r="U2231" s="84"/>
      <c r="V2231" s="84"/>
      <c r="W2231" s="84"/>
      <c r="X2231" s="84"/>
      <c r="Y2231" s="84"/>
      <c r="Z2231" s="84"/>
      <c r="AA2231" s="84"/>
    </row>
    <row r="2232" ht="15.75" customHeight="1">
      <c r="A2232" s="14" t="s">
        <v>2137</v>
      </c>
      <c r="B2232" s="15" t="s">
        <v>23545</v>
      </c>
      <c r="C2232" s="14" t="s">
        <v>23625</v>
      </c>
      <c r="D2232" s="14" t="s">
        <v>23626</v>
      </c>
      <c r="E2232" s="26" t="str">
        <f t="shared" si="29"/>
        <v>http://dx.doi.org/10.1109/TVCG.2012.212</v>
      </c>
      <c r="F2232" s="14">
        <v>2679.0</v>
      </c>
      <c r="G2232" s="14">
        <v>2688.0</v>
      </c>
      <c r="H2232" s="14" t="s">
        <v>17059</v>
      </c>
      <c r="I2232" s="19" t="s">
        <v>23627</v>
      </c>
      <c r="J2232" s="19" t="s">
        <v>23628</v>
      </c>
      <c r="K2232" s="19" t="s">
        <v>23628</v>
      </c>
      <c r="L2232" s="19" t="s">
        <v>23629</v>
      </c>
      <c r="M2232" s="20" t="s">
        <v>23630</v>
      </c>
      <c r="N2232" s="44" t="s">
        <v>23631</v>
      </c>
      <c r="O2232" s="22">
        <v>110.0</v>
      </c>
      <c r="P2232" s="28">
        <v>65.0</v>
      </c>
      <c r="Q2232" s="28">
        <v>36.0</v>
      </c>
      <c r="R2232" s="84"/>
      <c r="S2232" s="84"/>
      <c r="T2232" s="84"/>
      <c r="U2232" s="84"/>
      <c r="V2232" s="84"/>
      <c r="W2232" s="84"/>
      <c r="X2232" s="84"/>
      <c r="Y2232" s="84"/>
      <c r="Z2232" s="84"/>
      <c r="AA2232" s="84"/>
    </row>
    <row r="2233" ht="15.75" customHeight="1">
      <c r="A2233" s="14" t="s">
        <v>2137</v>
      </c>
      <c r="B2233" s="15" t="s">
        <v>23545</v>
      </c>
      <c r="C2233" s="14" t="s">
        <v>23632</v>
      </c>
      <c r="D2233" s="14" t="s">
        <v>23634</v>
      </c>
      <c r="E2233" s="26" t="str">
        <f t="shared" si="29"/>
        <v>http://dx.doi.org/10.1109/TVCG.2012.213</v>
      </c>
      <c r="F2233" s="14">
        <v>2431.0</v>
      </c>
      <c r="G2233" s="14">
        <v>2440.0</v>
      </c>
      <c r="H2233" s="14" t="s">
        <v>17059</v>
      </c>
      <c r="I2233" s="19" t="s">
        <v>23636</v>
      </c>
      <c r="J2233" s="19" t="s">
        <v>23637</v>
      </c>
      <c r="K2233" s="19" t="s">
        <v>23638</v>
      </c>
      <c r="L2233" s="19" t="s">
        <v>23639</v>
      </c>
      <c r="M2233" s="20" t="s">
        <v>23640</v>
      </c>
      <c r="N2233" s="44" t="s">
        <v>23641</v>
      </c>
      <c r="O2233" s="22">
        <v>224.0</v>
      </c>
      <c r="P2233" s="28">
        <v>156.0</v>
      </c>
      <c r="Q2233" s="28">
        <v>95.0</v>
      </c>
      <c r="R2233" s="85" t="s">
        <v>19037</v>
      </c>
      <c r="S2233" s="84"/>
      <c r="T2233" s="84"/>
      <c r="U2233" s="84"/>
      <c r="V2233" s="84"/>
      <c r="W2233" s="84"/>
      <c r="X2233" s="84"/>
      <c r="Y2233" s="84"/>
      <c r="Z2233" s="84"/>
      <c r="AA2233" s="84"/>
    </row>
    <row r="2234" ht="15.75" customHeight="1">
      <c r="A2234" s="14" t="s">
        <v>2137</v>
      </c>
      <c r="B2234" s="15" t="s">
        <v>23545</v>
      </c>
      <c r="C2234" s="14" t="s">
        <v>23642</v>
      </c>
      <c r="D2234" s="14" t="s">
        <v>23643</v>
      </c>
      <c r="E2234" s="26" t="str">
        <f t="shared" si="29"/>
        <v>http://dx.doi.org/10.1109/TVCG.2012.214</v>
      </c>
      <c r="F2234" s="14">
        <v>2411.0</v>
      </c>
      <c r="G2234" s="14">
        <v>2420.0</v>
      </c>
      <c r="H2234" s="14" t="s">
        <v>17059</v>
      </c>
      <c r="I2234" s="19" t="s">
        <v>23644</v>
      </c>
      <c r="J2234" s="19" t="s">
        <v>23645</v>
      </c>
      <c r="K2234" s="19" t="s">
        <v>23646</v>
      </c>
      <c r="L2234" s="19" t="s">
        <v>23647</v>
      </c>
      <c r="M2234" s="20" t="s">
        <v>23648</v>
      </c>
      <c r="N2234" s="44" t="s">
        <v>23649</v>
      </c>
      <c r="O2234" s="22">
        <v>50.0</v>
      </c>
      <c r="P2234" s="28">
        <v>2.0</v>
      </c>
      <c r="Q2234" s="28">
        <v>18.0</v>
      </c>
      <c r="R2234" s="84"/>
      <c r="S2234" s="84"/>
      <c r="T2234" s="84"/>
      <c r="U2234" s="84"/>
      <c r="V2234" s="84"/>
      <c r="W2234" s="84"/>
      <c r="X2234" s="84"/>
      <c r="Y2234" s="84"/>
      <c r="Z2234" s="84"/>
      <c r="AA2234" s="84"/>
    </row>
    <row r="2235" ht="15.75" customHeight="1">
      <c r="A2235" s="14" t="s">
        <v>2137</v>
      </c>
      <c r="B2235" s="15" t="s">
        <v>23545</v>
      </c>
      <c r="C2235" s="14" t="s">
        <v>23650</v>
      </c>
      <c r="D2235" s="14" t="s">
        <v>23651</v>
      </c>
      <c r="E2235" s="26" t="str">
        <f t="shared" si="29"/>
        <v>http://dx.doi.org/10.1109/TVCG.2012.215</v>
      </c>
      <c r="F2235" s="14">
        <v>2421.0</v>
      </c>
      <c r="G2235" s="14">
        <v>2430.0</v>
      </c>
      <c r="H2235" s="14" t="s">
        <v>17059</v>
      </c>
      <c r="I2235" s="19" t="s">
        <v>23655</v>
      </c>
      <c r="J2235" s="19" t="s">
        <v>23656</v>
      </c>
      <c r="K2235" s="19" t="s">
        <v>23656</v>
      </c>
      <c r="L2235" s="19" t="s">
        <v>17759</v>
      </c>
      <c r="M2235" s="20" t="s">
        <v>23657</v>
      </c>
      <c r="N2235" s="44" t="s">
        <v>23658</v>
      </c>
      <c r="O2235" s="22">
        <v>40.0</v>
      </c>
      <c r="P2235" s="28">
        <v>17.0</v>
      </c>
      <c r="Q2235" s="28">
        <v>55.0</v>
      </c>
      <c r="R2235" s="84"/>
      <c r="S2235" s="84"/>
      <c r="T2235" s="84"/>
      <c r="U2235" s="84"/>
      <c r="V2235" s="84"/>
      <c r="W2235" s="84"/>
      <c r="X2235" s="84"/>
      <c r="Y2235" s="84"/>
      <c r="Z2235" s="84"/>
      <c r="AA2235" s="84"/>
    </row>
    <row r="2236" ht="15.75" customHeight="1">
      <c r="A2236" s="14" t="s">
        <v>2137</v>
      </c>
      <c r="B2236" s="15" t="s">
        <v>23545</v>
      </c>
      <c r="C2236" s="14" t="s">
        <v>23659</v>
      </c>
      <c r="D2236" s="14" t="s">
        <v>23660</v>
      </c>
      <c r="E2236" s="26" t="str">
        <f t="shared" si="29"/>
        <v>http://dx.doi.org/10.1109/TVCG.2012.220</v>
      </c>
      <c r="F2236" s="14">
        <v>2769.0</v>
      </c>
      <c r="G2236" s="14">
        <v>2778.0</v>
      </c>
      <c r="H2236" s="14" t="s">
        <v>17059</v>
      </c>
      <c r="I2236" s="19" t="s">
        <v>23661</v>
      </c>
      <c r="J2236" s="19" t="s">
        <v>23662</v>
      </c>
      <c r="K2236" s="19" t="s">
        <v>23663</v>
      </c>
      <c r="L2236" s="19" t="s">
        <v>23664</v>
      </c>
      <c r="M2236" s="20" t="s">
        <v>23665</v>
      </c>
      <c r="N2236" s="44" t="s">
        <v>23666</v>
      </c>
      <c r="O2236" s="22">
        <v>63.0</v>
      </c>
      <c r="P2236" s="28">
        <v>38.0</v>
      </c>
      <c r="Q2236" s="28">
        <v>57.0</v>
      </c>
      <c r="R2236" s="84"/>
      <c r="S2236" s="84"/>
      <c r="T2236" s="84"/>
      <c r="U2236" s="84"/>
      <c r="V2236" s="84"/>
      <c r="W2236" s="84"/>
      <c r="X2236" s="84"/>
      <c r="Y2236" s="84"/>
      <c r="Z2236" s="84"/>
      <c r="AA2236" s="84"/>
    </row>
    <row r="2237" ht="15.75" customHeight="1">
      <c r="A2237" s="14" t="s">
        <v>2137</v>
      </c>
      <c r="B2237" s="15" t="s">
        <v>23545</v>
      </c>
      <c r="C2237" s="14" t="s">
        <v>23667</v>
      </c>
      <c r="D2237" s="14" t="s">
        <v>23668</v>
      </c>
      <c r="E2237" s="26" t="str">
        <f t="shared" si="29"/>
        <v>http://dx.doi.org/10.1109/TVCG.2012.221</v>
      </c>
      <c r="F2237" s="14">
        <v>2739.0</v>
      </c>
      <c r="G2237" s="14">
        <v>2748.0</v>
      </c>
      <c r="H2237" s="14" t="s">
        <v>17059</v>
      </c>
      <c r="I2237" s="19" t="s">
        <v>23669</v>
      </c>
      <c r="J2237" s="19" t="s">
        <v>23671</v>
      </c>
      <c r="K2237" s="19" t="s">
        <v>23672</v>
      </c>
      <c r="L2237" s="19" t="s">
        <v>23673</v>
      </c>
      <c r="M2237" s="20" t="s">
        <v>23674</v>
      </c>
      <c r="N2237" s="44" t="s">
        <v>23675</v>
      </c>
      <c r="O2237" s="22">
        <v>55.0</v>
      </c>
      <c r="P2237" s="28">
        <v>20.0</v>
      </c>
      <c r="Q2237" s="28">
        <v>33.0</v>
      </c>
      <c r="R2237" s="84"/>
      <c r="S2237" s="84"/>
      <c r="T2237" s="84"/>
      <c r="U2237" s="84"/>
      <c r="V2237" s="84"/>
      <c r="W2237" s="84"/>
      <c r="X2237" s="84"/>
      <c r="Y2237" s="84"/>
      <c r="Z2237" s="84"/>
      <c r="AA2237" s="84"/>
    </row>
    <row r="2238" ht="15.75" customHeight="1">
      <c r="A2238" s="14" t="s">
        <v>2137</v>
      </c>
      <c r="B2238" s="15" t="s">
        <v>23545</v>
      </c>
      <c r="C2238" s="14" t="s">
        <v>23676</v>
      </c>
      <c r="D2238" s="14" t="s">
        <v>23677</v>
      </c>
      <c r="E2238" s="26" t="str">
        <f t="shared" si="29"/>
        <v>http://dx.doi.org/10.1109/TVCG.2012.225</v>
      </c>
      <c r="F2238" s="14">
        <v>2659.0</v>
      </c>
      <c r="G2238" s="14">
        <v>2668.0</v>
      </c>
      <c r="H2238" s="14" t="s">
        <v>17059</v>
      </c>
      <c r="I2238" s="19" t="s">
        <v>23679</v>
      </c>
      <c r="J2238" s="19" t="s">
        <v>23680</v>
      </c>
      <c r="K2238" s="19" t="s">
        <v>23680</v>
      </c>
      <c r="L2238" s="19" t="s">
        <v>23681</v>
      </c>
      <c r="M2238" s="20" t="s">
        <v>23682</v>
      </c>
      <c r="N2238" s="44" t="s">
        <v>23683</v>
      </c>
      <c r="O2238" s="22">
        <v>107.0</v>
      </c>
      <c r="P2238" s="28">
        <v>77.0</v>
      </c>
      <c r="Q2238" s="28">
        <v>35.0</v>
      </c>
      <c r="R2238" s="84"/>
      <c r="S2238" s="84"/>
      <c r="T2238" s="84"/>
      <c r="U2238" s="84"/>
      <c r="V2238" s="84"/>
      <c r="W2238" s="84"/>
      <c r="X2238" s="84"/>
      <c r="Y2238" s="84"/>
      <c r="Z2238" s="84"/>
      <c r="AA2238" s="84"/>
    </row>
    <row r="2239" ht="15.75" customHeight="1">
      <c r="A2239" s="14" t="s">
        <v>2137</v>
      </c>
      <c r="B2239" s="15" t="s">
        <v>23545</v>
      </c>
      <c r="C2239" s="14" t="s">
        <v>23684</v>
      </c>
      <c r="D2239" s="14" t="s">
        <v>23685</v>
      </c>
      <c r="E2239" s="26" t="str">
        <f t="shared" si="29"/>
        <v>http://dx.doi.org/10.1109/TVCG.2012.226</v>
      </c>
      <c r="F2239" s="14">
        <v>2639.0</v>
      </c>
      <c r="G2239" s="14">
        <v>2648.0</v>
      </c>
      <c r="H2239" s="14" t="s">
        <v>17059</v>
      </c>
      <c r="I2239" s="19" t="s">
        <v>23686</v>
      </c>
      <c r="J2239" s="19" t="s">
        <v>23687</v>
      </c>
      <c r="K2239" s="19" t="s">
        <v>23687</v>
      </c>
      <c r="L2239" s="19" t="s">
        <v>23688</v>
      </c>
      <c r="M2239" s="20" t="s">
        <v>23689</v>
      </c>
      <c r="N2239" s="44" t="s">
        <v>23690</v>
      </c>
      <c r="O2239" s="22">
        <v>32.0</v>
      </c>
      <c r="P2239" s="28">
        <v>8.0</v>
      </c>
      <c r="Q2239" s="28">
        <v>30.0</v>
      </c>
      <c r="R2239" s="84"/>
      <c r="S2239" s="84"/>
      <c r="T2239" s="84"/>
      <c r="U2239" s="84"/>
      <c r="V2239" s="84"/>
      <c r="W2239" s="84"/>
      <c r="X2239" s="84"/>
      <c r="Y2239" s="84"/>
      <c r="Z2239" s="84"/>
      <c r="AA2239" s="84"/>
    </row>
    <row r="2240" ht="15.75" customHeight="1">
      <c r="A2240" s="14" t="s">
        <v>2137</v>
      </c>
      <c r="B2240" s="15" t="s">
        <v>23545</v>
      </c>
      <c r="C2240" s="14" t="s">
        <v>23691</v>
      </c>
      <c r="D2240" s="14" t="s">
        <v>23692</v>
      </c>
      <c r="E2240" s="26" t="str">
        <f t="shared" si="29"/>
        <v>http://dx.doi.org/10.1109/TVCG.2012.229</v>
      </c>
      <c r="F2240" s="14">
        <v>2631.0</v>
      </c>
      <c r="G2240" s="14">
        <v>2638.0</v>
      </c>
      <c r="H2240" s="14" t="s">
        <v>17059</v>
      </c>
      <c r="I2240" s="19" t="s">
        <v>23694</v>
      </c>
      <c r="J2240" s="19" t="s">
        <v>23695</v>
      </c>
      <c r="K2240" s="19" t="s">
        <v>23695</v>
      </c>
      <c r="L2240" s="19" t="s">
        <v>23696</v>
      </c>
      <c r="M2240" s="20" t="s">
        <v>23698</v>
      </c>
      <c r="N2240" s="44" t="s">
        <v>23699</v>
      </c>
      <c r="O2240" s="22">
        <v>36.0</v>
      </c>
      <c r="P2240" s="28">
        <v>19.0</v>
      </c>
      <c r="Q2240" s="28">
        <v>38.0</v>
      </c>
      <c r="R2240" s="84"/>
      <c r="S2240" s="84"/>
      <c r="T2240" s="84"/>
      <c r="U2240" s="84"/>
      <c r="V2240" s="84"/>
      <c r="W2240" s="84"/>
      <c r="X2240" s="84"/>
      <c r="Y2240" s="84"/>
      <c r="Z2240" s="84"/>
      <c r="AA2240" s="84"/>
    </row>
    <row r="2241" ht="15.75" customHeight="1">
      <c r="A2241" s="14" t="s">
        <v>2137</v>
      </c>
      <c r="B2241" s="15" t="s">
        <v>23545</v>
      </c>
      <c r="C2241" s="14" t="s">
        <v>23700</v>
      </c>
      <c r="D2241" s="14" t="s">
        <v>23701</v>
      </c>
      <c r="E2241" s="26" t="str">
        <f t="shared" si="29"/>
        <v>http://dx.doi.org/10.1109/TVCG.2012.230</v>
      </c>
      <c r="F2241" s="14">
        <v>2441.0</v>
      </c>
      <c r="G2241" s="14">
        <v>2448.0</v>
      </c>
      <c r="H2241" s="14" t="s">
        <v>17059</v>
      </c>
      <c r="I2241" s="19" t="s">
        <v>23702</v>
      </c>
      <c r="J2241" s="19" t="s">
        <v>23703</v>
      </c>
      <c r="K2241" s="19" t="s">
        <v>23703</v>
      </c>
      <c r="L2241" s="19" t="s">
        <v>23704</v>
      </c>
      <c r="M2241" s="20" t="s">
        <v>23705</v>
      </c>
      <c r="N2241" s="44" t="s">
        <v>23706</v>
      </c>
      <c r="O2241" s="22">
        <v>24.0</v>
      </c>
      <c r="P2241" s="28">
        <v>15.0</v>
      </c>
      <c r="Q2241" s="28">
        <v>28.0</v>
      </c>
      <c r="R2241" s="84"/>
      <c r="S2241" s="84"/>
      <c r="T2241" s="84"/>
      <c r="U2241" s="84"/>
      <c r="V2241" s="84"/>
      <c r="W2241" s="84"/>
      <c r="X2241" s="84"/>
      <c r="Y2241" s="84"/>
      <c r="Z2241" s="84"/>
      <c r="AA2241" s="84"/>
    </row>
    <row r="2242" ht="15.75" customHeight="1">
      <c r="A2242" s="14" t="s">
        <v>2137</v>
      </c>
      <c r="B2242" s="15" t="s">
        <v>23545</v>
      </c>
      <c r="C2242" s="14" t="s">
        <v>23707</v>
      </c>
      <c r="D2242" s="14" t="s">
        <v>23708</v>
      </c>
      <c r="E2242" s="26" t="str">
        <f t="shared" si="29"/>
        <v>http://dx.doi.org/10.1109/TVCG.2012.233</v>
      </c>
      <c r="F2242" s="14">
        <v>2402.0</v>
      </c>
      <c r="G2242" s="14">
        <v>2410.0</v>
      </c>
      <c r="H2242" s="14" t="s">
        <v>17059</v>
      </c>
      <c r="I2242" s="19" t="s">
        <v>23709</v>
      </c>
      <c r="J2242" s="19" t="s">
        <v>23710</v>
      </c>
      <c r="K2242" s="19" t="s">
        <v>23710</v>
      </c>
      <c r="L2242" s="19" t="s">
        <v>23712</v>
      </c>
      <c r="M2242" s="20" t="s">
        <v>23713</v>
      </c>
      <c r="N2242" s="44" t="s">
        <v>23714</v>
      </c>
      <c r="O2242" s="22">
        <v>51.0</v>
      </c>
      <c r="P2242" s="28">
        <v>28.0</v>
      </c>
      <c r="Q2242" s="28">
        <v>35.0</v>
      </c>
      <c r="R2242" s="85" t="s">
        <v>106</v>
      </c>
      <c r="S2242" s="84"/>
      <c r="T2242" s="84"/>
      <c r="U2242" s="84"/>
      <c r="V2242" s="84"/>
      <c r="W2242" s="84"/>
      <c r="X2242" s="84"/>
      <c r="Y2242" s="84"/>
      <c r="Z2242" s="84"/>
      <c r="AA2242" s="84"/>
    </row>
    <row r="2243" ht="15.75" customHeight="1">
      <c r="A2243" s="14" t="s">
        <v>2137</v>
      </c>
      <c r="B2243" s="15" t="s">
        <v>23545</v>
      </c>
      <c r="C2243" s="14" t="s">
        <v>23716</v>
      </c>
      <c r="D2243" s="14" t="s">
        <v>23717</v>
      </c>
      <c r="E2243" s="26" t="str">
        <f t="shared" si="29"/>
        <v>http://dx.doi.org/10.1109/TVCG.2012.236</v>
      </c>
      <c r="F2243" s="14">
        <v>2699.0</v>
      </c>
      <c r="G2243" s="14">
        <v>2708.0</v>
      </c>
      <c r="H2243" s="14" t="s">
        <v>17059</v>
      </c>
      <c r="I2243" s="19" t="s">
        <v>23718</v>
      </c>
      <c r="J2243" s="19" t="s">
        <v>23719</v>
      </c>
      <c r="K2243" s="19" t="s">
        <v>23719</v>
      </c>
      <c r="L2243" s="19" t="s">
        <v>23720</v>
      </c>
      <c r="M2243" s="20" t="s">
        <v>23721</v>
      </c>
      <c r="N2243" s="44" t="s">
        <v>23722</v>
      </c>
      <c r="O2243" s="22">
        <v>22.0</v>
      </c>
      <c r="P2243" s="28">
        <v>14.0</v>
      </c>
      <c r="Q2243" s="28">
        <v>33.0</v>
      </c>
      <c r="R2243" s="84"/>
      <c r="S2243" s="84"/>
      <c r="T2243" s="84"/>
      <c r="U2243" s="84"/>
      <c r="V2243" s="84"/>
      <c r="W2243" s="84"/>
      <c r="X2243" s="84"/>
      <c r="Y2243" s="84"/>
      <c r="Z2243" s="84"/>
      <c r="AA2243" s="84"/>
    </row>
    <row r="2244" ht="15.75" customHeight="1">
      <c r="A2244" s="14" t="s">
        <v>2137</v>
      </c>
      <c r="B2244" s="15" t="s">
        <v>23545</v>
      </c>
      <c r="C2244" s="14" t="s">
        <v>23723</v>
      </c>
      <c r="D2244" s="14" t="s">
        <v>23724</v>
      </c>
      <c r="E2244" s="26" t="str">
        <f t="shared" si="29"/>
        <v>http://dx.doi.org/10.1109/TVCG.2012.237</v>
      </c>
      <c r="F2244" s="14">
        <v>2719.0</v>
      </c>
      <c r="G2244" s="14">
        <v>2728.0</v>
      </c>
      <c r="H2244" s="14" t="s">
        <v>17059</v>
      </c>
      <c r="I2244" s="19" t="s">
        <v>23725</v>
      </c>
      <c r="J2244" s="19" t="s">
        <v>23726</v>
      </c>
      <c r="K2244" s="19" t="s">
        <v>23726</v>
      </c>
      <c r="L2244" s="19" t="s">
        <v>23727</v>
      </c>
      <c r="M2244" s="20" t="s">
        <v>23728</v>
      </c>
      <c r="N2244" s="44" t="s">
        <v>23729</v>
      </c>
      <c r="O2244" s="22">
        <v>50.0</v>
      </c>
      <c r="P2244" s="28">
        <v>20.0</v>
      </c>
      <c r="Q2244" s="28">
        <v>51.0</v>
      </c>
      <c r="R2244" s="84"/>
      <c r="S2244" s="84"/>
      <c r="T2244" s="84"/>
      <c r="U2244" s="84"/>
      <c r="V2244" s="84"/>
      <c r="W2244" s="84"/>
      <c r="X2244" s="84"/>
      <c r="Y2244" s="84"/>
      <c r="Z2244" s="84"/>
      <c r="AA2244" s="84"/>
    </row>
    <row r="2245" ht="15.75" customHeight="1">
      <c r="A2245" s="14" t="s">
        <v>2137</v>
      </c>
      <c r="B2245" s="15" t="s">
        <v>23545</v>
      </c>
      <c r="C2245" s="14" t="s">
        <v>23730</v>
      </c>
      <c r="D2245" s="14" t="s">
        <v>23731</v>
      </c>
      <c r="E2245" s="26" t="str">
        <f t="shared" si="29"/>
        <v>http://dx.doi.org/10.1109/TVCG.2012.238</v>
      </c>
      <c r="F2245" s="14">
        <v>2486.0</v>
      </c>
      <c r="G2245" s="14">
        <v>2495.0</v>
      </c>
      <c r="H2245" s="14" t="s">
        <v>17059</v>
      </c>
      <c r="I2245" s="19" t="s">
        <v>23733</v>
      </c>
      <c r="J2245" s="19" t="s">
        <v>23734</v>
      </c>
      <c r="K2245" s="19" t="s">
        <v>23734</v>
      </c>
      <c r="L2245" s="19" t="s">
        <v>23735</v>
      </c>
      <c r="M2245" s="20" t="s">
        <v>23737</v>
      </c>
      <c r="N2245" s="44" t="s">
        <v>23738</v>
      </c>
      <c r="O2245" s="22">
        <v>61.0</v>
      </c>
      <c r="P2245" s="28">
        <v>40.0</v>
      </c>
      <c r="Q2245" s="28">
        <v>28.0</v>
      </c>
      <c r="R2245" s="84"/>
      <c r="S2245" s="84"/>
      <c r="T2245" s="84"/>
      <c r="U2245" s="84"/>
      <c r="V2245" s="84"/>
      <c r="W2245" s="84"/>
      <c r="X2245" s="84"/>
      <c r="Y2245" s="84"/>
      <c r="Z2245" s="84"/>
      <c r="AA2245" s="84"/>
    </row>
    <row r="2246" ht="15.75" customHeight="1">
      <c r="A2246" s="14" t="s">
        <v>2137</v>
      </c>
      <c r="B2246" s="15" t="s">
        <v>23545</v>
      </c>
      <c r="C2246" s="14" t="s">
        <v>23739</v>
      </c>
      <c r="D2246" s="14" t="s">
        <v>23740</v>
      </c>
      <c r="E2246" s="26" t="str">
        <f t="shared" si="29"/>
        <v>http://dx.doi.org/10.1109/TVCG.2012.244</v>
      </c>
      <c r="F2246" s="14">
        <v>2799.0</v>
      </c>
      <c r="G2246" s="14">
        <v>2808.0</v>
      </c>
      <c r="H2246" s="14" t="s">
        <v>17059</v>
      </c>
      <c r="I2246" s="19" t="s">
        <v>23741</v>
      </c>
      <c r="J2246" s="19" t="s">
        <v>23742</v>
      </c>
      <c r="K2246" s="19" t="s">
        <v>23742</v>
      </c>
      <c r="L2246" s="19" t="s">
        <v>23743</v>
      </c>
      <c r="M2246" s="20" t="s">
        <v>23744</v>
      </c>
      <c r="N2246" s="44" t="s">
        <v>23745</v>
      </c>
      <c r="O2246" s="22">
        <v>50.0</v>
      </c>
      <c r="P2246" s="28">
        <v>20.0</v>
      </c>
      <c r="Q2246" s="28">
        <v>45.0</v>
      </c>
      <c r="R2246" s="84"/>
      <c r="S2246" s="84"/>
      <c r="T2246" s="84"/>
      <c r="U2246" s="84"/>
      <c r="V2246" s="84"/>
      <c r="W2246" s="84"/>
      <c r="X2246" s="84"/>
      <c r="Y2246" s="84"/>
      <c r="Z2246" s="84"/>
      <c r="AA2246" s="84"/>
    </row>
    <row r="2247" ht="15.75" customHeight="1">
      <c r="A2247" s="14" t="s">
        <v>2137</v>
      </c>
      <c r="B2247" s="15" t="s">
        <v>23545</v>
      </c>
      <c r="C2247" s="14" t="s">
        <v>23746</v>
      </c>
      <c r="D2247" s="14" t="s">
        <v>23747</v>
      </c>
      <c r="E2247" s="26" t="str">
        <f t="shared" si="29"/>
        <v>http://dx.doi.org/10.1109/TVCG.2012.245</v>
      </c>
      <c r="F2247" s="14">
        <v>2477.0</v>
      </c>
      <c r="G2247" s="14">
        <v>2485.0</v>
      </c>
      <c r="H2247" s="14" t="s">
        <v>17059</v>
      </c>
      <c r="I2247" s="19" t="s">
        <v>23748</v>
      </c>
      <c r="J2247" s="19" t="s">
        <v>23749</v>
      </c>
      <c r="K2247" s="19" t="s">
        <v>23750</v>
      </c>
      <c r="L2247" s="19" t="s">
        <v>23751</v>
      </c>
      <c r="M2247" s="20" t="s">
        <v>23752</v>
      </c>
      <c r="N2247" s="44" t="s">
        <v>23753</v>
      </c>
      <c r="O2247" s="22">
        <v>50.0</v>
      </c>
      <c r="P2247" s="28">
        <v>21.0</v>
      </c>
      <c r="Q2247" s="28">
        <v>48.0</v>
      </c>
      <c r="R2247" s="84"/>
      <c r="S2247" s="84"/>
      <c r="T2247" s="84"/>
      <c r="U2247" s="84"/>
      <c r="V2247" s="84"/>
      <c r="W2247" s="84"/>
      <c r="X2247" s="84"/>
      <c r="Y2247" s="84"/>
      <c r="Z2247" s="84"/>
      <c r="AA2247" s="84"/>
    </row>
    <row r="2248" ht="15.75" customHeight="1">
      <c r="A2248" s="14" t="s">
        <v>2137</v>
      </c>
      <c r="B2248" s="15" t="s">
        <v>23545</v>
      </c>
      <c r="C2248" s="14" t="s">
        <v>23755</v>
      </c>
      <c r="D2248" s="14" t="s">
        <v>23756</v>
      </c>
      <c r="E2248" s="26" t="str">
        <f t="shared" si="29"/>
        <v>http://dx.doi.org/10.1109/TVCG.2012.250</v>
      </c>
      <c r="F2248" s="14">
        <v>2546.0</v>
      </c>
      <c r="G2248" s="14">
        <v>2555.0</v>
      </c>
      <c r="H2248" s="14" t="s">
        <v>17059</v>
      </c>
      <c r="I2248" s="19" t="s">
        <v>23758</v>
      </c>
      <c r="J2248" s="19" t="s">
        <v>23759</v>
      </c>
      <c r="K2248" s="19" t="s">
        <v>23759</v>
      </c>
      <c r="L2248" s="19" t="s">
        <v>22394</v>
      </c>
      <c r="M2248" s="20" t="s">
        <v>23760</v>
      </c>
      <c r="N2248" s="44" t="s">
        <v>23761</v>
      </c>
      <c r="O2248" s="22">
        <v>50.0</v>
      </c>
      <c r="P2248" s="28">
        <v>11.0</v>
      </c>
      <c r="Q2248" s="28">
        <v>46.0</v>
      </c>
      <c r="R2248" s="84"/>
      <c r="S2248" s="84"/>
      <c r="T2248" s="84"/>
      <c r="U2248" s="84"/>
      <c r="V2248" s="84"/>
      <c r="W2248" s="84"/>
      <c r="X2248" s="84"/>
      <c r="Y2248" s="84"/>
      <c r="Z2248" s="84"/>
      <c r="AA2248" s="84"/>
    </row>
    <row r="2249" ht="15.75" customHeight="1">
      <c r="A2249" s="14" t="s">
        <v>2137</v>
      </c>
      <c r="B2249" s="15" t="s">
        <v>23545</v>
      </c>
      <c r="C2249" s="14" t="s">
        <v>23762</v>
      </c>
      <c r="D2249" s="14" t="s">
        <v>23763</v>
      </c>
      <c r="E2249" s="26" t="str">
        <f t="shared" si="29"/>
        <v>http://dx.doi.org/10.1109/TVCG.2012.251</v>
      </c>
      <c r="F2249" s="14">
        <v>2516.0</v>
      </c>
      <c r="G2249" s="14">
        <v>2525.0</v>
      </c>
      <c r="H2249" s="14" t="s">
        <v>17059</v>
      </c>
      <c r="I2249" s="19" t="s">
        <v>23765</v>
      </c>
      <c r="J2249" s="19" t="s">
        <v>23766</v>
      </c>
      <c r="K2249" s="19" t="s">
        <v>23766</v>
      </c>
      <c r="L2249" s="19" t="s">
        <v>23767</v>
      </c>
      <c r="M2249" s="20" t="s">
        <v>23768</v>
      </c>
      <c r="N2249" s="44" t="s">
        <v>23769</v>
      </c>
      <c r="O2249" s="22">
        <v>58.0</v>
      </c>
      <c r="P2249" s="28">
        <v>26.0</v>
      </c>
      <c r="Q2249" s="28">
        <v>41.0</v>
      </c>
      <c r="R2249" s="84"/>
      <c r="S2249" s="84"/>
      <c r="T2249" s="84"/>
      <c r="U2249" s="84"/>
      <c r="V2249" s="84"/>
      <c r="W2249" s="84"/>
      <c r="X2249" s="84"/>
      <c r="Y2249" s="84"/>
      <c r="Z2249" s="84"/>
      <c r="AA2249" s="84"/>
    </row>
    <row r="2250" ht="15.75" customHeight="1">
      <c r="A2250" s="14" t="s">
        <v>2137</v>
      </c>
      <c r="B2250" s="15" t="s">
        <v>23545</v>
      </c>
      <c r="C2250" s="14" t="s">
        <v>23771</v>
      </c>
      <c r="D2250" s="14" t="s">
        <v>23772</v>
      </c>
      <c r="E2250" s="26" t="str">
        <f t="shared" si="29"/>
        <v>http://dx.doi.org/10.1109/TVCG.2012.252</v>
      </c>
      <c r="F2250" s="14">
        <v>2709.0</v>
      </c>
      <c r="G2250" s="14">
        <v>2718.0</v>
      </c>
      <c r="H2250" s="14" t="s">
        <v>17059</v>
      </c>
      <c r="I2250" s="19" t="s">
        <v>23773</v>
      </c>
      <c r="J2250" s="19" t="s">
        <v>23774</v>
      </c>
      <c r="K2250" s="19" t="s">
        <v>23775</v>
      </c>
      <c r="L2250" s="19" t="s">
        <v>23776</v>
      </c>
      <c r="M2250" s="20" t="s">
        <v>23777</v>
      </c>
      <c r="N2250" s="44" t="s">
        <v>23778</v>
      </c>
      <c r="O2250" s="22">
        <v>112.0</v>
      </c>
      <c r="P2250" s="28">
        <v>65.0</v>
      </c>
      <c r="Q2250" s="28">
        <v>24.0</v>
      </c>
      <c r="R2250" s="84"/>
      <c r="S2250" s="84"/>
      <c r="T2250" s="84"/>
      <c r="U2250" s="84"/>
      <c r="V2250" s="84"/>
      <c r="W2250" s="84"/>
      <c r="X2250" s="84"/>
      <c r="Y2250" s="84"/>
      <c r="Z2250" s="84"/>
      <c r="AA2250" s="84"/>
    </row>
    <row r="2251" ht="15.75" customHeight="1">
      <c r="A2251" s="14" t="s">
        <v>2137</v>
      </c>
      <c r="B2251" s="15" t="s">
        <v>23545</v>
      </c>
      <c r="C2251" s="14" t="s">
        <v>23779</v>
      </c>
      <c r="D2251" s="14" t="s">
        <v>23780</v>
      </c>
      <c r="E2251" s="26" t="str">
        <f t="shared" si="29"/>
        <v>http://dx.doi.org/10.1109/TVCG.2012.253</v>
      </c>
      <c r="F2251" s="14">
        <v>2669.0</v>
      </c>
      <c r="G2251" s="14">
        <v>2678.0</v>
      </c>
      <c r="H2251" s="14" t="s">
        <v>17059</v>
      </c>
      <c r="I2251" s="19" t="s">
        <v>23781</v>
      </c>
      <c r="J2251" s="19" t="s">
        <v>23782</v>
      </c>
      <c r="K2251" s="19" t="s">
        <v>23783</v>
      </c>
      <c r="L2251" s="19" t="s">
        <v>23784</v>
      </c>
      <c r="M2251" s="20" t="s">
        <v>23786</v>
      </c>
      <c r="N2251" s="44" t="s">
        <v>23787</v>
      </c>
      <c r="O2251" s="22">
        <v>50.0</v>
      </c>
      <c r="P2251" s="28">
        <v>25.0</v>
      </c>
      <c r="Q2251" s="28">
        <v>38.0</v>
      </c>
      <c r="R2251" s="84"/>
      <c r="S2251" s="84"/>
      <c r="T2251" s="84"/>
      <c r="U2251" s="84"/>
      <c r="V2251" s="84"/>
      <c r="W2251" s="84"/>
      <c r="X2251" s="84"/>
      <c r="Y2251" s="84"/>
      <c r="Z2251" s="84"/>
      <c r="AA2251" s="84"/>
    </row>
    <row r="2252" ht="15.75" customHeight="1">
      <c r="A2252" s="14" t="s">
        <v>2137</v>
      </c>
      <c r="B2252" s="15" t="s">
        <v>23545</v>
      </c>
      <c r="C2252" s="14" t="s">
        <v>23788</v>
      </c>
      <c r="D2252" s="14" t="s">
        <v>23789</v>
      </c>
      <c r="E2252" s="26" t="str">
        <f t="shared" si="29"/>
        <v>http://dx.doi.org/10.1109/TVCG.2012.255</v>
      </c>
      <c r="F2252" s="14">
        <v>2729.0</v>
      </c>
      <c r="G2252" s="14">
        <v>2738.0</v>
      </c>
      <c r="H2252" s="14" t="s">
        <v>17059</v>
      </c>
      <c r="I2252" s="19" t="s">
        <v>23791</v>
      </c>
      <c r="J2252" s="19" t="s">
        <v>23792</v>
      </c>
      <c r="K2252" s="19" t="s">
        <v>23792</v>
      </c>
      <c r="L2252" s="19" t="s">
        <v>23793</v>
      </c>
      <c r="M2252" s="20" t="s">
        <v>23794</v>
      </c>
      <c r="N2252" s="44" t="s">
        <v>23795</v>
      </c>
      <c r="O2252" s="22">
        <v>18.0</v>
      </c>
      <c r="P2252" s="28">
        <v>9.0</v>
      </c>
      <c r="Q2252" s="28">
        <v>49.0</v>
      </c>
      <c r="R2252" s="84"/>
      <c r="S2252" s="84"/>
      <c r="T2252" s="84"/>
      <c r="U2252" s="84"/>
      <c r="V2252" s="84"/>
      <c r="W2252" s="84"/>
      <c r="X2252" s="84"/>
      <c r="Y2252" s="84"/>
      <c r="Z2252" s="84"/>
      <c r="AA2252" s="84"/>
    </row>
    <row r="2253" ht="15.75" customHeight="1">
      <c r="A2253" s="14" t="s">
        <v>2137</v>
      </c>
      <c r="B2253" s="15" t="s">
        <v>23545</v>
      </c>
      <c r="C2253" s="14" t="s">
        <v>23796</v>
      </c>
      <c r="D2253" s="14" t="s">
        <v>23797</v>
      </c>
      <c r="E2253" s="26" t="str">
        <f t="shared" si="29"/>
        <v>http://dx.doi.org/10.1109/TVCG.2012.256</v>
      </c>
      <c r="F2253" s="14">
        <v>2621.0</v>
      </c>
      <c r="G2253" s="14">
        <v>2630.0</v>
      </c>
      <c r="H2253" s="14" t="s">
        <v>17059</v>
      </c>
      <c r="I2253" s="19" t="s">
        <v>23798</v>
      </c>
      <c r="J2253" s="19" t="s">
        <v>23799</v>
      </c>
      <c r="K2253" s="19" t="s">
        <v>23800</v>
      </c>
      <c r="L2253" s="19" t="s">
        <v>23801</v>
      </c>
      <c r="M2253" s="20" t="s">
        <v>23802</v>
      </c>
      <c r="N2253" s="44" t="s">
        <v>23803</v>
      </c>
      <c r="O2253" s="22">
        <v>45.0</v>
      </c>
      <c r="P2253" s="28">
        <v>30.0</v>
      </c>
      <c r="Q2253" s="28">
        <v>46.0</v>
      </c>
      <c r="R2253" s="84"/>
      <c r="S2253" s="84"/>
      <c r="T2253" s="84"/>
      <c r="U2253" s="84"/>
      <c r="V2253" s="84"/>
      <c r="W2253" s="84"/>
      <c r="X2253" s="84"/>
      <c r="Y2253" s="84"/>
      <c r="Z2253" s="84"/>
      <c r="AA2253" s="84"/>
    </row>
    <row r="2254" ht="15.75" customHeight="1">
      <c r="A2254" s="14" t="s">
        <v>2137</v>
      </c>
      <c r="B2254" s="15" t="s">
        <v>23545</v>
      </c>
      <c r="C2254" s="14" t="s">
        <v>23804</v>
      </c>
      <c r="D2254" s="14" t="s">
        <v>23805</v>
      </c>
      <c r="E2254" s="26" t="str">
        <f t="shared" si="29"/>
        <v>http://dx.doi.org/10.1109/TVCG.2012.262</v>
      </c>
      <c r="F2254" s="14">
        <v>2749.0</v>
      </c>
      <c r="G2254" s="14">
        <v>2758.0</v>
      </c>
      <c r="H2254" s="14" t="s">
        <v>17059</v>
      </c>
      <c r="I2254" s="19" t="s">
        <v>23806</v>
      </c>
      <c r="J2254" s="19" t="s">
        <v>23807</v>
      </c>
      <c r="K2254" s="19" t="s">
        <v>23808</v>
      </c>
      <c r="L2254" s="19" t="s">
        <v>23809</v>
      </c>
      <c r="M2254" s="20" t="s">
        <v>23810</v>
      </c>
      <c r="N2254" s="44" t="s">
        <v>23811</v>
      </c>
      <c r="O2254" s="22">
        <v>50.0</v>
      </c>
      <c r="P2254" s="28">
        <v>21.0</v>
      </c>
      <c r="Q2254" s="28">
        <v>47.0</v>
      </c>
      <c r="R2254" s="84"/>
      <c r="S2254" s="84"/>
      <c r="T2254" s="84"/>
      <c r="U2254" s="84"/>
      <c r="V2254" s="84"/>
      <c r="W2254" s="84"/>
      <c r="X2254" s="84"/>
      <c r="Y2254" s="84"/>
      <c r="Z2254" s="84"/>
      <c r="AA2254" s="84"/>
    </row>
    <row r="2255" ht="15.75" customHeight="1">
      <c r="A2255" s="14" t="s">
        <v>2137</v>
      </c>
      <c r="B2255" s="15" t="s">
        <v>23545</v>
      </c>
      <c r="C2255" s="14" t="s">
        <v>23813</v>
      </c>
      <c r="D2255" s="14" t="s">
        <v>23814</v>
      </c>
      <c r="E2255" s="26" t="str">
        <f t="shared" si="29"/>
        <v>http://dx.doi.org/10.1109/TVCG.2012.263</v>
      </c>
      <c r="F2255" s="14">
        <v>2819.0</v>
      </c>
      <c r="G2255" s="14">
        <v>2828.0</v>
      </c>
      <c r="H2255" s="14" t="s">
        <v>17059</v>
      </c>
      <c r="I2255" s="19" t="s">
        <v>23815</v>
      </c>
      <c r="J2255" s="19" t="s">
        <v>23816</v>
      </c>
      <c r="K2255" s="19" t="s">
        <v>23816</v>
      </c>
      <c r="L2255" s="19" t="s">
        <v>23817</v>
      </c>
      <c r="M2255" s="20" t="s">
        <v>23818</v>
      </c>
      <c r="N2255" s="44" t="s">
        <v>23819</v>
      </c>
      <c r="O2255" s="22">
        <v>57.0</v>
      </c>
      <c r="P2255" s="28">
        <v>31.0</v>
      </c>
      <c r="Q2255" s="28">
        <v>28.0</v>
      </c>
      <c r="R2255" s="84"/>
      <c r="S2255" s="84"/>
      <c r="T2255" s="84"/>
      <c r="U2255" s="84"/>
      <c r="V2255" s="84"/>
      <c r="W2255" s="84"/>
      <c r="X2255" s="84"/>
      <c r="Y2255" s="84"/>
      <c r="Z2255" s="84"/>
      <c r="AA2255" s="84"/>
    </row>
    <row r="2256" ht="15.75" customHeight="1">
      <c r="A2256" s="14" t="s">
        <v>2137</v>
      </c>
      <c r="B2256" s="15" t="s">
        <v>23545</v>
      </c>
      <c r="C2256" s="14" t="s">
        <v>23822</v>
      </c>
      <c r="D2256" s="14" t="s">
        <v>23823</v>
      </c>
      <c r="E2256" s="26" t="str">
        <f t="shared" si="29"/>
        <v>http://dx.doi.org/10.1109/TVCG.2012.264</v>
      </c>
      <c r="F2256" s="14">
        <v>2556.0</v>
      </c>
      <c r="G2256" s="14">
        <v>2564.0</v>
      </c>
      <c r="H2256" s="14" t="s">
        <v>17059</v>
      </c>
      <c r="I2256" s="19" t="s">
        <v>23824</v>
      </c>
      <c r="J2256" s="19" t="s">
        <v>23825</v>
      </c>
      <c r="K2256" s="19" t="s">
        <v>23825</v>
      </c>
      <c r="L2256" s="19" t="s">
        <v>23826</v>
      </c>
      <c r="M2256" s="20" t="s">
        <v>23827</v>
      </c>
      <c r="N2256" s="44" t="s">
        <v>23828</v>
      </c>
      <c r="O2256" s="22">
        <v>50.0</v>
      </c>
      <c r="P2256" s="28">
        <v>19.0</v>
      </c>
      <c r="Q2256" s="28">
        <v>48.0</v>
      </c>
      <c r="R2256" s="84"/>
      <c r="S2256" s="84"/>
      <c r="T2256" s="84"/>
      <c r="U2256" s="84"/>
      <c r="V2256" s="84"/>
      <c r="W2256" s="84"/>
      <c r="X2256" s="84"/>
      <c r="Y2256" s="84"/>
      <c r="Z2256" s="84"/>
      <c r="AA2256" s="84"/>
    </row>
    <row r="2257" ht="15.75" customHeight="1">
      <c r="A2257" s="14" t="s">
        <v>2137</v>
      </c>
      <c r="B2257" s="15" t="s">
        <v>23545</v>
      </c>
      <c r="C2257" s="14" t="s">
        <v>23829</v>
      </c>
      <c r="D2257" s="14" t="s">
        <v>23830</v>
      </c>
      <c r="E2257" s="26" t="str">
        <f t="shared" si="29"/>
        <v>http://dx.doi.org/10.1109/TVCG.2012.265</v>
      </c>
      <c r="F2257" s="14">
        <v>2565.0</v>
      </c>
      <c r="G2257" s="14">
        <v>2574.0</v>
      </c>
      <c r="H2257" s="14" t="s">
        <v>17059</v>
      </c>
      <c r="I2257" s="19" t="s">
        <v>23831</v>
      </c>
      <c r="J2257" s="19" t="s">
        <v>23832</v>
      </c>
      <c r="K2257" s="19" t="s">
        <v>23833</v>
      </c>
      <c r="L2257" s="19" t="s">
        <v>23834</v>
      </c>
      <c r="M2257" s="20" t="s">
        <v>23835</v>
      </c>
      <c r="N2257" s="44" t="s">
        <v>23836</v>
      </c>
      <c r="O2257" s="22">
        <v>175.0</v>
      </c>
      <c r="P2257" s="28">
        <v>102.0</v>
      </c>
      <c r="Q2257" s="28">
        <v>35.0</v>
      </c>
      <c r="R2257" s="84"/>
      <c r="S2257" s="84"/>
      <c r="T2257" s="84"/>
      <c r="U2257" s="84"/>
      <c r="V2257" s="84"/>
      <c r="W2257" s="84"/>
      <c r="X2257" s="84"/>
      <c r="Y2257" s="84"/>
      <c r="Z2257" s="84"/>
      <c r="AA2257" s="84"/>
    </row>
    <row r="2258" ht="15.75" customHeight="1">
      <c r="A2258" s="14" t="s">
        <v>2137</v>
      </c>
      <c r="B2258" s="15" t="s">
        <v>23545</v>
      </c>
      <c r="C2258" s="14" t="s">
        <v>23837</v>
      </c>
      <c r="D2258" s="14" t="s">
        <v>23838</v>
      </c>
      <c r="E2258" s="26" t="str">
        <f t="shared" si="29"/>
        <v>http://dx.doi.org/10.1109/TVCG.2012.271</v>
      </c>
      <c r="F2258" s="14">
        <v>2603.0</v>
      </c>
      <c r="G2258" s="14">
        <v>2612.0</v>
      </c>
      <c r="H2258" s="14" t="s">
        <v>17059</v>
      </c>
      <c r="I2258" s="19" t="s">
        <v>23839</v>
      </c>
      <c r="J2258" s="19" t="s">
        <v>23840</v>
      </c>
      <c r="K2258" s="19" t="s">
        <v>23840</v>
      </c>
      <c r="L2258" s="19" t="s">
        <v>23841</v>
      </c>
      <c r="M2258" s="20" t="s">
        <v>23842</v>
      </c>
      <c r="N2258" s="44" t="s">
        <v>23843</v>
      </c>
      <c r="O2258" s="22">
        <v>50.0</v>
      </c>
      <c r="P2258" s="28">
        <v>24.0</v>
      </c>
      <c r="Q2258" s="28">
        <v>63.0</v>
      </c>
      <c r="R2258" s="84"/>
      <c r="S2258" s="84"/>
      <c r="T2258" s="84"/>
      <c r="U2258" s="84"/>
      <c r="V2258" s="84"/>
      <c r="W2258" s="84"/>
      <c r="X2258" s="84"/>
      <c r="Y2258" s="84"/>
      <c r="Z2258" s="84"/>
      <c r="AA2258" s="84"/>
    </row>
    <row r="2259" ht="15.75" customHeight="1">
      <c r="A2259" s="14" t="s">
        <v>2137</v>
      </c>
      <c r="B2259" s="15" t="s">
        <v>23545</v>
      </c>
      <c r="C2259" s="14" t="s">
        <v>23844</v>
      </c>
      <c r="D2259" s="14" t="s">
        <v>23845</v>
      </c>
      <c r="E2259" s="26" t="str">
        <f t="shared" si="29"/>
        <v>http://dx.doi.org/10.1109/TVCG.2012.272</v>
      </c>
      <c r="F2259" s="14">
        <v>2789.0</v>
      </c>
      <c r="G2259" s="14">
        <v>2798.0</v>
      </c>
      <c r="H2259" s="14" t="s">
        <v>17059</v>
      </c>
      <c r="I2259" s="19" t="s">
        <v>23846</v>
      </c>
      <c r="J2259" s="19" t="s">
        <v>23847</v>
      </c>
      <c r="K2259" s="19" t="s">
        <v>23847</v>
      </c>
      <c r="L2259" s="19" t="s">
        <v>23848</v>
      </c>
      <c r="M2259" s="20" t="s">
        <v>23849</v>
      </c>
      <c r="N2259" s="44" t="s">
        <v>23850</v>
      </c>
      <c r="O2259" s="22">
        <v>50.0</v>
      </c>
      <c r="P2259" s="28">
        <v>23.0</v>
      </c>
      <c r="Q2259" s="28">
        <v>55.0</v>
      </c>
      <c r="R2259" s="84"/>
      <c r="S2259" s="84"/>
      <c r="T2259" s="84"/>
      <c r="U2259" s="84"/>
      <c r="V2259" s="84"/>
      <c r="W2259" s="84"/>
      <c r="X2259" s="84"/>
      <c r="Y2259" s="84"/>
      <c r="Z2259" s="84"/>
      <c r="AA2259" s="84"/>
    </row>
    <row r="2260" ht="15.75" customHeight="1">
      <c r="A2260" s="14" t="s">
        <v>2137</v>
      </c>
      <c r="B2260" s="15" t="s">
        <v>23545</v>
      </c>
      <c r="C2260" s="14" t="s">
        <v>23851</v>
      </c>
      <c r="D2260" s="14" t="s">
        <v>23852</v>
      </c>
      <c r="E2260" s="26" t="str">
        <f t="shared" si="29"/>
        <v>http://dx.doi.org/10.1109/TVCG.2012.275</v>
      </c>
      <c r="F2260" s="14">
        <v>2779.0</v>
      </c>
      <c r="G2260" s="14">
        <v>2788.0</v>
      </c>
      <c r="H2260" s="14" t="s">
        <v>17059</v>
      </c>
      <c r="I2260" s="19" t="s">
        <v>23854</v>
      </c>
      <c r="J2260" s="19" t="s">
        <v>23855</v>
      </c>
      <c r="K2260" s="19" t="s">
        <v>23855</v>
      </c>
      <c r="L2260" s="19" t="s">
        <v>23856</v>
      </c>
      <c r="M2260" s="20" t="s">
        <v>23857</v>
      </c>
      <c r="N2260" s="44" t="s">
        <v>23858</v>
      </c>
      <c r="O2260" s="22">
        <v>62.0</v>
      </c>
      <c r="P2260" s="28">
        <v>24.0</v>
      </c>
      <c r="Q2260" s="28">
        <v>47.0</v>
      </c>
      <c r="R2260" s="84"/>
      <c r="S2260" s="84"/>
      <c r="T2260" s="84"/>
      <c r="U2260" s="84"/>
      <c r="V2260" s="84"/>
      <c r="W2260" s="84"/>
      <c r="X2260" s="84"/>
      <c r="Y2260" s="84"/>
      <c r="Z2260" s="84"/>
      <c r="AA2260" s="84"/>
    </row>
    <row r="2261" ht="15.75" customHeight="1">
      <c r="A2261" s="14" t="s">
        <v>2137</v>
      </c>
      <c r="B2261" s="15" t="s">
        <v>23545</v>
      </c>
      <c r="C2261" s="14" t="s">
        <v>23859</v>
      </c>
      <c r="D2261" s="14" t="s">
        <v>23860</v>
      </c>
      <c r="E2261" s="26" t="str">
        <f t="shared" si="29"/>
        <v>http://dx.doi.org/10.1109/TVCG.2012.279</v>
      </c>
      <c r="F2261" s="14">
        <v>2496.0</v>
      </c>
      <c r="G2261" s="14">
        <v>2505.0</v>
      </c>
      <c r="H2261" s="14" t="s">
        <v>17059</v>
      </c>
      <c r="I2261" s="19" t="s">
        <v>23861</v>
      </c>
      <c r="J2261" s="19" t="s">
        <v>23862</v>
      </c>
      <c r="K2261" s="19" t="s">
        <v>23862</v>
      </c>
      <c r="L2261" s="19" t="s">
        <v>23863</v>
      </c>
      <c r="M2261" s="20" t="s">
        <v>23864</v>
      </c>
      <c r="N2261" s="44" t="s">
        <v>23865</v>
      </c>
      <c r="O2261" s="109"/>
      <c r="P2261" s="28">
        <v>65.0</v>
      </c>
      <c r="Q2261" s="28">
        <v>34.0</v>
      </c>
      <c r="R2261" s="85" t="s">
        <v>19037</v>
      </c>
      <c r="S2261" s="84"/>
      <c r="T2261" s="84"/>
      <c r="U2261" s="84"/>
      <c r="V2261" s="84"/>
      <c r="W2261" s="84"/>
      <c r="X2261" s="84"/>
      <c r="Y2261" s="84"/>
      <c r="Z2261" s="84"/>
      <c r="AA2261" s="84"/>
    </row>
    <row r="2262" ht="15.75" customHeight="1">
      <c r="A2262" s="14" t="s">
        <v>2137</v>
      </c>
      <c r="B2262" s="15" t="s">
        <v>23545</v>
      </c>
      <c r="C2262" s="14" t="s">
        <v>23868</v>
      </c>
      <c r="D2262" s="14" t="s">
        <v>23869</v>
      </c>
      <c r="E2262" s="26" t="str">
        <f t="shared" si="29"/>
        <v>http://dx.doi.org/10.1109/TVCG.2012.285</v>
      </c>
      <c r="F2262" s="14">
        <v>2526.0</v>
      </c>
      <c r="G2262" s="14">
        <v>2535.0</v>
      </c>
      <c r="H2262" s="14" t="s">
        <v>17059</v>
      </c>
      <c r="I2262" s="19" t="s">
        <v>23870</v>
      </c>
      <c r="J2262" s="19" t="s">
        <v>23871</v>
      </c>
      <c r="K2262" s="19" t="s">
        <v>23871</v>
      </c>
      <c r="L2262" s="19" t="s">
        <v>19791</v>
      </c>
      <c r="M2262" s="20" t="s">
        <v>23872</v>
      </c>
      <c r="N2262" s="44" t="s">
        <v>23873</v>
      </c>
      <c r="O2262" s="22">
        <v>50.0</v>
      </c>
      <c r="P2262" s="28">
        <v>22.0</v>
      </c>
      <c r="Q2262" s="28">
        <v>46.0</v>
      </c>
      <c r="R2262" s="84"/>
      <c r="S2262" s="84"/>
      <c r="T2262" s="84"/>
      <c r="U2262" s="84"/>
      <c r="V2262" s="84"/>
      <c r="W2262" s="84"/>
      <c r="X2262" s="84"/>
      <c r="Y2262" s="84"/>
      <c r="Z2262" s="84"/>
      <c r="AA2262" s="84"/>
    </row>
    <row r="2263" ht="15.75" customHeight="1">
      <c r="A2263" s="14" t="s">
        <v>2137</v>
      </c>
      <c r="B2263" s="15" t="s">
        <v>23545</v>
      </c>
      <c r="C2263" s="14" t="s">
        <v>23874</v>
      </c>
      <c r="D2263" s="14" t="s">
        <v>23875</v>
      </c>
      <c r="E2263" s="26" t="str">
        <f t="shared" si="29"/>
        <v>http://dx.doi.org/10.1109/TVCG.2012.286</v>
      </c>
      <c r="F2263" s="14">
        <v>2467.0</v>
      </c>
      <c r="G2263" s="14">
        <v>2476.0</v>
      </c>
      <c r="H2263" s="14" t="s">
        <v>17059</v>
      </c>
      <c r="I2263" s="19" t="s">
        <v>23876</v>
      </c>
      <c r="J2263" s="19" t="s">
        <v>23877</v>
      </c>
      <c r="K2263" s="19" t="s">
        <v>23878</v>
      </c>
      <c r="L2263" s="19" t="s">
        <v>23879</v>
      </c>
      <c r="M2263" s="20" t="s">
        <v>23880</v>
      </c>
      <c r="N2263" s="44" t="s">
        <v>23881</v>
      </c>
      <c r="O2263" s="22">
        <v>50.0</v>
      </c>
      <c r="P2263" s="28">
        <v>31.0</v>
      </c>
      <c r="Q2263" s="28">
        <v>37.0</v>
      </c>
      <c r="R2263" s="84"/>
      <c r="S2263" s="84"/>
      <c r="T2263" s="84"/>
      <c r="U2263" s="84"/>
      <c r="V2263" s="84"/>
      <c r="W2263" s="84"/>
      <c r="X2263" s="84"/>
      <c r="Y2263" s="84"/>
      <c r="Z2263" s="84"/>
      <c r="AA2263" s="84"/>
    </row>
    <row r="2264" ht="15.75" customHeight="1">
      <c r="A2264" s="14" t="s">
        <v>2137</v>
      </c>
      <c r="B2264" s="15" t="s">
        <v>23545</v>
      </c>
      <c r="C2264" s="14" t="s">
        <v>23883</v>
      </c>
      <c r="D2264" s="14" t="s">
        <v>23884</v>
      </c>
      <c r="E2264" s="26" t="str">
        <f t="shared" si="29"/>
        <v>http://dx.doi.org/10.1109/TVCG.2012.288</v>
      </c>
      <c r="F2264" s="14">
        <v>2809.0</v>
      </c>
      <c r="G2264" s="14">
        <v>2818.0</v>
      </c>
      <c r="H2264" s="14" t="s">
        <v>17059</v>
      </c>
      <c r="I2264" s="19" t="s">
        <v>23955</v>
      </c>
      <c r="J2264" s="19" t="s">
        <v>23956</v>
      </c>
      <c r="K2264" s="19" t="s">
        <v>23956</v>
      </c>
      <c r="L2264" s="19" t="s">
        <v>23957</v>
      </c>
      <c r="M2264" s="20" t="s">
        <v>23958</v>
      </c>
      <c r="N2264" s="44" t="s">
        <v>23959</v>
      </c>
      <c r="O2264" s="22">
        <v>50.0</v>
      </c>
      <c r="P2264" s="28">
        <v>9.0</v>
      </c>
      <c r="Q2264" s="28">
        <v>17.0</v>
      </c>
      <c r="R2264" s="84"/>
      <c r="S2264" s="84"/>
      <c r="T2264" s="84"/>
      <c r="U2264" s="84"/>
      <c r="V2264" s="84"/>
      <c r="W2264" s="84"/>
      <c r="X2264" s="84"/>
      <c r="Y2264" s="84"/>
      <c r="Z2264" s="84"/>
      <c r="AA2264" s="84"/>
    </row>
    <row r="2265" ht="15.75" customHeight="1">
      <c r="A2265" s="14" t="s">
        <v>2137</v>
      </c>
      <c r="B2265" s="15" t="s">
        <v>23545</v>
      </c>
      <c r="C2265" s="14" t="s">
        <v>23960</v>
      </c>
      <c r="D2265" s="14" t="s">
        <v>23961</v>
      </c>
      <c r="E2265" s="26" t="str">
        <f t="shared" si="29"/>
        <v>http://dx.doi.org/10.1109/TVCG.2012.291</v>
      </c>
      <c r="F2265" s="14">
        <v>2649.0</v>
      </c>
      <c r="G2265" s="14">
        <v>2658.0</v>
      </c>
      <c r="H2265" s="14" t="s">
        <v>17059</v>
      </c>
      <c r="I2265" s="19" t="s">
        <v>23963</v>
      </c>
      <c r="J2265" s="19" t="s">
        <v>23964</v>
      </c>
      <c r="K2265" s="19" t="s">
        <v>23964</v>
      </c>
      <c r="L2265" s="19" t="s">
        <v>23965</v>
      </c>
      <c r="M2265" s="20" t="s">
        <v>23967</v>
      </c>
      <c r="N2265" s="44" t="s">
        <v>23968</v>
      </c>
      <c r="O2265" s="22">
        <v>83.0</v>
      </c>
      <c r="P2265" s="28">
        <v>53.0</v>
      </c>
      <c r="Q2265" s="28">
        <v>54.0</v>
      </c>
      <c r="R2265" s="84"/>
      <c r="S2265" s="84"/>
      <c r="T2265" s="84"/>
      <c r="U2265" s="84"/>
      <c r="V2265" s="84"/>
      <c r="W2265" s="84"/>
      <c r="X2265" s="84"/>
      <c r="Y2265" s="84"/>
      <c r="Z2265" s="84"/>
      <c r="AA2265" s="84"/>
    </row>
    <row r="2266" ht="15.75" customHeight="1">
      <c r="A2266" s="42" t="s">
        <v>4153</v>
      </c>
      <c r="B2266" s="15" t="s">
        <v>23545</v>
      </c>
      <c r="C2266" s="14" t="s">
        <v>23969</v>
      </c>
      <c r="D2266" s="14" t="s">
        <v>23970</v>
      </c>
      <c r="E2266" s="26" t="str">
        <f t="shared" si="29"/>
        <v>http://dx.doi.org/10.1109/TVCG.2012.186</v>
      </c>
      <c r="F2266" s="14">
        <v>2122.0</v>
      </c>
      <c r="G2266" s="14">
        <v>2129.0</v>
      </c>
      <c r="H2266" s="14" t="s">
        <v>17059</v>
      </c>
      <c r="I2266" s="19" t="s">
        <v>23971</v>
      </c>
      <c r="J2266" s="19" t="s">
        <v>23972</v>
      </c>
      <c r="K2266" s="19" t="s">
        <v>23973</v>
      </c>
      <c r="L2266" s="19" t="s">
        <v>23974</v>
      </c>
      <c r="M2266" s="20" t="s">
        <v>23975</v>
      </c>
      <c r="N2266" s="44" t="s">
        <v>23976</v>
      </c>
      <c r="O2266" s="22">
        <v>50.0</v>
      </c>
      <c r="P2266" s="28">
        <v>7.0</v>
      </c>
      <c r="Q2266" s="28">
        <v>24.0</v>
      </c>
      <c r="R2266" s="84"/>
      <c r="S2266" s="84"/>
      <c r="T2266" s="84"/>
      <c r="U2266" s="84"/>
      <c r="V2266" s="84"/>
      <c r="W2266" s="84"/>
      <c r="X2266" s="84"/>
      <c r="Y2266" s="84"/>
      <c r="Z2266" s="84"/>
      <c r="AA2266" s="84"/>
    </row>
    <row r="2267" ht="15.75" customHeight="1">
      <c r="A2267" s="42" t="s">
        <v>4153</v>
      </c>
      <c r="B2267" s="15" t="s">
        <v>23545</v>
      </c>
      <c r="C2267" s="14" t="s">
        <v>23977</v>
      </c>
      <c r="D2267" s="14" t="s">
        <v>23978</v>
      </c>
      <c r="E2267" s="26" t="str">
        <f t="shared" si="29"/>
        <v>http://dx.doi.org/10.1109/TVCG.2012.187</v>
      </c>
      <c r="F2267" s="14">
        <v>2078.0</v>
      </c>
      <c r="G2267" s="14">
        <v>2087.0</v>
      </c>
      <c r="H2267" s="14" t="s">
        <v>17059</v>
      </c>
      <c r="I2267" s="19" t="s">
        <v>23979</v>
      </c>
      <c r="J2267" s="19" t="s">
        <v>23980</v>
      </c>
      <c r="K2267" s="19" t="s">
        <v>23981</v>
      </c>
      <c r="L2267" s="19" t="s">
        <v>23982</v>
      </c>
      <c r="M2267" s="20" t="s">
        <v>23983</v>
      </c>
      <c r="N2267" s="44" t="s">
        <v>23984</v>
      </c>
      <c r="O2267" s="22">
        <v>26.0</v>
      </c>
      <c r="P2267" s="28">
        <v>12.0</v>
      </c>
      <c r="Q2267" s="28">
        <v>35.0</v>
      </c>
      <c r="R2267" s="84"/>
      <c r="S2267" s="84"/>
      <c r="T2267" s="84"/>
      <c r="U2267" s="84"/>
      <c r="V2267" s="84"/>
      <c r="W2267" s="84"/>
      <c r="X2267" s="84"/>
      <c r="Y2267" s="84"/>
      <c r="Z2267" s="84"/>
      <c r="AA2267" s="84"/>
    </row>
    <row r="2268" ht="15.75" customHeight="1">
      <c r="A2268" s="42" t="s">
        <v>4153</v>
      </c>
      <c r="B2268" s="15" t="s">
        <v>23545</v>
      </c>
      <c r="C2268" s="14" t="s">
        <v>23985</v>
      </c>
      <c r="D2268" s="14" t="s">
        <v>23986</v>
      </c>
      <c r="E2268" s="26" t="str">
        <f t="shared" si="29"/>
        <v>http://dx.doi.org/10.1109/TVCG.2012.188</v>
      </c>
      <c r="F2268" s="14">
        <v>2265.0</v>
      </c>
      <c r="G2268" s="14">
        <v>2274.0</v>
      </c>
      <c r="H2268" s="14" t="s">
        <v>17059</v>
      </c>
      <c r="I2268" s="19" t="s">
        <v>23987</v>
      </c>
      <c r="J2268" s="19" t="s">
        <v>23988</v>
      </c>
      <c r="K2268" s="19" t="s">
        <v>23989</v>
      </c>
      <c r="L2268" s="19" t="s">
        <v>23990</v>
      </c>
      <c r="M2268" s="20" t="s">
        <v>23127</v>
      </c>
      <c r="N2268" s="44" t="s">
        <v>23991</v>
      </c>
      <c r="O2268" s="22">
        <v>7.0</v>
      </c>
      <c r="P2268" s="28">
        <v>8.0</v>
      </c>
      <c r="Q2268" s="28">
        <v>40.0</v>
      </c>
      <c r="R2268" s="84"/>
      <c r="S2268" s="84"/>
      <c r="T2268" s="84"/>
      <c r="U2268" s="84"/>
      <c r="V2268" s="84"/>
      <c r="W2268" s="84"/>
      <c r="X2268" s="84"/>
      <c r="Y2268" s="84"/>
      <c r="Z2268" s="84"/>
      <c r="AA2268" s="84"/>
    </row>
    <row r="2269" ht="15.75" customHeight="1">
      <c r="A2269" s="42" t="s">
        <v>4153</v>
      </c>
      <c r="B2269" s="15" t="s">
        <v>23545</v>
      </c>
      <c r="C2269" s="14" t="s">
        <v>23992</v>
      </c>
      <c r="D2269" s="14" t="s">
        <v>23993</v>
      </c>
      <c r="E2269" s="26" t="str">
        <f t="shared" si="29"/>
        <v>http://dx.doi.org/10.1109/TVCG.2012.190</v>
      </c>
      <c r="F2269" s="14">
        <v>2216.0</v>
      </c>
      <c r="G2269" s="14">
        <v>2225.0</v>
      </c>
      <c r="H2269" s="14" t="s">
        <v>17059</v>
      </c>
      <c r="I2269" s="19" t="s">
        <v>23994</v>
      </c>
      <c r="J2269" s="19" t="s">
        <v>23995</v>
      </c>
      <c r="K2269" s="19" t="s">
        <v>23995</v>
      </c>
      <c r="L2269" s="19" t="s">
        <v>23996</v>
      </c>
      <c r="M2269" s="20" t="s">
        <v>23997</v>
      </c>
      <c r="N2269" s="44" t="s">
        <v>23998</v>
      </c>
      <c r="O2269" s="22">
        <v>7.0</v>
      </c>
      <c r="P2269" s="28">
        <v>11.0</v>
      </c>
      <c r="Q2269" s="28">
        <v>41.0</v>
      </c>
      <c r="R2269" s="84"/>
      <c r="S2269" s="84"/>
      <c r="T2269" s="84"/>
      <c r="U2269" s="84"/>
      <c r="V2269" s="84"/>
      <c r="W2269" s="84"/>
      <c r="X2269" s="84"/>
      <c r="Y2269" s="84"/>
      <c r="Z2269" s="84"/>
      <c r="AA2269" s="84"/>
    </row>
    <row r="2270" ht="15.75" customHeight="1">
      <c r="A2270" s="42" t="s">
        <v>4153</v>
      </c>
      <c r="B2270" s="15" t="s">
        <v>23545</v>
      </c>
      <c r="C2270" s="14" t="s">
        <v>23999</v>
      </c>
      <c r="D2270" s="14" t="s">
        <v>24000</v>
      </c>
      <c r="E2270" s="26" t="str">
        <f t="shared" si="29"/>
        <v>http://dx.doi.org/10.1109/TVCG.2012.194</v>
      </c>
      <c r="F2270" s="14">
        <v>2295.0</v>
      </c>
      <c r="G2270" s="14">
        <v>2304.0</v>
      </c>
      <c r="H2270" s="14" t="s">
        <v>17059</v>
      </c>
      <c r="I2270" s="19" t="s">
        <v>24001</v>
      </c>
      <c r="J2270" s="19" t="s">
        <v>18591</v>
      </c>
      <c r="K2270" s="19" t="s">
        <v>18591</v>
      </c>
      <c r="L2270" s="19" t="s">
        <v>19192</v>
      </c>
      <c r="M2270" s="20" t="s">
        <v>24002</v>
      </c>
      <c r="N2270" s="44" t="s">
        <v>24003</v>
      </c>
      <c r="O2270" s="22">
        <v>37.0</v>
      </c>
      <c r="P2270" s="28">
        <v>25.0</v>
      </c>
      <c r="Q2270" s="28">
        <v>34.0</v>
      </c>
      <c r="R2270" s="84"/>
      <c r="S2270" s="84"/>
      <c r="T2270" s="84"/>
      <c r="U2270" s="84"/>
      <c r="V2270" s="84"/>
      <c r="W2270" s="84"/>
      <c r="X2270" s="84"/>
      <c r="Y2270" s="84"/>
      <c r="Z2270" s="84"/>
      <c r="AA2270" s="84"/>
    </row>
    <row r="2271" ht="15.75" customHeight="1">
      <c r="A2271" s="42" t="s">
        <v>4153</v>
      </c>
      <c r="B2271" s="15" t="s">
        <v>23545</v>
      </c>
      <c r="C2271" s="14" t="s">
        <v>24004</v>
      </c>
      <c r="D2271" s="14" t="s">
        <v>24005</v>
      </c>
      <c r="E2271" s="26" t="str">
        <f t="shared" si="29"/>
        <v>http://dx.doi.org/10.1109/TVCG.2012.198</v>
      </c>
      <c r="F2271" s="14">
        <v>2140.0</v>
      </c>
      <c r="G2271" s="14">
        <v>2148.0</v>
      </c>
      <c r="H2271" s="14" t="s">
        <v>17059</v>
      </c>
      <c r="I2271" s="19" t="s">
        <v>24006</v>
      </c>
      <c r="J2271" s="19" t="s">
        <v>24007</v>
      </c>
      <c r="K2271" s="19" t="s">
        <v>24007</v>
      </c>
      <c r="L2271" s="19" t="s">
        <v>24008</v>
      </c>
      <c r="M2271" s="20" t="s">
        <v>5162</v>
      </c>
      <c r="N2271" s="44" t="s">
        <v>24009</v>
      </c>
      <c r="O2271" s="22">
        <v>50.0</v>
      </c>
      <c r="P2271" s="28">
        <v>2.0</v>
      </c>
      <c r="Q2271" s="28">
        <v>31.0</v>
      </c>
      <c r="R2271" s="84"/>
      <c r="S2271" s="84"/>
      <c r="T2271" s="84"/>
      <c r="U2271" s="84"/>
      <c r="V2271" s="84"/>
      <c r="W2271" s="84"/>
      <c r="X2271" s="84"/>
      <c r="Y2271" s="84"/>
      <c r="Z2271" s="84"/>
      <c r="AA2271" s="84"/>
    </row>
    <row r="2272" ht="15.75" customHeight="1">
      <c r="A2272" s="42" t="s">
        <v>4153</v>
      </c>
      <c r="B2272" s="15" t="s">
        <v>23545</v>
      </c>
      <c r="C2272" s="14" t="s">
        <v>24010</v>
      </c>
      <c r="D2272" s="14" t="s">
        <v>24011</v>
      </c>
      <c r="E2272" s="26" t="str">
        <f t="shared" si="29"/>
        <v>http://dx.doi.org/10.1109/TVCG.2012.200</v>
      </c>
      <c r="F2272" s="14">
        <v>2041.0</v>
      </c>
      <c r="G2272" s="14">
        <v>2050.0</v>
      </c>
      <c r="H2272" s="14" t="s">
        <v>17059</v>
      </c>
      <c r="I2272" s="19" t="s">
        <v>24012</v>
      </c>
      <c r="J2272" s="19" t="s">
        <v>24013</v>
      </c>
      <c r="K2272" s="19" t="s">
        <v>24014</v>
      </c>
      <c r="L2272" s="19" t="s">
        <v>24015</v>
      </c>
      <c r="M2272" s="20" t="s">
        <v>24016</v>
      </c>
      <c r="N2272" s="44" t="s">
        <v>24017</v>
      </c>
      <c r="O2272" s="22">
        <v>22.0</v>
      </c>
      <c r="P2272" s="28">
        <v>18.0</v>
      </c>
      <c r="Q2272" s="28">
        <v>25.0</v>
      </c>
      <c r="R2272" s="84"/>
      <c r="S2272" s="84"/>
      <c r="T2272" s="84"/>
      <c r="U2272" s="84"/>
      <c r="V2272" s="84"/>
      <c r="W2272" s="84"/>
      <c r="X2272" s="84"/>
      <c r="Y2272" s="84"/>
      <c r="Z2272" s="84"/>
      <c r="AA2272" s="84"/>
    </row>
    <row r="2273" ht="15.75" customHeight="1">
      <c r="A2273" s="42" t="s">
        <v>4153</v>
      </c>
      <c r="B2273" s="15" t="s">
        <v>23545</v>
      </c>
      <c r="C2273" s="14" t="s">
        <v>24018</v>
      </c>
      <c r="D2273" s="14" t="s">
        <v>24019</v>
      </c>
      <c r="E2273" s="26" t="str">
        <f t="shared" si="29"/>
        <v>http://dx.doi.org/10.1109/TVCG.2012.202</v>
      </c>
      <c r="F2273" s="14">
        <v>2178.0</v>
      </c>
      <c r="G2273" s="14">
        <v>2187.0</v>
      </c>
      <c r="H2273" s="14" t="s">
        <v>17059</v>
      </c>
      <c r="I2273" s="19" t="s">
        <v>24020</v>
      </c>
      <c r="J2273" s="19" t="s">
        <v>24021</v>
      </c>
      <c r="K2273" s="19" t="s">
        <v>24021</v>
      </c>
      <c r="L2273" s="19" t="s">
        <v>24022</v>
      </c>
      <c r="M2273" s="20" t="s">
        <v>24023</v>
      </c>
      <c r="N2273" s="44" t="s">
        <v>24024</v>
      </c>
      <c r="O2273" s="22">
        <v>21.0</v>
      </c>
      <c r="P2273" s="28">
        <v>16.0</v>
      </c>
      <c r="Q2273" s="28">
        <v>37.0</v>
      </c>
      <c r="R2273" s="84"/>
      <c r="S2273" s="84"/>
      <c r="T2273" s="84"/>
      <c r="U2273" s="84"/>
      <c r="V2273" s="84"/>
      <c r="W2273" s="84"/>
      <c r="X2273" s="84"/>
      <c r="Y2273" s="84"/>
      <c r="Z2273" s="84"/>
      <c r="AA2273" s="84"/>
    </row>
    <row r="2274" ht="15.75" customHeight="1">
      <c r="A2274" s="42" t="s">
        <v>4153</v>
      </c>
      <c r="B2274" s="15" t="s">
        <v>23545</v>
      </c>
      <c r="C2274" s="14" t="s">
        <v>24025</v>
      </c>
      <c r="D2274" s="14" t="s">
        <v>24026</v>
      </c>
      <c r="E2274" s="26" t="str">
        <f t="shared" si="29"/>
        <v>http://dx.doi.org/10.1109/TVCG.2012.203</v>
      </c>
      <c r="F2274" s="14">
        <v>2345.0</v>
      </c>
      <c r="G2274" s="14">
        <v>2354.0</v>
      </c>
      <c r="H2274" s="14" t="s">
        <v>17059</v>
      </c>
      <c r="I2274" s="19" t="s">
        <v>24027</v>
      </c>
      <c r="J2274" s="19" t="s">
        <v>24028</v>
      </c>
      <c r="K2274" s="19" t="s">
        <v>24028</v>
      </c>
      <c r="L2274" s="19" t="s">
        <v>24029</v>
      </c>
      <c r="M2274" s="20" t="s">
        <v>24030</v>
      </c>
      <c r="N2274" s="44" t="s">
        <v>24031</v>
      </c>
      <c r="O2274" s="22">
        <v>50.0</v>
      </c>
      <c r="P2274" s="28">
        <v>8.0</v>
      </c>
      <c r="Q2274" s="28">
        <v>34.0</v>
      </c>
      <c r="R2274" s="84"/>
      <c r="S2274" s="84"/>
      <c r="T2274" s="84"/>
      <c r="U2274" s="84"/>
      <c r="V2274" s="84"/>
      <c r="W2274" s="84"/>
      <c r="X2274" s="84"/>
      <c r="Y2274" s="84"/>
      <c r="Z2274" s="84"/>
      <c r="AA2274" s="84"/>
    </row>
    <row r="2275" ht="15.75" customHeight="1">
      <c r="A2275" s="42" t="s">
        <v>4153</v>
      </c>
      <c r="B2275" s="15" t="s">
        <v>23545</v>
      </c>
      <c r="C2275" s="14" t="s">
        <v>24032</v>
      </c>
      <c r="D2275" s="14" t="s">
        <v>24033</v>
      </c>
      <c r="E2275" s="26" t="str">
        <f t="shared" si="29"/>
        <v>http://dx.doi.org/10.1109/TVCG.2012.206</v>
      </c>
      <c r="F2275" s="14">
        <v>2315.0</v>
      </c>
      <c r="G2275" s="14">
        <v>2324.0</v>
      </c>
      <c r="H2275" s="14" t="s">
        <v>17059</v>
      </c>
      <c r="I2275" s="19" t="s">
        <v>24034</v>
      </c>
      <c r="J2275" s="19" t="s">
        <v>24035</v>
      </c>
      <c r="K2275" s="19" t="s">
        <v>24035</v>
      </c>
      <c r="L2275" s="19" t="s">
        <v>24036</v>
      </c>
      <c r="M2275" s="20" t="s">
        <v>24037</v>
      </c>
      <c r="N2275" s="44" t="s">
        <v>24038</v>
      </c>
      <c r="O2275" s="22">
        <v>50.0</v>
      </c>
      <c r="P2275" s="28">
        <v>3.0</v>
      </c>
      <c r="Q2275" s="28">
        <v>35.0</v>
      </c>
      <c r="R2275" s="84"/>
      <c r="S2275" s="84"/>
      <c r="T2275" s="84"/>
      <c r="U2275" s="84"/>
      <c r="V2275" s="84"/>
      <c r="W2275" s="84"/>
      <c r="X2275" s="84"/>
      <c r="Y2275" s="84"/>
      <c r="Z2275" s="84"/>
      <c r="AA2275" s="84"/>
    </row>
    <row r="2276" ht="15.75" customHeight="1">
      <c r="A2276" s="42" t="s">
        <v>4153</v>
      </c>
      <c r="B2276" s="15" t="s">
        <v>23545</v>
      </c>
      <c r="C2276" s="14" t="s">
        <v>24039</v>
      </c>
      <c r="D2276" s="14" t="s">
        <v>24040</v>
      </c>
      <c r="E2276" s="26" t="str">
        <f t="shared" si="29"/>
        <v>http://dx.doi.org/10.1109/TVCG.2012.209</v>
      </c>
      <c r="F2276" s="14">
        <v>2014.0</v>
      </c>
      <c r="G2276" s="14">
        <v>2022.0</v>
      </c>
      <c r="H2276" s="14" t="s">
        <v>17059</v>
      </c>
      <c r="I2276" s="19" t="s">
        <v>24041</v>
      </c>
      <c r="J2276" s="19" t="s">
        <v>24042</v>
      </c>
      <c r="K2276" s="19" t="s">
        <v>24042</v>
      </c>
      <c r="L2276" s="19" t="s">
        <v>24043</v>
      </c>
      <c r="M2276" s="20" t="s">
        <v>24044</v>
      </c>
      <c r="N2276" s="44" t="s">
        <v>24045</v>
      </c>
      <c r="O2276" s="22">
        <v>50.0</v>
      </c>
      <c r="P2276" s="28">
        <v>20.0</v>
      </c>
      <c r="Q2276" s="28">
        <v>30.0</v>
      </c>
      <c r="R2276" s="84"/>
      <c r="S2276" s="84"/>
      <c r="T2276" s="84"/>
      <c r="U2276" s="84"/>
      <c r="V2276" s="84"/>
      <c r="W2276" s="84"/>
      <c r="X2276" s="84"/>
      <c r="Y2276" s="84"/>
      <c r="Z2276" s="84"/>
      <c r="AA2276" s="84"/>
    </row>
    <row r="2277" ht="15.75" customHeight="1">
      <c r="A2277" s="42" t="s">
        <v>4153</v>
      </c>
      <c r="B2277" s="15" t="s">
        <v>23545</v>
      </c>
      <c r="C2277" s="14" t="s">
        <v>24046</v>
      </c>
      <c r="D2277" s="14" t="s">
        <v>24048</v>
      </c>
      <c r="E2277" s="26" t="str">
        <f t="shared" si="29"/>
        <v>http://dx.doi.org/10.1109/TVCG.2012.210</v>
      </c>
      <c r="F2277" s="14">
        <v>2069.0</v>
      </c>
      <c r="G2277" s="14">
        <v>2077.0</v>
      </c>
      <c r="H2277" s="14" t="s">
        <v>17059</v>
      </c>
      <c r="I2277" s="19" t="s">
        <v>24049</v>
      </c>
      <c r="J2277" s="19" t="s">
        <v>24050</v>
      </c>
      <c r="K2277" s="19" t="s">
        <v>24051</v>
      </c>
      <c r="L2277" s="19" t="s">
        <v>22309</v>
      </c>
      <c r="M2277" s="20" t="s">
        <v>24052</v>
      </c>
      <c r="N2277" s="44" t="s">
        <v>24053</v>
      </c>
      <c r="O2277" s="22">
        <v>50.0</v>
      </c>
      <c r="P2277" s="28">
        <v>3.0</v>
      </c>
      <c r="Q2277" s="28">
        <v>31.0</v>
      </c>
      <c r="R2277" s="84"/>
      <c r="S2277" s="84"/>
      <c r="T2277" s="84"/>
      <c r="U2277" s="84"/>
      <c r="V2277" s="84"/>
      <c r="W2277" s="84"/>
      <c r="X2277" s="84"/>
      <c r="Y2277" s="84"/>
      <c r="Z2277" s="84"/>
      <c r="AA2277" s="84"/>
    </row>
    <row r="2278" ht="15.75" customHeight="1">
      <c r="A2278" s="42" t="s">
        <v>4153</v>
      </c>
      <c r="B2278" s="15" t="s">
        <v>23545</v>
      </c>
      <c r="C2278" s="14" t="s">
        <v>24054</v>
      </c>
      <c r="D2278" s="14" t="s">
        <v>24055</v>
      </c>
      <c r="E2278" s="26" t="str">
        <f t="shared" si="29"/>
        <v>http://dx.doi.org/10.1109/TVCG.2012.211</v>
      </c>
      <c r="F2278" s="14">
        <v>2149.0</v>
      </c>
      <c r="G2278" s="14">
        <v>2158.0</v>
      </c>
      <c r="H2278" s="14" t="s">
        <v>17059</v>
      </c>
      <c r="I2278" s="19" t="s">
        <v>24056</v>
      </c>
      <c r="J2278" s="19" t="s">
        <v>24057</v>
      </c>
      <c r="K2278" s="19" t="s">
        <v>24057</v>
      </c>
      <c r="L2278" s="19" t="s">
        <v>19192</v>
      </c>
      <c r="M2278" s="20" t="s">
        <v>24058</v>
      </c>
      <c r="N2278" s="44" t="s">
        <v>24059</v>
      </c>
      <c r="O2278" s="22">
        <v>50.0</v>
      </c>
      <c r="P2278" s="28">
        <v>6.0</v>
      </c>
      <c r="Q2278" s="28">
        <v>29.0</v>
      </c>
      <c r="R2278" s="84"/>
      <c r="S2278" s="84"/>
      <c r="T2278" s="84"/>
      <c r="U2278" s="84"/>
      <c r="V2278" s="84"/>
      <c r="W2278" s="84"/>
      <c r="X2278" s="84"/>
      <c r="Y2278" s="84"/>
      <c r="Z2278" s="84"/>
      <c r="AA2278" s="84"/>
    </row>
    <row r="2279" ht="15.75" customHeight="1">
      <c r="A2279" s="42" t="s">
        <v>4153</v>
      </c>
      <c r="B2279" s="15" t="s">
        <v>23545</v>
      </c>
      <c r="C2279" s="14" t="s">
        <v>24060</v>
      </c>
      <c r="D2279" s="14" t="s">
        <v>24061</v>
      </c>
      <c r="E2279" s="26" t="str">
        <f t="shared" si="29"/>
        <v>http://dx.doi.org/10.1109/TVCG.2012.216</v>
      </c>
      <c r="F2279" s="14">
        <v>2130.0</v>
      </c>
      <c r="G2279" s="14">
        <v>2139.0</v>
      </c>
      <c r="H2279" s="14" t="s">
        <v>17059</v>
      </c>
      <c r="I2279" s="19" t="s">
        <v>24062</v>
      </c>
      <c r="J2279" s="19" t="s">
        <v>24063</v>
      </c>
      <c r="K2279" s="19" t="s">
        <v>24063</v>
      </c>
      <c r="L2279" s="19" t="s">
        <v>24064</v>
      </c>
      <c r="M2279" s="20" t="s">
        <v>24065</v>
      </c>
      <c r="N2279" s="44" t="s">
        <v>24066</v>
      </c>
      <c r="O2279" s="22">
        <v>50.0</v>
      </c>
      <c r="P2279" s="28">
        <v>11.0</v>
      </c>
      <c r="Q2279" s="28">
        <v>49.0</v>
      </c>
      <c r="R2279" s="84"/>
      <c r="S2279" s="84"/>
      <c r="T2279" s="84"/>
      <c r="U2279" s="84"/>
      <c r="V2279" s="84"/>
      <c r="W2279" s="84"/>
      <c r="X2279" s="84"/>
      <c r="Y2279" s="84"/>
      <c r="Z2279" s="84"/>
      <c r="AA2279" s="84"/>
    </row>
    <row r="2280" ht="15.75" customHeight="1">
      <c r="A2280" s="42" t="s">
        <v>4153</v>
      </c>
      <c r="B2280" s="15" t="s">
        <v>23545</v>
      </c>
      <c r="C2280" s="14" t="s">
        <v>24067</v>
      </c>
      <c r="D2280" s="14" t="s">
        <v>24068</v>
      </c>
      <c r="E2280" s="26" t="str">
        <f t="shared" si="29"/>
        <v>http://dx.doi.org/10.1109/TVCG.2012.217</v>
      </c>
      <c r="F2280" s="14">
        <v>2245.0</v>
      </c>
      <c r="G2280" s="14">
        <v>2254.0</v>
      </c>
      <c r="H2280" s="14" t="s">
        <v>17059</v>
      </c>
      <c r="I2280" s="19" t="s">
        <v>24069</v>
      </c>
      <c r="J2280" s="19" t="s">
        <v>24070</v>
      </c>
      <c r="K2280" s="19" t="s">
        <v>24071</v>
      </c>
      <c r="L2280" s="19" t="s">
        <v>24072</v>
      </c>
      <c r="M2280" s="20" t="s">
        <v>24073</v>
      </c>
      <c r="N2280" s="44" t="s">
        <v>24074</v>
      </c>
      <c r="O2280" s="22">
        <v>44.0</v>
      </c>
      <c r="P2280" s="28">
        <v>15.0</v>
      </c>
      <c r="Q2280" s="28">
        <v>39.0</v>
      </c>
      <c r="R2280" s="85" t="s">
        <v>19037</v>
      </c>
      <c r="S2280" s="84"/>
      <c r="T2280" s="84"/>
      <c r="U2280" s="84"/>
      <c r="V2280" s="84"/>
      <c r="W2280" s="84"/>
      <c r="X2280" s="84"/>
      <c r="Y2280" s="84"/>
      <c r="Z2280" s="84"/>
      <c r="AA2280" s="84"/>
    </row>
    <row r="2281" ht="15.75" customHeight="1">
      <c r="A2281" s="42" t="s">
        <v>4153</v>
      </c>
      <c r="B2281" s="15" t="s">
        <v>23545</v>
      </c>
      <c r="C2281" s="14" t="s">
        <v>24075</v>
      </c>
      <c r="D2281" s="14" t="s">
        <v>24076</v>
      </c>
      <c r="E2281" s="26" t="str">
        <f t="shared" si="29"/>
        <v>http://dx.doi.org/10.1109/TVCG.2012.218</v>
      </c>
      <c r="F2281" s="14">
        <v>2325.0</v>
      </c>
      <c r="G2281" s="14">
        <v>2334.0</v>
      </c>
      <c r="H2281" s="14" t="s">
        <v>17059</v>
      </c>
      <c r="I2281" s="19" t="s">
        <v>24077</v>
      </c>
      <c r="J2281" s="19" t="s">
        <v>24078</v>
      </c>
      <c r="K2281" s="19" t="s">
        <v>24079</v>
      </c>
      <c r="L2281" s="19" t="s">
        <v>24080</v>
      </c>
      <c r="M2281" s="20" t="s">
        <v>24081</v>
      </c>
      <c r="N2281" s="44" t="s">
        <v>24082</v>
      </c>
      <c r="O2281" s="22">
        <v>50.0</v>
      </c>
      <c r="P2281" s="28">
        <v>14.0</v>
      </c>
      <c r="Q2281" s="28">
        <v>37.0</v>
      </c>
      <c r="R2281" s="84"/>
      <c r="S2281" s="84"/>
      <c r="T2281" s="84"/>
      <c r="U2281" s="84"/>
      <c r="V2281" s="84"/>
      <c r="W2281" s="84"/>
      <c r="X2281" s="84"/>
      <c r="Y2281" s="84"/>
      <c r="Z2281" s="84"/>
      <c r="AA2281" s="84"/>
    </row>
    <row r="2282" ht="15.75" customHeight="1">
      <c r="A2282" s="42" t="s">
        <v>4153</v>
      </c>
      <c r="B2282" s="15" t="s">
        <v>23545</v>
      </c>
      <c r="C2282" s="14" t="s">
        <v>24083</v>
      </c>
      <c r="D2282" s="14" t="s">
        <v>24084</v>
      </c>
      <c r="E2282" s="26" t="str">
        <f t="shared" si="29"/>
        <v>http://dx.doi.org/10.1109/TVCG.2012.222</v>
      </c>
      <c r="F2282" s="14">
        <v>2095.0</v>
      </c>
      <c r="G2282" s="14">
        <v>2103.0</v>
      </c>
      <c r="H2282" s="14" t="s">
        <v>17059</v>
      </c>
      <c r="I2282" s="19" t="s">
        <v>24085</v>
      </c>
      <c r="J2282" s="19" t="s">
        <v>24086</v>
      </c>
      <c r="K2282" s="19" t="s">
        <v>24086</v>
      </c>
      <c r="L2282" s="19" t="s">
        <v>24087</v>
      </c>
      <c r="M2282" s="20" t="s">
        <v>24088</v>
      </c>
      <c r="N2282" s="44" t="s">
        <v>24089</v>
      </c>
      <c r="O2282" s="22">
        <v>50.0</v>
      </c>
      <c r="P2282" s="28">
        <v>8.0</v>
      </c>
      <c r="Q2282" s="28">
        <v>38.0</v>
      </c>
      <c r="R2282" s="84"/>
      <c r="S2282" s="84"/>
      <c r="T2282" s="84"/>
      <c r="U2282" s="84"/>
      <c r="V2282" s="84"/>
      <c r="W2282" s="84"/>
      <c r="X2282" s="84"/>
      <c r="Y2282" s="84"/>
      <c r="Z2282" s="84"/>
      <c r="AA2282" s="84"/>
    </row>
    <row r="2283" ht="15.75" customHeight="1">
      <c r="A2283" s="42" t="s">
        <v>4153</v>
      </c>
      <c r="B2283" s="15" t="s">
        <v>23545</v>
      </c>
      <c r="C2283" s="14" t="s">
        <v>24090</v>
      </c>
      <c r="D2283" s="14" t="s">
        <v>24091</v>
      </c>
      <c r="E2283" s="26" t="str">
        <f t="shared" si="29"/>
        <v>http://dx.doi.org/10.1109/TVCG.2012.223</v>
      </c>
      <c r="F2283" s="14">
        <v>2114.0</v>
      </c>
      <c r="G2283" s="14">
        <v>2121.0</v>
      </c>
      <c r="H2283" s="14" t="s">
        <v>17059</v>
      </c>
      <c r="I2283" s="19" t="s">
        <v>24092</v>
      </c>
      <c r="J2283" s="19" t="s">
        <v>24093</v>
      </c>
      <c r="K2283" s="19" t="s">
        <v>24093</v>
      </c>
      <c r="L2283" s="19" t="s">
        <v>24094</v>
      </c>
      <c r="M2283" s="20" t="s">
        <v>24095</v>
      </c>
      <c r="N2283" s="44" t="s">
        <v>24096</v>
      </c>
      <c r="O2283" s="22">
        <v>5.0</v>
      </c>
      <c r="P2283" s="28">
        <v>8.0</v>
      </c>
      <c r="Q2283" s="28">
        <v>23.0</v>
      </c>
      <c r="R2283" s="84"/>
      <c r="S2283" s="84"/>
      <c r="T2283" s="84"/>
      <c r="U2283" s="84"/>
      <c r="V2283" s="84"/>
      <c r="W2283" s="84"/>
      <c r="X2283" s="84"/>
      <c r="Y2283" s="84"/>
      <c r="Z2283" s="84"/>
      <c r="AA2283" s="84"/>
    </row>
    <row r="2284" ht="15.75" customHeight="1">
      <c r="A2284" s="42" t="s">
        <v>4153</v>
      </c>
      <c r="B2284" s="15" t="s">
        <v>23545</v>
      </c>
      <c r="C2284" s="14" t="s">
        <v>24097</v>
      </c>
      <c r="D2284" s="14" t="s">
        <v>24098</v>
      </c>
      <c r="E2284" s="26" t="str">
        <f t="shared" si="29"/>
        <v>http://dx.doi.org/10.1109/TVCG.2012.227</v>
      </c>
      <c r="F2284" s="14">
        <v>2335.0</v>
      </c>
      <c r="G2284" s="14">
        <v>2344.0</v>
      </c>
      <c r="H2284" s="14" t="s">
        <v>17059</v>
      </c>
      <c r="I2284" s="19" t="s">
        <v>24099</v>
      </c>
      <c r="J2284" s="19" t="s">
        <v>18591</v>
      </c>
      <c r="K2284" s="19" t="s">
        <v>18591</v>
      </c>
      <c r="L2284" s="19" t="s">
        <v>19192</v>
      </c>
      <c r="M2284" s="20" t="s">
        <v>24100</v>
      </c>
      <c r="N2284" s="44" t="s">
        <v>24101</v>
      </c>
      <c r="O2284" s="22">
        <v>50.0</v>
      </c>
      <c r="P2284" s="28">
        <v>9.0</v>
      </c>
      <c r="Q2284" s="28">
        <v>39.0</v>
      </c>
      <c r="R2284" s="84"/>
      <c r="S2284" s="84"/>
      <c r="T2284" s="84"/>
      <c r="U2284" s="84"/>
      <c r="V2284" s="84"/>
      <c r="W2284" s="84"/>
      <c r="X2284" s="84"/>
      <c r="Y2284" s="84"/>
      <c r="Z2284" s="84"/>
      <c r="AA2284" s="84"/>
    </row>
    <row r="2285" ht="15.75" customHeight="1">
      <c r="A2285" s="42" t="s">
        <v>4153</v>
      </c>
      <c r="B2285" s="15" t="s">
        <v>23545</v>
      </c>
      <c r="C2285" s="14" t="s">
        <v>24102</v>
      </c>
      <c r="D2285" s="14" t="s">
        <v>24103</v>
      </c>
      <c r="E2285" s="26" t="str">
        <f t="shared" si="29"/>
        <v>http://dx.doi.org/10.1109/TVCG.2012.228</v>
      </c>
      <c r="F2285" s="14">
        <v>2005.0</v>
      </c>
      <c r="G2285" s="14">
        <v>2013.0</v>
      </c>
      <c r="H2285" s="14" t="s">
        <v>17059</v>
      </c>
      <c r="I2285" s="19" t="s">
        <v>24105</v>
      </c>
      <c r="J2285" s="19" t="s">
        <v>24106</v>
      </c>
      <c r="K2285" s="19" t="s">
        <v>24106</v>
      </c>
      <c r="L2285" s="19" t="s">
        <v>24107</v>
      </c>
      <c r="M2285" s="20" t="s">
        <v>24108</v>
      </c>
      <c r="N2285" s="44" t="s">
        <v>24109</v>
      </c>
      <c r="O2285" s="22">
        <v>50.0</v>
      </c>
      <c r="P2285" s="28">
        <v>10.0</v>
      </c>
      <c r="Q2285" s="28">
        <v>23.0</v>
      </c>
      <c r="R2285" s="84"/>
      <c r="S2285" s="84"/>
      <c r="T2285" s="84"/>
      <c r="U2285" s="84"/>
      <c r="V2285" s="84"/>
      <c r="W2285" s="84"/>
      <c r="X2285" s="84"/>
      <c r="Y2285" s="84"/>
      <c r="Z2285" s="84"/>
      <c r="AA2285" s="84"/>
    </row>
    <row r="2286" ht="15.75" customHeight="1">
      <c r="A2286" s="42" t="s">
        <v>4153</v>
      </c>
      <c r="B2286" s="15" t="s">
        <v>23545</v>
      </c>
      <c r="C2286" s="14" t="s">
        <v>24110</v>
      </c>
      <c r="D2286" s="14" t="s">
        <v>24111</v>
      </c>
      <c r="E2286" s="26" t="str">
        <f t="shared" si="29"/>
        <v>http://dx.doi.org/10.1109/TVCG.2012.231</v>
      </c>
      <c r="F2286" s="14">
        <v>2355.0</v>
      </c>
      <c r="G2286" s="14">
        <v>2363.0</v>
      </c>
      <c r="H2286" s="14" t="s">
        <v>17059</v>
      </c>
      <c r="I2286" s="19" t="s">
        <v>24112</v>
      </c>
      <c r="J2286" s="19" t="s">
        <v>24113</v>
      </c>
      <c r="K2286" s="19" t="s">
        <v>24114</v>
      </c>
      <c r="L2286" s="19" t="s">
        <v>24115</v>
      </c>
      <c r="M2286" s="20" t="s">
        <v>24116</v>
      </c>
      <c r="N2286" s="44" t="s">
        <v>24117</v>
      </c>
      <c r="O2286" s="22">
        <v>50.0</v>
      </c>
      <c r="P2286" s="28">
        <v>31.0</v>
      </c>
      <c r="Q2286" s="28">
        <v>46.0</v>
      </c>
      <c r="R2286" s="85" t="s">
        <v>106</v>
      </c>
      <c r="S2286" s="84"/>
      <c r="T2286" s="84"/>
      <c r="U2286" s="84"/>
      <c r="V2286" s="84"/>
      <c r="W2286" s="84"/>
      <c r="X2286" s="84"/>
      <c r="Y2286" s="84"/>
      <c r="Z2286" s="84"/>
      <c r="AA2286" s="84"/>
    </row>
    <row r="2287" ht="15.75" customHeight="1">
      <c r="A2287" s="42" t="s">
        <v>4153</v>
      </c>
      <c r="B2287" s="15" t="s">
        <v>23545</v>
      </c>
      <c r="C2287" s="14" t="s">
        <v>24118</v>
      </c>
      <c r="D2287" s="14" t="s">
        <v>24119</v>
      </c>
      <c r="E2287" s="26" t="str">
        <f t="shared" si="29"/>
        <v>http://dx.doi.org/10.1109/TVCG.2012.232</v>
      </c>
      <c r="F2287" s="14">
        <v>2364.0</v>
      </c>
      <c r="G2287" s="14">
        <v>2371.0</v>
      </c>
      <c r="H2287" s="14" t="s">
        <v>17059</v>
      </c>
      <c r="I2287" s="19" t="s">
        <v>24120</v>
      </c>
      <c r="J2287" s="19" t="s">
        <v>24121</v>
      </c>
      <c r="K2287" s="19" t="s">
        <v>24121</v>
      </c>
      <c r="L2287" s="19" t="s">
        <v>24122</v>
      </c>
      <c r="M2287" s="20" t="s">
        <v>23321</v>
      </c>
      <c r="N2287" s="44" t="s">
        <v>24123</v>
      </c>
      <c r="O2287" s="22">
        <v>50.0</v>
      </c>
      <c r="P2287" s="28">
        <v>15.0</v>
      </c>
      <c r="Q2287" s="28">
        <v>34.0</v>
      </c>
      <c r="R2287" s="84"/>
      <c r="S2287" s="84"/>
      <c r="T2287" s="84"/>
      <c r="U2287" s="84"/>
      <c r="V2287" s="84"/>
      <c r="W2287" s="84"/>
      <c r="X2287" s="84"/>
      <c r="Y2287" s="84"/>
      <c r="Z2287" s="84"/>
      <c r="AA2287" s="84"/>
    </row>
    <row r="2288" ht="15.75" customHeight="1">
      <c r="A2288" s="42" t="s">
        <v>4153</v>
      </c>
      <c r="B2288" s="15" t="s">
        <v>23545</v>
      </c>
      <c r="C2288" s="14" t="s">
        <v>24124</v>
      </c>
      <c r="D2288" s="14" t="s">
        <v>24125</v>
      </c>
      <c r="E2288" s="26" t="str">
        <f t="shared" si="29"/>
        <v>http://dx.doi.org/10.1109/TVCG.2012.234</v>
      </c>
      <c r="F2288" s="14">
        <v>2104.0</v>
      </c>
      <c r="G2288" s="14">
        <v>2113.0</v>
      </c>
      <c r="H2288" s="14" t="s">
        <v>17059</v>
      </c>
      <c r="I2288" s="19" t="s">
        <v>24126</v>
      </c>
      <c r="J2288" s="19" t="s">
        <v>24127</v>
      </c>
      <c r="K2288" s="19" t="s">
        <v>24127</v>
      </c>
      <c r="L2288" s="19" t="s">
        <v>22309</v>
      </c>
      <c r="M2288" s="20" t="s">
        <v>24129</v>
      </c>
      <c r="N2288" s="44" t="s">
        <v>24131</v>
      </c>
      <c r="O2288" s="22">
        <v>8.0</v>
      </c>
      <c r="P2288" s="28">
        <v>7.0</v>
      </c>
      <c r="Q2288" s="28">
        <v>46.0</v>
      </c>
      <c r="R2288" s="84"/>
      <c r="S2288" s="84"/>
      <c r="T2288" s="84"/>
      <c r="U2288" s="84"/>
      <c r="V2288" s="84"/>
      <c r="W2288" s="84"/>
      <c r="X2288" s="84"/>
      <c r="Y2288" s="84"/>
      <c r="Z2288" s="84"/>
      <c r="AA2288" s="84"/>
    </row>
    <row r="2289" ht="15.75" customHeight="1">
      <c r="A2289" s="42" t="s">
        <v>4153</v>
      </c>
      <c r="B2289" s="15" t="s">
        <v>23545</v>
      </c>
      <c r="C2289" s="14" t="s">
        <v>24132</v>
      </c>
      <c r="D2289" s="14" t="s">
        <v>24133</v>
      </c>
      <c r="E2289" s="26" t="str">
        <f t="shared" si="29"/>
        <v>http://dx.doi.org/10.1109/TVCG.2012.239</v>
      </c>
      <c r="F2289" s="14">
        <v>2208.0</v>
      </c>
      <c r="G2289" s="14">
        <v>2215.0</v>
      </c>
      <c r="H2289" s="14" t="s">
        <v>17059</v>
      </c>
      <c r="I2289" s="19" t="s">
        <v>24135</v>
      </c>
      <c r="J2289" s="19" t="s">
        <v>24136</v>
      </c>
      <c r="K2289" s="19" t="s">
        <v>24137</v>
      </c>
      <c r="L2289" s="19" t="s">
        <v>24138</v>
      </c>
      <c r="M2289" s="20"/>
      <c r="N2289" s="44" t="s">
        <v>24139</v>
      </c>
      <c r="O2289" s="22">
        <v>3.0</v>
      </c>
      <c r="P2289" s="28">
        <v>2.0</v>
      </c>
      <c r="Q2289" s="28">
        <v>20.0</v>
      </c>
      <c r="R2289" s="84"/>
      <c r="S2289" s="84"/>
      <c r="T2289" s="84"/>
      <c r="U2289" s="84"/>
      <c r="V2289" s="84"/>
      <c r="W2289" s="84"/>
      <c r="X2289" s="84"/>
      <c r="Y2289" s="84"/>
      <c r="Z2289" s="84"/>
      <c r="AA2289" s="84"/>
    </row>
    <row r="2290" ht="15.75" customHeight="1">
      <c r="A2290" s="42" t="s">
        <v>4153</v>
      </c>
      <c r="B2290" s="15" t="s">
        <v>23545</v>
      </c>
      <c r="C2290" s="14" t="s">
        <v>24140</v>
      </c>
      <c r="D2290" s="14" t="s">
        <v>24141</v>
      </c>
      <c r="E2290" s="26" t="str">
        <f t="shared" si="29"/>
        <v>http://dx.doi.org/10.1109/TVCG.2012.240</v>
      </c>
      <c r="F2290" s="14">
        <v>2285.0</v>
      </c>
      <c r="G2290" s="14">
        <v>2294.0</v>
      </c>
      <c r="H2290" s="14" t="s">
        <v>17059</v>
      </c>
      <c r="I2290" s="19" t="s">
        <v>24142</v>
      </c>
      <c r="J2290" s="19" t="s">
        <v>24143</v>
      </c>
      <c r="K2290" s="19" t="s">
        <v>24143</v>
      </c>
      <c r="L2290" s="19" t="s">
        <v>24144</v>
      </c>
      <c r="M2290" s="20" t="s">
        <v>24145</v>
      </c>
      <c r="N2290" s="44" t="s">
        <v>24146</v>
      </c>
      <c r="O2290" s="22">
        <v>55.0</v>
      </c>
      <c r="P2290" s="28">
        <v>36.0</v>
      </c>
      <c r="Q2290" s="28">
        <v>31.0</v>
      </c>
      <c r="R2290" s="85" t="s">
        <v>19037</v>
      </c>
      <c r="S2290" s="84"/>
      <c r="T2290" s="84"/>
      <c r="U2290" s="84"/>
      <c r="V2290" s="84"/>
      <c r="W2290" s="84"/>
      <c r="X2290" s="84"/>
      <c r="Y2290" s="84"/>
      <c r="Z2290" s="84"/>
      <c r="AA2290" s="84"/>
    </row>
    <row r="2291" ht="15.75" customHeight="1">
      <c r="A2291" s="42" t="s">
        <v>4153</v>
      </c>
      <c r="B2291" s="15" t="s">
        <v>23545</v>
      </c>
      <c r="C2291" s="14" t="s">
        <v>24147</v>
      </c>
      <c r="D2291" s="14" t="s">
        <v>24148</v>
      </c>
      <c r="E2291" s="26" t="str">
        <f t="shared" si="29"/>
        <v>http://dx.doi.org/10.1109/TVCG.2012.242</v>
      </c>
      <c r="F2291" s="14">
        <v>2051.0</v>
      </c>
      <c r="G2291" s="14">
        <v>2060.0</v>
      </c>
      <c r="H2291" s="14" t="s">
        <v>17059</v>
      </c>
      <c r="I2291" s="19" t="s">
        <v>24149</v>
      </c>
      <c r="J2291" s="19" t="s">
        <v>24150</v>
      </c>
      <c r="K2291" s="19" t="s">
        <v>24151</v>
      </c>
      <c r="L2291" s="19" t="s">
        <v>24152</v>
      </c>
      <c r="M2291" s="20" t="s">
        <v>24153</v>
      </c>
      <c r="N2291" s="44" t="s">
        <v>24154</v>
      </c>
      <c r="O2291" s="22">
        <v>50.0</v>
      </c>
      <c r="P2291" s="28">
        <v>4.0</v>
      </c>
      <c r="Q2291" s="28">
        <v>33.0</v>
      </c>
      <c r="R2291" s="84"/>
      <c r="S2291" s="84"/>
      <c r="T2291" s="84"/>
      <c r="U2291" s="84"/>
      <c r="V2291" s="84"/>
      <c r="W2291" s="84"/>
      <c r="X2291" s="84"/>
      <c r="Y2291" s="84"/>
      <c r="Z2291" s="84"/>
      <c r="AA2291" s="84"/>
    </row>
    <row r="2292" ht="15.75" customHeight="1">
      <c r="A2292" s="42" t="s">
        <v>4153</v>
      </c>
      <c r="B2292" s="15" t="s">
        <v>23545</v>
      </c>
      <c r="C2292" s="14" t="s">
        <v>24156</v>
      </c>
      <c r="D2292" s="14" t="s">
        <v>24157</v>
      </c>
      <c r="E2292" s="26" t="str">
        <f t="shared" si="29"/>
        <v>http://dx.doi.org/10.1109/TVCG.2012.243</v>
      </c>
      <c r="F2292" s="14">
        <v>2159.0</v>
      </c>
      <c r="G2292" s="14">
        <v>2168.0</v>
      </c>
      <c r="H2292" s="14" t="s">
        <v>17059</v>
      </c>
      <c r="I2292" s="19" t="s">
        <v>24158</v>
      </c>
      <c r="J2292" s="19" t="s">
        <v>24159</v>
      </c>
      <c r="K2292" s="19" t="s">
        <v>24160</v>
      </c>
      <c r="L2292" s="19" t="s">
        <v>24161</v>
      </c>
      <c r="M2292" s="20" t="s">
        <v>24162</v>
      </c>
      <c r="N2292" s="44" t="s">
        <v>24163</v>
      </c>
      <c r="O2292" s="22">
        <v>50.0</v>
      </c>
      <c r="P2292" s="28">
        <v>4.0</v>
      </c>
      <c r="Q2292" s="28">
        <v>38.0</v>
      </c>
      <c r="R2292" s="84"/>
      <c r="S2292" s="84"/>
      <c r="T2292" s="84"/>
      <c r="U2292" s="84"/>
      <c r="V2292" s="84"/>
      <c r="W2292" s="84"/>
      <c r="X2292" s="84"/>
      <c r="Y2292" s="84"/>
      <c r="Z2292" s="84"/>
      <c r="AA2292" s="84"/>
    </row>
    <row r="2293" ht="15.75" customHeight="1">
      <c r="A2293" s="42" t="s">
        <v>4153</v>
      </c>
      <c r="B2293" s="15" t="s">
        <v>23545</v>
      </c>
      <c r="C2293" s="14" t="s">
        <v>24164</v>
      </c>
      <c r="D2293" s="14" t="s">
        <v>24165</v>
      </c>
      <c r="E2293" s="26" t="str">
        <f t="shared" si="29"/>
        <v>http://dx.doi.org/10.1109/TVCG.2012.248</v>
      </c>
      <c r="F2293" s="14">
        <v>2382.0</v>
      </c>
      <c r="G2293" s="14">
        <v>2391.0</v>
      </c>
      <c r="H2293" s="14" t="s">
        <v>17059</v>
      </c>
      <c r="I2293" s="19" t="s">
        <v>24166</v>
      </c>
      <c r="J2293" s="19" t="s">
        <v>24167</v>
      </c>
      <c r="K2293" s="19" t="s">
        <v>24167</v>
      </c>
      <c r="L2293" s="19" t="s">
        <v>24168</v>
      </c>
      <c r="M2293" s="20" t="s">
        <v>24169</v>
      </c>
      <c r="N2293" s="44" t="s">
        <v>24170</v>
      </c>
      <c r="O2293" s="22">
        <v>28.0</v>
      </c>
      <c r="P2293" s="28">
        <v>17.0</v>
      </c>
      <c r="Q2293" s="28">
        <v>40.0</v>
      </c>
      <c r="R2293" s="84"/>
      <c r="S2293" s="84"/>
      <c r="T2293" s="84"/>
      <c r="U2293" s="84"/>
      <c r="V2293" s="84"/>
      <c r="W2293" s="84"/>
      <c r="X2293" s="84"/>
      <c r="Y2293" s="84"/>
      <c r="Z2293" s="84"/>
      <c r="AA2293" s="84"/>
    </row>
    <row r="2294" ht="15.75" customHeight="1">
      <c r="A2294" s="42" t="s">
        <v>4153</v>
      </c>
      <c r="B2294" s="15" t="s">
        <v>23545</v>
      </c>
      <c r="C2294" s="14" t="s">
        <v>24171</v>
      </c>
      <c r="D2294" s="14" t="s">
        <v>24172</v>
      </c>
      <c r="E2294" s="26" t="str">
        <f t="shared" si="29"/>
        <v>http://dx.doi.org/10.1109/TVCG.2012.249</v>
      </c>
      <c r="F2294" s="14">
        <v>2305.0</v>
      </c>
      <c r="G2294" s="14">
        <v>2314.0</v>
      </c>
      <c r="H2294" s="14" t="s">
        <v>17059</v>
      </c>
      <c r="I2294" s="19" t="s">
        <v>24173</v>
      </c>
      <c r="J2294" s="19" t="s">
        <v>24174</v>
      </c>
      <c r="K2294" s="19" t="s">
        <v>24174</v>
      </c>
      <c r="L2294" s="19" t="s">
        <v>24175</v>
      </c>
      <c r="M2294" s="20" t="s">
        <v>24176</v>
      </c>
      <c r="N2294" s="44" t="s">
        <v>24177</v>
      </c>
      <c r="O2294" s="22">
        <v>50.0</v>
      </c>
      <c r="P2294" s="28">
        <v>22.0</v>
      </c>
      <c r="Q2294" s="28">
        <v>26.0</v>
      </c>
      <c r="R2294" s="84"/>
      <c r="S2294" s="84"/>
      <c r="T2294" s="84"/>
      <c r="U2294" s="84"/>
      <c r="V2294" s="84"/>
      <c r="W2294" s="84"/>
      <c r="X2294" s="84"/>
      <c r="Y2294" s="84"/>
      <c r="Z2294" s="84"/>
      <c r="AA2294" s="84"/>
    </row>
    <row r="2295" ht="15.75" customHeight="1">
      <c r="A2295" s="42" t="s">
        <v>4153</v>
      </c>
      <c r="B2295" s="15" t="s">
        <v>23545</v>
      </c>
      <c r="C2295" s="14" t="s">
        <v>24178</v>
      </c>
      <c r="D2295" s="14" t="s">
        <v>24179</v>
      </c>
      <c r="E2295" s="26" t="str">
        <f t="shared" si="29"/>
        <v>http://dx.doi.org/10.1109/TVCG.2012.259</v>
      </c>
      <c r="F2295" s="14">
        <v>2226.0</v>
      </c>
      <c r="G2295" s="14">
        <v>2235.0</v>
      </c>
      <c r="H2295" s="14" t="s">
        <v>17059</v>
      </c>
      <c r="I2295" s="19" t="s">
        <v>24181</v>
      </c>
      <c r="J2295" s="19" t="s">
        <v>24182</v>
      </c>
      <c r="K2295" s="19" t="s">
        <v>24183</v>
      </c>
      <c r="L2295" s="19" t="s">
        <v>24184</v>
      </c>
      <c r="M2295" s="20" t="s">
        <v>24185</v>
      </c>
      <c r="N2295" s="44" t="s">
        <v>24186</v>
      </c>
      <c r="O2295" s="22">
        <v>50.0</v>
      </c>
      <c r="P2295" s="28">
        <v>4.0</v>
      </c>
      <c r="Q2295" s="28">
        <v>23.0</v>
      </c>
      <c r="R2295" s="84"/>
      <c r="S2295" s="84"/>
      <c r="T2295" s="84"/>
      <c r="U2295" s="84"/>
      <c r="V2295" s="84"/>
      <c r="W2295" s="84"/>
      <c r="X2295" s="84"/>
      <c r="Y2295" s="84"/>
      <c r="Z2295" s="84"/>
      <c r="AA2295" s="84"/>
    </row>
    <row r="2296" ht="15.75" customHeight="1">
      <c r="A2296" s="42" t="s">
        <v>4153</v>
      </c>
      <c r="B2296" s="15" t="s">
        <v>23545</v>
      </c>
      <c r="C2296" s="14" t="s">
        <v>24188</v>
      </c>
      <c r="D2296" s="14" t="s">
        <v>24189</v>
      </c>
      <c r="E2296" s="26" t="str">
        <f t="shared" si="29"/>
        <v>http://dx.doi.org/10.1109/TVCG.2012.261</v>
      </c>
      <c r="F2296" s="14">
        <v>2255.0</v>
      </c>
      <c r="G2296" s="14">
        <v>2264.0</v>
      </c>
      <c r="H2296" s="14" t="s">
        <v>17059</v>
      </c>
      <c r="I2296" s="19" t="s">
        <v>24190</v>
      </c>
      <c r="J2296" s="19" t="s">
        <v>24191</v>
      </c>
      <c r="K2296" s="19" t="s">
        <v>24192</v>
      </c>
      <c r="L2296" s="19" t="s">
        <v>24193</v>
      </c>
      <c r="M2296" s="20" t="s">
        <v>24194</v>
      </c>
      <c r="N2296" s="44" t="s">
        <v>24195</v>
      </c>
      <c r="O2296" s="22">
        <v>50.0</v>
      </c>
      <c r="P2296" s="28">
        <v>4.0</v>
      </c>
      <c r="Q2296" s="28">
        <v>31.0</v>
      </c>
      <c r="R2296" s="84"/>
      <c r="S2296" s="84"/>
      <c r="T2296" s="84"/>
      <c r="U2296" s="84"/>
      <c r="V2296" s="84"/>
      <c r="W2296" s="84"/>
      <c r="X2296" s="84"/>
      <c r="Y2296" s="84"/>
      <c r="Z2296" s="84"/>
      <c r="AA2296" s="84"/>
    </row>
    <row r="2297" ht="15.75" customHeight="1">
      <c r="A2297" s="42" t="s">
        <v>4153</v>
      </c>
      <c r="B2297" s="15" t="s">
        <v>23545</v>
      </c>
      <c r="C2297" s="14" t="s">
        <v>24196</v>
      </c>
      <c r="D2297" s="14" t="s">
        <v>24197</v>
      </c>
      <c r="E2297" s="26" t="str">
        <f t="shared" si="29"/>
        <v>http://dx.doi.org/10.1109/TVCG.2012.267</v>
      </c>
      <c r="F2297" s="14">
        <v>2372.0</v>
      </c>
      <c r="G2297" s="14">
        <v>2381.0</v>
      </c>
      <c r="H2297" s="14" t="s">
        <v>17059</v>
      </c>
      <c r="I2297" s="19" t="s">
        <v>24199</v>
      </c>
      <c r="J2297" s="19" t="s">
        <v>24201</v>
      </c>
      <c r="K2297" s="19" t="s">
        <v>24202</v>
      </c>
      <c r="L2297" s="19" t="s">
        <v>24203</v>
      </c>
      <c r="M2297" s="20" t="s">
        <v>24204</v>
      </c>
      <c r="N2297" s="44" t="s">
        <v>24205</v>
      </c>
      <c r="O2297" s="22">
        <v>11.0</v>
      </c>
      <c r="P2297" s="28">
        <v>8.0</v>
      </c>
      <c r="Q2297" s="28">
        <v>29.0</v>
      </c>
      <c r="R2297" s="84"/>
      <c r="S2297" s="84"/>
      <c r="T2297" s="84"/>
      <c r="U2297" s="84"/>
      <c r="V2297" s="84"/>
      <c r="W2297" s="84"/>
      <c r="X2297" s="84"/>
      <c r="Y2297" s="84"/>
      <c r="Z2297" s="84"/>
      <c r="AA2297" s="84"/>
    </row>
    <row r="2298" ht="15.75" customHeight="1">
      <c r="A2298" s="42" t="s">
        <v>4153</v>
      </c>
      <c r="B2298" s="15" t="s">
        <v>23545</v>
      </c>
      <c r="C2298" s="14" t="s">
        <v>24207</v>
      </c>
      <c r="D2298" s="14" t="s">
        <v>24208</v>
      </c>
      <c r="E2298" s="26" t="str">
        <f t="shared" si="29"/>
        <v>http://dx.doi.org/10.1109/TVCG.2012.269</v>
      </c>
      <c r="F2298" s="14">
        <v>2392.0</v>
      </c>
      <c r="G2298" s="14">
        <v>2401.0</v>
      </c>
      <c r="H2298" s="14" t="s">
        <v>17059</v>
      </c>
      <c r="I2298" s="19" t="s">
        <v>24209</v>
      </c>
      <c r="J2298" s="19" t="s">
        <v>24210</v>
      </c>
      <c r="K2298" s="19" t="s">
        <v>24210</v>
      </c>
      <c r="L2298" s="19" t="s">
        <v>24211</v>
      </c>
      <c r="M2298" s="20" t="s">
        <v>24212</v>
      </c>
      <c r="N2298" s="44" t="s">
        <v>24213</v>
      </c>
      <c r="O2298" s="22">
        <v>3.0</v>
      </c>
      <c r="P2298" s="28">
        <v>1.0</v>
      </c>
      <c r="Q2298" s="28">
        <v>36.0</v>
      </c>
      <c r="R2298" s="84"/>
      <c r="S2298" s="84"/>
      <c r="T2298" s="84"/>
      <c r="U2298" s="84"/>
      <c r="V2298" s="84"/>
      <c r="W2298" s="84"/>
      <c r="X2298" s="84"/>
      <c r="Y2298" s="84"/>
      <c r="Z2298" s="84"/>
      <c r="AA2298" s="84"/>
    </row>
    <row r="2299" ht="15.75" customHeight="1">
      <c r="A2299" s="42" t="s">
        <v>4153</v>
      </c>
      <c r="B2299" s="15" t="s">
        <v>23545</v>
      </c>
      <c r="C2299" s="14" t="s">
        <v>24214</v>
      </c>
      <c r="D2299" s="14" t="s">
        <v>24215</v>
      </c>
      <c r="E2299" s="26" t="str">
        <f t="shared" si="29"/>
        <v>http://dx.doi.org/10.1109/TVCG.2012.274</v>
      </c>
      <c r="F2299" s="14">
        <v>2169.0</v>
      </c>
      <c r="G2299" s="14">
        <v>2177.0</v>
      </c>
      <c r="H2299" s="14" t="s">
        <v>17059</v>
      </c>
      <c r="I2299" s="19" t="s">
        <v>24216</v>
      </c>
      <c r="J2299" s="19" t="s">
        <v>24217</v>
      </c>
      <c r="K2299" s="19" t="s">
        <v>24218</v>
      </c>
      <c r="L2299" s="19" t="s">
        <v>24219</v>
      </c>
      <c r="M2299" s="20" t="s">
        <v>24220</v>
      </c>
      <c r="N2299" s="44" t="s">
        <v>24221</v>
      </c>
      <c r="O2299" s="22">
        <v>50.0</v>
      </c>
      <c r="P2299" s="28">
        <v>15.0</v>
      </c>
      <c r="Q2299" s="28">
        <v>45.0</v>
      </c>
      <c r="R2299" s="84"/>
      <c r="S2299" s="84"/>
      <c r="T2299" s="84"/>
      <c r="U2299" s="84"/>
      <c r="V2299" s="84"/>
      <c r="W2299" s="84"/>
      <c r="X2299" s="84"/>
      <c r="Y2299" s="84"/>
      <c r="Z2299" s="84"/>
      <c r="AA2299" s="84"/>
    </row>
    <row r="2300" ht="15.75" customHeight="1">
      <c r="A2300" s="42" t="s">
        <v>4153</v>
      </c>
      <c r="B2300" s="15" t="s">
        <v>23545</v>
      </c>
      <c r="C2300" s="14" t="s">
        <v>24222</v>
      </c>
      <c r="D2300" s="14" t="s">
        <v>24223</v>
      </c>
      <c r="E2300" s="26" t="str">
        <f t="shared" si="29"/>
        <v>http://dx.doi.org/10.1109/TVCG.2012.278</v>
      </c>
      <c r="F2300" s="14">
        <v>2088.0</v>
      </c>
      <c r="G2300" s="14">
        <v>2094.0</v>
      </c>
      <c r="H2300" s="14" t="s">
        <v>17059</v>
      </c>
      <c r="I2300" s="19" t="s">
        <v>24224</v>
      </c>
      <c r="J2300" s="19" t="s">
        <v>24225</v>
      </c>
      <c r="K2300" s="19" t="s">
        <v>24227</v>
      </c>
      <c r="L2300" s="19" t="s">
        <v>24229</v>
      </c>
      <c r="M2300" s="20"/>
      <c r="N2300" s="44" t="s">
        <v>24230</v>
      </c>
      <c r="O2300" s="22">
        <v>50.0</v>
      </c>
      <c r="P2300" s="28">
        <v>3.0</v>
      </c>
      <c r="Q2300" s="28">
        <v>8.0</v>
      </c>
      <c r="R2300" s="84"/>
      <c r="S2300" s="84"/>
      <c r="T2300" s="84"/>
      <c r="U2300" s="84"/>
      <c r="V2300" s="84"/>
      <c r="W2300" s="84"/>
      <c r="X2300" s="84"/>
      <c r="Y2300" s="84"/>
      <c r="Z2300" s="84"/>
      <c r="AA2300" s="84"/>
    </row>
    <row r="2301" ht="15.75" customHeight="1">
      <c r="A2301" s="42" t="s">
        <v>4153</v>
      </c>
      <c r="B2301" s="15" t="s">
        <v>23545</v>
      </c>
      <c r="C2301" s="14" t="s">
        <v>24231</v>
      </c>
      <c r="D2301" s="14" t="s">
        <v>24232</v>
      </c>
      <c r="E2301" s="26" t="str">
        <f t="shared" si="29"/>
        <v>http://dx.doi.org/10.1109/TVCG.2012.280</v>
      </c>
      <c r="F2301" s="14">
        <v>2275.0</v>
      </c>
      <c r="G2301" s="14">
        <v>2284.0</v>
      </c>
      <c r="H2301" s="14" t="s">
        <v>17059</v>
      </c>
      <c r="I2301" s="19" t="s">
        <v>24234</v>
      </c>
      <c r="J2301" s="19" t="s">
        <v>24235</v>
      </c>
      <c r="K2301" s="19" t="s">
        <v>24236</v>
      </c>
      <c r="L2301" s="19" t="s">
        <v>24237</v>
      </c>
      <c r="M2301" s="20" t="s">
        <v>24238</v>
      </c>
      <c r="N2301" s="44" t="s">
        <v>24239</v>
      </c>
      <c r="O2301" s="22">
        <v>50.0</v>
      </c>
      <c r="P2301" s="28">
        <v>4.0</v>
      </c>
      <c r="Q2301" s="28">
        <v>44.0</v>
      </c>
      <c r="R2301" s="84"/>
      <c r="S2301" s="84"/>
      <c r="T2301" s="84"/>
      <c r="U2301" s="84"/>
      <c r="V2301" s="84"/>
      <c r="W2301" s="84"/>
      <c r="X2301" s="84"/>
      <c r="Y2301" s="84"/>
      <c r="Z2301" s="84"/>
      <c r="AA2301" s="84"/>
    </row>
    <row r="2302" ht="15.75" customHeight="1">
      <c r="A2302" s="42" t="s">
        <v>4153</v>
      </c>
      <c r="B2302" s="15" t="s">
        <v>23545</v>
      </c>
      <c r="C2302" s="14" t="s">
        <v>24240</v>
      </c>
      <c r="D2302" s="14" t="s">
        <v>24241</v>
      </c>
      <c r="E2302" s="26" t="str">
        <f t="shared" si="29"/>
        <v>http://dx.doi.org/10.1109/TVCG.2012.281</v>
      </c>
      <c r="F2302" s="14">
        <v>2188.0</v>
      </c>
      <c r="G2302" s="14">
        <v>2197.0</v>
      </c>
      <c r="H2302" s="14" t="s">
        <v>17059</v>
      </c>
      <c r="I2302" s="19" t="s">
        <v>24242</v>
      </c>
      <c r="J2302" s="19" t="s">
        <v>24243</v>
      </c>
      <c r="K2302" s="19" t="s">
        <v>24244</v>
      </c>
      <c r="L2302" s="19" t="s">
        <v>24245</v>
      </c>
      <c r="M2302" s="20" t="s">
        <v>24246</v>
      </c>
      <c r="N2302" s="44" t="s">
        <v>24247</v>
      </c>
      <c r="O2302" s="22">
        <v>50.0</v>
      </c>
      <c r="P2302" s="28">
        <v>6.0</v>
      </c>
      <c r="Q2302" s="28">
        <v>38.0</v>
      </c>
      <c r="R2302" s="84"/>
      <c r="S2302" s="84"/>
      <c r="T2302" s="84"/>
      <c r="U2302" s="84"/>
      <c r="V2302" s="84"/>
      <c r="W2302" s="84"/>
      <c r="X2302" s="84"/>
      <c r="Y2302" s="84"/>
      <c r="Z2302" s="84"/>
      <c r="AA2302" s="84"/>
    </row>
    <row r="2303" ht="15.75" customHeight="1">
      <c r="A2303" s="42" t="s">
        <v>4153</v>
      </c>
      <c r="B2303" s="15" t="s">
        <v>23545</v>
      </c>
      <c r="C2303" s="14" t="s">
        <v>24248</v>
      </c>
      <c r="D2303" s="14" t="s">
        <v>24249</v>
      </c>
      <c r="E2303" s="26" t="str">
        <f t="shared" si="29"/>
        <v>http://dx.doi.org/10.1109/TVCG.2012.282</v>
      </c>
      <c r="F2303" s="14">
        <v>2061.0</v>
      </c>
      <c r="G2303" s="14">
        <v>2068.0</v>
      </c>
      <c r="H2303" s="14" t="s">
        <v>17059</v>
      </c>
      <c r="I2303" s="19" t="s">
        <v>24251</v>
      </c>
      <c r="J2303" s="19" t="s">
        <v>24253</v>
      </c>
      <c r="K2303" s="19" t="s">
        <v>24254</v>
      </c>
      <c r="L2303" s="19" t="s">
        <v>24255</v>
      </c>
      <c r="M2303" s="20" t="s">
        <v>24256</v>
      </c>
      <c r="N2303" s="44" t="s">
        <v>24257</v>
      </c>
      <c r="O2303" s="22">
        <v>18.0</v>
      </c>
      <c r="P2303" s="28">
        <v>10.0</v>
      </c>
      <c r="Q2303" s="28">
        <v>42.0</v>
      </c>
      <c r="R2303" s="84"/>
      <c r="S2303" s="84"/>
      <c r="T2303" s="84"/>
      <c r="U2303" s="84"/>
      <c r="V2303" s="84"/>
      <c r="W2303" s="84"/>
      <c r="X2303" s="84"/>
      <c r="Y2303" s="84"/>
      <c r="Z2303" s="84"/>
      <c r="AA2303" s="84"/>
    </row>
    <row r="2304" ht="15.75" customHeight="1">
      <c r="A2304" s="42" t="s">
        <v>4153</v>
      </c>
      <c r="B2304" s="15" t="s">
        <v>23545</v>
      </c>
      <c r="C2304" s="14" t="s">
        <v>24260</v>
      </c>
      <c r="D2304" s="14" t="s">
        <v>24261</v>
      </c>
      <c r="E2304" s="26" t="str">
        <f t="shared" si="29"/>
        <v>http://dx.doi.org/10.1109/TVCG.2012.283</v>
      </c>
      <c r="F2304" s="14">
        <v>2198.0</v>
      </c>
      <c r="G2304" s="14">
        <v>2207.0</v>
      </c>
      <c r="H2304" s="14" t="s">
        <v>17059</v>
      </c>
      <c r="I2304" s="19" t="s">
        <v>24262</v>
      </c>
      <c r="J2304" s="19" t="s">
        <v>24263</v>
      </c>
      <c r="K2304" s="19" t="s">
        <v>24263</v>
      </c>
      <c r="L2304" s="19" t="s">
        <v>24264</v>
      </c>
      <c r="M2304" s="20" t="s">
        <v>22022</v>
      </c>
      <c r="N2304" s="44" t="s">
        <v>24265</v>
      </c>
      <c r="O2304" s="22">
        <v>50.0</v>
      </c>
      <c r="P2304" s="28">
        <v>0.0</v>
      </c>
      <c r="Q2304" s="28">
        <v>31.0</v>
      </c>
      <c r="R2304" s="84"/>
      <c r="S2304" s="84"/>
      <c r="T2304" s="84"/>
      <c r="U2304" s="84"/>
      <c r="V2304" s="84"/>
      <c r="W2304" s="84"/>
      <c r="X2304" s="84"/>
      <c r="Y2304" s="84"/>
      <c r="Z2304" s="84"/>
      <c r="AA2304" s="84"/>
    </row>
    <row r="2305" ht="15.75" customHeight="1">
      <c r="A2305" s="42" t="s">
        <v>4153</v>
      </c>
      <c r="B2305" s="15" t="s">
        <v>23545</v>
      </c>
      <c r="C2305" s="14" t="s">
        <v>24266</v>
      </c>
      <c r="D2305" s="14" t="s">
        <v>24267</v>
      </c>
      <c r="E2305" s="26" t="str">
        <f t="shared" si="29"/>
        <v>http://dx.doi.org/10.1109/TVCG.2012.284</v>
      </c>
      <c r="F2305" s="14">
        <v>2023.0</v>
      </c>
      <c r="G2305" s="14">
        <v>2032.0</v>
      </c>
      <c r="H2305" s="14" t="s">
        <v>17059</v>
      </c>
      <c r="I2305" s="19" t="s">
        <v>24268</v>
      </c>
      <c r="J2305" s="19" t="s">
        <v>24269</v>
      </c>
      <c r="K2305" s="19" t="s">
        <v>24269</v>
      </c>
      <c r="L2305" s="19" t="s">
        <v>24270</v>
      </c>
      <c r="M2305" s="20" t="s">
        <v>24271</v>
      </c>
      <c r="N2305" s="44" t="s">
        <v>24272</v>
      </c>
      <c r="O2305" s="22">
        <v>50.0</v>
      </c>
      <c r="P2305" s="28">
        <v>13.0</v>
      </c>
      <c r="Q2305" s="28">
        <v>42.0</v>
      </c>
      <c r="R2305" s="84"/>
      <c r="S2305" s="84"/>
      <c r="T2305" s="84"/>
      <c r="U2305" s="84"/>
      <c r="V2305" s="84"/>
      <c r="W2305" s="84"/>
      <c r="X2305" s="84"/>
      <c r="Y2305" s="84"/>
      <c r="Z2305" s="84"/>
      <c r="AA2305" s="84"/>
    </row>
    <row r="2306" ht="15.75" customHeight="1">
      <c r="A2306" s="42" t="s">
        <v>4153</v>
      </c>
      <c r="B2306" s="15" t="s">
        <v>23545</v>
      </c>
      <c r="C2306" s="14" t="s">
        <v>24274</v>
      </c>
      <c r="D2306" s="14" t="s">
        <v>24275</v>
      </c>
      <c r="E2306" s="26" t="str">
        <f t="shared" si="29"/>
        <v>http://dx.doi.org/10.1109/TVCG.2012.287</v>
      </c>
      <c r="F2306" s="14">
        <v>2033.0</v>
      </c>
      <c r="G2306" s="14">
        <v>2040.0</v>
      </c>
      <c r="H2306" s="14" t="s">
        <v>17059</v>
      </c>
      <c r="I2306" s="19" t="s">
        <v>24276</v>
      </c>
      <c r="J2306" s="19" t="s">
        <v>24277</v>
      </c>
      <c r="K2306" s="19" t="s">
        <v>24278</v>
      </c>
      <c r="L2306" s="19" t="s">
        <v>24279</v>
      </c>
      <c r="M2306" s="20" t="s">
        <v>19805</v>
      </c>
      <c r="N2306" s="44" t="s">
        <v>24280</v>
      </c>
      <c r="O2306" s="22">
        <v>21.0</v>
      </c>
      <c r="P2306" s="28">
        <v>12.0</v>
      </c>
      <c r="Q2306" s="28">
        <v>35.0</v>
      </c>
      <c r="R2306" s="84"/>
      <c r="S2306" s="84"/>
      <c r="T2306" s="84"/>
      <c r="U2306" s="84"/>
      <c r="V2306" s="84"/>
      <c r="W2306" s="84"/>
      <c r="X2306" s="84"/>
      <c r="Y2306" s="84"/>
      <c r="Z2306" s="84"/>
      <c r="AA2306" s="84"/>
    </row>
    <row r="2307" ht="15.75" customHeight="1">
      <c r="A2307" s="42" t="s">
        <v>4153</v>
      </c>
      <c r="B2307" s="15" t="s">
        <v>23545</v>
      </c>
      <c r="C2307" s="14" t="s">
        <v>24281</v>
      </c>
      <c r="D2307" s="14" t="s">
        <v>24282</v>
      </c>
      <c r="E2307" s="26" t="str">
        <f t="shared" si="29"/>
        <v>http://dx.doi.org/10.1109/TVCG.2012.292</v>
      </c>
      <c r="F2307" s="14">
        <v>2236.0</v>
      </c>
      <c r="G2307" s="14">
        <v>2244.0</v>
      </c>
      <c r="H2307" s="14" t="s">
        <v>17059</v>
      </c>
      <c r="I2307" s="19" t="s">
        <v>24284</v>
      </c>
      <c r="J2307" s="19" t="s">
        <v>24286</v>
      </c>
      <c r="K2307" s="19" t="s">
        <v>24287</v>
      </c>
      <c r="L2307" s="19" t="s">
        <v>24288</v>
      </c>
      <c r="M2307" s="20" t="s">
        <v>24289</v>
      </c>
      <c r="N2307" s="44" t="s">
        <v>24290</v>
      </c>
      <c r="O2307" s="22">
        <v>30.0</v>
      </c>
      <c r="P2307" s="28">
        <v>17.0</v>
      </c>
      <c r="Q2307" s="28">
        <v>40.0</v>
      </c>
      <c r="R2307" s="84"/>
      <c r="S2307" s="84"/>
      <c r="T2307" s="84"/>
      <c r="U2307" s="84"/>
      <c r="V2307" s="84"/>
      <c r="W2307" s="84"/>
      <c r="X2307" s="84"/>
      <c r="Y2307" s="84"/>
      <c r="Z2307" s="84"/>
      <c r="AA2307" s="84"/>
    </row>
    <row r="2308" ht="15.75" customHeight="1">
      <c r="A2308" s="14" t="s">
        <v>120</v>
      </c>
      <c r="B2308" s="15" t="s">
        <v>23545</v>
      </c>
      <c r="C2308" s="14" t="s">
        <v>24291</v>
      </c>
      <c r="D2308" s="14" t="s">
        <v>24292</v>
      </c>
      <c r="E2308" s="26" t="str">
        <f t="shared" si="29"/>
        <v>http://dx.doi.org/10.1109/TVCG.2012.191</v>
      </c>
      <c r="F2308" s="14">
        <v>2899.0</v>
      </c>
      <c r="G2308" s="14">
        <v>2907.0</v>
      </c>
      <c r="H2308" s="14" t="s">
        <v>17059</v>
      </c>
      <c r="I2308" s="19" t="s">
        <v>24293</v>
      </c>
      <c r="J2308" s="19" t="s">
        <v>24294</v>
      </c>
      <c r="K2308" s="19" t="s">
        <v>24294</v>
      </c>
      <c r="L2308" s="19" t="s">
        <v>24295</v>
      </c>
      <c r="M2308" s="20" t="s">
        <v>24296</v>
      </c>
      <c r="N2308" s="44" t="s">
        <v>24297</v>
      </c>
      <c r="O2308" s="22">
        <v>24.0</v>
      </c>
      <c r="P2308" s="28">
        <v>19.0</v>
      </c>
      <c r="Q2308" s="28">
        <v>35.0</v>
      </c>
      <c r="R2308" s="84"/>
      <c r="S2308" s="84"/>
      <c r="T2308" s="84"/>
      <c r="U2308" s="84"/>
      <c r="V2308" s="84"/>
      <c r="W2308" s="84"/>
      <c r="X2308" s="84"/>
      <c r="Y2308" s="84"/>
      <c r="Z2308" s="84"/>
      <c r="AA2308" s="84"/>
    </row>
    <row r="2309" ht="15.75" customHeight="1">
      <c r="A2309" s="14" t="s">
        <v>120</v>
      </c>
      <c r="B2309" s="15" t="s">
        <v>23545</v>
      </c>
      <c r="C2309" s="14" t="s">
        <v>24298</v>
      </c>
      <c r="D2309" s="14" t="s">
        <v>24299</v>
      </c>
      <c r="E2309" s="26" t="str">
        <f t="shared" si="29"/>
        <v>http://dx.doi.org/10.1109/TVCG.2012.195</v>
      </c>
      <c r="F2309" s="14">
        <v>2859.0</v>
      </c>
      <c r="G2309" s="14">
        <v>2868.0</v>
      </c>
      <c r="H2309" s="14" t="s">
        <v>17059</v>
      </c>
      <c r="I2309" s="19" t="s">
        <v>24300</v>
      </c>
      <c r="J2309" s="19" t="s">
        <v>24301</v>
      </c>
      <c r="K2309" s="19" t="s">
        <v>24302</v>
      </c>
      <c r="L2309" s="19" t="s">
        <v>24303</v>
      </c>
      <c r="M2309" s="20" t="s">
        <v>24304</v>
      </c>
      <c r="N2309" s="44" t="s">
        <v>24305</v>
      </c>
      <c r="O2309" s="22">
        <v>50.0</v>
      </c>
      <c r="P2309" s="28">
        <v>15.0</v>
      </c>
      <c r="Q2309" s="28">
        <v>83.0</v>
      </c>
      <c r="R2309" s="84"/>
      <c r="S2309" s="84"/>
      <c r="T2309" s="84"/>
      <c r="U2309" s="84"/>
      <c r="V2309" s="84"/>
      <c r="W2309" s="84"/>
      <c r="X2309" s="84"/>
      <c r="Y2309" s="84"/>
      <c r="Z2309" s="84"/>
      <c r="AA2309" s="84"/>
    </row>
    <row r="2310" ht="15.75" customHeight="1">
      <c r="A2310" s="14" t="s">
        <v>120</v>
      </c>
      <c r="B2310" s="15" t="s">
        <v>23545</v>
      </c>
      <c r="C2310" s="14" t="s">
        <v>24307</v>
      </c>
      <c r="D2310" s="14" t="s">
        <v>24308</v>
      </c>
      <c r="E2310" s="26" t="str">
        <f t="shared" si="29"/>
        <v>http://dx.doi.org/10.1109/TVCG.2012.219</v>
      </c>
      <c r="F2310" s="14">
        <v>2917.0</v>
      </c>
      <c r="G2310" s="14">
        <v>2926.0</v>
      </c>
      <c r="H2310" s="14" t="s">
        <v>17059</v>
      </c>
      <c r="I2310" s="19" t="s">
        <v>24309</v>
      </c>
      <c r="J2310" s="19" t="s">
        <v>24310</v>
      </c>
      <c r="K2310" s="19" t="s">
        <v>24310</v>
      </c>
      <c r="L2310" s="19" t="s">
        <v>24311</v>
      </c>
      <c r="M2310" s="20" t="s">
        <v>24312</v>
      </c>
      <c r="N2310" s="44" t="s">
        <v>24313</v>
      </c>
      <c r="O2310" s="22">
        <v>188.0</v>
      </c>
      <c r="P2310" s="28">
        <v>60.0</v>
      </c>
      <c r="Q2310" s="28">
        <v>37.0</v>
      </c>
      <c r="R2310" s="85" t="s">
        <v>19037</v>
      </c>
      <c r="S2310" s="84"/>
      <c r="T2310" s="84"/>
      <c r="U2310" s="84"/>
      <c r="V2310" s="84"/>
      <c r="W2310" s="84"/>
      <c r="X2310" s="84"/>
      <c r="Y2310" s="84"/>
      <c r="Z2310" s="84"/>
      <c r="AA2310" s="84"/>
    </row>
    <row r="2311" ht="15.75" customHeight="1">
      <c r="A2311" s="14" t="s">
        <v>120</v>
      </c>
      <c r="B2311" s="15" t="s">
        <v>23545</v>
      </c>
      <c r="C2311" s="14" t="s">
        <v>24314</v>
      </c>
      <c r="D2311" s="14" t="s">
        <v>24315</v>
      </c>
      <c r="E2311" s="26" t="str">
        <f t="shared" si="29"/>
        <v>http://dx.doi.org/10.1109/TVCG.2012.224</v>
      </c>
      <c r="F2311" s="14">
        <v>2869.0</v>
      </c>
      <c r="G2311" s="14">
        <v>2878.0</v>
      </c>
      <c r="H2311" s="14" t="s">
        <v>17059</v>
      </c>
      <c r="I2311" s="19" t="s">
        <v>24318</v>
      </c>
      <c r="J2311" s="19" t="s">
        <v>22706</v>
      </c>
      <c r="K2311" s="19" t="s">
        <v>22707</v>
      </c>
      <c r="L2311" s="19" t="s">
        <v>24319</v>
      </c>
      <c r="M2311" s="20" t="s">
        <v>24320</v>
      </c>
      <c r="N2311" s="44" t="s">
        <v>24322</v>
      </c>
      <c r="O2311" s="22">
        <v>50.0</v>
      </c>
      <c r="P2311" s="28">
        <v>15.0</v>
      </c>
      <c r="Q2311" s="28">
        <v>42.0</v>
      </c>
      <c r="R2311" s="84"/>
      <c r="S2311" s="84"/>
      <c r="T2311" s="84"/>
      <c r="U2311" s="84"/>
      <c r="V2311" s="84"/>
      <c r="W2311" s="84"/>
      <c r="X2311" s="84"/>
      <c r="Y2311" s="84"/>
      <c r="Z2311" s="84"/>
      <c r="AA2311" s="84"/>
    </row>
    <row r="2312" ht="15.75" customHeight="1">
      <c r="A2312" s="14" t="s">
        <v>120</v>
      </c>
      <c r="B2312" s="15" t="s">
        <v>23545</v>
      </c>
      <c r="C2312" s="14" t="s">
        <v>24323</v>
      </c>
      <c r="D2312" s="14" t="s">
        <v>24324</v>
      </c>
      <c r="E2312" s="26" t="str">
        <f t="shared" si="29"/>
        <v>http://dx.doi.org/10.1109/TVCG.2012.254</v>
      </c>
      <c r="F2312" s="14">
        <v>2849.0</v>
      </c>
      <c r="G2312" s="14">
        <v>2858.0</v>
      </c>
      <c r="H2312" s="14" t="s">
        <v>17059</v>
      </c>
      <c r="I2312" s="19" t="s">
        <v>24325</v>
      </c>
      <c r="J2312" s="19" t="s">
        <v>24326</v>
      </c>
      <c r="K2312" s="19" t="s">
        <v>24326</v>
      </c>
      <c r="L2312" s="19" t="s">
        <v>24327</v>
      </c>
      <c r="M2312" s="20" t="s">
        <v>24328</v>
      </c>
      <c r="N2312" s="44" t="s">
        <v>24329</v>
      </c>
      <c r="O2312" s="22">
        <v>50.0</v>
      </c>
      <c r="P2312" s="28">
        <v>8.0</v>
      </c>
      <c r="Q2312" s="28">
        <v>42.0</v>
      </c>
      <c r="R2312" s="85" t="s">
        <v>19037</v>
      </c>
      <c r="S2312" s="84"/>
      <c r="T2312" s="84"/>
      <c r="U2312" s="84"/>
      <c r="V2312" s="84"/>
      <c r="W2312" s="84"/>
      <c r="X2312" s="84"/>
      <c r="Y2312" s="84"/>
      <c r="Z2312" s="84"/>
      <c r="AA2312" s="84"/>
    </row>
    <row r="2313" ht="15.75" customHeight="1">
      <c r="A2313" s="14" t="s">
        <v>120</v>
      </c>
      <c r="B2313" s="15" t="s">
        <v>23545</v>
      </c>
      <c r="C2313" s="14" t="s">
        <v>24330</v>
      </c>
      <c r="D2313" s="14" t="s">
        <v>24331</v>
      </c>
      <c r="E2313" s="26" t="str">
        <f t="shared" si="29"/>
        <v>http://dx.doi.org/10.1109/TVCG.2012.258</v>
      </c>
      <c r="F2313" s="14">
        <v>2829.0</v>
      </c>
      <c r="G2313" s="14">
        <v>2838.0</v>
      </c>
      <c r="H2313" s="14" t="s">
        <v>17059</v>
      </c>
      <c r="I2313" s="19" t="s">
        <v>24332</v>
      </c>
      <c r="J2313" s="19" t="s">
        <v>24333</v>
      </c>
      <c r="K2313" s="19" t="s">
        <v>24334</v>
      </c>
      <c r="L2313" s="18"/>
      <c r="M2313" s="20" t="s">
        <v>24335</v>
      </c>
      <c r="N2313" s="44" t="s">
        <v>24336</v>
      </c>
      <c r="O2313" s="22">
        <v>21.0</v>
      </c>
      <c r="P2313" s="28">
        <v>10.0</v>
      </c>
      <c r="Q2313" s="28">
        <v>64.0</v>
      </c>
      <c r="R2313" s="84"/>
      <c r="S2313" s="84"/>
      <c r="T2313" s="84"/>
      <c r="U2313" s="84"/>
      <c r="V2313" s="84"/>
      <c r="W2313" s="84"/>
      <c r="X2313" s="84"/>
      <c r="Y2313" s="84"/>
      <c r="Z2313" s="84"/>
      <c r="AA2313" s="84"/>
    </row>
    <row r="2314" ht="15.75" customHeight="1">
      <c r="A2314" s="14" t="s">
        <v>120</v>
      </c>
      <c r="B2314" s="15" t="s">
        <v>23545</v>
      </c>
      <c r="C2314" s="14" t="s">
        <v>24339</v>
      </c>
      <c r="D2314" s="14" t="s">
        <v>24340</v>
      </c>
      <c r="E2314" s="26" t="str">
        <f t="shared" si="29"/>
        <v>http://dx.doi.org/10.1109/TVCG.2012.260</v>
      </c>
      <c r="F2314" s="14">
        <v>2879.0</v>
      </c>
      <c r="G2314" s="14">
        <v>2888.0</v>
      </c>
      <c r="H2314" s="14" t="s">
        <v>17059</v>
      </c>
      <c r="I2314" s="19" t="s">
        <v>24342</v>
      </c>
      <c r="J2314" s="19" t="s">
        <v>24343</v>
      </c>
      <c r="K2314" s="19" t="s">
        <v>24343</v>
      </c>
      <c r="L2314" s="19" t="s">
        <v>24344</v>
      </c>
      <c r="M2314" s="20" t="s">
        <v>24345</v>
      </c>
      <c r="N2314" s="44" t="s">
        <v>24346</v>
      </c>
      <c r="O2314" s="22">
        <v>60.0</v>
      </c>
      <c r="P2314" s="28">
        <v>42.0</v>
      </c>
      <c r="Q2314" s="28">
        <v>36.0</v>
      </c>
      <c r="R2314" s="84"/>
      <c r="S2314" s="84"/>
      <c r="T2314" s="84"/>
      <c r="U2314" s="84"/>
      <c r="V2314" s="84"/>
      <c r="W2314" s="84"/>
      <c r="X2314" s="84"/>
      <c r="Y2314" s="84"/>
      <c r="Z2314" s="84"/>
      <c r="AA2314" s="84"/>
    </row>
    <row r="2315" ht="15.75" customHeight="1">
      <c r="A2315" s="14" t="s">
        <v>120</v>
      </c>
      <c r="B2315" s="15" t="s">
        <v>23545</v>
      </c>
      <c r="C2315" s="14" t="s">
        <v>24347</v>
      </c>
      <c r="D2315" s="14" t="s">
        <v>24348</v>
      </c>
      <c r="E2315" s="26" t="str">
        <f t="shared" si="29"/>
        <v>http://dx.doi.org/10.1109/TVCG.2012.273</v>
      </c>
      <c r="F2315" s="14">
        <v>2908.0</v>
      </c>
      <c r="G2315" s="14">
        <v>2916.0</v>
      </c>
      <c r="H2315" s="14" t="s">
        <v>17059</v>
      </c>
      <c r="I2315" s="19" t="s">
        <v>24349</v>
      </c>
      <c r="J2315" s="19" t="s">
        <v>24350</v>
      </c>
      <c r="K2315" s="19" t="s">
        <v>24350</v>
      </c>
      <c r="L2315" s="19" t="s">
        <v>24351</v>
      </c>
      <c r="M2315" s="20" t="s">
        <v>24352</v>
      </c>
      <c r="N2315" s="44" t="s">
        <v>24353</v>
      </c>
      <c r="O2315" s="22">
        <v>10.0</v>
      </c>
      <c r="P2315" s="28">
        <v>13.0</v>
      </c>
      <c r="Q2315" s="28">
        <v>65.0</v>
      </c>
      <c r="R2315" s="84"/>
      <c r="S2315" s="84"/>
      <c r="T2315" s="84"/>
      <c r="U2315" s="84"/>
      <c r="V2315" s="84"/>
      <c r="W2315" s="84"/>
      <c r="X2315" s="84"/>
      <c r="Y2315" s="84"/>
      <c r="Z2315" s="84"/>
      <c r="AA2315" s="84"/>
    </row>
    <row r="2316" ht="15.75" customHeight="1">
      <c r="A2316" s="14" t="s">
        <v>120</v>
      </c>
      <c r="B2316" s="15" t="s">
        <v>23545</v>
      </c>
      <c r="C2316" s="14" t="s">
        <v>24354</v>
      </c>
      <c r="D2316" s="14" t="s">
        <v>24355</v>
      </c>
      <c r="E2316" s="26" t="str">
        <f t="shared" si="29"/>
        <v>http://dx.doi.org/10.1109/TVCG.2012.276</v>
      </c>
      <c r="F2316" s="14">
        <v>2889.0</v>
      </c>
      <c r="G2316" s="14">
        <v>2898.0</v>
      </c>
      <c r="H2316" s="14" t="s">
        <v>17059</v>
      </c>
      <c r="I2316" s="19" t="s">
        <v>24356</v>
      </c>
      <c r="J2316" s="19" t="s">
        <v>24357</v>
      </c>
      <c r="K2316" s="19" t="s">
        <v>24358</v>
      </c>
      <c r="L2316" s="19" t="s">
        <v>24360</v>
      </c>
      <c r="M2316" s="20" t="s">
        <v>24361</v>
      </c>
      <c r="N2316" s="44" t="s">
        <v>24362</v>
      </c>
      <c r="O2316" s="22">
        <v>121.0</v>
      </c>
      <c r="P2316" s="28">
        <v>60.0</v>
      </c>
      <c r="Q2316" s="28">
        <v>33.0</v>
      </c>
      <c r="R2316" s="85" t="s">
        <v>106</v>
      </c>
      <c r="S2316" s="84"/>
      <c r="T2316" s="84"/>
      <c r="U2316" s="84"/>
      <c r="V2316" s="84"/>
      <c r="W2316" s="84"/>
      <c r="X2316" s="84"/>
      <c r="Y2316" s="84"/>
      <c r="Z2316" s="84"/>
      <c r="AA2316" s="84"/>
    </row>
    <row r="2317" ht="15.75" customHeight="1">
      <c r="A2317" s="14" t="s">
        <v>120</v>
      </c>
      <c r="B2317" s="15" t="s">
        <v>23545</v>
      </c>
      <c r="C2317" s="14" t="s">
        <v>24363</v>
      </c>
      <c r="D2317" s="14" t="s">
        <v>24364</v>
      </c>
      <c r="E2317" s="26" t="str">
        <f t="shared" si="29"/>
        <v>http://dx.doi.org/10.1109/TVCG.2012.277</v>
      </c>
      <c r="F2317" s="14">
        <v>2839.0</v>
      </c>
      <c r="G2317" s="14">
        <v>2848.0</v>
      </c>
      <c r="H2317" s="14" t="s">
        <v>17059</v>
      </c>
      <c r="I2317" s="19" t="s">
        <v>24366</v>
      </c>
      <c r="J2317" s="19" t="s">
        <v>24367</v>
      </c>
      <c r="K2317" s="19" t="s">
        <v>24367</v>
      </c>
      <c r="L2317" s="19" t="s">
        <v>24368</v>
      </c>
      <c r="M2317" s="20" t="s">
        <v>24369</v>
      </c>
      <c r="N2317" s="44" t="s">
        <v>24370</v>
      </c>
      <c r="O2317" s="22">
        <v>61.0</v>
      </c>
      <c r="P2317" s="28">
        <v>47.0</v>
      </c>
      <c r="Q2317" s="28">
        <v>48.0</v>
      </c>
      <c r="R2317" s="84"/>
      <c r="S2317" s="84"/>
      <c r="T2317" s="84"/>
      <c r="U2317" s="84"/>
      <c r="V2317" s="84"/>
      <c r="W2317" s="84"/>
      <c r="X2317" s="84"/>
      <c r="Y2317" s="84"/>
      <c r="Z2317" s="84"/>
      <c r="AA2317" s="84"/>
    </row>
    <row r="2318" ht="15.75" customHeight="1">
      <c r="A2318" s="14" t="s">
        <v>120</v>
      </c>
      <c r="B2318" s="15" t="s">
        <v>23545</v>
      </c>
      <c r="C2318" s="14" t="s">
        <v>24371</v>
      </c>
      <c r="D2318" s="14" t="s">
        <v>24372</v>
      </c>
      <c r="E2318" s="26" t="str">
        <f t="shared" si="29"/>
        <v>http://dx.doi.org/10.1109/VAST.2012.6400484</v>
      </c>
      <c r="F2318" s="14">
        <v>103.0</v>
      </c>
      <c r="G2318" s="14">
        <v>112.0</v>
      </c>
      <c r="H2318" s="14" t="s">
        <v>28</v>
      </c>
      <c r="I2318" s="19" t="s">
        <v>24373</v>
      </c>
      <c r="J2318" s="19" t="s">
        <v>24374</v>
      </c>
      <c r="K2318" s="19" t="s">
        <v>24375</v>
      </c>
      <c r="L2318" s="19" t="s">
        <v>24376</v>
      </c>
      <c r="M2318" s="20" t="s">
        <v>24377</v>
      </c>
      <c r="N2318" s="44" t="s">
        <v>24378</v>
      </c>
      <c r="O2318" s="22">
        <v>50.0</v>
      </c>
      <c r="P2318" s="28">
        <v>3.0</v>
      </c>
      <c r="Q2318" s="28">
        <v>36.0</v>
      </c>
      <c r="R2318" s="84"/>
      <c r="S2318" s="84"/>
      <c r="T2318" s="84"/>
      <c r="U2318" s="84"/>
      <c r="V2318" s="84"/>
      <c r="W2318" s="84"/>
      <c r="X2318" s="84"/>
      <c r="Y2318" s="84"/>
      <c r="Z2318" s="84"/>
      <c r="AA2318" s="84"/>
    </row>
    <row r="2319" ht="15.75" customHeight="1">
      <c r="A2319" s="14" t="s">
        <v>120</v>
      </c>
      <c r="B2319" s="15" t="s">
        <v>23545</v>
      </c>
      <c r="C2319" s="14" t="s">
        <v>24379</v>
      </c>
      <c r="D2319" s="14" t="s">
        <v>24380</v>
      </c>
      <c r="E2319" s="26" t="str">
        <f t="shared" si="29"/>
        <v>http://dx.doi.org/10.1109/VAST.2012.6400485</v>
      </c>
      <c r="F2319" s="14">
        <v>93.0</v>
      </c>
      <c r="G2319" s="14">
        <v>102.0</v>
      </c>
      <c r="H2319" s="14" t="s">
        <v>28</v>
      </c>
      <c r="I2319" s="19" t="s">
        <v>24382</v>
      </c>
      <c r="J2319" s="19" t="s">
        <v>24383</v>
      </c>
      <c r="K2319" s="19" t="s">
        <v>24383</v>
      </c>
      <c r="L2319" s="19" t="s">
        <v>24384</v>
      </c>
      <c r="M2319" s="20" t="s">
        <v>24385</v>
      </c>
      <c r="N2319" s="27"/>
      <c r="O2319" s="22">
        <v>156.0</v>
      </c>
      <c r="P2319" s="28">
        <v>62.0</v>
      </c>
      <c r="Q2319" s="28">
        <v>43.0</v>
      </c>
      <c r="R2319" s="84"/>
      <c r="S2319" s="84"/>
      <c r="T2319" s="84"/>
      <c r="U2319" s="84"/>
      <c r="V2319" s="84"/>
      <c r="W2319" s="84"/>
      <c r="X2319" s="84"/>
      <c r="Y2319" s="84"/>
      <c r="Z2319" s="84"/>
      <c r="AA2319" s="84"/>
    </row>
    <row r="2320" ht="15.75" customHeight="1">
      <c r="A2320" s="14" t="s">
        <v>120</v>
      </c>
      <c r="B2320" s="15" t="s">
        <v>23545</v>
      </c>
      <c r="C2320" s="14" t="s">
        <v>24387</v>
      </c>
      <c r="D2320" s="14" t="s">
        <v>24388</v>
      </c>
      <c r="E2320" s="26" t="str">
        <f t="shared" si="29"/>
        <v>http://dx.doi.org/10.1109/VAST.2012.6400486</v>
      </c>
      <c r="F2320" s="14">
        <v>83.0</v>
      </c>
      <c r="G2320" s="14">
        <v>92.0</v>
      </c>
      <c r="H2320" s="14" t="s">
        <v>28</v>
      </c>
      <c r="I2320" s="19" t="s">
        <v>24389</v>
      </c>
      <c r="J2320" s="19" t="s">
        <v>24390</v>
      </c>
      <c r="K2320" s="19" t="s">
        <v>24390</v>
      </c>
      <c r="L2320" s="19" t="s">
        <v>24391</v>
      </c>
      <c r="M2320" s="20" t="s">
        <v>24392</v>
      </c>
      <c r="N2320" s="27"/>
      <c r="O2320" s="22">
        <v>41.0</v>
      </c>
      <c r="P2320" s="28">
        <v>48.0</v>
      </c>
      <c r="Q2320" s="28">
        <v>40.0</v>
      </c>
      <c r="R2320" s="84"/>
      <c r="S2320" s="84"/>
      <c r="T2320" s="84"/>
      <c r="U2320" s="84"/>
      <c r="V2320" s="84"/>
      <c r="W2320" s="84"/>
      <c r="X2320" s="84"/>
      <c r="Y2320" s="84"/>
      <c r="Z2320" s="84"/>
      <c r="AA2320" s="84"/>
    </row>
    <row r="2321" ht="15.75" customHeight="1">
      <c r="A2321" s="14" t="s">
        <v>120</v>
      </c>
      <c r="B2321" s="15" t="s">
        <v>23545</v>
      </c>
      <c r="C2321" s="14" t="s">
        <v>24393</v>
      </c>
      <c r="D2321" s="14" t="s">
        <v>24394</v>
      </c>
      <c r="E2321" s="26" t="str">
        <f t="shared" si="29"/>
        <v>http://dx.doi.org/10.1109/VAST.2012.6400487</v>
      </c>
      <c r="F2321" s="14">
        <v>73.0</v>
      </c>
      <c r="G2321" s="14">
        <v>82.0</v>
      </c>
      <c r="H2321" s="14" t="s">
        <v>28</v>
      </c>
      <c r="I2321" s="19" t="s">
        <v>24395</v>
      </c>
      <c r="J2321" s="19" t="s">
        <v>24396</v>
      </c>
      <c r="K2321" s="19" t="s">
        <v>24396</v>
      </c>
      <c r="L2321" s="19" t="s">
        <v>24397</v>
      </c>
      <c r="M2321" s="20" t="s">
        <v>24398</v>
      </c>
      <c r="N2321" s="44" t="s">
        <v>24399</v>
      </c>
      <c r="O2321" s="22">
        <v>39.0</v>
      </c>
      <c r="P2321" s="28">
        <v>21.0</v>
      </c>
      <c r="Q2321" s="28">
        <v>41.0</v>
      </c>
      <c r="R2321" s="84"/>
      <c r="S2321" s="84"/>
      <c r="T2321" s="84"/>
      <c r="U2321" s="84"/>
      <c r="V2321" s="84"/>
      <c r="W2321" s="84"/>
      <c r="X2321" s="84"/>
      <c r="Y2321" s="84"/>
      <c r="Z2321" s="84"/>
      <c r="AA2321" s="84"/>
    </row>
    <row r="2322" ht="15.75" customHeight="1">
      <c r="A2322" s="14" t="s">
        <v>120</v>
      </c>
      <c r="B2322" s="15" t="s">
        <v>23545</v>
      </c>
      <c r="C2322" s="14" t="s">
        <v>24400</v>
      </c>
      <c r="D2322" s="14" t="s">
        <v>24401</v>
      </c>
      <c r="E2322" s="26" t="str">
        <f t="shared" si="29"/>
        <v>http://dx.doi.org/10.1109/VAST.2012.6400488</v>
      </c>
      <c r="F2322" s="14">
        <v>63.0</v>
      </c>
      <c r="G2322" s="14">
        <v>72.0</v>
      </c>
      <c r="H2322" s="14" t="s">
        <v>28</v>
      </c>
      <c r="I2322" s="19" t="s">
        <v>24403</v>
      </c>
      <c r="J2322" s="19" t="s">
        <v>24404</v>
      </c>
      <c r="K2322" s="19" t="s">
        <v>24405</v>
      </c>
      <c r="L2322" s="19" t="s">
        <v>24406</v>
      </c>
      <c r="M2322" s="20" t="s">
        <v>24407</v>
      </c>
      <c r="N2322" s="27"/>
      <c r="O2322" s="22">
        <v>71.0</v>
      </c>
      <c r="P2322" s="28">
        <v>31.0</v>
      </c>
      <c r="Q2322" s="28">
        <v>35.0</v>
      </c>
      <c r="R2322" s="84"/>
      <c r="S2322" s="84"/>
      <c r="T2322" s="84"/>
      <c r="U2322" s="84"/>
      <c r="V2322" s="84"/>
      <c r="W2322" s="84"/>
      <c r="X2322" s="84"/>
      <c r="Y2322" s="84"/>
      <c r="Z2322" s="84"/>
      <c r="AA2322" s="84"/>
    </row>
    <row r="2323" ht="15.75" customHeight="1">
      <c r="A2323" s="14" t="s">
        <v>120</v>
      </c>
      <c r="B2323" s="15" t="s">
        <v>23545</v>
      </c>
      <c r="C2323" s="14" t="s">
        <v>24409</v>
      </c>
      <c r="D2323" s="14" t="s">
        <v>24410</v>
      </c>
      <c r="E2323" s="26" t="str">
        <f t="shared" si="29"/>
        <v>http://dx.doi.org/10.1109/VAST.2012.6400489</v>
      </c>
      <c r="F2323" s="14">
        <v>53.0</v>
      </c>
      <c r="G2323" s="14">
        <v>62.0</v>
      </c>
      <c r="H2323" s="14" t="s">
        <v>28</v>
      </c>
      <c r="I2323" s="19" t="s">
        <v>24411</v>
      </c>
      <c r="J2323" s="19" t="s">
        <v>24412</v>
      </c>
      <c r="K2323" s="19" t="s">
        <v>24413</v>
      </c>
      <c r="L2323" s="19" t="s">
        <v>24414</v>
      </c>
      <c r="M2323" s="20" t="s">
        <v>24415</v>
      </c>
      <c r="N2323" s="27"/>
      <c r="O2323" s="22">
        <v>7.0</v>
      </c>
      <c r="P2323" s="28">
        <v>6.0</v>
      </c>
      <c r="Q2323" s="28">
        <v>51.0</v>
      </c>
      <c r="R2323" s="84"/>
      <c r="S2323" s="84"/>
      <c r="T2323" s="84"/>
      <c r="U2323" s="84"/>
      <c r="V2323" s="84"/>
      <c r="W2323" s="84"/>
      <c r="X2323" s="84"/>
      <c r="Y2323" s="84"/>
      <c r="Z2323" s="84"/>
      <c r="AA2323" s="84"/>
    </row>
    <row r="2324" ht="15.75" customHeight="1">
      <c r="A2324" s="14" t="s">
        <v>120</v>
      </c>
      <c r="B2324" s="15" t="s">
        <v>23545</v>
      </c>
      <c r="C2324" s="14" t="s">
        <v>24416</v>
      </c>
      <c r="D2324" s="14" t="s">
        <v>24417</v>
      </c>
      <c r="E2324" s="26" t="str">
        <f t="shared" si="29"/>
        <v>http://dx.doi.org/10.1109/VAST.2012.6400490</v>
      </c>
      <c r="F2324" s="14">
        <v>43.0</v>
      </c>
      <c r="G2324" s="14">
        <v>52.0</v>
      </c>
      <c r="H2324" s="14" t="s">
        <v>28</v>
      </c>
      <c r="I2324" s="19" t="s">
        <v>24418</v>
      </c>
      <c r="J2324" s="19" t="s">
        <v>22889</v>
      </c>
      <c r="K2324" s="19" t="s">
        <v>22890</v>
      </c>
      <c r="L2324" s="19" t="s">
        <v>24420</v>
      </c>
      <c r="M2324" s="20" t="s">
        <v>24421</v>
      </c>
      <c r="N2324" s="44" t="s">
        <v>24422</v>
      </c>
      <c r="O2324" s="22">
        <v>22.0</v>
      </c>
      <c r="P2324" s="28">
        <v>12.0</v>
      </c>
      <c r="Q2324" s="28">
        <v>49.0</v>
      </c>
      <c r="R2324" s="84"/>
      <c r="S2324" s="84"/>
      <c r="T2324" s="84"/>
      <c r="U2324" s="84"/>
      <c r="V2324" s="84"/>
      <c r="W2324" s="84"/>
      <c r="X2324" s="84"/>
      <c r="Y2324" s="84"/>
      <c r="Z2324" s="84"/>
      <c r="AA2324" s="84"/>
    </row>
    <row r="2325" ht="15.75" customHeight="1">
      <c r="A2325" s="14" t="s">
        <v>120</v>
      </c>
      <c r="B2325" s="15" t="s">
        <v>23545</v>
      </c>
      <c r="C2325" s="14" t="s">
        <v>24423</v>
      </c>
      <c r="D2325" s="14" t="s">
        <v>24424</v>
      </c>
      <c r="E2325" s="26" t="str">
        <f t="shared" si="29"/>
        <v>http://dx.doi.org/10.1109/VAST.2012.6400491</v>
      </c>
      <c r="F2325" s="14">
        <v>33.0</v>
      </c>
      <c r="G2325" s="14">
        <v>42.0</v>
      </c>
      <c r="H2325" s="14" t="s">
        <v>28</v>
      </c>
      <c r="I2325" s="19" t="s">
        <v>24426</v>
      </c>
      <c r="J2325" s="19" t="s">
        <v>24427</v>
      </c>
      <c r="K2325" s="19" t="s">
        <v>24427</v>
      </c>
      <c r="L2325" s="19" t="s">
        <v>24428</v>
      </c>
      <c r="M2325" s="20" t="s">
        <v>24429</v>
      </c>
      <c r="N2325" s="44" t="s">
        <v>24430</v>
      </c>
      <c r="O2325" s="22">
        <v>50.0</v>
      </c>
      <c r="P2325" s="28">
        <v>16.0</v>
      </c>
      <c r="Q2325" s="28">
        <v>34.0</v>
      </c>
      <c r="R2325" s="84"/>
      <c r="S2325" s="84"/>
      <c r="T2325" s="84"/>
      <c r="U2325" s="84"/>
      <c r="V2325" s="84"/>
      <c r="W2325" s="84"/>
      <c r="X2325" s="84"/>
      <c r="Y2325" s="84"/>
      <c r="Z2325" s="84"/>
      <c r="AA2325" s="84"/>
    </row>
    <row r="2326" ht="15.75" customHeight="1">
      <c r="A2326" s="14" t="s">
        <v>120</v>
      </c>
      <c r="B2326" s="15" t="s">
        <v>23545</v>
      </c>
      <c r="C2326" s="14" t="s">
        <v>24431</v>
      </c>
      <c r="D2326" s="14" t="s">
        <v>24432</v>
      </c>
      <c r="E2326" s="26" t="str">
        <f t="shared" si="29"/>
        <v>http://dx.doi.org/10.1109/VAST.2012.6400492</v>
      </c>
      <c r="F2326" s="14">
        <v>23.0</v>
      </c>
      <c r="G2326" s="14">
        <v>32.0</v>
      </c>
      <c r="H2326" s="14" t="s">
        <v>28</v>
      </c>
      <c r="I2326" s="19" t="s">
        <v>24433</v>
      </c>
      <c r="J2326" s="19" t="s">
        <v>24434</v>
      </c>
      <c r="K2326" s="19" t="s">
        <v>24434</v>
      </c>
      <c r="L2326" s="19" t="s">
        <v>24435</v>
      </c>
      <c r="M2326" s="20" t="s">
        <v>24436</v>
      </c>
      <c r="N2326" s="27"/>
      <c r="O2326" s="22">
        <v>39.0</v>
      </c>
      <c r="P2326" s="28">
        <v>9.0</v>
      </c>
      <c r="Q2326" s="28">
        <v>43.0</v>
      </c>
      <c r="R2326" s="84"/>
      <c r="S2326" s="84"/>
      <c r="T2326" s="84"/>
      <c r="U2326" s="84"/>
      <c r="V2326" s="84"/>
      <c r="W2326" s="84"/>
      <c r="X2326" s="84"/>
      <c r="Y2326" s="84"/>
      <c r="Z2326" s="84"/>
      <c r="AA2326" s="84"/>
    </row>
    <row r="2327" ht="15.75" customHeight="1">
      <c r="A2327" s="14" t="s">
        <v>120</v>
      </c>
      <c r="B2327" s="15" t="s">
        <v>23545</v>
      </c>
      <c r="C2327" s="14" t="s">
        <v>24437</v>
      </c>
      <c r="D2327" s="14" t="s">
        <v>24438</v>
      </c>
      <c r="E2327" s="26" t="str">
        <f t="shared" si="29"/>
        <v>http://dx.doi.org/10.1109/VAST.2012.6400493</v>
      </c>
      <c r="F2327" s="14">
        <v>13.0</v>
      </c>
      <c r="G2327" s="14">
        <v>22.0</v>
      </c>
      <c r="H2327" s="14" t="s">
        <v>28</v>
      </c>
      <c r="I2327" s="19" t="s">
        <v>24440</v>
      </c>
      <c r="J2327" s="19" t="s">
        <v>24442</v>
      </c>
      <c r="K2327" s="19" t="s">
        <v>24442</v>
      </c>
      <c r="L2327" s="19" t="s">
        <v>21608</v>
      </c>
      <c r="M2327" s="20" t="s">
        <v>24443</v>
      </c>
      <c r="N2327" s="27"/>
      <c r="O2327" s="22">
        <v>50.0</v>
      </c>
      <c r="P2327" s="28">
        <v>4.0</v>
      </c>
      <c r="Q2327" s="28">
        <v>31.0</v>
      </c>
      <c r="R2327" s="84"/>
      <c r="S2327" s="84"/>
      <c r="T2327" s="84"/>
      <c r="U2327" s="84"/>
      <c r="V2327" s="84"/>
      <c r="W2327" s="84"/>
      <c r="X2327" s="84"/>
      <c r="Y2327" s="84"/>
      <c r="Z2327" s="84"/>
      <c r="AA2327" s="84"/>
    </row>
    <row r="2328" ht="15.75" customHeight="1">
      <c r="A2328" s="14" t="s">
        <v>120</v>
      </c>
      <c r="B2328" s="15" t="s">
        <v>23545</v>
      </c>
      <c r="C2328" s="14" t="s">
        <v>24444</v>
      </c>
      <c r="D2328" s="14" t="s">
        <v>24445</v>
      </c>
      <c r="E2328" s="26" t="str">
        <f t="shared" si="29"/>
        <v>http://dx.doi.org/10.1109/VAST.2012.6400494</v>
      </c>
      <c r="F2328" s="14">
        <v>3.0</v>
      </c>
      <c r="G2328" s="14">
        <v>12.0</v>
      </c>
      <c r="H2328" s="14" t="s">
        <v>28</v>
      </c>
      <c r="I2328" s="19" t="s">
        <v>24446</v>
      </c>
      <c r="J2328" s="19" t="s">
        <v>24447</v>
      </c>
      <c r="K2328" s="19" t="s">
        <v>24447</v>
      </c>
      <c r="L2328" s="19" t="s">
        <v>24448</v>
      </c>
      <c r="M2328" s="20" t="s">
        <v>24449</v>
      </c>
      <c r="N2328" s="27"/>
      <c r="O2328" s="22">
        <v>24.0</v>
      </c>
      <c r="P2328" s="28">
        <v>27.0</v>
      </c>
      <c r="Q2328" s="28">
        <v>28.0</v>
      </c>
      <c r="R2328" s="84"/>
      <c r="S2328" s="84"/>
      <c r="T2328" s="84"/>
      <c r="U2328" s="84"/>
      <c r="V2328" s="84"/>
      <c r="W2328" s="84"/>
      <c r="X2328" s="84"/>
      <c r="Y2328" s="84"/>
      <c r="Z2328" s="84"/>
      <c r="AA2328" s="84"/>
    </row>
    <row r="2329" ht="15.75" customHeight="1">
      <c r="A2329" s="14" t="s">
        <v>120</v>
      </c>
      <c r="B2329" s="15" t="s">
        <v>23545</v>
      </c>
      <c r="C2329" s="14" t="s">
        <v>24450</v>
      </c>
      <c r="D2329" s="14" t="s">
        <v>24451</v>
      </c>
      <c r="E2329" s="26" t="str">
        <f t="shared" si="29"/>
        <v>http://dx.doi.org/10.1109/VAST.2012.6400530</v>
      </c>
      <c r="F2329" s="14">
        <v>247.0</v>
      </c>
      <c r="G2329" s="14">
        <v>248.0</v>
      </c>
      <c r="H2329" s="14" t="s">
        <v>21</v>
      </c>
      <c r="I2329" s="19" t="s">
        <v>24452</v>
      </c>
      <c r="J2329" s="19" t="s">
        <v>24453</v>
      </c>
      <c r="K2329" s="19" t="s">
        <v>24453</v>
      </c>
      <c r="L2329" s="19" t="s">
        <v>21581</v>
      </c>
      <c r="M2329" s="20"/>
      <c r="N2329" s="27"/>
      <c r="O2329" s="22">
        <v>1.0</v>
      </c>
      <c r="P2329" s="28">
        <v>1.0</v>
      </c>
      <c r="Q2329" s="28">
        <v>4.0</v>
      </c>
      <c r="R2329" s="84"/>
      <c r="S2329" s="84"/>
      <c r="T2329" s="84"/>
      <c r="U2329" s="84"/>
      <c r="V2329" s="84"/>
      <c r="W2329" s="84"/>
      <c r="X2329" s="84"/>
      <c r="Y2329" s="84"/>
      <c r="Z2329" s="84"/>
      <c r="AA2329" s="84"/>
    </row>
    <row r="2330" ht="15.75" customHeight="1">
      <c r="A2330" s="14" t="s">
        <v>120</v>
      </c>
      <c r="B2330" s="15" t="s">
        <v>23545</v>
      </c>
      <c r="C2330" s="14" t="s">
        <v>24454</v>
      </c>
      <c r="D2330" s="14" t="s">
        <v>24455</v>
      </c>
      <c r="E2330" s="26" t="str">
        <f t="shared" si="29"/>
        <v>http://dx.doi.org/10.1109/VAST.2012.6400531</v>
      </c>
      <c r="F2330" s="14">
        <v>245.0</v>
      </c>
      <c r="G2330" s="14">
        <v>246.0</v>
      </c>
      <c r="H2330" s="14" t="s">
        <v>21</v>
      </c>
      <c r="I2330" s="19" t="s">
        <v>24457</v>
      </c>
      <c r="J2330" s="19" t="s">
        <v>24458</v>
      </c>
      <c r="K2330" s="19" t="s">
        <v>24459</v>
      </c>
      <c r="L2330" s="19" t="s">
        <v>24460</v>
      </c>
      <c r="M2330" s="20"/>
      <c r="N2330" s="27"/>
      <c r="O2330" s="22">
        <v>0.0</v>
      </c>
      <c r="P2330" s="28">
        <v>0.0</v>
      </c>
      <c r="Q2330" s="28">
        <v>7.0</v>
      </c>
      <c r="R2330" s="84"/>
      <c r="S2330" s="84"/>
      <c r="T2330" s="84"/>
      <c r="U2330" s="84"/>
      <c r="V2330" s="84"/>
      <c r="W2330" s="84"/>
      <c r="X2330" s="84"/>
      <c r="Y2330" s="84"/>
      <c r="Z2330" s="84"/>
      <c r="AA2330" s="84"/>
    </row>
    <row r="2331" ht="15.75" customHeight="1">
      <c r="A2331" s="14" t="s">
        <v>120</v>
      </c>
      <c r="B2331" s="15" t="s">
        <v>23545</v>
      </c>
      <c r="C2331" s="14" t="s">
        <v>24461</v>
      </c>
      <c r="D2331" s="14" t="s">
        <v>24463</v>
      </c>
      <c r="E2331" s="26" t="str">
        <f t="shared" si="29"/>
        <v>http://dx.doi.org/10.1109/VAST.2012.6400532</v>
      </c>
      <c r="F2331" s="14">
        <v>243.0</v>
      </c>
      <c r="G2331" s="14">
        <v>244.0</v>
      </c>
      <c r="H2331" s="14" t="s">
        <v>21</v>
      </c>
      <c r="I2331" s="19" t="s">
        <v>24464</v>
      </c>
      <c r="J2331" s="19" t="s">
        <v>24465</v>
      </c>
      <c r="K2331" s="19" t="s">
        <v>24465</v>
      </c>
      <c r="L2331" s="19" t="s">
        <v>24466</v>
      </c>
      <c r="M2331" s="20"/>
      <c r="N2331" s="27"/>
      <c r="O2331" s="22">
        <v>50.0</v>
      </c>
      <c r="P2331" s="28">
        <v>4.0</v>
      </c>
      <c r="Q2331" s="28">
        <v>7.0</v>
      </c>
      <c r="R2331" s="84"/>
      <c r="S2331" s="84"/>
      <c r="T2331" s="84"/>
      <c r="U2331" s="84"/>
      <c r="V2331" s="84"/>
      <c r="W2331" s="84"/>
      <c r="X2331" s="84"/>
      <c r="Y2331" s="84"/>
      <c r="Z2331" s="84"/>
      <c r="AA2331" s="84"/>
    </row>
    <row r="2332" ht="15.75" customHeight="1">
      <c r="A2332" s="14" t="s">
        <v>120</v>
      </c>
      <c r="B2332" s="15" t="s">
        <v>23545</v>
      </c>
      <c r="C2332" s="14" t="s">
        <v>24467</v>
      </c>
      <c r="D2332" s="14" t="s">
        <v>24468</v>
      </c>
      <c r="E2332" s="26" t="str">
        <f t="shared" si="29"/>
        <v>http://dx.doi.org/10.1109/VAST.2012.6400533</v>
      </c>
      <c r="F2332" s="14">
        <v>241.0</v>
      </c>
      <c r="G2332" s="14">
        <v>242.0</v>
      </c>
      <c r="H2332" s="14" t="s">
        <v>21</v>
      </c>
      <c r="I2332" s="19" t="s">
        <v>24469</v>
      </c>
      <c r="J2332" s="19" t="s">
        <v>24470</v>
      </c>
      <c r="K2332" s="19" t="s">
        <v>24470</v>
      </c>
      <c r="L2332" s="19" t="s">
        <v>24471</v>
      </c>
      <c r="M2332" s="20"/>
      <c r="N2332" s="27"/>
      <c r="O2332" s="22">
        <v>0.0</v>
      </c>
      <c r="P2332" s="28">
        <v>0.0</v>
      </c>
      <c r="Q2332" s="28">
        <v>2.0</v>
      </c>
      <c r="R2332" s="84"/>
      <c r="S2332" s="84"/>
      <c r="T2332" s="84"/>
      <c r="U2332" s="84"/>
      <c r="V2332" s="84"/>
      <c r="W2332" s="84"/>
      <c r="X2332" s="84"/>
      <c r="Y2332" s="84"/>
      <c r="Z2332" s="84"/>
      <c r="AA2332" s="84"/>
    </row>
    <row r="2333" ht="15.75" customHeight="1">
      <c r="A2333" s="14" t="s">
        <v>120</v>
      </c>
      <c r="B2333" s="15" t="s">
        <v>23545</v>
      </c>
      <c r="C2333" s="14" t="s">
        <v>24472</v>
      </c>
      <c r="D2333" s="14" t="s">
        <v>24473</v>
      </c>
      <c r="E2333" s="26" t="str">
        <f t="shared" si="29"/>
        <v>http://dx.doi.org/10.1109/VAST.2012.6400534</v>
      </c>
      <c r="F2333" s="14">
        <v>239.0</v>
      </c>
      <c r="G2333" s="14">
        <v>240.0</v>
      </c>
      <c r="H2333" s="14" t="s">
        <v>21</v>
      </c>
      <c r="I2333" s="19" t="s">
        <v>24475</v>
      </c>
      <c r="J2333" s="19" t="s">
        <v>24476</v>
      </c>
      <c r="K2333" s="19" t="s">
        <v>24476</v>
      </c>
      <c r="L2333" s="19" t="s">
        <v>24477</v>
      </c>
      <c r="M2333" s="20"/>
      <c r="N2333" s="27"/>
      <c r="O2333" s="22">
        <v>50.0</v>
      </c>
      <c r="P2333" s="28">
        <v>2.0</v>
      </c>
      <c r="Q2333" s="28">
        <v>8.0</v>
      </c>
      <c r="R2333" s="84"/>
      <c r="S2333" s="84"/>
      <c r="T2333" s="84"/>
      <c r="U2333" s="84"/>
      <c r="V2333" s="84"/>
      <c r="W2333" s="84"/>
      <c r="X2333" s="84"/>
      <c r="Y2333" s="84"/>
      <c r="Z2333" s="84"/>
      <c r="AA2333" s="84"/>
    </row>
    <row r="2334" ht="15.75" customHeight="1">
      <c r="A2334" s="14" t="s">
        <v>120</v>
      </c>
      <c r="B2334" s="15" t="s">
        <v>23545</v>
      </c>
      <c r="C2334" s="14" t="s">
        <v>24479</v>
      </c>
      <c r="D2334" s="14" t="s">
        <v>24480</v>
      </c>
      <c r="E2334" s="26" t="str">
        <f t="shared" si="29"/>
        <v>http://dx.doi.org/10.1109/VAST.2012.6400535</v>
      </c>
      <c r="F2334" s="14">
        <v>237.0</v>
      </c>
      <c r="G2334" s="14">
        <v>238.0</v>
      </c>
      <c r="H2334" s="14" t="s">
        <v>21</v>
      </c>
      <c r="I2334" s="19" t="s">
        <v>24481</v>
      </c>
      <c r="J2334" s="19" t="s">
        <v>24482</v>
      </c>
      <c r="K2334" s="19" t="s">
        <v>24482</v>
      </c>
      <c r="L2334" s="19" t="s">
        <v>24483</v>
      </c>
      <c r="M2334" s="20"/>
      <c r="N2334" s="27"/>
      <c r="O2334" s="22">
        <v>0.0</v>
      </c>
      <c r="P2334" s="28">
        <v>0.0</v>
      </c>
      <c r="Q2334" s="28">
        <v>4.0</v>
      </c>
      <c r="R2334" s="84"/>
      <c r="S2334" s="84"/>
      <c r="T2334" s="84"/>
      <c r="U2334" s="84"/>
      <c r="V2334" s="84"/>
      <c r="W2334" s="84"/>
      <c r="X2334" s="84"/>
      <c r="Y2334" s="84"/>
      <c r="Z2334" s="84"/>
      <c r="AA2334" s="84"/>
    </row>
    <row r="2335" ht="15.75" customHeight="1">
      <c r="A2335" s="14" t="s">
        <v>120</v>
      </c>
      <c r="B2335" s="15" t="s">
        <v>23545</v>
      </c>
      <c r="C2335" s="14" t="s">
        <v>24484</v>
      </c>
      <c r="D2335" s="14" t="s">
        <v>24485</v>
      </c>
      <c r="E2335" s="26" t="str">
        <f t="shared" si="29"/>
        <v>http://dx.doi.org/10.1109/VAST.2012.6400536</v>
      </c>
      <c r="F2335" s="14">
        <v>235.0</v>
      </c>
      <c r="G2335" s="14">
        <v>236.0</v>
      </c>
      <c r="H2335" s="14" t="s">
        <v>21</v>
      </c>
      <c r="I2335" s="19" t="s">
        <v>24486</v>
      </c>
      <c r="J2335" s="19" t="s">
        <v>24487</v>
      </c>
      <c r="K2335" s="19" t="s">
        <v>24487</v>
      </c>
      <c r="L2335" s="19" t="s">
        <v>24488</v>
      </c>
      <c r="M2335" s="20"/>
      <c r="N2335" s="27"/>
      <c r="O2335" s="22">
        <v>0.0</v>
      </c>
      <c r="P2335" s="28">
        <v>0.0</v>
      </c>
      <c r="Q2335" s="28">
        <v>3.0</v>
      </c>
      <c r="R2335" s="84"/>
      <c r="S2335" s="84"/>
      <c r="T2335" s="84"/>
      <c r="U2335" s="84"/>
      <c r="V2335" s="84"/>
      <c r="W2335" s="84"/>
      <c r="X2335" s="84"/>
      <c r="Y2335" s="84"/>
      <c r="Z2335" s="84"/>
      <c r="AA2335" s="84"/>
    </row>
    <row r="2336" ht="15.75" customHeight="1">
      <c r="A2336" s="14" t="s">
        <v>120</v>
      </c>
      <c r="B2336" s="15" t="s">
        <v>23545</v>
      </c>
      <c r="C2336" s="14" t="s">
        <v>24489</v>
      </c>
      <c r="D2336" s="14" t="s">
        <v>24491</v>
      </c>
      <c r="E2336" s="26" t="str">
        <f t="shared" si="29"/>
        <v>http://dx.doi.org/10.1109/VAST.2012.6400537</v>
      </c>
      <c r="F2336" s="14">
        <v>233.0</v>
      </c>
      <c r="G2336" s="14">
        <v>234.0</v>
      </c>
      <c r="H2336" s="14" t="s">
        <v>21</v>
      </c>
      <c r="I2336" s="19" t="s">
        <v>24492</v>
      </c>
      <c r="J2336" s="19" t="s">
        <v>24493</v>
      </c>
      <c r="K2336" s="19" t="s">
        <v>24493</v>
      </c>
      <c r="L2336" s="19" t="s">
        <v>24494</v>
      </c>
      <c r="M2336" s="20"/>
      <c r="N2336" s="27"/>
      <c r="O2336" s="22">
        <v>50.0</v>
      </c>
      <c r="P2336" s="28">
        <v>6.0</v>
      </c>
      <c r="Q2336" s="28">
        <v>7.0</v>
      </c>
      <c r="R2336" s="84"/>
      <c r="S2336" s="84"/>
      <c r="T2336" s="84"/>
      <c r="U2336" s="84"/>
      <c r="V2336" s="84"/>
      <c r="W2336" s="84"/>
      <c r="X2336" s="84"/>
      <c r="Y2336" s="84"/>
      <c r="Z2336" s="84"/>
      <c r="AA2336" s="84"/>
    </row>
    <row r="2337" ht="15.75" customHeight="1">
      <c r="A2337" s="14" t="s">
        <v>120</v>
      </c>
      <c r="B2337" s="15" t="s">
        <v>23545</v>
      </c>
      <c r="C2337" s="14" t="s">
        <v>24496</v>
      </c>
      <c r="D2337" s="14" t="s">
        <v>24497</v>
      </c>
      <c r="E2337" s="26" t="str">
        <f t="shared" si="29"/>
        <v>http://dx.doi.org/10.1109/VAST.2012.6400538</v>
      </c>
      <c r="F2337" s="14">
        <v>231.0</v>
      </c>
      <c r="G2337" s="14">
        <v>232.0</v>
      </c>
      <c r="H2337" s="14" t="s">
        <v>21</v>
      </c>
      <c r="I2337" s="19" t="s">
        <v>24498</v>
      </c>
      <c r="J2337" s="19" t="s">
        <v>24499</v>
      </c>
      <c r="K2337" s="19" t="s">
        <v>24499</v>
      </c>
      <c r="L2337" s="19" t="s">
        <v>19199</v>
      </c>
      <c r="M2337" s="20"/>
      <c r="N2337" s="27"/>
      <c r="O2337" s="22">
        <v>2.0</v>
      </c>
      <c r="P2337" s="28">
        <v>0.0</v>
      </c>
      <c r="Q2337" s="28">
        <v>7.0</v>
      </c>
      <c r="R2337" s="84"/>
      <c r="S2337" s="84"/>
      <c r="T2337" s="84"/>
      <c r="U2337" s="84"/>
      <c r="V2337" s="84"/>
      <c r="W2337" s="84"/>
      <c r="X2337" s="84"/>
      <c r="Y2337" s="84"/>
      <c r="Z2337" s="84"/>
      <c r="AA2337" s="84"/>
    </row>
    <row r="2338" ht="15.75" customHeight="1">
      <c r="A2338" s="14" t="s">
        <v>120</v>
      </c>
      <c r="B2338" s="15" t="s">
        <v>23545</v>
      </c>
      <c r="C2338" s="14" t="s">
        <v>24500</v>
      </c>
      <c r="D2338" s="14" t="s">
        <v>24501</v>
      </c>
      <c r="E2338" s="26" t="str">
        <f t="shared" si="29"/>
        <v>http://dx.doi.org/10.1109/VAST.2012.6400539</v>
      </c>
      <c r="F2338" s="14">
        <v>229.0</v>
      </c>
      <c r="G2338" s="14">
        <v>230.0</v>
      </c>
      <c r="H2338" s="14" t="s">
        <v>21</v>
      </c>
      <c r="I2338" s="19" t="s">
        <v>24502</v>
      </c>
      <c r="J2338" s="19" t="s">
        <v>24503</v>
      </c>
      <c r="K2338" s="19" t="s">
        <v>24503</v>
      </c>
      <c r="L2338" s="19" t="s">
        <v>24504</v>
      </c>
      <c r="M2338" s="20"/>
      <c r="N2338" s="27"/>
      <c r="O2338" s="22">
        <v>1.0</v>
      </c>
      <c r="P2338" s="28">
        <v>1.0</v>
      </c>
      <c r="Q2338" s="28">
        <v>6.0</v>
      </c>
      <c r="R2338" s="84"/>
      <c r="S2338" s="84"/>
      <c r="T2338" s="84"/>
      <c r="U2338" s="84"/>
      <c r="V2338" s="84"/>
      <c r="W2338" s="84"/>
      <c r="X2338" s="84"/>
      <c r="Y2338" s="84"/>
      <c r="Z2338" s="84"/>
      <c r="AA2338" s="84"/>
    </row>
    <row r="2339" ht="15.75" customHeight="1">
      <c r="A2339" s="14" t="s">
        <v>120</v>
      </c>
      <c r="B2339" s="15" t="s">
        <v>23545</v>
      </c>
      <c r="C2339" s="14" t="s">
        <v>24505</v>
      </c>
      <c r="D2339" s="14" t="s">
        <v>24506</v>
      </c>
      <c r="E2339" s="26" t="str">
        <f t="shared" si="29"/>
        <v>http://dx.doi.org/10.1109/VAST.2012.6400540</v>
      </c>
      <c r="F2339" s="14">
        <v>227.0</v>
      </c>
      <c r="G2339" s="14">
        <v>228.0</v>
      </c>
      <c r="H2339" s="14" t="s">
        <v>21</v>
      </c>
      <c r="I2339" s="19" t="s">
        <v>24508</v>
      </c>
      <c r="J2339" s="19" t="s">
        <v>24509</v>
      </c>
      <c r="K2339" s="19" t="s">
        <v>24509</v>
      </c>
      <c r="L2339" s="19" t="s">
        <v>24510</v>
      </c>
      <c r="M2339" s="20"/>
      <c r="N2339" s="27"/>
      <c r="O2339" s="22">
        <v>4.0</v>
      </c>
      <c r="P2339" s="28">
        <v>1.0</v>
      </c>
      <c r="Q2339" s="28">
        <v>8.0</v>
      </c>
      <c r="R2339" s="84"/>
      <c r="S2339" s="84"/>
      <c r="T2339" s="84"/>
      <c r="U2339" s="84"/>
      <c r="V2339" s="84"/>
      <c r="W2339" s="84"/>
      <c r="X2339" s="84"/>
      <c r="Y2339" s="84"/>
      <c r="Z2339" s="84"/>
      <c r="AA2339" s="84"/>
    </row>
    <row r="2340" ht="15.75" customHeight="1">
      <c r="A2340" s="14" t="s">
        <v>120</v>
      </c>
      <c r="B2340" s="15" t="s">
        <v>23545</v>
      </c>
      <c r="C2340" s="14" t="s">
        <v>24512</v>
      </c>
      <c r="D2340" s="14" t="s">
        <v>24513</v>
      </c>
      <c r="E2340" s="26" t="str">
        <f t="shared" si="29"/>
        <v>http://dx.doi.org/10.1109/VAST.2012.6400541</v>
      </c>
      <c r="F2340" s="14">
        <v>225.0</v>
      </c>
      <c r="G2340" s="14">
        <v>226.0</v>
      </c>
      <c r="H2340" s="14" t="s">
        <v>21</v>
      </c>
      <c r="I2340" s="19" t="s">
        <v>24514</v>
      </c>
      <c r="J2340" s="19" t="s">
        <v>24515</v>
      </c>
      <c r="K2340" s="19" t="s">
        <v>24516</v>
      </c>
      <c r="L2340" s="19" t="s">
        <v>24517</v>
      </c>
      <c r="M2340" s="20"/>
      <c r="N2340" s="27"/>
      <c r="O2340" s="22">
        <v>1.0</v>
      </c>
      <c r="P2340" s="28">
        <v>1.0</v>
      </c>
      <c r="Q2340" s="28">
        <v>2.0</v>
      </c>
      <c r="R2340" s="84"/>
      <c r="S2340" s="84"/>
      <c r="T2340" s="84"/>
      <c r="U2340" s="84"/>
      <c r="V2340" s="84"/>
      <c r="W2340" s="84"/>
      <c r="X2340" s="84"/>
      <c r="Y2340" s="84"/>
      <c r="Z2340" s="84"/>
      <c r="AA2340" s="84"/>
    </row>
    <row r="2341" ht="15.75" customHeight="1">
      <c r="A2341" s="14" t="s">
        <v>120</v>
      </c>
      <c r="B2341" s="15" t="s">
        <v>23545</v>
      </c>
      <c r="C2341" s="14" t="s">
        <v>24518</v>
      </c>
      <c r="D2341" s="14" t="s">
        <v>24519</v>
      </c>
      <c r="E2341" s="26" t="str">
        <f t="shared" si="29"/>
        <v>http://dx.doi.org/10.1109/VAST.2012.6400542</v>
      </c>
      <c r="F2341" s="14">
        <v>223.0</v>
      </c>
      <c r="G2341" s="14">
        <v>224.0</v>
      </c>
      <c r="H2341" s="14" t="s">
        <v>21</v>
      </c>
      <c r="I2341" s="19" t="s">
        <v>24520</v>
      </c>
      <c r="J2341" s="19" t="s">
        <v>24521</v>
      </c>
      <c r="K2341" s="19" t="s">
        <v>24521</v>
      </c>
      <c r="L2341" s="19" t="s">
        <v>24522</v>
      </c>
      <c r="M2341" s="20"/>
      <c r="N2341" s="27"/>
      <c r="O2341" s="22">
        <v>50.0</v>
      </c>
      <c r="P2341" s="28">
        <v>1.0</v>
      </c>
      <c r="Q2341" s="28">
        <v>7.0</v>
      </c>
      <c r="R2341" s="84"/>
      <c r="S2341" s="84"/>
      <c r="T2341" s="84"/>
      <c r="U2341" s="84"/>
      <c r="V2341" s="84"/>
      <c r="W2341" s="84"/>
      <c r="X2341" s="84"/>
      <c r="Y2341" s="84"/>
      <c r="Z2341" s="84"/>
      <c r="AA2341" s="84"/>
    </row>
    <row r="2342" ht="15.75" customHeight="1">
      <c r="A2342" s="14" t="s">
        <v>120</v>
      </c>
      <c r="B2342" s="15" t="s">
        <v>23545</v>
      </c>
      <c r="C2342" s="14" t="s">
        <v>24523</v>
      </c>
      <c r="D2342" s="14" t="s">
        <v>24524</v>
      </c>
      <c r="E2342" s="26" t="str">
        <f t="shared" si="29"/>
        <v>http://dx.doi.org/10.1109/VAST.2012.6400543</v>
      </c>
      <c r="F2342" s="14">
        <v>221.0</v>
      </c>
      <c r="G2342" s="14">
        <v>222.0</v>
      </c>
      <c r="H2342" s="14" t="s">
        <v>21</v>
      </c>
      <c r="I2342" s="19" t="s">
        <v>24525</v>
      </c>
      <c r="J2342" s="19" t="s">
        <v>21853</v>
      </c>
      <c r="K2342" s="19" t="s">
        <v>24526</v>
      </c>
      <c r="L2342" s="19" t="s">
        <v>24527</v>
      </c>
      <c r="M2342" s="20"/>
      <c r="N2342" s="27"/>
      <c r="O2342" s="22">
        <v>2.0</v>
      </c>
      <c r="P2342" s="28">
        <v>0.0</v>
      </c>
      <c r="Q2342" s="28">
        <v>7.0</v>
      </c>
      <c r="R2342" s="84"/>
      <c r="S2342" s="84"/>
      <c r="T2342" s="84"/>
      <c r="U2342" s="84"/>
      <c r="V2342" s="84"/>
      <c r="W2342" s="84"/>
      <c r="X2342" s="84"/>
      <c r="Y2342" s="84"/>
      <c r="Z2342" s="84"/>
      <c r="AA2342" s="84"/>
    </row>
    <row r="2343" ht="15.75" customHeight="1">
      <c r="A2343" s="14" t="s">
        <v>120</v>
      </c>
      <c r="B2343" s="15" t="s">
        <v>23545</v>
      </c>
      <c r="C2343" s="14" t="s">
        <v>24528</v>
      </c>
      <c r="D2343" s="14" t="s">
        <v>24530</v>
      </c>
      <c r="E2343" s="26" t="str">
        <f t="shared" si="29"/>
        <v>http://dx.doi.org/10.1109/VAST.2012.6400544</v>
      </c>
      <c r="F2343" s="14">
        <v>219.0</v>
      </c>
      <c r="G2343" s="14">
        <v>220.0</v>
      </c>
      <c r="H2343" s="14" t="s">
        <v>21</v>
      </c>
      <c r="I2343" s="19" t="s">
        <v>24531</v>
      </c>
      <c r="J2343" s="19" t="s">
        <v>24532</v>
      </c>
      <c r="K2343" s="19" t="s">
        <v>24532</v>
      </c>
      <c r="L2343" s="19" t="s">
        <v>24533</v>
      </c>
      <c r="M2343" s="20"/>
      <c r="N2343" s="27"/>
      <c r="O2343" s="22">
        <v>0.0</v>
      </c>
      <c r="P2343" s="28">
        <v>0.0</v>
      </c>
      <c r="Q2343" s="28">
        <v>6.0</v>
      </c>
      <c r="R2343" s="84"/>
      <c r="S2343" s="84"/>
      <c r="T2343" s="84"/>
      <c r="U2343" s="84"/>
      <c r="V2343" s="84"/>
      <c r="W2343" s="84"/>
      <c r="X2343" s="84"/>
      <c r="Y2343" s="84"/>
      <c r="Z2343" s="84"/>
      <c r="AA2343" s="84"/>
    </row>
    <row r="2344" ht="15.75" customHeight="1">
      <c r="A2344" s="14" t="s">
        <v>120</v>
      </c>
      <c r="B2344" s="15" t="s">
        <v>23545</v>
      </c>
      <c r="C2344" s="14" t="s">
        <v>24534</v>
      </c>
      <c r="D2344" s="14" t="s">
        <v>24535</v>
      </c>
      <c r="E2344" s="26" t="str">
        <f t="shared" si="29"/>
        <v>http://dx.doi.org/10.1109/VAST.2012.6400545</v>
      </c>
      <c r="F2344" s="14">
        <v>217.0</v>
      </c>
      <c r="G2344" s="14">
        <v>218.0</v>
      </c>
      <c r="H2344" s="14" t="s">
        <v>21</v>
      </c>
      <c r="I2344" s="19" t="s">
        <v>24536</v>
      </c>
      <c r="J2344" s="19" t="s">
        <v>24537</v>
      </c>
      <c r="K2344" s="19" t="s">
        <v>24537</v>
      </c>
      <c r="L2344" s="19" t="s">
        <v>24538</v>
      </c>
      <c r="M2344" s="20"/>
      <c r="N2344" s="27"/>
      <c r="O2344" s="22">
        <v>2.0</v>
      </c>
      <c r="P2344" s="28">
        <v>2.0</v>
      </c>
      <c r="Q2344" s="28">
        <v>10.0</v>
      </c>
      <c r="R2344" s="84"/>
      <c r="S2344" s="84"/>
      <c r="T2344" s="84"/>
      <c r="U2344" s="84"/>
      <c r="V2344" s="84"/>
      <c r="W2344" s="84"/>
      <c r="X2344" s="84"/>
      <c r="Y2344" s="84"/>
      <c r="Z2344" s="84"/>
      <c r="AA2344" s="84"/>
    </row>
    <row r="2345" ht="15.75" customHeight="1">
      <c r="A2345" s="14" t="s">
        <v>120</v>
      </c>
      <c r="B2345" s="15" t="s">
        <v>23545</v>
      </c>
      <c r="C2345" s="14" t="s">
        <v>24539</v>
      </c>
      <c r="D2345" s="14" t="s">
        <v>24540</v>
      </c>
      <c r="E2345" s="26" t="str">
        <f t="shared" si="29"/>
        <v>http://dx.doi.org/10.1109/VAST.2012.6400546</v>
      </c>
      <c r="F2345" s="14">
        <v>215.0</v>
      </c>
      <c r="G2345" s="14">
        <v>216.0</v>
      </c>
      <c r="H2345" s="14" t="s">
        <v>21</v>
      </c>
      <c r="I2345" s="19" t="s">
        <v>24542</v>
      </c>
      <c r="J2345" s="19" t="s">
        <v>24544</v>
      </c>
      <c r="K2345" s="19" t="s">
        <v>24545</v>
      </c>
      <c r="L2345" s="19" t="s">
        <v>24546</v>
      </c>
      <c r="M2345" s="20"/>
      <c r="N2345" s="27"/>
      <c r="O2345" s="22">
        <v>1.0</v>
      </c>
      <c r="P2345" s="28">
        <v>0.0</v>
      </c>
      <c r="Q2345" s="28">
        <v>8.0</v>
      </c>
      <c r="R2345" s="84"/>
      <c r="S2345" s="84"/>
      <c r="T2345" s="84"/>
      <c r="U2345" s="84"/>
      <c r="V2345" s="84"/>
      <c r="W2345" s="84"/>
      <c r="X2345" s="84"/>
      <c r="Y2345" s="84"/>
      <c r="Z2345" s="84"/>
      <c r="AA2345" s="84"/>
    </row>
    <row r="2346" ht="15.75" customHeight="1">
      <c r="A2346" s="14" t="s">
        <v>120</v>
      </c>
      <c r="B2346" s="15" t="s">
        <v>23545</v>
      </c>
      <c r="C2346" s="14" t="s">
        <v>24547</v>
      </c>
      <c r="D2346" s="14" t="s">
        <v>24548</v>
      </c>
      <c r="E2346" s="26" t="str">
        <f t="shared" si="29"/>
        <v>http://dx.doi.org/10.1109/VAST.2012.6400547</v>
      </c>
      <c r="F2346" s="14">
        <v>213.0</v>
      </c>
      <c r="G2346" s="14">
        <v>214.0</v>
      </c>
      <c r="H2346" s="14" t="s">
        <v>21</v>
      </c>
      <c r="I2346" s="19" t="s">
        <v>24550</v>
      </c>
      <c r="J2346" s="19" t="s">
        <v>24551</v>
      </c>
      <c r="K2346" s="19" t="s">
        <v>24552</v>
      </c>
      <c r="L2346" s="19" t="s">
        <v>24553</v>
      </c>
      <c r="M2346" s="20"/>
      <c r="N2346" s="27"/>
      <c r="O2346" s="22">
        <v>0.0</v>
      </c>
      <c r="P2346" s="28">
        <v>0.0</v>
      </c>
      <c r="Q2346" s="28">
        <v>9.0</v>
      </c>
      <c r="R2346" s="84"/>
      <c r="S2346" s="84"/>
      <c r="T2346" s="84"/>
      <c r="U2346" s="84"/>
      <c r="V2346" s="84"/>
      <c r="W2346" s="84"/>
      <c r="X2346" s="84"/>
      <c r="Y2346" s="84"/>
      <c r="Z2346" s="84"/>
      <c r="AA2346" s="84"/>
    </row>
    <row r="2347" ht="15.75" customHeight="1">
      <c r="A2347" s="14" t="s">
        <v>120</v>
      </c>
      <c r="B2347" s="15" t="s">
        <v>23545</v>
      </c>
      <c r="C2347" s="14" t="s">
        <v>24554</v>
      </c>
      <c r="D2347" s="14" t="s">
        <v>24555</v>
      </c>
      <c r="E2347" s="26" t="str">
        <f t="shared" si="29"/>
        <v>http://dx.doi.org/10.1109/VAST.2012.6400548</v>
      </c>
      <c r="F2347" s="14">
        <v>211.0</v>
      </c>
      <c r="G2347" s="14">
        <v>212.0</v>
      </c>
      <c r="H2347" s="14" t="s">
        <v>21</v>
      </c>
      <c r="I2347" s="19" t="s">
        <v>24556</v>
      </c>
      <c r="J2347" s="19" t="s">
        <v>24557</v>
      </c>
      <c r="K2347" s="19" t="s">
        <v>24558</v>
      </c>
      <c r="L2347" s="19" t="s">
        <v>24559</v>
      </c>
      <c r="M2347" s="20"/>
      <c r="N2347" s="27"/>
      <c r="O2347" s="22">
        <v>50.0</v>
      </c>
      <c r="P2347" s="28">
        <v>1.0</v>
      </c>
      <c r="Q2347" s="28">
        <v>2.0</v>
      </c>
      <c r="R2347" s="84"/>
      <c r="S2347" s="84"/>
      <c r="T2347" s="84"/>
      <c r="U2347" s="84"/>
      <c r="V2347" s="84"/>
      <c r="W2347" s="84"/>
      <c r="X2347" s="84"/>
      <c r="Y2347" s="84"/>
      <c r="Z2347" s="84"/>
      <c r="AA2347" s="84"/>
    </row>
    <row r="2348" ht="15.75" customHeight="1">
      <c r="A2348" s="14" t="s">
        <v>120</v>
      </c>
      <c r="B2348" s="15" t="s">
        <v>23545</v>
      </c>
      <c r="C2348" s="14" t="s">
        <v>24560</v>
      </c>
      <c r="D2348" s="14" t="s">
        <v>24561</v>
      </c>
      <c r="E2348" s="26" t="str">
        <f t="shared" si="29"/>
        <v>http://dx.doi.org/10.1109/VAST.2012.6400549</v>
      </c>
      <c r="F2348" s="14">
        <v>209.0</v>
      </c>
      <c r="G2348" s="14">
        <v>210.0</v>
      </c>
      <c r="H2348" s="14" t="s">
        <v>21</v>
      </c>
      <c r="I2348" s="19" t="s">
        <v>24562</v>
      </c>
      <c r="J2348" s="19" t="s">
        <v>24564</v>
      </c>
      <c r="K2348" s="19" t="s">
        <v>24565</v>
      </c>
      <c r="L2348" s="19" t="s">
        <v>24566</v>
      </c>
      <c r="M2348" s="20"/>
      <c r="N2348" s="27"/>
      <c r="O2348" s="22">
        <v>50.0</v>
      </c>
      <c r="P2348" s="28">
        <v>1.0</v>
      </c>
      <c r="Q2348" s="28">
        <v>7.0</v>
      </c>
      <c r="R2348" s="84"/>
      <c r="S2348" s="84"/>
      <c r="T2348" s="84"/>
      <c r="U2348" s="84"/>
      <c r="V2348" s="84"/>
      <c r="W2348" s="84"/>
      <c r="X2348" s="84"/>
      <c r="Y2348" s="84"/>
      <c r="Z2348" s="84"/>
      <c r="AA2348" s="84"/>
    </row>
    <row r="2349" ht="15.75" customHeight="1">
      <c r="A2349" s="14" t="s">
        <v>120</v>
      </c>
      <c r="B2349" s="15" t="s">
        <v>23545</v>
      </c>
      <c r="C2349" s="14" t="s">
        <v>24567</v>
      </c>
      <c r="D2349" s="14" t="s">
        <v>24568</v>
      </c>
      <c r="E2349" s="26" t="str">
        <f t="shared" si="29"/>
        <v>http://dx.doi.org/10.1109/VAST.2012.6400550</v>
      </c>
      <c r="F2349" s="14">
        <v>207.0</v>
      </c>
      <c r="G2349" s="14">
        <v>208.0</v>
      </c>
      <c r="H2349" s="14" t="s">
        <v>21</v>
      </c>
      <c r="I2349" s="19" t="s">
        <v>24570</v>
      </c>
      <c r="J2349" s="19" t="s">
        <v>24571</v>
      </c>
      <c r="K2349" s="19" t="s">
        <v>24571</v>
      </c>
      <c r="L2349" s="19" t="s">
        <v>24572</v>
      </c>
      <c r="M2349" s="20"/>
      <c r="N2349" s="27"/>
      <c r="O2349" s="22">
        <v>50.0</v>
      </c>
      <c r="P2349" s="28">
        <v>1.0</v>
      </c>
      <c r="Q2349" s="28">
        <v>13.0</v>
      </c>
      <c r="R2349" s="84"/>
      <c r="S2349" s="84"/>
      <c r="T2349" s="84"/>
      <c r="U2349" s="84"/>
      <c r="V2349" s="84"/>
      <c r="W2349" s="84"/>
      <c r="X2349" s="84"/>
      <c r="Y2349" s="84"/>
      <c r="Z2349" s="84"/>
      <c r="AA2349" s="84"/>
    </row>
    <row r="2350" ht="15.75" customHeight="1">
      <c r="A2350" s="14" t="s">
        <v>120</v>
      </c>
      <c r="B2350" s="15" t="s">
        <v>23545</v>
      </c>
      <c r="C2350" s="42" t="s">
        <v>24573</v>
      </c>
      <c r="D2350" s="14" t="s">
        <v>24574</v>
      </c>
      <c r="E2350" s="26" t="str">
        <f t="shared" si="29"/>
        <v>http://dx.doi.org/10.1109/VAST.2012.6400551</v>
      </c>
      <c r="F2350" s="14">
        <v>204.0</v>
      </c>
      <c r="G2350" s="14">
        <v>206.0</v>
      </c>
      <c r="H2350" s="14" t="s">
        <v>21</v>
      </c>
      <c r="I2350" s="19" t="s">
        <v>24575</v>
      </c>
      <c r="J2350" s="19" t="s">
        <v>24576</v>
      </c>
      <c r="K2350" s="19" t="s">
        <v>24577</v>
      </c>
      <c r="L2350" s="19" t="s">
        <v>24578</v>
      </c>
      <c r="M2350" s="20"/>
      <c r="N2350" s="27"/>
      <c r="O2350" s="22">
        <v>3.0</v>
      </c>
      <c r="P2350" s="28">
        <v>0.0</v>
      </c>
      <c r="Q2350" s="28">
        <v>3.0</v>
      </c>
      <c r="R2350" s="84"/>
      <c r="S2350" s="84"/>
      <c r="T2350" s="84"/>
      <c r="U2350" s="84"/>
      <c r="V2350" s="84"/>
      <c r="W2350" s="84"/>
      <c r="X2350" s="84"/>
      <c r="Y2350" s="84"/>
      <c r="Z2350" s="84"/>
      <c r="AA2350" s="84"/>
    </row>
    <row r="2351" ht="15.75" customHeight="1">
      <c r="A2351" s="14" t="s">
        <v>120</v>
      </c>
      <c r="B2351" s="15" t="s">
        <v>23545</v>
      </c>
      <c r="C2351" s="14" t="s">
        <v>24579</v>
      </c>
      <c r="D2351" s="14" t="s">
        <v>24580</v>
      </c>
      <c r="E2351" s="26" t="str">
        <f t="shared" si="29"/>
        <v>http://dx.doi.org/10.1109/VAST.2012.6400552</v>
      </c>
      <c r="F2351" s="14">
        <v>193.0</v>
      </c>
      <c r="G2351" s="14">
        <v>202.0</v>
      </c>
      <c r="H2351" s="14" t="s">
        <v>28</v>
      </c>
      <c r="I2351" s="19" t="s">
        <v>24581</v>
      </c>
      <c r="J2351" s="19" t="s">
        <v>24582</v>
      </c>
      <c r="K2351" s="19" t="s">
        <v>24582</v>
      </c>
      <c r="L2351" s="19" t="s">
        <v>24583</v>
      </c>
      <c r="M2351" s="20" t="s">
        <v>24584</v>
      </c>
      <c r="N2351" s="44" t="s">
        <v>24585</v>
      </c>
      <c r="O2351" s="22">
        <v>50.0</v>
      </c>
      <c r="P2351" s="28">
        <v>9.0</v>
      </c>
      <c r="Q2351" s="28">
        <v>49.0</v>
      </c>
      <c r="R2351" s="84"/>
      <c r="S2351" s="84"/>
      <c r="T2351" s="84"/>
      <c r="U2351" s="84"/>
      <c r="V2351" s="84"/>
      <c r="W2351" s="84"/>
      <c r="X2351" s="84"/>
      <c r="Y2351" s="84"/>
      <c r="Z2351" s="84"/>
      <c r="AA2351" s="84"/>
    </row>
    <row r="2352" ht="15.75" customHeight="1">
      <c r="A2352" s="14" t="s">
        <v>120</v>
      </c>
      <c r="B2352" s="15" t="s">
        <v>23545</v>
      </c>
      <c r="C2352" s="14" t="s">
        <v>24588</v>
      </c>
      <c r="D2352" s="14" t="s">
        <v>24589</v>
      </c>
      <c r="E2352" s="26" t="str">
        <f t="shared" si="29"/>
        <v>http://dx.doi.org/10.1109/VAST.2012.6400553</v>
      </c>
      <c r="F2352" s="14">
        <v>183.0</v>
      </c>
      <c r="G2352" s="14">
        <v>192.0</v>
      </c>
      <c r="H2352" s="14" t="s">
        <v>28</v>
      </c>
      <c r="I2352" s="19" t="s">
        <v>24591</v>
      </c>
      <c r="J2352" s="19" t="s">
        <v>24592</v>
      </c>
      <c r="K2352" s="19" t="s">
        <v>24593</v>
      </c>
      <c r="L2352" s="19" t="s">
        <v>24594</v>
      </c>
      <c r="M2352" s="20" t="s">
        <v>24595</v>
      </c>
      <c r="N2352" s="27"/>
      <c r="O2352" s="22">
        <v>52.0</v>
      </c>
      <c r="P2352" s="28">
        <v>16.0</v>
      </c>
      <c r="Q2352" s="28">
        <v>43.0</v>
      </c>
      <c r="R2352" s="84"/>
      <c r="S2352" s="84"/>
      <c r="T2352" s="84"/>
      <c r="U2352" s="84"/>
      <c r="V2352" s="84"/>
      <c r="W2352" s="84"/>
      <c r="X2352" s="84"/>
      <c r="Y2352" s="84"/>
      <c r="Z2352" s="84"/>
      <c r="AA2352" s="84"/>
    </row>
    <row r="2353" ht="15.75" customHeight="1">
      <c r="A2353" s="14" t="s">
        <v>120</v>
      </c>
      <c r="B2353" s="15" t="s">
        <v>23545</v>
      </c>
      <c r="C2353" s="14" t="s">
        <v>24596</v>
      </c>
      <c r="D2353" s="14" t="s">
        <v>24597</v>
      </c>
      <c r="E2353" s="26" t="str">
        <f t="shared" si="29"/>
        <v>http://dx.doi.org/10.1109/VAST.2012.6400554</v>
      </c>
      <c r="F2353" s="14">
        <v>173.0</v>
      </c>
      <c r="G2353" s="14">
        <v>182.0</v>
      </c>
      <c r="H2353" s="14" t="s">
        <v>28</v>
      </c>
      <c r="I2353" s="19" t="s">
        <v>24598</v>
      </c>
      <c r="J2353" s="19" t="s">
        <v>24599</v>
      </c>
      <c r="K2353" s="19" t="s">
        <v>24600</v>
      </c>
      <c r="L2353" s="19" t="s">
        <v>24601</v>
      </c>
      <c r="M2353" s="20" t="s">
        <v>24602</v>
      </c>
      <c r="N2353" s="27"/>
      <c r="O2353" s="22">
        <v>99.0</v>
      </c>
      <c r="P2353" s="28">
        <v>34.0</v>
      </c>
      <c r="Q2353" s="28">
        <v>29.0</v>
      </c>
      <c r="R2353" s="84"/>
      <c r="S2353" s="84"/>
      <c r="T2353" s="84"/>
      <c r="U2353" s="84"/>
      <c r="V2353" s="84"/>
      <c r="W2353" s="84"/>
      <c r="X2353" s="84"/>
      <c r="Y2353" s="84"/>
      <c r="Z2353" s="84"/>
      <c r="AA2353" s="84"/>
    </row>
    <row r="2354" ht="15.75" customHeight="1">
      <c r="A2354" s="14" t="s">
        <v>120</v>
      </c>
      <c r="B2354" s="15" t="s">
        <v>23545</v>
      </c>
      <c r="C2354" s="14" t="s">
        <v>24603</v>
      </c>
      <c r="D2354" s="14" t="s">
        <v>24604</v>
      </c>
      <c r="E2354" s="26" t="str">
        <f t="shared" si="29"/>
        <v>http://dx.doi.org/10.1109/VAST.2012.6400555</v>
      </c>
      <c r="F2354" s="14">
        <v>163.0</v>
      </c>
      <c r="G2354" s="14">
        <v>172.0</v>
      </c>
      <c r="H2354" s="14" t="s">
        <v>28</v>
      </c>
      <c r="I2354" s="19" t="s">
        <v>24605</v>
      </c>
      <c r="J2354" s="19" t="s">
        <v>24606</v>
      </c>
      <c r="K2354" s="19" t="s">
        <v>24607</v>
      </c>
      <c r="L2354" s="19" t="s">
        <v>24608</v>
      </c>
      <c r="M2354" s="20" t="s">
        <v>24609</v>
      </c>
      <c r="N2354" s="44" t="s">
        <v>24610</v>
      </c>
      <c r="O2354" s="22">
        <v>10.0</v>
      </c>
      <c r="P2354" s="28">
        <v>4.0</v>
      </c>
      <c r="Q2354" s="28">
        <v>40.0</v>
      </c>
      <c r="R2354" s="84"/>
      <c r="S2354" s="84"/>
      <c r="T2354" s="84"/>
      <c r="U2354" s="84"/>
      <c r="V2354" s="84"/>
      <c r="W2354" s="84"/>
      <c r="X2354" s="84"/>
      <c r="Y2354" s="84"/>
      <c r="Z2354" s="84"/>
      <c r="AA2354" s="84"/>
    </row>
    <row r="2355" ht="15.75" customHeight="1">
      <c r="A2355" s="14" t="s">
        <v>120</v>
      </c>
      <c r="B2355" s="15" t="s">
        <v>23545</v>
      </c>
      <c r="C2355" s="14" t="s">
        <v>24611</v>
      </c>
      <c r="D2355" s="14" t="s">
        <v>24612</v>
      </c>
      <c r="E2355" s="26" t="str">
        <f t="shared" si="29"/>
        <v>http://dx.doi.org/10.1109/VAST.2012.6400556</v>
      </c>
      <c r="F2355" s="14">
        <v>153.0</v>
      </c>
      <c r="G2355" s="14">
        <v>162.0</v>
      </c>
      <c r="H2355" s="14" t="s">
        <v>28</v>
      </c>
      <c r="I2355" s="19" t="s">
        <v>24613</v>
      </c>
      <c r="J2355" s="19" t="s">
        <v>24614</v>
      </c>
      <c r="K2355" s="19" t="s">
        <v>24614</v>
      </c>
      <c r="L2355" s="19" t="s">
        <v>24615</v>
      </c>
      <c r="M2355" s="20" t="s">
        <v>24616</v>
      </c>
      <c r="N2355" s="27"/>
      <c r="O2355" s="22">
        <v>50.0</v>
      </c>
      <c r="P2355" s="28">
        <v>10.0</v>
      </c>
      <c r="Q2355" s="28">
        <v>40.0</v>
      </c>
      <c r="R2355" s="84"/>
      <c r="S2355" s="84"/>
      <c r="T2355" s="84"/>
      <c r="U2355" s="84"/>
      <c r="V2355" s="84"/>
      <c r="W2355" s="84"/>
      <c r="X2355" s="84"/>
      <c r="Y2355" s="84"/>
      <c r="Z2355" s="84"/>
      <c r="AA2355" s="84"/>
    </row>
    <row r="2356" ht="15.75" customHeight="1">
      <c r="A2356" s="14" t="s">
        <v>120</v>
      </c>
      <c r="B2356" s="15" t="s">
        <v>23545</v>
      </c>
      <c r="C2356" s="14" t="s">
        <v>24619</v>
      </c>
      <c r="D2356" s="14" t="s">
        <v>24620</v>
      </c>
      <c r="E2356" s="26" t="str">
        <f t="shared" si="29"/>
        <v>http://dx.doi.org/10.1109/VAST.2012.6400557</v>
      </c>
      <c r="F2356" s="14">
        <v>143.0</v>
      </c>
      <c r="G2356" s="14">
        <v>152.0</v>
      </c>
      <c r="H2356" s="14" t="s">
        <v>28</v>
      </c>
      <c r="I2356" s="19" t="s">
        <v>24621</v>
      </c>
      <c r="J2356" s="19" t="s">
        <v>24622</v>
      </c>
      <c r="K2356" s="19" t="s">
        <v>24622</v>
      </c>
      <c r="L2356" s="19" t="s">
        <v>24624</v>
      </c>
      <c r="M2356" s="20" t="s">
        <v>24625</v>
      </c>
      <c r="N2356" s="27"/>
      <c r="O2356" s="22">
        <v>48.0</v>
      </c>
      <c r="P2356" s="28">
        <v>68.0</v>
      </c>
      <c r="Q2356" s="28">
        <v>39.0</v>
      </c>
      <c r="R2356" s="84"/>
      <c r="S2356" s="84"/>
      <c r="T2356" s="84"/>
      <c r="U2356" s="84"/>
      <c r="V2356" s="84"/>
      <c r="W2356" s="84"/>
      <c r="X2356" s="84"/>
      <c r="Y2356" s="84"/>
      <c r="Z2356" s="84"/>
      <c r="AA2356" s="84"/>
    </row>
    <row r="2357" ht="15.75" customHeight="1">
      <c r="A2357" s="14" t="s">
        <v>120</v>
      </c>
      <c r="B2357" s="15" t="s">
        <v>23545</v>
      </c>
      <c r="C2357" s="14" t="s">
        <v>24626</v>
      </c>
      <c r="D2357" s="14" t="s">
        <v>24627</v>
      </c>
      <c r="E2357" s="26" t="str">
        <f t="shared" si="29"/>
        <v>http://dx.doi.org/10.1109/VAST.2012.6400558</v>
      </c>
      <c r="F2357" s="14">
        <v>133.0</v>
      </c>
      <c r="G2357" s="14">
        <v>142.0</v>
      </c>
      <c r="H2357" s="14" t="s">
        <v>28</v>
      </c>
      <c r="I2357" s="19" t="s">
        <v>24628</v>
      </c>
      <c r="J2357" s="19" t="s">
        <v>24629</v>
      </c>
      <c r="K2357" s="19" t="s">
        <v>24630</v>
      </c>
      <c r="L2357" s="19" t="s">
        <v>24631</v>
      </c>
      <c r="M2357" s="20" t="s">
        <v>24632</v>
      </c>
      <c r="N2357" s="44" t="s">
        <v>24633</v>
      </c>
      <c r="O2357" s="22">
        <v>3.0</v>
      </c>
      <c r="P2357" s="28">
        <v>0.0</v>
      </c>
      <c r="Q2357" s="28">
        <v>48.0</v>
      </c>
      <c r="R2357" s="84"/>
      <c r="S2357" s="84"/>
      <c r="T2357" s="84"/>
      <c r="U2357" s="84"/>
      <c r="V2357" s="84"/>
      <c r="W2357" s="84"/>
      <c r="X2357" s="84"/>
      <c r="Y2357" s="84"/>
      <c r="Z2357" s="84"/>
      <c r="AA2357" s="84"/>
    </row>
    <row r="2358" ht="15.75" customHeight="1">
      <c r="A2358" s="14" t="s">
        <v>120</v>
      </c>
      <c r="B2358" s="15" t="s">
        <v>23545</v>
      </c>
      <c r="C2358" s="14" t="s">
        <v>24634</v>
      </c>
      <c r="D2358" s="14" t="s">
        <v>24635</v>
      </c>
      <c r="E2358" s="26" t="str">
        <f t="shared" si="29"/>
        <v>http://dx.doi.org/10.1109/VAST.2012.6400559</v>
      </c>
      <c r="F2358" s="14">
        <v>123.0</v>
      </c>
      <c r="G2358" s="14">
        <v>131.0</v>
      </c>
      <c r="H2358" s="14" t="s">
        <v>28</v>
      </c>
      <c r="I2358" s="19" t="s">
        <v>24636</v>
      </c>
      <c r="J2358" s="19" t="s">
        <v>24637</v>
      </c>
      <c r="K2358" s="19" t="s">
        <v>24637</v>
      </c>
      <c r="L2358" s="19" t="s">
        <v>17330</v>
      </c>
      <c r="M2358" s="20" t="s">
        <v>24638</v>
      </c>
      <c r="N2358" s="44" t="s">
        <v>24639</v>
      </c>
      <c r="O2358" s="22">
        <v>18.0</v>
      </c>
      <c r="P2358" s="28">
        <v>19.0</v>
      </c>
      <c r="Q2358" s="28">
        <v>52.0</v>
      </c>
      <c r="R2358" s="84"/>
      <c r="S2358" s="84"/>
      <c r="T2358" s="84"/>
      <c r="U2358" s="84"/>
      <c r="V2358" s="84"/>
      <c r="W2358" s="84"/>
      <c r="X2358" s="84"/>
      <c r="Y2358" s="84"/>
      <c r="Z2358" s="84"/>
      <c r="AA2358" s="84"/>
    </row>
    <row r="2359" ht="15.75" customHeight="1">
      <c r="A2359" s="14" t="s">
        <v>120</v>
      </c>
      <c r="B2359" s="15" t="s">
        <v>23545</v>
      </c>
      <c r="C2359" s="14" t="s">
        <v>24640</v>
      </c>
      <c r="D2359" s="14" t="s">
        <v>24641</v>
      </c>
      <c r="E2359" s="26" t="str">
        <f t="shared" si="29"/>
        <v>http://dx.doi.org/10.1109/VAST.2012.6400560</v>
      </c>
      <c r="F2359" s="14">
        <v>113.0</v>
      </c>
      <c r="G2359" s="14">
        <v>122.0</v>
      </c>
      <c r="H2359" s="14" t="s">
        <v>28</v>
      </c>
      <c r="I2359" s="19" t="s">
        <v>24643</v>
      </c>
      <c r="J2359" s="19" t="s">
        <v>24644</v>
      </c>
      <c r="K2359" s="19" t="s">
        <v>24645</v>
      </c>
      <c r="L2359" s="19" t="s">
        <v>24646</v>
      </c>
      <c r="M2359" s="20"/>
      <c r="N2359" s="27"/>
      <c r="O2359" s="22">
        <v>8.0</v>
      </c>
      <c r="P2359" s="28">
        <v>10.0</v>
      </c>
      <c r="Q2359" s="28">
        <v>37.0</v>
      </c>
      <c r="R2359" s="84"/>
      <c r="S2359" s="84"/>
      <c r="T2359" s="84"/>
      <c r="U2359" s="84"/>
      <c r="V2359" s="84"/>
      <c r="W2359" s="84"/>
      <c r="X2359" s="84"/>
      <c r="Y2359" s="84"/>
      <c r="Z2359" s="84"/>
      <c r="AA2359" s="84"/>
    </row>
    <row r="2360" ht="15.75" customHeight="1">
      <c r="A2360" s="14" t="s">
        <v>2137</v>
      </c>
      <c r="B2360" s="15" t="s">
        <v>24647</v>
      </c>
      <c r="C2360" s="14" t="s">
        <v>24648</v>
      </c>
      <c r="D2360" s="14" t="s">
        <v>24649</v>
      </c>
      <c r="E2360" s="26" t="str">
        <f t="shared" si="29"/>
        <v>http://dx.doi.org/10.1109/TVCG.2013.119</v>
      </c>
      <c r="F2360" s="14">
        <v>2406.0</v>
      </c>
      <c r="G2360" s="14">
        <v>2415.0</v>
      </c>
      <c r="H2360" s="14" t="s">
        <v>17059</v>
      </c>
      <c r="I2360" s="19" t="s">
        <v>24650</v>
      </c>
      <c r="J2360" s="19" t="s">
        <v>24651</v>
      </c>
      <c r="K2360" s="19" t="s">
        <v>24652</v>
      </c>
      <c r="L2360" s="19" t="s">
        <v>24653</v>
      </c>
      <c r="M2360" s="20" t="s">
        <v>24654</v>
      </c>
      <c r="N2360" s="44" t="s">
        <v>24655</v>
      </c>
      <c r="O2360" s="22">
        <v>61.0</v>
      </c>
      <c r="P2360" s="28">
        <v>29.0</v>
      </c>
      <c r="Q2360" s="28">
        <v>37.0</v>
      </c>
      <c r="R2360" s="84"/>
      <c r="S2360" s="84"/>
      <c r="T2360" s="84"/>
      <c r="U2360" s="84"/>
      <c r="V2360" s="84"/>
      <c r="W2360" s="84"/>
      <c r="X2360" s="84"/>
      <c r="Y2360" s="84"/>
      <c r="Z2360" s="84"/>
      <c r="AA2360" s="84"/>
    </row>
    <row r="2361" ht="15.75" customHeight="1">
      <c r="A2361" s="14" t="s">
        <v>2137</v>
      </c>
      <c r="B2361" s="15" t="s">
        <v>24647</v>
      </c>
      <c r="C2361" s="14" t="s">
        <v>24656</v>
      </c>
      <c r="D2361" s="14" t="s">
        <v>24657</v>
      </c>
      <c r="E2361" s="26" t="str">
        <f t="shared" si="29"/>
        <v>http://dx.doi.org/10.1109/TVCG.2013.120</v>
      </c>
      <c r="F2361" s="14">
        <v>2366.0</v>
      </c>
      <c r="G2361" s="14">
        <v>2375.0</v>
      </c>
      <c r="H2361" s="14" t="s">
        <v>17059</v>
      </c>
      <c r="I2361" s="19" t="s">
        <v>24658</v>
      </c>
      <c r="J2361" s="19" t="s">
        <v>24659</v>
      </c>
      <c r="K2361" s="19" t="s">
        <v>24659</v>
      </c>
      <c r="L2361" s="19" t="s">
        <v>24660</v>
      </c>
      <c r="M2361" s="20" t="s">
        <v>24661</v>
      </c>
      <c r="N2361" s="44" t="s">
        <v>24662</v>
      </c>
      <c r="O2361" s="22">
        <v>65.0</v>
      </c>
      <c r="P2361" s="28">
        <v>53.0</v>
      </c>
      <c r="Q2361" s="28">
        <v>64.0</v>
      </c>
      <c r="R2361" s="84"/>
      <c r="S2361" s="84"/>
      <c r="T2361" s="84"/>
      <c r="U2361" s="84"/>
      <c r="V2361" s="84"/>
      <c r="W2361" s="84"/>
      <c r="X2361" s="84"/>
      <c r="Y2361" s="84"/>
      <c r="Z2361" s="84"/>
      <c r="AA2361" s="84"/>
    </row>
    <row r="2362" ht="15.75" customHeight="1">
      <c r="A2362" s="14" t="s">
        <v>2137</v>
      </c>
      <c r="B2362" s="15" t="s">
        <v>24647</v>
      </c>
      <c r="C2362" s="14" t="s">
        <v>24664</v>
      </c>
      <c r="D2362" s="14" t="s">
        <v>24665</v>
      </c>
      <c r="E2362" s="26" t="str">
        <f t="shared" si="29"/>
        <v>http://dx.doi.org/10.1109/TVCG.2013.122</v>
      </c>
      <c r="F2362" s="14">
        <v>2287.0</v>
      </c>
      <c r="G2362" s="14">
        <v>2296.0</v>
      </c>
      <c r="H2362" s="14" t="s">
        <v>17059</v>
      </c>
      <c r="I2362" s="19" t="s">
        <v>24666</v>
      </c>
      <c r="J2362" s="19" t="s">
        <v>24667</v>
      </c>
      <c r="K2362" s="19" t="s">
        <v>24667</v>
      </c>
      <c r="L2362" s="19" t="s">
        <v>24668</v>
      </c>
      <c r="M2362" s="20" t="s">
        <v>24669</v>
      </c>
      <c r="N2362" s="44" t="s">
        <v>24670</v>
      </c>
      <c r="O2362" s="22">
        <v>23.0</v>
      </c>
      <c r="P2362" s="28">
        <v>16.0</v>
      </c>
      <c r="Q2362" s="28">
        <v>33.0</v>
      </c>
      <c r="R2362" s="84"/>
      <c r="S2362" s="84"/>
      <c r="T2362" s="84"/>
      <c r="U2362" s="84"/>
      <c r="V2362" s="84"/>
      <c r="W2362" s="84"/>
      <c r="X2362" s="84"/>
      <c r="Y2362" s="84"/>
      <c r="Z2362" s="84"/>
      <c r="AA2362" s="84"/>
    </row>
    <row r="2363" ht="15.75" customHeight="1">
      <c r="A2363" s="14" t="s">
        <v>2137</v>
      </c>
      <c r="B2363" s="15" t="s">
        <v>24647</v>
      </c>
      <c r="C2363" s="14" t="s">
        <v>24672</v>
      </c>
      <c r="D2363" s="14" t="s">
        <v>24673</v>
      </c>
      <c r="E2363" s="26" t="str">
        <f t="shared" si="29"/>
        <v>http://dx.doi.org/10.1109/TVCG.2013.124</v>
      </c>
      <c r="F2363" s="14">
        <v>2376.0</v>
      </c>
      <c r="G2363" s="14">
        <v>2385.0</v>
      </c>
      <c r="H2363" s="14" t="s">
        <v>17059</v>
      </c>
      <c r="I2363" s="19" t="s">
        <v>24674</v>
      </c>
      <c r="J2363" s="19" t="s">
        <v>24675</v>
      </c>
      <c r="K2363" s="19" t="s">
        <v>24675</v>
      </c>
      <c r="L2363" s="19" t="s">
        <v>24676</v>
      </c>
      <c r="M2363" s="20" t="s">
        <v>24677</v>
      </c>
      <c r="N2363" s="44" t="s">
        <v>24678</v>
      </c>
      <c r="O2363" s="22">
        <v>204.0</v>
      </c>
      <c r="P2363" s="28">
        <v>122.0</v>
      </c>
      <c r="Q2363" s="28">
        <v>84.0</v>
      </c>
      <c r="R2363" s="84"/>
      <c r="S2363" s="84"/>
      <c r="T2363" s="84"/>
      <c r="U2363" s="84"/>
      <c r="V2363" s="84"/>
      <c r="W2363" s="84"/>
      <c r="X2363" s="84"/>
      <c r="Y2363" s="84"/>
      <c r="Z2363" s="84"/>
      <c r="AA2363" s="84"/>
    </row>
    <row r="2364" ht="15.75" customHeight="1">
      <c r="A2364" s="14" t="s">
        <v>2137</v>
      </c>
      <c r="B2364" s="15" t="s">
        <v>24647</v>
      </c>
      <c r="C2364" s="14" t="s">
        <v>24679</v>
      </c>
      <c r="D2364" s="14" t="s">
        <v>24680</v>
      </c>
      <c r="E2364" s="26" t="str">
        <f t="shared" si="29"/>
        <v>http://dx.doi.org/10.1109/TVCG.2013.130</v>
      </c>
      <c r="F2364" s="14">
        <v>2356.0</v>
      </c>
      <c r="G2364" s="14">
        <v>2365.0</v>
      </c>
      <c r="H2364" s="14" t="s">
        <v>17059</v>
      </c>
      <c r="I2364" s="19" t="s">
        <v>24681</v>
      </c>
      <c r="J2364" s="19" t="s">
        <v>24682</v>
      </c>
      <c r="K2364" s="19" t="s">
        <v>24682</v>
      </c>
      <c r="L2364" s="19" t="s">
        <v>15411</v>
      </c>
      <c r="M2364" s="20" t="s">
        <v>24684</v>
      </c>
      <c r="N2364" s="44" t="s">
        <v>24685</v>
      </c>
      <c r="O2364" s="22">
        <v>70.0</v>
      </c>
      <c r="P2364" s="28">
        <v>43.0</v>
      </c>
      <c r="Q2364" s="28">
        <v>79.0</v>
      </c>
      <c r="R2364" s="84"/>
      <c r="S2364" s="84"/>
      <c r="T2364" s="84"/>
      <c r="U2364" s="84"/>
      <c r="V2364" s="84"/>
      <c r="W2364" s="84"/>
      <c r="X2364" s="84"/>
      <c r="Y2364" s="84"/>
      <c r="Z2364" s="84"/>
      <c r="AA2364" s="84"/>
    </row>
    <row r="2365" ht="15.75" customHeight="1">
      <c r="A2365" s="14" t="s">
        <v>2137</v>
      </c>
      <c r="B2365" s="15" t="s">
        <v>24647</v>
      </c>
      <c r="C2365" s="14" t="s">
        <v>24686</v>
      </c>
      <c r="D2365" s="14" t="s">
        <v>24687</v>
      </c>
      <c r="E2365" s="26" t="str">
        <f t="shared" si="29"/>
        <v>http://dx.doi.org/10.1109/TVCG.2013.134</v>
      </c>
      <c r="F2365" s="14">
        <v>2396.0</v>
      </c>
      <c r="G2365" s="14">
        <v>2405.0</v>
      </c>
      <c r="H2365" s="14" t="s">
        <v>17059</v>
      </c>
      <c r="I2365" s="19" t="s">
        <v>24689</v>
      </c>
      <c r="J2365" s="19" t="s">
        <v>24690</v>
      </c>
      <c r="K2365" s="19" t="s">
        <v>24690</v>
      </c>
      <c r="L2365" s="19" t="s">
        <v>24691</v>
      </c>
      <c r="M2365" s="20" t="s">
        <v>24692</v>
      </c>
      <c r="N2365" s="44" t="s">
        <v>24693</v>
      </c>
      <c r="O2365" s="22">
        <v>53.0</v>
      </c>
      <c r="P2365" s="28">
        <v>31.0</v>
      </c>
      <c r="Q2365" s="28">
        <v>65.0</v>
      </c>
      <c r="R2365" s="84"/>
      <c r="S2365" s="84"/>
      <c r="T2365" s="84"/>
      <c r="U2365" s="84"/>
      <c r="V2365" s="84"/>
      <c r="W2365" s="84"/>
      <c r="X2365" s="84"/>
      <c r="Y2365" s="84"/>
      <c r="Z2365" s="84"/>
      <c r="AA2365" s="84"/>
    </row>
    <row r="2366" ht="15.75" customHeight="1">
      <c r="A2366" s="14" t="s">
        <v>2137</v>
      </c>
      <c r="B2366" s="15" t="s">
        <v>24647</v>
      </c>
      <c r="C2366" s="14" t="s">
        <v>24694</v>
      </c>
      <c r="D2366" s="14" t="s">
        <v>24695</v>
      </c>
      <c r="E2366" s="26" t="str">
        <f t="shared" si="29"/>
        <v>http://dx.doi.org/10.1109/TVCG.2013.137</v>
      </c>
      <c r="F2366" s="14">
        <v>2586.0</v>
      </c>
      <c r="G2366" s="14">
        <v>2595.0</v>
      </c>
      <c r="H2366" s="14" t="s">
        <v>17059</v>
      </c>
      <c r="I2366" s="19" t="s">
        <v>24696</v>
      </c>
      <c r="J2366" s="19" t="s">
        <v>24697</v>
      </c>
      <c r="K2366" s="19" t="s">
        <v>24698</v>
      </c>
      <c r="L2366" s="19" t="s">
        <v>24699</v>
      </c>
      <c r="M2366" s="20" t="s">
        <v>24700</v>
      </c>
      <c r="N2366" s="44" t="s">
        <v>24701</v>
      </c>
      <c r="O2366" s="22">
        <v>0.0</v>
      </c>
      <c r="P2366" s="28">
        <v>1.0</v>
      </c>
      <c r="Q2366" s="28">
        <v>31.0</v>
      </c>
      <c r="R2366" s="84"/>
      <c r="S2366" s="84"/>
      <c r="T2366" s="84"/>
      <c r="U2366" s="84"/>
      <c r="V2366" s="84"/>
      <c r="W2366" s="84"/>
      <c r="X2366" s="84"/>
      <c r="Y2366" s="84"/>
      <c r="Z2366" s="84"/>
      <c r="AA2366" s="84"/>
    </row>
    <row r="2367" ht="15.75" customHeight="1">
      <c r="A2367" s="14" t="s">
        <v>2137</v>
      </c>
      <c r="B2367" s="15" t="s">
        <v>24647</v>
      </c>
      <c r="C2367" s="14" t="s">
        <v>24702</v>
      </c>
      <c r="D2367" s="14" t="s">
        <v>24703</v>
      </c>
      <c r="E2367" s="26" t="str">
        <f t="shared" si="29"/>
        <v>http://dx.doi.org/10.1109/TVCG.2013.140</v>
      </c>
      <c r="F2367" s="14">
        <v>2297.0</v>
      </c>
      <c r="G2367" s="14">
        <v>2305.0</v>
      </c>
      <c r="H2367" s="14" t="s">
        <v>17059</v>
      </c>
      <c r="I2367" s="19" t="s">
        <v>24705</v>
      </c>
      <c r="J2367" s="19" t="s">
        <v>24706</v>
      </c>
      <c r="K2367" s="19" t="s">
        <v>24706</v>
      </c>
      <c r="L2367" s="19" t="s">
        <v>24707</v>
      </c>
      <c r="M2367" s="20" t="s">
        <v>24708</v>
      </c>
      <c r="N2367" s="44" t="s">
        <v>24709</v>
      </c>
      <c r="O2367" s="22">
        <v>0.0</v>
      </c>
      <c r="P2367" s="28">
        <v>6.0</v>
      </c>
      <c r="Q2367" s="28">
        <v>37.0</v>
      </c>
      <c r="R2367" s="84"/>
      <c r="S2367" s="84"/>
      <c r="T2367" s="84"/>
      <c r="U2367" s="84"/>
      <c r="V2367" s="84"/>
      <c r="W2367" s="84"/>
      <c r="X2367" s="84"/>
      <c r="Y2367" s="84"/>
      <c r="Z2367" s="84"/>
      <c r="AA2367" s="84"/>
    </row>
    <row r="2368" ht="15.75" customHeight="1">
      <c r="A2368" s="14" t="s">
        <v>2137</v>
      </c>
      <c r="B2368" s="15" t="s">
        <v>24647</v>
      </c>
      <c r="C2368" s="14" t="s">
        <v>24710</v>
      </c>
      <c r="D2368" s="14" t="s">
        <v>24711</v>
      </c>
      <c r="E2368" s="26" t="str">
        <f t="shared" si="29"/>
        <v>http://dx.doi.org/10.1109/TVCG.2013.145</v>
      </c>
      <c r="F2368" s="14">
        <v>2516.0</v>
      </c>
      <c r="G2368" s="14">
        <v>2525.0</v>
      </c>
      <c r="H2368" s="14" t="s">
        <v>17059</v>
      </c>
      <c r="I2368" s="19" t="s">
        <v>24712</v>
      </c>
      <c r="J2368" s="19" t="s">
        <v>24713</v>
      </c>
      <c r="K2368" s="19" t="s">
        <v>24713</v>
      </c>
      <c r="L2368" s="19" t="s">
        <v>24714</v>
      </c>
      <c r="M2368" s="20" t="s">
        <v>24715</v>
      </c>
      <c r="N2368" s="44" t="s">
        <v>24716</v>
      </c>
      <c r="O2368" s="22">
        <v>50.0</v>
      </c>
      <c r="P2368" s="28">
        <v>17.0</v>
      </c>
      <c r="Q2368" s="28">
        <v>57.0</v>
      </c>
      <c r="R2368" s="84"/>
      <c r="S2368" s="84"/>
      <c r="T2368" s="84"/>
      <c r="U2368" s="84"/>
      <c r="V2368" s="84"/>
      <c r="W2368" s="84"/>
      <c r="X2368" s="84"/>
      <c r="Y2368" s="84"/>
      <c r="Z2368" s="84"/>
      <c r="AA2368" s="84"/>
    </row>
    <row r="2369" ht="15.75" customHeight="1">
      <c r="A2369" s="14" t="s">
        <v>2137</v>
      </c>
      <c r="B2369" s="15" t="s">
        <v>24647</v>
      </c>
      <c r="C2369" s="14" t="s">
        <v>24717</v>
      </c>
      <c r="D2369" s="14" t="s">
        <v>24718</v>
      </c>
      <c r="E2369" s="26" t="str">
        <f t="shared" si="29"/>
        <v>http://dx.doi.org/10.1109/TVCG.2013.149</v>
      </c>
      <c r="F2369" s="14">
        <v>2556.0</v>
      </c>
      <c r="G2369" s="14">
        <v>2565.0</v>
      </c>
      <c r="H2369" s="14" t="s">
        <v>17059</v>
      </c>
      <c r="I2369" s="19" t="s">
        <v>24719</v>
      </c>
      <c r="J2369" s="19" t="s">
        <v>24720</v>
      </c>
      <c r="K2369" s="19" t="s">
        <v>24720</v>
      </c>
      <c r="L2369" s="19" t="s">
        <v>24721</v>
      </c>
      <c r="M2369" s="20" t="s">
        <v>24722</v>
      </c>
      <c r="N2369" s="44" t="s">
        <v>24723</v>
      </c>
      <c r="O2369" s="22">
        <v>58.0</v>
      </c>
      <c r="P2369" s="28">
        <v>25.0</v>
      </c>
      <c r="Q2369" s="28">
        <v>43.0</v>
      </c>
      <c r="R2369" s="84"/>
      <c r="S2369" s="84"/>
      <c r="T2369" s="84"/>
      <c r="U2369" s="84"/>
      <c r="V2369" s="84"/>
      <c r="W2369" s="84"/>
      <c r="X2369" s="84"/>
      <c r="Y2369" s="84"/>
      <c r="Z2369" s="84"/>
      <c r="AA2369" s="84"/>
    </row>
    <row r="2370" ht="15.75" customHeight="1">
      <c r="A2370" s="14" t="s">
        <v>2137</v>
      </c>
      <c r="B2370" s="15" t="s">
        <v>24647</v>
      </c>
      <c r="C2370" s="14" t="s">
        <v>24724</v>
      </c>
      <c r="D2370" s="14" t="s">
        <v>24726</v>
      </c>
      <c r="E2370" s="26" t="str">
        <f t="shared" si="29"/>
        <v>http://dx.doi.org/10.1109/TVCG.2013.150</v>
      </c>
      <c r="F2370" s="14">
        <v>2625.0</v>
      </c>
      <c r="G2370" s="14">
        <v>2633.0</v>
      </c>
      <c r="H2370" s="14" t="s">
        <v>17059</v>
      </c>
      <c r="I2370" s="19" t="s">
        <v>24727</v>
      </c>
      <c r="J2370" s="19" t="s">
        <v>24728</v>
      </c>
      <c r="K2370" s="19" t="s">
        <v>24728</v>
      </c>
      <c r="L2370" s="19" t="s">
        <v>24730</v>
      </c>
      <c r="M2370" s="20" t="s">
        <v>24731</v>
      </c>
      <c r="N2370" s="44" t="s">
        <v>24732</v>
      </c>
      <c r="O2370" s="22">
        <v>56.0</v>
      </c>
      <c r="P2370" s="28">
        <v>39.0</v>
      </c>
      <c r="Q2370" s="28">
        <v>43.0</v>
      </c>
      <c r="R2370" s="84"/>
      <c r="S2370" s="84"/>
      <c r="T2370" s="84"/>
      <c r="U2370" s="84"/>
      <c r="V2370" s="84"/>
      <c r="W2370" s="84"/>
      <c r="X2370" s="84"/>
      <c r="Y2370" s="84"/>
      <c r="Z2370" s="84"/>
      <c r="AA2370" s="84"/>
    </row>
    <row r="2371" ht="15.75" customHeight="1">
      <c r="A2371" s="14" t="s">
        <v>2137</v>
      </c>
      <c r="B2371" s="15" t="s">
        <v>24647</v>
      </c>
      <c r="C2371" s="14" t="s">
        <v>24733</v>
      </c>
      <c r="D2371" s="14" t="s">
        <v>24734</v>
      </c>
      <c r="E2371" s="26" t="str">
        <f t="shared" si="29"/>
        <v>http://dx.doi.org/10.1109/TVCG.2013.151</v>
      </c>
      <c r="F2371" s="14">
        <v>2596.0</v>
      </c>
      <c r="G2371" s="14">
        <v>2605.0</v>
      </c>
      <c r="H2371" s="14" t="s">
        <v>17059</v>
      </c>
      <c r="I2371" s="19" t="s">
        <v>24735</v>
      </c>
      <c r="J2371" s="19" t="s">
        <v>24736</v>
      </c>
      <c r="K2371" s="19" t="s">
        <v>24736</v>
      </c>
      <c r="L2371" s="19" t="s">
        <v>24737</v>
      </c>
      <c r="M2371" s="20" t="s">
        <v>24738</v>
      </c>
      <c r="N2371" s="44" t="s">
        <v>24739</v>
      </c>
      <c r="O2371" s="22">
        <v>32.0</v>
      </c>
      <c r="P2371" s="28">
        <v>22.0</v>
      </c>
      <c r="Q2371" s="28">
        <v>25.0</v>
      </c>
      <c r="R2371" s="84"/>
      <c r="S2371" s="84"/>
      <c r="T2371" s="84"/>
      <c r="U2371" s="84"/>
      <c r="V2371" s="84"/>
      <c r="W2371" s="84"/>
      <c r="X2371" s="84"/>
      <c r="Y2371" s="84"/>
      <c r="Z2371" s="84"/>
      <c r="AA2371" s="84"/>
    </row>
    <row r="2372" ht="15.75" customHeight="1">
      <c r="A2372" s="14" t="s">
        <v>2137</v>
      </c>
      <c r="B2372" s="15" t="s">
        <v>24647</v>
      </c>
      <c r="C2372" s="14" t="s">
        <v>24740</v>
      </c>
      <c r="D2372" s="14" t="s">
        <v>24741</v>
      </c>
      <c r="E2372" s="26" t="str">
        <f t="shared" si="29"/>
        <v>http://dx.doi.org/10.1109/TVCG.2013.153</v>
      </c>
      <c r="F2372" s="14">
        <v>2634.0</v>
      </c>
      <c r="G2372" s="14">
        <v>2643.0</v>
      </c>
      <c r="H2372" s="14" t="s">
        <v>17059</v>
      </c>
      <c r="I2372" s="19" t="s">
        <v>24742</v>
      </c>
      <c r="J2372" s="19" t="s">
        <v>24743</v>
      </c>
      <c r="K2372" s="19" t="s">
        <v>24743</v>
      </c>
      <c r="L2372" s="19" t="s">
        <v>24744</v>
      </c>
      <c r="M2372" s="20" t="s">
        <v>24745</v>
      </c>
      <c r="N2372" s="44" t="s">
        <v>24746</v>
      </c>
      <c r="O2372" s="22">
        <v>51.0</v>
      </c>
      <c r="P2372" s="28">
        <v>39.0</v>
      </c>
      <c r="Q2372" s="28">
        <v>0.0</v>
      </c>
      <c r="R2372" s="84"/>
      <c r="S2372" s="84"/>
      <c r="T2372" s="84"/>
      <c r="U2372" s="84"/>
      <c r="V2372" s="84"/>
      <c r="W2372" s="84"/>
      <c r="X2372" s="84"/>
      <c r="Y2372" s="84"/>
      <c r="Z2372" s="84"/>
      <c r="AA2372" s="84"/>
    </row>
    <row r="2373" ht="15.75" customHeight="1">
      <c r="A2373" s="14" t="s">
        <v>2137</v>
      </c>
      <c r="B2373" s="15" t="s">
        <v>24647</v>
      </c>
      <c r="C2373" s="14" t="s">
        <v>24747</v>
      </c>
      <c r="D2373" s="14" t="s">
        <v>24748</v>
      </c>
      <c r="E2373" s="26" t="str">
        <f t="shared" si="29"/>
        <v>http://dx.doi.org/10.1109/TVCG.2013.154</v>
      </c>
      <c r="F2373" s="14">
        <v>2536.0</v>
      </c>
      <c r="G2373" s="14">
        <v>2545.0</v>
      </c>
      <c r="H2373" s="14" t="s">
        <v>17059</v>
      </c>
      <c r="I2373" s="19" t="s">
        <v>24750</v>
      </c>
      <c r="J2373" s="19" t="s">
        <v>24751</v>
      </c>
      <c r="K2373" s="19" t="s">
        <v>24751</v>
      </c>
      <c r="L2373" s="19" t="s">
        <v>24752</v>
      </c>
      <c r="M2373" s="20" t="s">
        <v>24753</v>
      </c>
      <c r="N2373" s="44" t="s">
        <v>24754</v>
      </c>
      <c r="O2373" s="22">
        <v>36.0</v>
      </c>
      <c r="P2373" s="28">
        <v>21.0</v>
      </c>
      <c r="Q2373" s="28">
        <v>33.0</v>
      </c>
      <c r="R2373" s="84"/>
      <c r="S2373" s="84"/>
      <c r="T2373" s="84"/>
      <c r="U2373" s="84"/>
      <c r="V2373" s="84"/>
      <c r="W2373" s="84"/>
      <c r="X2373" s="84"/>
      <c r="Y2373" s="84"/>
      <c r="Z2373" s="84"/>
      <c r="AA2373" s="84"/>
    </row>
    <row r="2374" ht="15.75" customHeight="1">
      <c r="A2374" s="14" t="s">
        <v>2137</v>
      </c>
      <c r="B2374" s="15" t="s">
        <v>24647</v>
      </c>
      <c r="C2374" s="14" t="s">
        <v>24756</v>
      </c>
      <c r="D2374" s="14" t="s">
        <v>24757</v>
      </c>
      <c r="E2374" s="26" t="str">
        <f t="shared" si="29"/>
        <v>http://dx.doi.org/10.1109/TVCG.2013.155</v>
      </c>
      <c r="F2374" s="14">
        <v>2476.0</v>
      </c>
      <c r="G2374" s="14">
        <v>2485.0</v>
      </c>
      <c r="H2374" s="14" t="s">
        <v>17059</v>
      </c>
      <c r="I2374" s="19" t="s">
        <v>24758</v>
      </c>
      <c r="J2374" s="19" t="s">
        <v>24759</v>
      </c>
      <c r="K2374" s="19" t="s">
        <v>24760</v>
      </c>
      <c r="L2374" s="19" t="s">
        <v>24761</v>
      </c>
      <c r="M2374" s="20" t="s">
        <v>24762</v>
      </c>
      <c r="N2374" s="44" t="s">
        <v>24763</v>
      </c>
      <c r="O2374" s="22">
        <v>50.0</v>
      </c>
      <c r="P2374" s="28">
        <v>15.0</v>
      </c>
      <c r="Q2374" s="28">
        <v>54.0</v>
      </c>
      <c r="R2374" s="84"/>
      <c r="S2374" s="84"/>
      <c r="T2374" s="84"/>
      <c r="U2374" s="84"/>
      <c r="V2374" s="84"/>
      <c r="W2374" s="84"/>
      <c r="X2374" s="84"/>
      <c r="Y2374" s="84"/>
      <c r="Z2374" s="84"/>
      <c r="AA2374" s="84"/>
    </row>
    <row r="2375" ht="15.75" customHeight="1">
      <c r="A2375" s="14" t="s">
        <v>2137</v>
      </c>
      <c r="B2375" s="15" t="s">
        <v>24647</v>
      </c>
      <c r="C2375" s="14" t="s">
        <v>24764</v>
      </c>
      <c r="D2375" s="14" t="s">
        <v>24765</v>
      </c>
      <c r="E2375" s="26" t="str">
        <f t="shared" si="29"/>
        <v>http://dx.doi.org/10.1109/TVCG.2013.160</v>
      </c>
      <c r="F2375" s="14">
        <v>2606.0</v>
      </c>
      <c r="G2375" s="14">
        <v>2614.0</v>
      </c>
      <c r="H2375" s="14" t="s">
        <v>17059</v>
      </c>
      <c r="I2375" s="19" t="s">
        <v>24766</v>
      </c>
      <c r="J2375" s="19" t="s">
        <v>24767</v>
      </c>
      <c r="K2375" s="19" t="s">
        <v>24767</v>
      </c>
      <c r="L2375" s="19" t="s">
        <v>24768</v>
      </c>
      <c r="M2375" s="20" t="s">
        <v>24769</v>
      </c>
      <c r="N2375" s="44" t="s">
        <v>24770</v>
      </c>
      <c r="O2375" s="22">
        <v>40.0</v>
      </c>
      <c r="P2375" s="28">
        <v>20.0</v>
      </c>
      <c r="Q2375" s="28">
        <v>40.0</v>
      </c>
      <c r="R2375" s="84"/>
      <c r="S2375" s="84"/>
      <c r="T2375" s="84"/>
      <c r="U2375" s="84"/>
      <c r="V2375" s="84"/>
      <c r="W2375" s="84"/>
      <c r="X2375" s="84"/>
      <c r="Y2375" s="84"/>
      <c r="Z2375" s="84"/>
      <c r="AA2375" s="84"/>
    </row>
    <row r="2376" ht="15.75" customHeight="1">
      <c r="A2376" s="14" t="s">
        <v>2137</v>
      </c>
      <c r="B2376" s="15" t="s">
        <v>24647</v>
      </c>
      <c r="C2376" s="14" t="s">
        <v>24772</v>
      </c>
      <c r="D2376" s="14" t="s">
        <v>24773</v>
      </c>
      <c r="E2376" s="26" t="str">
        <f t="shared" si="29"/>
        <v>http://dx.doi.org/10.1109/TVCG.2013.163</v>
      </c>
      <c r="F2376" s="14">
        <v>2346.0</v>
      </c>
      <c r="G2376" s="14">
        <v>2355.0</v>
      </c>
      <c r="H2376" s="14" t="s">
        <v>17059</v>
      </c>
      <c r="I2376" s="19" t="s">
        <v>24775</v>
      </c>
      <c r="J2376" s="19" t="s">
        <v>24776</v>
      </c>
      <c r="K2376" s="19" t="s">
        <v>24776</v>
      </c>
      <c r="L2376" s="19" t="s">
        <v>24777</v>
      </c>
      <c r="M2376" s="20" t="s">
        <v>24778</v>
      </c>
      <c r="N2376" s="44" t="s">
        <v>24779</v>
      </c>
      <c r="O2376" s="22">
        <v>50.0</v>
      </c>
      <c r="P2376" s="28">
        <v>11.0</v>
      </c>
      <c r="Q2376" s="28">
        <v>47.0</v>
      </c>
      <c r="R2376" s="84"/>
      <c r="S2376" s="84"/>
      <c r="T2376" s="84"/>
      <c r="U2376" s="84"/>
      <c r="V2376" s="84"/>
      <c r="W2376" s="84"/>
      <c r="X2376" s="84"/>
      <c r="Y2376" s="84"/>
      <c r="Z2376" s="84"/>
      <c r="AA2376" s="84"/>
    </row>
    <row r="2377" ht="15.75" customHeight="1">
      <c r="A2377" s="14" t="s">
        <v>2137</v>
      </c>
      <c r="B2377" s="15" t="s">
        <v>24647</v>
      </c>
      <c r="C2377" s="14" t="s">
        <v>24780</v>
      </c>
      <c r="D2377" s="14" t="s">
        <v>24781</v>
      </c>
      <c r="E2377" s="26" t="str">
        <f t="shared" si="29"/>
        <v>http://dx.doi.org/10.1109/TVCG.2013.166</v>
      </c>
      <c r="F2377" s="14">
        <v>2386.0</v>
      </c>
      <c r="G2377" s="14">
        <v>2395.0</v>
      </c>
      <c r="H2377" s="14" t="s">
        <v>17059</v>
      </c>
      <c r="I2377" s="19" t="s">
        <v>24782</v>
      </c>
      <c r="J2377" s="19" t="s">
        <v>24783</v>
      </c>
      <c r="K2377" s="19" t="s">
        <v>24784</v>
      </c>
      <c r="L2377" s="19" t="s">
        <v>24785</v>
      </c>
      <c r="M2377" s="20" t="s">
        <v>24786</v>
      </c>
      <c r="N2377" s="44" t="s">
        <v>24787</v>
      </c>
      <c r="O2377" s="22">
        <v>50.0</v>
      </c>
      <c r="P2377" s="28">
        <v>15.0</v>
      </c>
      <c r="Q2377" s="28">
        <v>56.0</v>
      </c>
      <c r="R2377" s="84"/>
      <c r="S2377" s="84"/>
      <c r="T2377" s="84"/>
      <c r="U2377" s="84"/>
      <c r="V2377" s="84"/>
      <c r="W2377" s="84"/>
      <c r="X2377" s="84"/>
      <c r="Y2377" s="84"/>
      <c r="Z2377" s="84"/>
      <c r="AA2377" s="84"/>
    </row>
    <row r="2378" ht="15.75" customHeight="1">
      <c r="A2378" s="14" t="s">
        <v>2137</v>
      </c>
      <c r="B2378" s="15" t="s">
        <v>24647</v>
      </c>
      <c r="C2378" s="14" t="s">
        <v>24788</v>
      </c>
      <c r="D2378" s="14" t="s">
        <v>24789</v>
      </c>
      <c r="E2378" s="26" t="str">
        <f t="shared" si="29"/>
        <v>http://dx.doi.org/10.1109/TVCG.2013.170</v>
      </c>
      <c r="F2378" s="14">
        <v>2336.0</v>
      </c>
      <c r="G2378" s="14">
        <v>2345.0</v>
      </c>
      <c r="H2378" s="14" t="s">
        <v>17059</v>
      </c>
      <c r="I2378" s="19" t="s">
        <v>24792</v>
      </c>
      <c r="J2378" s="19" t="s">
        <v>24793</v>
      </c>
      <c r="K2378" s="19" t="s">
        <v>24794</v>
      </c>
      <c r="L2378" s="19" t="s">
        <v>24795</v>
      </c>
      <c r="M2378" s="20" t="s">
        <v>24796</v>
      </c>
      <c r="N2378" s="44" t="s">
        <v>24797</v>
      </c>
      <c r="O2378" s="22">
        <v>17.0</v>
      </c>
      <c r="P2378" s="28">
        <v>8.0</v>
      </c>
      <c r="Q2378" s="28">
        <v>32.0</v>
      </c>
      <c r="R2378" s="84"/>
      <c r="S2378" s="84"/>
      <c r="T2378" s="84"/>
      <c r="U2378" s="84"/>
      <c r="V2378" s="84"/>
      <c r="W2378" s="84"/>
      <c r="X2378" s="84"/>
      <c r="Y2378" s="84"/>
      <c r="Z2378" s="84"/>
      <c r="AA2378" s="84"/>
    </row>
    <row r="2379" ht="15.75" customHeight="1">
      <c r="A2379" s="14" t="s">
        <v>2137</v>
      </c>
      <c r="B2379" s="15" t="s">
        <v>24647</v>
      </c>
      <c r="C2379" s="14" t="s">
        <v>24799</v>
      </c>
      <c r="D2379" s="14" t="s">
        <v>24800</v>
      </c>
      <c r="E2379" s="26" t="str">
        <f t="shared" si="29"/>
        <v>http://dx.doi.org/10.1109/TVCG.2013.173</v>
      </c>
      <c r="F2379" s="14">
        <v>2277.0</v>
      </c>
      <c r="G2379" s="14">
        <v>2286.0</v>
      </c>
      <c r="H2379" s="14" t="s">
        <v>17059</v>
      </c>
      <c r="I2379" s="19" t="s">
        <v>24801</v>
      </c>
      <c r="J2379" s="19" t="s">
        <v>24802</v>
      </c>
      <c r="K2379" s="19" t="s">
        <v>24802</v>
      </c>
      <c r="L2379" s="19" t="s">
        <v>24803</v>
      </c>
      <c r="M2379" s="20" t="s">
        <v>24804</v>
      </c>
      <c r="N2379" s="44" t="s">
        <v>24805</v>
      </c>
      <c r="O2379" s="22">
        <v>113.0</v>
      </c>
      <c r="P2379" s="28">
        <v>65.0</v>
      </c>
      <c r="Q2379" s="28">
        <v>36.0</v>
      </c>
      <c r="R2379" s="85" t="s">
        <v>106</v>
      </c>
      <c r="S2379" s="84"/>
      <c r="T2379" s="84"/>
      <c r="U2379" s="84"/>
      <c r="V2379" s="84"/>
      <c r="W2379" s="84"/>
      <c r="X2379" s="84"/>
      <c r="Y2379" s="84"/>
      <c r="Z2379" s="84"/>
      <c r="AA2379" s="84"/>
    </row>
    <row r="2380" ht="15.75" customHeight="1">
      <c r="A2380" s="14" t="s">
        <v>2137</v>
      </c>
      <c r="B2380" s="15" t="s">
        <v>24647</v>
      </c>
      <c r="C2380" s="14" t="s">
        <v>24806</v>
      </c>
      <c r="D2380" s="14" t="s">
        <v>24807</v>
      </c>
      <c r="E2380" s="26" t="str">
        <f t="shared" si="29"/>
        <v>http://dx.doi.org/10.1109/TVCG.2013.179</v>
      </c>
      <c r="F2380" s="14">
        <v>2456.0</v>
      </c>
      <c r="G2380" s="14">
        <v>2465.0</v>
      </c>
      <c r="H2380" s="14" t="s">
        <v>17059</v>
      </c>
      <c r="I2380" s="19" t="s">
        <v>24808</v>
      </c>
      <c r="J2380" s="19" t="s">
        <v>24809</v>
      </c>
      <c r="K2380" s="19" t="s">
        <v>24811</v>
      </c>
      <c r="L2380" s="19" t="s">
        <v>24812</v>
      </c>
      <c r="M2380" s="20" t="s">
        <v>24813</v>
      </c>
      <c r="N2380" s="44" t="s">
        <v>24814</v>
      </c>
      <c r="O2380" s="22">
        <v>133.0</v>
      </c>
      <c r="P2380" s="28">
        <v>62.0</v>
      </c>
      <c r="Q2380" s="28">
        <v>36.0</v>
      </c>
      <c r="R2380" s="85" t="s">
        <v>19037</v>
      </c>
      <c r="S2380" s="84"/>
      <c r="T2380" s="84"/>
      <c r="U2380" s="84"/>
      <c r="V2380" s="84"/>
      <c r="W2380" s="84"/>
      <c r="X2380" s="84"/>
      <c r="Y2380" s="84"/>
      <c r="Z2380" s="84"/>
      <c r="AA2380" s="84"/>
    </row>
    <row r="2381" ht="15.75" customHeight="1">
      <c r="A2381" s="14" t="s">
        <v>2137</v>
      </c>
      <c r="B2381" s="15" t="s">
        <v>24647</v>
      </c>
      <c r="C2381" s="14" t="s">
        <v>24815</v>
      </c>
      <c r="D2381" s="14" t="s">
        <v>24817</v>
      </c>
      <c r="E2381" s="26" t="str">
        <f t="shared" si="29"/>
        <v>http://dx.doi.org/10.1109/TVCG.2013.182</v>
      </c>
      <c r="F2381" s="14">
        <v>2615.0</v>
      </c>
      <c r="G2381" s="14">
        <v>2624.0</v>
      </c>
      <c r="H2381" s="14" t="s">
        <v>17059</v>
      </c>
      <c r="I2381" s="19" t="s">
        <v>24818</v>
      </c>
      <c r="J2381" s="19" t="s">
        <v>21965</v>
      </c>
      <c r="K2381" s="19" t="s">
        <v>21965</v>
      </c>
      <c r="L2381" s="19" t="s">
        <v>21966</v>
      </c>
      <c r="M2381" s="20" t="s">
        <v>3776</v>
      </c>
      <c r="N2381" s="44" t="s">
        <v>24819</v>
      </c>
      <c r="O2381" s="22">
        <v>50.0</v>
      </c>
      <c r="P2381" s="28">
        <v>19.0</v>
      </c>
      <c r="Q2381" s="28">
        <v>27.0</v>
      </c>
      <c r="R2381" s="84"/>
      <c r="S2381" s="84"/>
      <c r="T2381" s="84"/>
      <c r="U2381" s="84"/>
      <c r="V2381" s="84"/>
      <c r="W2381" s="84"/>
      <c r="X2381" s="84"/>
      <c r="Y2381" s="84"/>
      <c r="Z2381" s="84"/>
      <c r="AA2381" s="84"/>
    </row>
    <row r="2382" ht="15.75" customHeight="1">
      <c r="A2382" s="14" t="s">
        <v>2137</v>
      </c>
      <c r="B2382" s="15" t="s">
        <v>24647</v>
      </c>
      <c r="C2382" s="14" t="s">
        <v>24820</v>
      </c>
      <c r="D2382" s="14" t="s">
        <v>24821</v>
      </c>
      <c r="E2382" s="26" t="str">
        <f t="shared" si="29"/>
        <v>http://dx.doi.org/10.1109/TVCG.2013.183</v>
      </c>
      <c r="F2382" s="14">
        <v>2316.0</v>
      </c>
      <c r="G2382" s="14">
        <v>2325.0</v>
      </c>
      <c r="H2382" s="14" t="s">
        <v>17059</v>
      </c>
      <c r="I2382" s="19" t="s">
        <v>24822</v>
      </c>
      <c r="J2382" s="19" t="s">
        <v>24823</v>
      </c>
      <c r="K2382" s="19" t="s">
        <v>24823</v>
      </c>
      <c r="L2382" s="19" t="s">
        <v>24824</v>
      </c>
      <c r="M2382" s="20" t="s">
        <v>23708</v>
      </c>
      <c r="N2382" s="44" t="s">
        <v>24825</v>
      </c>
      <c r="O2382" s="22">
        <v>35.0</v>
      </c>
      <c r="P2382" s="28">
        <v>20.0</v>
      </c>
      <c r="Q2382" s="28">
        <v>59.0</v>
      </c>
      <c r="R2382" s="84"/>
      <c r="S2382" s="84"/>
      <c r="T2382" s="84"/>
      <c r="U2382" s="84"/>
      <c r="V2382" s="84"/>
      <c r="W2382" s="84"/>
      <c r="X2382" s="84"/>
      <c r="Y2382" s="84"/>
      <c r="Z2382" s="84"/>
      <c r="AA2382" s="84"/>
    </row>
    <row r="2383" ht="15.75" customHeight="1">
      <c r="A2383" s="14" t="s">
        <v>2137</v>
      </c>
      <c r="B2383" s="15" t="s">
        <v>24647</v>
      </c>
      <c r="C2383" s="14" t="s">
        <v>24826</v>
      </c>
      <c r="D2383" s="14" t="s">
        <v>24827</v>
      </c>
      <c r="E2383" s="26" t="str">
        <f t="shared" si="29"/>
        <v>http://dx.doi.org/10.1109/TVCG.2013.184</v>
      </c>
      <c r="F2383" s="14">
        <v>2496.0</v>
      </c>
      <c r="G2383" s="14">
        <v>2505.0</v>
      </c>
      <c r="H2383" s="14" t="s">
        <v>17059</v>
      </c>
      <c r="I2383" s="19" t="s">
        <v>24829</v>
      </c>
      <c r="J2383" s="19" t="s">
        <v>24830</v>
      </c>
      <c r="K2383" s="19" t="s">
        <v>24830</v>
      </c>
      <c r="L2383" s="19" t="s">
        <v>24831</v>
      </c>
      <c r="M2383" s="20" t="s">
        <v>24832</v>
      </c>
      <c r="N2383" s="44" t="s">
        <v>24833</v>
      </c>
      <c r="O2383" s="22">
        <v>50.0</v>
      </c>
      <c r="P2383" s="28">
        <v>23.0</v>
      </c>
      <c r="Q2383" s="28">
        <v>50.0</v>
      </c>
      <c r="R2383" s="84"/>
      <c r="S2383" s="84"/>
      <c r="T2383" s="84"/>
      <c r="U2383" s="84"/>
      <c r="V2383" s="84"/>
      <c r="W2383" s="84"/>
      <c r="X2383" s="84"/>
      <c r="Y2383" s="84"/>
      <c r="Z2383" s="84"/>
      <c r="AA2383" s="84"/>
    </row>
    <row r="2384" ht="15.75" customHeight="1">
      <c r="A2384" s="14" t="s">
        <v>2137</v>
      </c>
      <c r="B2384" s="15" t="s">
        <v>24647</v>
      </c>
      <c r="C2384" s="14" t="s">
        <v>24834</v>
      </c>
      <c r="D2384" s="14" t="s">
        <v>24835</v>
      </c>
      <c r="E2384" s="26" t="str">
        <f t="shared" si="29"/>
        <v>http://dx.doi.org/10.1109/TVCG.2013.187</v>
      </c>
      <c r="F2384" s="14">
        <v>2326.0</v>
      </c>
      <c r="G2384" s="14">
        <v>2335.0</v>
      </c>
      <c r="H2384" s="14" t="s">
        <v>17059</v>
      </c>
      <c r="I2384" s="19" t="s">
        <v>24836</v>
      </c>
      <c r="J2384" s="19" t="s">
        <v>24837</v>
      </c>
      <c r="K2384" s="19" t="s">
        <v>24838</v>
      </c>
      <c r="L2384" s="19" t="s">
        <v>24839</v>
      </c>
      <c r="M2384" s="20" t="s">
        <v>24840</v>
      </c>
      <c r="N2384" s="44" t="s">
        <v>24841</v>
      </c>
      <c r="O2384" s="22">
        <v>21.0</v>
      </c>
      <c r="P2384" s="28">
        <v>18.0</v>
      </c>
      <c r="Q2384" s="28">
        <v>28.0</v>
      </c>
      <c r="R2384" s="84"/>
      <c r="S2384" s="84"/>
      <c r="T2384" s="84"/>
      <c r="U2384" s="84"/>
      <c r="V2384" s="84"/>
      <c r="W2384" s="84"/>
      <c r="X2384" s="84"/>
      <c r="Y2384" s="84"/>
      <c r="Z2384" s="84"/>
      <c r="AA2384" s="84"/>
    </row>
    <row r="2385" ht="15.75" customHeight="1">
      <c r="A2385" s="14" t="s">
        <v>2137</v>
      </c>
      <c r="B2385" s="15" t="s">
        <v>24647</v>
      </c>
      <c r="C2385" s="14" t="s">
        <v>24842</v>
      </c>
      <c r="D2385" s="14" t="s">
        <v>24843</v>
      </c>
      <c r="E2385" s="26" t="str">
        <f t="shared" si="29"/>
        <v>http://dx.doi.org/10.1109/TVCG.2013.191</v>
      </c>
      <c r="F2385" s="14">
        <v>2416.0</v>
      </c>
      <c r="G2385" s="14">
        <v>2425.0</v>
      </c>
      <c r="H2385" s="14" t="s">
        <v>17059</v>
      </c>
      <c r="I2385" s="19" t="s">
        <v>24846</v>
      </c>
      <c r="J2385" s="19" t="s">
        <v>24847</v>
      </c>
      <c r="K2385" s="19" t="s">
        <v>24847</v>
      </c>
      <c r="L2385" s="19" t="s">
        <v>24848</v>
      </c>
      <c r="M2385" s="20" t="s">
        <v>24849</v>
      </c>
      <c r="N2385" s="44" t="s">
        <v>24850</v>
      </c>
      <c r="O2385" s="22">
        <v>52.0</v>
      </c>
      <c r="P2385" s="28">
        <v>22.0</v>
      </c>
      <c r="Q2385" s="28">
        <v>51.0</v>
      </c>
      <c r="R2385" s="84"/>
      <c r="S2385" s="84"/>
      <c r="T2385" s="84"/>
      <c r="U2385" s="84"/>
      <c r="V2385" s="84"/>
      <c r="W2385" s="84"/>
      <c r="X2385" s="84"/>
      <c r="Y2385" s="84"/>
      <c r="Z2385" s="84"/>
      <c r="AA2385" s="84"/>
    </row>
    <row r="2386" ht="15.75" customHeight="1">
      <c r="A2386" s="14" t="s">
        <v>2137</v>
      </c>
      <c r="B2386" s="15" t="s">
        <v>24647</v>
      </c>
      <c r="C2386" s="14" t="s">
        <v>24852</v>
      </c>
      <c r="D2386" s="14" t="s">
        <v>24853</v>
      </c>
      <c r="E2386" s="26" t="str">
        <f t="shared" si="29"/>
        <v>http://dx.doi.org/10.1109/TVCG.2013.192</v>
      </c>
      <c r="F2386" s="14">
        <v>2506.0</v>
      </c>
      <c r="G2386" s="14">
        <v>2515.0</v>
      </c>
      <c r="H2386" s="14" t="s">
        <v>17059</v>
      </c>
      <c r="I2386" s="19" t="s">
        <v>24854</v>
      </c>
      <c r="J2386" s="19" t="s">
        <v>24855</v>
      </c>
      <c r="K2386" s="19" t="s">
        <v>24855</v>
      </c>
      <c r="L2386" s="19" t="s">
        <v>24856</v>
      </c>
      <c r="M2386" s="20" t="s">
        <v>24857</v>
      </c>
      <c r="N2386" s="44" t="s">
        <v>24858</v>
      </c>
      <c r="O2386" s="22">
        <v>78.0</v>
      </c>
      <c r="P2386" s="28">
        <v>51.0</v>
      </c>
      <c r="Q2386" s="28">
        <v>26.0</v>
      </c>
      <c r="R2386" s="85" t="s">
        <v>19037</v>
      </c>
      <c r="S2386" s="84"/>
      <c r="T2386" s="84"/>
      <c r="U2386" s="84"/>
      <c r="V2386" s="84"/>
      <c r="W2386" s="84"/>
      <c r="X2386" s="84"/>
      <c r="Y2386" s="84"/>
      <c r="Z2386" s="84"/>
      <c r="AA2386" s="84"/>
    </row>
    <row r="2387" ht="15.75" customHeight="1">
      <c r="A2387" s="14" t="s">
        <v>2137</v>
      </c>
      <c r="B2387" s="15" t="s">
        <v>24647</v>
      </c>
      <c r="C2387" s="14" t="s">
        <v>24859</v>
      </c>
      <c r="D2387" s="14" t="s">
        <v>24860</v>
      </c>
      <c r="E2387" s="26" t="str">
        <f t="shared" si="29"/>
        <v>http://dx.doi.org/10.1109/TVCG.2013.196</v>
      </c>
      <c r="F2387" s="14">
        <v>2436.0</v>
      </c>
      <c r="G2387" s="14">
        <v>2445.0</v>
      </c>
      <c r="H2387" s="14" t="s">
        <v>17059</v>
      </c>
      <c r="I2387" s="19" t="s">
        <v>24862</v>
      </c>
      <c r="J2387" s="19" t="s">
        <v>24864</v>
      </c>
      <c r="K2387" s="19" t="s">
        <v>24865</v>
      </c>
      <c r="L2387" s="19" t="s">
        <v>24866</v>
      </c>
      <c r="M2387" s="20" t="s">
        <v>24867</v>
      </c>
      <c r="N2387" s="44" t="s">
        <v>24868</v>
      </c>
      <c r="O2387" s="22">
        <v>79.0</v>
      </c>
      <c r="P2387" s="28">
        <v>52.0</v>
      </c>
      <c r="Q2387" s="28">
        <v>47.0</v>
      </c>
      <c r="R2387" s="84"/>
      <c r="S2387" s="84"/>
      <c r="T2387" s="84"/>
      <c r="U2387" s="84"/>
      <c r="V2387" s="84"/>
      <c r="W2387" s="84"/>
      <c r="X2387" s="84"/>
      <c r="Y2387" s="84"/>
      <c r="Z2387" s="84"/>
      <c r="AA2387" s="84"/>
    </row>
    <row r="2388" ht="15.75" customHeight="1">
      <c r="A2388" s="14" t="s">
        <v>2137</v>
      </c>
      <c r="B2388" s="15" t="s">
        <v>24647</v>
      </c>
      <c r="C2388" s="14" t="s">
        <v>24869</v>
      </c>
      <c r="D2388" s="14" t="s">
        <v>24870</v>
      </c>
      <c r="E2388" s="26" t="str">
        <f t="shared" si="29"/>
        <v>http://dx.doi.org/10.1109/TVCG.2013.209</v>
      </c>
      <c r="F2388" s="14">
        <v>2526.0</v>
      </c>
      <c r="G2388" s="14">
        <v>2535.0</v>
      </c>
      <c r="H2388" s="14" t="s">
        <v>17059</v>
      </c>
      <c r="I2388" s="19" t="s">
        <v>24871</v>
      </c>
      <c r="J2388" s="19" t="s">
        <v>24872</v>
      </c>
      <c r="K2388" s="19" t="s">
        <v>24873</v>
      </c>
      <c r="L2388" s="19" t="s">
        <v>24874</v>
      </c>
      <c r="M2388" s="20" t="s">
        <v>24875</v>
      </c>
      <c r="N2388" s="44" t="s">
        <v>24876</v>
      </c>
      <c r="O2388" s="22">
        <v>33.0</v>
      </c>
      <c r="P2388" s="28">
        <v>23.0</v>
      </c>
      <c r="Q2388" s="28">
        <v>51.0</v>
      </c>
      <c r="R2388" s="84"/>
      <c r="S2388" s="84"/>
      <c r="T2388" s="84"/>
      <c r="U2388" s="84"/>
      <c r="V2388" s="84"/>
      <c r="W2388" s="84"/>
      <c r="X2388" s="84"/>
      <c r="Y2388" s="84"/>
      <c r="Z2388" s="84"/>
      <c r="AA2388" s="84"/>
    </row>
    <row r="2389" ht="15.75" customHeight="1">
      <c r="A2389" s="14" t="s">
        <v>2137</v>
      </c>
      <c r="B2389" s="15" t="s">
        <v>24647</v>
      </c>
      <c r="C2389" s="14" t="s">
        <v>24877</v>
      </c>
      <c r="D2389" s="14" t="s">
        <v>24878</v>
      </c>
      <c r="E2389" s="26" t="str">
        <f t="shared" si="29"/>
        <v>http://dx.doi.org/10.1109/TVCG.2013.210</v>
      </c>
      <c r="F2389" s="14">
        <v>2426.0</v>
      </c>
      <c r="G2389" s="14">
        <v>2435.0</v>
      </c>
      <c r="H2389" s="14" t="s">
        <v>17059</v>
      </c>
      <c r="I2389" s="19" t="s">
        <v>24880</v>
      </c>
      <c r="J2389" s="19" t="s">
        <v>24881</v>
      </c>
      <c r="K2389" s="19" t="s">
        <v>24881</v>
      </c>
      <c r="L2389" s="19" t="s">
        <v>24882</v>
      </c>
      <c r="M2389" s="20" t="s">
        <v>23587</v>
      </c>
      <c r="N2389" s="44" t="s">
        <v>24884</v>
      </c>
      <c r="O2389" s="22">
        <v>23.0</v>
      </c>
      <c r="P2389" s="28">
        <v>7.0</v>
      </c>
      <c r="Q2389" s="28">
        <v>41.0</v>
      </c>
      <c r="R2389" s="84"/>
      <c r="S2389" s="84"/>
      <c r="T2389" s="84"/>
      <c r="U2389" s="84"/>
      <c r="V2389" s="84"/>
      <c r="W2389" s="84"/>
      <c r="X2389" s="84"/>
      <c r="Y2389" s="84"/>
      <c r="Z2389" s="84"/>
      <c r="AA2389" s="84"/>
    </row>
    <row r="2390" ht="15.75" customHeight="1">
      <c r="A2390" s="14" t="s">
        <v>2137</v>
      </c>
      <c r="B2390" s="15" t="s">
        <v>24647</v>
      </c>
      <c r="C2390" s="14" t="s">
        <v>24885</v>
      </c>
      <c r="D2390" s="14" t="s">
        <v>24886</v>
      </c>
      <c r="E2390" s="26" t="str">
        <f t="shared" si="29"/>
        <v>http://dx.doi.org/10.1109/TVCG.2013.214</v>
      </c>
      <c r="F2390" s="14">
        <v>2546.0</v>
      </c>
      <c r="G2390" s="14">
        <v>2555.0</v>
      </c>
      <c r="H2390" s="14" t="s">
        <v>17059</v>
      </c>
      <c r="I2390" s="19" t="s">
        <v>24887</v>
      </c>
      <c r="J2390" s="19" t="s">
        <v>24888</v>
      </c>
      <c r="K2390" s="19" t="s">
        <v>24888</v>
      </c>
      <c r="L2390" s="19" t="s">
        <v>24889</v>
      </c>
      <c r="M2390" s="20" t="s">
        <v>24890</v>
      </c>
      <c r="N2390" s="44" t="s">
        <v>24891</v>
      </c>
      <c r="O2390" s="22">
        <v>22.0</v>
      </c>
      <c r="P2390" s="28">
        <v>12.0</v>
      </c>
      <c r="Q2390" s="28">
        <v>36.0</v>
      </c>
      <c r="R2390" s="84"/>
      <c r="S2390" s="84"/>
      <c r="T2390" s="84"/>
      <c r="U2390" s="84"/>
      <c r="V2390" s="84"/>
      <c r="W2390" s="84"/>
      <c r="X2390" s="84"/>
      <c r="Y2390" s="84"/>
      <c r="Z2390" s="84"/>
      <c r="AA2390" s="84"/>
    </row>
    <row r="2391" ht="15.75" customHeight="1">
      <c r="A2391" s="14" t="s">
        <v>2137</v>
      </c>
      <c r="B2391" s="15" t="s">
        <v>24647</v>
      </c>
      <c r="C2391" s="14" t="s">
        <v>24892</v>
      </c>
      <c r="D2391" s="14" t="s">
        <v>24893</v>
      </c>
      <c r="E2391" s="26" t="str">
        <f t="shared" si="29"/>
        <v>http://dx.doi.org/10.1109/TVCG.2013.225</v>
      </c>
      <c r="F2391" s="14">
        <v>2576.0</v>
      </c>
      <c r="G2391" s="14">
        <v>2585.0</v>
      </c>
      <c r="H2391" s="14" t="s">
        <v>17059</v>
      </c>
      <c r="I2391" s="19" t="s">
        <v>24894</v>
      </c>
      <c r="J2391" s="19" t="s">
        <v>23840</v>
      </c>
      <c r="K2391" s="19" t="s">
        <v>23840</v>
      </c>
      <c r="L2391" s="19" t="s">
        <v>23841</v>
      </c>
      <c r="M2391" s="20" t="s">
        <v>24895</v>
      </c>
      <c r="N2391" s="44" t="s">
        <v>24896</v>
      </c>
      <c r="O2391" s="22">
        <v>22.0</v>
      </c>
      <c r="P2391" s="28">
        <v>14.0</v>
      </c>
      <c r="Q2391" s="28">
        <v>42.0</v>
      </c>
      <c r="R2391" s="84"/>
      <c r="S2391" s="84"/>
      <c r="T2391" s="84"/>
      <c r="U2391" s="84"/>
      <c r="V2391" s="84"/>
      <c r="W2391" s="84"/>
      <c r="X2391" s="84"/>
      <c r="Y2391" s="84"/>
      <c r="Z2391" s="84"/>
      <c r="AA2391" s="84"/>
    </row>
    <row r="2392" ht="15.75" customHeight="1">
      <c r="A2392" s="14" t="s">
        <v>2137</v>
      </c>
      <c r="B2392" s="15" t="s">
        <v>24647</v>
      </c>
      <c r="C2392" s="14" t="s">
        <v>24899</v>
      </c>
      <c r="D2392" s="14" t="s">
        <v>24900</v>
      </c>
      <c r="E2392" s="26" t="str">
        <f t="shared" si="29"/>
        <v>http://dx.doi.org/10.1109/TVCG.2013.227</v>
      </c>
      <c r="F2392" s="14">
        <v>2446.0</v>
      </c>
      <c r="G2392" s="14">
        <v>2455.0</v>
      </c>
      <c r="H2392" s="14" t="s">
        <v>17059</v>
      </c>
      <c r="I2392" s="19" t="s">
        <v>24902</v>
      </c>
      <c r="J2392" s="19" t="s">
        <v>24903</v>
      </c>
      <c r="K2392" s="19" t="s">
        <v>24903</v>
      </c>
      <c r="L2392" s="19" t="s">
        <v>23590</v>
      </c>
      <c r="M2392" s="20" t="s">
        <v>24904</v>
      </c>
      <c r="N2392" s="44" t="s">
        <v>24905</v>
      </c>
      <c r="O2392" s="22">
        <v>50.0</v>
      </c>
      <c r="P2392" s="28">
        <v>29.0</v>
      </c>
      <c r="Q2392" s="28">
        <v>42.0</v>
      </c>
      <c r="R2392" s="84"/>
      <c r="S2392" s="84"/>
      <c r="T2392" s="84"/>
      <c r="U2392" s="84"/>
      <c r="V2392" s="84"/>
      <c r="W2392" s="84"/>
      <c r="X2392" s="84"/>
      <c r="Y2392" s="84"/>
      <c r="Z2392" s="84"/>
      <c r="AA2392" s="84"/>
    </row>
    <row r="2393" ht="15.75" customHeight="1">
      <c r="A2393" s="14" t="s">
        <v>2137</v>
      </c>
      <c r="B2393" s="15" t="s">
        <v>24647</v>
      </c>
      <c r="C2393" s="14" t="s">
        <v>24906</v>
      </c>
      <c r="D2393" s="14" t="s">
        <v>24907</v>
      </c>
      <c r="E2393" s="26" t="str">
        <f t="shared" si="29"/>
        <v>http://dx.doi.org/10.1109/TVCG.2013.230</v>
      </c>
      <c r="F2393" s="14">
        <v>2644.0</v>
      </c>
      <c r="G2393" s="14">
        <v>2652.0</v>
      </c>
      <c r="H2393" s="14" t="s">
        <v>17059</v>
      </c>
      <c r="I2393" s="19" t="s">
        <v>24908</v>
      </c>
      <c r="J2393" s="19" t="s">
        <v>24909</v>
      </c>
      <c r="K2393" s="19" t="s">
        <v>24909</v>
      </c>
      <c r="L2393" s="19" t="s">
        <v>24910</v>
      </c>
      <c r="M2393" s="20" t="s">
        <v>24911</v>
      </c>
      <c r="N2393" s="44" t="s">
        <v>24912</v>
      </c>
      <c r="O2393" s="22">
        <v>50.0</v>
      </c>
      <c r="P2393" s="28">
        <v>2.0</v>
      </c>
      <c r="Q2393" s="28">
        <v>43.0</v>
      </c>
      <c r="R2393" s="84"/>
      <c r="S2393" s="84"/>
      <c r="T2393" s="84"/>
      <c r="U2393" s="84"/>
      <c r="V2393" s="84"/>
      <c r="W2393" s="84"/>
      <c r="X2393" s="84"/>
      <c r="Y2393" s="84"/>
      <c r="Z2393" s="84"/>
      <c r="AA2393" s="84"/>
    </row>
    <row r="2394" ht="15.75" customHeight="1">
      <c r="A2394" s="14" t="s">
        <v>2137</v>
      </c>
      <c r="B2394" s="15" t="s">
        <v>24647</v>
      </c>
      <c r="C2394" s="14" t="s">
        <v>24913</v>
      </c>
      <c r="D2394" s="14" t="s">
        <v>24914</v>
      </c>
      <c r="E2394" s="26" t="str">
        <f t="shared" si="29"/>
        <v>http://dx.doi.org/10.1109/TVCG.2013.231</v>
      </c>
      <c r="F2394" s="14">
        <v>2566.0</v>
      </c>
      <c r="G2394" s="14">
        <v>2575.0</v>
      </c>
      <c r="H2394" s="14" t="s">
        <v>17059</v>
      </c>
      <c r="I2394" s="19" t="s">
        <v>24915</v>
      </c>
      <c r="J2394" s="19" t="s">
        <v>24916</v>
      </c>
      <c r="K2394" s="19" t="s">
        <v>24917</v>
      </c>
      <c r="L2394" s="19" t="s">
        <v>24918</v>
      </c>
      <c r="M2394" s="20" t="s">
        <v>24919</v>
      </c>
      <c r="N2394" s="44" t="s">
        <v>24920</v>
      </c>
      <c r="O2394" s="22">
        <v>29.0</v>
      </c>
      <c r="P2394" s="28">
        <v>10.0</v>
      </c>
      <c r="Q2394" s="28">
        <v>45.0</v>
      </c>
      <c r="R2394" s="84"/>
      <c r="S2394" s="84"/>
      <c r="T2394" s="84"/>
      <c r="U2394" s="84"/>
      <c r="V2394" s="84"/>
      <c r="W2394" s="84"/>
      <c r="X2394" s="84"/>
      <c r="Y2394" s="84"/>
      <c r="Z2394" s="84"/>
      <c r="AA2394" s="84"/>
    </row>
    <row r="2395" ht="15.75" customHeight="1">
      <c r="A2395" s="14" t="s">
        <v>2137</v>
      </c>
      <c r="B2395" s="15" t="s">
        <v>24647</v>
      </c>
      <c r="C2395" s="14" t="s">
        <v>24921</v>
      </c>
      <c r="D2395" s="14" t="s">
        <v>24922</v>
      </c>
      <c r="E2395" s="26" t="str">
        <f t="shared" si="29"/>
        <v>http://dx.doi.org/10.1109/TVCG.2013.232</v>
      </c>
      <c r="F2395" s="14">
        <v>2486.0</v>
      </c>
      <c r="G2395" s="14">
        <v>2495.0</v>
      </c>
      <c r="H2395" s="14" t="s">
        <v>17059</v>
      </c>
      <c r="I2395" s="19" t="s">
        <v>24924</v>
      </c>
      <c r="J2395" s="19" t="s">
        <v>24925</v>
      </c>
      <c r="K2395" s="19" t="s">
        <v>24925</v>
      </c>
      <c r="L2395" s="19" t="s">
        <v>24926</v>
      </c>
      <c r="M2395" s="20" t="s">
        <v>24928</v>
      </c>
      <c r="N2395" s="44" t="s">
        <v>24929</v>
      </c>
      <c r="O2395" s="22">
        <v>50.0</v>
      </c>
      <c r="P2395" s="28">
        <v>22.0</v>
      </c>
      <c r="Q2395" s="28">
        <v>53.0</v>
      </c>
      <c r="R2395" s="84"/>
      <c r="S2395" s="84"/>
      <c r="T2395" s="84"/>
      <c r="U2395" s="84"/>
      <c r="V2395" s="84"/>
      <c r="W2395" s="84"/>
      <c r="X2395" s="84"/>
      <c r="Y2395" s="84"/>
      <c r="Z2395" s="84"/>
      <c r="AA2395" s="84"/>
    </row>
    <row r="2396" ht="15.75" customHeight="1">
      <c r="A2396" s="14" t="s">
        <v>2137</v>
      </c>
      <c r="B2396" s="15" t="s">
        <v>24647</v>
      </c>
      <c r="C2396" s="14" t="s">
        <v>24930</v>
      </c>
      <c r="D2396" s="14" t="s">
        <v>24931</v>
      </c>
      <c r="E2396" s="26" t="str">
        <f t="shared" si="29"/>
        <v>http://dx.doi.org/10.1109/TVCG.2013.233</v>
      </c>
      <c r="F2396" s="14">
        <v>2466.0</v>
      </c>
      <c r="G2396" s="14">
        <v>2475.0</v>
      </c>
      <c r="H2396" s="14" t="s">
        <v>17059</v>
      </c>
      <c r="I2396" s="19" t="s">
        <v>24932</v>
      </c>
      <c r="J2396" s="19" t="s">
        <v>24933</v>
      </c>
      <c r="K2396" s="19" t="s">
        <v>24933</v>
      </c>
      <c r="L2396" s="19" t="s">
        <v>24934</v>
      </c>
      <c r="M2396" s="20" t="s">
        <v>24935</v>
      </c>
      <c r="N2396" s="44" t="s">
        <v>24936</v>
      </c>
      <c r="O2396" s="22">
        <v>8.0</v>
      </c>
      <c r="P2396" s="28">
        <v>2.0</v>
      </c>
      <c r="Q2396" s="28">
        <v>37.0</v>
      </c>
      <c r="R2396" s="84"/>
      <c r="S2396" s="84"/>
      <c r="T2396" s="84"/>
      <c r="U2396" s="84"/>
      <c r="V2396" s="84"/>
      <c r="W2396" s="84"/>
      <c r="X2396" s="84"/>
      <c r="Y2396" s="84"/>
      <c r="Z2396" s="84"/>
      <c r="AA2396" s="84"/>
    </row>
    <row r="2397" ht="15.75" customHeight="1">
      <c r="A2397" s="14" t="s">
        <v>2137</v>
      </c>
      <c r="B2397" s="15" t="s">
        <v>24647</v>
      </c>
      <c r="C2397" s="14" t="s">
        <v>24937</v>
      </c>
      <c r="D2397" s="14" t="s">
        <v>24938</v>
      </c>
      <c r="E2397" s="26" t="str">
        <f t="shared" si="29"/>
        <v>http://dx.doi.org/10.1109/TVCG.2013.234</v>
      </c>
      <c r="F2397" s="14">
        <v>2306.0</v>
      </c>
      <c r="G2397" s="14">
        <v>2315.0</v>
      </c>
      <c r="H2397" s="14" t="s">
        <v>17059</v>
      </c>
      <c r="I2397" s="19" t="s">
        <v>24939</v>
      </c>
      <c r="J2397" s="19" t="s">
        <v>24940</v>
      </c>
      <c r="K2397" s="19" t="s">
        <v>24941</v>
      </c>
      <c r="L2397" s="19" t="s">
        <v>24942</v>
      </c>
      <c r="M2397" s="20" t="s">
        <v>24943</v>
      </c>
      <c r="N2397" s="44" t="s">
        <v>24944</v>
      </c>
      <c r="O2397" s="22">
        <v>192.0</v>
      </c>
      <c r="P2397" s="28">
        <v>81.0</v>
      </c>
      <c r="Q2397" s="28">
        <v>39.0</v>
      </c>
      <c r="R2397" s="84"/>
      <c r="S2397" s="84"/>
      <c r="T2397" s="84"/>
      <c r="U2397" s="84"/>
      <c r="V2397" s="84"/>
      <c r="W2397" s="84"/>
      <c r="X2397" s="84"/>
      <c r="Y2397" s="84"/>
      <c r="Z2397" s="84"/>
      <c r="AA2397" s="84"/>
    </row>
    <row r="2398" ht="15.75" customHeight="1">
      <c r="A2398" s="14" t="s">
        <v>4153</v>
      </c>
      <c r="B2398" s="15" t="s">
        <v>24647</v>
      </c>
      <c r="C2398" s="14" t="s">
        <v>24945</v>
      </c>
      <c r="D2398" s="14" t="s">
        <v>24946</v>
      </c>
      <c r="E2398" s="26" t="str">
        <f t="shared" si="29"/>
        <v>http://dx.doi.org/10.1109/TVCG.2013.121</v>
      </c>
      <c r="F2398" s="14">
        <v>2802.0</v>
      </c>
      <c r="G2398" s="14">
        <v>2809.0</v>
      </c>
      <c r="H2398" s="14" t="s">
        <v>17059</v>
      </c>
      <c r="I2398" s="19" t="s">
        <v>24947</v>
      </c>
      <c r="J2398" s="19" t="s">
        <v>24948</v>
      </c>
      <c r="K2398" s="19" t="s">
        <v>24948</v>
      </c>
      <c r="L2398" s="19" t="s">
        <v>24949</v>
      </c>
      <c r="M2398" s="20" t="s">
        <v>24950</v>
      </c>
      <c r="N2398" s="44" t="s">
        <v>24951</v>
      </c>
      <c r="O2398" s="22">
        <v>29.0</v>
      </c>
      <c r="P2398" s="28">
        <v>15.0</v>
      </c>
      <c r="Q2398" s="28">
        <v>26.0</v>
      </c>
      <c r="R2398" s="84"/>
      <c r="S2398" s="84"/>
      <c r="T2398" s="84"/>
      <c r="U2398" s="84"/>
      <c r="V2398" s="84"/>
      <c r="W2398" s="84"/>
      <c r="X2398" s="84"/>
      <c r="Y2398" s="84"/>
      <c r="Z2398" s="84"/>
      <c r="AA2398" s="84"/>
    </row>
    <row r="2399" ht="15.75" customHeight="1">
      <c r="A2399" s="14" t="s">
        <v>4153</v>
      </c>
      <c r="B2399" s="15" t="s">
        <v>24647</v>
      </c>
      <c r="C2399" s="14" t="s">
        <v>24952</v>
      </c>
      <c r="D2399" s="14" t="s">
        <v>24953</v>
      </c>
      <c r="E2399" s="26" t="str">
        <f t="shared" si="29"/>
        <v>http://dx.doi.org/10.1109/TVCG.2013.123</v>
      </c>
      <c r="F2399" s="14">
        <v>2792.0</v>
      </c>
      <c r="G2399" s="14">
        <v>2801.0</v>
      </c>
      <c r="H2399" s="14" t="s">
        <v>17059</v>
      </c>
      <c r="I2399" s="19" t="s">
        <v>24954</v>
      </c>
      <c r="J2399" s="19" t="s">
        <v>24955</v>
      </c>
      <c r="K2399" s="19" t="s">
        <v>24955</v>
      </c>
      <c r="L2399" s="19" t="s">
        <v>19791</v>
      </c>
      <c r="M2399" s="20" t="s">
        <v>24956</v>
      </c>
      <c r="N2399" s="44" t="s">
        <v>24957</v>
      </c>
      <c r="O2399" s="22">
        <v>12.0</v>
      </c>
      <c r="P2399" s="28">
        <v>3.0</v>
      </c>
      <c r="Q2399" s="28">
        <v>39.0</v>
      </c>
      <c r="R2399" s="84"/>
      <c r="S2399" s="84"/>
      <c r="T2399" s="84"/>
      <c r="U2399" s="84"/>
      <c r="V2399" s="84"/>
      <c r="W2399" s="84"/>
      <c r="X2399" s="84"/>
      <c r="Y2399" s="84"/>
      <c r="Z2399" s="84"/>
      <c r="AA2399" s="84"/>
    </row>
    <row r="2400" ht="15.75" customHeight="1">
      <c r="A2400" s="14" t="s">
        <v>4153</v>
      </c>
      <c r="B2400" s="15" t="s">
        <v>24647</v>
      </c>
      <c r="C2400" s="14" t="s">
        <v>24958</v>
      </c>
      <c r="D2400" s="14" t="s">
        <v>24959</v>
      </c>
      <c r="E2400" s="26" t="str">
        <f t="shared" si="29"/>
        <v>http://dx.doi.org/10.1109/TVCG.2013.126</v>
      </c>
      <c r="F2400" s="14">
        <v>2818.0</v>
      </c>
      <c r="G2400" s="14">
        <v>2827.0</v>
      </c>
      <c r="H2400" s="14" t="s">
        <v>17059</v>
      </c>
      <c r="I2400" s="19" t="s">
        <v>24960</v>
      </c>
      <c r="J2400" s="19" t="s">
        <v>24961</v>
      </c>
      <c r="K2400" s="19" t="s">
        <v>24962</v>
      </c>
      <c r="L2400" s="19" t="s">
        <v>24963</v>
      </c>
      <c r="M2400" s="20" t="s">
        <v>24964</v>
      </c>
      <c r="N2400" s="44" t="s">
        <v>24965</v>
      </c>
      <c r="O2400" s="22">
        <v>80.0</v>
      </c>
      <c r="P2400" s="28">
        <v>66.0</v>
      </c>
      <c r="Q2400" s="28">
        <v>74.0</v>
      </c>
      <c r="R2400" s="84"/>
      <c r="S2400" s="84"/>
      <c r="T2400" s="84"/>
      <c r="U2400" s="84"/>
      <c r="V2400" s="84"/>
      <c r="W2400" s="84"/>
      <c r="X2400" s="84"/>
      <c r="Y2400" s="84"/>
      <c r="Z2400" s="84"/>
      <c r="AA2400" s="84"/>
    </row>
    <row r="2401" ht="15.75" customHeight="1">
      <c r="A2401" s="14" t="s">
        <v>4153</v>
      </c>
      <c r="B2401" s="15" t="s">
        <v>24647</v>
      </c>
      <c r="C2401" s="14" t="s">
        <v>24966</v>
      </c>
      <c r="D2401" s="14" t="s">
        <v>24967</v>
      </c>
      <c r="E2401" s="26" t="str">
        <f t="shared" si="29"/>
        <v>http://dx.doi.org/10.1109/TVCG.2013.127</v>
      </c>
      <c r="F2401" s="14">
        <v>2886.0</v>
      </c>
      <c r="G2401" s="14">
        <v>2895.0</v>
      </c>
      <c r="H2401" s="14" t="s">
        <v>17059</v>
      </c>
      <c r="I2401" s="19" t="s">
        <v>24968</v>
      </c>
      <c r="J2401" s="19" t="s">
        <v>24969</v>
      </c>
      <c r="K2401" s="19" t="s">
        <v>24969</v>
      </c>
      <c r="L2401" s="19" t="s">
        <v>17777</v>
      </c>
      <c r="M2401" s="20" t="s">
        <v>24970</v>
      </c>
      <c r="N2401" s="44" t="s">
        <v>24971</v>
      </c>
      <c r="O2401" s="22">
        <v>7.0</v>
      </c>
      <c r="P2401" s="28">
        <v>4.0</v>
      </c>
      <c r="Q2401" s="28">
        <v>45.0</v>
      </c>
      <c r="R2401" s="84"/>
      <c r="S2401" s="84"/>
      <c r="T2401" s="84"/>
      <c r="U2401" s="84"/>
      <c r="V2401" s="84"/>
      <c r="W2401" s="84"/>
      <c r="X2401" s="84"/>
      <c r="Y2401" s="84"/>
      <c r="Z2401" s="84"/>
      <c r="AA2401" s="84"/>
    </row>
    <row r="2402" ht="15.75" customHeight="1">
      <c r="A2402" s="14" t="s">
        <v>4153</v>
      </c>
      <c r="B2402" s="15" t="s">
        <v>24647</v>
      </c>
      <c r="C2402" s="14" t="s">
        <v>24972</v>
      </c>
      <c r="D2402" s="14" t="s">
        <v>24973</v>
      </c>
      <c r="E2402" s="26" t="str">
        <f t="shared" si="29"/>
        <v>http://dx.doi.org/10.1109/TVCG.2013.128</v>
      </c>
      <c r="F2402" s="14">
        <v>2753.0</v>
      </c>
      <c r="G2402" s="14">
        <v>2762.0</v>
      </c>
      <c r="H2402" s="14" t="s">
        <v>17059</v>
      </c>
      <c r="I2402" s="19" t="s">
        <v>24974</v>
      </c>
      <c r="J2402" s="19" t="s">
        <v>24975</v>
      </c>
      <c r="K2402" s="19" t="s">
        <v>24975</v>
      </c>
      <c r="L2402" s="19" t="s">
        <v>24976</v>
      </c>
      <c r="M2402" s="20" t="s">
        <v>24977</v>
      </c>
      <c r="N2402" s="44" t="s">
        <v>24978</v>
      </c>
      <c r="O2402" s="22">
        <v>50.0</v>
      </c>
      <c r="P2402" s="28">
        <v>11.0</v>
      </c>
      <c r="Q2402" s="28">
        <v>40.0</v>
      </c>
      <c r="R2402" s="85" t="s">
        <v>19037</v>
      </c>
      <c r="S2402" s="84"/>
      <c r="T2402" s="84"/>
      <c r="U2402" s="84"/>
      <c r="V2402" s="84"/>
      <c r="W2402" s="84"/>
      <c r="X2402" s="84"/>
      <c r="Y2402" s="84"/>
      <c r="Z2402" s="84"/>
      <c r="AA2402" s="84"/>
    </row>
    <row r="2403" ht="15.75" customHeight="1">
      <c r="A2403" s="14" t="s">
        <v>4153</v>
      </c>
      <c r="B2403" s="15" t="s">
        <v>24647</v>
      </c>
      <c r="C2403" s="14" t="s">
        <v>24979</v>
      </c>
      <c r="D2403" s="14" t="s">
        <v>24980</v>
      </c>
      <c r="E2403" s="26" t="str">
        <f t="shared" si="29"/>
        <v>http://dx.doi.org/10.1109/TVCG.2013.129</v>
      </c>
      <c r="F2403" s="14">
        <v>2936.0</v>
      </c>
      <c r="G2403" s="14">
        <v>2945.0</v>
      </c>
      <c r="H2403" s="14" t="s">
        <v>17059</v>
      </c>
      <c r="I2403" s="19" t="s">
        <v>24981</v>
      </c>
      <c r="J2403" s="19" t="s">
        <v>24982</v>
      </c>
      <c r="K2403" s="19" t="s">
        <v>24982</v>
      </c>
      <c r="L2403" s="19" t="s">
        <v>24983</v>
      </c>
      <c r="M2403" s="20" t="s">
        <v>24984</v>
      </c>
      <c r="N2403" s="44" t="s">
        <v>24985</v>
      </c>
      <c r="O2403" s="22">
        <v>50.0</v>
      </c>
      <c r="P2403" s="28">
        <v>17.0</v>
      </c>
      <c r="Q2403" s="28">
        <v>50.0</v>
      </c>
      <c r="R2403" s="85" t="s">
        <v>19037</v>
      </c>
      <c r="S2403" s="84"/>
      <c r="T2403" s="84"/>
      <c r="U2403" s="84"/>
      <c r="V2403" s="84"/>
      <c r="W2403" s="84"/>
      <c r="X2403" s="84"/>
      <c r="Y2403" s="84"/>
      <c r="Z2403" s="84"/>
      <c r="AA2403" s="84"/>
    </row>
    <row r="2404" ht="15.75" customHeight="1">
      <c r="A2404" s="14" t="s">
        <v>4153</v>
      </c>
      <c r="B2404" s="15" t="s">
        <v>24647</v>
      </c>
      <c r="C2404" s="14" t="s">
        <v>24986</v>
      </c>
      <c r="D2404" s="14" t="s">
        <v>24987</v>
      </c>
      <c r="E2404" s="26" t="str">
        <f t="shared" si="29"/>
        <v>http://dx.doi.org/10.1109/TVCG.2013.131</v>
      </c>
      <c r="F2404" s="14">
        <v>2896.0</v>
      </c>
      <c r="G2404" s="14">
        <v>2905.0</v>
      </c>
      <c r="H2404" s="14" t="s">
        <v>17059</v>
      </c>
      <c r="I2404" s="19" t="s">
        <v>24988</v>
      </c>
      <c r="J2404" s="19" t="s">
        <v>24989</v>
      </c>
      <c r="K2404" s="19" t="s">
        <v>24989</v>
      </c>
      <c r="L2404" s="19" t="s">
        <v>24990</v>
      </c>
      <c r="M2404" s="20" t="s">
        <v>24991</v>
      </c>
      <c r="N2404" s="44" t="s">
        <v>24992</v>
      </c>
      <c r="O2404" s="22">
        <v>50.0</v>
      </c>
      <c r="P2404" s="28">
        <v>11.0</v>
      </c>
      <c r="Q2404" s="28">
        <v>50.0</v>
      </c>
      <c r="R2404" s="84"/>
      <c r="S2404" s="84"/>
      <c r="T2404" s="84"/>
      <c r="U2404" s="84"/>
      <c r="V2404" s="84"/>
      <c r="W2404" s="84"/>
      <c r="X2404" s="84"/>
      <c r="Y2404" s="84"/>
      <c r="Z2404" s="84"/>
      <c r="AA2404" s="84"/>
    </row>
    <row r="2405" ht="15.75" customHeight="1">
      <c r="A2405" s="14" t="s">
        <v>4153</v>
      </c>
      <c r="B2405" s="15" t="s">
        <v>24647</v>
      </c>
      <c r="C2405" s="14" t="s">
        <v>24993</v>
      </c>
      <c r="D2405" s="54" t="s">
        <v>24994</v>
      </c>
      <c r="E2405" s="49" t="str">
        <f>HYPERLINK("http://dx.doi.org/10.1109/TVCG.2013.133","http://dx.doi.org/10.1109/TVCG.2013.133")</f>
        <v>http://dx.doi.org/10.1109/TVCG.2013.133</v>
      </c>
      <c r="F2405" s="122">
        <v>2683.0</v>
      </c>
      <c r="G2405" s="50">
        <v>2692.0</v>
      </c>
      <c r="H2405" s="14" t="s">
        <v>17059</v>
      </c>
      <c r="I2405" s="19" t="s">
        <v>24995</v>
      </c>
      <c r="J2405" s="19" t="s">
        <v>24996</v>
      </c>
      <c r="K2405" s="19" t="s">
        <v>24996</v>
      </c>
      <c r="L2405" s="19" t="s">
        <v>24997</v>
      </c>
      <c r="M2405" s="20" t="s">
        <v>24998</v>
      </c>
      <c r="N2405" s="44" t="s">
        <v>24999</v>
      </c>
      <c r="O2405" s="22">
        <v>40.0</v>
      </c>
      <c r="P2405" s="28">
        <v>29.0</v>
      </c>
      <c r="Q2405" s="28">
        <v>46.0</v>
      </c>
      <c r="R2405" s="84"/>
      <c r="S2405" s="84"/>
      <c r="T2405" s="84"/>
      <c r="U2405" s="84"/>
      <c r="V2405" s="84"/>
      <c r="W2405" s="84"/>
      <c r="X2405" s="84"/>
      <c r="Y2405" s="84"/>
      <c r="Z2405" s="84"/>
      <c r="AA2405" s="84"/>
    </row>
    <row r="2406" ht="15.75" customHeight="1">
      <c r="A2406" s="14" t="s">
        <v>4153</v>
      </c>
      <c r="B2406" s="15" t="s">
        <v>24647</v>
      </c>
      <c r="C2406" s="14" t="s">
        <v>25000</v>
      </c>
      <c r="D2406" s="14" t="s">
        <v>25001</v>
      </c>
      <c r="E2406" s="26" t="str">
        <f t="shared" ref="E2406:E2460" si="30">"http://dx.doi.org/" &amp; D2406</f>
        <v>http://dx.doi.org/10.1109/TVCG.2013.135</v>
      </c>
      <c r="F2406" s="14">
        <v>2838.0</v>
      </c>
      <c r="G2406" s="14">
        <v>2847.0</v>
      </c>
      <c r="H2406" s="14" t="s">
        <v>17059</v>
      </c>
      <c r="I2406" s="19" t="s">
        <v>25002</v>
      </c>
      <c r="J2406" s="19" t="s">
        <v>25003</v>
      </c>
      <c r="K2406" s="19" t="s">
        <v>25004</v>
      </c>
      <c r="L2406" s="19" t="s">
        <v>25005</v>
      </c>
      <c r="M2406" s="20" t="s">
        <v>23177</v>
      </c>
      <c r="N2406" s="44" t="s">
        <v>25006</v>
      </c>
      <c r="O2406" s="22">
        <v>50.0</v>
      </c>
      <c r="P2406" s="28">
        <v>25.0</v>
      </c>
      <c r="Q2406" s="28">
        <v>38.0</v>
      </c>
      <c r="R2406" s="84"/>
      <c r="S2406" s="84"/>
      <c r="T2406" s="84"/>
      <c r="U2406" s="84"/>
      <c r="V2406" s="84"/>
      <c r="W2406" s="84"/>
      <c r="X2406" s="84"/>
      <c r="Y2406" s="84"/>
      <c r="Z2406" s="84"/>
      <c r="AA2406" s="84"/>
    </row>
    <row r="2407" ht="15.75" customHeight="1">
      <c r="A2407" s="14" t="s">
        <v>4153</v>
      </c>
      <c r="B2407" s="15" t="s">
        <v>24647</v>
      </c>
      <c r="C2407" s="14" t="s">
        <v>25007</v>
      </c>
      <c r="D2407" s="14" t="s">
        <v>25008</v>
      </c>
      <c r="E2407" s="26" t="str">
        <f t="shared" si="30"/>
        <v>http://dx.doi.org/10.1109/TVCG.2013.138</v>
      </c>
      <c r="F2407" s="14">
        <v>2703.0</v>
      </c>
      <c r="G2407" s="14">
        <v>2712.0</v>
      </c>
      <c r="H2407" s="14" t="s">
        <v>17059</v>
      </c>
      <c r="I2407" s="19" t="s">
        <v>25009</v>
      </c>
      <c r="J2407" s="19" t="s">
        <v>25010</v>
      </c>
      <c r="K2407" s="19" t="s">
        <v>25011</v>
      </c>
      <c r="L2407" s="19" t="s">
        <v>25012</v>
      </c>
      <c r="M2407" s="20" t="s">
        <v>25013</v>
      </c>
      <c r="N2407" s="44" t="s">
        <v>25014</v>
      </c>
      <c r="O2407" s="22">
        <v>16.0</v>
      </c>
      <c r="P2407" s="28">
        <v>13.0</v>
      </c>
      <c r="Q2407" s="28">
        <v>49.0</v>
      </c>
      <c r="R2407" s="84"/>
      <c r="S2407" s="84"/>
      <c r="T2407" s="84"/>
      <c r="U2407" s="84"/>
      <c r="V2407" s="84"/>
      <c r="W2407" s="84"/>
      <c r="X2407" s="84"/>
      <c r="Y2407" s="84"/>
      <c r="Z2407" s="84"/>
      <c r="AA2407" s="84"/>
    </row>
    <row r="2408" ht="15.75" customHeight="1">
      <c r="A2408" s="14" t="s">
        <v>4153</v>
      </c>
      <c r="B2408" s="15" t="s">
        <v>24647</v>
      </c>
      <c r="C2408" s="14" t="s">
        <v>25015</v>
      </c>
      <c r="D2408" s="14" t="s">
        <v>25016</v>
      </c>
      <c r="E2408" s="26" t="str">
        <f t="shared" si="30"/>
        <v>http://dx.doi.org/10.1109/TVCG.2013.139</v>
      </c>
      <c r="F2408" s="14">
        <v>2848.0</v>
      </c>
      <c r="G2408" s="14">
        <v>2857.0</v>
      </c>
      <c r="H2408" s="14" t="s">
        <v>17059</v>
      </c>
      <c r="I2408" s="19" t="s">
        <v>25017</v>
      </c>
      <c r="J2408" s="19" t="s">
        <v>25018</v>
      </c>
      <c r="K2408" s="19" t="s">
        <v>25019</v>
      </c>
      <c r="L2408" s="19" t="s">
        <v>25020</v>
      </c>
      <c r="M2408" s="20" t="s">
        <v>25021</v>
      </c>
      <c r="N2408" s="44" t="s">
        <v>25022</v>
      </c>
      <c r="O2408" s="22">
        <v>8.0</v>
      </c>
      <c r="P2408" s="28">
        <v>9.0</v>
      </c>
      <c r="Q2408" s="28">
        <v>46.0</v>
      </c>
      <c r="R2408" s="84"/>
      <c r="S2408" s="84"/>
      <c r="T2408" s="84"/>
      <c r="U2408" s="84"/>
      <c r="V2408" s="84"/>
      <c r="W2408" s="84"/>
      <c r="X2408" s="84"/>
      <c r="Y2408" s="84"/>
      <c r="Z2408" s="84"/>
      <c r="AA2408" s="84"/>
    </row>
    <row r="2409" ht="15.75" customHeight="1">
      <c r="A2409" s="14" t="s">
        <v>4153</v>
      </c>
      <c r="B2409" s="15" t="s">
        <v>24647</v>
      </c>
      <c r="C2409" s="14" t="s">
        <v>25023</v>
      </c>
      <c r="D2409" s="14" t="s">
        <v>25024</v>
      </c>
      <c r="E2409" s="26" t="str">
        <f t="shared" si="30"/>
        <v>http://dx.doi.org/10.1109/TVCG.2013.141</v>
      </c>
      <c r="F2409" s="14">
        <v>2743.0</v>
      </c>
      <c r="G2409" s="14">
        <v>2752.0</v>
      </c>
      <c r="H2409" s="14" t="s">
        <v>17059</v>
      </c>
      <c r="I2409" s="19" t="s">
        <v>25025</v>
      </c>
      <c r="J2409" s="19" t="s">
        <v>25026</v>
      </c>
      <c r="K2409" s="19" t="s">
        <v>25026</v>
      </c>
      <c r="L2409" s="19" t="s">
        <v>25027</v>
      </c>
      <c r="M2409" s="20" t="s">
        <v>25028</v>
      </c>
      <c r="N2409" s="44" t="s">
        <v>25029</v>
      </c>
      <c r="O2409" s="22">
        <v>50.0</v>
      </c>
      <c r="P2409" s="28">
        <v>26.0</v>
      </c>
      <c r="Q2409" s="28">
        <v>34.0</v>
      </c>
      <c r="R2409" s="85" t="s">
        <v>106</v>
      </c>
      <c r="S2409" s="84"/>
      <c r="T2409" s="84"/>
      <c r="U2409" s="84"/>
      <c r="V2409" s="84"/>
      <c r="W2409" s="84"/>
      <c r="X2409" s="84"/>
      <c r="Y2409" s="84"/>
      <c r="Z2409" s="84"/>
      <c r="AA2409" s="84"/>
    </row>
    <row r="2410" ht="15.75" customHeight="1">
      <c r="A2410" s="14" t="s">
        <v>4153</v>
      </c>
      <c r="B2410" s="15" t="s">
        <v>24647</v>
      </c>
      <c r="C2410" s="14" t="s">
        <v>25030</v>
      </c>
      <c r="D2410" s="14" t="s">
        <v>25031</v>
      </c>
      <c r="E2410" s="26" t="str">
        <f t="shared" si="30"/>
        <v>http://dx.doi.org/10.1109/TVCG.2013.142</v>
      </c>
      <c r="F2410" s="14">
        <v>2868.0</v>
      </c>
      <c r="G2410" s="14">
        <v>2877.0</v>
      </c>
      <c r="H2410" s="14" t="s">
        <v>17059</v>
      </c>
      <c r="I2410" s="19" t="s">
        <v>25032</v>
      </c>
      <c r="J2410" s="19" t="s">
        <v>25033</v>
      </c>
      <c r="K2410" s="19" t="s">
        <v>25034</v>
      </c>
      <c r="L2410" s="19" t="s">
        <v>25035</v>
      </c>
      <c r="M2410" s="20" t="s">
        <v>25036</v>
      </c>
      <c r="N2410" s="44" t="s">
        <v>25037</v>
      </c>
      <c r="O2410" s="22">
        <v>50.0</v>
      </c>
      <c r="P2410" s="28">
        <v>24.0</v>
      </c>
      <c r="Q2410" s="28">
        <v>45.0</v>
      </c>
      <c r="R2410" s="84"/>
      <c r="S2410" s="84"/>
      <c r="T2410" s="84"/>
      <c r="U2410" s="84"/>
      <c r="V2410" s="84"/>
      <c r="W2410" s="84"/>
      <c r="X2410" s="84"/>
      <c r="Y2410" s="84"/>
      <c r="Z2410" s="84"/>
      <c r="AA2410" s="84"/>
    </row>
    <row r="2411" ht="15.75" customHeight="1">
      <c r="A2411" s="14" t="s">
        <v>4153</v>
      </c>
      <c r="B2411" s="15" t="s">
        <v>24647</v>
      </c>
      <c r="C2411" s="14" t="s">
        <v>25038</v>
      </c>
      <c r="D2411" s="14" t="s">
        <v>25039</v>
      </c>
      <c r="E2411" s="26" t="str">
        <f t="shared" si="30"/>
        <v>http://dx.doi.org/10.1109/TVCG.2013.143</v>
      </c>
      <c r="F2411" s="14">
        <v>2713.0</v>
      </c>
      <c r="G2411" s="14">
        <v>2722.0</v>
      </c>
      <c r="H2411" s="14" t="s">
        <v>17059</v>
      </c>
      <c r="I2411" s="19" t="s">
        <v>25040</v>
      </c>
      <c r="J2411" s="19" t="s">
        <v>25041</v>
      </c>
      <c r="K2411" s="19" t="s">
        <v>25042</v>
      </c>
      <c r="L2411" s="19" t="s">
        <v>25043</v>
      </c>
      <c r="M2411" s="20" t="s">
        <v>25044</v>
      </c>
      <c r="N2411" s="44" t="s">
        <v>25045</v>
      </c>
      <c r="O2411" s="22">
        <v>53.0</v>
      </c>
      <c r="P2411" s="28">
        <v>62.0</v>
      </c>
      <c r="Q2411" s="28">
        <v>38.0</v>
      </c>
      <c r="R2411" s="84"/>
      <c r="S2411" s="84"/>
      <c r="T2411" s="84"/>
      <c r="U2411" s="84"/>
      <c r="V2411" s="84"/>
      <c r="W2411" s="84"/>
      <c r="X2411" s="84"/>
      <c r="Y2411" s="84"/>
      <c r="Z2411" s="84"/>
      <c r="AA2411" s="84"/>
    </row>
    <row r="2412" ht="15.75" customHeight="1">
      <c r="A2412" s="14" t="s">
        <v>4153</v>
      </c>
      <c r="B2412" s="15" t="s">
        <v>24647</v>
      </c>
      <c r="C2412" s="14" t="s">
        <v>25046</v>
      </c>
      <c r="D2412" s="14" t="s">
        <v>25047</v>
      </c>
      <c r="E2412" s="26" t="str">
        <f t="shared" si="30"/>
        <v>http://dx.doi.org/10.1109/TVCG.2013.144</v>
      </c>
      <c r="F2412" s="14">
        <v>2733.0</v>
      </c>
      <c r="G2412" s="14">
        <v>2742.0</v>
      </c>
      <c r="H2412" s="14" t="s">
        <v>17059</v>
      </c>
      <c r="I2412" s="19" t="s">
        <v>25048</v>
      </c>
      <c r="J2412" s="19" t="s">
        <v>25049</v>
      </c>
      <c r="K2412" s="19" t="s">
        <v>25050</v>
      </c>
      <c r="L2412" s="19" t="s">
        <v>25051</v>
      </c>
      <c r="M2412" s="20" t="s">
        <v>25052</v>
      </c>
      <c r="N2412" s="44" t="s">
        <v>25053</v>
      </c>
      <c r="O2412" s="22">
        <v>50.0</v>
      </c>
      <c r="P2412" s="28">
        <v>22.0</v>
      </c>
      <c r="Q2412" s="28">
        <v>43.0</v>
      </c>
      <c r="R2412" s="84"/>
      <c r="S2412" s="84"/>
      <c r="T2412" s="84"/>
      <c r="U2412" s="84"/>
      <c r="V2412" s="84"/>
      <c r="W2412" s="84"/>
      <c r="X2412" s="84"/>
      <c r="Y2412" s="84"/>
      <c r="Z2412" s="84"/>
      <c r="AA2412" s="84"/>
    </row>
    <row r="2413" ht="15.75" customHeight="1">
      <c r="A2413" s="14" t="s">
        <v>4153</v>
      </c>
      <c r="B2413" s="15" t="s">
        <v>24647</v>
      </c>
      <c r="C2413" s="14" t="s">
        <v>25054</v>
      </c>
      <c r="D2413" s="14" t="s">
        <v>25055</v>
      </c>
      <c r="E2413" s="26" t="str">
        <f t="shared" si="30"/>
        <v>http://dx.doi.org/10.1109/TVCG.2013.147</v>
      </c>
      <c r="F2413" s="14">
        <v>2783.0</v>
      </c>
      <c r="G2413" s="14">
        <v>2791.0</v>
      </c>
      <c r="H2413" s="14" t="s">
        <v>17059</v>
      </c>
      <c r="I2413" s="19" t="s">
        <v>25056</v>
      </c>
      <c r="J2413" s="19" t="s">
        <v>25057</v>
      </c>
      <c r="K2413" s="19" t="s">
        <v>25058</v>
      </c>
      <c r="L2413" s="19" t="s">
        <v>22352</v>
      </c>
      <c r="M2413" s="20" t="s">
        <v>25059</v>
      </c>
      <c r="N2413" s="44" t="s">
        <v>25060</v>
      </c>
      <c r="O2413" s="22">
        <v>26.0</v>
      </c>
      <c r="P2413" s="28">
        <v>23.0</v>
      </c>
      <c r="Q2413" s="28">
        <v>27.0</v>
      </c>
      <c r="R2413" s="85" t="s">
        <v>19037</v>
      </c>
      <c r="S2413" s="84"/>
      <c r="T2413" s="84"/>
      <c r="U2413" s="84"/>
      <c r="V2413" s="84"/>
      <c r="W2413" s="84"/>
      <c r="X2413" s="84"/>
      <c r="Y2413" s="84"/>
      <c r="Z2413" s="84"/>
      <c r="AA2413" s="84"/>
    </row>
    <row r="2414" ht="15.75" customHeight="1">
      <c r="A2414" s="14" t="s">
        <v>4153</v>
      </c>
      <c r="B2414" s="15" t="s">
        <v>24647</v>
      </c>
      <c r="C2414" s="14" t="s">
        <v>25061</v>
      </c>
      <c r="D2414" s="14" t="s">
        <v>25062</v>
      </c>
      <c r="E2414" s="26" t="str">
        <f t="shared" si="30"/>
        <v>http://dx.doi.org/10.1109/TVCG.2013.148</v>
      </c>
      <c r="F2414" s="14">
        <v>2663.0</v>
      </c>
      <c r="G2414" s="14">
        <v>2672.0</v>
      </c>
      <c r="H2414" s="14" t="s">
        <v>17059</v>
      </c>
      <c r="I2414" s="19" t="s">
        <v>25063</v>
      </c>
      <c r="J2414" s="19" t="s">
        <v>23428</v>
      </c>
      <c r="K2414" s="19" t="s">
        <v>23428</v>
      </c>
      <c r="L2414" s="19" t="s">
        <v>25064</v>
      </c>
      <c r="M2414" s="20" t="s">
        <v>25065</v>
      </c>
      <c r="N2414" s="44" t="s">
        <v>25066</v>
      </c>
      <c r="O2414" s="22">
        <v>50.0</v>
      </c>
      <c r="P2414" s="28">
        <v>6.0</v>
      </c>
      <c r="Q2414" s="28">
        <v>44.0</v>
      </c>
      <c r="R2414" s="84"/>
      <c r="S2414" s="84"/>
      <c r="T2414" s="84"/>
      <c r="U2414" s="84"/>
      <c r="V2414" s="84"/>
      <c r="W2414" s="84"/>
      <c r="X2414" s="84"/>
      <c r="Y2414" s="84"/>
      <c r="Z2414" s="84"/>
      <c r="AA2414" s="84"/>
    </row>
    <row r="2415" ht="15.75" customHeight="1">
      <c r="A2415" s="14" t="s">
        <v>4153</v>
      </c>
      <c r="B2415" s="15" t="s">
        <v>24647</v>
      </c>
      <c r="C2415" s="14" t="s">
        <v>25067</v>
      </c>
      <c r="D2415" s="14" t="s">
        <v>25068</v>
      </c>
      <c r="E2415" s="26" t="str">
        <f t="shared" si="30"/>
        <v>http://dx.doi.org/10.1109/TVCG.2013.152</v>
      </c>
      <c r="F2415" s="14">
        <v>2693.0</v>
      </c>
      <c r="G2415" s="14">
        <v>2702.0</v>
      </c>
      <c r="H2415" s="14" t="s">
        <v>17059</v>
      </c>
      <c r="I2415" s="19" t="s">
        <v>25069</v>
      </c>
      <c r="J2415" s="19" t="s">
        <v>21264</v>
      </c>
      <c r="K2415" s="19" t="s">
        <v>21264</v>
      </c>
      <c r="L2415" s="19" t="s">
        <v>21265</v>
      </c>
      <c r="M2415" s="20" t="s">
        <v>25070</v>
      </c>
      <c r="N2415" s="44" t="s">
        <v>25071</v>
      </c>
      <c r="O2415" s="22">
        <v>18.0</v>
      </c>
      <c r="P2415" s="28">
        <v>7.0</v>
      </c>
      <c r="Q2415" s="28">
        <v>38.0</v>
      </c>
      <c r="R2415" s="84"/>
      <c r="S2415" s="84"/>
      <c r="T2415" s="84"/>
      <c r="U2415" s="84"/>
      <c r="V2415" s="84"/>
      <c r="W2415" s="84"/>
      <c r="X2415" s="84"/>
      <c r="Y2415" s="84"/>
      <c r="Z2415" s="84"/>
      <c r="AA2415" s="84"/>
    </row>
    <row r="2416" ht="15.75" customHeight="1">
      <c r="A2416" s="14" t="s">
        <v>4153</v>
      </c>
      <c r="B2416" s="15" t="s">
        <v>24647</v>
      </c>
      <c r="C2416" s="14" t="s">
        <v>25072</v>
      </c>
      <c r="D2416" s="14" t="s">
        <v>25073</v>
      </c>
      <c r="E2416" s="26" t="str">
        <f t="shared" si="30"/>
        <v>http://dx.doi.org/10.1109/TVCG.2013.156</v>
      </c>
      <c r="F2416" s="14">
        <v>2810.0</v>
      </c>
      <c r="G2416" s="14">
        <v>2817.0</v>
      </c>
      <c r="H2416" s="14" t="s">
        <v>17059</v>
      </c>
      <c r="I2416" s="19" t="s">
        <v>25074</v>
      </c>
      <c r="J2416" s="19" t="s">
        <v>25075</v>
      </c>
      <c r="K2416" s="19" t="s">
        <v>25075</v>
      </c>
      <c r="L2416" s="19" t="s">
        <v>25076</v>
      </c>
      <c r="M2416" s="20" t="s">
        <v>25077</v>
      </c>
      <c r="N2416" s="44" t="s">
        <v>25078</v>
      </c>
      <c r="O2416" s="22">
        <v>5.0</v>
      </c>
      <c r="P2416" s="28">
        <v>4.0</v>
      </c>
      <c r="Q2416" s="28">
        <v>48.0</v>
      </c>
      <c r="R2416" s="84"/>
      <c r="S2416" s="84"/>
      <c r="T2416" s="84"/>
      <c r="U2416" s="84"/>
      <c r="V2416" s="84"/>
      <c r="W2416" s="84"/>
      <c r="X2416" s="84"/>
      <c r="Y2416" s="84"/>
      <c r="Z2416" s="84"/>
      <c r="AA2416" s="84"/>
    </row>
    <row r="2417" ht="15.75" customHeight="1">
      <c r="A2417" s="14" t="s">
        <v>4153</v>
      </c>
      <c r="B2417" s="15" t="s">
        <v>24647</v>
      </c>
      <c r="C2417" s="14" t="s">
        <v>25079</v>
      </c>
      <c r="D2417" s="14" t="s">
        <v>25080</v>
      </c>
      <c r="E2417" s="26" t="str">
        <f t="shared" si="30"/>
        <v>http://dx.doi.org/10.1109/TVCG.2013.158</v>
      </c>
      <c r="F2417" s="14">
        <v>2653.0</v>
      </c>
      <c r="G2417" s="14">
        <v>2662.0</v>
      </c>
      <c r="H2417" s="14" t="s">
        <v>17059</v>
      </c>
      <c r="I2417" s="19" t="s">
        <v>25081</v>
      </c>
      <c r="J2417" s="19" t="s">
        <v>25082</v>
      </c>
      <c r="K2417" s="19" t="s">
        <v>25083</v>
      </c>
      <c r="L2417" s="19" t="s">
        <v>23422</v>
      </c>
      <c r="M2417" s="20" t="s">
        <v>25084</v>
      </c>
      <c r="N2417" s="44" t="s">
        <v>25085</v>
      </c>
      <c r="O2417" s="22">
        <v>11.0</v>
      </c>
      <c r="P2417" s="28">
        <v>5.0</v>
      </c>
      <c r="Q2417" s="28">
        <v>44.0</v>
      </c>
      <c r="R2417" s="84"/>
      <c r="S2417" s="84"/>
      <c r="T2417" s="84"/>
      <c r="U2417" s="84"/>
      <c r="V2417" s="84"/>
      <c r="W2417" s="84"/>
      <c r="X2417" s="84"/>
      <c r="Y2417" s="84"/>
      <c r="Z2417" s="84"/>
      <c r="AA2417" s="84"/>
    </row>
    <row r="2418" ht="15.75" customHeight="1">
      <c r="A2418" s="14" t="s">
        <v>4153</v>
      </c>
      <c r="B2418" s="15" t="s">
        <v>24647</v>
      </c>
      <c r="C2418" s="14" t="s">
        <v>25086</v>
      </c>
      <c r="D2418" s="14" t="s">
        <v>25087</v>
      </c>
      <c r="E2418" s="26" t="str">
        <f t="shared" si="30"/>
        <v>http://dx.doi.org/10.1109/TVCG.2013.159</v>
      </c>
      <c r="F2418" s="14">
        <v>2673.0</v>
      </c>
      <c r="G2418" s="14">
        <v>2682.0</v>
      </c>
      <c r="H2418" s="14" t="s">
        <v>17059</v>
      </c>
      <c r="I2418" s="19" t="s">
        <v>25088</v>
      </c>
      <c r="J2418" s="19" t="s">
        <v>25089</v>
      </c>
      <c r="K2418" s="19" t="s">
        <v>25089</v>
      </c>
      <c r="L2418" s="19" t="s">
        <v>25090</v>
      </c>
      <c r="M2418" s="20" t="s">
        <v>25091</v>
      </c>
      <c r="N2418" s="44" t="s">
        <v>25092</v>
      </c>
      <c r="O2418" s="22">
        <v>32.0</v>
      </c>
      <c r="P2418" s="28">
        <v>20.0</v>
      </c>
      <c r="Q2418" s="28">
        <v>24.0</v>
      </c>
      <c r="R2418" s="84"/>
      <c r="S2418" s="84"/>
      <c r="T2418" s="84"/>
      <c r="U2418" s="84"/>
      <c r="V2418" s="84"/>
      <c r="W2418" s="84"/>
      <c r="X2418" s="84"/>
      <c r="Y2418" s="84"/>
      <c r="Z2418" s="84"/>
      <c r="AA2418" s="84"/>
    </row>
    <row r="2419" ht="15.75" customHeight="1">
      <c r="A2419" s="14" t="s">
        <v>4153</v>
      </c>
      <c r="B2419" s="15" t="s">
        <v>24647</v>
      </c>
      <c r="C2419" s="14" t="s">
        <v>25093</v>
      </c>
      <c r="D2419" s="14" t="s">
        <v>25094</v>
      </c>
      <c r="E2419" s="26" t="str">
        <f t="shared" si="30"/>
        <v>http://dx.doi.org/10.1109/TVCG.2013.161</v>
      </c>
      <c r="F2419" s="14">
        <v>2916.0</v>
      </c>
      <c r="G2419" s="14">
        <v>2925.0</v>
      </c>
      <c r="H2419" s="14" t="s">
        <v>17059</v>
      </c>
      <c r="I2419" s="19" t="s">
        <v>25095</v>
      </c>
      <c r="J2419" s="19" t="s">
        <v>25096</v>
      </c>
      <c r="K2419" s="19" t="s">
        <v>25097</v>
      </c>
      <c r="L2419" s="19" t="s">
        <v>25098</v>
      </c>
      <c r="M2419" s="20" t="s">
        <v>25099</v>
      </c>
      <c r="N2419" s="44" t="s">
        <v>25100</v>
      </c>
      <c r="O2419" s="22">
        <v>13.0</v>
      </c>
      <c r="P2419" s="28">
        <v>6.0</v>
      </c>
      <c r="Q2419" s="28">
        <v>49.0</v>
      </c>
      <c r="R2419" s="84"/>
      <c r="S2419" s="84"/>
      <c r="T2419" s="84"/>
      <c r="U2419" s="84"/>
      <c r="V2419" s="84"/>
      <c r="W2419" s="84"/>
      <c r="X2419" s="84"/>
      <c r="Y2419" s="84"/>
      <c r="Z2419" s="84"/>
      <c r="AA2419" s="84"/>
    </row>
    <row r="2420" ht="15.75" customHeight="1">
      <c r="A2420" s="14" t="s">
        <v>4153</v>
      </c>
      <c r="B2420" s="15" t="s">
        <v>24647</v>
      </c>
      <c r="C2420" s="14" t="s">
        <v>25101</v>
      </c>
      <c r="D2420" s="14" t="s">
        <v>25102</v>
      </c>
      <c r="E2420" s="26" t="str">
        <f t="shared" si="30"/>
        <v>http://dx.doi.org/10.1109/TVCG.2013.169</v>
      </c>
      <c r="F2420" s="14">
        <v>2828.0</v>
      </c>
      <c r="G2420" s="14">
        <v>2837.0</v>
      </c>
      <c r="H2420" s="14" t="s">
        <v>17059</v>
      </c>
      <c r="I2420" s="19" t="s">
        <v>25103</v>
      </c>
      <c r="J2420" s="19" t="s">
        <v>25104</v>
      </c>
      <c r="K2420" s="19" t="s">
        <v>25104</v>
      </c>
      <c r="L2420" s="19" t="s">
        <v>25105</v>
      </c>
      <c r="M2420" s="20" t="s">
        <v>25106</v>
      </c>
      <c r="N2420" s="44" t="s">
        <v>25107</v>
      </c>
      <c r="O2420" s="22">
        <v>50.0</v>
      </c>
      <c r="P2420" s="28">
        <v>9.0</v>
      </c>
      <c r="Q2420" s="28">
        <v>52.0</v>
      </c>
      <c r="R2420" s="84"/>
      <c r="S2420" s="84"/>
      <c r="T2420" s="84"/>
      <c r="U2420" s="84"/>
      <c r="V2420" s="84"/>
      <c r="W2420" s="84"/>
      <c r="X2420" s="84"/>
      <c r="Y2420" s="84"/>
      <c r="Z2420" s="84"/>
      <c r="AA2420" s="84"/>
    </row>
    <row r="2421" ht="15.75" customHeight="1">
      <c r="A2421" s="14" t="s">
        <v>4153</v>
      </c>
      <c r="B2421" s="15" t="s">
        <v>24647</v>
      </c>
      <c r="C2421" s="14" t="s">
        <v>25108</v>
      </c>
      <c r="D2421" s="14" t="s">
        <v>25109</v>
      </c>
      <c r="E2421" s="26" t="str">
        <f t="shared" si="30"/>
        <v>http://dx.doi.org/10.1109/TVCG.2013.172</v>
      </c>
      <c r="F2421" s="14">
        <v>2946.0</v>
      </c>
      <c r="G2421" s="14">
        <v>2955.0</v>
      </c>
      <c r="H2421" s="14" t="s">
        <v>17059</v>
      </c>
      <c r="I2421" s="19" t="s">
        <v>25110</v>
      </c>
      <c r="J2421" s="19" t="s">
        <v>25111</v>
      </c>
      <c r="K2421" s="19" t="s">
        <v>25111</v>
      </c>
      <c r="L2421" s="19" t="s">
        <v>19192</v>
      </c>
      <c r="M2421" s="20" t="s">
        <v>25112</v>
      </c>
      <c r="N2421" s="44" t="s">
        <v>25113</v>
      </c>
      <c r="O2421" s="22">
        <v>21.0</v>
      </c>
      <c r="P2421" s="28">
        <v>14.0</v>
      </c>
      <c r="Q2421" s="28">
        <v>33.0</v>
      </c>
      <c r="R2421" s="84"/>
      <c r="S2421" s="84"/>
      <c r="T2421" s="84"/>
      <c r="U2421" s="84"/>
      <c r="V2421" s="84"/>
      <c r="W2421" s="84"/>
      <c r="X2421" s="84"/>
      <c r="Y2421" s="84"/>
      <c r="Z2421" s="84"/>
      <c r="AA2421" s="84"/>
    </row>
    <row r="2422" ht="15.75" customHeight="1">
      <c r="A2422" s="14" t="s">
        <v>4153</v>
      </c>
      <c r="B2422" s="15" t="s">
        <v>24647</v>
      </c>
      <c r="C2422" s="14" t="s">
        <v>25114</v>
      </c>
      <c r="D2422" s="14" t="s">
        <v>25115</v>
      </c>
      <c r="E2422" s="26" t="str">
        <f t="shared" si="30"/>
        <v>http://dx.doi.org/10.1109/TVCG.2013.174</v>
      </c>
      <c r="F2422" s="14">
        <v>2878.0</v>
      </c>
      <c r="G2422" s="14">
        <v>2885.0</v>
      </c>
      <c r="H2422" s="14" t="s">
        <v>17059</v>
      </c>
      <c r="I2422" s="19" t="s">
        <v>25116</v>
      </c>
      <c r="J2422" s="19" t="s">
        <v>25117</v>
      </c>
      <c r="K2422" s="19" t="s">
        <v>25117</v>
      </c>
      <c r="L2422" s="19" t="s">
        <v>25118</v>
      </c>
      <c r="M2422" s="20" t="s">
        <v>18721</v>
      </c>
      <c r="N2422" s="44" t="s">
        <v>25119</v>
      </c>
      <c r="O2422" s="22">
        <v>3.0</v>
      </c>
      <c r="P2422" s="28">
        <v>3.0</v>
      </c>
      <c r="Q2422" s="28">
        <v>40.0</v>
      </c>
      <c r="R2422" s="84"/>
      <c r="S2422" s="84"/>
      <c r="T2422" s="84"/>
      <c r="U2422" s="84"/>
      <c r="V2422" s="84"/>
      <c r="W2422" s="84"/>
      <c r="X2422" s="84"/>
      <c r="Y2422" s="84"/>
      <c r="Z2422" s="84"/>
      <c r="AA2422" s="84"/>
    </row>
    <row r="2423" ht="15.75" customHeight="1">
      <c r="A2423" s="14" t="s">
        <v>4153</v>
      </c>
      <c r="B2423" s="15" t="s">
        <v>24647</v>
      </c>
      <c r="C2423" s="14" t="s">
        <v>25120</v>
      </c>
      <c r="D2423" s="14" t="s">
        <v>25121</v>
      </c>
      <c r="E2423" s="26" t="str">
        <f t="shared" si="30"/>
        <v>http://dx.doi.org/10.1109/TVCG.2013.177</v>
      </c>
      <c r="F2423" s="14">
        <v>2906.0</v>
      </c>
      <c r="G2423" s="14">
        <v>2915.0</v>
      </c>
      <c r="H2423" s="14" t="s">
        <v>17059</v>
      </c>
      <c r="I2423" s="19" t="s">
        <v>25122</v>
      </c>
      <c r="J2423" s="19" t="s">
        <v>25123</v>
      </c>
      <c r="K2423" s="19" t="s">
        <v>25123</v>
      </c>
      <c r="L2423" s="19" t="s">
        <v>25124</v>
      </c>
      <c r="M2423" s="20" t="s">
        <v>25125</v>
      </c>
      <c r="N2423" s="44" t="s">
        <v>25126</v>
      </c>
      <c r="O2423" s="22">
        <v>50.0</v>
      </c>
      <c r="P2423" s="28">
        <v>12.0</v>
      </c>
      <c r="Q2423" s="28">
        <v>29.0</v>
      </c>
      <c r="R2423" s="84"/>
      <c r="S2423" s="84"/>
      <c r="T2423" s="84"/>
      <c r="U2423" s="84"/>
      <c r="V2423" s="84"/>
      <c r="W2423" s="84"/>
      <c r="X2423" s="84"/>
      <c r="Y2423" s="84"/>
      <c r="Z2423" s="84"/>
      <c r="AA2423" s="84"/>
    </row>
    <row r="2424" ht="15.75" customHeight="1">
      <c r="A2424" s="14" t="s">
        <v>4153</v>
      </c>
      <c r="B2424" s="15" t="s">
        <v>24647</v>
      </c>
      <c r="C2424" s="14" t="s">
        <v>25127</v>
      </c>
      <c r="D2424" s="14" t="s">
        <v>25128</v>
      </c>
      <c r="E2424" s="26" t="str">
        <f t="shared" si="30"/>
        <v>http://dx.doi.org/10.1109/TVCG.2013.180</v>
      </c>
      <c r="F2424" s="14">
        <v>2926.0</v>
      </c>
      <c r="G2424" s="14">
        <v>2935.0</v>
      </c>
      <c r="H2424" s="14" t="s">
        <v>17059</v>
      </c>
      <c r="I2424" s="19" t="s">
        <v>25129</v>
      </c>
      <c r="J2424" s="19" t="s">
        <v>25130</v>
      </c>
      <c r="K2424" s="19" t="s">
        <v>25130</v>
      </c>
      <c r="L2424" s="19" t="s">
        <v>25131</v>
      </c>
      <c r="M2424" s="20" t="s">
        <v>25132</v>
      </c>
      <c r="N2424" s="44" t="s">
        <v>25133</v>
      </c>
      <c r="O2424" s="22">
        <v>50.0</v>
      </c>
      <c r="P2424" s="28">
        <v>5.0</v>
      </c>
      <c r="Q2424" s="28">
        <v>29.0</v>
      </c>
      <c r="R2424" s="84"/>
      <c r="S2424" s="84"/>
      <c r="T2424" s="84"/>
      <c r="U2424" s="84"/>
      <c r="V2424" s="84"/>
      <c r="W2424" s="84"/>
      <c r="X2424" s="84"/>
      <c r="Y2424" s="84"/>
      <c r="Z2424" s="84"/>
      <c r="AA2424" s="84"/>
    </row>
    <row r="2425" ht="15.75" customHeight="1">
      <c r="A2425" s="14" t="s">
        <v>4153</v>
      </c>
      <c r="B2425" s="15" t="s">
        <v>24647</v>
      </c>
      <c r="C2425" s="14" t="s">
        <v>25134</v>
      </c>
      <c r="D2425" s="14" t="s">
        <v>25135</v>
      </c>
      <c r="E2425" s="26" t="str">
        <f t="shared" si="30"/>
        <v>http://dx.doi.org/10.1109/TVCG.2013.189</v>
      </c>
      <c r="F2425" s="14">
        <v>2773.0</v>
      </c>
      <c r="G2425" s="14">
        <v>2782.0</v>
      </c>
      <c r="H2425" s="14" t="s">
        <v>17059</v>
      </c>
      <c r="I2425" s="19" t="s">
        <v>25136</v>
      </c>
      <c r="J2425" s="19" t="s">
        <v>25137</v>
      </c>
      <c r="K2425" s="19" t="s">
        <v>25138</v>
      </c>
      <c r="L2425" s="19" t="s">
        <v>25139</v>
      </c>
      <c r="M2425" s="20" t="s">
        <v>25140</v>
      </c>
      <c r="N2425" s="44" t="s">
        <v>25141</v>
      </c>
      <c r="O2425" s="22">
        <v>43.0</v>
      </c>
      <c r="P2425" s="28">
        <v>26.0</v>
      </c>
      <c r="Q2425" s="28">
        <v>45.0</v>
      </c>
      <c r="R2425" s="84"/>
      <c r="S2425" s="84"/>
      <c r="T2425" s="84"/>
      <c r="U2425" s="84"/>
      <c r="V2425" s="84"/>
      <c r="W2425" s="84"/>
      <c r="X2425" s="84"/>
      <c r="Y2425" s="84"/>
      <c r="Z2425" s="84"/>
      <c r="AA2425" s="84"/>
    </row>
    <row r="2426" ht="15.75" customHeight="1">
      <c r="A2426" s="14" t="s">
        <v>4153</v>
      </c>
      <c r="B2426" s="15" t="s">
        <v>24647</v>
      </c>
      <c r="C2426" s="14" t="s">
        <v>25142</v>
      </c>
      <c r="D2426" s="14" t="s">
        <v>25143</v>
      </c>
      <c r="E2426" s="26" t="str">
        <f t="shared" si="30"/>
        <v>http://dx.doi.org/10.1109/TVCG.2013.208</v>
      </c>
      <c r="F2426" s="14">
        <v>2723.0</v>
      </c>
      <c r="G2426" s="14">
        <v>2732.0</v>
      </c>
      <c r="H2426" s="14" t="s">
        <v>17059</v>
      </c>
      <c r="I2426" s="19" t="s">
        <v>25144</v>
      </c>
      <c r="J2426" s="19" t="s">
        <v>25145</v>
      </c>
      <c r="K2426" s="19" t="s">
        <v>25145</v>
      </c>
      <c r="L2426" s="19" t="s">
        <v>25146</v>
      </c>
      <c r="M2426" s="20" t="s">
        <v>25147</v>
      </c>
      <c r="N2426" s="44" t="s">
        <v>25148</v>
      </c>
      <c r="O2426" s="22">
        <v>50.0</v>
      </c>
      <c r="P2426" s="28">
        <v>14.0</v>
      </c>
      <c r="Q2426" s="28">
        <v>36.0</v>
      </c>
      <c r="R2426" s="84"/>
      <c r="S2426" s="84"/>
      <c r="T2426" s="84"/>
      <c r="U2426" s="84"/>
      <c r="V2426" s="84"/>
      <c r="W2426" s="84"/>
      <c r="X2426" s="84"/>
      <c r="Y2426" s="84"/>
      <c r="Z2426" s="84"/>
      <c r="AA2426" s="84"/>
    </row>
    <row r="2427" ht="15.75" customHeight="1">
      <c r="A2427" s="14" t="s">
        <v>4153</v>
      </c>
      <c r="B2427" s="15" t="s">
        <v>24647</v>
      </c>
      <c r="C2427" s="14" t="s">
        <v>25149</v>
      </c>
      <c r="D2427" s="14" t="s">
        <v>25150</v>
      </c>
      <c r="E2427" s="26" t="str">
        <f t="shared" si="30"/>
        <v>http://dx.doi.org/10.1109/TVCG.2013.215</v>
      </c>
      <c r="F2427" s="14">
        <v>2858.0</v>
      </c>
      <c r="G2427" s="14">
        <v>2867.0</v>
      </c>
      <c r="H2427" s="14" t="s">
        <v>17059</v>
      </c>
      <c r="I2427" s="19" t="s">
        <v>25151</v>
      </c>
      <c r="J2427" s="19" t="s">
        <v>25152</v>
      </c>
      <c r="K2427" s="19" t="s">
        <v>25152</v>
      </c>
      <c r="L2427" s="19" t="s">
        <v>25153</v>
      </c>
      <c r="M2427" s="20" t="s">
        <v>25154</v>
      </c>
      <c r="N2427" s="44" t="s">
        <v>25155</v>
      </c>
      <c r="O2427" s="22">
        <v>50.0</v>
      </c>
      <c r="P2427" s="28">
        <v>7.0</v>
      </c>
      <c r="Q2427" s="28">
        <v>40.0</v>
      </c>
      <c r="R2427" s="84"/>
      <c r="S2427" s="84"/>
      <c r="T2427" s="84"/>
      <c r="U2427" s="84"/>
      <c r="V2427" s="84"/>
      <c r="W2427" s="84"/>
      <c r="X2427" s="84"/>
      <c r="Y2427" s="84"/>
      <c r="Z2427" s="84"/>
      <c r="AA2427" s="84"/>
    </row>
    <row r="2428" ht="15.75" customHeight="1">
      <c r="A2428" s="14" t="s">
        <v>4153</v>
      </c>
      <c r="B2428" s="15" t="s">
        <v>24647</v>
      </c>
      <c r="C2428" s="14" t="s">
        <v>25156</v>
      </c>
      <c r="D2428" s="14" t="s">
        <v>25157</v>
      </c>
      <c r="E2428" s="26" t="str">
        <f t="shared" si="30"/>
        <v>http://dx.doi.org/10.1109/TVCG.2013.229</v>
      </c>
      <c r="F2428" s="14">
        <v>2763.0</v>
      </c>
      <c r="G2428" s="14">
        <v>2772.0</v>
      </c>
      <c r="H2428" s="14" t="s">
        <v>17059</v>
      </c>
      <c r="I2428" s="19" t="s">
        <v>25158</v>
      </c>
      <c r="J2428" s="123" t="s">
        <v>25159</v>
      </c>
      <c r="K2428" s="19" t="s">
        <v>25159</v>
      </c>
      <c r="L2428" s="19" t="s">
        <v>25161</v>
      </c>
      <c r="M2428" s="20" t="s">
        <v>25162</v>
      </c>
      <c r="N2428" s="44" t="s">
        <v>25163</v>
      </c>
      <c r="O2428" s="22">
        <v>3.0</v>
      </c>
      <c r="P2428" s="28">
        <v>1.0</v>
      </c>
      <c r="Q2428" s="28">
        <v>34.0</v>
      </c>
      <c r="R2428" s="84"/>
      <c r="S2428" s="84"/>
      <c r="T2428" s="84"/>
      <c r="U2428" s="84"/>
      <c r="V2428" s="84"/>
      <c r="W2428" s="84"/>
      <c r="X2428" s="84"/>
      <c r="Y2428" s="84"/>
      <c r="Z2428" s="84"/>
      <c r="AA2428" s="84"/>
    </row>
    <row r="2429" ht="15.75" customHeight="1">
      <c r="A2429" s="14" t="s">
        <v>120</v>
      </c>
      <c r="B2429" s="15" t="s">
        <v>24647</v>
      </c>
      <c r="C2429" s="14" t="s">
        <v>25164</v>
      </c>
      <c r="D2429" s="14" t="s">
        <v>25165</v>
      </c>
      <c r="E2429" s="26" t="str">
        <f t="shared" si="30"/>
        <v>http://dx.doi.org/10.1109/TVCG.2013.125</v>
      </c>
      <c r="F2429" s="14">
        <v>1962.0</v>
      </c>
      <c r="G2429" s="14">
        <v>1971.0</v>
      </c>
      <c r="H2429" s="14" t="s">
        <v>17059</v>
      </c>
      <c r="I2429" s="19" t="s">
        <v>25167</v>
      </c>
      <c r="J2429" s="19" t="s">
        <v>25168</v>
      </c>
      <c r="K2429" s="19" t="s">
        <v>25168</v>
      </c>
      <c r="L2429" s="19" t="s">
        <v>25169</v>
      </c>
      <c r="M2429" s="20" t="s">
        <v>25170</v>
      </c>
      <c r="N2429" s="44" t="s">
        <v>25171</v>
      </c>
      <c r="O2429" s="22">
        <v>53.0</v>
      </c>
      <c r="P2429" s="28">
        <v>37.0</v>
      </c>
      <c r="Q2429" s="28">
        <v>50.0</v>
      </c>
      <c r="R2429" s="85" t="s">
        <v>106</v>
      </c>
      <c r="S2429" s="84"/>
      <c r="T2429" s="84"/>
      <c r="U2429" s="84"/>
      <c r="V2429" s="84"/>
      <c r="W2429" s="84"/>
      <c r="X2429" s="84"/>
      <c r="Y2429" s="84"/>
      <c r="Z2429" s="84"/>
      <c r="AA2429" s="84"/>
    </row>
    <row r="2430" ht="15.75" customHeight="1">
      <c r="A2430" s="14" t="s">
        <v>120</v>
      </c>
      <c r="B2430" s="15" t="s">
        <v>24647</v>
      </c>
      <c r="C2430" s="14" t="s">
        <v>25172</v>
      </c>
      <c r="D2430" s="14" t="s">
        <v>25173</v>
      </c>
      <c r="E2430" s="26" t="str">
        <f t="shared" si="30"/>
        <v>http://dx.doi.org/10.1109/TVCG.2013.132</v>
      </c>
      <c r="F2430" s="14">
        <v>2139.0</v>
      </c>
      <c r="G2430" s="14">
        <v>2148.0</v>
      </c>
      <c r="H2430" s="14" t="s">
        <v>17059</v>
      </c>
      <c r="I2430" s="19" t="s">
        <v>25174</v>
      </c>
      <c r="J2430" s="19" t="s">
        <v>25175</v>
      </c>
      <c r="K2430" s="19" t="s">
        <v>25176</v>
      </c>
      <c r="L2430" s="19" t="s">
        <v>25177</v>
      </c>
      <c r="M2430" s="20" t="s">
        <v>25178</v>
      </c>
      <c r="N2430" s="44" t="s">
        <v>25179</v>
      </c>
      <c r="O2430" s="22">
        <v>29.0</v>
      </c>
      <c r="P2430" s="28">
        <v>16.0</v>
      </c>
      <c r="Q2430" s="28">
        <v>59.0</v>
      </c>
      <c r="R2430" s="84"/>
      <c r="S2430" s="84"/>
      <c r="T2430" s="84"/>
      <c r="U2430" s="84"/>
      <c r="V2430" s="84"/>
      <c r="W2430" s="84"/>
      <c r="X2430" s="84"/>
      <c r="Y2430" s="84"/>
      <c r="Z2430" s="84"/>
      <c r="AA2430" s="84"/>
    </row>
    <row r="2431" ht="15.75" customHeight="1">
      <c r="A2431" s="14" t="s">
        <v>120</v>
      </c>
      <c r="B2431" s="15" t="s">
        <v>24647</v>
      </c>
      <c r="C2431" s="14" t="s">
        <v>25180</v>
      </c>
      <c r="D2431" s="14" t="s">
        <v>25181</v>
      </c>
      <c r="E2431" s="26" t="str">
        <f t="shared" si="30"/>
        <v>http://dx.doi.org/10.1109/TVCG.2013.146</v>
      </c>
      <c r="F2431" s="14">
        <v>1972.0</v>
      </c>
      <c r="G2431" s="14">
        <v>1981.0</v>
      </c>
      <c r="H2431" s="14" t="s">
        <v>17059</v>
      </c>
      <c r="I2431" s="19" t="s">
        <v>25182</v>
      </c>
      <c r="J2431" s="19" t="s">
        <v>25183</v>
      </c>
      <c r="K2431" s="19" t="s">
        <v>25184</v>
      </c>
      <c r="L2431" s="19" t="s">
        <v>25185</v>
      </c>
      <c r="M2431" s="20" t="s">
        <v>25186</v>
      </c>
      <c r="N2431" s="44" t="s">
        <v>25187</v>
      </c>
      <c r="O2431" s="22">
        <v>14.0</v>
      </c>
      <c r="P2431" s="28">
        <v>5.0</v>
      </c>
      <c r="Q2431" s="28">
        <v>49.0</v>
      </c>
      <c r="R2431" s="84"/>
      <c r="S2431" s="84"/>
      <c r="T2431" s="84"/>
      <c r="U2431" s="84"/>
      <c r="V2431" s="84"/>
      <c r="W2431" s="84"/>
      <c r="X2431" s="84"/>
      <c r="Y2431" s="84"/>
      <c r="Z2431" s="84"/>
      <c r="AA2431" s="84"/>
    </row>
    <row r="2432" ht="15.75" customHeight="1">
      <c r="A2432" s="14" t="s">
        <v>120</v>
      </c>
      <c r="B2432" s="15" t="s">
        <v>24647</v>
      </c>
      <c r="C2432" s="14" t="s">
        <v>25189</v>
      </c>
      <c r="D2432" s="14" t="s">
        <v>25190</v>
      </c>
      <c r="E2432" s="26" t="str">
        <f t="shared" si="30"/>
        <v>http://dx.doi.org/10.1109/TVCG.2013.157</v>
      </c>
      <c r="F2432" s="14">
        <v>2042.0</v>
      </c>
      <c r="G2432" s="14">
        <v>2051.0</v>
      </c>
      <c r="H2432" s="14" t="s">
        <v>17059</v>
      </c>
      <c r="I2432" s="19" t="s">
        <v>25192</v>
      </c>
      <c r="J2432" s="19" t="s">
        <v>25193</v>
      </c>
      <c r="K2432" s="19" t="s">
        <v>25193</v>
      </c>
      <c r="L2432" s="19" t="s">
        <v>25194</v>
      </c>
      <c r="M2432" s="20" t="s">
        <v>25195</v>
      </c>
      <c r="N2432" s="44" t="s">
        <v>25196</v>
      </c>
      <c r="O2432" s="22">
        <v>50.0</v>
      </c>
      <c r="P2432" s="28">
        <v>23.0</v>
      </c>
      <c r="Q2432" s="28">
        <v>51.0</v>
      </c>
      <c r="R2432" s="85" t="s">
        <v>19037</v>
      </c>
      <c r="S2432" s="84"/>
      <c r="T2432" s="84"/>
      <c r="U2432" s="84"/>
      <c r="V2432" s="84"/>
      <c r="W2432" s="84"/>
      <c r="X2432" s="84"/>
      <c r="Y2432" s="84"/>
      <c r="Z2432" s="84"/>
      <c r="AA2432" s="84"/>
    </row>
    <row r="2433" ht="15.75" customHeight="1">
      <c r="A2433" s="14" t="s">
        <v>120</v>
      </c>
      <c r="B2433" s="15" t="s">
        <v>24647</v>
      </c>
      <c r="C2433" s="14" t="s">
        <v>25197</v>
      </c>
      <c r="D2433" s="14" t="s">
        <v>25198</v>
      </c>
      <c r="E2433" s="26" t="str">
        <f t="shared" si="30"/>
        <v>http://dx.doi.org/10.1109/TVCG.2013.162</v>
      </c>
      <c r="F2433" s="14">
        <v>2002.0</v>
      </c>
      <c r="G2433" s="14">
        <v>2011.0</v>
      </c>
      <c r="H2433" s="14" t="s">
        <v>17059</v>
      </c>
      <c r="I2433" s="19" t="s">
        <v>25199</v>
      </c>
      <c r="J2433" s="19" t="s">
        <v>25200</v>
      </c>
      <c r="K2433" s="19" t="s">
        <v>25200</v>
      </c>
      <c r="L2433" s="19" t="s">
        <v>21862</v>
      </c>
      <c r="M2433" s="20" t="s">
        <v>25201</v>
      </c>
      <c r="N2433" s="44" t="s">
        <v>25202</v>
      </c>
      <c r="O2433" s="22">
        <v>81.0</v>
      </c>
      <c r="P2433" s="28">
        <v>42.0</v>
      </c>
      <c r="Q2433" s="28">
        <v>35.0</v>
      </c>
      <c r="R2433" s="84"/>
      <c r="S2433" s="84"/>
      <c r="T2433" s="84"/>
      <c r="U2433" s="84"/>
      <c r="V2433" s="84"/>
      <c r="W2433" s="84"/>
      <c r="X2433" s="84"/>
      <c r="Y2433" s="84"/>
      <c r="Z2433" s="84"/>
      <c r="AA2433" s="84"/>
    </row>
    <row r="2434" ht="15.75" customHeight="1">
      <c r="A2434" s="14" t="s">
        <v>120</v>
      </c>
      <c r="B2434" s="15" t="s">
        <v>24647</v>
      </c>
      <c r="C2434" s="14" t="s">
        <v>25203</v>
      </c>
      <c r="D2434" s="14" t="s">
        <v>25204</v>
      </c>
      <c r="E2434" s="26" t="str">
        <f t="shared" si="30"/>
        <v>http://dx.doi.org/10.1109/TVCG.2013.164</v>
      </c>
      <c r="F2434" s="14">
        <v>2198.0</v>
      </c>
      <c r="G2434" s="14">
        <v>2206.0</v>
      </c>
      <c r="H2434" s="14" t="s">
        <v>17059</v>
      </c>
      <c r="I2434" s="19" t="s">
        <v>25207</v>
      </c>
      <c r="J2434" s="19" t="s">
        <v>25208</v>
      </c>
      <c r="K2434" s="19" t="s">
        <v>25208</v>
      </c>
      <c r="L2434" s="19" t="s">
        <v>25209</v>
      </c>
      <c r="M2434" s="20" t="s">
        <v>18191</v>
      </c>
      <c r="N2434" s="44" t="s">
        <v>25210</v>
      </c>
      <c r="O2434" s="22">
        <v>22.0</v>
      </c>
      <c r="P2434" s="28">
        <v>10.0</v>
      </c>
      <c r="Q2434" s="28">
        <v>23.0</v>
      </c>
      <c r="R2434" s="84"/>
      <c r="S2434" s="84"/>
      <c r="T2434" s="84"/>
      <c r="U2434" s="84"/>
      <c r="V2434" s="84"/>
      <c r="W2434" s="84"/>
      <c r="X2434" s="84"/>
      <c r="Y2434" s="84"/>
      <c r="Z2434" s="84"/>
      <c r="AA2434" s="84"/>
    </row>
    <row r="2435" ht="15.75" customHeight="1">
      <c r="A2435" s="14" t="s">
        <v>120</v>
      </c>
      <c r="B2435" s="15" t="s">
        <v>24647</v>
      </c>
      <c r="C2435" s="14" t="s">
        <v>25212</v>
      </c>
      <c r="D2435" s="14" t="s">
        <v>25213</v>
      </c>
      <c r="E2435" s="26" t="str">
        <f t="shared" si="30"/>
        <v>http://dx.doi.org/10.1109/TVCG.2013.167</v>
      </c>
      <c r="F2435" s="14">
        <v>2080.0</v>
      </c>
      <c r="G2435" s="14">
        <v>2089.0</v>
      </c>
      <c r="H2435" s="14" t="s">
        <v>17059</v>
      </c>
      <c r="I2435" s="19" t="s">
        <v>25214</v>
      </c>
      <c r="J2435" s="19" t="s">
        <v>25215</v>
      </c>
      <c r="K2435" s="19" t="s">
        <v>25215</v>
      </c>
      <c r="L2435" s="19" t="s">
        <v>25216</v>
      </c>
      <c r="M2435" s="20" t="s">
        <v>25217</v>
      </c>
      <c r="N2435" s="44" t="s">
        <v>25218</v>
      </c>
      <c r="O2435" s="22">
        <v>50.0</v>
      </c>
      <c r="P2435" s="28">
        <v>28.0</v>
      </c>
      <c r="Q2435" s="28">
        <v>39.0</v>
      </c>
      <c r="R2435" s="84"/>
      <c r="S2435" s="84"/>
      <c r="T2435" s="84"/>
      <c r="U2435" s="84"/>
      <c r="V2435" s="84"/>
      <c r="W2435" s="84"/>
      <c r="X2435" s="84"/>
      <c r="Y2435" s="84"/>
      <c r="Z2435" s="84"/>
      <c r="AA2435" s="84"/>
    </row>
    <row r="2436" ht="15.75" customHeight="1">
      <c r="A2436" s="14" t="s">
        <v>120</v>
      </c>
      <c r="B2436" s="15" t="s">
        <v>24647</v>
      </c>
      <c r="C2436" s="14" t="s">
        <v>25219</v>
      </c>
      <c r="D2436" s="14" t="s">
        <v>25220</v>
      </c>
      <c r="E2436" s="26" t="str">
        <f t="shared" si="30"/>
        <v>http://dx.doi.org/10.1109/TVCG.2013.168</v>
      </c>
      <c r="F2436" s="14">
        <v>2119.0</v>
      </c>
      <c r="G2436" s="14">
        <v>2128.0</v>
      </c>
      <c r="H2436" s="14" t="s">
        <v>17059</v>
      </c>
      <c r="I2436" s="19" t="s">
        <v>25221</v>
      </c>
      <c r="J2436" s="19" t="s">
        <v>25222</v>
      </c>
      <c r="K2436" s="19" t="s">
        <v>25222</v>
      </c>
      <c r="L2436" s="19" t="s">
        <v>25223</v>
      </c>
      <c r="M2436" s="20" t="s">
        <v>25224</v>
      </c>
      <c r="N2436" s="44" t="s">
        <v>25225</v>
      </c>
      <c r="O2436" s="22">
        <v>30.0</v>
      </c>
      <c r="P2436" s="28">
        <v>20.0</v>
      </c>
      <c r="Q2436" s="28">
        <v>33.0</v>
      </c>
      <c r="R2436" s="84"/>
      <c r="S2436" s="84"/>
      <c r="T2436" s="84"/>
      <c r="U2436" s="84"/>
      <c r="V2436" s="84"/>
      <c r="W2436" s="84"/>
      <c r="X2436" s="84"/>
      <c r="Y2436" s="84"/>
      <c r="Z2436" s="84"/>
      <c r="AA2436" s="84"/>
    </row>
    <row r="2437" ht="15.75" customHeight="1">
      <c r="A2437" s="14" t="s">
        <v>120</v>
      </c>
      <c r="B2437" s="15" t="s">
        <v>24647</v>
      </c>
      <c r="C2437" s="14" t="s">
        <v>25226</v>
      </c>
      <c r="D2437" s="14" t="s">
        <v>25227</v>
      </c>
      <c r="E2437" s="26" t="str">
        <f t="shared" si="30"/>
        <v>http://dx.doi.org/10.1109/TVCG.2013.178</v>
      </c>
      <c r="F2437" s="14">
        <v>2257.0</v>
      </c>
      <c r="G2437" s="14">
        <v>2266.0</v>
      </c>
      <c r="H2437" s="14" t="s">
        <v>17059</v>
      </c>
      <c r="I2437" s="19" t="s">
        <v>25229</v>
      </c>
      <c r="J2437" s="19" t="s">
        <v>25230</v>
      </c>
      <c r="K2437" s="19" t="s">
        <v>25230</v>
      </c>
      <c r="L2437" s="19" t="s">
        <v>25231</v>
      </c>
      <c r="M2437" s="20" t="s">
        <v>25232</v>
      </c>
      <c r="N2437" s="44" t="s">
        <v>25233</v>
      </c>
      <c r="O2437" s="22">
        <v>50.0</v>
      </c>
      <c r="P2437" s="28">
        <v>24.0</v>
      </c>
      <c r="Q2437" s="28">
        <v>45.0</v>
      </c>
      <c r="R2437" s="84"/>
      <c r="S2437" s="84"/>
      <c r="T2437" s="84"/>
      <c r="U2437" s="84"/>
      <c r="V2437" s="84"/>
      <c r="W2437" s="84"/>
      <c r="X2437" s="84"/>
      <c r="Y2437" s="84"/>
      <c r="Z2437" s="84"/>
      <c r="AA2437" s="84"/>
    </row>
    <row r="2438" ht="15.75" customHeight="1">
      <c r="A2438" s="14" t="s">
        <v>120</v>
      </c>
      <c r="B2438" s="15" t="s">
        <v>24647</v>
      </c>
      <c r="C2438" s="14" t="s">
        <v>25234</v>
      </c>
      <c r="D2438" s="14" t="s">
        <v>25235</v>
      </c>
      <c r="E2438" s="26" t="str">
        <f t="shared" si="30"/>
        <v>http://dx.doi.org/10.1109/TVCG.2013.181</v>
      </c>
      <c r="F2438" s="14">
        <v>2100.0</v>
      </c>
      <c r="G2438" s="14">
        <v>2108.0</v>
      </c>
      <c r="H2438" s="14" t="s">
        <v>17059</v>
      </c>
      <c r="I2438" s="19" t="s">
        <v>25236</v>
      </c>
      <c r="J2438" s="19" t="s">
        <v>22269</v>
      </c>
      <c r="K2438" s="19" t="s">
        <v>22270</v>
      </c>
      <c r="L2438" s="19" t="s">
        <v>25237</v>
      </c>
      <c r="M2438" s="20" t="s">
        <v>25238</v>
      </c>
      <c r="N2438" s="44" t="s">
        <v>25239</v>
      </c>
      <c r="O2438" s="22">
        <v>31.0</v>
      </c>
      <c r="P2438" s="28">
        <v>17.0</v>
      </c>
      <c r="Q2438" s="28">
        <v>53.0</v>
      </c>
      <c r="R2438" s="84"/>
      <c r="S2438" s="84"/>
      <c r="T2438" s="84"/>
      <c r="U2438" s="84"/>
      <c r="V2438" s="84"/>
      <c r="W2438" s="84"/>
      <c r="X2438" s="84"/>
      <c r="Y2438" s="84"/>
      <c r="Z2438" s="84"/>
      <c r="AA2438" s="84"/>
    </row>
    <row r="2439" ht="15.75" customHeight="1">
      <c r="A2439" s="14" t="s">
        <v>120</v>
      </c>
      <c r="B2439" s="15" t="s">
        <v>24647</v>
      </c>
      <c r="C2439" s="14" t="s">
        <v>25240</v>
      </c>
      <c r="D2439" s="14" t="s">
        <v>25241</v>
      </c>
      <c r="E2439" s="26" t="str">
        <f t="shared" si="30"/>
        <v>http://dx.doi.org/10.1109/TVCG.2013.186</v>
      </c>
      <c r="F2439" s="14">
        <v>2022.0</v>
      </c>
      <c r="G2439" s="14">
        <v>2031.0</v>
      </c>
      <c r="H2439" s="14" t="s">
        <v>17059</v>
      </c>
      <c r="I2439" s="19" t="s">
        <v>25243</v>
      </c>
      <c r="J2439" s="19" t="s">
        <v>25244</v>
      </c>
      <c r="K2439" s="19" t="s">
        <v>25245</v>
      </c>
      <c r="L2439" s="19" t="s">
        <v>25246</v>
      </c>
      <c r="M2439" s="20" t="s">
        <v>25247</v>
      </c>
      <c r="N2439" s="44" t="s">
        <v>25248</v>
      </c>
      <c r="O2439" s="22">
        <v>89.0</v>
      </c>
      <c r="P2439" s="28">
        <v>47.0</v>
      </c>
      <c r="Q2439" s="28">
        <v>35.0</v>
      </c>
      <c r="R2439" s="84"/>
      <c r="S2439" s="84"/>
      <c r="T2439" s="84"/>
      <c r="U2439" s="84"/>
      <c r="V2439" s="84"/>
      <c r="W2439" s="84"/>
      <c r="X2439" s="84"/>
      <c r="Y2439" s="84"/>
      <c r="Z2439" s="84"/>
      <c r="AA2439" s="84"/>
    </row>
    <row r="2440" ht="15.75" customHeight="1">
      <c r="A2440" s="14" t="s">
        <v>120</v>
      </c>
      <c r="B2440" s="15" t="s">
        <v>24647</v>
      </c>
      <c r="C2440" s="14" t="s">
        <v>25250</v>
      </c>
      <c r="D2440" s="14" t="s">
        <v>25251</v>
      </c>
      <c r="E2440" s="26" t="str">
        <f t="shared" si="30"/>
        <v>http://dx.doi.org/10.1109/TVCG.2013.188</v>
      </c>
      <c r="F2440" s="14">
        <v>2052.0</v>
      </c>
      <c r="G2440" s="14">
        <v>2059.0</v>
      </c>
      <c r="H2440" s="14" t="s">
        <v>17059</v>
      </c>
      <c r="I2440" s="19" t="s">
        <v>25252</v>
      </c>
      <c r="J2440" s="19" t="s">
        <v>25253</v>
      </c>
      <c r="K2440" s="19" t="s">
        <v>25253</v>
      </c>
      <c r="L2440" s="19" t="s">
        <v>25254</v>
      </c>
      <c r="M2440" s="20" t="s">
        <v>25255</v>
      </c>
      <c r="N2440" s="44" t="s">
        <v>25256</v>
      </c>
      <c r="O2440" s="22">
        <v>33.0</v>
      </c>
      <c r="P2440" s="28">
        <v>18.0</v>
      </c>
      <c r="Q2440" s="28">
        <v>23.0</v>
      </c>
      <c r="R2440" s="84"/>
      <c r="S2440" s="84"/>
      <c r="T2440" s="84"/>
      <c r="U2440" s="84"/>
      <c r="V2440" s="84"/>
      <c r="W2440" s="84"/>
      <c r="X2440" s="84"/>
      <c r="Y2440" s="84"/>
      <c r="Z2440" s="84"/>
      <c r="AA2440" s="84"/>
    </row>
    <row r="2441" ht="15.75" customHeight="1">
      <c r="A2441" s="14" t="s">
        <v>120</v>
      </c>
      <c r="B2441" s="15" t="s">
        <v>24647</v>
      </c>
      <c r="C2441" s="14" t="s">
        <v>25257</v>
      </c>
      <c r="D2441" s="14" t="s">
        <v>25258</v>
      </c>
      <c r="E2441" s="26" t="str">
        <f t="shared" si="30"/>
        <v>http://dx.doi.org/10.1109/TVCG.2013.190</v>
      </c>
      <c r="F2441" s="14">
        <v>2060.0</v>
      </c>
      <c r="G2441" s="14">
        <v>2069.0</v>
      </c>
      <c r="H2441" s="14" t="s">
        <v>17059</v>
      </c>
      <c r="I2441" s="19" t="s">
        <v>25259</v>
      </c>
      <c r="J2441" s="19" t="s">
        <v>25260</v>
      </c>
      <c r="K2441" s="19" t="s">
        <v>25261</v>
      </c>
      <c r="L2441" s="19" t="s">
        <v>25263</v>
      </c>
      <c r="M2441" s="20" t="s">
        <v>25264</v>
      </c>
      <c r="N2441" s="44" t="s">
        <v>25265</v>
      </c>
      <c r="O2441" s="22">
        <v>14.0</v>
      </c>
      <c r="P2441" s="28">
        <v>8.0</v>
      </c>
      <c r="Q2441" s="28">
        <v>25.0</v>
      </c>
      <c r="R2441" s="84"/>
      <c r="S2441" s="84"/>
      <c r="T2441" s="84"/>
      <c r="U2441" s="84"/>
      <c r="V2441" s="84"/>
      <c r="W2441" s="84"/>
      <c r="X2441" s="84"/>
      <c r="Y2441" s="84"/>
      <c r="Z2441" s="84"/>
      <c r="AA2441" s="84"/>
    </row>
    <row r="2442" ht="15.75" customHeight="1">
      <c r="A2442" s="14" t="s">
        <v>120</v>
      </c>
      <c r="B2442" s="15" t="s">
        <v>24647</v>
      </c>
      <c r="C2442" s="14" t="s">
        <v>25267</v>
      </c>
      <c r="D2442" s="14" t="s">
        <v>25268</v>
      </c>
      <c r="E2442" s="26" t="str">
        <f t="shared" si="30"/>
        <v>http://dx.doi.org/10.1109/TVCG.2013.193</v>
      </c>
      <c r="F2442" s="14">
        <v>2169.0</v>
      </c>
      <c r="G2442" s="14">
        <v>2178.0</v>
      </c>
      <c r="H2442" s="14" t="s">
        <v>17059</v>
      </c>
      <c r="I2442" s="19" t="s">
        <v>25269</v>
      </c>
      <c r="J2442" s="19" t="s">
        <v>25270</v>
      </c>
      <c r="K2442" s="19" t="s">
        <v>25271</v>
      </c>
      <c r="L2442" s="19" t="s">
        <v>25272</v>
      </c>
      <c r="M2442" s="20" t="s">
        <v>25273</v>
      </c>
      <c r="N2442" s="44" t="s">
        <v>25274</v>
      </c>
      <c r="O2442" s="22">
        <v>35.0</v>
      </c>
      <c r="P2442" s="28">
        <v>33.0</v>
      </c>
      <c r="Q2442" s="28">
        <v>37.0</v>
      </c>
      <c r="R2442" s="84"/>
      <c r="S2442" s="84"/>
      <c r="T2442" s="84"/>
      <c r="U2442" s="84"/>
      <c r="V2442" s="84"/>
      <c r="W2442" s="84"/>
      <c r="X2442" s="84"/>
      <c r="Y2442" s="84"/>
      <c r="Z2442" s="84"/>
      <c r="AA2442" s="84"/>
    </row>
    <row r="2443" ht="15.75" customHeight="1">
      <c r="A2443" s="14" t="s">
        <v>120</v>
      </c>
      <c r="B2443" s="15" t="s">
        <v>24647</v>
      </c>
      <c r="C2443" s="14" t="s">
        <v>25275</v>
      </c>
      <c r="D2443" s="14" t="s">
        <v>25276</v>
      </c>
      <c r="E2443" s="26" t="str">
        <f t="shared" si="30"/>
        <v>http://dx.doi.org/10.1109/TVCG.2013.194</v>
      </c>
      <c r="F2443" s="14">
        <v>2129.0</v>
      </c>
      <c r="G2443" s="14">
        <v>2138.0</v>
      </c>
      <c r="H2443" s="14" t="s">
        <v>17059</v>
      </c>
      <c r="I2443" s="19" t="s">
        <v>25277</v>
      </c>
      <c r="J2443" s="19" t="s">
        <v>25278</v>
      </c>
      <c r="K2443" s="19" t="s">
        <v>25278</v>
      </c>
      <c r="L2443" s="19" t="s">
        <v>25279</v>
      </c>
      <c r="M2443" s="20" t="s">
        <v>25280</v>
      </c>
      <c r="N2443" s="44" t="s">
        <v>25281</v>
      </c>
      <c r="O2443" s="22">
        <v>56.0</v>
      </c>
      <c r="P2443" s="28">
        <v>28.0</v>
      </c>
      <c r="Q2443" s="28">
        <v>47.0</v>
      </c>
      <c r="R2443" s="84"/>
      <c r="S2443" s="84"/>
      <c r="T2443" s="84"/>
      <c r="U2443" s="84"/>
      <c r="V2443" s="84"/>
      <c r="W2443" s="84"/>
      <c r="X2443" s="84"/>
      <c r="Y2443" s="84"/>
      <c r="Z2443" s="84"/>
      <c r="AA2443" s="84"/>
    </row>
    <row r="2444" ht="15.75" customHeight="1">
      <c r="A2444" s="14" t="s">
        <v>120</v>
      </c>
      <c r="B2444" s="15" t="s">
        <v>24647</v>
      </c>
      <c r="C2444" s="14" t="s">
        <v>25283</v>
      </c>
      <c r="D2444" s="14" t="s">
        <v>25284</v>
      </c>
      <c r="E2444" s="26" t="str">
        <f t="shared" si="30"/>
        <v>http://dx.doi.org/10.1109/TVCG.2013.197</v>
      </c>
      <c r="F2444" s="14">
        <v>2189.0</v>
      </c>
      <c r="G2444" s="14">
        <v>2197.0</v>
      </c>
      <c r="H2444" s="14" t="s">
        <v>17059</v>
      </c>
      <c r="I2444" s="19" t="s">
        <v>25285</v>
      </c>
      <c r="J2444" s="19" t="s">
        <v>25286</v>
      </c>
      <c r="K2444" s="19" t="s">
        <v>25286</v>
      </c>
      <c r="L2444" s="19" t="s">
        <v>25287</v>
      </c>
      <c r="M2444" s="20" t="s">
        <v>25288</v>
      </c>
      <c r="N2444" s="44" t="s">
        <v>25289</v>
      </c>
      <c r="O2444" s="22">
        <v>11.0</v>
      </c>
      <c r="P2444" s="28">
        <v>7.0</v>
      </c>
      <c r="Q2444" s="28">
        <v>36.0</v>
      </c>
      <c r="R2444" s="84"/>
      <c r="S2444" s="84"/>
      <c r="T2444" s="84"/>
      <c r="U2444" s="84"/>
      <c r="V2444" s="84"/>
      <c r="W2444" s="84"/>
      <c r="X2444" s="84"/>
      <c r="Y2444" s="84"/>
      <c r="Z2444" s="84"/>
      <c r="AA2444" s="84"/>
    </row>
    <row r="2445" ht="15.75" customHeight="1">
      <c r="A2445" s="14" t="s">
        <v>120</v>
      </c>
      <c r="B2445" s="15" t="s">
        <v>24647</v>
      </c>
      <c r="C2445" s="14" t="s">
        <v>25290</v>
      </c>
      <c r="D2445" s="14" t="s">
        <v>25291</v>
      </c>
      <c r="E2445" s="26" t="str">
        <f t="shared" si="30"/>
        <v>http://dx.doi.org/10.1109/TVCG.2013.198</v>
      </c>
      <c r="F2445" s="14">
        <v>2267.0</v>
      </c>
      <c r="G2445" s="14">
        <v>2276.0</v>
      </c>
      <c r="H2445" s="14" t="s">
        <v>17059</v>
      </c>
      <c r="I2445" s="19" t="s">
        <v>25292</v>
      </c>
      <c r="J2445" s="19" t="s">
        <v>25293</v>
      </c>
      <c r="K2445" s="19" t="s">
        <v>25293</v>
      </c>
      <c r="L2445" s="19" t="s">
        <v>25294</v>
      </c>
      <c r="M2445" s="20" t="s">
        <v>25295</v>
      </c>
      <c r="N2445" s="44" t="s">
        <v>25296</v>
      </c>
      <c r="O2445" s="22">
        <v>19.0</v>
      </c>
      <c r="P2445" s="28">
        <v>12.0</v>
      </c>
      <c r="Q2445" s="28">
        <v>34.0</v>
      </c>
      <c r="R2445" s="84"/>
      <c r="S2445" s="84"/>
      <c r="T2445" s="84"/>
      <c r="U2445" s="84"/>
      <c r="V2445" s="84"/>
      <c r="W2445" s="84"/>
      <c r="X2445" s="84"/>
      <c r="Y2445" s="84"/>
      <c r="Z2445" s="84"/>
      <c r="AA2445" s="84"/>
    </row>
    <row r="2446" ht="15.75" customHeight="1">
      <c r="A2446" s="14" t="s">
        <v>120</v>
      </c>
      <c r="B2446" s="15" t="s">
        <v>24647</v>
      </c>
      <c r="C2446" s="14" t="s">
        <v>25298</v>
      </c>
      <c r="D2446" s="14" t="s">
        <v>25299</v>
      </c>
      <c r="E2446" s="26" t="str">
        <f t="shared" si="30"/>
        <v>http://dx.doi.org/10.1109/TVCG.2013.200</v>
      </c>
      <c r="F2446" s="14">
        <v>2227.0</v>
      </c>
      <c r="G2446" s="14">
        <v>2236.0</v>
      </c>
      <c r="H2446" s="14" t="s">
        <v>17059</v>
      </c>
      <c r="I2446" s="19" t="s">
        <v>25301</v>
      </c>
      <c r="J2446" s="19" t="s">
        <v>25302</v>
      </c>
      <c r="K2446" s="19" t="s">
        <v>25302</v>
      </c>
      <c r="L2446" s="19" t="s">
        <v>25303</v>
      </c>
      <c r="M2446" s="20" t="s">
        <v>25304</v>
      </c>
      <c r="N2446" s="44" t="s">
        <v>25305</v>
      </c>
      <c r="O2446" s="22">
        <v>93.0</v>
      </c>
      <c r="P2446" s="28">
        <v>81.0</v>
      </c>
      <c r="Q2446" s="28">
        <v>33.0</v>
      </c>
      <c r="R2446" s="85" t="s">
        <v>19037</v>
      </c>
      <c r="S2446" s="84"/>
      <c r="T2446" s="84"/>
      <c r="U2446" s="84"/>
      <c r="V2446" s="84"/>
      <c r="W2446" s="84"/>
      <c r="X2446" s="84"/>
      <c r="Y2446" s="84"/>
      <c r="Z2446" s="84"/>
      <c r="AA2446" s="84"/>
    </row>
    <row r="2447" ht="15.75" customHeight="1">
      <c r="A2447" s="14" t="s">
        <v>120</v>
      </c>
      <c r="B2447" s="15" t="s">
        <v>24647</v>
      </c>
      <c r="C2447" s="14" t="s">
        <v>25306</v>
      </c>
      <c r="D2447" s="14" t="s">
        <v>25307</v>
      </c>
      <c r="E2447" s="26" t="str">
        <f t="shared" si="30"/>
        <v>http://dx.doi.org/10.1109/TVCG.2013.205</v>
      </c>
      <c r="F2447" s="14">
        <v>2207.0</v>
      </c>
      <c r="G2447" s="14">
        <v>2216.0</v>
      </c>
      <c r="H2447" s="14" t="s">
        <v>17059</v>
      </c>
      <c r="I2447" s="19" t="s">
        <v>25308</v>
      </c>
      <c r="J2447" s="19" t="s">
        <v>24637</v>
      </c>
      <c r="K2447" s="19" t="s">
        <v>24637</v>
      </c>
      <c r="L2447" s="19" t="s">
        <v>25309</v>
      </c>
      <c r="M2447" s="20" t="s">
        <v>25310</v>
      </c>
      <c r="N2447" s="44" t="s">
        <v>25311</v>
      </c>
      <c r="O2447" s="22">
        <v>13.0</v>
      </c>
      <c r="P2447" s="28">
        <v>4.0</v>
      </c>
      <c r="Q2447" s="28">
        <v>32.0</v>
      </c>
      <c r="R2447" s="84"/>
      <c r="S2447" s="84"/>
      <c r="T2447" s="84"/>
      <c r="U2447" s="84"/>
      <c r="V2447" s="84"/>
      <c r="W2447" s="84"/>
      <c r="X2447" s="84"/>
      <c r="Y2447" s="84"/>
      <c r="Z2447" s="84"/>
      <c r="AA2447" s="84"/>
    </row>
    <row r="2448" ht="15.75" customHeight="1">
      <c r="A2448" s="14" t="s">
        <v>120</v>
      </c>
      <c r="B2448" s="15" t="s">
        <v>24647</v>
      </c>
      <c r="C2448" s="14" t="s">
        <v>25312</v>
      </c>
      <c r="D2448" s="14" t="s">
        <v>25313</v>
      </c>
      <c r="E2448" s="26" t="str">
        <f t="shared" si="30"/>
        <v>http://dx.doi.org/10.1109/TVCG.2013.206</v>
      </c>
      <c r="F2448" s="14">
        <v>2247.0</v>
      </c>
      <c r="G2448" s="14">
        <v>2256.0</v>
      </c>
      <c r="H2448" s="14" t="s">
        <v>17059</v>
      </c>
      <c r="I2448" s="19" t="s">
        <v>25316</v>
      </c>
      <c r="J2448" s="19" t="s">
        <v>25317</v>
      </c>
      <c r="K2448" s="19" t="s">
        <v>25317</v>
      </c>
      <c r="L2448" s="19" t="s">
        <v>25318</v>
      </c>
      <c r="M2448" s="20" t="s">
        <v>25319</v>
      </c>
      <c r="N2448" s="44" t="s">
        <v>25321</v>
      </c>
      <c r="O2448" s="22">
        <v>50.0</v>
      </c>
      <c r="P2448" s="28">
        <v>10.0</v>
      </c>
      <c r="Q2448" s="28">
        <v>52.0</v>
      </c>
      <c r="R2448" s="84"/>
      <c r="S2448" s="84"/>
      <c r="T2448" s="84"/>
      <c r="U2448" s="84"/>
      <c r="V2448" s="84"/>
      <c r="W2448" s="84"/>
      <c r="X2448" s="84"/>
      <c r="Y2448" s="84"/>
      <c r="Z2448" s="84"/>
      <c r="AA2448" s="84"/>
    </row>
    <row r="2449" ht="15.75" customHeight="1">
      <c r="A2449" s="14" t="s">
        <v>120</v>
      </c>
      <c r="B2449" s="15" t="s">
        <v>24647</v>
      </c>
      <c r="C2449" s="14" t="s">
        <v>25322</v>
      </c>
      <c r="D2449" s="14" t="s">
        <v>25323</v>
      </c>
      <c r="E2449" s="26" t="str">
        <f t="shared" si="30"/>
        <v>http://dx.doi.org/10.1109/TVCG.2013.207</v>
      </c>
      <c r="F2449" s="14">
        <v>2109.0</v>
      </c>
      <c r="G2449" s="14">
        <v>2118.0</v>
      </c>
      <c r="H2449" s="14" t="s">
        <v>17059</v>
      </c>
      <c r="I2449" s="19" t="s">
        <v>25324</v>
      </c>
      <c r="J2449" s="19" t="s">
        <v>25325</v>
      </c>
      <c r="K2449" s="19" t="s">
        <v>25326</v>
      </c>
      <c r="L2449" s="19" t="s">
        <v>25327</v>
      </c>
      <c r="M2449" s="20" t="s">
        <v>25328</v>
      </c>
      <c r="N2449" s="44" t="s">
        <v>25329</v>
      </c>
      <c r="O2449" s="22">
        <v>18.0</v>
      </c>
      <c r="P2449" s="28">
        <v>10.0</v>
      </c>
      <c r="Q2449" s="28">
        <v>42.0</v>
      </c>
      <c r="R2449" s="84"/>
      <c r="S2449" s="84"/>
      <c r="T2449" s="84"/>
      <c r="U2449" s="84"/>
      <c r="V2449" s="84"/>
      <c r="W2449" s="84"/>
      <c r="X2449" s="84"/>
      <c r="Y2449" s="84"/>
      <c r="Z2449" s="84"/>
      <c r="AA2449" s="84"/>
    </row>
    <row r="2450" ht="15.75" customHeight="1">
      <c r="A2450" s="14" t="s">
        <v>120</v>
      </c>
      <c r="B2450" s="15" t="s">
        <v>24647</v>
      </c>
      <c r="C2450" s="14" t="s">
        <v>25330</v>
      </c>
      <c r="D2450" s="14" t="s">
        <v>25332</v>
      </c>
      <c r="E2450" s="26" t="str">
        <f t="shared" si="30"/>
        <v>http://dx.doi.org/10.1109/TVCG.2013.211</v>
      </c>
      <c r="F2450" s="14">
        <v>2217.0</v>
      </c>
      <c r="G2450" s="14">
        <v>2226.0</v>
      </c>
      <c r="H2450" s="14" t="s">
        <v>17059</v>
      </c>
      <c r="I2450" s="19" t="s">
        <v>25334</v>
      </c>
      <c r="J2450" s="19" t="s">
        <v>25335</v>
      </c>
      <c r="K2450" s="19" t="s">
        <v>25336</v>
      </c>
      <c r="L2450" s="19" t="s">
        <v>25337</v>
      </c>
      <c r="M2450" s="20" t="s">
        <v>25338</v>
      </c>
      <c r="N2450" s="44" t="s">
        <v>25339</v>
      </c>
      <c r="O2450" s="22">
        <v>50.0</v>
      </c>
      <c r="P2450" s="28">
        <v>8.0</v>
      </c>
      <c r="Q2450" s="28">
        <v>36.0</v>
      </c>
      <c r="R2450" s="84"/>
      <c r="S2450" s="84"/>
      <c r="T2450" s="84"/>
      <c r="U2450" s="84"/>
      <c r="V2450" s="84"/>
      <c r="W2450" s="84"/>
      <c r="X2450" s="84"/>
      <c r="Y2450" s="84"/>
      <c r="Z2450" s="84"/>
      <c r="AA2450" s="84"/>
    </row>
    <row r="2451" ht="15.75" customHeight="1">
      <c r="A2451" s="14" t="s">
        <v>120</v>
      </c>
      <c r="B2451" s="15" t="s">
        <v>24647</v>
      </c>
      <c r="C2451" s="14" t="s">
        <v>25340</v>
      </c>
      <c r="D2451" s="14" t="s">
        <v>25341</v>
      </c>
      <c r="E2451" s="26" t="str">
        <f t="shared" si="30"/>
        <v>http://dx.doi.org/10.1109/TVCG.2013.212</v>
      </c>
      <c r="F2451" s="14">
        <v>1992.0</v>
      </c>
      <c r="G2451" s="14">
        <v>2001.0</v>
      </c>
      <c r="H2451" s="14" t="s">
        <v>17059</v>
      </c>
      <c r="I2451" s="19" t="s">
        <v>25342</v>
      </c>
      <c r="J2451" s="19" t="s">
        <v>25343</v>
      </c>
      <c r="K2451" s="19" t="s">
        <v>25343</v>
      </c>
      <c r="L2451" s="19" t="s">
        <v>25344</v>
      </c>
      <c r="M2451" s="20" t="s">
        <v>25345</v>
      </c>
      <c r="N2451" s="88" t="s">
        <v>25346</v>
      </c>
      <c r="O2451" s="22">
        <v>122.0</v>
      </c>
      <c r="P2451" s="28">
        <v>65.0</v>
      </c>
      <c r="Q2451" s="28">
        <v>36.0</v>
      </c>
      <c r="R2451" s="84"/>
      <c r="S2451" s="84"/>
      <c r="T2451" s="84"/>
      <c r="U2451" s="84"/>
      <c r="V2451" s="84"/>
      <c r="W2451" s="84"/>
      <c r="X2451" s="84"/>
      <c r="Y2451" s="84"/>
      <c r="Z2451" s="84"/>
      <c r="AA2451" s="84"/>
    </row>
    <row r="2452" ht="15.75" customHeight="1">
      <c r="A2452" s="14" t="s">
        <v>120</v>
      </c>
      <c r="B2452" s="15" t="s">
        <v>24647</v>
      </c>
      <c r="C2452" s="14" t="s">
        <v>25347</v>
      </c>
      <c r="D2452" s="14" t="s">
        <v>25348</v>
      </c>
      <c r="E2452" s="26" t="str">
        <f t="shared" si="30"/>
        <v>http://dx.doi.org/10.1109/TVCG.2013.213</v>
      </c>
      <c r="F2452" s="14">
        <v>2090.0</v>
      </c>
      <c r="G2452" s="14">
        <v>2099.0</v>
      </c>
      <c r="H2452" s="14" t="s">
        <v>17059</v>
      </c>
      <c r="I2452" s="19" t="s">
        <v>25350</v>
      </c>
      <c r="J2452" s="19" t="s">
        <v>25351</v>
      </c>
      <c r="K2452" s="19" t="s">
        <v>25351</v>
      </c>
      <c r="L2452" s="19" t="s">
        <v>25352</v>
      </c>
      <c r="M2452" s="20" t="s">
        <v>25354</v>
      </c>
      <c r="N2452" s="44" t="s">
        <v>25355</v>
      </c>
      <c r="O2452" s="22">
        <v>20.0</v>
      </c>
      <c r="P2452" s="28">
        <v>18.0</v>
      </c>
      <c r="Q2452" s="28">
        <v>41.0</v>
      </c>
      <c r="R2452" s="84"/>
      <c r="S2452" s="84"/>
      <c r="T2452" s="84"/>
      <c r="U2452" s="84"/>
      <c r="V2452" s="84"/>
      <c r="W2452" s="84"/>
      <c r="X2452" s="84"/>
      <c r="Y2452" s="84"/>
      <c r="Z2452" s="84"/>
      <c r="AA2452" s="84"/>
    </row>
    <row r="2453" ht="15.75" customHeight="1">
      <c r="A2453" s="14" t="s">
        <v>120</v>
      </c>
      <c r="B2453" s="15" t="s">
        <v>24647</v>
      </c>
      <c r="C2453" s="14" t="s">
        <v>25356</v>
      </c>
      <c r="D2453" s="14" t="s">
        <v>25357</v>
      </c>
      <c r="E2453" s="26" t="str">
        <f t="shared" si="30"/>
        <v>http://dx.doi.org/10.1109/TVCG.2013.219</v>
      </c>
      <c r="F2453" s="14">
        <v>1982.0</v>
      </c>
      <c r="G2453" s="14">
        <v>1991.0</v>
      </c>
      <c r="H2453" s="14" t="s">
        <v>17059</v>
      </c>
      <c r="I2453" s="19" t="s">
        <v>25358</v>
      </c>
      <c r="J2453" s="19" t="s">
        <v>25359</v>
      </c>
      <c r="K2453" s="19" t="s">
        <v>25360</v>
      </c>
      <c r="L2453" s="19" t="s">
        <v>25361</v>
      </c>
      <c r="M2453" s="20" t="s">
        <v>25362</v>
      </c>
      <c r="N2453" s="44" t="s">
        <v>25363</v>
      </c>
      <c r="O2453" s="22">
        <v>50.0</v>
      </c>
      <c r="P2453" s="28">
        <v>3.0</v>
      </c>
      <c r="Q2453" s="28">
        <v>46.0</v>
      </c>
      <c r="R2453" s="84"/>
      <c r="S2453" s="84"/>
      <c r="T2453" s="84"/>
      <c r="U2453" s="84"/>
      <c r="V2453" s="84"/>
      <c r="W2453" s="84"/>
      <c r="X2453" s="84"/>
      <c r="Y2453" s="84"/>
      <c r="Z2453" s="84"/>
      <c r="AA2453" s="84"/>
    </row>
    <row r="2454" ht="15.75" customHeight="1">
      <c r="A2454" s="14" t="s">
        <v>120</v>
      </c>
      <c r="B2454" s="15" t="s">
        <v>24647</v>
      </c>
      <c r="C2454" s="14" t="s">
        <v>25364</v>
      </c>
      <c r="D2454" s="14" t="s">
        <v>25365</v>
      </c>
      <c r="E2454" s="26" t="str">
        <f t="shared" si="30"/>
        <v>http://dx.doi.org/10.1109/TVCG.2013.220</v>
      </c>
      <c r="F2454" s="14">
        <v>2070.0</v>
      </c>
      <c r="G2454" s="14">
        <v>2079.0</v>
      </c>
      <c r="H2454" s="14" t="s">
        <v>17059</v>
      </c>
      <c r="I2454" s="19" t="s">
        <v>25366</v>
      </c>
      <c r="J2454" s="19" t="s">
        <v>25367</v>
      </c>
      <c r="K2454" s="19" t="s">
        <v>25367</v>
      </c>
      <c r="L2454" s="19" t="s">
        <v>25368</v>
      </c>
      <c r="M2454" s="20" t="s">
        <v>25369</v>
      </c>
      <c r="N2454" s="44" t="s">
        <v>25370</v>
      </c>
      <c r="O2454" s="22">
        <v>8.0</v>
      </c>
      <c r="P2454" s="28">
        <v>5.0</v>
      </c>
      <c r="Q2454" s="28">
        <v>30.0</v>
      </c>
      <c r="R2454" s="84"/>
      <c r="S2454" s="84"/>
      <c r="T2454" s="84"/>
      <c r="U2454" s="84"/>
      <c r="V2454" s="84"/>
      <c r="W2454" s="84"/>
      <c r="X2454" s="84"/>
      <c r="Y2454" s="84"/>
      <c r="Z2454" s="84"/>
      <c r="AA2454" s="84"/>
    </row>
    <row r="2455" ht="15.75" customHeight="1">
      <c r="A2455" s="14" t="s">
        <v>120</v>
      </c>
      <c r="B2455" s="15" t="s">
        <v>24647</v>
      </c>
      <c r="C2455" s="14" t="s">
        <v>25372</v>
      </c>
      <c r="D2455" s="14" t="s">
        <v>25373</v>
      </c>
      <c r="E2455" s="26" t="str">
        <f t="shared" si="30"/>
        <v>http://dx.doi.org/10.1109/TVCG.2013.221</v>
      </c>
      <c r="F2455" s="14">
        <v>2012.0</v>
      </c>
      <c r="G2455" s="14">
        <v>2021.0</v>
      </c>
      <c r="H2455" s="14" t="s">
        <v>17059</v>
      </c>
      <c r="I2455" s="19" t="s">
        <v>25375</v>
      </c>
      <c r="J2455" s="19" t="s">
        <v>25376</v>
      </c>
      <c r="K2455" s="19" t="s">
        <v>25377</v>
      </c>
      <c r="L2455" s="19" t="s">
        <v>25378</v>
      </c>
      <c r="M2455" s="20" t="s">
        <v>25379</v>
      </c>
      <c r="N2455" s="44" t="s">
        <v>25380</v>
      </c>
      <c r="O2455" s="22">
        <v>66.0</v>
      </c>
      <c r="P2455" s="28">
        <v>44.0</v>
      </c>
      <c r="Q2455" s="28">
        <v>50.0</v>
      </c>
      <c r="R2455" s="84"/>
      <c r="S2455" s="84"/>
      <c r="T2455" s="84"/>
      <c r="U2455" s="84"/>
      <c r="V2455" s="84"/>
      <c r="W2455" s="84"/>
      <c r="X2455" s="84"/>
      <c r="Y2455" s="84"/>
      <c r="Z2455" s="84"/>
      <c r="AA2455" s="84"/>
    </row>
    <row r="2456" ht="15.75" customHeight="1">
      <c r="A2456" s="14" t="s">
        <v>120</v>
      </c>
      <c r="B2456" s="15" t="s">
        <v>24647</v>
      </c>
      <c r="C2456" s="14" t="s">
        <v>25381</v>
      </c>
      <c r="D2456" s="14" t="s">
        <v>25382</v>
      </c>
      <c r="E2456" s="26" t="str">
        <f t="shared" si="30"/>
        <v>http://dx.doi.org/10.1109/TVCG.2013.222</v>
      </c>
      <c r="F2456" s="14">
        <v>2237.0</v>
      </c>
      <c r="G2456" s="14">
        <v>2246.0</v>
      </c>
      <c r="H2456" s="14" t="s">
        <v>17059</v>
      </c>
      <c r="I2456" s="19" t="s">
        <v>25383</v>
      </c>
      <c r="J2456" s="19" t="s">
        <v>25384</v>
      </c>
      <c r="K2456" s="19" t="s">
        <v>25384</v>
      </c>
      <c r="L2456" s="19" t="s">
        <v>25385</v>
      </c>
      <c r="M2456" s="20" t="s">
        <v>25386</v>
      </c>
      <c r="N2456" s="44" t="s">
        <v>25387</v>
      </c>
      <c r="O2456" s="22">
        <v>34.0</v>
      </c>
      <c r="P2456" s="28">
        <v>16.0</v>
      </c>
      <c r="Q2456" s="28">
        <v>42.0</v>
      </c>
      <c r="R2456" s="84"/>
      <c r="S2456" s="84"/>
      <c r="T2456" s="84"/>
      <c r="U2456" s="84"/>
      <c r="V2456" s="84"/>
      <c r="W2456" s="84"/>
      <c r="X2456" s="84"/>
      <c r="Y2456" s="84"/>
      <c r="Z2456" s="84"/>
      <c r="AA2456" s="84"/>
    </row>
    <row r="2457" ht="15.75" customHeight="1">
      <c r="A2457" s="14" t="s">
        <v>120</v>
      </c>
      <c r="B2457" s="15" t="s">
        <v>24647</v>
      </c>
      <c r="C2457" s="14" t="s">
        <v>25388</v>
      </c>
      <c r="D2457" s="14" t="s">
        <v>25389</v>
      </c>
      <c r="E2457" s="26" t="str">
        <f t="shared" si="30"/>
        <v>http://dx.doi.org/10.1109/TVCG.2013.223</v>
      </c>
      <c r="F2457" s="14">
        <v>2032.0</v>
      </c>
      <c r="G2457" s="14">
        <v>2041.0</v>
      </c>
      <c r="H2457" s="14" t="s">
        <v>17059</v>
      </c>
      <c r="I2457" s="19" t="s">
        <v>25390</v>
      </c>
      <c r="J2457" s="19" t="s">
        <v>25392</v>
      </c>
      <c r="K2457" s="19" t="s">
        <v>25392</v>
      </c>
      <c r="L2457" s="19" t="s">
        <v>25393</v>
      </c>
      <c r="M2457" s="20" t="s">
        <v>25394</v>
      </c>
      <c r="N2457" s="44" t="s">
        <v>25395</v>
      </c>
      <c r="O2457" s="22">
        <v>50.0</v>
      </c>
      <c r="P2457" s="28">
        <v>25.0</v>
      </c>
      <c r="Q2457" s="28">
        <v>55.0</v>
      </c>
      <c r="R2457" s="84"/>
      <c r="S2457" s="84"/>
      <c r="T2457" s="84"/>
      <c r="U2457" s="84"/>
      <c r="V2457" s="84"/>
      <c r="W2457" s="84"/>
      <c r="X2457" s="84"/>
      <c r="Y2457" s="84"/>
      <c r="Z2457" s="84"/>
      <c r="AA2457" s="84"/>
    </row>
    <row r="2458" ht="15.75" customHeight="1">
      <c r="A2458" s="14" t="s">
        <v>120</v>
      </c>
      <c r="B2458" s="15" t="s">
        <v>24647</v>
      </c>
      <c r="C2458" s="14" t="s">
        <v>25397</v>
      </c>
      <c r="D2458" s="14" t="s">
        <v>25398</v>
      </c>
      <c r="E2458" s="26" t="str">
        <f t="shared" si="30"/>
        <v>http://dx.doi.org/10.1109/TVCG.2013.224</v>
      </c>
      <c r="F2458" s="14">
        <v>2179.0</v>
      </c>
      <c r="G2458" s="14">
        <v>2188.0</v>
      </c>
      <c r="H2458" s="14" t="s">
        <v>17059</v>
      </c>
      <c r="I2458" s="19" t="s">
        <v>25399</v>
      </c>
      <c r="J2458" s="19" t="s">
        <v>25400</v>
      </c>
      <c r="K2458" s="19" t="s">
        <v>25400</v>
      </c>
      <c r="L2458" s="19" t="s">
        <v>25401</v>
      </c>
      <c r="M2458" s="20" t="s">
        <v>25402</v>
      </c>
      <c r="N2458" s="44" t="s">
        <v>25403</v>
      </c>
      <c r="O2458" s="109"/>
      <c r="P2458" s="28">
        <v>6.0</v>
      </c>
      <c r="Q2458" s="28">
        <v>38.0</v>
      </c>
      <c r="R2458" s="84"/>
      <c r="S2458" s="84"/>
      <c r="T2458" s="84"/>
      <c r="U2458" s="84"/>
      <c r="V2458" s="84"/>
      <c r="W2458" s="84"/>
      <c r="X2458" s="84"/>
      <c r="Y2458" s="84"/>
      <c r="Z2458" s="84"/>
      <c r="AA2458" s="84"/>
    </row>
    <row r="2459" ht="15.75" customHeight="1">
      <c r="A2459" s="14" t="s">
        <v>120</v>
      </c>
      <c r="B2459" s="15" t="s">
        <v>24647</v>
      </c>
      <c r="C2459" s="14" t="s">
        <v>25404</v>
      </c>
      <c r="D2459" s="14" t="s">
        <v>25405</v>
      </c>
      <c r="E2459" s="26" t="str">
        <f t="shared" si="30"/>
        <v>http://dx.doi.org/10.1109/TVCG.2013.226</v>
      </c>
      <c r="F2459" s="14">
        <v>2149.0</v>
      </c>
      <c r="G2459" s="14">
        <v>2158.0</v>
      </c>
      <c r="H2459" s="14" t="s">
        <v>17059</v>
      </c>
      <c r="I2459" s="19" t="s">
        <v>25406</v>
      </c>
      <c r="J2459" s="19" t="s">
        <v>25407</v>
      </c>
      <c r="K2459" s="19" t="s">
        <v>25407</v>
      </c>
      <c r="L2459" s="19" t="s">
        <v>25408</v>
      </c>
      <c r="M2459" s="20" t="s">
        <v>25410</v>
      </c>
      <c r="N2459" s="44" t="s">
        <v>25412</v>
      </c>
      <c r="O2459" s="22">
        <v>249.0</v>
      </c>
      <c r="P2459" s="28">
        <v>160.0</v>
      </c>
      <c r="Q2459" s="28">
        <v>40.0</v>
      </c>
      <c r="R2459" s="84"/>
      <c r="S2459" s="84"/>
      <c r="T2459" s="84"/>
      <c r="U2459" s="84"/>
      <c r="V2459" s="84"/>
      <c r="W2459" s="84"/>
      <c r="X2459" s="84"/>
      <c r="Y2459" s="84"/>
      <c r="Z2459" s="84"/>
      <c r="AA2459" s="84"/>
    </row>
    <row r="2460" ht="15.75" customHeight="1">
      <c r="A2460" s="14" t="s">
        <v>120</v>
      </c>
      <c r="B2460" s="15" t="s">
        <v>24647</v>
      </c>
      <c r="C2460" s="14" t="s">
        <v>25413</v>
      </c>
      <c r="D2460" s="14" t="s">
        <v>25414</v>
      </c>
      <c r="E2460" s="26" t="str">
        <f t="shared" si="30"/>
        <v>http://dx.doi.org/10.1109/TVCG.2013.228</v>
      </c>
      <c r="F2460" s="14">
        <v>2159.0</v>
      </c>
      <c r="G2460" s="14">
        <v>2168.0</v>
      </c>
      <c r="H2460" s="14" t="s">
        <v>17059</v>
      </c>
      <c r="I2460" s="19" t="s">
        <v>25416</v>
      </c>
      <c r="J2460" s="19" t="s">
        <v>25417</v>
      </c>
      <c r="K2460" s="19" t="s">
        <v>25417</v>
      </c>
      <c r="L2460" s="19" t="s">
        <v>25418</v>
      </c>
      <c r="M2460" s="20" t="s">
        <v>25419</v>
      </c>
      <c r="N2460" s="44" t="s">
        <v>25420</v>
      </c>
      <c r="O2460" s="22">
        <v>181.0</v>
      </c>
      <c r="P2460" s="28">
        <v>116.0</v>
      </c>
      <c r="Q2460" s="28">
        <v>54.0</v>
      </c>
      <c r="R2460" s="84"/>
      <c r="S2460" s="84"/>
      <c r="T2460" s="84"/>
      <c r="U2460" s="84"/>
      <c r="V2460" s="84"/>
      <c r="W2460" s="84"/>
      <c r="X2460" s="84"/>
      <c r="Y2460" s="84"/>
      <c r="Z2460" s="84"/>
      <c r="AA2460" s="84"/>
    </row>
    <row r="2461" ht="15.75" customHeight="1">
      <c r="A2461" s="14" t="s">
        <v>2137</v>
      </c>
      <c r="B2461" s="15" t="s">
        <v>25421</v>
      </c>
      <c r="C2461" s="14" t="s">
        <v>25422</v>
      </c>
      <c r="D2461" s="14" t="s">
        <v>25423</v>
      </c>
      <c r="E2461" s="26" t="s">
        <v>25424</v>
      </c>
      <c r="F2461" s="14">
        <v>1983.0</v>
      </c>
      <c r="G2461" s="14">
        <v>1992.0</v>
      </c>
      <c r="H2461" s="14" t="s">
        <v>17059</v>
      </c>
      <c r="I2461" s="19" t="s">
        <v>25425</v>
      </c>
      <c r="J2461" s="19" t="s">
        <v>25426</v>
      </c>
      <c r="K2461" s="19" t="s">
        <v>25426</v>
      </c>
      <c r="L2461" s="19" t="s">
        <v>25427</v>
      </c>
      <c r="M2461" s="20" t="s">
        <v>25428</v>
      </c>
      <c r="N2461" s="44" t="s">
        <v>25429</v>
      </c>
      <c r="O2461" s="22">
        <v>141.0</v>
      </c>
      <c r="P2461" s="28">
        <v>138.0</v>
      </c>
      <c r="Q2461" s="28">
        <v>29.0</v>
      </c>
      <c r="R2461" s="84"/>
      <c r="S2461" s="84"/>
      <c r="T2461" s="84"/>
      <c r="U2461" s="84"/>
      <c r="V2461" s="84"/>
      <c r="W2461" s="84"/>
      <c r="X2461" s="84"/>
      <c r="Y2461" s="84"/>
      <c r="Z2461" s="84"/>
      <c r="AA2461" s="84"/>
    </row>
    <row r="2462" ht="15.75" customHeight="1">
      <c r="A2462" s="14" t="s">
        <v>2137</v>
      </c>
      <c r="B2462" s="15" t="s">
        <v>25421</v>
      </c>
      <c r="C2462" s="14" t="s">
        <v>25431</v>
      </c>
      <c r="D2462" s="14" t="s">
        <v>25432</v>
      </c>
      <c r="E2462" s="26" t="s">
        <v>25433</v>
      </c>
      <c r="F2462" s="14">
        <v>1993.0</v>
      </c>
      <c r="G2462" s="14">
        <v>2002.0</v>
      </c>
      <c r="H2462" s="14" t="s">
        <v>17059</v>
      </c>
      <c r="I2462" s="19" t="s">
        <v>25435</v>
      </c>
      <c r="J2462" s="19" t="s">
        <v>25436</v>
      </c>
      <c r="K2462" s="19" t="s">
        <v>25437</v>
      </c>
      <c r="L2462" s="19" t="s">
        <v>25438</v>
      </c>
      <c r="M2462" s="20" t="s">
        <v>25439</v>
      </c>
      <c r="N2462" s="44" t="s">
        <v>25440</v>
      </c>
      <c r="O2462" s="22">
        <v>27.0</v>
      </c>
      <c r="P2462" s="28">
        <v>21.0</v>
      </c>
      <c r="Q2462" s="28">
        <v>23.0</v>
      </c>
      <c r="R2462" s="84"/>
      <c r="S2462" s="84"/>
      <c r="T2462" s="84"/>
      <c r="U2462" s="84"/>
      <c r="V2462" s="84"/>
      <c r="W2462" s="84"/>
      <c r="X2462" s="84"/>
      <c r="Y2462" s="84"/>
      <c r="Z2462" s="84"/>
      <c r="AA2462" s="84"/>
    </row>
    <row r="2463" ht="15.75" customHeight="1">
      <c r="A2463" s="14" t="s">
        <v>2137</v>
      </c>
      <c r="B2463" s="15" t="s">
        <v>25421</v>
      </c>
      <c r="C2463" s="14" t="s">
        <v>25441</v>
      </c>
      <c r="D2463" s="14" t="s">
        <v>25442</v>
      </c>
      <c r="E2463" s="26" t="s">
        <v>25443</v>
      </c>
      <c r="F2463" s="14">
        <v>2003.0</v>
      </c>
      <c r="G2463" s="14">
        <v>2012.0</v>
      </c>
      <c r="H2463" s="14" t="s">
        <v>17059</v>
      </c>
      <c r="I2463" s="19" t="s">
        <v>25445</v>
      </c>
      <c r="J2463" s="19" t="s">
        <v>25446</v>
      </c>
      <c r="K2463" s="19" t="s">
        <v>25446</v>
      </c>
      <c r="L2463" s="19" t="s">
        <v>25447</v>
      </c>
      <c r="M2463" s="20" t="s">
        <v>25448</v>
      </c>
      <c r="N2463" s="44" t="s">
        <v>25449</v>
      </c>
      <c r="O2463" s="22">
        <v>50.0</v>
      </c>
      <c r="P2463" s="28">
        <v>16.0</v>
      </c>
      <c r="Q2463" s="28">
        <v>33.0</v>
      </c>
      <c r="R2463" s="84"/>
      <c r="S2463" s="84"/>
      <c r="T2463" s="84"/>
      <c r="U2463" s="84"/>
      <c r="V2463" s="84"/>
      <c r="W2463" s="84"/>
      <c r="X2463" s="84"/>
      <c r="Y2463" s="84"/>
      <c r="Z2463" s="84"/>
      <c r="AA2463" s="84"/>
    </row>
    <row r="2464" ht="15.75" customHeight="1">
      <c r="A2464" s="14" t="s">
        <v>2137</v>
      </c>
      <c r="B2464" s="15" t="s">
        <v>25421</v>
      </c>
      <c r="C2464" s="14" t="s">
        <v>25450</v>
      </c>
      <c r="D2464" s="14" t="s">
        <v>25451</v>
      </c>
      <c r="E2464" s="26" t="s">
        <v>25452</v>
      </c>
      <c r="F2464" s="14">
        <v>2013.0</v>
      </c>
      <c r="G2464" s="14">
        <v>2022.0</v>
      </c>
      <c r="H2464" s="14" t="s">
        <v>17059</v>
      </c>
      <c r="I2464" s="19" t="s">
        <v>25455</v>
      </c>
      <c r="J2464" s="19" t="s">
        <v>25456</v>
      </c>
      <c r="K2464" s="19" t="s">
        <v>25457</v>
      </c>
      <c r="L2464" s="19" t="s">
        <v>25458</v>
      </c>
      <c r="M2464" s="20" t="s">
        <v>25459</v>
      </c>
      <c r="N2464" s="44" t="s">
        <v>25460</v>
      </c>
      <c r="O2464" s="22">
        <v>8.0</v>
      </c>
      <c r="P2464" s="28">
        <v>8.0</v>
      </c>
      <c r="Q2464" s="28">
        <v>25.0</v>
      </c>
      <c r="R2464" s="84"/>
      <c r="S2464" s="84"/>
      <c r="T2464" s="84"/>
      <c r="U2464" s="84"/>
      <c r="V2464" s="84"/>
      <c r="W2464" s="84"/>
      <c r="X2464" s="84"/>
      <c r="Y2464" s="84"/>
      <c r="Z2464" s="84"/>
      <c r="AA2464" s="84"/>
    </row>
    <row r="2465" ht="15.75" customHeight="1">
      <c r="A2465" s="14" t="s">
        <v>2137</v>
      </c>
      <c r="B2465" s="15" t="s">
        <v>25421</v>
      </c>
      <c r="C2465" s="14" t="s">
        <v>25462</v>
      </c>
      <c r="D2465" s="14" t="s">
        <v>25463</v>
      </c>
      <c r="E2465" s="26" t="s">
        <v>25464</v>
      </c>
      <c r="F2465" s="14">
        <v>2023.0</v>
      </c>
      <c r="G2465" s="14">
        <v>2032.0</v>
      </c>
      <c r="H2465" s="14" t="s">
        <v>17059</v>
      </c>
      <c r="I2465" s="19" t="s">
        <v>25467</v>
      </c>
      <c r="J2465" s="19" t="s">
        <v>25468</v>
      </c>
      <c r="K2465" s="19" t="s">
        <v>25468</v>
      </c>
      <c r="L2465" s="19" t="s">
        <v>25469</v>
      </c>
      <c r="M2465" s="20" t="s">
        <v>25471</v>
      </c>
      <c r="N2465" s="44" t="s">
        <v>25472</v>
      </c>
      <c r="O2465" s="22">
        <v>50.0</v>
      </c>
      <c r="P2465" s="28">
        <v>20.0</v>
      </c>
      <c r="Q2465" s="28">
        <v>37.0</v>
      </c>
      <c r="R2465" s="85" t="s">
        <v>19037</v>
      </c>
      <c r="S2465" s="84"/>
      <c r="T2465" s="84"/>
      <c r="U2465" s="84"/>
      <c r="V2465" s="84"/>
      <c r="W2465" s="84"/>
      <c r="X2465" s="84"/>
      <c r="Y2465" s="84"/>
      <c r="Z2465" s="84"/>
      <c r="AA2465" s="84"/>
    </row>
    <row r="2466" ht="15.75" customHeight="1">
      <c r="A2466" s="14" t="s">
        <v>2137</v>
      </c>
      <c r="B2466" s="15" t="s">
        <v>25421</v>
      </c>
      <c r="C2466" s="14" t="s">
        <v>25473</v>
      </c>
      <c r="D2466" s="14" t="s">
        <v>25474</v>
      </c>
      <c r="E2466" s="26" t="s">
        <v>25475</v>
      </c>
      <c r="F2466" s="14">
        <v>2033.0</v>
      </c>
      <c r="G2466" s="14">
        <v>2042.0</v>
      </c>
      <c r="H2466" s="14" t="s">
        <v>17059</v>
      </c>
      <c r="I2466" s="19" t="s">
        <v>25477</v>
      </c>
      <c r="J2466" s="19" t="s">
        <v>25478</v>
      </c>
      <c r="K2466" s="19" t="s">
        <v>25478</v>
      </c>
      <c r="L2466" s="19" t="s">
        <v>25480</v>
      </c>
      <c r="M2466" s="20" t="s">
        <v>25481</v>
      </c>
      <c r="N2466" s="44" t="s">
        <v>25482</v>
      </c>
      <c r="O2466" s="22">
        <v>50.0</v>
      </c>
      <c r="P2466" s="28">
        <v>17.0</v>
      </c>
      <c r="Q2466" s="28">
        <v>54.0</v>
      </c>
      <c r="R2466" s="84"/>
      <c r="S2466" s="84"/>
      <c r="T2466" s="84"/>
      <c r="U2466" s="84"/>
      <c r="V2466" s="84"/>
      <c r="W2466" s="84"/>
      <c r="X2466" s="84"/>
      <c r="Y2466" s="84"/>
      <c r="Z2466" s="84"/>
      <c r="AA2466" s="84"/>
    </row>
    <row r="2467" ht="15.75" customHeight="1">
      <c r="A2467" s="14" t="s">
        <v>2137</v>
      </c>
      <c r="B2467" s="15" t="s">
        <v>25421</v>
      </c>
      <c r="C2467" s="14" t="s">
        <v>25483</v>
      </c>
      <c r="D2467" s="14" t="s">
        <v>25484</v>
      </c>
      <c r="E2467" s="26" t="s">
        <v>25485</v>
      </c>
      <c r="F2467" s="14">
        <v>2043.0</v>
      </c>
      <c r="G2467" s="14">
        <v>2052.0</v>
      </c>
      <c r="H2467" s="14" t="s">
        <v>17059</v>
      </c>
      <c r="I2467" s="19" t="s">
        <v>25486</v>
      </c>
      <c r="J2467" s="19" t="s">
        <v>25487</v>
      </c>
      <c r="K2467" s="19" t="s">
        <v>25488</v>
      </c>
      <c r="L2467" s="19" t="s">
        <v>25489</v>
      </c>
      <c r="M2467" s="20" t="s">
        <v>25490</v>
      </c>
      <c r="N2467" s="44" t="s">
        <v>25491</v>
      </c>
      <c r="O2467" s="22">
        <v>50.0</v>
      </c>
      <c r="P2467" s="28">
        <v>49.0</v>
      </c>
      <c r="Q2467" s="28">
        <v>45.0</v>
      </c>
      <c r="R2467" s="84"/>
      <c r="S2467" s="84"/>
      <c r="T2467" s="84"/>
      <c r="U2467" s="84"/>
      <c r="V2467" s="84"/>
      <c r="W2467" s="84"/>
      <c r="X2467" s="84"/>
      <c r="Y2467" s="84"/>
      <c r="Z2467" s="84"/>
      <c r="AA2467" s="84"/>
    </row>
    <row r="2468" ht="15.75" customHeight="1">
      <c r="A2468" s="14" t="s">
        <v>2137</v>
      </c>
      <c r="B2468" s="15" t="s">
        <v>25421</v>
      </c>
      <c r="C2468" s="14" t="s">
        <v>25493</v>
      </c>
      <c r="D2468" s="14" t="s">
        <v>25494</v>
      </c>
      <c r="E2468" s="26" t="s">
        <v>25495</v>
      </c>
      <c r="F2468" s="14">
        <v>2053.0</v>
      </c>
      <c r="G2468" s="14">
        <v>2062.0</v>
      </c>
      <c r="H2468" s="14" t="s">
        <v>17059</v>
      </c>
      <c r="I2468" s="19" t="s">
        <v>25496</v>
      </c>
      <c r="J2468" s="19" t="s">
        <v>25497</v>
      </c>
      <c r="K2468" s="19" t="s">
        <v>25497</v>
      </c>
      <c r="L2468" s="19" t="s">
        <v>25498</v>
      </c>
      <c r="M2468" s="20" t="s">
        <v>16117</v>
      </c>
      <c r="N2468" s="44" t="s">
        <v>25499</v>
      </c>
      <c r="O2468" s="22">
        <v>0.0</v>
      </c>
      <c r="P2468" s="28">
        <v>0.0</v>
      </c>
      <c r="Q2468" s="28">
        <v>40.0</v>
      </c>
      <c r="R2468" s="84"/>
      <c r="S2468" s="84"/>
      <c r="T2468" s="84"/>
      <c r="U2468" s="84"/>
      <c r="V2468" s="84"/>
      <c r="W2468" s="84"/>
      <c r="X2468" s="84"/>
      <c r="Y2468" s="84"/>
      <c r="Z2468" s="84"/>
      <c r="AA2468" s="84"/>
    </row>
    <row r="2469" ht="15.75" customHeight="1">
      <c r="A2469" s="14" t="s">
        <v>2137</v>
      </c>
      <c r="B2469" s="15" t="s">
        <v>25421</v>
      </c>
      <c r="C2469" s="14" t="s">
        <v>25501</v>
      </c>
      <c r="D2469" s="14" t="s">
        <v>25502</v>
      </c>
      <c r="E2469" s="26" t="s">
        <v>25503</v>
      </c>
      <c r="F2469" s="14">
        <v>2063.0</v>
      </c>
      <c r="G2469" s="14">
        <v>2071.0</v>
      </c>
      <c r="H2469" s="14" t="s">
        <v>17059</v>
      </c>
      <c r="I2469" s="19" t="s">
        <v>25505</v>
      </c>
      <c r="J2469" s="19" t="s">
        <v>25506</v>
      </c>
      <c r="K2469" s="19" t="s">
        <v>25507</v>
      </c>
      <c r="L2469" s="19" t="s">
        <v>25508</v>
      </c>
      <c r="M2469" s="20" t="s">
        <v>25509</v>
      </c>
      <c r="N2469" s="44" t="s">
        <v>25510</v>
      </c>
      <c r="O2469" s="22">
        <v>23.0</v>
      </c>
      <c r="P2469" s="28">
        <v>11.0</v>
      </c>
      <c r="Q2469" s="28">
        <v>24.0</v>
      </c>
      <c r="R2469" s="84"/>
      <c r="S2469" s="84"/>
      <c r="T2469" s="84"/>
      <c r="U2469" s="84"/>
      <c r="V2469" s="84"/>
      <c r="W2469" s="84"/>
      <c r="X2469" s="84"/>
      <c r="Y2469" s="84"/>
      <c r="Z2469" s="84"/>
      <c r="AA2469" s="84"/>
    </row>
    <row r="2470" ht="15.75" customHeight="1">
      <c r="A2470" s="14" t="s">
        <v>2137</v>
      </c>
      <c r="B2470" s="15" t="s">
        <v>25421</v>
      </c>
      <c r="C2470" s="14" t="s">
        <v>25511</v>
      </c>
      <c r="D2470" s="14" t="s">
        <v>25512</v>
      </c>
      <c r="E2470" s="26" t="s">
        <v>25513</v>
      </c>
      <c r="F2470" s="14">
        <v>2072.0</v>
      </c>
      <c r="G2470" s="14">
        <v>2081.0</v>
      </c>
      <c r="H2470" s="14" t="s">
        <v>17059</v>
      </c>
      <c r="I2470" s="19" t="s">
        <v>25516</v>
      </c>
      <c r="J2470" s="19" t="s">
        <v>25517</v>
      </c>
      <c r="K2470" s="19" t="s">
        <v>25517</v>
      </c>
      <c r="L2470" s="19" t="s">
        <v>25518</v>
      </c>
      <c r="M2470" s="20" t="s">
        <v>25519</v>
      </c>
      <c r="N2470" s="44" t="s">
        <v>25520</v>
      </c>
      <c r="O2470" s="22">
        <v>8.0</v>
      </c>
      <c r="P2470" s="28">
        <v>15.0</v>
      </c>
      <c r="Q2470" s="28">
        <v>34.0</v>
      </c>
      <c r="R2470" s="84"/>
      <c r="S2470" s="84"/>
      <c r="T2470" s="84"/>
      <c r="U2470" s="84"/>
      <c r="V2470" s="84"/>
      <c r="W2470" s="84"/>
      <c r="X2470" s="84"/>
      <c r="Y2470" s="84"/>
      <c r="Z2470" s="84"/>
      <c r="AA2470" s="84"/>
    </row>
    <row r="2471" ht="15.75" customHeight="1">
      <c r="A2471" s="14" t="s">
        <v>2137</v>
      </c>
      <c r="B2471" s="15" t="s">
        <v>25421</v>
      </c>
      <c r="C2471" s="14" t="s">
        <v>25521</v>
      </c>
      <c r="D2471" s="14" t="s">
        <v>25522</v>
      </c>
      <c r="E2471" s="26" t="s">
        <v>25523</v>
      </c>
      <c r="F2471" s="14">
        <v>2082.0</v>
      </c>
      <c r="G2471" s="14">
        <v>2091.0</v>
      </c>
      <c r="H2471" s="14" t="s">
        <v>17059</v>
      </c>
      <c r="I2471" s="19" t="s">
        <v>25525</v>
      </c>
      <c r="J2471" s="19" t="s">
        <v>25526</v>
      </c>
      <c r="K2471" s="19" t="s">
        <v>25526</v>
      </c>
      <c r="L2471" s="19" t="s">
        <v>23590</v>
      </c>
      <c r="M2471" s="20" t="s">
        <v>25527</v>
      </c>
      <c r="N2471" s="44" t="s">
        <v>25528</v>
      </c>
      <c r="O2471" s="22">
        <v>43.0</v>
      </c>
      <c r="P2471" s="28">
        <v>29.0</v>
      </c>
      <c r="Q2471" s="28">
        <v>60.0</v>
      </c>
      <c r="R2471" s="84"/>
      <c r="S2471" s="84"/>
      <c r="T2471" s="84"/>
      <c r="U2471" s="84"/>
      <c r="V2471" s="84"/>
      <c r="W2471" s="84"/>
      <c r="X2471" s="84"/>
      <c r="Y2471" s="84"/>
      <c r="Z2471" s="84"/>
      <c r="AA2471" s="84"/>
    </row>
    <row r="2472" ht="15.75" customHeight="1">
      <c r="A2472" s="14" t="s">
        <v>2137</v>
      </c>
      <c r="B2472" s="15" t="s">
        <v>25421</v>
      </c>
      <c r="C2472" s="14" t="s">
        <v>25529</v>
      </c>
      <c r="D2472" s="14" t="s">
        <v>25530</v>
      </c>
      <c r="E2472" s="26" t="s">
        <v>25531</v>
      </c>
      <c r="F2472" s="14">
        <v>2092.0</v>
      </c>
      <c r="G2472" s="14">
        <v>2101.0</v>
      </c>
      <c r="H2472" s="14" t="s">
        <v>17059</v>
      </c>
      <c r="I2472" s="19" t="s">
        <v>25534</v>
      </c>
      <c r="J2472" s="19" t="s">
        <v>25535</v>
      </c>
      <c r="K2472" s="19" t="s">
        <v>25535</v>
      </c>
      <c r="L2472" s="19" t="s">
        <v>25536</v>
      </c>
      <c r="M2472" s="20" t="s">
        <v>25537</v>
      </c>
      <c r="N2472" s="44" t="s">
        <v>25539</v>
      </c>
      <c r="O2472" s="22">
        <v>34.0</v>
      </c>
      <c r="P2472" s="28">
        <v>24.0</v>
      </c>
      <c r="Q2472" s="28">
        <v>40.0</v>
      </c>
      <c r="R2472" s="84"/>
      <c r="S2472" s="84"/>
      <c r="T2472" s="84"/>
      <c r="U2472" s="84"/>
      <c r="V2472" s="84"/>
      <c r="W2472" s="84"/>
      <c r="X2472" s="84"/>
      <c r="Y2472" s="84"/>
      <c r="Z2472" s="84"/>
      <c r="AA2472" s="84"/>
    </row>
    <row r="2473" ht="15.75" customHeight="1">
      <c r="A2473" s="14" t="s">
        <v>2137</v>
      </c>
      <c r="B2473" s="15" t="s">
        <v>25421</v>
      </c>
      <c r="C2473" s="14" t="s">
        <v>25540</v>
      </c>
      <c r="D2473" s="14" t="s">
        <v>25541</v>
      </c>
      <c r="E2473" s="26" t="s">
        <v>25542</v>
      </c>
      <c r="F2473" s="14">
        <v>2102.0</v>
      </c>
      <c r="G2473" s="14">
        <v>2111.0</v>
      </c>
      <c r="H2473" s="14" t="s">
        <v>17059</v>
      </c>
      <c r="I2473" s="19" t="s">
        <v>25543</v>
      </c>
      <c r="J2473" s="19" t="s">
        <v>25544</v>
      </c>
      <c r="K2473" s="19" t="s">
        <v>25544</v>
      </c>
      <c r="L2473" s="19" t="s">
        <v>25545</v>
      </c>
      <c r="M2473" s="20" t="s">
        <v>25546</v>
      </c>
      <c r="N2473" s="44" t="s">
        <v>25547</v>
      </c>
      <c r="O2473" s="22">
        <v>38.0</v>
      </c>
      <c r="P2473" s="28">
        <v>19.0</v>
      </c>
      <c r="Q2473" s="28">
        <v>57.0</v>
      </c>
      <c r="R2473" s="84"/>
      <c r="S2473" s="84"/>
      <c r="T2473" s="84"/>
      <c r="U2473" s="84"/>
      <c r="V2473" s="84"/>
      <c r="W2473" s="84"/>
      <c r="X2473" s="84"/>
      <c r="Y2473" s="84"/>
      <c r="Z2473" s="84"/>
      <c r="AA2473" s="84"/>
    </row>
    <row r="2474" ht="15.75" customHeight="1">
      <c r="A2474" s="14" t="s">
        <v>2137</v>
      </c>
      <c r="B2474" s="15" t="s">
        <v>25421</v>
      </c>
      <c r="C2474" s="14" t="s">
        <v>25549</v>
      </c>
      <c r="D2474" s="14" t="s">
        <v>25550</v>
      </c>
      <c r="E2474" s="26" t="s">
        <v>25551</v>
      </c>
      <c r="F2474" s="14">
        <v>2112.0</v>
      </c>
      <c r="G2474" s="14">
        <v>2121.0</v>
      </c>
      <c r="H2474" s="14" t="s">
        <v>17059</v>
      </c>
      <c r="I2474" s="19" t="s">
        <v>25552</v>
      </c>
      <c r="J2474" s="19" t="s">
        <v>25553</v>
      </c>
      <c r="K2474" s="19" t="s">
        <v>25554</v>
      </c>
      <c r="L2474" s="19" t="s">
        <v>25555</v>
      </c>
      <c r="M2474" s="20" t="s">
        <v>25556</v>
      </c>
      <c r="N2474" s="44" t="s">
        <v>25557</v>
      </c>
      <c r="O2474" s="22">
        <v>50.0</v>
      </c>
      <c r="P2474" s="28">
        <v>5.0</v>
      </c>
      <c r="Q2474" s="28">
        <v>38.0</v>
      </c>
      <c r="R2474" s="84"/>
      <c r="S2474" s="84"/>
      <c r="T2474" s="84"/>
      <c r="U2474" s="84"/>
      <c r="V2474" s="84"/>
      <c r="W2474" s="84"/>
      <c r="X2474" s="84"/>
      <c r="Y2474" s="84"/>
      <c r="Z2474" s="84"/>
      <c r="AA2474" s="84"/>
    </row>
    <row r="2475" ht="15.75" customHeight="1">
      <c r="A2475" s="14" t="s">
        <v>2137</v>
      </c>
      <c r="B2475" s="15" t="s">
        <v>25421</v>
      </c>
      <c r="C2475" s="14" t="s">
        <v>25559</v>
      </c>
      <c r="D2475" s="14" t="s">
        <v>25560</v>
      </c>
      <c r="E2475" s="26" t="s">
        <v>25561</v>
      </c>
      <c r="F2475" s="14">
        <v>2132.0</v>
      </c>
      <c r="G2475" s="14">
        <v>2141.0</v>
      </c>
      <c r="H2475" s="14" t="s">
        <v>17059</v>
      </c>
      <c r="I2475" s="19" t="s">
        <v>25563</v>
      </c>
      <c r="J2475" s="19" t="s">
        <v>25564</v>
      </c>
      <c r="K2475" s="19" t="s">
        <v>25564</v>
      </c>
      <c r="L2475" s="19" t="s">
        <v>25565</v>
      </c>
      <c r="M2475" s="20" t="s">
        <v>25566</v>
      </c>
      <c r="N2475" s="44" t="s">
        <v>25567</v>
      </c>
      <c r="O2475" s="22">
        <v>5.0</v>
      </c>
      <c r="P2475" s="28">
        <v>3.0</v>
      </c>
      <c r="Q2475" s="28">
        <v>34.0</v>
      </c>
      <c r="R2475" s="84"/>
      <c r="S2475" s="84"/>
      <c r="T2475" s="84"/>
      <c r="U2475" s="84"/>
      <c r="V2475" s="84"/>
      <c r="W2475" s="84"/>
      <c r="X2475" s="84"/>
      <c r="Y2475" s="84"/>
      <c r="Z2475" s="84"/>
      <c r="AA2475" s="84"/>
    </row>
    <row r="2476" ht="15.75" customHeight="1">
      <c r="A2476" s="14" t="s">
        <v>2137</v>
      </c>
      <c r="B2476" s="15" t="s">
        <v>25421</v>
      </c>
      <c r="C2476" s="14" t="s">
        <v>25568</v>
      </c>
      <c r="D2476" s="14" t="s">
        <v>25569</v>
      </c>
      <c r="E2476" s="26" t="s">
        <v>25570</v>
      </c>
      <c r="F2476" s="14">
        <v>2142.0</v>
      </c>
      <c r="G2476" s="14">
        <v>2151.0</v>
      </c>
      <c r="H2476" s="14" t="s">
        <v>17059</v>
      </c>
      <c r="I2476" s="19" t="s">
        <v>25574</v>
      </c>
      <c r="J2476" s="19" t="s">
        <v>25575</v>
      </c>
      <c r="K2476" s="19" t="s">
        <v>25575</v>
      </c>
      <c r="L2476" s="19" t="s">
        <v>25576</v>
      </c>
      <c r="M2476" s="20" t="s">
        <v>25577</v>
      </c>
      <c r="N2476" s="44" t="s">
        <v>25578</v>
      </c>
      <c r="O2476" s="22">
        <v>50.0</v>
      </c>
      <c r="P2476" s="28">
        <v>40.0</v>
      </c>
      <c r="Q2476" s="28">
        <v>35.0</v>
      </c>
      <c r="R2476" s="84"/>
      <c r="S2476" s="84"/>
      <c r="T2476" s="84"/>
      <c r="U2476" s="84"/>
      <c r="V2476" s="84"/>
      <c r="W2476" s="84"/>
      <c r="X2476" s="84"/>
      <c r="Y2476" s="84"/>
      <c r="Z2476" s="84"/>
      <c r="AA2476" s="84"/>
    </row>
    <row r="2477" ht="15.75" customHeight="1">
      <c r="A2477" s="14" t="s">
        <v>2137</v>
      </c>
      <c r="B2477" s="15" t="s">
        <v>25421</v>
      </c>
      <c r="C2477" s="14" t="s">
        <v>25579</v>
      </c>
      <c r="D2477" s="14" t="s">
        <v>25580</v>
      </c>
      <c r="E2477" s="26" t="s">
        <v>25581</v>
      </c>
      <c r="F2477" s="14">
        <v>2359.0</v>
      </c>
      <c r="G2477" s="14">
        <v>2368.0</v>
      </c>
      <c r="H2477" s="14" t="s">
        <v>17059</v>
      </c>
      <c r="I2477" s="19" t="s">
        <v>25583</v>
      </c>
      <c r="J2477" s="19" t="s">
        <v>25584</v>
      </c>
      <c r="K2477" s="19" t="s">
        <v>25585</v>
      </c>
      <c r="L2477" s="19" t="s">
        <v>25586</v>
      </c>
      <c r="M2477" s="20" t="s">
        <v>25587</v>
      </c>
      <c r="N2477" s="44" t="s">
        <v>25588</v>
      </c>
      <c r="O2477" s="22">
        <v>14.0</v>
      </c>
      <c r="P2477" s="28">
        <v>10.0</v>
      </c>
      <c r="Q2477" s="28">
        <v>64.0</v>
      </c>
      <c r="R2477" s="84"/>
      <c r="S2477" s="84"/>
      <c r="T2477" s="84"/>
      <c r="U2477" s="84"/>
      <c r="V2477" s="84"/>
      <c r="W2477" s="84"/>
      <c r="X2477" s="84"/>
      <c r="Y2477" s="84"/>
      <c r="Z2477" s="84"/>
      <c r="AA2477" s="84"/>
    </row>
    <row r="2478" ht="15.75" customHeight="1">
      <c r="A2478" s="14" t="s">
        <v>2137</v>
      </c>
      <c r="B2478" s="15" t="s">
        <v>25421</v>
      </c>
      <c r="C2478" s="14" t="s">
        <v>25590</v>
      </c>
      <c r="D2478" s="14" t="s">
        <v>25591</v>
      </c>
      <c r="E2478" s="26" t="s">
        <v>25592</v>
      </c>
      <c r="F2478" s="14">
        <v>2369.0</v>
      </c>
      <c r="G2478" s="14">
        <v>2378.0</v>
      </c>
      <c r="H2478" s="14" t="s">
        <v>17059</v>
      </c>
      <c r="I2478" s="19" t="s">
        <v>25593</v>
      </c>
      <c r="J2478" s="19" t="s">
        <v>25595</v>
      </c>
      <c r="K2478" s="19" t="s">
        <v>25597</v>
      </c>
      <c r="L2478" s="19" t="s">
        <v>25598</v>
      </c>
      <c r="M2478" s="20" t="s">
        <v>25599</v>
      </c>
      <c r="N2478" s="44" t="s">
        <v>25600</v>
      </c>
      <c r="O2478" s="22">
        <v>50.0</v>
      </c>
      <c r="P2478" s="28">
        <v>13.0</v>
      </c>
      <c r="Q2478" s="28">
        <v>47.0</v>
      </c>
      <c r="R2478" s="85" t="s">
        <v>19037</v>
      </c>
      <c r="S2478" s="84"/>
      <c r="T2478" s="84"/>
      <c r="U2478" s="84"/>
      <c r="V2478" s="84"/>
      <c r="W2478" s="84"/>
      <c r="X2478" s="84"/>
      <c r="Y2478" s="84"/>
      <c r="Z2478" s="84"/>
      <c r="AA2478" s="84"/>
    </row>
    <row r="2479" ht="15.75" customHeight="1">
      <c r="A2479" s="14" t="s">
        <v>2137</v>
      </c>
      <c r="B2479" s="15" t="s">
        <v>25421</v>
      </c>
      <c r="C2479" s="14" t="s">
        <v>25601</v>
      </c>
      <c r="D2479" s="14" t="s">
        <v>25602</v>
      </c>
      <c r="E2479" s="26" t="s">
        <v>25603</v>
      </c>
      <c r="F2479" s="14">
        <v>2152.0</v>
      </c>
      <c r="G2479" s="14">
        <v>2160.0</v>
      </c>
      <c r="H2479" s="14" t="s">
        <v>17059</v>
      </c>
      <c r="I2479" s="19" t="s">
        <v>25604</v>
      </c>
      <c r="J2479" s="19" t="s">
        <v>25605</v>
      </c>
      <c r="K2479" s="19" t="s">
        <v>25605</v>
      </c>
      <c r="L2479" s="19" t="s">
        <v>25606</v>
      </c>
      <c r="M2479" s="20" t="s">
        <v>23724</v>
      </c>
      <c r="N2479" s="44" t="s">
        <v>25607</v>
      </c>
      <c r="O2479" s="22">
        <v>24.0</v>
      </c>
      <c r="P2479" s="28">
        <v>15.0</v>
      </c>
      <c r="Q2479" s="28">
        <v>12.0</v>
      </c>
      <c r="R2479" s="84"/>
      <c r="S2479" s="84"/>
      <c r="T2479" s="84"/>
      <c r="U2479" s="84"/>
      <c r="V2479" s="84"/>
      <c r="W2479" s="84"/>
      <c r="X2479" s="84"/>
      <c r="Y2479" s="84"/>
      <c r="Z2479" s="84"/>
      <c r="AA2479" s="84"/>
    </row>
    <row r="2480" ht="15.75" customHeight="1">
      <c r="A2480" s="14" t="s">
        <v>2137</v>
      </c>
      <c r="B2480" s="15" t="s">
        <v>25421</v>
      </c>
      <c r="C2480" s="14" t="s">
        <v>25608</v>
      </c>
      <c r="D2480" s="14" t="s">
        <v>25609</v>
      </c>
      <c r="E2480" s="26" t="s">
        <v>25610</v>
      </c>
      <c r="F2480" s="14">
        <v>2161.0</v>
      </c>
      <c r="G2480" s="14">
        <v>2170.0</v>
      </c>
      <c r="H2480" s="14" t="s">
        <v>17059</v>
      </c>
      <c r="I2480" s="19" t="s">
        <v>25611</v>
      </c>
      <c r="J2480" s="19" t="s">
        <v>25612</v>
      </c>
      <c r="K2480" s="19" t="s">
        <v>25612</v>
      </c>
      <c r="L2480" s="19" t="s">
        <v>25613</v>
      </c>
      <c r="M2480" s="20" t="s">
        <v>25614</v>
      </c>
      <c r="N2480" s="44" t="s">
        <v>25615</v>
      </c>
      <c r="O2480" s="22">
        <v>77.0</v>
      </c>
      <c r="P2480" s="28">
        <v>55.0</v>
      </c>
      <c r="Q2480" s="28">
        <v>77.0</v>
      </c>
      <c r="R2480" s="84"/>
      <c r="S2480" s="84"/>
      <c r="T2480" s="84"/>
      <c r="U2480" s="84"/>
      <c r="V2480" s="84"/>
      <c r="W2480" s="84"/>
      <c r="X2480" s="84"/>
      <c r="Y2480" s="84"/>
      <c r="Z2480" s="84"/>
      <c r="AA2480" s="84"/>
    </row>
    <row r="2481" ht="15.75" customHeight="1">
      <c r="A2481" s="14" t="s">
        <v>2137</v>
      </c>
      <c r="B2481" s="15" t="s">
        <v>25421</v>
      </c>
      <c r="C2481" s="14" t="s">
        <v>25616</v>
      </c>
      <c r="D2481" s="14" t="s">
        <v>25617</v>
      </c>
      <c r="E2481" s="26" t="s">
        <v>25618</v>
      </c>
      <c r="F2481" s="14">
        <v>2171.0</v>
      </c>
      <c r="G2481" s="14">
        <v>2180.0</v>
      </c>
      <c r="H2481" s="14" t="s">
        <v>17059</v>
      </c>
      <c r="I2481" s="19" t="s">
        <v>25619</v>
      </c>
      <c r="J2481" s="19" t="s">
        <v>25620</v>
      </c>
      <c r="K2481" s="19" t="s">
        <v>25620</v>
      </c>
      <c r="L2481" s="19" t="s">
        <v>22521</v>
      </c>
      <c r="M2481" s="20" t="s">
        <v>25621</v>
      </c>
      <c r="N2481" s="44" t="s">
        <v>25622</v>
      </c>
      <c r="O2481" s="22">
        <v>20.0</v>
      </c>
      <c r="P2481" s="28">
        <v>10.0</v>
      </c>
      <c r="Q2481" s="28">
        <v>59.0</v>
      </c>
      <c r="R2481" s="84"/>
      <c r="S2481" s="84"/>
      <c r="T2481" s="84"/>
      <c r="U2481" s="84"/>
      <c r="V2481" s="84"/>
      <c r="W2481" s="84"/>
      <c r="X2481" s="84"/>
      <c r="Y2481" s="84"/>
      <c r="Z2481" s="84"/>
      <c r="AA2481" s="84"/>
    </row>
    <row r="2482" ht="15.75" customHeight="1">
      <c r="A2482" s="14" t="s">
        <v>2137</v>
      </c>
      <c r="B2482" s="15" t="s">
        <v>25421</v>
      </c>
      <c r="C2482" s="14" t="s">
        <v>25623</v>
      </c>
      <c r="D2482" s="14" t="s">
        <v>25624</v>
      </c>
      <c r="E2482" s="26" t="s">
        <v>25625</v>
      </c>
      <c r="F2482" s="14">
        <v>2181.0</v>
      </c>
      <c r="G2482" s="14">
        <v>2190.0</v>
      </c>
      <c r="H2482" s="14" t="s">
        <v>17059</v>
      </c>
      <c r="I2482" s="19" t="s">
        <v>25626</v>
      </c>
      <c r="J2482" s="19" t="s">
        <v>25627</v>
      </c>
      <c r="K2482" s="19" t="s">
        <v>25628</v>
      </c>
      <c r="L2482" s="19" t="s">
        <v>25629</v>
      </c>
      <c r="M2482" s="20" t="s">
        <v>25630</v>
      </c>
      <c r="N2482" s="44" t="s">
        <v>25631</v>
      </c>
      <c r="O2482" s="22">
        <v>35.0</v>
      </c>
      <c r="P2482" s="28">
        <v>23.0</v>
      </c>
      <c r="Q2482" s="28">
        <v>63.0</v>
      </c>
      <c r="R2482" s="85" t="s">
        <v>19037</v>
      </c>
      <c r="S2482" s="84"/>
      <c r="T2482" s="84"/>
      <c r="U2482" s="84"/>
      <c r="V2482" s="84"/>
      <c r="W2482" s="84"/>
      <c r="X2482" s="84"/>
      <c r="Y2482" s="84"/>
      <c r="Z2482" s="84"/>
      <c r="AA2482" s="84"/>
    </row>
    <row r="2483" ht="15.75" customHeight="1">
      <c r="A2483" s="14" t="s">
        <v>2137</v>
      </c>
      <c r="B2483" s="15" t="s">
        <v>25421</v>
      </c>
      <c r="C2483" s="14" t="s">
        <v>25632</v>
      </c>
      <c r="D2483" s="14" t="s">
        <v>25633</v>
      </c>
      <c r="E2483" s="26" t="s">
        <v>25634</v>
      </c>
      <c r="F2483" s="14">
        <v>2191.0</v>
      </c>
      <c r="G2483" s="14">
        <v>2200.0</v>
      </c>
      <c r="H2483" s="14" t="s">
        <v>17059</v>
      </c>
      <c r="I2483" s="19" t="s">
        <v>25635</v>
      </c>
      <c r="J2483" s="19" t="s">
        <v>25636</v>
      </c>
      <c r="K2483" s="19" t="s">
        <v>25637</v>
      </c>
      <c r="L2483" s="19" t="s">
        <v>25638</v>
      </c>
      <c r="M2483" s="20" t="s">
        <v>25639</v>
      </c>
      <c r="N2483" s="44" t="s">
        <v>25640</v>
      </c>
      <c r="O2483" s="22">
        <v>31.0</v>
      </c>
      <c r="P2483" s="28">
        <v>17.0</v>
      </c>
      <c r="Q2483" s="28">
        <v>69.0</v>
      </c>
      <c r="R2483" s="84"/>
      <c r="S2483" s="84"/>
      <c r="T2483" s="84"/>
      <c r="U2483" s="84"/>
      <c r="V2483" s="84"/>
      <c r="W2483" s="84"/>
      <c r="X2483" s="84"/>
      <c r="Y2483" s="84"/>
      <c r="Z2483" s="84"/>
      <c r="AA2483" s="84"/>
    </row>
    <row r="2484" ht="15.75" customHeight="1">
      <c r="A2484" s="14" t="s">
        <v>2137</v>
      </c>
      <c r="B2484" s="15" t="s">
        <v>25421</v>
      </c>
      <c r="C2484" s="14" t="s">
        <v>25641</v>
      </c>
      <c r="D2484" s="14" t="s">
        <v>25642</v>
      </c>
      <c r="E2484" s="26" t="s">
        <v>25643</v>
      </c>
      <c r="F2484" s="14">
        <v>2211.0</v>
      </c>
      <c r="G2484" s="14">
        <v>2220.0</v>
      </c>
      <c r="H2484" s="14" t="s">
        <v>17059</v>
      </c>
      <c r="I2484" s="19" t="s">
        <v>25644</v>
      </c>
      <c r="J2484" s="19" t="s">
        <v>25645</v>
      </c>
      <c r="K2484" s="19" t="s">
        <v>25645</v>
      </c>
      <c r="L2484" s="19" t="s">
        <v>25646</v>
      </c>
      <c r="M2484" s="20" t="s">
        <v>25647</v>
      </c>
      <c r="N2484" s="44" t="s">
        <v>25648</v>
      </c>
      <c r="O2484" s="22">
        <v>50.0</v>
      </c>
      <c r="P2484" s="28">
        <v>21.0</v>
      </c>
      <c r="Q2484" s="28">
        <v>39.0</v>
      </c>
      <c r="R2484" s="84"/>
      <c r="S2484" s="84"/>
      <c r="T2484" s="84"/>
      <c r="U2484" s="84"/>
      <c r="V2484" s="84"/>
      <c r="W2484" s="84"/>
      <c r="X2484" s="84"/>
      <c r="Y2484" s="84"/>
      <c r="Z2484" s="84"/>
      <c r="AA2484" s="84"/>
    </row>
    <row r="2485" ht="15.75" customHeight="1">
      <c r="A2485" s="14" t="s">
        <v>2137</v>
      </c>
      <c r="B2485" s="15" t="s">
        <v>25421</v>
      </c>
      <c r="C2485" s="14" t="s">
        <v>25776</v>
      </c>
      <c r="D2485" s="14" t="s">
        <v>25777</v>
      </c>
      <c r="E2485" s="26" t="s">
        <v>25778</v>
      </c>
      <c r="F2485" s="14">
        <v>2221.0</v>
      </c>
      <c r="G2485" s="14">
        <v>2230.0</v>
      </c>
      <c r="H2485" s="14" t="s">
        <v>17059</v>
      </c>
      <c r="I2485" s="19" t="s">
        <v>25781</v>
      </c>
      <c r="J2485" s="19" t="s">
        <v>25782</v>
      </c>
      <c r="K2485" s="19" t="s">
        <v>25783</v>
      </c>
      <c r="L2485" s="19" t="s">
        <v>22257</v>
      </c>
      <c r="M2485" s="20" t="s">
        <v>25784</v>
      </c>
      <c r="N2485" s="44" t="s">
        <v>25785</v>
      </c>
      <c r="O2485" s="22">
        <v>18.0</v>
      </c>
      <c r="P2485" s="28">
        <v>15.0</v>
      </c>
      <c r="Q2485" s="28">
        <v>33.0</v>
      </c>
      <c r="R2485" s="84"/>
      <c r="S2485" s="84"/>
      <c r="T2485" s="84"/>
      <c r="U2485" s="84"/>
      <c r="V2485" s="84"/>
      <c r="W2485" s="84"/>
      <c r="X2485" s="84"/>
      <c r="Y2485" s="84"/>
      <c r="Z2485" s="84"/>
      <c r="AA2485" s="84"/>
    </row>
    <row r="2486" ht="15.75" customHeight="1">
      <c r="A2486" s="14" t="s">
        <v>2137</v>
      </c>
      <c r="B2486" s="15" t="s">
        <v>25421</v>
      </c>
      <c r="C2486" s="14" t="s">
        <v>25786</v>
      </c>
      <c r="D2486" s="14" t="s">
        <v>25787</v>
      </c>
      <c r="E2486" s="26" t="s">
        <v>25789</v>
      </c>
      <c r="F2486" s="14">
        <v>2231.0</v>
      </c>
      <c r="G2486" s="14">
        <v>2240.0</v>
      </c>
      <c r="H2486" s="14" t="s">
        <v>17059</v>
      </c>
      <c r="I2486" s="19" t="s">
        <v>25790</v>
      </c>
      <c r="J2486" s="19" t="s">
        <v>25791</v>
      </c>
      <c r="K2486" s="19" t="s">
        <v>25792</v>
      </c>
      <c r="L2486" s="19" t="s">
        <v>25793</v>
      </c>
      <c r="M2486" s="20" t="s">
        <v>25794</v>
      </c>
      <c r="N2486" s="44" t="s">
        <v>25795</v>
      </c>
      <c r="O2486" s="22">
        <v>50.0</v>
      </c>
      <c r="P2486" s="28">
        <v>15.0</v>
      </c>
      <c r="Q2486" s="28">
        <v>48.0</v>
      </c>
      <c r="R2486" s="84"/>
      <c r="S2486" s="84"/>
      <c r="T2486" s="84"/>
      <c r="U2486" s="84"/>
      <c r="V2486" s="84"/>
      <c r="W2486" s="84"/>
      <c r="X2486" s="84"/>
      <c r="Y2486" s="84"/>
      <c r="Z2486" s="84"/>
      <c r="AA2486" s="84"/>
    </row>
    <row r="2487" ht="15.75" customHeight="1">
      <c r="A2487" s="14" t="s">
        <v>2137</v>
      </c>
      <c r="B2487" s="15" t="s">
        <v>25421</v>
      </c>
      <c r="C2487" s="14" t="s">
        <v>25797</v>
      </c>
      <c r="D2487" s="14" t="s">
        <v>25798</v>
      </c>
      <c r="E2487" s="26" t="s">
        <v>25799</v>
      </c>
      <c r="F2487" s="14">
        <v>2241.0</v>
      </c>
      <c r="G2487" s="14">
        <v>2250.0</v>
      </c>
      <c r="H2487" s="14" t="s">
        <v>17059</v>
      </c>
      <c r="I2487" s="19" t="s">
        <v>25802</v>
      </c>
      <c r="J2487" s="19" t="s">
        <v>25803</v>
      </c>
      <c r="K2487" s="19" t="s">
        <v>25803</v>
      </c>
      <c r="L2487" s="19" t="s">
        <v>25804</v>
      </c>
      <c r="M2487" s="20" t="s">
        <v>25805</v>
      </c>
      <c r="N2487" s="44" t="s">
        <v>25806</v>
      </c>
      <c r="O2487" s="22">
        <v>26.0</v>
      </c>
      <c r="P2487" s="28">
        <v>18.0</v>
      </c>
      <c r="Q2487" s="28">
        <v>41.0</v>
      </c>
      <c r="R2487" s="84"/>
      <c r="S2487" s="84"/>
      <c r="T2487" s="84"/>
      <c r="U2487" s="84"/>
      <c r="V2487" s="84"/>
      <c r="W2487" s="84"/>
      <c r="X2487" s="84"/>
      <c r="Y2487" s="84"/>
      <c r="Z2487" s="84"/>
      <c r="AA2487" s="84"/>
    </row>
    <row r="2488" ht="15.75" customHeight="1">
      <c r="A2488" s="14" t="s">
        <v>2137</v>
      </c>
      <c r="B2488" s="15" t="s">
        <v>25421</v>
      </c>
      <c r="C2488" s="14" t="s">
        <v>25808</v>
      </c>
      <c r="D2488" s="14" t="s">
        <v>25809</v>
      </c>
      <c r="E2488" s="26" t="s">
        <v>25810</v>
      </c>
      <c r="F2488" s="14">
        <v>2251.0</v>
      </c>
      <c r="G2488" s="14">
        <v>2260.0</v>
      </c>
      <c r="H2488" s="14" t="s">
        <v>17059</v>
      </c>
      <c r="I2488" s="19" t="s">
        <v>25812</v>
      </c>
      <c r="J2488" s="19" t="s">
        <v>25813</v>
      </c>
      <c r="K2488" s="19" t="s">
        <v>25814</v>
      </c>
      <c r="L2488" s="19" t="s">
        <v>25815</v>
      </c>
      <c r="M2488" s="20" t="s">
        <v>25816</v>
      </c>
      <c r="N2488" s="44" t="s">
        <v>25817</v>
      </c>
      <c r="O2488" s="22">
        <v>26.0</v>
      </c>
      <c r="P2488" s="28">
        <v>17.0</v>
      </c>
      <c r="Q2488" s="28">
        <v>35.0</v>
      </c>
      <c r="R2488" s="84"/>
      <c r="S2488" s="84"/>
      <c r="T2488" s="84"/>
      <c r="U2488" s="84"/>
      <c r="V2488" s="84"/>
      <c r="W2488" s="84"/>
      <c r="X2488" s="84"/>
      <c r="Y2488" s="84"/>
      <c r="Z2488" s="84"/>
      <c r="AA2488" s="84"/>
    </row>
    <row r="2489" ht="15.75" customHeight="1">
      <c r="A2489" s="14" t="s">
        <v>2137</v>
      </c>
      <c r="B2489" s="15" t="s">
        <v>25421</v>
      </c>
      <c r="C2489" s="14" t="s">
        <v>25818</v>
      </c>
      <c r="D2489" s="14" t="s">
        <v>25819</v>
      </c>
      <c r="E2489" s="26" t="s">
        <v>25820</v>
      </c>
      <c r="F2489" s="14">
        <v>2261.0</v>
      </c>
      <c r="G2489" s="14">
        <v>2270.0</v>
      </c>
      <c r="H2489" s="14" t="s">
        <v>17059</v>
      </c>
      <c r="I2489" s="19" t="s">
        <v>25822</v>
      </c>
      <c r="J2489" s="19" t="s">
        <v>25823</v>
      </c>
      <c r="K2489" s="19" t="s">
        <v>25823</v>
      </c>
      <c r="L2489" s="19" t="s">
        <v>25824</v>
      </c>
      <c r="M2489" s="20" t="s">
        <v>25825</v>
      </c>
      <c r="N2489" s="44" t="s">
        <v>25826</v>
      </c>
      <c r="O2489" s="22">
        <v>11.0</v>
      </c>
      <c r="P2489" s="28">
        <v>7.0</v>
      </c>
      <c r="Q2489" s="28">
        <v>26.0</v>
      </c>
      <c r="R2489" s="84"/>
      <c r="S2489" s="84"/>
      <c r="T2489" s="84"/>
      <c r="U2489" s="84"/>
      <c r="V2489" s="84"/>
      <c r="W2489" s="84"/>
      <c r="X2489" s="84"/>
      <c r="Y2489" s="84"/>
      <c r="Z2489" s="84"/>
      <c r="AA2489" s="84"/>
    </row>
    <row r="2490" ht="15.75" customHeight="1">
      <c r="A2490" s="14" t="s">
        <v>2137</v>
      </c>
      <c r="B2490" s="15" t="s">
        <v>25421</v>
      </c>
      <c r="C2490" s="14" t="s">
        <v>25827</v>
      </c>
      <c r="D2490" s="14" t="s">
        <v>25828</v>
      </c>
      <c r="E2490" s="26" t="s">
        <v>25829</v>
      </c>
      <c r="F2490" s="14">
        <v>2271.0</v>
      </c>
      <c r="G2490" s="14">
        <v>2280.0</v>
      </c>
      <c r="H2490" s="14" t="s">
        <v>17059</v>
      </c>
      <c r="I2490" s="19" t="s">
        <v>25831</v>
      </c>
      <c r="J2490" s="19" t="s">
        <v>25832</v>
      </c>
      <c r="K2490" s="19" t="s">
        <v>25832</v>
      </c>
      <c r="L2490" s="19" t="s">
        <v>25833</v>
      </c>
      <c r="M2490" s="20" t="s">
        <v>25834</v>
      </c>
      <c r="N2490" s="44" t="s">
        <v>25835</v>
      </c>
      <c r="O2490" s="22">
        <v>44.0</v>
      </c>
      <c r="P2490" s="28">
        <v>13.0</v>
      </c>
      <c r="Q2490" s="28">
        <v>53.0</v>
      </c>
      <c r="R2490" s="84"/>
      <c r="S2490" s="84"/>
      <c r="T2490" s="84"/>
      <c r="U2490" s="84"/>
      <c r="V2490" s="84"/>
      <c r="W2490" s="84"/>
      <c r="X2490" s="84"/>
      <c r="Y2490" s="84"/>
      <c r="Z2490" s="84"/>
      <c r="AA2490" s="84"/>
    </row>
    <row r="2491" ht="15.75" customHeight="1">
      <c r="A2491" s="14" t="s">
        <v>2137</v>
      </c>
      <c r="B2491" s="15" t="s">
        <v>25421</v>
      </c>
      <c r="C2491" s="14" t="s">
        <v>25836</v>
      </c>
      <c r="D2491" s="14" t="s">
        <v>25837</v>
      </c>
      <c r="E2491" s="26" t="s">
        <v>25838</v>
      </c>
      <c r="F2491" s="14">
        <v>2281.0</v>
      </c>
      <c r="G2491" s="14">
        <v>2290.0</v>
      </c>
      <c r="H2491" s="14" t="s">
        <v>17059</v>
      </c>
      <c r="I2491" s="19" t="s">
        <v>25841</v>
      </c>
      <c r="J2491" s="19" t="s">
        <v>25842</v>
      </c>
      <c r="K2491" s="19" t="s">
        <v>25843</v>
      </c>
      <c r="L2491" s="19" t="s">
        <v>25844</v>
      </c>
      <c r="M2491" s="20" t="s">
        <v>25845</v>
      </c>
      <c r="N2491" s="44" t="s">
        <v>25846</v>
      </c>
      <c r="O2491" s="22">
        <v>59.0</v>
      </c>
      <c r="P2491" s="28">
        <v>38.0</v>
      </c>
      <c r="Q2491" s="28">
        <v>43.0</v>
      </c>
      <c r="R2491" s="84"/>
      <c r="S2491" s="84"/>
      <c r="T2491" s="84"/>
      <c r="U2491" s="84"/>
      <c r="V2491" s="84"/>
      <c r="W2491" s="84"/>
      <c r="X2491" s="84"/>
      <c r="Y2491" s="84"/>
      <c r="Z2491" s="84"/>
      <c r="AA2491" s="84"/>
    </row>
    <row r="2492" ht="15.75" customHeight="1">
      <c r="A2492" s="14" t="s">
        <v>2137</v>
      </c>
      <c r="B2492" s="15" t="s">
        <v>25421</v>
      </c>
      <c r="C2492" s="14" t="s">
        <v>25847</v>
      </c>
      <c r="D2492" s="14" t="s">
        <v>25848</v>
      </c>
      <c r="E2492" s="26" t="s">
        <v>25849</v>
      </c>
      <c r="F2492" s="14">
        <v>2291.0</v>
      </c>
      <c r="G2492" s="14">
        <v>2300.0</v>
      </c>
      <c r="H2492" s="14" t="s">
        <v>17059</v>
      </c>
      <c r="I2492" s="19" t="s">
        <v>25852</v>
      </c>
      <c r="J2492" s="19" t="s">
        <v>25853</v>
      </c>
      <c r="K2492" s="19" t="s">
        <v>25853</v>
      </c>
      <c r="L2492" s="19" t="s">
        <v>25854</v>
      </c>
      <c r="M2492" s="20" t="s">
        <v>25855</v>
      </c>
      <c r="N2492" s="44" t="s">
        <v>25856</v>
      </c>
      <c r="O2492" s="22">
        <v>23.0</v>
      </c>
      <c r="P2492" s="28">
        <v>17.0</v>
      </c>
      <c r="Q2492" s="28">
        <v>34.0</v>
      </c>
      <c r="R2492" s="84"/>
      <c r="S2492" s="84"/>
      <c r="T2492" s="84"/>
      <c r="U2492" s="84"/>
      <c r="V2492" s="84"/>
      <c r="W2492" s="84"/>
      <c r="X2492" s="84"/>
      <c r="Y2492" s="84"/>
      <c r="Z2492" s="84"/>
      <c r="AA2492" s="84"/>
    </row>
    <row r="2493" ht="15.75" customHeight="1">
      <c r="A2493" s="14" t="s">
        <v>2137</v>
      </c>
      <c r="B2493" s="15" t="s">
        <v>25421</v>
      </c>
      <c r="C2493" s="14" t="s">
        <v>25857</v>
      </c>
      <c r="D2493" s="14" t="s">
        <v>25858</v>
      </c>
      <c r="E2493" s="26" t="s">
        <v>25859</v>
      </c>
      <c r="F2493" s="14">
        <v>2301.0</v>
      </c>
      <c r="G2493" s="14">
        <v>2309.0</v>
      </c>
      <c r="H2493" s="14" t="s">
        <v>17059</v>
      </c>
      <c r="I2493" s="19" t="s">
        <v>25860</v>
      </c>
      <c r="J2493" s="19" t="s">
        <v>25862</v>
      </c>
      <c r="K2493" s="19" t="s">
        <v>25862</v>
      </c>
      <c r="L2493" s="19" t="s">
        <v>22529</v>
      </c>
      <c r="M2493" s="20"/>
      <c r="N2493" s="44" t="s">
        <v>25863</v>
      </c>
      <c r="O2493" s="22">
        <v>50.0</v>
      </c>
      <c r="P2493" s="28">
        <v>2.0</v>
      </c>
      <c r="Q2493" s="28">
        <v>15.0</v>
      </c>
      <c r="R2493" s="94"/>
      <c r="S2493" s="94"/>
      <c r="T2493" s="124"/>
      <c r="U2493" s="124"/>
      <c r="V2493" s="124"/>
      <c r="W2493" s="124"/>
      <c r="X2493" s="124"/>
      <c r="Y2493" s="124"/>
      <c r="Z2493" s="124"/>
      <c r="AA2493" s="124"/>
    </row>
    <row r="2494" ht="15.75" customHeight="1">
      <c r="A2494" s="14" t="s">
        <v>2137</v>
      </c>
      <c r="B2494" s="15" t="s">
        <v>25421</v>
      </c>
      <c r="C2494" s="14" t="s">
        <v>25865</v>
      </c>
      <c r="D2494" s="14" t="s">
        <v>25866</v>
      </c>
      <c r="E2494" s="26" t="s">
        <v>25867</v>
      </c>
      <c r="F2494" s="14">
        <v>2310.0</v>
      </c>
      <c r="G2494" s="14">
        <v>2319.0</v>
      </c>
      <c r="H2494" s="14" t="s">
        <v>17059</v>
      </c>
      <c r="I2494" s="19" t="s">
        <v>25870</v>
      </c>
      <c r="J2494" s="19" t="s">
        <v>22805</v>
      </c>
      <c r="K2494" s="19" t="s">
        <v>22805</v>
      </c>
      <c r="L2494" s="19" t="s">
        <v>25871</v>
      </c>
      <c r="M2494" s="20" t="s">
        <v>25872</v>
      </c>
      <c r="N2494" s="44" t="s">
        <v>25873</v>
      </c>
      <c r="O2494" s="22">
        <v>50.0</v>
      </c>
      <c r="P2494" s="28">
        <v>37.0</v>
      </c>
      <c r="Q2494" s="28">
        <v>47.0</v>
      </c>
      <c r="R2494" s="85" t="s">
        <v>106</v>
      </c>
      <c r="S2494" s="84"/>
      <c r="T2494" s="84"/>
      <c r="U2494" s="84"/>
      <c r="V2494" s="84"/>
      <c r="W2494" s="84"/>
      <c r="X2494" s="84"/>
      <c r="Y2494" s="84"/>
      <c r="Z2494" s="84"/>
      <c r="AA2494" s="84"/>
    </row>
    <row r="2495" ht="15.75" customHeight="1">
      <c r="A2495" s="14" t="s">
        <v>2137</v>
      </c>
      <c r="B2495" s="15" t="s">
        <v>25421</v>
      </c>
      <c r="C2495" s="14" t="s">
        <v>25874</v>
      </c>
      <c r="D2495" s="14" t="s">
        <v>25875</v>
      </c>
      <c r="E2495" s="26" t="s">
        <v>25876</v>
      </c>
      <c r="F2495" s="14">
        <v>2320.0</v>
      </c>
      <c r="G2495" s="14">
        <v>2328.0</v>
      </c>
      <c r="H2495" s="14" t="s">
        <v>17059</v>
      </c>
      <c r="I2495" s="19" t="s">
        <v>25878</v>
      </c>
      <c r="J2495" s="19" t="s">
        <v>25879</v>
      </c>
      <c r="K2495" s="19" t="s">
        <v>25880</v>
      </c>
      <c r="L2495" s="19" t="s">
        <v>25881</v>
      </c>
      <c r="M2495" s="20" t="s">
        <v>25882</v>
      </c>
      <c r="N2495" s="44" t="s">
        <v>25883</v>
      </c>
      <c r="O2495" s="22">
        <v>13.0</v>
      </c>
      <c r="P2495" s="28">
        <v>8.0</v>
      </c>
      <c r="Q2495" s="28">
        <v>30.0</v>
      </c>
      <c r="R2495" s="84"/>
      <c r="S2495" s="84"/>
      <c r="T2495" s="84"/>
      <c r="U2495" s="84"/>
      <c r="V2495" s="84"/>
      <c r="W2495" s="84"/>
      <c r="X2495" s="84"/>
      <c r="Y2495" s="84"/>
      <c r="Z2495" s="84"/>
      <c r="AA2495" s="84"/>
    </row>
    <row r="2496" ht="15.75" customHeight="1">
      <c r="A2496" s="14" t="s">
        <v>2137</v>
      </c>
      <c r="B2496" s="15" t="s">
        <v>25421</v>
      </c>
      <c r="C2496" s="14" t="s">
        <v>25884</v>
      </c>
      <c r="D2496" s="14" t="s">
        <v>25885</v>
      </c>
      <c r="E2496" s="26" t="s">
        <v>25886</v>
      </c>
      <c r="F2496" s="14">
        <v>2339.0</v>
      </c>
      <c r="G2496" s="14">
        <v>2348.0</v>
      </c>
      <c r="H2496" s="14" t="s">
        <v>17059</v>
      </c>
      <c r="I2496" s="19" t="s">
        <v>25889</v>
      </c>
      <c r="J2496" s="19" t="s">
        <v>25890</v>
      </c>
      <c r="K2496" s="19" t="s">
        <v>25890</v>
      </c>
      <c r="L2496" s="19" t="s">
        <v>25891</v>
      </c>
      <c r="M2496" s="20" t="s">
        <v>25892</v>
      </c>
      <c r="N2496" s="44" t="s">
        <v>25893</v>
      </c>
      <c r="O2496" s="22">
        <v>50.0</v>
      </c>
      <c r="P2496" s="28">
        <v>17.0</v>
      </c>
      <c r="Q2496" s="28">
        <v>28.0</v>
      </c>
      <c r="R2496" s="84"/>
      <c r="S2496" s="84"/>
      <c r="T2496" s="84"/>
      <c r="U2496" s="84"/>
      <c r="V2496" s="84"/>
      <c r="W2496" s="84"/>
      <c r="X2496" s="84"/>
      <c r="Y2496" s="84"/>
      <c r="Z2496" s="84"/>
      <c r="AA2496" s="84"/>
    </row>
    <row r="2497" ht="15.75" customHeight="1">
      <c r="A2497" s="14" t="s">
        <v>2137</v>
      </c>
      <c r="B2497" s="15" t="s">
        <v>25421</v>
      </c>
      <c r="C2497" s="14" t="s">
        <v>25895</v>
      </c>
      <c r="D2497" s="14" t="s">
        <v>25896</v>
      </c>
      <c r="E2497" s="26" t="s">
        <v>25897</v>
      </c>
      <c r="F2497" s="14">
        <v>2122.0</v>
      </c>
      <c r="G2497" s="14">
        <v>2131.0</v>
      </c>
      <c r="H2497" s="14" t="s">
        <v>17059</v>
      </c>
      <c r="I2497" s="19" t="s">
        <v>25898</v>
      </c>
      <c r="J2497" s="19" t="s">
        <v>25899</v>
      </c>
      <c r="K2497" s="19" t="s">
        <v>25899</v>
      </c>
      <c r="L2497" s="19" t="s">
        <v>25900</v>
      </c>
      <c r="M2497" s="20" t="s">
        <v>21426</v>
      </c>
      <c r="N2497" s="44" t="s">
        <v>25901</v>
      </c>
      <c r="O2497" s="22">
        <v>103.0</v>
      </c>
      <c r="P2497" s="28">
        <v>44.0</v>
      </c>
      <c r="Q2497" s="28">
        <v>45.0</v>
      </c>
      <c r="R2497" s="84"/>
      <c r="S2497" s="84"/>
      <c r="T2497" s="84"/>
      <c r="U2497" s="84"/>
      <c r="V2497" s="84"/>
      <c r="W2497" s="84"/>
      <c r="X2497" s="84"/>
      <c r="Y2497" s="84"/>
      <c r="Z2497" s="84"/>
      <c r="AA2497" s="84"/>
    </row>
    <row r="2498" ht="15.75" customHeight="1">
      <c r="A2498" s="14" t="s">
        <v>2137</v>
      </c>
      <c r="B2498" s="15" t="s">
        <v>25421</v>
      </c>
      <c r="C2498" s="14" t="s">
        <v>25903</v>
      </c>
      <c r="D2498" s="14" t="s">
        <v>25904</v>
      </c>
      <c r="E2498" s="26" t="s">
        <v>25905</v>
      </c>
      <c r="F2498" s="14">
        <v>2329.0</v>
      </c>
      <c r="G2498" s="14">
        <v>2338.0</v>
      </c>
      <c r="H2498" s="14" t="s">
        <v>17059</v>
      </c>
      <c r="I2498" s="19" t="s">
        <v>25906</v>
      </c>
      <c r="J2498" s="19" t="s">
        <v>25907</v>
      </c>
      <c r="K2498" s="19" t="s">
        <v>25908</v>
      </c>
      <c r="L2498" s="19" t="s">
        <v>25909</v>
      </c>
      <c r="M2498" s="20" t="s">
        <v>25910</v>
      </c>
      <c r="N2498" s="44" t="s">
        <v>25911</v>
      </c>
      <c r="O2498" s="22">
        <v>7.0</v>
      </c>
      <c r="P2498" s="28">
        <v>11.0</v>
      </c>
      <c r="Q2498" s="28">
        <v>42.0</v>
      </c>
      <c r="R2498" s="84"/>
      <c r="S2498" s="84"/>
      <c r="T2498" s="84"/>
      <c r="U2498" s="84"/>
      <c r="V2498" s="84"/>
      <c r="W2498" s="84"/>
      <c r="X2498" s="84"/>
      <c r="Y2498" s="84"/>
      <c r="Z2498" s="84"/>
      <c r="AA2498" s="84"/>
    </row>
    <row r="2499" ht="15.75" customHeight="1">
      <c r="A2499" s="14" t="s">
        <v>2137</v>
      </c>
      <c r="B2499" s="15" t="s">
        <v>25421</v>
      </c>
      <c r="C2499" s="14" t="s">
        <v>25913</v>
      </c>
      <c r="D2499" s="14" t="s">
        <v>25914</v>
      </c>
      <c r="E2499" s="26" t="s">
        <v>25915</v>
      </c>
      <c r="F2499" s="14">
        <v>2349.0</v>
      </c>
      <c r="G2499" s="14">
        <v>2358.0</v>
      </c>
      <c r="H2499" s="14" t="s">
        <v>17059</v>
      </c>
      <c r="I2499" s="19" t="s">
        <v>25917</v>
      </c>
      <c r="J2499" s="19" t="s">
        <v>25918</v>
      </c>
      <c r="K2499" s="19" t="s">
        <v>25919</v>
      </c>
      <c r="L2499" s="19" t="s">
        <v>25920</v>
      </c>
      <c r="M2499" s="20" t="s">
        <v>25921</v>
      </c>
      <c r="N2499" s="44" t="s">
        <v>25922</v>
      </c>
      <c r="O2499" s="22">
        <v>50.0</v>
      </c>
      <c r="P2499" s="28">
        <v>12.0</v>
      </c>
      <c r="Q2499" s="28">
        <v>44.0</v>
      </c>
      <c r="R2499" s="84"/>
      <c r="S2499" s="84"/>
      <c r="T2499" s="84"/>
      <c r="U2499" s="84"/>
      <c r="V2499" s="84"/>
      <c r="W2499" s="84"/>
      <c r="X2499" s="84"/>
      <c r="Y2499" s="84"/>
      <c r="Z2499" s="84"/>
      <c r="AA2499" s="84"/>
    </row>
    <row r="2500" ht="15.75" customHeight="1">
      <c r="A2500" s="14" t="s">
        <v>2137</v>
      </c>
      <c r="B2500" s="15" t="s">
        <v>25421</v>
      </c>
      <c r="C2500" s="14" t="s">
        <v>25923</v>
      </c>
      <c r="D2500" s="14" t="s">
        <v>25924</v>
      </c>
      <c r="E2500" s="26" t="s">
        <v>25925</v>
      </c>
      <c r="F2500" s="14">
        <v>1933.0</v>
      </c>
      <c r="G2500" s="14">
        <v>1942.0</v>
      </c>
      <c r="H2500" s="14" t="s">
        <v>17059</v>
      </c>
      <c r="I2500" s="19" t="s">
        <v>25927</v>
      </c>
      <c r="J2500" s="19" t="s">
        <v>25928</v>
      </c>
      <c r="K2500" s="19" t="s">
        <v>25929</v>
      </c>
      <c r="L2500" s="19" t="s">
        <v>25930</v>
      </c>
      <c r="M2500" s="20" t="s">
        <v>25931</v>
      </c>
      <c r="N2500" s="44" t="s">
        <v>25932</v>
      </c>
      <c r="O2500" s="22">
        <v>42.0</v>
      </c>
      <c r="P2500" s="28">
        <v>27.0</v>
      </c>
      <c r="Q2500" s="28">
        <v>47.0</v>
      </c>
      <c r="R2500" s="84"/>
      <c r="S2500" s="84"/>
      <c r="T2500" s="84"/>
      <c r="U2500" s="84"/>
      <c r="V2500" s="84"/>
      <c r="W2500" s="84"/>
      <c r="X2500" s="84"/>
      <c r="Y2500" s="84"/>
      <c r="Z2500" s="84"/>
      <c r="AA2500" s="84"/>
    </row>
    <row r="2501" ht="15.75" customHeight="1">
      <c r="A2501" s="14" t="s">
        <v>2137</v>
      </c>
      <c r="B2501" s="15" t="s">
        <v>25421</v>
      </c>
      <c r="C2501" s="14" t="s">
        <v>25933</v>
      </c>
      <c r="D2501" s="14" t="s">
        <v>25934</v>
      </c>
      <c r="E2501" s="26" t="s">
        <v>25935</v>
      </c>
      <c r="F2501" s="14">
        <v>1943.0</v>
      </c>
      <c r="G2501" s="14">
        <v>1952.0</v>
      </c>
      <c r="H2501" s="14" t="s">
        <v>17059</v>
      </c>
      <c r="I2501" s="19" t="s">
        <v>25937</v>
      </c>
      <c r="J2501" s="19" t="s">
        <v>25938</v>
      </c>
      <c r="K2501" s="19" t="s">
        <v>25938</v>
      </c>
      <c r="L2501" s="19" t="s">
        <v>25939</v>
      </c>
      <c r="M2501" s="20" t="s">
        <v>25940</v>
      </c>
      <c r="N2501" s="44" t="s">
        <v>25941</v>
      </c>
      <c r="O2501" s="22">
        <v>50.0</v>
      </c>
      <c r="P2501" s="28">
        <v>34.0</v>
      </c>
      <c r="Q2501" s="28">
        <v>24.0</v>
      </c>
      <c r="R2501" s="84"/>
      <c r="S2501" s="84"/>
      <c r="T2501" s="84"/>
      <c r="U2501" s="84"/>
      <c r="V2501" s="84"/>
      <c r="W2501" s="84"/>
      <c r="X2501" s="84"/>
      <c r="Y2501" s="84"/>
      <c r="Z2501" s="84"/>
      <c r="AA2501" s="84"/>
    </row>
    <row r="2502" ht="15.75" customHeight="1">
      <c r="A2502" s="14" t="s">
        <v>2137</v>
      </c>
      <c r="B2502" s="15" t="s">
        <v>25421</v>
      </c>
      <c r="C2502" s="14" t="s">
        <v>25942</v>
      </c>
      <c r="D2502" s="14" t="s">
        <v>25943</v>
      </c>
      <c r="E2502" s="26" t="s">
        <v>25944</v>
      </c>
      <c r="F2502" s="14">
        <v>1953.0</v>
      </c>
      <c r="G2502" s="14">
        <v>1962.0</v>
      </c>
      <c r="H2502" s="14" t="s">
        <v>17059</v>
      </c>
      <c r="I2502" s="19" t="s">
        <v>25947</v>
      </c>
      <c r="J2502" s="19" t="s">
        <v>25948</v>
      </c>
      <c r="K2502" s="19" t="s">
        <v>25949</v>
      </c>
      <c r="L2502" s="19" t="s">
        <v>25950</v>
      </c>
      <c r="M2502" s="20" t="s">
        <v>25951</v>
      </c>
      <c r="N2502" s="44" t="s">
        <v>25952</v>
      </c>
      <c r="O2502" s="22">
        <v>9.0</v>
      </c>
      <c r="P2502" s="28">
        <v>5.0</v>
      </c>
      <c r="Q2502" s="28">
        <v>51.0</v>
      </c>
      <c r="R2502" s="84"/>
      <c r="S2502" s="84"/>
      <c r="T2502" s="84"/>
      <c r="U2502" s="84"/>
      <c r="V2502" s="84"/>
      <c r="W2502" s="84"/>
      <c r="X2502" s="84"/>
      <c r="Y2502" s="84"/>
      <c r="Z2502" s="84"/>
      <c r="AA2502" s="84"/>
    </row>
    <row r="2503" ht="15.75" customHeight="1">
      <c r="A2503" s="14" t="s">
        <v>2137</v>
      </c>
      <c r="B2503" s="15" t="s">
        <v>25421</v>
      </c>
      <c r="C2503" s="14" t="s">
        <v>25953</v>
      </c>
      <c r="D2503" s="14" t="s">
        <v>25954</v>
      </c>
      <c r="E2503" s="26" t="s">
        <v>25955</v>
      </c>
      <c r="F2503" s="14">
        <v>1963.0</v>
      </c>
      <c r="G2503" s="14">
        <v>1972.0</v>
      </c>
      <c r="H2503" s="14" t="s">
        <v>17059</v>
      </c>
      <c r="I2503" s="19" t="s">
        <v>25956</v>
      </c>
      <c r="J2503" s="19" t="s">
        <v>25957</v>
      </c>
      <c r="K2503" s="19" t="s">
        <v>25957</v>
      </c>
      <c r="L2503" s="19" t="s">
        <v>25958</v>
      </c>
      <c r="M2503" s="20" t="s">
        <v>22365</v>
      </c>
      <c r="N2503" s="44" t="s">
        <v>25960</v>
      </c>
      <c r="O2503" s="22">
        <v>47.0</v>
      </c>
      <c r="P2503" s="28">
        <v>27.0</v>
      </c>
      <c r="Q2503" s="28">
        <v>52.0</v>
      </c>
      <c r="R2503" s="84"/>
      <c r="S2503" s="84"/>
      <c r="T2503" s="84"/>
      <c r="U2503" s="84"/>
      <c r="V2503" s="84"/>
      <c r="W2503" s="84"/>
      <c r="X2503" s="84"/>
      <c r="Y2503" s="84"/>
      <c r="Z2503" s="84"/>
      <c r="AA2503" s="84"/>
    </row>
    <row r="2504" ht="15.75" customHeight="1">
      <c r="A2504" s="14" t="s">
        <v>2137</v>
      </c>
      <c r="B2504" s="15" t="s">
        <v>25421</v>
      </c>
      <c r="C2504" s="14" t="s">
        <v>25962</v>
      </c>
      <c r="D2504" s="14" t="s">
        <v>25963</v>
      </c>
      <c r="E2504" s="26" t="s">
        <v>25964</v>
      </c>
      <c r="F2504" s="14">
        <v>1973.0</v>
      </c>
      <c r="G2504" s="14">
        <v>1982.0</v>
      </c>
      <c r="H2504" s="14" t="s">
        <v>17059</v>
      </c>
      <c r="I2504" s="19" t="s">
        <v>25966</v>
      </c>
      <c r="J2504" s="19" t="s">
        <v>22464</v>
      </c>
      <c r="K2504" s="19" t="s">
        <v>22464</v>
      </c>
      <c r="L2504" s="19" t="s">
        <v>22465</v>
      </c>
      <c r="M2504" s="20" t="s">
        <v>25967</v>
      </c>
      <c r="N2504" s="44" t="s">
        <v>25968</v>
      </c>
      <c r="O2504" s="22">
        <v>4.0</v>
      </c>
      <c r="P2504" s="28">
        <v>3.0</v>
      </c>
      <c r="Q2504" s="28">
        <v>18.0</v>
      </c>
      <c r="R2504" s="84"/>
      <c r="S2504" s="84"/>
      <c r="T2504" s="84"/>
      <c r="U2504" s="84"/>
      <c r="V2504" s="84"/>
      <c r="W2504" s="84"/>
      <c r="X2504" s="84"/>
      <c r="Y2504" s="84"/>
      <c r="Z2504" s="84"/>
      <c r="AA2504" s="84"/>
    </row>
    <row r="2505" ht="15.75" customHeight="1">
      <c r="A2505" s="14" t="s">
        <v>2137</v>
      </c>
      <c r="B2505" s="15" t="s">
        <v>25421</v>
      </c>
      <c r="C2505" s="14" t="s">
        <v>25969</v>
      </c>
      <c r="D2505" s="14" t="s">
        <v>25970</v>
      </c>
      <c r="E2505" s="26" t="s">
        <v>25971</v>
      </c>
      <c r="F2505" s="14">
        <v>2201.0</v>
      </c>
      <c r="G2505" s="14">
        <v>2210.0</v>
      </c>
      <c r="H2505" s="14" t="s">
        <v>17059</v>
      </c>
      <c r="I2505" s="19" t="s">
        <v>25973</v>
      </c>
      <c r="J2505" s="19" t="s">
        <v>25974</v>
      </c>
      <c r="K2505" s="19" t="s">
        <v>25974</v>
      </c>
      <c r="L2505" s="19" t="s">
        <v>25975</v>
      </c>
      <c r="M2505" s="20" t="s">
        <v>25976</v>
      </c>
      <c r="N2505" s="44" t="s">
        <v>25977</v>
      </c>
      <c r="O2505" s="22">
        <v>46.0</v>
      </c>
      <c r="P2505" s="28">
        <v>15.0</v>
      </c>
      <c r="Q2505" s="28">
        <v>41.0</v>
      </c>
      <c r="R2505" s="84"/>
      <c r="S2505" s="84"/>
      <c r="T2505" s="84"/>
      <c r="U2505" s="84"/>
      <c r="V2505" s="84"/>
      <c r="W2505" s="84"/>
      <c r="X2505" s="84"/>
      <c r="Y2505" s="84"/>
      <c r="Z2505" s="84"/>
      <c r="AA2505" s="84"/>
    </row>
    <row r="2506" ht="15.75" customHeight="1">
      <c r="A2506" s="14" t="s">
        <v>4153</v>
      </c>
      <c r="B2506" s="15" t="s">
        <v>25421</v>
      </c>
      <c r="C2506" s="14" t="s">
        <v>25978</v>
      </c>
      <c r="D2506" s="14" t="s">
        <v>25979</v>
      </c>
      <c r="E2506" s="26" t="s">
        <v>25980</v>
      </c>
      <c r="F2506" s="14">
        <v>2379.0</v>
      </c>
      <c r="G2506" s="14">
        <v>2387.0</v>
      </c>
      <c r="H2506" s="14" t="s">
        <v>17059</v>
      </c>
      <c r="I2506" s="19" t="s">
        <v>25982</v>
      </c>
      <c r="J2506" s="19" t="s">
        <v>25983</v>
      </c>
      <c r="K2506" s="19" t="s">
        <v>25983</v>
      </c>
      <c r="L2506" s="19" t="s">
        <v>25984</v>
      </c>
      <c r="M2506" s="20" t="s">
        <v>25985</v>
      </c>
      <c r="N2506" s="44" t="s">
        <v>25986</v>
      </c>
      <c r="O2506" s="22">
        <v>10.0</v>
      </c>
      <c r="P2506" s="28">
        <v>4.0</v>
      </c>
      <c r="Q2506" s="28">
        <v>27.0</v>
      </c>
      <c r="R2506" s="84"/>
      <c r="S2506" s="84"/>
      <c r="T2506" s="84"/>
      <c r="U2506" s="84"/>
      <c r="V2506" s="84"/>
      <c r="W2506" s="84"/>
      <c r="X2506" s="84"/>
      <c r="Y2506" s="84"/>
      <c r="Z2506" s="84"/>
      <c r="AA2506" s="84"/>
    </row>
    <row r="2507" ht="15.75" customHeight="1">
      <c r="A2507" s="14" t="s">
        <v>4153</v>
      </c>
      <c r="B2507" s="15" t="s">
        <v>25421</v>
      </c>
      <c r="C2507" s="14" t="s">
        <v>25987</v>
      </c>
      <c r="D2507" s="14" t="s">
        <v>25988</v>
      </c>
      <c r="E2507" s="26" t="s">
        <v>25989</v>
      </c>
      <c r="F2507" s="14">
        <v>2388.0</v>
      </c>
      <c r="G2507" s="14">
        <v>2396.0</v>
      </c>
      <c r="H2507" s="14" t="s">
        <v>17059</v>
      </c>
      <c r="I2507" s="19" t="s">
        <v>25991</v>
      </c>
      <c r="J2507" s="19" t="s">
        <v>25992</v>
      </c>
      <c r="K2507" s="19" t="s">
        <v>25992</v>
      </c>
      <c r="L2507" s="19" t="s">
        <v>25993</v>
      </c>
      <c r="M2507" s="20" t="s">
        <v>25994</v>
      </c>
      <c r="N2507" s="44" t="s">
        <v>25995</v>
      </c>
      <c r="O2507" s="22">
        <v>50.0</v>
      </c>
      <c r="P2507" s="28">
        <v>7.0</v>
      </c>
      <c r="Q2507" s="28">
        <v>42.0</v>
      </c>
      <c r="R2507" s="84"/>
      <c r="S2507" s="84"/>
      <c r="T2507" s="84"/>
      <c r="U2507" s="84"/>
      <c r="V2507" s="84"/>
      <c r="W2507" s="84"/>
      <c r="X2507" s="84"/>
      <c r="Y2507" s="84"/>
      <c r="Z2507" s="84"/>
      <c r="AA2507" s="84"/>
    </row>
    <row r="2508" ht="15.75" customHeight="1">
      <c r="A2508" s="14" t="s">
        <v>4153</v>
      </c>
      <c r="B2508" s="15" t="s">
        <v>25421</v>
      </c>
      <c r="C2508" s="14" t="s">
        <v>25996</v>
      </c>
      <c r="D2508" s="14" t="s">
        <v>25997</v>
      </c>
      <c r="E2508" s="26" t="s">
        <v>25998</v>
      </c>
      <c r="F2508" s="14">
        <v>2397.0</v>
      </c>
      <c r="G2508" s="14">
        <v>2406.0</v>
      </c>
      <c r="H2508" s="14" t="s">
        <v>17059</v>
      </c>
      <c r="I2508" s="19" t="s">
        <v>26002</v>
      </c>
      <c r="J2508" s="19" t="s">
        <v>26003</v>
      </c>
      <c r="K2508" s="19" t="s">
        <v>26003</v>
      </c>
      <c r="L2508" s="19" t="s">
        <v>26004</v>
      </c>
      <c r="M2508" s="20" t="s">
        <v>26005</v>
      </c>
      <c r="N2508" s="44" t="s">
        <v>26006</v>
      </c>
      <c r="O2508" s="22">
        <v>50.0</v>
      </c>
      <c r="P2508" s="28">
        <v>13.0</v>
      </c>
      <c r="Q2508" s="28">
        <v>36.0</v>
      </c>
      <c r="R2508" s="84"/>
      <c r="S2508" s="84"/>
      <c r="T2508" s="84"/>
      <c r="U2508" s="84"/>
      <c r="V2508" s="84"/>
      <c r="W2508" s="84"/>
      <c r="X2508" s="84"/>
      <c r="Y2508" s="84"/>
      <c r="Z2508" s="84"/>
      <c r="AA2508" s="84"/>
    </row>
    <row r="2509" ht="15.75" customHeight="1">
      <c r="A2509" s="14" t="s">
        <v>4153</v>
      </c>
      <c r="B2509" s="15" t="s">
        <v>25421</v>
      </c>
      <c r="C2509" s="14" t="s">
        <v>26007</v>
      </c>
      <c r="D2509" s="14" t="s">
        <v>26008</v>
      </c>
      <c r="E2509" s="26" t="s">
        <v>26009</v>
      </c>
      <c r="F2509" s="14">
        <v>2407.0</v>
      </c>
      <c r="G2509" s="14">
        <v>2416.0</v>
      </c>
      <c r="H2509" s="14" t="s">
        <v>17059</v>
      </c>
      <c r="I2509" s="19" t="s">
        <v>26011</v>
      </c>
      <c r="J2509" s="19" t="s">
        <v>26012</v>
      </c>
      <c r="K2509" s="19" t="s">
        <v>26012</v>
      </c>
      <c r="L2509" s="19" t="s">
        <v>26013</v>
      </c>
      <c r="M2509" s="20" t="s">
        <v>15838</v>
      </c>
      <c r="N2509" s="44" t="s">
        <v>26014</v>
      </c>
      <c r="O2509" s="22">
        <v>17.0</v>
      </c>
      <c r="P2509" s="28">
        <v>12.0</v>
      </c>
      <c r="Q2509" s="28">
        <v>30.0</v>
      </c>
      <c r="R2509" s="84"/>
      <c r="S2509" s="84"/>
      <c r="T2509" s="84"/>
      <c r="U2509" s="84"/>
      <c r="V2509" s="84"/>
      <c r="W2509" s="84"/>
      <c r="X2509" s="84"/>
      <c r="Y2509" s="84"/>
      <c r="Z2509" s="84"/>
      <c r="AA2509" s="84"/>
    </row>
    <row r="2510" ht="15.75" customHeight="1">
      <c r="A2510" s="14" t="s">
        <v>4153</v>
      </c>
      <c r="B2510" s="15" t="s">
        <v>25421</v>
      </c>
      <c r="C2510" s="14" t="s">
        <v>26016</v>
      </c>
      <c r="D2510" s="14" t="s">
        <v>26017</v>
      </c>
      <c r="E2510" s="26" t="s">
        <v>26018</v>
      </c>
      <c r="F2510" s="14">
        <v>2417.0</v>
      </c>
      <c r="G2510" s="14">
        <v>2426.0</v>
      </c>
      <c r="H2510" s="14" t="s">
        <v>17059</v>
      </c>
      <c r="I2510" s="19" t="s">
        <v>26019</v>
      </c>
      <c r="J2510" s="19" t="s">
        <v>26020</v>
      </c>
      <c r="K2510" s="19" t="s">
        <v>26021</v>
      </c>
      <c r="L2510" s="19" t="s">
        <v>26022</v>
      </c>
      <c r="M2510" s="20" t="s">
        <v>26023</v>
      </c>
      <c r="N2510" s="44" t="s">
        <v>26024</v>
      </c>
      <c r="O2510" s="22">
        <v>11.0</v>
      </c>
      <c r="P2510" s="28">
        <v>9.0</v>
      </c>
      <c r="Q2510" s="28">
        <v>40.0</v>
      </c>
      <c r="R2510" s="84"/>
      <c r="S2510" s="84"/>
      <c r="T2510" s="84"/>
      <c r="U2510" s="84"/>
      <c r="V2510" s="84"/>
      <c r="W2510" s="84"/>
      <c r="X2510" s="84"/>
      <c r="Y2510" s="84"/>
      <c r="Z2510" s="84"/>
      <c r="AA2510" s="84"/>
    </row>
    <row r="2511" ht="15.75" customHeight="1">
      <c r="A2511" s="14" t="s">
        <v>4153</v>
      </c>
      <c r="B2511" s="15" t="s">
        <v>25421</v>
      </c>
      <c r="C2511" s="14" t="s">
        <v>26026</v>
      </c>
      <c r="D2511" s="14" t="s">
        <v>26027</v>
      </c>
      <c r="E2511" s="26" t="s">
        <v>26028</v>
      </c>
      <c r="F2511" s="14">
        <v>2427.0</v>
      </c>
      <c r="G2511" s="14">
        <v>2436.0</v>
      </c>
      <c r="H2511" s="14" t="s">
        <v>17059</v>
      </c>
      <c r="I2511" s="19" t="s">
        <v>26030</v>
      </c>
      <c r="J2511" s="19" t="s">
        <v>23428</v>
      </c>
      <c r="K2511" s="19" t="s">
        <v>23428</v>
      </c>
      <c r="L2511" s="19" t="s">
        <v>26031</v>
      </c>
      <c r="M2511" s="20" t="s">
        <v>26032</v>
      </c>
      <c r="N2511" s="44" t="s">
        <v>26033</v>
      </c>
      <c r="O2511" s="22">
        <v>50.0</v>
      </c>
      <c r="P2511" s="28">
        <v>13.0</v>
      </c>
      <c r="Q2511" s="28">
        <v>43.0</v>
      </c>
      <c r="R2511" s="84"/>
      <c r="S2511" s="84"/>
      <c r="T2511" s="84"/>
      <c r="U2511" s="84"/>
      <c r="V2511" s="84"/>
      <c r="W2511" s="84"/>
      <c r="X2511" s="84"/>
      <c r="Y2511" s="84"/>
      <c r="Z2511" s="84"/>
      <c r="AA2511" s="84"/>
    </row>
    <row r="2512" ht="15.75" customHeight="1">
      <c r="A2512" s="14" t="s">
        <v>4153</v>
      </c>
      <c r="B2512" s="15" t="s">
        <v>25421</v>
      </c>
      <c r="C2512" s="14" t="s">
        <v>26034</v>
      </c>
      <c r="D2512" s="14" t="s">
        <v>26035</v>
      </c>
      <c r="E2512" s="26" t="s">
        <v>26036</v>
      </c>
      <c r="F2512" s="14">
        <v>2437.0</v>
      </c>
      <c r="G2512" s="14">
        <v>2446.0</v>
      </c>
      <c r="H2512" s="14" t="s">
        <v>17059</v>
      </c>
      <c r="I2512" s="19" t="s">
        <v>26038</v>
      </c>
      <c r="J2512" s="19" t="s">
        <v>26039</v>
      </c>
      <c r="K2512" s="19" t="s">
        <v>26039</v>
      </c>
      <c r="L2512" s="19" t="s">
        <v>26040</v>
      </c>
      <c r="M2512" s="20" t="s">
        <v>26041</v>
      </c>
      <c r="N2512" s="44" t="s">
        <v>26042</v>
      </c>
      <c r="O2512" s="22">
        <v>18.0</v>
      </c>
      <c r="P2512" s="28">
        <v>12.0</v>
      </c>
      <c r="Q2512" s="28">
        <v>49.0</v>
      </c>
      <c r="R2512" s="84"/>
      <c r="S2512" s="84"/>
      <c r="T2512" s="84"/>
      <c r="U2512" s="84"/>
      <c r="V2512" s="84"/>
      <c r="W2512" s="84"/>
      <c r="X2512" s="84"/>
      <c r="Y2512" s="84"/>
      <c r="Z2512" s="84"/>
      <c r="AA2512" s="84"/>
    </row>
    <row r="2513" ht="15.75" customHeight="1">
      <c r="A2513" s="14" t="s">
        <v>4153</v>
      </c>
      <c r="B2513" s="15" t="s">
        <v>25421</v>
      </c>
      <c r="C2513" s="14" t="s">
        <v>26043</v>
      </c>
      <c r="D2513" s="14" t="s">
        <v>26044</v>
      </c>
      <c r="E2513" s="26" t="s">
        <v>26045</v>
      </c>
      <c r="F2513" s="14">
        <v>2447.0</v>
      </c>
      <c r="G2513" s="14">
        <v>2455.0</v>
      </c>
      <c r="H2513" s="14" t="s">
        <v>17059</v>
      </c>
      <c r="I2513" s="19" t="s">
        <v>26047</v>
      </c>
      <c r="J2513" s="19" t="s">
        <v>26048</v>
      </c>
      <c r="K2513" s="19" t="s">
        <v>26049</v>
      </c>
      <c r="L2513" s="19" t="s">
        <v>26050</v>
      </c>
      <c r="M2513" s="20" t="s">
        <v>26051</v>
      </c>
      <c r="N2513" s="44" t="s">
        <v>26052</v>
      </c>
      <c r="O2513" s="22">
        <v>5.0</v>
      </c>
      <c r="P2513" s="28">
        <v>6.0</v>
      </c>
      <c r="Q2513" s="28">
        <v>27.0</v>
      </c>
      <c r="R2513" s="84"/>
      <c r="S2513" s="84"/>
      <c r="T2513" s="84"/>
      <c r="U2513" s="84"/>
      <c r="V2513" s="84"/>
      <c r="W2513" s="84"/>
      <c r="X2513" s="84"/>
      <c r="Y2513" s="84"/>
      <c r="Z2513" s="84"/>
      <c r="AA2513" s="84"/>
    </row>
    <row r="2514" ht="15.75" customHeight="1">
      <c r="A2514" s="14" t="s">
        <v>4153</v>
      </c>
      <c r="B2514" s="15" t="s">
        <v>25421</v>
      </c>
      <c r="C2514" s="14" t="s">
        <v>26054</v>
      </c>
      <c r="D2514" s="14" t="s">
        <v>26055</v>
      </c>
      <c r="E2514" s="26" t="s">
        <v>26056</v>
      </c>
      <c r="F2514" s="14">
        <v>2456.0</v>
      </c>
      <c r="G2514" s="14">
        <v>2465.0</v>
      </c>
      <c r="H2514" s="14" t="s">
        <v>17059</v>
      </c>
      <c r="I2514" s="19" t="s">
        <v>26057</v>
      </c>
      <c r="J2514" s="19" t="s">
        <v>26058</v>
      </c>
      <c r="K2514" s="19" t="s">
        <v>26058</v>
      </c>
      <c r="L2514" s="19" t="s">
        <v>26059</v>
      </c>
      <c r="M2514" s="20" t="s">
        <v>26060</v>
      </c>
      <c r="N2514" s="44" t="s">
        <v>26061</v>
      </c>
      <c r="O2514" s="22">
        <v>9.0</v>
      </c>
      <c r="P2514" s="28">
        <v>8.0</v>
      </c>
      <c r="Q2514" s="28">
        <v>48.0</v>
      </c>
      <c r="R2514" s="84"/>
      <c r="S2514" s="84"/>
      <c r="T2514" s="84"/>
      <c r="U2514" s="84"/>
      <c r="V2514" s="84"/>
      <c r="W2514" s="84"/>
      <c r="X2514" s="84"/>
      <c r="Y2514" s="84"/>
      <c r="Z2514" s="84"/>
      <c r="AA2514" s="84"/>
    </row>
    <row r="2515" ht="15.75" customHeight="1">
      <c r="A2515" s="14" t="s">
        <v>4153</v>
      </c>
      <c r="B2515" s="15" t="s">
        <v>25421</v>
      </c>
      <c r="C2515" s="14" t="s">
        <v>26063</v>
      </c>
      <c r="D2515" s="14" t="s">
        <v>26064</v>
      </c>
      <c r="E2515" s="26" t="s">
        <v>26065</v>
      </c>
      <c r="F2515" s="14">
        <v>2466.0</v>
      </c>
      <c r="G2515" s="14">
        <v>2475.0</v>
      </c>
      <c r="H2515" s="14" t="s">
        <v>17059</v>
      </c>
      <c r="I2515" s="19" t="s">
        <v>26067</v>
      </c>
      <c r="J2515" s="19" t="s">
        <v>26068</v>
      </c>
      <c r="K2515" s="19" t="s">
        <v>26069</v>
      </c>
      <c r="L2515" s="19" t="s">
        <v>26070</v>
      </c>
      <c r="M2515" s="20" t="s">
        <v>26071</v>
      </c>
      <c r="N2515" s="44" t="s">
        <v>26072</v>
      </c>
      <c r="O2515" s="22">
        <v>24.0</v>
      </c>
      <c r="P2515" s="28">
        <v>18.0</v>
      </c>
      <c r="Q2515" s="28">
        <v>49.0</v>
      </c>
      <c r="R2515" s="84"/>
      <c r="S2515" s="84"/>
      <c r="T2515" s="84"/>
      <c r="U2515" s="84"/>
      <c r="V2515" s="84"/>
      <c r="W2515" s="84"/>
      <c r="X2515" s="84"/>
      <c r="Y2515" s="84"/>
      <c r="Z2515" s="84"/>
      <c r="AA2515" s="84"/>
    </row>
    <row r="2516" ht="15.75" customHeight="1">
      <c r="A2516" s="14" t="s">
        <v>4153</v>
      </c>
      <c r="B2516" s="15" t="s">
        <v>25421</v>
      </c>
      <c r="C2516" s="14" t="s">
        <v>26073</v>
      </c>
      <c r="D2516" s="14" t="s">
        <v>26074</v>
      </c>
      <c r="E2516" s="26" t="s">
        <v>26075</v>
      </c>
      <c r="F2516" s="14">
        <v>2476.0</v>
      </c>
      <c r="G2516" s="14">
        <v>2485.0</v>
      </c>
      <c r="H2516" s="14" t="s">
        <v>17059</v>
      </c>
      <c r="I2516" s="19" t="s">
        <v>26078</v>
      </c>
      <c r="J2516" s="19" t="s">
        <v>26079</v>
      </c>
      <c r="K2516" s="19" t="s">
        <v>26080</v>
      </c>
      <c r="L2516" s="19" t="s">
        <v>26081</v>
      </c>
      <c r="M2516" s="20" t="s">
        <v>26082</v>
      </c>
      <c r="N2516" s="44" t="s">
        <v>26083</v>
      </c>
      <c r="O2516" s="22">
        <v>25.0</v>
      </c>
      <c r="P2516" s="28">
        <v>17.0</v>
      </c>
      <c r="Q2516" s="28">
        <v>58.0</v>
      </c>
      <c r="R2516" s="84"/>
      <c r="S2516" s="84"/>
      <c r="T2516" s="84"/>
      <c r="U2516" s="84"/>
      <c r="V2516" s="84"/>
      <c r="W2516" s="84"/>
      <c r="X2516" s="84"/>
      <c r="Y2516" s="84"/>
      <c r="Z2516" s="84"/>
      <c r="AA2516" s="84"/>
    </row>
    <row r="2517" ht="15.75" customHeight="1">
      <c r="A2517" s="14" t="s">
        <v>4153</v>
      </c>
      <c r="B2517" s="15" t="s">
        <v>25421</v>
      </c>
      <c r="C2517" s="14" t="s">
        <v>26084</v>
      </c>
      <c r="D2517" s="14" t="s">
        <v>26085</v>
      </c>
      <c r="E2517" s="26" t="s">
        <v>26086</v>
      </c>
      <c r="F2517" s="14">
        <v>2486.0</v>
      </c>
      <c r="G2517" s="14">
        <v>2495.0</v>
      </c>
      <c r="H2517" s="14" t="s">
        <v>17059</v>
      </c>
      <c r="I2517" s="19" t="s">
        <v>26089</v>
      </c>
      <c r="J2517" s="19" t="s">
        <v>23525</v>
      </c>
      <c r="K2517" s="19" t="s">
        <v>23525</v>
      </c>
      <c r="L2517" s="19" t="s">
        <v>26090</v>
      </c>
      <c r="M2517" s="20" t="s">
        <v>26091</v>
      </c>
      <c r="N2517" s="44" t="s">
        <v>26092</v>
      </c>
      <c r="O2517" s="22">
        <v>10.0</v>
      </c>
      <c r="P2517" s="28">
        <v>8.0</v>
      </c>
      <c r="Q2517" s="28">
        <v>48.0</v>
      </c>
      <c r="R2517" s="84"/>
      <c r="S2517" s="84"/>
      <c r="T2517" s="84"/>
      <c r="U2517" s="84"/>
      <c r="V2517" s="84"/>
      <c r="W2517" s="84"/>
      <c r="X2517" s="84"/>
      <c r="Y2517" s="84"/>
      <c r="Z2517" s="84"/>
      <c r="AA2517" s="84"/>
    </row>
    <row r="2518" ht="15.75" customHeight="1">
      <c r="A2518" s="14" t="s">
        <v>4153</v>
      </c>
      <c r="B2518" s="15" t="s">
        <v>25421</v>
      </c>
      <c r="C2518" s="14" t="s">
        <v>26093</v>
      </c>
      <c r="D2518" s="14" t="s">
        <v>26094</v>
      </c>
      <c r="E2518" s="26" t="s">
        <v>26095</v>
      </c>
      <c r="F2518" s="14">
        <v>2496.0</v>
      </c>
      <c r="G2518" s="14">
        <v>2505.0</v>
      </c>
      <c r="H2518" s="14" t="s">
        <v>17059</v>
      </c>
      <c r="I2518" s="19" t="s">
        <v>26098</v>
      </c>
      <c r="J2518" s="19" t="s">
        <v>26099</v>
      </c>
      <c r="K2518" s="19" t="s">
        <v>26100</v>
      </c>
      <c r="L2518" s="19" t="s">
        <v>26101</v>
      </c>
      <c r="M2518" s="20" t="s">
        <v>26102</v>
      </c>
      <c r="N2518" s="44" t="s">
        <v>26103</v>
      </c>
      <c r="O2518" s="22">
        <v>50.0</v>
      </c>
      <c r="P2518" s="28">
        <v>4.0</v>
      </c>
      <c r="Q2518" s="28">
        <v>47.0</v>
      </c>
      <c r="R2518" s="84"/>
      <c r="S2518" s="84"/>
      <c r="T2518" s="84"/>
      <c r="U2518" s="84"/>
      <c r="V2518" s="84"/>
      <c r="W2518" s="84"/>
      <c r="X2518" s="84"/>
      <c r="Y2518" s="84"/>
      <c r="Z2518" s="84"/>
      <c r="AA2518" s="84"/>
    </row>
    <row r="2519" ht="15.75" customHeight="1">
      <c r="A2519" s="14" t="s">
        <v>4153</v>
      </c>
      <c r="B2519" s="15" t="s">
        <v>25421</v>
      </c>
      <c r="C2519" s="14" t="s">
        <v>26105</v>
      </c>
      <c r="D2519" s="14" t="s">
        <v>26106</v>
      </c>
      <c r="E2519" s="26" t="s">
        <v>26107</v>
      </c>
      <c r="F2519" s="14">
        <v>2506.0</v>
      </c>
      <c r="G2519" s="14">
        <v>2515.0</v>
      </c>
      <c r="H2519" s="14" t="s">
        <v>17059</v>
      </c>
      <c r="I2519" s="19" t="s">
        <v>26108</v>
      </c>
      <c r="J2519" s="19" t="s">
        <v>26109</v>
      </c>
      <c r="K2519" s="19" t="s">
        <v>26109</v>
      </c>
      <c r="L2519" s="19" t="s">
        <v>26110</v>
      </c>
      <c r="M2519" s="20" t="s">
        <v>26112</v>
      </c>
      <c r="N2519" s="44" t="s">
        <v>26113</v>
      </c>
      <c r="O2519" s="22">
        <v>11.0</v>
      </c>
      <c r="P2519" s="28">
        <v>6.0</v>
      </c>
      <c r="Q2519" s="28">
        <v>43.0</v>
      </c>
      <c r="R2519" s="84"/>
      <c r="S2519" s="84"/>
      <c r="T2519" s="84"/>
      <c r="U2519" s="84"/>
      <c r="V2519" s="84"/>
      <c r="W2519" s="84"/>
      <c r="X2519" s="84"/>
      <c r="Y2519" s="84"/>
      <c r="Z2519" s="84"/>
      <c r="AA2519" s="84"/>
    </row>
    <row r="2520" ht="15.75" customHeight="1">
      <c r="A2520" s="14" t="s">
        <v>4153</v>
      </c>
      <c r="B2520" s="15" t="s">
        <v>25421</v>
      </c>
      <c r="C2520" s="14" t="s">
        <v>26115</v>
      </c>
      <c r="D2520" s="14" t="s">
        <v>26116</v>
      </c>
      <c r="E2520" s="26" t="s">
        <v>26117</v>
      </c>
      <c r="F2520" s="14">
        <v>2516.0</v>
      </c>
      <c r="G2520" s="14">
        <v>2525.0</v>
      </c>
      <c r="H2520" s="14" t="s">
        <v>17059</v>
      </c>
      <c r="I2520" s="19" t="s">
        <v>26119</v>
      </c>
      <c r="J2520" s="19" t="s">
        <v>26120</v>
      </c>
      <c r="K2520" s="19" t="s">
        <v>26120</v>
      </c>
      <c r="L2520" s="19" t="s">
        <v>26121</v>
      </c>
      <c r="M2520" s="20" t="s">
        <v>26122</v>
      </c>
      <c r="N2520" s="44" t="s">
        <v>26123</v>
      </c>
      <c r="O2520" s="22">
        <v>50.0</v>
      </c>
      <c r="P2520" s="28">
        <v>8.0</v>
      </c>
      <c r="Q2520" s="28">
        <v>51.0</v>
      </c>
      <c r="R2520" s="85" t="s">
        <v>106</v>
      </c>
      <c r="S2520" s="84"/>
      <c r="T2520" s="84"/>
      <c r="U2520" s="84"/>
      <c r="V2520" s="84"/>
      <c r="W2520" s="84"/>
      <c r="X2520" s="84"/>
      <c r="Y2520" s="84"/>
      <c r="Z2520" s="84"/>
      <c r="AA2520" s="84"/>
    </row>
    <row r="2521" ht="15.75" customHeight="1">
      <c r="A2521" s="14" t="s">
        <v>4153</v>
      </c>
      <c r="B2521" s="15" t="s">
        <v>25421</v>
      </c>
      <c r="C2521" s="14" t="s">
        <v>26125</v>
      </c>
      <c r="D2521" s="14" t="s">
        <v>26126</v>
      </c>
      <c r="E2521" s="26" t="s">
        <v>26127</v>
      </c>
      <c r="F2521" s="14">
        <v>2526.0</v>
      </c>
      <c r="G2521" s="14">
        <v>2534.0</v>
      </c>
      <c r="H2521" s="14" t="s">
        <v>17059</v>
      </c>
      <c r="I2521" s="19" t="s">
        <v>26129</v>
      </c>
      <c r="J2521" s="19" t="s">
        <v>26130</v>
      </c>
      <c r="K2521" s="19" t="s">
        <v>26130</v>
      </c>
      <c r="L2521" s="19" t="s">
        <v>26131</v>
      </c>
      <c r="M2521" s="20" t="s">
        <v>26132</v>
      </c>
      <c r="N2521" s="44" t="s">
        <v>26133</v>
      </c>
      <c r="O2521" s="22">
        <v>50.0</v>
      </c>
      <c r="P2521" s="28">
        <v>2.0</v>
      </c>
      <c r="Q2521" s="28">
        <v>17.0</v>
      </c>
      <c r="R2521" s="85" t="s">
        <v>19037</v>
      </c>
      <c r="S2521" s="84"/>
      <c r="T2521" s="84"/>
      <c r="U2521" s="84"/>
      <c r="V2521" s="84"/>
      <c r="W2521" s="84"/>
      <c r="X2521" s="84"/>
      <c r="Y2521" s="84"/>
      <c r="Z2521" s="84"/>
      <c r="AA2521" s="84"/>
    </row>
    <row r="2522" ht="15.75" customHeight="1">
      <c r="A2522" s="14" t="s">
        <v>4153</v>
      </c>
      <c r="B2522" s="15" t="s">
        <v>25421</v>
      </c>
      <c r="C2522" s="14" t="s">
        <v>26134</v>
      </c>
      <c r="D2522" s="14" t="s">
        <v>26135</v>
      </c>
      <c r="E2522" s="26" t="s">
        <v>26136</v>
      </c>
      <c r="F2522" s="14">
        <v>2535.0</v>
      </c>
      <c r="G2522" s="14">
        <v>2544.0</v>
      </c>
      <c r="H2522" s="14" t="s">
        <v>17059</v>
      </c>
      <c r="I2522" s="19" t="s">
        <v>26137</v>
      </c>
      <c r="J2522" s="19" t="s">
        <v>26138</v>
      </c>
      <c r="K2522" s="19" t="s">
        <v>26138</v>
      </c>
      <c r="L2522" s="19" t="s">
        <v>26139</v>
      </c>
      <c r="M2522" s="20" t="s">
        <v>26140</v>
      </c>
      <c r="N2522" s="44" t="s">
        <v>26141</v>
      </c>
      <c r="O2522" s="22">
        <v>9.0</v>
      </c>
      <c r="P2522" s="28">
        <v>8.0</v>
      </c>
      <c r="Q2522" s="28">
        <v>36.0</v>
      </c>
      <c r="R2522" s="84"/>
      <c r="S2522" s="84"/>
      <c r="T2522" s="84"/>
      <c r="U2522" s="84"/>
      <c r="V2522" s="84"/>
      <c r="W2522" s="84"/>
      <c r="X2522" s="84"/>
      <c r="Y2522" s="84"/>
      <c r="Z2522" s="84"/>
      <c r="AA2522" s="84"/>
    </row>
    <row r="2523" ht="15.75" customHeight="1">
      <c r="A2523" s="14" t="s">
        <v>4153</v>
      </c>
      <c r="B2523" s="15" t="s">
        <v>25421</v>
      </c>
      <c r="C2523" s="14" t="s">
        <v>26142</v>
      </c>
      <c r="D2523" s="14" t="s">
        <v>26143</v>
      </c>
      <c r="E2523" s="26" t="s">
        <v>26144</v>
      </c>
      <c r="F2523" s="14">
        <v>2545.0</v>
      </c>
      <c r="G2523" s="14">
        <v>2554.0</v>
      </c>
      <c r="H2523" s="14" t="s">
        <v>17059</v>
      </c>
      <c r="I2523" s="19" t="s">
        <v>26145</v>
      </c>
      <c r="J2523" s="19" t="s">
        <v>26146</v>
      </c>
      <c r="K2523" s="19" t="s">
        <v>26146</v>
      </c>
      <c r="L2523" s="19" t="s">
        <v>26147</v>
      </c>
      <c r="M2523" s="20" t="s">
        <v>26148</v>
      </c>
      <c r="N2523" s="44" t="s">
        <v>26149</v>
      </c>
      <c r="O2523" s="22">
        <v>6.0</v>
      </c>
      <c r="P2523" s="28">
        <v>6.0</v>
      </c>
      <c r="Q2523" s="28">
        <v>47.0</v>
      </c>
      <c r="R2523" s="84"/>
      <c r="S2523" s="84"/>
      <c r="T2523" s="84"/>
      <c r="U2523" s="84"/>
      <c r="V2523" s="84"/>
      <c r="W2523" s="84"/>
      <c r="X2523" s="84"/>
      <c r="Y2523" s="84"/>
      <c r="Z2523" s="84"/>
      <c r="AA2523" s="84"/>
    </row>
    <row r="2524" ht="15.75" customHeight="1">
      <c r="A2524" s="14" t="s">
        <v>4153</v>
      </c>
      <c r="B2524" s="15" t="s">
        <v>25421</v>
      </c>
      <c r="C2524" s="14" t="s">
        <v>26150</v>
      </c>
      <c r="D2524" s="14" t="s">
        <v>26151</v>
      </c>
      <c r="E2524" s="26" t="s">
        <v>26152</v>
      </c>
      <c r="F2524" s="14">
        <v>2555.0</v>
      </c>
      <c r="G2524" s="14">
        <v>2564.0</v>
      </c>
      <c r="H2524" s="14" t="s">
        <v>17059</v>
      </c>
      <c r="I2524" s="19" t="s">
        <v>26153</v>
      </c>
      <c r="J2524" s="19" t="s">
        <v>26154</v>
      </c>
      <c r="K2524" s="19" t="s">
        <v>26156</v>
      </c>
      <c r="L2524" s="19" t="s">
        <v>26158</v>
      </c>
      <c r="M2524" s="20" t="s">
        <v>26159</v>
      </c>
      <c r="N2524" s="44" t="s">
        <v>26160</v>
      </c>
      <c r="O2524" s="22">
        <v>13.0</v>
      </c>
      <c r="P2524" s="28">
        <v>8.0</v>
      </c>
      <c r="Q2524" s="28">
        <v>37.0</v>
      </c>
      <c r="R2524" s="84"/>
      <c r="S2524" s="84"/>
      <c r="T2524" s="84"/>
      <c r="U2524" s="84"/>
      <c r="V2524" s="84"/>
      <c r="W2524" s="84"/>
      <c r="X2524" s="84"/>
      <c r="Y2524" s="84"/>
      <c r="Z2524" s="84"/>
      <c r="AA2524" s="84"/>
    </row>
    <row r="2525" ht="15.75" customHeight="1">
      <c r="A2525" s="14" t="s">
        <v>4153</v>
      </c>
      <c r="B2525" s="15" t="s">
        <v>25421</v>
      </c>
      <c r="C2525" s="14" t="s">
        <v>26161</v>
      </c>
      <c r="D2525" s="14" t="s">
        <v>26163</v>
      </c>
      <c r="E2525" s="26" t="s">
        <v>26164</v>
      </c>
      <c r="F2525" s="14">
        <v>2565.0</v>
      </c>
      <c r="G2525" s="14">
        <v>2574.0</v>
      </c>
      <c r="H2525" s="14" t="s">
        <v>17059</v>
      </c>
      <c r="I2525" s="19" t="s">
        <v>26165</v>
      </c>
      <c r="J2525" s="19" t="s">
        <v>26166</v>
      </c>
      <c r="K2525" s="19" t="s">
        <v>26166</v>
      </c>
      <c r="L2525" s="19" t="s">
        <v>26167</v>
      </c>
      <c r="M2525" s="20" t="s">
        <v>26168</v>
      </c>
      <c r="N2525" s="44" t="s">
        <v>26169</v>
      </c>
      <c r="O2525" s="22">
        <v>13.0</v>
      </c>
      <c r="P2525" s="28">
        <v>8.0</v>
      </c>
      <c r="Q2525" s="28">
        <v>26.0</v>
      </c>
      <c r="R2525" s="84"/>
      <c r="S2525" s="84"/>
      <c r="T2525" s="84"/>
      <c r="U2525" s="84"/>
      <c r="V2525" s="84"/>
      <c r="W2525" s="84"/>
      <c r="X2525" s="84"/>
      <c r="Y2525" s="84"/>
      <c r="Z2525" s="84"/>
      <c r="AA2525" s="84"/>
    </row>
    <row r="2526" ht="15.75" customHeight="1">
      <c r="A2526" s="14" t="s">
        <v>4153</v>
      </c>
      <c r="B2526" s="15" t="s">
        <v>25421</v>
      </c>
      <c r="C2526" s="14" t="s">
        <v>26170</v>
      </c>
      <c r="D2526" s="14" t="s">
        <v>26171</v>
      </c>
      <c r="E2526" s="26" t="s">
        <v>26172</v>
      </c>
      <c r="F2526" s="14">
        <v>2575.0</v>
      </c>
      <c r="G2526" s="14">
        <v>2584.0</v>
      </c>
      <c r="H2526" s="14" t="s">
        <v>17059</v>
      </c>
      <c r="I2526" s="19" t="s">
        <v>26174</v>
      </c>
      <c r="J2526" s="19" t="s">
        <v>26175</v>
      </c>
      <c r="K2526" s="19" t="s">
        <v>26176</v>
      </c>
      <c r="L2526" s="19" t="s">
        <v>26177</v>
      </c>
      <c r="M2526" s="20" t="s">
        <v>26178</v>
      </c>
      <c r="N2526" s="44" t="s">
        <v>26179</v>
      </c>
      <c r="O2526" s="22">
        <v>1.0</v>
      </c>
      <c r="P2526" s="28">
        <v>2.0</v>
      </c>
      <c r="Q2526" s="28">
        <v>38.0</v>
      </c>
      <c r="R2526" s="84"/>
      <c r="S2526" s="84"/>
      <c r="T2526" s="84"/>
      <c r="U2526" s="84"/>
      <c r="V2526" s="84"/>
      <c r="W2526" s="84"/>
      <c r="X2526" s="84"/>
      <c r="Y2526" s="84"/>
      <c r="Z2526" s="84"/>
      <c r="AA2526" s="84"/>
    </row>
    <row r="2527" ht="15.75" customHeight="1">
      <c r="A2527" s="14" t="s">
        <v>4153</v>
      </c>
      <c r="B2527" s="15" t="s">
        <v>25421</v>
      </c>
      <c r="C2527" s="14" t="s">
        <v>26180</v>
      </c>
      <c r="D2527" s="14" t="s">
        <v>26181</v>
      </c>
      <c r="E2527" s="26" t="s">
        <v>26182</v>
      </c>
      <c r="F2527" s="14">
        <v>2585.0</v>
      </c>
      <c r="G2527" s="14">
        <v>2594.0</v>
      </c>
      <c r="H2527" s="14" t="s">
        <v>17059</v>
      </c>
      <c r="I2527" s="19" t="s">
        <v>26186</v>
      </c>
      <c r="J2527" s="19" t="s">
        <v>26187</v>
      </c>
      <c r="K2527" s="19" t="s">
        <v>26187</v>
      </c>
      <c r="L2527" s="19" t="s">
        <v>26188</v>
      </c>
      <c r="M2527" s="20" t="s">
        <v>26189</v>
      </c>
      <c r="N2527" s="44" t="s">
        <v>26190</v>
      </c>
      <c r="O2527" s="109"/>
      <c r="P2527" s="28">
        <v>12.0</v>
      </c>
      <c r="Q2527" s="28">
        <v>26.0</v>
      </c>
      <c r="R2527" s="84"/>
      <c r="S2527" s="84"/>
      <c r="T2527" s="84"/>
      <c r="U2527" s="84"/>
      <c r="V2527" s="84"/>
      <c r="W2527" s="84"/>
      <c r="X2527" s="84"/>
      <c r="Y2527" s="84"/>
      <c r="Z2527" s="84"/>
      <c r="AA2527" s="84"/>
    </row>
    <row r="2528" ht="15.75" customHeight="1">
      <c r="A2528" s="14" t="s">
        <v>4153</v>
      </c>
      <c r="B2528" s="15" t="s">
        <v>25421</v>
      </c>
      <c r="C2528" s="14" t="s">
        <v>26191</v>
      </c>
      <c r="D2528" s="14" t="s">
        <v>26192</v>
      </c>
      <c r="E2528" s="26" t="s">
        <v>26193</v>
      </c>
      <c r="F2528" s="14">
        <v>2595.0</v>
      </c>
      <c r="G2528" s="14">
        <v>2603.0</v>
      </c>
      <c r="H2528" s="14" t="s">
        <v>17059</v>
      </c>
      <c r="I2528" s="19" t="s">
        <v>26197</v>
      </c>
      <c r="J2528" s="19" t="s">
        <v>26198</v>
      </c>
      <c r="K2528" s="19" t="s">
        <v>26198</v>
      </c>
      <c r="L2528" s="19" t="s">
        <v>26199</v>
      </c>
      <c r="M2528" s="20" t="s">
        <v>26200</v>
      </c>
      <c r="N2528" s="44" t="s">
        <v>26201</v>
      </c>
      <c r="O2528" s="22">
        <v>50.0</v>
      </c>
      <c r="P2528" s="28">
        <v>9.0</v>
      </c>
      <c r="Q2528" s="28">
        <v>52.0</v>
      </c>
      <c r="R2528" s="84"/>
      <c r="S2528" s="84"/>
      <c r="T2528" s="84"/>
      <c r="U2528" s="84"/>
      <c r="V2528" s="84"/>
      <c r="W2528" s="84"/>
      <c r="X2528" s="84"/>
      <c r="Y2528" s="84"/>
      <c r="Z2528" s="84"/>
      <c r="AA2528" s="84"/>
    </row>
    <row r="2529" ht="15.75" customHeight="1">
      <c r="A2529" s="14" t="s">
        <v>4153</v>
      </c>
      <c r="B2529" s="15" t="s">
        <v>25421</v>
      </c>
      <c r="C2529" s="14" t="s">
        <v>26202</v>
      </c>
      <c r="D2529" s="14" t="s">
        <v>26203</v>
      </c>
      <c r="E2529" s="26" t="s">
        <v>26204</v>
      </c>
      <c r="F2529" s="14">
        <v>2604.0</v>
      </c>
      <c r="G2529" s="14">
        <v>2613.0</v>
      </c>
      <c r="H2529" s="14" t="s">
        <v>17059</v>
      </c>
      <c r="I2529" s="19" t="s">
        <v>26206</v>
      </c>
      <c r="J2529" s="19" t="s">
        <v>26207</v>
      </c>
      <c r="K2529" s="19" t="s">
        <v>26208</v>
      </c>
      <c r="L2529" s="19" t="s">
        <v>26209</v>
      </c>
      <c r="M2529" s="20" t="s">
        <v>26210</v>
      </c>
      <c r="N2529" s="44" t="s">
        <v>26211</v>
      </c>
      <c r="O2529" s="109"/>
      <c r="P2529" s="28">
        <v>1.0</v>
      </c>
      <c r="Q2529" s="28">
        <v>30.0</v>
      </c>
      <c r="R2529" s="84"/>
      <c r="S2529" s="84"/>
      <c r="T2529" s="84"/>
      <c r="U2529" s="84"/>
      <c r="V2529" s="84"/>
      <c r="W2529" s="84"/>
      <c r="X2529" s="84"/>
      <c r="Y2529" s="84"/>
      <c r="Z2529" s="84"/>
      <c r="AA2529" s="84"/>
    </row>
    <row r="2530" ht="15.75" customHeight="1">
      <c r="A2530" s="14" t="s">
        <v>4153</v>
      </c>
      <c r="B2530" s="15" t="s">
        <v>25421</v>
      </c>
      <c r="C2530" s="14" t="s">
        <v>26212</v>
      </c>
      <c r="D2530" s="14" t="s">
        <v>26213</v>
      </c>
      <c r="E2530" s="26" t="s">
        <v>26214</v>
      </c>
      <c r="F2530" s="14">
        <v>2624.0</v>
      </c>
      <c r="G2530" s="14">
        <v>2633.0</v>
      </c>
      <c r="H2530" s="14" t="s">
        <v>17059</v>
      </c>
      <c r="I2530" s="19" t="s">
        <v>26216</v>
      </c>
      <c r="J2530" s="19" t="s">
        <v>26217</v>
      </c>
      <c r="K2530" s="19" t="s">
        <v>26217</v>
      </c>
      <c r="L2530" s="19" t="s">
        <v>26218</v>
      </c>
      <c r="M2530" s="20"/>
      <c r="N2530" s="44" t="s">
        <v>26219</v>
      </c>
      <c r="O2530" s="22">
        <v>50.0</v>
      </c>
      <c r="P2530" s="28">
        <v>29.0</v>
      </c>
      <c r="Q2530" s="28">
        <v>49.0</v>
      </c>
      <c r="R2530" s="125" t="s">
        <v>19037</v>
      </c>
      <c r="S2530" s="94"/>
      <c r="T2530" s="124"/>
      <c r="U2530" s="124"/>
      <c r="V2530" s="124"/>
      <c r="W2530" s="124"/>
      <c r="X2530" s="124"/>
      <c r="Y2530" s="124"/>
      <c r="Z2530" s="124"/>
      <c r="AA2530" s="124"/>
    </row>
    <row r="2531" ht="15.75" customHeight="1">
      <c r="A2531" s="14" t="s">
        <v>4153</v>
      </c>
      <c r="B2531" s="15" t="s">
        <v>25421</v>
      </c>
      <c r="C2531" s="14" t="s">
        <v>26223</v>
      </c>
      <c r="D2531" s="14" t="s">
        <v>26224</v>
      </c>
      <c r="E2531" s="26" t="s">
        <v>26225</v>
      </c>
      <c r="F2531" s="14">
        <v>2684.0</v>
      </c>
      <c r="G2531" s="14">
        <v>2693.0</v>
      </c>
      <c r="H2531" s="14" t="s">
        <v>17059</v>
      </c>
      <c r="I2531" s="19" t="s">
        <v>26228</v>
      </c>
      <c r="J2531" s="19" t="s">
        <v>26229</v>
      </c>
      <c r="K2531" s="19" t="s">
        <v>26230</v>
      </c>
      <c r="L2531" s="19" t="s">
        <v>26231</v>
      </c>
      <c r="M2531" s="20" t="s">
        <v>26232</v>
      </c>
      <c r="N2531" s="44" t="s">
        <v>26233</v>
      </c>
      <c r="O2531" s="22">
        <v>6.0</v>
      </c>
      <c r="P2531" s="28">
        <v>6.0</v>
      </c>
      <c r="Q2531" s="28">
        <v>22.0</v>
      </c>
      <c r="R2531" s="84"/>
      <c r="S2531" s="84"/>
      <c r="T2531" s="84"/>
      <c r="U2531" s="84"/>
      <c r="V2531" s="84"/>
      <c r="W2531" s="84"/>
      <c r="X2531" s="84"/>
      <c r="Y2531" s="84"/>
      <c r="Z2531" s="84"/>
      <c r="AA2531" s="84"/>
    </row>
    <row r="2532" ht="15.75" customHeight="1">
      <c r="A2532" s="14" t="s">
        <v>4153</v>
      </c>
      <c r="B2532" s="15" t="s">
        <v>25421</v>
      </c>
      <c r="C2532" s="14" t="s">
        <v>26234</v>
      </c>
      <c r="D2532" s="14" t="s">
        <v>26235</v>
      </c>
      <c r="E2532" s="26" t="s">
        <v>26236</v>
      </c>
      <c r="F2532" s="14">
        <v>2694.0</v>
      </c>
      <c r="G2532" s="14">
        <v>2703.0</v>
      </c>
      <c r="H2532" s="14" t="s">
        <v>17059</v>
      </c>
      <c r="I2532" s="19" t="s">
        <v>26240</v>
      </c>
      <c r="J2532" s="19" t="s">
        <v>26241</v>
      </c>
      <c r="K2532" s="19" t="s">
        <v>26241</v>
      </c>
      <c r="L2532" s="19" t="s">
        <v>26242</v>
      </c>
      <c r="M2532" s="20" t="s">
        <v>26243</v>
      </c>
      <c r="N2532" s="44" t="s">
        <v>26244</v>
      </c>
      <c r="O2532" s="22">
        <v>31.0</v>
      </c>
      <c r="P2532" s="28">
        <v>23.0</v>
      </c>
      <c r="Q2532" s="28">
        <v>57.0</v>
      </c>
      <c r="R2532" s="84"/>
      <c r="S2532" s="84"/>
      <c r="T2532" s="84"/>
      <c r="U2532" s="84"/>
      <c r="V2532" s="84"/>
      <c r="W2532" s="84"/>
      <c r="X2532" s="84"/>
      <c r="Y2532" s="84"/>
      <c r="Z2532" s="84"/>
      <c r="AA2532" s="84"/>
    </row>
    <row r="2533" ht="15.75" customHeight="1">
      <c r="A2533" s="14" t="s">
        <v>4153</v>
      </c>
      <c r="B2533" s="15" t="s">
        <v>25421</v>
      </c>
      <c r="C2533" s="14" t="s">
        <v>26245</v>
      </c>
      <c r="D2533" s="14" t="s">
        <v>26246</v>
      </c>
      <c r="E2533" s="26" t="s">
        <v>26247</v>
      </c>
      <c r="F2533" s="14">
        <v>2634.0</v>
      </c>
      <c r="G2533" s="14">
        <v>2643.0</v>
      </c>
      <c r="H2533" s="14" t="s">
        <v>17059</v>
      </c>
      <c r="I2533" s="19" t="s">
        <v>26251</v>
      </c>
      <c r="J2533" s="19" t="s">
        <v>26252</v>
      </c>
      <c r="K2533" s="19" t="s">
        <v>26252</v>
      </c>
      <c r="L2533" s="19" t="s">
        <v>25646</v>
      </c>
      <c r="M2533" s="20" t="s">
        <v>26253</v>
      </c>
      <c r="N2533" s="44" t="s">
        <v>26254</v>
      </c>
      <c r="O2533" s="22">
        <v>48.0</v>
      </c>
      <c r="P2533" s="28">
        <v>29.0</v>
      </c>
      <c r="Q2533" s="28">
        <v>56.0</v>
      </c>
      <c r="R2533" s="84"/>
      <c r="S2533" s="84"/>
      <c r="T2533" s="84"/>
      <c r="U2533" s="84"/>
      <c r="V2533" s="84"/>
      <c r="W2533" s="84"/>
      <c r="X2533" s="84"/>
      <c r="Y2533" s="84"/>
      <c r="Z2533" s="84"/>
      <c r="AA2533" s="84"/>
    </row>
    <row r="2534" ht="15.75" customHeight="1">
      <c r="A2534" s="14" t="s">
        <v>4153</v>
      </c>
      <c r="B2534" s="15" t="s">
        <v>25421</v>
      </c>
      <c r="C2534" s="14" t="s">
        <v>26255</v>
      </c>
      <c r="D2534" s="14" t="s">
        <v>26256</v>
      </c>
      <c r="E2534" s="26" t="s">
        <v>26257</v>
      </c>
      <c r="F2534" s="14">
        <v>2644.0</v>
      </c>
      <c r="G2534" s="14">
        <v>2653.0</v>
      </c>
      <c r="H2534" s="14" t="s">
        <v>17059</v>
      </c>
      <c r="I2534" s="19" t="s">
        <v>26259</v>
      </c>
      <c r="J2534" s="19" t="s">
        <v>26260</v>
      </c>
      <c r="K2534" s="19" t="s">
        <v>26261</v>
      </c>
      <c r="L2534" s="19" t="s">
        <v>26262</v>
      </c>
      <c r="M2534" s="20" t="s">
        <v>26263</v>
      </c>
      <c r="N2534" s="44" t="s">
        <v>26264</v>
      </c>
      <c r="O2534" s="22">
        <v>7.0</v>
      </c>
      <c r="P2534" s="28">
        <v>6.0</v>
      </c>
      <c r="Q2534" s="28">
        <v>38.0</v>
      </c>
      <c r="R2534" s="84"/>
      <c r="S2534" s="84"/>
      <c r="T2534" s="84"/>
      <c r="U2534" s="84"/>
      <c r="V2534" s="84"/>
      <c r="W2534" s="84"/>
      <c r="X2534" s="84"/>
      <c r="Y2534" s="84"/>
      <c r="Z2534" s="84"/>
      <c r="AA2534" s="84"/>
    </row>
    <row r="2535" ht="15.75" customHeight="1">
      <c r="A2535" s="14" t="s">
        <v>4153</v>
      </c>
      <c r="B2535" s="15" t="s">
        <v>25421</v>
      </c>
      <c r="C2535" s="14" t="s">
        <v>26265</v>
      </c>
      <c r="D2535" s="14" t="s">
        <v>26266</v>
      </c>
      <c r="E2535" s="26" t="s">
        <v>26267</v>
      </c>
      <c r="F2535" s="14">
        <v>2654.0</v>
      </c>
      <c r="G2535" s="14">
        <v>2663.0</v>
      </c>
      <c r="H2535" s="14" t="s">
        <v>17059</v>
      </c>
      <c r="I2535" s="19" t="s">
        <v>26268</v>
      </c>
      <c r="J2535" s="19" t="s">
        <v>26269</v>
      </c>
      <c r="K2535" s="19" t="s">
        <v>26270</v>
      </c>
      <c r="L2535" s="19" t="s">
        <v>26271</v>
      </c>
      <c r="M2535" s="20" t="s">
        <v>26272</v>
      </c>
      <c r="N2535" s="44" t="s">
        <v>26273</v>
      </c>
      <c r="O2535" s="22">
        <v>42.0</v>
      </c>
      <c r="P2535" s="28">
        <v>41.0</v>
      </c>
      <c r="Q2535" s="28">
        <v>62.0</v>
      </c>
      <c r="R2535" s="84"/>
      <c r="S2535" s="84"/>
      <c r="T2535" s="84"/>
      <c r="U2535" s="84"/>
      <c r="V2535" s="84"/>
      <c r="W2535" s="84"/>
      <c r="X2535" s="84"/>
      <c r="Y2535" s="84"/>
      <c r="Z2535" s="84"/>
      <c r="AA2535" s="84"/>
    </row>
    <row r="2536" ht="15.75" customHeight="1">
      <c r="A2536" s="14" t="s">
        <v>4153</v>
      </c>
      <c r="B2536" s="15" t="s">
        <v>25421</v>
      </c>
      <c r="C2536" s="14" t="s">
        <v>26274</v>
      </c>
      <c r="D2536" s="14" t="s">
        <v>26275</v>
      </c>
      <c r="E2536" s="26" t="s">
        <v>26276</v>
      </c>
      <c r="F2536" s="14">
        <v>2664.0</v>
      </c>
      <c r="G2536" s="14">
        <v>2673.0</v>
      </c>
      <c r="H2536" s="14" t="s">
        <v>17059</v>
      </c>
      <c r="I2536" s="19" t="s">
        <v>26277</v>
      </c>
      <c r="J2536" s="19" t="s">
        <v>26278</v>
      </c>
      <c r="K2536" s="19" t="s">
        <v>26279</v>
      </c>
      <c r="L2536" s="19" t="s">
        <v>26280</v>
      </c>
      <c r="M2536" s="20" t="s">
        <v>26281</v>
      </c>
      <c r="N2536" s="44" t="s">
        <v>26282</v>
      </c>
      <c r="O2536" s="22">
        <v>2.0</v>
      </c>
      <c r="P2536" s="28">
        <v>2.0</v>
      </c>
      <c r="Q2536" s="28">
        <v>33.0</v>
      </c>
      <c r="R2536" s="84"/>
      <c r="S2536" s="84"/>
      <c r="T2536" s="84"/>
      <c r="U2536" s="84"/>
      <c r="V2536" s="84"/>
      <c r="W2536" s="84"/>
      <c r="X2536" s="84"/>
      <c r="Y2536" s="84"/>
      <c r="Z2536" s="84"/>
      <c r="AA2536" s="84"/>
    </row>
    <row r="2537" ht="15.75" customHeight="1">
      <c r="A2537" s="14" t="s">
        <v>4153</v>
      </c>
      <c r="B2537" s="15" t="s">
        <v>25421</v>
      </c>
      <c r="C2537" s="14" t="s">
        <v>26283</v>
      </c>
      <c r="D2537" s="14" t="s">
        <v>26284</v>
      </c>
      <c r="E2537" s="26" t="s">
        <v>26285</v>
      </c>
      <c r="F2537" s="14">
        <v>2674.0</v>
      </c>
      <c r="G2537" s="14">
        <v>2683.0</v>
      </c>
      <c r="H2537" s="14" t="s">
        <v>17059</v>
      </c>
      <c r="I2537" s="19" t="s">
        <v>26286</v>
      </c>
      <c r="J2537" s="19" t="s">
        <v>26287</v>
      </c>
      <c r="K2537" s="19" t="s">
        <v>26287</v>
      </c>
      <c r="L2537" s="19" t="s">
        <v>26289</v>
      </c>
      <c r="M2537" s="20" t="s">
        <v>26290</v>
      </c>
      <c r="N2537" s="44" t="s">
        <v>26291</v>
      </c>
      <c r="O2537" s="22">
        <v>62.0</v>
      </c>
      <c r="P2537" s="28">
        <v>56.0</v>
      </c>
      <c r="Q2537" s="28">
        <v>50.0</v>
      </c>
      <c r="R2537" s="84"/>
      <c r="S2537" s="84"/>
      <c r="T2537" s="84"/>
      <c r="U2537" s="84"/>
      <c r="V2537" s="84"/>
      <c r="W2537" s="84"/>
      <c r="X2537" s="84"/>
      <c r="Y2537" s="84"/>
      <c r="Z2537" s="84"/>
      <c r="AA2537" s="84"/>
    </row>
    <row r="2538" ht="15.75" customHeight="1">
      <c r="A2538" s="14" t="s">
        <v>4153</v>
      </c>
      <c r="B2538" s="15" t="s">
        <v>25421</v>
      </c>
      <c r="C2538" s="14" t="s">
        <v>26292</v>
      </c>
      <c r="D2538" s="14" t="s">
        <v>26293</v>
      </c>
      <c r="E2538" s="26" t="s">
        <v>26294</v>
      </c>
      <c r="F2538" s="14">
        <v>2704.0</v>
      </c>
      <c r="G2538" s="14">
        <v>2713.0</v>
      </c>
      <c r="H2538" s="14" t="s">
        <v>17059</v>
      </c>
      <c r="I2538" s="19" t="s">
        <v>26295</v>
      </c>
      <c r="J2538" s="19" t="s">
        <v>26296</v>
      </c>
      <c r="K2538" s="19" t="s">
        <v>26296</v>
      </c>
      <c r="L2538" s="19" t="s">
        <v>26297</v>
      </c>
      <c r="M2538" s="20" t="s">
        <v>26298</v>
      </c>
      <c r="N2538" s="44" t="s">
        <v>26299</v>
      </c>
      <c r="O2538" s="22">
        <v>50.0</v>
      </c>
      <c r="P2538" s="28">
        <v>4.0</v>
      </c>
      <c r="Q2538" s="28">
        <v>31.0</v>
      </c>
      <c r="R2538" s="84"/>
      <c r="S2538" s="84"/>
      <c r="T2538" s="84"/>
      <c r="U2538" s="84"/>
      <c r="V2538" s="84"/>
      <c r="W2538" s="84"/>
      <c r="X2538" s="84"/>
      <c r="Y2538" s="84"/>
      <c r="Z2538" s="84"/>
      <c r="AA2538" s="84"/>
    </row>
    <row r="2539" ht="15.75" customHeight="1">
      <c r="A2539" s="14" t="s">
        <v>4153</v>
      </c>
      <c r="B2539" s="15" t="s">
        <v>25421</v>
      </c>
      <c r="C2539" s="14" t="s">
        <v>26300</v>
      </c>
      <c r="D2539" s="14" t="s">
        <v>26301</v>
      </c>
      <c r="E2539" s="26" t="s">
        <v>26302</v>
      </c>
      <c r="F2539" s="14">
        <v>2614.0</v>
      </c>
      <c r="G2539" s="14">
        <v>2623.0</v>
      </c>
      <c r="H2539" s="14" t="s">
        <v>17059</v>
      </c>
      <c r="I2539" s="19" t="s">
        <v>26304</v>
      </c>
      <c r="J2539" s="19" t="s">
        <v>1304</v>
      </c>
      <c r="K2539" s="19" t="s">
        <v>1304</v>
      </c>
      <c r="L2539" s="19" t="s">
        <v>13144</v>
      </c>
      <c r="M2539" s="20"/>
      <c r="N2539" s="44" t="s">
        <v>26305</v>
      </c>
      <c r="O2539" s="22">
        <v>50.0</v>
      </c>
      <c r="P2539" s="28">
        <v>0.0</v>
      </c>
      <c r="Q2539" s="28">
        <v>24.0</v>
      </c>
      <c r="R2539" s="94"/>
      <c r="S2539" s="94"/>
      <c r="T2539" s="124"/>
      <c r="U2539" s="124"/>
      <c r="V2539" s="124"/>
      <c r="W2539" s="124"/>
      <c r="X2539" s="124"/>
      <c r="Y2539" s="124"/>
      <c r="Z2539" s="124"/>
      <c r="AA2539" s="124"/>
    </row>
    <row r="2540" ht="15.75" customHeight="1">
      <c r="A2540" s="14" t="s">
        <v>120</v>
      </c>
      <c r="B2540" s="15" t="s">
        <v>25421</v>
      </c>
      <c r="C2540" s="14" t="s">
        <v>26306</v>
      </c>
      <c r="D2540" s="14" t="s">
        <v>26307</v>
      </c>
      <c r="E2540" s="26" t="s">
        <v>26308</v>
      </c>
      <c r="F2540" s="14">
        <v>1604.0</v>
      </c>
      <c r="G2540" s="14">
        <v>1613.0</v>
      </c>
      <c r="H2540" s="14" t="s">
        <v>17059</v>
      </c>
      <c r="I2540" s="19" t="s">
        <v>26312</v>
      </c>
      <c r="J2540" s="19" t="s">
        <v>26313</v>
      </c>
      <c r="K2540" s="19" t="s">
        <v>26314</v>
      </c>
      <c r="L2540" s="19" t="s">
        <v>26315</v>
      </c>
      <c r="M2540" s="20" t="s">
        <v>26316</v>
      </c>
      <c r="N2540" s="44" t="s">
        <v>26317</v>
      </c>
      <c r="O2540" s="22">
        <v>53.0</v>
      </c>
      <c r="P2540" s="28">
        <v>73.0</v>
      </c>
      <c r="Q2540" s="28">
        <v>43.0</v>
      </c>
      <c r="R2540" s="84"/>
      <c r="S2540" s="84"/>
      <c r="T2540" s="84"/>
      <c r="U2540" s="84"/>
      <c r="V2540" s="84"/>
      <c r="W2540" s="84"/>
      <c r="X2540" s="84"/>
      <c r="Y2540" s="84"/>
      <c r="Z2540" s="84"/>
      <c r="AA2540" s="84"/>
    </row>
    <row r="2541" ht="15.75" customHeight="1">
      <c r="A2541" s="14" t="s">
        <v>120</v>
      </c>
      <c r="B2541" s="15" t="s">
        <v>25421</v>
      </c>
      <c r="C2541" s="14" t="s">
        <v>26318</v>
      </c>
      <c r="D2541" s="14" t="s">
        <v>26319</v>
      </c>
      <c r="E2541" s="26" t="s">
        <v>26320</v>
      </c>
      <c r="F2541" s="14">
        <v>1614.0</v>
      </c>
      <c r="G2541" s="14">
        <v>1623.0</v>
      </c>
      <c r="H2541" s="14" t="s">
        <v>17059</v>
      </c>
      <c r="I2541" s="19" t="s">
        <v>26321</v>
      </c>
      <c r="J2541" s="19" t="s">
        <v>26322</v>
      </c>
      <c r="K2541" s="19" t="s">
        <v>26322</v>
      </c>
      <c r="L2541" s="19" t="s">
        <v>26323</v>
      </c>
      <c r="M2541" s="20" t="s">
        <v>26324</v>
      </c>
      <c r="N2541" s="44" t="s">
        <v>26325</v>
      </c>
      <c r="O2541" s="22">
        <v>50.0</v>
      </c>
      <c r="P2541" s="28">
        <v>32.0</v>
      </c>
      <c r="Q2541" s="28">
        <v>23.0</v>
      </c>
      <c r="R2541" s="84"/>
      <c r="S2541" s="84"/>
      <c r="T2541" s="84"/>
      <c r="U2541" s="84"/>
      <c r="V2541" s="84"/>
      <c r="W2541" s="84"/>
      <c r="X2541" s="84"/>
      <c r="Y2541" s="84"/>
      <c r="Z2541" s="84"/>
      <c r="AA2541" s="84"/>
    </row>
    <row r="2542" ht="15.75" customHeight="1">
      <c r="A2542" s="14" t="s">
        <v>120</v>
      </c>
      <c r="B2542" s="15" t="s">
        <v>25421</v>
      </c>
      <c r="C2542" s="14" t="s">
        <v>26327</v>
      </c>
      <c r="D2542" s="14" t="s">
        <v>26328</v>
      </c>
      <c r="E2542" s="26" t="s">
        <v>26329</v>
      </c>
      <c r="F2542" s="14">
        <v>1624.0</v>
      </c>
      <c r="G2542" s="14">
        <v>1632.0</v>
      </c>
      <c r="H2542" s="14" t="s">
        <v>17059</v>
      </c>
      <c r="I2542" s="19" t="s">
        <v>26330</v>
      </c>
      <c r="J2542" s="19" t="s">
        <v>26331</v>
      </c>
      <c r="K2542" s="19" t="s">
        <v>26332</v>
      </c>
      <c r="L2542" s="19" t="s">
        <v>26333</v>
      </c>
      <c r="M2542" s="20" t="s">
        <v>26334</v>
      </c>
      <c r="N2542" s="44" t="s">
        <v>26335</v>
      </c>
      <c r="O2542" s="22">
        <v>50.0</v>
      </c>
      <c r="P2542" s="28">
        <v>5.0</v>
      </c>
      <c r="Q2542" s="28">
        <v>44.0</v>
      </c>
      <c r="R2542" s="84"/>
      <c r="S2542" s="84"/>
      <c r="T2542" s="84"/>
      <c r="U2542" s="84"/>
      <c r="V2542" s="84"/>
      <c r="W2542" s="84"/>
      <c r="X2542" s="84"/>
      <c r="Y2542" s="84"/>
      <c r="Z2542" s="84"/>
      <c r="AA2542" s="84"/>
    </row>
    <row r="2543" ht="15.75" customHeight="1">
      <c r="A2543" s="14" t="s">
        <v>120</v>
      </c>
      <c r="B2543" s="15" t="s">
        <v>25421</v>
      </c>
      <c r="C2543" s="14" t="s">
        <v>26336</v>
      </c>
      <c r="D2543" s="14" t="s">
        <v>26337</v>
      </c>
      <c r="E2543" s="26" t="s">
        <v>26338</v>
      </c>
      <c r="F2543" s="14">
        <v>1633.0</v>
      </c>
      <c r="G2543" s="14">
        <v>1642.0</v>
      </c>
      <c r="H2543" s="14" t="s">
        <v>17059</v>
      </c>
      <c r="I2543" s="19" t="s">
        <v>26340</v>
      </c>
      <c r="J2543" s="19" t="s">
        <v>26341</v>
      </c>
      <c r="K2543" s="19" t="s">
        <v>26341</v>
      </c>
      <c r="L2543" s="19" t="s">
        <v>26342</v>
      </c>
      <c r="M2543" s="20" t="s">
        <v>26343</v>
      </c>
      <c r="N2543" s="44" t="s">
        <v>26344</v>
      </c>
      <c r="O2543" s="22">
        <v>40.0</v>
      </c>
      <c r="P2543" s="28">
        <v>31.0</v>
      </c>
      <c r="Q2543" s="28">
        <v>43.0</v>
      </c>
      <c r="R2543" s="85" t="s">
        <v>106</v>
      </c>
      <c r="S2543" s="84"/>
      <c r="T2543" s="84"/>
      <c r="U2543" s="84"/>
      <c r="V2543" s="84"/>
      <c r="W2543" s="84"/>
      <c r="X2543" s="84"/>
      <c r="Y2543" s="84"/>
      <c r="Z2543" s="84"/>
      <c r="AA2543" s="84"/>
    </row>
    <row r="2544" ht="15.75" customHeight="1">
      <c r="A2544" s="14" t="s">
        <v>120</v>
      </c>
      <c r="B2544" s="15" t="s">
        <v>25421</v>
      </c>
      <c r="C2544" s="14" t="s">
        <v>26345</v>
      </c>
      <c r="D2544" s="14" t="s">
        <v>26346</v>
      </c>
      <c r="E2544" s="26" t="s">
        <v>26347</v>
      </c>
      <c r="F2544" s="14">
        <v>1653.0</v>
      </c>
      <c r="G2544" s="14">
        <v>1662.0</v>
      </c>
      <c r="H2544" s="14" t="s">
        <v>17059</v>
      </c>
      <c r="I2544" s="19" t="s">
        <v>26348</v>
      </c>
      <c r="J2544" s="19" t="s">
        <v>26349</v>
      </c>
      <c r="K2544" s="19" t="s">
        <v>26349</v>
      </c>
      <c r="L2544" s="19" t="s">
        <v>26351</v>
      </c>
      <c r="M2544" s="20" t="s">
        <v>26352</v>
      </c>
      <c r="N2544" s="44" t="s">
        <v>26353</v>
      </c>
      <c r="O2544" s="22">
        <v>68.0</v>
      </c>
      <c r="P2544" s="28">
        <v>53.0</v>
      </c>
      <c r="Q2544" s="28">
        <v>43.0</v>
      </c>
      <c r="R2544" s="84"/>
      <c r="S2544" s="84"/>
      <c r="T2544" s="84"/>
      <c r="U2544" s="84"/>
      <c r="V2544" s="84"/>
      <c r="W2544" s="84"/>
      <c r="X2544" s="84"/>
      <c r="Y2544" s="84"/>
      <c r="Z2544" s="84"/>
      <c r="AA2544" s="84"/>
    </row>
    <row r="2545" ht="15.75" customHeight="1">
      <c r="A2545" s="14" t="s">
        <v>120</v>
      </c>
      <c r="B2545" s="15" t="s">
        <v>25421</v>
      </c>
      <c r="C2545" s="14" t="s">
        <v>26354</v>
      </c>
      <c r="D2545" s="14" t="s">
        <v>26355</v>
      </c>
      <c r="E2545" s="26" t="s">
        <v>26356</v>
      </c>
      <c r="F2545" s="14">
        <v>1663.0</v>
      </c>
      <c r="G2545" s="14">
        <v>1672.0</v>
      </c>
      <c r="H2545" s="14" t="s">
        <v>17059</v>
      </c>
      <c r="I2545" s="19" t="s">
        <v>26357</v>
      </c>
      <c r="J2545" s="19" t="s">
        <v>26358</v>
      </c>
      <c r="K2545" s="19" t="s">
        <v>26359</v>
      </c>
      <c r="L2545" s="19" t="s">
        <v>26360</v>
      </c>
      <c r="M2545" s="20" t="s">
        <v>26361</v>
      </c>
      <c r="N2545" s="44" t="s">
        <v>26362</v>
      </c>
      <c r="O2545" s="22">
        <v>41.0</v>
      </c>
      <c r="P2545" s="28">
        <v>30.0</v>
      </c>
      <c r="Q2545" s="28">
        <v>47.0</v>
      </c>
      <c r="R2545" s="84"/>
      <c r="S2545" s="84"/>
      <c r="T2545" s="84"/>
      <c r="U2545" s="84"/>
      <c r="V2545" s="84"/>
      <c r="W2545" s="84"/>
      <c r="X2545" s="84"/>
      <c r="Y2545" s="84"/>
      <c r="Z2545" s="84"/>
      <c r="AA2545" s="84"/>
    </row>
    <row r="2546" ht="15.75" customHeight="1">
      <c r="A2546" s="14" t="s">
        <v>120</v>
      </c>
      <c r="B2546" s="15" t="s">
        <v>25421</v>
      </c>
      <c r="C2546" s="14" t="s">
        <v>26363</v>
      </c>
      <c r="D2546" s="14" t="s">
        <v>26364</v>
      </c>
      <c r="E2546" s="26" t="s">
        <v>26365</v>
      </c>
      <c r="F2546" s="14">
        <v>1643.0</v>
      </c>
      <c r="G2546" s="14">
        <v>1652.0</v>
      </c>
      <c r="H2546" s="14" t="s">
        <v>17059</v>
      </c>
      <c r="I2546" s="19" t="s">
        <v>26368</v>
      </c>
      <c r="J2546" s="19" t="s">
        <v>26369</v>
      </c>
      <c r="K2546" s="19" t="s">
        <v>26369</v>
      </c>
      <c r="L2546" s="19" t="s">
        <v>26370</v>
      </c>
      <c r="M2546" s="20" t="s">
        <v>26371</v>
      </c>
      <c r="N2546" s="44" t="s">
        <v>26372</v>
      </c>
      <c r="O2546" s="22">
        <v>50.0</v>
      </c>
      <c r="P2546" s="28">
        <v>33.0</v>
      </c>
      <c r="Q2546" s="28">
        <v>52.0</v>
      </c>
      <c r="R2546" s="84"/>
      <c r="S2546" s="84"/>
      <c r="T2546" s="84"/>
      <c r="U2546" s="84"/>
      <c r="V2546" s="84"/>
      <c r="W2546" s="84"/>
      <c r="X2546" s="84"/>
      <c r="Y2546" s="84"/>
      <c r="Z2546" s="84"/>
      <c r="AA2546" s="84"/>
    </row>
    <row r="2547" ht="15.75" customHeight="1">
      <c r="A2547" s="14" t="s">
        <v>120</v>
      </c>
      <c r="B2547" s="15" t="s">
        <v>25421</v>
      </c>
      <c r="C2547" s="14" t="s">
        <v>26373</v>
      </c>
      <c r="D2547" s="14" t="s">
        <v>26374</v>
      </c>
      <c r="E2547" s="26" t="s">
        <v>26375</v>
      </c>
      <c r="F2547" s="14">
        <v>1673.0</v>
      </c>
      <c r="G2547" s="14">
        <v>1682.0</v>
      </c>
      <c r="H2547" s="14" t="s">
        <v>17059</v>
      </c>
      <c r="I2547" s="19" t="s">
        <v>26376</v>
      </c>
      <c r="J2547" s="19" t="s">
        <v>26377</v>
      </c>
      <c r="K2547" s="19" t="s">
        <v>26377</v>
      </c>
      <c r="L2547" s="19" t="s">
        <v>26378</v>
      </c>
      <c r="M2547" s="20" t="s">
        <v>26379</v>
      </c>
      <c r="N2547" s="44" t="s">
        <v>26380</v>
      </c>
      <c r="O2547" s="22">
        <v>50.0</v>
      </c>
      <c r="P2547" s="28">
        <v>13.0</v>
      </c>
      <c r="Q2547" s="28">
        <v>44.0</v>
      </c>
      <c r="R2547" s="84"/>
      <c r="S2547" s="84"/>
      <c r="T2547" s="84"/>
      <c r="U2547" s="84"/>
      <c r="V2547" s="84"/>
      <c r="W2547" s="84"/>
      <c r="X2547" s="84"/>
      <c r="Y2547" s="84"/>
      <c r="Z2547" s="84"/>
      <c r="AA2547" s="84"/>
    </row>
    <row r="2548" ht="15.75" customHeight="1">
      <c r="A2548" s="14" t="s">
        <v>120</v>
      </c>
      <c r="B2548" s="15" t="s">
        <v>25421</v>
      </c>
      <c r="C2548" s="14" t="s">
        <v>26381</v>
      </c>
      <c r="D2548" s="14" t="s">
        <v>26383</v>
      </c>
      <c r="E2548" s="26" t="s">
        <v>26384</v>
      </c>
      <c r="F2548" s="14">
        <v>1683.0</v>
      </c>
      <c r="G2548" s="14">
        <v>1692.0</v>
      </c>
      <c r="H2548" s="14" t="s">
        <v>17059</v>
      </c>
      <c r="I2548" s="19" t="s">
        <v>26385</v>
      </c>
      <c r="J2548" s="19" t="s">
        <v>26386</v>
      </c>
      <c r="K2548" s="19" t="s">
        <v>26387</v>
      </c>
      <c r="L2548" s="19" t="s">
        <v>26388</v>
      </c>
      <c r="M2548" s="20" t="s">
        <v>26389</v>
      </c>
      <c r="N2548" s="44" t="s">
        <v>26390</v>
      </c>
      <c r="O2548" s="22">
        <v>20.0</v>
      </c>
      <c r="P2548" s="28">
        <v>24.0</v>
      </c>
      <c r="Q2548" s="28">
        <v>48.0</v>
      </c>
      <c r="R2548" s="84"/>
      <c r="S2548" s="84"/>
      <c r="T2548" s="84"/>
      <c r="U2548" s="84"/>
      <c r="V2548" s="84"/>
      <c r="W2548" s="84"/>
      <c r="X2548" s="84"/>
      <c r="Y2548" s="84"/>
      <c r="Z2548" s="84"/>
      <c r="AA2548" s="84"/>
    </row>
    <row r="2549" ht="15.75" customHeight="1">
      <c r="A2549" s="14" t="s">
        <v>120</v>
      </c>
      <c r="B2549" s="15" t="s">
        <v>25421</v>
      </c>
      <c r="C2549" s="14" t="s">
        <v>26391</v>
      </c>
      <c r="D2549" s="14" t="s">
        <v>26392</v>
      </c>
      <c r="E2549" s="26" t="s">
        <v>26393</v>
      </c>
      <c r="F2549" s="14">
        <v>1693.0</v>
      </c>
      <c r="G2549" s="14">
        <v>1702.0</v>
      </c>
      <c r="H2549" s="14" t="s">
        <v>17059</v>
      </c>
      <c r="I2549" s="19" t="s">
        <v>26397</v>
      </c>
      <c r="J2549" s="19" t="s">
        <v>26398</v>
      </c>
      <c r="K2549" s="19" t="s">
        <v>26398</v>
      </c>
      <c r="L2549" s="19" t="s">
        <v>26399</v>
      </c>
      <c r="M2549" s="20" t="s">
        <v>26400</v>
      </c>
      <c r="N2549" s="44" t="s">
        <v>26401</v>
      </c>
      <c r="O2549" s="22">
        <v>18.0</v>
      </c>
      <c r="P2549" s="28">
        <v>15.0</v>
      </c>
      <c r="Q2549" s="28">
        <v>43.0</v>
      </c>
      <c r="R2549" s="84"/>
      <c r="S2549" s="84"/>
      <c r="T2549" s="84"/>
      <c r="U2549" s="84"/>
      <c r="V2549" s="84"/>
      <c r="W2549" s="84"/>
      <c r="X2549" s="84"/>
      <c r="Y2549" s="84"/>
      <c r="Z2549" s="84"/>
      <c r="AA2549" s="84"/>
    </row>
    <row r="2550" ht="15.75" customHeight="1">
      <c r="A2550" s="14" t="s">
        <v>120</v>
      </c>
      <c r="B2550" s="15" t="s">
        <v>25421</v>
      </c>
      <c r="C2550" s="14" t="s">
        <v>26402</v>
      </c>
      <c r="D2550" s="14" t="s">
        <v>26403</v>
      </c>
      <c r="E2550" s="26" t="s">
        <v>26404</v>
      </c>
      <c r="F2550" s="14">
        <v>1703.0</v>
      </c>
      <c r="G2550" s="14">
        <v>1712.0</v>
      </c>
      <c r="H2550" s="14" t="s">
        <v>17059</v>
      </c>
      <c r="I2550" s="19" t="s">
        <v>26405</v>
      </c>
      <c r="J2550" s="19" t="s">
        <v>26406</v>
      </c>
      <c r="K2550" s="19" t="s">
        <v>26406</v>
      </c>
      <c r="L2550" s="19" t="s">
        <v>26407</v>
      </c>
      <c r="M2550" s="20" t="s">
        <v>26408</v>
      </c>
      <c r="N2550" s="44" t="s">
        <v>26409</v>
      </c>
      <c r="O2550" s="22">
        <v>50.0</v>
      </c>
      <c r="P2550" s="28">
        <v>18.0</v>
      </c>
      <c r="Q2550" s="28">
        <v>43.0</v>
      </c>
      <c r="R2550" s="84"/>
      <c r="S2550" s="84"/>
      <c r="T2550" s="84"/>
      <c r="U2550" s="84"/>
      <c r="V2550" s="84"/>
      <c r="W2550" s="84"/>
      <c r="X2550" s="84"/>
      <c r="Y2550" s="84"/>
      <c r="Z2550" s="84"/>
      <c r="AA2550" s="84"/>
    </row>
    <row r="2551" ht="15.75" customHeight="1">
      <c r="A2551" s="14" t="s">
        <v>120</v>
      </c>
      <c r="B2551" s="15" t="s">
        <v>25421</v>
      </c>
      <c r="C2551" s="14" t="s">
        <v>26411</v>
      </c>
      <c r="D2551" s="14" t="s">
        <v>26412</v>
      </c>
      <c r="E2551" s="26" t="s">
        <v>26413</v>
      </c>
      <c r="F2551" s="14">
        <v>1713.0</v>
      </c>
      <c r="G2551" s="14">
        <v>1722.0</v>
      </c>
      <c r="H2551" s="14" t="s">
        <v>17059</v>
      </c>
      <c r="I2551" s="19" t="s">
        <v>26414</v>
      </c>
      <c r="J2551" s="19" t="s">
        <v>26415</v>
      </c>
      <c r="K2551" s="19" t="s">
        <v>26415</v>
      </c>
      <c r="L2551" s="19" t="s">
        <v>26416</v>
      </c>
      <c r="M2551" s="20" t="s">
        <v>26417</v>
      </c>
      <c r="N2551" s="44" t="s">
        <v>26418</v>
      </c>
      <c r="O2551" s="22">
        <v>50.0</v>
      </c>
      <c r="P2551" s="28">
        <v>15.0</v>
      </c>
      <c r="Q2551" s="28">
        <v>93.0</v>
      </c>
      <c r="R2551" s="84"/>
      <c r="S2551" s="84"/>
      <c r="T2551" s="84"/>
      <c r="U2551" s="84"/>
      <c r="V2551" s="84"/>
      <c r="W2551" s="84"/>
      <c r="X2551" s="84"/>
      <c r="Y2551" s="84"/>
      <c r="Z2551" s="84"/>
      <c r="AA2551" s="84"/>
    </row>
    <row r="2552" ht="15.75" customHeight="1">
      <c r="A2552" s="14" t="s">
        <v>120</v>
      </c>
      <c r="B2552" s="15" t="s">
        <v>25421</v>
      </c>
      <c r="C2552" s="14" t="s">
        <v>26419</v>
      </c>
      <c r="D2552" s="14" t="s">
        <v>26420</v>
      </c>
      <c r="E2552" s="26" t="s">
        <v>26422</v>
      </c>
      <c r="F2552" s="14">
        <v>1723.0</v>
      </c>
      <c r="G2552" s="14">
        <v>1732.0</v>
      </c>
      <c r="H2552" s="14" t="s">
        <v>17059</v>
      </c>
      <c r="I2552" s="19" t="s">
        <v>26424</v>
      </c>
      <c r="J2552" s="19" t="s">
        <v>26425</v>
      </c>
      <c r="K2552" s="19" t="s">
        <v>26426</v>
      </c>
      <c r="L2552" s="19" t="s">
        <v>26427</v>
      </c>
      <c r="M2552" s="20" t="s">
        <v>26428</v>
      </c>
      <c r="N2552" s="44" t="s">
        <v>26429</v>
      </c>
      <c r="O2552" s="22">
        <v>36.0</v>
      </c>
      <c r="P2552" s="28">
        <v>19.0</v>
      </c>
      <c r="Q2552" s="28">
        <v>48.0</v>
      </c>
      <c r="R2552" s="84"/>
      <c r="S2552" s="84"/>
      <c r="T2552" s="84"/>
      <c r="U2552" s="84"/>
      <c r="V2552" s="84"/>
      <c r="W2552" s="84"/>
      <c r="X2552" s="84"/>
      <c r="Y2552" s="84"/>
      <c r="Z2552" s="84"/>
      <c r="AA2552" s="84"/>
    </row>
    <row r="2553" ht="15.75" customHeight="1">
      <c r="A2553" s="14" t="s">
        <v>120</v>
      </c>
      <c r="B2553" s="15" t="s">
        <v>25421</v>
      </c>
      <c r="C2553" s="14" t="s">
        <v>26430</v>
      </c>
      <c r="D2553" s="14" t="s">
        <v>26431</v>
      </c>
      <c r="E2553" s="26" t="s">
        <v>26432</v>
      </c>
      <c r="F2553" s="14">
        <v>1783.0</v>
      </c>
      <c r="G2553" s="14">
        <v>1792.0</v>
      </c>
      <c r="H2553" s="14" t="s">
        <v>17059</v>
      </c>
      <c r="I2553" s="19" t="s">
        <v>26436</v>
      </c>
      <c r="J2553" s="19" t="s">
        <v>26437</v>
      </c>
      <c r="K2553" s="19" t="s">
        <v>26437</v>
      </c>
      <c r="L2553" s="19" t="s">
        <v>26438</v>
      </c>
      <c r="M2553" s="20" t="s">
        <v>26439</v>
      </c>
      <c r="N2553" s="44" t="s">
        <v>26440</v>
      </c>
      <c r="O2553" s="22">
        <v>61.0</v>
      </c>
      <c r="P2553" s="28">
        <v>44.0</v>
      </c>
      <c r="Q2553" s="28">
        <v>34.0</v>
      </c>
      <c r="R2553" s="84"/>
      <c r="S2553" s="84"/>
      <c r="T2553" s="84"/>
      <c r="U2553" s="84"/>
      <c r="V2553" s="84"/>
      <c r="W2553" s="84"/>
      <c r="X2553" s="84"/>
      <c r="Y2553" s="84"/>
      <c r="Z2553" s="84"/>
      <c r="AA2553" s="84"/>
    </row>
    <row r="2554" ht="15.75" customHeight="1">
      <c r="A2554" s="14" t="s">
        <v>120</v>
      </c>
      <c r="B2554" s="15" t="s">
        <v>25421</v>
      </c>
      <c r="C2554" s="14" t="s">
        <v>26441</v>
      </c>
      <c r="D2554" s="14" t="s">
        <v>26442</v>
      </c>
      <c r="E2554" s="26" t="s">
        <v>26443</v>
      </c>
      <c r="F2554" s="14">
        <v>1793.0</v>
      </c>
      <c r="G2554" s="14">
        <v>1802.0</v>
      </c>
      <c r="H2554" s="14" t="s">
        <v>17059</v>
      </c>
      <c r="I2554" s="19" t="s">
        <v>26444</v>
      </c>
      <c r="J2554" s="19" t="s">
        <v>26445</v>
      </c>
      <c r="K2554" s="19" t="s">
        <v>26446</v>
      </c>
      <c r="L2554" s="19" t="s">
        <v>26447</v>
      </c>
      <c r="M2554" s="20" t="s">
        <v>26449</v>
      </c>
      <c r="N2554" s="44" t="s">
        <v>26450</v>
      </c>
      <c r="O2554" s="22">
        <v>4.0</v>
      </c>
      <c r="P2554" s="28">
        <v>2.0</v>
      </c>
      <c r="Q2554" s="28">
        <v>35.0</v>
      </c>
      <c r="R2554" s="84"/>
      <c r="S2554" s="84"/>
      <c r="T2554" s="84"/>
      <c r="U2554" s="84"/>
      <c r="V2554" s="84"/>
      <c r="W2554" s="84"/>
      <c r="X2554" s="84"/>
      <c r="Y2554" s="84"/>
      <c r="Z2554" s="84"/>
      <c r="AA2554" s="84"/>
    </row>
    <row r="2555" ht="15.75" customHeight="1">
      <c r="A2555" s="14" t="s">
        <v>120</v>
      </c>
      <c r="B2555" s="15" t="s">
        <v>25421</v>
      </c>
      <c r="C2555" s="14" t="s">
        <v>26451</v>
      </c>
      <c r="D2555" s="14" t="s">
        <v>26452</v>
      </c>
      <c r="E2555" s="26" t="s">
        <v>26453</v>
      </c>
      <c r="F2555" s="14">
        <v>1803.0</v>
      </c>
      <c r="G2555" s="14">
        <v>1812.0</v>
      </c>
      <c r="H2555" s="14" t="s">
        <v>17059</v>
      </c>
      <c r="I2555" s="19" t="s">
        <v>26455</v>
      </c>
      <c r="J2555" s="19" t="s">
        <v>26456</v>
      </c>
      <c r="K2555" s="19" t="s">
        <v>26457</v>
      </c>
      <c r="L2555" s="19" t="s">
        <v>26458</v>
      </c>
      <c r="M2555" s="20" t="s">
        <v>26459</v>
      </c>
      <c r="N2555" s="44" t="s">
        <v>26460</v>
      </c>
      <c r="O2555" s="22">
        <v>50.0</v>
      </c>
      <c r="P2555" s="28">
        <v>11.0</v>
      </c>
      <c r="Q2555" s="28">
        <v>42.0</v>
      </c>
      <c r="R2555" s="84"/>
      <c r="S2555" s="84"/>
      <c r="T2555" s="84"/>
      <c r="U2555" s="84"/>
      <c r="V2555" s="84"/>
      <c r="W2555" s="84"/>
      <c r="X2555" s="84"/>
      <c r="Y2555" s="84"/>
      <c r="Z2555" s="84"/>
      <c r="AA2555" s="84"/>
    </row>
    <row r="2556" ht="15.75" customHeight="1">
      <c r="A2556" s="14" t="s">
        <v>120</v>
      </c>
      <c r="B2556" s="15" t="s">
        <v>25421</v>
      </c>
      <c r="C2556" s="14" t="s">
        <v>26461</v>
      </c>
      <c r="D2556" s="14" t="s">
        <v>26462</v>
      </c>
      <c r="E2556" s="26" t="s">
        <v>26463</v>
      </c>
      <c r="F2556" s="14">
        <v>1813.0</v>
      </c>
      <c r="G2556" s="14">
        <v>1822.0</v>
      </c>
      <c r="H2556" s="14" t="s">
        <v>17059</v>
      </c>
      <c r="I2556" s="19" t="s">
        <v>26465</v>
      </c>
      <c r="J2556" s="19" t="s">
        <v>26466</v>
      </c>
      <c r="K2556" s="19" t="s">
        <v>26466</v>
      </c>
      <c r="L2556" s="19" t="s">
        <v>26467</v>
      </c>
      <c r="M2556" s="20" t="s">
        <v>26468</v>
      </c>
      <c r="N2556" s="44" t="s">
        <v>26469</v>
      </c>
      <c r="O2556" s="22">
        <v>50.0</v>
      </c>
      <c r="P2556" s="28">
        <v>44.0</v>
      </c>
      <c r="Q2556" s="28">
        <v>46.0</v>
      </c>
      <c r="R2556" s="84"/>
      <c r="S2556" s="84"/>
      <c r="T2556" s="84"/>
      <c r="U2556" s="84"/>
      <c r="V2556" s="84"/>
      <c r="W2556" s="84"/>
      <c r="X2556" s="84"/>
      <c r="Y2556" s="84"/>
      <c r="Z2556" s="84"/>
      <c r="AA2556" s="84"/>
    </row>
    <row r="2557" ht="15.75" customHeight="1">
      <c r="A2557" s="14" t="s">
        <v>120</v>
      </c>
      <c r="B2557" s="15" t="s">
        <v>25421</v>
      </c>
      <c r="C2557" s="14" t="s">
        <v>26470</v>
      </c>
      <c r="D2557" s="14" t="s">
        <v>26471</v>
      </c>
      <c r="E2557" s="26" t="s">
        <v>26472</v>
      </c>
      <c r="F2557" s="14">
        <v>1823.0</v>
      </c>
      <c r="G2557" s="14">
        <v>1832.0</v>
      </c>
      <c r="H2557" s="14" t="s">
        <v>17059</v>
      </c>
      <c r="I2557" s="19" t="s">
        <v>26474</v>
      </c>
      <c r="J2557" s="19" t="s">
        <v>26475</v>
      </c>
      <c r="K2557" s="19" t="s">
        <v>26476</v>
      </c>
      <c r="L2557" s="19" t="s">
        <v>26477</v>
      </c>
      <c r="M2557" s="20" t="s">
        <v>26478</v>
      </c>
      <c r="N2557" s="44" t="s">
        <v>26479</v>
      </c>
      <c r="O2557" s="22">
        <v>17.0</v>
      </c>
      <c r="P2557" s="28">
        <v>9.0</v>
      </c>
      <c r="Q2557" s="28">
        <v>40.0</v>
      </c>
      <c r="R2557" s="84"/>
      <c r="S2557" s="84"/>
      <c r="T2557" s="84"/>
      <c r="U2557" s="84"/>
      <c r="V2557" s="84"/>
      <c r="W2557" s="84"/>
      <c r="X2557" s="84"/>
      <c r="Y2557" s="84"/>
      <c r="Z2557" s="84"/>
      <c r="AA2557" s="84"/>
    </row>
    <row r="2558" ht="15.75" customHeight="1">
      <c r="A2558" s="14" t="s">
        <v>120</v>
      </c>
      <c r="B2558" s="15" t="s">
        <v>25421</v>
      </c>
      <c r="C2558" s="14" t="s">
        <v>26481</v>
      </c>
      <c r="D2558" s="14" t="s">
        <v>26482</v>
      </c>
      <c r="E2558" s="26" t="s">
        <v>26483</v>
      </c>
      <c r="F2558" s="14">
        <v>1893.0</v>
      </c>
      <c r="G2558" s="14">
        <v>1902.0</v>
      </c>
      <c r="H2558" s="14" t="s">
        <v>17059</v>
      </c>
      <c r="I2558" s="19" t="s">
        <v>26484</v>
      </c>
      <c r="J2558" s="19" t="s">
        <v>26486</v>
      </c>
      <c r="K2558" s="19" t="s">
        <v>26486</v>
      </c>
      <c r="L2558" s="19" t="s">
        <v>26487</v>
      </c>
      <c r="M2558" s="20" t="s">
        <v>26488</v>
      </c>
      <c r="N2558" s="44" t="s">
        <v>26489</v>
      </c>
      <c r="O2558" s="22">
        <v>5.0</v>
      </c>
      <c r="P2558" s="28">
        <v>8.0</v>
      </c>
      <c r="Q2558" s="28">
        <v>43.0</v>
      </c>
      <c r="R2558" s="84"/>
      <c r="S2558" s="84"/>
      <c r="T2558" s="84"/>
      <c r="U2558" s="84"/>
      <c r="V2558" s="84"/>
      <c r="W2558" s="84"/>
      <c r="X2558" s="84"/>
      <c r="Y2558" s="84"/>
      <c r="Z2558" s="84"/>
      <c r="AA2558" s="84"/>
    </row>
    <row r="2559" ht="15.75" customHeight="1">
      <c r="A2559" s="14" t="s">
        <v>120</v>
      </c>
      <c r="B2559" s="15" t="s">
        <v>25421</v>
      </c>
      <c r="C2559" s="14" t="s">
        <v>26491</v>
      </c>
      <c r="D2559" s="14" t="s">
        <v>26492</v>
      </c>
      <c r="E2559" s="26" t="s">
        <v>26493</v>
      </c>
      <c r="F2559" s="14">
        <v>1883.0</v>
      </c>
      <c r="G2559" s="14">
        <v>1892.0</v>
      </c>
      <c r="H2559" s="14" t="s">
        <v>17059</v>
      </c>
      <c r="I2559" s="19" t="s">
        <v>26494</v>
      </c>
      <c r="J2559" s="19" t="s">
        <v>26495</v>
      </c>
      <c r="K2559" s="19" t="s">
        <v>26496</v>
      </c>
      <c r="L2559" s="19" t="s">
        <v>26497</v>
      </c>
      <c r="M2559" s="20" t="s">
        <v>26498</v>
      </c>
      <c r="N2559" s="44" t="s">
        <v>26499</v>
      </c>
      <c r="O2559" s="22">
        <v>13.0</v>
      </c>
      <c r="P2559" s="28">
        <v>9.0</v>
      </c>
      <c r="Q2559" s="28">
        <v>30.0</v>
      </c>
      <c r="R2559" s="84"/>
      <c r="S2559" s="84"/>
      <c r="T2559" s="84"/>
      <c r="U2559" s="84"/>
      <c r="V2559" s="84"/>
      <c r="W2559" s="84"/>
      <c r="X2559" s="84"/>
      <c r="Y2559" s="84"/>
      <c r="Z2559" s="84"/>
      <c r="AA2559" s="84"/>
    </row>
    <row r="2560" ht="15.75" customHeight="1">
      <c r="A2560" s="14" t="s">
        <v>120</v>
      </c>
      <c r="B2560" s="15" t="s">
        <v>25421</v>
      </c>
      <c r="C2560" s="14" t="s">
        <v>26500</v>
      </c>
      <c r="D2560" s="14" t="s">
        <v>26501</v>
      </c>
      <c r="E2560" s="26" t="s">
        <v>26502</v>
      </c>
      <c r="F2560" s="14">
        <v>1903.0</v>
      </c>
      <c r="G2560" s="14">
        <v>1912.0</v>
      </c>
      <c r="H2560" s="14" t="s">
        <v>17059</v>
      </c>
      <c r="I2560" s="19" t="s">
        <v>26505</v>
      </c>
      <c r="J2560" s="19" t="s">
        <v>26506</v>
      </c>
      <c r="K2560" s="19" t="s">
        <v>26507</v>
      </c>
      <c r="L2560" s="19" t="s">
        <v>26508</v>
      </c>
      <c r="M2560" s="20" t="s">
        <v>26509</v>
      </c>
      <c r="N2560" s="44" t="s">
        <v>26510</v>
      </c>
      <c r="O2560" s="22">
        <v>9.0</v>
      </c>
      <c r="P2560" s="28">
        <v>7.0</v>
      </c>
      <c r="Q2560" s="28">
        <v>32.0</v>
      </c>
      <c r="R2560" s="84"/>
      <c r="S2560" s="84"/>
      <c r="T2560" s="84"/>
      <c r="U2560" s="84"/>
      <c r="V2560" s="84"/>
      <c r="W2560" s="84"/>
      <c r="X2560" s="84"/>
      <c r="Y2560" s="84"/>
      <c r="Z2560" s="84"/>
      <c r="AA2560" s="84"/>
    </row>
    <row r="2561" ht="15.75" customHeight="1">
      <c r="A2561" s="14" t="s">
        <v>120</v>
      </c>
      <c r="B2561" s="15" t="s">
        <v>25421</v>
      </c>
      <c r="C2561" s="14" t="s">
        <v>26511</v>
      </c>
      <c r="D2561" s="14" t="s">
        <v>26512</v>
      </c>
      <c r="E2561" s="26" t="s">
        <v>26513</v>
      </c>
      <c r="F2561" s="14">
        <v>1913.0</v>
      </c>
      <c r="G2561" s="14">
        <v>1922.0</v>
      </c>
      <c r="H2561" s="14" t="s">
        <v>17059</v>
      </c>
      <c r="I2561" s="19" t="s">
        <v>26515</v>
      </c>
      <c r="J2561" s="19" t="s">
        <v>26516</v>
      </c>
      <c r="K2561" s="19" t="s">
        <v>26517</v>
      </c>
      <c r="L2561" s="19" t="s">
        <v>26518</v>
      </c>
      <c r="M2561" s="20" t="s">
        <v>26519</v>
      </c>
      <c r="N2561" s="44" t="s">
        <v>26520</v>
      </c>
      <c r="O2561" s="22">
        <v>50.0</v>
      </c>
      <c r="P2561" s="28">
        <v>3.0</v>
      </c>
      <c r="Q2561" s="28">
        <v>29.0</v>
      </c>
      <c r="R2561" s="84"/>
      <c r="S2561" s="84"/>
      <c r="T2561" s="84"/>
      <c r="U2561" s="84"/>
      <c r="V2561" s="84"/>
      <c r="W2561" s="84"/>
      <c r="X2561" s="84"/>
      <c r="Y2561" s="84"/>
      <c r="Z2561" s="84"/>
      <c r="AA2561" s="84"/>
    </row>
    <row r="2562" ht="15.75" customHeight="1">
      <c r="A2562" s="14" t="s">
        <v>120</v>
      </c>
      <c r="B2562" s="15" t="s">
        <v>25421</v>
      </c>
      <c r="C2562" s="14" t="s">
        <v>26521</v>
      </c>
      <c r="D2562" s="14" t="s">
        <v>26523</v>
      </c>
      <c r="E2562" s="26" t="s">
        <v>26524</v>
      </c>
      <c r="F2562" s="14">
        <v>1923.0</v>
      </c>
      <c r="G2562" s="14">
        <v>1932.0</v>
      </c>
      <c r="H2562" s="14" t="s">
        <v>17059</v>
      </c>
      <c r="I2562" s="19" t="s">
        <v>26525</v>
      </c>
      <c r="J2562" s="19" t="s">
        <v>26526</v>
      </c>
      <c r="K2562" s="19" t="s">
        <v>26527</v>
      </c>
      <c r="L2562" s="19" t="s">
        <v>26528</v>
      </c>
      <c r="M2562" s="20" t="s">
        <v>26529</v>
      </c>
      <c r="N2562" s="44" t="s">
        <v>26530</v>
      </c>
      <c r="O2562" s="22">
        <v>12.0</v>
      </c>
      <c r="P2562" s="28">
        <v>6.0</v>
      </c>
      <c r="Q2562" s="28">
        <v>42.0</v>
      </c>
      <c r="R2562" s="84"/>
      <c r="S2562" s="84"/>
      <c r="T2562" s="84"/>
      <c r="U2562" s="84"/>
      <c r="V2562" s="84"/>
      <c r="W2562" s="84"/>
      <c r="X2562" s="84"/>
      <c r="Y2562" s="84"/>
      <c r="Z2562" s="84"/>
      <c r="AA2562" s="84"/>
    </row>
    <row r="2563" ht="15.75" customHeight="1">
      <c r="A2563" s="14" t="s">
        <v>120</v>
      </c>
      <c r="B2563" s="15" t="s">
        <v>25421</v>
      </c>
      <c r="C2563" s="14" t="s">
        <v>26531</v>
      </c>
      <c r="D2563" s="14" t="s">
        <v>26532</v>
      </c>
      <c r="E2563" s="26" t="s">
        <v>26534</v>
      </c>
      <c r="F2563" s="14">
        <v>1833.0</v>
      </c>
      <c r="G2563" s="14">
        <v>1842.0</v>
      </c>
      <c r="H2563" s="14" t="s">
        <v>17059</v>
      </c>
      <c r="I2563" s="19" t="s">
        <v>26536</v>
      </c>
      <c r="J2563" s="19" t="s">
        <v>26537</v>
      </c>
      <c r="K2563" s="19" t="s">
        <v>26537</v>
      </c>
      <c r="L2563" s="19" t="s">
        <v>26538</v>
      </c>
      <c r="M2563" s="20" t="s">
        <v>26539</v>
      </c>
      <c r="N2563" s="44" t="s">
        <v>26540</v>
      </c>
      <c r="O2563" s="22">
        <v>55.0</v>
      </c>
      <c r="P2563" s="28">
        <v>31.0</v>
      </c>
      <c r="Q2563" s="28">
        <v>42.0</v>
      </c>
      <c r="R2563" s="84"/>
      <c r="S2563" s="84"/>
      <c r="T2563" s="84"/>
      <c r="U2563" s="84"/>
      <c r="V2563" s="84"/>
      <c r="W2563" s="84"/>
      <c r="X2563" s="84"/>
      <c r="Y2563" s="84"/>
      <c r="Z2563" s="84"/>
      <c r="AA2563" s="84"/>
    </row>
    <row r="2564" ht="15.75" customHeight="1">
      <c r="A2564" s="14" t="s">
        <v>120</v>
      </c>
      <c r="B2564" s="15" t="s">
        <v>25421</v>
      </c>
      <c r="C2564" s="14" t="s">
        <v>26541</v>
      </c>
      <c r="D2564" s="14" t="s">
        <v>26542</v>
      </c>
      <c r="E2564" s="26" t="s">
        <v>26543</v>
      </c>
      <c r="F2564" s="14">
        <v>1843.0</v>
      </c>
      <c r="G2564" s="14">
        <v>1852.0</v>
      </c>
      <c r="H2564" s="14" t="s">
        <v>17059</v>
      </c>
      <c r="I2564" s="19" t="s">
        <v>26547</v>
      </c>
      <c r="J2564" s="19" t="s">
        <v>26548</v>
      </c>
      <c r="K2564" s="19" t="s">
        <v>26549</v>
      </c>
      <c r="L2564" s="19" t="s">
        <v>26550</v>
      </c>
      <c r="M2564" s="20" t="s">
        <v>26551</v>
      </c>
      <c r="N2564" s="44" t="s">
        <v>26552</v>
      </c>
      <c r="O2564" s="22">
        <v>11.0</v>
      </c>
      <c r="P2564" s="28">
        <v>11.0</v>
      </c>
      <c r="Q2564" s="28">
        <v>43.0</v>
      </c>
      <c r="R2564" s="84"/>
      <c r="S2564" s="84"/>
      <c r="T2564" s="84"/>
      <c r="U2564" s="84"/>
      <c r="V2564" s="84"/>
      <c r="W2564" s="84"/>
      <c r="X2564" s="84"/>
      <c r="Y2564" s="84"/>
      <c r="Z2564" s="84"/>
      <c r="AA2564" s="84"/>
    </row>
    <row r="2565" ht="15.75" customHeight="1">
      <c r="A2565" s="14" t="s">
        <v>120</v>
      </c>
      <c r="B2565" s="15" t="s">
        <v>25421</v>
      </c>
      <c r="C2565" s="14" t="s">
        <v>26553</v>
      </c>
      <c r="D2565" s="14" t="s">
        <v>26554</v>
      </c>
      <c r="E2565" s="26" t="s">
        <v>26555</v>
      </c>
      <c r="F2565" s="14">
        <v>1853.0</v>
      </c>
      <c r="G2565" s="14">
        <v>1862.0</v>
      </c>
      <c r="H2565" s="14" t="s">
        <v>17059</v>
      </c>
      <c r="I2565" s="19" t="s">
        <v>26557</v>
      </c>
      <c r="J2565" s="19" t="s">
        <v>26558</v>
      </c>
      <c r="K2565" s="19" t="s">
        <v>26559</v>
      </c>
      <c r="L2565" s="19" t="s">
        <v>26560</v>
      </c>
      <c r="M2565" s="20" t="s">
        <v>26562</v>
      </c>
      <c r="N2565" s="44" t="s">
        <v>26563</v>
      </c>
      <c r="O2565" s="22">
        <v>9.0</v>
      </c>
      <c r="P2565" s="28">
        <v>2.0</v>
      </c>
      <c r="Q2565" s="28">
        <v>42.0</v>
      </c>
      <c r="R2565" s="84"/>
      <c r="S2565" s="84"/>
      <c r="T2565" s="84"/>
      <c r="U2565" s="84"/>
      <c r="V2565" s="84"/>
      <c r="W2565" s="84"/>
      <c r="X2565" s="84"/>
      <c r="Y2565" s="84"/>
      <c r="Z2565" s="84"/>
      <c r="AA2565" s="84"/>
    </row>
    <row r="2566" ht="15.75" customHeight="1">
      <c r="A2566" s="14" t="s">
        <v>120</v>
      </c>
      <c r="B2566" s="15" t="s">
        <v>25421</v>
      </c>
      <c r="C2566" s="14" t="s">
        <v>26564</v>
      </c>
      <c r="D2566" s="14" t="s">
        <v>26565</v>
      </c>
      <c r="E2566" s="26" t="s">
        <v>26566</v>
      </c>
      <c r="F2566" s="14">
        <v>1733.0</v>
      </c>
      <c r="G2566" s="14">
        <v>1742.0</v>
      </c>
      <c r="H2566" s="14" t="s">
        <v>17059</v>
      </c>
      <c r="I2566" s="19" t="s">
        <v>26567</v>
      </c>
      <c r="J2566" s="19" t="s">
        <v>26568</v>
      </c>
      <c r="K2566" s="19" t="s">
        <v>26568</v>
      </c>
      <c r="L2566" s="19" t="s">
        <v>26570</v>
      </c>
      <c r="M2566" s="20" t="s">
        <v>26572</v>
      </c>
      <c r="N2566" s="44" t="s">
        <v>26573</v>
      </c>
      <c r="O2566" s="22">
        <v>11.0</v>
      </c>
      <c r="P2566" s="28">
        <v>13.0</v>
      </c>
      <c r="Q2566" s="28">
        <v>48.0</v>
      </c>
      <c r="R2566" s="85" t="s">
        <v>19037</v>
      </c>
      <c r="S2566" s="84"/>
      <c r="T2566" s="84"/>
      <c r="U2566" s="84"/>
      <c r="V2566" s="84"/>
      <c r="W2566" s="84"/>
      <c r="X2566" s="84"/>
      <c r="Y2566" s="84"/>
      <c r="Z2566" s="84"/>
      <c r="AA2566" s="84"/>
    </row>
    <row r="2567" ht="15.75" customHeight="1">
      <c r="A2567" s="14" t="s">
        <v>120</v>
      </c>
      <c r="B2567" s="15" t="s">
        <v>25421</v>
      </c>
      <c r="C2567" s="14" t="s">
        <v>26574</v>
      </c>
      <c r="D2567" s="14" t="s">
        <v>26575</v>
      </c>
      <c r="E2567" s="26" t="s">
        <v>26577</v>
      </c>
      <c r="F2567" s="14">
        <v>1743.0</v>
      </c>
      <c r="G2567" s="14">
        <v>1752.0</v>
      </c>
      <c r="H2567" s="14" t="s">
        <v>17059</v>
      </c>
      <c r="I2567" s="19" t="s">
        <v>26578</v>
      </c>
      <c r="J2567" s="19" t="s">
        <v>26579</v>
      </c>
      <c r="K2567" s="19" t="s">
        <v>26580</v>
      </c>
      <c r="L2567" s="19" t="s">
        <v>26581</v>
      </c>
      <c r="M2567" s="20" t="s">
        <v>26582</v>
      </c>
      <c r="N2567" s="44" t="s">
        <v>26583</v>
      </c>
      <c r="O2567" s="22">
        <v>19.0</v>
      </c>
      <c r="P2567" s="28">
        <v>18.0</v>
      </c>
      <c r="Q2567" s="28">
        <v>27.0</v>
      </c>
      <c r="R2567" s="84"/>
      <c r="S2567" s="84"/>
      <c r="T2567" s="84"/>
      <c r="U2567" s="84"/>
      <c r="V2567" s="84"/>
      <c r="W2567" s="84"/>
      <c r="X2567" s="84"/>
      <c r="Y2567" s="84"/>
      <c r="Z2567" s="84"/>
      <c r="AA2567" s="84"/>
    </row>
    <row r="2568" ht="15.75" customHeight="1">
      <c r="A2568" s="14" t="s">
        <v>120</v>
      </c>
      <c r="B2568" s="15" t="s">
        <v>25421</v>
      </c>
      <c r="C2568" s="14" t="s">
        <v>26584</v>
      </c>
      <c r="D2568" s="14" t="s">
        <v>26586</v>
      </c>
      <c r="E2568" s="26" t="s">
        <v>26587</v>
      </c>
      <c r="F2568" s="14">
        <v>1753.0</v>
      </c>
      <c r="G2568" s="14">
        <v>1762.0</v>
      </c>
      <c r="H2568" s="14" t="s">
        <v>17059</v>
      </c>
      <c r="I2568" s="19" t="s">
        <v>26589</v>
      </c>
      <c r="J2568" s="19" t="s">
        <v>26590</v>
      </c>
      <c r="K2568" s="19" t="s">
        <v>26590</v>
      </c>
      <c r="L2568" s="19" t="s">
        <v>26591</v>
      </c>
      <c r="M2568" s="20" t="s">
        <v>26592</v>
      </c>
      <c r="N2568" s="44" t="s">
        <v>26593</v>
      </c>
      <c r="O2568" s="22">
        <v>50.0</v>
      </c>
      <c r="P2568" s="28">
        <v>42.0</v>
      </c>
      <c r="Q2568" s="28">
        <v>46.0</v>
      </c>
      <c r="R2568" s="84"/>
      <c r="S2568" s="84"/>
      <c r="T2568" s="84"/>
      <c r="U2568" s="84"/>
      <c r="V2568" s="84"/>
      <c r="W2568" s="84"/>
      <c r="X2568" s="84"/>
      <c r="Y2568" s="84"/>
      <c r="Z2568" s="84"/>
      <c r="AA2568" s="84"/>
    </row>
    <row r="2569" ht="15.75" customHeight="1">
      <c r="A2569" s="14" t="s">
        <v>120</v>
      </c>
      <c r="B2569" s="15" t="s">
        <v>25421</v>
      </c>
      <c r="C2569" s="14" t="s">
        <v>26594</v>
      </c>
      <c r="D2569" s="14" t="s">
        <v>26595</v>
      </c>
      <c r="E2569" s="26" t="s">
        <v>26596</v>
      </c>
      <c r="F2569" s="14">
        <v>1763.0</v>
      </c>
      <c r="G2569" s="14">
        <v>1772.0</v>
      </c>
      <c r="H2569" s="14" t="s">
        <v>17059</v>
      </c>
      <c r="I2569" s="19" t="s">
        <v>26599</v>
      </c>
      <c r="J2569" s="19" t="s">
        <v>26601</v>
      </c>
      <c r="K2569" s="19" t="s">
        <v>26601</v>
      </c>
      <c r="L2569" s="19" t="s">
        <v>26602</v>
      </c>
      <c r="M2569" s="20" t="s">
        <v>26603</v>
      </c>
      <c r="N2569" s="44" t="s">
        <v>26604</v>
      </c>
      <c r="O2569" s="22">
        <v>52.0</v>
      </c>
      <c r="P2569" s="28">
        <v>52.0</v>
      </c>
      <c r="Q2569" s="28">
        <v>48.0</v>
      </c>
      <c r="R2569" s="84"/>
      <c r="S2569" s="84"/>
      <c r="T2569" s="84"/>
      <c r="U2569" s="84"/>
      <c r="V2569" s="84"/>
      <c r="W2569" s="84"/>
      <c r="X2569" s="84"/>
      <c r="Y2569" s="84"/>
      <c r="Z2569" s="84"/>
      <c r="AA2569" s="84"/>
    </row>
    <row r="2570" ht="15.75" customHeight="1">
      <c r="A2570" s="14" t="s">
        <v>120</v>
      </c>
      <c r="B2570" s="15" t="s">
        <v>25421</v>
      </c>
      <c r="C2570" s="14" t="s">
        <v>26605</v>
      </c>
      <c r="D2570" s="14" t="s">
        <v>26606</v>
      </c>
      <c r="E2570" s="26" t="s">
        <v>26607</v>
      </c>
      <c r="F2570" s="14">
        <v>1773.0</v>
      </c>
      <c r="G2570" s="14">
        <v>1782.0</v>
      </c>
      <c r="H2570" s="14" t="s">
        <v>17059</v>
      </c>
      <c r="I2570" s="19" t="s">
        <v>26608</v>
      </c>
      <c r="J2570" s="19" t="s">
        <v>26609</v>
      </c>
      <c r="K2570" s="19" t="s">
        <v>26609</v>
      </c>
      <c r="L2570" s="19" t="s">
        <v>26610</v>
      </c>
      <c r="M2570" s="20" t="s">
        <v>26611</v>
      </c>
      <c r="N2570" s="44" t="s">
        <v>26612</v>
      </c>
      <c r="O2570" s="22">
        <v>58.0</v>
      </c>
      <c r="P2570" s="28">
        <v>42.0</v>
      </c>
      <c r="Q2570" s="28">
        <v>48.0</v>
      </c>
      <c r="R2570" s="85" t="s">
        <v>19037</v>
      </c>
      <c r="S2570" s="84"/>
      <c r="T2570" s="84"/>
      <c r="U2570" s="84"/>
      <c r="V2570" s="84"/>
      <c r="W2570" s="84"/>
      <c r="X2570" s="84"/>
      <c r="Y2570" s="84"/>
      <c r="Z2570" s="84"/>
      <c r="AA2570" s="84"/>
    </row>
    <row r="2571" ht="15.75" customHeight="1">
      <c r="A2571" s="14" t="s">
        <v>120</v>
      </c>
      <c r="B2571" s="15" t="s">
        <v>25421</v>
      </c>
      <c r="C2571" s="14" t="s">
        <v>26614</v>
      </c>
      <c r="D2571" s="14" t="s">
        <v>26615</v>
      </c>
      <c r="E2571" s="26" t="s">
        <v>26616</v>
      </c>
      <c r="F2571" s="14">
        <v>1863.0</v>
      </c>
      <c r="G2571" s="14">
        <v>1872.0</v>
      </c>
      <c r="H2571" s="14" t="s">
        <v>17059</v>
      </c>
      <c r="I2571" s="19" t="s">
        <v>26618</v>
      </c>
      <c r="J2571" s="19" t="s">
        <v>26619</v>
      </c>
      <c r="K2571" s="19" t="s">
        <v>26619</v>
      </c>
      <c r="L2571" s="19" t="s">
        <v>26620</v>
      </c>
      <c r="M2571" s="20" t="s">
        <v>26621</v>
      </c>
      <c r="N2571" s="44" t="s">
        <v>26622</v>
      </c>
      <c r="O2571" s="22">
        <v>37.0</v>
      </c>
      <c r="P2571" s="28">
        <v>22.0</v>
      </c>
      <c r="Q2571" s="28">
        <v>45.0</v>
      </c>
      <c r="R2571" s="84"/>
      <c r="S2571" s="84"/>
      <c r="T2571" s="84"/>
      <c r="U2571" s="84"/>
      <c r="V2571" s="84"/>
      <c r="W2571" s="84"/>
      <c r="X2571" s="84"/>
      <c r="Y2571" s="84"/>
      <c r="Z2571" s="84"/>
      <c r="AA2571" s="84"/>
    </row>
    <row r="2572" ht="15.75" customHeight="1">
      <c r="A2572" s="14" t="s">
        <v>120</v>
      </c>
      <c r="B2572" s="15" t="s">
        <v>25421</v>
      </c>
      <c r="C2572" s="14" t="s">
        <v>26623</v>
      </c>
      <c r="D2572" s="14" t="s">
        <v>26624</v>
      </c>
      <c r="E2572" s="26" t="s">
        <v>26625</v>
      </c>
      <c r="F2572" s="14">
        <v>1873.0</v>
      </c>
      <c r="G2572" s="14">
        <v>1882.0</v>
      </c>
      <c r="H2572" s="14" t="s">
        <v>17059</v>
      </c>
      <c r="I2572" s="19" t="s">
        <v>26627</v>
      </c>
      <c r="J2572" s="19" t="s">
        <v>26628</v>
      </c>
      <c r="K2572" s="19" t="s">
        <v>26629</v>
      </c>
      <c r="L2572" s="19" t="s">
        <v>26630</v>
      </c>
      <c r="M2572" s="20" t="s">
        <v>26631</v>
      </c>
      <c r="N2572" s="44" t="s">
        <v>26632</v>
      </c>
      <c r="O2572" s="22">
        <v>10.0</v>
      </c>
      <c r="P2572" s="28">
        <v>5.0</v>
      </c>
      <c r="Q2572" s="28">
        <v>36.0</v>
      </c>
      <c r="R2572" s="84"/>
      <c r="S2572" s="84"/>
      <c r="T2572" s="84"/>
      <c r="U2572" s="84"/>
      <c r="V2572" s="84"/>
      <c r="W2572" s="84"/>
      <c r="X2572" s="84"/>
      <c r="Y2572" s="84"/>
      <c r="Z2572" s="84"/>
      <c r="AA2572" s="84"/>
    </row>
    <row r="2573" ht="15.75" customHeight="1">
      <c r="A2573" s="14" t="s">
        <v>120</v>
      </c>
      <c r="B2573" s="15" t="s">
        <v>25421</v>
      </c>
      <c r="C2573" s="14" t="s">
        <v>26633</v>
      </c>
      <c r="D2573" s="14" t="s">
        <v>26634</v>
      </c>
      <c r="E2573" s="26" t="s">
        <v>26635</v>
      </c>
      <c r="F2573" s="14">
        <v>3.0</v>
      </c>
      <c r="G2573" s="14">
        <v>12.0</v>
      </c>
      <c r="H2573" s="14" t="s">
        <v>28</v>
      </c>
      <c r="I2573" s="19" t="s">
        <v>26637</v>
      </c>
      <c r="J2573" s="19" t="s">
        <v>26638</v>
      </c>
      <c r="K2573" s="19" t="s">
        <v>26638</v>
      </c>
      <c r="L2573" s="19" t="s">
        <v>26639</v>
      </c>
      <c r="M2573" s="20" t="s">
        <v>26640</v>
      </c>
      <c r="N2573" s="44" t="s">
        <v>26641</v>
      </c>
      <c r="O2573" s="22">
        <v>50.0</v>
      </c>
      <c r="P2573" s="28">
        <v>5.0</v>
      </c>
      <c r="Q2573" s="28">
        <v>100.0</v>
      </c>
      <c r="R2573" s="84"/>
      <c r="S2573" s="84"/>
      <c r="T2573" s="84"/>
      <c r="U2573" s="84"/>
      <c r="V2573" s="84"/>
      <c r="W2573" s="84"/>
      <c r="X2573" s="84"/>
      <c r="Y2573" s="84"/>
      <c r="Z2573" s="84"/>
      <c r="AA2573" s="84"/>
    </row>
    <row r="2574" ht="15.75" customHeight="1">
      <c r="A2574" s="14" t="s">
        <v>120</v>
      </c>
      <c r="B2574" s="15" t="s">
        <v>25421</v>
      </c>
      <c r="C2574" s="14" t="s">
        <v>26642</v>
      </c>
      <c r="D2574" s="14" t="s">
        <v>26643</v>
      </c>
      <c r="E2574" s="26" t="s">
        <v>26644</v>
      </c>
      <c r="F2574" s="14">
        <v>13.0</v>
      </c>
      <c r="G2574" s="14">
        <v>22.0</v>
      </c>
      <c r="H2574" s="14" t="s">
        <v>28</v>
      </c>
      <c r="I2574" s="19" t="s">
        <v>26648</v>
      </c>
      <c r="J2574" s="19" t="s">
        <v>26649</v>
      </c>
      <c r="K2574" s="19" t="s">
        <v>26650</v>
      </c>
      <c r="L2574" s="19" t="s">
        <v>20131</v>
      </c>
      <c r="M2574" s="20" t="s">
        <v>26651</v>
      </c>
      <c r="N2574" s="44" t="s">
        <v>26652</v>
      </c>
      <c r="O2574" s="22">
        <v>39.0</v>
      </c>
      <c r="P2574" s="28">
        <v>18.0</v>
      </c>
      <c r="Q2574" s="28">
        <v>43.0</v>
      </c>
      <c r="R2574" s="84"/>
      <c r="S2574" s="84"/>
      <c r="T2574" s="84"/>
      <c r="U2574" s="84"/>
      <c r="V2574" s="84"/>
      <c r="W2574" s="84"/>
      <c r="X2574" s="84"/>
      <c r="Y2574" s="84"/>
      <c r="Z2574" s="84"/>
      <c r="AA2574" s="84"/>
    </row>
    <row r="2575" ht="15.75" customHeight="1">
      <c r="A2575" s="14" t="s">
        <v>120</v>
      </c>
      <c r="B2575" s="15" t="s">
        <v>25421</v>
      </c>
      <c r="C2575" s="14" t="s">
        <v>26653</v>
      </c>
      <c r="D2575" s="14" t="s">
        <v>26654</v>
      </c>
      <c r="E2575" s="26" t="s">
        <v>26655</v>
      </c>
      <c r="F2575" s="14">
        <v>23.0</v>
      </c>
      <c r="G2575" s="14">
        <v>32.0</v>
      </c>
      <c r="H2575" s="14" t="s">
        <v>28</v>
      </c>
      <c r="I2575" s="19" t="s">
        <v>26658</v>
      </c>
      <c r="J2575" s="19" t="s">
        <v>26659</v>
      </c>
      <c r="K2575" s="19" t="s">
        <v>26660</v>
      </c>
      <c r="L2575" s="19" t="s">
        <v>26661</v>
      </c>
      <c r="M2575" s="20" t="s">
        <v>26662</v>
      </c>
      <c r="N2575" s="44" t="s">
        <v>26663</v>
      </c>
      <c r="O2575" s="22">
        <v>50.0</v>
      </c>
      <c r="P2575" s="28">
        <v>8.0</v>
      </c>
      <c r="Q2575" s="28">
        <v>35.0</v>
      </c>
      <c r="R2575" s="84"/>
      <c r="S2575" s="84"/>
      <c r="T2575" s="84"/>
      <c r="U2575" s="84"/>
      <c r="V2575" s="84"/>
      <c r="W2575" s="84"/>
      <c r="X2575" s="84"/>
      <c r="Y2575" s="84"/>
      <c r="Z2575" s="84"/>
      <c r="AA2575" s="84"/>
    </row>
    <row r="2576" ht="15.75" customHeight="1">
      <c r="A2576" s="14" t="s">
        <v>120</v>
      </c>
      <c r="B2576" s="15" t="s">
        <v>25421</v>
      </c>
      <c r="C2576" s="14" t="s">
        <v>26664</v>
      </c>
      <c r="D2576" s="14" t="s">
        <v>26665</v>
      </c>
      <c r="E2576" s="26" t="s">
        <v>26666</v>
      </c>
      <c r="F2576" s="14">
        <v>33.0</v>
      </c>
      <c r="G2576" s="14">
        <v>42.0</v>
      </c>
      <c r="H2576" s="14" t="s">
        <v>28</v>
      </c>
      <c r="I2576" s="19" t="s">
        <v>26668</v>
      </c>
      <c r="J2576" s="19" t="s">
        <v>26670</v>
      </c>
      <c r="K2576" s="19" t="s">
        <v>26670</v>
      </c>
      <c r="L2576" s="19" t="s">
        <v>26671</v>
      </c>
      <c r="M2576" s="20" t="s">
        <v>26672</v>
      </c>
      <c r="N2576" s="44" t="s">
        <v>26673</v>
      </c>
      <c r="O2576" s="22">
        <v>2.0</v>
      </c>
      <c r="P2576" s="28">
        <v>1.0</v>
      </c>
      <c r="Q2576" s="28">
        <v>29.0</v>
      </c>
      <c r="R2576" s="84"/>
      <c r="S2576" s="84"/>
      <c r="T2576" s="84"/>
      <c r="U2576" s="84"/>
      <c r="V2576" s="84"/>
      <c r="W2576" s="84"/>
      <c r="X2576" s="84"/>
      <c r="Y2576" s="84"/>
      <c r="Z2576" s="84"/>
      <c r="AA2576" s="84"/>
    </row>
    <row r="2577" ht="15.75" customHeight="1">
      <c r="A2577" s="14" t="s">
        <v>120</v>
      </c>
      <c r="B2577" s="15" t="s">
        <v>25421</v>
      </c>
      <c r="C2577" s="14" t="s">
        <v>26674</v>
      </c>
      <c r="D2577" s="14" t="s">
        <v>26676</v>
      </c>
      <c r="E2577" s="26" t="s">
        <v>26677</v>
      </c>
      <c r="F2577" s="14">
        <v>43.0</v>
      </c>
      <c r="G2577" s="14">
        <v>52.0</v>
      </c>
      <c r="H2577" s="14" t="s">
        <v>28</v>
      </c>
      <c r="I2577" s="19" t="s">
        <v>26678</v>
      </c>
      <c r="J2577" s="19" t="s">
        <v>26679</v>
      </c>
      <c r="K2577" s="19" t="s">
        <v>26679</v>
      </c>
      <c r="L2577" s="19" t="s">
        <v>26680</v>
      </c>
      <c r="M2577" s="20" t="s">
        <v>26681</v>
      </c>
      <c r="N2577" s="44" t="s">
        <v>26682</v>
      </c>
      <c r="O2577" s="22">
        <v>26.0</v>
      </c>
      <c r="P2577" s="28">
        <v>15.0</v>
      </c>
      <c r="Q2577" s="28">
        <v>37.0</v>
      </c>
      <c r="R2577" s="84"/>
      <c r="S2577" s="84"/>
      <c r="T2577" s="84"/>
      <c r="U2577" s="84"/>
      <c r="V2577" s="84"/>
      <c r="W2577" s="84"/>
      <c r="X2577" s="84"/>
      <c r="Y2577" s="84"/>
      <c r="Z2577" s="84"/>
      <c r="AA2577" s="84"/>
    </row>
    <row r="2578" ht="15.75" customHeight="1">
      <c r="A2578" s="14" t="s">
        <v>120</v>
      </c>
      <c r="B2578" s="15" t="s">
        <v>25421</v>
      </c>
      <c r="C2578" s="14" t="s">
        <v>26684</v>
      </c>
      <c r="D2578" s="14" t="s">
        <v>26685</v>
      </c>
      <c r="E2578" s="26" t="s">
        <v>26686</v>
      </c>
      <c r="F2578" s="14">
        <v>53.0</v>
      </c>
      <c r="G2578" s="14">
        <v>62.0</v>
      </c>
      <c r="H2578" s="14" t="s">
        <v>28</v>
      </c>
      <c r="I2578" s="19" t="s">
        <v>26688</v>
      </c>
      <c r="J2578" s="19" t="s">
        <v>26689</v>
      </c>
      <c r="K2578" s="19" t="s">
        <v>26689</v>
      </c>
      <c r="L2578" s="19" t="s">
        <v>26690</v>
      </c>
      <c r="M2578" s="20" t="s">
        <v>26691</v>
      </c>
      <c r="N2578" s="44" t="s">
        <v>26692</v>
      </c>
      <c r="O2578" s="22">
        <v>3.0</v>
      </c>
      <c r="P2578" s="28">
        <v>1.0</v>
      </c>
      <c r="Q2578" s="28">
        <v>29.0</v>
      </c>
      <c r="R2578" s="84"/>
      <c r="S2578" s="84"/>
      <c r="T2578" s="84"/>
      <c r="U2578" s="84"/>
      <c r="V2578" s="84"/>
      <c r="W2578" s="84"/>
      <c r="X2578" s="84"/>
      <c r="Y2578" s="84"/>
      <c r="Z2578" s="84"/>
      <c r="AA2578" s="84"/>
    </row>
    <row r="2579" ht="15.75" customHeight="1">
      <c r="A2579" s="14" t="s">
        <v>120</v>
      </c>
      <c r="B2579" s="15" t="s">
        <v>25421</v>
      </c>
      <c r="C2579" s="14" t="s">
        <v>26693</v>
      </c>
      <c r="D2579" s="14" t="s">
        <v>26694</v>
      </c>
      <c r="E2579" s="26" t="s">
        <v>26695</v>
      </c>
      <c r="F2579" s="14">
        <v>63.0</v>
      </c>
      <c r="G2579" s="14">
        <v>72.0</v>
      </c>
      <c r="H2579" s="14" t="s">
        <v>28</v>
      </c>
      <c r="I2579" s="19" t="s">
        <v>26696</v>
      </c>
      <c r="J2579" s="19" t="s">
        <v>26698</v>
      </c>
      <c r="K2579" s="19" t="s">
        <v>26698</v>
      </c>
      <c r="L2579" s="19" t="s">
        <v>26699</v>
      </c>
      <c r="M2579" s="20" t="s">
        <v>26700</v>
      </c>
      <c r="N2579" s="44" t="s">
        <v>26701</v>
      </c>
      <c r="O2579" s="22">
        <v>8.0</v>
      </c>
      <c r="P2579" s="28">
        <v>5.0</v>
      </c>
      <c r="Q2579" s="28">
        <v>31.0</v>
      </c>
      <c r="R2579" s="84"/>
      <c r="S2579" s="84"/>
      <c r="T2579" s="84"/>
      <c r="U2579" s="84"/>
      <c r="V2579" s="84"/>
      <c r="W2579" s="84"/>
      <c r="X2579" s="84"/>
      <c r="Y2579" s="84"/>
      <c r="Z2579" s="84"/>
      <c r="AA2579" s="84"/>
    </row>
    <row r="2580" ht="15.75" customHeight="1">
      <c r="A2580" s="14" t="s">
        <v>120</v>
      </c>
      <c r="B2580" s="15" t="s">
        <v>25421</v>
      </c>
      <c r="C2580" s="14" t="s">
        <v>26702</v>
      </c>
      <c r="D2580" s="14" t="s">
        <v>26704</v>
      </c>
      <c r="E2580" s="26" t="s">
        <v>26705</v>
      </c>
      <c r="F2580" s="14">
        <v>73.0</v>
      </c>
      <c r="G2580" s="14">
        <v>82.0</v>
      </c>
      <c r="H2580" s="14" t="s">
        <v>28</v>
      </c>
      <c r="I2580" s="19" t="s">
        <v>26707</v>
      </c>
      <c r="J2580" s="19" t="s">
        <v>26708</v>
      </c>
      <c r="K2580" s="19" t="s">
        <v>26708</v>
      </c>
      <c r="L2580" s="19" t="s">
        <v>26710</v>
      </c>
      <c r="M2580" s="20" t="s">
        <v>26711</v>
      </c>
      <c r="N2580" s="44" t="s">
        <v>26712</v>
      </c>
      <c r="O2580" s="109"/>
      <c r="P2580" s="28">
        <v>5.0</v>
      </c>
      <c r="Q2580" s="28">
        <v>35.0</v>
      </c>
      <c r="R2580" s="84"/>
      <c r="S2580" s="84"/>
      <c r="T2580" s="84"/>
      <c r="U2580" s="84"/>
      <c r="V2580" s="84"/>
      <c r="W2580" s="84"/>
      <c r="X2580" s="84"/>
      <c r="Y2580" s="84"/>
      <c r="Z2580" s="84"/>
      <c r="AA2580" s="84"/>
    </row>
    <row r="2581" ht="15.75" customHeight="1">
      <c r="A2581" s="14" t="s">
        <v>120</v>
      </c>
      <c r="B2581" s="15" t="s">
        <v>25421</v>
      </c>
      <c r="C2581" s="14" t="s">
        <v>26713</v>
      </c>
      <c r="D2581" s="14" t="s">
        <v>26714</v>
      </c>
      <c r="E2581" s="26" t="s">
        <v>26715</v>
      </c>
      <c r="F2581" s="14">
        <v>83.0</v>
      </c>
      <c r="G2581" s="14">
        <v>92.0</v>
      </c>
      <c r="H2581" s="14" t="s">
        <v>28</v>
      </c>
      <c r="I2581" s="19" t="s">
        <v>26717</v>
      </c>
      <c r="J2581" s="19" t="s">
        <v>26718</v>
      </c>
      <c r="K2581" s="19" t="s">
        <v>26719</v>
      </c>
      <c r="L2581" s="19" t="s">
        <v>26720</v>
      </c>
      <c r="M2581" s="20" t="s">
        <v>26721</v>
      </c>
      <c r="N2581" s="27"/>
      <c r="O2581" s="43">
        <v>11.0</v>
      </c>
      <c r="P2581" s="28">
        <v>2.0</v>
      </c>
      <c r="Q2581" s="28">
        <v>47.0</v>
      </c>
      <c r="R2581" s="84"/>
      <c r="S2581" s="84"/>
      <c r="T2581" s="84"/>
      <c r="U2581" s="84"/>
      <c r="V2581" s="84"/>
      <c r="W2581" s="84"/>
      <c r="X2581" s="84"/>
      <c r="Y2581" s="84"/>
      <c r="Z2581" s="84"/>
      <c r="AA2581" s="84"/>
    </row>
    <row r="2582" ht="15.75" customHeight="1">
      <c r="A2582" s="14" t="s">
        <v>120</v>
      </c>
      <c r="B2582" s="15" t="s">
        <v>25421</v>
      </c>
      <c r="C2582" s="14" t="s">
        <v>26722</v>
      </c>
      <c r="D2582" s="14" t="s">
        <v>26723</v>
      </c>
      <c r="E2582" s="26" t="s">
        <v>26724</v>
      </c>
      <c r="F2582" s="14">
        <v>93.0</v>
      </c>
      <c r="G2582" s="14">
        <v>102.0</v>
      </c>
      <c r="H2582" s="14" t="s">
        <v>28</v>
      </c>
      <c r="I2582" s="19" t="s">
        <v>26726</v>
      </c>
      <c r="J2582" s="19" t="s">
        <v>26727</v>
      </c>
      <c r="K2582" s="19" t="s">
        <v>26727</v>
      </c>
      <c r="L2582" s="19" t="s">
        <v>26729</v>
      </c>
      <c r="M2582" s="20" t="s">
        <v>26730</v>
      </c>
      <c r="N2582" s="44" t="s">
        <v>26731</v>
      </c>
      <c r="O2582" s="22">
        <v>4.0</v>
      </c>
      <c r="P2582" s="28">
        <v>5.0</v>
      </c>
      <c r="Q2582" s="28">
        <v>51.0</v>
      </c>
      <c r="R2582" s="84"/>
      <c r="S2582" s="84"/>
      <c r="T2582" s="84"/>
      <c r="U2582" s="84"/>
      <c r="V2582" s="84"/>
      <c r="W2582" s="84"/>
      <c r="X2582" s="84"/>
      <c r="Y2582" s="84"/>
      <c r="Z2582" s="84"/>
      <c r="AA2582" s="84"/>
    </row>
    <row r="2583" ht="15.75" customHeight="1">
      <c r="A2583" s="14" t="s">
        <v>120</v>
      </c>
      <c r="B2583" s="15" t="s">
        <v>25421</v>
      </c>
      <c r="C2583" s="14" t="s">
        <v>26732</v>
      </c>
      <c r="D2583" s="14" t="s">
        <v>26733</v>
      </c>
      <c r="E2583" s="26" t="s">
        <v>26734</v>
      </c>
      <c r="F2583" s="14">
        <v>103.0</v>
      </c>
      <c r="G2583" s="14">
        <v>112.0</v>
      </c>
      <c r="H2583" s="14" t="s">
        <v>28</v>
      </c>
      <c r="I2583" s="19" t="s">
        <v>26736</v>
      </c>
      <c r="J2583" s="19" t="s">
        <v>26738</v>
      </c>
      <c r="K2583" s="19" t="s">
        <v>26739</v>
      </c>
      <c r="L2583" s="19" t="s">
        <v>26740</v>
      </c>
      <c r="M2583" s="20" t="s">
        <v>26741</v>
      </c>
      <c r="N2583" s="44" t="s">
        <v>26742</v>
      </c>
      <c r="O2583" s="22">
        <v>50.0</v>
      </c>
      <c r="P2583" s="28">
        <v>16.0</v>
      </c>
      <c r="Q2583" s="28">
        <v>48.0</v>
      </c>
      <c r="R2583" s="84"/>
      <c r="S2583" s="84"/>
      <c r="T2583" s="84"/>
      <c r="U2583" s="84"/>
      <c r="V2583" s="84"/>
      <c r="W2583" s="84"/>
      <c r="X2583" s="84"/>
      <c r="Y2583" s="84"/>
      <c r="Z2583" s="84"/>
      <c r="AA2583" s="84"/>
    </row>
    <row r="2584" ht="15.75" customHeight="1">
      <c r="A2584" s="14" t="s">
        <v>120</v>
      </c>
      <c r="B2584" s="15" t="s">
        <v>25421</v>
      </c>
      <c r="C2584" s="14" t="s">
        <v>26743</v>
      </c>
      <c r="D2584" s="14" t="s">
        <v>26744</v>
      </c>
      <c r="E2584" s="26" t="s">
        <v>26745</v>
      </c>
      <c r="F2584" s="14">
        <v>113.0</v>
      </c>
      <c r="G2584" s="14">
        <v>122.0</v>
      </c>
      <c r="H2584" s="14" t="s">
        <v>28</v>
      </c>
      <c r="I2584" s="19" t="s">
        <v>26746</v>
      </c>
      <c r="J2584" s="19" t="s">
        <v>26747</v>
      </c>
      <c r="K2584" s="19" t="s">
        <v>26747</v>
      </c>
      <c r="L2584" s="19" t="s">
        <v>26748</v>
      </c>
      <c r="M2584" s="20" t="s">
        <v>26749</v>
      </c>
      <c r="N2584" s="44" t="s">
        <v>26750</v>
      </c>
      <c r="O2584" s="22">
        <v>50.0</v>
      </c>
      <c r="P2584" s="28">
        <v>9.0</v>
      </c>
      <c r="Q2584" s="28">
        <v>45.0</v>
      </c>
      <c r="R2584" s="84"/>
      <c r="S2584" s="84"/>
      <c r="T2584" s="84"/>
      <c r="U2584" s="84"/>
      <c r="V2584" s="84"/>
      <c r="W2584" s="84"/>
      <c r="X2584" s="84"/>
      <c r="Y2584" s="84"/>
      <c r="Z2584" s="84"/>
      <c r="AA2584" s="84"/>
    </row>
    <row r="2585" ht="15.75" customHeight="1">
      <c r="A2585" s="14" t="s">
        <v>120</v>
      </c>
      <c r="B2585" s="15" t="s">
        <v>25421</v>
      </c>
      <c r="C2585" s="14" t="s">
        <v>26752</v>
      </c>
      <c r="D2585" s="14" t="s">
        <v>26753</v>
      </c>
      <c r="E2585" s="26" t="s">
        <v>26754</v>
      </c>
      <c r="F2585" s="14">
        <v>123.0</v>
      </c>
      <c r="G2585" s="14">
        <v>132.0</v>
      </c>
      <c r="H2585" s="14" t="s">
        <v>28</v>
      </c>
      <c r="I2585" s="19" t="s">
        <v>26755</v>
      </c>
      <c r="J2585" s="19" t="s">
        <v>26756</v>
      </c>
      <c r="K2585" s="19" t="s">
        <v>26757</v>
      </c>
      <c r="L2585" s="19" t="s">
        <v>26758</v>
      </c>
      <c r="M2585" s="20" t="s">
        <v>26759</v>
      </c>
      <c r="N2585" s="44" t="s">
        <v>26761</v>
      </c>
      <c r="O2585" s="22">
        <v>50.0</v>
      </c>
      <c r="P2585" s="28">
        <v>2.0</v>
      </c>
      <c r="Q2585" s="28">
        <v>60.0</v>
      </c>
      <c r="R2585" s="84"/>
      <c r="S2585" s="84"/>
      <c r="T2585" s="84"/>
      <c r="U2585" s="84"/>
      <c r="V2585" s="84"/>
      <c r="W2585" s="84"/>
      <c r="X2585" s="84"/>
      <c r="Y2585" s="84"/>
      <c r="Z2585" s="84"/>
      <c r="AA2585" s="84"/>
    </row>
    <row r="2586" ht="15.75" customHeight="1">
      <c r="A2586" s="14" t="s">
        <v>120</v>
      </c>
      <c r="B2586" s="15" t="s">
        <v>25421</v>
      </c>
      <c r="C2586" s="14" t="s">
        <v>26762</v>
      </c>
      <c r="D2586" s="14" t="s">
        <v>26763</v>
      </c>
      <c r="E2586" s="26" t="s">
        <v>26765</v>
      </c>
      <c r="F2586" s="14">
        <v>133.0</v>
      </c>
      <c r="G2586" s="14">
        <v>142.0</v>
      </c>
      <c r="H2586" s="14" t="s">
        <v>28</v>
      </c>
      <c r="I2586" s="19" t="s">
        <v>26766</v>
      </c>
      <c r="J2586" s="19" t="s">
        <v>26767</v>
      </c>
      <c r="K2586" s="19" t="s">
        <v>26767</v>
      </c>
      <c r="L2586" s="19" t="s">
        <v>26768</v>
      </c>
      <c r="M2586" s="20" t="s">
        <v>26769</v>
      </c>
      <c r="N2586" s="44" t="s">
        <v>26770</v>
      </c>
      <c r="O2586" s="22">
        <v>50.0</v>
      </c>
      <c r="P2586" s="28">
        <v>7.0</v>
      </c>
      <c r="Q2586" s="28">
        <v>54.0</v>
      </c>
      <c r="R2586" s="84"/>
      <c r="S2586" s="84"/>
      <c r="T2586" s="84"/>
      <c r="U2586" s="84"/>
      <c r="V2586" s="84"/>
      <c r="W2586" s="84"/>
      <c r="X2586" s="84"/>
      <c r="Y2586" s="84"/>
      <c r="Z2586" s="84"/>
      <c r="AA2586" s="84"/>
    </row>
    <row r="2587" ht="15.75" customHeight="1">
      <c r="A2587" s="14" t="s">
        <v>120</v>
      </c>
      <c r="B2587" s="15" t="s">
        <v>25421</v>
      </c>
      <c r="C2587" s="14" t="s">
        <v>26771</v>
      </c>
      <c r="D2587" s="14" t="s">
        <v>26773</v>
      </c>
      <c r="E2587" s="26" t="s">
        <v>26774</v>
      </c>
      <c r="F2587" s="14">
        <v>143.0</v>
      </c>
      <c r="G2587" s="14">
        <v>152.0</v>
      </c>
      <c r="H2587" s="14" t="s">
        <v>28</v>
      </c>
      <c r="I2587" s="19" t="s">
        <v>26776</v>
      </c>
      <c r="J2587" s="19" t="s">
        <v>26777</v>
      </c>
      <c r="K2587" s="19" t="s">
        <v>26778</v>
      </c>
      <c r="L2587" s="19" t="s">
        <v>26779</v>
      </c>
      <c r="M2587" s="20" t="s">
        <v>26780</v>
      </c>
      <c r="N2587" s="44" t="s">
        <v>26781</v>
      </c>
      <c r="O2587" s="22">
        <v>11.0</v>
      </c>
      <c r="P2587" s="28">
        <v>4.0</v>
      </c>
      <c r="Q2587" s="28">
        <v>40.0</v>
      </c>
      <c r="R2587" s="84"/>
      <c r="S2587" s="84"/>
      <c r="T2587" s="84"/>
      <c r="U2587" s="84"/>
      <c r="V2587" s="84"/>
      <c r="W2587" s="84"/>
      <c r="X2587" s="84"/>
      <c r="Y2587" s="84"/>
      <c r="Z2587" s="84"/>
      <c r="AA2587" s="84"/>
    </row>
    <row r="2588" ht="15.75" customHeight="1">
      <c r="A2588" s="14" t="s">
        <v>120</v>
      </c>
      <c r="B2588" s="15" t="s">
        <v>25421</v>
      </c>
      <c r="C2588" s="14" t="s">
        <v>26782</v>
      </c>
      <c r="D2588" s="14" t="s">
        <v>26783</v>
      </c>
      <c r="E2588" s="26" t="s">
        <v>26784</v>
      </c>
      <c r="F2588" s="14">
        <v>153.0</v>
      </c>
      <c r="G2588" s="14">
        <v>162.0</v>
      </c>
      <c r="H2588" s="14" t="s">
        <v>28</v>
      </c>
      <c r="I2588" s="19" t="s">
        <v>26788</v>
      </c>
      <c r="J2588" s="19" t="s">
        <v>26789</v>
      </c>
      <c r="K2588" s="19" t="s">
        <v>26789</v>
      </c>
      <c r="L2588" s="19" t="s">
        <v>26790</v>
      </c>
      <c r="M2588" s="20" t="s">
        <v>26791</v>
      </c>
      <c r="N2588" s="44" t="s">
        <v>26792</v>
      </c>
      <c r="O2588" s="22">
        <v>50.0</v>
      </c>
      <c r="P2588" s="28">
        <v>6.0</v>
      </c>
      <c r="Q2588" s="28">
        <v>33.0</v>
      </c>
      <c r="R2588" s="84"/>
      <c r="S2588" s="84"/>
      <c r="T2588" s="84"/>
      <c r="U2588" s="84"/>
      <c r="V2588" s="84"/>
      <c r="W2588" s="84"/>
      <c r="X2588" s="84"/>
      <c r="Y2588" s="84"/>
      <c r="Z2588" s="84"/>
      <c r="AA2588" s="84"/>
    </row>
    <row r="2589" ht="15.75" customHeight="1">
      <c r="A2589" s="14" t="s">
        <v>120</v>
      </c>
      <c r="B2589" s="15" t="s">
        <v>25421</v>
      </c>
      <c r="C2589" s="14" t="s">
        <v>26793</v>
      </c>
      <c r="D2589" s="14" t="s">
        <v>26794</v>
      </c>
      <c r="E2589" s="26" t="s">
        <v>26795</v>
      </c>
      <c r="F2589" s="14">
        <v>163.0</v>
      </c>
      <c r="G2589" s="14">
        <v>172.0</v>
      </c>
      <c r="H2589" s="14" t="s">
        <v>28</v>
      </c>
      <c r="I2589" s="19" t="s">
        <v>26799</v>
      </c>
      <c r="J2589" s="19" t="s">
        <v>26800</v>
      </c>
      <c r="K2589" s="19" t="s">
        <v>26800</v>
      </c>
      <c r="L2589" s="19" t="s">
        <v>26801</v>
      </c>
      <c r="M2589" s="20" t="s">
        <v>26802</v>
      </c>
      <c r="N2589" s="44" t="s">
        <v>26803</v>
      </c>
      <c r="O2589" s="22">
        <v>50.0</v>
      </c>
      <c r="P2589" s="28">
        <v>13.0</v>
      </c>
      <c r="Q2589" s="28">
        <v>35.0</v>
      </c>
      <c r="R2589" s="84"/>
      <c r="S2589" s="84"/>
      <c r="T2589" s="84"/>
      <c r="U2589" s="84"/>
      <c r="V2589" s="84"/>
      <c r="W2589" s="84"/>
      <c r="X2589" s="84"/>
      <c r="Y2589" s="84"/>
      <c r="Z2589" s="84"/>
      <c r="AA2589" s="84"/>
    </row>
    <row r="2590" ht="15.75" customHeight="1">
      <c r="A2590" s="14" t="s">
        <v>120</v>
      </c>
      <c r="B2590" s="15" t="s">
        <v>25421</v>
      </c>
      <c r="C2590" s="14" t="s">
        <v>26804</v>
      </c>
      <c r="D2590" s="14" t="s">
        <v>26805</v>
      </c>
      <c r="E2590" s="26" t="s">
        <v>26806</v>
      </c>
      <c r="F2590" s="14">
        <v>173.0</v>
      </c>
      <c r="G2590" s="14">
        <v>182.0</v>
      </c>
      <c r="H2590" s="14" t="s">
        <v>28</v>
      </c>
      <c r="I2590" s="19" t="s">
        <v>26807</v>
      </c>
      <c r="J2590" s="19" t="s">
        <v>26808</v>
      </c>
      <c r="K2590" s="19" t="s">
        <v>26809</v>
      </c>
      <c r="L2590" s="19" t="s">
        <v>26811</v>
      </c>
      <c r="M2590" s="20" t="s">
        <v>26812</v>
      </c>
      <c r="N2590" s="44" t="s">
        <v>26813</v>
      </c>
      <c r="O2590" s="22">
        <v>48.0</v>
      </c>
      <c r="P2590" s="28">
        <v>24.0</v>
      </c>
      <c r="Q2590" s="28">
        <v>38.0</v>
      </c>
      <c r="R2590" s="84"/>
      <c r="S2590" s="84"/>
      <c r="T2590" s="84"/>
      <c r="U2590" s="84"/>
      <c r="V2590" s="84"/>
      <c r="W2590" s="84"/>
      <c r="X2590" s="84"/>
      <c r="Y2590" s="84"/>
      <c r="Z2590" s="84"/>
      <c r="AA2590" s="84"/>
    </row>
    <row r="2591" ht="15.75" customHeight="1">
      <c r="A2591" s="14" t="s">
        <v>120</v>
      </c>
      <c r="B2591" s="15" t="s">
        <v>25421</v>
      </c>
      <c r="C2591" s="14" t="s">
        <v>26814</v>
      </c>
      <c r="D2591" s="14" t="s">
        <v>26815</v>
      </c>
      <c r="E2591" s="26" t="s">
        <v>26816</v>
      </c>
      <c r="F2591" s="14">
        <v>183.0</v>
      </c>
      <c r="G2591" s="14">
        <v>192.0</v>
      </c>
      <c r="H2591" s="14" t="s">
        <v>28</v>
      </c>
      <c r="I2591" s="19" t="s">
        <v>26817</v>
      </c>
      <c r="J2591" s="19" t="s">
        <v>26818</v>
      </c>
      <c r="K2591" s="19" t="s">
        <v>26818</v>
      </c>
      <c r="L2591" s="19" t="s">
        <v>26820</v>
      </c>
      <c r="M2591" s="20" t="s">
        <v>26822</v>
      </c>
      <c r="N2591" s="44" t="s">
        <v>26823</v>
      </c>
      <c r="O2591" s="22">
        <v>50.0</v>
      </c>
      <c r="P2591" s="28">
        <v>21.0</v>
      </c>
      <c r="Q2591" s="28">
        <v>61.0</v>
      </c>
      <c r="R2591" s="84"/>
      <c r="S2591" s="84"/>
      <c r="T2591" s="84"/>
      <c r="U2591" s="84"/>
      <c r="V2591" s="84"/>
      <c r="W2591" s="84"/>
      <c r="X2591" s="84"/>
      <c r="Y2591" s="84"/>
      <c r="Z2591" s="84"/>
      <c r="AA2591" s="84"/>
    </row>
    <row r="2592" ht="15.75" customHeight="1">
      <c r="A2592" s="14" t="s">
        <v>120</v>
      </c>
      <c r="B2592" s="15" t="s">
        <v>25421</v>
      </c>
      <c r="C2592" s="14" t="s">
        <v>26825</v>
      </c>
      <c r="D2592" s="14" t="s">
        <v>26826</v>
      </c>
      <c r="E2592" s="26" t="s">
        <v>26827</v>
      </c>
      <c r="F2592" s="14">
        <v>193.0</v>
      </c>
      <c r="G2592" s="14">
        <v>202.0</v>
      </c>
      <c r="H2592" s="14" t="s">
        <v>28</v>
      </c>
      <c r="I2592" s="19" t="s">
        <v>26828</v>
      </c>
      <c r="J2592" s="19" t="s">
        <v>26829</v>
      </c>
      <c r="K2592" s="19" t="s">
        <v>26830</v>
      </c>
      <c r="L2592" s="19" t="s">
        <v>26831</v>
      </c>
      <c r="M2592" s="20" t="s">
        <v>26832</v>
      </c>
      <c r="N2592" s="44" t="s">
        <v>26833</v>
      </c>
      <c r="O2592" s="22">
        <v>29.0</v>
      </c>
      <c r="P2592" s="28">
        <v>11.0</v>
      </c>
      <c r="Q2592" s="28">
        <v>49.0</v>
      </c>
      <c r="R2592" s="84"/>
      <c r="S2592" s="84"/>
      <c r="T2592" s="84"/>
      <c r="U2592" s="84"/>
      <c r="V2592" s="84"/>
      <c r="W2592" s="84"/>
      <c r="X2592" s="84"/>
      <c r="Y2592" s="84"/>
      <c r="Z2592" s="84"/>
      <c r="AA2592" s="84"/>
    </row>
    <row r="2593" ht="15.75" customHeight="1">
      <c r="A2593" s="14" t="s">
        <v>120</v>
      </c>
      <c r="B2593" s="15" t="s">
        <v>25421</v>
      </c>
      <c r="C2593" s="14" t="s">
        <v>26834</v>
      </c>
      <c r="D2593" s="14" t="s">
        <v>26835</v>
      </c>
      <c r="E2593" s="26" t="s">
        <v>26836</v>
      </c>
      <c r="F2593" s="14">
        <v>203.0</v>
      </c>
      <c r="G2593" s="14">
        <v>212.0</v>
      </c>
      <c r="H2593" s="14" t="s">
        <v>28</v>
      </c>
      <c r="I2593" s="19" t="s">
        <v>26839</v>
      </c>
      <c r="J2593" s="19" t="s">
        <v>26840</v>
      </c>
      <c r="K2593" s="19" t="s">
        <v>26841</v>
      </c>
      <c r="L2593" s="19" t="s">
        <v>26842</v>
      </c>
      <c r="M2593" s="20" t="s">
        <v>26843</v>
      </c>
      <c r="N2593" s="44" t="s">
        <v>26844</v>
      </c>
      <c r="O2593" s="22">
        <v>50.0</v>
      </c>
      <c r="P2593" s="28">
        <v>10.0</v>
      </c>
      <c r="Q2593" s="28">
        <v>34.0</v>
      </c>
      <c r="R2593" s="84"/>
      <c r="S2593" s="84"/>
      <c r="T2593" s="84"/>
      <c r="U2593" s="84"/>
      <c r="V2593" s="84"/>
      <c r="W2593" s="84"/>
      <c r="X2593" s="84"/>
      <c r="Y2593" s="84"/>
      <c r="Z2593" s="84"/>
      <c r="AA2593" s="84"/>
    </row>
    <row r="2594" ht="15.75" customHeight="1">
      <c r="A2594" s="30" t="s">
        <v>2137</v>
      </c>
      <c r="B2594" s="126" t="s">
        <v>26845</v>
      </c>
      <c r="C2594" s="30" t="s">
        <v>26848</v>
      </c>
      <c r="D2594" s="30" t="s">
        <v>26849</v>
      </c>
      <c r="E2594" s="127" t="s">
        <v>26850</v>
      </c>
      <c r="F2594" s="128">
        <v>449.0</v>
      </c>
      <c r="G2594" s="128">
        <v>458.0</v>
      </c>
      <c r="H2594" s="16" t="s">
        <v>17059</v>
      </c>
      <c r="I2594" s="19" t="s">
        <v>26853</v>
      </c>
      <c r="J2594" s="19" t="s">
        <v>26854</v>
      </c>
      <c r="K2594" s="19" t="s">
        <v>26854</v>
      </c>
      <c r="L2594" s="19" t="s">
        <v>26855</v>
      </c>
      <c r="M2594" s="20" t="s">
        <v>26856</v>
      </c>
      <c r="N2594" s="129" t="s">
        <v>26857</v>
      </c>
      <c r="O2594" s="22">
        <v>3.0</v>
      </c>
      <c r="P2594" s="28">
        <v>11.0</v>
      </c>
      <c r="Q2594" s="28">
        <v>46.0</v>
      </c>
      <c r="R2594" s="30"/>
      <c r="S2594" s="30"/>
      <c r="T2594" s="30"/>
      <c r="U2594" s="30"/>
      <c r="V2594" s="30"/>
      <c r="W2594" s="30"/>
      <c r="X2594" s="30"/>
      <c r="Y2594" s="30"/>
      <c r="Z2594" s="30"/>
      <c r="AA2594" s="30"/>
    </row>
    <row r="2595" ht="15.75" customHeight="1">
      <c r="A2595" s="30" t="s">
        <v>2137</v>
      </c>
      <c r="B2595" s="126" t="s">
        <v>26845</v>
      </c>
      <c r="C2595" s="30" t="s">
        <v>26858</v>
      </c>
      <c r="D2595" s="30" t="s">
        <v>26859</v>
      </c>
      <c r="E2595" s="127" t="s">
        <v>26860</v>
      </c>
      <c r="F2595" s="128">
        <v>579.0</v>
      </c>
      <c r="G2595" s="128">
        <v>588.0</v>
      </c>
      <c r="H2595" s="16" t="s">
        <v>17059</v>
      </c>
      <c r="I2595" s="19" t="s">
        <v>26862</v>
      </c>
      <c r="J2595" s="19" t="s">
        <v>26863</v>
      </c>
      <c r="K2595" s="19" t="s">
        <v>26863</v>
      </c>
      <c r="L2595" s="19" t="s">
        <v>26864</v>
      </c>
      <c r="M2595" s="20" t="s">
        <v>26865</v>
      </c>
      <c r="N2595" s="129" t="s">
        <v>26866</v>
      </c>
      <c r="O2595" s="22">
        <v>3.0</v>
      </c>
      <c r="P2595" s="28">
        <v>21.0</v>
      </c>
      <c r="Q2595" s="28">
        <v>50.0</v>
      </c>
      <c r="R2595" s="30"/>
      <c r="S2595" s="30"/>
      <c r="T2595" s="30"/>
      <c r="U2595" s="30"/>
      <c r="V2595" s="30"/>
      <c r="W2595" s="30"/>
      <c r="X2595" s="30"/>
      <c r="Y2595" s="30"/>
      <c r="Z2595" s="30"/>
      <c r="AA2595" s="30"/>
    </row>
    <row r="2596" ht="15.75" customHeight="1">
      <c r="A2596" s="30" t="s">
        <v>2137</v>
      </c>
      <c r="B2596" s="126" t="s">
        <v>26845</v>
      </c>
      <c r="C2596" s="30" t="s">
        <v>26867</v>
      </c>
      <c r="D2596" s="30" t="s">
        <v>26868</v>
      </c>
      <c r="E2596" s="127" t="s">
        <v>26869</v>
      </c>
      <c r="F2596" s="128">
        <v>330.0</v>
      </c>
      <c r="G2596" s="128">
        <v>338.0</v>
      </c>
      <c r="H2596" s="16" t="s">
        <v>17059</v>
      </c>
      <c r="I2596" s="19" t="s">
        <v>26872</v>
      </c>
      <c r="J2596" s="19" t="s">
        <v>26873</v>
      </c>
      <c r="K2596" s="19" t="s">
        <v>26874</v>
      </c>
      <c r="L2596" s="19" t="s">
        <v>26875</v>
      </c>
      <c r="M2596" s="20" t="s">
        <v>26876</v>
      </c>
      <c r="N2596" s="129" t="s">
        <v>26877</v>
      </c>
      <c r="O2596" s="22">
        <v>3.0</v>
      </c>
      <c r="P2596" s="28">
        <v>4.0</v>
      </c>
      <c r="Q2596" s="28">
        <v>33.0</v>
      </c>
      <c r="R2596" s="30"/>
      <c r="S2596" s="30"/>
      <c r="T2596" s="30"/>
      <c r="U2596" s="30"/>
      <c r="V2596" s="30"/>
      <c r="W2596" s="30"/>
      <c r="X2596" s="30"/>
      <c r="Y2596" s="30"/>
      <c r="Z2596" s="30"/>
      <c r="AA2596" s="30"/>
    </row>
    <row r="2597" ht="15.75" customHeight="1">
      <c r="A2597" s="30" t="s">
        <v>2137</v>
      </c>
      <c r="B2597" s="126" t="s">
        <v>26845</v>
      </c>
      <c r="C2597" s="30" t="s">
        <v>26878</v>
      </c>
      <c r="D2597" s="30" t="s">
        <v>26879</v>
      </c>
      <c r="E2597" s="127" t="s">
        <v>26880</v>
      </c>
      <c r="F2597" s="128">
        <v>688.0</v>
      </c>
      <c r="G2597" s="128">
        <v>697.0</v>
      </c>
      <c r="H2597" s="16" t="s">
        <v>17059</v>
      </c>
      <c r="I2597" s="19" t="s">
        <v>26883</v>
      </c>
      <c r="J2597" s="19" t="s">
        <v>26884</v>
      </c>
      <c r="K2597" s="19" t="s">
        <v>26885</v>
      </c>
      <c r="L2597" s="19" t="s">
        <v>26886</v>
      </c>
      <c r="M2597" s="20" t="s">
        <v>26887</v>
      </c>
      <c r="N2597" s="129" t="s">
        <v>26888</v>
      </c>
      <c r="O2597" s="22">
        <v>3.0</v>
      </c>
      <c r="P2597" s="28">
        <v>6.0</v>
      </c>
      <c r="Q2597" s="28">
        <v>36.0</v>
      </c>
      <c r="R2597" s="30"/>
      <c r="S2597" s="30"/>
      <c r="T2597" s="30"/>
      <c r="U2597" s="30"/>
      <c r="V2597" s="30"/>
      <c r="W2597" s="30"/>
      <c r="X2597" s="30"/>
      <c r="Y2597" s="30"/>
      <c r="Z2597" s="30"/>
      <c r="AA2597" s="30"/>
    </row>
    <row r="2598" ht="15.75" customHeight="1">
      <c r="A2598" s="30" t="s">
        <v>2137</v>
      </c>
      <c r="B2598" s="126" t="s">
        <v>26845</v>
      </c>
      <c r="C2598" s="30" t="s">
        <v>26889</v>
      </c>
      <c r="D2598" s="30" t="s">
        <v>26890</v>
      </c>
      <c r="E2598" s="127" t="s">
        <v>26891</v>
      </c>
      <c r="F2598" s="128">
        <v>659.0</v>
      </c>
      <c r="G2598" s="128">
        <v>668.0</v>
      </c>
      <c r="H2598" s="16" t="s">
        <v>17059</v>
      </c>
      <c r="I2598" s="19" t="s">
        <v>26893</v>
      </c>
      <c r="J2598" s="19" t="s">
        <v>26894</v>
      </c>
      <c r="K2598" s="19" t="s">
        <v>26894</v>
      </c>
      <c r="L2598" s="19" t="s">
        <v>26896</v>
      </c>
      <c r="M2598" s="20" t="s">
        <v>26897</v>
      </c>
      <c r="N2598" s="129" t="s">
        <v>26898</v>
      </c>
      <c r="O2598" s="22">
        <v>10.0</v>
      </c>
      <c r="P2598" s="28">
        <v>24.0</v>
      </c>
      <c r="Q2598" s="28">
        <v>41.0</v>
      </c>
      <c r="R2598" s="30"/>
      <c r="S2598" s="30"/>
      <c r="T2598" s="30"/>
      <c r="U2598" s="30"/>
      <c r="V2598" s="30"/>
      <c r="W2598" s="30"/>
      <c r="X2598" s="30"/>
      <c r="Y2598" s="30"/>
      <c r="Z2598" s="30"/>
      <c r="AA2598" s="30"/>
    </row>
    <row r="2599" ht="15.75" customHeight="1">
      <c r="A2599" s="30" t="s">
        <v>2137</v>
      </c>
      <c r="B2599" s="126" t="s">
        <v>26845</v>
      </c>
      <c r="C2599" s="30" t="s">
        <v>26899</v>
      </c>
      <c r="D2599" s="30" t="s">
        <v>26900</v>
      </c>
      <c r="E2599" s="127" t="s">
        <v>26901</v>
      </c>
      <c r="F2599" s="128">
        <v>379.0</v>
      </c>
      <c r="G2599" s="128">
        <v>388.0</v>
      </c>
      <c r="H2599" s="16" t="s">
        <v>17059</v>
      </c>
      <c r="I2599" s="19" t="s">
        <v>26902</v>
      </c>
      <c r="J2599" s="19" t="s">
        <v>26903</v>
      </c>
      <c r="K2599" s="19" t="s">
        <v>26904</v>
      </c>
      <c r="L2599" s="19" t="s">
        <v>26905</v>
      </c>
      <c r="M2599" s="20" t="s">
        <v>26906</v>
      </c>
      <c r="N2599" s="129" t="s">
        <v>26907</v>
      </c>
      <c r="O2599" s="22">
        <v>6.0</v>
      </c>
      <c r="P2599" s="28">
        <v>19.0</v>
      </c>
      <c r="Q2599" s="28">
        <v>36.0</v>
      </c>
      <c r="R2599" s="30"/>
      <c r="S2599" s="30"/>
      <c r="T2599" s="30"/>
      <c r="U2599" s="30"/>
      <c r="V2599" s="30"/>
      <c r="W2599" s="30"/>
      <c r="X2599" s="30"/>
      <c r="Y2599" s="30"/>
      <c r="Z2599" s="30"/>
      <c r="AA2599" s="30"/>
    </row>
    <row r="2600" ht="15.75" customHeight="1">
      <c r="A2600" s="30" t="s">
        <v>2137</v>
      </c>
      <c r="B2600" s="126" t="s">
        <v>26845</v>
      </c>
      <c r="C2600" s="30" t="s">
        <v>26910</v>
      </c>
      <c r="D2600" s="30" t="s">
        <v>26911</v>
      </c>
      <c r="E2600" s="127" t="s">
        <v>26912</v>
      </c>
      <c r="F2600" s="128">
        <v>609.0</v>
      </c>
      <c r="G2600" s="128">
        <v>618.0</v>
      </c>
      <c r="H2600" s="16" t="s">
        <v>17059</v>
      </c>
      <c r="I2600" s="19" t="s">
        <v>26913</v>
      </c>
      <c r="J2600" s="19" t="s">
        <v>21965</v>
      </c>
      <c r="K2600" s="19" t="s">
        <v>21965</v>
      </c>
      <c r="L2600" s="19" t="s">
        <v>21966</v>
      </c>
      <c r="M2600" s="20" t="s">
        <v>26914</v>
      </c>
      <c r="N2600" s="129" t="s">
        <v>26915</v>
      </c>
      <c r="O2600" s="22">
        <v>6.0</v>
      </c>
      <c r="P2600" s="28">
        <v>16.0</v>
      </c>
      <c r="Q2600" s="28">
        <v>29.0</v>
      </c>
      <c r="R2600" s="30"/>
      <c r="S2600" s="30"/>
      <c r="T2600" s="30"/>
      <c r="U2600" s="30"/>
      <c r="V2600" s="30"/>
      <c r="W2600" s="30"/>
      <c r="X2600" s="30"/>
      <c r="Y2600" s="30"/>
      <c r="Z2600" s="30"/>
      <c r="AA2600" s="30"/>
    </row>
    <row r="2601" ht="15.75" customHeight="1">
      <c r="A2601" s="30" t="s">
        <v>2137</v>
      </c>
      <c r="B2601" s="126" t="s">
        <v>26845</v>
      </c>
      <c r="C2601" s="30" t="s">
        <v>26916</v>
      </c>
      <c r="D2601" s="30" t="s">
        <v>26917</v>
      </c>
      <c r="E2601" s="127" t="s">
        <v>26918</v>
      </c>
      <c r="F2601" s="128">
        <v>649.0</v>
      </c>
      <c r="G2601" s="128">
        <v>658.0</v>
      </c>
      <c r="H2601" s="16" t="s">
        <v>17059</v>
      </c>
      <c r="I2601" s="19" t="s">
        <v>26921</v>
      </c>
      <c r="J2601" s="19" t="s">
        <v>26922</v>
      </c>
      <c r="K2601" s="19" t="s">
        <v>26923</v>
      </c>
      <c r="L2601" s="19" t="s">
        <v>26924</v>
      </c>
      <c r="M2601" s="20" t="s">
        <v>26925</v>
      </c>
      <c r="N2601" s="129" t="s">
        <v>26926</v>
      </c>
      <c r="O2601" s="22">
        <v>26.0</v>
      </c>
      <c r="P2601" s="28">
        <v>53.0</v>
      </c>
      <c r="Q2601" s="28">
        <v>48.0</v>
      </c>
      <c r="R2601" s="30"/>
      <c r="S2601" s="30"/>
      <c r="T2601" s="30"/>
      <c r="U2601" s="30"/>
      <c r="V2601" s="30"/>
      <c r="W2601" s="30"/>
      <c r="X2601" s="30"/>
      <c r="Y2601" s="30"/>
      <c r="Z2601" s="30"/>
      <c r="AA2601" s="30"/>
    </row>
    <row r="2602" ht="15.75" customHeight="1">
      <c r="A2602" s="30" t="s">
        <v>2137</v>
      </c>
      <c r="B2602" s="126" t="s">
        <v>26845</v>
      </c>
      <c r="C2602" s="29" t="s">
        <v>26927</v>
      </c>
      <c r="D2602" s="30" t="s">
        <v>26928</v>
      </c>
      <c r="E2602" s="127" t="s">
        <v>26929</v>
      </c>
      <c r="F2602" s="128">
        <v>499.0</v>
      </c>
      <c r="G2602" s="128">
        <v>508.0</v>
      </c>
      <c r="H2602" s="16" t="s">
        <v>17059</v>
      </c>
      <c r="I2602" s="19" t="s">
        <v>26932</v>
      </c>
      <c r="J2602" s="19" t="s">
        <v>26933</v>
      </c>
      <c r="K2602" s="19" t="s">
        <v>26934</v>
      </c>
      <c r="L2602" s="19" t="s">
        <v>26935</v>
      </c>
      <c r="M2602" s="20" t="s">
        <v>26936</v>
      </c>
      <c r="N2602" s="129" t="s">
        <v>26937</v>
      </c>
      <c r="O2602" s="22">
        <v>9.0</v>
      </c>
      <c r="P2602" s="28">
        <v>16.0</v>
      </c>
      <c r="Q2602" s="28">
        <v>48.0</v>
      </c>
      <c r="R2602" s="30"/>
      <c r="S2602" s="30"/>
      <c r="T2602" s="30"/>
      <c r="U2602" s="30"/>
      <c r="V2602" s="30"/>
      <c r="W2602" s="30"/>
      <c r="X2602" s="30"/>
      <c r="Y2602" s="30"/>
      <c r="Z2602" s="30"/>
      <c r="AA2602" s="30"/>
    </row>
    <row r="2603" ht="15.75" customHeight="1">
      <c r="A2603" s="30" t="s">
        <v>2137</v>
      </c>
      <c r="B2603" s="126" t="s">
        <v>26845</v>
      </c>
      <c r="C2603" s="30" t="s">
        <v>26938</v>
      </c>
      <c r="D2603" s="30" t="s">
        <v>26939</v>
      </c>
      <c r="E2603" s="127" t="s">
        <v>26940</v>
      </c>
      <c r="F2603" s="128">
        <v>599.0</v>
      </c>
      <c r="G2603" s="128">
        <v>608.0</v>
      </c>
      <c r="H2603" s="16" t="s">
        <v>17059</v>
      </c>
      <c r="I2603" s="19" t="s">
        <v>26942</v>
      </c>
      <c r="J2603" s="19" t="s">
        <v>26944</v>
      </c>
      <c r="K2603" s="19" t="s">
        <v>26944</v>
      </c>
      <c r="L2603" s="19" t="s">
        <v>26945</v>
      </c>
      <c r="M2603" s="20" t="s">
        <v>26946</v>
      </c>
      <c r="N2603" s="129" t="s">
        <v>26947</v>
      </c>
      <c r="O2603" s="22">
        <v>9.0</v>
      </c>
      <c r="P2603" s="28">
        <v>16.0</v>
      </c>
      <c r="Q2603" s="28">
        <v>51.0</v>
      </c>
      <c r="R2603" s="30"/>
      <c r="S2603" s="30"/>
      <c r="T2603" s="30"/>
      <c r="U2603" s="30"/>
      <c r="V2603" s="30"/>
      <c r="W2603" s="30"/>
      <c r="X2603" s="30"/>
      <c r="Y2603" s="30"/>
      <c r="Z2603" s="30"/>
      <c r="AA2603" s="30"/>
    </row>
    <row r="2604" ht="15.75" customHeight="1">
      <c r="A2604" s="30" t="s">
        <v>2137</v>
      </c>
      <c r="B2604" s="126" t="s">
        <v>26845</v>
      </c>
      <c r="C2604" s="30" t="s">
        <v>26948</v>
      </c>
      <c r="D2604" s="30" t="s">
        <v>26949</v>
      </c>
      <c r="E2604" s="127" t="s">
        <v>26950</v>
      </c>
      <c r="F2604" s="128">
        <v>639.0</v>
      </c>
      <c r="G2604" s="128">
        <v>648.0</v>
      </c>
      <c r="H2604" s="16" t="s">
        <v>17059</v>
      </c>
      <c r="I2604" s="19" t="s">
        <v>26951</v>
      </c>
      <c r="J2604" s="19" t="s">
        <v>26952</v>
      </c>
      <c r="K2604" s="19" t="s">
        <v>26953</v>
      </c>
      <c r="L2604" s="19" t="s">
        <v>26954</v>
      </c>
      <c r="M2604" s="20" t="s">
        <v>26955</v>
      </c>
      <c r="N2604" s="129" t="s">
        <v>26956</v>
      </c>
      <c r="O2604" s="22">
        <v>3.0</v>
      </c>
      <c r="P2604" s="28">
        <v>13.0</v>
      </c>
      <c r="Q2604" s="28">
        <v>55.0</v>
      </c>
      <c r="R2604" s="30"/>
      <c r="S2604" s="30"/>
      <c r="T2604" s="30"/>
      <c r="U2604" s="30"/>
      <c r="V2604" s="30"/>
      <c r="W2604" s="30"/>
      <c r="X2604" s="30"/>
      <c r="Y2604" s="30"/>
      <c r="Z2604" s="30"/>
      <c r="AA2604" s="30"/>
    </row>
    <row r="2605" ht="15.75" customHeight="1">
      <c r="A2605" s="30" t="s">
        <v>2137</v>
      </c>
      <c r="B2605" s="126" t="s">
        <v>26845</v>
      </c>
      <c r="C2605" s="30" t="s">
        <v>26957</v>
      </c>
      <c r="D2605" s="30" t="s">
        <v>26958</v>
      </c>
      <c r="E2605" s="127" t="s">
        <v>26959</v>
      </c>
      <c r="F2605" s="128">
        <v>339.0</v>
      </c>
      <c r="G2605" s="128">
        <v>348.0</v>
      </c>
      <c r="H2605" s="16" t="s">
        <v>17059</v>
      </c>
      <c r="I2605" s="19" t="s">
        <v>26962</v>
      </c>
      <c r="J2605" s="19" t="s">
        <v>27042</v>
      </c>
      <c r="K2605" s="19" t="s">
        <v>27043</v>
      </c>
      <c r="L2605" s="19" t="s">
        <v>27044</v>
      </c>
      <c r="M2605" s="20" t="s">
        <v>27045</v>
      </c>
      <c r="N2605" s="129" t="s">
        <v>27046</v>
      </c>
      <c r="O2605" s="22">
        <v>3.0</v>
      </c>
      <c r="P2605" s="28">
        <v>10.0</v>
      </c>
      <c r="Q2605" s="28">
        <v>50.0</v>
      </c>
      <c r="R2605" s="30"/>
      <c r="S2605" s="30"/>
      <c r="T2605" s="30"/>
      <c r="U2605" s="30"/>
      <c r="V2605" s="30"/>
      <c r="W2605" s="30"/>
      <c r="X2605" s="30"/>
      <c r="Y2605" s="30"/>
      <c r="Z2605" s="30"/>
      <c r="AA2605" s="30"/>
    </row>
    <row r="2606" ht="15.75" customHeight="1">
      <c r="A2606" s="30" t="s">
        <v>2137</v>
      </c>
      <c r="B2606" s="126" t="s">
        <v>26845</v>
      </c>
      <c r="C2606" s="30" t="s">
        <v>27048</v>
      </c>
      <c r="D2606" s="30" t="s">
        <v>27049</v>
      </c>
      <c r="E2606" s="127" t="s">
        <v>27051</v>
      </c>
      <c r="F2606" s="128">
        <v>419.0</v>
      </c>
      <c r="G2606" s="128">
        <v>428.0</v>
      </c>
      <c r="H2606" s="16" t="s">
        <v>17059</v>
      </c>
      <c r="I2606" s="19" t="s">
        <v>27053</v>
      </c>
      <c r="J2606" s="19" t="s">
        <v>27054</v>
      </c>
      <c r="K2606" s="19" t="s">
        <v>27055</v>
      </c>
      <c r="L2606" s="19" t="s">
        <v>27056</v>
      </c>
      <c r="M2606" s="20" t="s">
        <v>27057</v>
      </c>
      <c r="N2606" s="129" t="s">
        <v>27058</v>
      </c>
      <c r="O2606" s="22">
        <v>2.0</v>
      </c>
      <c r="P2606" s="28">
        <v>15.0</v>
      </c>
      <c r="Q2606" s="28">
        <v>58.0</v>
      </c>
      <c r="R2606" s="30"/>
      <c r="S2606" s="30"/>
      <c r="T2606" s="30"/>
      <c r="U2606" s="30"/>
      <c r="V2606" s="30"/>
      <c r="W2606" s="30"/>
      <c r="X2606" s="30"/>
      <c r="Y2606" s="30"/>
      <c r="Z2606" s="30"/>
      <c r="AA2606" s="30"/>
    </row>
    <row r="2607" ht="15.75" customHeight="1">
      <c r="A2607" s="30" t="s">
        <v>2137</v>
      </c>
      <c r="B2607" s="126" t="s">
        <v>26845</v>
      </c>
      <c r="C2607" s="30" t="s">
        <v>27061</v>
      </c>
      <c r="D2607" s="30" t="s">
        <v>27062</v>
      </c>
      <c r="E2607" s="127" t="s">
        <v>27063</v>
      </c>
      <c r="F2607" s="128">
        <v>509.0</v>
      </c>
      <c r="G2607" s="128">
        <v>518.0</v>
      </c>
      <c r="H2607" s="16" t="s">
        <v>17059</v>
      </c>
      <c r="I2607" s="19" t="s">
        <v>27065</v>
      </c>
      <c r="J2607" s="19" t="s">
        <v>27066</v>
      </c>
      <c r="K2607" s="19" t="s">
        <v>27066</v>
      </c>
      <c r="L2607" s="19" t="s">
        <v>27067</v>
      </c>
      <c r="M2607" s="20" t="s">
        <v>27068</v>
      </c>
      <c r="N2607" s="129" t="s">
        <v>27069</v>
      </c>
      <c r="O2607" s="22">
        <v>1.0</v>
      </c>
      <c r="P2607" s="28">
        <v>4.0</v>
      </c>
      <c r="Q2607" s="28">
        <v>62.0</v>
      </c>
      <c r="R2607" s="30"/>
      <c r="S2607" s="30"/>
      <c r="T2607" s="30"/>
      <c r="U2607" s="30"/>
      <c r="V2607" s="30"/>
      <c r="W2607" s="30"/>
      <c r="X2607" s="30"/>
      <c r="Y2607" s="30"/>
      <c r="Z2607" s="30"/>
      <c r="AA2607" s="30"/>
    </row>
    <row r="2608" ht="15.75" customHeight="1">
      <c r="A2608" s="30" t="s">
        <v>2137</v>
      </c>
      <c r="B2608" s="126" t="s">
        <v>26845</v>
      </c>
      <c r="C2608" s="30" t="s">
        <v>27070</v>
      </c>
      <c r="D2608" s="30" t="s">
        <v>27071</v>
      </c>
      <c r="E2608" s="127" t="s">
        <v>27072</v>
      </c>
      <c r="F2608" s="128">
        <v>569.0</v>
      </c>
      <c r="G2608" s="128">
        <v>578.0</v>
      </c>
      <c r="H2608" s="16" t="s">
        <v>17059</v>
      </c>
      <c r="I2608" s="19" t="s">
        <v>27075</v>
      </c>
      <c r="J2608" s="19" t="s">
        <v>27076</v>
      </c>
      <c r="K2608" s="19" t="s">
        <v>27076</v>
      </c>
      <c r="L2608" s="19" t="s">
        <v>27077</v>
      </c>
      <c r="M2608" s="20" t="s">
        <v>27078</v>
      </c>
      <c r="N2608" s="129" t="s">
        <v>27079</v>
      </c>
      <c r="O2608" s="22">
        <v>5.0</v>
      </c>
      <c r="P2608" s="28">
        <v>15.0</v>
      </c>
      <c r="Q2608" s="28">
        <v>35.0</v>
      </c>
      <c r="R2608" s="30"/>
      <c r="S2608" s="30"/>
      <c r="T2608" s="30"/>
      <c r="U2608" s="30"/>
      <c r="V2608" s="30"/>
      <c r="W2608" s="30"/>
      <c r="X2608" s="30"/>
      <c r="Y2608" s="30"/>
      <c r="Z2608" s="30"/>
      <c r="AA2608" s="30"/>
    </row>
    <row r="2609" ht="15.75" customHeight="1">
      <c r="A2609" s="30" t="s">
        <v>2137</v>
      </c>
      <c r="B2609" s="126" t="s">
        <v>26845</v>
      </c>
      <c r="C2609" s="30" t="s">
        <v>27080</v>
      </c>
      <c r="D2609" s="30" t="s">
        <v>27081</v>
      </c>
      <c r="E2609" s="127" t="s">
        <v>27082</v>
      </c>
      <c r="F2609" s="128">
        <v>669.0</v>
      </c>
      <c r="G2609" s="128">
        <v>677.0</v>
      </c>
      <c r="H2609" s="16" t="s">
        <v>17059</v>
      </c>
      <c r="I2609" s="19" t="s">
        <v>27084</v>
      </c>
      <c r="J2609" s="19" t="s">
        <v>27085</v>
      </c>
      <c r="K2609" s="19" t="s">
        <v>27085</v>
      </c>
      <c r="L2609" s="19" t="s">
        <v>27086</v>
      </c>
      <c r="M2609" s="20" t="s">
        <v>27087</v>
      </c>
      <c r="N2609" s="129" t="s">
        <v>27088</v>
      </c>
      <c r="O2609" s="22">
        <v>4.0</v>
      </c>
      <c r="P2609" s="28">
        <v>3.0</v>
      </c>
      <c r="Q2609" s="28">
        <v>49.0</v>
      </c>
      <c r="R2609" s="30"/>
      <c r="S2609" s="30"/>
      <c r="T2609" s="30"/>
      <c r="U2609" s="30"/>
      <c r="V2609" s="30"/>
      <c r="W2609" s="30"/>
      <c r="X2609" s="30"/>
      <c r="Y2609" s="30"/>
      <c r="Z2609" s="30"/>
      <c r="AA2609" s="30"/>
    </row>
    <row r="2610" ht="15.75" customHeight="1">
      <c r="A2610" s="30" t="s">
        <v>2137</v>
      </c>
      <c r="B2610" s="126" t="s">
        <v>26845</v>
      </c>
      <c r="C2610" s="30" t="s">
        <v>27089</v>
      </c>
      <c r="D2610" s="30" t="s">
        <v>27090</v>
      </c>
      <c r="E2610" s="127" t="s">
        <v>27091</v>
      </c>
      <c r="F2610" s="128">
        <v>619.0</v>
      </c>
      <c r="G2610" s="128">
        <v>628.0</v>
      </c>
      <c r="H2610" s="16" t="s">
        <v>17059</v>
      </c>
      <c r="I2610" s="19" t="s">
        <v>27092</v>
      </c>
      <c r="J2610" s="19" t="s">
        <v>27093</v>
      </c>
      <c r="K2610" s="19" t="s">
        <v>27094</v>
      </c>
      <c r="L2610" s="19" t="s">
        <v>27095</v>
      </c>
      <c r="M2610" s="20" t="s">
        <v>27096</v>
      </c>
      <c r="N2610" s="129" t="s">
        <v>27097</v>
      </c>
      <c r="O2610" s="22">
        <v>4.0</v>
      </c>
      <c r="P2610" s="28">
        <v>20.0</v>
      </c>
      <c r="Q2610" s="28">
        <v>45.0</v>
      </c>
      <c r="R2610" s="30"/>
      <c r="S2610" s="30"/>
      <c r="T2610" s="30"/>
      <c r="U2610" s="30"/>
      <c r="V2610" s="30"/>
      <c r="W2610" s="30"/>
      <c r="X2610" s="30"/>
      <c r="Y2610" s="30"/>
      <c r="Z2610" s="30"/>
      <c r="AA2610" s="30"/>
    </row>
    <row r="2611" ht="15.75" customHeight="1">
      <c r="A2611" s="30" t="s">
        <v>2137</v>
      </c>
      <c r="B2611" s="126" t="s">
        <v>26845</v>
      </c>
      <c r="C2611" s="30" t="s">
        <v>27100</v>
      </c>
      <c r="D2611" s="30" t="s">
        <v>27101</v>
      </c>
      <c r="E2611" s="127" t="s">
        <v>27102</v>
      </c>
      <c r="F2611" s="128">
        <v>409.0</v>
      </c>
      <c r="G2611" s="128">
        <v>418.0</v>
      </c>
      <c r="H2611" s="16" t="s">
        <v>17059</v>
      </c>
      <c r="I2611" s="19" t="s">
        <v>27104</v>
      </c>
      <c r="J2611" s="19" t="s">
        <v>27105</v>
      </c>
      <c r="K2611" s="19" t="s">
        <v>27105</v>
      </c>
      <c r="L2611" s="19" t="s">
        <v>27106</v>
      </c>
      <c r="M2611" s="20" t="s">
        <v>27107</v>
      </c>
      <c r="N2611" s="129" t="s">
        <v>27108</v>
      </c>
      <c r="O2611" s="22">
        <v>3.0</v>
      </c>
      <c r="P2611" s="28">
        <v>14.0</v>
      </c>
      <c r="Q2611" s="28">
        <v>37.0</v>
      </c>
      <c r="R2611" s="30"/>
      <c r="S2611" s="30"/>
      <c r="T2611" s="30"/>
      <c r="U2611" s="30"/>
      <c r="V2611" s="30"/>
      <c r="W2611" s="30"/>
      <c r="X2611" s="30"/>
      <c r="Y2611" s="30"/>
      <c r="Z2611" s="30"/>
      <c r="AA2611" s="30"/>
    </row>
    <row r="2612" ht="15.75" customHeight="1">
      <c r="A2612" s="30" t="s">
        <v>2137</v>
      </c>
      <c r="B2612" s="126" t="s">
        <v>26845</v>
      </c>
      <c r="C2612" s="30" t="s">
        <v>27109</v>
      </c>
      <c r="D2612" s="30" t="s">
        <v>27110</v>
      </c>
      <c r="E2612" s="127" t="s">
        <v>27111</v>
      </c>
      <c r="F2612" s="128">
        <v>349.0</v>
      </c>
      <c r="G2612" s="128">
        <v>358.0</v>
      </c>
      <c r="H2612" s="16" t="s">
        <v>17059</v>
      </c>
      <c r="I2612" s="19" t="s">
        <v>27112</v>
      </c>
      <c r="J2612" s="19" t="s">
        <v>27113</v>
      </c>
      <c r="K2612" s="19" t="s">
        <v>27113</v>
      </c>
      <c r="L2612" s="19" t="s">
        <v>27114</v>
      </c>
      <c r="M2612" s="20" t="s">
        <v>27115</v>
      </c>
      <c r="N2612" s="129" t="s">
        <v>27116</v>
      </c>
      <c r="O2612" s="22">
        <v>5.0</v>
      </c>
      <c r="P2612" s="28">
        <v>22.0</v>
      </c>
      <c r="Q2612" s="28">
        <v>36.0</v>
      </c>
      <c r="R2612" s="29" t="s">
        <v>106</v>
      </c>
      <c r="S2612" s="30"/>
      <c r="T2612" s="30"/>
      <c r="U2612" s="30"/>
      <c r="V2612" s="30"/>
      <c r="W2612" s="30"/>
      <c r="X2612" s="30"/>
      <c r="Y2612" s="30"/>
      <c r="Z2612" s="30"/>
      <c r="AA2612" s="30"/>
    </row>
    <row r="2613" ht="15.75" customHeight="1">
      <c r="A2613" s="30" t="s">
        <v>2137</v>
      </c>
      <c r="B2613" s="126" t="s">
        <v>26845</v>
      </c>
      <c r="C2613" s="30" t="s">
        <v>27118</v>
      </c>
      <c r="D2613" s="30" t="s">
        <v>27119</v>
      </c>
      <c r="E2613" s="127" t="s">
        <v>27121</v>
      </c>
      <c r="F2613" s="128">
        <v>429.0</v>
      </c>
      <c r="G2613" s="128">
        <v>438.0</v>
      </c>
      <c r="H2613" s="16" t="s">
        <v>17059</v>
      </c>
      <c r="I2613" s="19" t="s">
        <v>27123</v>
      </c>
      <c r="J2613" s="19" t="s">
        <v>27124</v>
      </c>
      <c r="K2613" s="19" t="s">
        <v>27124</v>
      </c>
      <c r="L2613" s="19" t="s">
        <v>27125</v>
      </c>
      <c r="M2613" s="20" t="s">
        <v>27126</v>
      </c>
      <c r="N2613" s="129" t="s">
        <v>27127</v>
      </c>
      <c r="O2613" s="22">
        <v>2.0</v>
      </c>
      <c r="P2613" s="28">
        <v>8.0</v>
      </c>
      <c r="Q2613" s="28">
        <v>54.0</v>
      </c>
      <c r="R2613" s="30"/>
      <c r="S2613" s="30"/>
      <c r="T2613" s="30"/>
      <c r="U2613" s="30"/>
      <c r="V2613" s="30"/>
      <c r="W2613" s="30"/>
      <c r="X2613" s="30"/>
      <c r="Y2613" s="30"/>
      <c r="Z2613" s="30"/>
      <c r="AA2613" s="30"/>
    </row>
    <row r="2614" ht="15.75" customHeight="1">
      <c r="A2614" s="30" t="s">
        <v>2137</v>
      </c>
      <c r="B2614" s="126" t="s">
        <v>26845</v>
      </c>
      <c r="C2614" s="30" t="s">
        <v>27128</v>
      </c>
      <c r="D2614" s="30" t="s">
        <v>27129</v>
      </c>
      <c r="E2614" s="127" t="s">
        <v>27130</v>
      </c>
      <c r="F2614" s="128">
        <v>698.0</v>
      </c>
      <c r="G2614" s="128">
        <v>707.0</v>
      </c>
      <c r="H2614" s="16" t="s">
        <v>17059</v>
      </c>
      <c r="I2614" s="19" t="s">
        <v>27131</v>
      </c>
      <c r="J2614" s="19" t="s">
        <v>27132</v>
      </c>
      <c r="K2614" s="19" t="s">
        <v>27132</v>
      </c>
      <c r="L2614" s="19" t="s">
        <v>27086</v>
      </c>
      <c r="M2614" s="20"/>
      <c r="N2614" s="129" t="s">
        <v>27133</v>
      </c>
      <c r="O2614" s="22">
        <v>6.0</v>
      </c>
      <c r="P2614" s="28">
        <v>16.0</v>
      </c>
      <c r="Q2614" s="28">
        <v>45.0</v>
      </c>
      <c r="R2614" s="30"/>
      <c r="S2614" s="30"/>
      <c r="T2614" s="30"/>
      <c r="U2614" s="30"/>
      <c r="V2614" s="30"/>
      <c r="W2614" s="30"/>
      <c r="X2614" s="30"/>
      <c r="Y2614" s="30"/>
      <c r="Z2614" s="30"/>
      <c r="AA2614" s="30"/>
    </row>
    <row r="2615" ht="15.75" customHeight="1">
      <c r="A2615" s="30" t="s">
        <v>2137</v>
      </c>
      <c r="B2615" s="126" t="s">
        <v>26845</v>
      </c>
      <c r="C2615" s="30" t="s">
        <v>27135</v>
      </c>
      <c r="D2615" s="30" t="s">
        <v>27136</v>
      </c>
      <c r="E2615" s="127" t="s">
        <v>27137</v>
      </c>
      <c r="F2615" s="128">
        <v>469.0</v>
      </c>
      <c r="G2615" s="128">
        <v>478.0</v>
      </c>
      <c r="H2615" s="16" t="s">
        <v>17059</v>
      </c>
      <c r="I2615" s="19" t="s">
        <v>27138</v>
      </c>
      <c r="J2615" s="19" t="s">
        <v>27139</v>
      </c>
      <c r="K2615" s="19" t="s">
        <v>27139</v>
      </c>
      <c r="L2615" s="19" t="s">
        <v>27140</v>
      </c>
      <c r="M2615" s="20" t="s">
        <v>25934</v>
      </c>
      <c r="N2615" s="129" t="s">
        <v>27141</v>
      </c>
      <c r="O2615" s="22">
        <v>9.0</v>
      </c>
      <c r="P2615" s="28">
        <v>20.0</v>
      </c>
      <c r="Q2615" s="28">
        <v>21.0</v>
      </c>
      <c r="R2615" s="29" t="s">
        <v>19037</v>
      </c>
      <c r="S2615" s="30"/>
      <c r="T2615" s="30"/>
      <c r="U2615" s="30"/>
      <c r="V2615" s="30"/>
      <c r="W2615" s="30"/>
      <c r="X2615" s="30"/>
      <c r="Y2615" s="30"/>
      <c r="Z2615" s="30"/>
      <c r="AA2615" s="30"/>
    </row>
    <row r="2616" ht="15.75" customHeight="1">
      <c r="A2616" s="30" t="s">
        <v>2137</v>
      </c>
      <c r="B2616" s="126" t="s">
        <v>26845</v>
      </c>
      <c r="C2616" s="30" t="s">
        <v>27142</v>
      </c>
      <c r="D2616" s="30" t="s">
        <v>27143</v>
      </c>
      <c r="E2616" s="127" t="s">
        <v>27144</v>
      </c>
      <c r="F2616" s="128">
        <v>359.0</v>
      </c>
      <c r="G2616" s="128">
        <v>368.0</v>
      </c>
      <c r="H2616" s="16" t="s">
        <v>17059</v>
      </c>
      <c r="I2616" s="19" t="s">
        <v>27147</v>
      </c>
      <c r="J2616" s="19" t="s">
        <v>27148</v>
      </c>
      <c r="K2616" s="19" t="s">
        <v>27149</v>
      </c>
      <c r="L2616" s="19" t="s">
        <v>27150</v>
      </c>
      <c r="M2616" s="20" t="s">
        <v>27151</v>
      </c>
      <c r="N2616" s="129" t="s">
        <v>27152</v>
      </c>
      <c r="O2616" s="22">
        <v>5.0</v>
      </c>
      <c r="P2616" s="28">
        <v>15.0</v>
      </c>
      <c r="Q2616" s="28">
        <v>56.0</v>
      </c>
      <c r="R2616" s="30"/>
      <c r="S2616" s="30"/>
      <c r="T2616" s="30"/>
      <c r="U2616" s="30"/>
      <c r="V2616" s="30"/>
      <c r="W2616" s="30"/>
      <c r="X2616" s="30"/>
      <c r="Y2616" s="30"/>
      <c r="Z2616" s="30"/>
      <c r="AA2616" s="30"/>
    </row>
    <row r="2617" ht="15.75" customHeight="1">
      <c r="A2617" s="30" t="s">
        <v>2137</v>
      </c>
      <c r="B2617" s="126" t="s">
        <v>26845</v>
      </c>
      <c r="C2617" s="30" t="s">
        <v>27153</v>
      </c>
      <c r="D2617" s="30" t="s">
        <v>27154</v>
      </c>
      <c r="E2617" s="127" t="s">
        <v>27155</v>
      </c>
      <c r="F2617" s="128">
        <v>629.0</v>
      </c>
      <c r="G2617" s="128">
        <v>638.0</v>
      </c>
      <c r="H2617" s="16" t="s">
        <v>17059</v>
      </c>
      <c r="I2617" s="19" t="s">
        <v>27158</v>
      </c>
      <c r="J2617" s="19" t="s">
        <v>27159</v>
      </c>
      <c r="K2617" s="19" t="s">
        <v>27159</v>
      </c>
      <c r="L2617" s="19" t="s">
        <v>27160</v>
      </c>
      <c r="M2617" s="20" t="s">
        <v>27161</v>
      </c>
      <c r="N2617" s="129" t="s">
        <v>27162</v>
      </c>
      <c r="O2617" s="22">
        <v>6.0</v>
      </c>
      <c r="P2617" s="28">
        <v>24.0</v>
      </c>
      <c r="Q2617" s="28">
        <v>31.0</v>
      </c>
      <c r="R2617" s="30"/>
      <c r="S2617" s="30"/>
      <c r="T2617" s="30"/>
      <c r="U2617" s="30"/>
      <c r="V2617" s="30"/>
      <c r="W2617" s="30"/>
      <c r="X2617" s="30"/>
      <c r="Y2617" s="30"/>
      <c r="Z2617" s="30"/>
      <c r="AA2617" s="30"/>
    </row>
    <row r="2618" ht="15.75" customHeight="1">
      <c r="A2618" s="30" t="s">
        <v>2137</v>
      </c>
      <c r="B2618" s="126" t="s">
        <v>26845</v>
      </c>
      <c r="C2618" s="30" t="s">
        <v>27163</v>
      </c>
      <c r="D2618" s="30" t="s">
        <v>27164</v>
      </c>
      <c r="E2618" s="127" t="s">
        <v>27165</v>
      </c>
      <c r="F2618" s="128">
        <v>519.0</v>
      </c>
      <c r="G2618" s="128">
        <v>528.0</v>
      </c>
      <c r="H2618" s="16" t="s">
        <v>17059</v>
      </c>
      <c r="I2618" s="19" t="s">
        <v>27166</v>
      </c>
      <c r="J2618" s="19" t="s">
        <v>27167</v>
      </c>
      <c r="K2618" s="19" t="s">
        <v>27168</v>
      </c>
      <c r="L2618" s="19" t="s">
        <v>27170</v>
      </c>
      <c r="M2618" s="20" t="s">
        <v>27171</v>
      </c>
      <c r="N2618" s="129" t="s">
        <v>27172</v>
      </c>
      <c r="O2618" s="22">
        <v>11.0</v>
      </c>
      <c r="P2618" s="28">
        <v>27.0</v>
      </c>
      <c r="Q2618" s="28">
        <v>48.0</v>
      </c>
      <c r="R2618" s="30"/>
      <c r="S2618" s="30"/>
      <c r="T2618" s="30"/>
      <c r="U2618" s="30"/>
      <c r="V2618" s="30"/>
      <c r="W2618" s="30"/>
      <c r="X2618" s="30"/>
      <c r="Y2618" s="30"/>
      <c r="Z2618" s="30"/>
      <c r="AA2618" s="30"/>
    </row>
    <row r="2619" ht="15.75" customHeight="1">
      <c r="A2619" s="30" t="s">
        <v>2137</v>
      </c>
      <c r="B2619" s="126" t="s">
        <v>26845</v>
      </c>
      <c r="C2619" s="30" t="s">
        <v>27174</v>
      </c>
      <c r="D2619" s="30" t="s">
        <v>27175</v>
      </c>
      <c r="E2619" s="127" t="s">
        <v>27176</v>
      </c>
      <c r="F2619" s="128">
        <v>549.0</v>
      </c>
      <c r="G2619" s="128">
        <v>558.0</v>
      </c>
      <c r="H2619" s="16" t="s">
        <v>17059</v>
      </c>
      <c r="I2619" s="19" t="s">
        <v>27180</v>
      </c>
      <c r="J2619" s="19" t="s">
        <v>27181</v>
      </c>
      <c r="K2619" s="19" t="s">
        <v>27182</v>
      </c>
      <c r="L2619" s="19" t="s">
        <v>25824</v>
      </c>
      <c r="M2619" s="20" t="s">
        <v>27183</v>
      </c>
      <c r="N2619" s="129" t="s">
        <v>27184</v>
      </c>
      <c r="O2619" s="22">
        <v>3.0</v>
      </c>
      <c r="P2619" s="28">
        <v>12.0</v>
      </c>
      <c r="Q2619" s="28">
        <v>38.0</v>
      </c>
      <c r="R2619" s="30"/>
      <c r="S2619" s="30"/>
      <c r="T2619" s="30"/>
      <c r="U2619" s="30"/>
      <c r="V2619" s="30"/>
      <c r="W2619" s="30"/>
      <c r="X2619" s="30"/>
      <c r="Y2619" s="30"/>
      <c r="Z2619" s="30"/>
      <c r="AA2619" s="30"/>
    </row>
    <row r="2620" ht="15.75" customHeight="1">
      <c r="A2620" s="30" t="s">
        <v>2137</v>
      </c>
      <c r="B2620" s="126" t="s">
        <v>26845</v>
      </c>
      <c r="C2620" s="30" t="s">
        <v>27185</v>
      </c>
      <c r="D2620" s="30" t="s">
        <v>27186</v>
      </c>
      <c r="E2620" s="127" t="s">
        <v>27187</v>
      </c>
      <c r="F2620" s="128">
        <v>539.0</v>
      </c>
      <c r="G2620" s="128">
        <v>548.0</v>
      </c>
      <c r="H2620" s="16" t="s">
        <v>17059</v>
      </c>
      <c r="I2620" s="19" t="s">
        <v>27188</v>
      </c>
      <c r="J2620" s="19" t="s">
        <v>27189</v>
      </c>
      <c r="K2620" s="19" t="s">
        <v>27190</v>
      </c>
      <c r="L2620" s="19" t="s">
        <v>24327</v>
      </c>
      <c r="M2620" s="20" t="s">
        <v>27191</v>
      </c>
      <c r="N2620" s="129" t="s">
        <v>27192</v>
      </c>
      <c r="O2620" s="22">
        <v>4.0</v>
      </c>
      <c r="P2620" s="28">
        <v>16.0</v>
      </c>
      <c r="Q2620" s="28">
        <v>27.0</v>
      </c>
      <c r="R2620" s="30"/>
      <c r="S2620" s="30"/>
      <c r="T2620" s="30"/>
      <c r="U2620" s="30"/>
      <c r="V2620" s="30"/>
      <c r="W2620" s="30"/>
      <c r="X2620" s="30"/>
      <c r="Y2620" s="30"/>
      <c r="Z2620" s="30"/>
      <c r="AA2620" s="30"/>
    </row>
    <row r="2621" ht="15.75" customHeight="1">
      <c r="A2621" s="30" t="s">
        <v>2137</v>
      </c>
      <c r="B2621" s="126" t="s">
        <v>26845</v>
      </c>
      <c r="C2621" s="30" t="s">
        <v>27193</v>
      </c>
      <c r="D2621" s="30" t="s">
        <v>27194</v>
      </c>
      <c r="E2621" s="127" t="s">
        <v>27195</v>
      </c>
      <c r="F2621" s="128">
        <v>389.0</v>
      </c>
      <c r="G2621" s="128">
        <v>398.0</v>
      </c>
      <c r="H2621" s="16" t="s">
        <v>17059</v>
      </c>
      <c r="I2621" s="19" t="s">
        <v>27197</v>
      </c>
      <c r="J2621" s="19" t="s">
        <v>27198</v>
      </c>
      <c r="K2621" s="19" t="s">
        <v>27199</v>
      </c>
      <c r="L2621" s="19" t="s">
        <v>19263</v>
      </c>
      <c r="M2621" s="20" t="s">
        <v>27200</v>
      </c>
      <c r="N2621" s="129" t="s">
        <v>27201</v>
      </c>
      <c r="O2621" s="22">
        <v>7.0</v>
      </c>
      <c r="P2621" s="28">
        <v>15.0</v>
      </c>
      <c r="Q2621" s="28">
        <v>38.0</v>
      </c>
      <c r="R2621" s="30"/>
      <c r="S2621" s="30"/>
      <c r="T2621" s="30"/>
      <c r="U2621" s="30"/>
      <c r="V2621" s="30"/>
      <c r="W2621" s="30"/>
      <c r="X2621" s="30"/>
      <c r="Y2621" s="30"/>
      <c r="Z2621" s="30"/>
      <c r="AA2621" s="30"/>
    </row>
    <row r="2622" ht="15.75" customHeight="1">
      <c r="A2622" s="30" t="s">
        <v>2137</v>
      </c>
      <c r="B2622" s="126" t="s">
        <v>26845</v>
      </c>
      <c r="C2622" s="30" t="s">
        <v>27202</v>
      </c>
      <c r="D2622" s="30" t="s">
        <v>27203</v>
      </c>
      <c r="E2622" s="127" t="s">
        <v>27204</v>
      </c>
      <c r="F2622" s="128">
        <v>529.0</v>
      </c>
      <c r="G2622" s="128">
        <v>538.0</v>
      </c>
      <c r="H2622" s="16" t="s">
        <v>17059</v>
      </c>
      <c r="I2622" s="19" t="s">
        <v>27205</v>
      </c>
      <c r="J2622" s="19" t="s">
        <v>27206</v>
      </c>
      <c r="K2622" s="19" t="s">
        <v>27207</v>
      </c>
      <c r="L2622" s="19" t="s">
        <v>27208</v>
      </c>
      <c r="M2622" s="20" t="s">
        <v>27209</v>
      </c>
      <c r="N2622" s="129" t="s">
        <v>27210</v>
      </c>
      <c r="O2622" s="22">
        <v>2.0</v>
      </c>
      <c r="P2622" s="28">
        <v>13.0</v>
      </c>
      <c r="Q2622" s="28">
        <v>47.0</v>
      </c>
      <c r="R2622" s="30"/>
      <c r="S2622" s="30"/>
      <c r="T2622" s="30"/>
      <c r="U2622" s="30"/>
      <c r="V2622" s="30"/>
      <c r="W2622" s="30"/>
      <c r="X2622" s="30"/>
      <c r="Y2622" s="30"/>
      <c r="Z2622" s="30"/>
      <c r="AA2622" s="30"/>
    </row>
    <row r="2623" ht="15.75" customHeight="1">
      <c r="A2623" s="30" t="s">
        <v>2137</v>
      </c>
      <c r="B2623" s="126" t="s">
        <v>26845</v>
      </c>
      <c r="C2623" s="30" t="s">
        <v>27211</v>
      </c>
      <c r="D2623" s="30" t="s">
        <v>27212</v>
      </c>
      <c r="E2623" s="127" t="s">
        <v>27213</v>
      </c>
      <c r="F2623" s="128">
        <v>489.0</v>
      </c>
      <c r="G2623" s="128">
        <v>498.0</v>
      </c>
      <c r="H2623" s="16" t="s">
        <v>17059</v>
      </c>
      <c r="I2623" s="19" t="s">
        <v>27216</v>
      </c>
      <c r="J2623" s="19" t="s">
        <v>27217</v>
      </c>
      <c r="K2623" s="19" t="s">
        <v>27217</v>
      </c>
      <c r="L2623" s="19" t="s">
        <v>27219</v>
      </c>
      <c r="M2623" s="20" t="s">
        <v>27220</v>
      </c>
      <c r="N2623" s="129" t="s">
        <v>27221</v>
      </c>
      <c r="O2623" s="22">
        <v>3.0</v>
      </c>
      <c r="P2623" s="28">
        <v>13.0</v>
      </c>
      <c r="Q2623" s="28">
        <v>34.0</v>
      </c>
      <c r="R2623" s="30"/>
      <c r="S2623" s="30"/>
      <c r="T2623" s="30"/>
      <c r="U2623" s="30"/>
      <c r="V2623" s="30"/>
      <c r="W2623" s="30"/>
      <c r="X2623" s="30"/>
      <c r="Y2623" s="30"/>
      <c r="Z2623" s="30"/>
      <c r="AA2623" s="30"/>
    </row>
    <row r="2624" ht="15.75" customHeight="1">
      <c r="A2624" s="30" t="s">
        <v>2137</v>
      </c>
      <c r="B2624" s="126" t="s">
        <v>26845</v>
      </c>
      <c r="C2624" s="30" t="s">
        <v>27222</v>
      </c>
      <c r="D2624" s="30" t="s">
        <v>27223</v>
      </c>
      <c r="E2624" s="127" t="s">
        <v>27224</v>
      </c>
      <c r="F2624" s="128">
        <v>439.0</v>
      </c>
      <c r="G2624" s="128">
        <v>448.0</v>
      </c>
      <c r="H2624" s="16" t="s">
        <v>17059</v>
      </c>
      <c r="I2624" s="19" t="s">
        <v>27225</v>
      </c>
      <c r="J2624" s="19" t="s">
        <v>27226</v>
      </c>
      <c r="K2624" s="19" t="s">
        <v>27227</v>
      </c>
      <c r="L2624" s="19" t="s">
        <v>27228</v>
      </c>
      <c r="M2624" s="20" t="s">
        <v>27229</v>
      </c>
      <c r="N2624" s="129" t="s">
        <v>27230</v>
      </c>
      <c r="O2624" s="22">
        <v>3.0</v>
      </c>
      <c r="P2624" s="28">
        <v>12.0</v>
      </c>
      <c r="Q2624" s="28">
        <v>58.0</v>
      </c>
      <c r="R2624" s="30"/>
      <c r="S2624" s="30"/>
      <c r="T2624" s="30"/>
      <c r="U2624" s="30"/>
      <c r="V2624" s="30"/>
      <c r="W2624" s="30"/>
      <c r="X2624" s="30"/>
      <c r="Y2624" s="30"/>
      <c r="Z2624" s="30"/>
      <c r="AA2624" s="30"/>
    </row>
    <row r="2625" ht="15.75" customHeight="1">
      <c r="A2625" s="30" t="s">
        <v>2137</v>
      </c>
      <c r="B2625" s="126" t="s">
        <v>26845</v>
      </c>
      <c r="C2625" s="30" t="s">
        <v>27232</v>
      </c>
      <c r="D2625" s="30" t="s">
        <v>27233</v>
      </c>
      <c r="E2625" s="127" t="s">
        <v>27234</v>
      </c>
      <c r="F2625" s="128">
        <v>369.0</v>
      </c>
      <c r="G2625" s="128">
        <v>378.0</v>
      </c>
      <c r="H2625" s="16" t="s">
        <v>17059</v>
      </c>
      <c r="I2625" s="19" t="s">
        <v>27236</v>
      </c>
      <c r="J2625" s="19" t="s">
        <v>27237</v>
      </c>
      <c r="K2625" s="19" t="s">
        <v>27237</v>
      </c>
      <c r="L2625" s="19" t="s">
        <v>27238</v>
      </c>
      <c r="M2625" s="20" t="s">
        <v>27239</v>
      </c>
      <c r="N2625" s="129" t="s">
        <v>27240</v>
      </c>
      <c r="O2625" s="22">
        <v>6.0</v>
      </c>
      <c r="P2625" s="28">
        <v>10.0</v>
      </c>
      <c r="Q2625" s="28">
        <v>69.0</v>
      </c>
      <c r="R2625" s="30"/>
      <c r="S2625" s="30"/>
      <c r="T2625" s="30"/>
      <c r="U2625" s="30"/>
      <c r="V2625" s="30"/>
      <c r="W2625" s="30"/>
      <c r="X2625" s="30"/>
      <c r="Y2625" s="30"/>
      <c r="Z2625" s="30"/>
      <c r="AA2625" s="30"/>
    </row>
    <row r="2626" ht="15.75" customHeight="1">
      <c r="A2626" s="30" t="s">
        <v>2137</v>
      </c>
      <c r="B2626" s="126" t="s">
        <v>26845</v>
      </c>
      <c r="C2626" s="30" t="s">
        <v>27241</v>
      </c>
      <c r="D2626" s="30" t="s">
        <v>27242</v>
      </c>
      <c r="E2626" s="127" t="s">
        <v>27243</v>
      </c>
      <c r="F2626" s="128">
        <v>559.0</v>
      </c>
      <c r="G2626" s="128">
        <v>568.0</v>
      </c>
      <c r="H2626" s="16" t="s">
        <v>17059</v>
      </c>
      <c r="I2626" s="19" t="s">
        <v>27245</v>
      </c>
      <c r="J2626" s="19" t="s">
        <v>27246</v>
      </c>
      <c r="K2626" s="19" t="s">
        <v>27247</v>
      </c>
      <c r="L2626" s="19" t="s">
        <v>27248</v>
      </c>
      <c r="M2626" s="20" t="s">
        <v>27249</v>
      </c>
      <c r="N2626" s="129" t="s">
        <v>27250</v>
      </c>
      <c r="O2626" s="22">
        <v>8.0</v>
      </c>
      <c r="P2626" s="28">
        <v>36.0</v>
      </c>
      <c r="Q2626" s="28">
        <v>49.0</v>
      </c>
      <c r="R2626" s="30"/>
      <c r="S2626" s="30"/>
      <c r="T2626" s="30"/>
      <c r="U2626" s="30"/>
      <c r="V2626" s="30"/>
      <c r="W2626" s="30"/>
      <c r="X2626" s="30"/>
      <c r="Y2626" s="30"/>
      <c r="Z2626" s="30"/>
      <c r="AA2626" s="30"/>
    </row>
    <row r="2627" ht="15.75" customHeight="1">
      <c r="A2627" s="30" t="s">
        <v>2137</v>
      </c>
      <c r="B2627" s="126" t="s">
        <v>26845</v>
      </c>
      <c r="C2627" s="30" t="s">
        <v>27251</v>
      </c>
      <c r="D2627" s="30" t="s">
        <v>27252</v>
      </c>
      <c r="E2627" s="127" t="s">
        <v>27253</v>
      </c>
      <c r="F2627" s="128">
        <v>589.0</v>
      </c>
      <c r="G2627" s="128">
        <v>598.0</v>
      </c>
      <c r="H2627" s="16" t="s">
        <v>17059</v>
      </c>
      <c r="I2627" s="19" t="s">
        <v>27254</v>
      </c>
      <c r="J2627" s="19" t="s">
        <v>27255</v>
      </c>
      <c r="K2627" s="19" t="s">
        <v>27256</v>
      </c>
      <c r="L2627" s="19" t="s">
        <v>27258</v>
      </c>
      <c r="M2627" s="20" t="s">
        <v>27259</v>
      </c>
      <c r="N2627" s="129" t="s">
        <v>27260</v>
      </c>
      <c r="O2627" s="22">
        <v>1.0</v>
      </c>
      <c r="P2627" s="28">
        <v>10.0</v>
      </c>
      <c r="Q2627" s="28">
        <v>45.0</v>
      </c>
      <c r="R2627" s="30"/>
      <c r="S2627" s="30"/>
      <c r="T2627" s="30"/>
      <c r="U2627" s="30"/>
      <c r="V2627" s="30"/>
      <c r="W2627" s="30"/>
      <c r="X2627" s="30"/>
      <c r="Y2627" s="30"/>
      <c r="Z2627" s="30"/>
      <c r="AA2627" s="30"/>
    </row>
    <row r="2628" ht="15.75" customHeight="1">
      <c r="A2628" s="30" t="s">
        <v>2137</v>
      </c>
      <c r="B2628" s="126" t="s">
        <v>26845</v>
      </c>
      <c r="C2628" s="30" t="s">
        <v>27261</v>
      </c>
      <c r="D2628" s="30" t="s">
        <v>27262</v>
      </c>
      <c r="E2628" s="127" t="s">
        <v>27263</v>
      </c>
      <c r="F2628" s="128">
        <v>399.0</v>
      </c>
      <c r="G2628" s="128">
        <v>408.0</v>
      </c>
      <c r="H2628" s="16" t="s">
        <v>17059</v>
      </c>
      <c r="I2628" s="19" t="s">
        <v>27264</v>
      </c>
      <c r="J2628" s="19" t="s">
        <v>27265</v>
      </c>
      <c r="K2628" s="19" t="s">
        <v>27265</v>
      </c>
      <c r="L2628" s="19" t="s">
        <v>27266</v>
      </c>
      <c r="M2628" s="20" t="s">
        <v>27267</v>
      </c>
      <c r="N2628" s="129" t="s">
        <v>27268</v>
      </c>
      <c r="O2628" s="22">
        <v>2.0</v>
      </c>
      <c r="P2628" s="28">
        <v>6.0</v>
      </c>
      <c r="Q2628" s="28">
        <v>30.0</v>
      </c>
      <c r="R2628" s="30"/>
      <c r="S2628" s="30"/>
      <c r="T2628" s="30"/>
      <c r="U2628" s="30"/>
      <c r="V2628" s="30"/>
      <c r="W2628" s="30"/>
      <c r="X2628" s="30"/>
      <c r="Y2628" s="30"/>
      <c r="Z2628" s="30"/>
      <c r="AA2628" s="30"/>
    </row>
    <row r="2629" ht="15.75" customHeight="1">
      <c r="A2629" s="30" t="s">
        <v>2137</v>
      </c>
      <c r="B2629" s="126" t="s">
        <v>26845</v>
      </c>
      <c r="C2629" s="30" t="s">
        <v>27269</v>
      </c>
      <c r="D2629" s="30" t="s">
        <v>27270</v>
      </c>
      <c r="E2629" s="127" t="s">
        <v>27271</v>
      </c>
      <c r="F2629" s="128">
        <v>479.0</v>
      </c>
      <c r="G2629" s="128">
        <v>488.0</v>
      </c>
      <c r="H2629" s="16" t="s">
        <v>17059</v>
      </c>
      <c r="I2629" s="19" t="s">
        <v>27275</v>
      </c>
      <c r="J2629" s="19" t="s">
        <v>27276</v>
      </c>
      <c r="K2629" s="19" t="s">
        <v>27276</v>
      </c>
      <c r="L2629" s="19" t="s">
        <v>24795</v>
      </c>
      <c r="M2629" s="20" t="s">
        <v>27277</v>
      </c>
      <c r="N2629" s="129" t="s">
        <v>27278</v>
      </c>
      <c r="O2629" s="22">
        <v>3.0</v>
      </c>
      <c r="P2629" s="28">
        <v>6.0</v>
      </c>
      <c r="Q2629" s="28">
        <v>65.0</v>
      </c>
      <c r="R2629" s="30"/>
      <c r="S2629" s="30"/>
      <c r="T2629" s="30"/>
      <c r="U2629" s="30"/>
      <c r="V2629" s="30"/>
      <c r="W2629" s="30"/>
      <c r="X2629" s="30"/>
      <c r="Y2629" s="30"/>
      <c r="Z2629" s="30"/>
      <c r="AA2629" s="30"/>
    </row>
    <row r="2630" ht="15.75" customHeight="1">
      <c r="A2630" s="30" t="s">
        <v>2137</v>
      </c>
      <c r="B2630" s="126" t="s">
        <v>26845</v>
      </c>
      <c r="C2630" s="30" t="s">
        <v>27279</v>
      </c>
      <c r="D2630" s="30" t="s">
        <v>27280</v>
      </c>
      <c r="E2630" s="127" t="s">
        <v>27281</v>
      </c>
      <c r="F2630" s="128">
        <v>678.0</v>
      </c>
      <c r="G2630" s="128">
        <v>687.0</v>
      </c>
      <c r="H2630" s="16" t="s">
        <v>17059</v>
      </c>
      <c r="I2630" s="19" t="s">
        <v>27282</v>
      </c>
      <c r="J2630" s="19" t="s">
        <v>27284</v>
      </c>
      <c r="K2630" s="19" t="s">
        <v>27285</v>
      </c>
      <c r="L2630" s="19" t="s">
        <v>27286</v>
      </c>
      <c r="M2630" s="20" t="s">
        <v>27287</v>
      </c>
      <c r="N2630" s="129" t="s">
        <v>27288</v>
      </c>
      <c r="O2630" s="22">
        <v>1.0</v>
      </c>
      <c r="P2630" s="28">
        <v>7.0</v>
      </c>
      <c r="Q2630" s="28">
        <v>35.0</v>
      </c>
      <c r="R2630" s="30"/>
      <c r="S2630" s="30"/>
      <c r="T2630" s="30"/>
      <c r="U2630" s="30"/>
      <c r="V2630" s="30"/>
      <c r="W2630" s="30"/>
      <c r="X2630" s="30"/>
      <c r="Y2630" s="30"/>
      <c r="Z2630" s="30"/>
      <c r="AA2630" s="30"/>
    </row>
    <row r="2631" ht="15.75" customHeight="1">
      <c r="A2631" s="30" t="s">
        <v>2137</v>
      </c>
      <c r="B2631" s="126" t="s">
        <v>26845</v>
      </c>
      <c r="C2631" s="30" t="s">
        <v>27289</v>
      </c>
      <c r="D2631" s="30" t="s">
        <v>27290</v>
      </c>
      <c r="E2631" s="127" t="s">
        <v>27292</v>
      </c>
      <c r="F2631" s="128">
        <v>459.0</v>
      </c>
      <c r="G2631" s="128">
        <v>468.0</v>
      </c>
      <c r="H2631" s="16" t="s">
        <v>17059</v>
      </c>
      <c r="I2631" s="19" t="s">
        <v>27293</v>
      </c>
      <c r="J2631" s="19" t="s">
        <v>27294</v>
      </c>
      <c r="K2631" s="19" t="s">
        <v>27294</v>
      </c>
      <c r="L2631" s="19" t="s">
        <v>27295</v>
      </c>
      <c r="M2631" s="20" t="s">
        <v>27296</v>
      </c>
      <c r="N2631" s="129" t="s">
        <v>27297</v>
      </c>
      <c r="O2631" s="22">
        <v>1.0</v>
      </c>
      <c r="P2631" s="28">
        <v>6.0</v>
      </c>
      <c r="Q2631" s="28">
        <v>37.0</v>
      </c>
      <c r="R2631" s="30"/>
      <c r="S2631" s="30"/>
      <c r="T2631" s="30"/>
      <c r="U2631" s="30"/>
      <c r="V2631" s="30"/>
      <c r="W2631" s="30"/>
      <c r="X2631" s="30"/>
      <c r="Y2631" s="30"/>
      <c r="Z2631" s="30"/>
      <c r="AA2631" s="30"/>
    </row>
    <row r="2632" ht="15.75" customHeight="1">
      <c r="A2632" s="30" t="s">
        <v>4153</v>
      </c>
      <c r="B2632" s="126" t="s">
        <v>26845</v>
      </c>
      <c r="C2632" s="16" t="s">
        <v>27298</v>
      </c>
      <c r="D2632" s="130" t="s">
        <v>27299</v>
      </c>
      <c r="E2632" s="131" t="s">
        <v>27301</v>
      </c>
      <c r="F2632" s="132">
        <v>1.0</v>
      </c>
      <c r="G2632" s="132">
        <v>8.0</v>
      </c>
      <c r="H2632" s="16" t="s">
        <v>28</v>
      </c>
      <c r="I2632" s="19" t="s">
        <v>27304</v>
      </c>
      <c r="J2632" s="19" t="s">
        <v>27305</v>
      </c>
      <c r="K2632" s="19" t="s">
        <v>27305</v>
      </c>
      <c r="L2632" s="19" t="s">
        <v>27306</v>
      </c>
      <c r="M2632" s="20" t="s">
        <v>27307</v>
      </c>
      <c r="N2632" s="129" t="s">
        <v>27308</v>
      </c>
      <c r="O2632" s="22">
        <v>5.0</v>
      </c>
      <c r="P2632" s="28">
        <v>2.0</v>
      </c>
      <c r="Q2632" s="28">
        <v>35.0</v>
      </c>
      <c r="R2632" s="30"/>
      <c r="S2632" s="30"/>
      <c r="T2632" s="30"/>
      <c r="U2632" s="30"/>
      <c r="V2632" s="30"/>
      <c r="W2632" s="30"/>
      <c r="X2632" s="30"/>
      <c r="Y2632" s="30"/>
      <c r="Z2632" s="30"/>
      <c r="AA2632" s="30"/>
    </row>
    <row r="2633" ht="15.75" customHeight="1">
      <c r="A2633" s="30" t="s">
        <v>4153</v>
      </c>
      <c r="B2633" s="126" t="s">
        <v>26845</v>
      </c>
      <c r="C2633" s="16" t="s">
        <v>27309</v>
      </c>
      <c r="D2633" s="130" t="s">
        <v>27310</v>
      </c>
      <c r="E2633" s="131" t="s">
        <v>27311</v>
      </c>
      <c r="F2633" s="132">
        <v>9.0</v>
      </c>
      <c r="G2633" s="132">
        <v>16.0</v>
      </c>
      <c r="H2633" s="16" t="s">
        <v>28</v>
      </c>
      <c r="I2633" s="19" t="s">
        <v>27314</v>
      </c>
      <c r="J2633" s="19" t="s">
        <v>27315</v>
      </c>
      <c r="K2633" s="19" t="s">
        <v>27316</v>
      </c>
      <c r="L2633" s="19" t="s">
        <v>27317</v>
      </c>
      <c r="M2633" s="20" t="s">
        <v>27318</v>
      </c>
      <c r="N2633" s="129" t="s">
        <v>27319</v>
      </c>
      <c r="O2633" s="22">
        <v>2.0</v>
      </c>
      <c r="P2633" s="28">
        <v>0.0</v>
      </c>
      <c r="Q2633" s="28">
        <v>44.0</v>
      </c>
      <c r="R2633" s="30"/>
      <c r="S2633" s="30"/>
      <c r="T2633" s="30"/>
      <c r="U2633" s="30"/>
      <c r="V2633" s="30"/>
      <c r="W2633" s="30"/>
      <c r="X2633" s="30"/>
      <c r="Y2633" s="30"/>
      <c r="Z2633" s="30"/>
      <c r="AA2633" s="30"/>
    </row>
    <row r="2634" ht="15.75" customHeight="1">
      <c r="A2634" s="30" t="s">
        <v>4153</v>
      </c>
      <c r="B2634" s="126" t="s">
        <v>26845</v>
      </c>
      <c r="C2634" s="16" t="s">
        <v>27320</v>
      </c>
      <c r="D2634" s="130" t="s">
        <v>27321</v>
      </c>
      <c r="E2634" s="131" t="s">
        <v>27322</v>
      </c>
      <c r="F2634" s="132">
        <v>17.0</v>
      </c>
      <c r="G2634" s="132">
        <v>24.0</v>
      </c>
      <c r="H2634" s="16" t="s">
        <v>28</v>
      </c>
      <c r="I2634" s="19" t="s">
        <v>27324</v>
      </c>
      <c r="J2634" s="19" t="s">
        <v>27325</v>
      </c>
      <c r="K2634" s="19" t="s">
        <v>27325</v>
      </c>
      <c r="L2634" s="19" t="s">
        <v>27326</v>
      </c>
      <c r="M2634" s="20" t="s">
        <v>27327</v>
      </c>
      <c r="N2634" s="129" t="s">
        <v>27328</v>
      </c>
      <c r="O2634" s="22">
        <v>3.0</v>
      </c>
      <c r="P2634" s="28">
        <v>3.0</v>
      </c>
      <c r="Q2634" s="28">
        <v>25.0</v>
      </c>
      <c r="R2634" s="30"/>
      <c r="S2634" s="30"/>
      <c r="T2634" s="30"/>
      <c r="U2634" s="30"/>
      <c r="V2634" s="30"/>
      <c r="W2634" s="30"/>
      <c r="X2634" s="30"/>
      <c r="Y2634" s="30"/>
      <c r="Z2634" s="30"/>
      <c r="AA2634" s="30"/>
    </row>
    <row r="2635" ht="15.75" customHeight="1">
      <c r="A2635" s="30" t="s">
        <v>4153</v>
      </c>
      <c r="B2635" s="126" t="s">
        <v>26845</v>
      </c>
      <c r="C2635" s="16" t="s">
        <v>27329</v>
      </c>
      <c r="D2635" s="130" t="s">
        <v>27330</v>
      </c>
      <c r="E2635" s="131" t="s">
        <v>27331</v>
      </c>
      <c r="F2635" s="132">
        <v>25.0</v>
      </c>
      <c r="G2635" s="132">
        <v>32.0</v>
      </c>
      <c r="H2635" s="16" t="s">
        <v>28</v>
      </c>
      <c r="I2635" s="19" t="s">
        <v>27332</v>
      </c>
      <c r="J2635" s="19" t="s">
        <v>27333</v>
      </c>
      <c r="K2635" s="19" t="s">
        <v>27334</v>
      </c>
      <c r="L2635" s="19" t="s">
        <v>27335</v>
      </c>
      <c r="M2635" s="20" t="s">
        <v>27336</v>
      </c>
      <c r="N2635" s="129" t="s">
        <v>27337</v>
      </c>
      <c r="O2635" s="22">
        <v>1.0</v>
      </c>
      <c r="P2635" s="28">
        <v>1.0</v>
      </c>
      <c r="Q2635" s="28">
        <v>30.0</v>
      </c>
      <c r="R2635" s="30"/>
      <c r="S2635" s="30"/>
      <c r="T2635" s="30"/>
      <c r="U2635" s="30"/>
      <c r="V2635" s="30"/>
      <c r="W2635" s="30"/>
      <c r="X2635" s="30"/>
      <c r="Y2635" s="30"/>
      <c r="Z2635" s="30"/>
      <c r="AA2635" s="30"/>
    </row>
    <row r="2636" ht="15.75" customHeight="1">
      <c r="A2636" s="30" t="s">
        <v>4153</v>
      </c>
      <c r="B2636" s="126" t="s">
        <v>26845</v>
      </c>
      <c r="C2636" s="16" t="s">
        <v>27338</v>
      </c>
      <c r="D2636" s="130" t="s">
        <v>27339</v>
      </c>
      <c r="E2636" s="131" t="s">
        <v>27340</v>
      </c>
      <c r="F2636" s="132">
        <v>33.0</v>
      </c>
      <c r="G2636" s="132">
        <v>40.0</v>
      </c>
      <c r="H2636" s="16" t="s">
        <v>28</v>
      </c>
      <c r="I2636" s="19" t="s">
        <v>27342</v>
      </c>
      <c r="J2636" s="19" t="s">
        <v>27343</v>
      </c>
      <c r="K2636" s="19" t="s">
        <v>27344</v>
      </c>
      <c r="L2636" s="18"/>
      <c r="M2636" s="20" t="s">
        <v>27345</v>
      </c>
      <c r="N2636" s="129" t="s">
        <v>27346</v>
      </c>
      <c r="O2636" s="22">
        <v>8.0</v>
      </c>
      <c r="P2636" s="28">
        <v>1.0</v>
      </c>
      <c r="Q2636" s="28">
        <v>23.0</v>
      </c>
      <c r="R2636" s="30"/>
      <c r="S2636" s="30"/>
      <c r="T2636" s="30"/>
      <c r="U2636" s="30"/>
      <c r="V2636" s="30"/>
      <c r="W2636" s="30"/>
      <c r="X2636" s="30"/>
      <c r="Y2636" s="30"/>
      <c r="Z2636" s="30"/>
      <c r="AA2636" s="30"/>
    </row>
    <row r="2637" ht="15.75" customHeight="1">
      <c r="A2637" s="30" t="s">
        <v>4153</v>
      </c>
      <c r="B2637" s="126" t="s">
        <v>26845</v>
      </c>
      <c r="C2637" s="16" t="s">
        <v>27347</v>
      </c>
      <c r="D2637" s="130" t="s">
        <v>27348</v>
      </c>
      <c r="E2637" s="131" t="s">
        <v>27349</v>
      </c>
      <c r="F2637" s="132">
        <v>41.0</v>
      </c>
      <c r="G2637" s="132">
        <v>48.0</v>
      </c>
      <c r="H2637" s="16" t="s">
        <v>28</v>
      </c>
      <c r="I2637" s="19" t="s">
        <v>27352</v>
      </c>
      <c r="J2637" s="19" t="s">
        <v>27353</v>
      </c>
      <c r="K2637" s="19" t="s">
        <v>27354</v>
      </c>
      <c r="L2637" s="19" t="s">
        <v>27355</v>
      </c>
      <c r="M2637" s="20" t="s">
        <v>27356</v>
      </c>
      <c r="N2637" s="129" t="s">
        <v>27357</v>
      </c>
      <c r="O2637" s="22">
        <v>0.0</v>
      </c>
      <c r="P2637" s="28">
        <v>0.0</v>
      </c>
      <c r="Q2637" s="28">
        <v>49.0</v>
      </c>
      <c r="R2637" s="30"/>
      <c r="S2637" s="30"/>
      <c r="T2637" s="30"/>
      <c r="U2637" s="30"/>
      <c r="V2637" s="30"/>
      <c r="W2637" s="30"/>
      <c r="X2637" s="30"/>
      <c r="Y2637" s="30"/>
      <c r="Z2637" s="30"/>
      <c r="AA2637" s="30"/>
    </row>
    <row r="2638" ht="15.75" customHeight="1">
      <c r="A2638" s="30" t="s">
        <v>4153</v>
      </c>
      <c r="B2638" s="126" t="s">
        <v>26845</v>
      </c>
      <c r="C2638" s="16" t="s">
        <v>27358</v>
      </c>
      <c r="D2638" s="130" t="s">
        <v>27359</v>
      </c>
      <c r="E2638" s="131" t="s">
        <v>27360</v>
      </c>
      <c r="F2638" s="132">
        <v>49.0</v>
      </c>
      <c r="G2638" s="132">
        <v>56.0</v>
      </c>
      <c r="H2638" s="16" t="s">
        <v>28</v>
      </c>
      <c r="I2638" s="19" t="s">
        <v>27361</v>
      </c>
      <c r="J2638" s="19" t="s">
        <v>27362</v>
      </c>
      <c r="K2638" s="19" t="s">
        <v>27362</v>
      </c>
      <c r="L2638" s="19" t="s">
        <v>27363</v>
      </c>
      <c r="M2638" s="20" t="s">
        <v>27364</v>
      </c>
      <c r="N2638" s="129" t="s">
        <v>27365</v>
      </c>
      <c r="O2638" s="22">
        <v>1.0</v>
      </c>
      <c r="P2638" s="28">
        <v>2.0</v>
      </c>
      <c r="Q2638" s="28">
        <v>21.0</v>
      </c>
      <c r="R2638" s="30"/>
      <c r="S2638" s="30"/>
      <c r="T2638" s="30"/>
      <c r="U2638" s="30"/>
      <c r="V2638" s="30"/>
      <c r="W2638" s="30"/>
      <c r="X2638" s="30"/>
      <c r="Y2638" s="30"/>
      <c r="Z2638" s="30"/>
      <c r="AA2638" s="30"/>
    </row>
    <row r="2639" ht="15.75" customHeight="1">
      <c r="A2639" s="30" t="s">
        <v>4153</v>
      </c>
      <c r="B2639" s="126" t="s">
        <v>26845</v>
      </c>
      <c r="C2639" s="16" t="s">
        <v>27367</v>
      </c>
      <c r="D2639" s="130" t="s">
        <v>27368</v>
      </c>
      <c r="E2639" s="131" t="s">
        <v>27369</v>
      </c>
      <c r="F2639" s="132">
        <v>57.0</v>
      </c>
      <c r="G2639" s="132">
        <v>64.0</v>
      </c>
      <c r="H2639" s="16" t="s">
        <v>28</v>
      </c>
      <c r="I2639" s="19" t="s">
        <v>27371</v>
      </c>
      <c r="J2639" s="19" t="s">
        <v>27372</v>
      </c>
      <c r="K2639" s="19" t="s">
        <v>27372</v>
      </c>
      <c r="L2639" s="19" t="s">
        <v>27373</v>
      </c>
      <c r="M2639" s="20" t="s">
        <v>27374</v>
      </c>
      <c r="N2639" s="129" t="s">
        <v>27375</v>
      </c>
      <c r="O2639" s="22">
        <v>8.0</v>
      </c>
      <c r="P2639" s="28">
        <v>7.0</v>
      </c>
      <c r="Q2639" s="28">
        <v>27.0</v>
      </c>
      <c r="R2639" s="30"/>
      <c r="S2639" s="30"/>
      <c r="T2639" s="30"/>
      <c r="U2639" s="30"/>
      <c r="V2639" s="30"/>
      <c r="W2639" s="30"/>
      <c r="X2639" s="30"/>
      <c r="Y2639" s="30"/>
      <c r="Z2639" s="30"/>
      <c r="AA2639" s="30"/>
    </row>
    <row r="2640" ht="15.75" customHeight="1">
      <c r="A2640" s="30" t="s">
        <v>4153</v>
      </c>
      <c r="B2640" s="126" t="s">
        <v>26845</v>
      </c>
      <c r="C2640" s="16" t="s">
        <v>27376</v>
      </c>
      <c r="D2640" s="130" t="s">
        <v>27377</v>
      </c>
      <c r="E2640" s="131" t="s">
        <v>27378</v>
      </c>
      <c r="F2640" s="132">
        <v>65.0</v>
      </c>
      <c r="G2640" s="132">
        <v>72.0</v>
      </c>
      <c r="H2640" s="16" t="s">
        <v>28</v>
      </c>
      <c r="I2640" s="19" t="s">
        <v>27379</v>
      </c>
      <c r="J2640" s="19" t="s">
        <v>27381</v>
      </c>
      <c r="K2640" s="19" t="s">
        <v>27382</v>
      </c>
      <c r="L2640" s="19" t="s">
        <v>27383</v>
      </c>
      <c r="M2640" s="20" t="s">
        <v>27384</v>
      </c>
      <c r="N2640" s="27"/>
      <c r="O2640" s="22">
        <v>0.0</v>
      </c>
      <c r="P2640" s="28">
        <v>2.0</v>
      </c>
      <c r="Q2640" s="28">
        <v>26.0</v>
      </c>
      <c r="R2640" s="30"/>
      <c r="S2640" s="30"/>
      <c r="T2640" s="30"/>
      <c r="U2640" s="30"/>
      <c r="V2640" s="30"/>
      <c r="W2640" s="30"/>
      <c r="X2640" s="30"/>
      <c r="Y2640" s="30"/>
      <c r="Z2640" s="30"/>
      <c r="AA2640" s="30"/>
    </row>
    <row r="2641" ht="15.75" customHeight="1">
      <c r="A2641" s="30" t="s">
        <v>4153</v>
      </c>
      <c r="B2641" s="126" t="s">
        <v>26845</v>
      </c>
      <c r="C2641" s="130" t="s">
        <v>27385</v>
      </c>
      <c r="D2641" s="130" t="s">
        <v>27386</v>
      </c>
      <c r="E2641" s="131" t="s">
        <v>27387</v>
      </c>
      <c r="F2641" s="132">
        <v>139.0</v>
      </c>
      <c r="G2641" s="132">
        <v>140.0</v>
      </c>
      <c r="H2641" s="16" t="s">
        <v>21</v>
      </c>
      <c r="I2641" s="19" t="s">
        <v>27389</v>
      </c>
      <c r="J2641" s="19" t="s">
        <v>27390</v>
      </c>
      <c r="K2641" s="19" t="s">
        <v>27390</v>
      </c>
      <c r="L2641" s="19" t="s">
        <v>15557</v>
      </c>
      <c r="M2641" s="20"/>
      <c r="N2641" s="27"/>
      <c r="O2641" s="22">
        <v>0.0</v>
      </c>
      <c r="P2641" s="28">
        <v>0.0</v>
      </c>
      <c r="Q2641" s="28">
        <v>5.0</v>
      </c>
      <c r="R2641" s="30"/>
      <c r="S2641" s="30"/>
      <c r="T2641" s="30"/>
      <c r="U2641" s="30"/>
      <c r="V2641" s="30"/>
      <c r="W2641" s="30"/>
      <c r="X2641" s="30"/>
      <c r="Y2641" s="30"/>
      <c r="Z2641" s="30"/>
      <c r="AA2641" s="30"/>
    </row>
    <row r="2642" ht="15.75" customHeight="1">
      <c r="A2642" s="30" t="s">
        <v>4153</v>
      </c>
      <c r="B2642" s="126" t="s">
        <v>26845</v>
      </c>
      <c r="C2642" s="130" t="s">
        <v>27392</v>
      </c>
      <c r="D2642" s="130" t="s">
        <v>27393</v>
      </c>
      <c r="E2642" s="131" t="s">
        <v>27394</v>
      </c>
      <c r="F2642" s="132">
        <v>141.0</v>
      </c>
      <c r="G2642" s="132">
        <v>142.0</v>
      </c>
      <c r="H2642" s="16" t="s">
        <v>21</v>
      </c>
      <c r="I2642" s="19" t="s">
        <v>27396</v>
      </c>
      <c r="J2642" s="19" t="s">
        <v>27397</v>
      </c>
      <c r="K2642" s="19" t="s">
        <v>27397</v>
      </c>
      <c r="L2642" s="19" t="s">
        <v>27398</v>
      </c>
      <c r="M2642" s="20"/>
      <c r="N2642" s="27"/>
      <c r="O2642" s="22">
        <v>3.0</v>
      </c>
      <c r="P2642" s="28">
        <v>2.0</v>
      </c>
      <c r="Q2642" s="28">
        <v>7.0</v>
      </c>
      <c r="R2642" s="30"/>
      <c r="S2642" s="30"/>
      <c r="T2642" s="30"/>
      <c r="U2642" s="30"/>
      <c r="V2642" s="30"/>
      <c r="W2642" s="30"/>
      <c r="X2642" s="30"/>
      <c r="Y2642" s="30"/>
      <c r="Z2642" s="30"/>
      <c r="AA2642" s="30"/>
    </row>
    <row r="2643" ht="15.75" customHeight="1">
      <c r="A2643" s="30" t="s">
        <v>4153</v>
      </c>
      <c r="B2643" s="126" t="s">
        <v>26845</v>
      </c>
      <c r="C2643" s="130" t="s">
        <v>27399</v>
      </c>
      <c r="D2643" s="130" t="s">
        <v>27400</v>
      </c>
      <c r="E2643" s="131" t="s">
        <v>27401</v>
      </c>
      <c r="F2643" s="132">
        <v>143.0</v>
      </c>
      <c r="G2643" s="132">
        <v>144.0</v>
      </c>
      <c r="H2643" s="16" t="s">
        <v>21</v>
      </c>
      <c r="I2643" s="19" t="s">
        <v>27404</v>
      </c>
      <c r="J2643" s="19" t="s">
        <v>27405</v>
      </c>
      <c r="K2643" s="19" t="s">
        <v>27405</v>
      </c>
      <c r="L2643" s="19" t="s">
        <v>27406</v>
      </c>
      <c r="M2643" s="20"/>
      <c r="N2643" s="27"/>
      <c r="O2643" s="22">
        <v>4.0</v>
      </c>
      <c r="P2643" s="28">
        <v>1.0</v>
      </c>
      <c r="Q2643" s="28">
        <v>8.0</v>
      </c>
      <c r="R2643" s="30"/>
      <c r="S2643" s="30"/>
      <c r="T2643" s="30"/>
      <c r="U2643" s="30"/>
      <c r="V2643" s="30"/>
      <c r="W2643" s="30"/>
      <c r="X2643" s="30"/>
      <c r="Y2643" s="30"/>
      <c r="Z2643" s="30"/>
      <c r="AA2643" s="30"/>
    </row>
    <row r="2644" ht="15.75" customHeight="1">
      <c r="A2644" s="30" t="s">
        <v>4153</v>
      </c>
      <c r="B2644" s="126" t="s">
        <v>26845</v>
      </c>
      <c r="C2644" s="130" t="s">
        <v>27407</v>
      </c>
      <c r="D2644" s="130" t="s">
        <v>27408</v>
      </c>
      <c r="E2644" s="131" t="s">
        <v>27409</v>
      </c>
      <c r="F2644" s="132">
        <v>145.0</v>
      </c>
      <c r="G2644" s="132">
        <v>146.0</v>
      </c>
      <c r="H2644" s="16" t="s">
        <v>21</v>
      </c>
      <c r="I2644" s="19" t="s">
        <v>27412</v>
      </c>
      <c r="J2644" s="19" t="s">
        <v>27413</v>
      </c>
      <c r="K2644" s="19" t="s">
        <v>27414</v>
      </c>
      <c r="L2644" s="19" t="s">
        <v>27415</v>
      </c>
      <c r="M2644" s="20"/>
      <c r="N2644" s="27"/>
      <c r="O2644" s="22">
        <v>0.0</v>
      </c>
      <c r="P2644" s="28">
        <v>0.0</v>
      </c>
      <c r="Q2644" s="28">
        <v>3.0</v>
      </c>
      <c r="R2644" s="30"/>
      <c r="S2644" s="30"/>
      <c r="T2644" s="30"/>
      <c r="U2644" s="30"/>
      <c r="V2644" s="30"/>
      <c r="W2644" s="30"/>
      <c r="X2644" s="30"/>
      <c r="Y2644" s="30"/>
      <c r="Z2644" s="30"/>
      <c r="AA2644" s="30"/>
    </row>
    <row r="2645" ht="15.75" customHeight="1">
      <c r="A2645" s="30" t="s">
        <v>4153</v>
      </c>
      <c r="B2645" s="126" t="s">
        <v>26845</v>
      </c>
      <c r="C2645" s="130" t="s">
        <v>27416</v>
      </c>
      <c r="D2645" s="130" t="s">
        <v>27417</v>
      </c>
      <c r="E2645" s="131" t="s">
        <v>27418</v>
      </c>
      <c r="F2645" s="132">
        <v>147.0</v>
      </c>
      <c r="G2645" s="132">
        <v>148.0</v>
      </c>
      <c r="H2645" s="16" t="s">
        <v>21</v>
      </c>
      <c r="I2645" s="19" t="s">
        <v>27421</v>
      </c>
      <c r="J2645" s="19" t="s">
        <v>27422</v>
      </c>
      <c r="K2645" s="19" t="s">
        <v>27422</v>
      </c>
      <c r="L2645" s="19" t="s">
        <v>27423</v>
      </c>
      <c r="M2645" s="20"/>
      <c r="N2645" s="27"/>
      <c r="O2645" s="22">
        <v>0.0</v>
      </c>
      <c r="P2645" s="28">
        <v>0.0</v>
      </c>
      <c r="Q2645" s="28">
        <v>10.0</v>
      </c>
      <c r="R2645" s="30"/>
      <c r="S2645" s="30"/>
      <c r="T2645" s="30"/>
      <c r="U2645" s="30"/>
      <c r="V2645" s="30"/>
      <c r="W2645" s="30"/>
      <c r="X2645" s="30"/>
      <c r="Y2645" s="30"/>
      <c r="Z2645" s="30"/>
      <c r="AA2645" s="30"/>
    </row>
    <row r="2646" ht="15.75" customHeight="1">
      <c r="A2646" s="30" t="s">
        <v>4153</v>
      </c>
      <c r="B2646" s="126" t="s">
        <v>26845</v>
      </c>
      <c r="C2646" s="130" t="s">
        <v>27425</v>
      </c>
      <c r="D2646" s="130" t="s">
        <v>27426</v>
      </c>
      <c r="E2646" s="131" t="s">
        <v>27427</v>
      </c>
      <c r="F2646" s="132">
        <v>149.0</v>
      </c>
      <c r="G2646" s="132">
        <v>150.0</v>
      </c>
      <c r="H2646" s="16" t="s">
        <v>21</v>
      </c>
      <c r="I2646" s="19" t="s">
        <v>27428</v>
      </c>
      <c r="J2646" s="19" t="s">
        <v>27429</v>
      </c>
      <c r="K2646" s="19" t="s">
        <v>27429</v>
      </c>
      <c r="L2646" s="19" t="s">
        <v>20913</v>
      </c>
      <c r="M2646" s="20"/>
      <c r="N2646" s="27"/>
      <c r="O2646" s="22">
        <v>0.0</v>
      </c>
      <c r="P2646" s="28">
        <v>0.0</v>
      </c>
      <c r="Q2646" s="28">
        <v>5.0</v>
      </c>
      <c r="R2646" s="30"/>
      <c r="S2646" s="30"/>
      <c r="T2646" s="30"/>
      <c r="U2646" s="30"/>
      <c r="V2646" s="30"/>
      <c r="W2646" s="30"/>
      <c r="X2646" s="30"/>
      <c r="Y2646" s="30"/>
      <c r="Z2646" s="30"/>
      <c r="AA2646" s="30"/>
    </row>
    <row r="2647" ht="15.75" customHeight="1">
      <c r="A2647" s="30" t="s">
        <v>4153</v>
      </c>
      <c r="B2647" s="126" t="s">
        <v>26845</v>
      </c>
      <c r="C2647" s="130" t="s">
        <v>27432</v>
      </c>
      <c r="D2647" s="130" t="s">
        <v>27433</v>
      </c>
      <c r="E2647" s="131" t="s">
        <v>27434</v>
      </c>
      <c r="F2647" s="132">
        <v>151.0</v>
      </c>
      <c r="G2647" s="132">
        <v>152.0</v>
      </c>
      <c r="H2647" s="16" t="s">
        <v>21</v>
      </c>
      <c r="I2647" s="19" t="s">
        <v>27436</v>
      </c>
      <c r="J2647" s="19" t="s">
        <v>27437</v>
      </c>
      <c r="K2647" s="19" t="s">
        <v>27438</v>
      </c>
      <c r="L2647" s="19" t="s">
        <v>27439</v>
      </c>
      <c r="M2647" s="20"/>
      <c r="N2647" s="27"/>
      <c r="O2647" s="22">
        <v>1.0</v>
      </c>
      <c r="P2647" s="28">
        <v>1.0</v>
      </c>
      <c r="Q2647" s="28">
        <v>6.0</v>
      </c>
      <c r="R2647" s="30"/>
      <c r="S2647" s="30"/>
      <c r="T2647" s="30"/>
      <c r="U2647" s="30"/>
      <c r="V2647" s="30"/>
      <c r="W2647" s="30"/>
      <c r="X2647" s="30"/>
      <c r="Y2647" s="30"/>
      <c r="Z2647" s="30"/>
      <c r="AA2647" s="30"/>
    </row>
    <row r="2648" ht="15.75" customHeight="1">
      <c r="A2648" s="30" t="s">
        <v>4153</v>
      </c>
      <c r="B2648" s="126" t="s">
        <v>26845</v>
      </c>
      <c r="C2648" s="130" t="s">
        <v>27440</v>
      </c>
      <c r="D2648" s="130" t="s">
        <v>27441</v>
      </c>
      <c r="E2648" s="131" t="s">
        <v>27442</v>
      </c>
      <c r="F2648" s="132">
        <v>153.0</v>
      </c>
      <c r="G2648" s="132">
        <v>154.0</v>
      </c>
      <c r="H2648" s="16" t="s">
        <v>21</v>
      </c>
      <c r="I2648" s="19" t="s">
        <v>27443</v>
      </c>
      <c r="J2648" s="19" t="s">
        <v>27444</v>
      </c>
      <c r="K2648" s="19" t="s">
        <v>27445</v>
      </c>
      <c r="L2648" s="19" t="s">
        <v>27446</v>
      </c>
      <c r="M2648" s="20"/>
      <c r="N2648" s="27"/>
      <c r="O2648" s="22">
        <v>0.0</v>
      </c>
      <c r="P2648" s="28">
        <v>0.0</v>
      </c>
      <c r="Q2648" s="28">
        <v>12.0</v>
      </c>
      <c r="R2648" s="30"/>
      <c r="S2648" s="30"/>
      <c r="T2648" s="30"/>
      <c r="U2648" s="30"/>
      <c r="V2648" s="30"/>
      <c r="W2648" s="30"/>
      <c r="X2648" s="30"/>
      <c r="Y2648" s="30"/>
      <c r="Z2648" s="30"/>
      <c r="AA2648" s="30"/>
    </row>
    <row r="2649" ht="15.75" customHeight="1">
      <c r="A2649" s="30" t="s">
        <v>4153</v>
      </c>
      <c r="B2649" s="126" t="s">
        <v>26845</v>
      </c>
      <c r="C2649" s="130" t="s">
        <v>27447</v>
      </c>
      <c r="D2649" s="130" t="s">
        <v>27448</v>
      </c>
      <c r="E2649" s="131" t="s">
        <v>27449</v>
      </c>
      <c r="F2649" s="132">
        <v>155.0</v>
      </c>
      <c r="G2649" s="132">
        <v>156.0</v>
      </c>
      <c r="H2649" s="16" t="s">
        <v>21</v>
      </c>
      <c r="I2649" s="19" t="s">
        <v>27450</v>
      </c>
      <c r="J2649" s="19" t="s">
        <v>27451</v>
      </c>
      <c r="K2649" s="19" t="s">
        <v>27451</v>
      </c>
      <c r="L2649" s="19" t="s">
        <v>27452</v>
      </c>
      <c r="M2649" s="20"/>
      <c r="N2649" s="27"/>
      <c r="O2649" s="22">
        <v>0.0</v>
      </c>
      <c r="P2649" s="28">
        <v>0.0</v>
      </c>
      <c r="Q2649" s="28">
        <v>5.0</v>
      </c>
      <c r="R2649" s="30"/>
      <c r="S2649" s="30"/>
      <c r="T2649" s="30"/>
      <c r="U2649" s="30"/>
      <c r="V2649" s="30"/>
      <c r="W2649" s="30"/>
      <c r="X2649" s="30"/>
      <c r="Y2649" s="30"/>
      <c r="Z2649" s="30"/>
      <c r="AA2649" s="30"/>
    </row>
    <row r="2650" ht="15.75" customHeight="1">
      <c r="A2650" s="30" t="s">
        <v>4153</v>
      </c>
      <c r="B2650" s="126" t="s">
        <v>26845</v>
      </c>
      <c r="C2650" s="130" t="s">
        <v>27453</v>
      </c>
      <c r="D2650" s="130" t="s">
        <v>27454</v>
      </c>
      <c r="E2650" s="131" t="s">
        <v>27455</v>
      </c>
      <c r="F2650" s="132">
        <v>157.0</v>
      </c>
      <c r="G2650" s="132">
        <v>158.0</v>
      </c>
      <c r="H2650" s="16" t="s">
        <v>21</v>
      </c>
      <c r="I2650" s="19" t="s">
        <v>27456</v>
      </c>
      <c r="J2650" s="19" t="s">
        <v>24093</v>
      </c>
      <c r="K2650" s="19" t="s">
        <v>24093</v>
      </c>
      <c r="L2650" s="18"/>
      <c r="M2650" s="20"/>
      <c r="N2650" s="27"/>
      <c r="O2650" s="22">
        <v>0.0</v>
      </c>
      <c r="P2650" s="28">
        <v>0.0</v>
      </c>
      <c r="Q2650" s="28">
        <v>8.0</v>
      </c>
      <c r="R2650" s="30"/>
      <c r="S2650" s="30"/>
      <c r="T2650" s="30"/>
      <c r="U2650" s="30"/>
      <c r="V2650" s="30"/>
      <c r="W2650" s="30"/>
      <c r="X2650" s="30"/>
      <c r="Y2650" s="30"/>
      <c r="Z2650" s="30"/>
      <c r="AA2650" s="30"/>
    </row>
    <row r="2651" ht="15.75" customHeight="1">
      <c r="A2651" s="30" t="s">
        <v>4153</v>
      </c>
      <c r="B2651" s="126" t="s">
        <v>26845</v>
      </c>
      <c r="C2651" s="130" t="s">
        <v>27457</v>
      </c>
      <c r="D2651" s="130" t="s">
        <v>27458</v>
      </c>
      <c r="E2651" s="131" t="s">
        <v>27459</v>
      </c>
      <c r="F2651" s="132">
        <v>159.0</v>
      </c>
      <c r="G2651" s="132">
        <v>160.0</v>
      </c>
      <c r="H2651" s="16" t="s">
        <v>21</v>
      </c>
      <c r="I2651" s="19" t="s">
        <v>27460</v>
      </c>
      <c r="J2651" s="19" t="s">
        <v>27461</v>
      </c>
      <c r="K2651" s="19" t="s">
        <v>27461</v>
      </c>
      <c r="L2651" s="19" t="s">
        <v>27462</v>
      </c>
      <c r="M2651" s="20"/>
      <c r="N2651" s="27"/>
      <c r="O2651" s="22">
        <v>0.0</v>
      </c>
      <c r="P2651" s="28">
        <v>0.0</v>
      </c>
      <c r="Q2651" s="28">
        <v>7.0</v>
      </c>
      <c r="R2651" s="30"/>
      <c r="S2651" s="30"/>
      <c r="T2651" s="30"/>
      <c r="U2651" s="30"/>
      <c r="V2651" s="30"/>
      <c r="W2651" s="30"/>
      <c r="X2651" s="30"/>
      <c r="Y2651" s="30"/>
      <c r="Z2651" s="30"/>
      <c r="AA2651" s="30"/>
    </row>
    <row r="2652" ht="15.75" customHeight="1">
      <c r="A2652" s="30" t="s">
        <v>4153</v>
      </c>
      <c r="B2652" s="126" t="s">
        <v>26845</v>
      </c>
      <c r="C2652" s="130" t="s">
        <v>27463</v>
      </c>
      <c r="D2652" s="130" t="s">
        <v>27464</v>
      </c>
      <c r="E2652" s="131" t="s">
        <v>27465</v>
      </c>
      <c r="F2652" s="132">
        <v>161.0</v>
      </c>
      <c r="G2652" s="132">
        <v>162.0</v>
      </c>
      <c r="H2652" s="16" t="s">
        <v>21</v>
      </c>
      <c r="I2652" s="19" t="s">
        <v>27466</v>
      </c>
      <c r="J2652" s="19" t="s">
        <v>27467</v>
      </c>
      <c r="K2652" s="19" t="s">
        <v>27467</v>
      </c>
      <c r="L2652" s="19" t="s">
        <v>27468</v>
      </c>
      <c r="M2652" s="20"/>
      <c r="N2652" s="27"/>
      <c r="O2652" s="22">
        <v>0.0</v>
      </c>
      <c r="P2652" s="28">
        <v>0.0</v>
      </c>
      <c r="Q2652" s="28">
        <v>6.0</v>
      </c>
      <c r="R2652" s="30"/>
      <c r="S2652" s="30"/>
      <c r="T2652" s="30"/>
      <c r="U2652" s="30"/>
      <c r="V2652" s="30"/>
      <c r="W2652" s="30"/>
      <c r="X2652" s="30"/>
      <c r="Y2652" s="30"/>
      <c r="Z2652" s="30"/>
      <c r="AA2652" s="30"/>
    </row>
    <row r="2653" ht="15.75" customHeight="1">
      <c r="A2653" s="30" t="s">
        <v>4153</v>
      </c>
      <c r="B2653" s="126" t="s">
        <v>26845</v>
      </c>
      <c r="C2653" s="130" t="s">
        <v>27469</v>
      </c>
      <c r="D2653" s="130" t="s">
        <v>27470</v>
      </c>
      <c r="E2653" s="131" t="s">
        <v>27471</v>
      </c>
      <c r="F2653" s="132">
        <v>163.0</v>
      </c>
      <c r="G2653" s="132">
        <v>164.0</v>
      </c>
      <c r="H2653" s="16" t="s">
        <v>21</v>
      </c>
      <c r="I2653" s="19" t="s">
        <v>27473</v>
      </c>
      <c r="J2653" s="19" t="s">
        <v>27474</v>
      </c>
      <c r="K2653" s="19" t="s">
        <v>27475</v>
      </c>
      <c r="L2653" s="19" t="s">
        <v>27476</v>
      </c>
      <c r="M2653" s="20"/>
      <c r="N2653" s="27"/>
      <c r="O2653" s="22">
        <v>4.0</v>
      </c>
      <c r="P2653" s="28">
        <v>3.0</v>
      </c>
      <c r="Q2653" s="28">
        <v>10.0</v>
      </c>
      <c r="R2653" s="30"/>
      <c r="S2653" s="30"/>
      <c r="T2653" s="30"/>
      <c r="U2653" s="30"/>
      <c r="V2653" s="30"/>
      <c r="W2653" s="30"/>
      <c r="X2653" s="30"/>
      <c r="Y2653" s="30"/>
      <c r="Z2653" s="30"/>
      <c r="AA2653" s="30"/>
    </row>
    <row r="2654" ht="15.75" customHeight="1">
      <c r="A2654" s="30" t="s">
        <v>4153</v>
      </c>
      <c r="B2654" s="126" t="s">
        <v>26845</v>
      </c>
      <c r="C2654" s="130" t="s">
        <v>27477</v>
      </c>
      <c r="D2654" s="130" t="s">
        <v>27478</v>
      </c>
      <c r="E2654" s="131" t="s">
        <v>27479</v>
      </c>
      <c r="F2654" s="132">
        <v>165.0</v>
      </c>
      <c r="G2654" s="132">
        <v>166.0</v>
      </c>
      <c r="H2654" s="16" t="s">
        <v>21</v>
      </c>
      <c r="I2654" s="19" t="s">
        <v>27480</v>
      </c>
      <c r="J2654" s="19" t="s">
        <v>27481</v>
      </c>
      <c r="K2654" s="19" t="s">
        <v>27481</v>
      </c>
      <c r="L2654" s="19" t="s">
        <v>27452</v>
      </c>
      <c r="M2654" s="20"/>
      <c r="N2654" s="27"/>
      <c r="O2654" s="22">
        <v>0.0</v>
      </c>
      <c r="P2654" s="28">
        <v>0.0</v>
      </c>
      <c r="Q2654" s="28">
        <v>4.0</v>
      </c>
      <c r="R2654" s="30"/>
      <c r="S2654" s="30"/>
      <c r="T2654" s="30"/>
      <c r="U2654" s="30"/>
      <c r="V2654" s="30"/>
      <c r="W2654" s="30"/>
      <c r="X2654" s="30"/>
      <c r="Y2654" s="30"/>
      <c r="Z2654" s="30"/>
      <c r="AA2654" s="30"/>
    </row>
    <row r="2655" ht="15.75" customHeight="1">
      <c r="A2655" s="30" t="s">
        <v>4153</v>
      </c>
      <c r="B2655" s="126" t="s">
        <v>26845</v>
      </c>
      <c r="C2655" s="30" t="s">
        <v>27482</v>
      </c>
      <c r="D2655" s="30" t="s">
        <v>27483</v>
      </c>
      <c r="E2655" s="127" t="s">
        <v>27484</v>
      </c>
      <c r="F2655" s="128">
        <v>827.0</v>
      </c>
      <c r="G2655" s="128">
        <v>836.0</v>
      </c>
      <c r="H2655" s="16" t="s">
        <v>17059</v>
      </c>
      <c r="I2655" s="19" t="s">
        <v>27485</v>
      </c>
      <c r="J2655" s="19" t="s">
        <v>27486</v>
      </c>
      <c r="K2655" s="19" t="s">
        <v>27487</v>
      </c>
      <c r="L2655" s="19" t="s">
        <v>27488</v>
      </c>
      <c r="M2655" s="20" t="s">
        <v>27489</v>
      </c>
      <c r="N2655" s="129" t="s">
        <v>27490</v>
      </c>
      <c r="O2655" s="22">
        <v>0.0</v>
      </c>
      <c r="P2655" s="28">
        <v>5.0</v>
      </c>
      <c r="Q2655" s="28">
        <v>39.0</v>
      </c>
      <c r="R2655" s="30"/>
      <c r="S2655" s="30"/>
      <c r="T2655" s="30"/>
      <c r="U2655" s="30"/>
      <c r="V2655" s="30"/>
      <c r="W2655" s="30"/>
      <c r="X2655" s="30"/>
      <c r="Y2655" s="30"/>
      <c r="Z2655" s="30"/>
      <c r="AA2655" s="30"/>
    </row>
    <row r="2656" ht="15.75" customHeight="1">
      <c r="A2656" s="30" t="s">
        <v>4153</v>
      </c>
      <c r="B2656" s="126" t="s">
        <v>26845</v>
      </c>
      <c r="C2656" s="30" t="s">
        <v>27491</v>
      </c>
      <c r="D2656" s="30" t="s">
        <v>27492</v>
      </c>
      <c r="E2656" s="127" t="s">
        <v>27493</v>
      </c>
      <c r="F2656" s="128">
        <v>975.0</v>
      </c>
      <c r="G2656" s="128">
        <v>984.0</v>
      </c>
      <c r="H2656" s="16" t="s">
        <v>17059</v>
      </c>
      <c r="I2656" s="19" t="s">
        <v>27494</v>
      </c>
      <c r="J2656" s="19" t="s">
        <v>27495</v>
      </c>
      <c r="K2656" s="19" t="s">
        <v>27496</v>
      </c>
      <c r="L2656" s="19" t="s">
        <v>19720</v>
      </c>
      <c r="M2656" s="20" t="s">
        <v>27497</v>
      </c>
      <c r="N2656" s="129" t="s">
        <v>27498</v>
      </c>
      <c r="O2656" s="22">
        <v>3.0</v>
      </c>
      <c r="P2656" s="28">
        <v>5.0</v>
      </c>
      <c r="Q2656" s="28">
        <v>60.0</v>
      </c>
      <c r="R2656" s="30"/>
      <c r="S2656" s="30"/>
      <c r="T2656" s="30"/>
      <c r="U2656" s="30"/>
      <c r="V2656" s="30"/>
      <c r="W2656" s="30"/>
      <c r="X2656" s="30"/>
      <c r="Y2656" s="30"/>
      <c r="Z2656" s="30"/>
      <c r="AA2656" s="30"/>
    </row>
    <row r="2657" ht="15.75" customHeight="1">
      <c r="A2657" s="30" t="s">
        <v>4153</v>
      </c>
      <c r="B2657" s="126" t="s">
        <v>26845</v>
      </c>
      <c r="C2657" s="29" t="s">
        <v>27499</v>
      </c>
      <c r="D2657" s="30" t="s">
        <v>27500</v>
      </c>
      <c r="E2657" s="127" t="s">
        <v>27501</v>
      </c>
      <c r="F2657" s="128">
        <v>877.0</v>
      </c>
      <c r="G2657" s="128">
        <v>885.0</v>
      </c>
      <c r="H2657" s="16" t="s">
        <v>17059</v>
      </c>
      <c r="I2657" s="19" t="s">
        <v>27502</v>
      </c>
      <c r="J2657" s="19" t="s">
        <v>27503</v>
      </c>
      <c r="K2657" s="19" t="s">
        <v>27503</v>
      </c>
      <c r="L2657" s="19" t="s">
        <v>27504</v>
      </c>
      <c r="M2657" s="20" t="s">
        <v>27505</v>
      </c>
      <c r="N2657" s="129" t="s">
        <v>27506</v>
      </c>
      <c r="O2657" s="22">
        <v>3.0</v>
      </c>
      <c r="P2657" s="28">
        <v>6.0</v>
      </c>
      <c r="Q2657" s="28">
        <v>31.0</v>
      </c>
      <c r="R2657" s="29" t="s">
        <v>106</v>
      </c>
      <c r="S2657" s="30"/>
      <c r="T2657" s="30"/>
      <c r="U2657" s="30"/>
      <c r="V2657" s="30"/>
      <c r="W2657" s="30"/>
      <c r="X2657" s="30"/>
      <c r="Y2657" s="30"/>
      <c r="Z2657" s="30"/>
      <c r="AA2657" s="30"/>
    </row>
    <row r="2658" ht="15.75" customHeight="1">
      <c r="A2658" s="30" t="s">
        <v>4153</v>
      </c>
      <c r="B2658" s="126" t="s">
        <v>26845</v>
      </c>
      <c r="C2658" s="30" t="s">
        <v>27507</v>
      </c>
      <c r="D2658" s="30" t="s">
        <v>27508</v>
      </c>
      <c r="E2658" s="127" t="s">
        <v>27509</v>
      </c>
      <c r="F2658" s="128">
        <v>935.0</v>
      </c>
      <c r="G2658" s="128">
        <v>944.0</v>
      </c>
      <c r="H2658" s="16" t="s">
        <v>17059</v>
      </c>
      <c r="I2658" s="19" t="s">
        <v>27510</v>
      </c>
      <c r="J2658" s="19" t="s">
        <v>27511</v>
      </c>
      <c r="K2658" s="19" t="s">
        <v>27511</v>
      </c>
      <c r="L2658" s="19" t="s">
        <v>27512</v>
      </c>
      <c r="M2658" s="20" t="s">
        <v>27513</v>
      </c>
      <c r="N2658" s="129" t="s">
        <v>27514</v>
      </c>
      <c r="O2658" s="22">
        <v>5.0</v>
      </c>
      <c r="P2658" s="28">
        <v>27.0</v>
      </c>
      <c r="Q2658" s="28">
        <v>45.0</v>
      </c>
      <c r="R2658" s="30"/>
      <c r="S2658" s="30"/>
      <c r="T2658" s="30"/>
      <c r="U2658" s="30"/>
      <c r="V2658" s="30"/>
      <c r="W2658" s="30"/>
      <c r="X2658" s="30"/>
      <c r="Y2658" s="30"/>
      <c r="Z2658" s="30"/>
      <c r="AA2658" s="30"/>
    </row>
    <row r="2659" ht="15.75" customHeight="1">
      <c r="A2659" s="30" t="s">
        <v>4153</v>
      </c>
      <c r="B2659" s="126" t="s">
        <v>26845</v>
      </c>
      <c r="C2659" s="30" t="s">
        <v>27515</v>
      </c>
      <c r="D2659" s="30" t="s">
        <v>27516</v>
      </c>
      <c r="E2659" s="127" t="s">
        <v>27517</v>
      </c>
      <c r="F2659" s="128">
        <v>708.0</v>
      </c>
      <c r="G2659" s="128">
        <v>717.0</v>
      </c>
      <c r="H2659" s="16" t="s">
        <v>17059</v>
      </c>
      <c r="I2659" s="19" t="s">
        <v>27519</v>
      </c>
      <c r="J2659" s="19" t="s">
        <v>27520</v>
      </c>
      <c r="K2659" s="19" t="s">
        <v>27521</v>
      </c>
      <c r="L2659" s="19" t="s">
        <v>27522</v>
      </c>
      <c r="M2659" s="20" t="s">
        <v>27523</v>
      </c>
      <c r="N2659" s="129" t="s">
        <v>27524</v>
      </c>
      <c r="O2659" s="22">
        <v>1.0</v>
      </c>
      <c r="P2659" s="28">
        <v>6.0</v>
      </c>
      <c r="Q2659" s="28">
        <v>46.0</v>
      </c>
      <c r="R2659" s="30"/>
      <c r="S2659" s="30"/>
      <c r="T2659" s="30"/>
      <c r="U2659" s="30"/>
      <c r="V2659" s="30"/>
      <c r="W2659" s="30"/>
      <c r="X2659" s="30"/>
      <c r="Y2659" s="30"/>
      <c r="Z2659" s="30"/>
      <c r="AA2659" s="30"/>
    </row>
    <row r="2660" ht="15.75" customHeight="1">
      <c r="A2660" s="30" t="s">
        <v>4153</v>
      </c>
      <c r="B2660" s="126" t="s">
        <v>26845</v>
      </c>
      <c r="C2660" s="30" t="s">
        <v>27526</v>
      </c>
      <c r="D2660" s="30" t="s">
        <v>27527</v>
      </c>
      <c r="E2660" s="127" t="s">
        <v>27528</v>
      </c>
      <c r="F2660" s="128">
        <v>817.0</v>
      </c>
      <c r="G2660" s="128">
        <v>826.0</v>
      </c>
      <c r="H2660" s="16" t="s">
        <v>17059</v>
      </c>
      <c r="I2660" s="19" t="s">
        <v>27529</v>
      </c>
      <c r="J2660" s="19" t="s">
        <v>27530</v>
      </c>
      <c r="K2660" s="19" t="s">
        <v>27530</v>
      </c>
      <c r="L2660" s="19" t="s">
        <v>27531</v>
      </c>
      <c r="M2660" s="20" t="s">
        <v>27532</v>
      </c>
      <c r="N2660" s="129" t="s">
        <v>27533</v>
      </c>
      <c r="O2660" s="22">
        <v>0.0</v>
      </c>
      <c r="P2660" s="28">
        <v>9.0</v>
      </c>
      <c r="Q2660" s="28">
        <v>49.0</v>
      </c>
      <c r="R2660" s="29" t="s">
        <v>19037</v>
      </c>
      <c r="S2660" s="30"/>
      <c r="T2660" s="30"/>
      <c r="U2660" s="30"/>
      <c r="V2660" s="30"/>
      <c r="W2660" s="30"/>
      <c r="X2660" s="30"/>
      <c r="Y2660" s="30"/>
      <c r="Z2660" s="30"/>
      <c r="AA2660" s="30"/>
    </row>
    <row r="2661" ht="15.75" customHeight="1">
      <c r="A2661" s="30" t="s">
        <v>4153</v>
      </c>
      <c r="B2661" s="126" t="s">
        <v>26845</v>
      </c>
      <c r="C2661" s="30" t="s">
        <v>27534</v>
      </c>
      <c r="D2661" s="30" t="s">
        <v>27535</v>
      </c>
      <c r="E2661" s="127" t="s">
        <v>27537</v>
      </c>
      <c r="F2661" s="128">
        <v>886.0</v>
      </c>
      <c r="G2661" s="128">
        <v>895.0</v>
      </c>
      <c r="H2661" s="16" t="s">
        <v>17059</v>
      </c>
      <c r="I2661" s="19" t="s">
        <v>27539</v>
      </c>
      <c r="J2661" s="19" t="s">
        <v>24070</v>
      </c>
      <c r="K2661" s="19" t="s">
        <v>24071</v>
      </c>
      <c r="L2661" s="19" t="s">
        <v>27540</v>
      </c>
      <c r="M2661" s="20" t="s">
        <v>27541</v>
      </c>
      <c r="N2661" s="129" t="s">
        <v>27542</v>
      </c>
      <c r="O2661" s="22">
        <v>50.0</v>
      </c>
      <c r="P2661" s="28">
        <v>9.0</v>
      </c>
      <c r="Q2661" s="28">
        <v>58.0</v>
      </c>
      <c r="R2661" s="30"/>
      <c r="S2661" s="30"/>
      <c r="T2661" s="30"/>
      <c r="U2661" s="30"/>
      <c r="V2661" s="30"/>
      <c r="W2661" s="30"/>
      <c r="X2661" s="30"/>
      <c r="Y2661" s="30"/>
      <c r="Z2661" s="30"/>
      <c r="AA2661" s="30"/>
    </row>
    <row r="2662" ht="15.75" customHeight="1">
      <c r="A2662" s="30" t="s">
        <v>4153</v>
      </c>
      <c r="B2662" s="126" t="s">
        <v>26845</v>
      </c>
      <c r="C2662" s="30" t="s">
        <v>27543</v>
      </c>
      <c r="D2662" s="30" t="s">
        <v>27544</v>
      </c>
      <c r="E2662" s="127" t="s">
        <v>27545</v>
      </c>
      <c r="F2662" s="128">
        <v>757.0</v>
      </c>
      <c r="G2662" s="128">
        <v>766.0</v>
      </c>
      <c r="H2662" s="16" t="s">
        <v>17059</v>
      </c>
      <c r="I2662" s="19" t="s">
        <v>27548</v>
      </c>
      <c r="J2662" s="19" t="s">
        <v>27549</v>
      </c>
      <c r="K2662" s="19" t="s">
        <v>27549</v>
      </c>
      <c r="L2662" s="19" t="s">
        <v>27550</v>
      </c>
      <c r="M2662" s="20" t="s">
        <v>27551</v>
      </c>
      <c r="N2662" s="129" t="s">
        <v>27552</v>
      </c>
      <c r="O2662" s="22">
        <v>0.0</v>
      </c>
      <c r="P2662" s="28">
        <v>9.0</v>
      </c>
      <c r="Q2662" s="28">
        <v>51.0</v>
      </c>
      <c r="R2662" s="30"/>
      <c r="S2662" s="30"/>
      <c r="T2662" s="30"/>
      <c r="U2662" s="30"/>
      <c r="V2662" s="30"/>
      <c r="W2662" s="30"/>
      <c r="X2662" s="30"/>
      <c r="Y2662" s="30"/>
      <c r="Z2662" s="30"/>
      <c r="AA2662" s="30"/>
    </row>
    <row r="2663" ht="15.75" customHeight="1">
      <c r="A2663" s="30" t="s">
        <v>4153</v>
      </c>
      <c r="B2663" s="126" t="s">
        <v>26845</v>
      </c>
      <c r="C2663" s="30" t="s">
        <v>27553</v>
      </c>
      <c r="D2663" s="30" t="s">
        <v>27554</v>
      </c>
      <c r="E2663" s="127" t="s">
        <v>27555</v>
      </c>
      <c r="F2663" s="128">
        <v>767.0</v>
      </c>
      <c r="G2663" s="128">
        <v>776.0</v>
      </c>
      <c r="H2663" s="16" t="s">
        <v>17059</v>
      </c>
      <c r="I2663" s="19" t="s">
        <v>27556</v>
      </c>
      <c r="J2663" s="19" t="s">
        <v>27557</v>
      </c>
      <c r="K2663" s="19" t="s">
        <v>27557</v>
      </c>
      <c r="L2663" s="19" t="s">
        <v>27558</v>
      </c>
      <c r="M2663" s="20" t="s">
        <v>27559</v>
      </c>
      <c r="N2663" s="129" t="s">
        <v>27560</v>
      </c>
      <c r="O2663" s="22">
        <v>10.0</v>
      </c>
      <c r="P2663" s="28">
        <v>24.0</v>
      </c>
      <c r="Q2663" s="28">
        <v>50.0</v>
      </c>
      <c r="R2663" s="30"/>
      <c r="S2663" s="30"/>
      <c r="T2663" s="30"/>
      <c r="U2663" s="30"/>
      <c r="V2663" s="30"/>
      <c r="W2663" s="30"/>
      <c r="X2663" s="30"/>
      <c r="Y2663" s="30"/>
      <c r="Z2663" s="30"/>
      <c r="AA2663" s="30"/>
    </row>
    <row r="2664" ht="15.75" customHeight="1">
      <c r="A2664" s="30" t="s">
        <v>4153</v>
      </c>
      <c r="B2664" s="126" t="s">
        <v>26845</v>
      </c>
      <c r="C2664" s="30" t="s">
        <v>27561</v>
      </c>
      <c r="D2664" s="30" t="s">
        <v>27562</v>
      </c>
      <c r="E2664" s="127" t="s">
        <v>27563</v>
      </c>
      <c r="F2664" s="128">
        <v>995.0</v>
      </c>
      <c r="G2664" s="128">
        <v>1004.0</v>
      </c>
      <c r="H2664" s="16" t="s">
        <v>17059</v>
      </c>
      <c r="I2664" s="19" t="s">
        <v>27564</v>
      </c>
      <c r="J2664" s="19" t="s">
        <v>27565</v>
      </c>
      <c r="K2664" s="19" t="s">
        <v>27566</v>
      </c>
      <c r="L2664" s="19" t="s">
        <v>27567</v>
      </c>
      <c r="M2664" s="20" t="s">
        <v>27568</v>
      </c>
      <c r="N2664" s="129" t="s">
        <v>27569</v>
      </c>
      <c r="O2664" s="22">
        <v>50.0</v>
      </c>
      <c r="P2664" s="28">
        <v>3.0</v>
      </c>
      <c r="Q2664" s="28">
        <v>56.0</v>
      </c>
      <c r="R2664" s="30"/>
      <c r="S2664" s="30"/>
      <c r="T2664" s="30"/>
      <c r="U2664" s="30"/>
      <c r="V2664" s="30"/>
      <c r="W2664" s="30"/>
      <c r="X2664" s="30"/>
      <c r="Y2664" s="30"/>
      <c r="Z2664" s="30"/>
      <c r="AA2664" s="30"/>
    </row>
    <row r="2665" ht="15.75" customHeight="1">
      <c r="A2665" s="30" t="s">
        <v>4153</v>
      </c>
      <c r="B2665" s="126" t="s">
        <v>26845</v>
      </c>
      <c r="C2665" s="30" t="s">
        <v>27570</v>
      </c>
      <c r="D2665" s="30" t="s">
        <v>27571</v>
      </c>
      <c r="E2665" s="127" t="s">
        <v>27572</v>
      </c>
      <c r="F2665" s="128">
        <v>807.0</v>
      </c>
      <c r="G2665" s="128">
        <v>816.0</v>
      </c>
      <c r="H2665" s="16" t="s">
        <v>17059</v>
      </c>
      <c r="I2665" s="19" t="s">
        <v>27573</v>
      </c>
      <c r="J2665" s="19" t="s">
        <v>27574</v>
      </c>
      <c r="K2665" s="19" t="s">
        <v>27574</v>
      </c>
      <c r="L2665" s="19" t="s">
        <v>27575</v>
      </c>
      <c r="M2665" s="20" t="s">
        <v>27576</v>
      </c>
      <c r="N2665" s="129" t="s">
        <v>27577</v>
      </c>
      <c r="O2665" s="22">
        <v>0.0</v>
      </c>
      <c r="P2665" s="28">
        <v>2.0</v>
      </c>
      <c r="Q2665" s="28">
        <v>36.0</v>
      </c>
      <c r="R2665" s="30"/>
      <c r="S2665" s="30"/>
      <c r="T2665" s="30"/>
      <c r="U2665" s="30"/>
      <c r="V2665" s="30"/>
      <c r="W2665" s="30"/>
      <c r="X2665" s="30"/>
      <c r="Y2665" s="30"/>
      <c r="Z2665" s="30"/>
      <c r="AA2665" s="30"/>
    </row>
    <row r="2666" ht="15.75" customHeight="1">
      <c r="A2666" s="30" t="s">
        <v>4153</v>
      </c>
      <c r="B2666" s="126" t="s">
        <v>26845</v>
      </c>
      <c r="C2666" s="30" t="s">
        <v>27578</v>
      </c>
      <c r="D2666" s="30" t="s">
        <v>27579</v>
      </c>
      <c r="E2666" s="127" t="s">
        <v>27580</v>
      </c>
      <c r="F2666" s="128">
        <v>718.0</v>
      </c>
      <c r="G2666" s="128">
        <v>727.0</v>
      </c>
      <c r="H2666" s="16" t="s">
        <v>17059</v>
      </c>
      <c r="I2666" s="19" t="s">
        <v>27581</v>
      </c>
      <c r="J2666" s="19" t="s">
        <v>27582</v>
      </c>
      <c r="K2666" s="19" t="s">
        <v>27583</v>
      </c>
      <c r="L2666" s="19" t="s">
        <v>27584</v>
      </c>
      <c r="M2666" s="20" t="s">
        <v>27585</v>
      </c>
      <c r="N2666" s="129" t="s">
        <v>27586</v>
      </c>
      <c r="O2666" s="22">
        <v>4.0</v>
      </c>
      <c r="P2666" s="28">
        <v>7.0</v>
      </c>
      <c r="Q2666" s="28">
        <v>48.0</v>
      </c>
      <c r="R2666" s="30"/>
      <c r="S2666" s="30"/>
      <c r="T2666" s="30"/>
      <c r="U2666" s="30"/>
      <c r="V2666" s="30"/>
      <c r="W2666" s="30"/>
      <c r="X2666" s="30"/>
      <c r="Y2666" s="30"/>
      <c r="Z2666" s="30"/>
      <c r="AA2666" s="30"/>
    </row>
    <row r="2667" ht="15.75" customHeight="1">
      <c r="A2667" s="30" t="s">
        <v>4153</v>
      </c>
      <c r="B2667" s="126" t="s">
        <v>26845</v>
      </c>
      <c r="C2667" s="30" t="s">
        <v>27588</v>
      </c>
      <c r="D2667" s="30" t="s">
        <v>27589</v>
      </c>
      <c r="E2667" s="127" t="s">
        <v>27590</v>
      </c>
      <c r="F2667" s="128">
        <v>896.0</v>
      </c>
      <c r="G2667" s="128">
        <v>905.0</v>
      </c>
      <c r="H2667" s="16" t="s">
        <v>17059</v>
      </c>
      <c r="I2667" s="19" t="s">
        <v>27591</v>
      </c>
      <c r="J2667" s="19" t="s">
        <v>27592</v>
      </c>
      <c r="K2667" s="19" t="s">
        <v>27592</v>
      </c>
      <c r="L2667" s="19" t="s">
        <v>27593</v>
      </c>
      <c r="M2667" s="20" t="s">
        <v>27594</v>
      </c>
      <c r="N2667" s="129" t="s">
        <v>27595</v>
      </c>
      <c r="O2667" s="22">
        <v>5.0</v>
      </c>
      <c r="P2667" s="28">
        <v>8.0</v>
      </c>
      <c r="Q2667" s="28">
        <v>34.0</v>
      </c>
      <c r="R2667" s="30"/>
      <c r="S2667" s="30"/>
      <c r="T2667" s="30"/>
      <c r="U2667" s="30"/>
      <c r="V2667" s="30"/>
      <c r="W2667" s="30"/>
      <c r="X2667" s="30"/>
      <c r="Y2667" s="30"/>
      <c r="Z2667" s="30"/>
      <c r="AA2667" s="30"/>
    </row>
    <row r="2668" ht="15.75" customHeight="1">
      <c r="A2668" s="30" t="s">
        <v>4153</v>
      </c>
      <c r="B2668" s="126" t="s">
        <v>26845</v>
      </c>
      <c r="C2668" s="30" t="s">
        <v>27596</v>
      </c>
      <c r="D2668" s="30" t="s">
        <v>27597</v>
      </c>
      <c r="E2668" s="127" t="s">
        <v>27598</v>
      </c>
      <c r="F2668" s="128">
        <v>1025.0</v>
      </c>
      <c r="G2668" s="128">
        <v>1034.0</v>
      </c>
      <c r="H2668" s="16" t="s">
        <v>17059</v>
      </c>
      <c r="I2668" s="19" t="s">
        <v>27601</v>
      </c>
      <c r="J2668" s="19" t="s">
        <v>27602</v>
      </c>
      <c r="K2668" s="19" t="s">
        <v>27603</v>
      </c>
      <c r="L2668" s="19" t="s">
        <v>27604</v>
      </c>
      <c r="M2668" s="20" t="s">
        <v>24141</v>
      </c>
      <c r="N2668" s="129" t="s">
        <v>27605</v>
      </c>
      <c r="O2668" s="22">
        <v>2.0</v>
      </c>
      <c r="P2668" s="28">
        <v>7.0</v>
      </c>
      <c r="Q2668" s="28">
        <v>30.0</v>
      </c>
      <c r="R2668" s="30"/>
      <c r="S2668" s="30"/>
      <c r="T2668" s="30"/>
      <c r="U2668" s="30"/>
      <c r="V2668" s="30"/>
      <c r="W2668" s="30"/>
      <c r="X2668" s="30"/>
      <c r="Y2668" s="30"/>
      <c r="Z2668" s="30"/>
      <c r="AA2668" s="30"/>
    </row>
    <row r="2669" ht="15.75" customHeight="1">
      <c r="A2669" s="30" t="s">
        <v>4153</v>
      </c>
      <c r="B2669" s="126" t="s">
        <v>26845</v>
      </c>
      <c r="C2669" s="30" t="s">
        <v>27606</v>
      </c>
      <c r="D2669" s="30" t="s">
        <v>27607</v>
      </c>
      <c r="E2669" s="127" t="s">
        <v>27608</v>
      </c>
      <c r="F2669" s="128">
        <v>857.0</v>
      </c>
      <c r="G2669" s="128">
        <v>866.0</v>
      </c>
      <c r="H2669" s="16" t="s">
        <v>17059</v>
      </c>
      <c r="I2669" s="19" t="s">
        <v>27609</v>
      </c>
      <c r="J2669" s="19" t="s">
        <v>27610</v>
      </c>
      <c r="K2669" s="19" t="s">
        <v>27611</v>
      </c>
      <c r="L2669" s="19" t="s">
        <v>27612</v>
      </c>
      <c r="M2669" s="20" t="s">
        <v>27613</v>
      </c>
      <c r="N2669" s="129" t="s">
        <v>27614</v>
      </c>
      <c r="O2669" s="22">
        <v>4.0</v>
      </c>
      <c r="P2669" s="28">
        <v>14.0</v>
      </c>
      <c r="Q2669" s="28">
        <v>54.0</v>
      </c>
      <c r="R2669" s="30"/>
      <c r="S2669" s="30"/>
      <c r="T2669" s="30"/>
      <c r="U2669" s="30"/>
      <c r="V2669" s="30"/>
      <c r="W2669" s="30"/>
      <c r="X2669" s="30"/>
      <c r="Y2669" s="30"/>
      <c r="Z2669" s="30"/>
      <c r="AA2669" s="30"/>
    </row>
    <row r="2670" ht="15.75" customHeight="1">
      <c r="A2670" s="30" t="s">
        <v>4153</v>
      </c>
      <c r="B2670" s="126" t="s">
        <v>26845</v>
      </c>
      <c r="C2670" s="30" t="s">
        <v>27615</v>
      </c>
      <c r="D2670" s="30" t="s">
        <v>27616</v>
      </c>
      <c r="E2670" s="127" t="s">
        <v>27617</v>
      </c>
      <c r="F2670" s="128">
        <v>985.0</v>
      </c>
      <c r="G2670" s="128">
        <v>994.0</v>
      </c>
      <c r="H2670" s="16" t="s">
        <v>17059</v>
      </c>
      <c r="I2670" s="19" t="s">
        <v>27619</v>
      </c>
      <c r="J2670" s="19" t="s">
        <v>27620</v>
      </c>
      <c r="K2670" s="19" t="s">
        <v>27620</v>
      </c>
      <c r="L2670" s="19" t="s">
        <v>17808</v>
      </c>
      <c r="M2670" s="20" t="s">
        <v>27621</v>
      </c>
      <c r="N2670" s="129" t="s">
        <v>27622</v>
      </c>
      <c r="O2670" s="22">
        <v>0.0</v>
      </c>
      <c r="P2670" s="28">
        <v>2.0</v>
      </c>
      <c r="Q2670" s="28">
        <v>51.0</v>
      </c>
      <c r="R2670" s="30"/>
      <c r="S2670" s="30"/>
      <c r="T2670" s="30"/>
      <c r="U2670" s="30"/>
      <c r="V2670" s="30"/>
      <c r="W2670" s="30"/>
      <c r="X2670" s="30"/>
      <c r="Y2670" s="30"/>
      <c r="Z2670" s="30"/>
      <c r="AA2670" s="30"/>
    </row>
    <row r="2671" ht="15.75" customHeight="1">
      <c r="A2671" s="30" t="s">
        <v>4153</v>
      </c>
      <c r="B2671" s="126" t="s">
        <v>26845</v>
      </c>
      <c r="C2671" s="30" t="s">
        <v>27623</v>
      </c>
      <c r="D2671" s="30" t="s">
        <v>27624</v>
      </c>
      <c r="E2671" s="127" t="s">
        <v>27625</v>
      </c>
      <c r="F2671" s="128">
        <v>906.0</v>
      </c>
      <c r="G2671" s="128">
        <v>915.0</v>
      </c>
      <c r="H2671" s="16" t="s">
        <v>17059</v>
      </c>
      <c r="I2671" s="19" t="s">
        <v>27627</v>
      </c>
      <c r="J2671" s="19" t="s">
        <v>27629</v>
      </c>
      <c r="K2671" s="19" t="s">
        <v>27630</v>
      </c>
      <c r="L2671" s="19" t="s">
        <v>27631</v>
      </c>
      <c r="M2671" s="20" t="s">
        <v>27632</v>
      </c>
      <c r="N2671" s="133" t="s">
        <v>27633</v>
      </c>
      <c r="O2671" s="22">
        <v>3.0</v>
      </c>
      <c r="P2671" s="28">
        <v>6.0</v>
      </c>
      <c r="Q2671" s="28">
        <v>41.0</v>
      </c>
      <c r="R2671" s="30"/>
      <c r="S2671" s="30"/>
      <c r="T2671" s="30"/>
      <c r="U2671" s="30"/>
      <c r="V2671" s="30"/>
      <c r="W2671" s="30"/>
      <c r="X2671" s="30"/>
      <c r="Y2671" s="30"/>
      <c r="Z2671" s="30"/>
      <c r="AA2671" s="30"/>
    </row>
    <row r="2672" ht="15.75" customHeight="1">
      <c r="A2672" s="30" t="s">
        <v>4153</v>
      </c>
      <c r="B2672" s="126" t="s">
        <v>26845</v>
      </c>
      <c r="C2672" s="30" t="s">
        <v>27635</v>
      </c>
      <c r="D2672" s="30" t="s">
        <v>27636</v>
      </c>
      <c r="E2672" s="127" t="s">
        <v>27638</v>
      </c>
      <c r="F2672" s="128">
        <v>955.0</v>
      </c>
      <c r="G2672" s="128">
        <v>964.0</v>
      </c>
      <c r="H2672" s="16" t="s">
        <v>17059</v>
      </c>
      <c r="I2672" s="19" t="s">
        <v>27640</v>
      </c>
      <c r="J2672" s="19" t="s">
        <v>27641</v>
      </c>
      <c r="K2672" s="19" t="s">
        <v>27641</v>
      </c>
      <c r="L2672" s="19" t="s">
        <v>21265</v>
      </c>
      <c r="M2672" s="20" t="s">
        <v>27642</v>
      </c>
      <c r="N2672" s="129" t="s">
        <v>27643</v>
      </c>
      <c r="O2672" s="22">
        <v>6.0</v>
      </c>
      <c r="P2672" s="28">
        <v>14.0</v>
      </c>
      <c r="Q2672" s="28">
        <v>34.0</v>
      </c>
      <c r="R2672" s="30"/>
      <c r="S2672" s="30"/>
      <c r="T2672" s="30"/>
      <c r="U2672" s="30"/>
      <c r="V2672" s="30"/>
      <c r="W2672" s="30"/>
      <c r="X2672" s="30"/>
      <c r="Y2672" s="30"/>
      <c r="Z2672" s="30"/>
      <c r="AA2672" s="30"/>
    </row>
    <row r="2673" ht="15.75" customHeight="1">
      <c r="A2673" s="30" t="s">
        <v>4153</v>
      </c>
      <c r="B2673" s="126" t="s">
        <v>26845</v>
      </c>
      <c r="C2673" s="30" t="s">
        <v>27644</v>
      </c>
      <c r="D2673" s="30" t="s">
        <v>27645</v>
      </c>
      <c r="E2673" s="127" t="s">
        <v>27646</v>
      </c>
      <c r="F2673" s="128">
        <v>916.0</v>
      </c>
      <c r="G2673" s="128">
        <v>925.0</v>
      </c>
      <c r="H2673" s="16" t="s">
        <v>17059</v>
      </c>
      <c r="I2673" s="19" t="s">
        <v>27647</v>
      </c>
      <c r="J2673" s="19" t="s">
        <v>27648</v>
      </c>
      <c r="K2673" s="19" t="s">
        <v>27648</v>
      </c>
      <c r="L2673" s="19" t="s">
        <v>27649</v>
      </c>
      <c r="M2673" s="20" t="s">
        <v>27650</v>
      </c>
      <c r="N2673" s="129" t="s">
        <v>27651</v>
      </c>
      <c r="O2673" s="22">
        <v>2.0</v>
      </c>
      <c r="P2673" s="28">
        <v>2.0</v>
      </c>
      <c r="Q2673" s="28">
        <v>56.0</v>
      </c>
      <c r="R2673" s="30"/>
      <c r="S2673" s="30"/>
      <c r="T2673" s="30"/>
      <c r="U2673" s="30"/>
      <c r="V2673" s="30"/>
      <c r="W2673" s="30"/>
      <c r="X2673" s="30"/>
      <c r="Y2673" s="30"/>
      <c r="Z2673" s="30"/>
      <c r="AA2673" s="30"/>
    </row>
    <row r="2674" ht="15.75" customHeight="1">
      <c r="A2674" s="30" t="s">
        <v>4153</v>
      </c>
      <c r="B2674" s="126" t="s">
        <v>26845</v>
      </c>
      <c r="C2674" s="30" t="s">
        <v>27652</v>
      </c>
      <c r="D2674" s="30" t="s">
        <v>27653</v>
      </c>
      <c r="E2674" s="127" t="s">
        <v>27654</v>
      </c>
      <c r="F2674" s="128">
        <v>945.0</v>
      </c>
      <c r="G2674" s="128">
        <v>954.0</v>
      </c>
      <c r="H2674" s="16" t="s">
        <v>17059</v>
      </c>
      <c r="I2674" s="19" t="s">
        <v>27655</v>
      </c>
      <c r="J2674" s="19" t="s">
        <v>27656</v>
      </c>
      <c r="K2674" s="19" t="s">
        <v>27657</v>
      </c>
      <c r="L2674" s="19" t="s">
        <v>27658</v>
      </c>
      <c r="M2674" s="20" t="s">
        <v>27659</v>
      </c>
      <c r="N2674" s="129" t="s">
        <v>27660</v>
      </c>
      <c r="O2674" s="22">
        <v>1.0</v>
      </c>
      <c r="P2674" s="28">
        <v>1.0</v>
      </c>
      <c r="Q2674" s="28">
        <v>36.0</v>
      </c>
      <c r="R2674" s="30"/>
      <c r="S2674" s="30"/>
      <c r="T2674" s="30"/>
      <c r="U2674" s="30"/>
      <c r="V2674" s="30"/>
      <c r="W2674" s="30"/>
      <c r="X2674" s="30"/>
      <c r="Y2674" s="30"/>
      <c r="Z2674" s="30"/>
      <c r="AA2674" s="30"/>
    </row>
    <row r="2675" ht="15.75" customHeight="1">
      <c r="A2675" s="30" t="s">
        <v>4153</v>
      </c>
      <c r="B2675" s="126" t="s">
        <v>26845</v>
      </c>
      <c r="C2675" s="30" t="s">
        <v>27661</v>
      </c>
      <c r="D2675" s="30" t="s">
        <v>27662</v>
      </c>
      <c r="E2675" s="127" t="s">
        <v>27663</v>
      </c>
      <c r="F2675" s="128">
        <v>747.0</v>
      </c>
      <c r="G2675" s="128">
        <v>756.0</v>
      </c>
      <c r="H2675" s="16" t="s">
        <v>17059</v>
      </c>
      <c r="I2675" s="19" t="s">
        <v>27664</v>
      </c>
      <c r="J2675" s="19" t="s">
        <v>27665</v>
      </c>
      <c r="K2675" s="19" t="s">
        <v>27666</v>
      </c>
      <c r="L2675" s="19" t="s">
        <v>27667</v>
      </c>
      <c r="M2675" s="20" t="s">
        <v>27668</v>
      </c>
      <c r="N2675" s="129" t="s">
        <v>27669</v>
      </c>
      <c r="O2675" s="22">
        <v>2.0</v>
      </c>
      <c r="P2675" s="28">
        <v>6.0</v>
      </c>
      <c r="Q2675" s="28">
        <v>25.0</v>
      </c>
      <c r="R2675" s="30"/>
      <c r="S2675" s="30"/>
      <c r="T2675" s="30"/>
      <c r="U2675" s="30"/>
      <c r="V2675" s="30"/>
      <c r="W2675" s="30"/>
      <c r="X2675" s="30"/>
      <c r="Y2675" s="30"/>
      <c r="Z2675" s="30"/>
      <c r="AA2675" s="30"/>
    </row>
    <row r="2676" ht="15.75" customHeight="1">
      <c r="A2676" s="30" t="s">
        <v>4153</v>
      </c>
      <c r="B2676" s="126" t="s">
        <v>26845</v>
      </c>
      <c r="C2676" s="30" t="s">
        <v>27670</v>
      </c>
      <c r="D2676" s="30" t="s">
        <v>27671</v>
      </c>
      <c r="E2676" s="127" t="s">
        <v>27672</v>
      </c>
      <c r="F2676" s="128">
        <v>797.0</v>
      </c>
      <c r="G2676" s="128">
        <v>806.0</v>
      </c>
      <c r="H2676" s="16" t="s">
        <v>17059</v>
      </c>
      <c r="I2676" s="19" t="s">
        <v>27675</v>
      </c>
      <c r="J2676" s="19" t="s">
        <v>27676</v>
      </c>
      <c r="K2676" s="19" t="s">
        <v>27677</v>
      </c>
      <c r="L2676" s="19" t="s">
        <v>27678</v>
      </c>
      <c r="M2676" s="20" t="s">
        <v>27679</v>
      </c>
      <c r="N2676" s="129" t="s">
        <v>27680</v>
      </c>
      <c r="O2676" s="22">
        <v>3.0</v>
      </c>
      <c r="P2676" s="28">
        <v>14.0</v>
      </c>
      <c r="Q2676" s="28">
        <v>43.0</v>
      </c>
      <c r="R2676" s="30"/>
      <c r="S2676" s="30"/>
      <c r="T2676" s="30"/>
      <c r="U2676" s="30"/>
      <c r="V2676" s="30"/>
      <c r="W2676" s="30"/>
      <c r="X2676" s="30"/>
      <c r="Y2676" s="30"/>
      <c r="Z2676" s="30"/>
      <c r="AA2676" s="30"/>
    </row>
    <row r="2677" ht="15.75" customHeight="1">
      <c r="A2677" s="30" t="s">
        <v>4153</v>
      </c>
      <c r="B2677" s="126" t="s">
        <v>26845</v>
      </c>
      <c r="C2677" s="30" t="s">
        <v>27681</v>
      </c>
      <c r="D2677" s="30" t="s">
        <v>27682</v>
      </c>
      <c r="E2677" s="127" t="s">
        <v>27683</v>
      </c>
      <c r="F2677" s="128">
        <v>837.0</v>
      </c>
      <c r="G2677" s="128">
        <v>846.0</v>
      </c>
      <c r="H2677" s="16" t="s">
        <v>17059</v>
      </c>
      <c r="I2677" s="19" t="s">
        <v>27684</v>
      </c>
      <c r="J2677" s="19" t="s">
        <v>27686</v>
      </c>
      <c r="K2677" s="19" t="s">
        <v>27686</v>
      </c>
      <c r="L2677" s="19" t="s">
        <v>27687</v>
      </c>
      <c r="M2677" s="20" t="s">
        <v>27688</v>
      </c>
      <c r="N2677" s="129" t="s">
        <v>27689</v>
      </c>
      <c r="O2677" s="22">
        <v>2.0</v>
      </c>
      <c r="P2677" s="28">
        <v>13.0</v>
      </c>
      <c r="Q2677" s="28">
        <v>45.0</v>
      </c>
      <c r="R2677" s="30"/>
      <c r="S2677" s="30"/>
      <c r="T2677" s="30"/>
      <c r="U2677" s="30"/>
      <c r="V2677" s="30"/>
      <c r="W2677" s="30"/>
      <c r="X2677" s="30"/>
      <c r="Y2677" s="30"/>
      <c r="Z2677" s="30"/>
      <c r="AA2677" s="30"/>
    </row>
    <row r="2678" ht="15.75" customHeight="1">
      <c r="A2678" s="30" t="s">
        <v>4153</v>
      </c>
      <c r="B2678" s="126" t="s">
        <v>26845</v>
      </c>
      <c r="C2678" s="30" t="s">
        <v>27691</v>
      </c>
      <c r="D2678" s="30" t="s">
        <v>27692</v>
      </c>
      <c r="E2678" s="127" t="s">
        <v>27693</v>
      </c>
      <c r="F2678" s="128">
        <v>738.0</v>
      </c>
      <c r="G2678" s="128">
        <v>746.0</v>
      </c>
      <c r="H2678" s="16" t="s">
        <v>17059</v>
      </c>
      <c r="I2678" s="19" t="s">
        <v>27695</v>
      </c>
      <c r="J2678" s="19" t="s">
        <v>27696</v>
      </c>
      <c r="K2678" s="19" t="s">
        <v>27697</v>
      </c>
      <c r="L2678" s="19" t="s">
        <v>27698</v>
      </c>
      <c r="M2678" s="20" t="s">
        <v>27700</v>
      </c>
      <c r="N2678" s="129" t="s">
        <v>27701</v>
      </c>
      <c r="O2678" s="22">
        <v>0.0</v>
      </c>
      <c r="P2678" s="28">
        <v>7.0</v>
      </c>
      <c r="Q2678" s="28">
        <v>40.0</v>
      </c>
      <c r="R2678" s="30"/>
      <c r="S2678" s="30"/>
      <c r="T2678" s="30"/>
      <c r="U2678" s="30"/>
      <c r="V2678" s="30"/>
      <c r="W2678" s="30"/>
      <c r="X2678" s="30"/>
      <c r="Y2678" s="30"/>
      <c r="Z2678" s="30"/>
      <c r="AA2678" s="30"/>
    </row>
    <row r="2679" ht="15.75" customHeight="1">
      <c r="A2679" s="30" t="s">
        <v>4153</v>
      </c>
      <c r="B2679" s="126" t="s">
        <v>26845</v>
      </c>
      <c r="C2679" s="30" t="s">
        <v>27702</v>
      </c>
      <c r="D2679" s="30" t="s">
        <v>27703</v>
      </c>
      <c r="E2679" s="127" t="s">
        <v>27704</v>
      </c>
      <c r="F2679" s="128">
        <v>867.0</v>
      </c>
      <c r="G2679" s="128">
        <v>876.0</v>
      </c>
      <c r="H2679" s="16" t="s">
        <v>17059</v>
      </c>
      <c r="I2679" s="19" t="s">
        <v>27707</v>
      </c>
      <c r="J2679" s="19" t="s">
        <v>27708</v>
      </c>
      <c r="K2679" s="19" t="s">
        <v>27709</v>
      </c>
      <c r="L2679" s="19" t="s">
        <v>27710</v>
      </c>
      <c r="M2679" s="20" t="s">
        <v>27711</v>
      </c>
      <c r="N2679" s="129" t="s">
        <v>27712</v>
      </c>
      <c r="O2679" s="22">
        <v>2.0</v>
      </c>
      <c r="P2679" s="28">
        <v>9.0</v>
      </c>
      <c r="Q2679" s="28">
        <v>53.0</v>
      </c>
      <c r="R2679" s="30"/>
      <c r="S2679" s="30"/>
      <c r="T2679" s="30"/>
      <c r="U2679" s="30"/>
      <c r="V2679" s="30"/>
      <c r="W2679" s="30"/>
      <c r="X2679" s="30"/>
      <c r="Y2679" s="30"/>
      <c r="Z2679" s="30"/>
      <c r="AA2679" s="30"/>
    </row>
    <row r="2680" ht="15.75" customHeight="1">
      <c r="A2680" s="30" t="s">
        <v>4153</v>
      </c>
      <c r="B2680" s="126" t="s">
        <v>26845</v>
      </c>
      <c r="C2680" s="30" t="s">
        <v>27713</v>
      </c>
      <c r="D2680" s="30" t="s">
        <v>27714</v>
      </c>
      <c r="E2680" s="127" t="s">
        <v>27715</v>
      </c>
      <c r="F2680" s="128">
        <v>847.0</v>
      </c>
      <c r="G2680" s="128">
        <v>856.0</v>
      </c>
      <c r="H2680" s="16" t="s">
        <v>17059</v>
      </c>
      <c r="I2680" s="19" t="s">
        <v>27716</v>
      </c>
      <c r="J2680" s="19" t="s">
        <v>27717</v>
      </c>
      <c r="K2680" s="19" t="s">
        <v>27717</v>
      </c>
      <c r="L2680" s="19" t="s">
        <v>27718</v>
      </c>
      <c r="M2680" s="20" t="s">
        <v>27719</v>
      </c>
      <c r="N2680" s="129" t="s">
        <v>27720</v>
      </c>
      <c r="O2680" s="22">
        <v>1.0</v>
      </c>
      <c r="P2680" s="28">
        <v>5.0</v>
      </c>
      <c r="Q2680" s="28">
        <v>49.0</v>
      </c>
      <c r="R2680" s="30"/>
      <c r="S2680" s="30"/>
      <c r="T2680" s="30"/>
      <c r="U2680" s="30"/>
      <c r="V2680" s="30"/>
      <c r="W2680" s="30"/>
      <c r="X2680" s="30"/>
      <c r="Y2680" s="30"/>
      <c r="Z2680" s="30"/>
      <c r="AA2680" s="30"/>
    </row>
    <row r="2681" ht="15.75" customHeight="1">
      <c r="A2681" s="30" t="s">
        <v>4153</v>
      </c>
      <c r="B2681" s="126" t="s">
        <v>26845</v>
      </c>
      <c r="C2681" s="30" t="s">
        <v>27721</v>
      </c>
      <c r="D2681" s="30" t="s">
        <v>27722</v>
      </c>
      <c r="E2681" s="127" t="s">
        <v>27723</v>
      </c>
      <c r="F2681" s="128">
        <v>777.0</v>
      </c>
      <c r="G2681" s="128">
        <v>786.0</v>
      </c>
      <c r="H2681" s="16" t="s">
        <v>17059</v>
      </c>
      <c r="I2681" s="19" t="s">
        <v>27725</v>
      </c>
      <c r="J2681" s="19" t="s">
        <v>27726</v>
      </c>
      <c r="K2681" s="19" t="s">
        <v>27726</v>
      </c>
      <c r="L2681" s="19" t="s">
        <v>27727</v>
      </c>
      <c r="M2681" s="20" t="s">
        <v>27728</v>
      </c>
      <c r="N2681" s="129" t="s">
        <v>27729</v>
      </c>
      <c r="O2681" s="22">
        <v>3.0</v>
      </c>
      <c r="P2681" s="28">
        <v>17.0</v>
      </c>
      <c r="Q2681" s="28">
        <v>44.0</v>
      </c>
      <c r="R2681" s="30"/>
      <c r="S2681" s="30"/>
      <c r="T2681" s="30"/>
      <c r="U2681" s="30"/>
      <c r="V2681" s="30"/>
      <c r="W2681" s="30"/>
      <c r="X2681" s="30"/>
      <c r="Y2681" s="30"/>
      <c r="Z2681" s="30"/>
      <c r="AA2681" s="30"/>
    </row>
    <row r="2682" ht="15.75" customHeight="1">
      <c r="A2682" s="30" t="s">
        <v>4153</v>
      </c>
      <c r="B2682" s="126" t="s">
        <v>26845</v>
      </c>
      <c r="C2682" s="30" t="s">
        <v>27730</v>
      </c>
      <c r="D2682" s="30" t="s">
        <v>27731</v>
      </c>
      <c r="E2682" s="127" t="s">
        <v>27732</v>
      </c>
      <c r="F2682" s="128">
        <v>728.0</v>
      </c>
      <c r="G2682" s="128">
        <v>737.0</v>
      </c>
      <c r="H2682" s="16" t="s">
        <v>17059</v>
      </c>
      <c r="I2682" s="19" t="s">
        <v>27733</v>
      </c>
      <c r="J2682" s="19" t="s">
        <v>27735</v>
      </c>
      <c r="K2682" s="19" t="s">
        <v>27736</v>
      </c>
      <c r="L2682" s="19" t="s">
        <v>27737</v>
      </c>
      <c r="M2682" s="20" t="s">
        <v>27738</v>
      </c>
      <c r="N2682" s="129" t="s">
        <v>27739</v>
      </c>
      <c r="O2682" s="22">
        <v>6.0</v>
      </c>
      <c r="P2682" s="28">
        <v>12.0</v>
      </c>
      <c r="Q2682" s="28">
        <v>43.0</v>
      </c>
      <c r="R2682" s="30"/>
      <c r="S2682" s="30"/>
      <c r="T2682" s="30"/>
      <c r="U2682" s="30"/>
      <c r="V2682" s="30"/>
      <c r="W2682" s="30"/>
      <c r="X2682" s="30"/>
      <c r="Y2682" s="30"/>
      <c r="Z2682" s="30"/>
      <c r="AA2682" s="30"/>
    </row>
    <row r="2683" ht="15.75" customHeight="1">
      <c r="A2683" s="30" t="s">
        <v>4153</v>
      </c>
      <c r="B2683" s="126" t="s">
        <v>26845</v>
      </c>
      <c r="C2683" s="30" t="s">
        <v>27740</v>
      </c>
      <c r="D2683" s="30" t="s">
        <v>27741</v>
      </c>
      <c r="E2683" s="127" t="s">
        <v>27742</v>
      </c>
      <c r="F2683" s="128">
        <v>926.0</v>
      </c>
      <c r="G2683" s="128">
        <v>934.0</v>
      </c>
      <c r="H2683" s="16" t="s">
        <v>17059</v>
      </c>
      <c r="I2683" s="19" t="s">
        <v>27743</v>
      </c>
      <c r="J2683" s="19" t="s">
        <v>27744</v>
      </c>
      <c r="K2683" s="19" t="s">
        <v>27744</v>
      </c>
      <c r="L2683" s="19" t="s">
        <v>27745</v>
      </c>
      <c r="M2683" s="20"/>
      <c r="N2683" s="129" t="s">
        <v>27746</v>
      </c>
      <c r="O2683" s="22">
        <v>0.0</v>
      </c>
      <c r="P2683" s="28">
        <v>0.0</v>
      </c>
      <c r="Q2683" s="28">
        <v>21.0</v>
      </c>
      <c r="R2683" s="30"/>
      <c r="S2683" s="30"/>
      <c r="T2683" s="30"/>
      <c r="U2683" s="30"/>
      <c r="V2683" s="30"/>
      <c r="W2683" s="30"/>
      <c r="X2683" s="30"/>
      <c r="Y2683" s="30"/>
      <c r="Z2683" s="30"/>
      <c r="AA2683" s="30"/>
    </row>
    <row r="2684" ht="15.75" customHeight="1">
      <c r="A2684" s="30" t="s">
        <v>4153</v>
      </c>
      <c r="B2684" s="126" t="s">
        <v>26845</v>
      </c>
      <c r="C2684" s="30" t="s">
        <v>27747</v>
      </c>
      <c r="D2684" s="30" t="s">
        <v>27748</v>
      </c>
      <c r="E2684" s="127" t="s">
        <v>27749</v>
      </c>
      <c r="F2684" s="128">
        <v>1015.0</v>
      </c>
      <c r="G2684" s="128">
        <v>1024.0</v>
      </c>
      <c r="H2684" s="16" t="s">
        <v>17059</v>
      </c>
      <c r="I2684" s="19" t="s">
        <v>27856</v>
      </c>
      <c r="J2684" s="19" t="s">
        <v>27857</v>
      </c>
      <c r="K2684" s="19" t="s">
        <v>27857</v>
      </c>
      <c r="L2684" s="19" t="s">
        <v>27858</v>
      </c>
      <c r="M2684" s="20" t="s">
        <v>27859</v>
      </c>
      <c r="N2684" s="129" t="s">
        <v>27860</v>
      </c>
      <c r="O2684" s="22">
        <v>3.0</v>
      </c>
      <c r="P2684" s="28">
        <v>5.0</v>
      </c>
      <c r="Q2684" s="28">
        <v>52.0</v>
      </c>
      <c r="R2684" s="30"/>
      <c r="S2684" s="30"/>
      <c r="T2684" s="30"/>
      <c r="U2684" s="30"/>
      <c r="V2684" s="30"/>
      <c r="W2684" s="30"/>
      <c r="X2684" s="30"/>
      <c r="Y2684" s="30"/>
      <c r="Z2684" s="30"/>
      <c r="AA2684" s="30"/>
    </row>
    <row r="2685" ht="15.75" customHeight="1">
      <c r="A2685" s="30" t="s">
        <v>4153</v>
      </c>
      <c r="B2685" s="126" t="s">
        <v>26845</v>
      </c>
      <c r="C2685" s="30" t="s">
        <v>27861</v>
      </c>
      <c r="D2685" s="30" t="s">
        <v>27862</v>
      </c>
      <c r="E2685" s="127" t="s">
        <v>27863</v>
      </c>
      <c r="F2685" s="128">
        <v>965.0</v>
      </c>
      <c r="G2685" s="128">
        <v>974.0</v>
      </c>
      <c r="H2685" s="16" t="s">
        <v>17059</v>
      </c>
      <c r="I2685" s="19" t="s">
        <v>27866</v>
      </c>
      <c r="J2685" s="19" t="s">
        <v>27867</v>
      </c>
      <c r="K2685" s="19" t="s">
        <v>27867</v>
      </c>
      <c r="L2685" s="19" t="s">
        <v>27868</v>
      </c>
      <c r="M2685" s="20" t="s">
        <v>27869</v>
      </c>
      <c r="N2685" s="129" t="s">
        <v>27870</v>
      </c>
      <c r="O2685" s="22">
        <v>2.0</v>
      </c>
      <c r="P2685" s="28">
        <v>7.0</v>
      </c>
      <c r="Q2685" s="28">
        <v>28.0</v>
      </c>
      <c r="R2685" s="30"/>
      <c r="S2685" s="30"/>
      <c r="T2685" s="30"/>
      <c r="U2685" s="30"/>
      <c r="V2685" s="30"/>
      <c r="W2685" s="30"/>
      <c r="X2685" s="30"/>
      <c r="Y2685" s="30"/>
      <c r="Z2685" s="30"/>
      <c r="AA2685" s="30"/>
    </row>
    <row r="2686" ht="15.75" customHeight="1">
      <c r="A2686" s="30" t="s">
        <v>4153</v>
      </c>
      <c r="B2686" s="126" t="s">
        <v>26845</v>
      </c>
      <c r="C2686" s="30" t="s">
        <v>27871</v>
      </c>
      <c r="D2686" s="30" t="s">
        <v>27872</v>
      </c>
      <c r="E2686" s="127" t="s">
        <v>27873</v>
      </c>
      <c r="F2686" s="128">
        <v>1005.0</v>
      </c>
      <c r="G2686" s="128">
        <v>1014.0</v>
      </c>
      <c r="H2686" s="16" t="s">
        <v>17059</v>
      </c>
      <c r="I2686" s="19" t="s">
        <v>27874</v>
      </c>
      <c r="J2686" s="19" t="s">
        <v>27875</v>
      </c>
      <c r="K2686" s="19" t="s">
        <v>27875</v>
      </c>
      <c r="L2686" s="19" t="s">
        <v>27876</v>
      </c>
      <c r="M2686" s="20" t="s">
        <v>27878</v>
      </c>
      <c r="N2686" s="129" t="s">
        <v>27879</v>
      </c>
      <c r="O2686" s="22">
        <v>8.0</v>
      </c>
      <c r="P2686" s="28">
        <v>13.0</v>
      </c>
      <c r="Q2686" s="28">
        <v>38.0</v>
      </c>
      <c r="R2686" s="30"/>
      <c r="S2686" s="30"/>
      <c r="T2686" s="30"/>
      <c r="U2686" s="30"/>
      <c r="V2686" s="30"/>
      <c r="W2686" s="30"/>
      <c r="X2686" s="30"/>
      <c r="Y2686" s="30"/>
      <c r="Z2686" s="30"/>
      <c r="AA2686" s="30"/>
    </row>
    <row r="2687" ht="15.75" customHeight="1">
      <c r="A2687" s="30" t="s">
        <v>4153</v>
      </c>
      <c r="B2687" s="126" t="s">
        <v>26845</v>
      </c>
      <c r="C2687" s="30" t="s">
        <v>27881</v>
      </c>
      <c r="D2687" s="30" t="s">
        <v>27882</v>
      </c>
      <c r="E2687" s="127" t="s">
        <v>27883</v>
      </c>
      <c r="F2687" s="128">
        <v>787.0</v>
      </c>
      <c r="G2687" s="128">
        <v>796.0</v>
      </c>
      <c r="H2687" s="16" t="s">
        <v>17059</v>
      </c>
      <c r="I2687" s="19" t="s">
        <v>27884</v>
      </c>
      <c r="J2687" s="19" t="s">
        <v>27885</v>
      </c>
      <c r="K2687" s="19" t="s">
        <v>27885</v>
      </c>
      <c r="L2687" s="19" t="s">
        <v>27886</v>
      </c>
      <c r="M2687" s="20" t="s">
        <v>27887</v>
      </c>
      <c r="N2687" s="129" t="s">
        <v>27888</v>
      </c>
      <c r="O2687" s="22">
        <v>3.0</v>
      </c>
      <c r="P2687" s="28">
        <v>11.0</v>
      </c>
      <c r="Q2687" s="28">
        <v>28.0</v>
      </c>
      <c r="R2687" s="30"/>
      <c r="S2687" s="30"/>
      <c r="T2687" s="30"/>
      <c r="U2687" s="30"/>
      <c r="V2687" s="30"/>
      <c r="W2687" s="30"/>
      <c r="X2687" s="30"/>
      <c r="Y2687" s="30"/>
      <c r="Z2687" s="30"/>
      <c r="AA2687" s="30"/>
    </row>
    <row r="2688" ht="15.75" customHeight="1">
      <c r="A2688" s="30" t="s">
        <v>120</v>
      </c>
      <c r="B2688" s="126" t="s">
        <v>26845</v>
      </c>
      <c r="C2688" s="30" t="s">
        <v>27889</v>
      </c>
      <c r="D2688" s="30" t="s">
        <v>27890</v>
      </c>
      <c r="E2688" s="127" t="s">
        <v>27892</v>
      </c>
      <c r="F2688" s="128">
        <v>280.0</v>
      </c>
      <c r="G2688" s="128">
        <v>289.0</v>
      </c>
      <c r="H2688" s="16" t="s">
        <v>17059</v>
      </c>
      <c r="I2688" s="19" t="s">
        <v>27894</v>
      </c>
      <c r="J2688" s="19" t="s">
        <v>27895</v>
      </c>
      <c r="K2688" s="19" t="s">
        <v>27896</v>
      </c>
      <c r="L2688" s="19" t="s">
        <v>27897</v>
      </c>
      <c r="M2688" s="20" t="s">
        <v>27898</v>
      </c>
      <c r="N2688" s="129" t="s">
        <v>27899</v>
      </c>
      <c r="O2688" s="22">
        <v>10.0</v>
      </c>
      <c r="P2688" s="28">
        <v>28.0</v>
      </c>
      <c r="Q2688" s="28">
        <v>45.0</v>
      </c>
      <c r="R2688" s="30"/>
      <c r="S2688" s="30"/>
      <c r="T2688" s="30"/>
      <c r="U2688" s="30"/>
      <c r="V2688" s="30"/>
      <c r="W2688" s="30"/>
      <c r="X2688" s="30"/>
      <c r="Y2688" s="30"/>
      <c r="Z2688" s="30"/>
      <c r="AA2688" s="30"/>
    </row>
    <row r="2689" ht="15.75" customHeight="1">
      <c r="A2689" s="30" t="s">
        <v>120</v>
      </c>
      <c r="B2689" s="126" t="s">
        <v>26845</v>
      </c>
      <c r="C2689" s="30" t="s">
        <v>27900</v>
      </c>
      <c r="D2689" s="30" t="s">
        <v>27901</v>
      </c>
      <c r="E2689" s="127" t="s">
        <v>27902</v>
      </c>
      <c r="F2689" s="128">
        <v>300.0</v>
      </c>
      <c r="G2689" s="128">
        <v>309.0</v>
      </c>
      <c r="H2689" s="16" t="s">
        <v>17059</v>
      </c>
      <c r="I2689" s="19" t="s">
        <v>27906</v>
      </c>
      <c r="J2689" s="19" t="s">
        <v>27907</v>
      </c>
      <c r="K2689" s="19" t="s">
        <v>27908</v>
      </c>
      <c r="L2689" s="19" t="s">
        <v>27909</v>
      </c>
      <c r="M2689" s="20" t="s">
        <v>27910</v>
      </c>
      <c r="N2689" s="129" t="s">
        <v>27911</v>
      </c>
      <c r="O2689" s="22">
        <v>2.0</v>
      </c>
      <c r="P2689" s="28">
        <v>16.0</v>
      </c>
      <c r="Q2689" s="28">
        <v>76.0</v>
      </c>
      <c r="R2689" s="30"/>
      <c r="S2689" s="30"/>
      <c r="T2689" s="30"/>
      <c r="U2689" s="30"/>
      <c r="V2689" s="30"/>
      <c r="W2689" s="30"/>
      <c r="X2689" s="30"/>
      <c r="Y2689" s="30"/>
      <c r="Z2689" s="30"/>
      <c r="AA2689" s="30"/>
    </row>
    <row r="2690" ht="15.75" customHeight="1">
      <c r="A2690" s="30" t="s">
        <v>120</v>
      </c>
      <c r="B2690" s="126" t="s">
        <v>26845</v>
      </c>
      <c r="C2690" s="30" t="s">
        <v>27912</v>
      </c>
      <c r="D2690" s="30" t="s">
        <v>27913</v>
      </c>
      <c r="E2690" s="127" t="s">
        <v>27914</v>
      </c>
      <c r="F2690" s="128">
        <v>31.0</v>
      </c>
      <c r="G2690" s="128">
        <v>40.0</v>
      </c>
      <c r="H2690" s="16" t="s">
        <v>17059</v>
      </c>
      <c r="I2690" s="19" t="s">
        <v>27917</v>
      </c>
      <c r="J2690" s="19" t="s">
        <v>27919</v>
      </c>
      <c r="K2690" s="19" t="s">
        <v>27919</v>
      </c>
      <c r="L2690" s="19" t="s">
        <v>27920</v>
      </c>
      <c r="M2690" s="20" t="s">
        <v>27921</v>
      </c>
      <c r="N2690" s="129" t="s">
        <v>27922</v>
      </c>
      <c r="O2690" s="22">
        <v>8.0</v>
      </c>
      <c r="P2690" s="28">
        <v>34.0</v>
      </c>
      <c r="Q2690" s="28">
        <v>97.0</v>
      </c>
      <c r="R2690" s="30"/>
      <c r="S2690" s="30"/>
      <c r="T2690" s="30"/>
      <c r="U2690" s="30"/>
      <c r="V2690" s="30"/>
      <c r="W2690" s="30"/>
      <c r="X2690" s="30"/>
      <c r="Y2690" s="30"/>
      <c r="Z2690" s="30"/>
      <c r="AA2690" s="30"/>
    </row>
    <row r="2691" ht="15.75" customHeight="1">
      <c r="A2691" s="30" t="s">
        <v>120</v>
      </c>
      <c r="B2691" s="126" t="s">
        <v>26845</v>
      </c>
      <c r="C2691" s="30" t="s">
        <v>27923</v>
      </c>
      <c r="D2691" s="30" t="s">
        <v>27924</v>
      </c>
      <c r="E2691" s="127" t="s">
        <v>27925</v>
      </c>
      <c r="F2691" s="128">
        <v>121.0</v>
      </c>
      <c r="G2691" s="128">
        <v>130.0</v>
      </c>
      <c r="H2691" s="16" t="s">
        <v>17059</v>
      </c>
      <c r="I2691" s="19" t="s">
        <v>27926</v>
      </c>
      <c r="J2691" s="19" t="s">
        <v>27927</v>
      </c>
      <c r="K2691" s="19" t="s">
        <v>27927</v>
      </c>
      <c r="L2691" s="19" t="s">
        <v>27928</v>
      </c>
      <c r="M2691" s="20" t="s">
        <v>27929</v>
      </c>
      <c r="N2691" s="129" t="s">
        <v>27930</v>
      </c>
      <c r="O2691" s="22">
        <v>6.0</v>
      </c>
      <c r="P2691" s="28">
        <v>20.0</v>
      </c>
      <c r="Q2691" s="28">
        <v>37.0</v>
      </c>
      <c r="R2691" s="30"/>
      <c r="S2691" s="30"/>
      <c r="T2691" s="30"/>
      <c r="U2691" s="30"/>
      <c r="V2691" s="30"/>
      <c r="W2691" s="30"/>
      <c r="X2691" s="30"/>
      <c r="Y2691" s="30"/>
      <c r="Z2691" s="30"/>
      <c r="AA2691" s="30"/>
    </row>
    <row r="2692" ht="15.75" customHeight="1">
      <c r="A2692" s="30" t="s">
        <v>120</v>
      </c>
      <c r="B2692" s="126" t="s">
        <v>26845</v>
      </c>
      <c r="C2692" s="30" t="s">
        <v>27931</v>
      </c>
      <c r="D2692" s="30" t="s">
        <v>27932</v>
      </c>
      <c r="E2692" s="127" t="s">
        <v>27933</v>
      </c>
      <c r="F2692" s="128">
        <v>141.0</v>
      </c>
      <c r="G2692" s="128">
        <v>150.0</v>
      </c>
      <c r="H2692" s="16" t="s">
        <v>17059</v>
      </c>
      <c r="I2692" s="19" t="s">
        <v>27935</v>
      </c>
      <c r="J2692" s="19" t="s">
        <v>27936</v>
      </c>
      <c r="K2692" s="19" t="s">
        <v>27937</v>
      </c>
      <c r="L2692" s="19" t="s">
        <v>27938</v>
      </c>
      <c r="M2692" s="20" t="s">
        <v>27939</v>
      </c>
      <c r="N2692" s="129" t="s">
        <v>27940</v>
      </c>
      <c r="O2692" s="22">
        <v>5.0</v>
      </c>
      <c r="P2692" s="28">
        <v>21.0</v>
      </c>
      <c r="Q2692" s="28">
        <v>41.0</v>
      </c>
      <c r="R2692" s="30"/>
      <c r="S2692" s="30"/>
      <c r="T2692" s="30"/>
      <c r="U2692" s="30"/>
      <c r="V2692" s="30"/>
      <c r="W2692" s="30"/>
      <c r="X2692" s="30"/>
      <c r="Y2692" s="30"/>
      <c r="Z2692" s="30"/>
      <c r="AA2692" s="30"/>
    </row>
    <row r="2693" ht="15.75" customHeight="1">
      <c r="A2693" s="30" t="s">
        <v>120</v>
      </c>
      <c r="B2693" s="126" t="s">
        <v>26845</v>
      </c>
      <c r="C2693" s="30" t="s">
        <v>27941</v>
      </c>
      <c r="D2693" s="30" t="s">
        <v>27942</v>
      </c>
      <c r="E2693" s="127" t="s">
        <v>27943</v>
      </c>
      <c r="F2693" s="128">
        <v>250.0</v>
      </c>
      <c r="G2693" s="128">
        <v>259.0</v>
      </c>
      <c r="H2693" s="16" t="s">
        <v>17059</v>
      </c>
      <c r="I2693" s="19" t="s">
        <v>27946</v>
      </c>
      <c r="J2693" s="19" t="s">
        <v>27947</v>
      </c>
      <c r="K2693" s="19" t="s">
        <v>27947</v>
      </c>
      <c r="L2693" s="19" t="s">
        <v>27948</v>
      </c>
      <c r="M2693" s="20" t="s">
        <v>27949</v>
      </c>
      <c r="N2693" s="129" t="s">
        <v>27950</v>
      </c>
      <c r="O2693" s="22">
        <v>6.0</v>
      </c>
      <c r="P2693" s="28">
        <v>13.0</v>
      </c>
      <c r="Q2693" s="28">
        <v>55.0</v>
      </c>
      <c r="R2693" s="30"/>
      <c r="S2693" s="30"/>
      <c r="T2693" s="30"/>
      <c r="U2693" s="30"/>
      <c r="V2693" s="30"/>
      <c r="W2693" s="30"/>
      <c r="X2693" s="30"/>
      <c r="Y2693" s="30"/>
      <c r="Z2693" s="30"/>
      <c r="AA2693" s="30"/>
    </row>
    <row r="2694" ht="15.75" customHeight="1">
      <c r="A2694" s="30" t="s">
        <v>120</v>
      </c>
      <c r="B2694" s="126" t="s">
        <v>26845</v>
      </c>
      <c r="C2694" s="30" t="s">
        <v>27951</v>
      </c>
      <c r="D2694" s="30" t="s">
        <v>27952</v>
      </c>
      <c r="E2694" s="127" t="s">
        <v>27953</v>
      </c>
      <c r="F2694" s="128">
        <v>71.0</v>
      </c>
      <c r="G2694" s="128">
        <v>80.0</v>
      </c>
      <c r="H2694" s="16" t="s">
        <v>17059</v>
      </c>
      <c r="I2694" s="19" t="s">
        <v>27957</v>
      </c>
      <c r="J2694" s="19" t="s">
        <v>27958</v>
      </c>
      <c r="K2694" s="19" t="s">
        <v>27958</v>
      </c>
      <c r="L2694" s="19" t="s">
        <v>27959</v>
      </c>
      <c r="M2694" s="20" t="s">
        <v>27960</v>
      </c>
      <c r="N2694" s="129" t="s">
        <v>27961</v>
      </c>
      <c r="O2694" s="22">
        <v>4.0</v>
      </c>
      <c r="P2694" s="28">
        <v>13.0</v>
      </c>
      <c r="Q2694" s="28">
        <v>44.0</v>
      </c>
      <c r="R2694" s="30"/>
      <c r="S2694" s="30"/>
      <c r="T2694" s="30"/>
      <c r="U2694" s="30"/>
      <c r="V2694" s="30"/>
      <c r="W2694" s="30"/>
      <c r="X2694" s="30"/>
      <c r="Y2694" s="30"/>
      <c r="Z2694" s="30"/>
      <c r="AA2694" s="30"/>
    </row>
    <row r="2695" ht="15.75" customHeight="1">
      <c r="A2695" s="30" t="s">
        <v>120</v>
      </c>
      <c r="B2695" s="126" t="s">
        <v>26845</v>
      </c>
      <c r="C2695" s="30" t="s">
        <v>27962</v>
      </c>
      <c r="D2695" s="30" t="s">
        <v>27963</v>
      </c>
      <c r="E2695" s="127" t="s">
        <v>27964</v>
      </c>
      <c r="F2695" s="128">
        <v>240.0</v>
      </c>
      <c r="G2695" s="128">
        <v>249.0</v>
      </c>
      <c r="H2695" s="16" t="s">
        <v>17059</v>
      </c>
      <c r="I2695" s="19" t="s">
        <v>27967</v>
      </c>
      <c r="J2695" s="19" t="s">
        <v>27968</v>
      </c>
      <c r="K2695" s="19" t="s">
        <v>27969</v>
      </c>
      <c r="L2695" s="19" t="s">
        <v>27970</v>
      </c>
      <c r="M2695" s="20" t="s">
        <v>28039</v>
      </c>
      <c r="N2695" s="129" t="s">
        <v>28040</v>
      </c>
      <c r="O2695" s="22">
        <v>13.0</v>
      </c>
      <c r="P2695" s="28">
        <v>31.0</v>
      </c>
      <c r="Q2695" s="28">
        <v>83.0</v>
      </c>
      <c r="R2695" s="30"/>
      <c r="S2695" s="30"/>
      <c r="T2695" s="30"/>
      <c r="U2695" s="30"/>
      <c r="V2695" s="30"/>
      <c r="W2695" s="30"/>
      <c r="X2695" s="30"/>
      <c r="Y2695" s="30"/>
      <c r="Z2695" s="30"/>
      <c r="AA2695" s="30"/>
    </row>
    <row r="2696" ht="15.75" customHeight="1">
      <c r="A2696" s="30" t="s">
        <v>120</v>
      </c>
      <c r="B2696" s="126" t="s">
        <v>26845</v>
      </c>
      <c r="C2696" s="30" t="s">
        <v>28041</v>
      </c>
      <c r="D2696" s="30" t="s">
        <v>28042</v>
      </c>
      <c r="E2696" s="127" t="s">
        <v>28043</v>
      </c>
      <c r="F2696" s="128">
        <v>170.0</v>
      </c>
      <c r="G2696" s="128">
        <v>179.0</v>
      </c>
      <c r="H2696" s="16" t="s">
        <v>17059</v>
      </c>
      <c r="I2696" s="19" t="s">
        <v>28045</v>
      </c>
      <c r="J2696" s="19" t="s">
        <v>28046</v>
      </c>
      <c r="K2696" s="19" t="s">
        <v>28046</v>
      </c>
      <c r="L2696" s="19" t="s">
        <v>28047</v>
      </c>
      <c r="M2696" s="20" t="s">
        <v>28048</v>
      </c>
      <c r="N2696" s="129" t="s">
        <v>28049</v>
      </c>
      <c r="O2696" s="22">
        <v>5.0</v>
      </c>
      <c r="P2696" s="28">
        <v>12.0</v>
      </c>
      <c r="Q2696" s="28">
        <v>44.0</v>
      </c>
      <c r="R2696" s="30"/>
      <c r="S2696" s="30"/>
      <c r="T2696" s="30"/>
      <c r="U2696" s="30"/>
      <c r="V2696" s="30"/>
      <c r="W2696" s="30"/>
      <c r="X2696" s="30"/>
      <c r="Y2696" s="30"/>
      <c r="Z2696" s="30"/>
      <c r="AA2696" s="30"/>
    </row>
    <row r="2697" ht="15.75" customHeight="1">
      <c r="A2697" s="30" t="s">
        <v>120</v>
      </c>
      <c r="B2697" s="126" t="s">
        <v>26845</v>
      </c>
      <c r="C2697" s="30" t="s">
        <v>28051</v>
      </c>
      <c r="D2697" s="30" t="s">
        <v>28052</v>
      </c>
      <c r="E2697" s="127" t="s">
        <v>28053</v>
      </c>
      <c r="F2697" s="128">
        <v>41.0</v>
      </c>
      <c r="G2697" s="128">
        <v>50.0</v>
      </c>
      <c r="H2697" s="16" t="s">
        <v>17059</v>
      </c>
      <c r="I2697" s="19" t="s">
        <v>28058</v>
      </c>
      <c r="J2697" s="19" t="s">
        <v>28059</v>
      </c>
      <c r="K2697" s="19" t="s">
        <v>28060</v>
      </c>
      <c r="L2697" s="19" t="s">
        <v>28061</v>
      </c>
      <c r="M2697" s="20" t="s">
        <v>28062</v>
      </c>
      <c r="N2697" s="129" t="s">
        <v>28063</v>
      </c>
      <c r="O2697" s="22">
        <v>5.0</v>
      </c>
      <c r="P2697" s="28">
        <v>11.0</v>
      </c>
      <c r="Q2697" s="28">
        <v>42.0</v>
      </c>
      <c r="R2697" s="30"/>
      <c r="S2697" s="30"/>
      <c r="T2697" s="30"/>
      <c r="U2697" s="30"/>
      <c r="V2697" s="30"/>
      <c r="W2697" s="30"/>
      <c r="X2697" s="30"/>
      <c r="Y2697" s="30"/>
      <c r="Z2697" s="30"/>
      <c r="AA2697" s="30"/>
    </row>
    <row r="2698" ht="15.75" customHeight="1">
      <c r="A2698" s="30" t="s">
        <v>120</v>
      </c>
      <c r="B2698" s="126" t="s">
        <v>26845</v>
      </c>
      <c r="C2698" s="30" t="s">
        <v>28065</v>
      </c>
      <c r="D2698" s="30" t="s">
        <v>28066</v>
      </c>
      <c r="E2698" s="127" t="s">
        <v>28067</v>
      </c>
      <c r="F2698" s="128">
        <v>151.0</v>
      </c>
      <c r="G2698" s="128">
        <v>159.0</v>
      </c>
      <c r="H2698" s="16" t="s">
        <v>17059</v>
      </c>
      <c r="I2698" s="19" t="s">
        <v>28069</v>
      </c>
      <c r="J2698" s="19" t="s">
        <v>28070</v>
      </c>
      <c r="K2698" s="19" t="s">
        <v>28071</v>
      </c>
      <c r="L2698" s="19" t="s">
        <v>28072</v>
      </c>
      <c r="M2698" s="20" t="s">
        <v>25382</v>
      </c>
      <c r="N2698" s="129" t="s">
        <v>28074</v>
      </c>
      <c r="O2698" s="22">
        <v>1.0</v>
      </c>
      <c r="P2698" s="28">
        <v>5.0</v>
      </c>
      <c r="Q2698" s="28">
        <v>44.0</v>
      </c>
      <c r="R2698" s="30"/>
      <c r="S2698" s="30"/>
      <c r="T2698" s="30"/>
      <c r="U2698" s="30"/>
      <c r="V2698" s="30"/>
      <c r="W2698" s="30"/>
      <c r="X2698" s="30"/>
      <c r="Y2698" s="30"/>
      <c r="Z2698" s="30"/>
      <c r="AA2698" s="30"/>
    </row>
    <row r="2699" ht="15.75" customHeight="1">
      <c r="A2699" s="30" t="s">
        <v>120</v>
      </c>
      <c r="B2699" s="126" t="s">
        <v>26845</v>
      </c>
      <c r="C2699" s="30" t="s">
        <v>28075</v>
      </c>
      <c r="D2699" s="30" t="s">
        <v>28076</v>
      </c>
      <c r="E2699" s="127" t="s">
        <v>28077</v>
      </c>
      <c r="F2699" s="128">
        <v>51.0</v>
      </c>
      <c r="G2699" s="128">
        <v>60.0</v>
      </c>
      <c r="H2699" s="16" t="s">
        <v>17059</v>
      </c>
      <c r="I2699" s="19" t="s">
        <v>28080</v>
      </c>
      <c r="J2699" s="19" t="s">
        <v>28081</v>
      </c>
      <c r="K2699" s="19" t="s">
        <v>28081</v>
      </c>
      <c r="L2699" s="19" t="s">
        <v>28082</v>
      </c>
      <c r="M2699" s="20" t="s">
        <v>28083</v>
      </c>
      <c r="N2699" s="129" t="s">
        <v>28084</v>
      </c>
      <c r="O2699" s="22">
        <v>4.0</v>
      </c>
      <c r="P2699" s="28">
        <v>15.0</v>
      </c>
      <c r="Q2699" s="28">
        <v>34.0</v>
      </c>
      <c r="R2699" s="29" t="s">
        <v>19037</v>
      </c>
      <c r="S2699" s="30"/>
      <c r="T2699" s="30"/>
      <c r="U2699" s="30"/>
      <c r="V2699" s="30"/>
      <c r="W2699" s="30"/>
      <c r="X2699" s="30"/>
      <c r="Y2699" s="30"/>
      <c r="Z2699" s="30"/>
      <c r="AA2699" s="30"/>
    </row>
    <row r="2700" ht="15.75" customHeight="1">
      <c r="A2700" s="30" t="s">
        <v>120</v>
      </c>
      <c r="B2700" s="126" t="s">
        <v>26845</v>
      </c>
      <c r="C2700" s="30" t="s">
        <v>28085</v>
      </c>
      <c r="D2700" s="30" t="s">
        <v>28086</v>
      </c>
      <c r="E2700" s="127" t="s">
        <v>28087</v>
      </c>
      <c r="F2700" s="128">
        <v>131.0</v>
      </c>
      <c r="G2700" s="128">
        <v>140.0</v>
      </c>
      <c r="H2700" s="16" t="s">
        <v>17059</v>
      </c>
      <c r="I2700" s="19" t="s">
        <v>28091</v>
      </c>
      <c r="J2700" s="19" t="s">
        <v>28092</v>
      </c>
      <c r="K2700" s="19" t="s">
        <v>28092</v>
      </c>
      <c r="L2700" s="19" t="s">
        <v>28093</v>
      </c>
      <c r="M2700" s="20" t="s">
        <v>28094</v>
      </c>
      <c r="N2700" s="129" t="s">
        <v>28095</v>
      </c>
      <c r="O2700" s="22">
        <v>6.0</v>
      </c>
      <c r="P2700" s="28">
        <v>22.0</v>
      </c>
      <c r="Q2700" s="28">
        <v>50.0</v>
      </c>
      <c r="R2700" s="30"/>
      <c r="S2700" s="30"/>
      <c r="T2700" s="30"/>
      <c r="U2700" s="30"/>
      <c r="V2700" s="30"/>
      <c r="W2700" s="30"/>
      <c r="X2700" s="30"/>
      <c r="Y2700" s="30"/>
      <c r="Z2700" s="30"/>
      <c r="AA2700" s="30"/>
    </row>
    <row r="2701" ht="15.75" customHeight="1">
      <c r="A2701" s="30" t="s">
        <v>120</v>
      </c>
      <c r="B2701" s="126" t="s">
        <v>26845</v>
      </c>
      <c r="C2701" s="30" t="s">
        <v>28097</v>
      </c>
      <c r="D2701" s="30" t="s">
        <v>28098</v>
      </c>
      <c r="E2701" s="127" t="s">
        <v>28099</v>
      </c>
      <c r="F2701" s="128">
        <v>320.0</v>
      </c>
      <c r="G2701" s="128">
        <v>329.0</v>
      </c>
      <c r="H2701" s="16" t="s">
        <v>17059</v>
      </c>
      <c r="I2701" s="19" t="s">
        <v>28103</v>
      </c>
      <c r="J2701" s="19" t="s">
        <v>28104</v>
      </c>
      <c r="K2701" s="19" t="s">
        <v>28105</v>
      </c>
      <c r="L2701" s="19" t="s">
        <v>19929</v>
      </c>
      <c r="M2701" s="20" t="s">
        <v>28106</v>
      </c>
      <c r="N2701" s="129" t="s">
        <v>26813</v>
      </c>
      <c r="O2701" s="22">
        <v>4.0</v>
      </c>
      <c r="P2701" s="28">
        <v>12.0</v>
      </c>
      <c r="Q2701" s="28">
        <v>36.0</v>
      </c>
      <c r="R2701" s="30"/>
      <c r="S2701" s="30"/>
      <c r="T2701" s="30"/>
      <c r="U2701" s="30"/>
      <c r="V2701" s="30"/>
      <c r="W2701" s="30"/>
      <c r="X2701" s="30"/>
      <c r="Y2701" s="30"/>
      <c r="Z2701" s="30"/>
      <c r="AA2701" s="30"/>
    </row>
    <row r="2702" ht="15.75" customHeight="1">
      <c r="A2702" s="30" t="s">
        <v>120</v>
      </c>
      <c r="B2702" s="126" t="s">
        <v>26845</v>
      </c>
      <c r="C2702" s="30" t="s">
        <v>28108</v>
      </c>
      <c r="D2702" s="30" t="s">
        <v>28109</v>
      </c>
      <c r="E2702" s="127" t="s">
        <v>28110</v>
      </c>
      <c r="F2702" s="128">
        <v>270.0</v>
      </c>
      <c r="G2702" s="128">
        <v>279.0</v>
      </c>
      <c r="H2702" s="16" t="s">
        <v>17059</v>
      </c>
      <c r="I2702" s="19" t="s">
        <v>28113</v>
      </c>
      <c r="J2702" s="19" t="s">
        <v>28114</v>
      </c>
      <c r="K2702" s="19" t="s">
        <v>28115</v>
      </c>
      <c r="L2702" s="19" t="s">
        <v>28116</v>
      </c>
      <c r="M2702" s="20" t="s">
        <v>28117</v>
      </c>
      <c r="N2702" s="129" t="s">
        <v>28118</v>
      </c>
      <c r="O2702" s="22">
        <v>8.0</v>
      </c>
      <c r="P2702" s="28">
        <v>40.0</v>
      </c>
      <c r="Q2702" s="28">
        <v>47.0</v>
      </c>
      <c r="R2702" s="30"/>
      <c r="S2702" s="30"/>
      <c r="T2702" s="30"/>
      <c r="U2702" s="30"/>
      <c r="V2702" s="30"/>
      <c r="W2702" s="30"/>
      <c r="X2702" s="30"/>
      <c r="Y2702" s="30"/>
      <c r="Z2702" s="30"/>
      <c r="AA2702" s="30"/>
    </row>
    <row r="2703" ht="15.75" customHeight="1">
      <c r="A2703" s="30" t="s">
        <v>120</v>
      </c>
      <c r="B2703" s="126" t="s">
        <v>26845</v>
      </c>
      <c r="C2703" s="30" t="s">
        <v>28119</v>
      </c>
      <c r="D2703" s="30" t="s">
        <v>28120</v>
      </c>
      <c r="E2703" s="127" t="s">
        <v>28121</v>
      </c>
      <c r="F2703" s="128">
        <v>200.0</v>
      </c>
      <c r="G2703" s="128">
        <v>209.0</v>
      </c>
      <c r="H2703" s="16" t="s">
        <v>17059</v>
      </c>
      <c r="I2703" s="19" t="s">
        <v>28123</v>
      </c>
      <c r="J2703" s="19" t="s">
        <v>28124</v>
      </c>
      <c r="K2703" s="19" t="s">
        <v>28124</v>
      </c>
      <c r="L2703" s="19" t="s">
        <v>28125</v>
      </c>
      <c r="M2703" s="20" t="s">
        <v>28126</v>
      </c>
      <c r="N2703" s="129" t="s">
        <v>28127</v>
      </c>
      <c r="O2703" s="22">
        <v>1.0</v>
      </c>
      <c r="P2703" s="28">
        <v>6.0</v>
      </c>
      <c r="Q2703" s="28">
        <v>54.0</v>
      </c>
      <c r="R2703" s="30"/>
      <c r="S2703" s="30"/>
      <c r="T2703" s="30"/>
      <c r="U2703" s="30"/>
      <c r="V2703" s="30"/>
      <c r="W2703" s="30"/>
      <c r="X2703" s="30"/>
      <c r="Y2703" s="30"/>
      <c r="Z2703" s="30"/>
      <c r="AA2703" s="30"/>
    </row>
    <row r="2704" ht="15.75" customHeight="1">
      <c r="A2704" s="30" t="s">
        <v>120</v>
      </c>
      <c r="B2704" s="126" t="s">
        <v>26845</v>
      </c>
      <c r="C2704" s="30" t="s">
        <v>28128</v>
      </c>
      <c r="D2704" s="30" t="s">
        <v>28129</v>
      </c>
      <c r="E2704" s="127" t="s">
        <v>28130</v>
      </c>
      <c r="F2704" s="128">
        <v>190.0</v>
      </c>
      <c r="G2704" s="128">
        <v>199.0</v>
      </c>
      <c r="H2704" s="16" t="s">
        <v>17059</v>
      </c>
      <c r="I2704" s="19" t="s">
        <v>28133</v>
      </c>
      <c r="J2704" s="19" t="s">
        <v>28134</v>
      </c>
      <c r="K2704" s="19" t="s">
        <v>28134</v>
      </c>
      <c r="L2704" s="19" t="s">
        <v>28135</v>
      </c>
      <c r="M2704" s="20" t="s">
        <v>28136</v>
      </c>
      <c r="N2704" s="129" t="s">
        <v>28137</v>
      </c>
      <c r="O2704" s="22">
        <v>6.0</v>
      </c>
      <c r="P2704" s="28">
        <v>20.0</v>
      </c>
      <c r="Q2704" s="28">
        <v>53.0</v>
      </c>
      <c r="R2704" s="30"/>
      <c r="S2704" s="30"/>
      <c r="T2704" s="30"/>
      <c r="U2704" s="30"/>
      <c r="V2704" s="30"/>
      <c r="W2704" s="30"/>
      <c r="X2704" s="30"/>
      <c r="Y2704" s="30"/>
      <c r="Z2704" s="30"/>
      <c r="AA2704" s="30"/>
    </row>
    <row r="2705" ht="15.75" customHeight="1">
      <c r="A2705" s="30" t="s">
        <v>120</v>
      </c>
      <c r="B2705" s="126" t="s">
        <v>26845</v>
      </c>
      <c r="C2705" s="30" t="s">
        <v>28138</v>
      </c>
      <c r="D2705" s="30" t="s">
        <v>28139</v>
      </c>
      <c r="E2705" s="127" t="s">
        <v>28140</v>
      </c>
      <c r="F2705" s="128">
        <v>91.0</v>
      </c>
      <c r="G2705" s="128">
        <v>100.0</v>
      </c>
      <c r="H2705" s="16" t="s">
        <v>17059</v>
      </c>
      <c r="I2705" s="19" t="s">
        <v>28144</v>
      </c>
      <c r="J2705" s="19" t="s">
        <v>28145</v>
      </c>
      <c r="K2705" s="19" t="s">
        <v>28145</v>
      </c>
      <c r="L2705" s="19" t="s">
        <v>28146</v>
      </c>
      <c r="M2705" s="20" t="s">
        <v>28147</v>
      </c>
      <c r="N2705" s="129" t="s">
        <v>28148</v>
      </c>
      <c r="O2705" s="22">
        <v>10.0</v>
      </c>
      <c r="P2705" s="28">
        <v>23.0</v>
      </c>
      <c r="Q2705" s="28">
        <v>44.0</v>
      </c>
      <c r="R2705" s="30"/>
      <c r="S2705" s="30"/>
      <c r="T2705" s="30"/>
      <c r="U2705" s="30"/>
      <c r="V2705" s="30"/>
      <c r="W2705" s="30"/>
      <c r="X2705" s="30"/>
      <c r="Y2705" s="30"/>
      <c r="Z2705" s="30"/>
      <c r="AA2705" s="30"/>
    </row>
    <row r="2706" ht="15.75" customHeight="1">
      <c r="A2706" s="30" t="s">
        <v>120</v>
      </c>
      <c r="B2706" s="126" t="s">
        <v>26845</v>
      </c>
      <c r="C2706" s="30" t="s">
        <v>28152</v>
      </c>
      <c r="D2706" s="30" t="s">
        <v>28153</v>
      </c>
      <c r="E2706" s="127" t="s">
        <v>28154</v>
      </c>
      <c r="F2706" s="128">
        <v>101.0</v>
      </c>
      <c r="G2706" s="128">
        <v>110.0</v>
      </c>
      <c r="H2706" s="16" t="s">
        <v>17059</v>
      </c>
      <c r="I2706" s="19" t="s">
        <v>28156</v>
      </c>
      <c r="J2706" s="19" t="s">
        <v>28157</v>
      </c>
      <c r="K2706" s="19" t="s">
        <v>28158</v>
      </c>
      <c r="L2706" s="19" t="s">
        <v>28159</v>
      </c>
      <c r="M2706" s="20" t="s">
        <v>28160</v>
      </c>
      <c r="N2706" s="129" t="s">
        <v>28161</v>
      </c>
      <c r="O2706" s="22">
        <v>2.0</v>
      </c>
      <c r="P2706" s="28">
        <v>8.0</v>
      </c>
      <c r="Q2706" s="28">
        <v>60.0</v>
      </c>
      <c r="R2706" s="30"/>
      <c r="S2706" s="30"/>
      <c r="T2706" s="30"/>
      <c r="U2706" s="30"/>
      <c r="V2706" s="30"/>
      <c r="W2706" s="30"/>
      <c r="X2706" s="30"/>
      <c r="Y2706" s="30"/>
      <c r="Z2706" s="30"/>
      <c r="AA2706" s="30"/>
    </row>
    <row r="2707" ht="15.75" customHeight="1">
      <c r="A2707" s="30" t="s">
        <v>120</v>
      </c>
      <c r="B2707" s="126" t="s">
        <v>26845</v>
      </c>
      <c r="C2707" s="30" t="s">
        <v>28162</v>
      </c>
      <c r="D2707" s="30" t="s">
        <v>28163</v>
      </c>
      <c r="E2707" s="127" t="s">
        <v>28164</v>
      </c>
      <c r="F2707" s="128">
        <v>180.0</v>
      </c>
      <c r="G2707" s="128">
        <v>189.0</v>
      </c>
      <c r="H2707" s="16" t="s">
        <v>17059</v>
      </c>
      <c r="I2707" s="19" t="s">
        <v>28167</v>
      </c>
      <c r="J2707" s="19" t="s">
        <v>28168</v>
      </c>
      <c r="K2707" s="19" t="s">
        <v>28169</v>
      </c>
      <c r="L2707" s="19" t="s">
        <v>28170</v>
      </c>
      <c r="M2707" s="20" t="s">
        <v>28171</v>
      </c>
      <c r="N2707" s="129" t="s">
        <v>28172</v>
      </c>
      <c r="O2707" s="22">
        <v>9.0</v>
      </c>
      <c r="P2707" s="28">
        <v>24.0</v>
      </c>
      <c r="Q2707" s="28">
        <v>37.0</v>
      </c>
      <c r="R2707" s="30"/>
      <c r="S2707" s="30"/>
      <c r="T2707" s="30"/>
      <c r="U2707" s="30"/>
      <c r="V2707" s="30"/>
      <c r="W2707" s="30"/>
      <c r="X2707" s="30"/>
      <c r="Y2707" s="30"/>
      <c r="Z2707" s="30"/>
      <c r="AA2707" s="30"/>
    </row>
    <row r="2708" ht="15.75" customHeight="1">
      <c r="A2708" s="30" t="s">
        <v>120</v>
      </c>
      <c r="B2708" s="126" t="s">
        <v>26845</v>
      </c>
      <c r="C2708" s="30" t="s">
        <v>28173</v>
      </c>
      <c r="D2708" s="30" t="s">
        <v>28174</v>
      </c>
      <c r="E2708" s="127" t="s">
        <v>28175</v>
      </c>
      <c r="F2708" s="128">
        <v>160.0</v>
      </c>
      <c r="G2708" s="128">
        <v>169.0</v>
      </c>
      <c r="H2708" s="16" t="s">
        <v>17059</v>
      </c>
      <c r="I2708" s="19" t="s">
        <v>28178</v>
      </c>
      <c r="J2708" s="19" t="s">
        <v>28179</v>
      </c>
      <c r="K2708" s="19" t="s">
        <v>28179</v>
      </c>
      <c r="L2708" s="19" t="s">
        <v>28180</v>
      </c>
      <c r="M2708" s="20" t="s">
        <v>28181</v>
      </c>
      <c r="N2708" s="129" t="s">
        <v>28182</v>
      </c>
      <c r="O2708" s="22">
        <v>8.0</v>
      </c>
      <c r="P2708" s="28">
        <v>41.0</v>
      </c>
      <c r="Q2708" s="28">
        <v>39.0</v>
      </c>
      <c r="R2708" s="30"/>
      <c r="S2708" s="30"/>
      <c r="T2708" s="30"/>
      <c r="U2708" s="30"/>
      <c r="V2708" s="30"/>
      <c r="W2708" s="30"/>
      <c r="X2708" s="30"/>
      <c r="Y2708" s="30"/>
      <c r="Z2708" s="30"/>
      <c r="AA2708" s="30"/>
    </row>
    <row r="2709" ht="15.75" customHeight="1">
      <c r="A2709" s="30" t="s">
        <v>120</v>
      </c>
      <c r="B2709" s="126" t="s">
        <v>26845</v>
      </c>
      <c r="C2709" s="30" t="s">
        <v>28185</v>
      </c>
      <c r="D2709" s="30" t="s">
        <v>28187</v>
      </c>
      <c r="E2709" s="127" t="s">
        <v>28188</v>
      </c>
      <c r="F2709" s="128">
        <v>310.0</v>
      </c>
      <c r="G2709" s="128">
        <v>319.0</v>
      </c>
      <c r="H2709" s="16" t="s">
        <v>17059</v>
      </c>
      <c r="I2709" s="19" t="s">
        <v>28190</v>
      </c>
      <c r="J2709" s="19" t="s">
        <v>28191</v>
      </c>
      <c r="K2709" s="19" t="s">
        <v>28191</v>
      </c>
      <c r="L2709" s="19" t="s">
        <v>28192</v>
      </c>
      <c r="M2709" s="20" t="s">
        <v>28193</v>
      </c>
      <c r="N2709" s="129" t="s">
        <v>28194</v>
      </c>
      <c r="O2709" s="22">
        <v>7.0</v>
      </c>
      <c r="P2709" s="28">
        <v>17.0</v>
      </c>
      <c r="Q2709" s="28">
        <v>58.0</v>
      </c>
      <c r="R2709" s="30"/>
      <c r="S2709" s="30"/>
      <c r="T2709" s="30"/>
      <c r="U2709" s="30"/>
      <c r="V2709" s="30"/>
      <c r="W2709" s="30"/>
      <c r="X2709" s="30"/>
      <c r="Y2709" s="30"/>
      <c r="Z2709" s="30"/>
      <c r="AA2709" s="30"/>
    </row>
    <row r="2710" ht="15.75" customHeight="1">
      <c r="A2710" s="30" t="s">
        <v>120</v>
      </c>
      <c r="B2710" s="126" t="s">
        <v>26845</v>
      </c>
      <c r="C2710" s="30" t="s">
        <v>28196</v>
      </c>
      <c r="D2710" s="30" t="s">
        <v>28197</v>
      </c>
      <c r="E2710" s="127" t="s">
        <v>28199</v>
      </c>
      <c r="F2710" s="128">
        <v>61.0</v>
      </c>
      <c r="G2710" s="128">
        <v>70.0</v>
      </c>
      <c r="H2710" s="16" t="s">
        <v>17059</v>
      </c>
      <c r="I2710" s="19" t="s">
        <v>28201</v>
      </c>
      <c r="J2710" s="19" t="s">
        <v>28202</v>
      </c>
      <c r="K2710" s="19" t="s">
        <v>28202</v>
      </c>
      <c r="L2710" s="19" t="s">
        <v>28203</v>
      </c>
      <c r="M2710" s="20" t="s">
        <v>28204</v>
      </c>
      <c r="N2710" s="129" t="s">
        <v>28205</v>
      </c>
      <c r="O2710" s="22">
        <v>6.0</v>
      </c>
      <c r="P2710" s="28">
        <v>22.0</v>
      </c>
      <c r="Q2710" s="28">
        <v>53.0</v>
      </c>
      <c r="R2710" s="29" t="s">
        <v>19037</v>
      </c>
      <c r="S2710" s="30"/>
      <c r="T2710" s="30"/>
      <c r="U2710" s="30"/>
      <c r="V2710" s="30"/>
      <c r="W2710" s="30"/>
      <c r="X2710" s="30"/>
      <c r="Y2710" s="30"/>
      <c r="Z2710" s="30"/>
      <c r="AA2710" s="30"/>
    </row>
    <row r="2711" ht="15.75" customHeight="1">
      <c r="A2711" s="30" t="s">
        <v>120</v>
      </c>
      <c r="B2711" s="126" t="s">
        <v>26845</v>
      </c>
      <c r="C2711" s="30" t="s">
        <v>28207</v>
      </c>
      <c r="D2711" s="30" t="s">
        <v>28208</v>
      </c>
      <c r="E2711" s="127" t="s">
        <v>28209</v>
      </c>
      <c r="F2711" s="128">
        <v>230.0</v>
      </c>
      <c r="G2711" s="128">
        <v>239.0</v>
      </c>
      <c r="H2711" s="16" t="s">
        <v>17059</v>
      </c>
      <c r="I2711" s="19" t="s">
        <v>28211</v>
      </c>
      <c r="J2711" s="19" t="s">
        <v>28213</v>
      </c>
      <c r="K2711" s="19" t="s">
        <v>28213</v>
      </c>
      <c r="L2711" s="19" t="s">
        <v>28214</v>
      </c>
      <c r="M2711" s="20" t="s">
        <v>28215</v>
      </c>
      <c r="N2711" s="129" t="s">
        <v>28216</v>
      </c>
      <c r="O2711" s="22">
        <v>1.0</v>
      </c>
      <c r="P2711" s="28">
        <v>14.0</v>
      </c>
      <c r="Q2711" s="28">
        <v>31.0</v>
      </c>
      <c r="R2711" s="30"/>
      <c r="S2711" s="30"/>
      <c r="T2711" s="30"/>
      <c r="U2711" s="30"/>
      <c r="V2711" s="30"/>
      <c r="W2711" s="30"/>
      <c r="X2711" s="30"/>
      <c r="Y2711" s="30"/>
      <c r="Z2711" s="30"/>
      <c r="AA2711" s="30"/>
    </row>
    <row r="2712" ht="15.75" customHeight="1">
      <c r="A2712" s="30" t="s">
        <v>120</v>
      </c>
      <c r="B2712" s="126" t="s">
        <v>26845</v>
      </c>
      <c r="C2712" s="30" t="s">
        <v>28217</v>
      </c>
      <c r="D2712" s="30" t="s">
        <v>28218</v>
      </c>
      <c r="E2712" s="127" t="s">
        <v>28219</v>
      </c>
      <c r="F2712" s="128">
        <v>111.0</v>
      </c>
      <c r="G2712" s="128">
        <v>120.0</v>
      </c>
      <c r="H2712" s="16" t="s">
        <v>17059</v>
      </c>
      <c r="I2712" s="19" t="s">
        <v>28223</v>
      </c>
      <c r="J2712" s="19" t="s">
        <v>28224</v>
      </c>
      <c r="K2712" s="19" t="s">
        <v>28225</v>
      </c>
      <c r="L2712" s="19" t="s">
        <v>28226</v>
      </c>
      <c r="M2712" s="20" t="s">
        <v>28227</v>
      </c>
      <c r="N2712" s="129" t="s">
        <v>28228</v>
      </c>
      <c r="O2712" s="22">
        <v>1.0</v>
      </c>
      <c r="P2712" s="28">
        <v>3.0</v>
      </c>
      <c r="Q2712" s="28">
        <v>32.0</v>
      </c>
      <c r="R2712" s="30"/>
      <c r="S2712" s="30"/>
      <c r="T2712" s="30"/>
      <c r="U2712" s="30"/>
      <c r="V2712" s="30"/>
      <c r="W2712" s="30"/>
      <c r="X2712" s="30"/>
      <c r="Y2712" s="30"/>
      <c r="Z2712" s="30"/>
      <c r="AA2712" s="30"/>
    </row>
    <row r="2713" ht="15.75" customHeight="1">
      <c r="A2713" s="30" t="s">
        <v>120</v>
      </c>
      <c r="B2713" s="126" t="s">
        <v>26845</v>
      </c>
      <c r="C2713" s="30" t="s">
        <v>28229</v>
      </c>
      <c r="D2713" s="30" t="s">
        <v>28230</v>
      </c>
      <c r="E2713" s="127" t="s">
        <v>28231</v>
      </c>
      <c r="F2713" s="128">
        <v>210.0</v>
      </c>
      <c r="G2713" s="128">
        <v>219.0</v>
      </c>
      <c r="H2713" s="16" t="s">
        <v>17059</v>
      </c>
      <c r="I2713" s="19" t="s">
        <v>28235</v>
      </c>
      <c r="J2713" s="19" t="s">
        <v>28236</v>
      </c>
      <c r="K2713" s="19" t="s">
        <v>28237</v>
      </c>
      <c r="L2713" s="19" t="s">
        <v>19214</v>
      </c>
      <c r="M2713" s="20" t="s">
        <v>28238</v>
      </c>
      <c r="N2713" s="129" t="s">
        <v>28239</v>
      </c>
      <c r="O2713" s="22">
        <v>50.0</v>
      </c>
      <c r="P2713" s="28">
        <v>12.0</v>
      </c>
      <c r="Q2713" s="28">
        <v>40.0</v>
      </c>
      <c r="R2713" s="30"/>
      <c r="S2713" s="30"/>
      <c r="T2713" s="30"/>
      <c r="U2713" s="30"/>
      <c r="V2713" s="30"/>
      <c r="W2713" s="30"/>
      <c r="X2713" s="30"/>
      <c r="Y2713" s="30"/>
      <c r="Z2713" s="30"/>
      <c r="AA2713" s="30"/>
    </row>
    <row r="2714" ht="15.75" customHeight="1">
      <c r="A2714" s="30" t="s">
        <v>120</v>
      </c>
      <c r="B2714" s="126" t="s">
        <v>26845</v>
      </c>
      <c r="C2714" s="30" t="s">
        <v>28240</v>
      </c>
      <c r="D2714" s="30" t="s">
        <v>28241</v>
      </c>
      <c r="E2714" s="127" t="s">
        <v>28242</v>
      </c>
      <c r="F2714" s="128">
        <v>220.0</v>
      </c>
      <c r="G2714" s="128">
        <v>229.0</v>
      </c>
      <c r="H2714" s="16" t="s">
        <v>17059</v>
      </c>
      <c r="I2714" s="19" t="s">
        <v>28244</v>
      </c>
      <c r="J2714" s="19" t="s">
        <v>28245</v>
      </c>
      <c r="K2714" s="19" t="s">
        <v>28245</v>
      </c>
      <c r="L2714" s="19" t="s">
        <v>28246</v>
      </c>
      <c r="M2714" s="20" t="s">
        <v>28247</v>
      </c>
      <c r="N2714" s="129" t="s">
        <v>28248</v>
      </c>
      <c r="O2714" s="22">
        <v>6.0</v>
      </c>
      <c r="P2714" s="28">
        <v>14.0</v>
      </c>
      <c r="Q2714" s="28">
        <v>43.0</v>
      </c>
      <c r="R2714" s="30"/>
      <c r="S2714" s="30"/>
      <c r="T2714" s="30"/>
      <c r="U2714" s="30"/>
      <c r="V2714" s="30"/>
      <c r="W2714" s="30"/>
      <c r="X2714" s="30"/>
      <c r="Y2714" s="30"/>
      <c r="Z2714" s="30"/>
      <c r="AA2714" s="30"/>
    </row>
    <row r="2715" ht="15.75" customHeight="1">
      <c r="A2715" s="30" t="s">
        <v>120</v>
      </c>
      <c r="B2715" s="126" t="s">
        <v>26845</v>
      </c>
      <c r="C2715" s="30" t="s">
        <v>28249</v>
      </c>
      <c r="D2715" s="30" t="s">
        <v>28250</v>
      </c>
      <c r="E2715" s="127" t="s">
        <v>28251</v>
      </c>
      <c r="F2715" s="128">
        <v>290.0</v>
      </c>
      <c r="G2715" s="128">
        <v>299.0</v>
      </c>
      <c r="H2715" s="16" t="s">
        <v>17059</v>
      </c>
      <c r="I2715" s="19" t="s">
        <v>28258</v>
      </c>
      <c r="J2715" s="19" t="s">
        <v>28259</v>
      </c>
      <c r="K2715" s="19" t="s">
        <v>28260</v>
      </c>
      <c r="L2715" s="19" t="s">
        <v>28261</v>
      </c>
      <c r="M2715" s="20" t="s">
        <v>28262</v>
      </c>
      <c r="N2715" s="129" t="s">
        <v>28263</v>
      </c>
      <c r="O2715" s="22">
        <v>3.0</v>
      </c>
      <c r="P2715" s="28">
        <v>9.0</v>
      </c>
      <c r="Q2715" s="28">
        <v>34.0</v>
      </c>
      <c r="R2715" s="30"/>
      <c r="S2715" s="30"/>
      <c r="T2715" s="30"/>
      <c r="U2715" s="30"/>
      <c r="V2715" s="30"/>
      <c r="W2715" s="30"/>
      <c r="X2715" s="30"/>
      <c r="Y2715" s="30"/>
      <c r="Z2715" s="30"/>
      <c r="AA2715" s="30"/>
    </row>
    <row r="2716" ht="15.75" customHeight="1">
      <c r="A2716" s="30" t="s">
        <v>120</v>
      </c>
      <c r="B2716" s="126" t="s">
        <v>26845</v>
      </c>
      <c r="C2716" s="30" t="s">
        <v>28264</v>
      </c>
      <c r="D2716" s="30" t="s">
        <v>28265</v>
      </c>
      <c r="E2716" s="127" t="s">
        <v>28266</v>
      </c>
      <c r="F2716" s="128">
        <v>1.0</v>
      </c>
      <c r="G2716" s="128">
        <v>10.0</v>
      </c>
      <c r="H2716" s="16" t="s">
        <v>17059</v>
      </c>
      <c r="I2716" s="19" t="s">
        <v>28272</v>
      </c>
      <c r="J2716" s="19" t="s">
        <v>28273</v>
      </c>
      <c r="K2716" s="19" t="s">
        <v>28273</v>
      </c>
      <c r="L2716" s="19" t="s">
        <v>28276</v>
      </c>
      <c r="M2716" s="20" t="s">
        <v>28278</v>
      </c>
      <c r="N2716" s="129" t="s">
        <v>28279</v>
      </c>
      <c r="O2716" s="22">
        <v>12.0</v>
      </c>
      <c r="P2716" s="28">
        <v>38.0</v>
      </c>
      <c r="Q2716" s="28">
        <v>63.0</v>
      </c>
      <c r="R2716" s="29" t="s">
        <v>106</v>
      </c>
      <c r="S2716" s="30"/>
      <c r="T2716" s="30"/>
      <c r="U2716" s="30"/>
      <c r="V2716" s="30"/>
      <c r="W2716" s="30"/>
      <c r="X2716" s="30"/>
      <c r="Y2716" s="30"/>
      <c r="Z2716" s="30"/>
      <c r="AA2716" s="30"/>
    </row>
    <row r="2717" ht="15.75" customHeight="1">
      <c r="A2717" s="30" t="s">
        <v>120</v>
      </c>
      <c r="B2717" s="126" t="s">
        <v>26845</v>
      </c>
      <c r="C2717" s="30" t="s">
        <v>28280</v>
      </c>
      <c r="D2717" s="30" t="s">
        <v>28281</v>
      </c>
      <c r="E2717" s="127" t="s">
        <v>28282</v>
      </c>
      <c r="F2717" s="128">
        <v>11.0</v>
      </c>
      <c r="G2717" s="128">
        <v>20.0</v>
      </c>
      <c r="H2717" s="16" t="s">
        <v>17059</v>
      </c>
      <c r="I2717" s="19" t="s">
        <v>28288</v>
      </c>
      <c r="J2717" s="19" t="s">
        <v>28289</v>
      </c>
      <c r="K2717" s="19" t="s">
        <v>28290</v>
      </c>
      <c r="L2717" s="19" t="s">
        <v>28291</v>
      </c>
      <c r="M2717" s="20" t="s">
        <v>28292</v>
      </c>
      <c r="N2717" s="129" t="s">
        <v>28293</v>
      </c>
      <c r="O2717" s="22">
        <v>10.0</v>
      </c>
      <c r="P2717" s="28">
        <v>51.0</v>
      </c>
      <c r="Q2717" s="28">
        <v>56.0</v>
      </c>
      <c r="R2717" s="30"/>
      <c r="S2717" s="30"/>
      <c r="T2717" s="30"/>
      <c r="U2717" s="30"/>
      <c r="V2717" s="30"/>
      <c r="W2717" s="30"/>
      <c r="X2717" s="30"/>
      <c r="Y2717" s="30"/>
      <c r="Z2717" s="30"/>
      <c r="AA2717" s="30"/>
    </row>
    <row r="2718" ht="15.75" customHeight="1">
      <c r="A2718" s="30" t="s">
        <v>120</v>
      </c>
      <c r="B2718" s="126" t="s">
        <v>26845</v>
      </c>
      <c r="C2718" s="30" t="s">
        <v>28294</v>
      </c>
      <c r="D2718" s="30" t="s">
        <v>28295</v>
      </c>
      <c r="E2718" s="127" t="s">
        <v>28296</v>
      </c>
      <c r="F2718" s="128">
        <v>260.0</v>
      </c>
      <c r="G2718" s="128">
        <v>269.0</v>
      </c>
      <c r="H2718" s="16" t="s">
        <v>17059</v>
      </c>
      <c r="I2718" s="19" t="s">
        <v>28299</v>
      </c>
      <c r="J2718" s="19" t="s">
        <v>28301</v>
      </c>
      <c r="K2718" s="19" t="s">
        <v>28301</v>
      </c>
      <c r="L2718" s="19" t="s">
        <v>28302</v>
      </c>
      <c r="M2718" s="20" t="s">
        <v>28303</v>
      </c>
      <c r="N2718" s="129" t="s">
        <v>28304</v>
      </c>
      <c r="O2718" s="22">
        <v>11.0</v>
      </c>
      <c r="P2718" s="28">
        <v>26.0</v>
      </c>
      <c r="Q2718" s="28">
        <v>53.0</v>
      </c>
      <c r="R2718" s="30"/>
      <c r="S2718" s="30"/>
      <c r="T2718" s="30"/>
      <c r="U2718" s="30"/>
      <c r="V2718" s="30"/>
      <c r="W2718" s="30"/>
      <c r="X2718" s="30"/>
      <c r="Y2718" s="30"/>
      <c r="Z2718" s="30"/>
      <c r="AA2718" s="30"/>
    </row>
    <row r="2719" ht="15.75" customHeight="1">
      <c r="A2719" s="30" t="s">
        <v>120</v>
      </c>
      <c r="B2719" s="126" t="s">
        <v>26845</v>
      </c>
      <c r="C2719" s="16" t="s">
        <v>28306</v>
      </c>
      <c r="D2719" s="16" t="s">
        <v>28308</v>
      </c>
      <c r="E2719" s="127" t="s">
        <v>28309</v>
      </c>
      <c r="F2719" s="128">
        <v>81.0</v>
      </c>
      <c r="G2719" s="128">
        <v>90.0</v>
      </c>
      <c r="H2719" s="16" t="s">
        <v>17059</v>
      </c>
      <c r="I2719" s="19" t="s">
        <v>28314</v>
      </c>
      <c r="J2719" s="19" t="s">
        <v>28315</v>
      </c>
      <c r="K2719" s="19" t="s">
        <v>28315</v>
      </c>
      <c r="L2719" s="19" t="s">
        <v>28316</v>
      </c>
      <c r="M2719" s="20" t="s">
        <v>28317</v>
      </c>
      <c r="N2719" s="129" t="s">
        <v>28318</v>
      </c>
      <c r="O2719" s="22">
        <v>50.0</v>
      </c>
      <c r="P2719" s="28">
        <v>11.0</v>
      </c>
      <c r="Q2719" s="28">
        <v>43.0</v>
      </c>
      <c r="R2719" s="16"/>
      <c r="S2719" s="16"/>
      <c r="T2719" s="16"/>
      <c r="U2719" s="16"/>
      <c r="V2719" s="16"/>
      <c r="W2719" s="16"/>
      <c r="X2719" s="16"/>
      <c r="Y2719" s="16"/>
      <c r="Z2719" s="16"/>
      <c r="AA2719" s="16"/>
    </row>
    <row r="2720" ht="15.75" customHeight="1">
      <c r="A2720" s="30" t="s">
        <v>120</v>
      </c>
      <c r="B2720" s="126" t="s">
        <v>26845</v>
      </c>
      <c r="C2720" s="30" t="s">
        <v>28319</v>
      </c>
      <c r="D2720" s="30" t="s">
        <v>28320</v>
      </c>
      <c r="E2720" s="127" t="s">
        <v>28321</v>
      </c>
      <c r="F2720" s="128">
        <v>21.0</v>
      </c>
      <c r="G2720" s="128">
        <v>30.0</v>
      </c>
      <c r="H2720" s="16" t="s">
        <v>17059</v>
      </c>
      <c r="I2720" s="19" t="s">
        <v>28327</v>
      </c>
      <c r="J2720" s="19" t="s">
        <v>28328</v>
      </c>
      <c r="K2720" s="19" t="s">
        <v>28328</v>
      </c>
      <c r="L2720" s="19" t="s">
        <v>28329</v>
      </c>
      <c r="M2720" s="20" t="s">
        <v>28330</v>
      </c>
      <c r="N2720" s="129" t="s">
        <v>28331</v>
      </c>
      <c r="O2720" s="22">
        <v>1.0</v>
      </c>
      <c r="P2720" s="28">
        <v>4.0</v>
      </c>
      <c r="Q2720" s="28">
        <v>46.0</v>
      </c>
      <c r="R2720" s="30"/>
      <c r="S2720" s="30"/>
      <c r="T2720" s="30"/>
      <c r="U2720" s="30"/>
      <c r="V2720" s="30"/>
      <c r="W2720" s="30"/>
      <c r="X2720" s="30"/>
      <c r="Y2720" s="30"/>
      <c r="Z2720" s="30"/>
      <c r="AA2720" s="30"/>
    </row>
    <row r="2721" ht="15.75" customHeight="1">
      <c r="A2721" s="30" t="s">
        <v>120</v>
      </c>
      <c r="B2721" s="126" t="s">
        <v>26845</v>
      </c>
      <c r="C2721" s="16" t="s">
        <v>28332</v>
      </c>
      <c r="D2721" s="16" t="s">
        <v>28333</v>
      </c>
      <c r="E2721" s="142" t="s">
        <v>28334</v>
      </c>
      <c r="F2721" s="143">
        <v>1.0</v>
      </c>
      <c r="G2721" s="143">
        <v>8.0</v>
      </c>
      <c r="H2721" s="16" t="s">
        <v>28</v>
      </c>
      <c r="I2721" s="19" t="s">
        <v>28343</v>
      </c>
      <c r="J2721" s="19" t="s">
        <v>28344</v>
      </c>
      <c r="K2721" s="19" t="s">
        <v>28345</v>
      </c>
      <c r="L2721" s="19" t="s">
        <v>28346</v>
      </c>
      <c r="M2721" s="20" t="s">
        <v>28347</v>
      </c>
      <c r="N2721" s="129" t="s">
        <v>28349</v>
      </c>
      <c r="O2721" s="22">
        <v>7.0</v>
      </c>
      <c r="P2721" s="28">
        <v>7.0</v>
      </c>
      <c r="Q2721" s="28">
        <v>22.0</v>
      </c>
      <c r="R2721" s="30"/>
      <c r="S2721" s="30"/>
      <c r="T2721" s="30"/>
      <c r="U2721" s="30"/>
      <c r="V2721" s="30"/>
      <c r="W2721" s="30"/>
      <c r="X2721" s="30"/>
      <c r="Y2721" s="30"/>
      <c r="Z2721" s="30"/>
      <c r="AA2721" s="30"/>
    </row>
    <row r="2722" ht="15.75" customHeight="1">
      <c r="A2722" s="30" t="s">
        <v>120</v>
      </c>
      <c r="B2722" s="126" t="s">
        <v>26845</v>
      </c>
      <c r="C2722" s="16" t="s">
        <v>28353</v>
      </c>
      <c r="D2722" s="16" t="s">
        <v>28354</v>
      </c>
      <c r="E2722" s="142" t="s">
        <v>28355</v>
      </c>
      <c r="F2722" s="143">
        <v>9.0</v>
      </c>
      <c r="G2722" s="143">
        <v>16.0</v>
      </c>
      <c r="H2722" s="16" t="s">
        <v>28</v>
      </c>
      <c r="I2722" s="19" t="s">
        <v>28359</v>
      </c>
      <c r="J2722" s="19" t="s">
        <v>28360</v>
      </c>
      <c r="K2722" s="19" t="s">
        <v>28361</v>
      </c>
      <c r="L2722" s="19" t="s">
        <v>28362</v>
      </c>
      <c r="M2722" s="20" t="s">
        <v>28363</v>
      </c>
      <c r="N2722" s="129" t="s">
        <v>28364</v>
      </c>
      <c r="O2722" s="22">
        <v>6.0</v>
      </c>
      <c r="P2722" s="28">
        <v>7.0</v>
      </c>
      <c r="Q2722" s="28">
        <v>36.0</v>
      </c>
      <c r="R2722" s="30"/>
      <c r="S2722" s="30"/>
      <c r="T2722" s="30"/>
      <c r="U2722" s="30"/>
      <c r="V2722" s="30"/>
      <c r="W2722" s="30"/>
      <c r="X2722" s="30"/>
      <c r="Y2722" s="30"/>
      <c r="Z2722" s="30"/>
      <c r="AA2722" s="30"/>
    </row>
    <row r="2723" ht="15.75" customHeight="1">
      <c r="A2723" s="30" t="s">
        <v>120</v>
      </c>
      <c r="B2723" s="126" t="s">
        <v>26845</v>
      </c>
      <c r="C2723" s="16" t="s">
        <v>28366</v>
      </c>
      <c r="D2723" s="16" t="s">
        <v>28368</v>
      </c>
      <c r="E2723" s="142" t="s">
        <v>28369</v>
      </c>
      <c r="F2723" s="143">
        <v>17.0</v>
      </c>
      <c r="G2723" s="143">
        <v>24.0</v>
      </c>
      <c r="H2723" s="16" t="s">
        <v>28</v>
      </c>
      <c r="I2723" s="19" t="s">
        <v>28375</v>
      </c>
      <c r="J2723" s="19" t="s">
        <v>28377</v>
      </c>
      <c r="K2723" s="19" t="s">
        <v>28378</v>
      </c>
      <c r="L2723" s="19" t="s">
        <v>28379</v>
      </c>
      <c r="M2723" s="20" t="s">
        <v>28381</v>
      </c>
      <c r="N2723" s="129" t="s">
        <v>28382</v>
      </c>
      <c r="O2723" s="22">
        <v>5.0</v>
      </c>
      <c r="P2723" s="28">
        <v>0.0</v>
      </c>
      <c r="Q2723" s="28">
        <v>36.0</v>
      </c>
      <c r="R2723" s="30"/>
      <c r="S2723" s="30"/>
      <c r="T2723" s="30"/>
      <c r="U2723" s="30"/>
      <c r="V2723" s="30"/>
      <c r="W2723" s="30"/>
      <c r="X2723" s="30"/>
      <c r="Y2723" s="30"/>
      <c r="Z2723" s="30"/>
      <c r="AA2723" s="30"/>
    </row>
    <row r="2724" ht="15.75" customHeight="1">
      <c r="A2724" s="30" t="s">
        <v>120</v>
      </c>
      <c r="B2724" s="126" t="s">
        <v>26845</v>
      </c>
      <c r="C2724" s="16" t="s">
        <v>28383</v>
      </c>
      <c r="D2724" s="16" t="s">
        <v>28384</v>
      </c>
      <c r="E2724" s="142" t="s">
        <v>28385</v>
      </c>
      <c r="F2724" s="143">
        <v>25.0</v>
      </c>
      <c r="G2724" s="143">
        <v>32.0</v>
      </c>
      <c r="H2724" s="16" t="s">
        <v>28</v>
      </c>
      <c r="I2724" s="19" t="s">
        <v>28388</v>
      </c>
      <c r="J2724" s="19" t="s">
        <v>28390</v>
      </c>
      <c r="K2724" s="19" t="s">
        <v>28391</v>
      </c>
      <c r="L2724" s="19" t="s">
        <v>28392</v>
      </c>
      <c r="M2724" s="20" t="s">
        <v>28393</v>
      </c>
      <c r="N2724" s="129" t="s">
        <v>28394</v>
      </c>
      <c r="O2724" s="22">
        <v>4.0</v>
      </c>
      <c r="P2724" s="28">
        <v>0.0</v>
      </c>
      <c r="Q2724" s="28">
        <v>40.0</v>
      </c>
      <c r="R2724" s="30"/>
      <c r="S2724" s="30"/>
      <c r="T2724" s="30"/>
      <c r="U2724" s="30"/>
      <c r="V2724" s="30"/>
      <c r="W2724" s="30"/>
      <c r="X2724" s="30"/>
      <c r="Y2724" s="30"/>
      <c r="Z2724" s="30"/>
      <c r="AA2724" s="30"/>
    </row>
    <row r="2725" ht="15.75" customHeight="1">
      <c r="A2725" s="30" t="s">
        <v>120</v>
      </c>
      <c r="B2725" s="126" t="s">
        <v>26845</v>
      </c>
      <c r="C2725" s="16" t="s">
        <v>28447</v>
      </c>
      <c r="D2725" s="16" t="s">
        <v>28448</v>
      </c>
      <c r="E2725" s="142" t="s">
        <v>28449</v>
      </c>
      <c r="F2725" s="143">
        <v>33.0</v>
      </c>
      <c r="G2725" s="143">
        <v>40.0</v>
      </c>
      <c r="H2725" s="16" t="s">
        <v>28</v>
      </c>
      <c r="I2725" s="19" t="s">
        <v>28456</v>
      </c>
      <c r="J2725" s="19" t="s">
        <v>28457</v>
      </c>
      <c r="K2725" s="19" t="s">
        <v>28457</v>
      </c>
      <c r="L2725" s="19" t="s">
        <v>28458</v>
      </c>
      <c r="M2725" s="20" t="s">
        <v>19321</v>
      </c>
      <c r="N2725" s="27"/>
      <c r="O2725" s="22">
        <v>6.0</v>
      </c>
      <c r="P2725" s="28">
        <v>4.0</v>
      </c>
      <c r="Q2725" s="28">
        <v>51.0</v>
      </c>
      <c r="R2725" s="30"/>
      <c r="S2725" s="30"/>
      <c r="T2725" s="30"/>
      <c r="U2725" s="30"/>
      <c r="V2725" s="30"/>
      <c r="W2725" s="30"/>
      <c r="X2725" s="30"/>
      <c r="Y2725" s="30"/>
      <c r="Z2725" s="30"/>
      <c r="AA2725" s="30"/>
    </row>
    <row r="2726" ht="15.75" customHeight="1">
      <c r="A2726" s="30" t="s">
        <v>120</v>
      </c>
      <c r="B2726" s="126" t="s">
        <v>26845</v>
      </c>
      <c r="C2726" s="16" t="s">
        <v>28459</v>
      </c>
      <c r="D2726" s="16" t="s">
        <v>28460</v>
      </c>
      <c r="E2726" s="142" t="s">
        <v>28461</v>
      </c>
      <c r="F2726" s="143">
        <v>41.0</v>
      </c>
      <c r="G2726" s="143">
        <v>48.0</v>
      </c>
      <c r="H2726" s="16" t="s">
        <v>28</v>
      </c>
      <c r="I2726" s="19" t="s">
        <v>28465</v>
      </c>
      <c r="J2726" s="19" t="s">
        <v>28466</v>
      </c>
      <c r="K2726" s="19" t="s">
        <v>28467</v>
      </c>
      <c r="L2726" s="19" t="s">
        <v>28468</v>
      </c>
      <c r="M2726" s="20" t="s">
        <v>28470</v>
      </c>
      <c r="N2726" s="27"/>
      <c r="O2726" s="22">
        <v>5.0</v>
      </c>
      <c r="P2726" s="28">
        <v>2.0</v>
      </c>
      <c r="Q2726" s="28">
        <v>23.0</v>
      </c>
      <c r="R2726" s="30"/>
      <c r="S2726" s="30"/>
      <c r="T2726" s="30"/>
      <c r="U2726" s="30"/>
      <c r="V2726" s="30"/>
      <c r="W2726" s="30"/>
      <c r="X2726" s="30"/>
      <c r="Y2726" s="30"/>
      <c r="Z2726" s="30"/>
      <c r="AA2726" s="30"/>
    </row>
    <row r="2727" ht="15.75" customHeight="1">
      <c r="A2727" s="30" t="s">
        <v>120</v>
      </c>
      <c r="B2727" s="126" t="s">
        <v>26845</v>
      </c>
      <c r="C2727" s="16" t="s">
        <v>28471</v>
      </c>
      <c r="D2727" s="16" t="s">
        <v>28472</v>
      </c>
      <c r="E2727" s="142" t="s">
        <v>28473</v>
      </c>
      <c r="F2727" s="143">
        <v>49.0</v>
      </c>
      <c r="G2727" s="143">
        <v>56.0</v>
      </c>
      <c r="H2727" s="16" t="s">
        <v>28</v>
      </c>
      <c r="I2727" s="19" t="s">
        <v>28479</v>
      </c>
      <c r="J2727" s="19" t="s">
        <v>28480</v>
      </c>
      <c r="K2727" s="19" t="s">
        <v>28480</v>
      </c>
      <c r="L2727" s="19" t="s">
        <v>28481</v>
      </c>
      <c r="M2727" s="20" t="s">
        <v>28482</v>
      </c>
      <c r="N2727" s="129" t="s">
        <v>28483</v>
      </c>
      <c r="O2727" s="22">
        <v>9.0</v>
      </c>
      <c r="P2727" s="28">
        <v>0.0</v>
      </c>
      <c r="Q2727" s="28">
        <v>21.0</v>
      </c>
      <c r="R2727" s="30"/>
      <c r="S2727" s="30"/>
      <c r="T2727" s="30"/>
      <c r="U2727" s="30"/>
      <c r="V2727" s="30"/>
      <c r="W2727" s="30"/>
      <c r="X2727" s="30"/>
      <c r="Y2727" s="30"/>
      <c r="Z2727" s="30"/>
      <c r="AA2727" s="30"/>
    </row>
    <row r="2728" ht="15.75" customHeight="1">
      <c r="A2728" s="30" t="s">
        <v>120</v>
      </c>
      <c r="B2728" s="126" t="s">
        <v>26845</v>
      </c>
      <c r="C2728" s="16" t="s">
        <v>28485</v>
      </c>
      <c r="D2728" s="16" t="s">
        <v>28486</v>
      </c>
      <c r="E2728" s="142" t="s">
        <v>28487</v>
      </c>
      <c r="F2728" s="143">
        <v>57.0</v>
      </c>
      <c r="G2728" s="143">
        <v>64.0</v>
      </c>
      <c r="H2728" s="16" t="s">
        <v>28</v>
      </c>
      <c r="I2728" s="19" t="s">
        <v>28491</v>
      </c>
      <c r="J2728" s="19" t="s">
        <v>28492</v>
      </c>
      <c r="K2728" s="19" t="s">
        <v>28492</v>
      </c>
      <c r="L2728" s="19" t="s">
        <v>28494</v>
      </c>
      <c r="M2728" s="20" t="s">
        <v>28496</v>
      </c>
      <c r="N2728" s="129" t="s">
        <v>28497</v>
      </c>
      <c r="O2728" s="22">
        <v>6.0</v>
      </c>
      <c r="P2728" s="28">
        <v>5.0</v>
      </c>
      <c r="Q2728" s="28">
        <v>24.0</v>
      </c>
      <c r="R2728" s="30"/>
      <c r="S2728" s="30"/>
      <c r="T2728" s="30"/>
      <c r="U2728" s="30"/>
      <c r="V2728" s="30"/>
      <c r="W2728" s="30"/>
      <c r="X2728" s="30"/>
      <c r="Y2728" s="30"/>
      <c r="Z2728" s="30"/>
      <c r="AA2728" s="30"/>
    </row>
    <row r="2729" ht="15.75" customHeight="1">
      <c r="A2729" s="30" t="s">
        <v>120</v>
      </c>
      <c r="B2729" s="126" t="s">
        <v>26845</v>
      </c>
      <c r="C2729" s="16" t="s">
        <v>28499</v>
      </c>
      <c r="D2729" s="16" t="s">
        <v>28500</v>
      </c>
      <c r="E2729" s="142" t="s">
        <v>28501</v>
      </c>
      <c r="F2729" s="143">
        <v>65.0</v>
      </c>
      <c r="G2729" s="143">
        <v>72.0</v>
      </c>
      <c r="H2729" s="16" t="s">
        <v>28</v>
      </c>
      <c r="I2729" s="19" t="s">
        <v>28507</v>
      </c>
      <c r="J2729" s="19" t="s">
        <v>28508</v>
      </c>
      <c r="K2729" s="19" t="s">
        <v>28509</v>
      </c>
      <c r="L2729" s="19" t="s">
        <v>28510</v>
      </c>
      <c r="M2729" s="20" t="s">
        <v>28511</v>
      </c>
      <c r="N2729" s="27"/>
      <c r="O2729" s="22">
        <v>7.0</v>
      </c>
      <c r="P2729" s="28">
        <v>1.0</v>
      </c>
      <c r="Q2729" s="28">
        <v>31.0</v>
      </c>
      <c r="R2729" s="30"/>
      <c r="S2729" s="30"/>
      <c r="T2729" s="30"/>
      <c r="U2729" s="30"/>
      <c r="V2729" s="30"/>
      <c r="W2729" s="30"/>
      <c r="X2729" s="30"/>
      <c r="Y2729" s="30"/>
      <c r="Z2729" s="30"/>
      <c r="AA2729" s="30"/>
    </row>
    <row r="2730" ht="15.75" customHeight="1">
      <c r="A2730" s="30" t="s">
        <v>120</v>
      </c>
      <c r="B2730" s="126" t="s">
        <v>26845</v>
      </c>
      <c r="C2730" s="30" t="s">
        <v>28512</v>
      </c>
      <c r="D2730" s="30" t="s">
        <v>28513</v>
      </c>
      <c r="E2730" s="127" t="s">
        <v>28514</v>
      </c>
      <c r="F2730" s="143">
        <v>73.0</v>
      </c>
      <c r="G2730" s="128">
        <v>80.0</v>
      </c>
      <c r="H2730" s="16" t="s">
        <v>28</v>
      </c>
      <c r="I2730" s="19" t="s">
        <v>28519</v>
      </c>
      <c r="J2730" s="19" t="s">
        <v>28520</v>
      </c>
      <c r="K2730" s="19" t="s">
        <v>28520</v>
      </c>
      <c r="L2730" s="19" t="s">
        <v>28521</v>
      </c>
      <c r="M2730" s="20" t="s">
        <v>28522</v>
      </c>
      <c r="N2730" s="129" t="s">
        <v>28523</v>
      </c>
      <c r="O2730" s="22">
        <v>1.0</v>
      </c>
      <c r="P2730" s="28">
        <v>0.0</v>
      </c>
      <c r="Q2730" s="28">
        <v>24.0</v>
      </c>
      <c r="R2730" s="30"/>
      <c r="S2730" s="30"/>
      <c r="T2730" s="30"/>
      <c r="U2730" s="30"/>
      <c r="V2730" s="30"/>
      <c r="W2730" s="30"/>
      <c r="X2730" s="30"/>
      <c r="Y2730" s="30"/>
      <c r="Z2730" s="30"/>
      <c r="AA2730" s="30"/>
    </row>
    <row r="2731" ht="15.75" customHeight="1">
      <c r="A2731" s="30" t="s">
        <v>120</v>
      </c>
      <c r="B2731" s="126" t="s">
        <v>26845</v>
      </c>
      <c r="C2731" s="30" t="s">
        <v>28526</v>
      </c>
      <c r="D2731" s="30" t="s">
        <v>28527</v>
      </c>
      <c r="E2731" s="127" t="s">
        <v>28528</v>
      </c>
      <c r="F2731" s="128">
        <v>81.0</v>
      </c>
      <c r="G2731" s="128">
        <v>88.0</v>
      </c>
      <c r="H2731" s="16" t="s">
        <v>28</v>
      </c>
      <c r="I2731" s="19" t="s">
        <v>28533</v>
      </c>
      <c r="J2731" s="19" t="s">
        <v>28534</v>
      </c>
      <c r="K2731" s="19" t="s">
        <v>28534</v>
      </c>
      <c r="L2731" s="19" t="s">
        <v>28535</v>
      </c>
      <c r="M2731" s="20" t="s">
        <v>28536</v>
      </c>
      <c r="N2731" s="129" t="s">
        <v>28537</v>
      </c>
      <c r="O2731" s="22">
        <v>16.0</v>
      </c>
      <c r="P2731" s="28">
        <v>9.0</v>
      </c>
      <c r="Q2731" s="28">
        <v>43.0</v>
      </c>
      <c r="R2731" s="30"/>
      <c r="S2731" s="30"/>
      <c r="T2731" s="30"/>
      <c r="U2731" s="30"/>
      <c r="V2731" s="30"/>
      <c r="W2731" s="30"/>
      <c r="X2731" s="30"/>
      <c r="Y2731" s="30"/>
      <c r="Z2731" s="30"/>
      <c r="AA2731" s="30"/>
    </row>
    <row r="2732" ht="15.75" customHeight="1">
      <c r="A2732" s="30" t="s">
        <v>120</v>
      </c>
      <c r="B2732" s="126" t="s">
        <v>26845</v>
      </c>
      <c r="C2732" s="30" t="s">
        <v>28538</v>
      </c>
      <c r="D2732" s="30" t="s">
        <v>28540</v>
      </c>
      <c r="E2732" s="127" t="s">
        <v>28541</v>
      </c>
      <c r="F2732" s="128">
        <v>89.0</v>
      </c>
      <c r="G2732" s="128">
        <v>96.0</v>
      </c>
      <c r="H2732" s="16" t="s">
        <v>28</v>
      </c>
      <c r="I2732" s="19" t="s">
        <v>28548</v>
      </c>
      <c r="J2732" s="19" t="s">
        <v>28549</v>
      </c>
      <c r="K2732" s="19" t="s">
        <v>28550</v>
      </c>
      <c r="L2732" s="19" t="s">
        <v>28551</v>
      </c>
      <c r="M2732" s="20" t="s">
        <v>28552</v>
      </c>
      <c r="N2732" s="129" t="s">
        <v>28553</v>
      </c>
      <c r="O2732" s="22">
        <v>0.0</v>
      </c>
      <c r="P2732" s="28">
        <v>2.0</v>
      </c>
      <c r="Q2732" s="28">
        <v>20.0</v>
      </c>
      <c r="R2732" s="30"/>
      <c r="S2732" s="30"/>
      <c r="T2732" s="30"/>
      <c r="U2732" s="30"/>
      <c r="V2732" s="30"/>
      <c r="W2732" s="30"/>
      <c r="X2732" s="30"/>
      <c r="Y2732" s="30"/>
      <c r="Z2732" s="30"/>
      <c r="AA2732" s="30"/>
    </row>
    <row r="2733" ht="15.75" customHeight="1">
      <c r="A2733" s="30" t="s">
        <v>120</v>
      </c>
      <c r="B2733" s="126" t="s">
        <v>26845</v>
      </c>
      <c r="C2733" s="30" t="s">
        <v>28556</v>
      </c>
      <c r="D2733" s="30" t="s">
        <v>28557</v>
      </c>
      <c r="E2733" s="127" t="s">
        <v>28559</v>
      </c>
      <c r="F2733" s="128">
        <v>97.0</v>
      </c>
      <c r="G2733" s="128">
        <v>104.0</v>
      </c>
      <c r="H2733" s="16" t="s">
        <v>28</v>
      </c>
      <c r="I2733" s="19" t="s">
        <v>28562</v>
      </c>
      <c r="J2733" s="19" t="s">
        <v>28563</v>
      </c>
      <c r="K2733" s="19" t="s">
        <v>28565</v>
      </c>
      <c r="L2733" s="19" t="s">
        <v>28567</v>
      </c>
      <c r="M2733" s="20" t="s">
        <v>28568</v>
      </c>
      <c r="N2733" s="27"/>
      <c r="O2733" s="22">
        <v>50.0</v>
      </c>
      <c r="P2733" s="28">
        <v>7.0</v>
      </c>
      <c r="Q2733" s="28">
        <v>39.0</v>
      </c>
      <c r="R2733" s="30"/>
      <c r="S2733" s="30"/>
      <c r="T2733" s="30"/>
      <c r="U2733" s="30"/>
      <c r="V2733" s="30"/>
      <c r="W2733" s="30"/>
      <c r="X2733" s="30"/>
      <c r="Y2733" s="30"/>
      <c r="Z2733" s="30"/>
      <c r="AA2733" s="30"/>
    </row>
    <row r="2734" ht="15.75" customHeight="1">
      <c r="A2734" s="30" t="s">
        <v>120</v>
      </c>
      <c r="B2734" s="126" t="s">
        <v>26845</v>
      </c>
      <c r="C2734" s="30" t="s">
        <v>28569</v>
      </c>
      <c r="D2734" s="30" t="s">
        <v>28570</v>
      </c>
      <c r="E2734" s="146" t="s">
        <v>28571</v>
      </c>
      <c r="F2734" s="128">
        <v>105.0</v>
      </c>
      <c r="G2734" s="128">
        <v>112.0</v>
      </c>
      <c r="H2734" s="16" t="s">
        <v>28</v>
      </c>
      <c r="I2734" s="19" t="s">
        <v>28586</v>
      </c>
      <c r="J2734" s="19" t="s">
        <v>28587</v>
      </c>
      <c r="K2734" s="19" t="s">
        <v>28588</v>
      </c>
      <c r="L2734" s="19" t="s">
        <v>28589</v>
      </c>
      <c r="M2734" s="20" t="s">
        <v>21675</v>
      </c>
      <c r="N2734" s="27"/>
      <c r="O2734" s="22">
        <v>31.0</v>
      </c>
      <c r="P2734" s="28">
        <v>10.0</v>
      </c>
      <c r="Q2734" s="28">
        <v>37.0</v>
      </c>
      <c r="R2734" s="30"/>
      <c r="S2734" s="30"/>
      <c r="T2734" s="30"/>
      <c r="U2734" s="30"/>
      <c r="V2734" s="30"/>
      <c r="W2734" s="30"/>
      <c r="X2734" s="30"/>
      <c r="Y2734" s="30"/>
      <c r="Z2734" s="30"/>
      <c r="AA2734" s="30"/>
    </row>
    <row r="2735" ht="15.75" customHeight="1">
      <c r="A2735" s="30" t="s">
        <v>120</v>
      </c>
      <c r="B2735" s="126" t="s">
        <v>26845</v>
      </c>
      <c r="C2735" s="30" t="s">
        <v>28590</v>
      </c>
      <c r="D2735" s="54" t="s">
        <v>28591</v>
      </c>
      <c r="E2735" s="127" t="s">
        <v>28592</v>
      </c>
      <c r="F2735" s="128">
        <v>187.0</v>
      </c>
      <c r="G2735" s="128">
        <v>188.0</v>
      </c>
      <c r="H2735" s="16" t="s">
        <v>21</v>
      </c>
      <c r="I2735" s="19" t="s">
        <v>28598</v>
      </c>
      <c r="J2735" s="19" t="s">
        <v>28599</v>
      </c>
      <c r="K2735" s="19" t="s">
        <v>28600</v>
      </c>
      <c r="L2735" s="19" t="s">
        <v>28601</v>
      </c>
      <c r="M2735" s="20"/>
      <c r="N2735" s="27"/>
      <c r="O2735" s="22">
        <v>0.0</v>
      </c>
      <c r="P2735" s="28">
        <v>0.0</v>
      </c>
      <c r="Q2735" s="28">
        <v>6.0</v>
      </c>
      <c r="R2735" s="30"/>
      <c r="S2735" s="30"/>
      <c r="T2735" s="30"/>
      <c r="U2735" s="30"/>
      <c r="V2735" s="30"/>
      <c r="W2735" s="30"/>
      <c r="X2735" s="30"/>
      <c r="Y2735" s="30"/>
      <c r="Z2735" s="30"/>
      <c r="AA2735" s="30"/>
    </row>
    <row r="2736" ht="15.75" customHeight="1">
      <c r="A2736" s="30" t="s">
        <v>120</v>
      </c>
      <c r="B2736" s="126" t="s">
        <v>26845</v>
      </c>
      <c r="C2736" s="30" t="s">
        <v>28604</v>
      </c>
      <c r="D2736" s="30" t="s">
        <v>28605</v>
      </c>
      <c r="E2736" s="127" t="s">
        <v>28607</v>
      </c>
      <c r="F2736" s="128">
        <v>189.0</v>
      </c>
      <c r="G2736" s="128">
        <v>190.0</v>
      </c>
      <c r="H2736" s="16" t="s">
        <v>21</v>
      </c>
      <c r="I2736" s="19" t="s">
        <v>28613</v>
      </c>
      <c r="J2736" s="19" t="s">
        <v>28614</v>
      </c>
      <c r="K2736" s="19" t="s">
        <v>28615</v>
      </c>
      <c r="L2736" s="19" t="s">
        <v>28616</v>
      </c>
      <c r="M2736" s="20"/>
      <c r="N2736" s="27"/>
      <c r="O2736" s="22">
        <v>2.0</v>
      </c>
      <c r="P2736" s="28">
        <v>1.0</v>
      </c>
      <c r="Q2736" s="28">
        <v>11.0</v>
      </c>
      <c r="R2736" s="30"/>
      <c r="S2736" s="30"/>
      <c r="T2736" s="30"/>
      <c r="U2736" s="30"/>
      <c r="V2736" s="30"/>
      <c r="W2736" s="30"/>
      <c r="X2736" s="30"/>
      <c r="Y2736" s="30"/>
      <c r="Z2736" s="30"/>
      <c r="AA2736" s="30"/>
    </row>
    <row r="2737" ht="15.75" customHeight="1">
      <c r="A2737" s="30" t="s">
        <v>120</v>
      </c>
      <c r="B2737" s="126" t="s">
        <v>26845</v>
      </c>
      <c r="C2737" s="30" t="s">
        <v>28619</v>
      </c>
      <c r="D2737" s="30" t="s">
        <v>28620</v>
      </c>
      <c r="E2737" s="127" t="s">
        <v>28621</v>
      </c>
      <c r="F2737" s="128">
        <v>191.0</v>
      </c>
      <c r="G2737" s="128">
        <v>192.0</v>
      </c>
      <c r="H2737" s="16" t="s">
        <v>21</v>
      </c>
      <c r="I2737" s="19" t="s">
        <v>28622</v>
      </c>
      <c r="J2737" s="19" t="s">
        <v>28623</v>
      </c>
      <c r="K2737" s="19" t="s">
        <v>28623</v>
      </c>
      <c r="L2737" s="19" t="s">
        <v>28624</v>
      </c>
      <c r="M2737" s="20"/>
      <c r="N2737" s="27"/>
      <c r="O2737" s="22">
        <v>1.0</v>
      </c>
      <c r="P2737" s="28">
        <v>0.0</v>
      </c>
      <c r="Q2737" s="28">
        <v>3.0</v>
      </c>
      <c r="R2737" s="30"/>
      <c r="S2737" s="30"/>
      <c r="T2737" s="30"/>
      <c r="U2737" s="30"/>
      <c r="V2737" s="30"/>
      <c r="W2737" s="30"/>
      <c r="X2737" s="30"/>
      <c r="Y2737" s="30"/>
      <c r="Z2737" s="30"/>
      <c r="AA2737" s="30"/>
    </row>
    <row r="2738" ht="15.75" customHeight="1">
      <c r="A2738" s="30" t="s">
        <v>120</v>
      </c>
      <c r="B2738" s="126" t="s">
        <v>26845</v>
      </c>
      <c r="C2738" s="30" t="s">
        <v>28625</v>
      </c>
      <c r="D2738" s="30" t="s">
        <v>28626</v>
      </c>
      <c r="E2738" s="127" t="s">
        <v>28627</v>
      </c>
      <c r="F2738" s="128">
        <v>193.0</v>
      </c>
      <c r="G2738" s="128">
        <v>194.0</v>
      </c>
      <c r="H2738" s="16" t="s">
        <v>21</v>
      </c>
      <c r="I2738" s="19" t="s">
        <v>28628</v>
      </c>
      <c r="J2738" s="19" t="s">
        <v>28629</v>
      </c>
      <c r="K2738" s="19" t="s">
        <v>28629</v>
      </c>
      <c r="L2738" s="19" t="s">
        <v>28630</v>
      </c>
      <c r="M2738" s="20"/>
      <c r="N2738" s="27"/>
      <c r="O2738" s="22">
        <v>0.0</v>
      </c>
      <c r="P2738" s="28">
        <v>1.0</v>
      </c>
      <c r="Q2738" s="28">
        <v>2.0</v>
      </c>
      <c r="R2738" s="30"/>
      <c r="S2738" s="30"/>
      <c r="T2738" s="30"/>
      <c r="U2738" s="30"/>
      <c r="V2738" s="30"/>
      <c r="W2738" s="30"/>
      <c r="X2738" s="30"/>
      <c r="Y2738" s="30"/>
      <c r="Z2738" s="30"/>
      <c r="AA2738" s="30"/>
    </row>
    <row r="2739" ht="15.75" customHeight="1">
      <c r="A2739" s="30" t="s">
        <v>120</v>
      </c>
      <c r="B2739" s="126" t="s">
        <v>26845</v>
      </c>
      <c r="C2739" s="30" t="s">
        <v>28631</v>
      </c>
      <c r="D2739" s="30" t="s">
        <v>28632</v>
      </c>
      <c r="E2739" s="127" t="s">
        <v>28633</v>
      </c>
      <c r="F2739" s="128">
        <v>195.0</v>
      </c>
      <c r="G2739" s="128">
        <v>196.0</v>
      </c>
      <c r="H2739" s="16" t="s">
        <v>21</v>
      </c>
      <c r="I2739" s="19" t="s">
        <v>28634</v>
      </c>
      <c r="J2739" s="19" t="s">
        <v>28635</v>
      </c>
      <c r="K2739" s="19" t="s">
        <v>28636</v>
      </c>
      <c r="L2739" s="19" t="s">
        <v>28637</v>
      </c>
      <c r="M2739" s="20"/>
      <c r="N2739" s="27"/>
      <c r="O2739" s="22">
        <v>0.0</v>
      </c>
      <c r="P2739" s="28">
        <v>0.0</v>
      </c>
      <c r="Q2739" s="28">
        <v>6.0</v>
      </c>
      <c r="R2739" s="30"/>
      <c r="S2739" s="30"/>
      <c r="T2739" s="30"/>
      <c r="U2739" s="30"/>
      <c r="V2739" s="30"/>
      <c r="W2739" s="30"/>
      <c r="X2739" s="30"/>
      <c r="Y2739" s="30"/>
      <c r="Z2739" s="30"/>
      <c r="AA2739" s="30"/>
    </row>
    <row r="2740" ht="15.75" customHeight="1">
      <c r="A2740" s="30" t="s">
        <v>120</v>
      </c>
      <c r="B2740" s="126" t="s">
        <v>26845</v>
      </c>
      <c r="C2740" s="30" t="s">
        <v>28638</v>
      </c>
      <c r="D2740" s="30" t="s">
        <v>28639</v>
      </c>
      <c r="E2740" s="127" t="s">
        <v>28640</v>
      </c>
      <c r="F2740" s="128">
        <v>197.0</v>
      </c>
      <c r="G2740" s="128">
        <v>198.0</v>
      </c>
      <c r="H2740" s="16" t="s">
        <v>21</v>
      </c>
      <c r="I2740" s="19" t="s">
        <v>28642</v>
      </c>
      <c r="J2740" s="19" t="s">
        <v>28643</v>
      </c>
      <c r="K2740" s="19" t="s">
        <v>28644</v>
      </c>
      <c r="L2740" s="19" t="s">
        <v>28645</v>
      </c>
      <c r="M2740" s="20"/>
      <c r="N2740" s="27"/>
      <c r="O2740" s="22">
        <v>0.0</v>
      </c>
      <c r="P2740" s="28">
        <v>0.0</v>
      </c>
      <c r="Q2740" s="28">
        <v>5.0</v>
      </c>
      <c r="R2740" s="30"/>
      <c r="S2740" s="30"/>
      <c r="T2740" s="30"/>
      <c r="U2740" s="30"/>
      <c r="V2740" s="30"/>
      <c r="W2740" s="30"/>
      <c r="X2740" s="30"/>
      <c r="Y2740" s="30"/>
      <c r="Z2740" s="30"/>
      <c r="AA2740" s="30"/>
    </row>
    <row r="2741" ht="15.75" customHeight="1">
      <c r="A2741" s="30" t="s">
        <v>120</v>
      </c>
      <c r="B2741" s="126" t="s">
        <v>26845</v>
      </c>
      <c r="C2741" s="30" t="s">
        <v>28646</v>
      </c>
      <c r="D2741" s="30" t="s">
        <v>28647</v>
      </c>
      <c r="E2741" s="127" t="s">
        <v>28648</v>
      </c>
      <c r="F2741" s="128">
        <v>199.0</v>
      </c>
      <c r="G2741" s="128">
        <v>200.0</v>
      </c>
      <c r="H2741" s="16" t="s">
        <v>21</v>
      </c>
      <c r="I2741" s="19" t="s">
        <v>28651</v>
      </c>
      <c r="J2741" s="19" t="s">
        <v>28652</v>
      </c>
      <c r="K2741" s="19" t="s">
        <v>28652</v>
      </c>
      <c r="L2741" s="19" t="s">
        <v>28653</v>
      </c>
      <c r="M2741" s="20"/>
      <c r="N2741" s="27"/>
      <c r="O2741" s="22">
        <v>0.0</v>
      </c>
      <c r="P2741" s="28">
        <v>0.0</v>
      </c>
      <c r="Q2741" s="28">
        <v>4.0</v>
      </c>
      <c r="R2741" s="30"/>
      <c r="S2741" s="30"/>
      <c r="T2741" s="30"/>
      <c r="U2741" s="30"/>
      <c r="V2741" s="30"/>
      <c r="W2741" s="30"/>
      <c r="X2741" s="30"/>
      <c r="Y2741" s="30"/>
      <c r="Z2741" s="30"/>
      <c r="AA2741" s="30"/>
    </row>
    <row r="2742" ht="15.75" customHeight="1">
      <c r="A2742" s="30" t="s">
        <v>120</v>
      </c>
      <c r="B2742" s="126" t="s">
        <v>26845</v>
      </c>
      <c r="C2742" s="30" t="s">
        <v>28654</v>
      </c>
      <c r="D2742" s="30" t="s">
        <v>28655</v>
      </c>
      <c r="E2742" s="127" t="s">
        <v>28656</v>
      </c>
      <c r="F2742" s="128">
        <v>201.0</v>
      </c>
      <c r="G2742" s="128">
        <v>202.0</v>
      </c>
      <c r="H2742" s="16" t="s">
        <v>21</v>
      </c>
      <c r="I2742" s="19" t="s">
        <v>28659</v>
      </c>
      <c r="J2742" s="19" t="s">
        <v>28660</v>
      </c>
      <c r="K2742" s="19" t="s">
        <v>28660</v>
      </c>
      <c r="L2742" s="19" t="s">
        <v>28661</v>
      </c>
      <c r="M2742" s="20"/>
      <c r="N2742" s="27"/>
      <c r="O2742" s="22">
        <v>2.0</v>
      </c>
      <c r="P2742" s="28">
        <v>1.0</v>
      </c>
      <c r="Q2742" s="28">
        <v>7.0</v>
      </c>
      <c r="R2742" s="30"/>
      <c r="S2742" s="30"/>
      <c r="T2742" s="30"/>
      <c r="U2742" s="30"/>
      <c r="V2742" s="30"/>
      <c r="W2742" s="30"/>
      <c r="X2742" s="30"/>
      <c r="Y2742" s="30"/>
      <c r="Z2742" s="30"/>
      <c r="AA2742" s="30"/>
    </row>
    <row r="2743" ht="15.75" customHeight="1">
      <c r="A2743" s="30" t="s">
        <v>120</v>
      </c>
      <c r="B2743" s="126" t="s">
        <v>26845</v>
      </c>
      <c r="C2743" s="30" t="s">
        <v>28663</v>
      </c>
      <c r="D2743" s="30" t="s">
        <v>28664</v>
      </c>
      <c r="E2743" s="127" t="s">
        <v>28665</v>
      </c>
      <c r="F2743" s="128">
        <v>203.0</v>
      </c>
      <c r="G2743" s="128">
        <v>204.0</v>
      </c>
      <c r="H2743" s="16" t="s">
        <v>21</v>
      </c>
      <c r="I2743" s="19" t="s">
        <v>28667</v>
      </c>
      <c r="J2743" s="19" t="s">
        <v>28668</v>
      </c>
      <c r="K2743" s="19" t="s">
        <v>28668</v>
      </c>
      <c r="L2743" s="19" t="s">
        <v>28669</v>
      </c>
      <c r="M2743" s="20"/>
      <c r="N2743" s="27"/>
      <c r="O2743" s="22">
        <v>3.0</v>
      </c>
      <c r="P2743" s="28">
        <v>0.0</v>
      </c>
      <c r="Q2743" s="28">
        <v>8.0</v>
      </c>
      <c r="R2743" s="30"/>
      <c r="S2743" s="30"/>
      <c r="T2743" s="30"/>
      <c r="U2743" s="30"/>
      <c r="V2743" s="30"/>
      <c r="W2743" s="30"/>
      <c r="X2743" s="30"/>
      <c r="Y2743" s="30"/>
      <c r="Z2743" s="30"/>
      <c r="AA2743" s="30"/>
    </row>
    <row r="2744" ht="15.75" customHeight="1">
      <c r="A2744" s="30" t="s">
        <v>120</v>
      </c>
      <c r="B2744" s="126" t="s">
        <v>26845</v>
      </c>
      <c r="C2744" s="30" t="s">
        <v>28671</v>
      </c>
      <c r="D2744" s="30" t="s">
        <v>28672</v>
      </c>
      <c r="E2744" s="127" t="s">
        <v>28673</v>
      </c>
      <c r="F2744" s="128">
        <v>205.0</v>
      </c>
      <c r="G2744" s="128">
        <v>206.0</v>
      </c>
      <c r="H2744" s="16" t="s">
        <v>21</v>
      </c>
      <c r="I2744" s="19" t="s">
        <v>28674</v>
      </c>
      <c r="J2744" s="19" t="s">
        <v>28675</v>
      </c>
      <c r="K2744" s="19" t="s">
        <v>28675</v>
      </c>
      <c r="L2744" s="19" t="s">
        <v>28676</v>
      </c>
      <c r="M2744" s="20"/>
      <c r="N2744" s="27"/>
      <c r="O2744" s="22">
        <v>0.0</v>
      </c>
      <c r="P2744" s="28">
        <v>0.0</v>
      </c>
      <c r="Q2744" s="28">
        <v>6.0</v>
      </c>
      <c r="R2744" s="30"/>
      <c r="S2744" s="30"/>
      <c r="T2744" s="30"/>
      <c r="U2744" s="30"/>
      <c r="V2744" s="30"/>
      <c r="W2744" s="30"/>
      <c r="X2744" s="30"/>
      <c r="Y2744" s="30"/>
      <c r="Z2744" s="30"/>
      <c r="AA2744" s="30"/>
    </row>
    <row r="2745" ht="15.75" customHeight="1">
      <c r="A2745" s="30" t="s">
        <v>120</v>
      </c>
      <c r="B2745" s="126" t="s">
        <v>26845</v>
      </c>
      <c r="C2745" s="30" t="s">
        <v>28677</v>
      </c>
      <c r="D2745" s="30" t="s">
        <v>28678</v>
      </c>
      <c r="E2745" s="127" t="s">
        <v>28679</v>
      </c>
      <c r="F2745" s="128">
        <v>207.0</v>
      </c>
      <c r="G2745" s="128">
        <v>208.0</v>
      </c>
      <c r="H2745" s="16" t="s">
        <v>21</v>
      </c>
      <c r="I2745" s="19" t="s">
        <v>28684</v>
      </c>
      <c r="J2745" s="19" t="s">
        <v>28685</v>
      </c>
      <c r="K2745" s="19" t="s">
        <v>28686</v>
      </c>
      <c r="L2745" s="19" t="s">
        <v>28687</v>
      </c>
      <c r="M2745" s="20"/>
      <c r="N2745" s="27"/>
      <c r="O2745" s="22">
        <v>0.0</v>
      </c>
      <c r="P2745" s="28">
        <v>0.0</v>
      </c>
      <c r="Q2745" s="28">
        <v>6.0</v>
      </c>
      <c r="R2745" s="30"/>
      <c r="S2745" s="30"/>
      <c r="T2745" s="30"/>
      <c r="U2745" s="30"/>
      <c r="V2745" s="30"/>
      <c r="W2745" s="30"/>
      <c r="X2745" s="30"/>
      <c r="Y2745" s="30"/>
      <c r="Z2745" s="30"/>
      <c r="AA2745" s="30"/>
    </row>
    <row r="2746" ht="15.75" customHeight="1">
      <c r="A2746" s="30" t="s">
        <v>120</v>
      </c>
      <c r="B2746" s="126" t="s">
        <v>26845</v>
      </c>
      <c r="C2746" s="30" t="s">
        <v>28688</v>
      </c>
      <c r="D2746" s="30" t="s">
        <v>28689</v>
      </c>
      <c r="E2746" s="127" t="s">
        <v>28690</v>
      </c>
      <c r="F2746" s="128">
        <v>209.0</v>
      </c>
      <c r="G2746" s="128">
        <v>210.0</v>
      </c>
      <c r="H2746" s="16" t="s">
        <v>21</v>
      </c>
      <c r="I2746" s="19" t="s">
        <v>28693</v>
      </c>
      <c r="J2746" s="19" t="s">
        <v>28694</v>
      </c>
      <c r="K2746" s="19" t="s">
        <v>28697</v>
      </c>
      <c r="L2746" s="19" t="s">
        <v>28699</v>
      </c>
      <c r="M2746" s="20"/>
      <c r="N2746" s="27"/>
      <c r="O2746" s="22">
        <v>6.0</v>
      </c>
      <c r="P2746" s="28">
        <v>5.0</v>
      </c>
      <c r="Q2746" s="28">
        <v>7.0</v>
      </c>
      <c r="R2746" s="30"/>
      <c r="S2746" s="30"/>
      <c r="T2746" s="30"/>
      <c r="U2746" s="30"/>
      <c r="V2746" s="30"/>
      <c r="W2746" s="30"/>
      <c r="X2746" s="30"/>
      <c r="Y2746" s="30"/>
      <c r="Z2746" s="30"/>
      <c r="AA2746" s="30"/>
    </row>
    <row r="2747" ht="15.75" customHeight="1">
      <c r="A2747" s="30" t="s">
        <v>120</v>
      </c>
      <c r="B2747" s="126" t="s">
        <v>26845</v>
      </c>
      <c r="C2747" s="30" t="s">
        <v>28700</v>
      </c>
      <c r="D2747" s="30" t="s">
        <v>28701</v>
      </c>
      <c r="E2747" s="127" t="s">
        <v>28702</v>
      </c>
      <c r="F2747" s="128">
        <v>211.0</v>
      </c>
      <c r="G2747" s="128">
        <v>212.0</v>
      </c>
      <c r="H2747" s="16" t="s">
        <v>21</v>
      </c>
      <c r="I2747" s="19" t="s">
        <v>28708</v>
      </c>
      <c r="J2747" s="19" t="s">
        <v>28709</v>
      </c>
      <c r="K2747" s="19" t="s">
        <v>28710</v>
      </c>
      <c r="L2747" s="19" t="s">
        <v>28711</v>
      </c>
      <c r="M2747" s="20"/>
      <c r="N2747" s="27"/>
      <c r="O2747" s="22">
        <v>0.0</v>
      </c>
      <c r="P2747" s="28">
        <v>0.0</v>
      </c>
      <c r="Q2747" s="28">
        <v>6.0</v>
      </c>
      <c r="R2747" s="30"/>
      <c r="S2747" s="30"/>
      <c r="T2747" s="30"/>
      <c r="U2747" s="30"/>
      <c r="V2747" s="30"/>
      <c r="W2747" s="30"/>
      <c r="X2747" s="30"/>
      <c r="Y2747" s="30"/>
      <c r="Z2747" s="30"/>
      <c r="AA2747" s="30"/>
    </row>
    <row r="2748" ht="15.75" customHeight="1">
      <c r="A2748" s="30" t="s">
        <v>120</v>
      </c>
      <c r="B2748" s="126" t="s">
        <v>26845</v>
      </c>
      <c r="C2748" s="30" t="s">
        <v>28712</v>
      </c>
      <c r="D2748" s="30" t="s">
        <v>28713</v>
      </c>
      <c r="E2748" s="127" t="s">
        <v>28714</v>
      </c>
      <c r="F2748" s="128">
        <v>213.0</v>
      </c>
      <c r="G2748" s="128">
        <v>214.0</v>
      </c>
      <c r="H2748" s="16" t="s">
        <v>21</v>
      </c>
      <c r="I2748" s="19" t="s">
        <v>28719</v>
      </c>
      <c r="J2748" s="19" t="s">
        <v>28720</v>
      </c>
      <c r="K2748" s="19" t="s">
        <v>28720</v>
      </c>
      <c r="L2748" s="19" t="s">
        <v>28721</v>
      </c>
      <c r="M2748" s="20"/>
      <c r="N2748" s="27"/>
      <c r="O2748" s="22">
        <v>0.0</v>
      </c>
      <c r="P2748" s="28">
        <v>1.0</v>
      </c>
      <c r="Q2748" s="28">
        <v>5.0</v>
      </c>
      <c r="R2748" s="30"/>
      <c r="S2748" s="30"/>
      <c r="T2748" s="30"/>
      <c r="U2748" s="30"/>
      <c r="V2748" s="30"/>
      <c r="W2748" s="30"/>
      <c r="X2748" s="30"/>
      <c r="Y2748" s="30"/>
      <c r="Z2748" s="30"/>
      <c r="AA2748" s="30"/>
    </row>
    <row r="2749" ht="15.75" customHeight="1">
      <c r="A2749" s="30" t="s">
        <v>120</v>
      </c>
      <c r="B2749" s="126" t="s">
        <v>26845</v>
      </c>
      <c r="C2749" s="30" t="s">
        <v>28722</v>
      </c>
      <c r="D2749" s="30" t="s">
        <v>28723</v>
      </c>
      <c r="E2749" s="127" t="s">
        <v>28725</v>
      </c>
      <c r="F2749" s="128">
        <v>215.0</v>
      </c>
      <c r="G2749" s="128">
        <v>216.0</v>
      </c>
      <c r="H2749" s="16" t="s">
        <v>21</v>
      </c>
      <c r="I2749" s="19" t="s">
        <v>28731</v>
      </c>
      <c r="J2749" s="19" t="s">
        <v>28732</v>
      </c>
      <c r="K2749" s="19" t="s">
        <v>28732</v>
      </c>
      <c r="L2749" s="19" t="s">
        <v>28733</v>
      </c>
      <c r="M2749" s="20"/>
      <c r="N2749" s="27"/>
      <c r="O2749" s="22">
        <v>0.0</v>
      </c>
      <c r="P2749" s="28">
        <v>0.0</v>
      </c>
      <c r="Q2749" s="28">
        <v>10.0</v>
      </c>
      <c r="R2749" s="30"/>
      <c r="S2749" s="30"/>
      <c r="T2749" s="30"/>
      <c r="U2749" s="30"/>
      <c r="V2749" s="30"/>
      <c r="W2749" s="30"/>
      <c r="X2749" s="30"/>
      <c r="Y2749" s="30"/>
      <c r="Z2749" s="30"/>
      <c r="AA2749" s="30"/>
    </row>
    <row r="2750" ht="15.75" customHeight="1">
      <c r="A2750" s="30" t="s">
        <v>120</v>
      </c>
      <c r="B2750" s="126" t="s">
        <v>26845</v>
      </c>
      <c r="C2750" s="30" t="s">
        <v>28734</v>
      </c>
      <c r="D2750" s="30" t="s">
        <v>28735</v>
      </c>
      <c r="E2750" s="127" t="s">
        <v>28736</v>
      </c>
      <c r="F2750" s="128">
        <v>217.0</v>
      </c>
      <c r="G2750" s="128">
        <v>218.0</v>
      </c>
      <c r="H2750" s="16" t="s">
        <v>21</v>
      </c>
      <c r="I2750" s="19" t="s">
        <v>28742</v>
      </c>
      <c r="J2750" s="19" t="s">
        <v>28743</v>
      </c>
      <c r="K2750" s="19" t="s">
        <v>28744</v>
      </c>
      <c r="L2750" s="19" t="s">
        <v>28745</v>
      </c>
      <c r="M2750" s="20"/>
      <c r="N2750" s="27"/>
      <c r="O2750" s="22">
        <v>1.0</v>
      </c>
      <c r="P2750" s="28">
        <v>1.0</v>
      </c>
      <c r="Q2750" s="28">
        <v>5.0</v>
      </c>
      <c r="R2750" s="30"/>
      <c r="S2750" s="30"/>
      <c r="T2750" s="30"/>
      <c r="U2750" s="30"/>
      <c r="V2750" s="30"/>
      <c r="W2750" s="30"/>
      <c r="X2750" s="30"/>
      <c r="Y2750" s="30"/>
      <c r="Z2750" s="30"/>
      <c r="AA2750" s="30"/>
    </row>
    <row r="2751" ht="15.75" customHeight="1">
      <c r="A2751" s="30" t="s">
        <v>120</v>
      </c>
      <c r="B2751" s="126" t="s">
        <v>26845</v>
      </c>
      <c r="C2751" s="30" t="s">
        <v>28746</v>
      </c>
      <c r="D2751" s="30" t="s">
        <v>28747</v>
      </c>
      <c r="E2751" s="127" t="s">
        <v>28748</v>
      </c>
      <c r="F2751" s="128">
        <v>219.0</v>
      </c>
      <c r="G2751" s="128">
        <v>220.0</v>
      </c>
      <c r="H2751" s="16" t="s">
        <v>21</v>
      </c>
      <c r="I2751" s="19" t="s">
        <v>28753</v>
      </c>
      <c r="J2751" s="19" t="s">
        <v>28754</v>
      </c>
      <c r="K2751" s="19" t="s">
        <v>28755</v>
      </c>
      <c r="L2751" s="19" t="s">
        <v>28756</v>
      </c>
      <c r="M2751" s="20"/>
      <c r="N2751" s="27"/>
      <c r="O2751" s="22">
        <v>0.0</v>
      </c>
      <c r="P2751" s="28">
        <v>0.0</v>
      </c>
      <c r="Q2751" s="28">
        <v>10.0</v>
      </c>
      <c r="R2751" s="30"/>
      <c r="S2751" s="30"/>
      <c r="T2751" s="30"/>
      <c r="U2751" s="30"/>
      <c r="V2751" s="30"/>
      <c r="W2751" s="30"/>
      <c r="X2751" s="30"/>
      <c r="Y2751" s="30"/>
      <c r="Z2751" s="30"/>
      <c r="AA2751" s="30"/>
    </row>
    <row r="2752" ht="15.75" customHeight="1">
      <c r="A2752" s="30" t="s">
        <v>120</v>
      </c>
      <c r="B2752" s="126" t="s">
        <v>26845</v>
      </c>
      <c r="C2752" s="30" t="s">
        <v>28757</v>
      </c>
      <c r="D2752" s="30" t="s">
        <v>28758</v>
      </c>
      <c r="E2752" s="127" t="s">
        <v>28759</v>
      </c>
      <c r="F2752" s="128">
        <v>221.0</v>
      </c>
      <c r="G2752" s="128">
        <v>222.0</v>
      </c>
      <c r="H2752" s="16" t="s">
        <v>21</v>
      </c>
      <c r="I2752" s="19" t="s">
        <v>28760</v>
      </c>
      <c r="J2752" s="19" t="s">
        <v>28761</v>
      </c>
      <c r="K2752" s="19" t="s">
        <v>28762</v>
      </c>
      <c r="L2752" s="19" t="s">
        <v>28763</v>
      </c>
      <c r="M2752" s="20"/>
      <c r="N2752" s="27"/>
      <c r="O2752" s="22">
        <v>0.0</v>
      </c>
      <c r="P2752" s="28">
        <v>0.0</v>
      </c>
      <c r="Q2752" s="28">
        <v>4.0</v>
      </c>
      <c r="R2752" s="30"/>
      <c r="S2752" s="30"/>
      <c r="T2752" s="30"/>
      <c r="U2752" s="30"/>
      <c r="V2752" s="30"/>
      <c r="W2752" s="30"/>
      <c r="X2752" s="30"/>
      <c r="Y2752" s="30"/>
      <c r="Z2752" s="30"/>
      <c r="AA2752" s="30"/>
    </row>
    <row r="2753" ht="15.75" customHeight="1">
      <c r="A2753" s="30" t="s">
        <v>120</v>
      </c>
      <c r="B2753" s="126" t="s">
        <v>26845</v>
      </c>
      <c r="C2753" s="30" t="s">
        <v>28764</v>
      </c>
      <c r="D2753" s="30" t="s">
        <v>28765</v>
      </c>
      <c r="E2753" s="127" t="s">
        <v>28766</v>
      </c>
      <c r="F2753" s="128">
        <v>223.0</v>
      </c>
      <c r="G2753" s="128">
        <v>224.0</v>
      </c>
      <c r="H2753" s="16" t="s">
        <v>21</v>
      </c>
      <c r="I2753" s="19" t="s">
        <v>28767</v>
      </c>
      <c r="J2753" s="19" t="s">
        <v>28768</v>
      </c>
      <c r="K2753" s="19" t="s">
        <v>28769</v>
      </c>
      <c r="L2753" s="19" t="s">
        <v>28770</v>
      </c>
      <c r="M2753" s="20"/>
      <c r="N2753" s="27"/>
      <c r="O2753" s="22">
        <v>2.0</v>
      </c>
      <c r="P2753" s="28">
        <v>0.0</v>
      </c>
      <c r="Q2753" s="28">
        <v>4.0</v>
      </c>
      <c r="R2753" s="30"/>
      <c r="S2753" s="30"/>
      <c r="T2753" s="30"/>
      <c r="U2753" s="30"/>
      <c r="V2753" s="30"/>
      <c r="W2753" s="30"/>
      <c r="X2753" s="30"/>
      <c r="Y2753" s="30"/>
      <c r="Z2753" s="30"/>
      <c r="AA2753" s="30"/>
    </row>
    <row r="2754" ht="15.75" customHeight="1">
      <c r="A2754" s="130" t="s">
        <v>2137</v>
      </c>
      <c r="B2754" s="147" t="s">
        <v>28771</v>
      </c>
      <c r="C2754" s="130" t="s">
        <v>28772</v>
      </c>
      <c r="D2754" s="130" t="s">
        <v>28773</v>
      </c>
      <c r="E2754" s="131" t="s">
        <v>28774</v>
      </c>
      <c r="F2754" s="132">
        <v>361.0</v>
      </c>
      <c r="G2754" s="132">
        <v>370.0</v>
      </c>
      <c r="H2754" s="130" t="s">
        <v>17059</v>
      </c>
      <c r="I2754" s="19" t="s">
        <v>28782</v>
      </c>
      <c r="J2754" s="19" t="s">
        <v>28784</v>
      </c>
      <c r="K2754" s="19" t="s">
        <v>28784</v>
      </c>
      <c r="L2754" s="19" t="s">
        <v>28785</v>
      </c>
      <c r="M2754" s="20" t="s">
        <v>28786</v>
      </c>
      <c r="N2754" s="20" t="s">
        <v>28787</v>
      </c>
      <c r="O2754" s="22">
        <v>6.0</v>
      </c>
      <c r="P2754" s="28">
        <v>6.0</v>
      </c>
      <c r="Q2754" s="28">
        <v>47.0</v>
      </c>
      <c r="R2754" s="84"/>
      <c r="S2754" s="84"/>
      <c r="T2754" s="84"/>
      <c r="U2754" s="84"/>
      <c r="V2754" s="84"/>
      <c r="W2754" s="84"/>
      <c r="X2754" s="84"/>
      <c r="Y2754" s="84"/>
      <c r="Z2754" s="84"/>
      <c r="AA2754" s="84"/>
    </row>
    <row r="2755" ht="15.75" customHeight="1">
      <c r="A2755" s="130" t="s">
        <v>2137</v>
      </c>
      <c r="B2755" s="147" t="s">
        <v>28771</v>
      </c>
      <c r="C2755" s="130" t="s">
        <v>28789</v>
      </c>
      <c r="D2755" s="130" t="s">
        <v>28790</v>
      </c>
      <c r="E2755" s="131" t="s">
        <v>28791</v>
      </c>
      <c r="F2755" s="132">
        <v>451.0</v>
      </c>
      <c r="G2755" s="132">
        <v>460.0</v>
      </c>
      <c r="H2755" s="130" t="s">
        <v>17059</v>
      </c>
      <c r="I2755" s="19" t="s">
        <v>28794</v>
      </c>
      <c r="J2755" s="19" t="s">
        <v>28795</v>
      </c>
      <c r="K2755" s="19" t="s">
        <v>28795</v>
      </c>
      <c r="L2755" s="19" t="s">
        <v>28796</v>
      </c>
      <c r="M2755" s="20" t="s">
        <v>28797</v>
      </c>
      <c r="N2755" s="20" t="s">
        <v>28798</v>
      </c>
      <c r="O2755" s="22">
        <v>7.0</v>
      </c>
      <c r="P2755" s="28">
        <v>5.0</v>
      </c>
      <c r="Q2755" s="28">
        <v>33.0</v>
      </c>
      <c r="R2755" s="84"/>
      <c r="S2755" s="84"/>
      <c r="T2755" s="84"/>
      <c r="U2755" s="84"/>
      <c r="V2755" s="84"/>
      <c r="W2755" s="84"/>
      <c r="X2755" s="84"/>
      <c r="Y2755" s="84"/>
      <c r="Z2755" s="84"/>
      <c r="AA2755" s="84"/>
    </row>
    <row r="2756" ht="15.75" customHeight="1">
      <c r="A2756" s="130" t="s">
        <v>2137</v>
      </c>
      <c r="B2756" s="147" t="s">
        <v>28771</v>
      </c>
      <c r="C2756" s="130" t="s">
        <v>28801</v>
      </c>
      <c r="D2756" s="130" t="s">
        <v>28802</v>
      </c>
      <c r="E2756" s="131" t="s">
        <v>28804</v>
      </c>
      <c r="F2756" s="132">
        <v>571.0</v>
      </c>
      <c r="G2756" s="132">
        <v>580.0</v>
      </c>
      <c r="H2756" s="130" t="s">
        <v>17059</v>
      </c>
      <c r="I2756" s="19" t="s">
        <v>28807</v>
      </c>
      <c r="J2756" s="19" t="s">
        <v>28808</v>
      </c>
      <c r="K2756" s="19" t="s">
        <v>28808</v>
      </c>
      <c r="L2756" s="19" t="s">
        <v>28809</v>
      </c>
      <c r="M2756" s="20" t="s">
        <v>28810</v>
      </c>
      <c r="N2756" s="20" t="s">
        <v>28811</v>
      </c>
      <c r="O2756" s="22">
        <v>3.0</v>
      </c>
      <c r="P2756" s="28">
        <v>3.0</v>
      </c>
      <c r="Q2756" s="28">
        <v>37.0</v>
      </c>
      <c r="R2756" s="84"/>
      <c r="S2756" s="84"/>
      <c r="T2756" s="84"/>
      <c r="U2756" s="84"/>
      <c r="V2756" s="84"/>
      <c r="W2756" s="84"/>
      <c r="X2756" s="84"/>
      <c r="Y2756" s="84"/>
      <c r="Z2756" s="84"/>
      <c r="AA2756" s="84"/>
    </row>
    <row r="2757" ht="15.75" customHeight="1">
      <c r="A2757" s="130" t="s">
        <v>2137</v>
      </c>
      <c r="B2757" s="147" t="s">
        <v>28771</v>
      </c>
      <c r="C2757" s="130" t="s">
        <v>28812</v>
      </c>
      <c r="D2757" s="130" t="s">
        <v>28813</v>
      </c>
      <c r="E2757" s="131" t="s">
        <v>28814</v>
      </c>
      <c r="F2757" s="132">
        <v>371.0</v>
      </c>
      <c r="G2757" s="132">
        <v>380.0</v>
      </c>
      <c r="H2757" s="130" t="s">
        <v>17059</v>
      </c>
      <c r="I2757" s="19" t="s">
        <v>28819</v>
      </c>
      <c r="J2757" s="19" t="s">
        <v>28820</v>
      </c>
      <c r="K2757" s="19" t="s">
        <v>28820</v>
      </c>
      <c r="L2757" s="19" t="s">
        <v>28821</v>
      </c>
      <c r="M2757" s="20" t="s">
        <v>28823</v>
      </c>
      <c r="N2757" s="20" t="s">
        <v>28825</v>
      </c>
      <c r="O2757" s="22">
        <v>4.0</v>
      </c>
      <c r="P2757" s="28">
        <v>4.0</v>
      </c>
      <c r="Q2757" s="28">
        <v>52.0</v>
      </c>
      <c r="R2757" s="84"/>
      <c r="S2757" s="84"/>
      <c r="T2757" s="84"/>
      <c r="U2757" s="84"/>
      <c r="V2757" s="84"/>
      <c r="W2757" s="84"/>
      <c r="X2757" s="84"/>
      <c r="Y2757" s="84"/>
      <c r="Z2757" s="84"/>
      <c r="AA2757" s="84"/>
    </row>
    <row r="2758" ht="15.75" customHeight="1">
      <c r="A2758" s="130" t="s">
        <v>2137</v>
      </c>
      <c r="B2758" s="147" t="s">
        <v>28771</v>
      </c>
      <c r="C2758" s="130" t="s">
        <v>28827</v>
      </c>
      <c r="D2758" s="130" t="s">
        <v>28828</v>
      </c>
      <c r="E2758" s="131" t="s">
        <v>28829</v>
      </c>
      <c r="F2758" s="132">
        <v>381.0</v>
      </c>
      <c r="G2758" s="132">
        <v>390.0</v>
      </c>
      <c r="H2758" s="130" t="s">
        <v>17059</v>
      </c>
      <c r="I2758" s="19" t="s">
        <v>28831</v>
      </c>
      <c r="J2758" s="19" t="s">
        <v>28833</v>
      </c>
      <c r="K2758" s="19" t="s">
        <v>28833</v>
      </c>
      <c r="L2758" s="19" t="s">
        <v>28835</v>
      </c>
      <c r="M2758" s="20" t="s">
        <v>28836</v>
      </c>
      <c r="N2758" s="20" t="s">
        <v>28838</v>
      </c>
      <c r="O2758" s="22">
        <v>8.0</v>
      </c>
      <c r="P2758" s="28">
        <v>5.0</v>
      </c>
      <c r="Q2758" s="28">
        <v>41.0</v>
      </c>
      <c r="R2758" s="84"/>
      <c r="S2758" s="84"/>
      <c r="T2758" s="84"/>
      <c r="U2758" s="84"/>
      <c r="V2758" s="84"/>
      <c r="W2758" s="84"/>
      <c r="X2758" s="84"/>
      <c r="Y2758" s="84"/>
      <c r="Z2758" s="84"/>
      <c r="AA2758" s="84"/>
    </row>
    <row r="2759" ht="15.75" customHeight="1">
      <c r="A2759" s="130" t="s">
        <v>2137</v>
      </c>
      <c r="B2759" s="147" t="s">
        <v>28771</v>
      </c>
      <c r="C2759" s="130" t="s">
        <v>28839</v>
      </c>
      <c r="D2759" s="130" t="s">
        <v>28840</v>
      </c>
      <c r="E2759" s="131" t="s">
        <v>28841</v>
      </c>
      <c r="F2759" s="132">
        <v>581.0</v>
      </c>
      <c r="G2759" s="132">
        <v>590.0</v>
      </c>
      <c r="H2759" s="130" t="s">
        <v>17059</v>
      </c>
      <c r="I2759" s="19" t="s">
        <v>28842</v>
      </c>
      <c r="J2759" s="19" t="s">
        <v>28844</v>
      </c>
      <c r="K2759" s="19" t="s">
        <v>28844</v>
      </c>
      <c r="L2759" s="19" t="s">
        <v>28845</v>
      </c>
      <c r="M2759" s="20" t="s">
        <v>28846</v>
      </c>
      <c r="N2759" s="20" t="s">
        <v>28848</v>
      </c>
      <c r="O2759" s="22">
        <v>5.0</v>
      </c>
      <c r="P2759" s="28">
        <v>5.0</v>
      </c>
      <c r="Q2759" s="28">
        <v>54.0</v>
      </c>
      <c r="R2759" s="84"/>
      <c r="S2759" s="84"/>
      <c r="T2759" s="84"/>
      <c r="U2759" s="84"/>
      <c r="V2759" s="84"/>
      <c r="W2759" s="84"/>
      <c r="X2759" s="84"/>
      <c r="Y2759" s="84"/>
      <c r="Z2759" s="84"/>
      <c r="AA2759" s="84"/>
    </row>
    <row r="2760" ht="15.75" customHeight="1">
      <c r="A2760" s="130" t="s">
        <v>2137</v>
      </c>
      <c r="B2760" s="147" t="s">
        <v>28771</v>
      </c>
      <c r="C2760" s="130" t="s">
        <v>28849</v>
      </c>
      <c r="D2760" s="130" t="s">
        <v>28850</v>
      </c>
      <c r="E2760" s="131" t="s">
        <v>28851</v>
      </c>
      <c r="F2760" s="132">
        <v>591.0</v>
      </c>
      <c r="G2760" s="132">
        <v>600.0</v>
      </c>
      <c r="H2760" s="130" t="s">
        <v>17059</v>
      </c>
      <c r="I2760" s="19" t="s">
        <v>28854</v>
      </c>
      <c r="J2760" s="19" t="s">
        <v>28855</v>
      </c>
      <c r="K2760" s="19" t="s">
        <v>28855</v>
      </c>
      <c r="L2760" s="19" t="s">
        <v>28856</v>
      </c>
      <c r="M2760" s="20" t="s">
        <v>28857</v>
      </c>
      <c r="N2760" s="20" t="s">
        <v>28858</v>
      </c>
      <c r="O2760" s="22">
        <v>0.0</v>
      </c>
      <c r="P2760" s="28">
        <v>0.0</v>
      </c>
      <c r="Q2760" s="28">
        <v>48.0</v>
      </c>
      <c r="R2760" s="84"/>
      <c r="S2760" s="84"/>
      <c r="T2760" s="84"/>
      <c r="U2760" s="84"/>
      <c r="V2760" s="84"/>
      <c r="W2760" s="84"/>
      <c r="X2760" s="84"/>
      <c r="Y2760" s="84"/>
      <c r="Z2760" s="84"/>
      <c r="AA2760" s="84"/>
    </row>
    <row r="2761" ht="15.75" customHeight="1">
      <c r="A2761" s="130" t="s">
        <v>2137</v>
      </c>
      <c r="B2761" s="147" t="s">
        <v>28771</v>
      </c>
      <c r="C2761" s="130" t="s">
        <v>28859</v>
      </c>
      <c r="D2761" s="130" t="s">
        <v>28860</v>
      </c>
      <c r="E2761" s="131" t="s">
        <v>28861</v>
      </c>
      <c r="F2761" s="132">
        <v>601.0</v>
      </c>
      <c r="G2761" s="132">
        <v>610.0</v>
      </c>
      <c r="H2761" s="130" t="s">
        <v>17059</v>
      </c>
      <c r="I2761" s="19" t="s">
        <v>28867</v>
      </c>
      <c r="J2761" s="19" t="s">
        <v>28868</v>
      </c>
      <c r="K2761" s="19" t="s">
        <v>28868</v>
      </c>
      <c r="L2761" s="19" t="s">
        <v>28869</v>
      </c>
      <c r="M2761" s="20" t="s">
        <v>28870</v>
      </c>
      <c r="N2761" s="20" t="s">
        <v>28871</v>
      </c>
      <c r="O2761" s="22">
        <v>1.0</v>
      </c>
      <c r="P2761" s="28">
        <v>3.0</v>
      </c>
      <c r="Q2761" s="28">
        <v>54.0</v>
      </c>
      <c r="R2761" s="84"/>
      <c r="S2761" s="84"/>
      <c r="T2761" s="84"/>
      <c r="U2761" s="84"/>
      <c r="V2761" s="84"/>
      <c r="W2761" s="84"/>
      <c r="X2761" s="84"/>
      <c r="Y2761" s="84"/>
      <c r="Z2761" s="84"/>
      <c r="AA2761" s="84"/>
    </row>
    <row r="2762" ht="15.75" customHeight="1">
      <c r="A2762" s="130" t="s">
        <v>2137</v>
      </c>
      <c r="B2762" s="147" t="s">
        <v>28771</v>
      </c>
      <c r="C2762" s="130" t="s">
        <v>28872</v>
      </c>
      <c r="D2762" s="130" t="s">
        <v>28873</v>
      </c>
      <c r="E2762" s="131" t="s">
        <v>28875</v>
      </c>
      <c r="F2762" s="132">
        <v>611.0</v>
      </c>
      <c r="G2762" s="132">
        <v>620.0</v>
      </c>
      <c r="H2762" s="130" t="s">
        <v>17059</v>
      </c>
      <c r="I2762" s="19" t="s">
        <v>28879</v>
      </c>
      <c r="J2762" s="19" t="s">
        <v>28881</v>
      </c>
      <c r="K2762" s="19" t="s">
        <v>28881</v>
      </c>
      <c r="L2762" s="19" t="s">
        <v>28882</v>
      </c>
      <c r="M2762" s="20" t="s">
        <v>28883</v>
      </c>
      <c r="N2762" s="20" t="s">
        <v>28885</v>
      </c>
      <c r="O2762" s="22">
        <v>15.0</v>
      </c>
      <c r="P2762" s="28">
        <v>13.0</v>
      </c>
      <c r="Q2762" s="28">
        <v>41.0</v>
      </c>
      <c r="R2762" s="84"/>
      <c r="S2762" s="84"/>
      <c r="T2762" s="84"/>
      <c r="U2762" s="84"/>
      <c r="V2762" s="84"/>
      <c r="W2762" s="84"/>
      <c r="X2762" s="84"/>
      <c r="Y2762" s="84"/>
      <c r="Z2762" s="84"/>
      <c r="AA2762" s="84"/>
    </row>
    <row r="2763" ht="15.75" customHeight="1">
      <c r="A2763" s="130" t="s">
        <v>2137</v>
      </c>
      <c r="B2763" s="147" t="s">
        <v>28771</v>
      </c>
      <c r="C2763" s="130" t="s">
        <v>28886</v>
      </c>
      <c r="D2763" s="130" t="s">
        <v>28887</v>
      </c>
      <c r="E2763" s="131" t="s">
        <v>28888</v>
      </c>
      <c r="F2763" s="132">
        <v>621.0</v>
      </c>
      <c r="G2763" s="132">
        <v>630.0</v>
      </c>
      <c r="H2763" s="130" t="s">
        <v>17059</v>
      </c>
      <c r="I2763" s="19" t="s">
        <v>28891</v>
      </c>
      <c r="J2763" s="19" t="s">
        <v>28892</v>
      </c>
      <c r="K2763" s="19" t="s">
        <v>28893</v>
      </c>
      <c r="L2763" s="19" t="s">
        <v>28894</v>
      </c>
      <c r="M2763" s="20" t="s">
        <v>28895</v>
      </c>
      <c r="N2763" s="20" t="s">
        <v>28896</v>
      </c>
      <c r="O2763" s="22">
        <v>10.0</v>
      </c>
      <c r="P2763" s="28">
        <v>11.0</v>
      </c>
      <c r="Q2763" s="28">
        <v>46.0</v>
      </c>
      <c r="R2763" s="84"/>
      <c r="S2763" s="84"/>
      <c r="T2763" s="84"/>
      <c r="U2763" s="84"/>
      <c r="V2763" s="84"/>
      <c r="W2763" s="84"/>
      <c r="X2763" s="84"/>
      <c r="Y2763" s="84"/>
      <c r="Z2763" s="84"/>
      <c r="AA2763" s="84"/>
    </row>
    <row r="2764" ht="15.75" customHeight="1">
      <c r="A2764" s="130" t="s">
        <v>2137</v>
      </c>
      <c r="B2764" s="147" t="s">
        <v>28771</v>
      </c>
      <c r="C2764" s="130" t="s">
        <v>28900</v>
      </c>
      <c r="D2764" s="130" t="s">
        <v>28901</v>
      </c>
      <c r="E2764" s="131" t="s">
        <v>28902</v>
      </c>
      <c r="F2764" s="132">
        <v>631.0</v>
      </c>
      <c r="G2764" s="132">
        <v>640.0</v>
      </c>
      <c r="H2764" s="130" t="s">
        <v>17059</v>
      </c>
      <c r="I2764" s="19" t="s">
        <v>28906</v>
      </c>
      <c r="J2764" s="19" t="s">
        <v>28907</v>
      </c>
      <c r="K2764" s="19" t="s">
        <v>28907</v>
      </c>
      <c r="L2764" s="19" t="s">
        <v>28908</v>
      </c>
      <c r="M2764" s="20" t="s">
        <v>28909</v>
      </c>
      <c r="N2764" s="20" t="s">
        <v>28910</v>
      </c>
      <c r="O2764" s="22">
        <v>4.0</v>
      </c>
      <c r="P2764" s="28">
        <v>6.0</v>
      </c>
      <c r="Q2764" s="28">
        <v>33.0</v>
      </c>
      <c r="R2764" s="84"/>
      <c r="S2764" s="84"/>
      <c r="T2764" s="84"/>
      <c r="U2764" s="84"/>
      <c r="V2764" s="84"/>
      <c r="W2764" s="84"/>
      <c r="X2764" s="84"/>
      <c r="Y2764" s="84"/>
      <c r="Z2764" s="84"/>
      <c r="AA2764" s="84"/>
    </row>
    <row r="2765" ht="15.75" customHeight="1">
      <c r="A2765" s="130" t="s">
        <v>2137</v>
      </c>
      <c r="B2765" s="147" t="s">
        <v>28771</v>
      </c>
      <c r="C2765" s="130" t="s">
        <v>28911</v>
      </c>
      <c r="D2765" s="130" t="s">
        <v>28912</v>
      </c>
      <c r="E2765" s="131" t="s">
        <v>28913</v>
      </c>
      <c r="F2765" s="132">
        <v>641.0</v>
      </c>
      <c r="G2765" s="132">
        <v>650.0</v>
      </c>
      <c r="H2765" s="130" t="s">
        <v>17059</v>
      </c>
      <c r="I2765" s="19" t="s">
        <v>28916</v>
      </c>
      <c r="J2765" s="19" t="s">
        <v>28917</v>
      </c>
      <c r="K2765" s="19" t="s">
        <v>28917</v>
      </c>
      <c r="L2765" s="19" t="s">
        <v>28919</v>
      </c>
      <c r="M2765" s="20" t="s">
        <v>28921</v>
      </c>
      <c r="N2765" s="20" t="s">
        <v>28922</v>
      </c>
      <c r="O2765" s="22">
        <v>1.0</v>
      </c>
      <c r="P2765" s="28">
        <v>8.0</v>
      </c>
      <c r="Q2765" s="28">
        <v>49.0</v>
      </c>
      <c r="R2765" s="84"/>
      <c r="S2765" s="84"/>
      <c r="T2765" s="84"/>
      <c r="U2765" s="84"/>
      <c r="V2765" s="84"/>
      <c r="W2765" s="84"/>
      <c r="X2765" s="84"/>
      <c r="Y2765" s="84"/>
      <c r="Z2765" s="84"/>
      <c r="AA2765" s="84"/>
    </row>
    <row r="2766" ht="15.75" customHeight="1">
      <c r="A2766" s="130" t="s">
        <v>2137</v>
      </c>
      <c r="B2766" s="147" t="s">
        <v>28771</v>
      </c>
      <c r="C2766" s="130" t="s">
        <v>28924</v>
      </c>
      <c r="D2766" s="130" t="s">
        <v>28925</v>
      </c>
      <c r="E2766" s="131" t="s">
        <v>28926</v>
      </c>
      <c r="F2766" s="132">
        <v>471.0</v>
      </c>
      <c r="G2766" s="132">
        <v>480.0</v>
      </c>
      <c r="H2766" s="130" t="s">
        <v>17059</v>
      </c>
      <c r="I2766" s="19" t="s">
        <v>28930</v>
      </c>
      <c r="J2766" s="19" t="s">
        <v>28931</v>
      </c>
      <c r="K2766" s="19" t="s">
        <v>28931</v>
      </c>
      <c r="L2766" s="19" t="s">
        <v>28932</v>
      </c>
      <c r="M2766" s="20" t="s">
        <v>28933</v>
      </c>
      <c r="N2766" s="20" t="s">
        <v>28934</v>
      </c>
      <c r="O2766" s="22">
        <v>17.0</v>
      </c>
      <c r="P2766" s="28">
        <v>15.0</v>
      </c>
      <c r="Q2766" s="28">
        <v>61.0</v>
      </c>
      <c r="R2766" s="85" t="s">
        <v>19037</v>
      </c>
      <c r="S2766" s="84"/>
      <c r="T2766" s="84"/>
      <c r="U2766" s="84"/>
      <c r="V2766" s="84"/>
      <c r="W2766" s="84"/>
      <c r="X2766" s="84"/>
      <c r="Y2766" s="84"/>
      <c r="Z2766" s="84"/>
      <c r="AA2766" s="84"/>
    </row>
    <row r="2767" ht="15.75" customHeight="1">
      <c r="A2767" s="130" t="s">
        <v>2137</v>
      </c>
      <c r="B2767" s="147" t="s">
        <v>28771</v>
      </c>
      <c r="C2767" s="130" t="s">
        <v>28935</v>
      </c>
      <c r="D2767" s="130" t="s">
        <v>28936</v>
      </c>
      <c r="E2767" s="131" t="s">
        <v>28937</v>
      </c>
      <c r="F2767" s="132">
        <v>461.0</v>
      </c>
      <c r="G2767" s="132">
        <v>470.0</v>
      </c>
      <c r="H2767" s="130" t="s">
        <v>17059</v>
      </c>
      <c r="I2767" s="19" t="s">
        <v>28941</v>
      </c>
      <c r="J2767" s="19" t="s">
        <v>28942</v>
      </c>
      <c r="K2767" s="19" t="s">
        <v>28942</v>
      </c>
      <c r="L2767" s="19" t="s">
        <v>28943</v>
      </c>
      <c r="M2767" s="20" t="s">
        <v>28944</v>
      </c>
      <c r="N2767" s="20" t="s">
        <v>28945</v>
      </c>
      <c r="O2767" s="22">
        <v>23.0</v>
      </c>
      <c r="P2767" s="28">
        <v>9.0</v>
      </c>
      <c r="Q2767" s="28">
        <v>54.0</v>
      </c>
      <c r="R2767" s="84"/>
      <c r="S2767" s="84"/>
      <c r="T2767" s="84"/>
      <c r="U2767" s="84"/>
      <c r="V2767" s="84"/>
      <c r="W2767" s="84"/>
      <c r="X2767" s="84"/>
      <c r="Y2767" s="84"/>
      <c r="Z2767" s="84"/>
      <c r="AA2767" s="84"/>
    </row>
    <row r="2768" ht="15.75" customHeight="1">
      <c r="A2768" s="130" t="s">
        <v>2137</v>
      </c>
      <c r="B2768" s="147" t="s">
        <v>28771</v>
      </c>
      <c r="C2768" s="130" t="s">
        <v>28946</v>
      </c>
      <c r="D2768" s="130" t="s">
        <v>28947</v>
      </c>
      <c r="E2768" s="131" t="s">
        <v>28948</v>
      </c>
      <c r="F2768" s="132">
        <v>481.0</v>
      </c>
      <c r="G2768" s="132">
        <v>490.0</v>
      </c>
      <c r="H2768" s="130" t="s">
        <v>17059</v>
      </c>
      <c r="I2768" s="19" t="s">
        <v>28952</v>
      </c>
      <c r="J2768" s="19" t="s">
        <v>28953</v>
      </c>
      <c r="K2768" s="19" t="s">
        <v>28954</v>
      </c>
      <c r="L2768" s="19" t="s">
        <v>28955</v>
      </c>
      <c r="M2768" s="20" t="s">
        <v>28956</v>
      </c>
      <c r="N2768" s="20" t="s">
        <v>28957</v>
      </c>
      <c r="O2768" s="22">
        <v>10.0</v>
      </c>
      <c r="P2768" s="28">
        <v>9.0</v>
      </c>
      <c r="Q2768" s="28">
        <v>32.0</v>
      </c>
      <c r="R2768" s="84"/>
      <c r="S2768" s="84"/>
      <c r="T2768" s="84"/>
      <c r="U2768" s="84"/>
      <c r="V2768" s="84"/>
      <c r="W2768" s="84"/>
      <c r="X2768" s="84"/>
      <c r="Y2768" s="84"/>
      <c r="Z2768" s="84"/>
      <c r="AA2768" s="84"/>
    </row>
    <row r="2769" ht="15.75" customHeight="1">
      <c r="A2769" s="130" t="s">
        <v>2137</v>
      </c>
      <c r="B2769" s="147" t="s">
        <v>28771</v>
      </c>
      <c r="C2769" s="130" t="s">
        <v>28958</v>
      </c>
      <c r="D2769" s="130" t="s">
        <v>28959</v>
      </c>
      <c r="E2769" s="131" t="s">
        <v>28960</v>
      </c>
      <c r="F2769" s="132">
        <v>651.0</v>
      </c>
      <c r="G2769" s="132">
        <v>660.0</v>
      </c>
      <c r="H2769" s="130" t="s">
        <v>17059</v>
      </c>
      <c r="I2769" s="19" t="s">
        <v>28964</v>
      </c>
      <c r="J2769" s="19" t="s">
        <v>28965</v>
      </c>
      <c r="K2769" s="19" t="s">
        <v>28965</v>
      </c>
      <c r="L2769" s="19" t="s">
        <v>27140</v>
      </c>
      <c r="M2769" s="20" t="s">
        <v>28966</v>
      </c>
      <c r="N2769" s="20" t="s">
        <v>28967</v>
      </c>
      <c r="O2769" s="22">
        <v>5.0</v>
      </c>
      <c r="P2769" s="28">
        <v>2.0</v>
      </c>
      <c r="Q2769" s="28">
        <v>47.0</v>
      </c>
      <c r="R2769" s="84"/>
      <c r="S2769" s="84"/>
      <c r="T2769" s="84"/>
      <c r="U2769" s="84"/>
      <c r="V2769" s="84"/>
      <c r="W2769" s="84"/>
      <c r="X2769" s="84"/>
      <c r="Y2769" s="84"/>
      <c r="Z2769" s="84"/>
      <c r="AA2769" s="84"/>
    </row>
    <row r="2770" ht="15.75" customHeight="1">
      <c r="A2770" s="130" t="s">
        <v>2137</v>
      </c>
      <c r="B2770" s="147" t="s">
        <v>28771</v>
      </c>
      <c r="C2770" s="130" t="s">
        <v>28971</v>
      </c>
      <c r="D2770" s="130" t="s">
        <v>28972</v>
      </c>
      <c r="E2770" s="131" t="s">
        <v>28973</v>
      </c>
      <c r="F2770" s="132">
        <v>661.0</v>
      </c>
      <c r="G2770" s="132">
        <v>670.0</v>
      </c>
      <c r="H2770" s="130" t="s">
        <v>17059</v>
      </c>
      <c r="I2770" s="19" t="s">
        <v>28977</v>
      </c>
      <c r="J2770" s="19" t="s">
        <v>28978</v>
      </c>
      <c r="K2770" s="19" t="s">
        <v>28979</v>
      </c>
      <c r="L2770" s="19" t="s">
        <v>28980</v>
      </c>
      <c r="M2770" s="20" t="s">
        <v>28981</v>
      </c>
      <c r="N2770" s="20" t="s">
        <v>28982</v>
      </c>
      <c r="O2770" s="22">
        <v>1.0</v>
      </c>
      <c r="P2770" s="28">
        <v>2.0</v>
      </c>
      <c r="Q2770" s="28">
        <v>41.0</v>
      </c>
      <c r="R2770" s="84"/>
      <c r="S2770" s="84"/>
      <c r="T2770" s="84"/>
      <c r="U2770" s="84"/>
      <c r="V2770" s="84"/>
      <c r="W2770" s="84"/>
      <c r="X2770" s="84"/>
      <c r="Y2770" s="84"/>
      <c r="Z2770" s="84"/>
      <c r="AA2770" s="84"/>
    </row>
    <row r="2771" ht="15.75" customHeight="1">
      <c r="A2771" s="130" t="s">
        <v>2137</v>
      </c>
      <c r="B2771" s="147" t="s">
        <v>28771</v>
      </c>
      <c r="C2771" s="130" t="s">
        <v>28983</v>
      </c>
      <c r="D2771" s="130" t="s">
        <v>28984</v>
      </c>
      <c r="E2771" s="131" t="s">
        <v>28985</v>
      </c>
      <c r="F2771" s="132">
        <v>491.0</v>
      </c>
      <c r="G2771" s="132">
        <v>500.0</v>
      </c>
      <c r="H2771" s="130" t="s">
        <v>17059</v>
      </c>
      <c r="I2771" s="19" t="s">
        <v>28988</v>
      </c>
      <c r="J2771" s="19" t="s">
        <v>28989</v>
      </c>
      <c r="K2771" s="19" t="s">
        <v>28989</v>
      </c>
      <c r="L2771" s="19" t="s">
        <v>28990</v>
      </c>
      <c r="M2771" s="20" t="s">
        <v>28991</v>
      </c>
      <c r="N2771" s="20" t="s">
        <v>28992</v>
      </c>
      <c r="O2771" s="22">
        <v>11.0</v>
      </c>
      <c r="P2771" s="28">
        <v>10.0</v>
      </c>
      <c r="Q2771" s="28">
        <v>55.0</v>
      </c>
      <c r="R2771" s="84"/>
      <c r="S2771" s="84"/>
      <c r="T2771" s="84"/>
      <c r="U2771" s="84"/>
      <c r="V2771" s="84"/>
      <c r="W2771" s="84"/>
      <c r="X2771" s="84"/>
      <c r="Y2771" s="84"/>
      <c r="Z2771" s="84"/>
      <c r="AA2771" s="84"/>
    </row>
    <row r="2772" ht="15.75" customHeight="1">
      <c r="A2772" s="130" t="s">
        <v>2137</v>
      </c>
      <c r="B2772" s="147" t="s">
        <v>28771</v>
      </c>
      <c r="C2772" s="130" t="s">
        <v>28996</v>
      </c>
      <c r="D2772" s="130" t="s">
        <v>28997</v>
      </c>
      <c r="E2772" s="131" t="s">
        <v>28998</v>
      </c>
      <c r="F2772" s="132">
        <v>671.0</v>
      </c>
      <c r="G2772" s="132">
        <v>680.0</v>
      </c>
      <c r="H2772" s="130" t="s">
        <v>17059</v>
      </c>
      <c r="I2772" s="19" t="s">
        <v>29001</v>
      </c>
      <c r="J2772" s="19" t="s">
        <v>29002</v>
      </c>
      <c r="K2772" s="19" t="s">
        <v>29003</v>
      </c>
      <c r="L2772" s="19" t="s">
        <v>29004</v>
      </c>
      <c r="M2772" s="20" t="s">
        <v>29005</v>
      </c>
      <c r="N2772" s="20" t="s">
        <v>29006</v>
      </c>
      <c r="O2772" s="22">
        <v>22.0</v>
      </c>
      <c r="P2772" s="28">
        <v>10.0</v>
      </c>
      <c r="Q2772" s="28">
        <v>45.0</v>
      </c>
      <c r="R2772" s="84"/>
      <c r="S2772" s="84"/>
      <c r="T2772" s="84"/>
      <c r="U2772" s="84"/>
      <c r="V2772" s="84"/>
      <c r="W2772" s="84"/>
      <c r="X2772" s="84"/>
      <c r="Y2772" s="84"/>
      <c r="Z2772" s="84"/>
      <c r="AA2772" s="84"/>
    </row>
    <row r="2773" ht="15.75" customHeight="1">
      <c r="A2773" s="130" t="s">
        <v>2137</v>
      </c>
      <c r="B2773" s="147" t="s">
        <v>28771</v>
      </c>
      <c r="C2773" s="130" t="s">
        <v>29007</v>
      </c>
      <c r="D2773" s="130" t="s">
        <v>29008</v>
      </c>
      <c r="E2773" s="131" t="s">
        <v>29009</v>
      </c>
      <c r="F2773" s="132">
        <v>501.0</v>
      </c>
      <c r="G2773" s="132">
        <v>510.0</v>
      </c>
      <c r="H2773" s="130" t="s">
        <v>17059</v>
      </c>
      <c r="I2773" s="19" t="s">
        <v>29013</v>
      </c>
      <c r="J2773" s="19" t="s">
        <v>29014</v>
      </c>
      <c r="K2773" s="19" t="s">
        <v>29015</v>
      </c>
      <c r="L2773" s="19" t="s">
        <v>29016</v>
      </c>
      <c r="M2773" s="20" t="s">
        <v>29017</v>
      </c>
      <c r="N2773" s="20" t="s">
        <v>29018</v>
      </c>
      <c r="O2773" s="22">
        <v>6.0</v>
      </c>
      <c r="P2773" s="28">
        <v>6.0</v>
      </c>
      <c r="Q2773" s="28">
        <v>44.0</v>
      </c>
      <c r="R2773" s="84"/>
      <c r="S2773" s="84"/>
      <c r="T2773" s="84"/>
      <c r="U2773" s="84"/>
      <c r="V2773" s="84"/>
      <c r="W2773" s="84"/>
      <c r="X2773" s="84"/>
      <c r="Y2773" s="84"/>
      <c r="Z2773" s="84"/>
      <c r="AA2773" s="84"/>
    </row>
    <row r="2774" ht="15.75" customHeight="1">
      <c r="A2774" s="130" t="s">
        <v>2137</v>
      </c>
      <c r="B2774" s="147" t="s">
        <v>28771</v>
      </c>
      <c r="C2774" s="130" t="s">
        <v>29021</v>
      </c>
      <c r="D2774" s="130" t="s">
        <v>29022</v>
      </c>
      <c r="E2774" s="131" t="s">
        <v>29023</v>
      </c>
      <c r="F2774" s="132">
        <v>691.0</v>
      </c>
      <c r="G2774" s="132">
        <v>700.0</v>
      </c>
      <c r="H2774" s="130" t="s">
        <v>17059</v>
      </c>
      <c r="I2774" s="19" t="s">
        <v>29027</v>
      </c>
      <c r="J2774" s="19" t="s">
        <v>29028</v>
      </c>
      <c r="K2774" s="19" t="s">
        <v>29028</v>
      </c>
      <c r="L2774" s="19" t="s">
        <v>29029</v>
      </c>
      <c r="M2774" s="20" t="s">
        <v>29030</v>
      </c>
      <c r="N2774" s="20" t="s">
        <v>29031</v>
      </c>
      <c r="O2774" s="22">
        <v>0.0</v>
      </c>
      <c r="P2774" s="28">
        <v>8.0</v>
      </c>
      <c r="Q2774" s="28">
        <v>44.0</v>
      </c>
      <c r="R2774" s="84"/>
      <c r="S2774" s="84"/>
      <c r="T2774" s="84"/>
      <c r="U2774" s="84"/>
      <c r="V2774" s="84"/>
      <c r="W2774" s="84"/>
      <c r="X2774" s="84"/>
      <c r="Y2774" s="84"/>
      <c r="Z2774" s="84"/>
      <c r="AA2774" s="84"/>
    </row>
    <row r="2775" ht="15.75" customHeight="1">
      <c r="A2775" s="130" t="s">
        <v>2137</v>
      </c>
      <c r="B2775" s="147" t="s">
        <v>28771</v>
      </c>
      <c r="C2775" s="130" t="s">
        <v>29032</v>
      </c>
      <c r="D2775" s="130" t="s">
        <v>29033</v>
      </c>
      <c r="E2775" s="131" t="s">
        <v>29034</v>
      </c>
      <c r="F2775" s="132">
        <v>681.0</v>
      </c>
      <c r="G2775" s="132">
        <v>690.0</v>
      </c>
      <c r="H2775" s="130" t="s">
        <v>17059</v>
      </c>
      <c r="I2775" s="19" t="s">
        <v>29037</v>
      </c>
      <c r="J2775" s="19" t="s">
        <v>29038</v>
      </c>
      <c r="K2775" s="19" t="s">
        <v>29039</v>
      </c>
      <c r="L2775" s="19" t="s">
        <v>29040</v>
      </c>
      <c r="M2775" s="20" t="s">
        <v>29041</v>
      </c>
      <c r="N2775" s="20" t="s">
        <v>29042</v>
      </c>
      <c r="O2775" s="22">
        <v>13.0</v>
      </c>
      <c r="P2775" s="28">
        <v>10.0</v>
      </c>
      <c r="Q2775" s="28">
        <v>45.0</v>
      </c>
      <c r="R2775" s="84"/>
      <c r="S2775" s="84"/>
      <c r="T2775" s="84"/>
      <c r="U2775" s="84"/>
      <c r="V2775" s="84"/>
      <c r="W2775" s="84"/>
      <c r="X2775" s="84"/>
      <c r="Y2775" s="84"/>
      <c r="Z2775" s="84"/>
      <c r="AA2775" s="84"/>
    </row>
    <row r="2776" ht="15.75" customHeight="1">
      <c r="A2776" s="130" t="s">
        <v>2137</v>
      </c>
      <c r="B2776" s="147" t="s">
        <v>28771</v>
      </c>
      <c r="C2776" s="130" t="s">
        <v>29043</v>
      </c>
      <c r="D2776" s="130" t="s">
        <v>29044</v>
      </c>
      <c r="E2776" s="131" t="s">
        <v>29045</v>
      </c>
      <c r="F2776" s="132">
        <v>331.0</v>
      </c>
      <c r="G2776" s="132">
        <v>340.0</v>
      </c>
      <c r="H2776" s="130" t="s">
        <v>17059</v>
      </c>
      <c r="I2776" s="19" t="s">
        <v>29048</v>
      </c>
      <c r="J2776" s="19" t="s">
        <v>29051</v>
      </c>
      <c r="K2776" s="19" t="s">
        <v>29051</v>
      </c>
      <c r="L2776" s="19" t="s">
        <v>29053</v>
      </c>
      <c r="M2776" s="20" t="s">
        <v>29054</v>
      </c>
      <c r="N2776" s="20" t="s">
        <v>29055</v>
      </c>
      <c r="O2776" s="22">
        <v>15.0</v>
      </c>
      <c r="P2776" s="28">
        <v>11.0</v>
      </c>
      <c r="Q2776" s="28">
        <v>35.0</v>
      </c>
      <c r="R2776" s="84"/>
      <c r="S2776" s="84"/>
      <c r="T2776" s="84"/>
      <c r="U2776" s="84"/>
      <c r="V2776" s="84"/>
      <c r="W2776" s="84"/>
      <c r="X2776" s="84"/>
      <c r="Y2776" s="84"/>
      <c r="Z2776" s="84"/>
      <c r="AA2776" s="84"/>
    </row>
    <row r="2777" ht="15.75" customHeight="1">
      <c r="A2777" s="130" t="s">
        <v>2137</v>
      </c>
      <c r="B2777" s="147" t="s">
        <v>28771</v>
      </c>
      <c r="C2777" s="130" t="s">
        <v>29057</v>
      </c>
      <c r="D2777" s="130" t="s">
        <v>29058</v>
      </c>
      <c r="E2777" s="131" t="s">
        <v>29059</v>
      </c>
      <c r="F2777" s="132">
        <v>391.0</v>
      </c>
      <c r="G2777" s="132">
        <v>400.0</v>
      </c>
      <c r="H2777" s="130" t="s">
        <v>17059</v>
      </c>
      <c r="I2777" s="19" t="s">
        <v>29064</v>
      </c>
      <c r="J2777" s="19" t="s">
        <v>29065</v>
      </c>
      <c r="K2777" s="19" t="s">
        <v>29065</v>
      </c>
      <c r="L2777" s="19" t="s">
        <v>29066</v>
      </c>
      <c r="M2777" s="20" t="s">
        <v>29067</v>
      </c>
      <c r="N2777" s="20" t="s">
        <v>29068</v>
      </c>
      <c r="O2777" s="22">
        <v>5.0</v>
      </c>
      <c r="P2777" s="28">
        <v>10.0</v>
      </c>
      <c r="Q2777" s="28">
        <v>20.0</v>
      </c>
      <c r="R2777" s="85" t="s">
        <v>19037</v>
      </c>
      <c r="S2777" s="84"/>
      <c r="T2777" s="84"/>
      <c r="U2777" s="84"/>
      <c r="V2777" s="84"/>
      <c r="W2777" s="84"/>
      <c r="X2777" s="84"/>
      <c r="Y2777" s="84"/>
      <c r="Z2777" s="84"/>
      <c r="AA2777" s="84"/>
    </row>
    <row r="2778" ht="15.75" customHeight="1">
      <c r="A2778" s="130" t="s">
        <v>2137</v>
      </c>
      <c r="B2778" s="147" t="s">
        <v>28771</v>
      </c>
      <c r="C2778" s="130" t="s">
        <v>29069</v>
      </c>
      <c r="D2778" s="130" t="s">
        <v>29070</v>
      </c>
      <c r="E2778" s="131" t="s">
        <v>29072</v>
      </c>
      <c r="F2778" s="132">
        <v>401.0</v>
      </c>
      <c r="G2778" s="132">
        <v>410.0</v>
      </c>
      <c r="H2778" s="130" t="s">
        <v>17059</v>
      </c>
      <c r="I2778" s="19" t="s">
        <v>29078</v>
      </c>
      <c r="J2778" s="19" t="s">
        <v>29079</v>
      </c>
      <c r="K2778" s="19" t="s">
        <v>29081</v>
      </c>
      <c r="L2778" s="19" t="s">
        <v>29082</v>
      </c>
      <c r="M2778" s="20" t="s">
        <v>29083</v>
      </c>
      <c r="N2778" s="20" t="s">
        <v>29084</v>
      </c>
      <c r="O2778" s="22">
        <v>9.0</v>
      </c>
      <c r="P2778" s="28">
        <v>11.0</v>
      </c>
      <c r="Q2778" s="28">
        <v>52.0</v>
      </c>
      <c r="R2778" s="84"/>
      <c r="S2778" s="84"/>
      <c r="T2778" s="84"/>
      <c r="U2778" s="84"/>
      <c r="V2778" s="84"/>
      <c r="W2778" s="84"/>
      <c r="X2778" s="84"/>
      <c r="Y2778" s="84"/>
      <c r="Z2778" s="84"/>
      <c r="AA2778" s="84"/>
    </row>
    <row r="2779" ht="15.75" customHeight="1">
      <c r="A2779" s="130" t="s">
        <v>2137</v>
      </c>
      <c r="B2779" s="147" t="s">
        <v>28771</v>
      </c>
      <c r="C2779" s="130" t="s">
        <v>29085</v>
      </c>
      <c r="D2779" s="130" t="s">
        <v>29086</v>
      </c>
      <c r="E2779" s="131" t="s">
        <v>29087</v>
      </c>
      <c r="F2779" s="132">
        <v>511.0</v>
      </c>
      <c r="G2779" s="132">
        <v>520.0</v>
      </c>
      <c r="H2779" s="130" t="s">
        <v>17059</v>
      </c>
      <c r="I2779" s="19" t="s">
        <v>29091</v>
      </c>
      <c r="J2779" s="19" t="s">
        <v>29092</v>
      </c>
      <c r="K2779" s="19" t="s">
        <v>29092</v>
      </c>
      <c r="L2779" s="19" t="s">
        <v>29093</v>
      </c>
      <c r="M2779" s="20" t="s">
        <v>29094</v>
      </c>
      <c r="N2779" s="20" t="s">
        <v>29095</v>
      </c>
      <c r="O2779" s="22">
        <v>10.0</v>
      </c>
      <c r="P2779" s="28">
        <v>7.0</v>
      </c>
      <c r="Q2779" s="28">
        <v>46.0</v>
      </c>
      <c r="R2779" s="84"/>
      <c r="S2779" s="84"/>
      <c r="T2779" s="84"/>
      <c r="U2779" s="84"/>
      <c r="V2779" s="84"/>
      <c r="W2779" s="84"/>
      <c r="X2779" s="84"/>
      <c r="Y2779" s="84"/>
      <c r="Z2779" s="84"/>
      <c r="AA2779" s="84"/>
    </row>
    <row r="2780" ht="15.75" customHeight="1">
      <c r="A2780" s="130" t="s">
        <v>2137</v>
      </c>
      <c r="B2780" s="147" t="s">
        <v>28771</v>
      </c>
      <c r="C2780" s="130" t="s">
        <v>29096</v>
      </c>
      <c r="D2780" s="130" t="s">
        <v>29097</v>
      </c>
      <c r="E2780" s="131" t="s">
        <v>29098</v>
      </c>
      <c r="F2780" s="132">
        <v>411.0</v>
      </c>
      <c r="G2780" s="132">
        <v>420.0</v>
      </c>
      <c r="H2780" s="130" t="s">
        <v>17059</v>
      </c>
      <c r="I2780" s="19" t="s">
        <v>29104</v>
      </c>
      <c r="J2780" s="19" t="s">
        <v>29105</v>
      </c>
      <c r="K2780" s="19" t="s">
        <v>29105</v>
      </c>
      <c r="L2780" s="19" t="s">
        <v>29106</v>
      </c>
      <c r="M2780" s="20" t="s">
        <v>29107</v>
      </c>
      <c r="N2780" s="20" t="s">
        <v>29108</v>
      </c>
      <c r="O2780" s="22">
        <v>6.0</v>
      </c>
      <c r="P2780" s="28">
        <v>16.0</v>
      </c>
      <c r="Q2780" s="28">
        <v>39.0</v>
      </c>
      <c r="R2780" s="85" t="s">
        <v>19037</v>
      </c>
      <c r="S2780" s="84"/>
      <c r="T2780" s="84"/>
      <c r="U2780" s="84"/>
      <c r="V2780" s="84"/>
      <c r="W2780" s="84"/>
      <c r="X2780" s="84"/>
      <c r="Y2780" s="84"/>
      <c r="Z2780" s="84"/>
      <c r="AA2780" s="84"/>
    </row>
    <row r="2781" ht="15.75" customHeight="1">
      <c r="A2781" s="130" t="s">
        <v>2137</v>
      </c>
      <c r="B2781" s="147" t="s">
        <v>28771</v>
      </c>
      <c r="C2781" s="130" t="s">
        <v>29109</v>
      </c>
      <c r="D2781" s="130" t="s">
        <v>29110</v>
      </c>
      <c r="E2781" s="131" t="s">
        <v>29111</v>
      </c>
      <c r="F2781" s="132">
        <v>421.0</v>
      </c>
      <c r="G2781" s="132">
        <v>430.0</v>
      </c>
      <c r="H2781" s="130" t="s">
        <v>17059</v>
      </c>
      <c r="I2781" s="19" t="s">
        <v>29116</v>
      </c>
      <c r="J2781" s="19" t="s">
        <v>29117</v>
      </c>
      <c r="K2781" s="19" t="s">
        <v>29117</v>
      </c>
      <c r="L2781" s="19" t="s">
        <v>29118</v>
      </c>
      <c r="M2781" s="20" t="s">
        <v>29119</v>
      </c>
      <c r="N2781" s="20" t="s">
        <v>29120</v>
      </c>
      <c r="O2781" s="22">
        <v>4.0</v>
      </c>
      <c r="P2781" s="28">
        <v>5.0</v>
      </c>
      <c r="Q2781" s="28">
        <v>37.0</v>
      </c>
      <c r="R2781" s="84"/>
      <c r="S2781" s="84"/>
      <c r="T2781" s="84"/>
      <c r="U2781" s="84"/>
      <c r="V2781" s="84"/>
      <c r="W2781" s="84"/>
      <c r="X2781" s="84"/>
      <c r="Y2781" s="84"/>
      <c r="Z2781" s="84"/>
      <c r="AA2781" s="84"/>
    </row>
    <row r="2782" ht="15.75" customHeight="1">
      <c r="A2782" s="130" t="s">
        <v>2137</v>
      </c>
      <c r="B2782" s="147" t="s">
        <v>28771</v>
      </c>
      <c r="C2782" s="130" t="s">
        <v>29122</v>
      </c>
      <c r="D2782" s="130" t="s">
        <v>29123</v>
      </c>
      <c r="E2782" s="131" t="s">
        <v>29125</v>
      </c>
      <c r="F2782" s="132">
        <v>521.0</v>
      </c>
      <c r="G2782" s="132">
        <v>530.0</v>
      </c>
      <c r="H2782" s="130" t="s">
        <v>17059</v>
      </c>
      <c r="I2782" s="19" t="s">
        <v>29126</v>
      </c>
      <c r="J2782" s="19" t="s">
        <v>29127</v>
      </c>
      <c r="K2782" s="19" t="s">
        <v>29128</v>
      </c>
      <c r="L2782" s="19" t="s">
        <v>29129</v>
      </c>
      <c r="M2782" s="20" t="s">
        <v>29130</v>
      </c>
      <c r="N2782" s="20" t="s">
        <v>29131</v>
      </c>
      <c r="O2782" s="22">
        <v>9.0</v>
      </c>
      <c r="P2782" s="28">
        <v>11.0</v>
      </c>
      <c r="Q2782" s="28">
        <v>37.0</v>
      </c>
      <c r="R2782" s="84"/>
      <c r="S2782" s="84"/>
      <c r="T2782" s="84"/>
      <c r="U2782" s="84"/>
      <c r="V2782" s="84"/>
      <c r="W2782" s="84"/>
      <c r="X2782" s="84"/>
      <c r="Y2782" s="84"/>
      <c r="Z2782" s="84"/>
      <c r="AA2782" s="84"/>
    </row>
    <row r="2783" ht="15.75" customHeight="1">
      <c r="A2783" s="130" t="s">
        <v>2137</v>
      </c>
      <c r="B2783" s="147" t="s">
        <v>28771</v>
      </c>
      <c r="C2783" s="130" t="s">
        <v>29132</v>
      </c>
      <c r="D2783" s="130" t="s">
        <v>29133</v>
      </c>
      <c r="E2783" s="131" t="s">
        <v>29134</v>
      </c>
      <c r="F2783" s="132">
        <v>531.0</v>
      </c>
      <c r="G2783" s="132">
        <v>540.0</v>
      </c>
      <c r="H2783" s="130" t="s">
        <v>17059</v>
      </c>
      <c r="I2783" s="19" t="s">
        <v>29135</v>
      </c>
      <c r="J2783" s="19" t="s">
        <v>29136</v>
      </c>
      <c r="K2783" s="19" t="s">
        <v>29137</v>
      </c>
      <c r="L2783" s="19" t="s">
        <v>29138</v>
      </c>
      <c r="M2783" s="20" t="s">
        <v>29139</v>
      </c>
      <c r="N2783" s="20" t="s">
        <v>29140</v>
      </c>
      <c r="O2783" s="22">
        <v>9.0</v>
      </c>
      <c r="P2783" s="28">
        <v>9.0</v>
      </c>
      <c r="Q2783" s="28">
        <v>45.0</v>
      </c>
      <c r="R2783" s="84"/>
      <c r="S2783" s="84"/>
      <c r="T2783" s="84"/>
      <c r="U2783" s="84"/>
      <c r="V2783" s="84"/>
      <c r="W2783" s="84"/>
      <c r="X2783" s="84"/>
      <c r="Y2783" s="84"/>
      <c r="Z2783" s="84"/>
      <c r="AA2783" s="84"/>
    </row>
    <row r="2784" ht="15.75" customHeight="1">
      <c r="A2784" s="130" t="s">
        <v>2137</v>
      </c>
      <c r="B2784" s="147" t="s">
        <v>28771</v>
      </c>
      <c r="C2784" s="130" t="s">
        <v>29185</v>
      </c>
      <c r="D2784" s="130" t="s">
        <v>29186</v>
      </c>
      <c r="E2784" s="131" t="s">
        <v>29187</v>
      </c>
      <c r="F2784" s="132">
        <v>551.0</v>
      </c>
      <c r="G2784" s="132">
        <v>560.0</v>
      </c>
      <c r="H2784" s="130" t="s">
        <v>17059</v>
      </c>
      <c r="I2784" s="19" t="s">
        <v>29188</v>
      </c>
      <c r="J2784" s="19" t="s">
        <v>29190</v>
      </c>
      <c r="K2784" s="19" t="s">
        <v>29190</v>
      </c>
      <c r="L2784" s="19" t="s">
        <v>29191</v>
      </c>
      <c r="M2784" s="20" t="s">
        <v>29193</v>
      </c>
      <c r="N2784" s="20" t="s">
        <v>29194</v>
      </c>
      <c r="O2784" s="22">
        <v>7.0</v>
      </c>
      <c r="P2784" s="28">
        <v>7.0</v>
      </c>
      <c r="Q2784" s="28">
        <v>55.0</v>
      </c>
      <c r="R2784" s="84"/>
      <c r="S2784" s="84"/>
      <c r="T2784" s="84"/>
      <c r="U2784" s="84"/>
      <c r="V2784" s="84"/>
      <c r="W2784" s="84"/>
      <c r="X2784" s="84"/>
      <c r="Y2784" s="84"/>
      <c r="Z2784" s="84"/>
      <c r="AA2784" s="84"/>
    </row>
    <row r="2785" ht="15.75" customHeight="1">
      <c r="A2785" s="130" t="s">
        <v>2137</v>
      </c>
      <c r="B2785" s="147" t="s">
        <v>28771</v>
      </c>
      <c r="C2785" s="130" t="s">
        <v>29195</v>
      </c>
      <c r="D2785" s="130" t="s">
        <v>29196</v>
      </c>
      <c r="E2785" s="131" t="s">
        <v>29197</v>
      </c>
      <c r="F2785" s="132">
        <v>541.0</v>
      </c>
      <c r="G2785" s="132">
        <v>550.0</v>
      </c>
      <c r="H2785" s="130" t="s">
        <v>17059</v>
      </c>
      <c r="I2785" s="19" t="s">
        <v>29199</v>
      </c>
      <c r="J2785" s="19" t="s">
        <v>29200</v>
      </c>
      <c r="K2785" s="19" t="s">
        <v>29200</v>
      </c>
      <c r="L2785" s="19" t="s">
        <v>29201</v>
      </c>
      <c r="M2785" s="20" t="s">
        <v>29202</v>
      </c>
      <c r="N2785" s="20" t="s">
        <v>29203</v>
      </c>
      <c r="O2785" s="22">
        <v>14.0</v>
      </c>
      <c r="P2785" s="28">
        <v>10.0</v>
      </c>
      <c r="Q2785" s="28">
        <v>45.0</v>
      </c>
      <c r="R2785" s="84"/>
      <c r="S2785" s="84"/>
      <c r="T2785" s="84"/>
      <c r="U2785" s="84"/>
      <c r="V2785" s="84"/>
      <c r="W2785" s="84"/>
      <c r="X2785" s="84"/>
      <c r="Y2785" s="84"/>
      <c r="Z2785" s="84"/>
      <c r="AA2785" s="84"/>
    </row>
    <row r="2786" ht="15.75" customHeight="1">
      <c r="A2786" s="130" t="s">
        <v>2137</v>
      </c>
      <c r="B2786" s="147" t="s">
        <v>28771</v>
      </c>
      <c r="C2786" s="130" t="s">
        <v>29204</v>
      </c>
      <c r="D2786" s="130" t="s">
        <v>29205</v>
      </c>
      <c r="E2786" s="131" t="s">
        <v>29206</v>
      </c>
      <c r="F2786" s="132">
        <v>341.0</v>
      </c>
      <c r="G2786" s="132">
        <v>350.0</v>
      </c>
      <c r="H2786" s="130" t="s">
        <v>17059</v>
      </c>
      <c r="I2786" s="19" t="s">
        <v>29207</v>
      </c>
      <c r="J2786" s="19" t="s">
        <v>29210</v>
      </c>
      <c r="K2786" s="19" t="s">
        <v>29210</v>
      </c>
      <c r="L2786" s="19" t="s">
        <v>26896</v>
      </c>
      <c r="M2786" s="20" t="s">
        <v>29211</v>
      </c>
      <c r="N2786" s="20" t="s">
        <v>29213</v>
      </c>
      <c r="O2786" s="22">
        <v>43.0</v>
      </c>
      <c r="P2786" s="28">
        <v>39.0</v>
      </c>
      <c r="Q2786" s="28">
        <v>31.0</v>
      </c>
      <c r="R2786" s="85" t="s">
        <v>106</v>
      </c>
      <c r="S2786" s="84"/>
      <c r="T2786" s="84"/>
      <c r="U2786" s="84"/>
      <c r="V2786" s="84"/>
      <c r="W2786" s="84"/>
      <c r="X2786" s="84"/>
      <c r="Y2786" s="84"/>
      <c r="Z2786" s="84"/>
      <c r="AA2786" s="84"/>
    </row>
    <row r="2787" ht="15.75" customHeight="1">
      <c r="A2787" s="130" t="s">
        <v>2137</v>
      </c>
      <c r="B2787" s="147" t="s">
        <v>28771</v>
      </c>
      <c r="C2787" s="130" t="s">
        <v>29214</v>
      </c>
      <c r="D2787" s="130" t="s">
        <v>29215</v>
      </c>
      <c r="E2787" s="131" t="s">
        <v>29216</v>
      </c>
      <c r="F2787" s="132">
        <v>351.0</v>
      </c>
      <c r="G2787" s="132">
        <v>360.0</v>
      </c>
      <c r="H2787" s="130" t="s">
        <v>17059</v>
      </c>
      <c r="I2787" s="19" t="s">
        <v>29219</v>
      </c>
      <c r="J2787" s="19" t="s">
        <v>29220</v>
      </c>
      <c r="K2787" s="19" t="s">
        <v>29220</v>
      </c>
      <c r="L2787" s="19" t="s">
        <v>29221</v>
      </c>
      <c r="M2787" s="20" t="s">
        <v>29222</v>
      </c>
      <c r="N2787" s="20" t="s">
        <v>29223</v>
      </c>
      <c r="O2787" s="22">
        <v>9.0</v>
      </c>
      <c r="P2787" s="28">
        <v>8.0</v>
      </c>
      <c r="Q2787" s="28">
        <v>36.0</v>
      </c>
      <c r="R2787" s="84"/>
      <c r="S2787" s="84"/>
      <c r="T2787" s="84"/>
      <c r="U2787" s="84"/>
      <c r="V2787" s="84"/>
      <c r="W2787" s="84"/>
      <c r="X2787" s="84"/>
      <c r="Y2787" s="84"/>
      <c r="Z2787" s="84"/>
      <c r="AA2787" s="84"/>
    </row>
    <row r="2788" ht="15.75" customHeight="1">
      <c r="A2788" s="130" t="s">
        <v>2137</v>
      </c>
      <c r="B2788" s="147" t="s">
        <v>28771</v>
      </c>
      <c r="C2788" s="130" t="s">
        <v>29224</v>
      </c>
      <c r="D2788" s="130" t="s">
        <v>29225</v>
      </c>
      <c r="E2788" s="131" t="s">
        <v>29226</v>
      </c>
      <c r="F2788" s="132">
        <v>431.0</v>
      </c>
      <c r="G2788" s="132">
        <v>440.0</v>
      </c>
      <c r="H2788" s="130" t="s">
        <v>17059</v>
      </c>
      <c r="I2788" s="19" t="s">
        <v>29228</v>
      </c>
      <c r="J2788" s="19" t="s">
        <v>29229</v>
      </c>
      <c r="K2788" s="19" t="s">
        <v>29230</v>
      </c>
      <c r="L2788" s="19" t="s">
        <v>29231</v>
      </c>
      <c r="M2788" s="20" t="s">
        <v>29233</v>
      </c>
      <c r="N2788" s="20" t="s">
        <v>29234</v>
      </c>
      <c r="O2788" s="22">
        <v>9.0</v>
      </c>
      <c r="P2788" s="28">
        <v>8.0</v>
      </c>
      <c r="Q2788" s="28">
        <v>54.0</v>
      </c>
      <c r="R2788" s="84"/>
      <c r="S2788" s="84"/>
      <c r="T2788" s="84"/>
      <c r="U2788" s="84"/>
      <c r="V2788" s="84"/>
      <c r="W2788" s="84"/>
      <c r="X2788" s="84"/>
      <c r="Y2788" s="84"/>
      <c r="Z2788" s="84"/>
      <c r="AA2788" s="84"/>
    </row>
    <row r="2789" ht="15.75" customHeight="1">
      <c r="A2789" s="130" t="s">
        <v>2137</v>
      </c>
      <c r="B2789" s="147" t="s">
        <v>28771</v>
      </c>
      <c r="C2789" s="130" t="s">
        <v>29235</v>
      </c>
      <c r="D2789" s="130" t="s">
        <v>29236</v>
      </c>
      <c r="E2789" s="131" t="s">
        <v>29237</v>
      </c>
      <c r="F2789" s="132">
        <v>441.0</v>
      </c>
      <c r="G2789" s="132">
        <v>450.0</v>
      </c>
      <c r="H2789" s="130" t="s">
        <v>17059</v>
      </c>
      <c r="I2789" s="19" t="s">
        <v>29241</v>
      </c>
      <c r="J2789" s="19" t="s">
        <v>29242</v>
      </c>
      <c r="K2789" s="19" t="s">
        <v>29243</v>
      </c>
      <c r="L2789" s="19" t="s">
        <v>29244</v>
      </c>
      <c r="M2789" s="20" t="s">
        <v>29245</v>
      </c>
      <c r="N2789" s="20" t="s">
        <v>29246</v>
      </c>
      <c r="O2789" s="22">
        <v>41.0</v>
      </c>
      <c r="P2789" s="28">
        <v>26.0</v>
      </c>
      <c r="Q2789" s="28">
        <v>41.0</v>
      </c>
      <c r="R2789" s="84"/>
      <c r="S2789" s="84"/>
      <c r="T2789" s="84"/>
      <c r="U2789" s="84"/>
      <c r="V2789" s="84"/>
      <c r="W2789" s="84"/>
      <c r="X2789" s="84"/>
      <c r="Y2789" s="84"/>
      <c r="Z2789" s="84"/>
      <c r="AA2789" s="84"/>
    </row>
    <row r="2790" ht="15.75" customHeight="1">
      <c r="A2790" s="130" t="s">
        <v>2137</v>
      </c>
      <c r="B2790" s="147" t="s">
        <v>28771</v>
      </c>
      <c r="C2790" s="130" t="s">
        <v>29247</v>
      </c>
      <c r="D2790" s="130" t="s">
        <v>29248</v>
      </c>
      <c r="E2790" s="131" t="s">
        <v>29249</v>
      </c>
      <c r="F2790" s="132">
        <v>561.0</v>
      </c>
      <c r="G2790" s="132">
        <v>570.0</v>
      </c>
      <c r="H2790" s="130" t="s">
        <v>17059</v>
      </c>
      <c r="I2790" s="19" t="s">
        <v>29253</v>
      </c>
      <c r="J2790" s="19" t="s">
        <v>29254</v>
      </c>
      <c r="K2790" s="19" t="s">
        <v>29254</v>
      </c>
      <c r="L2790" s="19" t="s">
        <v>29255</v>
      </c>
      <c r="M2790" s="20" t="s">
        <v>29256</v>
      </c>
      <c r="N2790" s="20" t="s">
        <v>29257</v>
      </c>
      <c r="O2790" s="109"/>
      <c r="P2790" s="28">
        <v>5.0</v>
      </c>
      <c r="Q2790" s="28">
        <v>69.0</v>
      </c>
      <c r="R2790" s="84"/>
      <c r="S2790" s="84"/>
      <c r="T2790" s="84"/>
      <c r="U2790" s="84"/>
      <c r="V2790" s="84"/>
      <c r="W2790" s="84"/>
      <c r="X2790" s="84"/>
      <c r="Y2790" s="84"/>
      <c r="Z2790" s="84"/>
      <c r="AA2790" s="84"/>
    </row>
    <row r="2791" ht="15.75" customHeight="1">
      <c r="A2791" s="130" t="s">
        <v>4153</v>
      </c>
      <c r="B2791" s="147" t="s">
        <v>28771</v>
      </c>
      <c r="C2791" s="130" t="s">
        <v>29260</v>
      </c>
      <c r="D2791" s="130" t="s">
        <v>29261</v>
      </c>
      <c r="E2791" s="131" t="s">
        <v>29262</v>
      </c>
      <c r="F2791" s="132">
        <v>901.0</v>
      </c>
      <c r="G2791" s="132">
        <v>910.0</v>
      </c>
      <c r="H2791" s="130" t="s">
        <v>17059</v>
      </c>
      <c r="I2791" s="19" t="s">
        <v>29266</v>
      </c>
      <c r="J2791" s="19" t="s">
        <v>29267</v>
      </c>
      <c r="K2791" s="19" t="s">
        <v>29267</v>
      </c>
      <c r="L2791" s="19" t="s">
        <v>29268</v>
      </c>
      <c r="M2791" s="20" t="s">
        <v>29269</v>
      </c>
      <c r="N2791" s="20" t="s">
        <v>29270</v>
      </c>
      <c r="O2791" s="22">
        <v>3.0</v>
      </c>
      <c r="P2791" s="28">
        <v>1.0</v>
      </c>
      <c r="Q2791" s="28">
        <v>45.0</v>
      </c>
      <c r="R2791" s="85" t="s">
        <v>19037</v>
      </c>
      <c r="S2791" s="84"/>
      <c r="T2791" s="84"/>
      <c r="U2791" s="84"/>
      <c r="V2791" s="84"/>
      <c r="W2791" s="84"/>
      <c r="X2791" s="84"/>
      <c r="Y2791" s="84"/>
      <c r="Z2791" s="84"/>
      <c r="AA2791" s="84"/>
    </row>
    <row r="2792" ht="15.75" customHeight="1">
      <c r="A2792" s="130" t="s">
        <v>4153</v>
      </c>
      <c r="B2792" s="147" t="s">
        <v>28771</v>
      </c>
      <c r="C2792" s="130" t="s">
        <v>29271</v>
      </c>
      <c r="D2792" s="130" t="s">
        <v>29272</v>
      </c>
      <c r="E2792" s="131" t="s">
        <v>29273</v>
      </c>
      <c r="F2792" s="132">
        <v>990.0</v>
      </c>
      <c r="G2792" s="132">
        <v>999.0</v>
      </c>
      <c r="H2792" s="130" t="s">
        <v>17059</v>
      </c>
      <c r="I2792" s="19" t="s">
        <v>29277</v>
      </c>
      <c r="J2792" s="19" t="s">
        <v>29278</v>
      </c>
      <c r="K2792" s="19" t="s">
        <v>29278</v>
      </c>
      <c r="L2792" s="19" t="s">
        <v>29279</v>
      </c>
      <c r="M2792" s="20" t="s">
        <v>29280</v>
      </c>
      <c r="N2792" s="20" t="s">
        <v>29281</v>
      </c>
      <c r="O2792" s="22">
        <v>0.0</v>
      </c>
      <c r="P2792" s="28">
        <v>0.0</v>
      </c>
      <c r="Q2792" s="28">
        <v>47.0</v>
      </c>
      <c r="R2792" s="84"/>
      <c r="S2792" s="84"/>
      <c r="T2792" s="84"/>
      <c r="U2792" s="84"/>
      <c r="V2792" s="84"/>
      <c r="W2792" s="84"/>
      <c r="X2792" s="84"/>
      <c r="Y2792" s="84"/>
      <c r="Z2792" s="84"/>
      <c r="AA2792" s="84"/>
    </row>
    <row r="2793" ht="15.75" customHeight="1">
      <c r="A2793" s="130" t="s">
        <v>4153</v>
      </c>
      <c r="B2793" s="147" t="s">
        <v>28771</v>
      </c>
      <c r="C2793" s="130" t="s">
        <v>29283</v>
      </c>
      <c r="D2793" s="130" t="s">
        <v>29285</v>
      </c>
      <c r="E2793" s="131" t="s">
        <v>29287</v>
      </c>
      <c r="F2793" s="132">
        <v>791.0</v>
      </c>
      <c r="G2793" s="132">
        <v>800.0</v>
      </c>
      <c r="H2793" s="130" t="s">
        <v>17059</v>
      </c>
      <c r="I2793" s="19" t="s">
        <v>29291</v>
      </c>
      <c r="J2793" s="19" t="s">
        <v>29293</v>
      </c>
      <c r="K2793" s="19" t="s">
        <v>29294</v>
      </c>
      <c r="L2793" s="19" t="s">
        <v>29295</v>
      </c>
      <c r="M2793" s="20" t="s">
        <v>29296</v>
      </c>
      <c r="N2793" s="20" t="s">
        <v>29297</v>
      </c>
      <c r="O2793" s="22">
        <v>13.0</v>
      </c>
      <c r="P2793" s="28">
        <v>13.0</v>
      </c>
      <c r="Q2793" s="28">
        <v>53.0</v>
      </c>
      <c r="R2793" s="84"/>
      <c r="S2793" s="84"/>
      <c r="T2793" s="84"/>
      <c r="U2793" s="84"/>
      <c r="V2793" s="84"/>
      <c r="W2793" s="84"/>
      <c r="X2793" s="84"/>
      <c r="Y2793" s="84"/>
      <c r="Z2793" s="84"/>
      <c r="AA2793" s="84"/>
    </row>
    <row r="2794" ht="15.75" customHeight="1">
      <c r="A2794" s="130" t="s">
        <v>4153</v>
      </c>
      <c r="B2794" s="147" t="s">
        <v>28771</v>
      </c>
      <c r="C2794" s="130" t="s">
        <v>29298</v>
      </c>
      <c r="D2794" s="130" t="s">
        <v>29299</v>
      </c>
      <c r="E2794" s="131" t="s">
        <v>29300</v>
      </c>
      <c r="F2794" s="132">
        <v>781.0</v>
      </c>
      <c r="G2794" s="132">
        <v>790.0</v>
      </c>
      <c r="H2794" s="130" t="s">
        <v>17059</v>
      </c>
      <c r="I2794" s="19" t="s">
        <v>29304</v>
      </c>
      <c r="J2794" s="19" t="s">
        <v>29305</v>
      </c>
      <c r="K2794" s="19" t="s">
        <v>29305</v>
      </c>
      <c r="L2794" s="19" t="s">
        <v>29306</v>
      </c>
      <c r="M2794" s="20" t="s">
        <v>29307</v>
      </c>
      <c r="N2794" s="20" t="s">
        <v>29308</v>
      </c>
      <c r="O2794" s="22">
        <v>0.0</v>
      </c>
      <c r="P2794" s="28">
        <v>1.0</v>
      </c>
      <c r="Q2794" s="28">
        <v>46.0</v>
      </c>
      <c r="R2794" s="84"/>
      <c r="S2794" s="84"/>
      <c r="T2794" s="84"/>
      <c r="U2794" s="84"/>
      <c r="V2794" s="84"/>
      <c r="W2794" s="84"/>
      <c r="X2794" s="84"/>
      <c r="Y2794" s="84"/>
      <c r="Z2794" s="84"/>
      <c r="AA2794" s="84"/>
    </row>
    <row r="2795" ht="15.75" customHeight="1">
      <c r="A2795" s="130" t="s">
        <v>4153</v>
      </c>
      <c r="B2795" s="147" t="s">
        <v>28771</v>
      </c>
      <c r="C2795" s="130" t="s">
        <v>29311</v>
      </c>
      <c r="D2795" s="130" t="s">
        <v>29312</v>
      </c>
      <c r="E2795" s="131" t="s">
        <v>29313</v>
      </c>
      <c r="F2795" s="132">
        <v>801.0</v>
      </c>
      <c r="G2795" s="132">
        <v>810.0</v>
      </c>
      <c r="H2795" s="130" t="s">
        <v>17059</v>
      </c>
      <c r="I2795" s="19" t="s">
        <v>29316</v>
      </c>
      <c r="J2795" s="19" t="s">
        <v>29317</v>
      </c>
      <c r="K2795" s="19" t="s">
        <v>29317</v>
      </c>
      <c r="L2795" s="19" t="s">
        <v>29318</v>
      </c>
      <c r="M2795" s="20" t="s">
        <v>29319</v>
      </c>
      <c r="N2795" s="20" t="s">
        <v>29320</v>
      </c>
      <c r="O2795" s="22">
        <v>6.0</v>
      </c>
      <c r="P2795" s="28">
        <v>3.0</v>
      </c>
      <c r="Q2795" s="28">
        <v>42.0</v>
      </c>
      <c r="R2795" s="84"/>
      <c r="S2795" s="84"/>
      <c r="T2795" s="84"/>
      <c r="U2795" s="84"/>
      <c r="V2795" s="84"/>
      <c r="W2795" s="84"/>
      <c r="X2795" s="84"/>
      <c r="Y2795" s="84"/>
      <c r="Z2795" s="84"/>
      <c r="AA2795" s="84"/>
    </row>
    <row r="2796" ht="15.75" customHeight="1">
      <c r="A2796" s="130" t="s">
        <v>4153</v>
      </c>
      <c r="B2796" s="147" t="s">
        <v>28771</v>
      </c>
      <c r="C2796" s="130" t="s">
        <v>29322</v>
      </c>
      <c r="D2796" s="130" t="s">
        <v>29323</v>
      </c>
      <c r="E2796" s="131" t="s">
        <v>29324</v>
      </c>
      <c r="F2796" s="132">
        <v>811.0</v>
      </c>
      <c r="G2796" s="132">
        <v>820.0</v>
      </c>
      <c r="H2796" s="130" t="s">
        <v>17059</v>
      </c>
      <c r="I2796" s="19" t="s">
        <v>29327</v>
      </c>
      <c r="J2796" s="19" t="s">
        <v>29328</v>
      </c>
      <c r="K2796" s="19" t="s">
        <v>29328</v>
      </c>
      <c r="L2796" s="19" t="s">
        <v>29329</v>
      </c>
      <c r="M2796" s="20" t="s">
        <v>29330</v>
      </c>
      <c r="N2796" s="20" t="s">
        <v>29331</v>
      </c>
      <c r="O2796" s="22">
        <v>4.0</v>
      </c>
      <c r="P2796" s="28">
        <v>6.0</v>
      </c>
      <c r="Q2796" s="28">
        <v>52.0</v>
      </c>
      <c r="R2796" s="85" t="s">
        <v>19037</v>
      </c>
      <c r="S2796" s="84"/>
      <c r="T2796" s="84"/>
      <c r="U2796" s="84"/>
      <c r="V2796" s="84"/>
      <c r="W2796" s="84"/>
      <c r="X2796" s="84"/>
      <c r="Y2796" s="84"/>
      <c r="Z2796" s="84"/>
      <c r="AA2796" s="84"/>
    </row>
    <row r="2797" ht="15.75" customHeight="1">
      <c r="A2797" s="130" t="s">
        <v>4153</v>
      </c>
      <c r="B2797" s="147" t="s">
        <v>28771</v>
      </c>
      <c r="C2797" s="130" t="s">
        <v>29332</v>
      </c>
      <c r="D2797" s="130" t="s">
        <v>29333</v>
      </c>
      <c r="E2797" s="131" t="s">
        <v>29334</v>
      </c>
      <c r="F2797" s="132">
        <v>711.0</v>
      </c>
      <c r="G2797" s="132">
        <v>720.0</v>
      </c>
      <c r="H2797" s="130" t="s">
        <v>17059</v>
      </c>
      <c r="I2797" s="19" t="s">
        <v>29336</v>
      </c>
      <c r="J2797" s="19" t="s">
        <v>29337</v>
      </c>
      <c r="K2797" s="19" t="s">
        <v>29338</v>
      </c>
      <c r="L2797" s="19" t="s">
        <v>29339</v>
      </c>
      <c r="M2797" s="20" t="s">
        <v>29342</v>
      </c>
      <c r="N2797" s="20" t="s">
        <v>29343</v>
      </c>
      <c r="O2797" s="22">
        <v>2.0</v>
      </c>
      <c r="P2797" s="28">
        <v>2.0</v>
      </c>
      <c r="Q2797" s="28">
        <v>53.0</v>
      </c>
      <c r="R2797" s="84"/>
      <c r="S2797" s="84"/>
      <c r="T2797" s="84"/>
      <c r="U2797" s="84"/>
      <c r="V2797" s="84"/>
      <c r="W2797" s="84"/>
      <c r="X2797" s="84"/>
      <c r="Y2797" s="84"/>
      <c r="Z2797" s="84"/>
      <c r="AA2797" s="84"/>
    </row>
    <row r="2798" ht="15.75" customHeight="1">
      <c r="A2798" s="130" t="s">
        <v>4153</v>
      </c>
      <c r="B2798" s="147" t="s">
        <v>28771</v>
      </c>
      <c r="C2798" s="130" t="s">
        <v>29344</v>
      </c>
      <c r="D2798" s="130" t="s">
        <v>29346</v>
      </c>
      <c r="E2798" s="131" t="s">
        <v>29347</v>
      </c>
      <c r="F2798" s="132">
        <v>721.0</v>
      </c>
      <c r="G2798" s="132">
        <v>730.0</v>
      </c>
      <c r="H2798" s="130" t="s">
        <v>17059</v>
      </c>
      <c r="I2798" s="19" t="s">
        <v>29349</v>
      </c>
      <c r="J2798" s="19" t="s">
        <v>29350</v>
      </c>
      <c r="K2798" s="19" t="s">
        <v>29350</v>
      </c>
      <c r="L2798" s="19" t="s">
        <v>29351</v>
      </c>
      <c r="M2798" s="20" t="s">
        <v>29352</v>
      </c>
      <c r="N2798" s="20" t="s">
        <v>29353</v>
      </c>
      <c r="O2798" s="22">
        <v>0.0</v>
      </c>
      <c r="P2798" s="28">
        <v>0.0</v>
      </c>
      <c r="Q2798" s="28">
        <v>44.0</v>
      </c>
      <c r="R2798" s="84"/>
      <c r="S2798" s="84"/>
      <c r="T2798" s="84"/>
      <c r="U2798" s="84"/>
      <c r="V2798" s="84"/>
      <c r="W2798" s="84"/>
      <c r="X2798" s="84"/>
      <c r="Y2798" s="84"/>
      <c r="Z2798" s="84"/>
      <c r="AA2798" s="84"/>
    </row>
    <row r="2799" ht="15.75" customHeight="1">
      <c r="A2799" s="130" t="s">
        <v>4153</v>
      </c>
      <c r="B2799" s="147" t="s">
        <v>28771</v>
      </c>
      <c r="C2799" s="130" t="s">
        <v>29355</v>
      </c>
      <c r="D2799" s="130" t="s">
        <v>29356</v>
      </c>
      <c r="E2799" s="131" t="s">
        <v>29357</v>
      </c>
      <c r="F2799" s="132">
        <v>751.0</v>
      </c>
      <c r="G2799" s="132">
        <v>760.0</v>
      </c>
      <c r="H2799" s="130" t="s">
        <v>17059</v>
      </c>
      <c r="I2799" s="19" t="s">
        <v>29360</v>
      </c>
      <c r="J2799" s="19" t="s">
        <v>29361</v>
      </c>
      <c r="K2799" s="19" t="s">
        <v>29362</v>
      </c>
      <c r="L2799" s="19" t="s">
        <v>29363</v>
      </c>
      <c r="M2799" s="20" t="s">
        <v>29364</v>
      </c>
      <c r="N2799" s="20" t="s">
        <v>29365</v>
      </c>
      <c r="O2799" s="22">
        <v>1.0</v>
      </c>
      <c r="P2799" s="28">
        <v>5.0</v>
      </c>
      <c r="Q2799" s="28">
        <v>38.0</v>
      </c>
      <c r="R2799" s="84"/>
      <c r="S2799" s="84"/>
      <c r="T2799" s="84"/>
      <c r="U2799" s="84"/>
      <c r="V2799" s="84"/>
      <c r="W2799" s="84"/>
      <c r="X2799" s="84"/>
      <c r="Y2799" s="84"/>
      <c r="Z2799" s="84"/>
      <c r="AA2799" s="84"/>
    </row>
    <row r="2800" ht="15.75" customHeight="1">
      <c r="A2800" s="130" t="s">
        <v>4153</v>
      </c>
      <c r="B2800" s="147" t="s">
        <v>28771</v>
      </c>
      <c r="C2800" s="130" t="s">
        <v>29366</v>
      </c>
      <c r="D2800" s="130" t="s">
        <v>29367</v>
      </c>
      <c r="E2800" s="131" t="s">
        <v>29368</v>
      </c>
      <c r="F2800" s="132">
        <v>761.0</v>
      </c>
      <c r="G2800" s="132">
        <v>770.0</v>
      </c>
      <c r="H2800" s="130" t="s">
        <v>17059</v>
      </c>
      <c r="I2800" s="19" t="s">
        <v>29372</v>
      </c>
      <c r="J2800" s="19" t="s">
        <v>29373</v>
      </c>
      <c r="K2800" s="19" t="s">
        <v>29374</v>
      </c>
      <c r="L2800" s="19" t="s">
        <v>29375</v>
      </c>
      <c r="M2800" s="20" t="s">
        <v>29376</v>
      </c>
      <c r="N2800" s="20" t="s">
        <v>29377</v>
      </c>
      <c r="O2800" s="22">
        <v>4.0</v>
      </c>
      <c r="P2800" s="28">
        <v>4.0</v>
      </c>
      <c r="Q2800" s="28">
        <v>47.0</v>
      </c>
      <c r="R2800" s="84"/>
      <c r="S2800" s="84"/>
      <c r="T2800" s="84"/>
      <c r="U2800" s="84"/>
      <c r="V2800" s="84"/>
      <c r="W2800" s="84"/>
      <c r="X2800" s="84"/>
      <c r="Y2800" s="84"/>
      <c r="Z2800" s="84"/>
      <c r="AA2800" s="84"/>
    </row>
    <row r="2801" ht="15.75" customHeight="1">
      <c r="A2801" s="130" t="s">
        <v>4153</v>
      </c>
      <c r="B2801" s="147" t="s">
        <v>28771</v>
      </c>
      <c r="C2801" s="130" t="s">
        <v>29380</v>
      </c>
      <c r="D2801" s="130" t="s">
        <v>29381</v>
      </c>
      <c r="E2801" s="131" t="s">
        <v>29382</v>
      </c>
      <c r="F2801" s="132">
        <v>701.0</v>
      </c>
      <c r="G2801" s="132">
        <v>710.0</v>
      </c>
      <c r="H2801" s="130" t="s">
        <v>17059</v>
      </c>
      <c r="I2801" s="19" t="s">
        <v>29385</v>
      </c>
      <c r="J2801" s="19" t="s">
        <v>29386</v>
      </c>
      <c r="K2801" s="19" t="s">
        <v>29387</v>
      </c>
      <c r="L2801" s="19" t="s">
        <v>29388</v>
      </c>
      <c r="M2801" s="20" t="s">
        <v>29389</v>
      </c>
      <c r="N2801" s="20" t="s">
        <v>29391</v>
      </c>
      <c r="O2801" s="22">
        <v>5.0</v>
      </c>
      <c r="P2801" s="28">
        <v>6.0</v>
      </c>
      <c r="Q2801" s="28">
        <v>64.0</v>
      </c>
      <c r="R2801" s="84"/>
      <c r="S2801" s="84"/>
      <c r="T2801" s="84"/>
      <c r="U2801" s="84"/>
      <c r="V2801" s="84"/>
      <c r="W2801" s="84"/>
      <c r="X2801" s="84"/>
      <c r="Y2801" s="84"/>
      <c r="Z2801" s="84"/>
      <c r="AA2801" s="84"/>
    </row>
    <row r="2802" ht="15.75" customHeight="1">
      <c r="A2802" s="130" t="s">
        <v>4153</v>
      </c>
      <c r="B2802" s="147" t="s">
        <v>28771</v>
      </c>
      <c r="C2802" s="130" t="s">
        <v>29393</v>
      </c>
      <c r="D2802" s="130" t="s">
        <v>29394</v>
      </c>
      <c r="E2802" s="131" t="s">
        <v>29395</v>
      </c>
      <c r="F2802" s="132">
        <v>731.0</v>
      </c>
      <c r="G2802" s="132">
        <v>740.0</v>
      </c>
      <c r="H2802" s="130" t="s">
        <v>17059</v>
      </c>
      <c r="I2802" s="19" t="s">
        <v>29398</v>
      </c>
      <c r="J2802" s="19" t="s">
        <v>29399</v>
      </c>
      <c r="K2802" s="19" t="s">
        <v>29400</v>
      </c>
      <c r="L2802" s="19" t="s">
        <v>29401</v>
      </c>
      <c r="M2802" s="20" t="s">
        <v>29402</v>
      </c>
      <c r="N2802" s="20" t="s">
        <v>29403</v>
      </c>
      <c r="O2802" s="22">
        <v>2.0</v>
      </c>
      <c r="P2802" s="28">
        <v>4.0</v>
      </c>
      <c r="Q2802" s="28">
        <v>52.0</v>
      </c>
      <c r="R2802" s="84"/>
      <c r="S2802" s="84"/>
      <c r="T2802" s="84"/>
      <c r="U2802" s="84"/>
      <c r="V2802" s="84"/>
      <c r="W2802" s="84"/>
      <c r="X2802" s="84"/>
      <c r="Y2802" s="84"/>
      <c r="Z2802" s="84"/>
      <c r="AA2802" s="84"/>
    </row>
    <row r="2803" ht="15.75" customHeight="1">
      <c r="A2803" s="130" t="s">
        <v>4153</v>
      </c>
      <c r="B2803" s="147" t="s">
        <v>28771</v>
      </c>
      <c r="C2803" s="130" t="s">
        <v>29404</v>
      </c>
      <c r="D2803" s="130" t="s">
        <v>29405</v>
      </c>
      <c r="E2803" s="131" t="s">
        <v>29408</v>
      </c>
      <c r="F2803" s="132">
        <v>741.0</v>
      </c>
      <c r="G2803" s="132">
        <v>750.0</v>
      </c>
      <c r="H2803" s="130" t="s">
        <v>17059</v>
      </c>
      <c r="I2803" s="19" t="s">
        <v>29411</v>
      </c>
      <c r="J2803" s="19" t="s">
        <v>29412</v>
      </c>
      <c r="K2803" s="19" t="s">
        <v>29413</v>
      </c>
      <c r="L2803" s="19" t="s">
        <v>29414</v>
      </c>
      <c r="M2803" s="20" t="s">
        <v>29415</v>
      </c>
      <c r="N2803" s="20" t="s">
        <v>29417</v>
      </c>
      <c r="O2803" s="22">
        <v>3.0</v>
      </c>
      <c r="P2803" s="28">
        <v>3.0</v>
      </c>
      <c r="Q2803" s="28">
        <v>51.0</v>
      </c>
      <c r="R2803" s="84"/>
      <c r="S2803" s="84"/>
      <c r="T2803" s="84"/>
      <c r="U2803" s="84"/>
      <c r="V2803" s="84"/>
      <c r="W2803" s="84"/>
      <c r="X2803" s="84"/>
      <c r="Y2803" s="84"/>
      <c r="Z2803" s="84"/>
      <c r="AA2803" s="84"/>
    </row>
    <row r="2804" ht="15.75" customHeight="1">
      <c r="A2804" s="130" t="s">
        <v>4153</v>
      </c>
      <c r="B2804" s="147" t="s">
        <v>28771</v>
      </c>
      <c r="C2804" s="130" t="s">
        <v>29418</v>
      </c>
      <c r="D2804" s="130" t="s">
        <v>29419</v>
      </c>
      <c r="E2804" s="131" t="s">
        <v>29420</v>
      </c>
      <c r="F2804" s="132">
        <v>771.0</v>
      </c>
      <c r="G2804" s="132">
        <v>780.0</v>
      </c>
      <c r="H2804" s="130" t="s">
        <v>17059</v>
      </c>
      <c r="I2804" s="19" t="s">
        <v>29422</v>
      </c>
      <c r="J2804" s="19" t="s">
        <v>29423</v>
      </c>
      <c r="K2804" s="19" t="s">
        <v>29424</v>
      </c>
      <c r="L2804" s="19" t="s">
        <v>29425</v>
      </c>
      <c r="M2804" s="20" t="s">
        <v>29426</v>
      </c>
      <c r="N2804" s="20" t="s">
        <v>29427</v>
      </c>
      <c r="O2804" s="22">
        <v>12.0</v>
      </c>
      <c r="P2804" s="28">
        <v>9.0</v>
      </c>
      <c r="Q2804" s="28">
        <v>48.0</v>
      </c>
      <c r="R2804" s="84"/>
      <c r="S2804" s="84"/>
      <c r="T2804" s="84"/>
      <c r="U2804" s="84"/>
      <c r="V2804" s="84"/>
      <c r="W2804" s="84"/>
      <c r="X2804" s="84"/>
      <c r="Y2804" s="84"/>
      <c r="Z2804" s="84"/>
      <c r="AA2804" s="84"/>
    </row>
    <row r="2805" ht="15.75" customHeight="1">
      <c r="A2805" s="130" t="s">
        <v>4153</v>
      </c>
      <c r="B2805" s="147" t="s">
        <v>28771</v>
      </c>
      <c r="C2805" s="130" t="s">
        <v>29428</v>
      </c>
      <c r="D2805" s="130" t="s">
        <v>29429</v>
      </c>
      <c r="E2805" s="131" t="s">
        <v>29430</v>
      </c>
      <c r="F2805" s="132">
        <v>821.0</v>
      </c>
      <c r="G2805" s="132">
        <v>830.0</v>
      </c>
      <c r="H2805" s="130" t="s">
        <v>17059</v>
      </c>
      <c r="I2805" s="19" t="s">
        <v>29434</v>
      </c>
      <c r="J2805" s="19" t="s">
        <v>29435</v>
      </c>
      <c r="K2805" s="19" t="s">
        <v>29437</v>
      </c>
      <c r="L2805" s="19" t="s">
        <v>29438</v>
      </c>
      <c r="M2805" s="20" t="s">
        <v>29439</v>
      </c>
      <c r="N2805" s="20" t="s">
        <v>29440</v>
      </c>
      <c r="O2805" s="22">
        <v>3.0</v>
      </c>
      <c r="P2805" s="28">
        <v>4.0</v>
      </c>
      <c r="Q2805" s="28">
        <v>60.0</v>
      </c>
      <c r="R2805" s="84"/>
      <c r="S2805" s="84"/>
      <c r="T2805" s="84"/>
      <c r="U2805" s="84"/>
      <c r="V2805" s="84"/>
      <c r="W2805" s="84"/>
      <c r="X2805" s="84"/>
      <c r="Y2805" s="84"/>
      <c r="Z2805" s="84"/>
      <c r="AA2805" s="84"/>
    </row>
    <row r="2806" ht="15.75" customHeight="1">
      <c r="A2806" s="130" t="s">
        <v>4153</v>
      </c>
      <c r="B2806" s="147" t="s">
        <v>28771</v>
      </c>
      <c r="C2806" s="130" t="s">
        <v>29441</v>
      </c>
      <c r="D2806" s="130" t="s">
        <v>29442</v>
      </c>
      <c r="E2806" s="131" t="s">
        <v>29443</v>
      </c>
      <c r="F2806" s="132">
        <v>831.0</v>
      </c>
      <c r="G2806" s="132">
        <v>840.0</v>
      </c>
      <c r="H2806" s="130" t="s">
        <v>17059</v>
      </c>
      <c r="I2806" s="19" t="s">
        <v>29447</v>
      </c>
      <c r="J2806" s="19" t="s">
        <v>29448</v>
      </c>
      <c r="K2806" s="19" t="s">
        <v>29448</v>
      </c>
      <c r="L2806" s="19" t="s">
        <v>29449</v>
      </c>
      <c r="M2806" s="20" t="s">
        <v>29450</v>
      </c>
      <c r="N2806" s="20" t="s">
        <v>29451</v>
      </c>
      <c r="O2806" s="22">
        <v>6.0</v>
      </c>
      <c r="P2806" s="28">
        <v>10.0</v>
      </c>
      <c r="Q2806" s="28">
        <v>52.0</v>
      </c>
      <c r="R2806" s="84"/>
      <c r="S2806" s="84"/>
      <c r="T2806" s="84"/>
      <c r="U2806" s="84"/>
      <c r="V2806" s="84"/>
      <c r="W2806" s="84"/>
      <c r="X2806" s="84"/>
      <c r="Y2806" s="84"/>
      <c r="Z2806" s="84"/>
      <c r="AA2806" s="84"/>
    </row>
    <row r="2807" ht="15.75" customHeight="1">
      <c r="A2807" s="130" t="s">
        <v>4153</v>
      </c>
      <c r="B2807" s="147" t="s">
        <v>28771</v>
      </c>
      <c r="C2807" s="130" t="s">
        <v>29454</v>
      </c>
      <c r="D2807" s="130" t="s">
        <v>29455</v>
      </c>
      <c r="E2807" s="131" t="s">
        <v>29456</v>
      </c>
      <c r="F2807" s="132">
        <v>841.0</v>
      </c>
      <c r="G2807" s="132">
        <v>850.0</v>
      </c>
      <c r="H2807" s="130" t="s">
        <v>17059</v>
      </c>
      <c r="I2807" s="19" t="s">
        <v>29457</v>
      </c>
      <c r="J2807" s="19" t="s">
        <v>29459</v>
      </c>
      <c r="K2807" s="19" t="s">
        <v>29459</v>
      </c>
      <c r="L2807" s="19" t="s">
        <v>29462</v>
      </c>
      <c r="M2807" s="20" t="s">
        <v>29463</v>
      </c>
      <c r="N2807" s="20" t="s">
        <v>29465</v>
      </c>
      <c r="O2807" s="22">
        <v>6.0</v>
      </c>
      <c r="P2807" s="28">
        <v>7.0</v>
      </c>
      <c r="Q2807" s="28">
        <v>46.0</v>
      </c>
      <c r="R2807" s="84"/>
      <c r="S2807" s="84"/>
      <c r="T2807" s="84"/>
      <c r="U2807" s="84"/>
      <c r="V2807" s="84"/>
      <c r="W2807" s="84"/>
      <c r="X2807" s="84"/>
      <c r="Y2807" s="84"/>
      <c r="Z2807" s="84"/>
      <c r="AA2807" s="84"/>
    </row>
    <row r="2808" ht="15.75" customHeight="1">
      <c r="A2808" s="130" t="s">
        <v>4153</v>
      </c>
      <c r="B2808" s="147" t="s">
        <v>28771</v>
      </c>
      <c r="C2808" s="130" t="s">
        <v>29466</v>
      </c>
      <c r="D2808" s="130" t="s">
        <v>29467</v>
      </c>
      <c r="E2808" s="131" t="s">
        <v>29468</v>
      </c>
      <c r="F2808" s="132">
        <v>851.0</v>
      </c>
      <c r="G2808" s="132">
        <v>860.0</v>
      </c>
      <c r="H2808" s="130" t="s">
        <v>17059</v>
      </c>
      <c r="I2808" s="19" t="s">
        <v>29471</v>
      </c>
      <c r="J2808" s="19" t="s">
        <v>29472</v>
      </c>
      <c r="K2808" s="19" t="s">
        <v>29472</v>
      </c>
      <c r="L2808" s="19" t="s">
        <v>29473</v>
      </c>
      <c r="M2808" s="20" t="s">
        <v>29474</v>
      </c>
      <c r="N2808" s="20" t="s">
        <v>29475</v>
      </c>
      <c r="O2808" s="22">
        <v>4.0</v>
      </c>
      <c r="P2808" s="28">
        <v>3.0</v>
      </c>
      <c r="Q2808" s="28">
        <v>41.0</v>
      </c>
      <c r="R2808" s="84"/>
      <c r="S2808" s="84"/>
      <c r="T2808" s="84"/>
      <c r="U2808" s="84"/>
      <c r="V2808" s="84"/>
      <c r="W2808" s="84"/>
      <c r="X2808" s="84"/>
      <c r="Y2808" s="84"/>
      <c r="Z2808" s="84"/>
      <c r="AA2808" s="84"/>
    </row>
    <row r="2809" ht="15.75" customHeight="1">
      <c r="A2809" s="130" t="s">
        <v>4153</v>
      </c>
      <c r="B2809" s="147" t="s">
        <v>28771</v>
      </c>
      <c r="C2809" s="130" t="s">
        <v>29476</v>
      </c>
      <c r="D2809" s="130" t="s">
        <v>29477</v>
      </c>
      <c r="E2809" s="131" t="s">
        <v>29478</v>
      </c>
      <c r="F2809" s="132">
        <v>980.0</v>
      </c>
      <c r="G2809" s="132">
        <v>989.0</v>
      </c>
      <c r="H2809" s="130" t="s">
        <v>17059</v>
      </c>
      <c r="I2809" s="19" t="s">
        <v>29482</v>
      </c>
      <c r="J2809" s="19" t="s">
        <v>29483</v>
      </c>
      <c r="K2809" s="19" t="s">
        <v>29483</v>
      </c>
      <c r="L2809" s="19" t="s">
        <v>29484</v>
      </c>
      <c r="M2809" s="20" t="s">
        <v>29485</v>
      </c>
      <c r="N2809" s="20" t="s">
        <v>29486</v>
      </c>
      <c r="O2809" s="22">
        <v>4.0</v>
      </c>
      <c r="P2809" s="28">
        <v>2.0</v>
      </c>
      <c r="Q2809" s="28">
        <v>20.0</v>
      </c>
      <c r="R2809" s="84"/>
      <c r="S2809" s="84"/>
      <c r="T2809" s="84"/>
      <c r="U2809" s="84"/>
      <c r="V2809" s="84"/>
      <c r="W2809" s="84"/>
      <c r="X2809" s="84"/>
      <c r="Y2809" s="84"/>
      <c r="Z2809" s="84"/>
      <c r="AA2809" s="84"/>
    </row>
    <row r="2810" ht="15.75" customHeight="1">
      <c r="A2810" s="130" t="s">
        <v>4153</v>
      </c>
      <c r="B2810" s="147" t="s">
        <v>28771</v>
      </c>
      <c r="C2810" s="130" t="s">
        <v>29487</v>
      </c>
      <c r="D2810" s="130" t="s">
        <v>29488</v>
      </c>
      <c r="E2810" s="131" t="s">
        <v>29489</v>
      </c>
      <c r="F2810" s="132">
        <v>970.0</v>
      </c>
      <c r="G2810" s="132">
        <v>979.0</v>
      </c>
      <c r="H2810" s="130" t="s">
        <v>17059</v>
      </c>
      <c r="I2810" s="19" t="s">
        <v>29496</v>
      </c>
      <c r="J2810" s="19" t="s">
        <v>26138</v>
      </c>
      <c r="K2810" s="19" t="s">
        <v>26138</v>
      </c>
      <c r="L2810" s="19" t="s">
        <v>29497</v>
      </c>
      <c r="M2810" s="20" t="s">
        <v>29498</v>
      </c>
      <c r="N2810" s="20" t="s">
        <v>29499</v>
      </c>
      <c r="O2810" s="22">
        <v>2.0</v>
      </c>
      <c r="P2810" s="28">
        <v>1.0</v>
      </c>
      <c r="Q2810" s="28">
        <v>72.0</v>
      </c>
      <c r="R2810" s="84"/>
      <c r="S2810" s="84"/>
      <c r="T2810" s="84"/>
      <c r="U2810" s="84"/>
      <c r="V2810" s="84"/>
      <c r="W2810" s="84"/>
      <c r="X2810" s="84"/>
      <c r="Y2810" s="84"/>
      <c r="Z2810" s="84"/>
      <c r="AA2810" s="84"/>
    </row>
    <row r="2811" ht="15.75" customHeight="1">
      <c r="A2811" s="130" t="s">
        <v>4153</v>
      </c>
      <c r="B2811" s="147" t="s">
        <v>28771</v>
      </c>
      <c r="C2811" s="130" t="s">
        <v>29500</v>
      </c>
      <c r="D2811" s="130" t="s">
        <v>29501</v>
      </c>
      <c r="E2811" s="131" t="s">
        <v>29502</v>
      </c>
      <c r="F2811" s="132">
        <v>960.0</v>
      </c>
      <c r="G2811" s="132">
        <v>969.0</v>
      </c>
      <c r="H2811" s="130" t="s">
        <v>17059</v>
      </c>
      <c r="I2811" s="19" t="s">
        <v>29687</v>
      </c>
      <c r="J2811" s="19" t="s">
        <v>29688</v>
      </c>
      <c r="K2811" s="19" t="s">
        <v>29689</v>
      </c>
      <c r="L2811" s="19" t="s">
        <v>29690</v>
      </c>
      <c r="M2811" s="20" t="s">
        <v>29691</v>
      </c>
      <c r="N2811" s="20" t="s">
        <v>29692</v>
      </c>
      <c r="O2811" s="22">
        <v>15.0</v>
      </c>
      <c r="P2811" s="28">
        <v>3.0</v>
      </c>
      <c r="Q2811" s="28">
        <v>48.0</v>
      </c>
      <c r="R2811" s="85" t="s">
        <v>106</v>
      </c>
      <c r="S2811" s="84"/>
      <c r="T2811" s="84"/>
      <c r="U2811" s="84"/>
      <c r="V2811" s="84"/>
      <c r="W2811" s="84"/>
      <c r="X2811" s="84"/>
      <c r="Y2811" s="84"/>
      <c r="Z2811" s="84"/>
      <c r="AA2811" s="84"/>
    </row>
    <row r="2812" ht="15.75" customHeight="1">
      <c r="A2812" s="130" t="s">
        <v>4153</v>
      </c>
      <c r="B2812" s="147" t="s">
        <v>28771</v>
      </c>
      <c r="C2812" s="130" t="s">
        <v>29693</v>
      </c>
      <c r="D2812" s="130" t="s">
        <v>29694</v>
      </c>
      <c r="E2812" s="131" t="s">
        <v>29695</v>
      </c>
      <c r="F2812" s="132">
        <v>950.0</v>
      </c>
      <c r="G2812" s="132">
        <v>959.0</v>
      </c>
      <c r="H2812" s="130" t="s">
        <v>17059</v>
      </c>
      <c r="I2812" s="19" t="s">
        <v>29699</v>
      </c>
      <c r="J2812" s="19" t="s">
        <v>29700</v>
      </c>
      <c r="K2812" s="19" t="s">
        <v>29700</v>
      </c>
      <c r="L2812" s="19" t="s">
        <v>29701</v>
      </c>
      <c r="M2812" s="20" t="s">
        <v>29702</v>
      </c>
      <c r="N2812" s="20" t="s">
        <v>29703</v>
      </c>
      <c r="O2812" s="22">
        <v>3.0</v>
      </c>
      <c r="P2812" s="28">
        <v>2.0</v>
      </c>
      <c r="Q2812" s="28">
        <v>30.0</v>
      </c>
      <c r="R2812" s="84"/>
      <c r="S2812" s="84"/>
      <c r="T2812" s="84"/>
      <c r="U2812" s="84"/>
      <c r="V2812" s="84"/>
      <c r="W2812" s="84"/>
      <c r="X2812" s="84"/>
      <c r="Y2812" s="84"/>
      <c r="Z2812" s="84"/>
      <c r="AA2812" s="84"/>
    </row>
    <row r="2813" ht="15.75" customHeight="1">
      <c r="A2813" s="130" t="s">
        <v>4153</v>
      </c>
      <c r="B2813" s="147" t="s">
        <v>28771</v>
      </c>
      <c r="C2813" s="130" t="s">
        <v>29704</v>
      </c>
      <c r="D2813" s="130" t="s">
        <v>29706</v>
      </c>
      <c r="E2813" s="131" t="s">
        <v>29707</v>
      </c>
      <c r="F2813" s="132">
        <v>941.0</v>
      </c>
      <c r="G2813" s="132">
        <v>949.0</v>
      </c>
      <c r="H2813" s="130" t="s">
        <v>17059</v>
      </c>
      <c r="I2813" s="19" t="s">
        <v>29709</v>
      </c>
      <c r="J2813" s="19" t="s">
        <v>29711</v>
      </c>
      <c r="K2813" s="19" t="s">
        <v>29712</v>
      </c>
      <c r="L2813" s="19" t="s">
        <v>29713</v>
      </c>
      <c r="M2813" s="20" t="s">
        <v>29714</v>
      </c>
      <c r="N2813" s="20" t="s">
        <v>29716</v>
      </c>
      <c r="O2813" s="22">
        <v>0.0</v>
      </c>
      <c r="P2813" s="28">
        <v>1.0</v>
      </c>
      <c r="Q2813" s="28">
        <v>42.0</v>
      </c>
      <c r="R2813" s="84"/>
      <c r="S2813" s="84"/>
      <c r="T2813" s="84"/>
      <c r="U2813" s="84"/>
      <c r="V2813" s="84"/>
      <c r="W2813" s="84"/>
      <c r="X2813" s="84"/>
      <c r="Y2813" s="84"/>
      <c r="Z2813" s="84"/>
      <c r="AA2813" s="84"/>
    </row>
    <row r="2814" ht="15.75" customHeight="1">
      <c r="A2814" s="130" t="s">
        <v>4153</v>
      </c>
      <c r="B2814" s="147" t="s">
        <v>28771</v>
      </c>
      <c r="C2814" s="130" t="s">
        <v>29717</v>
      </c>
      <c r="D2814" s="130" t="s">
        <v>29718</v>
      </c>
      <c r="E2814" s="131" t="s">
        <v>29719</v>
      </c>
      <c r="F2814" s="132">
        <v>931.0</v>
      </c>
      <c r="G2814" s="132">
        <v>940.0</v>
      </c>
      <c r="H2814" s="130" t="s">
        <v>17059</v>
      </c>
      <c r="I2814" s="19" t="s">
        <v>29722</v>
      </c>
      <c r="J2814" s="19" t="s">
        <v>29723</v>
      </c>
      <c r="K2814" s="19" t="s">
        <v>29724</v>
      </c>
      <c r="L2814" s="19" t="s">
        <v>29725</v>
      </c>
      <c r="M2814" s="20" t="s">
        <v>29726</v>
      </c>
      <c r="N2814" s="20"/>
      <c r="O2814" s="22">
        <v>17.0</v>
      </c>
      <c r="P2814" s="28">
        <v>12.0</v>
      </c>
      <c r="Q2814" s="28">
        <v>51.0</v>
      </c>
      <c r="R2814" s="84"/>
      <c r="S2814" s="84"/>
      <c r="T2814" s="84"/>
      <c r="U2814" s="84"/>
      <c r="V2814" s="84"/>
      <c r="W2814" s="84"/>
      <c r="X2814" s="84"/>
      <c r="Y2814" s="84"/>
      <c r="Z2814" s="84"/>
      <c r="AA2814" s="84"/>
    </row>
    <row r="2815" ht="15.75" customHeight="1">
      <c r="A2815" s="130" t="s">
        <v>4153</v>
      </c>
      <c r="B2815" s="147" t="s">
        <v>28771</v>
      </c>
      <c r="C2815" s="130" t="s">
        <v>29727</v>
      </c>
      <c r="D2815" s="130" t="s">
        <v>29728</v>
      </c>
      <c r="E2815" s="131" t="s">
        <v>29729</v>
      </c>
      <c r="F2815" s="132">
        <v>921.0</v>
      </c>
      <c r="G2815" s="132">
        <v>930.0</v>
      </c>
      <c r="H2815" s="130" t="s">
        <v>17059</v>
      </c>
      <c r="I2815" s="19" t="s">
        <v>29732</v>
      </c>
      <c r="J2815" s="19" t="s">
        <v>29734</v>
      </c>
      <c r="K2815" s="19" t="s">
        <v>29734</v>
      </c>
      <c r="L2815" s="19" t="s">
        <v>29736</v>
      </c>
      <c r="M2815" s="20" t="s">
        <v>29737</v>
      </c>
      <c r="N2815" s="20" t="s">
        <v>29738</v>
      </c>
      <c r="O2815" s="22">
        <v>2.0</v>
      </c>
      <c r="P2815" s="28">
        <v>2.0</v>
      </c>
      <c r="Q2815" s="28">
        <v>47.0</v>
      </c>
      <c r="R2815" s="84"/>
      <c r="S2815" s="84"/>
      <c r="T2815" s="84"/>
      <c r="U2815" s="84"/>
      <c r="V2815" s="84"/>
      <c r="W2815" s="84"/>
      <c r="X2815" s="84"/>
      <c r="Y2815" s="84"/>
      <c r="Z2815" s="84"/>
      <c r="AA2815" s="84"/>
    </row>
    <row r="2816" ht="15.75" customHeight="1">
      <c r="A2816" s="130" t="s">
        <v>4153</v>
      </c>
      <c r="B2816" s="147" t="s">
        <v>28771</v>
      </c>
      <c r="C2816" s="130" t="s">
        <v>29740</v>
      </c>
      <c r="D2816" s="130" t="s">
        <v>29741</v>
      </c>
      <c r="E2816" s="131" t="s">
        <v>29742</v>
      </c>
      <c r="F2816" s="132">
        <v>911.0</v>
      </c>
      <c r="G2816" s="132">
        <v>920.0</v>
      </c>
      <c r="H2816" s="130" t="s">
        <v>17059</v>
      </c>
      <c r="I2816" s="19" t="s">
        <v>29745</v>
      </c>
      <c r="J2816" s="19" t="s">
        <v>29746</v>
      </c>
      <c r="K2816" s="19" t="s">
        <v>29746</v>
      </c>
      <c r="L2816" s="19" t="s">
        <v>29747</v>
      </c>
      <c r="M2816" s="20" t="s">
        <v>27597</v>
      </c>
      <c r="N2816" s="20" t="s">
        <v>29748</v>
      </c>
      <c r="O2816" s="22">
        <v>0.0</v>
      </c>
      <c r="P2816" s="28">
        <v>0.0</v>
      </c>
      <c r="Q2816" s="28">
        <v>21.0</v>
      </c>
      <c r="R2816" s="84"/>
      <c r="S2816" s="84"/>
      <c r="T2816" s="84"/>
      <c r="U2816" s="84"/>
      <c r="V2816" s="84"/>
      <c r="W2816" s="84"/>
      <c r="X2816" s="84"/>
      <c r="Y2816" s="84"/>
      <c r="Z2816" s="84"/>
      <c r="AA2816" s="84"/>
    </row>
    <row r="2817" ht="15.75" customHeight="1">
      <c r="A2817" s="130" t="s">
        <v>4153</v>
      </c>
      <c r="B2817" s="147" t="s">
        <v>28771</v>
      </c>
      <c r="C2817" s="130" t="s">
        <v>29749</v>
      </c>
      <c r="D2817" s="130" t="s">
        <v>29750</v>
      </c>
      <c r="E2817" s="131" t="s">
        <v>29751</v>
      </c>
      <c r="F2817" s="132">
        <v>891.0</v>
      </c>
      <c r="G2817" s="132">
        <v>900.0</v>
      </c>
      <c r="H2817" s="130" t="s">
        <v>17059</v>
      </c>
      <c r="I2817" s="19" t="s">
        <v>29754</v>
      </c>
      <c r="J2817" s="19" t="s">
        <v>29755</v>
      </c>
      <c r="K2817" s="19" t="s">
        <v>29755</v>
      </c>
      <c r="L2817" s="19" t="s">
        <v>21913</v>
      </c>
      <c r="M2817" s="20" t="s">
        <v>29756</v>
      </c>
      <c r="N2817" s="20" t="s">
        <v>29757</v>
      </c>
      <c r="O2817" s="22">
        <v>3.0</v>
      </c>
      <c r="P2817" s="28">
        <v>4.0</v>
      </c>
      <c r="Q2817" s="28">
        <v>48.0</v>
      </c>
      <c r="R2817" s="84"/>
      <c r="S2817" s="84"/>
      <c r="T2817" s="84"/>
      <c r="U2817" s="84"/>
      <c r="V2817" s="84"/>
      <c r="W2817" s="84"/>
      <c r="X2817" s="84"/>
      <c r="Y2817" s="84"/>
      <c r="Z2817" s="84"/>
      <c r="AA2817" s="84"/>
    </row>
    <row r="2818" ht="15.75" customHeight="1">
      <c r="A2818" s="130" t="s">
        <v>4153</v>
      </c>
      <c r="B2818" s="147" t="s">
        <v>28771</v>
      </c>
      <c r="C2818" s="155" t="s">
        <v>29758</v>
      </c>
      <c r="D2818" s="130" t="s">
        <v>29761</v>
      </c>
      <c r="E2818" s="131" t="s">
        <v>29762</v>
      </c>
      <c r="F2818" s="132">
        <v>861.0</v>
      </c>
      <c r="G2818" s="132">
        <v>870.0</v>
      </c>
      <c r="H2818" s="130" t="s">
        <v>17059</v>
      </c>
      <c r="I2818" s="19" t="s">
        <v>29767</v>
      </c>
      <c r="J2818" s="19" t="s">
        <v>29768</v>
      </c>
      <c r="K2818" s="19" t="s">
        <v>29768</v>
      </c>
      <c r="L2818" s="19" t="s">
        <v>23422</v>
      </c>
      <c r="M2818" s="20" t="s">
        <v>29769</v>
      </c>
      <c r="N2818" s="20" t="s">
        <v>29770</v>
      </c>
      <c r="O2818" s="22">
        <v>0.0</v>
      </c>
      <c r="P2818" s="28">
        <v>2.0</v>
      </c>
      <c r="Q2818" s="28">
        <v>45.0</v>
      </c>
      <c r="R2818" s="84"/>
      <c r="S2818" s="84"/>
      <c r="T2818" s="84"/>
      <c r="U2818" s="84"/>
      <c r="V2818" s="84"/>
      <c r="W2818" s="84"/>
      <c r="X2818" s="84"/>
      <c r="Y2818" s="84"/>
      <c r="Z2818" s="84"/>
      <c r="AA2818" s="84"/>
    </row>
    <row r="2819" ht="15.75" customHeight="1">
      <c r="A2819" s="130" t="s">
        <v>4153</v>
      </c>
      <c r="B2819" s="147" t="s">
        <v>28771</v>
      </c>
      <c r="C2819" s="130" t="s">
        <v>29771</v>
      </c>
      <c r="D2819" s="130" t="s">
        <v>29772</v>
      </c>
      <c r="E2819" s="131" t="s">
        <v>29773</v>
      </c>
      <c r="F2819" s="132">
        <v>871.0</v>
      </c>
      <c r="G2819" s="132">
        <v>880.0</v>
      </c>
      <c r="H2819" s="130" t="s">
        <v>17059</v>
      </c>
      <c r="I2819" s="19" t="s">
        <v>29776</v>
      </c>
      <c r="J2819" s="19" t="s">
        <v>29777</v>
      </c>
      <c r="K2819" s="19" t="s">
        <v>29778</v>
      </c>
      <c r="L2819" s="19" t="s">
        <v>29779</v>
      </c>
      <c r="M2819" s="20" t="s">
        <v>29780</v>
      </c>
      <c r="N2819" s="20" t="s">
        <v>29781</v>
      </c>
      <c r="O2819" s="22">
        <v>0.0</v>
      </c>
      <c r="P2819" s="28">
        <v>5.0</v>
      </c>
      <c r="Q2819" s="28">
        <v>53.0</v>
      </c>
      <c r="R2819" s="84"/>
      <c r="S2819" s="84"/>
      <c r="T2819" s="84"/>
      <c r="U2819" s="84"/>
      <c r="V2819" s="84"/>
      <c r="W2819" s="84"/>
      <c r="X2819" s="84"/>
      <c r="Y2819" s="84"/>
      <c r="Z2819" s="84"/>
      <c r="AA2819" s="84"/>
    </row>
    <row r="2820" ht="15.75" customHeight="1">
      <c r="A2820" s="130" t="s">
        <v>4153</v>
      </c>
      <c r="B2820" s="147" t="s">
        <v>28771</v>
      </c>
      <c r="C2820" s="130" t="s">
        <v>29785</v>
      </c>
      <c r="D2820" s="130" t="s">
        <v>29786</v>
      </c>
      <c r="E2820" s="131" t="s">
        <v>29787</v>
      </c>
      <c r="F2820" s="132">
        <v>881.0</v>
      </c>
      <c r="G2820" s="132">
        <v>890.0</v>
      </c>
      <c r="H2820" s="130" t="s">
        <v>17059</v>
      </c>
      <c r="I2820" s="19" t="s">
        <v>29790</v>
      </c>
      <c r="J2820" s="19" t="s">
        <v>29791</v>
      </c>
      <c r="K2820" s="19" t="s">
        <v>29792</v>
      </c>
      <c r="L2820" s="19" t="s">
        <v>29793</v>
      </c>
      <c r="M2820" s="20" t="s">
        <v>29794</v>
      </c>
      <c r="N2820" s="20" t="s">
        <v>29795</v>
      </c>
      <c r="O2820" s="22">
        <v>8.0</v>
      </c>
      <c r="P2820" s="28">
        <v>5.0</v>
      </c>
      <c r="Q2820" s="28">
        <v>89.0</v>
      </c>
      <c r="R2820" s="84"/>
      <c r="S2820" s="84"/>
      <c r="T2820" s="84"/>
      <c r="U2820" s="84"/>
      <c r="V2820" s="84"/>
      <c r="W2820" s="84"/>
      <c r="X2820" s="84"/>
      <c r="Y2820" s="84"/>
      <c r="Z2820" s="84"/>
      <c r="AA2820" s="84"/>
    </row>
    <row r="2821" ht="15.75" customHeight="1">
      <c r="A2821" s="130" t="s">
        <v>120</v>
      </c>
      <c r="B2821" s="147" t="s">
        <v>28771</v>
      </c>
      <c r="C2821" s="130" t="s">
        <v>29796</v>
      </c>
      <c r="D2821" s="130" t="s">
        <v>29797</v>
      </c>
      <c r="E2821" s="131" t="s">
        <v>29798</v>
      </c>
      <c r="F2821" s="132">
        <v>211.0</v>
      </c>
      <c r="G2821" s="132">
        <v>220.0</v>
      </c>
      <c r="H2821" s="130" t="s">
        <v>17059</v>
      </c>
      <c r="I2821" s="19" t="s">
        <v>29801</v>
      </c>
      <c r="J2821" s="19" t="s">
        <v>29802</v>
      </c>
      <c r="K2821" s="19" t="s">
        <v>29803</v>
      </c>
      <c r="L2821" s="19" t="s">
        <v>29804</v>
      </c>
      <c r="M2821" s="20" t="s">
        <v>29805</v>
      </c>
      <c r="N2821" s="20" t="s">
        <v>29806</v>
      </c>
      <c r="O2821" s="22">
        <v>3.0</v>
      </c>
      <c r="P2821" s="28">
        <v>5.0</v>
      </c>
      <c r="Q2821" s="28">
        <v>41.0</v>
      </c>
      <c r="R2821" s="84"/>
      <c r="S2821" s="84"/>
      <c r="T2821" s="84"/>
      <c r="U2821" s="84"/>
      <c r="V2821" s="84"/>
      <c r="W2821" s="84"/>
      <c r="X2821" s="84"/>
      <c r="Y2821" s="84"/>
      <c r="Z2821" s="84"/>
      <c r="AA2821" s="84"/>
    </row>
    <row r="2822" ht="15.75" customHeight="1">
      <c r="A2822" s="130" t="s">
        <v>120</v>
      </c>
      <c r="B2822" s="147" t="s">
        <v>28771</v>
      </c>
      <c r="C2822" s="130" t="s">
        <v>29808</v>
      </c>
      <c r="D2822" s="130" t="s">
        <v>29810</v>
      </c>
      <c r="E2822" s="131" t="s">
        <v>29811</v>
      </c>
      <c r="F2822" s="132">
        <v>11.0</v>
      </c>
      <c r="G2822" s="132">
        <v>20.0</v>
      </c>
      <c r="H2822" s="130" t="s">
        <v>17059</v>
      </c>
      <c r="I2822" s="19" t="s">
        <v>29814</v>
      </c>
      <c r="J2822" s="19" t="s">
        <v>29815</v>
      </c>
      <c r="K2822" s="19" t="s">
        <v>29816</v>
      </c>
      <c r="L2822" s="19" t="s">
        <v>29817</v>
      </c>
      <c r="M2822" s="20" t="s">
        <v>29818</v>
      </c>
      <c r="N2822" s="20" t="s">
        <v>29819</v>
      </c>
      <c r="O2822" s="22">
        <v>22.0</v>
      </c>
      <c r="P2822" s="28">
        <v>25.0</v>
      </c>
      <c r="Q2822" s="28">
        <v>44.0</v>
      </c>
      <c r="R2822" s="84"/>
      <c r="S2822" s="84"/>
      <c r="T2822" s="84"/>
      <c r="U2822" s="84"/>
      <c r="V2822" s="84"/>
      <c r="W2822" s="84"/>
      <c r="X2822" s="84"/>
      <c r="Y2822" s="84"/>
      <c r="Z2822" s="84"/>
      <c r="AA2822" s="84"/>
    </row>
    <row r="2823" ht="15.75" customHeight="1">
      <c r="A2823" s="130" t="s">
        <v>120</v>
      </c>
      <c r="B2823" s="147" t="s">
        <v>28771</v>
      </c>
      <c r="C2823" s="130" t="s">
        <v>29820</v>
      </c>
      <c r="D2823" s="130" t="s">
        <v>29821</v>
      </c>
      <c r="E2823" s="131" t="s">
        <v>29822</v>
      </c>
      <c r="F2823" s="132">
        <v>1.0</v>
      </c>
      <c r="G2823" s="132">
        <v>10.0</v>
      </c>
      <c r="H2823" s="130" t="s">
        <v>17059</v>
      </c>
      <c r="I2823" s="19" t="s">
        <v>29825</v>
      </c>
      <c r="J2823" s="19" t="s">
        <v>29826</v>
      </c>
      <c r="K2823" s="19" t="s">
        <v>29827</v>
      </c>
      <c r="L2823" s="19" t="s">
        <v>29828</v>
      </c>
      <c r="M2823" s="20" t="s">
        <v>29829</v>
      </c>
      <c r="N2823" s="20" t="s">
        <v>29830</v>
      </c>
      <c r="O2823" s="22">
        <v>31.0</v>
      </c>
      <c r="P2823" s="28">
        <v>28.0</v>
      </c>
      <c r="Q2823" s="28">
        <v>51.0</v>
      </c>
      <c r="R2823" s="84"/>
      <c r="S2823" s="84"/>
      <c r="T2823" s="84"/>
      <c r="U2823" s="84"/>
      <c r="V2823" s="84"/>
      <c r="W2823" s="84"/>
      <c r="X2823" s="84"/>
      <c r="Y2823" s="84"/>
      <c r="Z2823" s="84"/>
      <c r="AA2823" s="84"/>
    </row>
    <row r="2824" ht="15.75" customHeight="1">
      <c r="A2824" s="130" t="s">
        <v>120</v>
      </c>
      <c r="B2824" s="147" t="s">
        <v>28771</v>
      </c>
      <c r="C2824" s="130" t="s">
        <v>29907</v>
      </c>
      <c r="D2824" s="130" t="s">
        <v>29908</v>
      </c>
      <c r="E2824" s="131" t="s">
        <v>29909</v>
      </c>
      <c r="F2824" s="132">
        <v>201.0</v>
      </c>
      <c r="G2824" s="132">
        <v>210.0</v>
      </c>
      <c r="H2824" s="130" t="s">
        <v>17059</v>
      </c>
      <c r="I2824" s="19" t="s">
        <v>29913</v>
      </c>
      <c r="J2824" s="19" t="s">
        <v>29914</v>
      </c>
      <c r="K2824" s="19" t="s">
        <v>29914</v>
      </c>
      <c r="L2824" s="19" t="s">
        <v>29918</v>
      </c>
      <c r="M2824" s="20" t="s">
        <v>29919</v>
      </c>
      <c r="N2824" s="20" t="s">
        <v>29920</v>
      </c>
      <c r="O2824" s="22">
        <v>4.0</v>
      </c>
      <c r="P2824" s="28">
        <v>8.0</v>
      </c>
      <c r="Q2824" s="28">
        <v>40.0</v>
      </c>
      <c r="R2824" s="84"/>
      <c r="S2824" s="84"/>
      <c r="T2824" s="84"/>
      <c r="U2824" s="84"/>
      <c r="V2824" s="84"/>
      <c r="W2824" s="84"/>
      <c r="X2824" s="84"/>
      <c r="Y2824" s="84"/>
      <c r="Z2824" s="84"/>
      <c r="AA2824" s="84"/>
    </row>
    <row r="2825" ht="15.75" customHeight="1">
      <c r="A2825" s="130" t="s">
        <v>120</v>
      </c>
      <c r="B2825" s="147" t="s">
        <v>28771</v>
      </c>
      <c r="C2825" s="130" t="s">
        <v>29921</v>
      </c>
      <c r="D2825" s="130" t="s">
        <v>29922</v>
      </c>
      <c r="E2825" s="131" t="s">
        <v>29923</v>
      </c>
      <c r="F2825" s="132">
        <v>151.0</v>
      </c>
      <c r="G2825" s="132">
        <v>160.0</v>
      </c>
      <c r="H2825" s="130" t="s">
        <v>17059</v>
      </c>
      <c r="I2825" s="19" t="s">
        <v>29925</v>
      </c>
      <c r="J2825" s="19" t="s">
        <v>29926</v>
      </c>
      <c r="K2825" s="19" t="s">
        <v>29927</v>
      </c>
      <c r="L2825" s="19" t="s">
        <v>29928</v>
      </c>
      <c r="M2825" s="20" t="s">
        <v>29929</v>
      </c>
      <c r="N2825" s="20" t="s">
        <v>29930</v>
      </c>
      <c r="O2825" s="22">
        <v>14.0</v>
      </c>
      <c r="P2825" s="28">
        <v>12.0</v>
      </c>
      <c r="Q2825" s="28">
        <v>51.0</v>
      </c>
      <c r="R2825" s="84"/>
      <c r="S2825" s="84"/>
      <c r="T2825" s="84"/>
      <c r="U2825" s="84"/>
      <c r="V2825" s="84"/>
      <c r="W2825" s="84"/>
      <c r="X2825" s="84"/>
      <c r="Y2825" s="84"/>
      <c r="Z2825" s="84"/>
      <c r="AA2825" s="84"/>
    </row>
    <row r="2826" ht="15.75" customHeight="1">
      <c r="A2826" s="130" t="s">
        <v>120</v>
      </c>
      <c r="B2826" s="147" t="s">
        <v>28771</v>
      </c>
      <c r="C2826" s="130" t="s">
        <v>29931</v>
      </c>
      <c r="D2826" s="130" t="s">
        <v>29932</v>
      </c>
      <c r="E2826" s="131" t="s">
        <v>29934</v>
      </c>
      <c r="F2826" s="132">
        <v>221.0</v>
      </c>
      <c r="G2826" s="132">
        <v>230.0</v>
      </c>
      <c r="H2826" s="130" t="s">
        <v>17059</v>
      </c>
      <c r="I2826" s="19" t="s">
        <v>29936</v>
      </c>
      <c r="J2826" s="19" t="s">
        <v>29938</v>
      </c>
      <c r="K2826" s="19" t="s">
        <v>29938</v>
      </c>
      <c r="L2826" s="19" t="s">
        <v>29939</v>
      </c>
      <c r="M2826" s="20" t="s">
        <v>29940</v>
      </c>
      <c r="N2826" s="20" t="s">
        <v>29942</v>
      </c>
      <c r="O2826" s="22">
        <v>10.0</v>
      </c>
      <c r="P2826" s="28">
        <v>11.0</v>
      </c>
      <c r="Q2826" s="28">
        <v>54.0</v>
      </c>
      <c r="R2826" s="84"/>
      <c r="S2826" s="84"/>
      <c r="T2826" s="84"/>
      <c r="U2826" s="84"/>
      <c r="V2826" s="84"/>
      <c r="W2826" s="84"/>
      <c r="X2826" s="84"/>
      <c r="Y2826" s="84"/>
      <c r="Z2826" s="84"/>
      <c r="AA2826" s="84"/>
    </row>
    <row r="2827" ht="15.75" customHeight="1">
      <c r="A2827" s="130" t="s">
        <v>120</v>
      </c>
      <c r="B2827" s="147" t="s">
        <v>28771</v>
      </c>
      <c r="C2827" s="130" t="s">
        <v>29943</v>
      </c>
      <c r="D2827" s="130" t="s">
        <v>29944</v>
      </c>
      <c r="E2827" s="131" t="s">
        <v>29945</v>
      </c>
      <c r="F2827" s="132">
        <v>161.0</v>
      </c>
      <c r="G2827" s="132">
        <v>170.0</v>
      </c>
      <c r="H2827" s="130" t="s">
        <v>17059</v>
      </c>
      <c r="I2827" s="19" t="s">
        <v>29948</v>
      </c>
      <c r="J2827" s="19" t="s">
        <v>29949</v>
      </c>
      <c r="K2827" s="19" t="s">
        <v>29949</v>
      </c>
      <c r="L2827" s="19" t="s">
        <v>29950</v>
      </c>
      <c r="M2827" s="20" t="s">
        <v>29951</v>
      </c>
      <c r="N2827" s="20" t="s">
        <v>29952</v>
      </c>
      <c r="O2827" s="22">
        <v>7.0</v>
      </c>
      <c r="P2827" s="28">
        <v>5.0</v>
      </c>
      <c r="Q2827" s="28">
        <v>43.0</v>
      </c>
      <c r="R2827" s="84"/>
      <c r="S2827" s="84"/>
      <c r="T2827" s="84"/>
      <c r="U2827" s="84"/>
      <c r="V2827" s="84"/>
      <c r="W2827" s="84"/>
      <c r="X2827" s="84"/>
      <c r="Y2827" s="84"/>
      <c r="Z2827" s="84"/>
      <c r="AA2827" s="84"/>
    </row>
    <row r="2828" ht="15.75" customHeight="1">
      <c r="A2828" s="130" t="s">
        <v>120</v>
      </c>
      <c r="B2828" s="147" t="s">
        <v>28771</v>
      </c>
      <c r="C2828" s="130" t="s">
        <v>29953</v>
      </c>
      <c r="D2828" s="130" t="s">
        <v>29954</v>
      </c>
      <c r="E2828" s="131" t="s">
        <v>29955</v>
      </c>
      <c r="F2828" s="132">
        <v>121.0</v>
      </c>
      <c r="G2828" s="132">
        <v>130.0</v>
      </c>
      <c r="H2828" s="130" t="s">
        <v>17059</v>
      </c>
      <c r="I2828" s="19" t="s">
        <v>29958</v>
      </c>
      <c r="J2828" s="19" t="s">
        <v>29959</v>
      </c>
      <c r="K2828" s="19" t="s">
        <v>29961</v>
      </c>
      <c r="L2828" s="19" t="s">
        <v>29962</v>
      </c>
      <c r="M2828" s="20" t="s">
        <v>29963</v>
      </c>
      <c r="N2828" s="20" t="s">
        <v>29964</v>
      </c>
      <c r="O2828" s="22">
        <v>5.0</v>
      </c>
      <c r="P2828" s="28">
        <v>4.0</v>
      </c>
      <c r="Q2828" s="28">
        <v>87.0</v>
      </c>
      <c r="R2828" s="84"/>
      <c r="S2828" s="84"/>
      <c r="T2828" s="84"/>
      <c r="U2828" s="84"/>
      <c r="V2828" s="84"/>
      <c r="W2828" s="84"/>
      <c r="X2828" s="84"/>
      <c r="Y2828" s="84"/>
      <c r="Z2828" s="84"/>
      <c r="AA2828" s="84"/>
    </row>
    <row r="2829" ht="15.75" customHeight="1">
      <c r="A2829" s="130" t="s">
        <v>120</v>
      </c>
      <c r="B2829" s="147" t="s">
        <v>28771</v>
      </c>
      <c r="C2829" s="130" t="s">
        <v>29966</v>
      </c>
      <c r="D2829" s="130" t="s">
        <v>29967</v>
      </c>
      <c r="E2829" s="131" t="s">
        <v>29968</v>
      </c>
      <c r="F2829" s="132">
        <v>171.0</v>
      </c>
      <c r="G2829" s="132">
        <v>180.0</v>
      </c>
      <c r="H2829" s="130" t="s">
        <v>17059</v>
      </c>
      <c r="I2829" s="19" t="s">
        <v>29969</v>
      </c>
      <c r="J2829" s="19" t="s">
        <v>29971</v>
      </c>
      <c r="K2829" s="19" t="s">
        <v>29972</v>
      </c>
      <c r="L2829" s="19" t="s">
        <v>29973</v>
      </c>
      <c r="M2829" s="20" t="s">
        <v>29974</v>
      </c>
      <c r="N2829" s="20" t="s">
        <v>29975</v>
      </c>
      <c r="O2829" s="109"/>
      <c r="P2829" s="28">
        <v>0.0</v>
      </c>
      <c r="Q2829" s="28">
        <v>48.0</v>
      </c>
      <c r="R2829" s="84"/>
      <c r="S2829" s="84"/>
      <c r="T2829" s="84"/>
      <c r="U2829" s="84"/>
      <c r="V2829" s="84"/>
      <c r="W2829" s="84"/>
      <c r="X2829" s="84"/>
      <c r="Y2829" s="84"/>
      <c r="Z2829" s="84"/>
      <c r="AA2829" s="84"/>
    </row>
    <row r="2830" ht="15.75" customHeight="1">
      <c r="A2830" s="130" t="s">
        <v>120</v>
      </c>
      <c r="B2830" s="147" t="s">
        <v>28771</v>
      </c>
      <c r="C2830" s="130" t="s">
        <v>29977</v>
      </c>
      <c r="D2830" s="130" t="s">
        <v>29978</v>
      </c>
      <c r="E2830" s="131" t="s">
        <v>29979</v>
      </c>
      <c r="F2830" s="132">
        <v>141.0</v>
      </c>
      <c r="G2830" s="132">
        <v>150.0</v>
      </c>
      <c r="H2830" s="130" t="s">
        <v>17059</v>
      </c>
      <c r="I2830" s="19" t="s">
        <v>30012</v>
      </c>
      <c r="J2830" s="19" t="s">
        <v>30016</v>
      </c>
      <c r="K2830" s="19" t="s">
        <v>30016</v>
      </c>
      <c r="L2830" s="19" t="s">
        <v>30018</v>
      </c>
      <c r="M2830" s="20" t="s">
        <v>30019</v>
      </c>
      <c r="N2830" s="20" t="s">
        <v>30020</v>
      </c>
      <c r="O2830" s="22">
        <v>5.0</v>
      </c>
      <c r="P2830" s="28">
        <v>6.0</v>
      </c>
      <c r="Q2830" s="28">
        <v>41.0</v>
      </c>
      <c r="R2830" s="84"/>
      <c r="S2830" s="84"/>
      <c r="T2830" s="84"/>
      <c r="U2830" s="84"/>
      <c r="V2830" s="84"/>
      <c r="W2830" s="84"/>
      <c r="X2830" s="84"/>
      <c r="Y2830" s="84"/>
      <c r="Z2830" s="84"/>
      <c r="AA2830" s="84"/>
    </row>
    <row r="2831" ht="15.75" customHeight="1">
      <c r="A2831" s="130" t="s">
        <v>120</v>
      </c>
      <c r="B2831" s="147" t="s">
        <v>28771</v>
      </c>
      <c r="C2831" s="130" t="s">
        <v>30021</v>
      </c>
      <c r="D2831" s="130" t="s">
        <v>30022</v>
      </c>
      <c r="E2831" s="131" t="s">
        <v>30023</v>
      </c>
      <c r="F2831" s="132">
        <v>21.0</v>
      </c>
      <c r="G2831" s="132">
        <v>30.0</v>
      </c>
      <c r="H2831" s="130" t="s">
        <v>17059</v>
      </c>
      <c r="I2831" s="19" t="s">
        <v>30027</v>
      </c>
      <c r="J2831" s="19" t="s">
        <v>30028</v>
      </c>
      <c r="K2831" s="19" t="s">
        <v>30028</v>
      </c>
      <c r="L2831" s="19" t="s">
        <v>30030</v>
      </c>
      <c r="M2831" s="20" t="s">
        <v>30031</v>
      </c>
      <c r="N2831" s="20" t="s">
        <v>30032</v>
      </c>
      <c r="O2831" s="22">
        <v>8.0</v>
      </c>
      <c r="P2831" s="28">
        <v>10.0</v>
      </c>
      <c r="Q2831" s="28">
        <v>33.0</v>
      </c>
      <c r="R2831" s="84"/>
      <c r="S2831" s="84"/>
      <c r="T2831" s="84"/>
      <c r="U2831" s="84"/>
      <c r="V2831" s="84"/>
      <c r="W2831" s="84"/>
      <c r="X2831" s="84"/>
      <c r="Y2831" s="84"/>
      <c r="Z2831" s="84"/>
      <c r="AA2831" s="84"/>
    </row>
    <row r="2832" ht="15.75" customHeight="1">
      <c r="A2832" s="130" t="s">
        <v>120</v>
      </c>
      <c r="B2832" s="147" t="s">
        <v>28771</v>
      </c>
      <c r="C2832" s="130" t="s">
        <v>30033</v>
      </c>
      <c r="D2832" s="130" t="s">
        <v>30034</v>
      </c>
      <c r="E2832" s="131" t="s">
        <v>30035</v>
      </c>
      <c r="F2832" s="132">
        <v>31.0</v>
      </c>
      <c r="G2832" s="132">
        <v>40.0</v>
      </c>
      <c r="H2832" s="130" t="s">
        <v>17059</v>
      </c>
      <c r="I2832" s="19" t="s">
        <v>30039</v>
      </c>
      <c r="J2832" s="19" t="s">
        <v>30040</v>
      </c>
      <c r="K2832" s="19" t="s">
        <v>30041</v>
      </c>
      <c r="L2832" s="19" t="s">
        <v>30042</v>
      </c>
      <c r="M2832" s="20" t="s">
        <v>30043</v>
      </c>
      <c r="N2832" s="20" t="s">
        <v>30044</v>
      </c>
      <c r="O2832" s="22">
        <v>4.0</v>
      </c>
      <c r="P2832" s="28">
        <v>7.0</v>
      </c>
      <c r="Q2832" s="28">
        <v>49.0</v>
      </c>
      <c r="R2832" s="84"/>
      <c r="S2832" s="84"/>
      <c r="T2832" s="84"/>
      <c r="U2832" s="84"/>
      <c r="V2832" s="84"/>
      <c r="W2832" s="84"/>
      <c r="X2832" s="84"/>
      <c r="Y2832" s="84"/>
      <c r="Z2832" s="84"/>
      <c r="AA2832" s="84"/>
    </row>
    <row r="2833" ht="15.75" customHeight="1">
      <c r="A2833" s="130" t="s">
        <v>120</v>
      </c>
      <c r="B2833" s="147" t="s">
        <v>28771</v>
      </c>
      <c r="C2833" s="130" t="s">
        <v>30045</v>
      </c>
      <c r="D2833" s="130" t="s">
        <v>30046</v>
      </c>
      <c r="E2833" s="131" t="s">
        <v>30049</v>
      </c>
      <c r="F2833" s="132">
        <v>111.0</v>
      </c>
      <c r="G2833" s="132">
        <v>120.0</v>
      </c>
      <c r="H2833" s="130" t="s">
        <v>17059</v>
      </c>
      <c r="I2833" s="19" t="s">
        <v>30053</v>
      </c>
      <c r="J2833" s="19" t="s">
        <v>30054</v>
      </c>
      <c r="K2833" s="19" t="s">
        <v>30054</v>
      </c>
      <c r="L2833" s="19" t="s">
        <v>30055</v>
      </c>
      <c r="M2833" s="20" t="s">
        <v>30057</v>
      </c>
      <c r="N2833" s="20" t="s">
        <v>30058</v>
      </c>
      <c r="O2833" s="22">
        <v>14.0</v>
      </c>
      <c r="P2833" s="28">
        <v>15.0</v>
      </c>
      <c r="Q2833" s="28">
        <v>55.0</v>
      </c>
      <c r="R2833" s="84"/>
      <c r="S2833" s="84"/>
      <c r="T2833" s="84"/>
      <c r="U2833" s="84"/>
      <c r="V2833" s="84"/>
      <c r="W2833" s="84"/>
      <c r="X2833" s="84"/>
      <c r="Y2833" s="84"/>
      <c r="Z2833" s="84"/>
      <c r="AA2833" s="84"/>
    </row>
    <row r="2834" ht="15.75" customHeight="1">
      <c r="A2834" s="130" t="s">
        <v>120</v>
      </c>
      <c r="B2834" s="147" t="s">
        <v>28771</v>
      </c>
      <c r="C2834" s="130" t="s">
        <v>30059</v>
      </c>
      <c r="D2834" s="130" t="s">
        <v>30060</v>
      </c>
      <c r="E2834" s="131" t="s">
        <v>30061</v>
      </c>
      <c r="F2834" s="132">
        <v>191.0</v>
      </c>
      <c r="G2834" s="132">
        <v>200.0</v>
      </c>
      <c r="H2834" s="130" t="s">
        <v>17059</v>
      </c>
      <c r="I2834" s="19" t="s">
        <v>30066</v>
      </c>
      <c r="J2834" s="19" t="s">
        <v>30067</v>
      </c>
      <c r="K2834" s="19" t="s">
        <v>30068</v>
      </c>
      <c r="L2834" s="19" t="s">
        <v>30069</v>
      </c>
      <c r="M2834" s="20" t="s">
        <v>30070</v>
      </c>
      <c r="N2834" s="20" t="s">
        <v>30071</v>
      </c>
      <c r="O2834" s="22">
        <v>5.0</v>
      </c>
      <c r="P2834" s="28">
        <v>4.0</v>
      </c>
      <c r="Q2834" s="28">
        <v>45.0</v>
      </c>
      <c r="R2834" s="84"/>
      <c r="S2834" s="84"/>
      <c r="T2834" s="84"/>
      <c r="U2834" s="84"/>
      <c r="V2834" s="84"/>
      <c r="W2834" s="84"/>
      <c r="X2834" s="84"/>
      <c r="Y2834" s="84"/>
      <c r="Z2834" s="84"/>
      <c r="AA2834" s="84"/>
    </row>
    <row r="2835" ht="15.75" customHeight="1">
      <c r="A2835" s="130" t="s">
        <v>120</v>
      </c>
      <c r="B2835" s="147" t="s">
        <v>28771</v>
      </c>
      <c r="C2835" s="130" t="s">
        <v>30075</v>
      </c>
      <c r="D2835" s="130" t="s">
        <v>30076</v>
      </c>
      <c r="E2835" s="131" t="s">
        <v>30077</v>
      </c>
      <c r="F2835" s="132">
        <v>131.0</v>
      </c>
      <c r="G2835" s="132">
        <v>140.0</v>
      </c>
      <c r="H2835" s="130" t="s">
        <v>17059</v>
      </c>
      <c r="I2835" s="19" t="s">
        <v>30080</v>
      </c>
      <c r="J2835" s="19" t="s">
        <v>30081</v>
      </c>
      <c r="K2835" s="19" t="s">
        <v>30081</v>
      </c>
      <c r="L2835" s="19" t="s">
        <v>30082</v>
      </c>
      <c r="M2835" s="20" t="s">
        <v>30083</v>
      </c>
      <c r="N2835" s="20" t="s">
        <v>30084</v>
      </c>
      <c r="O2835" s="22">
        <v>12.0</v>
      </c>
      <c r="P2835" s="28">
        <v>16.0</v>
      </c>
      <c r="Q2835" s="28">
        <v>48.0</v>
      </c>
      <c r="R2835" s="84"/>
      <c r="S2835" s="84"/>
      <c r="T2835" s="84"/>
      <c r="U2835" s="84"/>
      <c r="V2835" s="84"/>
      <c r="W2835" s="84"/>
      <c r="X2835" s="84"/>
      <c r="Y2835" s="84"/>
      <c r="Z2835" s="84"/>
      <c r="AA2835" s="84"/>
    </row>
    <row r="2836" ht="15.75" customHeight="1">
      <c r="A2836" s="130" t="s">
        <v>120</v>
      </c>
      <c r="B2836" s="147" t="s">
        <v>28771</v>
      </c>
      <c r="C2836" s="130" t="s">
        <v>30085</v>
      </c>
      <c r="D2836" s="130" t="s">
        <v>30086</v>
      </c>
      <c r="E2836" s="131" t="s">
        <v>30087</v>
      </c>
      <c r="F2836" s="132">
        <v>41.0</v>
      </c>
      <c r="G2836" s="132">
        <v>50.0</v>
      </c>
      <c r="H2836" s="130" t="s">
        <v>17059</v>
      </c>
      <c r="I2836" s="19" t="s">
        <v>30091</v>
      </c>
      <c r="J2836" s="19" t="s">
        <v>30092</v>
      </c>
      <c r="K2836" s="19" t="s">
        <v>30093</v>
      </c>
      <c r="L2836" s="19" t="s">
        <v>30094</v>
      </c>
      <c r="M2836" s="20" t="s">
        <v>30095</v>
      </c>
      <c r="N2836" s="20" t="s">
        <v>30097</v>
      </c>
      <c r="O2836" s="22">
        <v>0.0</v>
      </c>
      <c r="P2836" s="28">
        <v>6.0</v>
      </c>
      <c r="Q2836" s="28">
        <v>41.0</v>
      </c>
      <c r="R2836" s="84"/>
      <c r="S2836" s="84"/>
      <c r="T2836" s="84"/>
      <c r="U2836" s="84"/>
      <c r="V2836" s="84"/>
      <c r="W2836" s="84"/>
      <c r="X2836" s="84"/>
      <c r="Y2836" s="84"/>
      <c r="Z2836" s="84"/>
      <c r="AA2836" s="84"/>
    </row>
    <row r="2837" ht="15.75" customHeight="1">
      <c r="A2837" s="130" t="s">
        <v>120</v>
      </c>
      <c r="B2837" s="147" t="s">
        <v>28771</v>
      </c>
      <c r="C2837" s="130" t="s">
        <v>30100</v>
      </c>
      <c r="D2837" s="130" t="s">
        <v>30101</v>
      </c>
      <c r="E2837" s="131" t="s">
        <v>30102</v>
      </c>
      <c r="F2837" s="132">
        <v>181.0</v>
      </c>
      <c r="G2837" s="132">
        <v>190.0</v>
      </c>
      <c r="H2837" s="130" t="s">
        <v>17059</v>
      </c>
      <c r="I2837" s="19" t="s">
        <v>30107</v>
      </c>
      <c r="J2837" s="19" t="s">
        <v>30108</v>
      </c>
      <c r="K2837" s="19" t="s">
        <v>30109</v>
      </c>
      <c r="L2837" s="19" t="s">
        <v>30110</v>
      </c>
      <c r="M2837" s="20" t="s">
        <v>30111</v>
      </c>
      <c r="N2837" s="20" t="s">
        <v>30112</v>
      </c>
      <c r="O2837" s="22">
        <v>7.0</v>
      </c>
      <c r="P2837" s="28">
        <v>11.0</v>
      </c>
      <c r="Q2837" s="28">
        <v>42.0</v>
      </c>
      <c r="R2837" s="84"/>
      <c r="S2837" s="84"/>
      <c r="T2837" s="84"/>
      <c r="U2837" s="84"/>
      <c r="V2837" s="84"/>
      <c r="W2837" s="84"/>
      <c r="X2837" s="84"/>
      <c r="Y2837" s="84"/>
      <c r="Z2837" s="84"/>
      <c r="AA2837" s="84"/>
    </row>
    <row r="2838" ht="15.75" customHeight="1">
      <c r="A2838" s="130" t="s">
        <v>120</v>
      </c>
      <c r="B2838" s="147" t="s">
        <v>28771</v>
      </c>
      <c r="C2838" s="130" t="s">
        <v>30113</v>
      </c>
      <c r="D2838" s="130" t="s">
        <v>30114</v>
      </c>
      <c r="E2838" s="131" t="s">
        <v>30115</v>
      </c>
      <c r="F2838" s="132">
        <v>51.0</v>
      </c>
      <c r="G2838" s="132">
        <v>60.0</v>
      </c>
      <c r="H2838" s="130" t="s">
        <v>17059</v>
      </c>
      <c r="I2838" s="19" t="s">
        <v>30119</v>
      </c>
      <c r="J2838" s="19" t="s">
        <v>30120</v>
      </c>
      <c r="K2838" s="19" t="s">
        <v>30120</v>
      </c>
      <c r="L2838" s="19" t="s">
        <v>21714</v>
      </c>
      <c r="M2838" s="20" t="s">
        <v>30121</v>
      </c>
      <c r="N2838" s="20" t="s">
        <v>30122</v>
      </c>
      <c r="O2838" s="22">
        <v>1.0</v>
      </c>
      <c r="P2838" s="28">
        <v>9.0</v>
      </c>
      <c r="Q2838" s="28">
        <v>35.0</v>
      </c>
      <c r="R2838" s="85" t="s">
        <v>19037</v>
      </c>
      <c r="S2838" s="84"/>
      <c r="T2838" s="84"/>
      <c r="U2838" s="84"/>
      <c r="V2838" s="84"/>
      <c r="W2838" s="84"/>
      <c r="X2838" s="84"/>
      <c r="Y2838" s="84"/>
      <c r="Z2838" s="84"/>
      <c r="AA2838" s="84"/>
    </row>
    <row r="2839" ht="15.75" customHeight="1">
      <c r="A2839" s="130" t="s">
        <v>120</v>
      </c>
      <c r="B2839" s="147" t="s">
        <v>28771</v>
      </c>
      <c r="C2839" s="130" t="s">
        <v>30124</v>
      </c>
      <c r="D2839" s="130" t="s">
        <v>30125</v>
      </c>
      <c r="E2839" s="131" t="s">
        <v>30126</v>
      </c>
      <c r="F2839" s="132">
        <v>241.0</v>
      </c>
      <c r="G2839" s="132">
        <v>250.0</v>
      </c>
      <c r="H2839" s="130" t="s">
        <v>17059</v>
      </c>
      <c r="I2839" s="19" t="s">
        <v>30131</v>
      </c>
      <c r="J2839" s="19" t="s">
        <v>30132</v>
      </c>
      <c r="K2839" s="19" t="s">
        <v>30132</v>
      </c>
      <c r="L2839" s="19" t="s">
        <v>30133</v>
      </c>
      <c r="M2839" s="20" t="s">
        <v>30134</v>
      </c>
      <c r="N2839" s="20" t="s">
        <v>30135</v>
      </c>
      <c r="O2839" s="22">
        <v>36.0</v>
      </c>
      <c r="P2839" s="28">
        <v>31.0</v>
      </c>
      <c r="Q2839" s="28">
        <v>59.0</v>
      </c>
      <c r="R2839" s="84"/>
      <c r="S2839" s="84"/>
      <c r="T2839" s="84"/>
      <c r="U2839" s="84"/>
      <c r="V2839" s="84"/>
      <c r="W2839" s="84"/>
      <c r="X2839" s="84"/>
      <c r="Y2839" s="84"/>
      <c r="Z2839" s="84"/>
      <c r="AA2839" s="84"/>
    </row>
    <row r="2840" ht="15.75" customHeight="1">
      <c r="A2840" s="130" t="s">
        <v>120</v>
      </c>
      <c r="B2840" s="147" t="s">
        <v>28771</v>
      </c>
      <c r="C2840" s="130" t="s">
        <v>30137</v>
      </c>
      <c r="D2840" s="130" t="s">
        <v>30138</v>
      </c>
      <c r="E2840" s="131" t="s">
        <v>30139</v>
      </c>
      <c r="F2840" s="132">
        <v>251.0</v>
      </c>
      <c r="G2840" s="132">
        <v>260.0</v>
      </c>
      <c r="H2840" s="130" t="s">
        <v>17059</v>
      </c>
      <c r="I2840" s="19" t="s">
        <v>30143</v>
      </c>
      <c r="J2840" s="19" t="s">
        <v>30144</v>
      </c>
      <c r="K2840" s="19" t="s">
        <v>30144</v>
      </c>
      <c r="L2840" s="19" t="s">
        <v>30145</v>
      </c>
      <c r="M2840" s="20" t="s">
        <v>30146</v>
      </c>
      <c r="N2840" s="20" t="s">
        <v>30147</v>
      </c>
      <c r="O2840" s="22">
        <v>0.0</v>
      </c>
      <c r="P2840" s="28">
        <v>5.0</v>
      </c>
      <c r="Q2840" s="28">
        <v>47.0</v>
      </c>
      <c r="R2840" s="84"/>
      <c r="S2840" s="84"/>
      <c r="T2840" s="84"/>
      <c r="U2840" s="84"/>
      <c r="V2840" s="84"/>
      <c r="W2840" s="84"/>
      <c r="X2840" s="84"/>
      <c r="Y2840" s="84"/>
      <c r="Z2840" s="84"/>
      <c r="AA2840" s="84"/>
    </row>
    <row r="2841" ht="15.75" customHeight="1">
      <c r="A2841" s="130" t="s">
        <v>120</v>
      </c>
      <c r="B2841" s="147" t="s">
        <v>28771</v>
      </c>
      <c r="C2841" s="130" t="s">
        <v>30148</v>
      </c>
      <c r="D2841" s="130" t="s">
        <v>30149</v>
      </c>
      <c r="E2841" s="131" t="s">
        <v>30151</v>
      </c>
      <c r="F2841" s="132">
        <v>261.0</v>
      </c>
      <c r="G2841" s="132">
        <v>270.0</v>
      </c>
      <c r="H2841" s="130" t="s">
        <v>17059</v>
      </c>
      <c r="I2841" s="19" t="s">
        <v>30156</v>
      </c>
      <c r="J2841" s="19" t="s">
        <v>30157</v>
      </c>
      <c r="K2841" s="19" t="s">
        <v>30157</v>
      </c>
      <c r="L2841" s="19" t="s">
        <v>30158</v>
      </c>
      <c r="M2841" s="20" t="s">
        <v>30159</v>
      </c>
      <c r="N2841" s="20" t="s">
        <v>30160</v>
      </c>
      <c r="O2841" s="22">
        <v>8.0</v>
      </c>
      <c r="P2841" s="28">
        <v>8.0</v>
      </c>
      <c r="Q2841" s="28">
        <v>39.0</v>
      </c>
      <c r="R2841" s="84"/>
      <c r="S2841" s="84"/>
      <c r="T2841" s="84"/>
      <c r="U2841" s="84"/>
      <c r="V2841" s="84"/>
      <c r="W2841" s="84"/>
      <c r="X2841" s="84"/>
      <c r="Y2841" s="84"/>
      <c r="Z2841" s="84"/>
      <c r="AA2841" s="84"/>
    </row>
    <row r="2842" ht="15.75" customHeight="1">
      <c r="A2842" s="130" t="s">
        <v>120</v>
      </c>
      <c r="B2842" s="147" t="s">
        <v>28771</v>
      </c>
      <c r="C2842" s="130" t="s">
        <v>30163</v>
      </c>
      <c r="D2842" s="130" t="s">
        <v>30164</v>
      </c>
      <c r="E2842" s="131" t="s">
        <v>30165</v>
      </c>
      <c r="F2842" s="132">
        <v>271.0</v>
      </c>
      <c r="G2842" s="132">
        <v>280.0</v>
      </c>
      <c r="H2842" s="130" t="s">
        <v>17059</v>
      </c>
      <c r="I2842" s="19" t="s">
        <v>30170</v>
      </c>
      <c r="J2842" s="19" t="s">
        <v>30171</v>
      </c>
      <c r="K2842" s="19" t="s">
        <v>30172</v>
      </c>
      <c r="L2842" s="19" t="s">
        <v>30173</v>
      </c>
      <c r="M2842" s="20" t="s">
        <v>30174</v>
      </c>
      <c r="N2842" s="20" t="s">
        <v>30175</v>
      </c>
      <c r="O2842" s="22">
        <v>50.0</v>
      </c>
      <c r="P2842" s="28">
        <v>6.0</v>
      </c>
      <c r="Q2842" s="28">
        <v>41.0</v>
      </c>
      <c r="R2842" s="84"/>
      <c r="S2842" s="84"/>
      <c r="T2842" s="84"/>
      <c r="U2842" s="84"/>
      <c r="V2842" s="84"/>
      <c r="W2842" s="84"/>
      <c r="X2842" s="84"/>
      <c r="Y2842" s="84"/>
      <c r="Z2842" s="84"/>
      <c r="AA2842" s="84"/>
    </row>
    <row r="2843" ht="15.75" customHeight="1">
      <c r="A2843" s="130" t="s">
        <v>120</v>
      </c>
      <c r="B2843" s="147" t="s">
        <v>28771</v>
      </c>
      <c r="C2843" s="130" t="s">
        <v>30176</v>
      </c>
      <c r="D2843" s="130" t="s">
        <v>30177</v>
      </c>
      <c r="E2843" s="131" t="s">
        <v>30178</v>
      </c>
      <c r="F2843" s="132">
        <v>281.0</v>
      </c>
      <c r="G2843" s="132">
        <v>290.0</v>
      </c>
      <c r="H2843" s="130" t="s">
        <v>17059</v>
      </c>
      <c r="I2843" s="19" t="s">
        <v>30184</v>
      </c>
      <c r="J2843" s="19" t="s">
        <v>30185</v>
      </c>
      <c r="K2843" s="19" t="s">
        <v>30186</v>
      </c>
      <c r="L2843" s="19" t="s">
        <v>30187</v>
      </c>
      <c r="M2843" s="20" t="s">
        <v>30188</v>
      </c>
      <c r="N2843" s="20" t="s">
        <v>30189</v>
      </c>
      <c r="O2843" s="22">
        <v>7.0</v>
      </c>
      <c r="P2843" s="28">
        <v>8.0</v>
      </c>
      <c r="Q2843" s="28">
        <v>39.0</v>
      </c>
      <c r="R2843" s="84"/>
      <c r="S2843" s="84"/>
      <c r="T2843" s="84"/>
      <c r="U2843" s="84"/>
      <c r="V2843" s="84"/>
      <c r="W2843" s="84"/>
      <c r="X2843" s="84"/>
      <c r="Y2843" s="84"/>
      <c r="Z2843" s="84"/>
      <c r="AA2843" s="84"/>
    </row>
    <row r="2844" ht="15.75" customHeight="1">
      <c r="A2844" s="130" t="s">
        <v>120</v>
      </c>
      <c r="B2844" s="147" t="s">
        <v>28771</v>
      </c>
      <c r="C2844" s="130" t="s">
        <v>30190</v>
      </c>
      <c r="D2844" s="130" t="s">
        <v>30191</v>
      </c>
      <c r="E2844" s="131" t="s">
        <v>30192</v>
      </c>
      <c r="F2844" s="132">
        <v>291.0</v>
      </c>
      <c r="G2844" s="132">
        <v>300.0</v>
      </c>
      <c r="H2844" s="130" t="s">
        <v>17059</v>
      </c>
      <c r="I2844" s="19" t="s">
        <v>30193</v>
      </c>
      <c r="J2844" s="19" t="s">
        <v>30194</v>
      </c>
      <c r="K2844" s="19" t="s">
        <v>30195</v>
      </c>
      <c r="L2844" s="19" t="s">
        <v>30196</v>
      </c>
      <c r="M2844" s="20" t="s">
        <v>30198</v>
      </c>
      <c r="N2844" s="20" t="s">
        <v>30199</v>
      </c>
      <c r="O2844" s="22">
        <v>13.0</v>
      </c>
      <c r="P2844" s="28">
        <v>14.0</v>
      </c>
      <c r="Q2844" s="28">
        <v>36.0</v>
      </c>
      <c r="R2844" s="85" t="s">
        <v>19037</v>
      </c>
      <c r="S2844" s="84"/>
      <c r="T2844" s="84"/>
      <c r="U2844" s="84"/>
      <c r="V2844" s="84"/>
      <c r="W2844" s="84"/>
      <c r="X2844" s="84"/>
      <c r="Y2844" s="84"/>
      <c r="Z2844" s="84"/>
      <c r="AA2844" s="84"/>
    </row>
    <row r="2845" ht="15.75" customHeight="1">
      <c r="A2845" s="130" t="s">
        <v>120</v>
      </c>
      <c r="B2845" s="147" t="s">
        <v>28771</v>
      </c>
      <c r="C2845" s="130" t="s">
        <v>30201</v>
      </c>
      <c r="D2845" s="130" t="s">
        <v>30202</v>
      </c>
      <c r="E2845" s="131" t="s">
        <v>30203</v>
      </c>
      <c r="F2845" s="132">
        <v>301.0</v>
      </c>
      <c r="G2845" s="132">
        <v>310.0</v>
      </c>
      <c r="H2845" s="130" t="s">
        <v>17059</v>
      </c>
      <c r="I2845" s="19" t="s">
        <v>30209</v>
      </c>
      <c r="J2845" s="19" t="s">
        <v>30210</v>
      </c>
      <c r="K2845" s="19" t="s">
        <v>30210</v>
      </c>
      <c r="L2845" s="19" t="s">
        <v>30211</v>
      </c>
      <c r="M2845" s="20" t="s">
        <v>30212</v>
      </c>
      <c r="N2845" s="20" t="s">
        <v>30213</v>
      </c>
      <c r="O2845" s="22">
        <v>4.0</v>
      </c>
      <c r="P2845" s="28">
        <v>6.0</v>
      </c>
      <c r="Q2845" s="28">
        <v>34.0</v>
      </c>
      <c r="R2845" s="84"/>
      <c r="S2845" s="84"/>
      <c r="T2845" s="84"/>
      <c r="U2845" s="84"/>
      <c r="V2845" s="84"/>
      <c r="W2845" s="84"/>
      <c r="X2845" s="84"/>
      <c r="Y2845" s="84"/>
      <c r="Z2845" s="84"/>
      <c r="AA2845" s="84"/>
    </row>
    <row r="2846" ht="15.75" customHeight="1">
      <c r="A2846" s="130" t="s">
        <v>120</v>
      </c>
      <c r="B2846" s="147" t="s">
        <v>28771</v>
      </c>
      <c r="C2846" s="130" t="s">
        <v>30215</v>
      </c>
      <c r="D2846" s="130" t="s">
        <v>30218</v>
      </c>
      <c r="E2846" s="131" t="s">
        <v>30219</v>
      </c>
      <c r="F2846" s="132">
        <v>311.0</v>
      </c>
      <c r="G2846" s="132">
        <v>320.0</v>
      </c>
      <c r="H2846" s="130" t="s">
        <v>17059</v>
      </c>
      <c r="I2846" s="19" t="s">
        <v>30224</v>
      </c>
      <c r="J2846" s="19" t="s">
        <v>30225</v>
      </c>
      <c r="K2846" s="19" t="s">
        <v>30226</v>
      </c>
      <c r="L2846" s="19" t="s">
        <v>30227</v>
      </c>
      <c r="M2846" s="20" t="s">
        <v>30228</v>
      </c>
      <c r="N2846" s="20" t="s">
        <v>30229</v>
      </c>
      <c r="O2846" s="22">
        <v>0.0</v>
      </c>
      <c r="P2846" s="28">
        <v>0.0</v>
      </c>
      <c r="Q2846" s="28">
        <v>32.0</v>
      </c>
      <c r="R2846" s="84"/>
      <c r="S2846" s="84"/>
      <c r="T2846" s="84"/>
      <c r="U2846" s="84"/>
      <c r="V2846" s="84"/>
      <c r="W2846" s="84"/>
      <c r="X2846" s="84"/>
      <c r="Y2846" s="84"/>
      <c r="Z2846" s="84"/>
      <c r="AA2846" s="84"/>
    </row>
    <row r="2847" ht="15.75" customHeight="1">
      <c r="A2847" s="130" t="s">
        <v>120</v>
      </c>
      <c r="B2847" s="147" t="s">
        <v>28771</v>
      </c>
      <c r="C2847" s="130" t="s">
        <v>30231</v>
      </c>
      <c r="D2847" s="130" t="s">
        <v>30232</v>
      </c>
      <c r="E2847" s="131" t="s">
        <v>30233</v>
      </c>
      <c r="F2847" s="132">
        <v>321.0</v>
      </c>
      <c r="G2847" s="132">
        <v>330.0</v>
      </c>
      <c r="H2847" s="130" t="s">
        <v>17059</v>
      </c>
      <c r="I2847" s="19" t="s">
        <v>30238</v>
      </c>
      <c r="J2847" s="19" t="s">
        <v>30239</v>
      </c>
      <c r="K2847" s="19" t="s">
        <v>30240</v>
      </c>
      <c r="L2847" s="19" t="s">
        <v>30241</v>
      </c>
      <c r="M2847" s="20" t="s">
        <v>30242</v>
      </c>
      <c r="N2847" s="20" t="s">
        <v>30243</v>
      </c>
      <c r="O2847" s="22">
        <v>15.0</v>
      </c>
      <c r="P2847" s="28">
        <v>21.0</v>
      </c>
      <c r="Q2847" s="28">
        <v>38.0</v>
      </c>
      <c r="R2847" s="84"/>
      <c r="S2847" s="84"/>
      <c r="T2847" s="84"/>
      <c r="U2847" s="84"/>
      <c r="V2847" s="84"/>
      <c r="W2847" s="84"/>
      <c r="X2847" s="84"/>
      <c r="Y2847" s="84"/>
      <c r="Z2847" s="84"/>
      <c r="AA2847" s="84"/>
    </row>
    <row r="2848" ht="15.75" customHeight="1">
      <c r="A2848" s="130" t="s">
        <v>120</v>
      </c>
      <c r="B2848" s="147" t="s">
        <v>28771</v>
      </c>
      <c r="C2848" s="130" t="s">
        <v>30244</v>
      </c>
      <c r="D2848" s="130" t="s">
        <v>30245</v>
      </c>
      <c r="E2848" s="131" t="s">
        <v>30247</v>
      </c>
      <c r="F2848" s="132">
        <v>61.0</v>
      </c>
      <c r="G2848" s="132">
        <v>70.0</v>
      </c>
      <c r="H2848" s="130" t="s">
        <v>17059</v>
      </c>
      <c r="I2848" s="19" t="s">
        <v>30250</v>
      </c>
      <c r="J2848" s="19" t="s">
        <v>30251</v>
      </c>
      <c r="K2848" s="19" t="s">
        <v>30251</v>
      </c>
      <c r="L2848" s="19" t="s">
        <v>30253</v>
      </c>
      <c r="M2848" s="20" t="s">
        <v>30254</v>
      </c>
      <c r="N2848" s="20" t="s">
        <v>30255</v>
      </c>
      <c r="O2848" s="22">
        <v>22.0</v>
      </c>
      <c r="P2848" s="28">
        <v>18.0</v>
      </c>
      <c r="Q2848" s="28">
        <v>38.0</v>
      </c>
      <c r="R2848" s="84"/>
      <c r="S2848" s="84"/>
      <c r="T2848" s="84"/>
      <c r="U2848" s="84"/>
      <c r="V2848" s="84"/>
      <c r="W2848" s="84"/>
      <c r="X2848" s="84"/>
      <c r="Y2848" s="84"/>
      <c r="Z2848" s="84"/>
      <c r="AA2848" s="84"/>
    </row>
    <row r="2849" ht="15.75" customHeight="1">
      <c r="A2849" s="130" t="s">
        <v>120</v>
      </c>
      <c r="B2849" s="147" t="s">
        <v>28771</v>
      </c>
      <c r="C2849" s="130" t="s">
        <v>30257</v>
      </c>
      <c r="D2849" s="130" t="s">
        <v>30258</v>
      </c>
      <c r="E2849" s="131" t="s">
        <v>30259</v>
      </c>
      <c r="F2849" s="132">
        <v>71.0</v>
      </c>
      <c r="G2849" s="132">
        <v>80.0</v>
      </c>
      <c r="H2849" s="130" t="s">
        <v>17059</v>
      </c>
      <c r="I2849" s="19" t="s">
        <v>30265</v>
      </c>
      <c r="J2849" s="19" t="s">
        <v>30266</v>
      </c>
      <c r="K2849" s="19" t="s">
        <v>30266</v>
      </c>
      <c r="L2849" s="19" t="s">
        <v>30267</v>
      </c>
      <c r="M2849" s="20" t="s">
        <v>30268</v>
      </c>
      <c r="N2849" s="20" t="s">
        <v>30269</v>
      </c>
      <c r="O2849" s="22">
        <v>3.0</v>
      </c>
      <c r="P2849" s="28">
        <v>15.0</v>
      </c>
      <c r="Q2849" s="28">
        <v>51.0</v>
      </c>
      <c r="R2849" s="85" t="s">
        <v>106</v>
      </c>
      <c r="S2849" s="84"/>
      <c r="T2849" s="84"/>
      <c r="U2849" s="84"/>
      <c r="V2849" s="84"/>
      <c r="W2849" s="84"/>
      <c r="X2849" s="84"/>
      <c r="Y2849" s="84"/>
      <c r="Z2849" s="84"/>
      <c r="AA2849" s="84"/>
    </row>
    <row r="2850" ht="15.75" customHeight="1">
      <c r="A2850" s="130" t="s">
        <v>120</v>
      </c>
      <c r="B2850" s="147" t="s">
        <v>28771</v>
      </c>
      <c r="C2850" s="130" t="s">
        <v>30271</v>
      </c>
      <c r="D2850" s="130" t="s">
        <v>30272</v>
      </c>
      <c r="E2850" s="131" t="s">
        <v>30273</v>
      </c>
      <c r="F2850" s="132">
        <v>81.0</v>
      </c>
      <c r="G2850" s="132">
        <v>90.0</v>
      </c>
      <c r="H2850" s="130" t="s">
        <v>17059</v>
      </c>
      <c r="I2850" s="19" t="s">
        <v>30276</v>
      </c>
      <c r="J2850" s="19" t="s">
        <v>30277</v>
      </c>
      <c r="K2850" s="19" t="s">
        <v>30277</v>
      </c>
      <c r="L2850" s="19" t="s">
        <v>30278</v>
      </c>
      <c r="M2850" s="20" t="s">
        <v>30279</v>
      </c>
      <c r="N2850" s="20" t="s">
        <v>30280</v>
      </c>
      <c r="O2850" s="22">
        <v>12.0</v>
      </c>
      <c r="P2850" s="28">
        <v>12.0</v>
      </c>
      <c r="Q2850" s="28">
        <v>48.0</v>
      </c>
      <c r="R2850" s="84"/>
      <c r="S2850" s="84"/>
      <c r="T2850" s="84"/>
      <c r="U2850" s="84"/>
      <c r="V2850" s="84"/>
      <c r="W2850" s="84"/>
      <c r="X2850" s="84"/>
      <c r="Y2850" s="84"/>
      <c r="Z2850" s="84"/>
      <c r="AA2850" s="84"/>
    </row>
    <row r="2851" ht="15.75" customHeight="1">
      <c r="A2851" s="130" t="s">
        <v>120</v>
      </c>
      <c r="B2851" s="147" t="s">
        <v>28771</v>
      </c>
      <c r="C2851" s="130" t="s">
        <v>30281</v>
      </c>
      <c r="D2851" s="130" t="s">
        <v>30282</v>
      </c>
      <c r="E2851" s="131" t="s">
        <v>30283</v>
      </c>
      <c r="F2851" s="132">
        <v>91.0</v>
      </c>
      <c r="G2851" s="132">
        <v>100.0</v>
      </c>
      <c r="H2851" s="130" t="s">
        <v>17059</v>
      </c>
      <c r="I2851" s="19" t="s">
        <v>30287</v>
      </c>
      <c r="J2851" s="19" t="s">
        <v>30288</v>
      </c>
      <c r="K2851" s="19" t="s">
        <v>30289</v>
      </c>
      <c r="L2851" s="19" t="s">
        <v>30290</v>
      </c>
      <c r="M2851" s="20" t="s">
        <v>30291</v>
      </c>
      <c r="N2851" s="20" t="s">
        <v>30292</v>
      </c>
      <c r="O2851" s="22">
        <v>50.0</v>
      </c>
      <c r="P2851" s="28">
        <v>56.0</v>
      </c>
      <c r="Q2851" s="28">
        <v>60.0</v>
      </c>
      <c r="R2851" s="84"/>
      <c r="S2851" s="84"/>
      <c r="T2851" s="84"/>
      <c r="U2851" s="84"/>
      <c r="V2851" s="84"/>
      <c r="W2851" s="84"/>
      <c r="X2851" s="84"/>
      <c r="Y2851" s="84"/>
      <c r="Z2851" s="84"/>
      <c r="AA2851" s="84"/>
    </row>
    <row r="2852" ht="15.75" customHeight="1">
      <c r="A2852" s="130" t="s">
        <v>120</v>
      </c>
      <c r="B2852" s="147" t="s">
        <v>28771</v>
      </c>
      <c r="C2852" s="130" t="s">
        <v>30295</v>
      </c>
      <c r="D2852" s="130" t="s">
        <v>30297</v>
      </c>
      <c r="E2852" s="131" t="s">
        <v>30298</v>
      </c>
      <c r="F2852" s="132">
        <v>101.0</v>
      </c>
      <c r="G2852" s="132">
        <v>110.0</v>
      </c>
      <c r="H2852" s="130" t="s">
        <v>17059</v>
      </c>
      <c r="I2852" s="19" t="s">
        <v>30304</v>
      </c>
      <c r="J2852" s="19" t="s">
        <v>30305</v>
      </c>
      <c r="K2852" s="19" t="s">
        <v>30306</v>
      </c>
      <c r="L2852" s="19" t="s">
        <v>30307</v>
      </c>
      <c r="M2852" s="20" t="s">
        <v>30308</v>
      </c>
      <c r="N2852" s="20" t="s">
        <v>30309</v>
      </c>
      <c r="O2852" s="22">
        <v>28.0</v>
      </c>
      <c r="P2852" s="28">
        <v>35.0</v>
      </c>
      <c r="Q2852" s="28">
        <v>50.0</v>
      </c>
      <c r="R2852" s="84"/>
      <c r="S2852" s="84"/>
      <c r="T2852" s="84"/>
      <c r="U2852" s="84"/>
      <c r="V2852" s="84"/>
      <c r="W2852" s="84"/>
      <c r="X2852" s="84"/>
      <c r="Y2852" s="84"/>
      <c r="Z2852" s="84"/>
      <c r="AA2852" s="84"/>
    </row>
    <row r="2853" ht="15.75" customHeight="1">
      <c r="A2853" s="130" t="s">
        <v>120</v>
      </c>
      <c r="B2853" s="147" t="s">
        <v>28771</v>
      </c>
      <c r="C2853" s="130" t="s">
        <v>30311</v>
      </c>
      <c r="D2853" s="130" t="s">
        <v>30312</v>
      </c>
      <c r="E2853" s="131" t="s">
        <v>30313</v>
      </c>
      <c r="F2853" s="132">
        <v>231.0</v>
      </c>
      <c r="G2853" s="132">
        <v>240.0</v>
      </c>
      <c r="H2853" s="130" t="s">
        <v>17059</v>
      </c>
      <c r="I2853" s="19" t="s">
        <v>30317</v>
      </c>
      <c r="J2853" s="19" t="s">
        <v>30318</v>
      </c>
      <c r="K2853" s="19" t="s">
        <v>30318</v>
      </c>
      <c r="L2853" s="19" t="s">
        <v>30319</v>
      </c>
      <c r="M2853" s="20" t="s">
        <v>30320</v>
      </c>
      <c r="N2853" s="20" t="s">
        <v>30321</v>
      </c>
      <c r="O2853" s="22">
        <v>1.0</v>
      </c>
      <c r="P2853" s="28">
        <v>1.0</v>
      </c>
      <c r="Q2853" s="28">
        <v>32.0</v>
      </c>
      <c r="R2853" s="84"/>
      <c r="S2853" s="84"/>
      <c r="T2853" s="84"/>
      <c r="U2853" s="84"/>
      <c r="V2853" s="84"/>
      <c r="W2853" s="84"/>
      <c r="X2853" s="84"/>
      <c r="Y2853" s="84"/>
      <c r="Z2853" s="84"/>
      <c r="AA2853" s="84"/>
    </row>
    <row r="2854" ht="15.75" customHeight="1">
      <c r="A2854" s="130" t="s">
        <v>120</v>
      </c>
      <c r="B2854" s="147" t="s">
        <v>28771</v>
      </c>
      <c r="C2854" s="130" t="s">
        <v>30324</v>
      </c>
      <c r="D2854" s="130" t="s">
        <v>30325</v>
      </c>
      <c r="E2854" s="131" t="s">
        <v>30326</v>
      </c>
      <c r="F2854" s="132">
        <v>1.0</v>
      </c>
      <c r="G2854" s="132">
        <v>10.0</v>
      </c>
      <c r="H2854" s="130" t="s">
        <v>28</v>
      </c>
      <c r="I2854" s="19" t="s">
        <v>30331</v>
      </c>
      <c r="J2854" s="19" t="s">
        <v>30332</v>
      </c>
      <c r="K2854" s="19" t="s">
        <v>30332</v>
      </c>
      <c r="L2854" s="19" t="s">
        <v>30334</v>
      </c>
      <c r="M2854" s="20" t="s">
        <v>30335</v>
      </c>
      <c r="N2854" s="20"/>
      <c r="O2854" s="22">
        <v>0.0</v>
      </c>
      <c r="P2854" s="28">
        <v>2.0</v>
      </c>
      <c r="Q2854" s="28">
        <v>41.0</v>
      </c>
      <c r="R2854" s="84"/>
      <c r="S2854" s="84"/>
      <c r="T2854" s="84"/>
      <c r="U2854" s="84"/>
      <c r="V2854" s="84"/>
      <c r="W2854" s="84"/>
      <c r="X2854" s="84"/>
      <c r="Y2854" s="84"/>
      <c r="Z2854" s="84"/>
      <c r="AA2854" s="84"/>
    </row>
    <row r="2855" ht="15.75" customHeight="1">
      <c r="A2855" s="130" t="s">
        <v>120</v>
      </c>
      <c r="B2855" s="147" t="s">
        <v>28771</v>
      </c>
      <c r="C2855" s="130" t="s">
        <v>30336</v>
      </c>
      <c r="D2855" s="130" t="s">
        <v>30337</v>
      </c>
      <c r="E2855" s="131" t="s">
        <v>30338</v>
      </c>
      <c r="F2855" s="132">
        <v>11.0</v>
      </c>
      <c r="G2855" s="132">
        <v>20.0</v>
      </c>
      <c r="H2855" s="130" t="s">
        <v>28</v>
      </c>
      <c r="I2855" s="19" t="s">
        <v>30343</v>
      </c>
      <c r="J2855" s="19" t="s">
        <v>30344</v>
      </c>
      <c r="K2855" s="19" t="s">
        <v>30344</v>
      </c>
      <c r="L2855" s="18"/>
      <c r="M2855" s="20" t="s">
        <v>30346</v>
      </c>
      <c r="N2855" s="20"/>
      <c r="O2855" s="22">
        <v>50.0</v>
      </c>
      <c r="P2855" s="28">
        <v>4.0</v>
      </c>
      <c r="Q2855" s="28">
        <v>54.0</v>
      </c>
      <c r="R2855" s="84"/>
      <c r="S2855" s="84"/>
      <c r="T2855" s="84"/>
      <c r="U2855" s="84"/>
      <c r="V2855" s="84"/>
      <c r="W2855" s="84"/>
      <c r="X2855" s="84"/>
      <c r="Y2855" s="84"/>
      <c r="Z2855" s="84"/>
      <c r="AA2855" s="84"/>
    </row>
    <row r="2856" ht="15.75" customHeight="1">
      <c r="A2856" s="130" t="s">
        <v>120</v>
      </c>
      <c r="B2856" s="147" t="s">
        <v>28771</v>
      </c>
      <c r="C2856" s="130" t="s">
        <v>30348</v>
      </c>
      <c r="D2856" s="130" t="s">
        <v>30349</v>
      </c>
      <c r="E2856" s="131" t="s">
        <v>30350</v>
      </c>
      <c r="F2856" s="132">
        <v>21.0</v>
      </c>
      <c r="G2856" s="132">
        <v>30.0</v>
      </c>
      <c r="H2856" s="130" t="s">
        <v>28</v>
      </c>
      <c r="I2856" s="19" t="s">
        <v>30355</v>
      </c>
      <c r="J2856" s="19" t="s">
        <v>30356</v>
      </c>
      <c r="K2856" s="19" t="s">
        <v>30358</v>
      </c>
      <c r="L2856" s="19" t="s">
        <v>30359</v>
      </c>
      <c r="M2856" s="20" t="s">
        <v>30360</v>
      </c>
      <c r="N2856" s="20"/>
      <c r="O2856" s="22">
        <v>0.0</v>
      </c>
      <c r="P2856" s="28">
        <v>1.0</v>
      </c>
      <c r="Q2856" s="28">
        <v>39.0</v>
      </c>
      <c r="R2856" s="84"/>
      <c r="S2856" s="84"/>
      <c r="T2856" s="84"/>
      <c r="U2856" s="84"/>
      <c r="V2856" s="84"/>
      <c r="W2856" s="84"/>
      <c r="X2856" s="84"/>
      <c r="Y2856" s="84"/>
      <c r="Z2856" s="84"/>
      <c r="AA2856" s="84"/>
    </row>
    <row r="2857" ht="15.75" customHeight="1">
      <c r="A2857" s="130" t="s">
        <v>120</v>
      </c>
      <c r="B2857" s="147" t="s">
        <v>28771</v>
      </c>
      <c r="C2857" s="130" t="s">
        <v>30362</v>
      </c>
      <c r="D2857" s="130" t="s">
        <v>30363</v>
      </c>
      <c r="E2857" s="131" t="s">
        <v>30364</v>
      </c>
      <c r="F2857" s="132">
        <v>31.0</v>
      </c>
      <c r="G2857" s="132">
        <v>40.0</v>
      </c>
      <c r="H2857" s="130" t="s">
        <v>28</v>
      </c>
      <c r="I2857" s="19" t="s">
        <v>30365</v>
      </c>
      <c r="J2857" s="19" t="s">
        <v>30366</v>
      </c>
      <c r="K2857" s="19" t="s">
        <v>30366</v>
      </c>
      <c r="L2857" s="19" t="s">
        <v>30367</v>
      </c>
      <c r="M2857" s="20"/>
      <c r="N2857" s="20"/>
      <c r="O2857" s="109"/>
      <c r="P2857" s="28">
        <v>1.0</v>
      </c>
      <c r="Q2857" s="28">
        <v>18.0</v>
      </c>
      <c r="R2857" s="84"/>
      <c r="S2857" s="84"/>
      <c r="T2857" s="84"/>
      <c r="U2857" s="84"/>
      <c r="V2857" s="84"/>
      <c r="W2857" s="84"/>
      <c r="X2857" s="84"/>
      <c r="Y2857" s="84"/>
      <c r="Z2857" s="84"/>
      <c r="AA2857" s="84"/>
    </row>
    <row r="2858" ht="15.75" customHeight="1">
      <c r="A2858" s="130" t="s">
        <v>120</v>
      </c>
      <c r="B2858" s="147" t="s">
        <v>28771</v>
      </c>
      <c r="C2858" s="130" t="s">
        <v>30368</v>
      </c>
      <c r="D2858" s="130" t="s">
        <v>30369</v>
      </c>
      <c r="E2858" s="131" t="s">
        <v>30370</v>
      </c>
      <c r="F2858" s="132">
        <v>41.0</v>
      </c>
      <c r="G2858" s="132">
        <v>50.0</v>
      </c>
      <c r="H2858" s="130" t="s">
        <v>28</v>
      </c>
      <c r="I2858" s="19" t="s">
        <v>30375</v>
      </c>
      <c r="J2858" s="19" t="s">
        <v>30376</v>
      </c>
      <c r="K2858" s="19" t="s">
        <v>30376</v>
      </c>
      <c r="L2858" s="19" t="s">
        <v>30377</v>
      </c>
      <c r="M2858" s="20" t="s">
        <v>30378</v>
      </c>
      <c r="N2858" s="20"/>
      <c r="O2858" s="22">
        <v>50.0</v>
      </c>
      <c r="P2858" s="28">
        <v>7.0</v>
      </c>
      <c r="Q2858" s="28">
        <v>52.0</v>
      </c>
      <c r="R2858" s="84"/>
      <c r="S2858" s="84"/>
      <c r="T2858" s="84"/>
      <c r="U2858" s="84"/>
      <c r="V2858" s="84"/>
      <c r="W2858" s="84"/>
      <c r="X2858" s="84"/>
      <c r="Y2858" s="84"/>
      <c r="Z2858" s="84"/>
      <c r="AA2858" s="84"/>
    </row>
    <row r="2859" ht="15.75" customHeight="1">
      <c r="A2859" s="130" t="s">
        <v>120</v>
      </c>
      <c r="B2859" s="147" t="s">
        <v>28771</v>
      </c>
      <c r="C2859" s="130" t="s">
        <v>30380</v>
      </c>
      <c r="D2859" s="130" t="s">
        <v>30381</v>
      </c>
      <c r="E2859" s="131" t="s">
        <v>30383</v>
      </c>
      <c r="F2859" s="132">
        <v>51.0</v>
      </c>
      <c r="G2859" s="132">
        <v>60.0</v>
      </c>
      <c r="H2859" s="130" t="s">
        <v>28</v>
      </c>
      <c r="I2859" s="19" t="s">
        <v>30386</v>
      </c>
      <c r="J2859" s="19" t="s">
        <v>30387</v>
      </c>
      <c r="K2859" s="19" t="s">
        <v>30387</v>
      </c>
      <c r="L2859" s="19" t="s">
        <v>30388</v>
      </c>
      <c r="M2859" s="20" t="s">
        <v>30389</v>
      </c>
      <c r="N2859" s="20"/>
      <c r="O2859" s="22">
        <v>50.0</v>
      </c>
      <c r="P2859" s="28">
        <v>8.0</v>
      </c>
      <c r="Q2859" s="28">
        <v>56.0</v>
      </c>
      <c r="R2859" s="84"/>
      <c r="S2859" s="84"/>
      <c r="T2859" s="84"/>
      <c r="U2859" s="84"/>
      <c r="V2859" s="84"/>
      <c r="W2859" s="84"/>
      <c r="X2859" s="84"/>
      <c r="Y2859" s="84"/>
      <c r="Z2859" s="84"/>
      <c r="AA2859" s="84"/>
    </row>
    <row r="2860" ht="15.75" customHeight="1">
      <c r="A2860" s="130" t="s">
        <v>120</v>
      </c>
      <c r="B2860" s="147" t="s">
        <v>28771</v>
      </c>
      <c r="C2860" s="130" t="s">
        <v>30390</v>
      </c>
      <c r="D2860" s="130" t="s">
        <v>30391</v>
      </c>
      <c r="E2860" s="131" t="s">
        <v>30392</v>
      </c>
      <c r="F2860" s="132">
        <v>61.0</v>
      </c>
      <c r="G2860" s="132">
        <v>70.0</v>
      </c>
      <c r="H2860" s="130" t="s">
        <v>28</v>
      </c>
      <c r="I2860" s="19" t="s">
        <v>30393</v>
      </c>
      <c r="J2860" s="19" t="s">
        <v>30394</v>
      </c>
      <c r="K2860" s="19" t="s">
        <v>30394</v>
      </c>
      <c r="L2860" s="19" t="s">
        <v>30395</v>
      </c>
      <c r="M2860" s="20" t="s">
        <v>30396</v>
      </c>
      <c r="N2860" s="20"/>
      <c r="O2860" s="22">
        <v>50.0</v>
      </c>
      <c r="P2860" s="28">
        <v>7.0</v>
      </c>
      <c r="Q2860" s="28">
        <v>45.0</v>
      </c>
      <c r="R2860" s="84"/>
      <c r="S2860" s="84"/>
      <c r="T2860" s="84"/>
      <c r="U2860" s="84"/>
      <c r="V2860" s="84"/>
      <c r="W2860" s="84"/>
      <c r="X2860" s="84"/>
      <c r="Y2860" s="84"/>
      <c r="Z2860" s="84"/>
      <c r="AA2860" s="84"/>
    </row>
    <row r="2861" ht="15.75" customHeight="1">
      <c r="A2861" s="130" t="s">
        <v>120</v>
      </c>
      <c r="B2861" s="147" t="s">
        <v>28771</v>
      </c>
      <c r="C2861" s="130" t="s">
        <v>30397</v>
      </c>
      <c r="D2861" s="130" t="s">
        <v>30398</v>
      </c>
      <c r="E2861" s="131" t="s">
        <v>30399</v>
      </c>
      <c r="F2861" s="132">
        <v>71.0</v>
      </c>
      <c r="G2861" s="132">
        <v>80.0</v>
      </c>
      <c r="H2861" s="130" t="s">
        <v>28</v>
      </c>
      <c r="I2861" s="19" t="s">
        <v>30403</v>
      </c>
      <c r="J2861" s="19" t="s">
        <v>30405</v>
      </c>
      <c r="K2861" s="19" t="s">
        <v>30405</v>
      </c>
      <c r="L2861" s="19" t="s">
        <v>30407</v>
      </c>
      <c r="M2861" s="20" t="s">
        <v>30408</v>
      </c>
      <c r="N2861" s="20"/>
      <c r="O2861" s="22">
        <v>0.0</v>
      </c>
      <c r="P2861" s="28">
        <v>1.0</v>
      </c>
      <c r="Q2861" s="28">
        <v>42.0</v>
      </c>
      <c r="R2861" s="84"/>
      <c r="S2861" s="84"/>
      <c r="T2861" s="84"/>
      <c r="U2861" s="84"/>
      <c r="V2861" s="84"/>
      <c r="W2861" s="84"/>
      <c r="X2861" s="84"/>
      <c r="Y2861" s="84"/>
      <c r="Z2861" s="84"/>
      <c r="AA2861" s="84"/>
    </row>
    <row r="2862" ht="15.75" customHeight="1">
      <c r="A2862" s="130" t="s">
        <v>120</v>
      </c>
      <c r="B2862" s="147" t="s">
        <v>28771</v>
      </c>
      <c r="C2862" s="130" t="s">
        <v>30410</v>
      </c>
      <c r="D2862" s="130" t="s">
        <v>30411</v>
      </c>
      <c r="E2862" s="131" t="s">
        <v>30412</v>
      </c>
      <c r="F2862" s="132">
        <v>81.0</v>
      </c>
      <c r="G2862" s="132">
        <v>90.0</v>
      </c>
      <c r="H2862" s="130" t="s">
        <v>28</v>
      </c>
      <c r="I2862" s="19" t="s">
        <v>30416</v>
      </c>
      <c r="J2862" s="19" t="s">
        <v>30417</v>
      </c>
      <c r="K2862" s="19" t="s">
        <v>30419</v>
      </c>
      <c r="L2862" s="19" t="s">
        <v>30420</v>
      </c>
      <c r="M2862" s="20" t="s">
        <v>30421</v>
      </c>
      <c r="N2862" s="20"/>
      <c r="O2862" s="22">
        <v>50.0</v>
      </c>
      <c r="P2862" s="28">
        <v>1.0</v>
      </c>
      <c r="Q2862" s="28">
        <v>35.0</v>
      </c>
      <c r="R2862" s="84"/>
      <c r="S2862" s="84"/>
      <c r="T2862" s="84"/>
      <c r="U2862" s="84"/>
      <c r="V2862" s="84"/>
      <c r="W2862" s="84"/>
      <c r="X2862" s="84"/>
      <c r="Y2862" s="84"/>
      <c r="Z2862" s="84"/>
      <c r="AA2862" s="84"/>
    </row>
    <row r="2863" ht="15.75" customHeight="1">
      <c r="A2863" s="130" t="s">
        <v>120</v>
      </c>
      <c r="B2863" s="147" t="s">
        <v>28771</v>
      </c>
      <c r="C2863" s="130" t="s">
        <v>30664</v>
      </c>
      <c r="D2863" s="130" t="s">
        <v>30665</v>
      </c>
      <c r="E2863" s="131" t="s">
        <v>30667</v>
      </c>
      <c r="F2863" s="132">
        <v>91.0</v>
      </c>
      <c r="G2863" s="132">
        <v>100.0</v>
      </c>
      <c r="H2863" s="130" t="s">
        <v>28</v>
      </c>
      <c r="I2863" s="19" t="s">
        <v>30673</v>
      </c>
      <c r="J2863" s="19" t="s">
        <v>30674</v>
      </c>
      <c r="K2863" s="19" t="s">
        <v>30675</v>
      </c>
      <c r="L2863" s="19" t="s">
        <v>30676</v>
      </c>
      <c r="M2863" s="20" t="s">
        <v>30677</v>
      </c>
      <c r="N2863" s="20"/>
      <c r="O2863" s="22">
        <v>0.0</v>
      </c>
      <c r="P2863" s="28">
        <v>2.0</v>
      </c>
      <c r="Q2863" s="28">
        <v>41.0</v>
      </c>
      <c r="R2863" s="84"/>
      <c r="S2863" s="84"/>
      <c r="T2863" s="84"/>
      <c r="U2863" s="84"/>
      <c r="V2863" s="84"/>
      <c r="W2863" s="84"/>
      <c r="X2863" s="84"/>
      <c r="Y2863" s="84"/>
      <c r="Z2863" s="84"/>
      <c r="AA2863" s="84"/>
    </row>
    <row r="2864" ht="15.75" customHeight="1">
      <c r="A2864" s="130" t="s">
        <v>120</v>
      </c>
      <c r="B2864" s="147" t="s">
        <v>28771</v>
      </c>
      <c r="C2864" s="130" t="s">
        <v>30678</v>
      </c>
      <c r="D2864" s="130" t="s">
        <v>30679</v>
      </c>
      <c r="E2864" s="131" t="s">
        <v>30680</v>
      </c>
      <c r="F2864" s="132">
        <v>101.0</v>
      </c>
      <c r="G2864" s="132">
        <v>110.0</v>
      </c>
      <c r="H2864" s="130" t="s">
        <v>28</v>
      </c>
      <c r="I2864" s="19" t="s">
        <v>30687</v>
      </c>
      <c r="J2864" s="19" t="s">
        <v>30688</v>
      </c>
      <c r="K2864" s="19" t="s">
        <v>30689</v>
      </c>
      <c r="L2864" s="19" t="s">
        <v>30690</v>
      </c>
      <c r="M2864" s="20" t="s">
        <v>30691</v>
      </c>
      <c r="N2864" s="20"/>
      <c r="O2864" s="22">
        <v>0.0</v>
      </c>
      <c r="P2864" s="28">
        <v>2.0</v>
      </c>
      <c r="Q2864" s="28">
        <v>33.0</v>
      </c>
      <c r="R2864" s="84"/>
      <c r="S2864" s="84"/>
      <c r="T2864" s="84"/>
      <c r="U2864" s="84"/>
      <c r="V2864" s="84"/>
      <c r="W2864" s="84"/>
      <c r="X2864" s="84"/>
      <c r="Y2864" s="84"/>
      <c r="Z2864" s="84"/>
      <c r="AA2864" s="84"/>
    </row>
    <row r="2865" ht="15.75" customHeight="1">
      <c r="A2865" s="130" t="s">
        <v>120</v>
      </c>
      <c r="B2865" s="147" t="s">
        <v>28771</v>
      </c>
      <c r="C2865" s="130" t="s">
        <v>30692</v>
      </c>
      <c r="D2865" s="130" t="s">
        <v>30693</v>
      </c>
      <c r="E2865" s="131" t="s">
        <v>30694</v>
      </c>
      <c r="F2865" s="132">
        <v>111.0</v>
      </c>
      <c r="G2865" s="132">
        <v>120.0</v>
      </c>
      <c r="H2865" s="130" t="s">
        <v>28</v>
      </c>
      <c r="I2865" s="19" t="s">
        <v>30698</v>
      </c>
      <c r="J2865" s="19" t="s">
        <v>30699</v>
      </c>
      <c r="K2865" s="19" t="s">
        <v>30699</v>
      </c>
      <c r="L2865" s="19" t="s">
        <v>30701</v>
      </c>
      <c r="M2865" s="20" t="s">
        <v>30702</v>
      </c>
      <c r="N2865" s="20"/>
      <c r="O2865" s="22">
        <v>0.0</v>
      </c>
      <c r="P2865" s="28">
        <v>2.0</v>
      </c>
      <c r="Q2865" s="28">
        <v>41.0</v>
      </c>
      <c r="R2865" s="84"/>
      <c r="S2865" s="84"/>
      <c r="T2865" s="84"/>
      <c r="U2865" s="84"/>
      <c r="V2865" s="84"/>
      <c r="W2865" s="84"/>
      <c r="X2865" s="84"/>
      <c r="Y2865" s="84"/>
      <c r="Z2865" s="84"/>
      <c r="AA2865" s="84"/>
    </row>
    <row r="2866" ht="15.75" customHeight="1">
      <c r="A2866" s="130" t="s">
        <v>120</v>
      </c>
      <c r="B2866" s="147" t="s">
        <v>28771</v>
      </c>
      <c r="C2866" s="130" t="s">
        <v>30703</v>
      </c>
      <c r="D2866" s="130" t="s">
        <v>30704</v>
      </c>
      <c r="E2866" s="131" t="s">
        <v>30705</v>
      </c>
      <c r="F2866" s="132">
        <v>121.0</v>
      </c>
      <c r="G2866" s="132">
        <v>130.0</v>
      </c>
      <c r="H2866" s="130" t="s">
        <v>28</v>
      </c>
      <c r="I2866" s="19" t="s">
        <v>30712</v>
      </c>
      <c r="J2866" s="19" t="s">
        <v>30715</v>
      </c>
      <c r="K2866" s="19" t="s">
        <v>30716</v>
      </c>
      <c r="L2866" s="19" t="s">
        <v>30717</v>
      </c>
      <c r="M2866" s="20" t="s">
        <v>30718</v>
      </c>
      <c r="N2866" s="20"/>
      <c r="O2866" s="22">
        <v>0.0</v>
      </c>
      <c r="P2866" s="28">
        <v>1.0</v>
      </c>
      <c r="Q2866" s="28">
        <v>55.0</v>
      </c>
      <c r="R2866" s="84"/>
      <c r="S2866" s="84"/>
      <c r="T2866" s="84"/>
      <c r="U2866" s="84"/>
      <c r="V2866" s="84"/>
      <c r="W2866" s="84"/>
      <c r="X2866" s="84"/>
      <c r="Y2866" s="84"/>
      <c r="Z2866" s="84"/>
      <c r="AA2866" s="84"/>
    </row>
    <row r="2867" ht="15.75" customHeight="1">
      <c r="A2867" s="130" t="s">
        <v>120</v>
      </c>
      <c r="B2867" s="147" t="s">
        <v>28771</v>
      </c>
      <c r="C2867" s="130" t="s">
        <v>30719</v>
      </c>
      <c r="D2867" s="130" t="s">
        <v>30720</v>
      </c>
      <c r="E2867" s="131" t="s">
        <v>30721</v>
      </c>
      <c r="F2867" s="132">
        <v>131.0</v>
      </c>
      <c r="G2867" s="132">
        <v>140.0</v>
      </c>
      <c r="H2867" s="130" t="s">
        <v>28</v>
      </c>
      <c r="I2867" s="19" t="s">
        <v>30725</v>
      </c>
      <c r="J2867" s="19" t="s">
        <v>25575</v>
      </c>
      <c r="K2867" s="19" t="s">
        <v>25575</v>
      </c>
      <c r="L2867" s="19" t="s">
        <v>30726</v>
      </c>
      <c r="M2867" s="20" t="s">
        <v>30727</v>
      </c>
      <c r="N2867" s="20"/>
      <c r="O2867" s="22">
        <v>0.0</v>
      </c>
      <c r="P2867" s="28">
        <v>3.0</v>
      </c>
      <c r="Q2867" s="28">
        <v>35.0</v>
      </c>
      <c r="R2867" s="84"/>
      <c r="S2867" s="84"/>
      <c r="T2867" s="84"/>
      <c r="U2867" s="84"/>
      <c r="V2867" s="84"/>
      <c r="W2867" s="84"/>
      <c r="X2867" s="84"/>
      <c r="Y2867" s="84"/>
      <c r="Z2867" s="84"/>
      <c r="AA2867" s="84"/>
    </row>
    <row r="2868" ht="15.75" customHeight="1">
      <c r="A2868" s="130" t="s">
        <v>120</v>
      </c>
      <c r="B2868" s="147" t="s">
        <v>28771</v>
      </c>
      <c r="C2868" s="130" t="s">
        <v>30729</v>
      </c>
      <c r="D2868" s="130" t="s">
        <v>30730</v>
      </c>
      <c r="E2868" s="131" t="s">
        <v>30731</v>
      </c>
      <c r="F2868" s="132">
        <v>141.0</v>
      </c>
      <c r="G2868" s="132">
        <v>150.0</v>
      </c>
      <c r="H2868" s="130" t="s">
        <v>28</v>
      </c>
      <c r="I2868" s="19" t="s">
        <v>30797</v>
      </c>
      <c r="J2868" s="19" t="s">
        <v>30798</v>
      </c>
      <c r="K2868" s="19" t="s">
        <v>30799</v>
      </c>
      <c r="L2868" s="19" t="s">
        <v>30800</v>
      </c>
      <c r="M2868" s="20" t="s">
        <v>30801</v>
      </c>
      <c r="N2868" s="20"/>
      <c r="O2868" s="22">
        <v>0.0</v>
      </c>
      <c r="P2868" s="28">
        <v>2.0</v>
      </c>
      <c r="Q2868" s="28">
        <v>58.0</v>
      </c>
      <c r="R2868" s="84"/>
      <c r="S2868" s="84"/>
      <c r="T2868" s="84"/>
      <c r="U2868" s="84"/>
      <c r="V2868" s="84"/>
      <c r="W2868" s="84"/>
      <c r="X2868" s="84"/>
      <c r="Y2868" s="84"/>
      <c r="Z2868" s="84"/>
      <c r="AA2868" s="84"/>
    </row>
    <row r="2869">
      <c r="A2869" s="1" t="s">
        <v>2137</v>
      </c>
      <c r="B2869" s="160" t="s">
        <v>30802</v>
      </c>
      <c r="C2869" s="1" t="s">
        <v>30805</v>
      </c>
      <c r="D2869" s="1" t="s">
        <v>30806</v>
      </c>
      <c r="E2869" s="161" t="s">
        <v>30807</v>
      </c>
      <c r="F2869" s="33" t="s">
        <v>30812</v>
      </c>
      <c r="G2869" s="33" t="s">
        <v>30813</v>
      </c>
      <c r="H2869" s="1" t="s">
        <v>17059</v>
      </c>
      <c r="I2869" s="19" t="s">
        <v>30815</v>
      </c>
      <c r="J2869" s="19" t="s">
        <v>30816</v>
      </c>
      <c r="K2869" s="19" t="s">
        <v>30816</v>
      </c>
      <c r="L2869" s="19" t="s">
        <v>19791</v>
      </c>
      <c r="M2869" s="1" t="s">
        <v>30817</v>
      </c>
      <c r="N2869" s="35" t="s">
        <v>30818</v>
      </c>
      <c r="O2869" s="31"/>
      <c r="P2869" s="28">
        <v>1.0</v>
      </c>
      <c r="Q2869" s="28">
        <v>92.0</v>
      </c>
    </row>
    <row r="2870">
      <c r="A2870" s="1" t="s">
        <v>2137</v>
      </c>
      <c r="B2870" s="160" t="s">
        <v>30802</v>
      </c>
      <c r="C2870" s="1" t="s">
        <v>30822</v>
      </c>
      <c r="D2870" s="1" t="s">
        <v>30823</v>
      </c>
      <c r="E2870" s="161" t="s">
        <v>30824</v>
      </c>
      <c r="F2870" s="33" t="s">
        <v>30830</v>
      </c>
      <c r="G2870" s="33" t="s">
        <v>30831</v>
      </c>
      <c r="H2870" s="1" t="s">
        <v>17059</v>
      </c>
      <c r="I2870" s="19" t="s">
        <v>30832</v>
      </c>
      <c r="J2870" s="19" t="s">
        <v>30833</v>
      </c>
      <c r="K2870" s="19" t="s">
        <v>30833</v>
      </c>
      <c r="L2870" s="19" t="s">
        <v>30834</v>
      </c>
      <c r="M2870" s="1" t="s">
        <v>30835</v>
      </c>
      <c r="N2870" s="35" t="s">
        <v>30836</v>
      </c>
      <c r="O2870" s="31"/>
      <c r="P2870" s="28">
        <v>2.0</v>
      </c>
      <c r="Q2870" s="28">
        <v>82.0</v>
      </c>
    </row>
    <row r="2871">
      <c r="A2871" s="1" t="s">
        <v>2137</v>
      </c>
      <c r="B2871" s="160" t="s">
        <v>30802</v>
      </c>
      <c r="C2871" s="1" t="s">
        <v>30838</v>
      </c>
      <c r="D2871" s="1" t="s">
        <v>30840</v>
      </c>
      <c r="E2871" s="161" t="s">
        <v>30892</v>
      </c>
      <c r="F2871" s="33" t="s">
        <v>30895</v>
      </c>
      <c r="G2871" s="33" t="s">
        <v>30896</v>
      </c>
      <c r="H2871" s="1" t="s">
        <v>17059</v>
      </c>
      <c r="I2871" s="19" t="s">
        <v>30899</v>
      </c>
      <c r="J2871" s="19" t="s">
        <v>30901</v>
      </c>
      <c r="K2871" s="19" t="s">
        <v>30901</v>
      </c>
      <c r="L2871" s="19" t="s">
        <v>30902</v>
      </c>
      <c r="M2871" s="1" t="s">
        <v>23587</v>
      </c>
      <c r="N2871" s="35" t="s">
        <v>30904</v>
      </c>
      <c r="O2871" s="31"/>
      <c r="P2871" s="28">
        <v>4.0</v>
      </c>
      <c r="Q2871" s="28">
        <v>67.0</v>
      </c>
    </row>
    <row r="2872">
      <c r="A2872" s="1" t="s">
        <v>2137</v>
      </c>
      <c r="B2872" s="160" t="s">
        <v>30802</v>
      </c>
      <c r="C2872" s="1" t="s">
        <v>30905</v>
      </c>
      <c r="D2872" s="1" t="s">
        <v>30906</v>
      </c>
      <c r="E2872" s="161" t="s">
        <v>30907</v>
      </c>
      <c r="F2872" s="33" t="s">
        <v>30910</v>
      </c>
      <c r="G2872" s="33" t="s">
        <v>30911</v>
      </c>
      <c r="H2872" s="1" t="s">
        <v>17059</v>
      </c>
      <c r="I2872" s="19" t="s">
        <v>30912</v>
      </c>
      <c r="J2872" s="19" t="s">
        <v>30914</v>
      </c>
      <c r="K2872" s="19" t="s">
        <v>30914</v>
      </c>
      <c r="L2872" s="19" t="s">
        <v>30916</v>
      </c>
      <c r="M2872" s="1" t="s">
        <v>30917</v>
      </c>
      <c r="N2872" s="35" t="s">
        <v>30919</v>
      </c>
      <c r="O2872" s="31"/>
      <c r="P2872" s="28">
        <v>1.0</v>
      </c>
      <c r="Q2872" s="28">
        <v>79.0</v>
      </c>
    </row>
    <row r="2873">
      <c r="A2873" s="1" t="s">
        <v>2137</v>
      </c>
      <c r="B2873" s="160" t="s">
        <v>30802</v>
      </c>
      <c r="C2873" s="1" t="s">
        <v>30920</v>
      </c>
      <c r="D2873" s="1" t="s">
        <v>30921</v>
      </c>
      <c r="E2873" s="161" t="s">
        <v>30922</v>
      </c>
      <c r="F2873" s="33" t="s">
        <v>30927</v>
      </c>
      <c r="G2873" s="33" t="s">
        <v>30928</v>
      </c>
      <c r="H2873" s="1" t="s">
        <v>17059</v>
      </c>
      <c r="I2873" s="19" t="s">
        <v>30930</v>
      </c>
      <c r="J2873" s="19" t="s">
        <v>30931</v>
      </c>
      <c r="K2873" s="19" t="s">
        <v>30932</v>
      </c>
      <c r="L2873" s="19" t="s">
        <v>30933</v>
      </c>
      <c r="M2873" s="1" t="s">
        <v>27164</v>
      </c>
      <c r="N2873" s="35" t="s">
        <v>30934</v>
      </c>
      <c r="O2873" s="31"/>
      <c r="P2873" s="28">
        <v>1.0</v>
      </c>
      <c r="Q2873" s="28">
        <v>49.0</v>
      </c>
    </row>
    <row r="2874">
      <c r="A2874" s="1" t="s">
        <v>2137</v>
      </c>
      <c r="B2874" s="160" t="s">
        <v>30802</v>
      </c>
      <c r="C2874" s="1" t="s">
        <v>30935</v>
      </c>
      <c r="D2874" s="1" t="s">
        <v>30936</v>
      </c>
      <c r="E2874" s="161" t="s">
        <v>30937</v>
      </c>
      <c r="F2874" s="33" t="s">
        <v>30947</v>
      </c>
      <c r="G2874" s="33" t="s">
        <v>30976</v>
      </c>
      <c r="H2874" s="1" t="s">
        <v>17059</v>
      </c>
      <c r="I2874" s="19" t="s">
        <v>30979</v>
      </c>
      <c r="J2874" s="19" t="s">
        <v>30980</v>
      </c>
      <c r="K2874" s="19" t="s">
        <v>30980</v>
      </c>
      <c r="L2874" s="19" t="s">
        <v>30981</v>
      </c>
      <c r="M2874" s="1" t="s">
        <v>30982</v>
      </c>
      <c r="N2874" s="35" t="s">
        <v>30983</v>
      </c>
      <c r="O2874" s="31"/>
      <c r="P2874" s="28">
        <v>4.0</v>
      </c>
      <c r="Q2874" s="28">
        <v>46.0</v>
      </c>
    </row>
    <row r="2875">
      <c r="A2875" s="1" t="s">
        <v>2137</v>
      </c>
      <c r="B2875" s="160" t="s">
        <v>30802</v>
      </c>
      <c r="C2875" s="1" t="s">
        <v>30984</v>
      </c>
      <c r="D2875" s="1" t="s">
        <v>30985</v>
      </c>
      <c r="E2875" s="161" t="s">
        <v>30986</v>
      </c>
      <c r="F2875" s="33" t="s">
        <v>30991</v>
      </c>
      <c r="G2875" s="33" t="s">
        <v>30992</v>
      </c>
      <c r="H2875" s="1" t="s">
        <v>17059</v>
      </c>
      <c r="I2875" s="19" t="s">
        <v>30995</v>
      </c>
      <c r="J2875" s="19" t="s">
        <v>30996</v>
      </c>
      <c r="K2875" s="19" t="s">
        <v>30996</v>
      </c>
      <c r="L2875" s="19" t="s">
        <v>30997</v>
      </c>
      <c r="M2875" s="1" t="s">
        <v>30999</v>
      </c>
      <c r="N2875" s="35" t="s">
        <v>31000</v>
      </c>
      <c r="O2875" s="31"/>
      <c r="P2875" s="28">
        <v>0.0</v>
      </c>
      <c r="Q2875" s="28">
        <v>61.0</v>
      </c>
    </row>
    <row r="2876">
      <c r="A2876" s="1" t="s">
        <v>2137</v>
      </c>
      <c r="B2876" s="160" t="s">
        <v>30802</v>
      </c>
      <c r="C2876" s="1" t="s">
        <v>31001</v>
      </c>
      <c r="D2876" s="1" t="s">
        <v>31002</v>
      </c>
      <c r="E2876" s="161" t="s">
        <v>31003</v>
      </c>
      <c r="F2876" s="33" t="s">
        <v>31017</v>
      </c>
      <c r="G2876" s="33" t="s">
        <v>31018</v>
      </c>
      <c r="H2876" s="1" t="s">
        <v>17059</v>
      </c>
      <c r="I2876" s="19" t="s">
        <v>31020</v>
      </c>
      <c r="J2876" s="19" t="s">
        <v>31022</v>
      </c>
      <c r="K2876" s="19" t="s">
        <v>31022</v>
      </c>
      <c r="L2876" s="19" t="s">
        <v>31023</v>
      </c>
      <c r="M2876" s="1" t="s">
        <v>31024</v>
      </c>
      <c r="N2876" s="35" t="s">
        <v>31025</v>
      </c>
      <c r="O2876" s="31"/>
      <c r="P2876" s="28">
        <v>0.0</v>
      </c>
      <c r="Q2876" s="28">
        <v>38.0</v>
      </c>
    </row>
    <row r="2877">
      <c r="A2877" s="1" t="s">
        <v>2137</v>
      </c>
      <c r="B2877" s="160" t="s">
        <v>30802</v>
      </c>
      <c r="C2877" s="1" t="s">
        <v>31026</v>
      </c>
      <c r="D2877" s="1" t="s">
        <v>31027</v>
      </c>
      <c r="E2877" s="161" t="s">
        <v>31028</v>
      </c>
      <c r="F2877" s="33" t="s">
        <v>31036</v>
      </c>
      <c r="G2877" s="33" t="s">
        <v>31038</v>
      </c>
      <c r="H2877" s="1" t="s">
        <v>17059</v>
      </c>
      <c r="I2877" s="19" t="s">
        <v>31039</v>
      </c>
      <c r="J2877" s="19" t="s">
        <v>31040</v>
      </c>
      <c r="K2877" s="19" t="s">
        <v>31040</v>
      </c>
      <c r="L2877" s="19" t="s">
        <v>31041</v>
      </c>
      <c r="M2877" s="1" t="s">
        <v>31042</v>
      </c>
      <c r="N2877" s="35" t="s">
        <v>31043</v>
      </c>
      <c r="O2877" s="31"/>
      <c r="P2877" s="28">
        <v>2.0</v>
      </c>
      <c r="Q2877" s="28">
        <v>59.0</v>
      </c>
    </row>
    <row r="2878">
      <c r="A2878" s="1" t="s">
        <v>2137</v>
      </c>
      <c r="B2878" s="160" t="s">
        <v>30802</v>
      </c>
      <c r="C2878" s="1" t="s">
        <v>31044</v>
      </c>
      <c r="D2878" s="1" t="s">
        <v>31045</v>
      </c>
      <c r="E2878" s="161" t="s">
        <v>31046</v>
      </c>
      <c r="F2878" s="33" t="s">
        <v>31053</v>
      </c>
      <c r="G2878" s="33" t="s">
        <v>31054</v>
      </c>
      <c r="H2878" s="1" t="s">
        <v>17059</v>
      </c>
      <c r="I2878" s="19" t="s">
        <v>31055</v>
      </c>
      <c r="J2878" s="19" t="s">
        <v>31056</v>
      </c>
      <c r="K2878" s="19" t="s">
        <v>31057</v>
      </c>
      <c r="L2878" s="19" t="s">
        <v>31058</v>
      </c>
      <c r="M2878" s="1" t="s">
        <v>31059</v>
      </c>
      <c r="N2878" s="35" t="s">
        <v>31060</v>
      </c>
      <c r="O2878" s="31"/>
      <c r="P2878" s="28">
        <v>0.0</v>
      </c>
      <c r="Q2878" s="28">
        <v>54.0</v>
      </c>
    </row>
    <row r="2879">
      <c r="A2879" s="1" t="s">
        <v>2137</v>
      </c>
      <c r="B2879" s="160" t="s">
        <v>30802</v>
      </c>
      <c r="C2879" s="1" t="s">
        <v>31063</v>
      </c>
      <c r="D2879" s="1" t="s">
        <v>31064</v>
      </c>
      <c r="E2879" s="161" t="s">
        <v>31065</v>
      </c>
      <c r="F2879" s="33" t="s">
        <v>31071</v>
      </c>
      <c r="G2879" s="33" t="s">
        <v>31075</v>
      </c>
      <c r="H2879" s="1" t="s">
        <v>17059</v>
      </c>
      <c r="I2879" s="19" t="s">
        <v>31077</v>
      </c>
      <c r="J2879" s="19" t="s">
        <v>31079</v>
      </c>
      <c r="K2879" s="19" t="s">
        <v>31079</v>
      </c>
      <c r="L2879" s="19" t="s">
        <v>31080</v>
      </c>
      <c r="M2879" s="1" t="s">
        <v>31081</v>
      </c>
      <c r="N2879" s="35" t="s">
        <v>31082</v>
      </c>
      <c r="O2879" s="31"/>
      <c r="P2879" s="28">
        <v>0.0</v>
      </c>
      <c r="Q2879" s="28">
        <v>66.0</v>
      </c>
    </row>
    <row r="2880">
      <c r="A2880" s="1" t="s">
        <v>2137</v>
      </c>
      <c r="B2880" s="160" t="s">
        <v>30802</v>
      </c>
      <c r="C2880" s="1" t="s">
        <v>31119</v>
      </c>
      <c r="D2880" s="1" t="s">
        <v>31120</v>
      </c>
      <c r="E2880" s="161" t="s">
        <v>31122</v>
      </c>
      <c r="F2880" s="33" t="s">
        <v>31133</v>
      </c>
      <c r="G2880" s="33" t="s">
        <v>31134</v>
      </c>
      <c r="H2880" s="1" t="s">
        <v>17059</v>
      </c>
      <c r="I2880" s="19" t="s">
        <v>31135</v>
      </c>
      <c r="J2880" s="19" t="s">
        <v>31136</v>
      </c>
      <c r="K2880" s="19" t="s">
        <v>31136</v>
      </c>
      <c r="L2880" s="19" t="s">
        <v>31191</v>
      </c>
      <c r="M2880" s="1" t="s">
        <v>31192</v>
      </c>
      <c r="N2880" s="35" t="s">
        <v>31193</v>
      </c>
      <c r="O2880" s="31"/>
      <c r="P2880" s="28">
        <v>13.0</v>
      </c>
      <c r="Q2880" s="28">
        <v>35.0</v>
      </c>
    </row>
    <row r="2881">
      <c r="A2881" s="1" t="s">
        <v>2137</v>
      </c>
      <c r="B2881" s="160" t="s">
        <v>30802</v>
      </c>
      <c r="C2881" s="1" t="s">
        <v>31194</v>
      </c>
      <c r="D2881" s="1" t="s">
        <v>31195</v>
      </c>
      <c r="E2881" s="161" t="s">
        <v>31196</v>
      </c>
      <c r="F2881" s="33" t="s">
        <v>31198</v>
      </c>
      <c r="G2881" s="33" t="s">
        <v>31199</v>
      </c>
      <c r="H2881" s="1" t="s">
        <v>17059</v>
      </c>
      <c r="I2881" s="19" t="s">
        <v>31202</v>
      </c>
      <c r="J2881" s="19" t="s">
        <v>31204</v>
      </c>
      <c r="K2881" s="19" t="s">
        <v>31204</v>
      </c>
      <c r="L2881" s="19" t="s">
        <v>31205</v>
      </c>
      <c r="M2881" s="1" t="s">
        <v>31206</v>
      </c>
      <c r="N2881" s="35" t="s">
        <v>31207</v>
      </c>
      <c r="O2881" s="31"/>
      <c r="P2881" s="28">
        <v>3.0</v>
      </c>
      <c r="Q2881" s="28">
        <v>76.0</v>
      </c>
    </row>
    <row r="2882">
      <c r="A2882" s="1" t="s">
        <v>2137</v>
      </c>
      <c r="B2882" s="160" t="s">
        <v>30802</v>
      </c>
      <c r="C2882" s="1" t="s">
        <v>31208</v>
      </c>
      <c r="D2882" s="1" t="s">
        <v>31209</v>
      </c>
      <c r="E2882" s="161" t="s">
        <v>31210</v>
      </c>
      <c r="F2882" s="33" t="s">
        <v>31216</v>
      </c>
      <c r="G2882" s="33" t="s">
        <v>31218</v>
      </c>
      <c r="H2882" s="1" t="s">
        <v>17059</v>
      </c>
      <c r="I2882" s="19" t="s">
        <v>31220</v>
      </c>
      <c r="J2882" s="19" t="s">
        <v>31221</v>
      </c>
      <c r="K2882" s="19" t="s">
        <v>31221</v>
      </c>
      <c r="L2882" s="19" t="s">
        <v>27140</v>
      </c>
      <c r="M2882" s="1" t="s">
        <v>31222</v>
      </c>
      <c r="N2882" s="35" t="s">
        <v>31223</v>
      </c>
      <c r="O2882" s="31"/>
      <c r="P2882" s="28">
        <v>7.0</v>
      </c>
      <c r="Q2882" s="28">
        <v>34.0</v>
      </c>
      <c r="R2882" s="1" t="s">
        <v>19037</v>
      </c>
    </row>
    <row r="2883">
      <c r="A2883" s="1" t="s">
        <v>2137</v>
      </c>
      <c r="B2883" s="160" t="s">
        <v>30802</v>
      </c>
      <c r="C2883" s="1" t="s">
        <v>31224</v>
      </c>
      <c r="D2883" s="1" t="s">
        <v>31225</v>
      </c>
      <c r="E2883" s="161" t="s">
        <v>31226</v>
      </c>
      <c r="F2883" s="33" t="s">
        <v>31227</v>
      </c>
      <c r="G2883" s="33" t="s">
        <v>31228</v>
      </c>
      <c r="H2883" s="1" t="s">
        <v>17059</v>
      </c>
      <c r="I2883" s="19" t="s">
        <v>31229</v>
      </c>
      <c r="J2883" s="19" t="s">
        <v>25193</v>
      </c>
      <c r="K2883" s="19" t="s">
        <v>25193</v>
      </c>
      <c r="L2883" s="19" t="s">
        <v>15411</v>
      </c>
      <c r="M2883" s="1" t="s">
        <v>31230</v>
      </c>
      <c r="N2883" s="35" t="s">
        <v>31231</v>
      </c>
      <c r="O2883" s="31"/>
      <c r="P2883" s="28">
        <v>6.0</v>
      </c>
      <c r="Q2883" s="28">
        <v>82.0</v>
      </c>
    </row>
    <row r="2884">
      <c r="A2884" s="1" t="s">
        <v>2137</v>
      </c>
      <c r="B2884" s="160" t="s">
        <v>30802</v>
      </c>
      <c r="C2884" s="1" t="s">
        <v>31232</v>
      </c>
      <c r="D2884" s="1" t="s">
        <v>31233</v>
      </c>
      <c r="E2884" s="161" t="s">
        <v>31234</v>
      </c>
      <c r="F2884" s="33" t="s">
        <v>31239</v>
      </c>
      <c r="G2884" s="33" t="s">
        <v>31240</v>
      </c>
      <c r="H2884" s="1" t="s">
        <v>17059</v>
      </c>
      <c r="I2884" s="19" t="s">
        <v>31241</v>
      </c>
      <c r="J2884" s="19" t="s">
        <v>31242</v>
      </c>
      <c r="K2884" s="19" t="s">
        <v>31242</v>
      </c>
      <c r="L2884" s="19" t="s">
        <v>31243</v>
      </c>
      <c r="M2884" s="1" t="s">
        <v>31244</v>
      </c>
      <c r="N2884" s="35" t="s">
        <v>31245</v>
      </c>
      <c r="O2884" s="31"/>
      <c r="P2884" s="28">
        <v>3.0</v>
      </c>
      <c r="Q2884" s="28">
        <v>35.0</v>
      </c>
    </row>
    <row r="2885">
      <c r="A2885" s="1" t="s">
        <v>2137</v>
      </c>
      <c r="B2885" s="160" t="s">
        <v>30802</v>
      </c>
      <c r="C2885" s="1" t="s">
        <v>31247</v>
      </c>
      <c r="D2885" s="1" t="s">
        <v>31248</v>
      </c>
      <c r="E2885" s="161" t="s">
        <v>31250</v>
      </c>
      <c r="F2885" s="33" t="s">
        <v>31253</v>
      </c>
      <c r="G2885" s="33" t="s">
        <v>31254</v>
      </c>
      <c r="H2885" s="1" t="s">
        <v>17059</v>
      </c>
      <c r="I2885" s="19" t="s">
        <v>31255</v>
      </c>
      <c r="J2885" s="19" t="s">
        <v>31256</v>
      </c>
      <c r="K2885" s="19" t="s">
        <v>31256</v>
      </c>
      <c r="L2885" s="19" t="s">
        <v>31257</v>
      </c>
      <c r="M2885" s="1" t="s">
        <v>31258</v>
      </c>
      <c r="N2885" s="35" t="s">
        <v>31259</v>
      </c>
      <c r="O2885" s="31"/>
      <c r="P2885" s="28">
        <v>0.0</v>
      </c>
      <c r="Q2885" s="28">
        <v>57.0</v>
      </c>
    </row>
    <row r="2886">
      <c r="A2886" s="1" t="s">
        <v>2137</v>
      </c>
      <c r="B2886" s="160" t="s">
        <v>30802</v>
      </c>
      <c r="C2886" s="1" t="s">
        <v>31260</v>
      </c>
      <c r="D2886" s="1" t="s">
        <v>31261</v>
      </c>
      <c r="E2886" s="161" t="s">
        <v>31262</v>
      </c>
      <c r="F2886" s="33" t="s">
        <v>31267</v>
      </c>
      <c r="G2886" s="33" t="s">
        <v>31268</v>
      </c>
      <c r="H2886" s="1" t="s">
        <v>17059</v>
      </c>
      <c r="I2886" s="19" t="s">
        <v>31269</v>
      </c>
      <c r="J2886" s="19" t="s">
        <v>31270</v>
      </c>
      <c r="K2886" s="19" t="s">
        <v>31271</v>
      </c>
      <c r="L2886" s="19" t="s">
        <v>31272</v>
      </c>
      <c r="M2886" s="1" t="s">
        <v>31273</v>
      </c>
      <c r="N2886" s="35" t="s">
        <v>31274</v>
      </c>
      <c r="O2886" s="31"/>
      <c r="P2886" s="28">
        <v>1.0</v>
      </c>
      <c r="Q2886" s="28">
        <v>43.0</v>
      </c>
    </row>
    <row r="2887">
      <c r="A2887" s="1" t="s">
        <v>2137</v>
      </c>
      <c r="B2887" s="160" t="s">
        <v>30802</v>
      </c>
      <c r="C2887" s="1" t="s">
        <v>31275</v>
      </c>
      <c r="D2887" s="1" t="s">
        <v>31276</v>
      </c>
      <c r="E2887" s="161" t="s">
        <v>31277</v>
      </c>
      <c r="F2887" s="33" t="s">
        <v>31282</v>
      </c>
      <c r="G2887" s="33" t="s">
        <v>31283</v>
      </c>
      <c r="H2887" s="1" t="s">
        <v>17059</v>
      </c>
      <c r="I2887" s="19" t="s">
        <v>31284</v>
      </c>
      <c r="J2887" s="19" t="s">
        <v>31285</v>
      </c>
      <c r="K2887" s="19" t="s">
        <v>31285</v>
      </c>
      <c r="L2887" s="19" t="s">
        <v>31286</v>
      </c>
      <c r="M2887" s="1" t="s">
        <v>31287</v>
      </c>
      <c r="N2887" s="35" t="s">
        <v>31288</v>
      </c>
      <c r="O2887" s="31"/>
      <c r="P2887" s="28">
        <v>2.0</v>
      </c>
      <c r="Q2887" s="28">
        <v>53.0</v>
      </c>
      <c r="R2887" s="1" t="s">
        <v>19037</v>
      </c>
    </row>
    <row r="2888">
      <c r="A2888" s="1" t="s">
        <v>2137</v>
      </c>
      <c r="B2888" s="160" t="s">
        <v>30802</v>
      </c>
      <c r="C2888" s="1" t="s">
        <v>31290</v>
      </c>
      <c r="D2888" s="1" t="s">
        <v>31292</v>
      </c>
      <c r="E2888" s="161" t="s">
        <v>31293</v>
      </c>
      <c r="F2888" s="33" t="s">
        <v>31294</v>
      </c>
      <c r="G2888" s="33" t="s">
        <v>31295</v>
      </c>
      <c r="H2888" s="1" t="s">
        <v>17059</v>
      </c>
      <c r="I2888" s="19" t="s">
        <v>31298</v>
      </c>
      <c r="J2888" s="19" t="s">
        <v>31299</v>
      </c>
      <c r="K2888" s="19" t="s">
        <v>31299</v>
      </c>
      <c r="L2888" s="19" t="s">
        <v>31300</v>
      </c>
      <c r="M2888" s="1" t="s">
        <v>31301</v>
      </c>
      <c r="N2888" s="35" t="s">
        <v>31302</v>
      </c>
      <c r="O2888" s="31"/>
      <c r="P2888" s="28">
        <v>3.0</v>
      </c>
      <c r="Q2888" s="28">
        <v>27.0</v>
      </c>
    </row>
    <row r="2889">
      <c r="A2889" s="1" t="s">
        <v>2137</v>
      </c>
      <c r="B2889" s="160" t="s">
        <v>30802</v>
      </c>
      <c r="C2889" s="1" t="s">
        <v>31303</v>
      </c>
      <c r="D2889" s="1" t="s">
        <v>31304</v>
      </c>
      <c r="E2889" s="161" t="s">
        <v>31305</v>
      </c>
      <c r="F2889" s="33" t="s">
        <v>31309</v>
      </c>
      <c r="G2889" s="33" t="s">
        <v>31310</v>
      </c>
      <c r="H2889" s="1" t="s">
        <v>17059</v>
      </c>
      <c r="I2889" s="19" t="s">
        <v>31311</v>
      </c>
      <c r="J2889" s="19" t="s">
        <v>31316</v>
      </c>
      <c r="K2889" s="19" t="s">
        <v>31316</v>
      </c>
      <c r="L2889" s="19" t="s">
        <v>31317</v>
      </c>
      <c r="M2889" s="1" t="s">
        <v>31318</v>
      </c>
      <c r="N2889" s="35" t="s">
        <v>31319</v>
      </c>
      <c r="O2889" s="31"/>
      <c r="P2889" s="28">
        <v>1.0</v>
      </c>
      <c r="Q2889" s="28">
        <v>74.0</v>
      </c>
    </row>
    <row r="2890">
      <c r="A2890" s="1" t="s">
        <v>2137</v>
      </c>
      <c r="B2890" s="160" t="s">
        <v>30802</v>
      </c>
      <c r="C2890" s="1" t="s">
        <v>31320</v>
      </c>
      <c r="D2890" s="1" t="s">
        <v>31321</v>
      </c>
      <c r="E2890" s="161" t="s">
        <v>31322</v>
      </c>
      <c r="F2890" s="33" t="s">
        <v>31325</v>
      </c>
      <c r="G2890" s="33" t="s">
        <v>31326</v>
      </c>
      <c r="H2890" s="1" t="s">
        <v>17059</v>
      </c>
      <c r="I2890" s="19" t="s">
        <v>31327</v>
      </c>
      <c r="J2890" s="19" t="s">
        <v>31328</v>
      </c>
      <c r="K2890" s="19" t="s">
        <v>31329</v>
      </c>
      <c r="L2890" s="19" t="s">
        <v>31330</v>
      </c>
      <c r="M2890" s="1" t="s">
        <v>31331</v>
      </c>
      <c r="N2890" s="35" t="s">
        <v>31332</v>
      </c>
      <c r="O2890" s="31"/>
      <c r="P2890" s="28">
        <v>0.0</v>
      </c>
      <c r="Q2890" s="28">
        <v>65.0</v>
      </c>
    </row>
    <row r="2891">
      <c r="A2891" s="1" t="s">
        <v>2137</v>
      </c>
      <c r="B2891" s="160" t="s">
        <v>30802</v>
      </c>
      <c r="C2891" s="1" t="s">
        <v>31333</v>
      </c>
      <c r="D2891" s="1" t="s">
        <v>31334</v>
      </c>
      <c r="E2891" s="161" t="s">
        <v>31335</v>
      </c>
      <c r="F2891" s="33" t="s">
        <v>31340</v>
      </c>
      <c r="G2891" s="33" t="s">
        <v>31341</v>
      </c>
      <c r="H2891" s="1" t="s">
        <v>17059</v>
      </c>
      <c r="I2891" s="19" t="s">
        <v>31342</v>
      </c>
      <c r="J2891" s="19" t="s">
        <v>31343</v>
      </c>
      <c r="K2891" s="19" t="s">
        <v>31343</v>
      </c>
      <c r="L2891" s="19" t="s">
        <v>31344</v>
      </c>
      <c r="M2891" s="1" t="s">
        <v>31345</v>
      </c>
      <c r="N2891" s="35" t="s">
        <v>31346</v>
      </c>
      <c r="O2891" s="31"/>
      <c r="P2891" s="28">
        <v>7.0</v>
      </c>
      <c r="Q2891" s="28">
        <v>55.0</v>
      </c>
      <c r="R2891" s="1" t="s">
        <v>106</v>
      </c>
    </row>
    <row r="2892">
      <c r="A2892" s="1" t="s">
        <v>2137</v>
      </c>
      <c r="B2892" s="160" t="s">
        <v>30802</v>
      </c>
      <c r="C2892" s="1" t="s">
        <v>31347</v>
      </c>
      <c r="D2892" s="1" t="s">
        <v>31348</v>
      </c>
      <c r="E2892" s="161" t="s">
        <v>31349</v>
      </c>
      <c r="F2892" s="33" t="s">
        <v>31353</v>
      </c>
      <c r="G2892" s="33" t="s">
        <v>31354</v>
      </c>
      <c r="H2892" s="1" t="s">
        <v>17059</v>
      </c>
      <c r="I2892" s="19" t="s">
        <v>31355</v>
      </c>
      <c r="J2892" s="19" t="s">
        <v>31356</v>
      </c>
      <c r="K2892" s="19" t="s">
        <v>31357</v>
      </c>
      <c r="L2892" s="19" t="s">
        <v>31358</v>
      </c>
      <c r="M2892" s="1" t="s">
        <v>31359</v>
      </c>
      <c r="N2892" s="35" t="s">
        <v>31360</v>
      </c>
      <c r="O2892" s="31"/>
      <c r="P2892" s="28">
        <v>0.0</v>
      </c>
      <c r="Q2892" s="28">
        <v>26.0</v>
      </c>
    </row>
    <row r="2893">
      <c r="A2893" s="1" t="s">
        <v>2137</v>
      </c>
      <c r="B2893" s="160" t="s">
        <v>30802</v>
      </c>
      <c r="C2893" s="1" t="s">
        <v>31361</v>
      </c>
      <c r="D2893" s="1" t="s">
        <v>31362</v>
      </c>
      <c r="E2893" s="161" t="s">
        <v>31363</v>
      </c>
      <c r="F2893" s="33" t="s">
        <v>31422</v>
      </c>
      <c r="G2893" s="33" t="s">
        <v>31423</v>
      </c>
      <c r="H2893" s="1" t="s">
        <v>17059</v>
      </c>
      <c r="I2893" s="19" t="s">
        <v>31424</v>
      </c>
      <c r="J2893" s="19" t="s">
        <v>31425</v>
      </c>
      <c r="K2893" s="19" t="s">
        <v>31426</v>
      </c>
      <c r="L2893" s="19" t="s">
        <v>31427</v>
      </c>
      <c r="M2893" s="1" t="s">
        <v>31428</v>
      </c>
      <c r="N2893" s="35" t="s">
        <v>31429</v>
      </c>
      <c r="O2893" s="31"/>
      <c r="P2893" s="28">
        <v>1.0</v>
      </c>
      <c r="Q2893" s="28">
        <v>119.0</v>
      </c>
    </row>
    <row r="2894">
      <c r="A2894" s="1" t="s">
        <v>2137</v>
      </c>
      <c r="B2894" s="160" t="s">
        <v>30802</v>
      </c>
      <c r="C2894" s="1" t="s">
        <v>31433</v>
      </c>
      <c r="D2894" s="1" t="s">
        <v>31434</v>
      </c>
      <c r="E2894" s="161" t="s">
        <v>31435</v>
      </c>
      <c r="F2894" s="33" t="s">
        <v>31436</v>
      </c>
      <c r="G2894" s="33" t="s">
        <v>31437</v>
      </c>
      <c r="H2894" s="1" t="s">
        <v>17059</v>
      </c>
      <c r="I2894" s="19" t="s">
        <v>31438</v>
      </c>
      <c r="J2894" s="19" t="s">
        <v>28931</v>
      </c>
      <c r="K2894" s="19" t="s">
        <v>28931</v>
      </c>
      <c r="L2894" s="19" t="s">
        <v>31441</v>
      </c>
      <c r="M2894" s="1" t="s">
        <v>31442</v>
      </c>
      <c r="N2894" s="35" t="s">
        <v>31443</v>
      </c>
      <c r="O2894" s="31"/>
      <c r="P2894" s="28">
        <v>2.0</v>
      </c>
      <c r="Q2894" s="28">
        <v>91.0</v>
      </c>
    </row>
    <row r="2895">
      <c r="A2895" s="1" t="s">
        <v>2137</v>
      </c>
      <c r="B2895" s="160" t="s">
        <v>30802</v>
      </c>
      <c r="C2895" s="1" t="s">
        <v>31446</v>
      </c>
      <c r="D2895" s="1" t="s">
        <v>31447</v>
      </c>
      <c r="E2895" s="161" t="s">
        <v>31448</v>
      </c>
      <c r="F2895" s="33" t="s">
        <v>31456</v>
      </c>
      <c r="G2895" s="33" t="s">
        <v>31457</v>
      </c>
      <c r="H2895" s="1" t="s">
        <v>17059</v>
      </c>
      <c r="I2895" s="19" t="s">
        <v>31459</v>
      </c>
      <c r="J2895" s="19" t="s">
        <v>31461</v>
      </c>
      <c r="K2895" s="19" t="s">
        <v>31461</v>
      </c>
      <c r="L2895" s="19" t="s">
        <v>22536</v>
      </c>
      <c r="M2895" s="1" t="s">
        <v>31463</v>
      </c>
      <c r="N2895" s="35" t="s">
        <v>31464</v>
      </c>
      <c r="O2895" s="31"/>
      <c r="P2895" s="28">
        <v>2.0</v>
      </c>
      <c r="Q2895" s="28">
        <v>20.0</v>
      </c>
    </row>
    <row r="2896">
      <c r="A2896" s="1" t="s">
        <v>2137</v>
      </c>
      <c r="B2896" s="160" t="s">
        <v>30802</v>
      </c>
      <c r="C2896" s="1" t="s">
        <v>31466</v>
      </c>
      <c r="D2896" s="1" t="s">
        <v>31467</v>
      </c>
      <c r="E2896" s="161" t="s">
        <v>31468</v>
      </c>
      <c r="F2896" s="33" t="s">
        <v>31472</v>
      </c>
      <c r="G2896" s="33" t="s">
        <v>31473</v>
      </c>
      <c r="H2896" s="1" t="s">
        <v>17059</v>
      </c>
      <c r="I2896" s="19" t="s">
        <v>31474</v>
      </c>
      <c r="J2896" s="19" t="s">
        <v>31475</v>
      </c>
      <c r="K2896" s="19" t="s">
        <v>31475</v>
      </c>
      <c r="L2896" s="19" t="s">
        <v>31476</v>
      </c>
      <c r="M2896" s="1" t="s">
        <v>31477</v>
      </c>
      <c r="N2896" s="35" t="s">
        <v>31478</v>
      </c>
      <c r="O2896" s="31"/>
      <c r="P2896" s="28">
        <v>2.0</v>
      </c>
      <c r="Q2896" s="28">
        <v>46.0</v>
      </c>
    </row>
    <row r="2897">
      <c r="A2897" s="1" t="s">
        <v>2137</v>
      </c>
      <c r="B2897" s="160" t="s">
        <v>30802</v>
      </c>
      <c r="C2897" s="1" t="s">
        <v>31479</v>
      </c>
      <c r="D2897" s="1" t="s">
        <v>31480</v>
      </c>
      <c r="E2897" s="161" t="s">
        <v>31481</v>
      </c>
      <c r="F2897" s="33" t="s">
        <v>31483</v>
      </c>
      <c r="G2897" s="33" t="s">
        <v>31484</v>
      </c>
      <c r="H2897" s="1" t="s">
        <v>17059</v>
      </c>
      <c r="I2897" s="19" t="s">
        <v>31485</v>
      </c>
      <c r="J2897" s="19" t="s">
        <v>31486</v>
      </c>
      <c r="K2897" s="19" t="s">
        <v>31487</v>
      </c>
      <c r="L2897" s="19" t="s">
        <v>21430</v>
      </c>
      <c r="M2897" s="1" t="s">
        <v>31488</v>
      </c>
      <c r="N2897" s="35" t="s">
        <v>31489</v>
      </c>
      <c r="O2897" s="31"/>
      <c r="P2897" s="28">
        <v>5.0</v>
      </c>
      <c r="Q2897" s="28">
        <v>70.0</v>
      </c>
    </row>
    <row r="2898">
      <c r="A2898" s="1" t="s">
        <v>2137</v>
      </c>
      <c r="B2898" s="160" t="s">
        <v>30802</v>
      </c>
      <c r="C2898" s="1" t="s">
        <v>31490</v>
      </c>
      <c r="D2898" s="1" t="s">
        <v>31491</v>
      </c>
      <c r="E2898" s="161" t="s">
        <v>31492</v>
      </c>
      <c r="F2898" s="33" t="s">
        <v>31496</v>
      </c>
      <c r="G2898" s="33" t="s">
        <v>31497</v>
      </c>
      <c r="H2898" s="1" t="s">
        <v>17059</v>
      </c>
      <c r="I2898" s="19" t="s">
        <v>31500</v>
      </c>
      <c r="J2898" s="19" t="s">
        <v>31502</v>
      </c>
      <c r="K2898" s="19" t="s">
        <v>31502</v>
      </c>
      <c r="L2898" s="19" t="s">
        <v>31503</v>
      </c>
      <c r="M2898" s="1" t="s">
        <v>31504</v>
      </c>
      <c r="N2898" s="35" t="s">
        <v>31505</v>
      </c>
      <c r="O2898" s="31"/>
      <c r="P2898" s="28">
        <v>1.0</v>
      </c>
      <c r="Q2898" s="28">
        <v>40.0</v>
      </c>
    </row>
    <row r="2899">
      <c r="A2899" s="1" t="s">
        <v>2137</v>
      </c>
      <c r="B2899" s="160" t="s">
        <v>30802</v>
      </c>
      <c r="C2899" s="1" t="s">
        <v>31506</v>
      </c>
      <c r="D2899" s="1" t="s">
        <v>31507</v>
      </c>
      <c r="E2899" s="161" t="s">
        <v>31508</v>
      </c>
      <c r="F2899" s="33" t="s">
        <v>31515</v>
      </c>
      <c r="G2899" s="33" t="s">
        <v>31516</v>
      </c>
      <c r="H2899" s="1" t="s">
        <v>17059</v>
      </c>
      <c r="I2899" s="19" t="s">
        <v>31517</v>
      </c>
      <c r="J2899" s="19" t="s">
        <v>31518</v>
      </c>
      <c r="K2899" s="19" t="s">
        <v>31519</v>
      </c>
      <c r="L2899" s="19" t="s">
        <v>22529</v>
      </c>
      <c r="M2899" s="1" t="s">
        <v>31520</v>
      </c>
      <c r="N2899" s="35" t="s">
        <v>31521</v>
      </c>
      <c r="O2899" s="31"/>
      <c r="P2899" s="28">
        <v>4.0</v>
      </c>
      <c r="Q2899" s="28">
        <v>50.0</v>
      </c>
    </row>
    <row r="2900">
      <c r="A2900" s="1" t="s">
        <v>2137</v>
      </c>
      <c r="B2900" s="160" t="s">
        <v>30802</v>
      </c>
      <c r="C2900" s="1" t="s">
        <v>31524</v>
      </c>
      <c r="D2900" s="1" t="s">
        <v>31525</v>
      </c>
      <c r="E2900" s="161" t="s">
        <v>31526</v>
      </c>
      <c r="F2900" s="33" t="s">
        <v>31530</v>
      </c>
      <c r="G2900" s="33" t="s">
        <v>31531</v>
      </c>
      <c r="H2900" s="1" t="s">
        <v>17059</v>
      </c>
      <c r="I2900" s="19" t="s">
        <v>31532</v>
      </c>
      <c r="J2900" s="19" t="s">
        <v>31533</v>
      </c>
      <c r="K2900" s="19" t="s">
        <v>31534</v>
      </c>
      <c r="L2900" s="19" t="s">
        <v>31535</v>
      </c>
      <c r="M2900" s="1" t="s">
        <v>31536</v>
      </c>
      <c r="N2900" s="35" t="s">
        <v>31537</v>
      </c>
      <c r="O2900" s="31"/>
      <c r="P2900" s="28">
        <v>1.0</v>
      </c>
      <c r="Q2900" s="28">
        <v>30.0</v>
      </c>
    </row>
    <row r="2901">
      <c r="A2901" s="1" t="s">
        <v>2137</v>
      </c>
      <c r="B2901" s="160" t="s">
        <v>30802</v>
      </c>
      <c r="C2901" s="1" t="s">
        <v>31538</v>
      </c>
      <c r="D2901" s="1" t="s">
        <v>31539</v>
      </c>
      <c r="E2901" s="161" t="s">
        <v>31540</v>
      </c>
      <c r="F2901" s="33" t="s">
        <v>31543</v>
      </c>
      <c r="G2901" s="33" t="s">
        <v>31544</v>
      </c>
      <c r="H2901" s="1" t="s">
        <v>17059</v>
      </c>
      <c r="I2901" s="19" t="s">
        <v>31545</v>
      </c>
      <c r="J2901" s="19" t="s">
        <v>31546</v>
      </c>
      <c r="K2901" s="19" t="s">
        <v>31546</v>
      </c>
      <c r="L2901" s="19" t="s">
        <v>31547</v>
      </c>
      <c r="M2901" s="1" t="s">
        <v>31548</v>
      </c>
      <c r="N2901" s="35" t="s">
        <v>31549</v>
      </c>
      <c r="O2901" s="31"/>
      <c r="P2901" s="28">
        <v>2.0</v>
      </c>
      <c r="Q2901" s="28">
        <v>41.0</v>
      </c>
    </row>
    <row r="2902">
      <c r="A2902" s="1" t="s">
        <v>2137</v>
      </c>
      <c r="B2902" s="160" t="s">
        <v>30802</v>
      </c>
      <c r="C2902" s="1" t="s">
        <v>31550</v>
      </c>
      <c r="D2902" s="1" t="s">
        <v>31551</v>
      </c>
      <c r="E2902" s="161" t="s">
        <v>31552</v>
      </c>
      <c r="F2902" s="33" t="s">
        <v>31555</v>
      </c>
      <c r="G2902" s="33" t="s">
        <v>31556</v>
      </c>
      <c r="H2902" s="1" t="s">
        <v>17059</v>
      </c>
      <c r="I2902" s="19" t="s">
        <v>31557</v>
      </c>
      <c r="J2902" s="19" t="s">
        <v>31558</v>
      </c>
      <c r="K2902" s="19" t="s">
        <v>31559</v>
      </c>
      <c r="L2902" s="19" t="s">
        <v>31560</v>
      </c>
      <c r="M2902" s="1" t="s">
        <v>31562</v>
      </c>
      <c r="N2902" s="35" t="s">
        <v>31564</v>
      </c>
      <c r="O2902" s="31"/>
      <c r="P2902" s="28">
        <v>1.0</v>
      </c>
      <c r="Q2902" s="28">
        <v>70.0</v>
      </c>
    </row>
    <row r="2903">
      <c r="A2903" s="1" t="s">
        <v>2137</v>
      </c>
      <c r="B2903" s="160" t="s">
        <v>30802</v>
      </c>
      <c r="C2903" s="1" t="s">
        <v>31567</v>
      </c>
      <c r="D2903" s="1" t="s">
        <v>31568</v>
      </c>
      <c r="E2903" s="161" t="s">
        <v>31569</v>
      </c>
      <c r="F2903" s="33" t="s">
        <v>31572</v>
      </c>
      <c r="G2903" s="33" t="s">
        <v>31573</v>
      </c>
      <c r="H2903" s="1" t="s">
        <v>17059</v>
      </c>
      <c r="I2903" s="19" t="s">
        <v>31574</v>
      </c>
      <c r="J2903" s="19" t="s">
        <v>31575</v>
      </c>
      <c r="K2903" s="19" t="s">
        <v>31575</v>
      </c>
      <c r="L2903" s="19" t="s">
        <v>31576</v>
      </c>
      <c r="M2903" s="1" t="s">
        <v>31577</v>
      </c>
      <c r="N2903" s="35" t="s">
        <v>31578</v>
      </c>
      <c r="O2903" s="31"/>
      <c r="P2903" s="28">
        <v>1.0</v>
      </c>
      <c r="Q2903" s="28">
        <v>51.0</v>
      </c>
    </row>
    <row r="2904">
      <c r="A2904" s="1" t="s">
        <v>2137</v>
      </c>
      <c r="B2904" s="160" t="s">
        <v>30802</v>
      </c>
      <c r="C2904" s="1" t="s">
        <v>31579</v>
      </c>
      <c r="D2904" s="1" t="s">
        <v>31580</v>
      </c>
      <c r="E2904" s="161" t="s">
        <v>31581</v>
      </c>
      <c r="F2904" s="33" t="s">
        <v>31781</v>
      </c>
      <c r="G2904" s="33" t="s">
        <v>31782</v>
      </c>
      <c r="H2904" s="1" t="s">
        <v>17059</v>
      </c>
      <c r="I2904" s="19" t="s">
        <v>31783</v>
      </c>
      <c r="J2904" s="19" t="s">
        <v>31784</v>
      </c>
      <c r="K2904" s="19" t="s">
        <v>31784</v>
      </c>
      <c r="L2904" s="19" t="s">
        <v>31785</v>
      </c>
      <c r="M2904" s="1" t="s">
        <v>31786</v>
      </c>
      <c r="N2904" s="35" t="s">
        <v>31787</v>
      </c>
      <c r="O2904" s="31"/>
      <c r="P2904" s="28">
        <v>6.0</v>
      </c>
      <c r="Q2904" s="28">
        <v>67.0</v>
      </c>
    </row>
    <row r="2905">
      <c r="A2905" s="1" t="s">
        <v>2137</v>
      </c>
      <c r="B2905" s="160" t="s">
        <v>30802</v>
      </c>
      <c r="C2905" s="1" t="s">
        <v>31788</v>
      </c>
      <c r="D2905" s="1" t="s">
        <v>31789</v>
      </c>
      <c r="E2905" s="161" t="s">
        <v>31790</v>
      </c>
      <c r="F2905" s="33" t="s">
        <v>31791</v>
      </c>
      <c r="G2905" s="33" t="s">
        <v>31792</v>
      </c>
      <c r="H2905" s="1" t="s">
        <v>17059</v>
      </c>
      <c r="I2905" s="19" t="s">
        <v>31793</v>
      </c>
      <c r="J2905" s="19" t="s">
        <v>31794</v>
      </c>
      <c r="K2905" s="19" t="s">
        <v>31794</v>
      </c>
      <c r="L2905" s="19" t="s">
        <v>31795</v>
      </c>
      <c r="M2905" s="1" t="s">
        <v>31796</v>
      </c>
      <c r="N2905" s="35" t="s">
        <v>31797</v>
      </c>
      <c r="O2905" s="31"/>
      <c r="P2905" s="28">
        <v>4.0</v>
      </c>
      <c r="Q2905" s="28">
        <v>74.0</v>
      </c>
    </row>
    <row r="2906">
      <c r="A2906" s="1" t="s">
        <v>2137</v>
      </c>
      <c r="B2906" s="160" t="s">
        <v>30802</v>
      </c>
      <c r="C2906" s="1" t="s">
        <v>31798</v>
      </c>
      <c r="D2906" s="1" t="s">
        <v>31799</v>
      </c>
      <c r="E2906" s="161" t="s">
        <v>31800</v>
      </c>
      <c r="F2906" s="33" t="s">
        <v>31801</v>
      </c>
      <c r="G2906" s="33" t="s">
        <v>31802</v>
      </c>
      <c r="H2906" s="1" t="s">
        <v>17059</v>
      </c>
      <c r="I2906" s="19" t="s">
        <v>31803</v>
      </c>
      <c r="J2906" s="19" t="s">
        <v>31804</v>
      </c>
      <c r="K2906" s="19" t="s">
        <v>31804</v>
      </c>
      <c r="L2906" s="19" t="s">
        <v>31805</v>
      </c>
      <c r="M2906" s="1" t="s">
        <v>31806</v>
      </c>
      <c r="N2906" s="35" t="s">
        <v>31807</v>
      </c>
      <c r="O2906" s="31"/>
      <c r="P2906" s="28">
        <v>1.0</v>
      </c>
      <c r="Q2906" s="28">
        <v>45.0</v>
      </c>
    </row>
    <row r="2907">
      <c r="A2907" s="1" t="s">
        <v>2137</v>
      </c>
      <c r="B2907" s="160" t="s">
        <v>30802</v>
      </c>
      <c r="C2907" s="1" t="s">
        <v>31808</v>
      </c>
      <c r="D2907" s="1" t="s">
        <v>31809</v>
      </c>
      <c r="E2907" s="161" t="s">
        <v>31810</v>
      </c>
      <c r="F2907" s="33" t="s">
        <v>31811</v>
      </c>
      <c r="G2907" s="33" t="s">
        <v>31812</v>
      </c>
      <c r="H2907" s="1" t="s">
        <v>17059</v>
      </c>
      <c r="I2907" s="19" t="s">
        <v>31813</v>
      </c>
      <c r="J2907" s="19" t="s">
        <v>31814</v>
      </c>
      <c r="K2907" s="19" t="s">
        <v>31814</v>
      </c>
      <c r="L2907" s="19" t="s">
        <v>31815</v>
      </c>
      <c r="M2907" s="1" t="s">
        <v>31816</v>
      </c>
      <c r="N2907" s="35" t="s">
        <v>31817</v>
      </c>
      <c r="O2907" s="31"/>
      <c r="P2907" s="28">
        <v>0.0</v>
      </c>
      <c r="Q2907" s="28">
        <v>27.0</v>
      </c>
    </row>
    <row r="2908">
      <c r="A2908" s="1" t="s">
        <v>4153</v>
      </c>
      <c r="B2908" s="160" t="s">
        <v>30802</v>
      </c>
      <c r="C2908" s="1" t="s">
        <v>31818</v>
      </c>
      <c r="D2908" s="1" t="s">
        <v>31819</v>
      </c>
      <c r="E2908" s="161" t="s">
        <v>31820</v>
      </c>
      <c r="F2908" s="33" t="s">
        <v>31822</v>
      </c>
      <c r="G2908" s="33" t="s">
        <v>31823</v>
      </c>
      <c r="H2908" s="1" t="s">
        <v>17059</v>
      </c>
      <c r="I2908" s="19" t="s">
        <v>31824</v>
      </c>
      <c r="J2908" s="19" t="s">
        <v>31825</v>
      </c>
      <c r="K2908" s="19" t="s">
        <v>31825</v>
      </c>
      <c r="L2908" s="19" t="s">
        <v>31826</v>
      </c>
      <c r="M2908" s="1" t="s">
        <v>31827</v>
      </c>
      <c r="N2908" s="35" t="s">
        <v>31828</v>
      </c>
      <c r="O2908" s="31"/>
      <c r="P2908" s="28">
        <v>0.0</v>
      </c>
      <c r="Q2908" s="28">
        <v>118.0</v>
      </c>
      <c r="R2908" s="1" t="s">
        <v>19037</v>
      </c>
    </row>
    <row r="2909">
      <c r="A2909" s="1" t="s">
        <v>4153</v>
      </c>
      <c r="B2909" s="160" t="s">
        <v>30802</v>
      </c>
      <c r="C2909" s="1" t="s">
        <v>31829</v>
      </c>
      <c r="D2909" s="1" t="s">
        <v>31830</v>
      </c>
      <c r="E2909" s="161" t="s">
        <v>31831</v>
      </c>
      <c r="F2909" s="33" t="s">
        <v>31833</v>
      </c>
      <c r="G2909" s="33" t="s">
        <v>31834</v>
      </c>
      <c r="H2909" s="1" t="s">
        <v>17059</v>
      </c>
      <c r="I2909" s="19" t="s">
        <v>31835</v>
      </c>
      <c r="J2909" s="19" t="s">
        <v>31836</v>
      </c>
      <c r="K2909" s="19" t="s">
        <v>31836</v>
      </c>
      <c r="L2909" s="19" t="s">
        <v>31837</v>
      </c>
      <c r="M2909" s="1" t="s">
        <v>31838</v>
      </c>
      <c r="N2909" s="35" t="s">
        <v>31839</v>
      </c>
      <c r="O2909" s="31"/>
      <c r="P2909" s="28">
        <v>1.0</v>
      </c>
      <c r="Q2909" s="28">
        <v>63.0</v>
      </c>
      <c r="R2909" s="1" t="s">
        <v>106</v>
      </c>
    </row>
    <row r="2910">
      <c r="A2910" s="1" t="s">
        <v>4153</v>
      </c>
      <c r="B2910" s="160" t="s">
        <v>30802</v>
      </c>
      <c r="C2910" s="1" t="s">
        <v>31840</v>
      </c>
      <c r="D2910" s="1" t="s">
        <v>31841</v>
      </c>
      <c r="E2910" s="161" t="s">
        <v>31842</v>
      </c>
      <c r="F2910" s="33" t="s">
        <v>31843</v>
      </c>
      <c r="G2910" s="33" t="s">
        <v>31844</v>
      </c>
      <c r="H2910" s="1" t="s">
        <v>17059</v>
      </c>
      <c r="I2910" s="19" t="s">
        <v>31845</v>
      </c>
      <c r="J2910" s="19" t="s">
        <v>31846</v>
      </c>
      <c r="K2910" s="19" t="s">
        <v>31847</v>
      </c>
      <c r="L2910" s="19" t="s">
        <v>31848</v>
      </c>
      <c r="M2910" s="1" t="s">
        <v>31849</v>
      </c>
      <c r="N2910" s="35" t="s">
        <v>31850</v>
      </c>
      <c r="O2910" s="31"/>
      <c r="P2910" s="28">
        <v>2.0</v>
      </c>
      <c r="Q2910" s="28">
        <v>90.0</v>
      </c>
    </row>
    <row r="2911">
      <c r="A2911" s="1" t="s">
        <v>4153</v>
      </c>
      <c r="B2911" s="160" t="s">
        <v>30802</v>
      </c>
      <c r="C2911" s="1" t="s">
        <v>31851</v>
      </c>
      <c r="D2911" s="1" t="s">
        <v>31852</v>
      </c>
      <c r="E2911" s="161" t="s">
        <v>31853</v>
      </c>
      <c r="F2911" s="33" t="s">
        <v>31854</v>
      </c>
      <c r="G2911" s="33" t="s">
        <v>31855</v>
      </c>
      <c r="H2911" s="1" t="s">
        <v>17059</v>
      </c>
      <c r="I2911" s="19" t="s">
        <v>31856</v>
      </c>
      <c r="J2911" s="19" t="s">
        <v>31857</v>
      </c>
      <c r="K2911" s="19" t="s">
        <v>31858</v>
      </c>
      <c r="L2911" s="19" t="s">
        <v>31859</v>
      </c>
      <c r="M2911" s="1" t="s">
        <v>31860</v>
      </c>
      <c r="N2911" s="35" t="s">
        <v>31861</v>
      </c>
      <c r="O2911" s="31"/>
      <c r="P2911" s="28">
        <v>0.0</v>
      </c>
      <c r="Q2911" s="28">
        <v>40.0</v>
      </c>
    </row>
    <row r="2912">
      <c r="A2912" s="1" t="s">
        <v>4153</v>
      </c>
      <c r="B2912" s="160" t="s">
        <v>30802</v>
      </c>
      <c r="C2912" s="1" t="s">
        <v>31862</v>
      </c>
      <c r="D2912" s="1" t="s">
        <v>31863</v>
      </c>
      <c r="E2912" s="161" t="s">
        <v>31864</v>
      </c>
      <c r="F2912" s="33" t="s">
        <v>31865</v>
      </c>
      <c r="G2912" s="33" t="s">
        <v>31866</v>
      </c>
      <c r="H2912" s="1" t="s">
        <v>17059</v>
      </c>
      <c r="I2912" s="19" t="s">
        <v>31867</v>
      </c>
      <c r="J2912" s="19" t="s">
        <v>31868</v>
      </c>
      <c r="K2912" s="19" t="s">
        <v>31869</v>
      </c>
      <c r="L2912" s="19" t="s">
        <v>31870</v>
      </c>
      <c r="M2912" s="1" t="s">
        <v>31871</v>
      </c>
      <c r="N2912" s="35" t="s">
        <v>31872</v>
      </c>
      <c r="O2912" s="31"/>
      <c r="P2912" s="28">
        <v>1.0</v>
      </c>
      <c r="Q2912" s="28">
        <v>48.0</v>
      </c>
    </row>
    <row r="2913">
      <c r="A2913" s="1" t="s">
        <v>4153</v>
      </c>
      <c r="B2913" s="160" t="s">
        <v>30802</v>
      </c>
      <c r="C2913" s="1" t="s">
        <v>31873</v>
      </c>
      <c r="D2913" s="1" t="s">
        <v>31874</v>
      </c>
      <c r="E2913" s="161" t="s">
        <v>31875</v>
      </c>
      <c r="F2913" s="33" t="s">
        <v>31876</v>
      </c>
      <c r="G2913" s="33" t="s">
        <v>31877</v>
      </c>
      <c r="H2913" s="1" t="s">
        <v>17059</v>
      </c>
      <c r="I2913" s="19" t="s">
        <v>31878</v>
      </c>
      <c r="J2913" s="19" t="s">
        <v>31879</v>
      </c>
      <c r="K2913" s="19" t="s">
        <v>31880</v>
      </c>
      <c r="L2913" s="19" t="s">
        <v>31881</v>
      </c>
      <c r="M2913" s="1" t="s">
        <v>31882</v>
      </c>
      <c r="N2913" s="35" t="s">
        <v>31883</v>
      </c>
      <c r="O2913" s="31"/>
      <c r="P2913" s="28">
        <v>1.0</v>
      </c>
      <c r="Q2913" s="28">
        <v>54.0</v>
      </c>
    </row>
    <row r="2914">
      <c r="A2914" s="1" t="s">
        <v>4153</v>
      </c>
      <c r="B2914" s="160" t="s">
        <v>30802</v>
      </c>
      <c r="C2914" s="1" t="s">
        <v>31884</v>
      </c>
      <c r="D2914" s="1" t="s">
        <v>31885</v>
      </c>
      <c r="E2914" s="161" t="s">
        <v>31886</v>
      </c>
      <c r="F2914" s="33" t="s">
        <v>31887</v>
      </c>
      <c r="G2914" s="33" t="s">
        <v>31888</v>
      </c>
      <c r="H2914" s="1" t="s">
        <v>17059</v>
      </c>
      <c r="I2914" s="19" t="s">
        <v>31889</v>
      </c>
      <c r="J2914" s="19" t="s">
        <v>31890</v>
      </c>
      <c r="K2914" s="19" t="s">
        <v>31890</v>
      </c>
      <c r="L2914" s="19" t="s">
        <v>31891</v>
      </c>
      <c r="M2914" s="1" t="s">
        <v>18734</v>
      </c>
      <c r="N2914" s="35" t="s">
        <v>31892</v>
      </c>
      <c r="O2914" s="31"/>
      <c r="P2914" s="28">
        <v>3.0</v>
      </c>
      <c r="Q2914" s="28">
        <v>54.0</v>
      </c>
    </row>
    <row r="2915">
      <c r="A2915" s="1" t="s">
        <v>4153</v>
      </c>
      <c r="B2915" s="160" t="s">
        <v>30802</v>
      </c>
      <c r="C2915" s="1" t="s">
        <v>31893</v>
      </c>
      <c r="D2915" s="1" t="s">
        <v>31894</v>
      </c>
      <c r="E2915" s="161" t="s">
        <v>31895</v>
      </c>
      <c r="F2915" s="33" t="s">
        <v>31896</v>
      </c>
      <c r="G2915" s="33" t="s">
        <v>31897</v>
      </c>
      <c r="H2915" s="1" t="s">
        <v>17059</v>
      </c>
      <c r="I2915" s="19" t="s">
        <v>31898</v>
      </c>
      <c r="J2915" s="19" t="s">
        <v>31899</v>
      </c>
      <c r="K2915" s="19" t="s">
        <v>31900</v>
      </c>
      <c r="L2915" s="19" t="s">
        <v>31901</v>
      </c>
      <c r="M2915" s="1"/>
      <c r="N2915" s="35" t="s">
        <v>31902</v>
      </c>
      <c r="O2915" s="31"/>
      <c r="P2915" s="28">
        <v>0.0</v>
      </c>
      <c r="Q2915" s="28">
        <v>31.0</v>
      </c>
    </row>
    <row r="2916">
      <c r="A2916" s="1" t="s">
        <v>4153</v>
      </c>
      <c r="B2916" s="160" t="s">
        <v>30802</v>
      </c>
      <c r="C2916" s="1" t="s">
        <v>31903</v>
      </c>
      <c r="D2916" s="1" t="s">
        <v>31904</v>
      </c>
      <c r="E2916" s="161" t="s">
        <v>31905</v>
      </c>
      <c r="F2916" s="33" t="s">
        <v>31906</v>
      </c>
      <c r="G2916" s="33" t="s">
        <v>31907</v>
      </c>
      <c r="H2916" s="1" t="s">
        <v>17059</v>
      </c>
      <c r="I2916" s="19" t="s">
        <v>31908</v>
      </c>
      <c r="J2916" s="19" t="s">
        <v>31909</v>
      </c>
      <c r="K2916" s="19" t="s">
        <v>31910</v>
      </c>
      <c r="L2916" s="19" t="s">
        <v>31911</v>
      </c>
      <c r="M2916" s="1" t="s">
        <v>31912</v>
      </c>
      <c r="N2916" s="35" t="s">
        <v>31913</v>
      </c>
      <c r="O2916" s="31"/>
      <c r="P2916" s="28">
        <v>1.0</v>
      </c>
      <c r="Q2916" s="28">
        <v>30.0</v>
      </c>
    </row>
    <row r="2917">
      <c r="A2917" s="1" t="s">
        <v>4153</v>
      </c>
      <c r="B2917" s="160" t="s">
        <v>30802</v>
      </c>
      <c r="C2917" s="1" t="s">
        <v>31914</v>
      </c>
      <c r="D2917" s="1" t="s">
        <v>31915</v>
      </c>
      <c r="E2917" s="161" t="s">
        <v>31916</v>
      </c>
      <c r="F2917" s="33" t="s">
        <v>31918</v>
      </c>
      <c r="G2917" s="33" t="s">
        <v>31919</v>
      </c>
      <c r="H2917" s="1" t="s">
        <v>17059</v>
      </c>
      <c r="I2917" s="19" t="s">
        <v>31920</v>
      </c>
      <c r="J2917" s="19" t="s">
        <v>31921</v>
      </c>
      <c r="K2917" s="19" t="s">
        <v>31921</v>
      </c>
      <c r="L2917" s="19" t="s">
        <v>31922</v>
      </c>
      <c r="M2917" s="1" t="s">
        <v>31923</v>
      </c>
      <c r="N2917" s="35" t="s">
        <v>31924</v>
      </c>
      <c r="O2917" s="31"/>
      <c r="P2917" s="28">
        <v>0.0</v>
      </c>
      <c r="Q2917" s="28">
        <v>37.0</v>
      </c>
    </row>
    <row r="2918">
      <c r="A2918" s="1" t="s">
        <v>4153</v>
      </c>
      <c r="B2918" s="160" t="s">
        <v>30802</v>
      </c>
      <c r="C2918" s="1" t="s">
        <v>31925</v>
      </c>
      <c r="D2918" s="1" t="s">
        <v>31926</v>
      </c>
      <c r="E2918" s="161" t="s">
        <v>31927</v>
      </c>
      <c r="F2918" s="33" t="s">
        <v>31928</v>
      </c>
      <c r="G2918" s="33" t="s">
        <v>31929</v>
      </c>
      <c r="H2918" s="1" t="s">
        <v>17059</v>
      </c>
      <c r="I2918" s="19" t="s">
        <v>31930</v>
      </c>
      <c r="J2918" s="19" t="s">
        <v>31931</v>
      </c>
      <c r="K2918" s="19" t="s">
        <v>31931</v>
      </c>
      <c r="L2918" s="19" t="s">
        <v>31932</v>
      </c>
      <c r="M2918" s="1" t="s">
        <v>31933</v>
      </c>
      <c r="N2918" s="35" t="s">
        <v>31934</v>
      </c>
      <c r="O2918" s="31"/>
      <c r="P2918" s="28">
        <v>0.0</v>
      </c>
      <c r="Q2918" s="28">
        <v>39.0</v>
      </c>
    </row>
    <row r="2919">
      <c r="A2919" s="1" t="s">
        <v>4153</v>
      </c>
      <c r="B2919" s="160" t="s">
        <v>30802</v>
      </c>
      <c r="C2919" s="1" t="s">
        <v>31935</v>
      </c>
      <c r="D2919" s="1" t="s">
        <v>31936</v>
      </c>
      <c r="E2919" s="161" t="s">
        <v>31937</v>
      </c>
      <c r="F2919" s="33" t="s">
        <v>31939</v>
      </c>
      <c r="G2919" s="33" t="s">
        <v>31940</v>
      </c>
      <c r="H2919" s="1" t="s">
        <v>17059</v>
      </c>
      <c r="I2919" s="19" t="s">
        <v>31941</v>
      </c>
      <c r="J2919" s="19" t="s">
        <v>31942</v>
      </c>
      <c r="K2919" s="19" t="s">
        <v>31942</v>
      </c>
      <c r="L2919" s="19" t="s">
        <v>31943</v>
      </c>
      <c r="M2919" s="1" t="s">
        <v>31944</v>
      </c>
      <c r="N2919" s="35" t="s">
        <v>31945</v>
      </c>
      <c r="O2919" s="31"/>
      <c r="P2919" s="28">
        <v>4.0</v>
      </c>
      <c r="Q2919" s="28">
        <v>47.0</v>
      </c>
    </row>
    <row r="2920">
      <c r="A2920" s="1" t="s">
        <v>4153</v>
      </c>
      <c r="B2920" s="160" t="s">
        <v>30802</v>
      </c>
      <c r="C2920" s="1" t="s">
        <v>31946</v>
      </c>
      <c r="D2920" s="1" t="s">
        <v>31947</v>
      </c>
      <c r="E2920" s="161" t="s">
        <v>31948</v>
      </c>
      <c r="F2920" s="33" t="s">
        <v>31949</v>
      </c>
      <c r="G2920" s="33" t="s">
        <v>31950</v>
      </c>
      <c r="H2920" s="1" t="s">
        <v>17059</v>
      </c>
      <c r="I2920" s="19" t="s">
        <v>31951</v>
      </c>
      <c r="J2920" s="19" t="s">
        <v>31952</v>
      </c>
      <c r="K2920" s="19" t="s">
        <v>31952</v>
      </c>
      <c r="L2920" s="19" t="s">
        <v>31953</v>
      </c>
      <c r="M2920" s="1" t="s">
        <v>31954</v>
      </c>
      <c r="N2920" s="35" t="s">
        <v>31955</v>
      </c>
      <c r="O2920" s="31"/>
      <c r="P2920" s="28">
        <v>2.0</v>
      </c>
      <c r="Q2920" s="28">
        <v>54.0</v>
      </c>
    </row>
    <row r="2921">
      <c r="A2921" s="1" t="s">
        <v>4153</v>
      </c>
      <c r="B2921" s="160" t="s">
        <v>30802</v>
      </c>
      <c r="C2921" s="1" t="s">
        <v>31956</v>
      </c>
      <c r="D2921" s="1" t="s">
        <v>31957</v>
      </c>
      <c r="E2921" s="161" t="s">
        <v>31958</v>
      </c>
      <c r="F2921" s="33" t="s">
        <v>31959</v>
      </c>
      <c r="G2921" s="33" t="s">
        <v>31960</v>
      </c>
      <c r="H2921" s="1" t="s">
        <v>17059</v>
      </c>
      <c r="I2921" s="19" t="s">
        <v>31961</v>
      </c>
      <c r="J2921" s="19" t="s">
        <v>31962</v>
      </c>
      <c r="K2921" s="19" t="s">
        <v>31963</v>
      </c>
      <c r="L2921" s="19" t="s">
        <v>31964</v>
      </c>
      <c r="M2921" s="1" t="s">
        <v>31965</v>
      </c>
      <c r="N2921" s="35" t="s">
        <v>31966</v>
      </c>
      <c r="O2921" s="31"/>
      <c r="P2921" s="28">
        <v>1.0</v>
      </c>
      <c r="Q2921" s="28">
        <v>47.0</v>
      </c>
    </row>
    <row r="2922">
      <c r="A2922" s="1" t="s">
        <v>4153</v>
      </c>
      <c r="B2922" s="160" t="s">
        <v>30802</v>
      </c>
      <c r="C2922" s="1" t="s">
        <v>31967</v>
      </c>
      <c r="D2922" s="1" t="s">
        <v>31968</v>
      </c>
      <c r="E2922" s="161" t="s">
        <v>31969</v>
      </c>
      <c r="F2922" s="33" t="s">
        <v>31970</v>
      </c>
      <c r="G2922" s="33" t="s">
        <v>31971</v>
      </c>
      <c r="H2922" s="1" t="s">
        <v>17059</v>
      </c>
      <c r="I2922" s="19" t="s">
        <v>31972</v>
      </c>
      <c r="J2922" s="19" t="s">
        <v>31973</v>
      </c>
      <c r="K2922" s="19" t="s">
        <v>31973</v>
      </c>
      <c r="L2922" s="19" t="s">
        <v>31974</v>
      </c>
      <c r="M2922" s="1" t="s">
        <v>31975</v>
      </c>
      <c r="N2922" s="35" t="s">
        <v>31976</v>
      </c>
      <c r="O2922" s="31"/>
      <c r="P2922" s="28">
        <v>0.0</v>
      </c>
      <c r="Q2922" s="28">
        <v>50.0</v>
      </c>
    </row>
    <row r="2923">
      <c r="A2923" s="1" t="s">
        <v>4153</v>
      </c>
      <c r="B2923" s="160" t="s">
        <v>30802</v>
      </c>
      <c r="C2923" s="1" t="s">
        <v>31977</v>
      </c>
      <c r="D2923" s="1" t="s">
        <v>31978</v>
      </c>
      <c r="E2923" s="161" t="s">
        <v>31979</v>
      </c>
      <c r="F2923" s="33" t="s">
        <v>31980</v>
      </c>
      <c r="G2923" s="33" t="s">
        <v>31981</v>
      </c>
      <c r="H2923" s="1" t="s">
        <v>17059</v>
      </c>
      <c r="I2923" s="19" t="s">
        <v>31982</v>
      </c>
      <c r="J2923" s="19" t="s">
        <v>31983</v>
      </c>
      <c r="K2923" s="19" t="s">
        <v>31984</v>
      </c>
      <c r="L2923" s="19" t="s">
        <v>31985</v>
      </c>
      <c r="M2923" s="1"/>
      <c r="N2923" s="35" t="s">
        <v>31986</v>
      </c>
      <c r="O2923" s="31"/>
      <c r="P2923" s="28">
        <v>1.0</v>
      </c>
      <c r="Q2923" s="28">
        <v>49.0</v>
      </c>
      <c r="R2923" s="1" t="s">
        <v>19037</v>
      </c>
    </row>
    <row r="2924">
      <c r="A2924" s="1" t="s">
        <v>4153</v>
      </c>
      <c r="B2924" s="160" t="s">
        <v>30802</v>
      </c>
      <c r="C2924" s="1" t="s">
        <v>31987</v>
      </c>
      <c r="D2924" s="1" t="s">
        <v>31988</v>
      </c>
      <c r="E2924" s="161" t="s">
        <v>31989</v>
      </c>
      <c r="F2924" s="33" t="s">
        <v>31990</v>
      </c>
      <c r="G2924" s="33" t="s">
        <v>31991</v>
      </c>
      <c r="H2924" s="1" t="s">
        <v>17059</v>
      </c>
      <c r="I2924" s="19" t="s">
        <v>31992</v>
      </c>
      <c r="J2924" s="19" t="s">
        <v>31993</v>
      </c>
      <c r="K2924" s="19" t="s">
        <v>31994</v>
      </c>
      <c r="L2924" s="19" t="s">
        <v>31995</v>
      </c>
      <c r="M2924" s="1" t="s">
        <v>31996</v>
      </c>
      <c r="N2924" s="35" t="s">
        <v>31997</v>
      </c>
      <c r="O2924" s="31"/>
      <c r="P2924" s="28">
        <v>0.0</v>
      </c>
      <c r="Q2924" s="28">
        <v>39.0</v>
      </c>
    </row>
    <row r="2925">
      <c r="A2925" s="1" t="s">
        <v>4153</v>
      </c>
      <c r="B2925" s="160" t="s">
        <v>30802</v>
      </c>
      <c r="C2925" s="1" t="s">
        <v>31998</v>
      </c>
      <c r="D2925" s="1" t="s">
        <v>31999</v>
      </c>
      <c r="E2925" s="161" t="s">
        <v>32000</v>
      </c>
      <c r="F2925" s="33" t="s">
        <v>32001</v>
      </c>
      <c r="G2925" s="33" t="s">
        <v>32002</v>
      </c>
      <c r="H2925" s="1" t="s">
        <v>17059</v>
      </c>
      <c r="I2925" s="19" t="s">
        <v>32003</v>
      </c>
      <c r="J2925" s="19" t="s">
        <v>32004</v>
      </c>
      <c r="K2925" s="19" t="s">
        <v>32004</v>
      </c>
      <c r="L2925" s="19" t="s">
        <v>32005</v>
      </c>
      <c r="M2925" s="1" t="s">
        <v>32006</v>
      </c>
      <c r="N2925" s="35" t="s">
        <v>32007</v>
      </c>
      <c r="O2925" s="31"/>
      <c r="P2925" s="28">
        <v>0.0</v>
      </c>
      <c r="Q2925" s="28">
        <v>29.0</v>
      </c>
    </row>
    <row r="2926">
      <c r="A2926" s="1" t="s">
        <v>4153</v>
      </c>
      <c r="B2926" s="160" t="s">
        <v>30802</v>
      </c>
      <c r="C2926" s="1" t="s">
        <v>32008</v>
      </c>
      <c r="D2926" s="1" t="s">
        <v>32009</v>
      </c>
      <c r="E2926" s="161" t="s">
        <v>32010</v>
      </c>
      <c r="F2926" s="33" t="s">
        <v>32012</v>
      </c>
      <c r="G2926" s="33" t="s">
        <v>32013</v>
      </c>
      <c r="H2926" s="1" t="s">
        <v>17059</v>
      </c>
      <c r="I2926" s="19" t="s">
        <v>32014</v>
      </c>
      <c r="J2926" s="19" t="s">
        <v>32015</v>
      </c>
      <c r="K2926" s="19" t="s">
        <v>32015</v>
      </c>
      <c r="L2926" s="19" t="s">
        <v>32016</v>
      </c>
      <c r="M2926" s="1" t="s">
        <v>32017</v>
      </c>
      <c r="N2926" s="35" t="s">
        <v>32018</v>
      </c>
      <c r="O2926" s="31"/>
      <c r="P2926" s="28">
        <v>0.0</v>
      </c>
      <c r="Q2926" s="28">
        <v>49.0</v>
      </c>
    </row>
    <row r="2927">
      <c r="A2927" s="1" t="s">
        <v>4153</v>
      </c>
      <c r="B2927" s="160" t="s">
        <v>30802</v>
      </c>
      <c r="C2927" s="1" t="s">
        <v>32019</v>
      </c>
      <c r="D2927" s="1" t="s">
        <v>32020</v>
      </c>
      <c r="E2927" s="161" t="s">
        <v>32021</v>
      </c>
      <c r="F2927" s="33" t="s">
        <v>32022</v>
      </c>
      <c r="G2927" s="33" t="s">
        <v>32023</v>
      </c>
      <c r="H2927" s="1" t="s">
        <v>17059</v>
      </c>
      <c r="I2927" s="19" t="s">
        <v>32024</v>
      </c>
      <c r="J2927" s="19" t="s">
        <v>32025</v>
      </c>
      <c r="K2927" s="19" t="s">
        <v>32025</v>
      </c>
      <c r="L2927" s="19" t="s">
        <v>29306</v>
      </c>
      <c r="M2927" s="1" t="s">
        <v>32026</v>
      </c>
      <c r="N2927" s="35" t="s">
        <v>32027</v>
      </c>
      <c r="O2927" s="31"/>
      <c r="P2927" s="28">
        <v>0.0</v>
      </c>
      <c r="Q2927" s="28">
        <v>46.0</v>
      </c>
    </row>
    <row r="2928">
      <c r="A2928" s="1" t="s">
        <v>4153</v>
      </c>
      <c r="B2928" s="160" t="s">
        <v>30802</v>
      </c>
      <c r="C2928" s="1" t="s">
        <v>32028</v>
      </c>
      <c r="D2928" s="1" t="s">
        <v>32029</v>
      </c>
      <c r="E2928" s="161" t="s">
        <v>32030</v>
      </c>
      <c r="F2928" s="33" t="s">
        <v>32032</v>
      </c>
      <c r="G2928" s="33" t="s">
        <v>32033</v>
      </c>
      <c r="H2928" s="1" t="s">
        <v>17059</v>
      </c>
      <c r="I2928" s="19" t="s">
        <v>32034</v>
      </c>
      <c r="J2928" s="19" t="s">
        <v>32035</v>
      </c>
      <c r="K2928" s="19" t="s">
        <v>32035</v>
      </c>
      <c r="L2928" s="19" t="s">
        <v>32036</v>
      </c>
      <c r="M2928" s="1" t="s">
        <v>32037</v>
      </c>
      <c r="N2928" s="35" t="s">
        <v>32038</v>
      </c>
      <c r="O2928" s="31"/>
      <c r="P2928" s="28">
        <v>3.0</v>
      </c>
      <c r="Q2928" s="28">
        <v>61.0</v>
      </c>
    </row>
    <row r="2929">
      <c r="A2929" s="1" t="s">
        <v>4153</v>
      </c>
      <c r="B2929" s="160" t="s">
        <v>30802</v>
      </c>
      <c r="C2929" s="1" t="s">
        <v>32039</v>
      </c>
      <c r="D2929" s="1" t="s">
        <v>32040</v>
      </c>
      <c r="E2929" s="161" t="s">
        <v>32041</v>
      </c>
      <c r="F2929" s="33" t="s">
        <v>32042</v>
      </c>
      <c r="G2929" s="33" t="s">
        <v>32043</v>
      </c>
      <c r="H2929" s="1" t="s">
        <v>17059</v>
      </c>
      <c r="I2929" s="19" t="s">
        <v>32044</v>
      </c>
      <c r="J2929" s="19" t="s">
        <v>32045</v>
      </c>
      <c r="K2929" s="19" t="s">
        <v>32045</v>
      </c>
      <c r="L2929" s="19" t="s">
        <v>32046</v>
      </c>
      <c r="M2929" s="1" t="s">
        <v>32047</v>
      </c>
      <c r="N2929" s="35" t="s">
        <v>32048</v>
      </c>
      <c r="O2929" s="31"/>
      <c r="P2929" s="28">
        <v>0.0</v>
      </c>
      <c r="Q2929" s="28">
        <v>55.0</v>
      </c>
    </row>
    <row r="2930">
      <c r="A2930" s="1" t="s">
        <v>4153</v>
      </c>
      <c r="B2930" s="160" t="s">
        <v>30802</v>
      </c>
      <c r="C2930" s="1" t="s">
        <v>32049</v>
      </c>
      <c r="D2930" s="1" t="s">
        <v>32050</v>
      </c>
      <c r="E2930" s="161" t="s">
        <v>32051</v>
      </c>
      <c r="F2930" s="33" t="s">
        <v>32129</v>
      </c>
      <c r="G2930" s="33" t="s">
        <v>32130</v>
      </c>
      <c r="H2930" s="1" t="s">
        <v>17059</v>
      </c>
      <c r="I2930" s="19" t="s">
        <v>32131</v>
      </c>
      <c r="J2930" s="19" t="s">
        <v>32132</v>
      </c>
      <c r="K2930" s="19" t="s">
        <v>32133</v>
      </c>
      <c r="L2930" s="19" t="s">
        <v>32134</v>
      </c>
      <c r="M2930" s="1" t="s">
        <v>32135</v>
      </c>
      <c r="N2930" s="35" t="s">
        <v>32136</v>
      </c>
      <c r="O2930" s="31"/>
      <c r="P2930" s="28">
        <v>1.0</v>
      </c>
      <c r="Q2930" s="28">
        <v>33.0</v>
      </c>
    </row>
    <row r="2931">
      <c r="A2931" s="1" t="s">
        <v>120</v>
      </c>
      <c r="B2931" s="160" t="s">
        <v>30802</v>
      </c>
      <c r="C2931" s="1" t="s">
        <v>32137</v>
      </c>
      <c r="D2931" s="1" t="s">
        <v>32138</v>
      </c>
      <c r="E2931" s="161" t="s">
        <v>32139</v>
      </c>
      <c r="F2931" s="33" t="s">
        <v>32140</v>
      </c>
      <c r="G2931" s="33" t="s">
        <v>32141</v>
      </c>
      <c r="H2931" s="1" t="s">
        <v>17059</v>
      </c>
      <c r="I2931" s="19" t="s">
        <v>32142</v>
      </c>
      <c r="J2931" s="19" t="s">
        <v>32143</v>
      </c>
      <c r="K2931" s="19" t="s">
        <v>32143</v>
      </c>
      <c r="L2931" s="19" t="s">
        <v>32144</v>
      </c>
      <c r="M2931" s="1" t="s">
        <v>32145</v>
      </c>
      <c r="N2931" s="35" t="s">
        <v>32146</v>
      </c>
      <c r="O2931" s="31"/>
      <c r="P2931" s="28">
        <v>2.0</v>
      </c>
      <c r="Q2931" s="28">
        <v>62.0</v>
      </c>
    </row>
    <row r="2932">
      <c r="A2932" s="1" t="s">
        <v>120</v>
      </c>
      <c r="B2932" s="160" t="s">
        <v>30802</v>
      </c>
      <c r="C2932" s="1" t="s">
        <v>32147</v>
      </c>
      <c r="D2932" s="1" t="s">
        <v>32148</v>
      </c>
      <c r="E2932" s="161" t="s">
        <v>32149</v>
      </c>
      <c r="F2932" s="33" t="s">
        <v>32150</v>
      </c>
      <c r="G2932" s="33" t="s">
        <v>32151</v>
      </c>
      <c r="H2932" s="1" t="s">
        <v>17059</v>
      </c>
      <c r="I2932" s="19" t="s">
        <v>32152</v>
      </c>
      <c r="J2932" s="19" t="s">
        <v>32153</v>
      </c>
      <c r="K2932" s="19" t="s">
        <v>32153</v>
      </c>
      <c r="L2932" s="19" t="s">
        <v>32154</v>
      </c>
      <c r="M2932" s="1" t="s">
        <v>32155</v>
      </c>
      <c r="N2932" s="35" t="s">
        <v>32156</v>
      </c>
      <c r="O2932" s="31"/>
      <c r="P2932" s="28">
        <v>1.0</v>
      </c>
      <c r="Q2932" s="28">
        <v>48.0</v>
      </c>
    </row>
    <row r="2933">
      <c r="A2933" s="1" t="s">
        <v>120</v>
      </c>
      <c r="B2933" s="160" t="s">
        <v>30802</v>
      </c>
      <c r="C2933" s="1" t="s">
        <v>32157</v>
      </c>
      <c r="D2933" s="1" t="s">
        <v>32158</v>
      </c>
      <c r="E2933" s="161" t="s">
        <v>32159</v>
      </c>
      <c r="F2933" s="33" t="s">
        <v>32160</v>
      </c>
      <c r="G2933" s="33" t="s">
        <v>32161</v>
      </c>
      <c r="H2933" s="1" t="s">
        <v>17059</v>
      </c>
      <c r="I2933" s="19" t="s">
        <v>32162</v>
      </c>
      <c r="J2933" s="19" t="s">
        <v>32163</v>
      </c>
      <c r="K2933" s="19" t="s">
        <v>32164</v>
      </c>
      <c r="L2933" s="19" t="s">
        <v>32165</v>
      </c>
      <c r="M2933" s="1" t="s">
        <v>32166</v>
      </c>
      <c r="N2933" s="35" t="s">
        <v>32167</v>
      </c>
      <c r="O2933" s="31"/>
      <c r="P2933" s="28">
        <v>1.0</v>
      </c>
      <c r="Q2933" s="28">
        <v>44.0</v>
      </c>
    </row>
    <row r="2934">
      <c r="A2934" s="1" t="s">
        <v>120</v>
      </c>
      <c r="B2934" s="160" t="s">
        <v>30802</v>
      </c>
      <c r="C2934" s="1" t="s">
        <v>32168</v>
      </c>
      <c r="D2934" s="1" t="s">
        <v>32169</v>
      </c>
      <c r="E2934" s="161" t="s">
        <v>32170</v>
      </c>
      <c r="F2934" s="33" t="s">
        <v>32171</v>
      </c>
      <c r="G2934" s="33" t="s">
        <v>12648</v>
      </c>
      <c r="H2934" s="1" t="s">
        <v>17059</v>
      </c>
      <c r="I2934" s="19" t="s">
        <v>32172</v>
      </c>
      <c r="J2934" s="19" t="s">
        <v>32173</v>
      </c>
      <c r="K2934" s="19" t="s">
        <v>32174</v>
      </c>
      <c r="L2934" s="19" t="s">
        <v>32175</v>
      </c>
      <c r="M2934" s="1" t="s">
        <v>32176</v>
      </c>
      <c r="N2934" s="35" t="s">
        <v>32177</v>
      </c>
      <c r="O2934" s="31"/>
      <c r="P2934" s="28">
        <v>2.0</v>
      </c>
      <c r="Q2934" s="28">
        <v>53.0</v>
      </c>
    </row>
    <row r="2935">
      <c r="A2935" s="1" t="s">
        <v>120</v>
      </c>
      <c r="B2935" s="160" t="s">
        <v>30802</v>
      </c>
      <c r="C2935" s="1" t="s">
        <v>32178</v>
      </c>
      <c r="D2935" s="1" t="s">
        <v>32179</v>
      </c>
      <c r="E2935" s="161" t="s">
        <v>32180</v>
      </c>
      <c r="F2935" s="33" t="s">
        <v>32181</v>
      </c>
      <c r="G2935" s="33" t="s">
        <v>32182</v>
      </c>
      <c r="H2935" s="1" t="s">
        <v>17059</v>
      </c>
      <c r="I2935" s="19" t="s">
        <v>32183</v>
      </c>
      <c r="J2935" s="19" t="s">
        <v>32184</v>
      </c>
      <c r="K2935" s="19" t="s">
        <v>32185</v>
      </c>
      <c r="L2935" s="19" t="s">
        <v>32186</v>
      </c>
      <c r="M2935" s="1" t="s">
        <v>32187</v>
      </c>
      <c r="N2935" s="35" t="s">
        <v>32188</v>
      </c>
      <c r="O2935" s="31"/>
      <c r="P2935" s="28">
        <v>9.0</v>
      </c>
      <c r="Q2935" s="28">
        <v>50.0</v>
      </c>
    </row>
    <row r="2936">
      <c r="A2936" s="1" t="s">
        <v>120</v>
      </c>
      <c r="B2936" s="160" t="s">
        <v>30802</v>
      </c>
      <c r="C2936" s="1" t="s">
        <v>32189</v>
      </c>
      <c r="D2936" s="1" t="s">
        <v>32190</v>
      </c>
      <c r="E2936" s="161" t="s">
        <v>32191</v>
      </c>
      <c r="F2936" s="33" t="s">
        <v>32192</v>
      </c>
      <c r="G2936" s="33" t="s">
        <v>32193</v>
      </c>
      <c r="H2936" s="1" t="s">
        <v>17059</v>
      </c>
      <c r="I2936" s="19" t="s">
        <v>32194</v>
      </c>
      <c r="J2936" s="19" t="s">
        <v>32195</v>
      </c>
      <c r="K2936" s="19" t="s">
        <v>32196</v>
      </c>
      <c r="L2936" s="19" t="s">
        <v>32197</v>
      </c>
      <c r="M2936" s="1" t="s">
        <v>32198</v>
      </c>
      <c r="N2936" s="35" t="s">
        <v>32199</v>
      </c>
      <c r="O2936" s="31"/>
      <c r="P2936" s="28">
        <v>4.0</v>
      </c>
      <c r="Q2936" s="28">
        <v>68.0</v>
      </c>
    </row>
    <row r="2937">
      <c r="A2937" s="1" t="s">
        <v>120</v>
      </c>
      <c r="B2937" s="160" t="s">
        <v>30802</v>
      </c>
      <c r="C2937" s="1" t="s">
        <v>32200</v>
      </c>
      <c r="D2937" s="1" t="s">
        <v>32201</v>
      </c>
      <c r="E2937" s="161" t="s">
        <v>32202</v>
      </c>
      <c r="F2937" s="33" t="s">
        <v>32203</v>
      </c>
      <c r="G2937" s="33" t="s">
        <v>32204</v>
      </c>
      <c r="H2937" s="1" t="s">
        <v>17059</v>
      </c>
      <c r="I2937" s="19" t="s">
        <v>32205</v>
      </c>
      <c r="J2937" s="19" t="s">
        <v>32206</v>
      </c>
      <c r="K2937" s="19" t="s">
        <v>32206</v>
      </c>
      <c r="L2937" s="19" t="s">
        <v>32207</v>
      </c>
      <c r="M2937" s="1" t="s">
        <v>32208</v>
      </c>
      <c r="N2937" s="35" t="s">
        <v>32209</v>
      </c>
      <c r="O2937" s="31"/>
      <c r="P2937" s="28">
        <v>0.0</v>
      </c>
      <c r="Q2937" s="28">
        <v>49.0</v>
      </c>
    </row>
    <row r="2938">
      <c r="A2938" s="1" t="s">
        <v>120</v>
      </c>
      <c r="B2938" s="160" t="s">
        <v>30802</v>
      </c>
      <c r="C2938" s="1" t="s">
        <v>32210</v>
      </c>
      <c r="D2938" s="1" t="s">
        <v>32211</v>
      </c>
      <c r="E2938" s="161" t="s">
        <v>32212</v>
      </c>
      <c r="F2938" s="33" t="s">
        <v>32213</v>
      </c>
      <c r="G2938" s="33" t="s">
        <v>32214</v>
      </c>
      <c r="H2938" s="1" t="s">
        <v>17059</v>
      </c>
      <c r="I2938" s="19" t="s">
        <v>32215</v>
      </c>
      <c r="J2938" s="19" t="s">
        <v>32216</v>
      </c>
      <c r="K2938" s="19" t="s">
        <v>32216</v>
      </c>
      <c r="L2938" s="19" t="s">
        <v>32217</v>
      </c>
      <c r="M2938" s="1" t="s">
        <v>32218</v>
      </c>
      <c r="N2938" s="35" t="s">
        <v>32219</v>
      </c>
      <c r="O2938" s="31"/>
      <c r="P2938" s="28">
        <v>1.0</v>
      </c>
      <c r="Q2938" s="28">
        <v>61.0</v>
      </c>
    </row>
    <row r="2939">
      <c r="A2939" s="1" t="s">
        <v>120</v>
      </c>
      <c r="B2939" s="160" t="s">
        <v>30802</v>
      </c>
      <c r="C2939" s="1" t="s">
        <v>32220</v>
      </c>
      <c r="D2939" s="1" t="s">
        <v>32221</v>
      </c>
      <c r="E2939" s="161" t="s">
        <v>32222</v>
      </c>
      <c r="F2939" s="33" t="s">
        <v>32224</v>
      </c>
      <c r="G2939" s="33" t="s">
        <v>32225</v>
      </c>
      <c r="H2939" s="1" t="s">
        <v>17059</v>
      </c>
      <c r="I2939" s="19" t="s">
        <v>32226</v>
      </c>
      <c r="J2939" s="19" t="s">
        <v>32227</v>
      </c>
      <c r="K2939" s="19" t="s">
        <v>32227</v>
      </c>
      <c r="L2939" s="19" t="s">
        <v>32228</v>
      </c>
      <c r="M2939" s="1" t="s">
        <v>32229</v>
      </c>
      <c r="N2939" s="35" t="s">
        <v>32230</v>
      </c>
      <c r="O2939" s="31"/>
      <c r="P2939" s="28">
        <v>1.0</v>
      </c>
      <c r="Q2939" s="28">
        <v>41.0</v>
      </c>
    </row>
    <row r="2940">
      <c r="A2940" s="1" t="s">
        <v>120</v>
      </c>
      <c r="B2940" s="160" t="s">
        <v>30802</v>
      </c>
      <c r="C2940" s="1" t="s">
        <v>32231</v>
      </c>
      <c r="D2940" s="1" t="s">
        <v>32232</v>
      </c>
      <c r="E2940" s="161" t="s">
        <v>32233</v>
      </c>
      <c r="F2940" s="33" t="s">
        <v>32234</v>
      </c>
      <c r="G2940" s="33" t="s">
        <v>32235</v>
      </c>
      <c r="H2940" s="1" t="s">
        <v>17059</v>
      </c>
      <c r="I2940" s="19" t="s">
        <v>32236</v>
      </c>
      <c r="J2940" s="19" t="s">
        <v>32237</v>
      </c>
      <c r="K2940" s="19" t="s">
        <v>32238</v>
      </c>
      <c r="L2940" s="19" t="s">
        <v>32239</v>
      </c>
      <c r="M2940" s="1" t="s">
        <v>32240</v>
      </c>
      <c r="N2940" s="35" t="s">
        <v>32241</v>
      </c>
      <c r="O2940" s="31"/>
      <c r="P2940" s="28">
        <v>3.0</v>
      </c>
      <c r="Q2940" s="28">
        <v>44.0</v>
      </c>
    </row>
    <row r="2941">
      <c r="A2941" s="1" t="s">
        <v>120</v>
      </c>
      <c r="B2941" s="160" t="s">
        <v>30802</v>
      </c>
      <c r="C2941" s="1" t="s">
        <v>32242</v>
      </c>
      <c r="D2941" s="1" t="s">
        <v>32243</v>
      </c>
      <c r="E2941" s="161" t="s">
        <v>32244</v>
      </c>
      <c r="F2941" s="33" t="s">
        <v>32245</v>
      </c>
      <c r="G2941" s="33" t="s">
        <v>32246</v>
      </c>
      <c r="H2941" s="1" t="s">
        <v>17059</v>
      </c>
      <c r="I2941" s="19" t="s">
        <v>32247</v>
      </c>
      <c r="J2941" s="19" t="s">
        <v>32248</v>
      </c>
      <c r="K2941" s="19" t="s">
        <v>32249</v>
      </c>
      <c r="L2941" s="19" t="s">
        <v>32250</v>
      </c>
      <c r="M2941" s="1" t="s">
        <v>32251</v>
      </c>
      <c r="N2941" s="35" t="s">
        <v>32252</v>
      </c>
      <c r="O2941" s="31"/>
      <c r="P2941" s="28">
        <v>5.0</v>
      </c>
      <c r="Q2941" s="28">
        <v>77.0</v>
      </c>
    </row>
    <row r="2942">
      <c r="A2942" s="1" t="s">
        <v>120</v>
      </c>
      <c r="B2942" s="160" t="s">
        <v>30802</v>
      </c>
      <c r="C2942" s="1" t="s">
        <v>32253</v>
      </c>
      <c r="D2942" s="1" t="s">
        <v>32254</v>
      </c>
      <c r="E2942" s="161" t="s">
        <v>32255</v>
      </c>
      <c r="F2942" s="33" t="s">
        <v>32256</v>
      </c>
      <c r="G2942" s="33" t="s">
        <v>32257</v>
      </c>
      <c r="H2942" s="1" t="s">
        <v>17059</v>
      </c>
      <c r="I2942" s="19" t="s">
        <v>32258</v>
      </c>
      <c r="J2942" s="19" t="s">
        <v>32259</v>
      </c>
      <c r="K2942" s="19" t="s">
        <v>32259</v>
      </c>
      <c r="L2942" s="19" t="s">
        <v>32260</v>
      </c>
      <c r="M2942" s="1" t="s">
        <v>32261</v>
      </c>
      <c r="N2942" s="35" t="s">
        <v>32262</v>
      </c>
      <c r="O2942" s="31"/>
      <c r="P2942" s="28">
        <v>1.0</v>
      </c>
      <c r="Q2942" s="28">
        <v>41.0</v>
      </c>
    </row>
    <row r="2943">
      <c r="A2943" s="1" t="s">
        <v>120</v>
      </c>
      <c r="B2943" s="160" t="s">
        <v>30802</v>
      </c>
      <c r="C2943" s="1" t="s">
        <v>32263</v>
      </c>
      <c r="D2943" s="1" t="s">
        <v>32264</v>
      </c>
      <c r="E2943" s="161" t="s">
        <v>32265</v>
      </c>
      <c r="F2943" s="33" t="s">
        <v>32266</v>
      </c>
      <c r="G2943" s="33" t="s">
        <v>32267</v>
      </c>
      <c r="H2943" s="1" t="s">
        <v>17059</v>
      </c>
      <c r="I2943" s="19" t="s">
        <v>32268</v>
      </c>
      <c r="J2943" s="19" t="s">
        <v>32269</v>
      </c>
      <c r="K2943" s="19" t="s">
        <v>32269</v>
      </c>
      <c r="L2943" s="19" t="s">
        <v>32270</v>
      </c>
      <c r="M2943" s="1" t="s">
        <v>32271</v>
      </c>
      <c r="N2943" s="35" t="s">
        <v>32272</v>
      </c>
      <c r="O2943" s="31"/>
      <c r="P2943" s="28">
        <v>1.0</v>
      </c>
      <c r="Q2943" s="28">
        <v>84.0</v>
      </c>
    </row>
    <row r="2944">
      <c r="A2944" s="1" t="s">
        <v>120</v>
      </c>
      <c r="B2944" s="160" t="s">
        <v>30802</v>
      </c>
      <c r="C2944" s="1" t="s">
        <v>32273</v>
      </c>
      <c r="D2944" s="1" t="s">
        <v>32274</v>
      </c>
      <c r="E2944" s="161" t="s">
        <v>32275</v>
      </c>
      <c r="F2944" s="33" t="s">
        <v>32276</v>
      </c>
      <c r="G2944" s="33" t="s">
        <v>32277</v>
      </c>
      <c r="H2944" s="1" t="s">
        <v>17059</v>
      </c>
      <c r="I2944" s="19" t="s">
        <v>32278</v>
      </c>
      <c r="J2944" s="19" t="s">
        <v>32279</v>
      </c>
      <c r="K2944" s="19" t="s">
        <v>32280</v>
      </c>
      <c r="L2944" s="19" t="s">
        <v>32281</v>
      </c>
      <c r="M2944" s="1" t="s">
        <v>32282</v>
      </c>
      <c r="N2944" s="35" t="s">
        <v>32283</v>
      </c>
      <c r="O2944" s="31"/>
      <c r="P2944" s="28">
        <v>0.0</v>
      </c>
      <c r="Q2944" s="28">
        <v>46.0</v>
      </c>
    </row>
    <row r="2945">
      <c r="A2945" s="1" t="s">
        <v>120</v>
      </c>
      <c r="B2945" s="160" t="s">
        <v>30802</v>
      </c>
      <c r="C2945" s="1" t="s">
        <v>32284</v>
      </c>
      <c r="D2945" s="1" t="s">
        <v>32285</v>
      </c>
      <c r="E2945" s="161" t="s">
        <v>32286</v>
      </c>
      <c r="F2945" s="33" t="s">
        <v>32287</v>
      </c>
      <c r="G2945" s="33" t="s">
        <v>32288</v>
      </c>
      <c r="H2945" s="1" t="s">
        <v>17059</v>
      </c>
      <c r="I2945" s="19" t="s">
        <v>32289</v>
      </c>
      <c r="J2945" s="19" t="s">
        <v>32290</v>
      </c>
      <c r="K2945" s="19" t="s">
        <v>32291</v>
      </c>
      <c r="L2945" s="19" t="s">
        <v>32292</v>
      </c>
      <c r="M2945" s="1" t="s">
        <v>32293</v>
      </c>
      <c r="N2945" s="35" t="s">
        <v>32294</v>
      </c>
      <c r="O2945" s="22">
        <v>0.0</v>
      </c>
      <c r="P2945" s="28">
        <v>12.0</v>
      </c>
      <c r="Q2945" s="28">
        <v>38.0</v>
      </c>
    </row>
    <row r="2946">
      <c r="A2946" s="1" t="s">
        <v>120</v>
      </c>
      <c r="B2946" s="160" t="s">
        <v>30802</v>
      </c>
      <c r="C2946" s="1" t="s">
        <v>32295</v>
      </c>
      <c r="D2946" s="1" t="s">
        <v>32296</v>
      </c>
      <c r="E2946" s="161" t="s">
        <v>32297</v>
      </c>
      <c r="F2946" s="33" t="s">
        <v>32298</v>
      </c>
      <c r="G2946" s="33" t="s">
        <v>32299</v>
      </c>
      <c r="H2946" s="1" t="s">
        <v>17059</v>
      </c>
      <c r="I2946" s="19" t="s">
        <v>32300</v>
      </c>
      <c r="J2946" s="19" t="s">
        <v>32301</v>
      </c>
      <c r="K2946" s="19" t="s">
        <v>32302</v>
      </c>
      <c r="L2946" s="19" t="s">
        <v>32303</v>
      </c>
      <c r="M2946" s="1" t="s">
        <v>32304</v>
      </c>
      <c r="N2946" s="35" t="s">
        <v>32305</v>
      </c>
      <c r="O2946" s="31"/>
      <c r="P2946" s="28">
        <v>0.0</v>
      </c>
      <c r="Q2946" s="28">
        <v>49.0</v>
      </c>
    </row>
    <row r="2947">
      <c r="A2947" s="1" t="s">
        <v>120</v>
      </c>
      <c r="B2947" s="160" t="s">
        <v>30802</v>
      </c>
      <c r="C2947" s="1" t="s">
        <v>32306</v>
      </c>
      <c r="D2947" s="1" t="s">
        <v>32307</v>
      </c>
      <c r="E2947" s="161" t="s">
        <v>32308</v>
      </c>
      <c r="F2947" s="33" t="s">
        <v>32309</v>
      </c>
      <c r="G2947" s="33" t="s">
        <v>32310</v>
      </c>
      <c r="H2947" s="1" t="s">
        <v>17059</v>
      </c>
      <c r="I2947" s="19" t="s">
        <v>32311</v>
      </c>
      <c r="J2947" s="19" t="s">
        <v>32312</v>
      </c>
      <c r="K2947" s="19" t="s">
        <v>32312</v>
      </c>
      <c r="L2947" s="19" t="s">
        <v>32313</v>
      </c>
      <c r="M2947" s="1" t="s">
        <v>32314</v>
      </c>
      <c r="N2947" s="35" t="s">
        <v>32315</v>
      </c>
      <c r="O2947" s="31"/>
      <c r="P2947" s="28">
        <v>0.0</v>
      </c>
      <c r="Q2947" s="28">
        <v>36.0</v>
      </c>
    </row>
    <row r="2948">
      <c r="A2948" s="1" t="s">
        <v>120</v>
      </c>
      <c r="B2948" s="160" t="s">
        <v>30802</v>
      </c>
      <c r="C2948" s="1" t="s">
        <v>32316</v>
      </c>
      <c r="D2948" s="1" t="s">
        <v>32317</v>
      </c>
      <c r="E2948" s="161" t="s">
        <v>32318</v>
      </c>
      <c r="F2948" s="33" t="s">
        <v>32319</v>
      </c>
      <c r="G2948" s="33" t="s">
        <v>32320</v>
      </c>
      <c r="H2948" s="1" t="s">
        <v>17059</v>
      </c>
      <c r="I2948" s="19" t="s">
        <v>32321</v>
      </c>
      <c r="J2948" s="19" t="s">
        <v>32322</v>
      </c>
      <c r="K2948" s="19" t="s">
        <v>32322</v>
      </c>
      <c r="L2948" s="19" t="s">
        <v>32323</v>
      </c>
      <c r="M2948" s="1" t="s">
        <v>32324</v>
      </c>
      <c r="N2948" s="35" t="s">
        <v>32325</v>
      </c>
      <c r="O2948" s="31"/>
      <c r="P2948" s="28">
        <v>3.0</v>
      </c>
      <c r="Q2948" s="28">
        <v>58.0</v>
      </c>
    </row>
    <row r="2949">
      <c r="A2949" s="1" t="s">
        <v>120</v>
      </c>
      <c r="B2949" s="160" t="s">
        <v>30802</v>
      </c>
      <c r="C2949" s="1" t="s">
        <v>32326</v>
      </c>
      <c r="D2949" s="1" t="s">
        <v>32327</v>
      </c>
      <c r="E2949" s="161" t="s">
        <v>32328</v>
      </c>
      <c r="F2949" s="33" t="s">
        <v>32385</v>
      </c>
      <c r="G2949" s="33" t="s">
        <v>32386</v>
      </c>
      <c r="H2949" s="1" t="s">
        <v>17059</v>
      </c>
      <c r="I2949" s="19" t="s">
        <v>32387</v>
      </c>
      <c r="J2949" s="19" t="s">
        <v>32388</v>
      </c>
      <c r="K2949" s="19" t="s">
        <v>32389</v>
      </c>
      <c r="L2949" s="19" t="s">
        <v>32390</v>
      </c>
      <c r="M2949" s="1" t="s">
        <v>32391</v>
      </c>
      <c r="N2949" s="35" t="s">
        <v>32392</v>
      </c>
      <c r="O2949" s="31"/>
      <c r="P2949" s="28">
        <v>2.0</v>
      </c>
      <c r="Q2949" s="28">
        <v>72.0</v>
      </c>
    </row>
    <row r="2950">
      <c r="A2950" s="1" t="s">
        <v>120</v>
      </c>
      <c r="B2950" s="160" t="s">
        <v>30802</v>
      </c>
      <c r="C2950" s="1" t="s">
        <v>32393</v>
      </c>
      <c r="D2950" s="1" t="s">
        <v>32394</v>
      </c>
      <c r="E2950" s="161" t="s">
        <v>32395</v>
      </c>
      <c r="F2950" s="33" t="s">
        <v>32396</v>
      </c>
      <c r="G2950" s="33" t="s">
        <v>32397</v>
      </c>
      <c r="H2950" s="1" t="s">
        <v>17059</v>
      </c>
      <c r="I2950" s="19" t="s">
        <v>32398</v>
      </c>
      <c r="J2950" s="19" t="s">
        <v>32399</v>
      </c>
      <c r="K2950" s="19" t="s">
        <v>32399</v>
      </c>
      <c r="L2950" s="19" t="s">
        <v>32400</v>
      </c>
      <c r="M2950" s="1" t="s">
        <v>32401</v>
      </c>
      <c r="N2950" s="35" t="s">
        <v>32402</v>
      </c>
      <c r="O2950" s="31"/>
      <c r="P2950" s="28">
        <v>1.0</v>
      </c>
      <c r="Q2950" s="28">
        <v>49.0</v>
      </c>
    </row>
    <row r="2951">
      <c r="A2951" s="1" t="s">
        <v>120</v>
      </c>
      <c r="B2951" s="160" t="s">
        <v>30802</v>
      </c>
      <c r="C2951" s="1" t="s">
        <v>32403</v>
      </c>
      <c r="D2951" s="1" t="s">
        <v>32404</v>
      </c>
      <c r="E2951" s="161" t="s">
        <v>32405</v>
      </c>
      <c r="F2951" s="33" t="s">
        <v>32406</v>
      </c>
      <c r="G2951" s="33" t="s">
        <v>32407</v>
      </c>
      <c r="H2951" s="1" t="s">
        <v>17059</v>
      </c>
      <c r="I2951" s="19" t="s">
        <v>32408</v>
      </c>
      <c r="J2951" s="19" t="s">
        <v>32409</v>
      </c>
      <c r="K2951" s="19" t="s">
        <v>32410</v>
      </c>
      <c r="L2951" s="19" t="s">
        <v>32411</v>
      </c>
      <c r="M2951" s="1" t="s">
        <v>32412</v>
      </c>
      <c r="N2951" s="35" t="s">
        <v>32413</v>
      </c>
      <c r="O2951" s="31"/>
      <c r="P2951" s="28">
        <v>12.0</v>
      </c>
      <c r="Q2951" s="28">
        <v>57.0</v>
      </c>
      <c r="R2951" s="1" t="s">
        <v>106</v>
      </c>
    </row>
    <row r="2952">
      <c r="A2952" s="1" t="s">
        <v>120</v>
      </c>
      <c r="B2952" s="160" t="s">
        <v>30802</v>
      </c>
      <c r="C2952" s="1" t="s">
        <v>32414</v>
      </c>
      <c r="D2952" s="1" t="s">
        <v>32415</v>
      </c>
      <c r="E2952" s="161" t="s">
        <v>32416</v>
      </c>
      <c r="F2952" s="33" t="s">
        <v>32417</v>
      </c>
      <c r="G2952" s="33" t="s">
        <v>32418</v>
      </c>
      <c r="H2952" s="1" t="s">
        <v>17059</v>
      </c>
      <c r="I2952" s="19" t="s">
        <v>32419</v>
      </c>
      <c r="J2952" s="19" t="s">
        <v>32420</v>
      </c>
      <c r="K2952" s="19" t="s">
        <v>32421</v>
      </c>
      <c r="L2952" s="18"/>
      <c r="M2952" s="1" t="s">
        <v>32422</v>
      </c>
      <c r="N2952" s="35" t="s">
        <v>32423</v>
      </c>
      <c r="O2952" s="31"/>
      <c r="P2952" s="28">
        <v>2.0</v>
      </c>
      <c r="Q2952" s="28">
        <v>49.0</v>
      </c>
    </row>
    <row r="2953">
      <c r="A2953" s="1" t="s">
        <v>120</v>
      </c>
      <c r="B2953" s="160" t="s">
        <v>30802</v>
      </c>
      <c r="C2953" s="1" t="s">
        <v>32424</v>
      </c>
      <c r="D2953" s="1" t="s">
        <v>32425</v>
      </c>
      <c r="E2953" s="161" t="s">
        <v>32426</v>
      </c>
      <c r="F2953" s="33" t="s">
        <v>32428</v>
      </c>
      <c r="G2953" s="33" t="s">
        <v>32429</v>
      </c>
      <c r="H2953" s="1" t="s">
        <v>17059</v>
      </c>
      <c r="I2953" s="19" t="s">
        <v>32430</v>
      </c>
      <c r="J2953" s="19" t="s">
        <v>32431</v>
      </c>
      <c r="K2953" s="19" t="s">
        <v>32432</v>
      </c>
      <c r="L2953" s="19" t="s">
        <v>32433</v>
      </c>
      <c r="M2953" s="1" t="s">
        <v>32434</v>
      </c>
      <c r="N2953" s="35" t="s">
        <v>32435</v>
      </c>
      <c r="O2953" s="31"/>
      <c r="P2953" s="28">
        <v>11.0</v>
      </c>
      <c r="Q2953" s="28">
        <v>55.0</v>
      </c>
    </row>
    <row r="2954">
      <c r="A2954" s="1" t="s">
        <v>120</v>
      </c>
      <c r="B2954" s="160" t="s">
        <v>30802</v>
      </c>
      <c r="C2954" s="1" t="s">
        <v>32436</v>
      </c>
      <c r="D2954" s="1" t="s">
        <v>32437</v>
      </c>
      <c r="E2954" s="161" t="s">
        <v>32438</v>
      </c>
      <c r="F2954" s="33" t="s">
        <v>32439</v>
      </c>
      <c r="G2954" s="33" t="s">
        <v>32440</v>
      </c>
      <c r="H2954" s="1" t="s">
        <v>17059</v>
      </c>
      <c r="I2954" s="19" t="s">
        <v>32441</v>
      </c>
      <c r="J2954" s="19" t="s">
        <v>32442</v>
      </c>
      <c r="K2954" s="19" t="s">
        <v>32442</v>
      </c>
      <c r="L2954" s="19" t="s">
        <v>32443</v>
      </c>
      <c r="M2954" s="1" t="s">
        <v>32444</v>
      </c>
      <c r="N2954" s="35" t="s">
        <v>32445</v>
      </c>
      <c r="O2954" s="31"/>
      <c r="P2954" s="28">
        <v>1.0</v>
      </c>
      <c r="Q2954" s="28">
        <v>48.0</v>
      </c>
    </row>
    <row r="2955">
      <c r="A2955" s="1" t="s">
        <v>120</v>
      </c>
      <c r="B2955" s="160" t="s">
        <v>30802</v>
      </c>
      <c r="C2955" s="1" t="s">
        <v>32446</v>
      </c>
      <c r="D2955" s="1" t="s">
        <v>32447</v>
      </c>
      <c r="E2955" s="161" t="s">
        <v>32448</v>
      </c>
      <c r="F2955" s="33" t="s">
        <v>32456</v>
      </c>
      <c r="G2955" s="33" t="s">
        <v>32457</v>
      </c>
      <c r="H2955" s="1" t="s">
        <v>17059</v>
      </c>
      <c r="I2955" s="19" t="s">
        <v>32458</v>
      </c>
      <c r="J2955" s="19" t="s">
        <v>32459</v>
      </c>
      <c r="K2955" s="19" t="s">
        <v>32460</v>
      </c>
      <c r="L2955" s="19" t="s">
        <v>32461</v>
      </c>
      <c r="M2955" s="1" t="s">
        <v>32462</v>
      </c>
      <c r="N2955" s="35" t="s">
        <v>32463</v>
      </c>
      <c r="O2955" s="31"/>
      <c r="P2955" s="28">
        <v>3.0</v>
      </c>
      <c r="Q2955" s="28">
        <v>43.0</v>
      </c>
      <c r="R2955" s="1" t="s">
        <v>19037</v>
      </c>
    </row>
    <row r="2956">
      <c r="A2956" s="1" t="s">
        <v>120</v>
      </c>
      <c r="B2956" s="160" t="s">
        <v>30802</v>
      </c>
      <c r="C2956" s="1" t="s">
        <v>32464</v>
      </c>
      <c r="D2956" s="1" t="s">
        <v>32465</v>
      </c>
      <c r="E2956" s="161" t="s">
        <v>32466</v>
      </c>
      <c r="F2956" s="33" t="s">
        <v>32467</v>
      </c>
      <c r="G2956" s="33" t="s">
        <v>32468</v>
      </c>
      <c r="H2956" s="1" t="s">
        <v>17059</v>
      </c>
      <c r="I2956" s="19" t="s">
        <v>32469</v>
      </c>
      <c r="J2956" s="19" t="s">
        <v>32470</v>
      </c>
      <c r="K2956" s="19" t="s">
        <v>32470</v>
      </c>
      <c r="L2956" s="19" t="s">
        <v>32471</v>
      </c>
      <c r="M2956" s="1" t="s">
        <v>32472</v>
      </c>
      <c r="N2956" s="35" t="s">
        <v>32473</v>
      </c>
      <c r="O2956" s="31"/>
      <c r="P2956" s="28">
        <v>3.0</v>
      </c>
      <c r="Q2956" s="28">
        <v>60.0</v>
      </c>
    </row>
    <row r="2957">
      <c r="A2957" s="1" t="s">
        <v>120</v>
      </c>
      <c r="B2957" s="160" t="s">
        <v>30802</v>
      </c>
      <c r="C2957" s="1" t="s">
        <v>32474</v>
      </c>
      <c r="D2957" s="1" t="s">
        <v>32475</v>
      </c>
      <c r="E2957" s="161" t="s">
        <v>32476</v>
      </c>
      <c r="F2957" s="33" t="s">
        <v>32477</v>
      </c>
      <c r="G2957" s="33" t="s">
        <v>32478</v>
      </c>
      <c r="H2957" s="1" t="s">
        <v>17059</v>
      </c>
      <c r="I2957" s="19" t="s">
        <v>32479</v>
      </c>
      <c r="J2957" s="19" t="s">
        <v>32480</v>
      </c>
      <c r="K2957" s="19" t="s">
        <v>32481</v>
      </c>
      <c r="L2957" s="19" t="s">
        <v>32482</v>
      </c>
      <c r="M2957" s="1" t="s">
        <v>32483</v>
      </c>
      <c r="N2957" s="35" t="s">
        <v>32484</v>
      </c>
      <c r="O2957" s="31"/>
      <c r="P2957" s="28">
        <v>3.0</v>
      </c>
      <c r="Q2957" s="28">
        <v>46.0</v>
      </c>
    </row>
    <row r="2958">
      <c r="A2958" s="1" t="s">
        <v>120</v>
      </c>
      <c r="B2958" s="160" t="s">
        <v>30802</v>
      </c>
      <c r="C2958" s="1" t="s">
        <v>32485</v>
      </c>
      <c r="D2958" s="1" t="s">
        <v>32486</v>
      </c>
      <c r="E2958" s="161" t="s">
        <v>32487</v>
      </c>
      <c r="F2958" s="33" t="s">
        <v>32488</v>
      </c>
      <c r="G2958" s="33" t="s">
        <v>32489</v>
      </c>
      <c r="H2958" s="1" t="s">
        <v>17059</v>
      </c>
      <c r="I2958" s="19" t="s">
        <v>32490</v>
      </c>
      <c r="J2958" s="19" t="s">
        <v>32491</v>
      </c>
      <c r="K2958" s="19" t="s">
        <v>32492</v>
      </c>
      <c r="L2958" s="19" t="s">
        <v>32493</v>
      </c>
      <c r="M2958" s="1" t="s">
        <v>32494</v>
      </c>
      <c r="N2958" s="35" t="s">
        <v>32495</v>
      </c>
      <c r="O2958" s="31"/>
      <c r="P2958" s="28">
        <v>2.0</v>
      </c>
      <c r="Q2958" s="28">
        <v>57.0</v>
      </c>
    </row>
    <row r="2959">
      <c r="A2959" s="1" t="s">
        <v>120</v>
      </c>
      <c r="B2959" s="160" t="s">
        <v>30802</v>
      </c>
      <c r="C2959" s="1" t="s">
        <v>32496</v>
      </c>
      <c r="D2959" s="1" t="s">
        <v>32497</v>
      </c>
      <c r="E2959" s="161" t="s">
        <v>32498</v>
      </c>
      <c r="F2959" s="33" t="s">
        <v>32500</v>
      </c>
      <c r="G2959" s="33" t="s">
        <v>32501</v>
      </c>
      <c r="H2959" s="1" t="s">
        <v>17059</v>
      </c>
      <c r="I2959" s="19" t="s">
        <v>32502</v>
      </c>
      <c r="J2959" s="19" t="s">
        <v>32503</v>
      </c>
      <c r="K2959" s="19" t="s">
        <v>32504</v>
      </c>
      <c r="L2959" s="19" t="s">
        <v>32505</v>
      </c>
      <c r="M2959" s="1" t="s">
        <v>32506</v>
      </c>
      <c r="N2959" s="35" t="s">
        <v>32507</v>
      </c>
      <c r="O2959" s="31"/>
      <c r="P2959" s="28">
        <v>1.0</v>
      </c>
      <c r="Q2959" s="28">
        <v>38.0</v>
      </c>
    </row>
    <row r="2960">
      <c r="A2960" s="1" t="s">
        <v>120</v>
      </c>
      <c r="B2960" s="160" t="s">
        <v>30802</v>
      </c>
      <c r="C2960" s="1" t="s">
        <v>32508</v>
      </c>
      <c r="D2960" s="1" t="s">
        <v>32509</v>
      </c>
      <c r="E2960" s="161" t="s">
        <v>32510</v>
      </c>
      <c r="F2960" s="33" t="s">
        <v>32511</v>
      </c>
      <c r="G2960" s="33" t="s">
        <v>32512</v>
      </c>
      <c r="H2960" s="1" t="s">
        <v>17059</v>
      </c>
      <c r="I2960" s="19" t="s">
        <v>32513</v>
      </c>
      <c r="J2960" s="19" t="s">
        <v>32514</v>
      </c>
      <c r="K2960" s="19" t="s">
        <v>32514</v>
      </c>
      <c r="L2960" s="19" t="s">
        <v>32515</v>
      </c>
      <c r="M2960" s="1" t="s">
        <v>32516</v>
      </c>
      <c r="N2960" s="35" t="s">
        <v>32517</v>
      </c>
      <c r="O2960" s="31"/>
      <c r="P2960" s="28">
        <v>2.0</v>
      </c>
      <c r="Q2960" s="28">
        <v>51.0</v>
      </c>
    </row>
    <row r="2961">
      <c r="A2961" s="1" t="s">
        <v>120</v>
      </c>
      <c r="B2961" s="160" t="s">
        <v>30802</v>
      </c>
      <c r="C2961" s="1" t="s">
        <v>32518</v>
      </c>
      <c r="D2961" s="1" t="s">
        <v>32519</v>
      </c>
      <c r="E2961" s="161" t="s">
        <v>32520</v>
      </c>
      <c r="F2961" s="33" t="s">
        <v>32521</v>
      </c>
      <c r="G2961" s="33" t="s">
        <v>32522</v>
      </c>
      <c r="H2961" s="1" t="s">
        <v>17059</v>
      </c>
      <c r="I2961" s="19" t="s">
        <v>32523</v>
      </c>
      <c r="J2961" s="19" t="s">
        <v>32524</v>
      </c>
      <c r="K2961" s="19" t="s">
        <v>32524</v>
      </c>
      <c r="L2961" s="19" t="s">
        <v>32525</v>
      </c>
      <c r="M2961" s="1" t="s">
        <v>32526</v>
      </c>
      <c r="N2961" s="35" t="s">
        <v>32527</v>
      </c>
      <c r="O2961" s="31"/>
      <c r="P2961" s="28">
        <v>7.0</v>
      </c>
      <c r="Q2961" s="28">
        <v>72.0</v>
      </c>
    </row>
    <row r="2962">
      <c r="A2962" s="1" t="s">
        <v>120</v>
      </c>
      <c r="B2962" s="160" t="s">
        <v>30802</v>
      </c>
      <c r="C2962" s="1" t="s">
        <v>32528</v>
      </c>
      <c r="D2962" s="1" t="s">
        <v>32529</v>
      </c>
      <c r="E2962" s="161" t="s">
        <v>32530</v>
      </c>
      <c r="F2962" s="33" t="s">
        <v>32531</v>
      </c>
      <c r="G2962" s="33" t="s">
        <v>32532</v>
      </c>
      <c r="H2962" s="1" t="s">
        <v>17059</v>
      </c>
      <c r="I2962" s="19" t="s">
        <v>32533</v>
      </c>
      <c r="J2962" s="19" t="s">
        <v>32534</v>
      </c>
      <c r="K2962" s="19" t="s">
        <v>32534</v>
      </c>
      <c r="L2962" s="19" t="s">
        <v>32535</v>
      </c>
      <c r="M2962" s="1" t="s">
        <v>32536</v>
      </c>
      <c r="N2962" s="35" t="s">
        <v>32537</v>
      </c>
      <c r="O2962" s="31"/>
      <c r="P2962" s="28">
        <v>0.0</v>
      </c>
      <c r="Q2962" s="28">
        <v>77.0</v>
      </c>
    </row>
    <row r="2963">
      <c r="A2963" s="1" t="s">
        <v>120</v>
      </c>
      <c r="B2963" s="160" t="s">
        <v>30802</v>
      </c>
      <c r="C2963" s="1" t="s">
        <v>32538</v>
      </c>
      <c r="D2963" s="1" t="s">
        <v>32539</v>
      </c>
      <c r="E2963" s="161" t="s">
        <v>32540</v>
      </c>
      <c r="F2963" s="33" t="s">
        <v>32541</v>
      </c>
      <c r="G2963" s="33" t="s">
        <v>32542</v>
      </c>
      <c r="H2963" s="1" t="s">
        <v>17059</v>
      </c>
      <c r="I2963" s="19" t="s">
        <v>32543</v>
      </c>
      <c r="J2963" s="19" t="s">
        <v>32544</v>
      </c>
      <c r="K2963" s="19" t="s">
        <v>32545</v>
      </c>
      <c r="L2963" s="19" t="s">
        <v>32546</v>
      </c>
      <c r="M2963" s="1" t="s">
        <v>32547</v>
      </c>
      <c r="N2963" s="35" t="s">
        <v>32548</v>
      </c>
      <c r="O2963" s="31"/>
      <c r="P2963" s="28">
        <v>4.0</v>
      </c>
      <c r="Q2963" s="28">
        <v>49.0</v>
      </c>
    </row>
    <row r="2964">
      <c r="A2964" s="1" t="s">
        <v>120</v>
      </c>
      <c r="B2964" s="160" t="s">
        <v>30802</v>
      </c>
      <c r="C2964" s="1" t="s">
        <v>32549</v>
      </c>
      <c r="D2964" s="1" t="s">
        <v>32550</v>
      </c>
      <c r="E2964" s="161" t="s">
        <v>32551</v>
      </c>
      <c r="F2964" s="33" t="s">
        <v>32552</v>
      </c>
      <c r="G2964" s="33" t="s">
        <v>32553</v>
      </c>
      <c r="H2964" s="1" t="s">
        <v>17059</v>
      </c>
      <c r="I2964" s="19" t="s">
        <v>32554</v>
      </c>
      <c r="J2964" s="19" t="s">
        <v>32555</v>
      </c>
      <c r="K2964" s="19" t="s">
        <v>32556</v>
      </c>
      <c r="L2964" s="19" t="s">
        <v>32557</v>
      </c>
      <c r="M2964" s="1" t="s">
        <v>32558</v>
      </c>
      <c r="N2964" s="35" t="s">
        <v>32559</v>
      </c>
      <c r="O2964" s="31"/>
      <c r="P2964" s="28">
        <v>0.0</v>
      </c>
      <c r="Q2964" s="28">
        <v>94.0</v>
      </c>
    </row>
    <row r="2965">
      <c r="A2965" s="1" t="s">
        <v>120</v>
      </c>
      <c r="B2965" s="160" t="s">
        <v>30802</v>
      </c>
      <c r="C2965" s="1" t="s">
        <v>32560</v>
      </c>
      <c r="D2965" s="1" t="s">
        <v>32561</v>
      </c>
      <c r="E2965" s="161" t="s">
        <v>32562</v>
      </c>
      <c r="F2965" s="33" t="s">
        <v>32563</v>
      </c>
      <c r="G2965" s="33" t="s">
        <v>32564</v>
      </c>
      <c r="H2965" s="1" t="s">
        <v>17059</v>
      </c>
      <c r="I2965" s="19" t="s">
        <v>32565</v>
      </c>
      <c r="J2965" s="19" t="s">
        <v>32566</v>
      </c>
      <c r="K2965" s="19" t="s">
        <v>32566</v>
      </c>
      <c r="L2965" s="19" t="s">
        <v>32567</v>
      </c>
      <c r="M2965" s="1" t="s">
        <v>32568</v>
      </c>
      <c r="N2965" s="35" t="s">
        <v>32569</v>
      </c>
      <c r="O2965" s="31"/>
      <c r="P2965" s="28">
        <v>2.0</v>
      </c>
      <c r="Q2965" s="28">
        <v>55.0</v>
      </c>
      <c r="R2965" s="1" t="s">
        <v>19037</v>
      </c>
    </row>
    <row r="2966">
      <c r="A2966" s="1" t="s">
        <v>120</v>
      </c>
      <c r="B2966" s="160" t="s">
        <v>30802</v>
      </c>
      <c r="C2966" s="1" t="s">
        <v>32570</v>
      </c>
      <c r="D2966" s="1" t="s">
        <v>32571</v>
      </c>
      <c r="E2966" s="161" t="s">
        <v>32572</v>
      </c>
      <c r="F2966" s="33" t="s">
        <v>32574</v>
      </c>
      <c r="G2966" s="33" t="s">
        <v>32576</v>
      </c>
      <c r="H2966" s="1" t="s">
        <v>17059</v>
      </c>
      <c r="I2966" s="19" t="s">
        <v>32577</v>
      </c>
      <c r="J2966" s="19" t="s">
        <v>32578</v>
      </c>
      <c r="K2966" s="19" t="s">
        <v>32579</v>
      </c>
      <c r="L2966" s="19" t="s">
        <v>32580</v>
      </c>
      <c r="M2966" s="1" t="s">
        <v>32581</v>
      </c>
      <c r="N2966" s="35" t="s">
        <v>32582</v>
      </c>
      <c r="O2966" s="31"/>
      <c r="P2966" s="28">
        <v>0.0</v>
      </c>
      <c r="Q2966" s="28">
        <v>67.0</v>
      </c>
    </row>
    <row r="2967">
      <c r="A2967" s="1" t="s">
        <v>120</v>
      </c>
      <c r="B2967" s="160" t="s">
        <v>30802</v>
      </c>
      <c r="C2967" s="1" t="s">
        <v>32584</v>
      </c>
      <c r="D2967" s="1" t="s">
        <v>32585</v>
      </c>
      <c r="E2967" s="161" t="s">
        <v>32586</v>
      </c>
      <c r="F2967" s="33" t="s">
        <v>32587</v>
      </c>
      <c r="G2967" s="33" t="s">
        <v>32589</v>
      </c>
      <c r="H2967" s="1" t="s">
        <v>17059</v>
      </c>
      <c r="I2967" s="19" t="s">
        <v>32591</v>
      </c>
      <c r="J2967" s="19" t="s">
        <v>32592</v>
      </c>
      <c r="K2967" s="19" t="s">
        <v>32592</v>
      </c>
      <c r="L2967" s="19" t="s">
        <v>32593</v>
      </c>
      <c r="M2967" s="1" t="s">
        <v>32594</v>
      </c>
      <c r="N2967" s="35" t="s">
        <v>32596</v>
      </c>
      <c r="O2967" s="31"/>
      <c r="P2967" s="28">
        <v>3.0</v>
      </c>
      <c r="Q2967" s="28">
        <v>39.0</v>
      </c>
    </row>
    <row r="2968">
      <c r="A2968" s="1" t="s">
        <v>120</v>
      </c>
      <c r="B2968" s="166" t="s">
        <v>30802</v>
      </c>
      <c r="C2968" s="37" t="s">
        <v>32599</v>
      </c>
      <c r="D2968" s="38" t="s">
        <v>32600</v>
      </c>
      <c r="E2968" s="167" t="s">
        <v>32602</v>
      </c>
      <c r="F2968" s="28">
        <v>139.0</v>
      </c>
      <c r="G2968" s="28">
        <v>150.0</v>
      </c>
      <c r="H2968" s="1" t="s">
        <v>28</v>
      </c>
      <c r="I2968" s="19" t="s">
        <v>32605</v>
      </c>
      <c r="J2968" s="19" t="s">
        <v>32606</v>
      </c>
      <c r="K2968" s="19" t="s">
        <v>32606</v>
      </c>
      <c r="L2968" s="19" t="s">
        <v>32607</v>
      </c>
      <c r="M2968" s="1" t="s">
        <v>32608</v>
      </c>
      <c r="N2968" s="38" t="s">
        <v>32609</v>
      </c>
      <c r="O2968" s="109"/>
      <c r="P2968" s="28">
        <v>0.0</v>
      </c>
      <c r="Q2968" s="28">
        <v>51.0</v>
      </c>
    </row>
    <row r="2969">
      <c r="A2969" s="1" t="s">
        <v>120</v>
      </c>
      <c r="B2969" s="166" t="s">
        <v>30802</v>
      </c>
      <c r="C2969" s="39" t="s">
        <v>32611</v>
      </c>
      <c r="D2969" s="38" t="s">
        <v>32613</v>
      </c>
      <c r="E2969" s="167" t="s">
        <v>32614</v>
      </c>
      <c r="F2969" s="28">
        <v>81.0</v>
      </c>
      <c r="G2969" s="28">
        <v>91.0</v>
      </c>
      <c r="H2969" s="1" t="s">
        <v>28</v>
      </c>
      <c r="I2969" s="19" t="s">
        <v>32617</v>
      </c>
      <c r="J2969" s="19" t="s">
        <v>32618</v>
      </c>
      <c r="K2969" s="19" t="s">
        <v>32618</v>
      </c>
      <c r="L2969" s="19" t="s">
        <v>32619</v>
      </c>
      <c r="M2969" s="1" t="s">
        <v>32620</v>
      </c>
      <c r="N2969" s="38" t="s">
        <v>32621</v>
      </c>
      <c r="O2969" s="109"/>
      <c r="P2969" s="28">
        <v>0.0</v>
      </c>
      <c r="Q2969" s="28">
        <v>38.0</v>
      </c>
    </row>
    <row r="2970">
      <c r="A2970" s="1" t="s">
        <v>120</v>
      </c>
      <c r="B2970" s="166" t="s">
        <v>30802</v>
      </c>
      <c r="C2970" s="39" t="s">
        <v>32622</v>
      </c>
      <c r="D2970" s="38" t="s">
        <v>32623</v>
      </c>
      <c r="E2970" s="167" t="s">
        <v>32624</v>
      </c>
      <c r="F2970" s="28">
        <v>92.0</v>
      </c>
      <c r="G2970" s="28">
        <v>103.0</v>
      </c>
      <c r="H2970" s="1" t="s">
        <v>28</v>
      </c>
      <c r="I2970" s="19" t="s">
        <v>32626</v>
      </c>
      <c r="J2970" s="19" t="s">
        <v>32627</v>
      </c>
      <c r="K2970" s="19" t="s">
        <v>32628</v>
      </c>
      <c r="L2970" s="19" t="s">
        <v>32629</v>
      </c>
      <c r="M2970" s="1" t="s">
        <v>32630</v>
      </c>
      <c r="N2970" s="38" t="s">
        <v>32631</v>
      </c>
      <c r="O2970" s="109"/>
      <c r="P2970" s="28">
        <v>1.0</v>
      </c>
      <c r="Q2970" s="28">
        <v>81.0</v>
      </c>
    </row>
    <row r="2971">
      <c r="A2971" s="1" t="s">
        <v>120</v>
      </c>
      <c r="B2971" s="166" t="s">
        <v>30802</v>
      </c>
      <c r="C2971" s="39" t="s">
        <v>32632</v>
      </c>
      <c r="D2971" s="38" t="s">
        <v>32633</v>
      </c>
      <c r="E2971" s="167" t="s">
        <v>32634</v>
      </c>
      <c r="F2971" s="28">
        <v>127.0</v>
      </c>
      <c r="G2971" s="28">
        <v>138.0</v>
      </c>
      <c r="H2971" s="1" t="s">
        <v>28</v>
      </c>
      <c r="I2971" s="19" t="s">
        <v>32635</v>
      </c>
      <c r="J2971" s="19" t="s">
        <v>32636</v>
      </c>
      <c r="K2971" s="19" t="s">
        <v>32636</v>
      </c>
      <c r="L2971" s="19" t="s">
        <v>32637</v>
      </c>
      <c r="M2971" s="1" t="s">
        <v>32638</v>
      </c>
      <c r="N2971" s="38"/>
      <c r="O2971" s="109"/>
      <c r="P2971" s="28">
        <v>1.0</v>
      </c>
      <c r="Q2971" s="28">
        <v>63.0</v>
      </c>
    </row>
    <row r="2972">
      <c r="A2972" s="1" t="s">
        <v>120</v>
      </c>
      <c r="B2972" s="166" t="s">
        <v>30802</v>
      </c>
      <c r="C2972" s="39" t="s">
        <v>32639</v>
      </c>
      <c r="D2972" s="38" t="s">
        <v>32640</v>
      </c>
      <c r="E2972" s="167" t="s">
        <v>32641</v>
      </c>
      <c r="F2972" s="28">
        <v>71.0</v>
      </c>
      <c r="G2972" s="28">
        <v>80.0</v>
      </c>
      <c r="H2972" s="1" t="s">
        <v>28</v>
      </c>
      <c r="I2972" s="19" t="s">
        <v>32642</v>
      </c>
      <c r="J2972" s="19" t="s">
        <v>32643</v>
      </c>
      <c r="K2972" s="19" t="s">
        <v>32643</v>
      </c>
      <c r="L2972" s="19" t="s">
        <v>32644</v>
      </c>
      <c r="M2972" s="1" t="s">
        <v>5578</v>
      </c>
      <c r="N2972" s="38" t="s">
        <v>32645</v>
      </c>
      <c r="O2972" s="109"/>
      <c r="P2972" s="28">
        <v>0.0</v>
      </c>
      <c r="Q2972" s="28">
        <v>23.0</v>
      </c>
    </row>
    <row r="2973">
      <c r="A2973" s="1" t="s">
        <v>120</v>
      </c>
      <c r="B2973" s="166" t="s">
        <v>30802</v>
      </c>
      <c r="C2973" s="39" t="s">
        <v>32646</v>
      </c>
      <c r="D2973" s="38" t="s">
        <v>32647</v>
      </c>
      <c r="E2973" s="167" t="s">
        <v>32648</v>
      </c>
      <c r="F2973" s="28">
        <v>1.0</v>
      </c>
      <c r="G2973" s="28">
        <v>12.0</v>
      </c>
      <c r="H2973" s="1" t="s">
        <v>28</v>
      </c>
      <c r="I2973" s="19" t="s">
        <v>32649</v>
      </c>
      <c r="J2973" s="19" t="s">
        <v>32650</v>
      </c>
      <c r="K2973" s="19" t="s">
        <v>32651</v>
      </c>
      <c r="L2973" s="19" t="s">
        <v>32652</v>
      </c>
      <c r="M2973" s="1" t="s">
        <v>32653</v>
      </c>
      <c r="N2973" s="38"/>
      <c r="O2973" s="109"/>
      <c r="P2973" s="28">
        <v>0.0</v>
      </c>
      <c r="Q2973" s="28">
        <v>58.0</v>
      </c>
    </row>
    <row r="2974">
      <c r="A2974" s="1" t="s">
        <v>120</v>
      </c>
      <c r="B2974" s="166" t="s">
        <v>30802</v>
      </c>
      <c r="C2974" s="39" t="s">
        <v>32654</v>
      </c>
      <c r="D2974" s="38" t="s">
        <v>32655</v>
      </c>
      <c r="E2974" s="167" t="s">
        <v>32656</v>
      </c>
      <c r="F2974" s="28">
        <v>36.0</v>
      </c>
      <c r="G2974" s="28">
        <v>47.0</v>
      </c>
      <c r="H2974" s="1" t="s">
        <v>28</v>
      </c>
      <c r="I2974" s="19" t="s">
        <v>32657</v>
      </c>
      <c r="J2974" s="19" t="s">
        <v>32658</v>
      </c>
      <c r="K2974" s="19" t="s">
        <v>32659</v>
      </c>
      <c r="L2974" s="19" t="s">
        <v>32660</v>
      </c>
      <c r="M2974" s="1" t="s">
        <v>32661</v>
      </c>
      <c r="N2974" s="38" t="s">
        <v>32662</v>
      </c>
      <c r="O2974" s="109"/>
      <c r="P2974" s="28">
        <v>0.0</v>
      </c>
      <c r="Q2974" s="28">
        <v>63.0</v>
      </c>
    </row>
    <row r="2975">
      <c r="A2975" s="1" t="s">
        <v>120</v>
      </c>
      <c r="B2975" s="166" t="s">
        <v>30802</v>
      </c>
      <c r="C2975" s="39" t="s">
        <v>32663</v>
      </c>
      <c r="D2975" s="38" t="s">
        <v>32664</v>
      </c>
      <c r="E2975" s="167" t="s">
        <v>32665</v>
      </c>
      <c r="F2975" s="28">
        <v>59.0</v>
      </c>
      <c r="G2975" s="28">
        <v>70.0</v>
      </c>
      <c r="H2975" s="1" t="s">
        <v>28</v>
      </c>
      <c r="I2975" s="19" t="s">
        <v>32666</v>
      </c>
      <c r="J2975" s="19" t="s">
        <v>32667</v>
      </c>
      <c r="K2975" s="19" t="s">
        <v>32667</v>
      </c>
      <c r="L2975" s="19" t="s">
        <v>32668</v>
      </c>
      <c r="M2975" s="1" t="s">
        <v>32669</v>
      </c>
      <c r="N2975" s="38" t="s">
        <v>32670</v>
      </c>
      <c r="O2975" s="109"/>
      <c r="P2975" s="28">
        <v>0.0</v>
      </c>
      <c r="Q2975" s="28">
        <v>83.0</v>
      </c>
    </row>
    <row r="2976">
      <c r="A2976" s="1" t="s">
        <v>120</v>
      </c>
      <c r="B2976" s="166" t="s">
        <v>30802</v>
      </c>
      <c r="C2976" s="39" t="s">
        <v>32671</v>
      </c>
      <c r="D2976" s="38" t="s">
        <v>32672</v>
      </c>
      <c r="E2976" s="167" t="s">
        <v>32673</v>
      </c>
      <c r="F2976" s="28">
        <v>151.0</v>
      </c>
      <c r="G2976" s="28">
        <v>161.0</v>
      </c>
      <c r="H2976" s="1" t="s">
        <v>28</v>
      </c>
      <c r="I2976" s="19" t="s">
        <v>32674</v>
      </c>
      <c r="J2976" s="19" t="s">
        <v>28213</v>
      </c>
      <c r="K2976" s="19" t="s">
        <v>28213</v>
      </c>
      <c r="L2976" s="19" t="s">
        <v>32675</v>
      </c>
      <c r="M2976" s="1" t="s">
        <v>32676</v>
      </c>
      <c r="N2976" s="38" t="s">
        <v>32677</v>
      </c>
      <c r="O2976" s="109"/>
      <c r="P2976" s="28">
        <v>0.0</v>
      </c>
      <c r="Q2976" s="28">
        <v>49.0</v>
      </c>
    </row>
    <row r="2977">
      <c r="A2977" s="1" t="s">
        <v>120</v>
      </c>
      <c r="B2977" s="166" t="s">
        <v>30802</v>
      </c>
      <c r="C2977" s="39" t="s">
        <v>32678</v>
      </c>
      <c r="D2977" s="38" t="s">
        <v>32679</v>
      </c>
      <c r="E2977" s="167" t="s">
        <v>32680</v>
      </c>
      <c r="F2977" s="28">
        <v>25.0</v>
      </c>
      <c r="G2977" s="28">
        <v>35.0</v>
      </c>
      <c r="H2977" s="1" t="s">
        <v>28</v>
      </c>
      <c r="I2977" s="19" t="s">
        <v>32681</v>
      </c>
      <c r="J2977" s="19" t="s">
        <v>32682</v>
      </c>
      <c r="K2977" s="19" t="s">
        <v>32682</v>
      </c>
      <c r="L2977" s="19" t="s">
        <v>32683</v>
      </c>
      <c r="M2977" s="1" t="s">
        <v>24380</v>
      </c>
      <c r="N2977" s="38" t="s">
        <v>32684</v>
      </c>
      <c r="O2977" s="109"/>
      <c r="P2977" s="28">
        <v>1.0</v>
      </c>
      <c r="Q2977" s="28">
        <v>35.0</v>
      </c>
    </row>
    <row r="2978">
      <c r="A2978" s="1" t="s">
        <v>120</v>
      </c>
      <c r="B2978" s="166" t="s">
        <v>30802</v>
      </c>
      <c r="C2978" s="39" t="s">
        <v>32685</v>
      </c>
      <c r="D2978" s="38" t="s">
        <v>32686</v>
      </c>
      <c r="E2978" s="167" t="s">
        <v>32687</v>
      </c>
      <c r="F2978" s="28">
        <v>116.0</v>
      </c>
      <c r="G2978" s="28">
        <v>126.0</v>
      </c>
      <c r="H2978" s="1" t="s">
        <v>28</v>
      </c>
      <c r="I2978" s="19" t="s">
        <v>32689</v>
      </c>
      <c r="J2978" s="19" t="s">
        <v>32690</v>
      </c>
      <c r="K2978" s="19" t="s">
        <v>32690</v>
      </c>
      <c r="L2978" s="19" t="s">
        <v>32691</v>
      </c>
      <c r="M2978" s="1" t="s">
        <v>32692</v>
      </c>
      <c r="N2978" s="38" t="s">
        <v>32693</v>
      </c>
      <c r="O2978" s="109"/>
      <c r="P2978" s="28">
        <v>0.0</v>
      </c>
      <c r="Q2978" s="28">
        <v>46.0</v>
      </c>
    </row>
    <row r="2979">
      <c r="A2979" s="1" t="s">
        <v>120</v>
      </c>
      <c r="B2979" s="166" t="s">
        <v>30802</v>
      </c>
      <c r="C2979" s="39" t="s">
        <v>32694</v>
      </c>
      <c r="D2979" s="38" t="s">
        <v>32695</v>
      </c>
      <c r="E2979" s="167" t="s">
        <v>32696</v>
      </c>
      <c r="F2979" s="28">
        <v>104.0</v>
      </c>
      <c r="G2979" s="28">
        <v>115.0</v>
      </c>
      <c r="H2979" s="1" t="s">
        <v>28</v>
      </c>
      <c r="I2979" s="19" t="s">
        <v>32697</v>
      </c>
      <c r="J2979" s="19" t="s">
        <v>32698</v>
      </c>
      <c r="K2979" s="19" t="s">
        <v>32698</v>
      </c>
      <c r="L2979" s="19" t="s">
        <v>32699</v>
      </c>
      <c r="M2979" s="1" t="s">
        <v>32700</v>
      </c>
      <c r="N2979" s="38" t="s">
        <v>32701</v>
      </c>
      <c r="O2979" s="109"/>
      <c r="P2979" s="28">
        <v>1.0</v>
      </c>
      <c r="Q2979" s="28">
        <v>80.0</v>
      </c>
    </row>
    <row r="2980">
      <c r="A2980" s="1" t="s">
        <v>120</v>
      </c>
      <c r="B2980" s="166" t="s">
        <v>30802</v>
      </c>
      <c r="C2980" s="39" t="s">
        <v>32702</v>
      </c>
      <c r="D2980" s="38" t="s">
        <v>32703</v>
      </c>
      <c r="E2980" s="167" t="s">
        <v>32704</v>
      </c>
      <c r="F2980" s="28">
        <v>162.0</v>
      </c>
      <c r="G2980" s="28">
        <v>172.0</v>
      </c>
      <c r="H2980" s="1" t="s">
        <v>28</v>
      </c>
      <c r="I2980" s="19" t="s">
        <v>32705</v>
      </c>
      <c r="J2980" s="19" t="s">
        <v>32706</v>
      </c>
      <c r="K2980" s="19" t="s">
        <v>32707</v>
      </c>
      <c r="L2980" s="19" t="s">
        <v>32708</v>
      </c>
      <c r="M2980" s="1" t="s">
        <v>32709</v>
      </c>
      <c r="N2980" s="38" t="s">
        <v>32710</v>
      </c>
      <c r="O2980" s="22">
        <v>0.0</v>
      </c>
      <c r="P2980" s="28">
        <v>0.0</v>
      </c>
      <c r="Q2980" s="28">
        <v>33.0</v>
      </c>
    </row>
    <row r="2981">
      <c r="A2981" s="1" t="s">
        <v>120</v>
      </c>
      <c r="B2981" s="166" t="s">
        <v>30802</v>
      </c>
      <c r="C2981" s="39" t="s">
        <v>32711</v>
      </c>
      <c r="D2981" s="38" t="s">
        <v>32712</v>
      </c>
      <c r="E2981" s="167" t="s">
        <v>32713</v>
      </c>
      <c r="F2981" s="28">
        <v>13.0</v>
      </c>
      <c r="G2981" s="28">
        <v>24.0</v>
      </c>
      <c r="H2981" s="1" t="s">
        <v>28</v>
      </c>
      <c r="I2981" s="19" t="s">
        <v>32714</v>
      </c>
      <c r="J2981" s="19" t="s">
        <v>32715</v>
      </c>
      <c r="K2981" s="19" t="s">
        <v>32715</v>
      </c>
      <c r="L2981" s="19" t="s">
        <v>32716</v>
      </c>
      <c r="M2981" s="1" t="s">
        <v>32717</v>
      </c>
      <c r="N2981" s="38" t="s">
        <v>32718</v>
      </c>
      <c r="O2981" s="109"/>
      <c r="P2981" s="28">
        <v>2.0</v>
      </c>
      <c r="Q2981" s="28">
        <v>52.0</v>
      </c>
    </row>
    <row r="2982">
      <c r="A2982" s="1" t="s">
        <v>120</v>
      </c>
      <c r="B2982" s="166" t="s">
        <v>30802</v>
      </c>
      <c r="C2982" s="41" t="s">
        <v>32719</v>
      </c>
      <c r="D2982" s="38" t="s">
        <v>32720</v>
      </c>
      <c r="E2982" s="167" t="s">
        <v>32721</v>
      </c>
      <c r="F2982" s="28">
        <v>48.0</v>
      </c>
      <c r="G2982" s="28">
        <v>58.0</v>
      </c>
      <c r="H2982" s="1" t="s">
        <v>28</v>
      </c>
      <c r="I2982" s="19" t="s">
        <v>32723</v>
      </c>
      <c r="J2982" s="19" t="s">
        <v>32724</v>
      </c>
      <c r="K2982" s="19" t="s">
        <v>32724</v>
      </c>
      <c r="L2982" s="19" t="s">
        <v>32725</v>
      </c>
      <c r="M2982" s="1" t="s">
        <v>32726</v>
      </c>
      <c r="N2982" s="38" t="s">
        <v>32727</v>
      </c>
      <c r="O2982" s="109"/>
      <c r="P2982" s="28">
        <v>0.0</v>
      </c>
      <c r="Q2982" s="28">
        <v>34.0</v>
      </c>
    </row>
    <row r="2983">
      <c r="A2983" s="1" t="s">
        <v>2137</v>
      </c>
      <c r="B2983" s="160" t="s">
        <v>121</v>
      </c>
      <c r="C2983" s="38" t="s">
        <v>32728</v>
      </c>
      <c r="D2983" s="38" t="s">
        <v>32729</v>
      </c>
      <c r="E2983" s="167" t="s">
        <v>32730</v>
      </c>
      <c r="F2983" s="28">
        <v>759.0</v>
      </c>
      <c r="G2983" s="28">
        <v>768.0</v>
      </c>
      <c r="H2983" s="38" t="s">
        <v>17059</v>
      </c>
      <c r="I2983" s="19" t="s">
        <v>32731</v>
      </c>
      <c r="J2983" s="19" t="s">
        <v>32732</v>
      </c>
      <c r="K2983" s="19" t="s">
        <v>32732</v>
      </c>
      <c r="L2983" s="19" t="s">
        <v>32733</v>
      </c>
      <c r="M2983" s="1" t="s">
        <v>32734</v>
      </c>
      <c r="N2983" s="38" t="s">
        <v>32735</v>
      </c>
      <c r="O2983" s="109"/>
      <c r="P2983" s="28">
        <v>1.0</v>
      </c>
      <c r="Q2983" s="28">
        <v>41.0</v>
      </c>
      <c r="R2983" s="1" t="s">
        <v>19037</v>
      </c>
    </row>
    <row r="2984">
      <c r="A2984" s="1" t="s">
        <v>2137</v>
      </c>
      <c r="B2984" s="160" t="s">
        <v>121</v>
      </c>
      <c r="C2984" s="38" t="s">
        <v>32736</v>
      </c>
      <c r="D2984" s="38" t="s">
        <v>32737</v>
      </c>
      <c r="E2984" s="167" t="s">
        <v>32738</v>
      </c>
      <c r="F2984" s="28">
        <v>861.0</v>
      </c>
      <c r="G2984" s="28">
        <v>871.0</v>
      </c>
      <c r="H2984" s="38" t="s">
        <v>17059</v>
      </c>
      <c r="I2984" s="19" t="s">
        <v>32739</v>
      </c>
      <c r="J2984" s="19" t="s">
        <v>32740</v>
      </c>
      <c r="K2984" s="19" t="s">
        <v>32741</v>
      </c>
      <c r="L2984" s="19" t="s">
        <v>32742</v>
      </c>
      <c r="M2984" s="1" t="s">
        <v>32743</v>
      </c>
      <c r="N2984" s="38" t="s">
        <v>32744</v>
      </c>
      <c r="O2984" s="109"/>
      <c r="P2984" s="28">
        <v>0.0</v>
      </c>
      <c r="Q2984" s="28">
        <v>70.0</v>
      </c>
    </row>
    <row r="2985">
      <c r="A2985" s="1" t="s">
        <v>2137</v>
      </c>
      <c r="B2985" s="160" t="s">
        <v>121</v>
      </c>
      <c r="C2985" s="38" t="s">
        <v>32745</v>
      </c>
      <c r="D2985" s="38" t="s">
        <v>32746</v>
      </c>
      <c r="E2985" s="167" t="s">
        <v>32747</v>
      </c>
      <c r="F2985" s="28">
        <v>903.0</v>
      </c>
      <c r="G2985" s="28">
        <v>913.0</v>
      </c>
      <c r="H2985" s="38" t="s">
        <v>17059</v>
      </c>
      <c r="I2985" s="19" t="s">
        <v>32748</v>
      </c>
      <c r="J2985" s="19" t="s">
        <v>32749</v>
      </c>
      <c r="K2985" s="19" t="s">
        <v>32749</v>
      </c>
      <c r="L2985" s="19" t="s">
        <v>32750</v>
      </c>
      <c r="M2985" s="1" t="s">
        <v>32751</v>
      </c>
      <c r="N2985" s="38" t="s">
        <v>32752</v>
      </c>
      <c r="O2985" s="109"/>
      <c r="P2985" s="28">
        <v>0.0</v>
      </c>
      <c r="Q2985" s="28">
        <v>94.0</v>
      </c>
    </row>
    <row r="2986">
      <c r="A2986" s="1" t="s">
        <v>2137</v>
      </c>
      <c r="B2986" s="160" t="s">
        <v>121</v>
      </c>
      <c r="C2986" s="38" t="s">
        <v>32753</v>
      </c>
      <c r="D2986" s="38" t="s">
        <v>32754</v>
      </c>
      <c r="E2986" s="167" t="s">
        <v>32755</v>
      </c>
      <c r="F2986" s="28">
        <v>769.0</v>
      </c>
      <c r="G2986" s="28">
        <v>778.0</v>
      </c>
      <c r="H2986" s="38" t="s">
        <v>17059</v>
      </c>
      <c r="I2986" s="19" t="s">
        <v>32756</v>
      </c>
      <c r="J2986" s="19" t="s">
        <v>32757</v>
      </c>
      <c r="K2986" s="19" t="s">
        <v>32757</v>
      </c>
      <c r="L2986" s="19" t="s">
        <v>32758</v>
      </c>
      <c r="M2986" s="1" t="s">
        <v>32759</v>
      </c>
      <c r="N2986" s="38" t="s">
        <v>32760</v>
      </c>
      <c r="O2986" s="109"/>
      <c r="P2986" s="28">
        <v>0.0</v>
      </c>
      <c r="Q2986" s="28">
        <v>44.0</v>
      </c>
    </row>
    <row r="2987">
      <c r="A2987" s="1" t="s">
        <v>2137</v>
      </c>
      <c r="B2987" s="160" t="s">
        <v>121</v>
      </c>
      <c r="C2987" s="38" t="s">
        <v>32761</v>
      </c>
      <c r="D2987" s="38" t="s">
        <v>32762</v>
      </c>
      <c r="E2987" s="167" t="s">
        <v>32763</v>
      </c>
      <c r="F2987" s="28">
        <v>682.0</v>
      </c>
      <c r="G2987" s="28">
        <v>692.0</v>
      </c>
      <c r="H2987" s="38" t="s">
        <v>17059</v>
      </c>
      <c r="I2987" s="19" t="s">
        <v>32764</v>
      </c>
      <c r="J2987" s="19" t="s">
        <v>32765</v>
      </c>
      <c r="K2987" s="19" t="s">
        <v>32765</v>
      </c>
      <c r="L2987" s="19" t="s">
        <v>32766</v>
      </c>
      <c r="M2987" s="1" t="s">
        <v>32767</v>
      </c>
      <c r="N2987" s="38" t="s">
        <v>32768</v>
      </c>
      <c r="O2987" s="109"/>
      <c r="P2987" s="28">
        <v>0.0</v>
      </c>
      <c r="Q2987" s="28">
        <v>66.0</v>
      </c>
    </row>
    <row r="2988">
      <c r="A2988" s="1" t="s">
        <v>2137</v>
      </c>
      <c r="B2988" s="160" t="s">
        <v>121</v>
      </c>
      <c r="C2988" s="38" t="s">
        <v>32769</v>
      </c>
      <c r="D2988" s="38" t="s">
        <v>32770</v>
      </c>
      <c r="E2988" s="167" t="s">
        <v>32771</v>
      </c>
      <c r="F2988" s="28">
        <v>830.0</v>
      </c>
      <c r="G2988" s="28">
        <v>839.0</v>
      </c>
      <c r="H2988" s="38" t="s">
        <v>17059</v>
      </c>
      <c r="I2988" s="19" t="s">
        <v>32772</v>
      </c>
      <c r="J2988" s="19" t="s">
        <v>32773</v>
      </c>
      <c r="K2988" s="19" t="s">
        <v>32774</v>
      </c>
      <c r="L2988" s="19" t="s">
        <v>32775</v>
      </c>
      <c r="M2988" s="1" t="s">
        <v>32776</v>
      </c>
      <c r="N2988" s="38" t="s">
        <v>32777</v>
      </c>
      <c r="O2988" s="109"/>
      <c r="P2988" s="28">
        <v>0.0</v>
      </c>
      <c r="Q2988" s="28">
        <v>51.0</v>
      </c>
    </row>
    <row r="2989">
      <c r="A2989" s="1" t="s">
        <v>2137</v>
      </c>
      <c r="B2989" s="160" t="s">
        <v>121</v>
      </c>
      <c r="C2989" s="38" t="s">
        <v>32778</v>
      </c>
      <c r="D2989" s="38" t="s">
        <v>32779</v>
      </c>
      <c r="E2989" s="167" t="s">
        <v>32780</v>
      </c>
      <c r="F2989" s="28">
        <v>892.0</v>
      </c>
      <c r="G2989" s="28">
        <v>902.0</v>
      </c>
      <c r="H2989" s="38" t="s">
        <v>17059</v>
      </c>
      <c r="I2989" s="19" t="s">
        <v>32781</v>
      </c>
      <c r="J2989" s="19" t="s">
        <v>32782</v>
      </c>
      <c r="K2989" s="19" t="s">
        <v>32782</v>
      </c>
      <c r="L2989" s="19" t="s">
        <v>32783</v>
      </c>
      <c r="M2989" s="1" t="s">
        <v>32784</v>
      </c>
      <c r="N2989" s="38" t="s">
        <v>32785</v>
      </c>
      <c r="O2989" s="109"/>
      <c r="P2989" s="28">
        <v>0.0</v>
      </c>
      <c r="Q2989" s="28">
        <v>66.0</v>
      </c>
    </row>
    <row r="2990">
      <c r="A2990" s="1" t="s">
        <v>2137</v>
      </c>
      <c r="B2990" s="160" t="s">
        <v>121</v>
      </c>
      <c r="C2990" s="38" t="s">
        <v>32786</v>
      </c>
      <c r="D2990" s="38" t="s">
        <v>32787</v>
      </c>
      <c r="E2990" s="167" t="s">
        <v>32788</v>
      </c>
      <c r="F2990" s="28">
        <v>566.0</v>
      </c>
      <c r="G2990" s="28">
        <v>575.0</v>
      </c>
      <c r="H2990" s="38" t="s">
        <v>17059</v>
      </c>
      <c r="I2990" s="19" t="s">
        <v>32792</v>
      </c>
      <c r="J2990" s="19" t="s">
        <v>32793</v>
      </c>
      <c r="K2990" s="19" t="s">
        <v>32793</v>
      </c>
      <c r="L2990" s="19" t="s">
        <v>32794</v>
      </c>
      <c r="M2990" s="1" t="s">
        <v>32795</v>
      </c>
      <c r="N2990" s="38" t="s">
        <v>32796</v>
      </c>
      <c r="O2990" s="109"/>
      <c r="P2990" s="28">
        <v>0.0</v>
      </c>
      <c r="Q2990" s="28">
        <v>56.0</v>
      </c>
    </row>
    <row r="2991">
      <c r="A2991" s="1" t="s">
        <v>2137</v>
      </c>
      <c r="B2991" s="160" t="s">
        <v>121</v>
      </c>
      <c r="C2991" s="38" t="s">
        <v>32797</v>
      </c>
      <c r="D2991" s="38" t="s">
        <v>32798</v>
      </c>
      <c r="E2991" s="167" t="s">
        <v>32799</v>
      </c>
      <c r="F2991" s="28">
        <v>820.0</v>
      </c>
      <c r="G2991" s="28">
        <v>829.0</v>
      </c>
      <c r="H2991" s="38" t="s">
        <v>17059</v>
      </c>
      <c r="I2991" s="19" t="s">
        <v>32800</v>
      </c>
      <c r="J2991" s="19" t="s">
        <v>32801</v>
      </c>
      <c r="K2991" s="19" t="s">
        <v>32801</v>
      </c>
      <c r="L2991" s="19" t="s">
        <v>32802</v>
      </c>
      <c r="M2991" s="1" t="s">
        <v>32803</v>
      </c>
      <c r="N2991" s="38" t="s">
        <v>32804</v>
      </c>
      <c r="O2991" s="109"/>
      <c r="P2991" s="28">
        <v>0.0</v>
      </c>
      <c r="Q2991" s="28">
        <v>50.0</v>
      </c>
    </row>
    <row r="2992">
      <c r="A2992" s="1" t="s">
        <v>2137</v>
      </c>
      <c r="B2992" s="160" t="s">
        <v>121</v>
      </c>
      <c r="C2992" s="38" t="s">
        <v>32805</v>
      </c>
      <c r="D2992" s="38" t="s">
        <v>32806</v>
      </c>
      <c r="E2992" s="167" t="s">
        <v>32807</v>
      </c>
      <c r="F2992" s="28">
        <v>925.0</v>
      </c>
      <c r="G2992" s="28">
        <v>935.0</v>
      </c>
      <c r="H2992" s="38" t="s">
        <v>17059</v>
      </c>
      <c r="I2992" s="19" t="s">
        <v>32808</v>
      </c>
      <c r="J2992" s="19" t="s">
        <v>32809</v>
      </c>
      <c r="K2992" s="19" t="s">
        <v>32810</v>
      </c>
      <c r="L2992" s="19" t="s">
        <v>32811</v>
      </c>
      <c r="M2992" s="1" t="s">
        <v>32812</v>
      </c>
      <c r="N2992" s="38" t="s">
        <v>32813</v>
      </c>
      <c r="O2992" s="109"/>
      <c r="P2992" s="28">
        <v>1.0</v>
      </c>
      <c r="Q2992" s="28">
        <v>75.0</v>
      </c>
    </row>
    <row r="2993">
      <c r="A2993" s="1" t="s">
        <v>2137</v>
      </c>
      <c r="B2993" s="160" t="s">
        <v>121</v>
      </c>
      <c r="C2993" s="38" t="s">
        <v>32814</v>
      </c>
      <c r="D2993" s="38" t="s">
        <v>32815</v>
      </c>
      <c r="E2993" s="167" t="s">
        <v>32816</v>
      </c>
      <c r="F2993" s="28">
        <v>914.0</v>
      </c>
      <c r="G2993" s="28">
        <v>924.0</v>
      </c>
      <c r="H2993" s="38" t="s">
        <v>17059</v>
      </c>
      <c r="I2993" s="19" t="s">
        <v>32817</v>
      </c>
      <c r="J2993" s="19" t="s">
        <v>32818</v>
      </c>
      <c r="K2993" s="19" t="s">
        <v>32818</v>
      </c>
      <c r="L2993" s="19" t="s">
        <v>32819</v>
      </c>
      <c r="M2993" s="1" t="s">
        <v>32820</v>
      </c>
      <c r="N2993" s="38" t="s">
        <v>32821</v>
      </c>
      <c r="O2993" s="109"/>
      <c r="P2993" s="28">
        <v>0.0</v>
      </c>
      <c r="Q2993" s="28">
        <v>57.0</v>
      </c>
    </row>
    <row r="2994">
      <c r="A2994" s="1" t="s">
        <v>2137</v>
      </c>
      <c r="B2994" s="160" t="s">
        <v>121</v>
      </c>
      <c r="C2994" s="38" t="s">
        <v>32822</v>
      </c>
      <c r="D2994" s="38" t="s">
        <v>32823</v>
      </c>
      <c r="E2994" s="167" t="s">
        <v>32824</v>
      </c>
      <c r="F2994" s="28">
        <v>800.0</v>
      </c>
      <c r="G2994" s="28">
        <v>809.0</v>
      </c>
      <c r="H2994" s="38" t="s">
        <v>17059</v>
      </c>
      <c r="I2994" s="19" t="s">
        <v>32825</v>
      </c>
      <c r="J2994" s="19" t="s">
        <v>32826</v>
      </c>
      <c r="K2994" s="19" t="s">
        <v>32826</v>
      </c>
      <c r="L2994" s="19" t="s">
        <v>32827</v>
      </c>
      <c r="M2994" s="1" t="s">
        <v>32828</v>
      </c>
      <c r="N2994" s="38" t="s">
        <v>32829</v>
      </c>
      <c r="O2994" s="109"/>
      <c r="P2994" s="28">
        <v>0.0</v>
      </c>
      <c r="Q2994" s="28">
        <v>48.0</v>
      </c>
    </row>
    <row r="2995">
      <c r="A2995" s="1" t="s">
        <v>2137</v>
      </c>
      <c r="B2995" s="160" t="s">
        <v>121</v>
      </c>
      <c r="C2995" s="38" t="s">
        <v>32830</v>
      </c>
      <c r="D2995" s="38" t="s">
        <v>32831</v>
      </c>
      <c r="E2995" s="167" t="s">
        <v>32832</v>
      </c>
      <c r="F2995" s="28">
        <v>512.0</v>
      </c>
      <c r="G2995" s="28">
        <v>522.0</v>
      </c>
      <c r="H2995" s="38" t="s">
        <v>17059</v>
      </c>
      <c r="I2995" s="19" t="s">
        <v>32833</v>
      </c>
      <c r="J2995" s="19" t="s">
        <v>32834</v>
      </c>
      <c r="K2995" s="19" t="s">
        <v>32834</v>
      </c>
      <c r="L2995" s="19" t="s">
        <v>32835</v>
      </c>
      <c r="M2995" s="1" t="s">
        <v>32836</v>
      </c>
      <c r="N2995" s="38" t="s">
        <v>32837</v>
      </c>
      <c r="O2995" s="109"/>
      <c r="P2995" s="28">
        <v>0.0</v>
      </c>
      <c r="Q2995" s="28">
        <v>60.0</v>
      </c>
    </row>
    <row r="2996">
      <c r="A2996" s="1" t="s">
        <v>2137</v>
      </c>
      <c r="B2996" s="160" t="s">
        <v>121</v>
      </c>
      <c r="C2996" s="38" t="s">
        <v>32838</v>
      </c>
      <c r="D2996" s="38" t="s">
        <v>32839</v>
      </c>
      <c r="E2996" s="167" t="s">
        <v>32840</v>
      </c>
      <c r="F2996" s="28">
        <v>523.0</v>
      </c>
      <c r="G2996" s="28">
        <v>533.0</v>
      </c>
      <c r="H2996" s="38" t="s">
        <v>17059</v>
      </c>
      <c r="I2996" s="19" t="s">
        <v>32841</v>
      </c>
      <c r="J2996" s="19" t="s">
        <v>32842</v>
      </c>
      <c r="K2996" s="19" t="s">
        <v>32842</v>
      </c>
      <c r="L2996" s="19" t="s">
        <v>32843</v>
      </c>
      <c r="M2996" s="1" t="s">
        <v>32844</v>
      </c>
      <c r="N2996" s="38" t="s">
        <v>32845</v>
      </c>
      <c r="O2996" s="109"/>
      <c r="P2996" s="28">
        <v>0.0</v>
      </c>
      <c r="Q2996" s="28">
        <v>70.0</v>
      </c>
    </row>
    <row r="2997">
      <c r="A2997" s="1" t="s">
        <v>2137</v>
      </c>
      <c r="B2997" s="160" t="s">
        <v>121</v>
      </c>
      <c r="C2997" s="38" t="s">
        <v>32846</v>
      </c>
      <c r="D2997" s="38" t="s">
        <v>32847</v>
      </c>
      <c r="E2997" s="167" t="s">
        <v>32848</v>
      </c>
      <c r="F2997" s="28">
        <v>501.0</v>
      </c>
      <c r="G2997" s="28">
        <v>511.0</v>
      </c>
      <c r="H2997" s="38" t="s">
        <v>17059</v>
      </c>
      <c r="I2997" s="19" t="s">
        <v>32851</v>
      </c>
      <c r="J2997" s="19" t="s">
        <v>32852</v>
      </c>
      <c r="K2997" s="19" t="s">
        <v>32853</v>
      </c>
      <c r="L2997" s="19" t="s">
        <v>32854</v>
      </c>
      <c r="M2997" s="1" t="s">
        <v>32855</v>
      </c>
      <c r="N2997" s="38" t="s">
        <v>32856</v>
      </c>
      <c r="O2997" s="109"/>
      <c r="P2997" s="28">
        <v>0.0</v>
      </c>
      <c r="Q2997" s="28">
        <v>46.0</v>
      </c>
    </row>
    <row r="2998">
      <c r="A2998" s="1" t="s">
        <v>2137</v>
      </c>
      <c r="B2998" s="160" t="s">
        <v>121</v>
      </c>
      <c r="C2998" s="38" t="s">
        <v>32857</v>
      </c>
      <c r="D2998" s="38" t="s">
        <v>32858</v>
      </c>
      <c r="E2998" s="167" t="s">
        <v>32859</v>
      </c>
      <c r="F2998" s="28">
        <v>449.0</v>
      </c>
      <c r="G2998" s="28">
        <v>458.0</v>
      </c>
      <c r="H2998" s="38" t="s">
        <v>17059</v>
      </c>
      <c r="I2998" s="19" t="s">
        <v>32863</v>
      </c>
      <c r="J2998" s="19" t="s">
        <v>32865</v>
      </c>
      <c r="K2998" s="19" t="s">
        <v>32865</v>
      </c>
      <c r="L2998" s="19" t="s">
        <v>32866</v>
      </c>
      <c r="M2998" s="1" t="s">
        <v>32867</v>
      </c>
      <c r="N2998" s="38" t="s">
        <v>32868</v>
      </c>
      <c r="O2998" s="109"/>
      <c r="P2998" s="28">
        <v>0.0</v>
      </c>
      <c r="Q2998" s="28">
        <v>30.0</v>
      </c>
    </row>
    <row r="2999">
      <c r="A2999" s="1" t="s">
        <v>2137</v>
      </c>
      <c r="B2999" s="160" t="s">
        <v>121</v>
      </c>
      <c r="C2999" s="38" t="s">
        <v>32870</v>
      </c>
      <c r="D2999" s="38" t="s">
        <v>32871</v>
      </c>
      <c r="E2999" s="167" t="s">
        <v>32872</v>
      </c>
      <c r="F2999" s="28">
        <v>661.0</v>
      </c>
      <c r="G2999" s="28">
        <v>671.0</v>
      </c>
      <c r="H2999" s="38" t="s">
        <v>17059</v>
      </c>
      <c r="I2999" s="19" t="s">
        <v>32875</v>
      </c>
      <c r="J2999" s="19" t="s">
        <v>32876</v>
      </c>
      <c r="K2999" s="19" t="s">
        <v>32876</v>
      </c>
      <c r="L2999" s="19" t="s">
        <v>32877</v>
      </c>
      <c r="M2999" s="1" t="s">
        <v>32878</v>
      </c>
      <c r="N2999" s="38" t="s">
        <v>32879</v>
      </c>
      <c r="O2999" s="109"/>
      <c r="P2999" s="28">
        <v>0.0</v>
      </c>
      <c r="Q2999" s="28">
        <v>66.0</v>
      </c>
    </row>
    <row r="3000">
      <c r="A3000" s="1" t="s">
        <v>2137</v>
      </c>
      <c r="B3000" s="160" t="s">
        <v>121</v>
      </c>
      <c r="C3000" s="38" t="s">
        <v>32880</v>
      </c>
      <c r="D3000" s="38" t="s">
        <v>32881</v>
      </c>
      <c r="E3000" s="167" t="s">
        <v>32882</v>
      </c>
      <c r="F3000" s="28">
        <v>459.0</v>
      </c>
      <c r="G3000" s="28">
        <v>469.0</v>
      </c>
      <c r="H3000" s="38" t="s">
        <v>17059</v>
      </c>
      <c r="I3000" s="19" t="s">
        <v>32885</v>
      </c>
      <c r="J3000" s="19" t="s">
        <v>32886</v>
      </c>
      <c r="K3000" s="19" t="s">
        <v>32886</v>
      </c>
      <c r="L3000" s="19" t="s">
        <v>32887</v>
      </c>
      <c r="M3000" s="1" t="s">
        <v>32888</v>
      </c>
      <c r="N3000" s="38" t="s">
        <v>32890</v>
      </c>
      <c r="O3000" s="109"/>
      <c r="P3000" s="28">
        <v>1.0</v>
      </c>
      <c r="Q3000" s="28">
        <v>60.0</v>
      </c>
    </row>
    <row r="3001">
      <c r="A3001" s="1" t="s">
        <v>2137</v>
      </c>
      <c r="B3001" s="160" t="s">
        <v>121</v>
      </c>
      <c r="C3001" s="38" t="s">
        <v>32892</v>
      </c>
      <c r="D3001" s="38" t="s">
        <v>32893</v>
      </c>
      <c r="E3001" s="167" t="s">
        <v>32894</v>
      </c>
      <c r="F3001" s="28">
        <v>641.0</v>
      </c>
      <c r="G3001" s="28">
        <v>650.0</v>
      </c>
      <c r="H3001" s="38" t="s">
        <v>17059</v>
      </c>
      <c r="I3001" s="19" t="s">
        <v>32898</v>
      </c>
      <c r="J3001" s="19" t="s">
        <v>32899</v>
      </c>
      <c r="K3001" s="19" t="s">
        <v>32899</v>
      </c>
      <c r="L3001" s="19" t="s">
        <v>32900</v>
      </c>
      <c r="M3001" s="1" t="s">
        <v>32901</v>
      </c>
      <c r="N3001" s="38" t="s">
        <v>32902</v>
      </c>
      <c r="O3001" s="109"/>
      <c r="P3001" s="28">
        <v>0.0</v>
      </c>
      <c r="Q3001" s="28">
        <v>50.0</v>
      </c>
    </row>
    <row r="3002">
      <c r="A3002" s="1" t="s">
        <v>2137</v>
      </c>
      <c r="B3002" s="160" t="s">
        <v>121</v>
      </c>
      <c r="C3002" s="38" t="s">
        <v>32903</v>
      </c>
      <c r="D3002" s="38" t="s">
        <v>32904</v>
      </c>
      <c r="E3002" s="167" t="s">
        <v>32905</v>
      </c>
      <c r="F3002" s="28">
        <v>555.0</v>
      </c>
      <c r="G3002" s="28">
        <v>565.0</v>
      </c>
      <c r="H3002" s="38" t="s">
        <v>17059</v>
      </c>
      <c r="I3002" s="19" t="s">
        <v>32909</v>
      </c>
      <c r="J3002" s="19" t="s">
        <v>32910</v>
      </c>
      <c r="K3002" s="19" t="s">
        <v>32911</v>
      </c>
      <c r="L3002" s="19" t="s">
        <v>32912</v>
      </c>
      <c r="M3002" s="1" t="s">
        <v>32913</v>
      </c>
      <c r="N3002" s="38" t="s">
        <v>32914</v>
      </c>
      <c r="O3002" s="109"/>
      <c r="P3002" s="28">
        <v>0.0</v>
      </c>
      <c r="Q3002" s="28">
        <v>80.0</v>
      </c>
    </row>
    <row r="3003">
      <c r="A3003" s="1" t="s">
        <v>2137</v>
      </c>
      <c r="B3003" s="160" t="s">
        <v>121</v>
      </c>
      <c r="C3003" s="38" t="s">
        <v>32915</v>
      </c>
      <c r="D3003" s="38" t="s">
        <v>32916</v>
      </c>
      <c r="E3003" s="167" t="s">
        <v>32917</v>
      </c>
      <c r="F3003" s="28">
        <v>470.0</v>
      </c>
      <c r="G3003" s="28">
        <v>480.0</v>
      </c>
      <c r="H3003" s="38" t="s">
        <v>17059</v>
      </c>
      <c r="I3003" s="19" t="s">
        <v>32920</v>
      </c>
      <c r="J3003" s="19" t="s">
        <v>32921</v>
      </c>
      <c r="K3003" s="19" t="s">
        <v>32921</v>
      </c>
      <c r="L3003" s="19" t="s">
        <v>32922</v>
      </c>
      <c r="M3003" s="1" t="s">
        <v>32923</v>
      </c>
      <c r="N3003" s="38" t="s">
        <v>32924</v>
      </c>
      <c r="O3003" s="109"/>
      <c r="P3003" s="28">
        <v>0.0</v>
      </c>
      <c r="Q3003" s="28">
        <v>54.0</v>
      </c>
    </row>
    <row r="3004">
      <c r="A3004" s="1" t="s">
        <v>2137</v>
      </c>
      <c r="B3004" s="160" t="s">
        <v>121</v>
      </c>
      <c r="C3004" s="38" t="s">
        <v>32925</v>
      </c>
      <c r="D3004" s="38" t="s">
        <v>32926</v>
      </c>
      <c r="E3004" s="167" t="s">
        <v>32927</v>
      </c>
      <c r="F3004" s="28">
        <v>630.0</v>
      </c>
      <c r="G3004" s="28">
        <v>640.0</v>
      </c>
      <c r="H3004" s="38" t="s">
        <v>17059</v>
      </c>
      <c r="I3004" s="19" t="s">
        <v>32930</v>
      </c>
      <c r="J3004" s="19" t="s">
        <v>32931</v>
      </c>
      <c r="K3004" s="19" t="s">
        <v>32931</v>
      </c>
      <c r="L3004" s="19" t="s">
        <v>32933</v>
      </c>
      <c r="M3004" s="1" t="s">
        <v>32934</v>
      </c>
      <c r="N3004" s="38" t="s">
        <v>32935</v>
      </c>
      <c r="O3004" s="109"/>
      <c r="P3004" s="28">
        <v>0.0</v>
      </c>
      <c r="Q3004" s="28">
        <v>52.0</v>
      </c>
    </row>
    <row r="3005">
      <c r="A3005" s="1" t="s">
        <v>2137</v>
      </c>
      <c r="B3005" s="160" t="s">
        <v>121</v>
      </c>
      <c r="C3005" s="38" t="s">
        <v>32936</v>
      </c>
      <c r="D3005" s="38" t="s">
        <v>32937</v>
      </c>
      <c r="E3005" s="167" t="s">
        <v>32938</v>
      </c>
      <c r="F3005" s="28">
        <v>586.0</v>
      </c>
      <c r="G3005" s="28">
        <v>596.0</v>
      </c>
      <c r="H3005" s="38" t="s">
        <v>17059</v>
      </c>
      <c r="I3005" s="19" t="s">
        <v>32942</v>
      </c>
      <c r="J3005" s="19" t="s">
        <v>32943</v>
      </c>
      <c r="K3005" s="19" t="s">
        <v>32945</v>
      </c>
      <c r="L3005" s="19" t="s">
        <v>32947</v>
      </c>
      <c r="M3005" s="1" t="s">
        <v>32948</v>
      </c>
      <c r="N3005" s="38" t="s">
        <v>32949</v>
      </c>
      <c r="O3005" s="109"/>
      <c r="P3005" s="28">
        <v>0.0</v>
      </c>
      <c r="Q3005" s="28">
        <v>80.0</v>
      </c>
    </row>
    <row r="3006">
      <c r="A3006" s="1" t="s">
        <v>2137</v>
      </c>
      <c r="B3006" s="160" t="s">
        <v>121</v>
      </c>
      <c r="C3006" s="38" t="s">
        <v>32950</v>
      </c>
      <c r="D3006" s="38" t="s">
        <v>32951</v>
      </c>
      <c r="E3006" s="167" t="s">
        <v>32952</v>
      </c>
      <c r="F3006" s="28">
        <v>672.0</v>
      </c>
      <c r="G3006" s="28">
        <v>681.0</v>
      </c>
      <c r="H3006" s="38" t="s">
        <v>17059</v>
      </c>
      <c r="I3006" s="19" t="s">
        <v>32955</v>
      </c>
      <c r="J3006" s="19" t="s">
        <v>32956</v>
      </c>
      <c r="K3006" s="19" t="s">
        <v>32957</v>
      </c>
      <c r="L3006" s="19" t="s">
        <v>32958</v>
      </c>
      <c r="M3006" s="1" t="s">
        <v>32959</v>
      </c>
      <c r="N3006" s="38" t="s">
        <v>32960</v>
      </c>
      <c r="O3006" s="109"/>
      <c r="P3006" s="28">
        <v>0.0</v>
      </c>
      <c r="Q3006" s="28">
        <v>50.0</v>
      </c>
    </row>
    <row r="3007">
      <c r="A3007" s="1" t="s">
        <v>2137</v>
      </c>
      <c r="B3007" s="160" t="s">
        <v>121</v>
      </c>
      <c r="C3007" s="38" t="s">
        <v>32961</v>
      </c>
      <c r="D3007" s="38" t="s">
        <v>32962</v>
      </c>
      <c r="E3007" s="167" t="s">
        <v>32963</v>
      </c>
      <c r="F3007" s="28">
        <v>491.0</v>
      </c>
      <c r="G3007" s="28">
        <v>500.0</v>
      </c>
      <c r="H3007" s="38" t="s">
        <v>17059</v>
      </c>
      <c r="I3007" s="19" t="s">
        <v>32967</v>
      </c>
      <c r="J3007" s="19" t="s">
        <v>32968</v>
      </c>
      <c r="K3007" s="19" t="s">
        <v>32969</v>
      </c>
      <c r="L3007" s="19" t="s">
        <v>32970</v>
      </c>
      <c r="M3007" s="1" t="s">
        <v>32971</v>
      </c>
      <c r="N3007" s="38" t="s">
        <v>32972</v>
      </c>
      <c r="O3007" s="109"/>
      <c r="P3007" s="28">
        <v>0.0</v>
      </c>
      <c r="Q3007" s="28">
        <v>35.0</v>
      </c>
    </row>
    <row r="3008">
      <c r="A3008" s="1" t="s">
        <v>2137</v>
      </c>
      <c r="B3008" s="160" t="s">
        <v>121</v>
      </c>
      <c r="C3008" s="38" t="s">
        <v>32973</v>
      </c>
      <c r="D3008" s="38" t="s">
        <v>32974</v>
      </c>
      <c r="E3008" s="167" t="s">
        <v>32975</v>
      </c>
      <c r="F3008" s="28">
        <v>810.0</v>
      </c>
      <c r="G3008" s="28">
        <v>819.0</v>
      </c>
      <c r="H3008" s="38" t="s">
        <v>17059</v>
      </c>
      <c r="I3008" s="19" t="s">
        <v>32979</v>
      </c>
      <c r="J3008" s="19" t="s">
        <v>32980</v>
      </c>
      <c r="K3008" s="19" t="s">
        <v>32981</v>
      </c>
      <c r="L3008" s="19" t="s">
        <v>32982</v>
      </c>
      <c r="M3008" s="1" t="s">
        <v>32983</v>
      </c>
      <c r="N3008" s="38" t="s">
        <v>32984</v>
      </c>
      <c r="O3008" s="109"/>
      <c r="P3008" s="28">
        <v>0.0</v>
      </c>
      <c r="Q3008" s="28">
        <v>49.0</v>
      </c>
      <c r="R3008" s="1" t="s">
        <v>19037</v>
      </c>
    </row>
    <row r="3009">
      <c r="A3009" s="1" t="s">
        <v>2137</v>
      </c>
      <c r="B3009" s="160" t="s">
        <v>121</v>
      </c>
      <c r="C3009" s="38" t="s">
        <v>32985</v>
      </c>
      <c r="D3009" s="38" t="s">
        <v>32986</v>
      </c>
      <c r="E3009" s="167" t="s">
        <v>32987</v>
      </c>
      <c r="F3009" s="28">
        <v>544.0</v>
      </c>
      <c r="G3009" s="28">
        <v>554.0</v>
      </c>
      <c r="H3009" s="38" t="s">
        <v>17059</v>
      </c>
      <c r="I3009" s="19" t="s">
        <v>32990</v>
      </c>
      <c r="J3009" s="19" t="s">
        <v>32991</v>
      </c>
      <c r="K3009" s="19" t="s">
        <v>32991</v>
      </c>
      <c r="L3009" s="19" t="s">
        <v>32993</v>
      </c>
      <c r="M3009" s="1" t="s">
        <v>33144</v>
      </c>
      <c r="N3009" s="38" t="s">
        <v>33145</v>
      </c>
      <c r="O3009" s="109"/>
      <c r="P3009" s="28">
        <v>0.0</v>
      </c>
      <c r="Q3009" s="28">
        <v>52.0</v>
      </c>
    </row>
    <row r="3010">
      <c r="A3010" s="1" t="s">
        <v>2137</v>
      </c>
      <c r="B3010" s="160" t="s">
        <v>121</v>
      </c>
      <c r="C3010" s="38" t="s">
        <v>33150</v>
      </c>
      <c r="D3010" s="38" t="s">
        <v>33151</v>
      </c>
      <c r="E3010" s="167" t="s">
        <v>33152</v>
      </c>
      <c r="F3010" s="28">
        <v>576.0</v>
      </c>
      <c r="G3010" s="28">
        <v>585.0</v>
      </c>
      <c r="H3010" s="38" t="s">
        <v>17059</v>
      </c>
      <c r="I3010" s="19" t="s">
        <v>33156</v>
      </c>
      <c r="J3010" s="19" t="s">
        <v>33157</v>
      </c>
      <c r="K3010" s="19" t="s">
        <v>33157</v>
      </c>
      <c r="L3010" s="19" t="s">
        <v>21430</v>
      </c>
      <c r="M3010" s="1" t="s">
        <v>33158</v>
      </c>
      <c r="N3010" s="38" t="s">
        <v>33159</v>
      </c>
      <c r="O3010" s="109"/>
      <c r="P3010" s="28">
        <v>0.0</v>
      </c>
      <c r="Q3010" s="28">
        <v>46.0</v>
      </c>
    </row>
    <row r="3011">
      <c r="A3011" s="1" t="s">
        <v>2137</v>
      </c>
      <c r="B3011" s="160" t="s">
        <v>121</v>
      </c>
      <c r="C3011" s="38" t="s">
        <v>33160</v>
      </c>
      <c r="D3011" s="38" t="s">
        <v>33161</v>
      </c>
      <c r="E3011" s="167" t="s">
        <v>33162</v>
      </c>
      <c r="F3011" s="28">
        <v>715.0</v>
      </c>
      <c r="G3011" s="28">
        <v>725.0</v>
      </c>
      <c r="H3011" s="38" t="s">
        <v>17059</v>
      </c>
      <c r="I3011" s="19" t="s">
        <v>33167</v>
      </c>
      <c r="J3011" s="19" t="s">
        <v>33169</v>
      </c>
      <c r="K3011" s="19" t="s">
        <v>33169</v>
      </c>
      <c r="L3011" s="19" t="s">
        <v>33170</v>
      </c>
      <c r="M3011" s="1" t="s">
        <v>33171</v>
      </c>
      <c r="N3011" s="38" t="s">
        <v>33173</v>
      </c>
      <c r="O3011" s="109"/>
      <c r="P3011" s="28">
        <v>0.0</v>
      </c>
      <c r="Q3011" s="28">
        <v>72.0</v>
      </c>
    </row>
    <row r="3012">
      <c r="A3012" s="1" t="s">
        <v>2137</v>
      </c>
      <c r="B3012" s="160" t="s">
        <v>121</v>
      </c>
      <c r="C3012" s="38" t="s">
        <v>33174</v>
      </c>
      <c r="D3012" s="38" t="s">
        <v>33175</v>
      </c>
      <c r="E3012" s="167" t="s">
        <v>33176</v>
      </c>
      <c r="F3012" s="28">
        <v>789.0</v>
      </c>
      <c r="G3012" s="28">
        <v>799.0</v>
      </c>
      <c r="H3012" s="38" t="s">
        <v>17059</v>
      </c>
      <c r="I3012" s="19" t="s">
        <v>33182</v>
      </c>
      <c r="J3012" s="19" t="s">
        <v>33183</v>
      </c>
      <c r="K3012" s="19" t="s">
        <v>33183</v>
      </c>
      <c r="L3012" s="19" t="s">
        <v>33184</v>
      </c>
      <c r="M3012" s="1" t="s">
        <v>33185</v>
      </c>
      <c r="N3012" s="38" t="s">
        <v>33186</v>
      </c>
      <c r="O3012" s="109"/>
      <c r="P3012" s="28">
        <v>0.0</v>
      </c>
      <c r="Q3012" s="28">
        <v>68.0</v>
      </c>
      <c r="R3012" s="1" t="s">
        <v>19037</v>
      </c>
    </row>
    <row r="3013">
      <c r="A3013" s="1" t="s">
        <v>2137</v>
      </c>
      <c r="B3013" s="160" t="s">
        <v>121</v>
      </c>
      <c r="C3013" s="38" t="s">
        <v>33187</v>
      </c>
      <c r="D3013" s="38" t="s">
        <v>33188</v>
      </c>
      <c r="E3013" s="167" t="s">
        <v>33189</v>
      </c>
      <c r="F3013" s="28">
        <v>737.0</v>
      </c>
      <c r="G3013" s="28">
        <v>747.0</v>
      </c>
      <c r="H3013" s="38" t="s">
        <v>17059</v>
      </c>
      <c r="I3013" s="19" t="s">
        <v>33196</v>
      </c>
      <c r="J3013" s="19" t="s">
        <v>33197</v>
      </c>
      <c r="K3013" s="19" t="s">
        <v>33197</v>
      </c>
      <c r="L3013" s="19" t="s">
        <v>33198</v>
      </c>
      <c r="M3013" s="1" t="s">
        <v>33199</v>
      </c>
      <c r="N3013" s="38" t="s">
        <v>33200</v>
      </c>
      <c r="O3013" s="109"/>
      <c r="P3013" s="28">
        <v>0.0</v>
      </c>
      <c r="Q3013" s="28">
        <v>92.0</v>
      </c>
    </row>
    <row r="3014">
      <c r="A3014" s="1" t="s">
        <v>2137</v>
      </c>
      <c r="B3014" s="160" t="s">
        <v>121</v>
      </c>
      <c r="C3014" s="38" t="s">
        <v>33202</v>
      </c>
      <c r="D3014" s="38" t="s">
        <v>33203</v>
      </c>
      <c r="E3014" s="167" t="s">
        <v>33205</v>
      </c>
      <c r="F3014" s="28">
        <v>704.0</v>
      </c>
      <c r="G3014" s="28">
        <v>714.0</v>
      </c>
      <c r="H3014" s="38" t="s">
        <v>17059</v>
      </c>
      <c r="I3014" s="19" t="s">
        <v>33210</v>
      </c>
      <c r="J3014" s="19" t="s">
        <v>33211</v>
      </c>
      <c r="K3014" s="19" t="s">
        <v>33211</v>
      </c>
      <c r="L3014" s="19" t="s">
        <v>33213</v>
      </c>
      <c r="M3014" s="1" t="s">
        <v>33214</v>
      </c>
      <c r="N3014" s="38" t="s">
        <v>33215</v>
      </c>
      <c r="O3014" s="109"/>
      <c r="P3014" s="28">
        <v>0.0</v>
      </c>
      <c r="Q3014" s="28">
        <v>58.0</v>
      </c>
    </row>
    <row r="3015">
      <c r="A3015" s="1" t="s">
        <v>2137</v>
      </c>
      <c r="B3015" s="160" t="s">
        <v>121</v>
      </c>
      <c r="C3015" s="38" t="s">
        <v>33216</v>
      </c>
      <c r="D3015" s="38" t="s">
        <v>33217</v>
      </c>
      <c r="E3015" s="167" t="s">
        <v>33218</v>
      </c>
      <c r="F3015" s="28">
        <v>693.0</v>
      </c>
      <c r="G3015" s="28">
        <v>703.0</v>
      </c>
      <c r="H3015" s="38" t="s">
        <v>17059</v>
      </c>
      <c r="I3015" s="19" t="s">
        <v>33224</v>
      </c>
      <c r="J3015" s="19" t="s">
        <v>33225</v>
      </c>
      <c r="K3015" s="19" t="s">
        <v>33225</v>
      </c>
      <c r="L3015" s="19" t="s">
        <v>33226</v>
      </c>
      <c r="M3015" s="1" t="s">
        <v>33227</v>
      </c>
      <c r="N3015" s="38" t="s">
        <v>33228</v>
      </c>
      <c r="O3015" s="109"/>
      <c r="P3015" s="28">
        <v>0.0</v>
      </c>
      <c r="Q3015" s="28">
        <v>67.0</v>
      </c>
    </row>
    <row r="3016">
      <c r="A3016" s="1" t="s">
        <v>2137</v>
      </c>
      <c r="B3016" s="160" t="s">
        <v>121</v>
      </c>
      <c r="C3016" s="38" t="s">
        <v>33230</v>
      </c>
      <c r="D3016" s="38" t="s">
        <v>33232</v>
      </c>
      <c r="E3016" s="167" t="s">
        <v>33233</v>
      </c>
      <c r="F3016" s="28">
        <v>882.0</v>
      </c>
      <c r="G3016" s="28">
        <v>891.0</v>
      </c>
      <c r="H3016" s="38" t="s">
        <v>17059</v>
      </c>
      <c r="I3016" s="19" t="s">
        <v>33236</v>
      </c>
      <c r="J3016" s="19" t="s">
        <v>33237</v>
      </c>
      <c r="K3016" s="19" t="s">
        <v>33238</v>
      </c>
      <c r="L3016" s="19" t="s">
        <v>33239</v>
      </c>
      <c r="M3016" s="1" t="s">
        <v>33240</v>
      </c>
      <c r="N3016" s="38" t="s">
        <v>33241</v>
      </c>
      <c r="O3016" s="109"/>
      <c r="P3016" s="28">
        <v>0.0</v>
      </c>
      <c r="Q3016" s="28">
        <v>32.0</v>
      </c>
    </row>
    <row r="3017">
      <c r="A3017" s="1" t="s">
        <v>2137</v>
      </c>
      <c r="B3017" s="160" t="s">
        <v>121</v>
      </c>
      <c r="C3017" s="38" t="s">
        <v>33243</v>
      </c>
      <c r="D3017" s="38" t="s">
        <v>33244</v>
      </c>
      <c r="E3017" s="167" t="s">
        <v>33245</v>
      </c>
      <c r="F3017" s="28">
        <v>481.0</v>
      </c>
      <c r="G3017" s="28">
        <v>490.0</v>
      </c>
      <c r="H3017" s="38" t="s">
        <v>17059</v>
      </c>
      <c r="I3017" s="19" t="s">
        <v>33249</v>
      </c>
      <c r="J3017" s="19" t="s">
        <v>33250</v>
      </c>
      <c r="K3017" s="19" t="s">
        <v>33252</v>
      </c>
      <c r="L3017" s="19" t="s">
        <v>27286</v>
      </c>
      <c r="M3017" s="1" t="s">
        <v>33254</v>
      </c>
      <c r="N3017" s="38" t="s">
        <v>33255</v>
      </c>
      <c r="O3017" s="109"/>
      <c r="P3017" s="28">
        <v>0.0</v>
      </c>
      <c r="Q3017" s="28">
        <v>52.0</v>
      </c>
    </row>
    <row r="3018">
      <c r="A3018" s="1" t="s">
        <v>2137</v>
      </c>
      <c r="B3018" s="160" t="s">
        <v>121</v>
      </c>
      <c r="C3018" s="38" t="s">
        <v>33256</v>
      </c>
      <c r="D3018" s="38" t="s">
        <v>33257</v>
      </c>
      <c r="E3018" s="167" t="s">
        <v>33258</v>
      </c>
      <c r="F3018" s="28">
        <v>651.0</v>
      </c>
      <c r="G3018" s="28">
        <v>660.0</v>
      </c>
      <c r="H3018" s="38" t="s">
        <v>17059</v>
      </c>
      <c r="I3018" s="19" t="s">
        <v>33263</v>
      </c>
      <c r="J3018" s="19" t="s">
        <v>33264</v>
      </c>
      <c r="K3018" s="19" t="s">
        <v>33264</v>
      </c>
      <c r="L3018" s="19" t="s">
        <v>33265</v>
      </c>
      <c r="M3018" s="1" t="s">
        <v>33266</v>
      </c>
      <c r="N3018" s="38" t="s">
        <v>33267</v>
      </c>
      <c r="O3018" s="109"/>
      <c r="P3018" s="28">
        <v>0.0</v>
      </c>
      <c r="Q3018" s="28">
        <v>40.0</v>
      </c>
    </row>
    <row r="3019">
      <c r="A3019" s="1" t="s">
        <v>2137</v>
      </c>
      <c r="B3019" s="160" t="s">
        <v>121</v>
      </c>
      <c r="C3019" s="38" t="s">
        <v>33268</v>
      </c>
      <c r="D3019" s="38" t="s">
        <v>33269</v>
      </c>
      <c r="E3019" s="167" t="s">
        <v>33270</v>
      </c>
      <c r="F3019" s="28">
        <v>597.0</v>
      </c>
      <c r="G3019" s="28">
        <v>607.0</v>
      </c>
      <c r="H3019" s="38" t="s">
        <v>17059</v>
      </c>
      <c r="I3019" s="19" t="s">
        <v>33274</v>
      </c>
      <c r="J3019" s="19" t="s">
        <v>33275</v>
      </c>
      <c r="K3019" s="19" t="s">
        <v>33275</v>
      </c>
      <c r="L3019" s="19" t="s">
        <v>33276</v>
      </c>
      <c r="M3019" s="1" t="s">
        <v>33279</v>
      </c>
      <c r="N3019" s="38" t="s">
        <v>33280</v>
      </c>
      <c r="O3019" s="109"/>
      <c r="P3019" s="28">
        <v>0.0</v>
      </c>
      <c r="Q3019" s="28">
        <v>73.0</v>
      </c>
    </row>
    <row r="3020">
      <c r="A3020" s="1" t="s">
        <v>2137</v>
      </c>
      <c r="B3020" s="160" t="s">
        <v>121</v>
      </c>
      <c r="C3020" s="38" t="s">
        <v>33282</v>
      </c>
      <c r="D3020" s="38" t="s">
        <v>33283</v>
      </c>
      <c r="E3020" s="167" t="s">
        <v>33284</v>
      </c>
      <c r="F3020" s="28">
        <v>779.0</v>
      </c>
      <c r="G3020" s="28">
        <v>788.0</v>
      </c>
      <c r="H3020" s="38" t="s">
        <v>17059</v>
      </c>
      <c r="I3020" s="19" t="s">
        <v>33290</v>
      </c>
      <c r="J3020" s="19" t="s">
        <v>33291</v>
      </c>
      <c r="K3020" s="19" t="s">
        <v>33291</v>
      </c>
      <c r="L3020" s="19" t="s">
        <v>33293</v>
      </c>
      <c r="M3020" s="1" t="s">
        <v>33294</v>
      </c>
      <c r="N3020" s="38" t="s">
        <v>33295</v>
      </c>
      <c r="O3020" s="109"/>
      <c r="P3020" s="28">
        <v>0.0</v>
      </c>
      <c r="Q3020" s="28">
        <v>42.0</v>
      </c>
    </row>
    <row r="3021">
      <c r="A3021" s="1" t="s">
        <v>2137</v>
      </c>
      <c r="B3021" s="160" t="s">
        <v>121</v>
      </c>
      <c r="C3021" s="38" t="s">
        <v>33296</v>
      </c>
      <c r="D3021" s="38" t="s">
        <v>33298</v>
      </c>
      <c r="E3021" s="167" t="s">
        <v>33299</v>
      </c>
      <c r="F3021" s="28">
        <v>850.0</v>
      </c>
      <c r="G3021" s="28">
        <v>860.0</v>
      </c>
      <c r="H3021" s="38" t="s">
        <v>17059</v>
      </c>
      <c r="I3021" s="19" t="s">
        <v>33306</v>
      </c>
      <c r="J3021" s="19" t="s">
        <v>33308</v>
      </c>
      <c r="K3021" s="19" t="s">
        <v>33308</v>
      </c>
      <c r="L3021" s="19" t="s">
        <v>33309</v>
      </c>
      <c r="M3021" s="1" t="s">
        <v>33310</v>
      </c>
      <c r="N3021" s="38" t="s">
        <v>33311</v>
      </c>
      <c r="O3021" s="109"/>
      <c r="P3021" s="28">
        <v>0.0</v>
      </c>
      <c r="Q3021" s="28">
        <v>98.0</v>
      </c>
    </row>
    <row r="3022">
      <c r="A3022" s="1" t="s">
        <v>2137</v>
      </c>
      <c r="B3022" s="160" t="s">
        <v>121</v>
      </c>
      <c r="C3022" s="38" t="s">
        <v>33313</v>
      </c>
      <c r="D3022" s="38" t="s">
        <v>33314</v>
      </c>
      <c r="E3022" s="167" t="s">
        <v>33315</v>
      </c>
      <c r="F3022" s="28">
        <v>619.0</v>
      </c>
      <c r="G3022" s="28">
        <v>629.0</v>
      </c>
      <c r="H3022" s="38" t="s">
        <v>17059</v>
      </c>
      <c r="I3022" s="19" t="s">
        <v>33319</v>
      </c>
      <c r="J3022" s="19" t="s">
        <v>33321</v>
      </c>
      <c r="K3022" s="19" t="s">
        <v>33321</v>
      </c>
      <c r="L3022" s="19" t="s">
        <v>33322</v>
      </c>
      <c r="M3022" s="1" t="s">
        <v>33323</v>
      </c>
      <c r="N3022" s="38" t="s">
        <v>33324</v>
      </c>
      <c r="O3022" s="109"/>
      <c r="P3022" s="28">
        <v>0.0</v>
      </c>
      <c r="Q3022" s="28">
        <v>54.0</v>
      </c>
    </row>
    <row r="3023">
      <c r="A3023" s="1" t="s">
        <v>2137</v>
      </c>
      <c r="B3023" s="160" t="s">
        <v>121</v>
      </c>
      <c r="C3023" s="38" t="s">
        <v>33327</v>
      </c>
      <c r="D3023" s="38" t="s">
        <v>33328</v>
      </c>
      <c r="E3023" s="167" t="s">
        <v>33329</v>
      </c>
      <c r="F3023" s="28">
        <v>608.0</v>
      </c>
      <c r="G3023" s="28">
        <v>618.0</v>
      </c>
      <c r="H3023" s="38" t="s">
        <v>17059</v>
      </c>
      <c r="I3023" s="19" t="s">
        <v>33334</v>
      </c>
      <c r="J3023" s="19" t="s">
        <v>33335</v>
      </c>
      <c r="K3023" s="19" t="s">
        <v>33335</v>
      </c>
      <c r="L3023" s="19" t="s">
        <v>31041</v>
      </c>
      <c r="M3023" s="1" t="s">
        <v>33336</v>
      </c>
      <c r="N3023" s="38" t="s">
        <v>33337</v>
      </c>
      <c r="O3023" s="109"/>
      <c r="P3023" s="28">
        <v>0.0</v>
      </c>
      <c r="Q3023" s="28">
        <v>79.0</v>
      </c>
    </row>
    <row r="3024">
      <c r="A3024" s="1" t="s">
        <v>2137</v>
      </c>
      <c r="B3024" s="160" t="s">
        <v>121</v>
      </c>
      <c r="C3024" s="38" t="s">
        <v>33339</v>
      </c>
      <c r="D3024" s="38" t="s">
        <v>33340</v>
      </c>
      <c r="E3024" s="167" t="s">
        <v>33342</v>
      </c>
      <c r="F3024" s="28">
        <v>726.0</v>
      </c>
      <c r="G3024" s="28">
        <v>736.0</v>
      </c>
      <c r="H3024" s="38" t="s">
        <v>17059</v>
      </c>
      <c r="I3024" s="19" t="s">
        <v>33347</v>
      </c>
      <c r="J3024" s="19" t="s">
        <v>33348</v>
      </c>
      <c r="K3024" s="19" t="s">
        <v>33348</v>
      </c>
      <c r="L3024" s="19" t="s">
        <v>33349</v>
      </c>
      <c r="M3024" s="1" t="s">
        <v>29236</v>
      </c>
      <c r="N3024" s="38" t="s">
        <v>33351</v>
      </c>
      <c r="O3024" s="109"/>
      <c r="P3024" s="28">
        <v>0.0</v>
      </c>
      <c r="Q3024" s="28">
        <v>104.0</v>
      </c>
    </row>
    <row r="3025">
      <c r="A3025" s="1" t="s">
        <v>2137</v>
      </c>
      <c r="B3025" s="160" t="s">
        <v>121</v>
      </c>
      <c r="C3025" s="38" t="s">
        <v>33352</v>
      </c>
      <c r="D3025" s="38" t="s">
        <v>33353</v>
      </c>
      <c r="E3025" s="167" t="s">
        <v>33355</v>
      </c>
      <c r="F3025" s="28">
        <v>438.0</v>
      </c>
      <c r="G3025" s="28">
        <v>448.0</v>
      </c>
      <c r="H3025" s="38" t="s">
        <v>17059</v>
      </c>
      <c r="I3025" s="19" t="s">
        <v>33361</v>
      </c>
      <c r="J3025" s="19" t="s">
        <v>33362</v>
      </c>
      <c r="K3025" s="19" t="s">
        <v>33362</v>
      </c>
      <c r="L3025" s="19" t="s">
        <v>33363</v>
      </c>
      <c r="M3025" s="1" t="s">
        <v>33364</v>
      </c>
      <c r="N3025" s="38" t="s">
        <v>33365</v>
      </c>
      <c r="O3025" s="109"/>
      <c r="P3025" s="28">
        <v>0.0</v>
      </c>
      <c r="Q3025" s="28">
        <v>67.0</v>
      </c>
      <c r="R3025" s="1" t="s">
        <v>106</v>
      </c>
    </row>
    <row r="3026">
      <c r="A3026" s="1" t="s">
        <v>2137</v>
      </c>
      <c r="B3026" s="160" t="s">
        <v>121</v>
      </c>
      <c r="C3026" s="38" t="s">
        <v>33366</v>
      </c>
      <c r="D3026" s="38" t="s">
        <v>33367</v>
      </c>
      <c r="E3026" s="167" t="s">
        <v>33368</v>
      </c>
      <c r="F3026" s="28">
        <v>748.0</v>
      </c>
      <c r="G3026" s="28">
        <v>758.0</v>
      </c>
      <c r="H3026" s="38" t="s">
        <v>17059</v>
      </c>
      <c r="I3026" s="19" t="s">
        <v>33374</v>
      </c>
      <c r="J3026" s="19" t="s">
        <v>33375</v>
      </c>
      <c r="K3026" s="19" t="s">
        <v>33376</v>
      </c>
      <c r="L3026" s="19" t="s">
        <v>33378</v>
      </c>
      <c r="M3026" s="1" t="s">
        <v>33379</v>
      </c>
      <c r="N3026" s="38" t="s">
        <v>33380</v>
      </c>
      <c r="O3026" s="109"/>
      <c r="P3026" s="28">
        <v>1.0</v>
      </c>
      <c r="Q3026" s="28">
        <v>90.0</v>
      </c>
    </row>
    <row r="3027">
      <c r="A3027" s="1" t="s">
        <v>2137</v>
      </c>
      <c r="B3027" s="160" t="s">
        <v>121</v>
      </c>
      <c r="C3027" s="38" t="s">
        <v>33381</v>
      </c>
      <c r="D3027" s="38" t="s">
        <v>33382</v>
      </c>
      <c r="E3027" s="167" t="s">
        <v>33383</v>
      </c>
      <c r="F3027" s="28">
        <v>872.0</v>
      </c>
      <c r="G3027" s="28">
        <v>881.0</v>
      </c>
      <c r="H3027" s="38" t="s">
        <v>17059</v>
      </c>
      <c r="I3027" s="19" t="s">
        <v>33452</v>
      </c>
      <c r="J3027" s="19" t="s">
        <v>33453</v>
      </c>
      <c r="K3027" s="19" t="s">
        <v>33454</v>
      </c>
      <c r="L3027" s="19" t="s">
        <v>33456</v>
      </c>
      <c r="M3027" s="1" t="s">
        <v>33457</v>
      </c>
      <c r="N3027" s="38" t="s">
        <v>33458</v>
      </c>
      <c r="O3027" s="109"/>
      <c r="P3027" s="28">
        <v>0.0</v>
      </c>
      <c r="Q3027" s="28">
        <v>69.0</v>
      </c>
    </row>
    <row r="3028">
      <c r="A3028" s="1" t="s">
        <v>2137</v>
      </c>
      <c r="B3028" s="160" t="s">
        <v>121</v>
      </c>
      <c r="C3028" s="38" t="s">
        <v>33459</v>
      </c>
      <c r="D3028" s="38" t="s">
        <v>33460</v>
      </c>
      <c r="E3028" s="167" t="s">
        <v>33461</v>
      </c>
      <c r="F3028" s="28">
        <v>534.0</v>
      </c>
      <c r="G3028" s="28">
        <v>543.0</v>
      </c>
      <c r="H3028" s="38" t="s">
        <v>17059</v>
      </c>
      <c r="I3028" s="19" t="s">
        <v>33462</v>
      </c>
      <c r="J3028" s="19" t="s">
        <v>33463</v>
      </c>
      <c r="K3028" s="19" t="s">
        <v>33463</v>
      </c>
      <c r="L3028" s="19" t="s">
        <v>33464</v>
      </c>
      <c r="M3028" s="1" t="s">
        <v>33465</v>
      </c>
      <c r="N3028" s="38" t="s">
        <v>33466</v>
      </c>
      <c r="O3028" s="109"/>
      <c r="P3028" s="28">
        <v>0.0</v>
      </c>
      <c r="Q3028" s="28">
        <v>40.0</v>
      </c>
    </row>
    <row r="3029">
      <c r="A3029" s="1" t="s">
        <v>2137</v>
      </c>
      <c r="B3029" s="160" t="s">
        <v>121</v>
      </c>
      <c r="C3029" s="38" t="s">
        <v>33467</v>
      </c>
      <c r="D3029" s="38" t="s">
        <v>33468</v>
      </c>
      <c r="E3029" s="167" t="s">
        <v>33469</v>
      </c>
      <c r="F3029" s="28">
        <v>840.0</v>
      </c>
      <c r="G3029" s="28">
        <v>849.0</v>
      </c>
      <c r="H3029" s="38" t="s">
        <v>17059</v>
      </c>
      <c r="I3029" s="19" t="s">
        <v>33472</v>
      </c>
      <c r="J3029" s="19" t="s">
        <v>33473</v>
      </c>
      <c r="K3029" s="19" t="s">
        <v>33474</v>
      </c>
      <c r="L3029" s="19" t="s">
        <v>33475</v>
      </c>
      <c r="M3029" s="1" t="s">
        <v>33476</v>
      </c>
      <c r="N3029" s="38" t="s">
        <v>33477</v>
      </c>
      <c r="O3029" s="109"/>
      <c r="P3029" s="28">
        <v>0.0</v>
      </c>
      <c r="Q3029" s="28">
        <v>42.0</v>
      </c>
    </row>
    <row r="3030">
      <c r="A3030" s="1" t="s">
        <v>4153</v>
      </c>
      <c r="B3030" s="160" t="s">
        <v>121</v>
      </c>
      <c r="C3030" s="38" t="s">
        <v>33478</v>
      </c>
      <c r="D3030" s="38" t="s">
        <v>33479</v>
      </c>
      <c r="E3030" s="167" t="s">
        <v>33480</v>
      </c>
      <c r="F3030" s="28">
        <v>1152.0</v>
      </c>
      <c r="G3030" s="28">
        <v>1162.0</v>
      </c>
      <c r="H3030" s="38" t="s">
        <v>17059</v>
      </c>
      <c r="I3030" s="19" t="s">
        <v>33483</v>
      </c>
      <c r="J3030" s="19" t="s">
        <v>33484</v>
      </c>
      <c r="K3030" s="19" t="s">
        <v>33484</v>
      </c>
      <c r="L3030" s="19" t="s">
        <v>33485</v>
      </c>
      <c r="M3030" s="1" t="s">
        <v>33486</v>
      </c>
      <c r="N3030" s="38" t="s">
        <v>33487</v>
      </c>
      <c r="O3030" s="109"/>
      <c r="P3030" s="28">
        <v>0.0</v>
      </c>
      <c r="Q3030" s="28">
        <v>87.0</v>
      </c>
    </row>
    <row r="3031">
      <c r="A3031" s="1" t="s">
        <v>4153</v>
      </c>
      <c r="B3031" s="160" t="s">
        <v>121</v>
      </c>
      <c r="C3031" s="38" t="s">
        <v>33490</v>
      </c>
      <c r="D3031" s="38" t="s">
        <v>33491</v>
      </c>
      <c r="E3031" s="167" t="s">
        <v>33492</v>
      </c>
      <c r="F3031" s="28">
        <v>977.0</v>
      </c>
      <c r="G3031" s="28">
        <v>986.0</v>
      </c>
      <c r="H3031" s="38" t="s">
        <v>17059</v>
      </c>
      <c r="I3031" s="19" t="s">
        <v>33498</v>
      </c>
      <c r="J3031" s="19" t="s">
        <v>33499</v>
      </c>
      <c r="K3031" s="19" t="s">
        <v>33500</v>
      </c>
      <c r="L3031" s="19" t="s">
        <v>33501</v>
      </c>
      <c r="M3031" s="1" t="s">
        <v>33502</v>
      </c>
      <c r="N3031" s="38" t="s">
        <v>33503</v>
      </c>
      <c r="O3031" s="109"/>
      <c r="P3031" s="28">
        <v>0.0</v>
      </c>
      <c r="Q3031" s="28">
        <v>54.0</v>
      </c>
      <c r="R3031" s="1" t="s">
        <v>19037</v>
      </c>
    </row>
    <row r="3032">
      <c r="A3032" s="1" t="s">
        <v>4153</v>
      </c>
      <c r="B3032" s="160" t="s">
        <v>121</v>
      </c>
      <c r="C3032" s="38" t="s">
        <v>33504</v>
      </c>
      <c r="D3032" s="38" t="s">
        <v>33505</v>
      </c>
      <c r="E3032" s="167" t="s">
        <v>33506</v>
      </c>
      <c r="F3032" s="28">
        <v>936.0</v>
      </c>
      <c r="G3032" s="28">
        <v>945.0</v>
      </c>
      <c r="H3032" s="38" t="s">
        <v>17059</v>
      </c>
      <c r="I3032" s="19" t="s">
        <v>33510</v>
      </c>
      <c r="J3032" s="19" t="s">
        <v>33511</v>
      </c>
      <c r="K3032" s="19" t="s">
        <v>33512</v>
      </c>
      <c r="L3032" s="19" t="s">
        <v>33513</v>
      </c>
      <c r="M3032" s="1" t="s">
        <v>33514</v>
      </c>
      <c r="N3032" s="38" t="s">
        <v>33515</v>
      </c>
      <c r="O3032" s="109"/>
      <c r="P3032" s="28">
        <v>0.0</v>
      </c>
      <c r="Q3032" s="28">
        <v>62.0</v>
      </c>
      <c r="R3032" s="1" t="s">
        <v>106</v>
      </c>
    </row>
    <row r="3033">
      <c r="A3033" s="1" t="s">
        <v>4153</v>
      </c>
      <c r="B3033" s="160" t="s">
        <v>121</v>
      </c>
      <c r="C3033" s="38" t="s">
        <v>33516</v>
      </c>
      <c r="D3033" s="38" t="s">
        <v>33517</v>
      </c>
      <c r="E3033" s="167" t="s">
        <v>33518</v>
      </c>
      <c r="F3033" s="28">
        <v>1163.0</v>
      </c>
      <c r="G3033" s="28">
        <v>1172.0</v>
      </c>
      <c r="H3033" s="38" t="s">
        <v>17059</v>
      </c>
      <c r="I3033" s="19" t="s">
        <v>33519</v>
      </c>
      <c r="J3033" s="19" t="s">
        <v>33520</v>
      </c>
      <c r="K3033" s="19" t="s">
        <v>33521</v>
      </c>
      <c r="L3033" s="19" t="s">
        <v>33522</v>
      </c>
      <c r="M3033" s="1" t="s">
        <v>33523</v>
      </c>
      <c r="N3033" s="38" t="s">
        <v>33524</v>
      </c>
      <c r="O3033" s="109"/>
      <c r="P3033" s="28">
        <v>0.0</v>
      </c>
      <c r="Q3033" s="28">
        <v>40.0</v>
      </c>
    </row>
    <row r="3034">
      <c r="A3034" s="1" t="s">
        <v>4153</v>
      </c>
      <c r="B3034" s="160" t="s">
        <v>121</v>
      </c>
      <c r="C3034" s="38" t="s">
        <v>33525</v>
      </c>
      <c r="D3034" s="38" t="s">
        <v>33526</v>
      </c>
      <c r="E3034" s="167" t="s">
        <v>33527</v>
      </c>
      <c r="F3034" s="28">
        <v>1060.0</v>
      </c>
      <c r="G3034" s="28">
        <v>1069.0</v>
      </c>
      <c r="H3034" s="38" t="s">
        <v>17059</v>
      </c>
      <c r="I3034" s="19" t="s">
        <v>33528</v>
      </c>
      <c r="J3034" s="19" t="s">
        <v>33529</v>
      </c>
      <c r="K3034" s="19" t="s">
        <v>33530</v>
      </c>
      <c r="L3034" s="19" t="s">
        <v>33531</v>
      </c>
      <c r="M3034" s="1" t="s">
        <v>33532</v>
      </c>
      <c r="N3034" s="38" t="s">
        <v>33533</v>
      </c>
      <c r="O3034" s="109"/>
      <c r="P3034" s="28">
        <v>0.0</v>
      </c>
      <c r="Q3034" s="28">
        <v>43.0</v>
      </c>
    </row>
    <row r="3035">
      <c r="A3035" s="1" t="s">
        <v>4153</v>
      </c>
      <c r="B3035" s="160" t="s">
        <v>121</v>
      </c>
      <c r="C3035" s="38" t="s">
        <v>33534</v>
      </c>
      <c r="D3035" s="38" t="s">
        <v>33535</v>
      </c>
      <c r="E3035" s="167" t="s">
        <v>33536</v>
      </c>
      <c r="F3035" s="28">
        <v>967.0</v>
      </c>
      <c r="G3035" s="28">
        <v>976.0</v>
      </c>
      <c r="H3035" s="38" t="s">
        <v>17059</v>
      </c>
      <c r="I3035" s="19" t="s">
        <v>33540</v>
      </c>
      <c r="J3035" s="19" t="s">
        <v>33541</v>
      </c>
      <c r="K3035" s="19" t="s">
        <v>33541</v>
      </c>
      <c r="L3035" s="19" t="s">
        <v>33542</v>
      </c>
      <c r="M3035" s="1"/>
      <c r="N3035" s="38" t="s">
        <v>33543</v>
      </c>
      <c r="O3035" s="109"/>
      <c r="P3035" s="28">
        <v>0.0</v>
      </c>
      <c r="Q3035" s="28">
        <v>48.0</v>
      </c>
    </row>
    <row r="3036">
      <c r="A3036" s="1" t="s">
        <v>4153</v>
      </c>
      <c r="B3036" s="160" t="s">
        <v>121</v>
      </c>
      <c r="C3036" s="38" t="s">
        <v>33545</v>
      </c>
      <c r="D3036" s="38" t="s">
        <v>33546</v>
      </c>
      <c r="E3036" s="167" t="s">
        <v>33547</v>
      </c>
      <c r="F3036" s="28">
        <v>1070.0</v>
      </c>
      <c r="G3036" s="28">
        <v>1079.0</v>
      </c>
      <c r="H3036" s="38" t="s">
        <v>17059</v>
      </c>
      <c r="I3036" s="19" t="s">
        <v>33549</v>
      </c>
      <c r="J3036" s="19" t="s">
        <v>33550</v>
      </c>
      <c r="K3036" s="19" t="s">
        <v>33551</v>
      </c>
      <c r="L3036" s="19" t="s">
        <v>33552</v>
      </c>
      <c r="M3036" s="1" t="s">
        <v>17918</v>
      </c>
      <c r="N3036" s="38" t="s">
        <v>33553</v>
      </c>
      <c r="O3036" s="109"/>
      <c r="P3036" s="28">
        <v>0.0</v>
      </c>
      <c r="Q3036" s="28">
        <v>31.0</v>
      </c>
    </row>
    <row r="3037">
      <c r="A3037" s="1" t="s">
        <v>4153</v>
      </c>
      <c r="B3037" s="160" t="s">
        <v>121</v>
      </c>
      <c r="C3037" s="38" t="s">
        <v>33554</v>
      </c>
      <c r="D3037" s="38" t="s">
        <v>33555</v>
      </c>
      <c r="E3037" s="167" t="s">
        <v>33556</v>
      </c>
      <c r="F3037" s="28">
        <v>997.0</v>
      </c>
      <c r="G3037" s="28">
        <v>1007.0</v>
      </c>
      <c r="H3037" s="38" t="s">
        <v>17059</v>
      </c>
      <c r="I3037" s="19" t="s">
        <v>33561</v>
      </c>
      <c r="J3037" s="19" t="s">
        <v>33562</v>
      </c>
      <c r="K3037" s="19" t="s">
        <v>33563</v>
      </c>
      <c r="L3037" s="19" t="s">
        <v>33564</v>
      </c>
      <c r="M3037" s="1" t="s">
        <v>33565</v>
      </c>
      <c r="N3037" s="38" t="s">
        <v>33566</v>
      </c>
      <c r="O3037" s="109"/>
      <c r="P3037" s="28">
        <v>0.0</v>
      </c>
      <c r="Q3037" s="28">
        <v>53.0</v>
      </c>
    </row>
    <row r="3038">
      <c r="A3038" s="1" t="s">
        <v>4153</v>
      </c>
      <c r="B3038" s="160" t="s">
        <v>121</v>
      </c>
      <c r="C3038" s="38" t="s">
        <v>33567</v>
      </c>
      <c r="D3038" s="38" t="s">
        <v>33568</v>
      </c>
      <c r="E3038" s="167" t="s">
        <v>33569</v>
      </c>
      <c r="F3038" s="28">
        <v>1040.0</v>
      </c>
      <c r="G3038" s="28">
        <v>1049.0</v>
      </c>
      <c r="H3038" s="38" t="s">
        <v>17059</v>
      </c>
      <c r="I3038" s="19" t="s">
        <v>33571</v>
      </c>
      <c r="J3038" s="19" t="s">
        <v>33572</v>
      </c>
      <c r="K3038" s="19" t="s">
        <v>33575</v>
      </c>
      <c r="L3038" s="19" t="s">
        <v>33577</v>
      </c>
      <c r="M3038" s="1" t="s">
        <v>33578</v>
      </c>
      <c r="N3038" s="38" t="s">
        <v>33579</v>
      </c>
      <c r="O3038" s="109"/>
      <c r="P3038" s="28">
        <v>0.0</v>
      </c>
      <c r="Q3038" s="28">
        <v>43.0</v>
      </c>
    </row>
    <row r="3039">
      <c r="A3039" s="1" t="s">
        <v>4153</v>
      </c>
      <c r="B3039" s="160" t="s">
        <v>121</v>
      </c>
      <c r="C3039" s="38" t="s">
        <v>33596</v>
      </c>
      <c r="D3039" s="38" t="s">
        <v>33597</v>
      </c>
      <c r="E3039" s="167" t="s">
        <v>33598</v>
      </c>
      <c r="F3039" s="28">
        <v>1204.0</v>
      </c>
      <c r="G3039" s="28">
        <v>1213.0</v>
      </c>
      <c r="H3039" s="38" t="s">
        <v>17059</v>
      </c>
      <c r="I3039" s="19" t="s">
        <v>33602</v>
      </c>
      <c r="J3039" s="19" t="s">
        <v>33603</v>
      </c>
      <c r="K3039" s="19" t="s">
        <v>33603</v>
      </c>
      <c r="L3039" s="19" t="s">
        <v>33604</v>
      </c>
      <c r="M3039" s="1" t="s">
        <v>33605</v>
      </c>
      <c r="N3039" s="38" t="s">
        <v>33606</v>
      </c>
      <c r="O3039" s="109"/>
      <c r="P3039" s="28">
        <v>0.0</v>
      </c>
      <c r="Q3039" s="28">
        <v>47.0</v>
      </c>
      <c r="R3039" s="1" t="s">
        <v>19037</v>
      </c>
    </row>
    <row r="3040">
      <c r="A3040" s="1" t="s">
        <v>4153</v>
      </c>
      <c r="B3040" s="160" t="s">
        <v>121</v>
      </c>
      <c r="C3040" s="38" t="s">
        <v>33609</v>
      </c>
      <c r="D3040" s="38" t="s">
        <v>33610</v>
      </c>
      <c r="E3040" s="167" t="s">
        <v>33611</v>
      </c>
      <c r="F3040" s="28">
        <v>1029.0</v>
      </c>
      <c r="G3040" s="28">
        <v>1039.0</v>
      </c>
      <c r="H3040" s="38" t="s">
        <v>17059</v>
      </c>
      <c r="I3040" s="19" t="s">
        <v>33613</v>
      </c>
      <c r="J3040" s="19" t="s">
        <v>33614</v>
      </c>
      <c r="K3040" s="19" t="s">
        <v>33614</v>
      </c>
      <c r="L3040" s="19" t="s">
        <v>33616</v>
      </c>
      <c r="M3040" s="1" t="s">
        <v>33618</v>
      </c>
      <c r="N3040" s="38" t="s">
        <v>33620</v>
      </c>
      <c r="O3040" s="109"/>
      <c r="P3040" s="28">
        <v>0.0</v>
      </c>
      <c r="Q3040" s="28">
        <v>51.0</v>
      </c>
    </row>
    <row r="3041">
      <c r="A3041" s="1" t="s">
        <v>4153</v>
      </c>
      <c r="B3041" s="160" t="s">
        <v>121</v>
      </c>
      <c r="C3041" s="38" t="s">
        <v>33621</v>
      </c>
      <c r="D3041" s="38" t="s">
        <v>33622</v>
      </c>
      <c r="E3041" s="167" t="s">
        <v>33623</v>
      </c>
      <c r="F3041" s="28">
        <v>1102.0</v>
      </c>
      <c r="G3041" s="28">
        <v>1111.0</v>
      </c>
      <c r="H3041" s="38" t="s">
        <v>17059</v>
      </c>
      <c r="I3041" s="19" t="s">
        <v>33626</v>
      </c>
      <c r="J3041" s="19" t="s">
        <v>33627</v>
      </c>
      <c r="K3041" s="19" t="s">
        <v>33628</v>
      </c>
      <c r="L3041" s="19" t="s">
        <v>33629</v>
      </c>
      <c r="M3041" s="1" t="s">
        <v>33631</v>
      </c>
      <c r="N3041" s="38" t="s">
        <v>33632</v>
      </c>
      <c r="O3041" s="109"/>
      <c r="P3041" s="28">
        <v>0.0</v>
      </c>
      <c r="Q3041" s="28">
        <v>24.0</v>
      </c>
    </row>
    <row r="3042">
      <c r="A3042" s="1" t="s">
        <v>4153</v>
      </c>
      <c r="B3042" s="160" t="s">
        <v>121</v>
      </c>
      <c r="C3042" s="38" t="s">
        <v>33633</v>
      </c>
      <c r="D3042" s="38" t="s">
        <v>33634</v>
      </c>
      <c r="E3042" s="167" t="s">
        <v>33635</v>
      </c>
      <c r="F3042" s="28">
        <v>1214.0</v>
      </c>
      <c r="G3042" s="28">
        <v>1224.0</v>
      </c>
      <c r="H3042" s="38" t="s">
        <v>17059</v>
      </c>
      <c r="I3042" s="19" t="s">
        <v>33639</v>
      </c>
      <c r="J3042" s="19" t="s">
        <v>33640</v>
      </c>
      <c r="K3042" s="19" t="s">
        <v>33640</v>
      </c>
      <c r="L3042" s="19" t="s">
        <v>33641</v>
      </c>
      <c r="M3042" s="1" t="s">
        <v>33643</v>
      </c>
      <c r="N3042" s="38" t="s">
        <v>33645</v>
      </c>
      <c r="O3042" s="109"/>
      <c r="P3042" s="28">
        <v>0.0</v>
      </c>
      <c r="Q3042" s="28">
        <v>64.0</v>
      </c>
    </row>
    <row r="3043">
      <c r="A3043" s="1" t="s">
        <v>4153</v>
      </c>
      <c r="B3043" s="160" t="s">
        <v>121</v>
      </c>
      <c r="C3043" s="38" t="s">
        <v>33646</v>
      </c>
      <c r="D3043" s="38" t="s">
        <v>33647</v>
      </c>
      <c r="E3043" s="167" t="s">
        <v>33648</v>
      </c>
      <c r="F3043" s="28">
        <v>1080.0</v>
      </c>
      <c r="G3043" s="28">
        <v>1090.0</v>
      </c>
      <c r="H3043" s="38" t="s">
        <v>17059</v>
      </c>
      <c r="I3043" s="19" t="s">
        <v>33651</v>
      </c>
      <c r="J3043" s="19" t="s">
        <v>33652</v>
      </c>
      <c r="K3043" s="19" t="s">
        <v>33653</v>
      </c>
      <c r="L3043" s="19" t="s">
        <v>33654</v>
      </c>
      <c r="M3043" s="1" t="s">
        <v>33655</v>
      </c>
      <c r="N3043" s="38" t="s">
        <v>33656</v>
      </c>
      <c r="O3043" s="109"/>
      <c r="P3043" s="28">
        <v>0.0</v>
      </c>
      <c r="Q3043" s="28">
        <v>56.0</v>
      </c>
    </row>
    <row r="3044">
      <c r="A3044" s="1" t="s">
        <v>4153</v>
      </c>
      <c r="B3044" s="160" t="s">
        <v>121</v>
      </c>
      <c r="C3044" s="38" t="s">
        <v>33658</v>
      </c>
      <c r="D3044" s="38" t="s">
        <v>33659</v>
      </c>
      <c r="E3044" s="167" t="s">
        <v>33660</v>
      </c>
      <c r="F3044" s="28">
        <v>1236.0</v>
      </c>
      <c r="G3044" s="28">
        <v>1245.0</v>
      </c>
      <c r="H3044" s="38" t="s">
        <v>17059</v>
      </c>
      <c r="I3044" s="19" t="s">
        <v>33662</v>
      </c>
      <c r="J3044" s="19" t="s">
        <v>33663</v>
      </c>
      <c r="K3044" s="19" t="s">
        <v>33664</v>
      </c>
      <c r="L3044" s="19" t="s">
        <v>33665</v>
      </c>
      <c r="M3044" s="1" t="s">
        <v>33666</v>
      </c>
      <c r="N3044" s="38" t="s">
        <v>33667</v>
      </c>
      <c r="O3044" s="109"/>
      <c r="P3044" s="28">
        <v>0.0</v>
      </c>
      <c r="Q3044" s="28">
        <v>41.0</v>
      </c>
    </row>
    <row r="3045">
      <c r="A3045" s="1" t="s">
        <v>4153</v>
      </c>
      <c r="B3045" s="160" t="s">
        <v>121</v>
      </c>
      <c r="C3045" s="38" t="s">
        <v>33670</v>
      </c>
      <c r="D3045" s="38" t="s">
        <v>33671</v>
      </c>
      <c r="E3045" s="167" t="s">
        <v>33672</v>
      </c>
      <c r="F3045" s="28">
        <v>946.0</v>
      </c>
      <c r="G3045" s="28">
        <v>955.0</v>
      </c>
      <c r="H3045" s="38" t="s">
        <v>17059</v>
      </c>
      <c r="I3045" s="19" t="s">
        <v>33676</v>
      </c>
      <c r="J3045" s="19" t="s">
        <v>33677</v>
      </c>
      <c r="K3045" s="19" t="s">
        <v>33678</v>
      </c>
      <c r="L3045" s="19" t="s">
        <v>33679</v>
      </c>
      <c r="M3045" s="1" t="s">
        <v>33680</v>
      </c>
      <c r="N3045" s="38" t="s">
        <v>33681</v>
      </c>
      <c r="O3045" s="109"/>
      <c r="P3045" s="28">
        <v>0.0</v>
      </c>
      <c r="Q3045" s="28">
        <v>41.0</v>
      </c>
    </row>
    <row r="3046">
      <c r="A3046" s="1" t="s">
        <v>4153</v>
      </c>
      <c r="B3046" s="160" t="s">
        <v>121</v>
      </c>
      <c r="C3046" s="38" t="s">
        <v>33682</v>
      </c>
      <c r="D3046" s="38" t="s">
        <v>33683</v>
      </c>
      <c r="E3046" s="167" t="s">
        <v>33684</v>
      </c>
      <c r="F3046" s="28">
        <v>1091.0</v>
      </c>
      <c r="G3046" s="28">
        <v>1101.0</v>
      </c>
      <c r="H3046" s="38" t="s">
        <v>17059</v>
      </c>
      <c r="I3046" s="19" t="s">
        <v>33688</v>
      </c>
      <c r="J3046" s="19" t="s">
        <v>33689</v>
      </c>
      <c r="K3046" s="19" t="s">
        <v>33690</v>
      </c>
      <c r="L3046" s="19" t="s">
        <v>25146</v>
      </c>
      <c r="M3046" s="1" t="s">
        <v>33692</v>
      </c>
      <c r="N3046" s="38" t="s">
        <v>33693</v>
      </c>
      <c r="O3046" s="109"/>
      <c r="P3046" s="28">
        <v>0.0</v>
      </c>
      <c r="Q3046" s="28">
        <v>56.0</v>
      </c>
    </row>
    <row r="3047">
      <c r="A3047" s="1" t="s">
        <v>4153</v>
      </c>
      <c r="B3047" s="160" t="s">
        <v>121</v>
      </c>
      <c r="C3047" s="38" t="s">
        <v>33696</v>
      </c>
      <c r="D3047" s="38" t="s">
        <v>33698</v>
      </c>
      <c r="E3047" s="167" t="s">
        <v>33699</v>
      </c>
      <c r="F3047" s="28">
        <v>1008.0</v>
      </c>
      <c r="G3047" s="28">
        <v>1017.0</v>
      </c>
      <c r="H3047" s="38" t="s">
        <v>17059</v>
      </c>
      <c r="I3047" s="19" t="s">
        <v>33703</v>
      </c>
      <c r="J3047" s="19" t="s">
        <v>33704</v>
      </c>
      <c r="K3047" s="19" t="s">
        <v>33704</v>
      </c>
      <c r="L3047" s="19" t="s">
        <v>33705</v>
      </c>
      <c r="M3047" s="1" t="s">
        <v>33706</v>
      </c>
      <c r="N3047" s="38" t="s">
        <v>33707</v>
      </c>
      <c r="O3047" s="109"/>
      <c r="P3047" s="28">
        <v>0.0</v>
      </c>
      <c r="Q3047" s="28">
        <v>35.0</v>
      </c>
    </row>
    <row r="3048">
      <c r="A3048" s="1" t="s">
        <v>4153</v>
      </c>
      <c r="B3048" s="160" t="s">
        <v>121</v>
      </c>
      <c r="C3048" s="38" t="s">
        <v>33708</v>
      </c>
      <c r="D3048" s="38" t="s">
        <v>33709</v>
      </c>
      <c r="E3048" s="167" t="s">
        <v>33710</v>
      </c>
      <c r="F3048" s="28">
        <v>1246.0</v>
      </c>
      <c r="G3048" s="28">
        <v>1256.0</v>
      </c>
      <c r="H3048" s="38" t="s">
        <v>17059</v>
      </c>
      <c r="I3048" s="19" t="s">
        <v>33714</v>
      </c>
      <c r="J3048" s="19" t="s">
        <v>33715</v>
      </c>
      <c r="K3048" s="19" t="s">
        <v>33715</v>
      </c>
      <c r="L3048" s="19" t="s">
        <v>33717</v>
      </c>
      <c r="M3048" s="1" t="s">
        <v>33719</v>
      </c>
      <c r="N3048" s="38" t="s">
        <v>33720</v>
      </c>
      <c r="O3048" s="109"/>
      <c r="P3048" s="28">
        <v>0.0</v>
      </c>
      <c r="Q3048" s="28">
        <v>63.0</v>
      </c>
    </row>
    <row r="3049">
      <c r="A3049" s="1" t="s">
        <v>4153</v>
      </c>
      <c r="B3049" s="160" t="s">
        <v>121</v>
      </c>
      <c r="C3049" s="38" t="s">
        <v>33722</v>
      </c>
      <c r="D3049" s="38" t="s">
        <v>33723</v>
      </c>
      <c r="E3049" s="167" t="s">
        <v>33724</v>
      </c>
      <c r="F3049" s="28">
        <v>1173.0</v>
      </c>
      <c r="G3049" s="28">
        <v>1182.0</v>
      </c>
      <c r="H3049" s="38" t="s">
        <v>17059</v>
      </c>
      <c r="I3049" s="19" t="s">
        <v>33728</v>
      </c>
      <c r="J3049" s="19" t="s">
        <v>33729</v>
      </c>
      <c r="K3049" s="19" t="s">
        <v>33729</v>
      </c>
      <c r="L3049" s="19" t="s">
        <v>33731</v>
      </c>
      <c r="M3049" s="1"/>
      <c r="N3049" s="38" t="s">
        <v>33732</v>
      </c>
      <c r="O3049" s="109"/>
      <c r="P3049" s="28">
        <v>0.0</v>
      </c>
      <c r="Q3049" s="28">
        <v>42.0</v>
      </c>
    </row>
    <row r="3050">
      <c r="A3050" s="1" t="s">
        <v>4153</v>
      </c>
      <c r="B3050" s="160" t="s">
        <v>121</v>
      </c>
      <c r="C3050" s="38" t="s">
        <v>33733</v>
      </c>
      <c r="D3050" s="38" t="s">
        <v>33734</v>
      </c>
      <c r="E3050" s="167" t="s">
        <v>33735</v>
      </c>
      <c r="F3050" s="28">
        <v>956.0</v>
      </c>
      <c r="G3050" s="28">
        <v>966.0</v>
      </c>
      <c r="H3050" s="38" t="s">
        <v>17059</v>
      </c>
      <c r="I3050" s="19" t="s">
        <v>33739</v>
      </c>
      <c r="J3050" s="19" t="s">
        <v>26138</v>
      </c>
      <c r="K3050" s="19" t="s">
        <v>26138</v>
      </c>
      <c r="L3050" s="19" t="s">
        <v>33740</v>
      </c>
      <c r="M3050" s="1" t="s">
        <v>33741</v>
      </c>
      <c r="N3050" s="38" t="s">
        <v>33742</v>
      </c>
      <c r="O3050" s="109"/>
      <c r="P3050" s="28">
        <v>0.0</v>
      </c>
      <c r="Q3050" s="28">
        <v>81.0</v>
      </c>
    </row>
    <row r="3051">
      <c r="A3051" s="1" t="s">
        <v>4153</v>
      </c>
      <c r="B3051" s="160" t="s">
        <v>121</v>
      </c>
      <c r="C3051" s="38" t="s">
        <v>33743</v>
      </c>
      <c r="D3051" s="38" t="s">
        <v>33744</v>
      </c>
      <c r="E3051" s="167" t="s">
        <v>33745</v>
      </c>
      <c r="F3051" s="28">
        <v>1257.0</v>
      </c>
      <c r="G3051" s="28">
        <v>1266.0</v>
      </c>
      <c r="H3051" s="38" t="s">
        <v>17059</v>
      </c>
      <c r="I3051" s="19" t="s">
        <v>33746</v>
      </c>
      <c r="J3051" s="19" t="s">
        <v>33747</v>
      </c>
      <c r="K3051" s="19" t="s">
        <v>33747</v>
      </c>
      <c r="L3051" s="19" t="s">
        <v>33748</v>
      </c>
      <c r="M3051" s="1" t="s">
        <v>33749</v>
      </c>
      <c r="N3051" s="38" t="s">
        <v>33750</v>
      </c>
      <c r="O3051" s="109"/>
      <c r="P3051" s="28">
        <v>0.0</v>
      </c>
      <c r="Q3051" s="28">
        <v>52.0</v>
      </c>
    </row>
    <row r="3052">
      <c r="A3052" s="1" t="s">
        <v>4153</v>
      </c>
      <c r="B3052" s="160" t="s">
        <v>121</v>
      </c>
      <c r="C3052" s="38" t="s">
        <v>33751</v>
      </c>
      <c r="D3052" s="38" t="s">
        <v>33752</v>
      </c>
      <c r="E3052" s="167" t="s">
        <v>33753</v>
      </c>
      <c r="F3052" s="28">
        <v>1050.0</v>
      </c>
      <c r="G3052" s="28">
        <v>1059.0</v>
      </c>
      <c r="H3052" s="38" t="s">
        <v>17059</v>
      </c>
      <c r="I3052" s="19" t="s">
        <v>33754</v>
      </c>
      <c r="J3052" s="19" t="s">
        <v>33755</v>
      </c>
      <c r="K3052" s="19" t="s">
        <v>33755</v>
      </c>
      <c r="L3052" s="19" t="s">
        <v>19791</v>
      </c>
      <c r="M3052" s="1" t="s">
        <v>33756</v>
      </c>
      <c r="N3052" s="38" t="s">
        <v>33757</v>
      </c>
      <c r="O3052" s="109"/>
      <c r="P3052" s="28">
        <v>0.0</v>
      </c>
      <c r="Q3052" s="28">
        <v>41.0</v>
      </c>
    </row>
    <row r="3053">
      <c r="A3053" s="1" t="s">
        <v>4153</v>
      </c>
      <c r="B3053" s="160" t="s">
        <v>121</v>
      </c>
      <c r="C3053" s="38" t="s">
        <v>33758</v>
      </c>
      <c r="D3053" s="38" t="s">
        <v>33759</v>
      </c>
      <c r="E3053" s="167" t="s">
        <v>33760</v>
      </c>
      <c r="F3053" s="28">
        <v>1112.0</v>
      </c>
      <c r="G3053" s="28">
        <v>1121.0</v>
      </c>
      <c r="H3053" s="38" t="s">
        <v>17059</v>
      </c>
      <c r="I3053" s="19" t="s">
        <v>33761</v>
      </c>
      <c r="J3053" s="19" t="s">
        <v>33762</v>
      </c>
      <c r="K3053" s="19" t="s">
        <v>33763</v>
      </c>
      <c r="L3053" s="19" t="s">
        <v>33764</v>
      </c>
      <c r="M3053" s="1" t="s">
        <v>33765</v>
      </c>
      <c r="N3053" s="38" t="s">
        <v>33766</v>
      </c>
      <c r="O3053" s="109"/>
      <c r="P3053" s="28">
        <v>0.0</v>
      </c>
      <c r="Q3053" s="28">
        <v>36.0</v>
      </c>
    </row>
    <row r="3054">
      <c r="A3054" s="1" t="s">
        <v>4153</v>
      </c>
      <c r="B3054" s="160" t="s">
        <v>121</v>
      </c>
      <c r="C3054" s="38" t="s">
        <v>33767</v>
      </c>
      <c r="D3054" s="38" t="s">
        <v>33768</v>
      </c>
      <c r="E3054" s="167" t="s">
        <v>33769</v>
      </c>
      <c r="F3054" s="28">
        <v>1122.0</v>
      </c>
      <c r="G3054" s="28">
        <v>1131.0</v>
      </c>
      <c r="H3054" s="38" t="s">
        <v>17059</v>
      </c>
      <c r="I3054" s="19" t="s">
        <v>33771</v>
      </c>
      <c r="J3054" s="19" t="s">
        <v>33772</v>
      </c>
      <c r="K3054" s="19" t="s">
        <v>33772</v>
      </c>
      <c r="L3054" s="19" t="s">
        <v>33773</v>
      </c>
      <c r="M3054" s="1" t="s">
        <v>2017</v>
      </c>
      <c r="N3054" s="38" t="s">
        <v>33774</v>
      </c>
      <c r="O3054" s="109"/>
      <c r="P3054" s="28">
        <v>0.0</v>
      </c>
      <c r="Q3054" s="28">
        <v>36.0</v>
      </c>
    </row>
    <row r="3055">
      <c r="A3055" s="1" t="s">
        <v>4153</v>
      </c>
      <c r="B3055" s="160" t="s">
        <v>121</v>
      </c>
      <c r="C3055" s="38" t="s">
        <v>33775</v>
      </c>
      <c r="D3055" s="38" t="s">
        <v>33776</v>
      </c>
      <c r="E3055" s="167" t="s">
        <v>33777</v>
      </c>
      <c r="F3055" s="28">
        <v>1132.0</v>
      </c>
      <c r="G3055" s="28">
        <v>1141.0</v>
      </c>
      <c r="H3055" s="38" t="s">
        <v>17059</v>
      </c>
      <c r="I3055" s="19" t="s">
        <v>33779</v>
      </c>
      <c r="J3055" s="19" t="s">
        <v>33780</v>
      </c>
      <c r="K3055" s="19" t="s">
        <v>33780</v>
      </c>
      <c r="L3055" s="19" t="s">
        <v>33781</v>
      </c>
      <c r="M3055" s="1" t="s">
        <v>33782</v>
      </c>
      <c r="N3055" s="38" t="s">
        <v>33783</v>
      </c>
      <c r="O3055" s="109"/>
      <c r="P3055" s="28">
        <v>0.0</v>
      </c>
      <c r="Q3055" s="28">
        <v>42.0</v>
      </c>
    </row>
    <row r="3056">
      <c r="A3056" s="1" t="s">
        <v>4153</v>
      </c>
      <c r="B3056" s="160" t="s">
        <v>121</v>
      </c>
      <c r="C3056" s="38" t="s">
        <v>33784</v>
      </c>
      <c r="D3056" s="38" t="s">
        <v>33785</v>
      </c>
      <c r="E3056" s="167" t="s">
        <v>33786</v>
      </c>
      <c r="F3056" s="28">
        <v>1183.0</v>
      </c>
      <c r="G3056" s="28">
        <v>1192.0</v>
      </c>
      <c r="H3056" s="38" t="s">
        <v>17059</v>
      </c>
      <c r="I3056" s="19" t="s">
        <v>33791</v>
      </c>
      <c r="J3056" s="19" t="s">
        <v>24042</v>
      </c>
      <c r="K3056" s="19" t="s">
        <v>24042</v>
      </c>
      <c r="L3056" s="19" t="s">
        <v>33792</v>
      </c>
      <c r="M3056" s="1" t="s">
        <v>33793</v>
      </c>
      <c r="N3056" s="38" t="s">
        <v>33794</v>
      </c>
      <c r="O3056" s="109"/>
      <c r="P3056" s="28">
        <v>0.0</v>
      </c>
      <c r="Q3056" s="28">
        <v>36.0</v>
      </c>
    </row>
    <row r="3057">
      <c r="A3057" s="1" t="s">
        <v>4153</v>
      </c>
      <c r="B3057" s="160" t="s">
        <v>121</v>
      </c>
      <c r="C3057" s="38" t="s">
        <v>33795</v>
      </c>
      <c r="D3057" s="38" t="s">
        <v>33796</v>
      </c>
      <c r="E3057" s="167" t="s">
        <v>33797</v>
      </c>
      <c r="F3057" s="28">
        <v>1225.0</v>
      </c>
      <c r="G3057" s="28">
        <v>1235.0</v>
      </c>
      <c r="H3057" s="38" t="s">
        <v>17059</v>
      </c>
      <c r="I3057" s="19" t="s">
        <v>33801</v>
      </c>
      <c r="J3057" s="19" t="s">
        <v>33802</v>
      </c>
      <c r="K3057" s="19" t="s">
        <v>33802</v>
      </c>
      <c r="L3057" s="19" t="s">
        <v>33803</v>
      </c>
      <c r="M3057" s="1" t="s">
        <v>33804</v>
      </c>
      <c r="N3057" s="38" t="s">
        <v>33805</v>
      </c>
      <c r="O3057" s="109"/>
      <c r="P3057" s="28">
        <v>0.0</v>
      </c>
      <c r="Q3057" s="28">
        <v>72.0</v>
      </c>
    </row>
    <row r="3058">
      <c r="A3058" s="1" t="s">
        <v>4153</v>
      </c>
      <c r="B3058" s="160" t="s">
        <v>121</v>
      </c>
      <c r="C3058" s="38" t="s">
        <v>33806</v>
      </c>
      <c r="D3058" s="38" t="s">
        <v>33807</v>
      </c>
      <c r="E3058" s="167" t="s">
        <v>33808</v>
      </c>
      <c r="F3058" s="28">
        <v>1142.0</v>
      </c>
      <c r="G3058" s="28">
        <v>1151.0</v>
      </c>
      <c r="H3058" s="38" t="s">
        <v>17059</v>
      </c>
      <c r="I3058" s="19" t="s">
        <v>33814</v>
      </c>
      <c r="J3058" s="19" t="s">
        <v>33815</v>
      </c>
      <c r="K3058" s="19" t="s">
        <v>33815</v>
      </c>
      <c r="L3058" s="19" t="s">
        <v>33817</v>
      </c>
      <c r="M3058" s="1" t="s">
        <v>33818</v>
      </c>
      <c r="N3058" s="38" t="s">
        <v>33819</v>
      </c>
      <c r="O3058" s="109"/>
      <c r="P3058" s="28">
        <v>0.0</v>
      </c>
      <c r="Q3058" s="28">
        <v>46.0</v>
      </c>
    </row>
    <row r="3059">
      <c r="A3059" s="1" t="s">
        <v>4153</v>
      </c>
      <c r="B3059" s="160" t="s">
        <v>121</v>
      </c>
      <c r="C3059" s="38" t="s">
        <v>33821</v>
      </c>
      <c r="D3059" s="38" t="s">
        <v>33822</v>
      </c>
      <c r="E3059" s="167" t="s">
        <v>33823</v>
      </c>
      <c r="F3059" s="28">
        <v>987.0</v>
      </c>
      <c r="G3059" s="28">
        <v>996.0</v>
      </c>
      <c r="H3059" s="38" t="s">
        <v>17059</v>
      </c>
      <c r="I3059" s="19" t="s">
        <v>33824</v>
      </c>
      <c r="J3059" s="19" t="s">
        <v>33825</v>
      </c>
      <c r="K3059" s="19" t="s">
        <v>33827</v>
      </c>
      <c r="L3059" s="19" t="s">
        <v>33828</v>
      </c>
      <c r="M3059" s="1" t="s">
        <v>33830</v>
      </c>
      <c r="N3059" s="38" t="s">
        <v>33831</v>
      </c>
      <c r="O3059" s="109"/>
      <c r="P3059" s="28">
        <v>0.0</v>
      </c>
      <c r="Q3059" s="28">
        <v>43.0</v>
      </c>
    </row>
    <row r="3060">
      <c r="A3060" s="1" t="s">
        <v>4153</v>
      </c>
      <c r="B3060" s="160" t="s">
        <v>121</v>
      </c>
      <c r="C3060" s="38" t="s">
        <v>33833</v>
      </c>
      <c r="D3060" s="38" t="s">
        <v>33834</v>
      </c>
      <c r="E3060" s="167" t="s">
        <v>33835</v>
      </c>
      <c r="F3060" s="28">
        <v>1018.0</v>
      </c>
      <c r="G3060" s="28">
        <v>1028.0</v>
      </c>
      <c r="H3060" s="38" t="s">
        <v>17059</v>
      </c>
      <c r="I3060" s="19" t="s">
        <v>33840</v>
      </c>
      <c r="J3060" s="19" t="s">
        <v>33841</v>
      </c>
      <c r="K3060" s="19" t="s">
        <v>33842</v>
      </c>
      <c r="L3060" s="19" t="s">
        <v>33843</v>
      </c>
      <c r="M3060" s="1" t="s">
        <v>33844</v>
      </c>
      <c r="N3060" s="38" t="s">
        <v>33845</v>
      </c>
      <c r="O3060" s="109"/>
      <c r="P3060" s="28">
        <v>0.0</v>
      </c>
      <c r="Q3060" s="28">
        <v>58.0</v>
      </c>
    </row>
    <row r="3061">
      <c r="A3061" s="1" t="s">
        <v>4153</v>
      </c>
      <c r="B3061" s="160" t="s">
        <v>121</v>
      </c>
      <c r="C3061" s="38" t="s">
        <v>33847</v>
      </c>
      <c r="D3061" s="38" t="s">
        <v>33849</v>
      </c>
      <c r="E3061" s="167" t="s">
        <v>33850</v>
      </c>
      <c r="F3061" s="28">
        <v>1193.0</v>
      </c>
      <c r="G3061" s="28">
        <v>1203.0</v>
      </c>
      <c r="H3061" s="38" t="s">
        <v>17059</v>
      </c>
      <c r="I3061" s="19" t="s">
        <v>33857</v>
      </c>
      <c r="J3061" s="19" t="s">
        <v>33858</v>
      </c>
      <c r="K3061" s="19" t="s">
        <v>33858</v>
      </c>
      <c r="L3061" s="19" t="s">
        <v>33859</v>
      </c>
      <c r="M3061" s="1" t="s">
        <v>33861</v>
      </c>
      <c r="N3061" s="38" t="s">
        <v>33862</v>
      </c>
      <c r="O3061" s="109"/>
      <c r="P3061" s="28">
        <v>0.0</v>
      </c>
      <c r="Q3061" s="28">
        <v>70.0</v>
      </c>
    </row>
    <row r="3062">
      <c r="A3062" s="1" t="s">
        <v>120</v>
      </c>
      <c r="B3062" s="160" t="s">
        <v>121</v>
      </c>
      <c r="C3062" s="38" t="s">
        <v>33863</v>
      </c>
      <c r="D3062" s="38" t="s">
        <v>33864</v>
      </c>
      <c r="E3062" s="167" t="s">
        <v>33865</v>
      </c>
      <c r="F3062" s="28">
        <v>407.0</v>
      </c>
      <c r="G3062" s="28">
        <v>416.0</v>
      </c>
      <c r="H3062" s="38" t="s">
        <v>17059</v>
      </c>
      <c r="I3062" s="19" t="s">
        <v>33869</v>
      </c>
      <c r="J3062" s="19" t="s">
        <v>33870</v>
      </c>
      <c r="K3062" s="19" t="s">
        <v>33870</v>
      </c>
      <c r="L3062" s="19" t="s">
        <v>33871</v>
      </c>
      <c r="M3062" s="1" t="s">
        <v>33872</v>
      </c>
      <c r="N3062" s="38" t="s">
        <v>33873</v>
      </c>
      <c r="O3062" s="109"/>
      <c r="P3062" s="28">
        <v>0.0</v>
      </c>
      <c r="Q3062" s="28">
        <v>60.0</v>
      </c>
    </row>
    <row r="3063">
      <c r="A3063" s="1" t="s">
        <v>120</v>
      </c>
      <c r="B3063" s="160" t="s">
        <v>121</v>
      </c>
      <c r="C3063" s="38" t="s">
        <v>33874</v>
      </c>
      <c r="D3063" s="38" t="s">
        <v>33875</v>
      </c>
      <c r="E3063" s="167" t="s">
        <v>33876</v>
      </c>
      <c r="F3063" s="28">
        <v>267.0</v>
      </c>
      <c r="G3063" s="28">
        <v>276.0</v>
      </c>
      <c r="H3063" s="38" t="s">
        <v>17059</v>
      </c>
      <c r="I3063" s="19" t="s">
        <v>33881</v>
      </c>
      <c r="J3063" s="19" t="s">
        <v>33882</v>
      </c>
      <c r="K3063" s="19" t="s">
        <v>33883</v>
      </c>
      <c r="L3063" s="19" t="s">
        <v>33884</v>
      </c>
      <c r="M3063" s="1" t="s">
        <v>33885</v>
      </c>
      <c r="N3063" s="38" t="s">
        <v>33886</v>
      </c>
      <c r="O3063" s="109"/>
      <c r="P3063" s="28">
        <v>0.0</v>
      </c>
      <c r="Q3063" s="28">
        <v>46.0</v>
      </c>
    </row>
    <row r="3064">
      <c r="A3064" s="1" t="s">
        <v>120</v>
      </c>
      <c r="B3064" s="160" t="s">
        <v>121</v>
      </c>
      <c r="C3064" s="38" t="s">
        <v>33888</v>
      </c>
      <c r="D3064" s="38" t="s">
        <v>33890</v>
      </c>
      <c r="E3064" s="167" t="s">
        <v>33891</v>
      </c>
      <c r="F3064" s="28">
        <v>364.0</v>
      </c>
      <c r="G3064" s="28">
        <v>373.0</v>
      </c>
      <c r="H3064" s="38" t="s">
        <v>17059</v>
      </c>
      <c r="I3064" s="19" t="s">
        <v>33895</v>
      </c>
      <c r="J3064" s="19" t="s">
        <v>33896</v>
      </c>
      <c r="K3064" s="19" t="s">
        <v>33896</v>
      </c>
      <c r="L3064" s="19" t="s">
        <v>33897</v>
      </c>
      <c r="M3064" s="1" t="s">
        <v>33898</v>
      </c>
      <c r="N3064" s="38" t="s">
        <v>33899</v>
      </c>
      <c r="O3064" s="109"/>
      <c r="P3064" s="28">
        <v>0.0</v>
      </c>
      <c r="Q3064" s="28">
        <v>43.0</v>
      </c>
    </row>
    <row r="3065">
      <c r="A3065" s="1" t="s">
        <v>120</v>
      </c>
      <c r="B3065" s="160" t="s">
        <v>121</v>
      </c>
      <c r="C3065" s="38" t="s">
        <v>33900</v>
      </c>
      <c r="D3065" s="38" t="s">
        <v>33901</v>
      </c>
      <c r="E3065" s="167" t="s">
        <v>33902</v>
      </c>
      <c r="F3065" s="28">
        <v>310.0</v>
      </c>
      <c r="G3065" s="28">
        <v>320.0</v>
      </c>
      <c r="H3065" s="38" t="s">
        <v>17059</v>
      </c>
      <c r="I3065" s="19" t="s">
        <v>33908</v>
      </c>
      <c r="J3065" s="19" t="s">
        <v>33910</v>
      </c>
      <c r="K3065" s="19" t="s">
        <v>33911</v>
      </c>
      <c r="L3065" s="19" t="s">
        <v>33912</v>
      </c>
      <c r="M3065" s="1" t="s">
        <v>33913</v>
      </c>
      <c r="N3065" s="38" t="s">
        <v>33914</v>
      </c>
      <c r="O3065" s="109"/>
      <c r="P3065" s="28">
        <v>0.0</v>
      </c>
      <c r="Q3065" s="28">
        <v>44.0</v>
      </c>
    </row>
    <row r="3066">
      <c r="A3066" s="1" t="s">
        <v>120</v>
      </c>
      <c r="B3066" s="160" t="s">
        <v>121</v>
      </c>
      <c r="C3066" s="38" t="s">
        <v>33915</v>
      </c>
      <c r="D3066" s="38" t="s">
        <v>33916</v>
      </c>
      <c r="E3066" s="167" t="s">
        <v>33917</v>
      </c>
      <c r="F3066" s="28">
        <v>43.0</v>
      </c>
      <c r="G3066" s="28">
        <v>53.0</v>
      </c>
      <c r="H3066" s="38" t="s">
        <v>17059</v>
      </c>
      <c r="I3066" s="19" t="s">
        <v>33922</v>
      </c>
      <c r="J3066" s="19" t="s">
        <v>33923</v>
      </c>
      <c r="K3066" s="19" t="s">
        <v>33924</v>
      </c>
      <c r="L3066" s="19" t="s">
        <v>33925</v>
      </c>
      <c r="M3066" s="1" t="s">
        <v>33926</v>
      </c>
      <c r="N3066" s="38" t="s">
        <v>33928</v>
      </c>
      <c r="O3066" s="109"/>
      <c r="P3066" s="28">
        <v>0.0</v>
      </c>
      <c r="Q3066" s="28">
        <v>51.0</v>
      </c>
    </row>
    <row r="3067">
      <c r="A3067" s="1" t="s">
        <v>120</v>
      </c>
      <c r="B3067" s="160" t="s">
        <v>121</v>
      </c>
      <c r="C3067" s="38" t="s">
        <v>33930</v>
      </c>
      <c r="D3067" s="38" t="s">
        <v>33932</v>
      </c>
      <c r="E3067" s="167" t="s">
        <v>33934</v>
      </c>
      <c r="F3067" s="28">
        <v>288.0</v>
      </c>
      <c r="G3067" s="28">
        <v>298.0</v>
      </c>
      <c r="H3067" s="38" t="s">
        <v>17059</v>
      </c>
      <c r="I3067" s="19" t="s">
        <v>33938</v>
      </c>
      <c r="J3067" s="19" t="s">
        <v>33939</v>
      </c>
      <c r="K3067" s="19" t="s">
        <v>33939</v>
      </c>
      <c r="L3067" s="19" t="s">
        <v>33940</v>
      </c>
      <c r="M3067" s="1" t="s">
        <v>33941</v>
      </c>
      <c r="N3067" s="38" t="s">
        <v>33942</v>
      </c>
      <c r="O3067" s="109"/>
      <c r="P3067" s="28">
        <v>0.0</v>
      </c>
      <c r="Q3067" s="28">
        <v>55.0</v>
      </c>
      <c r="R3067" s="1" t="s">
        <v>19037</v>
      </c>
    </row>
    <row r="3068">
      <c r="A3068" s="1" t="s">
        <v>120</v>
      </c>
      <c r="B3068" s="160" t="s">
        <v>121</v>
      </c>
      <c r="C3068" s="38" t="s">
        <v>33943</v>
      </c>
      <c r="D3068" s="38" t="s">
        <v>33944</v>
      </c>
      <c r="E3068" s="167" t="s">
        <v>33945</v>
      </c>
      <c r="F3068" s="28">
        <v>427.0</v>
      </c>
      <c r="G3068" s="28">
        <v>437.0</v>
      </c>
      <c r="H3068" s="38" t="s">
        <v>17059</v>
      </c>
      <c r="I3068" s="19" t="s">
        <v>33950</v>
      </c>
      <c r="J3068" s="19" t="s">
        <v>33951</v>
      </c>
      <c r="K3068" s="19" t="s">
        <v>33951</v>
      </c>
      <c r="L3068" s="19" t="s">
        <v>33953</v>
      </c>
      <c r="M3068" s="1" t="s">
        <v>33954</v>
      </c>
      <c r="N3068" s="38" t="s">
        <v>33955</v>
      </c>
      <c r="O3068" s="109"/>
      <c r="P3068" s="28">
        <v>0.0</v>
      </c>
      <c r="Q3068" s="28">
        <v>51.0</v>
      </c>
    </row>
    <row r="3069">
      <c r="A3069" s="1" t="s">
        <v>120</v>
      </c>
      <c r="B3069" s="160" t="s">
        <v>121</v>
      </c>
      <c r="C3069" s="38" t="s">
        <v>33956</v>
      </c>
      <c r="D3069" s="38" t="s">
        <v>33957</v>
      </c>
      <c r="E3069" s="167" t="s">
        <v>33958</v>
      </c>
      <c r="F3069" s="28">
        <v>374.0</v>
      </c>
      <c r="G3069" s="28">
        <v>384.0</v>
      </c>
      <c r="H3069" s="38" t="s">
        <v>17059</v>
      </c>
      <c r="I3069" s="19" t="s">
        <v>33964</v>
      </c>
      <c r="J3069" s="19" t="s">
        <v>33965</v>
      </c>
      <c r="K3069" s="19" t="s">
        <v>33966</v>
      </c>
      <c r="L3069" s="19" t="s">
        <v>32461</v>
      </c>
      <c r="M3069" s="1" t="s">
        <v>33967</v>
      </c>
      <c r="N3069" s="38" t="s">
        <v>33968</v>
      </c>
      <c r="O3069" s="109"/>
      <c r="P3069" s="28">
        <v>1.0</v>
      </c>
      <c r="Q3069" s="28">
        <v>69.0</v>
      </c>
    </row>
    <row r="3070">
      <c r="A3070" s="1" t="s">
        <v>120</v>
      </c>
      <c r="B3070" s="160" t="s">
        <v>121</v>
      </c>
      <c r="C3070" s="38" t="s">
        <v>33969</v>
      </c>
      <c r="D3070" s="38" t="s">
        <v>33970</v>
      </c>
      <c r="E3070" s="167" t="s">
        <v>33971</v>
      </c>
      <c r="F3070" s="28">
        <v>54.0</v>
      </c>
      <c r="G3070" s="28">
        <v>64.0</v>
      </c>
      <c r="H3070" s="38" t="s">
        <v>17059</v>
      </c>
      <c r="I3070" s="19" t="s">
        <v>33973</v>
      </c>
      <c r="J3070" s="19" t="s">
        <v>33974</v>
      </c>
      <c r="K3070" s="19" t="s">
        <v>33975</v>
      </c>
      <c r="L3070" s="19" t="s">
        <v>33976</v>
      </c>
      <c r="M3070" s="1" t="s">
        <v>33977</v>
      </c>
      <c r="N3070" s="38" t="s">
        <v>33978</v>
      </c>
      <c r="O3070" s="109"/>
      <c r="P3070" s="28">
        <v>0.0</v>
      </c>
      <c r="Q3070" s="28">
        <v>55.0</v>
      </c>
    </row>
    <row r="3071">
      <c r="A3071" s="1" t="s">
        <v>120</v>
      </c>
      <c r="B3071" s="160" t="s">
        <v>121</v>
      </c>
      <c r="C3071" s="38" t="s">
        <v>33979</v>
      </c>
      <c r="D3071" s="38" t="s">
        <v>33981</v>
      </c>
      <c r="E3071" s="167" t="s">
        <v>33982</v>
      </c>
      <c r="F3071" s="28">
        <v>342.0</v>
      </c>
      <c r="G3071" s="28">
        <v>352.0</v>
      </c>
      <c r="H3071" s="38" t="s">
        <v>17059</v>
      </c>
      <c r="I3071" s="19" t="s">
        <v>33986</v>
      </c>
      <c r="J3071" s="19" t="s">
        <v>33987</v>
      </c>
      <c r="K3071" s="19" t="s">
        <v>33987</v>
      </c>
      <c r="L3071" s="19" t="s">
        <v>33988</v>
      </c>
      <c r="M3071" s="1" t="s">
        <v>33989</v>
      </c>
      <c r="N3071" s="38" t="s">
        <v>33990</v>
      </c>
      <c r="O3071" s="109"/>
      <c r="P3071" s="28">
        <v>0.0</v>
      </c>
      <c r="Q3071" s="28">
        <v>48.0</v>
      </c>
    </row>
    <row r="3072">
      <c r="A3072" s="1" t="s">
        <v>120</v>
      </c>
      <c r="B3072" s="160" t="s">
        <v>121</v>
      </c>
      <c r="C3072" s="38" t="s">
        <v>33992</v>
      </c>
      <c r="D3072" s="38" t="s">
        <v>33994</v>
      </c>
      <c r="E3072" s="167" t="s">
        <v>33995</v>
      </c>
      <c r="F3072" s="28">
        <v>162.0</v>
      </c>
      <c r="G3072" s="28">
        <v>171.0</v>
      </c>
      <c r="H3072" s="38" t="s">
        <v>17059</v>
      </c>
      <c r="I3072" s="19" t="s">
        <v>34001</v>
      </c>
      <c r="J3072" s="19" t="s">
        <v>34002</v>
      </c>
      <c r="K3072" s="19" t="s">
        <v>34002</v>
      </c>
      <c r="L3072" s="19" t="s">
        <v>34003</v>
      </c>
      <c r="M3072" s="1" t="s">
        <v>34004</v>
      </c>
      <c r="N3072" s="38" t="s">
        <v>34005</v>
      </c>
      <c r="O3072" s="109"/>
      <c r="P3072" s="28">
        <v>0.0</v>
      </c>
      <c r="Q3072" s="28">
        <v>50.0</v>
      </c>
    </row>
    <row r="3073">
      <c r="A3073" s="1" t="s">
        <v>120</v>
      </c>
      <c r="B3073" s="160" t="s">
        <v>121</v>
      </c>
      <c r="C3073" s="38" t="s">
        <v>34008</v>
      </c>
      <c r="D3073" s="38" t="s">
        <v>34009</v>
      </c>
      <c r="E3073" s="167" t="s">
        <v>34010</v>
      </c>
      <c r="F3073" s="28">
        <v>109.0</v>
      </c>
      <c r="G3073" s="28">
        <v>119.0</v>
      </c>
      <c r="H3073" s="38" t="s">
        <v>17059</v>
      </c>
      <c r="I3073" s="19" t="s">
        <v>34015</v>
      </c>
      <c r="J3073" s="19" t="s">
        <v>34016</v>
      </c>
      <c r="K3073" s="19" t="s">
        <v>34016</v>
      </c>
      <c r="L3073" s="19" t="s">
        <v>34017</v>
      </c>
      <c r="M3073" s="1" t="s">
        <v>34018</v>
      </c>
      <c r="N3073" s="38" t="s">
        <v>34019</v>
      </c>
      <c r="O3073" s="109"/>
      <c r="P3073" s="28">
        <v>0.0</v>
      </c>
      <c r="Q3073" s="28">
        <v>80.0</v>
      </c>
    </row>
    <row r="3074">
      <c r="A3074" s="1" t="s">
        <v>120</v>
      </c>
      <c r="B3074" s="160" t="s">
        <v>121</v>
      </c>
      <c r="C3074" s="38" t="s">
        <v>34020</v>
      </c>
      <c r="D3074" s="38" t="s">
        <v>34021</v>
      </c>
      <c r="E3074" s="167" t="s">
        <v>34022</v>
      </c>
      <c r="F3074" s="28">
        <v>321.0</v>
      </c>
      <c r="G3074" s="28">
        <v>330.0</v>
      </c>
      <c r="H3074" s="38" t="s">
        <v>17059</v>
      </c>
      <c r="I3074" s="19" t="s">
        <v>34028</v>
      </c>
      <c r="J3074" s="19" t="s">
        <v>34030</v>
      </c>
      <c r="K3074" s="19" t="s">
        <v>34030</v>
      </c>
      <c r="L3074" s="19" t="s">
        <v>34031</v>
      </c>
      <c r="M3074" s="1" t="s">
        <v>34033</v>
      </c>
      <c r="N3074" s="38" t="s">
        <v>34034</v>
      </c>
      <c r="O3074" s="109"/>
      <c r="P3074" s="28">
        <v>1.0</v>
      </c>
      <c r="Q3074" s="28">
        <v>47.0</v>
      </c>
    </row>
    <row r="3075">
      <c r="A3075" s="1" t="s">
        <v>120</v>
      </c>
      <c r="B3075" s="160" t="s">
        <v>121</v>
      </c>
      <c r="C3075" s="38" t="s">
        <v>34036</v>
      </c>
      <c r="D3075" s="38" t="s">
        <v>34037</v>
      </c>
      <c r="E3075" s="167" t="s">
        <v>34038</v>
      </c>
      <c r="F3075" s="28">
        <v>385.0</v>
      </c>
      <c r="G3075" s="28">
        <v>395.0</v>
      </c>
      <c r="H3075" s="38" t="s">
        <v>17059</v>
      </c>
      <c r="I3075" s="19" t="s">
        <v>34041</v>
      </c>
      <c r="J3075" s="19" t="s">
        <v>34042</v>
      </c>
      <c r="K3075" s="19" t="s">
        <v>34042</v>
      </c>
      <c r="L3075" s="19" t="s">
        <v>34043</v>
      </c>
      <c r="M3075" s="1" t="s">
        <v>34044</v>
      </c>
      <c r="N3075" s="38" t="s">
        <v>34045</v>
      </c>
      <c r="O3075" s="109"/>
      <c r="P3075" s="28">
        <v>0.0</v>
      </c>
      <c r="Q3075" s="28">
        <v>71.0</v>
      </c>
    </row>
    <row r="3076">
      <c r="A3076" s="1" t="s">
        <v>120</v>
      </c>
      <c r="B3076" s="160" t="s">
        <v>121</v>
      </c>
      <c r="C3076" s="38" t="s">
        <v>34047</v>
      </c>
      <c r="D3076" s="38" t="s">
        <v>34048</v>
      </c>
      <c r="E3076" s="167" t="s">
        <v>34050</v>
      </c>
      <c r="F3076" s="28">
        <v>235.0</v>
      </c>
      <c r="G3076" s="28">
        <v>245.0</v>
      </c>
      <c r="H3076" s="38" t="s">
        <v>17059</v>
      </c>
      <c r="I3076" s="19" t="s">
        <v>34052</v>
      </c>
      <c r="J3076" s="19" t="s">
        <v>34053</v>
      </c>
      <c r="K3076" s="19" t="s">
        <v>34054</v>
      </c>
      <c r="L3076" s="19" t="s">
        <v>34055</v>
      </c>
      <c r="M3076" s="1" t="s">
        <v>34056</v>
      </c>
      <c r="N3076" s="38" t="s">
        <v>34057</v>
      </c>
      <c r="O3076" s="109"/>
      <c r="P3076" s="28">
        <v>0.0</v>
      </c>
      <c r="Q3076" s="28">
        <v>65.0</v>
      </c>
    </row>
    <row r="3077">
      <c r="A3077" s="1" t="s">
        <v>120</v>
      </c>
      <c r="B3077" s="160" t="s">
        <v>121</v>
      </c>
      <c r="C3077" s="38" t="s">
        <v>34058</v>
      </c>
      <c r="D3077" s="38" t="s">
        <v>34060</v>
      </c>
      <c r="E3077" s="167" t="s">
        <v>34061</v>
      </c>
      <c r="F3077" s="28">
        <v>331.0</v>
      </c>
      <c r="G3077" s="28">
        <v>341.0</v>
      </c>
      <c r="H3077" s="38" t="s">
        <v>17059</v>
      </c>
      <c r="I3077" s="19" t="s">
        <v>34066</v>
      </c>
      <c r="J3077" s="19" t="s">
        <v>34067</v>
      </c>
      <c r="K3077" s="19" t="s">
        <v>34068</v>
      </c>
      <c r="L3077" s="19" t="s">
        <v>34069</v>
      </c>
      <c r="M3077" s="1" t="s">
        <v>34070</v>
      </c>
      <c r="N3077" s="38" t="s">
        <v>34071</v>
      </c>
      <c r="O3077" s="109"/>
      <c r="P3077" s="28">
        <v>0.0</v>
      </c>
      <c r="Q3077" s="28">
        <v>82.0</v>
      </c>
    </row>
    <row r="3078">
      <c r="A3078" s="1" t="s">
        <v>120</v>
      </c>
      <c r="B3078" s="160" t="s">
        <v>121</v>
      </c>
      <c r="C3078" s="38" t="s">
        <v>34072</v>
      </c>
      <c r="D3078" s="38" t="s">
        <v>34073</v>
      </c>
      <c r="E3078" s="167" t="s">
        <v>34074</v>
      </c>
      <c r="F3078" s="28">
        <v>417.0</v>
      </c>
      <c r="G3078" s="28">
        <v>426.0</v>
      </c>
      <c r="H3078" s="38" t="s">
        <v>17059</v>
      </c>
      <c r="I3078" s="19" t="s">
        <v>34079</v>
      </c>
      <c r="J3078" s="19" t="s">
        <v>34080</v>
      </c>
      <c r="K3078" s="19" t="s">
        <v>34080</v>
      </c>
      <c r="L3078" s="19" t="s">
        <v>34081</v>
      </c>
      <c r="M3078" s="1" t="s">
        <v>34082</v>
      </c>
      <c r="N3078" s="38" t="s">
        <v>34083</v>
      </c>
      <c r="O3078" s="109"/>
      <c r="P3078" s="28">
        <v>0.0</v>
      </c>
      <c r="Q3078" s="28">
        <v>49.0</v>
      </c>
    </row>
    <row r="3079">
      <c r="A3079" s="1" t="s">
        <v>120</v>
      </c>
      <c r="B3079" s="160" t="s">
        <v>121</v>
      </c>
      <c r="C3079" s="38" t="s">
        <v>34084</v>
      </c>
      <c r="D3079" s="38" t="s">
        <v>34085</v>
      </c>
      <c r="E3079" s="167" t="s">
        <v>34086</v>
      </c>
      <c r="F3079" s="28">
        <v>396.0</v>
      </c>
      <c r="G3079" s="28">
        <v>406.0</v>
      </c>
      <c r="H3079" s="38" t="s">
        <v>17059</v>
      </c>
      <c r="I3079" s="19" t="s">
        <v>34087</v>
      </c>
      <c r="J3079" s="19" t="s">
        <v>34088</v>
      </c>
      <c r="K3079" s="19" t="s">
        <v>34088</v>
      </c>
      <c r="L3079" s="19" t="s">
        <v>34089</v>
      </c>
      <c r="M3079" s="1" t="s">
        <v>34090</v>
      </c>
      <c r="N3079" s="38" t="s">
        <v>34091</v>
      </c>
      <c r="O3079" s="109"/>
      <c r="P3079" s="28">
        <v>0.0</v>
      </c>
      <c r="Q3079" s="28">
        <v>46.0</v>
      </c>
    </row>
    <row r="3080">
      <c r="A3080" s="1" t="s">
        <v>120</v>
      </c>
      <c r="B3080" s="160" t="s">
        <v>121</v>
      </c>
      <c r="C3080" s="38" t="s">
        <v>34092</v>
      </c>
      <c r="D3080" s="38" t="s">
        <v>34093</v>
      </c>
      <c r="E3080" s="167" t="s">
        <v>34094</v>
      </c>
      <c r="F3080" s="28">
        <v>277.0</v>
      </c>
      <c r="G3080" s="28">
        <v>287.0</v>
      </c>
      <c r="H3080" s="38" t="s">
        <v>17059</v>
      </c>
      <c r="I3080" s="19" t="s">
        <v>34095</v>
      </c>
      <c r="J3080" s="19" t="s">
        <v>34096</v>
      </c>
      <c r="K3080" s="19" t="s">
        <v>34097</v>
      </c>
      <c r="L3080" s="19" t="s">
        <v>34098</v>
      </c>
      <c r="M3080" s="1" t="s">
        <v>24843</v>
      </c>
      <c r="N3080" s="38" t="s">
        <v>34099</v>
      </c>
      <c r="O3080" s="109"/>
      <c r="P3080" s="28">
        <v>1.0</v>
      </c>
      <c r="Q3080" s="28">
        <v>60.0</v>
      </c>
    </row>
    <row r="3081">
      <c r="A3081" s="1" t="s">
        <v>120</v>
      </c>
      <c r="B3081" s="160" t="s">
        <v>121</v>
      </c>
      <c r="C3081" s="38" t="s">
        <v>34100</v>
      </c>
      <c r="D3081" s="38" t="s">
        <v>34101</v>
      </c>
      <c r="E3081" s="167" t="s">
        <v>34102</v>
      </c>
      <c r="F3081" s="28">
        <v>98.0</v>
      </c>
      <c r="G3081" s="28">
        <v>108.0</v>
      </c>
      <c r="H3081" s="38" t="s">
        <v>17059</v>
      </c>
      <c r="I3081" s="19" t="s">
        <v>34105</v>
      </c>
      <c r="J3081" s="19" t="s">
        <v>34106</v>
      </c>
      <c r="K3081" s="19" t="s">
        <v>34106</v>
      </c>
      <c r="L3081" s="19" t="s">
        <v>34107</v>
      </c>
      <c r="M3081" s="1" t="s">
        <v>34108</v>
      </c>
      <c r="N3081" s="38" t="s">
        <v>34109</v>
      </c>
      <c r="O3081" s="109"/>
      <c r="P3081" s="28">
        <v>0.0</v>
      </c>
      <c r="Q3081" s="28">
        <v>47.0</v>
      </c>
    </row>
    <row r="3082">
      <c r="A3082" s="1" t="s">
        <v>120</v>
      </c>
      <c r="B3082" s="160" t="s">
        <v>121</v>
      </c>
      <c r="C3082" s="38" t="s">
        <v>34110</v>
      </c>
      <c r="D3082" s="38" t="s">
        <v>34111</v>
      </c>
      <c r="E3082" s="167" t="s">
        <v>34112</v>
      </c>
      <c r="F3082" s="28">
        <v>142.0</v>
      </c>
      <c r="G3082" s="28">
        <v>151.0</v>
      </c>
      <c r="H3082" s="38" t="s">
        <v>17059</v>
      </c>
      <c r="I3082" s="19" t="s">
        <v>34113</v>
      </c>
      <c r="J3082" s="19" t="s">
        <v>34114</v>
      </c>
      <c r="K3082" s="19" t="s">
        <v>34114</v>
      </c>
      <c r="L3082" s="19" t="s">
        <v>34115</v>
      </c>
      <c r="M3082" s="1" t="s">
        <v>34116</v>
      </c>
      <c r="N3082" s="38" t="s">
        <v>34117</v>
      </c>
      <c r="O3082" s="109"/>
      <c r="P3082" s="28">
        <v>0.0</v>
      </c>
      <c r="Q3082" s="28">
        <v>40.0</v>
      </c>
    </row>
    <row r="3083">
      <c r="A3083" s="1" t="s">
        <v>120</v>
      </c>
      <c r="B3083" s="160" t="s">
        <v>121</v>
      </c>
      <c r="C3083" s="38" t="s">
        <v>34118</v>
      </c>
      <c r="D3083" s="38" t="s">
        <v>34119</v>
      </c>
      <c r="E3083" s="167" t="s">
        <v>34120</v>
      </c>
      <c r="F3083" s="28">
        <v>1.0</v>
      </c>
      <c r="G3083" s="28">
        <v>11.0</v>
      </c>
      <c r="H3083" s="38" t="s">
        <v>17059</v>
      </c>
      <c r="I3083" s="19" t="s">
        <v>34121</v>
      </c>
      <c r="J3083" s="19" t="s">
        <v>34122</v>
      </c>
      <c r="K3083" s="19" t="s">
        <v>34122</v>
      </c>
      <c r="L3083" s="19" t="s">
        <v>34123</v>
      </c>
      <c r="M3083" s="1" t="s">
        <v>34124</v>
      </c>
      <c r="N3083" s="38" t="s">
        <v>34125</v>
      </c>
      <c r="O3083" s="109"/>
      <c r="P3083" s="28">
        <v>0.0</v>
      </c>
      <c r="Q3083" s="28">
        <v>67.0</v>
      </c>
      <c r="R3083" s="1" t="s">
        <v>106</v>
      </c>
    </row>
    <row r="3084">
      <c r="A3084" s="1" t="s">
        <v>120</v>
      </c>
      <c r="B3084" s="160" t="s">
        <v>121</v>
      </c>
      <c r="C3084" s="38" t="s">
        <v>34126</v>
      </c>
      <c r="D3084" s="38" t="s">
        <v>34127</v>
      </c>
      <c r="E3084" s="167" t="s">
        <v>34128</v>
      </c>
      <c r="F3084" s="28">
        <v>12.0</v>
      </c>
      <c r="G3084" s="28">
        <v>21.0</v>
      </c>
      <c r="H3084" s="38" t="s">
        <v>17059</v>
      </c>
      <c r="I3084" s="19" t="s">
        <v>34129</v>
      </c>
      <c r="J3084" s="19" t="s">
        <v>34130</v>
      </c>
      <c r="K3084" s="19" t="s">
        <v>34131</v>
      </c>
      <c r="L3084" s="19" t="s">
        <v>34132</v>
      </c>
      <c r="M3084" s="1" t="s">
        <v>34133</v>
      </c>
      <c r="N3084" s="38" t="s">
        <v>34134</v>
      </c>
      <c r="O3084" s="109"/>
      <c r="P3084" s="28">
        <v>0.0</v>
      </c>
      <c r="Q3084" s="28">
        <v>63.0</v>
      </c>
    </row>
    <row r="3085">
      <c r="A3085" s="1" t="s">
        <v>120</v>
      </c>
      <c r="B3085" s="160" t="s">
        <v>121</v>
      </c>
      <c r="C3085" s="38" t="s">
        <v>34135</v>
      </c>
      <c r="D3085" s="38" t="s">
        <v>34136</v>
      </c>
      <c r="E3085" s="167" t="s">
        <v>34137</v>
      </c>
      <c r="F3085" s="28">
        <v>193.0</v>
      </c>
      <c r="G3085" s="28">
        <v>203.0</v>
      </c>
      <c r="H3085" s="38" t="s">
        <v>17059</v>
      </c>
      <c r="I3085" s="19" t="s">
        <v>34138</v>
      </c>
      <c r="J3085" s="19" t="s">
        <v>34140</v>
      </c>
      <c r="K3085" s="19" t="s">
        <v>34141</v>
      </c>
      <c r="L3085" s="19" t="s">
        <v>34142</v>
      </c>
      <c r="M3085" s="1" t="s">
        <v>34143</v>
      </c>
      <c r="N3085" s="38" t="s">
        <v>34144</v>
      </c>
      <c r="O3085" s="109"/>
      <c r="P3085" s="28">
        <v>0.0</v>
      </c>
      <c r="Q3085" s="28">
        <v>57.0</v>
      </c>
    </row>
    <row r="3086">
      <c r="A3086" s="1" t="s">
        <v>120</v>
      </c>
      <c r="B3086" s="160" t="s">
        <v>121</v>
      </c>
      <c r="C3086" s="38" t="s">
        <v>34145</v>
      </c>
      <c r="D3086" s="38" t="s">
        <v>34146</v>
      </c>
      <c r="E3086" s="167" t="s">
        <v>34147</v>
      </c>
      <c r="F3086" s="28">
        <v>152.0</v>
      </c>
      <c r="G3086" s="28">
        <v>161.0</v>
      </c>
      <c r="H3086" s="38" t="s">
        <v>17059</v>
      </c>
      <c r="I3086" s="19" t="s">
        <v>34148</v>
      </c>
      <c r="J3086" s="19" t="s">
        <v>34149</v>
      </c>
      <c r="K3086" s="19" t="s">
        <v>34150</v>
      </c>
      <c r="L3086" s="19" t="s">
        <v>34151</v>
      </c>
      <c r="M3086" s="1" t="s">
        <v>34152</v>
      </c>
      <c r="N3086" s="38" t="s">
        <v>34153</v>
      </c>
      <c r="O3086" s="109"/>
      <c r="P3086" s="28">
        <v>0.0</v>
      </c>
      <c r="Q3086" s="28">
        <v>36.0</v>
      </c>
    </row>
    <row r="3087">
      <c r="A3087" s="1" t="s">
        <v>120</v>
      </c>
      <c r="B3087" s="160" t="s">
        <v>121</v>
      </c>
      <c r="C3087" s="38" t="s">
        <v>34154</v>
      </c>
      <c r="D3087" s="38" t="s">
        <v>34155</v>
      </c>
      <c r="E3087" s="167" t="s">
        <v>34156</v>
      </c>
      <c r="F3087" s="28">
        <v>225.0</v>
      </c>
      <c r="G3087" s="28">
        <v>234.0</v>
      </c>
      <c r="H3087" s="38" t="s">
        <v>17059</v>
      </c>
      <c r="I3087" s="19" t="s">
        <v>34157</v>
      </c>
      <c r="J3087" s="19" t="s">
        <v>34158</v>
      </c>
      <c r="K3087" s="19" t="s">
        <v>34158</v>
      </c>
      <c r="L3087" s="19" t="s">
        <v>34159</v>
      </c>
      <c r="M3087" s="1" t="s">
        <v>34160</v>
      </c>
      <c r="N3087" s="38" t="s">
        <v>34161</v>
      </c>
      <c r="O3087" s="109"/>
      <c r="P3087" s="28">
        <v>0.0</v>
      </c>
      <c r="Q3087" s="28">
        <v>26.0</v>
      </c>
    </row>
    <row r="3088">
      <c r="A3088" s="1" t="s">
        <v>120</v>
      </c>
      <c r="B3088" s="160" t="s">
        <v>121</v>
      </c>
      <c r="C3088" s="38" t="s">
        <v>34164</v>
      </c>
      <c r="D3088" s="38" t="s">
        <v>34166</v>
      </c>
      <c r="E3088" s="167" t="s">
        <v>34167</v>
      </c>
      <c r="F3088" s="28">
        <v>120.0</v>
      </c>
      <c r="G3088" s="28">
        <v>130.0</v>
      </c>
      <c r="H3088" s="38" t="s">
        <v>17059</v>
      </c>
      <c r="I3088" s="19" t="s">
        <v>34172</v>
      </c>
      <c r="J3088" s="19" t="s">
        <v>34173</v>
      </c>
      <c r="K3088" s="19" t="s">
        <v>34173</v>
      </c>
      <c r="L3088" s="19" t="s">
        <v>34174</v>
      </c>
      <c r="M3088" s="1" t="s">
        <v>34175</v>
      </c>
      <c r="N3088" s="38" t="s">
        <v>34176</v>
      </c>
      <c r="O3088" s="109"/>
      <c r="P3088" s="28">
        <v>0.0</v>
      </c>
      <c r="Q3088" s="28">
        <v>47.0</v>
      </c>
    </row>
    <row r="3089">
      <c r="A3089" s="1" t="s">
        <v>120</v>
      </c>
      <c r="B3089" s="160" t="s">
        <v>121</v>
      </c>
      <c r="C3089" s="38" t="s">
        <v>34177</v>
      </c>
      <c r="D3089" s="38" t="s">
        <v>34178</v>
      </c>
      <c r="E3089" s="167" t="s">
        <v>34179</v>
      </c>
      <c r="F3089" s="28">
        <v>32.0</v>
      </c>
      <c r="G3089" s="28">
        <v>42.0</v>
      </c>
      <c r="H3089" s="38" t="s">
        <v>17059</v>
      </c>
      <c r="I3089" s="19" t="s">
        <v>34181</v>
      </c>
      <c r="J3089" s="19" t="s">
        <v>34183</v>
      </c>
      <c r="K3089" s="19" t="s">
        <v>34184</v>
      </c>
      <c r="L3089" s="19" t="s">
        <v>34185</v>
      </c>
      <c r="M3089" s="1" t="s">
        <v>34186</v>
      </c>
      <c r="N3089" s="38" t="s">
        <v>34188</v>
      </c>
      <c r="O3089" s="109"/>
      <c r="P3089" s="28">
        <v>0.0</v>
      </c>
      <c r="Q3089" s="28">
        <v>119.0</v>
      </c>
    </row>
    <row r="3090">
      <c r="A3090" s="1" t="s">
        <v>120</v>
      </c>
      <c r="B3090" s="160" t="s">
        <v>121</v>
      </c>
      <c r="C3090" s="38" t="s">
        <v>34189</v>
      </c>
      <c r="D3090" s="38" t="s">
        <v>34190</v>
      </c>
      <c r="E3090" s="167" t="s">
        <v>34191</v>
      </c>
      <c r="F3090" s="28">
        <v>215.0</v>
      </c>
      <c r="G3090" s="28">
        <v>224.0</v>
      </c>
      <c r="H3090" s="38" t="s">
        <v>17059</v>
      </c>
      <c r="I3090" s="19" t="s">
        <v>34192</v>
      </c>
      <c r="J3090" s="19" t="s">
        <v>34193</v>
      </c>
      <c r="K3090" s="19" t="s">
        <v>34193</v>
      </c>
      <c r="L3090" s="19" t="s">
        <v>34194</v>
      </c>
      <c r="M3090" s="1" t="s">
        <v>34195</v>
      </c>
      <c r="N3090" s="38" t="s">
        <v>34196</v>
      </c>
      <c r="O3090" s="109"/>
      <c r="P3090" s="28">
        <v>1.0</v>
      </c>
      <c r="Q3090" s="28">
        <v>55.0</v>
      </c>
      <c r="R3090" s="1" t="s">
        <v>19037</v>
      </c>
    </row>
    <row r="3091">
      <c r="A3091" s="1" t="s">
        <v>120</v>
      </c>
      <c r="B3091" s="160" t="s">
        <v>121</v>
      </c>
      <c r="C3091" s="38" t="s">
        <v>34197</v>
      </c>
      <c r="D3091" s="38" t="s">
        <v>34198</v>
      </c>
      <c r="E3091" s="167" t="s">
        <v>34199</v>
      </c>
      <c r="F3091" s="28">
        <v>299.0</v>
      </c>
      <c r="G3091" s="28">
        <v>309.0</v>
      </c>
      <c r="H3091" s="38" t="s">
        <v>17059</v>
      </c>
      <c r="I3091" s="19" t="s">
        <v>34204</v>
      </c>
      <c r="J3091" s="19" t="s">
        <v>34205</v>
      </c>
      <c r="K3091" s="19" t="s">
        <v>34205</v>
      </c>
      <c r="L3091" s="19" t="s">
        <v>34206</v>
      </c>
      <c r="M3091" s="1" t="s">
        <v>34207</v>
      </c>
      <c r="N3091" s="38" t="s">
        <v>34208</v>
      </c>
      <c r="O3091" s="109"/>
      <c r="P3091" s="28">
        <v>0.0</v>
      </c>
      <c r="Q3091" s="28">
        <v>85.0</v>
      </c>
    </row>
    <row r="3092">
      <c r="A3092" s="1" t="s">
        <v>120</v>
      </c>
      <c r="B3092" s="160" t="s">
        <v>121</v>
      </c>
      <c r="C3092" s="38" t="s">
        <v>34210</v>
      </c>
      <c r="D3092" s="38" t="s">
        <v>34211</v>
      </c>
      <c r="E3092" s="167" t="s">
        <v>34213</v>
      </c>
      <c r="F3092" s="28">
        <v>183.0</v>
      </c>
      <c r="G3092" s="28">
        <v>192.0</v>
      </c>
      <c r="H3092" s="38" t="s">
        <v>17059</v>
      </c>
      <c r="I3092" s="19" t="s">
        <v>34215</v>
      </c>
      <c r="J3092" s="19" t="s">
        <v>34216</v>
      </c>
      <c r="K3092" s="19" t="s">
        <v>34216</v>
      </c>
      <c r="L3092" s="19" t="s">
        <v>34217</v>
      </c>
      <c r="M3092" s="1" t="s">
        <v>34218</v>
      </c>
      <c r="N3092" s="38" t="s">
        <v>34219</v>
      </c>
      <c r="O3092" s="109"/>
      <c r="P3092" s="28">
        <v>0.0</v>
      </c>
      <c r="Q3092" s="28">
        <v>46.0</v>
      </c>
    </row>
    <row r="3093">
      <c r="A3093" s="1" t="s">
        <v>120</v>
      </c>
      <c r="B3093" s="160" t="s">
        <v>121</v>
      </c>
      <c r="C3093" s="38" t="s">
        <v>34220</v>
      </c>
      <c r="D3093" s="38" t="s">
        <v>34221</v>
      </c>
      <c r="E3093" s="167" t="s">
        <v>34222</v>
      </c>
      <c r="F3093" s="28">
        <v>204.0</v>
      </c>
      <c r="G3093" s="28">
        <v>214.0</v>
      </c>
      <c r="H3093" s="38" t="s">
        <v>17059</v>
      </c>
      <c r="I3093" s="19" t="s">
        <v>34227</v>
      </c>
      <c r="J3093" s="19" t="s">
        <v>34228</v>
      </c>
      <c r="K3093" s="19" t="s">
        <v>34229</v>
      </c>
      <c r="L3093" s="19" t="s">
        <v>34230</v>
      </c>
      <c r="M3093" s="1" t="s">
        <v>18221</v>
      </c>
      <c r="N3093" s="38" t="s">
        <v>34231</v>
      </c>
      <c r="O3093" s="109"/>
      <c r="P3093" s="28">
        <v>0.0</v>
      </c>
      <c r="Q3093" s="28">
        <v>55.0</v>
      </c>
    </row>
    <row r="3094">
      <c r="A3094" s="1" t="s">
        <v>120</v>
      </c>
      <c r="B3094" s="160" t="s">
        <v>121</v>
      </c>
      <c r="C3094" s="38" t="s">
        <v>34232</v>
      </c>
      <c r="D3094" s="38" t="s">
        <v>34233</v>
      </c>
      <c r="E3094" s="167" t="s">
        <v>34234</v>
      </c>
      <c r="F3094" s="28">
        <v>131.0</v>
      </c>
      <c r="G3094" s="28">
        <v>141.0</v>
      </c>
      <c r="H3094" s="38" t="s">
        <v>17059</v>
      </c>
      <c r="I3094" s="19" t="s">
        <v>34236</v>
      </c>
      <c r="J3094" s="19" t="s">
        <v>34237</v>
      </c>
      <c r="K3094" s="19" t="s">
        <v>34237</v>
      </c>
      <c r="L3094" s="19" t="s">
        <v>34238</v>
      </c>
      <c r="M3094" s="1" t="s">
        <v>34239</v>
      </c>
      <c r="N3094" s="38" t="s">
        <v>34240</v>
      </c>
      <c r="O3094" s="109"/>
      <c r="P3094" s="28">
        <v>0.0</v>
      </c>
      <c r="Q3094" s="28">
        <v>60.0</v>
      </c>
    </row>
    <row r="3095">
      <c r="A3095" s="1" t="s">
        <v>120</v>
      </c>
      <c r="B3095" s="160" t="s">
        <v>121</v>
      </c>
      <c r="C3095" s="38" t="s">
        <v>34241</v>
      </c>
      <c r="D3095" s="38" t="s">
        <v>34242</v>
      </c>
      <c r="E3095" s="167" t="s">
        <v>34243</v>
      </c>
      <c r="F3095" s="28">
        <v>22.0</v>
      </c>
      <c r="G3095" s="28">
        <v>31.0</v>
      </c>
      <c r="H3095" s="38" t="s">
        <v>17059</v>
      </c>
      <c r="I3095" s="19" t="s">
        <v>34244</v>
      </c>
      <c r="J3095" s="19" t="s">
        <v>34245</v>
      </c>
      <c r="K3095" s="19" t="s">
        <v>34245</v>
      </c>
      <c r="L3095" s="19" t="s">
        <v>34246</v>
      </c>
      <c r="M3095" s="1" t="s">
        <v>34247</v>
      </c>
      <c r="N3095" s="38" t="s">
        <v>34248</v>
      </c>
      <c r="O3095" s="109"/>
      <c r="P3095" s="28">
        <v>0.0</v>
      </c>
      <c r="Q3095" s="28">
        <v>26.0</v>
      </c>
    </row>
    <row r="3096">
      <c r="A3096" s="1" t="s">
        <v>120</v>
      </c>
      <c r="B3096" s="160" t="s">
        <v>121</v>
      </c>
      <c r="C3096" s="38" t="s">
        <v>34249</v>
      </c>
      <c r="D3096" s="38" t="s">
        <v>34250</v>
      </c>
      <c r="E3096" s="167" t="s">
        <v>34251</v>
      </c>
      <c r="F3096" s="28">
        <v>65.0</v>
      </c>
      <c r="G3096" s="28">
        <v>75.0</v>
      </c>
      <c r="H3096" s="38" t="s">
        <v>17059</v>
      </c>
      <c r="I3096" s="19" t="s">
        <v>34252</v>
      </c>
      <c r="J3096" s="19" t="s">
        <v>34253</v>
      </c>
      <c r="K3096" s="19" t="s">
        <v>34254</v>
      </c>
      <c r="L3096" s="19" t="s">
        <v>34255</v>
      </c>
      <c r="M3096" s="1" t="s">
        <v>34256</v>
      </c>
      <c r="N3096" s="38" t="s">
        <v>34257</v>
      </c>
      <c r="O3096" s="109"/>
      <c r="P3096" s="28">
        <v>0.0</v>
      </c>
      <c r="Q3096" s="28">
        <v>48.0</v>
      </c>
    </row>
    <row r="3097">
      <c r="A3097" s="1" t="s">
        <v>120</v>
      </c>
      <c r="B3097" s="160" t="s">
        <v>121</v>
      </c>
      <c r="C3097" s="38" t="s">
        <v>34258</v>
      </c>
      <c r="D3097" s="38" t="s">
        <v>34259</v>
      </c>
      <c r="E3097" s="167" t="s">
        <v>34260</v>
      </c>
      <c r="F3097" s="28">
        <v>87.0</v>
      </c>
      <c r="G3097" s="28">
        <v>97.0</v>
      </c>
      <c r="H3097" s="38" t="s">
        <v>17059</v>
      </c>
      <c r="I3097" s="19" t="s">
        <v>34263</v>
      </c>
      <c r="J3097" s="19" t="s">
        <v>34264</v>
      </c>
      <c r="K3097" s="19" t="s">
        <v>34265</v>
      </c>
      <c r="L3097" s="19" t="s">
        <v>24029</v>
      </c>
      <c r="M3097" s="1" t="s">
        <v>34266</v>
      </c>
      <c r="N3097" s="38" t="s">
        <v>34267</v>
      </c>
      <c r="O3097" s="109"/>
      <c r="P3097" s="28">
        <v>0.0</v>
      </c>
      <c r="Q3097" s="28">
        <v>49.0</v>
      </c>
    </row>
    <row r="3098">
      <c r="A3098" s="1" t="s">
        <v>120</v>
      </c>
      <c r="B3098" s="160" t="s">
        <v>121</v>
      </c>
      <c r="C3098" s="38" t="s">
        <v>34268</v>
      </c>
      <c r="D3098" s="38" t="s">
        <v>34269</v>
      </c>
      <c r="E3098" s="167" t="s">
        <v>34270</v>
      </c>
      <c r="F3098" s="28">
        <v>246.0</v>
      </c>
      <c r="G3098" s="28">
        <v>255.0</v>
      </c>
      <c r="H3098" s="38" t="s">
        <v>17059</v>
      </c>
      <c r="I3098" s="19" t="s">
        <v>34271</v>
      </c>
      <c r="J3098" s="19" t="s">
        <v>34272</v>
      </c>
      <c r="K3098" s="19" t="s">
        <v>34273</v>
      </c>
      <c r="L3098" s="19" t="s">
        <v>34274</v>
      </c>
      <c r="M3098" s="1" t="s">
        <v>34275</v>
      </c>
      <c r="N3098" s="38" t="s">
        <v>34276</v>
      </c>
      <c r="O3098" s="109"/>
      <c r="P3098" s="28">
        <v>0.0</v>
      </c>
      <c r="Q3098" s="28">
        <v>32.0</v>
      </c>
    </row>
    <row r="3099">
      <c r="A3099" s="1" t="s">
        <v>120</v>
      </c>
      <c r="B3099" s="160" t="s">
        <v>121</v>
      </c>
      <c r="C3099" s="38" t="s">
        <v>34277</v>
      </c>
      <c r="D3099" s="38" t="s">
        <v>34278</v>
      </c>
      <c r="E3099" s="167" t="s">
        <v>34279</v>
      </c>
      <c r="F3099" s="28">
        <v>353.0</v>
      </c>
      <c r="G3099" s="28">
        <v>363.0</v>
      </c>
      <c r="H3099" s="38" t="s">
        <v>17059</v>
      </c>
      <c r="I3099" s="19" t="s">
        <v>34283</v>
      </c>
      <c r="J3099" s="19" t="s">
        <v>34285</v>
      </c>
      <c r="K3099" s="19" t="s">
        <v>34285</v>
      </c>
      <c r="L3099" s="19" t="s">
        <v>34286</v>
      </c>
      <c r="M3099" s="1" t="s">
        <v>34287</v>
      </c>
      <c r="N3099" s="38" t="s">
        <v>34289</v>
      </c>
      <c r="O3099" s="109"/>
      <c r="P3099" s="28">
        <v>1.0</v>
      </c>
      <c r="Q3099" s="28">
        <v>55.0</v>
      </c>
      <c r="R3099" s="1" t="s">
        <v>19037</v>
      </c>
    </row>
    <row r="3100">
      <c r="A3100" s="1" t="s">
        <v>120</v>
      </c>
      <c r="B3100" s="160" t="s">
        <v>121</v>
      </c>
      <c r="C3100" s="38" t="s">
        <v>34290</v>
      </c>
      <c r="D3100" s="38" t="s">
        <v>34291</v>
      </c>
      <c r="E3100" s="167" t="s">
        <v>34292</v>
      </c>
      <c r="F3100" s="28">
        <v>172.0</v>
      </c>
      <c r="G3100" s="28">
        <v>182.0</v>
      </c>
      <c r="H3100" s="38" t="s">
        <v>17059</v>
      </c>
      <c r="I3100" s="19" t="s">
        <v>34296</v>
      </c>
      <c r="J3100" s="19" t="s">
        <v>34297</v>
      </c>
      <c r="K3100" s="19" t="s">
        <v>34298</v>
      </c>
      <c r="L3100" s="19" t="s">
        <v>34299</v>
      </c>
      <c r="M3100" s="1" t="s">
        <v>34300</v>
      </c>
      <c r="N3100" s="38" t="s">
        <v>34302</v>
      </c>
      <c r="O3100" s="109"/>
      <c r="P3100" s="28">
        <v>0.0</v>
      </c>
      <c r="Q3100" s="28">
        <v>59.0</v>
      </c>
    </row>
    <row r="3101">
      <c r="A3101" s="1" t="s">
        <v>120</v>
      </c>
      <c r="B3101" s="160" t="s">
        <v>121</v>
      </c>
      <c r="C3101" s="38" t="s">
        <v>34305</v>
      </c>
      <c r="D3101" s="38" t="s">
        <v>34306</v>
      </c>
      <c r="E3101" s="167" t="s">
        <v>34308</v>
      </c>
      <c r="F3101" s="28">
        <v>76.0</v>
      </c>
      <c r="G3101" s="28">
        <v>86.0</v>
      </c>
      <c r="H3101" s="38" t="s">
        <v>17059</v>
      </c>
      <c r="I3101" s="19" t="s">
        <v>34310</v>
      </c>
      <c r="J3101" s="19" t="s">
        <v>34311</v>
      </c>
      <c r="K3101" s="19" t="s">
        <v>34311</v>
      </c>
      <c r="L3101" s="19" t="s">
        <v>34312</v>
      </c>
      <c r="M3101" s="1" t="s">
        <v>34313</v>
      </c>
      <c r="N3101" s="38" t="s">
        <v>34315</v>
      </c>
      <c r="O3101" s="109"/>
      <c r="P3101" s="28">
        <v>0.0</v>
      </c>
      <c r="Q3101" s="28">
        <v>54.0</v>
      </c>
    </row>
    <row r="3102">
      <c r="A3102" s="1" t="s">
        <v>120</v>
      </c>
      <c r="B3102" s="160" t="s">
        <v>121</v>
      </c>
      <c r="C3102" s="38" t="s">
        <v>34316</v>
      </c>
      <c r="D3102" s="38" t="s">
        <v>34317</v>
      </c>
      <c r="E3102" s="167" t="s">
        <v>34318</v>
      </c>
      <c r="F3102" s="28">
        <v>256.0</v>
      </c>
      <c r="G3102" s="28">
        <v>266.0</v>
      </c>
      <c r="H3102" s="38" t="s">
        <v>17059</v>
      </c>
      <c r="I3102" s="19" t="s">
        <v>34322</v>
      </c>
      <c r="J3102" s="19" t="s">
        <v>34323</v>
      </c>
      <c r="K3102" s="19" t="s">
        <v>34324</v>
      </c>
      <c r="L3102" s="19" t="s">
        <v>34325</v>
      </c>
      <c r="M3102" s="1" t="s">
        <v>34327</v>
      </c>
      <c r="N3102" s="38" t="s">
        <v>34329</v>
      </c>
      <c r="O3102" s="109"/>
      <c r="P3102" s="28">
        <v>0.0</v>
      </c>
      <c r="Q3102" s="28">
        <v>56.0</v>
      </c>
    </row>
    <row r="3103">
      <c r="A3103" s="1"/>
      <c r="B3103" s="166"/>
      <c r="C3103" s="1"/>
      <c r="D3103" s="1"/>
      <c r="E3103" s="35"/>
      <c r="F3103" s="1"/>
      <c r="G3103" s="1"/>
      <c r="H3103" s="1"/>
      <c r="I3103" s="35"/>
      <c r="J3103" s="34"/>
      <c r="K3103" s="19"/>
      <c r="L3103" s="19"/>
      <c r="N3103" s="35"/>
    </row>
    <row r="3104">
      <c r="A3104" s="1"/>
      <c r="B3104" s="166"/>
      <c r="C3104" s="1"/>
      <c r="D3104" s="1"/>
      <c r="E3104" s="35"/>
      <c r="F3104" s="1"/>
      <c r="G3104" s="1"/>
      <c r="H3104" s="1"/>
      <c r="I3104" s="35"/>
      <c r="J3104" s="34"/>
      <c r="K3104" s="19"/>
      <c r="L3104" s="19"/>
      <c r="N3104" s="35"/>
    </row>
    <row r="3105">
      <c r="A3105" s="1"/>
      <c r="B3105" s="166"/>
      <c r="C3105" s="1"/>
      <c r="D3105" s="1"/>
      <c r="E3105" s="35"/>
      <c r="F3105" s="1"/>
      <c r="G3105" s="1"/>
      <c r="H3105" s="1"/>
      <c r="I3105" s="35"/>
      <c r="J3105" s="34"/>
      <c r="K3105" s="19"/>
      <c r="L3105" s="19"/>
      <c r="N3105" s="35"/>
    </row>
    <row r="3106">
      <c r="A3106" s="1"/>
      <c r="B3106" s="166"/>
      <c r="C3106" s="1"/>
      <c r="D3106" s="1"/>
      <c r="E3106" s="35"/>
      <c r="F3106" s="1"/>
      <c r="G3106" s="1"/>
      <c r="H3106" s="1"/>
      <c r="I3106" s="35"/>
      <c r="J3106" s="34"/>
      <c r="K3106" s="19"/>
      <c r="L3106" s="19"/>
      <c r="N3106" s="35"/>
    </row>
    <row r="3107">
      <c r="A3107" s="1"/>
      <c r="B3107" s="166"/>
      <c r="C3107" s="1"/>
      <c r="D3107" s="1"/>
      <c r="E3107" s="35"/>
      <c r="F3107" s="1"/>
      <c r="G3107" s="1"/>
      <c r="H3107" s="1"/>
      <c r="I3107" s="35"/>
      <c r="J3107" s="34"/>
      <c r="K3107" s="19"/>
      <c r="L3107" s="19"/>
      <c r="N3107" s="35"/>
    </row>
    <row r="3108">
      <c r="A3108" s="1"/>
      <c r="B3108" s="166"/>
      <c r="C3108" s="1"/>
      <c r="D3108" s="1"/>
      <c r="E3108" s="35"/>
      <c r="F3108" s="1"/>
      <c r="G3108" s="1"/>
      <c r="H3108" s="1"/>
      <c r="I3108" s="35"/>
      <c r="J3108" s="34"/>
      <c r="K3108" s="19"/>
      <c r="L3108" s="19"/>
      <c r="N3108" s="35"/>
    </row>
    <row r="3109">
      <c r="A3109" s="1"/>
      <c r="B3109" s="166"/>
      <c r="C3109" s="1"/>
      <c r="D3109" s="1"/>
      <c r="E3109" s="35"/>
      <c r="F3109" s="1"/>
      <c r="G3109" s="1"/>
      <c r="H3109" s="1"/>
      <c r="I3109" s="35"/>
      <c r="J3109" s="34"/>
      <c r="K3109" s="19"/>
      <c r="L3109" s="19"/>
      <c r="N3109" s="35"/>
    </row>
    <row r="3110">
      <c r="A3110" s="1"/>
      <c r="B3110" s="166"/>
      <c r="C3110" s="1"/>
      <c r="D3110" s="1"/>
      <c r="E3110" s="35"/>
      <c r="F3110" s="1"/>
      <c r="G3110" s="1"/>
      <c r="H3110" s="1"/>
      <c r="I3110" s="35"/>
      <c r="J3110" s="34"/>
      <c r="K3110" s="19"/>
      <c r="L3110" s="19"/>
      <c r="N3110" s="35"/>
    </row>
    <row r="3111">
      <c r="A3111" s="1"/>
      <c r="B3111" s="166"/>
      <c r="C3111" s="1"/>
      <c r="D3111" s="1"/>
      <c r="E3111" s="35"/>
      <c r="F3111" s="1"/>
      <c r="G3111" s="1"/>
      <c r="H3111" s="1"/>
      <c r="I3111" s="35"/>
      <c r="J3111" s="34"/>
      <c r="K3111" s="19"/>
      <c r="L3111" s="19"/>
      <c r="N3111" s="35"/>
    </row>
    <row r="3112">
      <c r="A3112" s="1"/>
      <c r="B3112" s="166"/>
      <c r="C3112" s="1"/>
      <c r="D3112" s="1"/>
      <c r="E3112" s="35"/>
      <c r="F3112" s="1"/>
      <c r="G3112" s="1"/>
      <c r="H3112" s="1"/>
      <c r="I3112" s="35"/>
      <c r="J3112" s="34"/>
      <c r="K3112" s="19"/>
      <c r="L3112" s="19"/>
      <c r="N3112" s="35"/>
    </row>
    <row r="3113">
      <c r="A3113" s="1"/>
      <c r="B3113" s="166"/>
      <c r="C3113" s="1"/>
      <c r="D3113" s="1"/>
      <c r="E3113" s="35"/>
      <c r="F3113" s="1"/>
      <c r="G3113" s="1"/>
      <c r="H3113" s="1"/>
      <c r="I3113" s="35"/>
      <c r="J3113" s="34"/>
      <c r="K3113" s="19"/>
      <c r="L3113" s="19"/>
      <c r="N3113" s="35"/>
    </row>
    <row r="3114">
      <c r="A3114" s="1"/>
      <c r="B3114" s="166"/>
      <c r="C3114" s="1"/>
      <c r="D3114" s="1"/>
      <c r="E3114" s="35"/>
      <c r="F3114" s="1"/>
      <c r="G3114" s="1"/>
      <c r="H3114" s="1"/>
      <c r="I3114" s="35"/>
      <c r="J3114" s="34"/>
      <c r="K3114" s="19"/>
      <c r="L3114" s="19"/>
      <c r="N3114" s="35"/>
    </row>
    <row r="3115">
      <c r="A3115" s="1"/>
      <c r="B3115" s="166"/>
      <c r="C3115" s="1"/>
      <c r="D3115" s="1"/>
      <c r="E3115" s="35"/>
      <c r="F3115" s="1"/>
      <c r="G3115" s="1"/>
      <c r="H3115" s="1"/>
      <c r="I3115" s="35"/>
      <c r="J3115" s="34"/>
      <c r="K3115" s="19"/>
      <c r="L3115" s="19"/>
      <c r="N3115" s="35"/>
    </row>
    <row r="3116">
      <c r="A3116" s="1"/>
      <c r="B3116" s="166"/>
      <c r="C3116" s="1"/>
      <c r="D3116" s="1"/>
      <c r="E3116" s="35"/>
      <c r="F3116" s="1"/>
      <c r="G3116" s="1"/>
      <c r="H3116" s="1"/>
      <c r="I3116" s="35"/>
      <c r="J3116" s="34"/>
      <c r="K3116" s="19"/>
      <c r="L3116" s="19"/>
      <c r="N3116" s="35"/>
    </row>
    <row r="3117">
      <c r="A3117" s="1"/>
      <c r="B3117" s="166"/>
      <c r="C3117" s="1"/>
      <c r="D3117" s="1"/>
      <c r="E3117" s="35"/>
      <c r="F3117" s="1"/>
      <c r="G3117" s="1"/>
      <c r="H3117" s="1"/>
      <c r="I3117" s="35"/>
      <c r="J3117" s="34"/>
      <c r="K3117" s="19"/>
      <c r="L3117" s="19"/>
      <c r="N3117" s="35"/>
    </row>
    <row r="3118">
      <c r="A3118" s="1"/>
      <c r="B3118" s="166"/>
      <c r="C3118" s="1"/>
      <c r="D3118" s="1"/>
      <c r="E3118" s="35"/>
      <c r="F3118" s="1"/>
      <c r="G3118" s="1"/>
      <c r="H3118" s="1"/>
      <c r="I3118" s="35"/>
      <c r="J3118" s="34"/>
      <c r="K3118" s="19"/>
      <c r="L3118" s="19"/>
      <c r="N3118" s="35"/>
    </row>
    <row r="3119">
      <c r="A3119" s="1"/>
      <c r="B3119" s="166"/>
      <c r="C3119" s="1"/>
      <c r="D3119" s="1"/>
      <c r="E3119" s="35"/>
      <c r="F3119" s="1"/>
      <c r="G3119" s="1"/>
      <c r="H3119" s="1"/>
      <c r="I3119" s="35"/>
      <c r="J3119" s="34"/>
      <c r="K3119" s="19"/>
      <c r="L3119" s="19"/>
      <c r="N3119" s="35"/>
    </row>
    <row r="3120">
      <c r="A3120" s="1"/>
      <c r="B3120" s="166"/>
      <c r="C3120" s="1"/>
      <c r="D3120" s="1"/>
      <c r="E3120" s="35"/>
      <c r="F3120" s="1"/>
      <c r="G3120" s="1"/>
      <c r="H3120" s="1"/>
      <c r="I3120" s="35"/>
      <c r="J3120" s="34"/>
      <c r="K3120" s="19"/>
      <c r="L3120" s="19"/>
      <c r="N3120" s="35"/>
    </row>
    <row r="3121">
      <c r="A3121" s="1"/>
      <c r="B3121" s="166"/>
      <c r="C3121" s="1"/>
      <c r="D3121" s="1"/>
      <c r="E3121" s="35"/>
      <c r="F3121" s="1"/>
      <c r="G3121" s="1"/>
      <c r="H3121" s="1"/>
      <c r="I3121" s="35"/>
      <c r="J3121" s="34"/>
      <c r="K3121" s="19"/>
      <c r="L3121" s="19"/>
      <c r="N3121" s="35"/>
    </row>
    <row r="3122">
      <c r="A3122" s="1"/>
      <c r="B3122" s="166"/>
      <c r="C3122" s="1"/>
      <c r="D3122" s="1"/>
      <c r="E3122" s="35"/>
      <c r="F3122" s="1"/>
      <c r="G3122" s="1"/>
      <c r="H3122" s="1"/>
      <c r="I3122" s="35"/>
      <c r="J3122" s="34"/>
      <c r="K3122" s="19"/>
      <c r="L3122" s="19"/>
      <c r="N3122" s="35"/>
    </row>
    <row r="3123">
      <c r="A3123" s="1"/>
      <c r="B3123" s="166"/>
      <c r="C3123" s="1"/>
      <c r="D3123" s="1"/>
      <c r="E3123" s="35"/>
      <c r="F3123" s="1"/>
      <c r="G3123" s="1"/>
      <c r="H3123" s="1"/>
      <c r="I3123" s="35"/>
      <c r="J3123" s="34"/>
      <c r="K3123" s="19"/>
      <c r="L3123" s="19"/>
      <c r="N3123" s="35"/>
    </row>
    <row r="3124">
      <c r="A3124" s="1"/>
      <c r="B3124" s="166"/>
      <c r="C3124" s="1"/>
      <c r="D3124" s="1"/>
      <c r="E3124" s="35"/>
      <c r="F3124" s="1"/>
      <c r="G3124" s="1"/>
      <c r="H3124" s="1"/>
      <c r="I3124" s="35"/>
      <c r="J3124" s="34"/>
      <c r="K3124" s="19"/>
      <c r="L3124" s="19"/>
      <c r="N3124" s="35"/>
    </row>
    <row r="3125">
      <c r="A3125" s="1"/>
      <c r="B3125" s="166"/>
      <c r="C3125" s="1"/>
      <c r="D3125" s="1"/>
      <c r="E3125" s="35"/>
      <c r="F3125" s="1"/>
      <c r="G3125" s="1"/>
      <c r="H3125" s="1"/>
      <c r="I3125" s="35"/>
      <c r="J3125" s="34"/>
      <c r="K3125" s="19"/>
      <c r="L3125" s="19"/>
      <c r="N3125" s="35"/>
    </row>
    <row r="3126">
      <c r="A3126" s="1"/>
      <c r="B3126" s="166"/>
      <c r="C3126" s="1"/>
      <c r="D3126" s="1"/>
      <c r="E3126" s="35"/>
      <c r="F3126" s="1"/>
      <c r="G3126" s="1"/>
      <c r="H3126" s="1"/>
      <c r="I3126" s="35"/>
      <c r="J3126" s="34"/>
      <c r="K3126" s="19"/>
      <c r="L3126" s="19"/>
      <c r="N3126" s="35"/>
    </row>
    <row r="3127">
      <c r="A3127" s="1"/>
      <c r="B3127" s="166"/>
      <c r="C3127" s="1"/>
      <c r="D3127" s="1"/>
      <c r="E3127" s="35"/>
      <c r="F3127" s="1"/>
      <c r="G3127" s="1"/>
      <c r="H3127" s="1"/>
      <c r="I3127" s="35"/>
      <c r="J3127" s="34"/>
      <c r="K3127" s="19"/>
      <c r="L3127" s="19"/>
      <c r="N3127" s="35"/>
    </row>
    <row r="3128">
      <c r="A3128" s="1"/>
      <c r="B3128" s="166"/>
      <c r="C3128" s="1"/>
      <c r="D3128" s="1"/>
      <c r="E3128" s="35"/>
      <c r="F3128" s="1"/>
      <c r="G3128" s="1"/>
      <c r="H3128" s="1"/>
      <c r="I3128" s="35"/>
      <c r="J3128" s="34"/>
      <c r="K3128" s="19"/>
      <c r="L3128" s="19"/>
      <c r="N3128" s="35"/>
    </row>
    <row r="3129">
      <c r="A3129" s="1"/>
      <c r="B3129" s="166"/>
      <c r="C3129" s="1"/>
      <c r="D3129" s="1"/>
      <c r="E3129" s="35"/>
      <c r="F3129" s="1"/>
      <c r="G3129" s="1"/>
      <c r="H3129" s="1"/>
      <c r="I3129" s="35"/>
      <c r="J3129" s="34"/>
      <c r="K3129" s="19"/>
      <c r="L3129" s="19"/>
      <c r="N3129" s="35"/>
    </row>
    <row r="3130">
      <c r="A3130" s="1"/>
      <c r="B3130" s="166"/>
      <c r="C3130" s="1"/>
      <c r="D3130" s="1"/>
      <c r="E3130" s="35"/>
      <c r="F3130" s="1"/>
      <c r="G3130" s="1"/>
      <c r="H3130" s="1"/>
      <c r="I3130" s="35"/>
      <c r="J3130" s="34"/>
      <c r="K3130" s="19"/>
      <c r="L3130" s="19"/>
      <c r="N3130" s="35"/>
    </row>
    <row r="3131">
      <c r="A3131" s="1"/>
      <c r="B3131" s="166"/>
      <c r="C3131" s="1"/>
      <c r="D3131" s="1"/>
      <c r="E3131" s="35"/>
      <c r="F3131" s="1"/>
      <c r="G3131" s="1"/>
      <c r="H3131" s="1"/>
      <c r="I3131" s="35"/>
      <c r="J3131" s="34"/>
      <c r="K3131" s="19"/>
      <c r="L3131" s="19"/>
      <c r="N3131" s="35"/>
    </row>
    <row r="3132">
      <c r="A3132" s="1"/>
      <c r="B3132" s="166"/>
      <c r="C3132" s="1"/>
      <c r="D3132" s="1"/>
      <c r="E3132" s="35"/>
      <c r="F3132" s="1"/>
      <c r="G3132" s="1"/>
      <c r="H3132" s="1"/>
      <c r="I3132" s="35"/>
      <c r="J3132" s="34"/>
      <c r="K3132" s="19"/>
      <c r="L3132" s="19"/>
      <c r="N3132" s="35"/>
    </row>
    <row r="3133">
      <c r="A3133" s="1"/>
      <c r="B3133" s="166"/>
      <c r="C3133" s="1"/>
      <c r="D3133" s="1"/>
      <c r="E3133" s="35"/>
      <c r="F3133" s="1"/>
      <c r="G3133" s="1"/>
      <c r="H3133" s="1"/>
      <c r="I3133" s="35"/>
      <c r="J3133" s="34"/>
      <c r="K3133" s="19"/>
      <c r="L3133" s="19"/>
      <c r="N3133" s="35"/>
    </row>
    <row r="3134">
      <c r="A3134" s="1"/>
      <c r="B3134" s="166"/>
      <c r="C3134" s="1"/>
      <c r="D3134" s="1"/>
      <c r="E3134" s="35"/>
      <c r="F3134" s="1"/>
      <c r="G3134" s="1"/>
      <c r="H3134" s="1"/>
      <c r="I3134" s="35"/>
      <c r="J3134" s="34"/>
      <c r="K3134" s="19"/>
      <c r="L3134" s="19"/>
      <c r="N3134" s="35"/>
    </row>
    <row r="3135">
      <c r="A3135" s="1"/>
      <c r="B3135" s="166"/>
      <c r="C3135" s="1"/>
      <c r="D3135" s="1"/>
      <c r="E3135" s="35"/>
      <c r="F3135" s="1"/>
      <c r="G3135" s="1"/>
      <c r="H3135" s="1"/>
      <c r="I3135" s="35"/>
      <c r="J3135" s="34"/>
      <c r="K3135" s="19"/>
      <c r="L3135" s="19"/>
      <c r="N3135" s="35"/>
    </row>
    <row r="3136">
      <c r="A3136" s="1"/>
      <c r="B3136" s="166"/>
      <c r="C3136" s="1"/>
      <c r="D3136" s="1"/>
      <c r="E3136" s="35"/>
      <c r="F3136" s="1"/>
      <c r="G3136" s="1"/>
      <c r="H3136" s="1"/>
      <c r="I3136" s="35"/>
      <c r="J3136" s="34"/>
      <c r="K3136" s="19"/>
      <c r="L3136" s="19"/>
      <c r="N3136" s="35"/>
    </row>
    <row r="3137">
      <c r="A3137" s="1"/>
      <c r="B3137" s="166"/>
      <c r="C3137" s="1"/>
      <c r="D3137" s="1"/>
      <c r="E3137" s="35"/>
      <c r="F3137" s="1"/>
      <c r="G3137" s="1"/>
      <c r="H3137" s="1"/>
      <c r="I3137" s="35"/>
      <c r="J3137" s="34"/>
      <c r="K3137" s="19"/>
      <c r="L3137" s="19"/>
      <c r="N3137" s="35"/>
    </row>
    <row r="3138">
      <c r="A3138" s="1"/>
      <c r="B3138" s="166"/>
      <c r="C3138" s="1"/>
      <c r="D3138" s="1"/>
      <c r="E3138" s="35"/>
      <c r="F3138" s="1"/>
      <c r="G3138" s="1"/>
      <c r="H3138" s="1"/>
      <c r="I3138" s="35"/>
      <c r="J3138" s="34"/>
      <c r="K3138" s="19"/>
      <c r="L3138" s="19"/>
      <c r="N3138" s="35"/>
    </row>
    <row r="3139">
      <c r="A3139" s="1"/>
      <c r="B3139" s="166"/>
      <c r="C3139" s="1"/>
      <c r="D3139" s="1"/>
      <c r="E3139" s="35"/>
      <c r="F3139" s="1"/>
      <c r="G3139" s="1"/>
      <c r="H3139" s="1"/>
      <c r="I3139" s="35"/>
      <c r="J3139" s="34"/>
      <c r="K3139" s="19"/>
      <c r="L3139" s="19"/>
      <c r="N3139" s="35"/>
    </row>
    <row r="3140">
      <c r="A3140" s="1"/>
      <c r="B3140" s="166"/>
      <c r="C3140" s="1"/>
      <c r="D3140" s="1"/>
      <c r="E3140" s="35"/>
      <c r="F3140" s="1"/>
      <c r="G3140" s="1"/>
      <c r="H3140" s="1"/>
      <c r="I3140" s="35"/>
      <c r="J3140" s="34"/>
      <c r="K3140" s="19"/>
      <c r="L3140" s="19"/>
      <c r="N3140" s="35"/>
    </row>
    <row r="3141">
      <c r="A3141" s="1"/>
      <c r="B3141" s="166"/>
      <c r="C3141" s="1"/>
      <c r="D3141" s="1"/>
      <c r="E3141" s="35"/>
      <c r="F3141" s="1"/>
      <c r="G3141" s="1"/>
      <c r="H3141" s="1"/>
      <c r="I3141" s="35"/>
      <c r="J3141" s="34"/>
      <c r="K3141" s="19"/>
      <c r="L3141" s="19"/>
      <c r="N3141" s="35"/>
    </row>
    <row r="3142">
      <c r="A3142" s="1"/>
      <c r="B3142" s="166"/>
      <c r="C3142" s="1"/>
      <c r="D3142" s="1"/>
      <c r="E3142" s="35"/>
      <c r="F3142" s="1"/>
      <c r="G3142" s="1"/>
      <c r="H3142" s="1"/>
      <c r="I3142" s="35"/>
      <c r="J3142" s="34"/>
      <c r="K3142" s="19"/>
      <c r="L3142" s="19"/>
      <c r="N3142" s="35"/>
    </row>
    <row r="3143">
      <c r="A3143" s="1"/>
      <c r="B3143" s="166"/>
      <c r="C3143" s="1"/>
      <c r="D3143" s="1"/>
      <c r="E3143" s="35"/>
      <c r="F3143" s="1"/>
      <c r="G3143" s="1"/>
      <c r="H3143" s="1"/>
      <c r="I3143" s="35"/>
      <c r="J3143" s="34"/>
      <c r="K3143" s="19"/>
      <c r="L3143" s="19"/>
      <c r="N3143" s="35"/>
    </row>
    <row r="3144">
      <c r="A3144" s="1"/>
      <c r="B3144" s="166"/>
      <c r="C3144" s="1"/>
      <c r="D3144" s="1"/>
      <c r="E3144" s="35"/>
      <c r="F3144" s="1"/>
      <c r="G3144" s="1"/>
      <c r="H3144" s="1"/>
      <c r="I3144" s="35"/>
      <c r="J3144" s="34"/>
      <c r="K3144" s="19"/>
      <c r="L3144" s="19"/>
      <c r="N3144" s="35"/>
    </row>
    <row r="3145">
      <c r="A3145" s="1"/>
      <c r="B3145" s="166"/>
      <c r="C3145" s="1"/>
      <c r="D3145" s="1"/>
      <c r="E3145" s="35"/>
      <c r="F3145" s="1"/>
      <c r="G3145" s="1"/>
      <c r="H3145" s="1"/>
      <c r="I3145" s="35"/>
      <c r="J3145" s="34"/>
      <c r="K3145" s="19"/>
      <c r="L3145" s="19"/>
      <c r="N3145" s="35"/>
    </row>
    <row r="3146">
      <c r="A3146" s="1"/>
      <c r="B3146" s="166"/>
      <c r="C3146" s="1"/>
      <c r="D3146" s="1"/>
      <c r="E3146" s="35"/>
      <c r="F3146" s="1"/>
      <c r="G3146" s="1"/>
      <c r="H3146" s="1"/>
      <c r="I3146" s="35"/>
      <c r="J3146" s="34"/>
      <c r="K3146" s="19"/>
      <c r="L3146" s="19"/>
      <c r="N3146" s="35"/>
    </row>
    <row r="3147">
      <c r="A3147" s="1"/>
      <c r="B3147" s="166"/>
      <c r="C3147" s="1"/>
      <c r="D3147" s="1"/>
      <c r="E3147" s="35"/>
      <c r="F3147" s="1"/>
      <c r="G3147" s="1"/>
      <c r="H3147" s="1"/>
      <c r="I3147" s="35"/>
      <c r="J3147" s="34"/>
      <c r="K3147" s="19"/>
      <c r="L3147" s="19"/>
      <c r="N3147" s="35"/>
    </row>
    <row r="3148">
      <c r="A3148" s="1"/>
      <c r="B3148" s="166"/>
      <c r="C3148" s="1"/>
      <c r="D3148" s="1"/>
      <c r="E3148" s="35"/>
      <c r="F3148" s="1"/>
      <c r="G3148" s="1"/>
      <c r="H3148" s="1"/>
      <c r="I3148" s="35"/>
      <c r="J3148" s="34"/>
      <c r="K3148" s="19"/>
      <c r="L3148" s="19"/>
      <c r="N3148" s="35"/>
    </row>
    <row r="3149">
      <c r="A3149" s="1"/>
      <c r="B3149" s="166"/>
      <c r="C3149" s="1"/>
      <c r="D3149" s="1"/>
      <c r="E3149" s="35"/>
      <c r="F3149" s="1"/>
      <c r="G3149" s="1"/>
      <c r="H3149" s="1"/>
      <c r="I3149" s="35"/>
      <c r="J3149" s="34"/>
      <c r="K3149" s="19"/>
      <c r="L3149" s="19"/>
      <c r="N3149" s="35"/>
    </row>
    <row r="3150">
      <c r="A3150" s="1"/>
      <c r="B3150" s="166"/>
      <c r="C3150" s="1"/>
      <c r="D3150" s="1"/>
      <c r="E3150" s="35"/>
      <c r="F3150" s="1"/>
      <c r="G3150" s="1"/>
      <c r="H3150" s="1"/>
      <c r="I3150" s="35"/>
      <c r="J3150" s="34"/>
      <c r="K3150" s="19"/>
      <c r="L3150" s="19"/>
      <c r="N3150" s="35"/>
    </row>
    <row r="3151">
      <c r="A3151" s="1"/>
      <c r="B3151" s="166"/>
      <c r="C3151" s="1"/>
      <c r="D3151" s="1"/>
      <c r="E3151" s="35"/>
      <c r="F3151" s="1"/>
      <c r="G3151" s="1"/>
      <c r="H3151" s="1"/>
      <c r="I3151" s="35"/>
      <c r="J3151" s="34"/>
      <c r="K3151" s="19"/>
      <c r="L3151" s="19"/>
      <c r="N3151" s="35"/>
    </row>
    <row r="3152">
      <c r="A3152" s="1"/>
      <c r="B3152" s="166"/>
      <c r="C3152" s="1"/>
      <c r="D3152" s="1"/>
      <c r="E3152" s="35"/>
      <c r="F3152" s="1"/>
      <c r="G3152" s="1"/>
      <c r="H3152" s="1"/>
      <c r="I3152" s="35"/>
      <c r="J3152" s="34"/>
      <c r="K3152" s="19"/>
      <c r="L3152" s="19"/>
      <c r="N3152" s="35"/>
    </row>
    <row r="3153">
      <c r="A3153" s="1"/>
      <c r="B3153" s="166"/>
      <c r="C3153" s="1"/>
      <c r="D3153" s="1"/>
      <c r="E3153" s="35"/>
      <c r="F3153" s="1"/>
      <c r="G3153" s="1"/>
      <c r="H3153" s="1"/>
      <c r="I3153" s="35"/>
      <c r="J3153" s="34"/>
      <c r="K3153" s="19"/>
      <c r="L3153" s="19"/>
      <c r="N3153" s="35"/>
    </row>
    <row r="3154">
      <c r="A3154" s="1"/>
      <c r="B3154" s="166"/>
      <c r="C3154" s="1"/>
      <c r="D3154" s="1"/>
      <c r="E3154" s="35"/>
      <c r="F3154" s="1"/>
      <c r="G3154" s="1"/>
      <c r="H3154" s="1"/>
      <c r="I3154" s="35"/>
      <c r="J3154" s="34"/>
      <c r="K3154" s="19"/>
      <c r="L3154" s="19"/>
      <c r="N3154" s="35"/>
    </row>
    <row r="3155">
      <c r="A3155" s="1"/>
      <c r="B3155" s="166"/>
      <c r="C3155" s="1"/>
      <c r="D3155" s="1"/>
      <c r="E3155" s="35"/>
      <c r="F3155" s="1"/>
      <c r="G3155" s="1"/>
      <c r="H3155" s="1"/>
      <c r="I3155" s="35"/>
      <c r="J3155" s="34"/>
      <c r="K3155" s="19"/>
      <c r="L3155" s="19"/>
      <c r="N3155" s="35"/>
    </row>
    <row r="3156">
      <c r="A3156" s="1"/>
      <c r="B3156" s="166"/>
      <c r="C3156" s="1"/>
      <c r="D3156" s="1"/>
      <c r="E3156" s="35"/>
      <c r="F3156" s="1"/>
      <c r="G3156" s="1"/>
      <c r="H3156" s="1"/>
      <c r="I3156" s="35"/>
      <c r="J3156" s="34"/>
      <c r="K3156" s="19"/>
      <c r="L3156" s="19"/>
      <c r="N3156" s="35"/>
    </row>
    <row r="3157">
      <c r="A3157" s="1"/>
      <c r="B3157" s="166"/>
      <c r="C3157" s="1"/>
      <c r="D3157" s="1"/>
      <c r="E3157" s="35"/>
      <c r="F3157" s="1"/>
      <c r="G3157" s="1"/>
      <c r="H3157" s="1"/>
      <c r="I3157" s="35"/>
      <c r="J3157" s="34"/>
      <c r="K3157" s="19"/>
      <c r="L3157" s="19"/>
      <c r="N3157" s="35"/>
    </row>
    <row r="3158">
      <c r="A3158" s="1"/>
      <c r="B3158" s="166"/>
      <c r="C3158" s="1"/>
      <c r="D3158" s="1"/>
      <c r="E3158" s="35"/>
      <c r="F3158" s="1"/>
      <c r="G3158" s="1"/>
      <c r="H3158" s="1"/>
      <c r="I3158" s="35"/>
      <c r="J3158" s="34"/>
      <c r="K3158" s="19"/>
      <c r="L3158" s="19"/>
      <c r="N3158" s="35"/>
    </row>
    <row r="3159">
      <c r="A3159" s="1"/>
      <c r="B3159" s="166"/>
      <c r="C3159" s="1"/>
      <c r="D3159" s="1"/>
      <c r="E3159" s="35"/>
      <c r="F3159" s="1"/>
      <c r="G3159" s="1"/>
      <c r="H3159" s="1"/>
      <c r="I3159" s="35"/>
      <c r="J3159" s="34"/>
      <c r="K3159" s="19"/>
      <c r="L3159" s="19"/>
      <c r="N3159" s="35"/>
    </row>
    <row r="3160">
      <c r="A3160" s="1"/>
      <c r="B3160" s="166"/>
      <c r="C3160" s="1"/>
      <c r="D3160" s="1"/>
      <c r="E3160" s="35"/>
      <c r="F3160" s="1"/>
      <c r="G3160" s="1"/>
      <c r="H3160" s="1"/>
      <c r="I3160" s="35"/>
      <c r="J3160" s="34"/>
      <c r="K3160" s="19"/>
      <c r="L3160" s="19"/>
      <c r="N3160" s="35"/>
    </row>
    <row r="3161">
      <c r="A3161" s="1"/>
      <c r="B3161" s="166"/>
      <c r="C3161" s="1"/>
      <c r="D3161" s="1"/>
      <c r="E3161" s="35"/>
      <c r="F3161" s="1"/>
      <c r="G3161" s="1"/>
      <c r="H3161" s="1"/>
      <c r="I3161" s="35"/>
      <c r="J3161" s="34"/>
      <c r="K3161" s="19"/>
      <c r="L3161" s="19"/>
      <c r="N3161" s="35"/>
    </row>
    <row r="3162">
      <c r="A3162" s="1"/>
      <c r="B3162" s="166"/>
      <c r="C3162" s="1"/>
      <c r="D3162" s="1"/>
      <c r="E3162" s="35"/>
      <c r="F3162" s="1"/>
      <c r="G3162" s="1"/>
      <c r="H3162" s="1"/>
      <c r="I3162" s="35"/>
      <c r="J3162" s="34"/>
      <c r="K3162" s="19"/>
      <c r="L3162" s="19"/>
      <c r="N3162" s="35"/>
    </row>
    <row r="3163">
      <c r="A3163" s="1"/>
      <c r="B3163" s="166"/>
      <c r="C3163" s="1"/>
      <c r="D3163" s="1"/>
      <c r="E3163" s="35"/>
      <c r="F3163" s="1"/>
      <c r="G3163" s="1"/>
      <c r="H3163" s="1"/>
      <c r="I3163" s="35"/>
      <c r="J3163" s="34"/>
      <c r="K3163" s="19"/>
      <c r="L3163" s="19"/>
      <c r="N3163" s="35"/>
    </row>
    <row r="3164">
      <c r="A3164" s="1"/>
      <c r="B3164" s="166"/>
      <c r="C3164" s="1"/>
      <c r="D3164" s="1"/>
      <c r="E3164" s="35"/>
      <c r="F3164" s="1"/>
      <c r="G3164" s="1"/>
      <c r="H3164" s="1"/>
      <c r="I3164" s="35"/>
      <c r="J3164" s="34"/>
      <c r="K3164" s="19"/>
      <c r="L3164" s="19"/>
      <c r="N3164" s="35"/>
    </row>
    <row r="3165">
      <c r="A3165" s="1"/>
      <c r="B3165" s="166"/>
      <c r="C3165" s="1"/>
      <c r="D3165" s="1"/>
      <c r="E3165" s="35"/>
      <c r="F3165" s="1"/>
      <c r="G3165" s="1"/>
      <c r="H3165" s="1"/>
      <c r="I3165" s="35"/>
      <c r="J3165" s="34"/>
      <c r="K3165" s="19"/>
      <c r="L3165" s="19"/>
      <c r="N3165" s="35"/>
    </row>
    <row r="3166">
      <c r="A3166" s="1"/>
      <c r="B3166" s="166"/>
      <c r="C3166" s="1"/>
      <c r="D3166" s="1"/>
      <c r="E3166" s="35"/>
      <c r="F3166" s="1"/>
      <c r="G3166" s="1"/>
      <c r="H3166" s="1"/>
      <c r="I3166" s="35"/>
      <c r="J3166" s="34"/>
      <c r="K3166" s="19"/>
      <c r="L3166" s="19"/>
      <c r="N3166" s="35"/>
    </row>
    <row r="3167">
      <c r="A3167" s="1"/>
      <c r="B3167" s="166"/>
      <c r="C3167" s="1"/>
      <c r="D3167" s="1"/>
      <c r="E3167" s="35"/>
      <c r="F3167" s="1"/>
      <c r="G3167" s="1"/>
      <c r="H3167" s="1"/>
      <c r="I3167" s="35"/>
      <c r="J3167" s="34"/>
      <c r="K3167" s="19"/>
      <c r="L3167" s="19"/>
      <c r="N3167" s="35"/>
    </row>
    <row r="3168">
      <c r="A3168" s="1"/>
      <c r="B3168" s="166"/>
      <c r="C3168" s="1"/>
      <c r="D3168" s="1"/>
      <c r="E3168" s="35"/>
      <c r="F3168" s="1"/>
      <c r="G3168" s="1"/>
      <c r="H3168" s="1"/>
      <c r="I3168" s="35"/>
      <c r="J3168" s="34"/>
      <c r="K3168" s="19"/>
      <c r="L3168" s="19"/>
      <c r="N3168" s="35"/>
    </row>
    <row r="3169">
      <c r="A3169" s="1"/>
      <c r="B3169" s="166"/>
      <c r="C3169" s="1"/>
      <c r="D3169" s="1"/>
      <c r="E3169" s="35"/>
      <c r="F3169" s="1"/>
      <c r="G3169" s="1"/>
      <c r="H3169" s="1"/>
      <c r="I3169" s="35"/>
      <c r="J3169" s="34"/>
      <c r="K3169" s="19"/>
      <c r="L3169" s="19"/>
      <c r="N3169" s="35"/>
    </row>
    <row r="3170">
      <c r="A3170" s="1"/>
      <c r="B3170" s="166"/>
      <c r="C3170" s="1"/>
      <c r="D3170" s="1"/>
      <c r="E3170" s="35"/>
      <c r="F3170" s="1"/>
      <c r="G3170" s="1"/>
      <c r="H3170" s="1"/>
      <c r="I3170" s="35"/>
      <c r="J3170" s="34"/>
      <c r="K3170" s="19"/>
      <c r="L3170" s="19"/>
      <c r="N3170" s="35"/>
    </row>
    <row r="3171">
      <c r="A3171" s="1"/>
      <c r="B3171" s="166"/>
      <c r="C3171" s="1"/>
      <c r="D3171" s="1"/>
      <c r="E3171" s="35"/>
      <c r="F3171" s="1"/>
      <c r="G3171" s="1"/>
      <c r="H3171" s="1"/>
      <c r="I3171" s="35"/>
      <c r="J3171" s="34"/>
      <c r="K3171" s="19"/>
      <c r="L3171" s="19"/>
      <c r="N3171" s="35"/>
    </row>
    <row r="3172">
      <c r="A3172" s="1"/>
      <c r="B3172" s="166"/>
      <c r="C3172" s="1"/>
      <c r="D3172" s="1"/>
      <c r="E3172" s="35"/>
      <c r="F3172" s="1"/>
      <c r="G3172" s="1"/>
      <c r="H3172" s="1"/>
      <c r="I3172" s="35"/>
      <c r="J3172" s="34"/>
      <c r="K3172" s="19"/>
      <c r="L3172" s="19"/>
      <c r="N3172" s="35"/>
    </row>
    <row r="3173">
      <c r="A3173" s="1"/>
      <c r="B3173" s="166"/>
      <c r="C3173" s="1"/>
      <c r="D3173" s="1"/>
      <c r="E3173" s="35"/>
      <c r="F3173" s="1"/>
      <c r="G3173" s="1"/>
      <c r="H3173" s="1"/>
      <c r="I3173" s="35"/>
      <c r="J3173" s="34"/>
      <c r="K3173" s="19"/>
      <c r="L3173" s="19"/>
      <c r="N3173" s="35"/>
    </row>
    <row r="3174">
      <c r="A3174" s="1"/>
      <c r="B3174" s="166"/>
      <c r="C3174" s="1"/>
      <c r="D3174" s="1"/>
      <c r="E3174" s="35"/>
      <c r="F3174" s="1"/>
      <c r="G3174" s="1"/>
      <c r="H3174" s="1"/>
      <c r="I3174" s="35"/>
      <c r="J3174" s="34"/>
      <c r="K3174" s="19"/>
      <c r="L3174" s="19"/>
      <c r="N3174" s="35"/>
    </row>
    <row r="3175">
      <c r="A3175" s="1"/>
      <c r="B3175" s="166"/>
      <c r="C3175" s="1"/>
      <c r="D3175" s="1"/>
      <c r="E3175" s="35"/>
      <c r="F3175" s="1"/>
      <c r="G3175" s="1"/>
      <c r="H3175" s="1"/>
      <c r="I3175" s="35"/>
      <c r="J3175" s="34"/>
      <c r="K3175" s="19"/>
      <c r="L3175" s="19"/>
      <c r="N3175" s="35"/>
    </row>
    <row r="3176">
      <c r="A3176" s="1"/>
      <c r="B3176" s="166"/>
      <c r="C3176" s="1"/>
      <c r="D3176" s="1"/>
      <c r="E3176" s="35"/>
      <c r="F3176" s="1"/>
      <c r="G3176" s="1"/>
      <c r="H3176" s="1"/>
      <c r="I3176" s="35"/>
      <c r="J3176" s="34"/>
      <c r="K3176" s="19"/>
      <c r="L3176" s="19"/>
      <c r="N3176" s="35"/>
    </row>
    <row r="3177">
      <c r="A3177" s="1"/>
      <c r="B3177" s="166"/>
      <c r="C3177" s="1"/>
      <c r="D3177" s="1"/>
      <c r="E3177" s="35"/>
      <c r="F3177" s="1"/>
      <c r="G3177" s="1"/>
      <c r="H3177" s="1"/>
      <c r="I3177" s="35"/>
      <c r="J3177" s="34"/>
      <c r="K3177" s="19"/>
      <c r="L3177" s="19"/>
      <c r="N3177" s="35"/>
    </row>
    <row r="3178">
      <c r="A3178" s="1"/>
      <c r="B3178" s="166"/>
      <c r="C3178" s="1"/>
      <c r="D3178" s="1"/>
      <c r="E3178" s="35"/>
      <c r="F3178" s="1"/>
      <c r="G3178" s="1"/>
      <c r="H3178" s="1"/>
      <c r="I3178" s="35"/>
      <c r="J3178" s="34"/>
      <c r="K3178" s="19"/>
      <c r="L3178" s="19"/>
      <c r="N3178" s="35"/>
    </row>
    <row r="3179">
      <c r="A3179" s="1"/>
      <c r="B3179" s="166"/>
      <c r="C3179" s="1"/>
      <c r="D3179" s="1"/>
      <c r="E3179" s="35"/>
      <c r="F3179" s="1"/>
      <c r="G3179" s="1"/>
      <c r="H3179" s="1"/>
      <c r="I3179" s="35"/>
      <c r="J3179" s="34"/>
      <c r="K3179" s="19"/>
      <c r="L3179" s="19"/>
      <c r="N3179" s="35"/>
    </row>
    <row r="3180">
      <c r="A3180" s="1"/>
      <c r="B3180" s="166"/>
      <c r="C3180" s="1"/>
      <c r="D3180" s="1"/>
      <c r="E3180" s="35"/>
      <c r="F3180" s="1"/>
      <c r="G3180" s="1"/>
      <c r="H3180" s="1"/>
      <c r="I3180" s="35"/>
      <c r="J3180" s="34"/>
      <c r="K3180" s="19"/>
      <c r="L3180" s="19"/>
      <c r="N3180" s="35"/>
    </row>
    <row r="3181">
      <c r="A3181" s="1"/>
      <c r="B3181" s="166"/>
      <c r="C3181" s="1"/>
      <c r="D3181" s="1"/>
      <c r="E3181" s="35"/>
      <c r="F3181" s="1"/>
      <c r="G3181" s="1"/>
      <c r="H3181" s="1"/>
      <c r="I3181" s="35"/>
      <c r="J3181" s="34"/>
      <c r="K3181" s="19"/>
      <c r="L3181" s="19"/>
      <c r="N3181" s="35"/>
    </row>
    <row r="3182">
      <c r="A3182" s="1"/>
      <c r="B3182" s="166"/>
      <c r="C3182" s="1"/>
      <c r="D3182" s="1"/>
      <c r="E3182" s="35"/>
      <c r="F3182" s="1"/>
      <c r="G3182" s="1"/>
      <c r="H3182" s="1"/>
      <c r="I3182" s="35"/>
      <c r="J3182" s="34"/>
      <c r="K3182" s="19"/>
      <c r="L3182" s="19"/>
      <c r="N3182" s="35"/>
    </row>
    <row r="3183">
      <c r="A3183" s="1"/>
      <c r="B3183" s="166"/>
      <c r="C3183" s="1"/>
      <c r="D3183" s="1"/>
      <c r="E3183" s="35"/>
      <c r="F3183" s="1"/>
      <c r="G3183" s="1"/>
      <c r="H3183" s="1"/>
      <c r="I3183" s="35"/>
      <c r="J3183" s="34"/>
      <c r="K3183" s="19"/>
      <c r="L3183" s="19"/>
      <c r="N3183" s="35"/>
    </row>
    <row r="3184">
      <c r="A3184" s="1"/>
      <c r="B3184" s="166"/>
      <c r="C3184" s="1"/>
      <c r="D3184" s="1"/>
      <c r="E3184" s="35"/>
      <c r="F3184" s="1"/>
      <c r="G3184" s="1"/>
      <c r="H3184" s="1"/>
      <c r="I3184" s="35"/>
      <c r="J3184" s="34"/>
      <c r="K3184" s="19"/>
      <c r="L3184" s="19"/>
      <c r="N3184" s="35"/>
    </row>
    <row r="3185">
      <c r="A3185" s="1"/>
      <c r="B3185" s="166"/>
      <c r="C3185" s="1"/>
      <c r="D3185" s="1"/>
      <c r="E3185" s="35"/>
      <c r="F3185" s="1"/>
      <c r="G3185" s="1"/>
      <c r="H3185" s="1"/>
      <c r="I3185" s="35"/>
      <c r="J3185" s="34"/>
      <c r="K3185" s="19"/>
      <c r="L3185" s="19"/>
      <c r="N3185" s="35"/>
    </row>
    <row r="3186">
      <c r="A3186" s="1"/>
      <c r="B3186" s="166"/>
      <c r="C3186" s="1"/>
      <c r="D3186" s="1"/>
      <c r="E3186" s="35"/>
      <c r="F3186" s="1"/>
      <c r="G3186" s="1"/>
      <c r="H3186" s="1"/>
      <c r="I3186" s="35"/>
      <c r="J3186" s="34"/>
      <c r="K3186" s="19"/>
      <c r="L3186" s="19"/>
      <c r="N3186" s="35"/>
    </row>
    <row r="3187">
      <c r="A3187" s="1"/>
      <c r="B3187" s="166"/>
      <c r="C3187" s="1"/>
      <c r="D3187" s="1"/>
      <c r="E3187" s="35"/>
      <c r="F3187" s="1"/>
      <c r="G3187" s="1"/>
      <c r="H3187" s="1"/>
      <c r="I3187" s="35"/>
      <c r="J3187" s="34"/>
      <c r="K3187" s="19"/>
      <c r="L3187" s="19"/>
      <c r="N3187" s="35"/>
    </row>
    <row r="3188">
      <c r="A3188" s="1"/>
      <c r="B3188" s="166"/>
      <c r="C3188" s="1"/>
      <c r="D3188" s="1"/>
      <c r="E3188" s="35"/>
      <c r="F3188" s="1"/>
      <c r="G3188" s="1"/>
      <c r="H3188" s="1"/>
      <c r="I3188" s="35"/>
      <c r="J3188" s="34"/>
      <c r="K3188" s="19"/>
      <c r="L3188" s="19"/>
      <c r="N3188" s="35"/>
    </row>
    <row r="3189">
      <c r="A3189" s="1"/>
      <c r="B3189" s="166"/>
      <c r="C3189" s="1"/>
      <c r="D3189" s="1"/>
      <c r="E3189" s="35"/>
      <c r="F3189" s="1"/>
      <c r="G3189" s="1"/>
      <c r="H3189" s="1"/>
      <c r="I3189" s="35"/>
      <c r="J3189" s="34"/>
      <c r="K3189" s="19"/>
      <c r="L3189" s="19"/>
      <c r="N3189" s="35"/>
    </row>
    <row r="3190">
      <c r="A3190" s="1"/>
      <c r="B3190" s="166"/>
      <c r="C3190" s="1"/>
      <c r="D3190" s="1"/>
      <c r="E3190" s="35"/>
      <c r="F3190" s="1"/>
      <c r="G3190" s="1"/>
      <c r="H3190" s="1"/>
      <c r="I3190" s="35"/>
      <c r="J3190" s="34"/>
      <c r="K3190" s="19"/>
      <c r="L3190" s="19"/>
      <c r="N3190" s="35"/>
    </row>
    <row r="3191">
      <c r="A3191" s="1"/>
      <c r="B3191" s="166"/>
      <c r="C3191" s="1"/>
      <c r="D3191" s="1"/>
      <c r="E3191" s="35"/>
      <c r="F3191" s="1"/>
      <c r="G3191" s="1"/>
      <c r="H3191" s="1"/>
      <c r="I3191" s="35"/>
      <c r="J3191" s="34"/>
      <c r="K3191" s="19"/>
      <c r="L3191" s="19"/>
      <c r="N3191" s="35"/>
    </row>
    <row r="3192">
      <c r="A3192" s="1"/>
      <c r="B3192" s="166"/>
      <c r="C3192" s="1"/>
      <c r="D3192" s="1"/>
      <c r="E3192" s="35"/>
      <c r="F3192" s="1"/>
      <c r="G3192" s="1"/>
      <c r="H3192" s="1"/>
      <c r="I3192" s="35"/>
      <c r="J3192" s="34"/>
      <c r="K3192" s="19"/>
      <c r="L3192" s="19"/>
      <c r="N3192" s="35"/>
    </row>
    <row r="3193">
      <c r="A3193" s="1"/>
      <c r="B3193" s="166"/>
      <c r="C3193" s="1"/>
      <c r="D3193" s="1"/>
      <c r="E3193" s="35"/>
      <c r="F3193" s="1"/>
      <c r="G3193" s="1"/>
      <c r="H3193" s="1"/>
      <c r="I3193" s="35"/>
      <c r="J3193" s="34"/>
      <c r="K3193" s="19"/>
      <c r="L3193" s="19"/>
      <c r="N3193" s="35"/>
    </row>
    <row r="3194">
      <c r="A3194" s="1"/>
      <c r="B3194" s="166"/>
      <c r="C3194" s="1"/>
      <c r="D3194" s="1"/>
      <c r="E3194" s="35"/>
      <c r="F3194" s="1"/>
      <c r="G3194" s="1"/>
      <c r="H3194" s="1"/>
      <c r="I3194" s="35"/>
      <c r="J3194" s="34"/>
      <c r="K3194" s="19"/>
      <c r="L3194" s="19"/>
      <c r="N3194" s="35"/>
    </row>
    <row r="3195">
      <c r="A3195" s="1"/>
      <c r="B3195" s="166"/>
      <c r="C3195" s="1"/>
      <c r="D3195" s="1"/>
      <c r="E3195" s="35"/>
      <c r="F3195" s="1"/>
      <c r="G3195" s="1"/>
      <c r="H3195" s="1"/>
      <c r="I3195" s="35"/>
      <c r="J3195" s="34"/>
      <c r="K3195" s="19"/>
      <c r="L3195" s="19"/>
      <c r="N3195" s="35"/>
    </row>
    <row r="3196">
      <c r="A3196" s="1"/>
      <c r="B3196" s="166"/>
      <c r="C3196" s="1"/>
      <c r="D3196" s="1"/>
      <c r="E3196" s="35"/>
      <c r="F3196" s="1"/>
      <c r="G3196" s="1"/>
      <c r="H3196" s="1"/>
      <c r="I3196" s="35"/>
      <c r="J3196" s="34"/>
      <c r="K3196" s="19"/>
      <c r="L3196" s="19"/>
      <c r="N3196" s="35"/>
    </row>
    <row r="3197">
      <c r="A3197" s="1"/>
      <c r="B3197" s="166"/>
      <c r="C3197" s="1"/>
      <c r="D3197" s="1"/>
      <c r="E3197" s="35"/>
      <c r="F3197" s="1"/>
      <c r="G3197" s="1"/>
      <c r="H3197" s="1"/>
      <c r="I3197" s="35"/>
      <c r="J3197" s="34"/>
      <c r="K3197" s="19"/>
      <c r="L3197" s="19"/>
      <c r="N3197" s="35"/>
    </row>
    <row r="3198">
      <c r="A3198" s="1"/>
      <c r="B3198" s="166"/>
      <c r="C3198" s="1"/>
      <c r="D3198" s="1"/>
      <c r="E3198" s="35"/>
      <c r="F3198" s="1"/>
      <c r="G3198" s="1"/>
      <c r="H3198" s="1"/>
      <c r="I3198" s="35"/>
      <c r="J3198" s="34"/>
      <c r="K3198" s="19"/>
      <c r="L3198" s="19"/>
      <c r="N3198" s="35"/>
    </row>
    <row r="3199">
      <c r="A3199" s="1"/>
      <c r="B3199" s="166"/>
      <c r="C3199" s="1"/>
      <c r="D3199" s="1"/>
      <c r="E3199" s="35"/>
      <c r="F3199" s="1"/>
      <c r="G3199" s="1"/>
      <c r="H3199" s="1"/>
      <c r="I3199" s="35"/>
      <c r="J3199" s="34"/>
      <c r="K3199" s="19"/>
      <c r="L3199" s="19"/>
      <c r="N3199" s="35"/>
    </row>
    <row r="3200">
      <c r="A3200" s="1"/>
      <c r="B3200" s="166"/>
      <c r="C3200" s="1"/>
      <c r="D3200" s="1"/>
      <c r="E3200" s="35"/>
      <c r="F3200" s="1"/>
      <c r="G3200" s="1"/>
      <c r="H3200" s="1"/>
      <c r="I3200" s="35"/>
      <c r="J3200" s="34"/>
      <c r="K3200" s="19"/>
      <c r="L3200" s="19"/>
      <c r="N3200" s="35"/>
    </row>
    <row r="3201">
      <c r="A3201" s="1"/>
      <c r="B3201" s="166"/>
      <c r="C3201" s="1"/>
      <c r="D3201" s="1"/>
      <c r="E3201" s="35"/>
      <c r="F3201" s="1"/>
      <c r="G3201" s="1"/>
      <c r="H3201" s="1"/>
      <c r="I3201" s="35"/>
      <c r="J3201" s="34"/>
      <c r="K3201" s="19"/>
      <c r="L3201" s="19"/>
      <c r="N3201" s="35"/>
    </row>
    <row r="3202">
      <c r="A3202" s="1"/>
      <c r="B3202" s="166"/>
      <c r="C3202" s="1"/>
      <c r="D3202" s="1"/>
      <c r="E3202" s="35"/>
      <c r="F3202" s="1"/>
      <c r="G3202" s="1"/>
      <c r="H3202" s="1"/>
      <c r="I3202" s="35"/>
      <c r="J3202" s="34"/>
      <c r="K3202" s="19"/>
      <c r="L3202" s="19"/>
      <c r="N3202" s="35"/>
    </row>
    <row r="3203">
      <c r="A3203" s="1"/>
      <c r="B3203" s="166"/>
      <c r="C3203" s="1"/>
      <c r="D3203" s="1"/>
      <c r="E3203" s="35"/>
      <c r="F3203" s="1"/>
      <c r="G3203" s="1"/>
      <c r="H3203" s="1"/>
      <c r="I3203" s="35"/>
      <c r="J3203" s="34"/>
      <c r="K3203" s="19"/>
      <c r="L3203" s="19"/>
      <c r="N3203" s="35"/>
    </row>
    <row r="3204">
      <c r="A3204" s="1"/>
      <c r="B3204" s="166"/>
      <c r="C3204" s="1"/>
      <c r="D3204" s="1"/>
      <c r="E3204" s="35"/>
      <c r="F3204" s="1"/>
      <c r="G3204" s="1"/>
      <c r="H3204" s="1"/>
      <c r="I3204" s="35"/>
      <c r="J3204" s="34"/>
      <c r="K3204" s="19"/>
      <c r="L3204" s="19"/>
      <c r="N3204" s="35"/>
    </row>
    <row r="3205">
      <c r="A3205" s="1"/>
      <c r="B3205" s="166"/>
      <c r="C3205" s="1"/>
      <c r="D3205" s="1"/>
      <c r="E3205" s="35"/>
      <c r="F3205" s="1"/>
      <c r="G3205" s="1"/>
      <c r="H3205" s="1"/>
      <c r="I3205" s="35"/>
      <c r="J3205" s="34"/>
      <c r="K3205" s="19"/>
      <c r="L3205" s="19"/>
      <c r="N3205" s="35"/>
    </row>
    <row r="3206">
      <c r="A3206" s="1"/>
      <c r="B3206" s="166"/>
      <c r="C3206" s="1"/>
      <c r="D3206" s="1"/>
      <c r="E3206" s="35"/>
      <c r="F3206" s="1"/>
      <c r="G3206" s="1"/>
      <c r="H3206" s="1"/>
      <c r="I3206" s="35"/>
      <c r="J3206" s="34"/>
      <c r="K3206" s="19"/>
      <c r="L3206" s="19"/>
      <c r="N3206" s="35"/>
    </row>
    <row r="3207">
      <c r="A3207" s="1"/>
      <c r="B3207" s="166"/>
      <c r="C3207" s="1"/>
      <c r="D3207" s="1"/>
      <c r="E3207" s="35"/>
      <c r="F3207" s="1"/>
      <c r="G3207" s="1"/>
      <c r="H3207" s="1"/>
      <c r="I3207" s="35"/>
      <c r="J3207" s="34"/>
      <c r="K3207" s="19"/>
      <c r="L3207" s="19"/>
      <c r="N3207" s="35"/>
    </row>
    <row r="3208">
      <c r="A3208" s="1"/>
      <c r="B3208" s="166"/>
      <c r="C3208" s="1"/>
      <c r="D3208" s="1"/>
      <c r="E3208" s="35"/>
      <c r="F3208" s="1"/>
      <c r="G3208" s="1"/>
      <c r="H3208" s="1"/>
      <c r="I3208" s="35"/>
      <c r="J3208" s="34"/>
      <c r="K3208" s="19"/>
      <c r="L3208" s="19"/>
      <c r="N3208" s="35"/>
    </row>
    <row r="3209">
      <c r="A3209" s="1"/>
      <c r="B3209" s="166"/>
      <c r="C3209" s="1"/>
      <c r="D3209" s="1"/>
      <c r="E3209" s="35"/>
      <c r="F3209" s="1"/>
      <c r="G3209" s="1"/>
      <c r="H3209" s="1"/>
      <c r="I3209" s="35"/>
      <c r="J3209" s="34"/>
      <c r="K3209" s="19"/>
      <c r="L3209" s="19"/>
      <c r="N3209" s="35"/>
    </row>
    <row r="3210">
      <c r="A3210" s="1"/>
      <c r="B3210" s="166"/>
      <c r="C3210" s="1"/>
      <c r="D3210" s="1"/>
      <c r="E3210" s="35"/>
      <c r="F3210" s="1"/>
      <c r="G3210" s="1"/>
      <c r="H3210" s="1"/>
      <c r="I3210" s="35"/>
      <c r="J3210" s="34"/>
      <c r="K3210" s="19"/>
      <c r="L3210" s="19"/>
      <c r="N3210" s="35"/>
    </row>
    <row r="3211">
      <c r="A3211" s="1"/>
      <c r="B3211" s="166"/>
      <c r="C3211" s="1"/>
      <c r="D3211" s="1"/>
      <c r="E3211" s="35"/>
      <c r="F3211" s="1"/>
      <c r="G3211" s="1"/>
      <c r="H3211" s="1"/>
      <c r="I3211" s="35"/>
      <c r="J3211" s="34"/>
      <c r="K3211" s="19"/>
      <c r="L3211" s="19"/>
      <c r="N3211" s="35"/>
    </row>
    <row r="3212">
      <c r="A3212" s="1"/>
      <c r="B3212" s="166"/>
      <c r="C3212" s="1"/>
      <c r="D3212" s="1"/>
      <c r="E3212" s="35"/>
      <c r="F3212" s="1"/>
      <c r="G3212" s="1"/>
      <c r="H3212" s="1"/>
      <c r="I3212" s="35"/>
      <c r="J3212" s="34"/>
      <c r="K3212" s="19"/>
      <c r="L3212" s="19"/>
      <c r="N3212" s="35"/>
    </row>
    <row r="3213">
      <c r="A3213" s="1"/>
      <c r="B3213" s="166"/>
      <c r="C3213" s="1"/>
      <c r="D3213" s="1"/>
      <c r="E3213" s="35"/>
      <c r="F3213" s="1"/>
      <c r="G3213" s="1"/>
      <c r="H3213" s="1"/>
      <c r="I3213" s="35"/>
      <c r="J3213" s="34"/>
      <c r="K3213" s="19"/>
      <c r="L3213" s="19"/>
      <c r="N3213" s="35"/>
    </row>
    <row r="3214">
      <c r="A3214" s="1"/>
      <c r="B3214" s="166"/>
      <c r="C3214" s="1"/>
      <c r="D3214" s="1"/>
      <c r="E3214" s="35"/>
      <c r="F3214" s="1"/>
      <c r="G3214" s="1"/>
      <c r="H3214" s="1"/>
      <c r="I3214" s="35"/>
      <c r="J3214" s="34"/>
      <c r="K3214" s="19"/>
      <c r="L3214" s="19"/>
      <c r="N3214" s="35"/>
    </row>
    <row r="3215">
      <c r="A3215" s="1"/>
      <c r="B3215" s="166"/>
      <c r="C3215" s="1"/>
      <c r="D3215" s="1"/>
      <c r="E3215" s="35"/>
      <c r="F3215" s="1"/>
      <c r="G3215" s="1"/>
      <c r="H3215" s="1"/>
      <c r="I3215" s="35"/>
      <c r="J3215" s="34"/>
      <c r="K3215" s="19"/>
      <c r="L3215" s="19"/>
      <c r="N3215" s="35"/>
    </row>
    <row r="3216">
      <c r="A3216" s="1"/>
      <c r="B3216" s="166"/>
      <c r="C3216" s="1"/>
      <c r="D3216" s="1"/>
      <c r="E3216" s="35"/>
      <c r="F3216" s="1"/>
      <c r="G3216" s="1"/>
      <c r="H3216" s="1"/>
      <c r="I3216" s="35"/>
      <c r="J3216" s="34"/>
      <c r="K3216" s="19"/>
      <c r="L3216" s="19"/>
      <c r="N3216" s="35"/>
    </row>
    <row r="3217">
      <c r="A3217" s="1"/>
      <c r="B3217" s="166"/>
      <c r="C3217" s="1"/>
      <c r="D3217" s="1"/>
      <c r="E3217" s="35"/>
      <c r="F3217" s="1"/>
      <c r="G3217" s="1"/>
      <c r="H3217" s="1"/>
      <c r="I3217" s="35"/>
      <c r="J3217" s="34"/>
      <c r="K3217" s="19"/>
      <c r="L3217" s="19"/>
      <c r="N3217" s="35"/>
    </row>
    <row r="3218">
      <c r="A3218" s="1"/>
      <c r="B3218" s="166"/>
      <c r="C3218" s="1"/>
      <c r="D3218" s="1"/>
      <c r="E3218" s="35"/>
      <c r="F3218" s="1"/>
      <c r="G3218" s="1"/>
      <c r="H3218" s="1"/>
      <c r="I3218" s="35"/>
      <c r="J3218" s="34"/>
      <c r="K3218" s="19"/>
      <c r="L3218" s="19"/>
      <c r="N3218" s="35"/>
    </row>
    <row r="3219">
      <c r="A3219" s="1"/>
      <c r="B3219" s="166"/>
      <c r="C3219" s="1"/>
      <c r="D3219" s="1"/>
      <c r="E3219" s="35"/>
      <c r="F3219" s="1"/>
      <c r="G3219" s="1"/>
      <c r="H3219" s="1"/>
      <c r="I3219" s="35"/>
      <c r="J3219" s="34"/>
      <c r="K3219" s="19"/>
      <c r="L3219" s="19"/>
      <c r="N3219" s="35"/>
    </row>
    <row r="3220">
      <c r="A3220" s="1"/>
      <c r="B3220" s="166"/>
      <c r="C3220" s="1"/>
      <c r="D3220" s="1"/>
      <c r="E3220" s="35"/>
      <c r="F3220" s="1"/>
      <c r="G3220" s="1"/>
      <c r="H3220" s="1"/>
      <c r="I3220" s="35"/>
      <c r="J3220" s="34"/>
      <c r="K3220" s="19"/>
      <c r="L3220" s="19"/>
      <c r="N3220" s="35"/>
    </row>
    <row r="3221">
      <c r="A3221" s="1"/>
      <c r="B3221" s="166"/>
      <c r="C3221" s="1"/>
      <c r="D3221" s="1"/>
      <c r="E3221" s="35"/>
      <c r="F3221" s="1"/>
      <c r="G3221" s="1"/>
      <c r="H3221" s="1"/>
      <c r="I3221" s="35"/>
      <c r="J3221" s="34"/>
      <c r="K3221" s="19"/>
      <c r="L3221" s="19"/>
      <c r="N3221" s="35"/>
    </row>
    <row r="3222">
      <c r="A3222" s="1"/>
      <c r="B3222" s="166"/>
      <c r="C3222" s="1"/>
      <c r="D3222" s="1"/>
      <c r="E3222" s="35"/>
      <c r="F3222" s="1"/>
      <c r="G3222" s="1"/>
      <c r="H3222" s="1"/>
      <c r="I3222" s="35"/>
      <c r="J3222" s="34"/>
      <c r="K3222" s="19"/>
      <c r="L3222" s="19"/>
      <c r="N3222" s="35"/>
    </row>
    <row r="3223">
      <c r="A3223" s="1"/>
      <c r="B3223" s="166"/>
      <c r="C3223" s="1"/>
      <c r="D3223" s="1"/>
      <c r="E3223" s="35"/>
      <c r="F3223" s="1"/>
      <c r="G3223" s="1"/>
      <c r="H3223" s="1"/>
      <c r="I3223" s="35"/>
      <c r="J3223" s="34"/>
      <c r="K3223" s="19"/>
      <c r="L3223" s="19"/>
      <c r="N3223" s="35"/>
    </row>
    <row r="3224">
      <c r="A3224" s="1"/>
      <c r="B3224" s="166"/>
      <c r="C3224" s="1"/>
      <c r="D3224" s="1"/>
      <c r="E3224" s="35"/>
      <c r="F3224" s="1"/>
      <c r="G3224" s="1"/>
      <c r="H3224" s="1"/>
      <c r="I3224" s="35"/>
      <c r="J3224" s="34"/>
      <c r="K3224" s="19"/>
      <c r="L3224" s="19"/>
      <c r="N3224" s="35"/>
    </row>
    <row r="3225">
      <c r="A3225" s="1"/>
      <c r="B3225" s="166"/>
      <c r="C3225" s="1"/>
      <c r="D3225" s="1"/>
      <c r="E3225" s="35"/>
      <c r="F3225" s="1"/>
      <c r="G3225" s="1"/>
      <c r="H3225" s="1"/>
      <c r="I3225" s="35"/>
      <c r="J3225" s="34"/>
      <c r="K3225" s="19"/>
      <c r="L3225" s="19"/>
      <c r="N3225" s="35"/>
    </row>
    <row r="3226">
      <c r="A3226" s="1"/>
      <c r="B3226" s="166"/>
      <c r="C3226" s="1"/>
      <c r="D3226" s="1"/>
      <c r="E3226" s="35"/>
      <c r="F3226" s="1"/>
      <c r="G3226" s="1"/>
      <c r="H3226" s="1"/>
      <c r="I3226" s="35"/>
      <c r="J3226" s="34"/>
      <c r="K3226" s="19"/>
      <c r="L3226" s="19"/>
      <c r="N3226" s="35"/>
    </row>
    <row r="3227">
      <c r="A3227" s="1"/>
      <c r="B3227" s="166"/>
      <c r="C3227" s="1"/>
      <c r="D3227" s="1"/>
      <c r="E3227" s="35"/>
      <c r="F3227" s="1"/>
      <c r="G3227" s="1"/>
      <c r="H3227" s="1"/>
      <c r="I3227" s="35"/>
      <c r="J3227" s="34"/>
      <c r="K3227" s="19"/>
      <c r="L3227" s="19"/>
      <c r="N3227" s="35"/>
    </row>
    <row r="3228">
      <c r="A3228" s="1"/>
      <c r="B3228" s="166"/>
      <c r="C3228" s="1"/>
      <c r="D3228" s="1"/>
      <c r="E3228" s="35"/>
      <c r="F3228" s="1"/>
      <c r="G3228" s="1"/>
      <c r="H3228" s="1"/>
      <c r="I3228" s="35"/>
      <c r="J3228" s="34"/>
      <c r="K3228" s="19"/>
      <c r="L3228" s="19"/>
      <c r="N3228" s="35"/>
    </row>
    <row r="3229">
      <c r="A3229" s="1"/>
      <c r="B3229" s="166"/>
      <c r="C3229" s="1"/>
      <c r="D3229" s="1"/>
      <c r="E3229" s="35"/>
      <c r="F3229" s="1"/>
      <c r="G3229" s="1"/>
      <c r="H3229" s="1"/>
      <c r="I3229" s="35"/>
      <c r="J3229" s="34"/>
      <c r="K3229" s="19"/>
      <c r="L3229" s="19"/>
      <c r="N3229" s="35"/>
    </row>
    <row r="3230">
      <c r="A3230" s="1"/>
      <c r="B3230" s="166"/>
      <c r="C3230" s="1"/>
      <c r="D3230" s="1"/>
      <c r="E3230" s="35"/>
      <c r="F3230" s="1"/>
      <c r="G3230" s="1"/>
      <c r="H3230" s="1"/>
      <c r="I3230" s="35"/>
      <c r="J3230" s="34"/>
      <c r="K3230" s="19"/>
      <c r="L3230" s="19"/>
      <c r="N3230" s="35"/>
    </row>
    <row r="3231">
      <c r="A3231" s="1"/>
      <c r="B3231" s="166"/>
      <c r="C3231" s="1"/>
      <c r="D3231" s="1"/>
      <c r="E3231" s="35"/>
      <c r="F3231" s="1"/>
      <c r="G3231" s="1"/>
      <c r="H3231" s="1"/>
      <c r="I3231" s="35"/>
      <c r="J3231" s="34"/>
      <c r="K3231" s="19"/>
      <c r="L3231" s="19"/>
      <c r="N3231" s="35"/>
    </row>
    <row r="3232">
      <c r="A3232" s="1"/>
      <c r="B3232" s="166"/>
      <c r="C3232" s="1"/>
      <c r="D3232" s="1"/>
      <c r="E3232" s="35"/>
      <c r="F3232" s="1"/>
      <c r="G3232" s="1"/>
      <c r="H3232" s="1"/>
      <c r="I3232" s="35"/>
      <c r="J3232" s="34"/>
      <c r="K3232" s="19"/>
      <c r="L3232" s="19"/>
      <c r="N3232" s="35"/>
    </row>
    <row r="3233">
      <c r="A3233" s="1"/>
      <c r="B3233" s="166"/>
      <c r="C3233" s="1"/>
      <c r="D3233" s="1"/>
      <c r="E3233" s="35"/>
      <c r="F3233" s="1"/>
      <c r="G3233" s="1"/>
      <c r="H3233" s="1"/>
      <c r="I3233" s="35"/>
      <c r="J3233" s="34"/>
      <c r="K3233" s="19"/>
      <c r="L3233" s="19"/>
      <c r="N3233" s="35"/>
    </row>
    <row r="3234">
      <c r="A3234" s="1"/>
      <c r="B3234" s="166"/>
      <c r="C3234" s="1"/>
      <c r="D3234" s="1"/>
      <c r="E3234" s="35"/>
      <c r="F3234" s="1"/>
      <c r="G3234" s="1"/>
      <c r="H3234" s="1"/>
      <c r="I3234" s="35"/>
      <c r="J3234" s="34"/>
      <c r="K3234" s="19"/>
      <c r="L3234" s="19"/>
      <c r="N3234" s="35"/>
    </row>
    <row r="3235">
      <c r="A3235" s="1"/>
      <c r="B3235" s="166"/>
      <c r="C3235" s="1"/>
      <c r="D3235" s="1"/>
      <c r="E3235" s="35"/>
      <c r="F3235" s="1"/>
      <c r="G3235" s="1"/>
      <c r="H3235" s="1"/>
      <c r="I3235" s="35"/>
      <c r="J3235" s="34"/>
      <c r="K3235" s="19"/>
      <c r="L3235" s="19"/>
      <c r="N3235" s="35"/>
    </row>
    <row r="3236">
      <c r="A3236" s="1"/>
      <c r="B3236" s="166"/>
      <c r="C3236" s="1"/>
      <c r="D3236" s="1"/>
      <c r="E3236" s="35"/>
      <c r="F3236" s="1"/>
      <c r="G3236" s="1"/>
      <c r="H3236" s="1"/>
      <c r="I3236" s="35"/>
      <c r="J3236" s="34"/>
      <c r="K3236" s="19"/>
      <c r="L3236" s="19"/>
      <c r="N3236" s="35"/>
    </row>
    <row r="3237">
      <c r="A3237" s="1"/>
      <c r="B3237" s="166"/>
      <c r="C3237" s="1"/>
      <c r="D3237" s="1"/>
      <c r="E3237" s="35"/>
      <c r="F3237" s="1"/>
      <c r="G3237" s="1"/>
      <c r="H3237" s="1"/>
      <c r="I3237" s="35"/>
      <c r="J3237" s="34"/>
      <c r="K3237" s="19"/>
      <c r="L3237" s="19"/>
      <c r="N3237" s="35"/>
    </row>
    <row r="3238">
      <c r="A3238" s="1"/>
      <c r="B3238" s="166"/>
      <c r="C3238" s="1"/>
      <c r="D3238" s="1"/>
      <c r="E3238" s="35"/>
      <c r="F3238" s="1"/>
      <c r="G3238" s="1"/>
      <c r="H3238" s="1"/>
      <c r="I3238" s="35"/>
      <c r="J3238" s="34"/>
      <c r="K3238" s="19"/>
      <c r="L3238" s="19"/>
      <c r="N3238" s="35"/>
    </row>
    <row r="3239">
      <c r="A3239" s="1"/>
      <c r="B3239" s="166"/>
      <c r="C3239" s="1"/>
      <c r="D3239" s="1"/>
      <c r="E3239" s="35"/>
      <c r="F3239" s="1"/>
      <c r="G3239" s="1"/>
      <c r="H3239" s="1"/>
      <c r="I3239" s="35"/>
      <c r="J3239" s="34"/>
      <c r="K3239" s="19"/>
      <c r="L3239" s="19"/>
      <c r="N3239" s="35"/>
    </row>
    <row r="3240">
      <c r="A3240" s="1"/>
      <c r="B3240" s="166"/>
      <c r="C3240" s="1"/>
      <c r="D3240" s="1"/>
      <c r="E3240" s="35"/>
      <c r="F3240" s="1"/>
      <c r="G3240" s="1"/>
      <c r="H3240" s="1"/>
      <c r="I3240" s="35"/>
      <c r="J3240" s="34"/>
      <c r="K3240" s="19"/>
      <c r="L3240" s="19"/>
      <c r="N3240" s="35"/>
    </row>
    <row r="3241">
      <c r="A3241" s="1"/>
      <c r="B3241" s="166"/>
      <c r="C3241" s="1"/>
      <c r="D3241" s="1"/>
      <c r="E3241" s="35"/>
      <c r="F3241" s="1"/>
      <c r="G3241" s="1"/>
      <c r="H3241" s="1"/>
      <c r="I3241" s="35"/>
      <c r="J3241" s="34"/>
      <c r="K3241" s="19"/>
      <c r="L3241" s="19"/>
      <c r="N3241" s="35"/>
    </row>
    <row r="3242">
      <c r="A3242" s="1"/>
      <c r="B3242" s="166"/>
      <c r="C3242" s="1"/>
      <c r="D3242" s="1"/>
      <c r="E3242" s="35"/>
      <c r="F3242" s="1"/>
      <c r="G3242" s="1"/>
      <c r="H3242" s="1"/>
      <c r="I3242" s="35"/>
      <c r="J3242" s="34"/>
      <c r="K3242" s="19"/>
      <c r="L3242" s="19"/>
      <c r="N3242" s="35"/>
    </row>
    <row r="3243">
      <c r="A3243" s="1"/>
      <c r="B3243" s="166"/>
      <c r="C3243" s="1"/>
      <c r="D3243" s="1"/>
      <c r="E3243" s="35"/>
      <c r="F3243" s="1"/>
      <c r="G3243" s="1"/>
      <c r="H3243" s="1"/>
      <c r="I3243" s="35"/>
      <c r="J3243" s="34"/>
      <c r="K3243" s="19"/>
      <c r="L3243" s="19"/>
      <c r="N3243" s="35"/>
    </row>
    <row r="3244">
      <c r="A3244" s="1"/>
      <c r="B3244" s="166"/>
      <c r="C3244" s="1"/>
      <c r="D3244" s="1"/>
      <c r="E3244" s="35"/>
      <c r="F3244" s="1"/>
      <c r="G3244" s="1"/>
      <c r="H3244" s="1"/>
      <c r="I3244" s="35"/>
      <c r="J3244" s="34"/>
      <c r="K3244" s="19"/>
      <c r="L3244" s="19"/>
      <c r="N3244" s="35"/>
    </row>
    <row r="3245">
      <c r="A3245" s="1"/>
      <c r="B3245" s="166"/>
      <c r="C3245" s="1"/>
      <c r="D3245" s="1"/>
      <c r="E3245" s="35"/>
      <c r="F3245" s="1"/>
      <c r="G3245" s="1"/>
      <c r="H3245" s="1"/>
      <c r="I3245" s="35"/>
      <c r="J3245" s="34"/>
      <c r="K3245" s="19"/>
      <c r="L3245" s="19"/>
      <c r="N3245" s="35"/>
    </row>
    <row r="3246">
      <c r="A3246" s="1"/>
      <c r="B3246" s="166"/>
      <c r="C3246" s="1"/>
      <c r="D3246" s="1"/>
      <c r="E3246" s="35"/>
      <c r="F3246" s="1"/>
      <c r="G3246" s="1"/>
      <c r="H3246" s="1"/>
      <c r="I3246" s="35"/>
      <c r="J3246" s="34"/>
      <c r="K3246" s="19"/>
      <c r="L3246" s="19"/>
      <c r="N3246" s="35"/>
    </row>
    <row r="3247">
      <c r="A3247" s="1"/>
      <c r="B3247" s="166"/>
      <c r="C3247" s="1"/>
      <c r="D3247" s="1"/>
      <c r="E3247" s="35"/>
      <c r="F3247" s="1"/>
      <c r="G3247" s="1"/>
      <c r="H3247" s="1"/>
      <c r="I3247" s="35"/>
      <c r="J3247" s="34"/>
      <c r="K3247" s="19"/>
      <c r="L3247" s="19"/>
      <c r="N3247" s="35"/>
    </row>
    <row r="3248">
      <c r="A3248" s="1"/>
      <c r="B3248" s="166"/>
      <c r="C3248" s="1"/>
      <c r="D3248" s="1"/>
      <c r="E3248" s="35"/>
      <c r="F3248" s="1"/>
      <c r="G3248" s="1"/>
      <c r="H3248" s="1"/>
      <c r="I3248" s="35"/>
      <c r="J3248" s="34"/>
      <c r="K3248" s="19"/>
      <c r="L3248" s="19"/>
      <c r="N3248" s="35"/>
    </row>
    <row r="3249">
      <c r="A3249" s="1"/>
      <c r="B3249" s="166"/>
      <c r="C3249" s="1"/>
      <c r="D3249" s="1"/>
      <c r="E3249" s="35"/>
      <c r="F3249" s="1"/>
      <c r="G3249" s="1"/>
      <c r="H3249" s="1"/>
      <c r="I3249" s="35"/>
      <c r="J3249" s="34"/>
      <c r="K3249" s="19"/>
      <c r="L3249" s="19"/>
      <c r="N3249" s="35"/>
    </row>
    <row r="3250">
      <c r="A3250" s="1"/>
      <c r="B3250" s="166"/>
      <c r="C3250" s="1"/>
      <c r="D3250" s="1"/>
      <c r="E3250" s="35"/>
      <c r="F3250" s="1"/>
      <c r="G3250" s="1"/>
      <c r="H3250" s="1"/>
      <c r="I3250" s="35"/>
      <c r="J3250" s="34"/>
      <c r="K3250" s="19"/>
      <c r="L3250" s="19"/>
      <c r="N3250" s="35"/>
    </row>
    <row r="3251">
      <c r="A3251" s="1"/>
      <c r="B3251" s="166"/>
      <c r="C3251" s="1"/>
      <c r="D3251" s="1"/>
      <c r="E3251" s="35"/>
      <c r="F3251" s="1"/>
      <c r="G3251" s="1"/>
      <c r="H3251" s="1"/>
      <c r="I3251" s="35"/>
      <c r="J3251" s="34"/>
      <c r="K3251" s="19"/>
      <c r="L3251" s="19"/>
      <c r="N3251" s="35"/>
    </row>
    <row r="3252">
      <c r="A3252" s="1"/>
      <c r="B3252" s="166"/>
      <c r="C3252" s="1"/>
      <c r="D3252" s="1"/>
      <c r="E3252" s="35"/>
      <c r="F3252" s="1"/>
      <c r="G3252" s="1"/>
      <c r="H3252" s="1"/>
      <c r="I3252" s="35"/>
      <c r="J3252" s="34"/>
      <c r="K3252" s="19"/>
      <c r="L3252" s="19"/>
      <c r="N3252" s="35"/>
    </row>
    <row r="3253">
      <c r="A3253" s="1"/>
      <c r="B3253" s="166"/>
      <c r="C3253" s="1"/>
      <c r="D3253" s="1"/>
      <c r="E3253" s="35"/>
      <c r="F3253" s="1"/>
      <c r="G3253" s="1"/>
      <c r="H3253" s="1"/>
      <c r="I3253" s="35"/>
      <c r="J3253" s="34"/>
      <c r="K3253" s="19"/>
      <c r="L3253" s="19"/>
      <c r="N3253" s="35"/>
    </row>
    <row r="3254">
      <c r="A3254" s="1"/>
      <c r="B3254" s="166"/>
      <c r="C3254" s="1"/>
      <c r="D3254" s="1"/>
      <c r="E3254" s="35"/>
      <c r="F3254" s="1"/>
      <c r="G3254" s="1"/>
      <c r="H3254" s="1"/>
      <c r="I3254" s="35"/>
      <c r="J3254" s="34"/>
      <c r="K3254" s="19"/>
      <c r="L3254" s="19"/>
      <c r="N3254" s="35"/>
    </row>
    <row r="3255">
      <c r="A3255" s="1"/>
      <c r="B3255" s="166"/>
      <c r="C3255" s="1"/>
      <c r="D3255" s="1"/>
      <c r="E3255" s="35"/>
      <c r="F3255" s="1"/>
      <c r="G3255" s="1"/>
      <c r="H3255" s="1"/>
      <c r="I3255" s="35"/>
      <c r="J3255" s="34"/>
      <c r="K3255" s="19"/>
      <c r="L3255" s="19"/>
      <c r="N3255" s="35"/>
    </row>
    <row r="3256">
      <c r="A3256" s="1"/>
      <c r="B3256" s="166"/>
      <c r="C3256" s="1"/>
      <c r="D3256" s="1"/>
      <c r="E3256" s="35"/>
      <c r="F3256" s="1"/>
      <c r="G3256" s="1"/>
      <c r="H3256" s="1"/>
      <c r="I3256" s="35"/>
      <c r="J3256" s="34"/>
      <c r="K3256" s="19"/>
      <c r="L3256" s="19"/>
      <c r="N3256" s="35"/>
    </row>
    <row r="3257">
      <c r="A3257" s="1"/>
      <c r="B3257" s="166"/>
      <c r="C3257" s="1"/>
      <c r="D3257" s="1"/>
      <c r="E3257" s="35"/>
      <c r="F3257" s="1"/>
      <c r="G3257" s="1"/>
      <c r="H3257" s="1"/>
      <c r="I3257" s="35"/>
      <c r="J3257" s="34"/>
      <c r="K3257" s="19"/>
      <c r="L3257" s="19"/>
      <c r="N3257" s="35"/>
    </row>
    <row r="3258">
      <c r="A3258" s="1"/>
      <c r="B3258" s="166"/>
      <c r="C3258" s="1"/>
      <c r="D3258" s="1"/>
      <c r="E3258" s="35"/>
      <c r="F3258" s="1"/>
      <c r="G3258" s="1"/>
      <c r="H3258" s="1"/>
      <c r="I3258" s="35"/>
      <c r="J3258" s="34"/>
      <c r="K3258" s="19"/>
      <c r="L3258" s="19"/>
      <c r="N3258" s="35"/>
    </row>
    <row r="3259">
      <c r="A3259" s="1"/>
      <c r="B3259" s="166"/>
      <c r="C3259" s="1"/>
      <c r="D3259" s="1"/>
      <c r="E3259" s="35"/>
      <c r="F3259" s="1"/>
      <c r="G3259" s="1"/>
      <c r="H3259" s="1"/>
      <c r="I3259" s="35"/>
      <c r="J3259" s="34"/>
      <c r="K3259" s="19"/>
      <c r="L3259" s="19"/>
      <c r="N3259" s="35"/>
    </row>
    <row r="3260">
      <c r="A3260" s="1"/>
      <c r="B3260" s="166"/>
      <c r="C3260" s="1"/>
      <c r="D3260" s="1"/>
      <c r="E3260" s="35"/>
      <c r="F3260" s="1"/>
      <c r="G3260" s="1"/>
      <c r="H3260" s="1"/>
      <c r="I3260" s="35"/>
      <c r="J3260" s="34"/>
      <c r="K3260" s="19"/>
      <c r="L3260" s="19"/>
      <c r="N3260" s="35"/>
    </row>
    <row r="3261">
      <c r="A3261" s="1"/>
      <c r="B3261" s="166"/>
      <c r="C3261" s="1"/>
      <c r="D3261" s="1"/>
      <c r="E3261" s="35"/>
      <c r="F3261" s="1"/>
      <c r="G3261" s="1"/>
      <c r="H3261" s="1"/>
      <c r="I3261" s="35"/>
      <c r="J3261" s="34"/>
      <c r="K3261" s="19"/>
      <c r="L3261" s="19"/>
      <c r="N3261" s="35"/>
    </row>
    <row r="3262">
      <c r="A3262" s="1"/>
      <c r="B3262" s="166"/>
      <c r="C3262" s="1"/>
      <c r="D3262" s="1"/>
      <c r="E3262" s="35"/>
      <c r="F3262" s="1"/>
      <c r="G3262" s="1"/>
      <c r="H3262" s="1"/>
      <c r="I3262" s="35"/>
      <c r="J3262" s="34"/>
      <c r="K3262" s="19"/>
      <c r="L3262" s="19"/>
      <c r="N3262" s="35"/>
    </row>
    <row r="3263">
      <c r="A3263" s="1"/>
      <c r="B3263" s="166"/>
      <c r="C3263" s="1"/>
      <c r="D3263" s="1"/>
      <c r="E3263" s="35"/>
      <c r="F3263" s="1"/>
      <c r="G3263" s="1"/>
      <c r="H3263" s="1"/>
      <c r="I3263" s="35"/>
      <c r="J3263" s="34"/>
      <c r="K3263" s="19"/>
      <c r="L3263" s="19"/>
      <c r="N3263" s="35"/>
    </row>
    <row r="3264">
      <c r="A3264" s="1"/>
      <c r="B3264" s="166"/>
      <c r="C3264" s="1"/>
      <c r="D3264" s="1"/>
      <c r="E3264" s="35"/>
      <c r="F3264" s="1"/>
      <c r="G3264" s="1"/>
      <c r="H3264" s="1"/>
      <c r="I3264" s="35"/>
      <c r="J3264" s="34"/>
      <c r="K3264" s="19"/>
      <c r="L3264" s="19"/>
      <c r="N3264" s="35"/>
    </row>
    <row r="3265">
      <c r="A3265" s="1"/>
      <c r="B3265" s="166"/>
      <c r="C3265" s="1"/>
      <c r="D3265" s="1"/>
      <c r="E3265" s="35"/>
      <c r="F3265" s="1"/>
      <c r="G3265" s="1"/>
      <c r="H3265" s="1"/>
      <c r="I3265" s="35"/>
      <c r="J3265" s="34"/>
      <c r="K3265" s="19"/>
      <c r="L3265" s="19"/>
      <c r="N3265" s="35"/>
    </row>
    <row r="3266">
      <c r="A3266" s="1"/>
      <c r="B3266" s="166"/>
      <c r="C3266" s="1"/>
      <c r="D3266" s="1"/>
      <c r="E3266" s="35"/>
      <c r="F3266" s="1"/>
      <c r="G3266" s="1"/>
      <c r="H3266" s="1"/>
      <c r="I3266" s="35"/>
      <c r="J3266" s="34"/>
      <c r="K3266" s="19"/>
      <c r="L3266" s="19"/>
      <c r="N3266" s="35"/>
    </row>
    <row r="3267">
      <c r="A3267" s="1"/>
      <c r="B3267" s="166"/>
      <c r="C3267" s="1"/>
      <c r="D3267" s="1"/>
      <c r="E3267" s="35"/>
      <c r="F3267" s="1"/>
      <c r="G3267" s="1"/>
      <c r="H3267" s="1"/>
      <c r="I3267" s="35"/>
      <c r="J3267" s="34"/>
      <c r="K3267" s="19"/>
      <c r="L3267" s="19"/>
      <c r="N3267" s="35"/>
    </row>
    <row r="3268">
      <c r="A3268" s="1"/>
      <c r="B3268" s="166"/>
      <c r="C3268" s="1"/>
      <c r="D3268" s="1"/>
      <c r="E3268" s="35"/>
      <c r="F3268" s="1"/>
      <c r="G3268" s="1"/>
      <c r="H3268" s="1"/>
      <c r="I3268" s="35"/>
      <c r="J3268" s="34"/>
      <c r="K3268" s="19"/>
      <c r="L3268" s="19"/>
      <c r="N3268" s="35"/>
    </row>
    <row r="3269">
      <c r="A3269" s="1"/>
      <c r="B3269" s="166"/>
      <c r="C3269" s="1"/>
      <c r="D3269" s="1"/>
      <c r="E3269" s="35"/>
      <c r="F3269" s="1"/>
      <c r="G3269" s="1"/>
      <c r="H3269" s="1"/>
      <c r="I3269" s="35"/>
      <c r="J3269" s="34"/>
      <c r="K3269" s="19"/>
      <c r="L3269" s="19"/>
      <c r="N3269" s="35"/>
    </row>
    <row r="3270">
      <c r="A3270" s="1"/>
      <c r="B3270" s="166"/>
      <c r="C3270" s="1"/>
      <c r="D3270" s="1"/>
      <c r="E3270" s="35"/>
      <c r="F3270" s="1"/>
      <c r="G3270" s="1"/>
      <c r="H3270" s="1"/>
      <c r="I3270" s="35"/>
      <c r="J3270" s="34"/>
      <c r="K3270" s="19"/>
      <c r="L3270" s="19"/>
      <c r="N3270" s="35"/>
    </row>
    <row r="3271">
      <c r="A3271" s="1"/>
      <c r="B3271" s="166"/>
      <c r="C3271" s="1"/>
      <c r="D3271" s="1"/>
      <c r="E3271" s="35"/>
      <c r="F3271" s="1"/>
      <c r="G3271" s="1"/>
      <c r="H3271" s="1"/>
      <c r="I3271" s="35"/>
      <c r="J3271" s="34"/>
      <c r="K3271" s="19"/>
      <c r="L3271" s="19"/>
      <c r="N3271" s="35"/>
    </row>
    <row r="3272">
      <c r="A3272" s="1"/>
      <c r="B3272" s="166"/>
      <c r="C3272" s="1"/>
      <c r="D3272" s="1"/>
      <c r="E3272" s="35"/>
      <c r="F3272" s="1"/>
      <c r="G3272" s="1"/>
      <c r="H3272" s="1"/>
      <c r="I3272" s="35"/>
      <c r="J3272" s="34"/>
      <c r="K3272" s="19"/>
      <c r="L3272" s="19"/>
      <c r="N3272" s="35"/>
    </row>
    <row r="3273">
      <c r="A3273" s="1"/>
      <c r="B3273" s="166"/>
      <c r="C3273" s="1"/>
      <c r="D3273" s="1"/>
      <c r="E3273" s="35"/>
      <c r="F3273" s="1"/>
      <c r="G3273" s="1"/>
      <c r="H3273" s="1"/>
      <c r="I3273" s="35"/>
      <c r="J3273" s="34"/>
      <c r="K3273" s="19"/>
      <c r="L3273" s="19"/>
      <c r="N3273" s="35"/>
    </row>
    <row r="3274">
      <c r="A3274" s="1"/>
      <c r="B3274" s="166"/>
      <c r="C3274" s="1"/>
      <c r="D3274" s="1"/>
      <c r="E3274" s="35"/>
      <c r="F3274" s="1"/>
      <c r="G3274" s="1"/>
      <c r="H3274" s="1"/>
      <c r="I3274" s="35"/>
      <c r="J3274" s="34"/>
      <c r="K3274" s="19"/>
      <c r="L3274" s="19"/>
      <c r="N3274" s="35"/>
    </row>
    <row r="3275">
      <c r="A3275" s="1"/>
      <c r="B3275" s="166"/>
      <c r="C3275" s="1"/>
      <c r="D3275" s="1"/>
      <c r="E3275" s="35"/>
      <c r="F3275" s="1"/>
      <c r="G3275" s="1"/>
      <c r="H3275" s="1"/>
      <c r="I3275" s="35"/>
      <c r="J3275" s="34"/>
      <c r="K3275" s="19"/>
      <c r="L3275" s="19"/>
      <c r="N3275" s="35"/>
    </row>
    <row r="3276">
      <c r="A3276" s="1"/>
      <c r="B3276" s="166"/>
      <c r="C3276" s="1"/>
      <c r="D3276" s="1"/>
      <c r="E3276" s="35"/>
      <c r="F3276" s="1"/>
      <c r="G3276" s="1"/>
      <c r="H3276" s="1"/>
      <c r="I3276" s="35"/>
      <c r="J3276" s="34"/>
      <c r="K3276" s="19"/>
      <c r="L3276" s="19"/>
      <c r="N3276" s="35"/>
    </row>
    <row r="3277">
      <c r="A3277" s="1"/>
      <c r="B3277" s="166"/>
      <c r="C3277" s="1"/>
      <c r="D3277" s="1"/>
      <c r="E3277" s="35"/>
      <c r="F3277" s="1"/>
      <c r="G3277" s="1"/>
      <c r="H3277" s="1"/>
      <c r="I3277" s="35"/>
      <c r="J3277" s="34"/>
      <c r="K3277" s="19"/>
      <c r="L3277" s="19"/>
      <c r="N3277" s="35"/>
    </row>
    <row r="3278">
      <c r="A3278" s="1"/>
      <c r="B3278" s="166"/>
      <c r="C3278" s="1"/>
      <c r="D3278" s="1"/>
      <c r="E3278" s="35"/>
      <c r="F3278" s="1"/>
      <c r="G3278" s="1"/>
      <c r="H3278" s="1"/>
      <c r="I3278" s="35"/>
      <c r="J3278" s="34"/>
      <c r="K3278" s="19"/>
      <c r="L3278" s="19"/>
      <c r="N3278" s="35"/>
    </row>
    <row r="3279">
      <c r="A3279" s="1"/>
      <c r="B3279" s="166"/>
      <c r="C3279" s="1"/>
      <c r="D3279" s="1"/>
      <c r="E3279" s="35"/>
      <c r="F3279" s="1"/>
      <c r="G3279" s="1"/>
      <c r="H3279" s="1"/>
      <c r="I3279" s="35"/>
      <c r="J3279" s="34"/>
      <c r="K3279" s="19"/>
      <c r="L3279" s="19"/>
      <c r="N3279" s="35"/>
    </row>
    <row r="3280">
      <c r="A3280" s="1"/>
      <c r="B3280" s="166"/>
      <c r="C3280" s="1"/>
      <c r="D3280" s="1"/>
      <c r="E3280" s="35"/>
      <c r="F3280" s="1"/>
      <c r="G3280" s="1"/>
      <c r="H3280" s="1"/>
      <c r="I3280" s="35"/>
      <c r="J3280" s="34"/>
      <c r="K3280" s="19"/>
      <c r="L3280" s="19"/>
      <c r="N3280" s="35"/>
    </row>
    <row r="3281">
      <c r="A3281" s="1"/>
      <c r="B3281" s="166"/>
      <c r="C3281" s="1"/>
      <c r="D3281" s="1"/>
      <c r="E3281" s="35"/>
      <c r="F3281" s="1"/>
      <c r="G3281" s="1"/>
      <c r="H3281" s="1"/>
      <c r="I3281" s="35"/>
      <c r="J3281" s="34"/>
      <c r="K3281" s="19"/>
      <c r="L3281" s="19"/>
      <c r="N3281" s="35"/>
    </row>
    <row r="3282">
      <c r="A3282" s="1"/>
      <c r="B3282" s="166"/>
      <c r="C3282" s="1"/>
      <c r="D3282" s="1"/>
      <c r="E3282" s="35"/>
      <c r="F3282" s="1"/>
      <c r="G3282" s="1"/>
      <c r="H3282" s="1"/>
      <c r="I3282" s="35"/>
      <c r="J3282" s="34"/>
      <c r="K3282" s="19"/>
      <c r="L3282" s="19"/>
      <c r="N3282" s="35"/>
    </row>
    <row r="3283">
      <c r="A3283" s="1"/>
      <c r="B3283" s="166"/>
      <c r="C3283" s="1"/>
      <c r="D3283" s="1"/>
      <c r="E3283" s="35"/>
      <c r="F3283" s="1"/>
      <c r="G3283" s="1"/>
      <c r="H3283" s="1"/>
      <c r="I3283" s="35"/>
      <c r="J3283" s="34"/>
      <c r="K3283" s="19"/>
      <c r="L3283" s="19"/>
      <c r="N3283" s="35"/>
    </row>
    <row r="3284">
      <c r="A3284" s="1"/>
      <c r="B3284" s="166"/>
      <c r="C3284" s="1"/>
      <c r="D3284" s="1"/>
      <c r="E3284" s="35"/>
      <c r="F3284" s="1"/>
      <c r="G3284" s="1"/>
      <c r="H3284" s="1"/>
      <c r="I3284" s="35"/>
      <c r="J3284" s="34"/>
      <c r="K3284" s="19"/>
      <c r="L3284" s="19"/>
      <c r="N3284" s="35"/>
    </row>
    <row r="3285">
      <c r="A3285" s="1"/>
      <c r="B3285" s="166"/>
      <c r="C3285" s="1"/>
      <c r="D3285" s="1"/>
      <c r="E3285" s="35"/>
      <c r="F3285" s="1"/>
      <c r="G3285" s="1"/>
      <c r="H3285" s="1"/>
      <c r="I3285" s="35"/>
      <c r="J3285" s="34"/>
      <c r="K3285" s="19"/>
      <c r="L3285" s="19"/>
      <c r="N3285" s="35"/>
    </row>
    <row r="3286">
      <c r="A3286" s="1"/>
      <c r="B3286" s="166"/>
      <c r="C3286" s="1"/>
      <c r="D3286" s="1"/>
      <c r="E3286" s="35"/>
      <c r="F3286" s="1"/>
      <c r="G3286" s="1"/>
      <c r="H3286" s="1"/>
      <c r="I3286" s="35"/>
      <c r="J3286" s="34"/>
      <c r="K3286" s="19"/>
      <c r="L3286" s="19"/>
      <c r="N3286" s="35"/>
    </row>
    <row r="3287">
      <c r="A3287" s="1"/>
      <c r="B3287" s="166"/>
      <c r="C3287" s="1"/>
      <c r="D3287" s="1"/>
      <c r="E3287" s="35"/>
      <c r="F3287" s="1"/>
      <c r="G3287" s="1"/>
      <c r="H3287" s="1"/>
      <c r="I3287" s="35"/>
      <c r="J3287" s="34"/>
      <c r="K3287" s="19"/>
      <c r="L3287" s="19"/>
      <c r="N3287" s="35"/>
    </row>
    <row r="3288">
      <c r="A3288" s="1"/>
      <c r="B3288" s="166"/>
      <c r="C3288" s="1"/>
      <c r="D3288" s="1"/>
      <c r="E3288" s="35"/>
      <c r="F3288" s="1"/>
      <c r="G3288" s="1"/>
      <c r="H3288" s="1"/>
      <c r="I3288" s="35"/>
      <c r="J3288" s="34"/>
      <c r="K3288" s="19"/>
      <c r="L3288" s="19"/>
      <c r="N3288" s="35"/>
    </row>
    <row r="3289">
      <c r="A3289" s="1"/>
      <c r="B3289" s="166"/>
      <c r="C3289" s="1"/>
      <c r="D3289" s="1"/>
      <c r="E3289" s="35"/>
      <c r="F3289" s="1"/>
      <c r="G3289" s="1"/>
      <c r="H3289" s="1"/>
      <c r="I3289" s="35"/>
      <c r="J3289" s="34"/>
      <c r="K3289" s="19"/>
      <c r="L3289" s="19"/>
      <c r="N3289" s="35"/>
    </row>
    <row r="3290">
      <c r="A3290" s="1"/>
      <c r="B3290" s="166"/>
      <c r="C3290" s="1"/>
      <c r="D3290" s="1"/>
      <c r="E3290" s="35"/>
      <c r="F3290" s="1"/>
      <c r="G3290" s="1"/>
      <c r="H3290" s="1"/>
      <c r="I3290" s="35"/>
      <c r="J3290" s="34"/>
      <c r="K3290" s="19"/>
      <c r="L3290" s="19"/>
      <c r="N3290" s="35"/>
    </row>
    <row r="3291">
      <c r="A3291" s="1"/>
      <c r="B3291" s="166"/>
      <c r="C3291" s="1"/>
      <c r="D3291" s="1"/>
      <c r="E3291" s="35"/>
      <c r="F3291" s="1"/>
      <c r="G3291" s="1"/>
      <c r="H3291" s="1"/>
      <c r="I3291" s="35"/>
      <c r="J3291" s="34"/>
      <c r="K3291" s="19"/>
      <c r="L3291" s="19"/>
      <c r="N3291" s="35"/>
    </row>
    <row r="3292">
      <c r="A3292" s="1"/>
      <c r="B3292" s="166"/>
      <c r="C3292" s="1"/>
      <c r="D3292" s="1"/>
      <c r="E3292" s="35"/>
      <c r="F3292" s="1"/>
      <c r="G3292" s="1"/>
      <c r="H3292" s="1"/>
      <c r="I3292" s="35"/>
      <c r="J3292" s="34"/>
      <c r="K3292" s="19"/>
      <c r="L3292" s="19"/>
      <c r="N3292" s="35"/>
    </row>
    <row r="3293">
      <c r="A3293" s="1"/>
      <c r="B3293" s="166"/>
      <c r="C3293" s="1"/>
      <c r="D3293" s="1"/>
      <c r="E3293" s="35"/>
      <c r="F3293" s="1"/>
      <c r="G3293" s="1"/>
      <c r="H3293" s="1"/>
      <c r="I3293" s="35"/>
      <c r="J3293" s="34"/>
      <c r="K3293" s="19"/>
      <c r="L3293" s="19"/>
      <c r="N3293" s="35"/>
    </row>
    <row r="3294">
      <c r="A3294" s="1"/>
      <c r="B3294" s="166"/>
      <c r="C3294" s="1"/>
      <c r="D3294" s="1"/>
      <c r="E3294" s="35"/>
      <c r="F3294" s="1"/>
      <c r="G3294" s="1"/>
      <c r="H3294" s="1"/>
      <c r="I3294" s="35"/>
      <c r="J3294" s="34"/>
      <c r="K3294" s="19"/>
      <c r="L3294" s="19"/>
      <c r="N3294" s="35"/>
    </row>
    <row r="3295">
      <c r="A3295" s="1"/>
      <c r="B3295" s="166"/>
      <c r="C3295" s="1"/>
      <c r="D3295" s="1"/>
      <c r="E3295" s="35"/>
      <c r="F3295" s="1"/>
      <c r="G3295" s="1"/>
      <c r="H3295" s="1"/>
      <c r="I3295" s="35"/>
      <c r="J3295" s="34"/>
      <c r="K3295" s="19"/>
      <c r="L3295" s="19"/>
      <c r="N3295" s="35"/>
    </row>
    <row r="3296">
      <c r="A3296" s="1"/>
      <c r="B3296" s="166"/>
      <c r="C3296" s="1"/>
      <c r="D3296" s="1"/>
      <c r="E3296" s="35"/>
      <c r="F3296" s="1"/>
      <c r="G3296" s="1"/>
      <c r="H3296" s="1"/>
      <c r="I3296" s="35"/>
      <c r="J3296" s="34"/>
      <c r="K3296" s="19"/>
      <c r="L3296" s="19"/>
      <c r="N3296" s="35"/>
    </row>
    <row r="3297">
      <c r="A3297" s="1"/>
      <c r="B3297" s="166"/>
      <c r="C3297" s="1"/>
      <c r="D3297" s="1"/>
      <c r="E3297" s="35"/>
      <c r="F3297" s="1"/>
      <c r="G3297" s="1"/>
      <c r="H3297" s="1"/>
      <c r="I3297" s="35"/>
      <c r="J3297" s="34"/>
      <c r="K3297" s="19"/>
      <c r="L3297" s="19"/>
      <c r="N3297" s="35"/>
    </row>
    <row r="3298">
      <c r="A3298" s="1"/>
      <c r="B3298" s="166"/>
      <c r="C3298" s="1"/>
      <c r="D3298" s="1"/>
      <c r="E3298" s="35"/>
      <c r="F3298" s="1"/>
      <c r="G3298" s="1"/>
      <c r="H3298" s="1"/>
      <c r="I3298" s="35"/>
      <c r="J3298" s="34"/>
      <c r="K3298" s="19"/>
      <c r="L3298" s="19"/>
      <c r="N3298" s="35"/>
    </row>
    <row r="3299">
      <c r="A3299" s="1"/>
      <c r="B3299" s="166"/>
      <c r="C3299" s="1"/>
      <c r="D3299" s="1"/>
      <c r="E3299" s="35"/>
      <c r="F3299" s="1"/>
      <c r="G3299" s="1"/>
      <c r="H3299" s="1"/>
      <c r="I3299" s="35"/>
      <c r="J3299" s="34"/>
      <c r="K3299" s="19"/>
      <c r="L3299" s="19"/>
      <c r="N3299" s="35"/>
    </row>
    <row r="3300">
      <c r="A3300" s="1"/>
      <c r="B3300" s="166"/>
      <c r="C3300" s="1"/>
      <c r="D3300" s="1"/>
      <c r="E3300" s="35"/>
      <c r="F3300" s="1"/>
      <c r="G3300" s="1"/>
      <c r="H3300" s="1"/>
      <c r="I3300" s="35"/>
      <c r="J3300" s="34"/>
      <c r="K3300" s="19"/>
      <c r="L3300" s="19"/>
      <c r="N3300" s="35"/>
    </row>
    <row r="3301">
      <c r="A3301" s="1"/>
      <c r="B3301" s="166"/>
      <c r="C3301" s="1"/>
      <c r="D3301" s="1"/>
      <c r="E3301" s="35"/>
      <c r="F3301" s="1"/>
      <c r="G3301" s="1"/>
      <c r="H3301" s="1"/>
      <c r="I3301" s="35"/>
      <c r="J3301" s="34"/>
      <c r="K3301" s="19"/>
      <c r="L3301" s="19"/>
      <c r="N3301" s="35"/>
    </row>
    <row r="3302">
      <c r="A3302" s="1"/>
      <c r="B3302" s="166"/>
      <c r="C3302" s="1"/>
      <c r="D3302" s="1"/>
      <c r="E3302" s="35"/>
      <c r="F3302" s="1"/>
      <c r="G3302" s="1"/>
      <c r="H3302" s="1"/>
      <c r="I3302" s="35"/>
      <c r="J3302" s="34"/>
      <c r="K3302" s="19"/>
      <c r="L3302" s="19"/>
      <c r="N3302" s="35"/>
    </row>
    <row r="3303">
      <c r="A3303" s="1"/>
      <c r="B3303" s="166"/>
      <c r="C3303" s="1"/>
      <c r="D3303" s="1"/>
      <c r="E3303" s="35"/>
      <c r="F3303" s="1"/>
      <c r="G3303" s="1"/>
      <c r="H3303" s="1"/>
      <c r="I3303" s="35"/>
      <c r="J3303" s="34"/>
      <c r="K3303" s="19"/>
      <c r="L3303" s="19"/>
      <c r="N3303" s="35"/>
    </row>
    <row r="3304">
      <c r="A3304" s="1"/>
      <c r="B3304" s="166"/>
      <c r="C3304" s="1"/>
      <c r="D3304" s="1"/>
      <c r="E3304" s="35"/>
      <c r="F3304" s="1"/>
      <c r="G3304" s="1"/>
      <c r="H3304" s="1"/>
      <c r="I3304" s="35"/>
      <c r="J3304" s="34"/>
      <c r="K3304" s="19"/>
      <c r="L3304" s="19"/>
      <c r="N3304" s="35"/>
    </row>
    <row r="3305">
      <c r="A3305" s="1"/>
      <c r="B3305" s="166"/>
      <c r="C3305" s="1"/>
      <c r="D3305" s="1"/>
      <c r="E3305" s="35"/>
      <c r="F3305" s="1"/>
      <c r="G3305" s="1"/>
      <c r="H3305" s="1"/>
      <c r="I3305" s="35"/>
      <c r="J3305" s="34"/>
      <c r="K3305" s="19"/>
      <c r="L3305" s="19"/>
      <c r="N3305" s="35"/>
    </row>
    <row r="3306">
      <c r="A3306" s="1"/>
      <c r="B3306" s="166"/>
      <c r="C3306" s="1"/>
      <c r="D3306" s="1"/>
      <c r="E3306" s="35"/>
      <c r="F3306" s="1"/>
      <c r="G3306" s="1"/>
      <c r="H3306" s="1"/>
      <c r="I3306" s="35"/>
      <c r="J3306" s="34"/>
      <c r="K3306" s="19"/>
      <c r="L3306" s="19"/>
      <c r="N3306" s="35"/>
    </row>
    <row r="3307">
      <c r="A3307" s="1"/>
      <c r="B3307" s="166"/>
      <c r="C3307" s="1"/>
      <c r="D3307" s="1"/>
      <c r="E3307" s="35"/>
      <c r="F3307" s="1"/>
      <c r="G3307" s="1"/>
      <c r="H3307" s="1"/>
      <c r="I3307" s="35"/>
      <c r="J3307" s="34"/>
      <c r="K3307" s="19"/>
      <c r="L3307" s="19"/>
      <c r="N3307" s="35"/>
    </row>
    <row r="3308">
      <c r="A3308" s="1"/>
      <c r="B3308" s="166"/>
      <c r="C3308" s="1"/>
      <c r="D3308" s="1"/>
      <c r="E3308" s="35"/>
      <c r="F3308" s="1"/>
      <c r="G3308" s="1"/>
      <c r="H3308" s="1"/>
      <c r="I3308" s="35"/>
      <c r="J3308" s="34"/>
      <c r="K3308" s="19"/>
      <c r="L3308" s="19"/>
      <c r="N3308" s="35"/>
    </row>
    <row r="3309">
      <c r="A3309" s="1"/>
      <c r="B3309" s="166"/>
      <c r="C3309" s="1"/>
      <c r="D3309" s="1"/>
      <c r="E3309" s="35"/>
      <c r="F3309" s="1"/>
      <c r="G3309" s="1"/>
      <c r="H3309" s="1"/>
      <c r="I3309" s="35"/>
      <c r="J3309" s="34"/>
      <c r="K3309" s="19"/>
      <c r="L3309" s="19"/>
      <c r="N3309" s="35"/>
    </row>
    <row r="3310">
      <c r="A3310" s="1"/>
      <c r="B3310" s="166"/>
      <c r="C3310" s="1"/>
      <c r="D3310" s="1"/>
      <c r="E3310" s="35"/>
      <c r="F3310" s="1"/>
      <c r="G3310" s="1"/>
      <c r="H3310" s="1"/>
      <c r="I3310" s="35"/>
      <c r="J3310" s="34"/>
      <c r="K3310" s="19"/>
      <c r="L3310" s="19"/>
      <c r="N3310" s="35"/>
    </row>
    <row r="3311">
      <c r="A3311" s="1"/>
      <c r="B3311" s="166"/>
      <c r="C3311" s="1"/>
      <c r="D3311" s="1"/>
      <c r="E3311" s="35"/>
      <c r="F3311" s="1"/>
      <c r="G3311" s="1"/>
      <c r="H3311" s="1"/>
      <c r="I3311" s="35"/>
      <c r="J3311" s="34"/>
      <c r="K3311" s="19"/>
      <c r="L3311" s="19"/>
      <c r="N3311" s="35"/>
    </row>
    <row r="3312">
      <c r="A3312" s="1"/>
      <c r="B3312" s="166"/>
      <c r="C3312" s="1"/>
      <c r="D3312" s="1"/>
      <c r="E3312" s="35"/>
      <c r="F3312" s="1"/>
      <c r="G3312" s="1"/>
      <c r="H3312" s="1"/>
      <c r="I3312" s="35"/>
      <c r="J3312" s="34"/>
      <c r="K3312" s="19"/>
      <c r="L3312" s="19"/>
      <c r="N3312" s="35"/>
    </row>
    <row r="3313">
      <c r="A3313" s="1"/>
      <c r="B3313" s="166"/>
      <c r="C3313" s="1"/>
      <c r="D3313" s="1"/>
      <c r="E3313" s="35"/>
      <c r="F3313" s="1"/>
      <c r="G3313" s="1"/>
      <c r="H3313" s="1"/>
      <c r="I3313" s="35"/>
      <c r="J3313" s="34"/>
      <c r="K3313" s="19"/>
      <c r="L3313" s="19"/>
      <c r="N3313" s="35"/>
    </row>
    <row r="3314">
      <c r="A3314" s="1"/>
      <c r="B3314" s="166"/>
      <c r="C3314" s="1"/>
      <c r="D3314" s="1"/>
      <c r="E3314" s="35"/>
      <c r="F3314" s="1"/>
      <c r="G3314" s="1"/>
      <c r="H3314" s="1"/>
      <c r="I3314" s="35"/>
      <c r="J3314" s="34"/>
      <c r="K3314" s="19"/>
      <c r="L3314" s="19"/>
      <c r="N3314" s="35"/>
    </row>
    <row r="3315">
      <c r="A3315" s="1"/>
      <c r="B3315" s="166"/>
      <c r="C3315" s="1"/>
      <c r="D3315" s="1"/>
      <c r="E3315" s="35"/>
      <c r="F3315" s="1"/>
      <c r="G3315" s="1"/>
      <c r="H3315" s="1"/>
      <c r="I3315" s="35"/>
      <c r="J3315" s="34"/>
      <c r="K3315" s="19"/>
      <c r="L3315" s="19"/>
      <c r="N3315" s="35"/>
    </row>
    <row r="3316">
      <c r="A3316" s="1"/>
      <c r="B3316" s="166"/>
      <c r="C3316" s="1"/>
      <c r="D3316" s="1"/>
      <c r="E3316" s="35"/>
      <c r="F3316" s="1"/>
      <c r="G3316" s="1"/>
      <c r="H3316" s="1"/>
      <c r="I3316" s="35"/>
      <c r="J3316" s="34"/>
      <c r="K3316" s="19"/>
      <c r="L3316" s="19"/>
      <c r="N3316" s="35"/>
    </row>
    <row r="3317">
      <c r="A3317" s="1"/>
      <c r="B3317" s="166"/>
      <c r="C3317" s="1"/>
      <c r="D3317" s="1"/>
      <c r="E3317" s="35"/>
      <c r="F3317" s="1"/>
      <c r="G3317" s="1"/>
      <c r="H3317" s="1"/>
      <c r="I3317" s="35"/>
      <c r="J3317" s="34"/>
      <c r="K3317" s="19"/>
      <c r="L3317" s="19"/>
      <c r="N3317" s="35"/>
    </row>
    <row r="3318">
      <c r="A3318" s="1"/>
      <c r="B3318" s="166"/>
      <c r="C3318" s="1"/>
      <c r="D3318" s="1"/>
      <c r="E3318" s="35"/>
      <c r="F3318" s="1"/>
      <c r="G3318" s="1"/>
      <c r="H3318" s="1"/>
      <c r="I3318" s="35"/>
      <c r="J3318" s="34"/>
      <c r="K3318" s="19"/>
      <c r="L3318" s="19"/>
      <c r="N3318" s="35"/>
    </row>
    <row r="3319">
      <c r="A3319" s="1"/>
      <c r="B3319" s="166"/>
      <c r="C3319" s="1"/>
      <c r="D3319" s="1"/>
      <c r="E3319" s="35"/>
      <c r="F3319" s="1"/>
      <c r="G3319" s="1"/>
      <c r="H3319" s="1"/>
      <c r="I3319" s="35"/>
      <c r="J3319" s="34"/>
      <c r="K3319" s="19"/>
      <c r="L3319" s="19"/>
      <c r="N3319" s="35"/>
    </row>
    <row r="3320">
      <c r="A3320" s="1"/>
      <c r="B3320" s="166"/>
      <c r="C3320" s="1"/>
      <c r="D3320" s="1"/>
      <c r="E3320" s="35"/>
      <c r="F3320" s="1"/>
      <c r="G3320" s="1"/>
      <c r="H3320" s="1"/>
      <c r="I3320" s="35"/>
      <c r="J3320" s="34"/>
      <c r="K3320" s="19"/>
      <c r="L3320" s="19"/>
      <c r="N3320" s="35"/>
    </row>
    <row r="3321">
      <c r="A3321" s="1"/>
      <c r="B3321" s="166"/>
      <c r="C3321" s="1"/>
      <c r="D3321" s="1"/>
      <c r="E3321" s="35"/>
      <c r="F3321" s="1"/>
      <c r="G3321" s="1"/>
      <c r="H3321" s="1"/>
      <c r="I3321" s="35"/>
      <c r="J3321" s="34"/>
      <c r="K3321" s="19"/>
      <c r="L3321" s="19"/>
      <c r="N3321" s="35"/>
    </row>
    <row r="3322">
      <c r="A3322" s="1"/>
      <c r="B3322" s="166"/>
      <c r="C3322" s="1"/>
      <c r="D3322" s="1"/>
      <c r="E3322" s="35"/>
      <c r="F3322" s="1"/>
      <c r="G3322" s="1"/>
      <c r="H3322" s="1"/>
      <c r="I3322" s="35"/>
      <c r="J3322" s="34"/>
      <c r="K3322" s="19"/>
      <c r="L3322" s="19"/>
      <c r="N3322" s="35"/>
    </row>
    <row r="3323">
      <c r="A3323" s="1"/>
      <c r="B3323" s="166"/>
      <c r="C3323" s="1"/>
      <c r="D3323" s="1"/>
      <c r="E3323" s="35"/>
      <c r="F3323" s="1"/>
      <c r="G3323" s="1"/>
      <c r="H3323" s="1"/>
      <c r="I3323" s="35"/>
      <c r="J3323" s="34"/>
      <c r="K3323" s="19"/>
      <c r="L3323" s="19"/>
      <c r="N3323" s="35"/>
    </row>
    <row r="3324">
      <c r="A3324" s="1"/>
      <c r="B3324" s="166"/>
      <c r="C3324" s="1"/>
      <c r="D3324" s="1"/>
      <c r="E3324" s="35"/>
      <c r="F3324" s="1"/>
      <c r="G3324" s="1"/>
      <c r="H3324" s="1"/>
      <c r="I3324" s="35"/>
      <c r="J3324" s="34"/>
      <c r="K3324" s="19"/>
      <c r="L3324" s="19"/>
      <c r="N3324" s="35"/>
    </row>
    <row r="3325">
      <c r="A3325" s="1"/>
      <c r="B3325" s="166"/>
      <c r="C3325" s="1"/>
      <c r="D3325" s="1"/>
      <c r="E3325" s="35"/>
      <c r="F3325" s="1"/>
      <c r="G3325" s="1"/>
      <c r="H3325" s="1"/>
      <c r="I3325" s="35"/>
      <c r="J3325" s="34"/>
      <c r="K3325" s="19"/>
      <c r="L3325" s="19"/>
      <c r="N3325" s="35"/>
    </row>
    <row r="3326">
      <c r="A3326" s="1"/>
      <c r="B3326" s="166"/>
      <c r="C3326" s="1"/>
      <c r="D3326" s="1"/>
      <c r="E3326" s="35"/>
      <c r="F3326" s="1"/>
      <c r="G3326" s="1"/>
      <c r="H3326" s="1"/>
      <c r="I3326" s="35"/>
      <c r="J3326" s="34"/>
      <c r="K3326" s="19"/>
      <c r="L3326" s="19"/>
      <c r="N3326" s="35"/>
    </row>
    <row r="3327">
      <c r="A3327" s="1"/>
      <c r="B3327" s="166"/>
      <c r="C3327" s="1"/>
      <c r="D3327" s="1"/>
      <c r="E3327" s="35"/>
      <c r="F3327" s="1"/>
      <c r="G3327" s="1"/>
      <c r="H3327" s="1"/>
      <c r="I3327" s="35"/>
      <c r="J3327" s="34"/>
      <c r="K3327" s="19"/>
      <c r="L3327" s="19"/>
      <c r="N3327" s="35"/>
    </row>
    <row r="3328">
      <c r="A3328" s="1"/>
      <c r="B3328" s="166"/>
      <c r="C3328" s="1"/>
      <c r="D3328" s="1"/>
      <c r="E3328" s="35"/>
      <c r="F3328" s="1"/>
      <c r="G3328" s="1"/>
      <c r="H3328" s="1"/>
      <c r="I3328" s="35"/>
      <c r="J3328" s="34"/>
      <c r="K3328" s="19"/>
      <c r="L3328" s="19"/>
      <c r="N3328" s="35"/>
    </row>
    <row r="3329">
      <c r="A3329" s="1"/>
      <c r="B3329" s="166"/>
      <c r="C3329" s="1"/>
      <c r="D3329" s="1"/>
      <c r="E3329" s="35"/>
      <c r="F3329" s="1"/>
      <c r="G3329" s="1"/>
      <c r="H3329" s="1"/>
      <c r="I3329" s="35"/>
      <c r="J3329" s="34"/>
      <c r="K3329" s="19"/>
      <c r="L3329" s="19"/>
      <c r="N3329" s="35"/>
    </row>
    <row r="3330">
      <c r="A3330" s="1"/>
      <c r="B3330" s="166"/>
      <c r="C3330" s="1"/>
      <c r="D3330" s="1"/>
      <c r="E3330" s="35"/>
      <c r="F3330" s="1"/>
      <c r="G3330" s="1"/>
      <c r="H3330" s="1"/>
      <c r="I3330" s="35"/>
      <c r="J3330" s="34"/>
      <c r="K3330" s="19"/>
      <c r="L3330" s="19"/>
      <c r="N3330" s="35"/>
    </row>
    <row r="3331">
      <c r="A3331" s="1"/>
      <c r="B3331" s="166"/>
      <c r="C3331" s="1"/>
      <c r="D3331" s="1"/>
      <c r="E3331" s="35"/>
      <c r="F3331" s="1"/>
      <c r="G3331" s="1"/>
      <c r="H3331" s="1"/>
      <c r="I3331" s="35"/>
      <c r="J3331" s="34"/>
      <c r="K3331" s="19"/>
      <c r="L3331" s="19"/>
      <c r="N3331" s="35"/>
    </row>
    <row r="3332">
      <c r="A3332" s="1"/>
      <c r="B3332" s="166"/>
      <c r="C3332" s="1"/>
      <c r="D3332" s="1"/>
      <c r="E3332" s="35"/>
      <c r="F3332" s="1"/>
      <c r="G3332" s="1"/>
      <c r="H3332" s="1"/>
      <c r="I3332" s="35"/>
      <c r="J3332" s="34"/>
      <c r="K3332" s="19"/>
      <c r="L3332" s="19"/>
      <c r="N3332" s="35"/>
    </row>
    <row r="3333">
      <c r="A3333" s="1"/>
      <c r="B3333" s="166"/>
      <c r="C3333" s="1"/>
      <c r="D3333" s="1"/>
      <c r="E3333" s="35"/>
      <c r="F3333" s="1"/>
      <c r="G3333" s="1"/>
      <c r="H3333" s="1"/>
      <c r="I3333" s="35"/>
      <c r="J3333" s="34"/>
      <c r="K3333" s="19"/>
      <c r="L3333" s="19"/>
      <c r="N3333" s="35"/>
    </row>
    <row r="3334">
      <c r="A3334" s="1"/>
      <c r="B3334" s="166"/>
      <c r="C3334" s="1"/>
      <c r="D3334" s="1"/>
      <c r="E3334" s="35"/>
      <c r="F3334" s="1"/>
      <c r="G3334" s="1"/>
      <c r="H3334" s="1"/>
      <c r="I3334" s="35"/>
      <c r="J3334" s="34"/>
      <c r="K3334" s="19"/>
      <c r="L3334" s="19"/>
      <c r="N3334" s="35"/>
    </row>
    <row r="3335">
      <c r="A3335" s="1"/>
      <c r="B3335" s="166"/>
      <c r="C3335" s="1"/>
      <c r="D3335" s="1"/>
      <c r="E3335" s="35"/>
      <c r="F3335" s="1"/>
      <c r="G3335" s="1"/>
      <c r="H3335" s="1"/>
      <c r="I3335" s="35"/>
      <c r="J3335" s="34"/>
      <c r="K3335" s="19"/>
      <c r="L3335" s="19"/>
      <c r="N3335" s="35"/>
    </row>
    <row r="3336">
      <c r="A3336" s="1"/>
      <c r="B3336" s="166"/>
      <c r="C3336" s="1"/>
      <c r="D3336" s="1"/>
      <c r="E3336" s="35"/>
      <c r="F3336" s="1"/>
      <c r="G3336" s="1"/>
      <c r="H3336" s="1"/>
      <c r="I3336" s="35"/>
      <c r="J3336" s="34"/>
      <c r="K3336" s="19"/>
      <c r="L3336" s="19"/>
      <c r="N3336" s="35"/>
    </row>
    <row r="3337">
      <c r="A3337" s="1"/>
      <c r="B3337" s="166"/>
      <c r="C3337" s="1"/>
      <c r="D3337" s="1"/>
      <c r="E3337" s="35"/>
      <c r="F3337" s="1"/>
      <c r="G3337" s="1"/>
      <c r="H3337" s="1"/>
      <c r="I3337" s="35"/>
      <c r="J3337" s="34"/>
      <c r="K3337" s="19"/>
      <c r="L3337" s="19"/>
      <c r="N3337" s="35"/>
    </row>
    <row r="3338">
      <c r="A3338" s="1"/>
      <c r="B3338" s="166"/>
      <c r="C3338" s="1"/>
      <c r="D3338" s="1"/>
      <c r="E3338" s="35"/>
      <c r="F3338" s="1"/>
      <c r="G3338" s="1"/>
      <c r="H3338" s="1"/>
      <c r="I3338" s="35"/>
      <c r="J3338" s="34"/>
      <c r="K3338" s="19"/>
      <c r="L3338" s="19"/>
      <c r="N3338" s="35"/>
    </row>
    <row r="3339">
      <c r="A3339" s="1"/>
      <c r="B3339" s="166"/>
      <c r="C3339" s="1"/>
      <c r="D3339" s="1"/>
      <c r="E3339" s="35"/>
      <c r="F3339" s="1"/>
      <c r="G3339" s="1"/>
      <c r="H3339" s="1"/>
      <c r="I3339" s="35"/>
      <c r="J3339" s="34"/>
      <c r="K3339" s="19"/>
      <c r="L3339" s="19"/>
      <c r="N3339" s="35"/>
    </row>
    <row r="3340">
      <c r="A3340" s="1"/>
      <c r="B3340" s="166"/>
      <c r="C3340" s="1"/>
      <c r="D3340" s="1"/>
      <c r="E3340" s="35"/>
      <c r="F3340" s="1"/>
      <c r="G3340" s="1"/>
      <c r="H3340" s="1"/>
      <c r="I3340" s="35"/>
      <c r="J3340" s="34"/>
      <c r="K3340" s="19"/>
      <c r="L3340" s="19"/>
      <c r="N3340" s="35"/>
    </row>
    <row r="3341">
      <c r="A3341" s="1"/>
      <c r="B3341" s="166"/>
      <c r="C3341" s="1"/>
      <c r="D3341" s="1"/>
      <c r="E3341" s="35"/>
      <c r="F3341" s="1"/>
      <c r="G3341" s="1"/>
      <c r="H3341" s="1"/>
      <c r="I3341" s="35"/>
      <c r="J3341" s="34"/>
      <c r="K3341" s="19"/>
      <c r="L3341" s="19"/>
      <c r="N3341" s="35"/>
    </row>
    <row r="3342">
      <c r="A3342" s="1"/>
      <c r="B3342" s="166"/>
      <c r="C3342" s="1"/>
      <c r="D3342" s="1"/>
      <c r="E3342" s="35"/>
      <c r="F3342" s="1"/>
      <c r="G3342" s="1"/>
      <c r="H3342" s="1"/>
      <c r="I3342" s="35"/>
      <c r="J3342" s="34"/>
      <c r="K3342" s="19"/>
      <c r="L3342" s="19"/>
      <c r="N3342" s="35"/>
    </row>
    <row r="3343">
      <c r="A3343" s="1"/>
      <c r="B3343" s="166"/>
      <c r="C3343" s="1"/>
      <c r="D3343" s="1"/>
      <c r="E3343" s="35"/>
      <c r="F3343" s="1"/>
      <c r="G3343" s="1"/>
      <c r="H3343" s="1"/>
      <c r="I3343" s="35"/>
      <c r="J3343" s="34"/>
      <c r="K3343" s="19"/>
      <c r="L3343" s="19"/>
      <c r="N3343" s="35"/>
    </row>
    <row r="3344">
      <c r="A3344" s="1"/>
      <c r="B3344" s="166"/>
      <c r="C3344" s="1"/>
      <c r="D3344" s="1"/>
      <c r="E3344" s="35"/>
      <c r="F3344" s="1"/>
      <c r="G3344" s="1"/>
      <c r="H3344" s="1"/>
      <c r="I3344" s="35"/>
      <c r="J3344" s="34"/>
      <c r="K3344" s="19"/>
      <c r="L3344" s="19"/>
      <c r="N3344" s="35"/>
    </row>
    <row r="3345">
      <c r="A3345" s="1"/>
      <c r="B3345" s="166"/>
      <c r="C3345" s="1"/>
      <c r="D3345" s="1"/>
      <c r="E3345" s="35"/>
      <c r="F3345" s="1"/>
      <c r="G3345" s="1"/>
      <c r="H3345" s="1"/>
      <c r="I3345" s="35"/>
      <c r="J3345" s="34"/>
      <c r="K3345" s="19"/>
      <c r="L3345" s="19"/>
      <c r="N3345" s="35"/>
    </row>
    <row r="3346">
      <c r="A3346" s="1"/>
      <c r="B3346" s="166"/>
      <c r="C3346" s="1"/>
      <c r="D3346" s="1"/>
      <c r="E3346" s="35"/>
      <c r="F3346" s="1"/>
      <c r="G3346" s="1"/>
      <c r="H3346" s="1"/>
      <c r="I3346" s="35"/>
      <c r="J3346" s="34"/>
      <c r="K3346" s="19"/>
      <c r="L3346" s="19"/>
      <c r="N3346" s="35"/>
    </row>
    <row r="3347">
      <c r="A3347" s="1"/>
      <c r="B3347" s="166"/>
      <c r="C3347" s="1"/>
      <c r="D3347" s="1"/>
      <c r="E3347" s="35"/>
      <c r="F3347" s="1"/>
      <c r="G3347" s="1"/>
      <c r="H3347" s="1"/>
      <c r="I3347" s="35"/>
      <c r="J3347" s="34"/>
      <c r="K3347" s="19"/>
      <c r="L3347" s="19"/>
      <c r="N3347" s="35"/>
    </row>
    <row r="3348">
      <c r="A3348" s="1"/>
      <c r="B3348" s="166"/>
      <c r="C3348" s="1"/>
      <c r="D3348" s="1"/>
      <c r="E3348" s="35"/>
      <c r="F3348" s="1"/>
      <c r="G3348" s="1"/>
      <c r="H3348" s="1"/>
      <c r="I3348" s="35"/>
      <c r="J3348" s="34"/>
      <c r="K3348" s="19"/>
      <c r="L3348" s="19"/>
      <c r="N3348" s="35"/>
    </row>
    <row r="3349">
      <c r="A3349" s="1"/>
      <c r="B3349" s="166"/>
      <c r="C3349" s="1"/>
      <c r="D3349" s="1"/>
      <c r="E3349" s="35"/>
      <c r="F3349" s="1"/>
      <c r="G3349" s="1"/>
      <c r="H3349" s="1"/>
      <c r="I3349" s="35"/>
      <c r="J3349" s="34"/>
      <c r="K3349" s="19"/>
      <c r="L3349" s="19"/>
      <c r="N3349" s="35"/>
    </row>
    <row r="3350">
      <c r="A3350" s="1"/>
      <c r="B3350" s="166"/>
      <c r="C3350" s="1"/>
      <c r="D3350" s="1"/>
      <c r="E3350" s="35"/>
      <c r="F3350" s="1"/>
      <c r="G3350" s="1"/>
      <c r="H3350" s="1"/>
      <c r="I3350" s="35"/>
      <c r="J3350" s="34"/>
      <c r="K3350" s="19"/>
      <c r="L3350" s="19"/>
      <c r="N3350" s="35"/>
    </row>
    <row r="3351">
      <c r="A3351" s="1"/>
      <c r="B3351" s="166"/>
      <c r="C3351" s="1"/>
      <c r="D3351" s="1"/>
      <c r="E3351" s="35"/>
      <c r="F3351" s="1"/>
      <c r="G3351" s="1"/>
      <c r="H3351" s="1"/>
      <c r="I3351" s="35"/>
      <c r="J3351" s="34"/>
      <c r="K3351" s="19"/>
      <c r="L3351" s="19"/>
      <c r="N3351" s="35"/>
    </row>
    <row r="3352">
      <c r="A3352" s="1"/>
      <c r="B3352" s="166"/>
      <c r="C3352" s="1"/>
      <c r="D3352" s="1"/>
      <c r="E3352" s="35"/>
      <c r="F3352" s="1"/>
      <c r="G3352" s="1"/>
      <c r="H3352" s="1"/>
      <c r="I3352" s="35"/>
      <c r="J3352" s="34"/>
      <c r="K3352" s="19"/>
      <c r="L3352" s="19"/>
      <c r="N3352" s="35"/>
    </row>
    <row r="3353">
      <c r="A3353" s="1"/>
      <c r="B3353" s="166"/>
      <c r="C3353" s="1"/>
      <c r="D3353" s="1"/>
      <c r="E3353" s="35"/>
      <c r="F3353" s="1"/>
      <c r="G3353" s="1"/>
      <c r="H3353" s="1"/>
      <c r="I3353" s="35"/>
      <c r="J3353" s="34"/>
      <c r="K3353" s="19"/>
      <c r="L3353" s="19"/>
      <c r="N3353" s="35"/>
    </row>
    <row r="3354">
      <c r="A3354" s="1"/>
      <c r="B3354" s="166"/>
      <c r="C3354" s="1"/>
      <c r="D3354" s="1"/>
      <c r="E3354" s="35"/>
      <c r="F3354" s="1"/>
      <c r="G3354" s="1"/>
      <c r="H3354" s="1"/>
      <c r="I3354" s="35"/>
      <c r="J3354" s="34"/>
      <c r="K3354" s="19"/>
      <c r="L3354" s="19"/>
      <c r="N3354" s="35"/>
    </row>
    <row r="3355">
      <c r="A3355" s="1"/>
      <c r="B3355" s="166"/>
      <c r="C3355" s="1"/>
      <c r="D3355" s="1"/>
      <c r="E3355" s="35"/>
      <c r="F3355" s="1"/>
      <c r="G3355" s="1"/>
      <c r="H3355" s="1"/>
      <c r="I3355" s="35"/>
      <c r="J3355" s="34"/>
      <c r="K3355" s="19"/>
      <c r="L3355" s="19"/>
      <c r="N3355" s="35"/>
    </row>
    <row r="3356">
      <c r="A3356" s="1"/>
      <c r="B3356" s="166"/>
      <c r="C3356" s="1"/>
      <c r="D3356" s="1"/>
      <c r="E3356" s="35"/>
      <c r="F3356" s="1"/>
      <c r="G3356" s="1"/>
      <c r="H3356" s="1"/>
      <c r="I3356" s="35"/>
      <c r="J3356" s="34"/>
      <c r="K3356" s="19"/>
      <c r="L3356" s="19"/>
      <c r="N3356" s="35"/>
    </row>
    <row r="3357">
      <c r="A3357" s="1"/>
      <c r="B3357" s="166"/>
      <c r="C3357" s="1"/>
      <c r="D3357" s="1"/>
      <c r="E3357" s="35"/>
      <c r="F3357" s="1"/>
      <c r="G3357" s="1"/>
      <c r="H3357" s="1"/>
      <c r="I3357" s="35"/>
      <c r="J3357" s="34"/>
      <c r="K3357" s="19"/>
      <c r="L3357" s="19"/>
      <c r="N3357" s="35"/>
    </row>
    <row r="3358">
      <c r="A3358" s="1"/>
      <c r="B3358" s="166"/>
      <c r="C3358" s="1"/>
      <c r="D3358" s="1"/>
      <c r="E3358" s="35"/>
      <c r="F3358" s="1"/>
      <c r="G3358" s="1"/>
      <c r="H3358" s="1"/>
      <c r="I3358" s="35"/>
      <c r="J3358" s="34"/>
      <c r="K3358" s="19"/>
      <c r="L3358" s="19"/>
      <c r="N3358" s="35"/>
    </row>
    <row r="3359">
      <c r="A3359" s="1"/>
      <c r="B3359" s="166"/>
      <c r="C3359" s="1"/>
      <c r="D3359" s="1"/>
      <c r="E3359" s="35"/>
      <c r="F3359" s="1"/>
      <c r="G3359" s="1"/>
      <c r="H3359" s="1"/>
      <c r="I3359" s="35"/>
      <c r="J3359" s="34"/>
      <c r="K3359" s="19"/>
      <c r="L3359" s="19"/>
      <c r="N3359" s="35"/>
    </row>
    <row r="3360">
      <c r="A3360" s="1"/>
      <c r="B3360" s="166"/>
      <c r="C3360" s="1"/>
      <c r="D3360" s="1"/>
      <c r="E3360" s="35"/>
      <c r="F3360" s="1"/>
      <c r="G3360" s="1"/>
      <c r="H3360" s="1"/>
      <c r="I3360" s="35"/>
      <c r="J3360" s="34"/>
      <c r="K3360" s="19"/>
      <c r="L3360" s="19"/>
      <c r="N3360" s="35"/>
    </row>
    <row r="3361">
      <c r="A3361" s="1"/>
      <c r="B3361" s="166"/>
      <c r="C3361" s="1"/>
      <c r="D3361" s="1"/>
      <c r="E3361" s="35"/>
      <c r="F3361" s="1"/>
      <c r="G3361" s="1"/>
      <c r="H3361" s="1"/>
      <c r="I3361" s="35"/>
      <c r="J3361" s="34"/>
      <c r="K3361" s="19"/>
      <c r="L3361" s="19"/>
      <c r="N3361" s="35"/>
    </row>
    <row r="3362">
      <c r="A3362" s="1"/>
      <c r="B3362" s="166"/>
      <c r="C3362" s="1"/>
      <c r="D3362" s="1"/>
      <c r="E3362" s="35"/>
      <c r="F3362" s="1"/>
      <c r="G3362" s="1"/>
      <c r="H3362" s="1"/>
      <c r="I3362" s="35"/>
      <c r="J3362" s="34"/>
      <c r="K3362" s="19"/>
      <c r="L3362" s="19"/>
      <c r="N3362" s="35"/>
    </row>
    <row r="3363">
      <c r="A3363" s="1"/>
      <c r="B3363" s="166"/>
      <c r="C3363" s="1"/>
      <c r="D3363" s="1"/>
      <c r="E3363" s="35"/>
      <c r="F3363" s="1"/>
      <c r="G3363" s="1"/>
      <c r="H3363" s="1"/>
      <c r="I3363" s="35"/>
      <c r="J3363" s="34"/>
      <c r="K3363" s="19"/>
      <c r="L3363" s="19"/>
      <c r="N3363" s="35"/>
    </row>
    <row r="3364">
      <c r="A3364" s="1"/>
      <c r="B3364" s="166"/>
      <c r="C3364" s="1"/>
      <c r="D3364" s="1"/>
      <c r="E3364" s="35"/>
      <c r="F3364" s="1"/>
      <c r="G3364" s="1"/>
      <c r="H3364" s="1"/>
      <c r="I3364" s="35"/>
      <c r="J3364" s="34"/>
      <c r="K3364" s="19"/>
      <c r="L3364" s="19"/>
      <c r="N3364" s="35"/>
    </row>
    <row r="3365">
      <c r="A3365" s="1"/>
      <c r="B3365" s="166"/>
      <c r="C3365" s="1"/>
      <c r="D3365" s="1"/>
      <c r="E3365" s="35"/>
      <c r="F3365" s="1"/>
      <c r="G3365" s="1"/>
      <c r="H3365" s="1"/>
      <c r="I3365" s="35"/>
      <c r="J3365" s="34"/>
      <c r="K3365" s="19"/>
      <c r="L3365" s="19"/>
      <c r="N3365" s="35"/>
    </row>
    <row r="3366">
      <c r="A3366" s="1"/>
      <c r="B3366" s="166"/>
      <c r="C3366" s="1"/>
      <c r="D3366" s="1"/>
      <c r="E3366" s="35"/>
      <c r="F3366" s="1"/>
      <c r="G3366" s="1"/>
      <c r="H3366" s="1"/>
      <c r="I3366" s="35"/>
      <c r="J3366" s="34"/>
      <c r="K3366" s="19"/>
      <c r="L3366" s="19"/>
      <c r="N3366" s="35"/>
    </row>
    <row r="3367">
      <c r="A3367" s="1"/>
      <c r="B3367" s="166"/>
      <c r="C3367" s="1"/>
      <c r="D3367" s="1"/>
      <c r="E3367" s="35"/>
      <c r="F3367" s="1"/>
      <c r="G3367" s="1"/>
      <c r="H3367" s="1"/>
      <c r="I3367" s="35"/>
      <c r="J3367" s="34"/>
      <c r="K3367" s="19"/>
      <c r="L3367" s="19"/>
      <c r="N3367" s="35"/>
    </row>
    <row r="3368">
      <c r="A3368" s="1"/>
      <c r="B3368" s="166"/>
      <c r="C3368" s="1"/>
      <c r="D3368" s="1"/>
      <c r="E3368" s="35"/>
      <c r="F3368" s="1"/>
      <c r="G3368" s="1"/>
      <c r="H3368" s="1"/>
      <c r="I3368" s="35"/>
      <c r="J3368" s="34"/>
      <c r="K3368" s="19"/>
      <c r="L3368" s="19"/>
      <c r="N3368" s="35"/>
    </row>
    <row r="3369">
      <c r="A3369" s="1"/>
      <c r="B3369" s="166"/>
      <c r="C3369" s="1"/>
      <c r="D3369" s="1"/>
      <c r="E3369" s="35"/>
      <c r="F3369" s="1"/>
      <c r="G3369" s="1"/>
      <c r="H3369" s="1"/>
      <c r="I3369" s="35"/>
      <c r="J3369" s="34"/>
      <c r="K3369" s="19"/>
      <c r="L3369" s="19"/>
      <c r="N3369" s="35"/>
    </row>
    <row r="3370">
      <c r="A3370" s="1"/>
      <c r="B3370" s="166"/>
      <c r="C3370" s="1"/>
      <c r="D3370" s="1"/>
      <c r="E3370" s="35"/>
      <c r="F3370" s="1"/>
      <c r="G3370" s="1"/>
      <c r="H3370" s="1"/>
      <c r="I3370" s="35"/>
      <c r="J3370" s="34"/>
      <c r="K3370" s="19"/>
      <c r="L3370" s="19"/>
      <c r="N3370" s="35"/>
    </row>
    <row r="3371">
      <c r="A3371" s="1"/>
      <c r="B3371" s="166"/>
      <c r="C3371" s="1"/>
      <c r="D3371" s="1"/>
      <c r="E3371" s="35"/>
      <c r="F3371" s="1"/>
      <c r="G3371" s="1"/>
      <c r="H3371" s="1"/>
      <c r="I3371" s="35"/>
      <c r="J3371" s="34"/>
      <c r="K3371" s="19"/>
      <c r="L3371" s="19"/>
      <c r="N3371" s="35"/>
    </row>
    <row r="3372">
      <c r="A3372" s="1"/>
      <c r="B3372" s="166"/>
      <c r="C3372" s="1"/>
      <c r="D3372" s="1"/>
      <c r="E3372" s="35"/>
      <c r="F3372" s="1"/>
      <c r="G3372" s="1"/>
      <c r="H3372" s="1"/>
      <c r="I3372" s="35"/>
      <c r="J3372" s="34"/>
      <c r="K3372" s="19"/>
      <c r="L3372" s="19"/>
      <c r="N3372" s="35"/>
    </row>
    <row r="3373">
      <c r="A3373" s="1"/>
      <c r="B3373" s="166"/>
      <c r="C3373" s="1"/>
      <c r="D3373" s="1"/>
      <c r="E3373" s="35"/>
      <c r="F3373" s="1"/>
      <c r="G3373" s="1"/>
      <c r="H3373" s="1"/>
      <c r="I3373" s="35"/>
      <c r="J3373" s="34"/>
      <c r="K3373" s="19"/>
      <c r="L3373" s="19"/>
      <c r="N3373" s="35"/>
    </row>
    <row r="3374">
      <c r="A3374" s="1"/>
      <c r="B3374" s="166"/>
      <c r="C3374" s="1"/>
      <c r="D3374" s="1"/>
      <c r="E3374" s="35"/>
      <c r="F3374" s="1"/>
      <c r="G3374" s="1"/>
      <c r="H3374" s="1"/>
      <c r="I3374" s="35"/>
      <c r="J3374" s="34"/>
      <c r="K3374" s="19"/>
      <c r="L3374" s="19"/>
      <c r="N3374" s="35"/>
    </row>
    <row r="3375">
      <c r="A3375" s="1"/>
      <c r="B3375" s="166"/>
      <c r="C3375" s="1"/>
      <c r="D3375" s="1"/>
      <c r="E3375" s="35"/>
      <c r="F3375" s="1"/>
      <c r="G3375" s="1"/>
      <c r="H3375" s="1"/>
      <c r="I3375" s="35"/>
      <c r="J3375" s="34"/>
      <c r="K3375" s="19"/>
      <c r="L3375" s="19"/>
      <c r="N3375" s="35"/>
    </row>
    <row r="3376">
      <c r="A3376" s="1"/>
      <c r="B3376" s="166"/>
      <c r="C3376" s="1"/>
      <c r="D3376" s="1"/>
      <c r="E3376" s="35"/>
      <c r="F3376" s="1"/>
      <c r="G3376" s="1"/>
      <c r="H3376" s="1"/>
      <c r="I3376" s="35"/>
      <c r="J3376" s="34"/>
      <c r="K3376" s="19"/>
      <c r="L3376" s="19"/>
      <c r="N3376" s="35"/>
    </row>
    <row r="3377">
      <c r="A3377" s="1"/>
      <c r="B3377" s="166"/>
      <c r="C3377" s="1"/>
      <c r="D3377" s="1"/>
      <c r="E3377" s="35"/>
      <c r="F3377" s="1"/>
      <c r="G3377" s="1"/>
      <c r="H3377" s="1"/>
      <c r="I3377" s="35"/>
      <c r="J3377" s="34"/>
      <c r="K3377" s="19"/>
      <c r="L3377" s="19"/>
      <c r="N3377" s="35"/>
    </row>
    <row r="3378">
      <c r="A3378" s="1"/>
      <c r="B3378" s="166"/>
      <c r="C3378" s="1"/>
      <c r="D3378" s="1"/>
      <c r="E3378" s="35"/>
      <c r="F3378" s="1"/>
      <c r="G3378" s="1"/>
      <c r="H3378" s="1"/>
      <c r="I3378" s="35"/>
      <c r="J3378" s="34"/>
      <c r="K3378" s="19"/>
      <c r="L3378" s="19"/>
      <c r="N3378" s="35"/>
    </row>
    <row r="3379">
      <c r="A3379" s="1"/>
      <c r="B3379" s="166"/>
      <c r="C3379" s="1"/>
      <c r="D3379" s="1"/>
      <c r="E3379" s="35"/>
      <c r="F3379" s="1"/>
      <c r="G3379" s="1"/>
      <c r="H3379" s="1"/>
      <c r="I3379" s="35"/>
      <c r="J3379" s="34"/>
      <c r="K3379" s="19"/>
      <c r="L3379" s="19"/>
      <c r="N3379" s="35"/>
    </row>
    <row r="3380">
      <c r="A3380" s="1"/>
      <c r="B3380" s="166"/>
      <c r="C3380" s="1"/>
      <c r="D3380" s="1"/>
      <c r="E3380" s="35"/>
      <c r="F3380" s="1"/>
      <c r="G3380" s="1"/>
      <c r="H3380" s="1"/>
      <c r="I3380" s="35"/>
      <c r="J3380" s="34"/>
      <c r="K3380" s="19"/>
      <c r="L3380" s="19"/>
      <c r="N3380" s="35"/>
    </row>
    <row r="3381">
      <c r="A3381" s="1"/>
      <c r="B3381" s="166"/>
      <c r="C3381" s="1"/>
      <c r="D3381" s="1"/>
      <c r="E3381" s="35"/>
      <c r="F3381" s="1"/>
      <c r="G3381" s="1"/>
      <c r="H3381" s="1"/>
      <c r="I3381" s="35"/>
      <c r="J3381" s="34"/>
      <c r="K3381" s="19"/>
      <c r="L3381" s="19"/>
      <c r="N3381" s="35"/>
    </row>
    <row r="3382">
      <c r="A3382" s="1"/>
      <c r="B3382" s="166"/>
      <c r="C3382" s="1"/>
      <c r="D3382" s="1"/>
      <c r="E3382" s="35"/>
      <c r="F3382" s="1"/>
      <c r="G3382" s="1"/>
      <c r="H3382" s="1"/>
      <c r="I3382" s="35"/>
      <c r="J3382" s="34"/>
      <c r="K3382" s="19"/>
      <c r="L3382" s="19"/>
      <c r="N3382" s="35"/>
    </row>
    <row r="3383">
      <c r="A3383" s="1"/>
      <c r="B3383" s="166"/>
      <c r="C3383" s="1"/>
      <c r="D3383" s="1"/>
      <c r="E3383" s="35"/>
      <c r="F3383" s="1"/>
      <c r="G3383" s="1"/>
      <c r="H3383" s="1"/>
      <c r="I3383" s="35"/>
      <c r="J3383" s="34"/>
      <c r="K3383" s="19"/>
      <c r="L3383" s="19"/>
      <c r="N3383" s="35"/>
    </row>
    <row r="3384">
      <c r="A3384" s="1"/>
      <c r="B3384" s="166"/>
      <c r="C3384" s="1"/>
      <c r="D3384" s="1"/>
      <c r="E3384" s="35"/>
      <c r="F3384" s="1"/>
      <c r="G3384" s="1"/>
      <c r="H3384" s="1"/>
      <c r="I3384" s="35"/>
      <c r="J3384" s="34"/>
      <c r="K3384" s="19"/>
      <c r="L3384" s="19"/>
      <c r="N3384" s="35"/>
    </row>
    <row r="3385">
      <c r="A3385" s="1"/>
      <c r="B3385" s="166"/>
      <c r="C3385" s="1"/>
      <c r="D3385" s="1"/>
      <c r="E3385" s="35"/>
      <c r="F3385" s="1"/>
      <c r="G3385" s="1"/>
      <c r="H3385" s="1"/>
      <c r="I3385" s="35"/>
      <c r="J3385" s="34"/>
      <c r="K3385" s="19"/>
      <c r="L3385" s="19"/>
      <c r="N3385" s="35"/>
    </row>
    <row r="3386">
      <c r="A3386" s="1"/>
      <c r="B3386" s="166"/>
      <c r="C3386" s="1"/>
      <c r="D3386" s="1"/>
      <c r="E3386" s="35"/>
      <c r="F3386" s="1"/>
      <c r="G3386" s="1"/>
      <c r="H3386" s="1"/>
      <c r="I3386" s="35"/>
      <c r="J3386" s="34"/>
      <c r="K3386" s="19"/>
      <c r="L3386" s="19"/>
      <c r="N3386" s="35"/>
    </row>
    <row r="3387">
      <c r="A3387" s="1"/>
      <c r="B3387" s="166"/>
      <c r="C3387" s="1"/>
      <c r="D3387" s="1"/>
      <c r="E3387" s="35"/>
      <c r="F3387" s="1"/>
      <c r="G3387" s="1"/>
      <c r="H3387" s="1"/>
      <c r="I3387" s="35"/>
      <c r="J3387" s="34"/>
      <c r="K3387" s="19"/>
      <c r="L3387" s="19"/>
      <c r="N3387" s="35"/>
    </row>
    <row r="3388">
      <c r="A3388" s="1"/>
      <c r="B3388" s="166"/>
      <c r="C3388" s="1"/>
      <c r="D3388" s="1"/>
      <c r="E3388" s="35"/>
      <c r="F3388" s="1"/>
      <c r="G3388" s="1"/>
      <c r="H3388" s="1"/>
      <c r="I3388" s="35"/>
      <c r="J3388" s="34"/>
      <c r="K3388" s="19"/>
      <c r="L3388" s="19"/>
      <c r="N3388" s="35"/>
    </row>
    <row r="3389">
      <c r="A3389" s="1"/>
      <c r="B3389" s="166"/>
      <c r="C3389" s="1"/>
      <c r="D3389" s="1"/>
      <c r="E3389" s="35"/>
      <c r="F3389" s="1"/>
      <c r="G3389" s="1"/>
      <c r="H3389" s="1"/>
      <c r="I3389" s="35"/>
      <c r="J3389" s="34"/>
      <c r="K3389" s="19"/>
      <c r="L3389" s="19"/>
      <c r="N3389" s="35"/>
    </row>
    <row r="3390">
      <c r="A3390" s="1"/>
      <c r="B3390" s="166"/>
      <c r="C3390" s="1"/>
      <c r="D3390" s="1"/>
      <c r="E3390" s="35"/>
      <c r="F3390" s="1"/>
      <c r="G3390" s="1"/>
      <c r="H3390" s="1"/>
      <c r="I3390" s="35"/>
      <c r="J3390" s="34"/>
      <c r="K3390" s="19"/>
      <c r="L3390" s="19"/>
      <c r="N3390" s="35"/>
    </row>
    <row r="3391">
      <c r="A3391" s="1"/>
      <c r="B3391" s="166"/>
      <c r="C3391" s="1"/>
      <c r="D3391" s="1"/>
      <c r="E3391" s="35"/>
      <c r="F3391" s="1"/>
      <c r="G3391" s="1"/>
      <c r="H3391" s="1"/>
      <c r="I3391" s="35"/>
      <c r="J3391" s="34"/>
      <c r="K3391" s="19"/>
      <c r="L3391" s="19"/>
      <c r="N3391" s="35"/>
    </row>
    <row r="3392">
      <c r="A3392" s="1"/>
      <c r="B3392" s="166"/>
      <c r="C3392" s="1"/>
      <c r="D3392" s="1"/>
      <c r="E3392" s="35"/>
      <c r="F3392" s="1"/>
      <c r="G3392" s="1"/>
      <c r="H3392" s="1"/>
      <c r="I3392" s="35"/>
      <c r="J3392" s="34"/>
      <c r="K3392" s="19"/>
      <c r="L3392" s="19"/>
      <c r="N3392" s="35"/>
    </row>
    <row r="3393">
      <c r="A3393" s="1"/>
      <c r="B3393" s="166"/>
      <c r="C3393" s="1"/>
      <c r="D3393" s="1"/>
      <c r="E3393" s="35"/>
      <c r="F3393" s="1"/>
      <c r="G3393" s="1"/>
      <c r="H3393" s="1"/>
      <c r="I3393" s="35"/>
      <c r="J3393" s="34"/>
      <c r="K3393" s="19"/>
      <c r="L3393" s="19"/>
      <c r="N3393" s="35"/>
    </row>
    <row r="3394">
      <c r="A3394" s="1"/>
      <c r="B3394" s="166"/>
      <c r="C3394" s="1"/>
      <c r="D3394" s="1"/>
      <c r="E3394" s="35"/>
      <c r="F3394" s="1"/>
      <c r="G3394" s="1"/>
      <c r="H3394" s="1"/>
      <c r="I3394" s="35"/>
      <c r="J3394" s="34"/>
      <c r="K3394" s="19"/>
      <c r="L3394" s="19"/>
      <c r="N3394" s="35"/>
    </row>
    <row r="3395">
      <c r="A3395" s="1"/>
      <c r="B3395" s="166"/>
      <c r="C3395" s="1"/>
      <c r="D3395" s="1"/>
      <c r="E3395" s="35"/>
      <c r="F3395" s="1"/>
      <c r="G3395" s="1"/>
      <c r="H3395" s="1"/>
      <c r="I3395" s="35"/>
      <c r="J3395" s="34"/>
      <c r="K3395" s="19"/>
      <c r="L3395" s="19"/>
      <c r="N3395" s="35"/>
    </row>
    <row r="3396">
      <c r="A3396" s="1"/>
      <c r="B3396" s="166"/>
      <c r="C3396" s="1"/>
      <c r="D3396" s="1"/>
      <c r="E3396" s="35"/>
      <c r="F3396" s="1"/>
      <c r="G3396" s="1"/>
      <c r="H3396" s="1"/>
      <c r="I3396" s="35"/>
      <c r="J3396" s="34"/>
      <c r="K3396" s="19"/>
      <c r="L3396" s="19"/>
      <c r="N3396" s="35"/>
    </row>
    <row r="3397">
      <c r="A3397" s="1"/>
      <c r="B3397" s="166"/>
      <c r="C3397" s="1"/>
      <c r="D3397" s="1"/>
      <c r="E3397" s="35"/>
      <c r="F3397" s="1"/>
      <c r="G3397" s="1"/>
      <c r="H3397" s="1"/>
      <c r="I3397" s="35"/>
      <c r="J3397" s="34"/>
      <c r="K3397" s="19"/>
      <c r="L3397" s="19"/>
      <c r="N3397" s="35"/>
    </row>
    <row r="3398">
      <c r="A3398" s="1"/>
      <c r="B3398" s="166"/>
      <c r="C3398" s="1"/>
      <c r="D3398" s="1"/>
      <c r="E3398" s="35"/>
      <c r="F3398" s="1"/>
      <c r="G3398" s="1"/>
      <c r="H3398" s="1"/>
      <c r="I3398" s="35"/>
      <c r="J3398" s="34"/>
      <c r="K3398" s="19"/>
      <c r="L3398" s="19"/>
      <c r="N3398" s="35"/>
    </row>
    <row r="3399">
      <c r="A3399" s="1"/>
      <c r="B3399" s="166"/>
      <c r="C3399" s="1"/>
      <c r="D3399" s="1"/>
      <c r="E3399" s="35"/>
      <c r="F3399" s="1"/>
      <c r="G3399" s="1"/>
      <c r="H3399" s="1"/>
      <c r="I3399" s="35"/>
      <c r="J3399" s="34"/>
      <c r="K3399" s="19"/>
      <c r="L3399" s="19"/>
      <c r="N3399" s="35"/>
    </row>
    <row r="3400">
      <c r="A3400" s="1"/>
      <c r="B3400" s="166"/>
      <c r="C3400" s="1"/>
      <c r="D3400" s="1"/>
      <c r="E3400" s="35"/>
      <c r="F3400" s="1"/>
      <c r="G3400" s="1"/>
      <c r="H3400" s="1"/>
      <c r="I3400" s="35"/>
      <c r="J3400" s="34"/>
      <c r="K3400" s="19"/>
      <c r="L3400" s="19"/>
      <c r="N3400" s="35"/>
    </row>
    <row r="3401">
      <c r="A3401" s="1"/>
      <c r="B3401" s="166"/>
      <c r="C3401" s="1"/>
      <c r="D3401" s="1"/>
      <c r="E3401" s="35"/>
      <c r="F3401" s="1"/>
      <c r="G3401" s="1"/>
      <c r="H3401" s="1"/>
      <c r="I3401" s="35"/>
      <c r="J3401" s="34"/>
      <c r="K3401" s="19"/>
      <c r="L3401" s="19"/>
      <c r="N3401" s="35"/>
    </row>
    <row r="3402">
      <c r="A3402" s="1"/>
      <c r="B3402" s="166"/>
      <c r="C3402" s="1"/>
      <c r="D3402" s="1"/>
      <c r="E3402" s="35"/>
      <c r="F3402" s="1"/>
      <c r="G3402" s="1"/>
      <c r="H3402" s="1"/>
      <c r="I3402" s="35"/>
      <c r="J3402" s="34"/>
      <c r="K3402" s="19"/>
      <c r="L3402" s="19"/>
      <c r="N3402" s="35"/>
    </row>
    <row r="3403">
      <c r="A3403" s="1"/>
      <c r="B3403" s="166"/>
      <c r="C3403" s="1"/>
      <c r="D3403" s="1"/>
      <c r="E3403" s="35"/>
      <c r="F3403" s="1"/>
      <c r="G3403" s="1"/>
      <c r="H3403" s="1"/>
      <c r="I3403" s="35"/>
      <c r="J3403" s="34"/>
      <c r="K3403" s="19"/>
      <c r="L3403" s="19"/>
      <c r="N3403" s="35"/>
    </row>
    <row r="3404">
      <c r="A3404" s="1"/>
      <c r="B3404" s="166"/>
      <c r="C3404" s="1"/>
      <c r="D3404" s="1"/>
      <c r="E3404" s="35"/>
      <c r="F3404" s="1"/>
      <c r="G3404" s="1"/>
      <c r="H3404" s="1"/>
      <c r="I3404" s="35"/>
      <c r="J3404" s="34"/>
      <c r="K3404" s="19"/>
      <c r="L3404" s="19"/>
      <c r="N3404" s="35"/>
    </row>
    <row r="3405">
      <c r="A3405" s="1"/>
      <c r="B3405" s="166"/>
      <c r="C3405" s="1"/>
      <c r="D3405" s="1"/>
      <c r="E3405" s="35"/>
      <c r="F3405" s="1"/>
      <c r="G3405" s="1"/>
      <c r="H3405" s="1"/>
      <c r="I3405" s="35"/>
      <c r="J3405" s="34"/>
      <c r="K3405" s="19"/>
      <c r="L3405" s="19"/>
      <c r="N3405" s="35"/>
    </row>
    <row r="3406">
      <c r="A3406" s="1"/>
      <c r="B3406" s="166"/>
      <c r="C3406" s="1"/>
      <c r="D3406" s="1"/>
      <c r="E3406" s="35"/>
      <c r="F3406" s="1"/>
      <c r="G3406" s="1"/>
      <c r="H3406" s="1"/>
      <c r="I3406" s="35"/>
      <c r="J3406" s="34"/>
      <c r="K3406" s="19"/>
      <c r="L3406" s="19"/>
      <c r="N3406" s="35"/>
    </row>
    <row r="3407">
      <c r="A3407" s="1"/>
      <c r="B3407" s="166"/>
      <c r="C3407" s="1"/>
      <c r="D3407" s="1"/>
      <c r="E3407" s="35"/>
      <c r="F3407" s="1"/>
      <c r="G3407" s="1"/>
      <c r="H3407" s="1"/>
      <c r="I3407" s="35"/>
      <c r="J3407" s="34"/>
      <c r="K3407" s="19"/>
      <c r="L3407" s="19"/>
      <c r="N3407" s="35"/>
    </row>
    <row r="3408">
      <c r="A3408" s="1"/>
      <c r="B3408" s="166"/>
      <c r="C3408" s="1"/>
      <c r="D3408" s="1"/>
      <c r="E3408" s="35"/>
      <c r="F3408" s="1"/>
      <c r="G3408" s="1"/>
      <c r="H3408" s="1"/>
      <c r="I3408" s="35"/>
      <c r="J3408" s="34"/>
      <c r="K3408" s="19"/>
      <c r="L3408" s="19"/>
      <c r="N3408" s="35"/>
    </row>
    <row r="3409">
      <c r="A3409" s="1"/>
      <c r="B3409" s="166"/>
      <c r="C3409" s="1"/>
      <c r="D3409" s="1"/>
      <c r="E3409" s="35"/>
      <c r="F3409" s="1"/>
      <c r="G3409" s="1"/>
      <c r="H3409" s="1"/>
      <c r="I3409" s="35"/>
      <c r="J3409" s="34"/>
      <c r="K3409" s="19"/>
      <c r="L3409" s="19"/>
      <c r="N3409" s="35"/>
    </row>
    <row r="3410">
      <c r="A3410" s="1"/>
      <c r="B3410" s="166"/>
      <c r="C3410" s="1"/>
      <c r="D3410" s="1"/>
      <c r="E3410" s="35"/>
      <c r="F3410" s="1"/>
      <c r="G3410" s="1"/>
      <c r="H3410" s="1"/>
      <c r="I3410" s="35"/>
      <c r="J3410" s="34"/>
      <c r="K3410" s="19"/>
      <c r="L3410" s="19"/>
      <c r="N3410" s="35"/>
    </row>
    <row r="3411">
      <c r="A3411" s="1"/>
      <c r="B3411" s="166"/>
      <c r="C3411" s="1"/>
      <c r="D3411" s="1"/>
      <c r="E3411" s="35"/>
      <c r="F3411" s="1"/>
      <c r="G3411" s="1"/>
      <c r="H3411" s="1"/>
      <c r="I3411" s="35"/>
      <c r="J3411" s="34"/>
      <c r="K3411" s="19"/>
      <c r="L3411" s="19"/>
      <c r="N3411" s="35"/>
    </row>
    <row r="3412">
      <c r="A3412" s="1"/>
      <c r="B3412" s="166"/>
      <c r="C3412" s="1"/>
      <c r="D3412" s="1"/>
      <c r="E3412" s="35"/>
      <c r="F3412" s="1"/>
      <c r="G3412" s="1"/>
      <c r="H3412" s="1"/>
      <c r="I3412" s="35"/>
      <c r="J3412" s="34"/>
      <c r="K3412" s="19"/>
      <c r="L3412" s="19"/>
      <c r="N3412" s="35"/>
    </row>
    <row r="3413">
      <c r="A3413" s="1"/>
      <c r="B3413" s="166"/>
      <c r="C3413" s="1"/>
      <c r="D3413" s="1"/>
      <c r="E3413" s="35"/>
      <c r="F3413" s="1"/>
      <c r="G3413" s="1"/>
      <c r="H3413" s="1"/>
      <c r="I3413" s="35"/>
      <c r="J3413" s="34"/>
      <c r="K3413" s="19"/>
      <c r="L3413" s="19"/>
      <c r="N3413" s="35"/>
    </row>
    <row r="3414">
      <c r="A3414" s="1"/>
      <c r="B3414" s="166"/>
      <c r="C3414" s="1"/>
      <c r="D3414" s="1"/>
      <c r="E3414" s="35"/>
      <c r="F3414" s="1"/>
      <c r="G3414" s="1"/>
      <c r="H3414" s="1"/>
      <c r="I3414" s="35"/>
      <c r="J3414" s="34"/>
      <c r="K3414" s="19"/>
      <c r="L3414" s="19"/>
      <c r="N3414" s="35"/>
    </row>
    <row r="3415">
      <c r="A3415" s="1"/>
      <c r="B3415" s="166"/>
      <c r="C3415" s="1"/>
      <c r="D3415" s="1"/>
      <c r="E3415" s="35"/>
      <c r="F3415" s="1"/>
      <c r="G3415" s="1"/>
      <c r="H3415" s="1"/>
      <c r="I3415" s="35"/>
      <c r="J3415" s="34"/>
      <c r="K3415" s="19"/>
      <c r="L3415" s="19"/>
      <c r="N3415" s="35"/>
    </row>
    <row r="3416">
      <c r="A3416" s="1"/>
      <c r="B3416" s="166"/>
      <c r="C3416" s="1"/>
      <c r="D3416" s="1"/>
      <c r="E3416" s="35"/>
      <c r="F3416" s="1"/>
      <c r="G3416" s="1"/>
      <c r="H3416" s="1"/>
      <c r="I3416" s="35"/>
      <c r="J3416" s="34"/>
      <c r="K3416" s="19"/>
      <c r="L3416" s="19"/>
      <c r="N3416" s="35"/>
    </row>
    <row r="3417">
      <c r="A3417" s="1"/>
      <c r="B3417" s="166"/>
      <c r="C3417" s="1"/>
      <c r="D3417" s="1"/>
      <c r="E3417" s="35"/>
      <c r="F3417" s="1"/>
      <c r="G3417" s="1"/>
      <c r="H3417" s="1"/>
      <c r="I3417" s="35"/>
      <c r="J3417" s="34"/>
      <c r="K3417" s="19"/>
      <c r="L3417" s="19"/>
      <c r="N3417" s="35"/>
    </row>
    <row r="3418">
      <c r="A3418" s="1"/>
      <c r="B3418" s="166"/>
      <c r="C3418" s="1"/>
      <c r="D3418" s="1"/>
      <c r="E3418" s="35"/>
      <c r="F3418" s="1"/>
      <c r="G3418" s="1"/>
      <c r="H3418" s="1"/>
      <c r="I3418" s="35"/>
      <c r="J3418" s="34"/>
      <c r="K3418" s="19"/>
      <c r="L3418" s="19"/>
      <c r="N3418" s="35"/>
    </row>
    <row r="3419">
      <c r="A3419" s="1"/>
      <c r="B3419" s="166"/>
      <c r="C3419" s="1"/>
      <c r="D3419" s="1"/>
      <c r="E3419" s="35"/>
      <c r="F3419" s="1"/>
      <c r="G3419" s="1"/>
      <c r="H3419" s="1"/>
      <c r="I3419" s="35"/>
      <c r="J3419" s="34"/>
      <c r="K3419" s="19"/>
      <c r="L3419" s="19"/>
      <c r="N3419" s="35"/>
    </row>
    <row r="3420">
      <c r="A3420" s="1"/>
      <c r="B3420" s="166"/>
      <c r="C3420" s="1"/>
      <c r="D3420" s="1"/>
      <c r="E3420" s="35"/>
      <c r="F3420" s="1"/>
      <c r="G3420" s="1"/>
      <c r="H3420" s="1"/>
      <c r="I3420" s="35"/>
      <c r="J3420" s="34"/>
      <c r="K3420" s="19"/>
      <c r="L3420" s="19"/>
      <c r="N3420" s="35"/>
    </row>
    <row r="3421">
      <c r="A3421" s="1"/>
      <c r="B3421" s="166"/>
      <c r="C3421" s="1"/>
      <c r="D3421" s="1"/>
      <c r="E3421" s="35"/>
      <c r="F3421" s="1"/>
      <c r="G3421" s="1"/>
      <c r="H3421" s="1"/>
      <c r="I3421" s="35"/>
      <c r="J3421" s="34"/>
      <c r="K3421" s="19"/>
      <c r="L3421" s="19"/>
      <c r="N3421" s="35"/>
    </row>
    <row r="3422">
      <c r="A3422" s="1"/>
      <c r="B3422" s="166"/>
      <c r="C3422" s="1"/>
      <c r="D3422" s="1"/>
      <c r="E3422" s="35"/>
      <c r="F3422" s="1"/>
      <c r="G3422" s="1"/>
      <c r="H3422" s="1"/>
      <c r="I3422" s="35"/>
      <c r="J3422" s="34"/>
      <c r="K3422" s="19"/>
      <c r="L3422" s="19"/>
      <c r="N3422" s="35"/>
    </row>
    <row r="3423">
      <c r="A3423" s="1"/>
      <c r="B3423" s="166"/>
      <c r="C3423" s="1"/>
      <c r="D3423" s="1"/>
      <c r="E3423" s="35"/>
      <c r="F3423" s="1"/>
      <c r="G3423" s="1"/>
      <c r="H3423" s="1"/>
      <c r="I3423" s="35"/>
      <c r="J3423" s="34"/>
      <c r="K3423" s="19"/>
      <c r="L3423" s="19"/>
      <c r="N3423" s="35"/>
    </row>
    <row r="3424">
      <c r="A3424" s="1"/>
      <c r="B3424" s="166"/>
      <c r="C3424" s="1"/>
      <c r="D3424" s="1"/>
      <c r="E3424" s="35"/>
      <c r="F3424" s="1"/>
      <c r="G3424" s="1"/>
      <c r="H3424" s="1"/>
      <c r="I3424" s="35"/>
      <c r="J3424" s="34"/>
      <c r="K3424" s="19"/>
      <c r="L3424" s="19"/>
      <c r="N3424" s="35"/>
    </row>
    <row r="3425">
      <c r="A3425" s="1"/>
      <c r="B3425" s="166"/>
      <c r="C3425" s="1"/>
      <c r="D3425" s="1"/>
      <c r="E3425" s="35"/>
      <c r="F3425" s="1"/>
      <c r="G3425" s="1"/>
      <c r="H3425" s="1"/>
      <c r="I3425" s="35"/>
      <c r="J3425" s="34"/>
      <c r="K3425" s="19"/>
      <c r="L3425" s="19"/>
      <c r="N3425" s="35"/>
    </row>
    <row r="3426">
      <c r="A3426" s="1"/>
      <c r="B3426" s="166"/>
      <c r="C3426" s="1"/>
      <c r="D3426" s="1"/>
      <c r="E3426" s="35"/>
      <c r="F3426" s="1"/>
      <c r="G3426" s="1"/>
      <c r="H3426" s="1"/>
      <c r="I3426" s="35"/>
      <c r="J3426" s="34"/>
      <c r="K3426" s="19"/>
      <c r="L3426" s="19"/>
      <c r="N3426" s="35"/>
    </row>
    <row r="3427">
      <c r="A3427" s="1"/>
      <c r="B3427" s="166"/>
      <c r="C3427" s="1"/>
      <c r="D3427" s="1"/>
      <c r="E3427" s="35"/>
      <c r="F3427" s="1"/>
      <c r="G3427" s="1"/>
      <c r="H3427" s="1"/>
      <c r="I3427" s="35"/>
      <c r="J3427" s="34"/>
      <c r="K3427" s="19"/>
      <c r="L3427" s="19"/>
      <c r="N3427" s="35"/>
    </row>
    <row r="3428">
      <c r="A3428" s="1"/>
      <c r="B3428" s="166"/>
      <c r="C3428" s="1"/>
      <c r="D3428" s="1"/>
      <c r="E3428" s="35"/>
      <c r="F3428" s="1"/>
      <c r="G3428" s="1"/>
      <c r="H3428" s="1"/>
      <c r="I3428" s="35"/>
      <c r="J3428" s="34"/>
      <c r="K3428" s="19"/>
      <c r="L3428" s="19"/>
      <c r="N3428" s="35"/>
    </row>
    <row r="3429">
      <c r="A3429" s="1"/>
      <c r="B3429" s="166"/>
      <c r="C3429" s="1"/>
      <c r="D3429" s="1"/>
      <c r="E3429" s="35"/>
      <c r="F3429" s="1"/>
      <c r="G3429" s="1"/>
      <c r="H3429" s="1"/>
      <c r="I3429" s="35"/>
      <c r="J3429" s="34"/>
      <c r="K3429" s="19"/>
      <c r="L3429" s="19"/>
      <c r="N3429" s="35"/>
    </row>
    <row r="3430">
      <c r="A3430" s="1"/>
      <c r="B3430" s="166"/>
      <c r="C3430" s="1"/>
      <c r="D3430" s="1"/>
      <c r="E3430" s="35"/>
      <c r="F3430" s="1"/>
      <c r="G3430" s="1"/>
      <c r="H3430" s="1"/>
      <c r="I3430" s="35"/>
      <c r="J3430" s="34"/>
      <c r="K3430" s="19"/>
      <c r="L3430" s="19"/>
      <c r="N3430" s="35"/>
    </row>
    <row r="3431">
      <c r="A3431" s="1"/>
      <c r="B3431" s="166"/>
      <c r="C3431" s="1"/>
      <c r="D3431" s="1"/>
      <c r="E3431" s="35"/>
      <c r="F3431" s="1"/>
      <c r="G3431" s="1"/>
      <c r="H3431" s="1"/>
      <c r="I3431" s="35"/>
      <c r="J3431" s="34"/>
      <c r="K3431" s="19"/>
      <c r="L3431" s="19"/>
      <c r="N3431" s="35"/>
    </row>
    <row r="3432">
      <c r="A3432" s="1"/>
      <c r="B3432" s="166"/>
      <c r="C3432" s="1"/>
      <c r="D3432" s="1"/>
      <c r="E3432" s="35"/>
      <c r="F3432" s="1"/>
      <c r="G3432" s="1"/>
      <c r="H3432" s="1"/>
      <c r="I3432" s="35"/>
      <c r="J3432" s="34"/>
      <c r="K3432" s="19"/>
      <c r="L3432" s="19"/>
      <c r="N3432" s="35"/>
    </row>
    <row r="3433">
      <c r="A3433" s="1"/>
      <c r="B3433" s="166"/>
      <c r="C3433" s="1"/>
      <c r="D3433" s="1"/>
      <c r="E3433" s="35"/>
      <c r="F3433" s="1"/>
      <c r="G3433" s="1"/>
      <c r="H3433" s="1"/>
      <c r="I3433" s="35"/>
      <c r="J3433" s="34"/>
      <c r="K3433" s="19"/>
      <c r="L3433" s="19"/>
      <c r="N3433" s="35"/>
    </row>
    <row r="3434">
      <c r="A3434" s="1"/>
      <c r="B3434" s="166"/>
      <c r="C3434" s="1"/>
      <c r="D3434" s="1"/>
      <c r="E3434" s="35"/>
      <c r="F3434" s="1"/>
      <c r="G3434" s="1"/>
      <c r="H3434" s="1"/>
      <c r="I3434" s="35"/>
      <c r="J3434" s="34"/>
      <c r="K3434" s="19"/>
      <c r="L3434" s="19"/>
      <c r="N3434" s="35"/>
    </row>
    <row r="3435">
      <c r="A3435" s="1"/>
      <c r="B3435" s="166"/>
      <c r="C3435" s="1"/>
      <c r="D3435" s="1"/>
      <c r="E3435" s="35"/>
      <c r="F3435" s="1"/>
      <c r="G3435" s="1"/>
      <c r="H3435" s="1"/>
      <c r="I3435" s="35"/>
      <c r="J3435" s="34"/>
      <c r="K3435" s="19"/>
      <c r="L3435" s="19"/>
      <c r="N3435" s="35"/>
    </row>
    <row r="3436">
      <c r="A3436" s="1"/>
      <c r="B3436" s="166"/>
      <c r="C3436" s="1"/>
      <c r="D3436" s="1"/>
      <c r="E3436" s="35"/>
      <c r="F3436" s="1"/>
      <c r="G3436" s="1"/>
      <c r="H3436" s="1"/>
      <c r="I3436" s="35"/>
      <c r="J3436" s="34"/>
      <c r="K3436" s="19"/>
      <c r="L3436" s="19"/>
      <c r="N3436" s="35"/>
    </row>
    <row r="3437">
      <c r="A3437" s="1"/>
      <c r="B3437" s="166"/>
      <c r="C3437" s="1"/>
      <c r="D3437" s="1"/>
      <c r="E3437" s="35"/>
      <c r="F3437" s="1"/>
      <c r="G3437" s="1"/>
      <c r="H3437" s="1"/>
      <c r="I3437" s="35"/>
      <c r="J3437" s="34"/>
      <c r="K3437" s="19"/>
      <c r="L3437" s="19"/>
      <c r="N3437" s="35"/>
    </row>
    <row r="3438">
      <c r="A3438" s="1"/>
      <c r="B3438" s="166"/>
      <c r="C3438" s="1"/>
      <c r="D3438" s="1"/>
      <c r="E3438" s="35"/>
      <c r="F3438" s="1"/>
      <c r="G3438" s="1"/>
      <c r="H3438" s="1"/>
      <c r="I3438" s="35"/>
      <c r="J3438" s="34"/>
      <c r="K3438" s="19"/>
      <c r="L3438" s="19"/>
      <c r="N3438" s="35"/>
    </row>
    <row r="3439">
      <c r="A3439" s="1"/>
      <c r="B3439" s="166"/>
      <c r="C3439" s="1"/>
      <c r="D3439" s="1"/>
      <c r="E3439" s="35"/>
      <c r="F3439" s="1"/>
      <c r="G3439" s="1"/>
      <c r="H3439" s="1"/>
      <c r="I3439" s="35"/>
      <c r="J3439" s="34"/>
      <c r="K3439" s="19"/>
      <c r="L3439" s="19"/>
      <c r="N3439" s="35"/>
    </row>
    <row r="3440">
      <c r="A3440" s="1"/>
      <c r="B3440" s="166"/>
      <c r="C3440" s="1"/>
      <c r="D3440" s="1"/>
      <c r="E3440" s="35"/>
      <c r="F3440" s="1"/>
      <c r="G3440" s="1"/>
      <c r="H3440" s="1"/>
      <c r="I3440" s="35"/>
      <c r="J3440" s="34"/>
      <c r="K3440" s="19"/>
      <c r="L3440" s="19"/>
      <c r="N3440" s="35"/>
    </row>
    <row r="3441">
      <c r="A3441" s="1"/>
      <c r="B3441" s="166"/>
      <c r="C3441" s="1"/>
      <c r="D3441" s="1"/>
      <c r="E3441" s="35"/>
      <c r="F3441" s="1"/>
      <c r="G3441" s="1"/>
      <c r="H3441" s="1"/>
      <c r="I3441" s="35"/>
      <c r="J3441" s="34"/>
      <c r="K3441" s="19"/>
      <c r="L3441" s="19"/>
      <c r="N3441" s="35"/>
    </row>
    <row r="3442">
      <c r="A3442" s="1"/>
      <c r="B3442" s="166"/>
      <c r="C3442" s="1"/>
      <c r="D3442" s="1"/>
      <c r="E3442" s="35"/>
      <c r="F3442" s="1"/>
      <c r="G3442" s="1"/>
      <c r="H3442" s="1"/>
      <c r="I3442" s="35"/>
      <c r="J3442" s="34"/>
      <c r="K3442" s="19"/>
      <c r="L3442" s="19"/>
      <c r="N3442" s="35"/>
    </row>
    <row r="3443">
      <c r="A3443" s="1"/>
      <c r="B3443" s="166"/>
      <c r="C3443" s="1"/>
      <c r="D3443" s="1"/>
      <c r="E3443" s="35"/>
      <c r="F3443" s="1"/>
      <c r="G3443" s="1"/>
      <c r="H3443" s="1"/>
      <c r="I3443" s="35"/>
      <c r="J3443" s="34"/>
      <c r="K3443" s="19"/>
      <c r="L3443" s="19"/>
      <c r="N3443" s="35"/>
    </row>
    <row r="3444">
      <c r="A3444" s="1"/>
      <c r="B3444" s="166"/>
      <c r="C3444" s="1"/>
      <c r="D3444" s="1"/>
      <c r="E3444" s="35"/>
      <c r="F3444" s="1"/>
      <c r="G3444" s="1"/>
      <c r="H3444" s="1"/>
      <c r="I3444" s="35"/>
      <c r="J3444" s="34"/>
      <c r="K3444" s="19"/>
      <c r="L3444" s="19"/>
      <c r="N3444" s="35"/>
    </row>
    <row r="3445">
      <c r="A3445" s="1"/>
      <c r="B3445" s="166"/>
      <c r="C3445" s="1"/>
      <c r="D3445" s="1"/>
      <c r="E3445" s="35"/>
      <c r="F3445" s="1"/>
      <c r="G3445" s="1"/>
      <c r="H3445" s="1"/>
      <c r="I3445" s="35"/>
      <c r="J3445" s="34"/>
      <c r="K3445" s="19"/>
      <c r="L3445" s="19"/>
      <c r="N3445" s="35"/>
    </row>
    <row r="3446">
      <c r="A3446" s="1"/>
      <c r="B3446" s="166"/>
      <c r="C3446" s="1"/>
      <c r="D3446" s="1"/>
      <c r="E3446" s="35"/>
      <c r="F3446" s="1"/>
      <c r="G3446" s="1"/>
      <c r="H3446" s="1"/>
      <c r="I3446" s="35"/>
      <c r="J3446" s="34"/>
      <c r="K3446" s="19"/>
      <c r="L3446" s="19"/>
      <c r="N3446" s="35"/>
    </row>
    <row r="3447">
      <c r="A3447" s="1"/>
      <c r="B3447" s="166"/>
      <c r="C3447" s="1"/>
      <c r="D3447" s="1"/>
      <c r="E3447" s="35"/>
      <c r="F3447" s="1"/>
      <c r="G3447" s="1"/>
      <c r="H3447" s="1"/>
      <c r="I3447" s="35"/>
      <c r="J3447" s="34"/>
      <c r="K3447" s="19"/>
      <c r="L3447" s="19"/>
      <c r="N3447" s="35"/>
    </row>
    <row r="3448">
      <c r="A3448" s="1"/>
      <c r="B3448" s="166"/>
      <c r="C3448" s="1"/>
      <c r="D3448" s="1"/>
      <c r="E3448" s="35"/>
      <c r="F3448" s="1"/>
      <c r="G3448" s="1"/>
      <c r="H3448" s="1"/>
      <c r="I3448" s="35"/>
      <c r="J3448" s="34"/>
      <c r="K3448" s="19"/>
      <c r="L3448" s="19"/>
      <c r="N3448" s="35"/>
    </row>
    <row r="3449">
      <c r="A3449" s="1"/>
      <c r="B3449" s="166"/>
      <c r="C3449" s="1"/>
      <c r="D3449" s="1"/>
      <c r="E3449" s="35"/>
      <c r="F3449" s="1"/>
      <c r="G3449" s="1"/>
      <c r="H3449" s="1"/>
      <c r="I3449" s="35"/>
      <c r="J3449" s="34"/>
      <c r="K3449" s="19"/>
      <c r="L3449" s="19"/>
      <c r="N3449" s="35"/>
    </row>
    <row r="3450">
      <c r="A3450" s="1"/>
      <c r="B3450" s="166"/>
      <c r="C3450" s="1"/>
      <c r="D3450" s="1"/>
      <c r="E3450" s="35"/>
      <c r="F3450" s="1"/>
      <c r="G3450" s="1"/>
      <c r="H3450" s="1"/>
      <c r="I3450" s="35"/>
      <c r="J3450" s="34"/>
      <c r="K3450" s="19"/>
      <c r="L3450" s="19"/>
      <c r="N3450" s="35"/>
    </row>
    <row r="3451">
      <c r="A3451" s="1"/>
      <c r="B3451" s="166"/>
      <c r="C3451" s="1"/>
      <c r="D3451" s="1"/>
      <c r="E3451" s="35"/>
      <c r="F3451" s="1"/>
      <c r="G3451" s="1"/>
      <c r="H3451" s="1"/>
      <c r="I3451" s="35"/>
      <c r="J3451" s="34"/>
      <c r="K3451" s="19"/>
      <c r="L3451" s="19"/>
      <c r="N3451" s="35"/>
    </row>
    <row r="3452">
      <c r="A3452" s="1"/>
      <c r="B3452" s="166"/>
      <c r="C3452" s="1"/>
      <c r="D3452" s="1"/>
      <c r="E3452" s="35"/>
      <c r="F3452" s="1"/>
      <c r="G3452" s="1"/>
      <c r="H3452" s="1"/>
      <c r="I3452" s="35"/>
      <c r="J3452" s="34"/>
      <c r="K3452" s="19"/>
      <c r="L3452" s="19"/>
      <c r="N3452" s="35"/>
    </row>
    <row r="3453">
      <c r="A3453" s="1"/>
      <c r="B3453" s="166"/>
      <c r="C3453" s="1"/>
      <c r="D3453" s="1"/>
      <c r="E3453" s="35"/>
      <c r="F3453" s="1"/>
      <c r="G3453" s="1"/>
      <c r="H3453" s="1"/>
      <c r="I3453" s="35"/>
      <c r="J3453" s="34"/>
      <c r="K3453" s="19"/>
      <c r="L3453" s="19"/>
      <c r="N3453" s="35"/>
    </row>
    <row r="3454">
      <c r="A3454" s="1"/>
      <c r="B3454" s="166"/>
      <c r="C3454" s="1"/>
      <c r="D3454" s="1"/>
      <c r="E3454" s="35"/>
      <c r="F3454" s="1"/>
      <c r="G3454" s="1"/>
      <c r="H3454" s="1"/>
      <c r="I3454" s="35"/>
      <c r="J3454" s="34"/>
      <c r="K3454" s="19"/>
      <c r="L3454" s="19"/>
      <c r="N3454" s="35"/>
    </row>
    <row r="3455">
      <c r="A3455" s="1"/>
      <c r="B3455" s="166"/>
      <c r="C3455" s="1"/>
      <c r="D3455" s="1"/>
      <c r="E3455" s="35"/>
      <c r="F3455" s="1"/>
      <c r="G3455" s="1"/>
      <c r="H3455" s="1"/>
      <c r="I3455" s="35"/>
      <c r="J3455" s="34"/>
      <c r="K3455" s="19"/>
      <c r="L3455" s="19"/>
      <c r="N3455" s="35"/>
    </row>
    <row r="3456">
      <c r="A3456" s="1"/>
      <c r="B3456" s="166"/>
      <c r="C3456" s="1"/>
      <c r="D3456" s="1"/>
      <c r="E3456" s="35"/>
      <c r="F3456" s="1"/>
      <c r="G3456" s="1"/>
      <c r="H3456" s="1"/>
      <c r="I3456" s="35"/>
      <c r="J3456" s="34"/>
      <c r="K3456" s="19"/>
      <c r="L3456" s="19"/>
      <c r="N3456" s="35"/>
    </row>
    <row r="3457">
      <c r="A3457" s="1"/>
      <c r="B3457" s="166"/>
      <c r="C3457" s="1"/>
      <c r="D3457" s="1"/>
      <c r="E3457" s="35"/>
      <c r="F3457" s="1"/>
      <c r="G3457" s="1"/>
      <c r="H3457" s="1"/>
      <c r="I3457" s="35"/>
      <c r="J3457" s="34"/>
      <c r="K3457" s="19"/>
      <c r="L3457" s="19"/>
      <c r="N3457" s="35"/>
    </row>
    <row r="3458">
      <c r="A3458" s="1"/>
      <c r="B3458" s="166"/>
      <c r="C3458" s="1"/>
      <c r="D3458" s="1"/>
      <c r="E3458" s="35"/>
      <c r="F3458" s="1"/>
      <c r="G3458" s="1"/>
      <c r="H3458" s="1"/>
      <c r="I3458" s="35"/>
      <c r="J3458" s="34"/>
      <c r="K3458" s="19"/>
      <c r="L3458" s="19"/>
      <c r="N3458" s="35"/>
    </row>
    <row r="3459">
      <c r="A3459" s="1"/>
      <c r="B3459" s="166"/>
      <c r="C3459" s="1"/>
      <c r="D3459" s="1"/>
      <c r="E3459" s="35"/>
      <c r="F3459" s="1"/>
      <c r="G3459" s="1"/>
      <c r="H3459" s="1"/>
      <c r="I3459" s="35"/>
      <c r="J3459" s="34"/>
      <c r="K3459" s="19"/>
      <c r="L3459" s="19"/>
      <c r="N3459" s="35"/>
    </row>
    <row r="3460">
      <c r="A3460" s="1"/>
      <c r="B3460" s="166"/>
      <c r="C3460" s="1"/>
      <c r="D3460" s="1"/>
      <c r="E3460" s="35"/>
      <c r="F3460" s="1"/>
      <c r="G3460" s="1"/>
      <c r="H3460" s="1"/>
      <c r="I3460" s="35"/>
      <c r="J3460" s="34"/>
      <c r="K3460" s="19"/>
      <c r="L3460" s="19"/>
      <c r="N3460" s="35"/>
    </row>
    <row r="3461">
      <c r="A3461" s="1"/>
      <c r="B3461" s="166"/>
      <c r="C3461" s="1"/>
      <c r="D3461" s="1"/>
      <c r="E3461" s="35"/>
      <c r="F3461" s="1"/>
      <c r="G3461" s="1"/>
      <c r="H3461" s="1"/>
      <c r="I3461" s="35"/>
      <c r="J3461" s="34"/>
      <c r="K3461" s="19"/>
      <c r="L3461" s="19"/>
      <c r="N3461" s="35"/>
    </row>
    <row r="3462">
      <c r="A3462" s="1"/>
      <c r="B3462" s="166"/>
      <c r="C3462" s="1"/>
      <c r="D3462" s="1"/>
      <c r="E3462" s="35"/>
      <c r="F3462" s="1"/>
      <c r="G3462" s="1"/>
      <c r="H3462" s="1"/>
      <c r="I3462" s="35"/>
      <c r="J3462" s="34"/>
      <c r="K3462" s="19"/>
      <c r="L3462" s="19"/>
      <c r="N3462" s="35"/>
    </row>
    <row r="3463">
      <c r="A3463" s="1"/>
      <c r="B3463" s="166"/>
      <c r="C3463" s="1"/>
      <c r="D3463" s="1"/>
      <c r="E3463" s="35"/>
      <c r="F3463" s="1"/>
      <c r="G3463" s="1"/>
      <c r="H3463" s="1"/>
      <c r="I3463" s="35"/>
      <c r="J3463" s="34"/>
      <c r="K3463" s="19"/>
      <c r="L3463" s="19"/>
      <c r="N3463" s="35"/>
    </row>
    <row r="3464">
      <c r="A3464" s="1"/>
      <c r="B3464" s="166"/>
      <c r="C3464" s="1"/>
      <c r="D3464" s="1"/>
      <c r="E3464" s="35"/>
      <c r="F3464" s="1"/>
      <c r="G3464" s="1"/>
      <c r="H3464" s="1"/>
      <c r="I3464" s="35"/>
      <c r="J3464" s="34"/>
      <c r="K3464" s="19"/>
      <c r="L3464" s="19"/>
      <c r="N3464" s="35"/>
    </row>
    <row r="3465">
      <c r="A3465" s="1"/>
      <c r="B3465" s="166"/>
      <c r="C3465" s="1"/>
      <c r="D3465" s="1"/>
      <c r="E3465" s="35"/>
      <c r="F3465" s="1"/>
      <c r="G3465" s="1"/>
      <c r="H3465" s="1"/>
      <c r="I3465" s="35"/>
      <c r="J3465" s="34"/>
      <c r="K3465" s="19"/>
      <c r="L3465" s="19"/>
      <c r="N3465" s="35"/>
    </row>
    <row r="3466">
      <c r="A3466" s="1"/>
      <c r="B3466" s="166"/>
      <c r="C3466" s="1"/>
      <c r="D3466" s="1"/>
      <c r="E3466" s="35"/>
      <c r="F3466" s="1"/>
      <c r="G3466" s="1"/>
      <c r="H3466" s="1"/>
      <c r="I3466" s="35"/>
      <c r="J3466" s="34"/>
      <c r="K3466" s="19"/>
      <c r="L3466" s="19"/>
      <c r="N3466" s="35"/>
    </row>
    <row r="3467">
      <c r="A3467" s="1"/>
      <c r="B3467" s="166"/>
      <c r="C3467" s="1"/>
      <c r="D3467" s="1"/>
      <c r="E3467" s="35"/>
      <c r="F3467" s="1"/>
      <c r="G3467" s="1"/>
      <c r="H3467" s="1"/>
      <c r="I3467" s="35"/>
      <c r="J3467" s="34"/>
      <c r="K3467" s="19"/>
      <c r="L3467" s="19"/>
      <c r="N3467" s="35"/>
    </row>
    <row r="3468">
      <c r="A3468" s="1"/>
      <c r="B3468" s="166"/>
      <c r="C3468" s="1"/>
      <c r="D3468" s="1"/>
      <c r="E3468" s="35"/>
      <c r="F3468" s="1"/>
      <c r="G3468" s="1"/>
      <c r="H3468" s="1"/>
      <c r="I3468" s="35"/>
      <c r="J3468" s="34"/>
      <c r="K3468" s="19"/>
      <c r="L3468" s="19"/>
      <c r="N3468" s="35"/>
    </row>
    <row r="3469">
      <c r="A3469" s="1"/>
      <c r="B3469" s="166"/>
      <c r="C3469" s="1"/>
      <c r="D3469" s="1"/>
      <c r="E3469" s="35"/>
      <c r="F3469" s="1"/>
      <c r="G3469" s="1"/>
      <c r="H3469" s="1"/>
      <c r="I3469" s="35"/>
      <c r="J3469" s="34"/>
      <c r="K3469" s="19"/>
      <c r="L3469" s="19"/>
      <c r="N3469" s="35"/>
    </row>
    <row r="3470">
      <c r="A3470" s="1"/>
      <c r="B3470" s="166"/>
      <c r="C3470" s="1"/>
      <c r="D3470" s="1"/>
      <c r="E3470" s="35"/>
      <c r="F3470" s="1"/>
      <c r="G3470" s="1"/>
      <c r="H3470" s="1"/>
      <c r="I3470" s="35"/>
      <c r="J3470" s="34"/>
      <c r="K3470" s="19"/>
      <c r="L3470" s="19"/>
      <c r="N3470" s="35"/>
    </row>
    <row r="3471">
      <c r="A3471" s="1"/>
      <c r="B3471" s="166"/>
      <c r="C3471" s="1"/>
      <c r="D3471" s="1"/>
      <c r="E3471" s="35"/>
      <c r="F3471" s="1"/>
      <c r="G3471" s="1"/>
      <c r="H3471" s="1"/>
      <c r="I3471" s="35"/>
      <c r="J3471" s="34"/>
      <c r="K3471" s="19"/>
      <c r="L3471" s="19"/>
      <c r="N3471" s="35"/>
    </row>
    <row r="3472">
      <c r="A3472" s="1"/>
      <c r="B3472" s="166"/>
      <c r="C3472" s="1"/>
      <c r="D3472" s="1"/>
      <c r="E3472" s="35"/>
      <c r="F3472" s="1"/>
      <c r="G3472" s="1"/>
      <c r="H3472" s="1"/>
      <c r="I3472" s="35"/>
      <c r="J3472" s="34"/>
      <c r="K3472" s="19"/>
      <c r="L3472" s="19"/>
      <c r="N3472" s="35"/>
    </row>
    <row r="3473">
      <c r="A3473" s="1"/>
      <c r="B3473" s="166"/>
      <c r="C3473" s="1"/>
      <c r="D3473" s="1"/>
      <c r="E3473" s="35"/>
      <c r="F3473" s="1"/>
      <c r="G3473" s="1"/>
      <c r="H3473" s="1"/>
      <c r="I3473" s="35"/>
      <c r="J3473" s="34"/>
      <c r="K3473" s="19"/>
      <c r="L3473" s="19"/>
      <c r="N3473" s="35"/>
    </row>
    <row r="3474">
      <c r="A3474" s="1"/>
      <c r="B3474" s="166"/>
      <c r="C3474" s="1"/>
      <c r="D3474" s="1"/>
      <c r="E3474" s="35"/>
      <c r="F3474" s="1"/>
      <c r="G3474" s="1"/>
      <c r="H3474" s="1"/>
      <c r="I3474" s="35"/>
      <c r="J3474" s="34"/>
      <c r="K3474" s="19"/>
      <c r="L3474" s="19"/>
      <c r="N3474" s="35"/>
    </row>
    <row r="3475">
      <c r="A3475" s="1"/>
      <c r="B3475" s="166"/>
      <c r="C3475" s="1"/>
      <c r="D3475" s="1"/>
      <c r="E3475" s="35"/>
      <c r="F3475" s="1"/>
      <c r="G3475" s="1"/>
      <c r="H3475" s="1"/>
      <c r="I3475" s="35"/>
      <c r="J3475" s="34"/>
      <c r="K3475" s="19"/>
      <c r="L3475" s="19"/>
      <c r="N3475" s="35"/>
    </row>
    <row r="3476">
      <c r="A3476" s="1"/>
      <c r="B3476" s="166"/>
      <c r="C3476" s="1"/>
      <c r="D3476" s="1"/>
      <c r="E3476" s="35"/>
      <c r="F3476" s="1"/>
      <c r="G3476" s="1"/>
      <c r="H3476" s="1"/>
      <c r="I3476" s="35"/>
      <c r="J3476" s="34"/>
      <c r="K3476" s="19"/>
      <c r="L3476" s="19"/>
      <c r="N3476" s="35"/>
    </row>
    <row r="3477">
      <c r="A3477" s="1"/>
      <c r="B3477" s="166"/>
      <c r="C3477" s="1"/>
      <c r="D3477" s="1"/>
      <c r="E3477" s="35"/>
      <c r="F3477" s="1"/>
      <c r="G3477" s="1"/>
      <c r="H3477" s="1"/>
      <c r="I3477" s="35"/>
      <c r="J3477" s="34"/>
      <c r="K3477" s="19"/>
      <c r="L3477" s="19"/>
      <c r="N3477" s="35"/>
    </row>
    <row r="3478">
      <c r="A3478" s="1"/>
      <c r="B3478" s="166"/>
      <c r="C3478" s="1"/>
      <c r="D3478" s="1"/>
      <c r="E3478" s="35"/>
      <c r="F3478" s="1"/>
      <c r="G3478" s="1"/>
      <c r="H3478" s="1"/>
      <c r="I3478" s="35"/>
      <c r="J3478" s="34"/>
      <c r="K3478" s="19"/>
      <c r="L3478" s="19"/>
      <c r="N3478" s="35"/>
    </row>
    <row r="3479">
      <c r="A3479" s="1"/>
      <c r="B3479" s="166"/>
      <c r="C3479" s="1"/>
      <c r="D3479" s="1"/>
      <c r="E3479" s="35"/>
      <c r="F3479" s="1"/>
      <c r="G3479" s="1"/>
      <c r="H3479" s="1"/>
      <c r="I3479" s="35"/>
      <c r="J3479" s="34"/>
      <c r="K3479" s="19"/>
      <c r="L3479" s="19"/>
      <c r="N3479" s="35"/>
    </row>
    <row r="3480">
      <c r="A3480" s="1"/>
      <c r="B3480" s="166"/>
      <c r="C3480" s="1"/>
      <c r="D3480" s="1"/>
      <c r="E3480" s="35"/>
      <c r="F3480" s="1"/>
      <c r="G3480" s="1"/>
      <c r="H3480" s="1"/>
      <c r="I3480" s="35"/>
      <c r="J3480" s="34"/>
      <c r="K3480" s="19"/>
      <c r="L3480" s="19"/>
      <c r="N3480" s="35"/>
    </row>
    <row r="3481">
      <c r="A3481" s="1"/>
      <c r="B3481" s="166"/>
      <c r="C3481" s="1"/>
      <c r="D3481" s="1"/>
      <c r="E3481" s="35"/>
      <c r="F3481" s="1"/>
      <c r="G3481" s="1"/>
      <c r="H3481" s="1"/>
      <c r="I3481" s="35"/>
      <c r="J3481" s="34"/>
      <c r="K3481" s="19"/>
      <c r="L3481" s="19"/>
      <c r="N3481" s="35"/>
    </row>
    <row r="3482">
      <c r="A3482" s="1"/>
      <c r="B3482" s="166"/>
      <c r="C3482" s="1"/>
      <c r="D3482" s="1"/>
      <c r="E3482" s="35"/>
      <c r="F3482" s="1"/>
      <c r="G3482" s="1"/>
      <c r="H3482" s="1"/>
      <c r="I3482" s="35"/>
      <c r="J3482" s="34"/>
      <c r="K3482" s="19"/>
      <c r="L3482" s="19"/>
      <c r="N3482" s="35"/>
    </row>
    <row r="3483">
      <c r="A3483" s="1"/>
      <c r="B3483" s="166"/>
      <c r="C3483" s="1"/>
      <c r="D3483" s="1"/>
      <c r="E3483" s="35"/>
      <c r="F3483" s="1"/>
      <c r="G3483" s="1"/>
      <c r="H3483" s="1"/>
      <c r="I3483" s="35"/>
      <c r="J3483" s="34"/>
      <c r="K3483" s="19"/>
      <c r="L3483" s="19"/>
      <c r="N3483" s="35"/>
    </row>
    <row r="3484">
      <c r="A3484" s="1"/>
      <c r="B3484" s="166"/>
      <c r="C3484" s="1"/>
      <c r="D3484" s="1"/>
      <c r="E3484" s="35"/>
      <c r="F3484" s="1"/>
      <c r="G3484" s="1"/>
      <c r="H3484" s="1"/>
      <c r="I3484" s="35"/>
      <c r="J3484" s="34"/>
      <c r="K3484" s="19"/>
      <c r="L3484" s="19"/>
      <c r="N3484" s="35"/>
    </row>
    <row r="3485">
      <c r="A3485" s="1"/>
      <c r="B3485" s="166"/>
      <c r="C3485" s="1"/>
      <c r="D3485" s="1"/>
      <c r="E3485" s="35"/>
      <c r="F3485" s="1"/>
      <c r="G3485" s="1"/>
      <c r="H3485" s="1"/>
      <c r="I3485" s="35"/>
      <c r="J3485" s="34"/>
      <c r="K3485" s="19"/>
      <c r="L3485" s="19"/>
      <c r="N3485" s="35"/>
    </row>
    <row r="3486">
      <c r="A3486" s="1"/>
      <c r="B3486" s="166"/>
      <c r="C3486" s="1"/>
      <c r="D3486" s="1"/>
      <c r="E3486" s="35"/>
      <c r="F3486" s="1"/>
      <c r="G3486" s="1"/>
      <c r="H3486" s="1"/>
      <c r="I3486" s="35"/>
      <c r="J3486" s="34"/>
      <c r="K3486" s="19"/>
      <c r="L3486" s="19"/>
      <c r="N3486" s="35"/>
    </row>
    <row r="3487">
      <c r="A3487" s="1"/>
      <c r="B3487" s="166"/>
      <c r="C3487" s="1"/>
      <c r="D3487" s="1"/>
      <c r="E3487" s="35"/>
      <c r="F3487" s="1"/>
      <c r="G3487" s="1"/>
      <c r="H3487" s="1"/>
      <c r="I3487" s="35"/>
      <c r="J3487" s="34"/>
      <c r="K3487" s="19"/>
      <c r="L3487" s="19"/>
      <c r="N3487" s="35"/>
    </row>
    <row r="3488">
      <c r="A3488" s="1"/>
      <c r="B3488" s="166"/>
      <c r="C3488" s="1"/>
      <c r="D3488" s="1"/>
      <c r="E3488" s="35"/>
      <c r="F3488" s="1"/>
      <c r="G3488" s="1"/>
      <c r="H3488" s="1"/>
      <c r="I3488" s="35"/>
      <c r="J3488" s="34"/>
      <c r="K3488" s="19"/>
      <c r="L3488" s="19"/>
      <c r="N3488" s="35"/>
    </row>
    <row r="3489">
      <c r="A3489" s="1"/>
      <c r="B3489" s="166"/>
      <c r="C3489" s="1"/>
      <c r="D3489" s="1"/>
      <c r="E3489" s="35"/>
      <c r="F3489" s="1"/>
      <c r="G3489" s="1"/>
      <c r="H3489" s="1"/>
      <c r="I3489" s="35"/>
      <c r="J3489" s="34"/>
      <c r="K3489" s="19"/>
      <c r="L3489" s="19"/>
      <c r="N3489" s="35"/>
    </row>
    <row r="3490">
      <c r="A3490" s="1"/>
      <c r="B3490" s="166"/>
      <c r="C3490" s="1"/>
      <c r="D3490" s="1"/>
      <c r="E3490" s="35"/>
      <c r="F3490" s="1"/>
      <c r="G3490" s="1"/>
      <c r="H3490" s="1"/>
      <c r="I3490" s="35"/>
      <c r="J3490" s="34"/>
      <c r="K3490" s="19"/>
      <c r="L3490" s="19"/>
      <c r="N3490" s="35"/>
    </row>
    <row r="3491">
      <c r="A3491" s="1"/>
      <c r="B3491" s="166"/>
      <c r="C3491" s="1"/>
      <c r="D3491" s="1"/>
      <c r="E3491" s="35"/>
      <c r="F3491" s="1"/>
      <c r="G3491" s="1"/>
      <c r="H3491" s="1"/>
      <c r="I3491" s="35"/>
      <c r="J3491" s="34"/>
      <c r="K3491" s="19"/>
      <c r="L3491" s="19"/>
      <c r="N3491" s="35"/>
    </row>
    <row r="3492">
      <c r="A3492" s="1"/>
      <c r="B3492" s="166"/>
      <c r="C3492" s="1"/>
      <c r="D3492" s="1"/>
      <c r="E3492" s="35"/>
      <c r="F3492" s="1"/>
      <c r="G3492" s="1"/>
      <c r="H3492" s="1"/>
      <c r="I3492" s="35"/>
      <c r="J3492" s="34"/>
      <c r="K3492" s="19"/>
      <c r="L3492" s="19"/>
      <c r="N3492" s="35"/>
    </row>
    <row r="3493">
      <c r="A3493" s="1"/>
      <c r="B3493" s="166"/>
      <c r="C3493" s="1"/>
      <c r="D3493" s="1"/>
      <c r="E3493" s="35"/>
      <c r="F3493" s="1"/>
      <c r="G3493" s="1"/>
      <c r="H3493" s="1"/>
      <c r="I3493" s="35"/>
      <c r="J3493" s="34"/>
      <c r="K3493" s="19"/>
      <c r="L3493" s="19"/>
      <c r="N3493" s="35"/>
    </row>
    <row r="3494">
      <c r="A3494" s="1"/>
      <c r="B3494" s="166"/>
      <c r="C3494" s="1"/>
      <c r="D3494" s="1"/>
      <c r="E3494" s="35"/>
      <c r="F3494" s="1"/>
      <c r="G3494" s="1"/>
      <c r="H3494" s="1"/>
      <c r="I3494" s="35"/>
      <c r="J3494" s="34"/>
      <c r="K3494" s="19"/>
      <c r="L3494" s="19"/>
      <c r="N3494" s="35"/>
    </row>
    <row r="3495">
      <c r="A3495" s="1"/>
      <c r="B3495" s="166"/>
      <c r="C3495" s="1"/>
      <c r="D3495" s="1"/>
      <c r="E3495" s="35"/>
      <c r="F3495" s="1"/>
      <c r="G3495" s="1"/>
      <c r="H3495" s="1"/>
      <c r="I3495" s="35"/>
      <c r="J3495" s="34"/>
      <c r="K3495" s="19"/>
      <c r="L3495" s="19"/>
      <c r="N3495" s="35"/>
    </row>
    <row r="3496">
      <c r="A3496" s="1"/>
      <c r="B3496" s="166"/>
      <c r="C3496" s="1"/>
      <c r="D3496" s="1"/>
      <c r="E3496" s="35"/>
      <c r="F3496" s="1"/>
      <c r="G3496" s="1"/>
      <c r="H3496" s="1"/>
      <c r="I3496" s="35"/>
      <c r="J3496" s="34"/>
      <c r="K3496" s="19"/>
      <c r="L3496" s="19"/>
      <c r="N3496" s="35"/>
    </row>
    <row r="3497">
      <c r="A3497" s="1"/>
      <c r="B3497" s="166"/>
      <c r="C3497" s="1"/>
      <c r="D3497" s="1"/>
      <c r="E3497" s="35"/>
      <c r="F3497" s="1"/>
      <c r="G3497" s="1"/>
      <c r="H3497" s="1"/>
      <c r="I3497" s="35"/>
      <c r="J3497" s="34"/>
      <c r="K3497" s="19"/>
      <c r="L3497" s="19"/>
      <c r="N3497" s="35"/>
    </row>
    <row r="3498">
      <c r="A3498" s="1"/>
      <c r="B3498" s="166"/>
      <c r="C3498" s="1"/>
      <c r="D3498" s="1"/>
      <c r="E3498" s="35"/>
      <c r="F3498" s="1"/>
      <c r="G3498" s="1"/>
      <c r="H3498" s="1"/>
      <c r="I3498" s="35"/>
      <c r="J3498" s="34"/>
      <c r="K3498" s="19"/>
      <c r="L3498" s="19"/>
      <c r="N3498" s="35"/>
    </row>
    <row r="3499">
      <c r="A3499" s="1"/>
      <c r="B3499" s="166"/>
      <c r="C3499" s="1"/>
      <c r="D3499" s="1"/>
      <c r="E3499" s="35"/>
      <c r="F3499" s="1"/>
      <c r="G3499" s="1"/>
      <c r="H3499" s="1"/>
      <c r="I3499" s="35"/>
      <c r="J3499" s="34"/>
      <c r="K3499" s="19"/>
      <c r="L3499" s="19"/>
      <c r="N3499" s="35"/>
    </row>
    <row r="3500">
      <c r="A3500" s="1"/>
      <c r="B3500" s="166"/>
      <c r="C3500" s="1"/>
      <c r="D3500" s="1"/>
      <c r="E3500" s="35"/>
      <c r="F3500" s="1"/>
      <c r="G3500" s="1"/>
      <c r="H3500" s="1"/>
      <c r="I3500" s="35"/>
      <c r="J3500" s="34"/>
      <c r="K3500" s="19"/>
      <c r="L3500" s="19"/>
      <c r="N3500" s="35"/>
    </row>
    <row r="3501">
      <c r="A3501" s="1"/>
      <c r="B3501" s="166"/>
      <c r="C3501" s="1"/>
      <c r="D3501" s="1"/>
      <c r="E3501" s="35"/>
      <c r="F3501" s="1"/>
      <c r="G3501" s="1"/>
      <c r="H3501" s="1"/>
      <c r="I3501" s="35"/>
      <c r="J3501" s="34"/>
      <c r="K3501" s="19"/>
      <c r="L3501" s="19"/>
      <c r="N3501" s="35"/>
    </row>
    <row r="3502">
      <c r="A3502" s="1"/>
      <c r="B3502" s="166"/>
      <c r="C3502" s="1"/>
      <c r="D3502" s="1"/>
      <c r="E3502" s="35"/>
      <c r="F3502" s="1"/>
      <c r="G3502" s="1"/>
      <c r="H3502" s="1"/>
      <c r="I3502" s="35"/>
      <c r="J3502" s="34"/>
      <c r="K3502" s="19"/>
      <c r="L3502" s="19"/>
      <c r="N3502" s="35"/>
    </row>
    <row r="3503">
      <c r="A3503" s="1"/>
      <c r="B3503" s="166"/>
      <c r="C3503" s="1"/>
      <c r="D3503" s="1"/>
      <c r="E3503" s="35"/>
      <c r="F3503" s="1"/>
      <c r="G3503" s="1"/>
      <c r="H3503" s="1"/>
      <c r="I3503" s="35"/>
      <c r="J3503" s="34"/>
      <c r="K3503" s="19"/>
      <c r="L3503" s="19"/>
      <c r="N3503" s="35"/>
    </row>
    <row r="3504">
      <c r="A3504" s="1"/>
      <c r="B3504" s="166"/>
      <c r="C3504" s="1"/>
      <c r="D3504" s="1"/>
      <c r="E3504" s="35"/>
      <c r="F3504" s="1"/>
      <c r="G3504" s="1"/>
      <c r="H3504" s="1"/>
      <c r="I3504" s="35"/>
      <c r="J3504" s="34"/>
      <c r="K3504" s="19"/>
      <c r="L3504" s="19"/>
      <c r="N3504" s="35"/>
    </row>
    <row r="3505">
      <c r="A3505" s="1"/>
      <c r="B3505" s="166"/>
      <c r="C3505" s="1"/>
      <c r="D3505" s="1"/>
      <c r="E3505" s="35"/>
      <c r="F3505" s="1"/>
      <c r="G3505" s="1"/>
      <c r="H3505" s="1"/>
      <c r="I3505" s="35"/>
      <c r="J3505" s="34"/>
      <c r="K3505" s="19"/>
      <c r="L3505" s="19"/>
      <c r="N3505" s="35"/>
    </row>
    <row r="3506">
      <c r="A3506" s="1"/>
      <c r="B3506" s="166"/>
      <c r="C3506" s="1"/>
      <c r="D3506" s="1"/>
      <c r="E3506" s="35"/>
      <c r="F3506" s="1"/>
      <c r="G3506" s="1"/>
      <c r="H3506" s="1"/>
      <c r="I3506" s="35"/>
      <c r="J3506" s="34"/>
      <c r="K3506" s="19"/>
      <c r="L3506" s="19"/>
      <c r="N3506" s="35"/>
    </row>
    <row r="3507">
      <c r="A3507" s="1"/>
      <c r="B3507" s="166"/>
      <c r="C3507" s="1"/>
      <c r="D3507" s="1"/>
      <c r="E3507" s="35"/>
      <c r="F3507" s="1"/>
      <c r="G3507" s="1"/>
      <c r="H3507" s="1"/>
      <c r="I3507" s="35"/>
      <c r="J3507" s="34"/>
      <c r="K3507" s="19"/>
      <c r="L3507" s="19"/>
      <c r="N3507" s="35"/>
    </row>
    <row r="3508">
      <c r="A3508" s="1"/>
      <c r="B3508" s="166"/>
      <c r="C3508" s="1"/>
      <c r="D3508" s="1"/>
      <c r="E3508" s="35"/>
      <c r="F3508" s="1"/>
      <c r="G3508" s="1"/>
      <c r="H3508" s="1"/>
      <c r="I3508" s="35"/>
      <c r="J3508" s="34"/>
      <c r="K3508" s="19"/>
      <c r="L3508" s="19"/>
      <c r="N3508" s="35"/>
    </row>
    <row r="3509">
      <c r="A3509" s="1"/>
      <c r="B3509" s="166"/>
      <c r="C3509" s="1"/>
      <c r="D3509" s="1"/>
      <c r="E3509" s="35"/>
      <c r="F3509" s="1"/>
      <c r="G3509" s="1"/>
      <c r="H3509" s="1"/>
      <c r="I3509" s="35"/>
      <c r="J3509" s="34"/>
      <c r="K3509" s="19"/>
      <c r="L3509" s="19"/>
      <c r="N3509" s="35"/>
    </row>
    <row r="3510">
      <c r="A3510" s="1"/>
      <c r="B3510" s="166"/>
      <c r="C3510" s="1"/>
      <c r="D3510" s="1"/>
      <c r="E3510" s="35"/>
      <c r="F3510" s="1"/>
      <c r="G3510" s="1"/>
      <c r="H3510" s="1"/>
      <c r="I3510" s="35"/>
      <c r="J3510" s="34"/>
      <c r="K3510" s="19"/>
      <c r="L3510" s="19"/>
      <c r="N3510" s="35"/>
    </row>
    <row r="3511">
      <c r="A3511" s="1"/>
      <c r="B3511" s="166"/>
      <c r="C3511" s="1"/>
      <c r="D3511" s="1"/>
      <c r="E3511" s="35"/>
      <c r="F3511" s="1"/>
      <c r="G3511" s="1"/>
      <c r="H3511" s="1"/>
      <c r="I3511" s="35"/>
      <c r="J3511" s="34"/>
      <c r="K3511" s="19"/>
      <c r="L3511" s="19"/>
      <c r="N3511" s="35"/>
    </row>
    <row r="3512">
      <c r="A3512" s="1"/>
      <c r="B3512" s="166"/>
      <c r="C3512" s="1"/>
      <c r="D3512" s="1"/>
      <c r="E3512" s="35"/>
      <c r="F3512" s="1"/>
      <c r="G3512" s="1"/>
      <c r="H3512" s="1"/>
      <c r="I3512" s="35"/>
      <c r="J3512" s="34"/>
      <c r="K3512" s="19"/>
      <c r="L3512" s="19"/>
      <c r="N3512" s="35"/>
    </row>
    <row r="3513">
      <c r="A3513" s="1"/>
      <c r="B3513" s="166"/>
      <c r="C3513" s="1"/>
      <c r="D3513" s="1"/>
      <c r="E3513" s="35"/>
      <c r="F3513" s="1"/>
      <c r="G3513" s="1"/>
      <c r="H3513" s="1"/>
      <c r="I3513" s="35"/>
      <c r="J3513" s="34"/>
      <c r="K3513" s="19"/>
      <c r="L3513" s="19"/>
      <c r="N3513" s="35"/>
    </row>
    <row r="3514">
      <c r="A3514" s="1"/>
      <c r="B3514" s="166"/>
      <c r="C3514" s="1"/>
      <c r="D3514" s="1"/>
      <c r="E3514" s="35"/>
      <c r="F3514" s="1"/>
      <c r="G3514" s="1"/>
      <c r="H3514" s="1"/>
      <c r="I3514" s="35"/>
      <c r="J3514" s="34"/>
      <c r="K3514" s="19"/>
      <c r="L3514" s="19"/>
      <c r="N3514" s="35"/>
    </row>
    <row r="3515">
      <c r="A3515" s="1"/>
      <c r="B3515" s="166"/>
      <c r="C3515" s="1"/>
      <c r="D3515" s="1"/>
      <c r="E3515" s="35"/>
      <c r="F3515" s="1"/>
      <c r="G3515" s="1"/>
      <c r="H3515" s="1"/>
      <c r="I3515" s="35"/>
      <c r="J3515" s="34"/>
      <c r="K3515" s="19"/>
      <c r="L3515" s="19"/>
      <c r="N3515" s="35"/>
    </row>
    <row r="3516">
      <c r="A3516" s="1"/>
      <c r="B3516" s="166"/>
      <c r="C3516" s="1"/>
      <c r="D3516" s="1"/>
      <c r="E3516" s="35"/>
      <c r="F3516" s="1"/>
      <c r="G3516" s="1"/>
      <c r="H3516" s="1"/>
      <c r="I3516" s="35"/>
      <c r="J3516" s="34"/>
      <c r="K3516" s="19"/>
      <c r="L3516" s="19"/>
      <c r="N3516" s="35"/>
    </row>
    <row r="3517">
      <c r="A3517" s="1"/>
      <c r="B3517" s="166"/>
      <c r="C3517" s="1"/>
      <c r="D3517" s="1"/>
      <c r="E3517" s="35"/>
      <c r="F3517" s="1"/>
      <c r="G3517" s="1"/>
      <c r="H3517" s="1"/>
      <c r="I3517" s="35"/>
      <c r="J3517" s="34"/>
      <c r="K3517" s="19"/>
      <c r="L3517" s="19"/>
      <c r="N3517" s="35"/>
    </row>
    <row r="3518">
      <c r="A3518" s="1"/>
      <c r="B3518" s="166"/>
      <c r="C3518" s="1"/>
      <c r="D3518" s="1"/>
      <c r="E3518" s="35"/>
      <c r="F3518" s="1"/>
      <c r="G3518" s="1"/>
      <c r="H3518" s="1"/>
      <c r="I3518" s="35"/>
      <c r="J3518" s="34"/>
      <c r="K3518" s="19"/>
      <c r="L3518" s="19"/>
      <c r="N3518" s="35"/>
    </row>
    <row r="3519">
      <c r="A3519" s="1"/>
      <c r="B3519" s="166"/>
      <c r="C3519" s="1"/>
      <c r="D3519" s="1"/>
      <c r="E3519" s="35"/>
      <c r="F3519" s="1"/>
      <c r="G3519" s="1"/>
      <c r="H3519" s="1"/>
      <c r="I3519" s="35"/>
      <c r="J3519" s="34"/>
      <c r="K3519" s="19"/>
      <c r="L3519" s="19"/>
      <c r="N3519" s="35"/>
    </row>
    <row r="3520">
      <c r="A3520" s="1"/>
      <c r="B3520" s="166"/>
      <c r="C3520" s="1"/>
      <c r="D3520" s="1"/>
      <c r="E3520" s="35"/>
      <c r="F3520" s="1"/>
      <c r="G3520" s="1"/>
      <c r="H3520" s="1"/>
      <c r="I3520" s="35"/>
      <c r="J3520" s="34"/>
      <c r="K3520" s="19"/>
      <c r="L3520" s="19"/>
      <c r="N3520" s="35"/>
    </row>
    <row r="3521">
      <c r="A3521" s="1"/>
      <c r="B3521" s="166"/>
      <c r="C3521" s="1"/>
      <c r="D3521" s="1"/>
      <c r="E3521" s="35"/>
      <c r="F3521" s="1"/>
      <c r="G3521" s="1"/>
      <c r="H3521" s="1"/>
      <c r="I3521" s="35"/>
      <c r="J3521" s="34"/>
      <c r="K3521" s="19"/>
      <c r="L3521" s="19"/>
      <c r="N3521" s="35"/>
    </row>
    <row r="3522">
      <c r="A3522" s="1"/>
      <c r="B3522" s="166"/>
      <c r="C3522" s="1"/>
      <c r="D3522" s="1"/>
      <c r="E3522" s="35"/>
      <c r="F3522" s="1"/>
      <c r="G3522" s="1"/>
      <c r="H3522" s="1"/>
      <c r="I3522" s="35"/>
      <c r="J3522" s="34"/>
      <c r="K3522" s="19"/>
      <c r="L3522" s="19"/>
      <c r="N3522" s="35"/>
    </row>
    <row r="3523">
      <c r="A3523" s="1"/>
      <c r="B3523" s="166"/>
      <c r="C3523" s="1"/>
      <c r="D3523" s="1"/>
      <c r="E3523" s="35"/>
      <c r="F3523" s="1"/>
      <c r="G3523" s="1"/>
      <c r="H3523" s="1"/>
      <c r="I3523" s="35"/>
      <c r="J3523" s="34"/>
      <c r="K3523" s="19"/>
      <c r="L3523" s="19"/>
      <c r="N3523" s="35"/>
    </row>
    <row r="3524">
      <c r="A3524" s="1"/>
      <c r="B3524" s="166"/>
      <c r="C3524" s="1"/>
      <c r="D3524" s="1"/>
      <c r="E3524" s="35"/>
      <c r="F3524" s="1"/>
      <c r="G3524" s="1"/>
      <c r="H3524" s="1"/>
      <c r="I3524" s="35"/>
      <c r="J3524" s="34"/>
      <c r="K3524" s="19"/>
      <c r="L3524" s="19"/>
      <c r="N3524" s="35"/>
    </row>
    <row r="3525">
      <c r="A3525" s="1"/>
      <c r="B3525" s="166"/>
      <c r="C3525" s="1"/>
      <c r="D3525" s="1"/>
      <c r="E3525" s="35"/>
      <c r="F3525" s="1"/>
      <c r="G3525" s="1"/>
      <c r="H3525" s="1"/>
      <c r="I3525" s="35"/>
      <c r="J3525" s="34"/>
      <c r="K3525" s="19"/>
      <c r="L3525" s="19"/>
      <c r="N3525" s="35"/>
    </row>
    <row r="3526">
      <c r="A3526" s="1"/>
      <c r="B3526" s="166"/>
      <c r="C3526" s="1"/>
      <c r="D3526" s="1"/>
      <c r="E3526" s="35"/>
      <c r="F3526" s="1"/>
      <c r="G3526" s="1"/>
      <c r="H3526" s="1"/>
      <c r="I3526" s="35"/>
      <c r="J3526" s="34"/>
      <c r="K3526" s="19"/>
      <c r="L3526" s="19"/>
      <c r="N3526" s="35"/>
    </row>
    <row r="3527">
      <c r="A3527" s="1"/>
      <c r="B3527" s="166"/>
      <c r="C3527" s="1"/>
      <c r="D3527" s="1"/>
      <c r="E3527" s="35"/>
      <c r="F3527" s="1"/>
      <c r="G3527" s="1"/>
      <c r="H3527" s="1"/>
      <c r="I3527" s="35"/>
      <c r="J3527" s="34"/>
      <c r="K3527" s="19"/>
      <c r="L3527" s="19"/>
      <c r="N3527" s="35"/>
    </row>
    <row r="3528">
      <c r="A3528" s="1"/>
      <c r="B3528" s="166"/>
      <c r="C3528" s="1"/>
      <c r="D3528" s="1"/>
      <c r="E3528" s="35"/>
      <c r="F3528" s="1"/>
      <c r="G3528" s="1"/>
      <c r="H3528" s="1"/>
      <c r="I3528" s="35"/>
      <c r="J3528" s="34"/>
      <c r="K3528" s="19"/>
      <c r="L3528" s="19"/>
      <c r="N3528" s="35"/>
    </row>
    <row r="3529">
      <c r="A3529" s="1"/>
      <c r="B3529" s="166"/>
      <c r="C3529" s="1"/>
      <c r="D3529" s="1"/>
      <c r="E3529" s="35"/>
      <c r="F3529" s="1"/>
      <c r="G3529" s="1"/>
      <c r="H3529" s="1"/>
      <c r="I3529" s="35"/>
      <c r="J3529" s="34"/>
      <c r="K3529" s="19"/>
      <c r="L3529" s="19"/>
      <c r="N3529" s="35"/>
    </row>
    <row r="3530">
      <c r="A3530" s="1"/>
      <c r="B3530" s="166"/>
      <c r="C3530" s="1"/>
      <c r="D3530" s="1"/>
      <c r="E3530" s="35"/>
      <c r="F3530" s="1"/>
      <c r="G3530" s="1"/>
      <c r="H3530" s="1"/>
      <c r="I3530" s="35"/>
      <c r="J3530" s="34"/>
      <c r="K3530" s="19"/>
      <c r="L3530" s="19"/>
      <c r="N3530" s="35"/>
    </row>
    <row r="3531">
      <c r="A3531" s="1"/>
      <c r="B3531" s="166"/>
      <c r="C3531" s="1"/>
      <c r="D3531" s="1"/>
      <c r="E3531" s="35"/>
      <c r="F3531" s="1"/>
      <c r="G3531" s="1"/>
      <c r="H3531" s="1"/>
      <c r="I3531" s="35"/>
      <c r="J3531" s="34"/>
      <c r="K3531" s="19"/>
      <c r="L3531" s="19"/>
      <c r="N3531" s="35"/>
    </row>
    <row r="3532">
      <c r="A3532" s="1"/>
      <c r="B3532" s="166"/>
      <c r="C3532" s="1"/>
      <c r="D3532" s="1"/>
      <c r="E3532" s="35"/>
      <c r="F3532" s="1"/>
      <c r="G3532" s="1"/>
      <c r="H3532" s="1"/>
      <c r="I3532" s="35"/>
      <c r="J3532" s="34"/>
      <c r="K3532" s="19"/>
      <c r="L3532" s="19"/>
      <c r="N3532" s="35"/>
    </row>
    <row r="3533">
      <c r="A3533" s="1"/>
      <c r="B3533" s="166"/>
      <c r="C3533" s="1"/>
      <c r="D3533" s="1"/>
      <c r="E3533" s="35"/>
      <c r="F3533" s="1"/>
      <c r="G3533" s="1"/>
      <c r="H3533" s="1"/>
      <c r="I3533" s="35"/>
      <c r="J3533" s="34"/>
      <c r="K3533" s="19"/>
      <c r="L3533" s="19"/>
      <c r="N3533" s="35"/>
    </row>
    <row r="3534">
      <c r="A3534" s="1"/>
      <c r="B3534" s="166"/>
      <c r="C3534" s="1"/>
      <c r="D3534" s="1"/>
      <c r="E3534" s="35"/>
      <c r="F3534" s="1"/>
      <c r="G3534" s="1"/>
      <c r="H3534" s="1"/>
      <c r="I3534" s="35"/>
      <c r="J3534" s="34"/>
      <c r="K3534" s="19"/>
      <c r="L3534" s="19"/>
      <c r="N3534" s="35"/>
    </row>
    <row r="3535">
      <c r="A3535" s="1"/>
      <c r="B3535" s="166"/>
      <c r="C3535" s="1"/>
      <c r="D3535" s="1"/>
      <c r="E3535" s="35"/>
      <c r="F3535" s="1"/>
      <c r="G3535" s="1"/>
      <c r="H3535" s="1"/>
      <c r="I3535" s="35"/>
      <c r="J3535" s="34"/>
      <c r="K3535" s="19"/>
      <c r="L3535" s="19"/>
      <c r="N3535" s="35"/>
    </row>
    <row r="3536">
      <c r="A3536" s="1"/>
      <c r="B3536" s="166"/>
      <c r="C3536" s="1"/>
      <c r="D3536" s="1"/>
      <c r="E3536" s="35"/>
      <c r="F3536" s="1"/>
      <c r="G3536" s="1"/>
      <c r="H3536" s="1"/>
      <c r="I3536" s="35"/>
      <c r="J3536" s="34"/>
      <c r="K3536" s="19"/>
      <c r="L3536" s="19"/>
      <c r="N3536" s="35"/>
    </row>
    <row r="3537">
      <c r="A3537" s="1"/>
      <c r="B3537" s="166"/>
      <c r="C3537" s="1"/>
      <c r="D3537" s="1"/>
      <c r="E3537" s="35"/>
      <c r="F3537" s="1"/>
      <c r="G3537" s="1"/>
      <c r="H3537" s="1"/>
      <c r="I3537" s="35"/>
      <c r="J3537" s="34"/>
      <c r="K3537" s="19"/>
      <c r="L3537" s="19"/>
      <c r="N3537" s="35"/>
    </row>
    <row r="3538">
      <c r="A3538" s="1"/>
      <c r="B3538" s="166"/>
      <c r="C3538" s="1"/>
      <c r="D3538" s="1"/>
      <c r="E3538" s="35"/>
      <c r="F3538" s="1"/>
      <c r="G3538" s="1"/>
      <c r="H3538" s="1"/>
      <c r="I3538" s="35"/>
      <c r="J3538" s="34"/>
      <c r="K3538" s="19"/>
      <c r="L3538" s="19"/>
      <c r="N3538" s="35"/>
    </row>
    <row r="3539">
      <c r="A3539" s="1"/>
      <c r="B3539" s="166"/>
      <c r="C3539" s="1"/>
      <c r="D3539" s="1"/>
      <c r="E3539" s="35"/>
      <c r="F3539" s="1"/>
      <c r="G3539" s="1"/>
      <c r="H3539" s="1"/>
      <c r="I3539" s="35"/>
      <c r="J3539" s="34"/>
      <c r="K3539" s="19"/>
      <c r="L3539" s="19"/>
      <c r="N3539" s="35"/>
    </row>
    <row r="3540">
      <c r="A3540" s="1"/>
      <c r="B3540" s="166"/>
      <c r="C3540" s="1"/>
      <c r="D3540" s="1"/>
      <c r="E3540" s="35"/>
      <c r="F3540" s="1"/>
      <c r="G3540" s="1"/>
      <c r="H3540" s="1"/>
      <c r="I3540" s="35"/>
      <c r="J3540" s="34"/>
      <c r="K3540" s="19"/>
      <c r="L3540" s="19"/>
      <c r="N3540" s="35"/>
    </row>
    <row r="3541">
      <c r="A3541" s="1"/>
      <c r="B3541" s="166"/>
      <c r="C3541" s="1"/>
      <c r="D3541" s="1"/>
      <c r="E3541" s="35"/>
      <c r="F3541" s="1"/>
      <c r="G3541" s="1"/>
      <c r="H3541" s="1"/>
      <c r="I3541" s="35"/>
      <c r="J3541" s="34"/>
      <c r="K3541" s="19"/>
      <c r="L3541" s="19"/>
      <c r="N3541" s="35"/>
    </row>
    <row r="3542">
      <c r="A3542" s="1"/>
      <c r="B3542" s="166"/>
      <c r="C3542" s="1"/>
      <c r="D3542" s="1"/>
      <c r="E3542" s="35"/>
      <c r="F3542" s="1"/>
      <c r="G3542" s="1"/>
      <c r="H3542" s="1"/>
      <c r="I3542" s="35"/>
      <c r="J3542" s="34"/>
      <c r="K3542" s="19"/>
      <c r="L3542" s="19"/>
      <c r="N3542" s="35"/>
    </row>
    <row r="3543">
      <c r="A3543" s="1"/>
      <c r="B3543" s="166"/>
      <c r="C3543" s="1"/>
      <c r="D3543" s="1"/>
      <c r="E3543" s="35"/>
      <c r="F3543" s="1"/>
      <c r="G3543" s="1"/>
      <c r="H3543" s="1"/>
      <c r="I3543" s="35"/>
      <c r="J3543" s="34"/>
      <c r="K3543" s="19"/>
      <c r="L3543" s="19"/>
      <c r="N3543" s="35"/>
    </row>
    <row r="3544">
      <c r="A3544" s="1"/>
      <c r="B3544" s="166"/>
      <c r="C3544" s="1"/>
      <c r="D3544" s="1"/>
      <c r="E3544" s="35"/>
      <c r="F3544" s="1"/>
      <c r="G3544" s="1"/>
      <c r="H3544" s="1"/>
      <c r="I3544" s="35"/>
      <c r="J3544" s="34"/>
      <c r="K3544" s="19"/>
      <c r="L3544" s="19"/>
      <c r="N3544" s="35"/>
    </row>
    <row r="3545">
      <c r="A3545" s="1"/>
      <c r="B3545" s="166"/>
      <c r="C3545" s="1"/>
      <c r="D3545" s="1"/>
      <c r="E3545" s="35"/>
      <c r="F3545" s="1"/>
      <c r="G3545" s="1"/>
      <c r="H3545" s="1"/>
      <c r="I3545" s="35"/>
      <c r="J3545" s="34"/>
      <c r="K3545" s="19"/>
      <c r="L3545" s="19"/>
      <c r="N3545" s="35"/>
    </row>
    <row r="3546">
      <c r="A3546" s="1"/>
      <c r="B3546" s="166"/>
      <c r="C3546" s="1"/>
      <c r="D3546" s="1"/>
      <c r="E3546" s="35"/>
      <c r="F3546" s="1"/>
      <c r="G3546" s="1"/>
      <c r="H3546" s="1"/>
      <c r="I3546" s="35"/>
      <c r="J3546" s="34"/>
      <c r="K3546" s="19"/>
      <c r="L3546" s="19"/>
      <c r="N3546" s="35"/>
    </row>
    <row r="3547">
      <c r="A3547" s="1"/>
      <c r="B3547" s="166"/>
      <c r="C3547" s="1"/>
      <c r="D3547" s="1"/>
      <c r="E3547" s="35"/>
      <c r="F3547" s="1"/>
      <c r="G3547" s="1"/>
      <c r="H3547" s="1"/>
      <c r="I3547" s="35"/>
      <c r="J3547" s="34"/>
      <c r="K3547" s="19"/>
      <c r="L3547" s="19"/>
      <c r="N3547" s="35"/>
    </row>
    <row r="3548">
      <c r="A3548" s="1"/>
      <c r="B3548" s="166"/>
      <c r="C3548" s="1"/>
      <c r="D3548" s="1"/>
      <c r="E3548" s="35"/>
      <c r="F3548" s="1"/>
      <c r="G3548" s="1"/>
      <c r="H3548" s="1"/>
      <c r="I3548" s="35"/>
      <c r="J3548" s="34"/>
      <c r="K3548" s="19"/>
      <c r="L3548" s="19"/>
      <c r="N3548" s="35"/>
    </row>
    <row r="3549">
      <c r="A3549" s="1"/>
      <c r="B3549" s="166"/>
      <c r="C3549" s="1"/>
      <c r="D3549" s="1"/>
      <c r="E3549" s="35"/>
      <c r="F3549" s="1"/>
      <c r="G3549" s="1"/>
      <c r="H3549" s="1"/>
      <c r="I3549" s="35"/>
      <c r="J3549" s="34"/>
      <c r="K3549" s="19"/>
      <c r="L3549" s="19"/>
      <c r="N3549" s="35"/>
    </row>
    <row r="3550">
      <c r="A3550" s="1"/>
      <c r="B3550" s="166"/>
      <c r="C3550" s="1"/>
      <c r="D3550" s="1"/>
      <c r="E3550" s="35"/>
      <c r="F3550" s="1"/>
      <c r="G3550" s="1"/>
      <c r="H3550" s="1"/>
      <c r="I3550" s="35"/>
      <c r="J3550" s="34"/>
      <c r="K3550" s="19"/>
      <c r="L3550" s="19"/>
      <c r="N3550" s="35"/>
    </row>
    <row r="3551">
      <c r="A3551" s="1"/>
      <c r="B3551" s="166"/>
      <c r="C3551" s="1"/>
      <c r="D3551" s="1"/>
      <c r="E3551" s="35"/>
      <c r="F3551" s="1"/>
      <c r="G3551" s="1"/>
      <c r="H3551" s="1"/>
      <c r="I3551" s="35"/>
      <c r="J3551" s="34"/>
      <c r="K3551" s="19"/>
      <c r="L3551" s="19"/>
      <c r="N3551" s="35"/>
    </row>
    <row r="3552">
      <c r="A3552" s="1"/>
      <c r="B3552" s="166"/>
      <c r="C3552" s="1"/>
      <c r="D3552" s="1"/>
      <c r="E3552" s="35"/>
      <c r="F3552" s="1"/>
      <c r="G3552" s="1"/>
      <c r="H3552" s="1"/>
      <c r="I3552" s="35"/>
      <c r="J3552" s="34"/>
      <c r="K3552" s="19"/>
      <c r="L3552" s="19"/>
      <c r="N3552" s="35"/>
    </row>
    <row r="3553">
      <c r="A3553" s="1"/>
      <c r="B3553" s="166"/>
      <c r="C3553" s="1"/>
      <c r="D3553" s="1"/>
      <c r="E3553" s="35"/>
      <c r="F3553" s="1"/>
      <c r="G3553" s="1"/>
      <c r="H3553" s="1"/>
      <c r="I3553" s="35"/>
      <c r="J3553" s="34"/>
      <c r="K3553" s="19"/>
      <c r="L3553" s="19"/>
      <c r="N3553" s="35"/>
    </row>
    <row r="3554">
      <c r="A3554" s="1"/>
      <c r="B3554" s="166"/>
      <c r="C3554" s="1"/>
      <c r="D3554" s="1"/>
      <c r="E3554" s="35"/>
      <c r="F3554" s="1"/>
      <c r="G3554" s="1"/>
      <c r="H3554" s="1"/>
      <c r="I3554" s="35"/>
      <c r="J3554" s="34"/>
      <c r="K3554" s="19"/>
      <c r="L3554" s="19"/>
      <c r="N3554" s="35"/>
    </row>
    <row r="3555">
      <c r="A3555" s="1"/>
      <c r="B3555" s="166"/>
      <c r="C3555" s="1"/>
      <c r="D3555" s="1"/>
      <c r="E3555" s="35"/>
      <c r="F3555" s="1"/>
      <c r="G3555" s="1"/>
      <c r="H3555" s="1"/>
      <c r="I3555" s="35"/>
      <c r="J3555" s="34"/>
      <c r="K3555" s="19"/>
      <c r="L3555" s="19"/>
      <c r="N3555" s="35"/>
    </row>
    <row r="3556">
      <c r="A3556" s="1"/>
      <c r="B3556" s="166"/>
      <c r="C3556" s="1"/>
      <c r="D3556" s="1"/>
      <c r="E3556" s="35"/>
      <c r="F3556" s="1"/>
      <c r="G3556" s="1"/>
      <c r="H3556" s="1"/>
      <c r="I3556" s="35"/>
      <c r="J3556" s="34"/>
      <c r="K3556" s="19"/>
      <c r="L3556" s="19"/>
      <c r="N3556" s="35"/>
    </row>
    <row r="3557">
      <c r="A3557" s="1"/>
      <c r="B3557" s="166"/>
      <c r="C3557" s="1"/>
      <c r="D3557" s="1"/>
      <c r="E3557" s="35"/>
      <c r="F3557" s="1"/>
      <c r="G3557" s="1"/>
      <c r="H3557" s="1"/>
      <c r="I3557" s="35"/>
      <c r="J3557" s="34"/>
      <c r="K3557" s="19"/>
      <c r="L3557" s="19"/>
      <c r="N3557" s="35"/>
    </row>
    <row r="3558">
      <c r="A3558" s="1"/>
      <c r="B3558" s="166"/>
      <c r="C3558" s="1"/>
      <c r="D3558" s="1"/>
      <c r="E3558" s="35"/>
      <c r="F3558" s="1"/>
      <c r="G3558" s="1"/>
      <c r="H3558" s="1"/>
      <c r="I3558" s="35"/>
      <c r="J3558" s="34"/>
      <c r="K3558" s="19"/>
      <c r="L3558" s="19"/>
      <c r="N3558" s="35"/>
    </row>
    <row r="3559">
      <c r="A3559" s="1"/>
      <c r="B3559" s="166"/>
      <c r="C3559" s="1"/>
      <c r="D3559" s="1"/>
      <c r="E3559" s="35"/>
      <c r="F3559" s="1"/>
      <c r="G3559" s="1"/>
      <c r="H3559" s="1"/>
      <c r="I3559" s="35"/>
      <c r="J3559" s="34"/>
      <c r="K3559" s="19"/>
      <c r="L3559" s="19"/>
      <c r="N3559" s="35"/>
    </row>
    <row r="3560">
      <c r="A3560" s="1"/>
      <c r="B3560" s="166"/>
      <c r="C3560" s="1"/>
      <c r="D3560" s="1"/>
      <c r="E3560" s="35"/>
      <c r="F3560" s="1"/>
      <c r="G3560" s="1"/>
      <c r="H3560" s="1"/>
      <c r="I3560" s="35"/>
      <c r="J3560" s="34"/>
      <c r="K3560" s="19"/>
      <c r="L3560" s="19"/>
      <c r="N3560" s="35"/>
    </row>
    <row r="3561">
      <c r="A3561" s="1"/>
      <c r="B3561" s="166"/>
      <c r="C3561" s="1"/>
      <c r="D3561" s="1"/>
      <c r="E3561" s="35"/>
      <c r="F3561" s="1"/>
      <c r="G3561" s="1"/>
      <c r="H3561" s="1"/>
      <c r="I3561" s="35"/>
      <c r="J3561" s="34"/>
      <c r="K3561" s="19"/>
      <c r="L3561" s="19"/>
      <c r="N3561" s="35"/>
    </row>
    <row r="3562">
      <c r="A3562" s="1"/>
      <c r="B3562" s="166"/>
      <c r="C3562" s="1"/>
      <c r="D3562" s="1"/>
      <c r="E3562" s="35"/>
      <c r="F3562" s="1"/>
      <c r="G3562" s="1"/>
      <c r="H3562" s="1"/>
      <c r="I3562" s="35"/>
      <c r="J3562" s="34"/>
      <c r="K3562" s="19"/>
      <c r="L3562" s="19"/>
      <c r="N3562" s="35"/>
    </row>
    <row r="3563">
      <c r="A3563" s="1"/>
      <c r="B3563" s="166"/>
      <c r="C3563" s="1"/>
      <c r="D3563" s="1"/>
      <c r="E3563" s="35"/>
      <c r="F3563" s="1"/>
      <c r="G3563" s="1"/>
      <c r="H3563" s="1"/>
      <c r="I3563" s="35"/>
      <c r="J3563" s="34"/>
      <c r="K3563" s="19"/>
      <c r="L3563" s="19"/>
      <c r="N3563" s="35"/>
    </row>
    <row r="3564">
      <c r="A3564" s="1"/>
      <c r="B3564" s="166"/>
      <c r="C3564" s="1"/>
      <c r="D3564" s="1"/>
      <c r="E3564" s="35"/>
      <c r="F3564" s="1"/>
      <c r="G3564" s="1"/>
      <c r="H3564" s="1"/>
      <c r="I3564" s="35"/>
      <c r="J3564" s="34"/>
      <c r="K3564" s="19"/>
      <c r="L3564" s="19"/>
      <c r="N3564" s="35"/>
    </row>
    <row r="3565">
      <c r="A3565" s="1"/>
      <c r="B3565" s="166"/>
      <c r="C3565" s="1"/>
      <c r="D3565" s="1"/>
      <c r="E3565" s="35"/>
      <c r="F3565" s="1"/>
      <c r="G3565" s="1"/>
      <c r="H3565" s="1"/>
      <c r="I3565" s="35"/>
      <c r="J3565" s="34"/>
      <c r="K3565" s="19"/>
      <c r="L3565" s="19"/>
      <c r="N3565" s="35"/>
    </row>
    <row r="3566">
      <c r="A3566" s="1"/>
      <c r="B3566" s="166"/>
      <c r="C3566" s="1"/>
      <c r="D3566" s="1"/>
      <c r="E3566" s="35"/>
      <c r="F3566" s="1"/>
      <c r="G3566" s="1"/>
      <c r="H3566" s="1"/>
      <c r="I3566" s="35"/>
      <c r="J3566" s="34"/>
      <c r="K3566" s="19"/>
      <c r="L3566" s="19"/>
      <c r="N3566" s="35"/>
    </row>
    <row r="3567">
      <c r="A3567" s="1"/>
      <c r="B3567" s="166"/>
      <c r="C3567" s="1"/>
      <c r="D3567" s="1"/>
      <c r="E3567" s="35"/>
      <c r="F3567" s="1"/>
      <c r="G3567" s="1"/>
      <c r="H3567" s="1"/>
      <c r="I3567" s="35"/>
      <c r="J3567" s="34"/>
      <c r="K3567" s="19"/>
      <c r="L3567" s="19"/>
      <c r="N3567" s="35"/>
    </row>
    <row r="3568">
      <c r="A3568" s="1"/>
      <c r="B3568" s="166"/>
      <c r="C3568" s="1"/>
      <c r="D3568" s="1"/>
      <c r="E3568" s="35"/>
      <c r="F3568" s="1"/>
      <c r="G3568" s="1"/>
      <c r="H3568" s="1"/>
      <c r="I3568" s="35"/>
      <c r="J3568" s="34"/>
      <c r="K3568" s="19"/>
      <c r="L3568" s="19"/>
      <c r="N3568" s="35"/>
    </row>
    <row r="3569">
      <c r="A3569" s="1"/>
      <c r="B3569" s="166"/>
      <c r="C3569" s="1"/>
      <c r="D3569" s="1"/>
      <c r="E3569" s="35"/>
      <c r="F3569" s="1"/>
      <c r="G3569" s="1"/>
      <c r="H3569" s="1"/>
      <c r="I3569" s="35"/>
      <c r="J3569" s="34"/>
      <c r="K3569" s="19"/>
      <c r="L3569" s="19"/>
      <c r="N3569" s="35"/>
    </row>
    <row r="3570">
      <c r="A3570" s="1"/>
      <c r="B3570" s="166"/>
      <c r="C3570" s="1"/>
      <c r="D3570" s="1"/>
      <c r="E3570" s="35"/>
      <c r="F3570" s="1"/>
      <c r="G3570" s="1"/>
      <c r="H3570" s="1"/>
      <c r="I3570" s="35"/>
      <c r="J3570" s="34"/>
      <c r="K3570" s="19"/>
      <c r="L3570" s="19"/>
      <c r="N3570" s="35"/>
    </row>
    <row r="3571">
      <c r="A3571" s="1"/>
      <c r="B3571" s="166"/>
      <c r="C3571" s="1"/>
      <c r="D3571" s="1"/>
      <c r="E3571" s="35"/>
      <c r="F3571" s="1"/>
      <c r="G3571" s="1"/>
      <c r="H3571" s="1"/>
      <c r="I3571" s="35"/>
      <c r="J3571" s="34"/>
      <c r="K3571" s="19"/>
      <c r="L3571" s="19"/>
      <c r="N3571" s="35"/>
    </row>
    <row r="3572">
      <c r="A3572" s="1"/>
      <c r="B3572" s="166"/>
      <c r="C3572" s="1"/>
      <c r="D3572" s="1"/>
      <c r="E3572" s="35"/>
      <c r="F3572" s="1"/>
      <c r="G3572" s="1"/>
      <c r="H3572" s="1"/>
      <c r="I3572" s="35"/>
      <c r="J3572" s="34"/>
      <c r="K3572" s="19"/>
      <c r="L3572" s="19"/>
      <c r="N3572" s="35"/>
    </row>
    <row r="3573">
      <c r="A3573" s="1"/>
      <c r="B3573" s="166"/>
      <c r="C3573" s="1"/>
      <c r="D3573" s="1"/>
      <c r="E3573" s="35"/>
      <c r="F3573" s="1"/>
      <c r="G3573" s="1"/>
      <c r="H3573" s="1"/>
      <c r="I3573" s="35"/>
      <c r="J3573" s="34"/>
      <c r="K3573" s="19"/>
      <c r="L3573" s="19"/>
      <c r="N3573" s="35"/>
    </row>
    <row r="3574">
      <c r="A3574" s="1"/>
      <c r="B3574" s="166"/>
      <c r="C3574" s="1"/>
      <c r="D3574" s="1"/>
      <c r="E3574" s="35"/>
      <c r="F3574" s="1"/>
      <c r="G3574" s="1"/>
      <c r="H3574" s="1"/>
      <c r="I3574" s="35"/>
      <c r="J3574" s="34"/>
      <c r="K3574" s="19"/>
      <c r="L3574" s="19"/>
      <c r="N3574" s="35"/>
    </row>
    <row r="3575">
      <c r="A3575" s="1"/>
      <c r="B3575" s="166"/>
      <c r="C3575" s="1"/>
      <c r="D3575" s="1"/>
      <c r="E3575" s="35"/>
      <c r="F3575" s="1"/>
      <c r="G3575" s="1"/>
      <c r="H3575" s="1"/>
      <c r="I3575" s="35"/>
      <c r="J3575" s="34"/>
      <c r="K3575" s="19"/>
      <c r="L3575" s="19"/>
      <c r="N3575" s="35"/>
    </row>
    <row r="3576">
      <c r="A3576" s="1"/>
      <c r="B3576" s="166"/>
      <c r="C3576" s="1"/>
      <c r="D3576" s="1"/>
      <c r="E3576" s="35"/>
      <c r="F3576" s="1"/>
      <c r="G3576" s="1"/>
      <c r="H3576" s="1"/>
      <c r="I3576" s="35"/>
      <c r="J3576" s="34"/>
      <c r="K3576" s="19"/>
      <c r="L3576" s="19"/>
      <c r="N3576" s="35"/>
    </row>
    <row r="3577">
      <c r="A3577" s="1"/>
      <c r="B3577" s="166"/>
      <c r="C3577" s="1"/>
      <c r="D3577" s="1"/>
      <c r="E3577" s="35"/>
      <c r="F3577" s="1"/>
      <c r="G3577" s="1"/>
      <c r="H3577" s="1"/>
      <c r="I3577" s="35"/>
      <c r="J3577" s="34"/>
      <c r="K3577" s="19"/>
      <c r="L3577" s="19"/>
      <c r="N3577" s="35"/>
    </row>
    <row r="3578">
      <c r="A3578" s="1"/>
      <c r="B3578" s="166"/>
      <c r="C3578" s="1"/>
      <c r="D3578" s="1"/>
      <c r="E3578" s="35"/>
      <c r="F3578" s="1"/>
      <c r="G3578" s="1"/>
      <c r="H3578" s="1"/>
      <c r="I3578" s="35"/>
      <c r="J3578" s="34"/>
      <c r="K3578" s="19"/>
      <c r="L3578" s="19"/>
      <c r="N3578" s="35"/>
    </row>
    <row r="3579">
      <c r="A3579" s="1"/>
      <c r="B3579" s="166"/>
      <c r="C3579" s="1"/>
      <c r="D3579" s="1"/>
      <c r="E3579" s="35"/>
      <c r="F3579" s="1"/>
      <c r="G3579" s="1"/>
      <c r="H3579" s="1"/>
      <c r="I3579" s="35"/>
      <c r="J3579" s="34"/>
      <c r="K3579" s="19"/>
      <c r="L3579" s="19"/>
      <c r="N3579" s="35"/>
    </row>
    <row r="3580">
      <c r="A3580" s="1"/>
      <c r="B3580" s="166"/>
      <c r="C3580" s="1"/>
      <c r="D3580" s="1"/>
      <c r="E3580" s="35"/>
      <c r="F3580" s="1"/>
      <c r="G3580" s="1"/>
      <c r="H3580" s="1"/>
      <c r="I3580" s="35"/>
      <c r="J3580" s="34"/>
      <c r="K3580" s="19"/>
      <c r="L3580" s="19"/>
      <c r="N3580" s="35"/>
    </row>
    <row r="3581">
      <c r="A3581" s="1"/>
      <c r="B3581" s="166"/>
      <c r="C3581" s="1"/>
      <c r="D3581" s="1"/>
      <c r="E3581" s="35"/>
      <c r="F3581" s="1"/>
      <c r="G3581" s="1"/>
      <c r="H3581" s="1"/>
      <c r="I3581" s="35"/>
      <c r="J3581" s="34"/>
      <c r="K3581" s="19"/>
      <c r="L3581" s="19"/>
      <c r="N3581" s="35"/>
    </row>
    <row r="3582">
      <c r="A3582" s="1"/>
      <c r="B3582" s="166"/>
      <c r="C3582" s="1"/>
      <c r="D3582" s="1"/>
      <c r="E3582" s="35"/>
      <c r="F3582" s="1"/>
      <c r="G3582" s="1"/>
      <c r="H3582" s="1"/>
      <c r="I3582" s="35"/>
      <c r="J3582" s="34"/>
      <c r="K3582" s="19"/>
      <c r="L3582" s="19"/>
      <c r="N3582" s="35"/>
    </row>
    <row r="3583">
      <c r="A3583" s="1"/>
      <c r="B3583" s="166"/>
      <c r="C3583" s="1"/>
      <c r="D3583" s="1"/>
      <c r="E3583" s="35"/>
      <c r="F3583" s="1"/>
      <c r="G3583" s="1"/>
      <c r="H3583" s="1"/>
      <c r="I3583" s="35"/>
      <c r="J3583" s="34"/>
      <c r="K3583" s="19"/>
      <c r="L3583" s="19"/>
      <c r="N3583" s="35"/>
    </row>
    <row r="3584">
      <c r="A3584" s="1"/>
      <c r="B3584" s="166"/>
      <c r="C3584" s="1"/>
      <c r="D3584" s="1"/>
      <c r="E3584" s="35"/>
      <c r="F3584" s="1"/>
      <c r="G3584" s="1"/>
      <c r="H3584" s="1"/>
      <c r="I3584" s="35"/>
      <c r="J3584" s="34"/>
      <c r="K3584" s="19"/>
      <c r="L3584" s="19"/>
      <c r="N3584" s="35"/>
    </row>
    <row r="3585">
      <c r="A3585" s="1"/>
      <c r="B3585" s="166"/>
      <c r="C3585" s="1"/>
      <c r="D3585" s="1"/>
      <c r="E3585" s="35"/>
      <c r="F3585" s="1"/>
      <c r="G3585" s="1"/>
      <c r="H3585" s="1"/>
      <c r="I3585" s="35"/>
      <c r="J3585" s="34"/>
      <c r="K3585" s="19"/>
      <c r="L3585" s="19"/>
      <c r="N3585" s="35"/>
    </row>
    <row r="3586">
      <c r="A3586" s="1"/>
      <c r="B3586" s="166"/>
      <c r="C3586" s="1"/>
      <c r="D3586" s="1"/>
      <c r="E3586" s="35"/>
      <c r="F3586" s="1"/>
      <c r="G3586" s="1"/>
      <c r="H3586" s="1"/>
      <c r="I3586" s="35"/>
      <c r="J3586" s="34"/>
      <c r="K3586" s="19"/>
      <c r="L3586" s="19"/>
      <c r="N3586" s="35"/>
    </row>
    <row r="3587">
      <c r="A3587" s="1"/>
      <c r="B3587" s="166"/>
      <c r="C3587" s="1"/>
      <c r="D3587" s="1"/>
      <c r="E3587" s="35"/>
      <c r="F3587" s="1"/>
      <c r="G3587" s="1"/>
      <c r="H3587" s="1"/>
      <c r="I3587" s="35"/>
      <c r="J3587" s="34"/>
      <c r="K3587" s="19"/>
      <c r="L3587" s="19"/>
      <c r="N3587" s="35"/>
    </row>
    <row r="3588">
      <c r="A3588" s="1"/>
      <c r="B3588" s="166"/>
      <c r="C3588" s="1"/>
      <c r="D3588" s="1"/>
      <c r="E3588" s="35"/>
      <c r="F3588" s="1"/>
      <c r="G3588" s="1"/>
      <c r="H3588" s="1"/>
      <c r="I3588" s="35"/>
      <c r="J3588" s="34"/>
      <c r="K3588" s="19"/>
      <c r="L3588" s="19"/>
      <c r="N3588" s="35"/>
    </row>
    <row r="3589">
      <c r="A3589" s="1"/>
      <c r="B3589" s="166"/>
      <c r="C3589" s="1"/>
      <c r="D3589" s="1"/>
      <c r="E3589" s="35"/>
      <c r="F3589" s="1"/>
      <c r="G3589" s="1"/>
      <c r="H3589" s="1"/>
      <c r="I3589" s="35"/>
      <c r="J3589" s="34"/>
      <c r="K3589" s="19"/>
      <c r="L3589" s="19"/>
      <c r="N3589" s="35"/>
    </row>
    <row r="3590">
      <c r="A3590" s="1"/>
      <c r="B3590" s="166"/>
      <c r="C3590" s="1"/>
      <c r="D3590" s="1"/>
      <c r="E3590" s="35"/>
      <c r="F3590" s="1"/>
      <c r="G3590" s="1"/>
      <c r="H3590" s="1"/>
      <c r="I3590" s="35"/>
      <c r="J3590" s="34"/>
      <c r="K3590" s="19"/>
      <c r="L3590" s="19"/>
      <c r="N3590" s="35"/>
    </row>
    <row r="3591">
      <c r="A3591" s="1"/>
      <c r="B3591" s="166"/>
      <c r="C3591" s="1"/>
      <c r="D3591" s="1"/>
      <c r="E3591" s="35"/>
      <c r="F3591" s="1"/>
      <c r="G3591" s="1"/>
      <c r="H3591" s="1"/>
      <c r="I3591" s="35"/>
      <c r="J3591" s="34"/>
      <c r="K3591" s="19"/>
      <c r="L3591" s="19"/>
      <c r="N3591" s="35"/>
    </row>
    <row r="3592">
      <c r="A3592" s="1"/>
      <c r="B3592" s="166"/>
      <c r="C3592" s="1"/>
      <c r="D3592" s="1"/>
      <c r="E3592" s="35"/>
      <c r="F3592" s="1"/>
      <c r="G3592" s="1"/>
      <c r="H3592" s="1"/>
      <c r="I3592" s="35"/>
      <c r="J3592" s="34"/>
      <c r="K3592" s="19"/>
      <c r="L3592" s="19"/>
      <c r="N3592" s="35"/>
    </row>
    <row r="3593">
      <c r="A3593" s="1"/>
      <c r="B3593" s="166"/>
      <c r="C3593" s="1"/>
      <c r="D3593" s="1"/>
      <c r="E3593" s="35"/>
      <c r="F3593" s="1"/>
      <c r="G3593" s="1"/>
      <c r="H3593" s="1"/>
      <c r="I3593" s="35"/>
      <c r="J3593" s="34"/>
      <c r="K3593" s="19"/>
      <c r="L3593" s="19"/>
      <c r="N3593" s="35"/>
    </row>
    <row r="3594">
      <c r="A3594" s="1"/>
      <c r="B3594" s="166"/>
      <c r="C3594" s="1"/>
      <c r="D3594" s="1"/>
      <c r="E3594" s="35"/>
      <c r="F3594" s="1"/>
      <c r="G3594" s="1"/>
      <c r="H3594" s="1"/>
      <c r="I3594" s="35"/>
      <c r="J3594" s="34"/>
      <c r="K3594" s="19"/>
      <c r="L3594" s="19"/>
      <c r="N3594" s="35"/>
    </row>
    <row r="3595">
      <c r="A3595" s="1"/>
      <c r="B3595" s="166"/>
      <c r="C3595" s="1"/>
      <c r="D3595" s="1"/>
      <c r="E3595" s="35"/>
      <c r="F3595" s="1"/>
      <c r="G3595" s="1"/>
      <c r="H3595" s="1"/>
      <c r="I3595" s="35"/>
      <c r="J3595" s="34"/>
      <c r="K3595" s="19"/>
      <c r="L3595" s="19"/>
      <c r="N3595" s="35"/>
    </row>
    <row r="3596">
      <c r="A3596" s="1"/>
      <c r="B3596" s="166"/>
      <c r="C3596" s="1"/>
      <c r="D3596" s="1"/>
      <c r="E3596" s="35"/>
      <c r="F3596" s="1"/>
      <c r="G3596" s="1"/>
      <c r="H3596" s="1"/>
      <c r="I3596" s="35"/>
      <c r="J3596" s="34"/>
      <c r="K3596" s="19"/>
      <c r="L3596" s="19"/>
      <c r="N3596" s="35"/>
    </row>
    <row r="3597">
      <c r="A3597" s="1"/>
      <c r="B3597" s="166"/>
      <c r="C3597" s="1"/>
      <c r="D3597" s="1"/>
      <c r="E3597" s="35"/>
      <c r="F3597" s="1"/>
      <c r="G3597" s="1"/>
      <c r="H3597" s="1"/>
      <c r="I3597" s="35"/>
      <c r="J3597" s="34"/>
      <c r="K3597" s="19"/>
      <c r="L3597" s="19"/>
      <c r="N3597" s="35"/>
    </row>
    <row r="3598">
      <c r="A3598" s="1"/>
      <c r="B3598" s="166"/>
      <c r="C3598" s="1"/>
      <c r="D3598" s="1"/>
      <c r="E3598" s="35"/>
      <c r="F3598" s="1"/>
      <c r="G3598" s="1"/>
      <c r="H3598" s="1"/>
      <c r="I3598" s="35"/>
      <c r="J3598" s="34"/>
      <c r="K3598" s="19"/>
      <c r="L3598" s="19"/>
      <c r="N3598" s="35"/>
    </row>
    <row r="3599">
      <c r="A3599" s="1"/>
      <c r="B3599" s="166"/>
      <c r="C3599" s="1"/>
      <c r="D3599" s="1"/>
      <c r="E3599" s="35"/>
      <c r="F3599" s="1"/>
      <c r="G3599" s="1"/>
      <c r="H3599" s="1"/>
      <c r="I3599" s="35"/>
      <c r="J3599" s="34"/>
      <c r="K3599" s="19"/>
      <c r="L3599" s="19"/>
      <c r="N3599" s="35"/>
    </row>
    <row r="3600">
      <c r="A3600" s="1"/>
      <c r="B3600" s="166"/>
      <c r="C3600" s="1"/>
      <c r="D3600" s="1"/>
      <c r="E3600" s="35"/>
      <c r="F3600" s="1"/>
      <c r="G3600" s="1"/>
      <c r="H3600" s="1"/>
      <c r="I3600" s="35"/>
      <c r="J3600" s="34"/>
      <c r="K3600" s="19"/>
      <c r="L3600" s="19"/>
      <c r="N3600" s="35"/>
    </row>
    <row r="3601">
      <c r="A3601" s="1"/>
      <c r="B3601" s="166"/>
      <c r="C3601" s="1"/>
      <c r="D3601" s="1"/>
      <c r="E3601" s="35"/>
      <c r="F3601" s="1"/>
      <c r="G3601" s="1"/>
      <c r="H3601" s="1"/>
      <c r="I3601" s="35"/>
      <c r="J3601" s="34"/>
      <c r="K3601" s="19"/>
      <c r="L3601" s="19"/>
      <c r="N3601" s="35"/>
    </row>
    <row r="3602">
      <c r="A3602" s="1"/>
      <c r="B3602" s="166"/>
      <c r="C3602" s="1"/>
      <c r="D3602" s="1"/>
      <c r="E3602" s="35"/>
      <c r="F3602" s="1"/>
      <c r="G3602" s="1"/>
      <c r="H3602" s="1"/>
      <c r="I3602" s="35"/>
      <c r="J3602" s="34"/>
      <c r="K3602" s="19"/>
      <c r="L3602" s="19"/>
      <c r="N3602" s="35"/>
    </row>
    <row r="3603">
      <c r="A3603" s="1"/>
      <c r="B3603" s="166"/>
      <c r="C3603" s="1"/>
      <c r="D3603" s="1"/>
      <c r="E3603" s="35"/>
      <c r="F3603" s="1"/>
      <c r="G3603" s="1"/>
      <c r="H3603" s="1"/>
      <c r="I3603" s="35"/>
      <c r="J3603" s="34"/>
      <c r="K3603" s="19"/>
      <c r="L3603" s="19"/>
      <c r="N3603" s="35"/>
    </row>
    <row r="3604">
      <c r="A3604" s="1"/>
      <c r="B3604" s="166"/>
      <c r="C3604" s="1"/>
      <c r="D3604" s="1"/>
      <c r="E3604" s="35"/>
      <c r="F3604" s="1"/>
      <c r="G3604" s="1"/>
      <c r="H3604" s="1"/>
      <c r="I3604" s="35"/>
      <c r="J3604" s="34"/>
      <c r="K3604" s="19"/>
      <c r="L3604" s="19"/>
      <c r="N3604" s="35"/>
    </row>
    <row r="3605">
      <c r="A3605" s="1"/>
      <c r="B3605" s="166"/>
      <c r="C3605" s="1"/>
      <c r="D3605" s="1"/>
      <c r="E3605" s="35"/>
      <c r="F3605" s="1"/>
      <c r="G3605" s="1"/>
      <c r="H3605" s="1"/>
      <c r="I3605" s="35"/>
      <c r="J3605" s="34"/>
      <c r="K3605" s="19"/>
      <c r="L3605" s="19"/>
      <c r="N3605" s="35"/>
    </row>
    <row r="3606">
      <c r="A3606" s="1"/>
      <c r="B3606" s="166"/>
      <c r="C3606" s="1"/>
      <c r="D3606" s="1"/>
      <c r="E3606" s="35"/>
      <c r="F3606" s="1"/>
      <c r="G3606" s="1"/>
      <c r="H3606" s="1"/>
      <c r="I3606" s="35"/>
      <c r="J3606" s="34"/>
      <c r="K3606" s="19"/>
      <c r="L3606" s="19"/>
      <c r="N3606" s="35"/>
    </row>
    <row r="3607">
      <c r="A3607" s="1"/>
      <c r="B3607" s="166"/>
      <c r="C3607" s="1"/>
      <c r="D3607" s="1"/>
      <c r="E3607" s="35"/>
      <c r="F3607" s="1"/>
      <c r="G3607" s="1"/>
      <c r="H3607" s="1"/>
      <c r="I3607" s="35"/>
      <c r="J3607" s="34"/>
      <c r="K3607" s="19"/>
      <c r="L3607" s="19"/>
      <c r="N3607" s="35"/>
    </row>
    <row r="3608">
      <c r="A3608" s="1"/>
      <c r="B3608" s="166"/>
      <c r="C3608" s="1"/>
      <c r="D3608" s="1"/>
      <c r="E3608" s="35"/>
      <c r="F3608" s="1"/>
      <c r="G3608" s="1"/>
      <c r="H3608" s="1"/>
      <c r="I3608" s="35"/>
      <c r="J3608" s="34"/>
      <c r="K3608" s="19"/>
      <c r="L3608" s="19"/>
      <c r="N3608" s="35"/>
    </row>
    <row r="3609">
      <c r="A3609" s="1"/>
      <c r="B3609" s="166"/>
      <c r="C3609" s="1"/>
      <c r="D3609" s="1"/>
      <c r="E3609" s="35"/>
      <c r="F3609" s="1"/>
      <c r="G3609" s="1"/>
      <c r="H3609" s="1"/>
      <c r="I3609" s="35"/>
      <c r="J3609" s="34"/>
      <c r="K3609" s="19"/>
      <c r="L3609" s="19"/>
      <c r="N3609" s="35"/>
    </row>
    <row r="3610">
      <c r="A3610" s="1"/>
      <c r="B3610" s="166"/>
      <c r="C3610" s="1"/>
      <c r="D3610" s="1"/>
      <c r="E3610" s="35"/>
      <c r="F3610" s="1"/>
      <c r="G3610" s="1"/>
      <c r="H3610" s="1"/>
      <c r="I3610" s="35"/>
      <c r="J3610" s="34"/>
      <c r="K3610" s="19"/>
      <c r="L3610" s="19"/>
      <c r="N3610" s="35"/>
    </row>
    <row r="3611">
      <c r="A3611" s="1"/>
      <c r="B3611" s="166"/>
      <c r="C3611" s="1"/>
      <c r="D3611" s="1"/>
      <c r="E3611" s="35"/>
      <c r="F3611" s="1"/>
      <c r="G3611" s="1"/>
      <c r="H3611" s="1"/>
      <c r="I3611" s="35"/>
      <c r="J3611" s="34"/>
      <c r="K3611" s="19"/>
      <c r="L3611" s="19"/>
      <c r="N3611" s="35"/>
    </row>
    <row r="3612">
      <c r="A3612" s="1"/>
      <c r="B3612" s="166"/>
      <c r="C3612" s="1"/>
      <c r="D3612" s="1"/>
      <c r="E3612" s="35"/>
      <c r="F3612" s="1"/>
      <c r="G3612" s="1"/>
      <c r="H3612" s="1"/>
      <c r="I3612" s="35"/>
      <c r="J3612" s="34"/>
      <c r="K3612" s="19"/>
      <c r="L3612" s="19"/>
      <c r="N3612" s="35"/>
    </row>
    <row r="3613">
      <c r="A3613" s="1"/>
      <c r="B3613" s="166"/>
      <c r="C3613" s="1"/>
      <c r="D3613" s="1"/>
      <c r="E3613" s="35"/>
      <c r="F3613" s="1"/>
      <c r="G3613" s="1"/>
      <c r="H3613" s="1"/>
      <c r="I3613" s="35"/>
      <c r="J3613" s="34"/>
      <c r="K3613" s="19"/>
      <c r="L3613" s="19"/>
      <c r="N3613" s="35"/>
    </row>
    <row r="3614">
      <c r="A3614" s="1"/>
      <c r="B3614" s="166"/>
      <c r="C3614" s="1"/>
      <c r="D3614" s="1"/>
      <c r="E3614" s="35"/>
      <c r="F3614" s="1"/>
      <c r="G3614" s="1"/>
      <c r="H3614" s="1"/>
      <c r="I3614" s="35"/>
      <c r="J3614" s="34"/>
      <c r="K3614" s="19"/>
      <c r="L3614" s="19"/>
      <c r="N3614" s="35"/>
    </row>
    <row r="3615">
      <c r="A3615" s="1"/>
      <c r="B3615" s="166"/>
      <c r="C3615" s="1"/>
      <c r="D3615" s="1"/>
      <c r="E3615" s="35"/>
      <c r="F3615" s="1"/>
      <c r="G3615" s="1"/>
      <c r="H3615" s="1"/>
      <c r="I3615" s="35"/>
      <c r="J3615" s="34"/>
      <c r="K3615" s="19"/>
      <c r="L3615" s="19"/>
      <c r="N3615" s="35"/>
    </row>
    <row r="3616">
      <c r="A3616" s="1"/>
      <c r="B3616" s="166"/>
      <c r="C3616" s="1"/>
      <c r="D3616" s="1"/>
      <c r="E3616" s="35"/>
      <c r="F3616" s="1"/>
      <c r="G3616" s="1"/>
      <c r="H3616" s="1"/>
      <c r="I3616" s="35"/>
      <c r="J3616" s="34"/>
      <c r="K3616" s="19"/>
      <c r="L3616" s="19"/>
      <c r="N3616" s="35"/>
    </row>
    <row r="3617">
      <c r="A3617" s="1"/>
      <c r="B3617" s="166"/>
      <c r="C3617" s="1"/>
      <c r="D3617" s="1"/>
      <c r="E3617" s="35"/>
      <c r="F3617" s="1"/>
      <c r="G3617" s="1"/>
      <c r="H3617" s="1"/>
      <c r="I3617" s="35"/>
      <c r="J3617" s="34"/>
      <c r="K3617" s="19"/>
      <c r="L3617" s="19"/>
      <c r="N3617" s="35"/>
    </row>
    <row r="3618">
      <c r="A3618" s="1"/>
      <c r="B3618" s="166"/>
      <c r="C3618" s="1"/>
      <c r="D3618" s="1"/>
      <c r="E3618" s="35"/>
      <c r="F3618" s="1"/>
      <c r="G3618" s="1"/>
      <c r="H3618" s="1"/>
      <c r="I3618" s="35"/>
      <c r="J3618" s="34"/>
      <c r="K3618" s="19"/>
      <c r="L3618" s="19"/>
      <c r="N3618" s="35"/>
    </row>
    <row r="3619">
      <c r="A3619" s="1"/>
      <c r="B3619" s="166"/>
      <c r="C3619" s="1"/>
      <c r="D3619" s="1"/>
      <c r="E3619" s="35"/>
      <c r="F3619" s="1"/>
      <c r="G3619" s="1"/>
      <c r="H3619" s="1"/>
      <c r="I3619" s="35"/>
      <c r="J3619" s="34"/>
      <c r="K3619" s="19"/>
      <c r="L3619" s="19"/>
      <c r="N3619" s="35"/>
    </row>
    <row r="3620">
      <c r="A3620" s="1"/>
      <c r="B3620" s="166"/>
      <c r="C3620" s="1"/>
      <c r="D3620" s="1"/>
      <c r="E3620" s="35"/>
      <c r="F3620" s="1"/>
      <c r="G3620" s="1"/>
      <c r="H3620" s="1"/>
      <c r="I3620" s="35"/>
      <c r="J3620" s="34"/>
      <c r="K3620" s="19"/>
      <c r="L3620" s="19"/>
      <c r="N3620" s="35"/>
    </row>
    <row r="3621">
      <c r="A3621" s="1"/>
      <c r="B3621" s="166"/>
      <c r="C3621" s="1"/>
      <c r="D3621" s="1"/>
      <c r="E3621" s="35"/>
      <c r="F3621" s="1"/>
      <c r="G3621" s="1"/>
      <c r="H3621" s="1"/>
      <c r="I3621" s="35"/>
      <c r="J3621" s="34"/>
      <c r="K3621" s="19"/>
      <c r="L3621" s="19"/>
      <c r="N3621" s="35"/>
    </row>
    <row r="3622">
      <c r="A3622" s="1"/>
      <c r="B3622" s="166"/>
      <c r="C3622" s="1"/>
      <c r="D3622" s="1"/>
      <c r="E3622" s="35"/>
      <c r="F3622" s="1"/>
      <c r="G3622" s="1"/>
      <c r="H3622" s="1"/>
      <c r="I3622" s="35"/>
      <c r="J3622" s="34"/>
      <c r="K3622" s="19"/>
      <c r="L3622" s="19"/>
      <c r="N3622" s="35"/>
    </row>
    <row r="3623">
      <c r="A3623" s="1"/>
      <c r="B3623" s="166"/>
      <c r="C3623" s="1"/>
      <c r="D3623" s="1"/>
      <c r="E3623" s="35"/>
      <c r="F3623" s="1"/>
      <c r="G3623" s="1"/>
      <c r="H3623" s="1"/>
      <c r="I3623" s="35"/>
      <c r="J3623" s="34"/>
      <c r="K3623" s="19"/>
      <c r="L3623" s="19"/>
      <c r="N3623" s="35"/>
    </row>
    <row r="3624">
      <c r="A3624" s="1"/>
      <c r="B3624" s="166"/>
      <c r="C3624" s="1"/>
      <c r="D3624" s="1"/>
      <c r="E3624" s="35"/>
      <c r="F3624" s="1"/>
      <c r="G3624" s="1"/>
      <c r="H3624" s="1"/>
      <c r="I3624" s="35"/>
      <c r="J3624" s="34"/>
      <c r="K3624" s="19"/>
      <c r="L3624" s="19"/>
      <c r="N3624" s="35"/>
    </row>
    <row r="3625">
      <c r="A3625" s="1"/>
      <c r="B3625" s="166"/>
      <c r="C3625" s="1"/>
      <c r="D3625" s="1"/>
      <c r="E3625" s="35"/>
      <c r="F3625" s="1"/>
      <c r="G3625" s="1"/>
      <c r="H3625" s="1"/>
      <c r="I3625" s="35"/>
      <c r="J3625" s="34"/>
      <c r="K3625" s="19"/>
      <c r="L3625" s="19"/>
      <c r="N3625" s="35"/>
    </row>
    <row r="3626">
      <c r="A3626" s="1"/>
      <c r="B3626" s="166"/>
      <c r="C3626" s="1"/>
      <c r="D3626" s="1"/>
      <c r="E3626" s="35"/>
      <c r="F3626" s="1"/>
      <c r="G3626" s="1"/>
      <c r="H3626" s="1"/>
      <c r="I3626" s="35"/>
      <c r="J3626" s="34"/>
      <c r="K3626" s="19"/>
      <c r="L3626" s="19"/>
      <c r="N3626" s="35"/>
    </row>
    <row r="3627">
      <c r="A3627" s="1"/>
      <c r="B3627" s="166"/>
      <c r="C3627" s="1"/>
      <c r="D3627" s="1"/>
      <c r="E3627" s="35"/>
      <c r="F3627" s="1"/>
      <c r="G3627" s="1"/>
      <c r="H3627" s="1"/>
      <c r="I3627" s="35"/>
      <c r="J3627" s="34"/>
      <c r="K3627" s="19"/>
      <c r="L3627" s="19"/>
      <c r="N3627" s="35"/>
    </row>
    <row r="3628">
      <c r="A3628" s="1"/>
      <c r="B3628" s="166"/>
      <c r="C3628" s="1"/>
      <c r="D3628" s="1"/>
      <c r="E3628" s="35"/>
      <c r="F3628" s="1"/>
      <c r="G3628" s="1"/>
      <c r="H3628" s="1"/>
      <c r="I3628" s="35"/>
      <c r="J3628" s="34"/>
      <c r="K3628" s="19"/>
      <c r="L3628" s="19"/>
      <c r="N3628" s="35"/>
    </row>
    <row r="3629">
      <c r="A3629" s="1"/>
      <c r="B3629" s="166"/>
      <c r="C3629" s="1"/>
      <c r="D3629" s="1"/>
      <c r="E3629" s="35"/>
      <c r="F3629" s="1"/>
      <c r="G3629" s="1"/>
      <c r="H3629" s="1"/>
      <c r="I3629" s="35"/>
      <c r="J3629" s="34"/>
      <c r="K3629" s="19"/>
      <c r="L3629" s="19"/>
      <c r="N3629" s="35"/>
    </row>
    <row r="3630">
      <c r="A3630" s="1"/>
      <c r="B3630" s="166"/>
      <c r="C3630" s="1"/>
      <c r="D3630" s="1"/>
      <c r="E3630" s="35"/>
      <c r="F3630" s="1"/>
      <c r="G3630" s="1"/>
      <c r="H3630" s="1"/>
      <c r="I3630" s="35"/>
      <c r="J3630" s="34"/>
      <c r="K3630" s="19"/>
      <c r="L3630" s="19"/>
      <c r="N3630" s="35"/>
    </row>
    <row r="3631">
      <c r="A3631" s="1"/>
      <c r="B3631" s="166"/>
      <c r="C3631" s="1"/>
      <c r="D3631" s="1"/>
      <c r="E3631" s="35"/>
      <c r="F3631" s="1"/>
      <c r="G3631" s="1"/>
      <c r="H3631" s="1"/>
      <c r="I3631" s="35"/>
      <c r="J3631" s="34"/>
      <c r="K3631" s="19"/>
      <c r="L3631" s="19"/>
      <c r="N3631" s="35"/>
    </row>
    <row r="3632">
      <c r="A3632" s="1"/>
      <c r="B3632" s="166"/>
      <c r="C3632" s="1"/>
      <c r="D3632" s="1"/>
      <c r="E3632" s="35"/>
      <c r="F3632" s="1"/>
      <c r="G3632" s="1"/>
      <c r="H3632" s="1"/>
      <c r="I3632" s="35"/>
      <c r="J3632" s="34"/>
      <c r="K3632" s="19"/>
      <c r="L3632" s="19"/>
      <c r="N3632" s="35"/>
    </row>
    <row r="3633">
      <c r="A3633" s="1"/>
      <c r="B3633" s="166"/>
      <c r="C3633" s="1"/>
      <c r="D3633" s="1"/>
      <c r="E3633" s="35"/>
      <c r="F3633" s="1"/>
      <c r="G3633" s="1"/>
      <c r="H3633" s="1"/>
      <c r="I3633" s="35"/>
      <c r="J3633" s="34"/>
      <c r="K3633" s="19"/>
      <c r="L3633" s="19"/>
      <c r="N3633" s="35"/>
    </row>
    <row r="3634">
      <c r="A3634" s="1"/>
      <c r="B3634" s="166"/>
      <c r="C3634" s="1"/>
      <c r="D3634" s="1"/>
      <c r="E3634" s="35"/>
      <c r="F3634" s="1"/>
      <c r="G3634" s="1"/>
      <c r="H3634" s="1"/>
      <c r="I3634" s="35"/>
      <c r="J3634" s="34"/>
      <c r="K3634" s="19"/>
      <c r="L3634" s="19"/>
      <c r="N3634" s="35"/>
    </row>
    <row r="3635">
      <c r="A3635" s="1"/>
      <c r="B3635" s="166"/>
      <c r="C3635" s="1"/>
      <c r="D3635" s="1"/>
      <c r="E3635" s="35"/>
      <c r="F3635" s="1"/>
      <c r="G3635" s="1"/>
      <c r="H3635" s="1"/>
      <c r="I3635" s="35"/>
      <c r="J3635" s="34"/>
      <c r="K3635" s="19"/>
      <c r="L3635" s="19"/>
      <c r="N3635" s="35"/>
    </row>
    <row r="3636">
      <c r="A3636" s="1"/>
      <c r="B3636" s="166"/>
      <c r="C3636" s="1"/>
      <c r="D3636" s="1"/>
      <c r="E3636" s="35"/>
      <c r="F3636" s="1"/>
      <c r="G3636" s="1"/>
      <c r="H3636" s="1"/>
      <c r="I3636" s="35"/>
      <c r="J3636" s="34"/>
      <c r="K3636" s="19"/>
      <c r="L3636" s="19"/>
      <c r="N3636" s="35"/>
    </row>
    <row r="3637">
      <c r="A3637" s="1"/>
      <c r="B3637" s="166"/>
      <c r="C3637" s="1"/>
      <c r="D3637" s="1"/>
      <c r="E3637" s="35"/>
      <c r="F3637" s="1"/>
      <c r="G3637" s="1"/>
      <c r="H3637" s="1"/>
      <c r="I3637" s="35"/>
      <c r="J3637" s="34"/>
      <c r="K3637" s="19"/>
      <c r="L3637" s="19"/>
      <c r="N3637" s="35"/>
    </row>
    <row r="3638">
      <c r="A3638" s="1"/>
      <c r="B3638" s="166"/>
      <c r="C3638" s="1"/>
      <c r="D3638" s="1"/>
      <c r="E3638" s="35"/>
      <c r="F3638" s="1"/>
      <c r="G3638" s="1"/>
      <c r="H3638" s="1"/>
      <c r="I3638" s="35"/>
      <c r="J3638" s="34"/>
      <c r="K3638" s="19"/>
      <c r="L3638" s="19"/>
      <c r="N3638" s="35"/>
    </row>
    <row r="3639">
      <c r="A3639" s="1"/>
      <c r="B3639" s="166"/>
      <c r="C3639" s="1"/>
      <c r="D3639" s="1"/>
      <c r="E3639" s="35"/>
      <c r="F3639" s="1"/>
      <c r="G3639" s="1"/>
      <c r="H3639" s="1"/>
      <c r="I3639" s="35"/>
      <c r="J3639" s="34"/>
      <c r="K3639" s="19"/>
      <c r="L3639" s="19"/>
      <c r="N3639" s="35"/>
    </row>
    <row r="3640">
      <c r="A3640" s="1"/>
      <c r="B3640" s="166"/>
      <c r="C3640" s="1"/>
      <c r="D3640" s="1"/>
      <c r="E3640" s="35"/>
      <c r="F3640" s="1"/>
      <c r="G3640" s="1"/>
      <c r="H3640" s="1"/>
      <c r="I3640" s="35"/>
      <c r="J3640" s="34"/>
      <c r="K3640" s="19"/>
      <c r="L3640" s="19"/>
      <c r="N3640" s="35"/>
    </row>
    <row r="3641">
      <c r="A3641" s="1"/>
      <c r="B3641" s="166"/>
      <c r="C3641" s="1"/>
      <c r="D3641" s="1"/>
      <c r="E3641" s="35"/>
      <c r="F3641" s="1"/>
      <c r="G3641" s="1"/>
      <c r="H3641" s="1"/>
      <c r="I3641" s="35"/>
      <c r="J3641" s="34"/>
      <c r="K3641" s="19"/>
      <c r="L3641" s="19"/>
      <c r="N3641" s="35"/>
    </row>
    <row r="3642">
      <c r="A3642" s="1"/>
      <c r="B3642" s="166"/>
      <c r="C3642" s="1"/>
      <c r="D3642" s="1"/>
      <c r="E3642" s="35"/>
      <c r="F3642" s="1"/>
      <c r="G3642" s="1"/>
      <c r="H3642" s="1"/>
      <c r="I3642" s="35"/>
      <c r="J3642" s="34"/>
      <c r="K3642" s="19"/>
      <c r="L3642" s="19"/>
      <c r="N3642" s="35"/>
    </row>
    <row r="3643">
      <c r="A3643" s="1"/>
      <c r="B3643" s="166"/>
      <c r="C3643" s="1"/>
      <c r="D3643" s="1"/>
      <c r="E3643" s="35"/>
      <c r="F3643" s="1"/>
      <c r="G3643" s="1"/>
      <c r="H3643" s="1"/>
      <c r="I3643" s="35"/>
      <c r="J3643" s="34"/>
      <c r="K3643" s="19"/>
      <c r="L3643" s="19"/>
      <c r="N3643" s="35"/>
    </row>
    <row r="3644">
      <c r="A3644" s="1"/>
      <c r="B3644" s="166"/>
      <c r="C3644" s="1"/>
      <c r="D3644" s="1"/>
      <c r="E3644" s="35"/>
      <c r="F3644" s="1"/>
      <c r="G3644" s="1"/>
      <c r="H3644" s="1"/>
      <c r="I3644" s="35"/>
      <c r="J3644" s="34"/>
      <c r="K3644" s="19"/>
      <c r="L3644" s="19"/>
      <c r="N3644" s="35"/>
    </row>
    <row r="3645">
      <c r="A3645" s="1"/>
      <c r="B3645" s="166"/>
      <c r="C3645" s="1"/>
      <c r="D3645" s="1"/>
      <c r="E3645" s="35"/>
      <c r="F3645" s="1"/>
      <c r="G3645" s="1"/>
      <c r="H3645" s="1"/>
      <c r="I3645" s="35"/>
      <c r="J3645" s="34"/>
      <c r="K3645" s="19"/>
      <c r="L3645" s="19"/>
      <c r="N3645" s="35"/>
    </row>
    <row r="3646">
      <c r="A3646" s="1"/>
      <c r="B3646" s="166"/>
      <c r="C3646" s="1"/>
      <c r="D3646" s="1"/>
      <c r="E3646" s="35"/>
      <c r="F3646" s="1"/>
      <c r="G3646" s="1"/>
      <c r="H3646" s="1"/>
      <c r="I3646" s="35"/>
      <c r="J3646" s="34"/>
      <c r="K3646" s="19"/>
      <c r="L3646" s="19"/>
      <c r="N3646" s="35"/>
    </row>
    <row r="3647">
      <c r="A3647" s="1"/>
      <c r="B3647" s="166"/>
      <c r="C3647" s="1"/>
      <c r="D3647" s="1"/>
      <c r="E3647" s="35"/>
      <c r="F3647" s="1"/>
      <c r="G3647" s="1"/>
      <c r="H3647" s="1"/>
      <c r="I3647" s="35"/>
      <c r="J3647" s="34"/>
      <c r="K3647" s="19"/>
      <c r="L3647" s="19"/>
      <c r="N3647" s="35"/>
    </row>
    <row r="3648">
      <c r="A3648" s="1"/>
      <c r="B3648" s="166"/>
      <c r="C3648" s="1"/>
      <c r="D3648" s="1"/>
      <c r="E3648" s="35"/>
      <c r="F3648" s="1"/>
      <c r="G3648" s="1"/>
      <c r="H3648" s="1"/>
      <c r="I3648" s="35"/>
      <c r="J3648" s="34"/>
      <c r="K3648" s="19"/>
      <c r="L3648" s="19"/>
      <c r="N3648" s="35"/>
    </row>
    <row r="3649">
      <c r="A3649" s="1"/>
      <c r="B3649" s="166"/>
      <c r="C3649" s="1"/>
      <c r="D3649" s="1"/>
      <c r="E3649" s="35"/>
      <c r="F3649" s="1"/>
      <c r="G3649" s="1"/>
      <c r="H3649" s="1"/>
      <c r="I3649" s="35"/>
      <c r="J3649" s="34"/>
      <c r="K3649" s="19"/>
      <c r="L3649" s="19"/>
      <c r="N3649" s="35"/>
    </row>
    <row r="3650">
      <c r="A3650" s="1"/>
      <c r="B3650" s="166"/>
      <c r="C3650" s="1"/>
      <c r="D3650" s="1"/>
      <c r="E3650" s="35"/>
      <c r="F3650" s="1"/>
      <c r="G3650" s="1"/>
      <c r="H3650" s="1"/>
      <c r="I3650" s="35"/>
      <c r="J3650" s="34"/>
      <c r="K3650" s="19"/>
      <c r="L3650" s="19"/>
      <c r="N3650" s="35"/>
    </row>
    <row r="3651">
      <c r="A3651" s="1"/>
      <c r="B3651" s="166"/>
      <c r="C3651" s="1"/>
      <c r="D3651" s="1"/>
      <c r="E3651" s="35"/>
      <c r="F3651" s="1"/>
      <c r="G3651" s="1"/>
      <c r="H3651" s="1"/>
      <c r="I3651" s="35"/>
      <c r="J3651" s="34"/>
      <c r="K3651" s="19"/>
      <c r="L3651" s="19"/>
      <c r="N3651" s="35"/>
    </row>
    <row r="3652">
      <c r="A3652" s="1"/>
      <c r="B3652" s="166"/>
      <c r="C3652" s="1"/>
      <c r="D3652" s="1"/>
      <c r="E3652" s="35"/>
      <c r="F3652" s="1"/>
      <c r="G3652" s="1"/>
      <c r="H3652" s="1"/>
      <c r="I3652" s="35"/>
      <c r="J3652" s="34"/>
      <c r="K3652" s="19"/>
      <c r="L3652" s="19"/>
      <c r="N3652" s="35"/>
    </row>
    <row r="3653">
      <c r="A3653" s="1"/>
      <c r="B3653" s="166"/>
      <c r="C3653" s="1"/>
      <c r="D3653" s="1"/>
      <c r="E3653" s="35"/>
      <c r="F3653" s="1"/>
      <c r="G3653" s="1"/>
      <c r="H3653" s="1"/>
      <c r="I3653" s="35"/>
      <c r="J3653" s="34"/>
      <c r="K3653" s="19"/>
      <c r="L3653" s="19"/>
      <c r="N3653" s="35"/>
    </row>
    <row r="3654">
      <c r="A3654" s="1"/>
      <c r="B3654" s="166"/>
      <c r="C3654" s="1"/>
      <c r="D3654" s="1"/>
      <c r="E3654" s="35"/>
      <c r="F3654" s="1"/>
      <c r="G3654" s="1"/>
      <c r="H3654" s="1"/>
      <c r="I3654" s="35"/>
      <c r="J3654" s="34"/>
      <c r="K3654" s="19"/>
      <c r="L3654" s="19"/>
      <c r="N3654" s="35"/>
    </row>
    <row r="3655">
      <c r="A3655" s="1"/>
      <c r="B3655" s="166"/>
      <c r="C3655" s="1"/>
      <c r="D3655" s="1"/>
      <c r="E3655" s="35"/>
      <c r="F3655" s="1"/>
      <c r="G3655" s="1"/>
      <c r="H3655" s="1"/>
      <c r="I3655" s="35"/>
      <c r="J3655" s="34"/>
      <c r="K3655" s="19"/>
      <c r="L3655" s="19"/>
      <c r="N3655" s="35"/>
    </row>
    <row r="3656">
      <c r="A3656" s="1"/>
      <c r="B3656" s="166"/>
      <c r="C3656" s="1"/>
      <c r="D3656" s="1"/>
      <c r="E3656" s="35"/>
      <c r="F3656" s="1"/>
      <c r="G3656" s="1"/>
      <c r="H3656" s="1"/>
      <c r="I3656" s="35"/>
      <c r="J3656" s="34"/>
      <c r="K3656" s="19"/>
      <c r="L3656" s="19"/>
      <c r="N3656" s="35"/>
    </row>
    <row r="3657">
      <c r="A3657" s="1"/>
      <c r="B3657" s="166"/>
      <c r="C3657" s="1"/>
      <c r="D3657" s="1"/>
      <c r="E3657" s="35"/>
      <c r="F3657" s="1"/>
      <c r="G3657" s="1"/>
      <c r="H3657" s="1"/>
      <c r="I3657" s="35"/>
      <c r="J3657" s="34"/>
      <c r="K3657" s="19"/>
      <c r="L3657" s="19"/>
      <c r="N3657" s="35"/>
    </row>
    <row r="3658">
      <c r="A3658" s="1"/>
      <c r="B3658" s="166"/>
      <c r="C3658" s="1"/>
      <c r="D3658" s="1"/>
      <c r="E3658" s="35"/>
      <c r="F3658" s="1"/>
      <c r="G3658" s="1"/>
      <c r="H3658" s="1"/>
      <c r="I3658" s="35"/>
      <c r="J3658" s="34"/>
      <c r="K3658" s="19"/>
      <c r="L3658" s="19"/>
      <c r="N3658" s="35"/>
    </row>
    <row r="3659">
      <c r="A3659" s="1"/>
      <c r="B3659" s="166"/>
      <c r="C3659" s="1"/>
      <c r="D3659" s="1"/>
      <c r="E3659" s="35"/>
      <c r="F3659" s="1"/>
      <c r="G3659" s="1"/>
      <c r="H3659" s="1"/>
      <c r="I3659" s="35"/>
      <c r="J3659" s="34"/>
      <c r="K3659" s="19"/>
      <c r="L3659" s="19"/>
      <c r="N3659" s="35"/>
    </row>
    <row r="3660">
      <c r="A3660" s="1"/>
      <c r="B3660" s="166"/>
      <c r="C3660" s="1"/>
      <c r="D3660" s="1"/>
      <c r="E3660" s="35"/>
      <c r="F3660" s="1"/>
      <c r="G3660" s="1"/>
      <c r="H3660" s="1"/>
      <c r="I3660" s="35"/>
      <c r="J3660" s="34"/>
      <c r="K3660" s="19"/>
      <c r="L3660" s="19"/>
      <c r="N3660" s="35"/>
    </row>
    <row r="3661">
      <c r="A3661" s="1"/>
      <c r="B3661" s="166"/>
      <c r="C3661" s="1"/>
      <c r="D3661" s="1"/>
      <c r="E3661" s="35"/>
      <c r="F3661" s="1"/>
      <c r="G3661" s="1"/>
      <c r="H3661" s="1"/>
      <c r="I3661" s="35"/>
      <c r="J3661" s="34"/>
      <c r="K3661" s="19"/>
      <c r="L3661" s="19"/>
      <c r="N3661" s="35"/>
    </row>
    <row r="3662">
      <c r="A3662" s="1"/>
      <c r="B3662" s="166"/>
      <c r="C3662" s="1"/>
      <c r="D3662" s="1"/>
      <c r="E3662" s="35"/>
      <c r="F3662" s="1"/>
      <c r="G3662" s="1"/>
      <c r="H3662" s="1"/>
      <c r="I3662" s="35"/>
      <c r="J3662" s="34"/>
      <c r="K3662" s="19"/>
      <c r="L3662" s="19"/>
      <c r="N3662" s="35"/>
    </row>
    <row r="3663">
      <c r="A3663" s="1"/>
      <c r="B3663" s="166"/>
      <c r="C3663" s="1"/>
      <c r="D3663" s="1"/>
      <c r="E3663" s="35"/>
      <c r="F3663" s="1"/>
      <c r="G3663" s="1"/>
      <c r="H3663" s="1"/>
      <c r="I3663" s="35"/>
      <c r="J3663" s="34"/>
      <c r="K3663" s="19"/>
      <c r="L3663" s="19"/>
      <c r="N3663" s="35"/>
    </row>
    <row r="3664">
      <c r="A3664" s="1"/>
      <c r="B3664" s="166"/>
      <c r="C3664" s="1"/>
      <c r="D3664" s="1"/>
      <c r="E3664" s="35"/>
      <c r="F3664" s="1"/>
      <c r="G3664" s="1"/>
      <c r="H3664" s="1"/>
      <c r="I3664" s="35"/>
      <c r="J3664" s="34"/>
      <c r="K3664" s="19"/>
      <c r="L3664" s="19"/>
      <c r="N3664" s="35"/>
    </row>
    <row r="3665">
      <c r="A3665" s="1"/>
      <c r="B3665" s="166"/>
      <c r="C3665" s="1"/>
      <c r="D3665" s="1"/>
      <c r="E3665" s="35"/>
      <c r="F3665" s="1"/>
      <c r="G3665" s="1"/>
      <c r="H3665" s="1"/>
      <c r="I3665" s="35"/>
      <c r="J3665" s="34"/>
      <c r="K3665" s="19"/>
      <c r="L3665" s="19"/>
      <c r="N3665" s="35"/>
    </row>
    <row r="3666">
      <c r="A3666" s="1"/>
      <c r="B3666" s="166"/>
      <c r="C3666" s="1"/>
      <c r="D3666" s="1"/>
      <c r="E3666" s="35"/>
      <c r="F3666" s="1"/>
      <c r="G3666" s="1"/>
      <c r="H3666" s="1"/>
      <c r="I3666" s="35"/>
      <c r="J3666" s="34"/>
      <c r="K3666" s="19"/>
      <c r="L3666" s="19"/>
      <c r="N3666" s="35"/>
    </row>
    <row r="3667">
      <c r="A3667" s="1"/>
      <c r="B3667" s="166"/>
      <c r="C3667" s="1"/>
      <c r="D3667" s="1"/>
      <c r="E3667" s="35"/>
      <c r="F3667" s="1"/>
      <c r="G3667" s="1"/>
      <c r="H3667" s="1"/>
      <c r="I3667" s="35"/>
      <c r="J3667" s="34"/>
      <c r="K3667" s="19"/>
      <c r="L3667" s="19"/>
      <c r="N3667" s="35"/>
    </row>
    <row r="3668">
      <c r="A3668" s="1"/>
      <c r="B3668" s="166"/>
      <c r="C3668" s="1"/>
      <c r="D3668" s="1"/>
      <c r="E3668" s="35"/>
      <c r="F3668" s="1"/>
      <c r="G3668" s="1"/>
      <c r="H3668" s="1"/>
      <c r="I3668" s="35"/>
      <c r="J3668" s="34"/>
      <c r="K3668" s="19"/>
      <c r="L3668" s="19"/>
      <c r="N3668" s="35"/>
    </row>
    <row r="3669">
      <c r="A3669" s="1"/>
      <c r="B3669" s="166"/>
      <c r="C3669" s="1"/>
      <c r="D3669" s="1"/>
      <c r="E3669" s="35"/>
      <c r="F3669" s="1"/>
      <c r="G3669" s="1"/>
      <c r="H3669" s="1"/>
      <c r="I3669" s="35"/>
      <c r="J3669" s="34"/>
      <c r="K3669" s="19"/>
      <c r="L3669" s="19"/>
      <c r="N3669" s="35"/>
    </row>
    <row r="3670">
      <c r="A3670" s="1"/>
      <c r="B3670" s="166"/>
      <c r="C3670" s="1"/>
      <c r="D3670" s="1"/>
      <c r="E3670" s="35"/>
      <c r="F3670" s="1"/>
      <c r="G3670" s="1"/>
      <c r="H3670" s="1"/>
      <c r="I3670" s="35"/>
      <c r="J3670" s="34"/>
      <c r="K3670" s="19"/>
      <c r="L3670" s="19"/>
      <c r="N3670" s="35"/>
    </row>
    <row r="3671">
      <c r="A3671" s="1"/>
      <c r="B3671" s="166"/>
      <c r="C3671" s="1"/>
      <c r="D3671" s="1"/>
      <c r="E3671" s="35"/>
      <c r="F3671" s="1"/>
      <c r="G3671" s="1"/>
      <c r="H3671" s="1"/>
      <c r="I3671" s="35"/>
      <c r="J3671" s="34"/>
      <c r="K3671" s="19"/>
      <c r="L3671" s="19"/>
      <c r="N3671" s="35"/>
    </row>
    <row r="3672">
      <c r="A3672" s="1"/>
      <c r="B3672" s="166"/>
      <c r="C3672" s="1"/>
      <c r="D3672" s="1"/>
      <c r="E3672" s="35"/>
      <c r="F3672" s="1"/>
      <c r="G3672" s="1"/>
      <c r="H3672" s="1"/>
      <c r="I3672" s="35"/>
      <c r="J3672" s="34"/>
      <c r="K3672" s="19"/>
      <c r="L3672" s="19"/>
      <c r="N3672" s="35"/>
    </row>
    <row r="3673">
      <c r="A3673" s="1"/>
      <c r="B3673" s="166"/>
      <c r="C3673" s="1"/>
      <c r="D3673" s="1"/>
      <c r="E3673" s="35"/>
      <c r="F3673" s="1"/>
      <c r="G3673" s="1"/>
      <c r="H3673" s="1"/>
      <c r="I3673" s="35"/>
      <c r="J3673" s="34"/>
      <c r="K3673" s="19"/>
      <c r="L3673" s="19"/>
      <c r="N3673" s="35"/>
    </row>
    <row r="3674">
      <c r="A3674" s="1"/>
      <c r="B3674" s="166"/>
      <c r="C3674" s="1"/>
      <c r="D3674" s="1"/>
      <c r="E3674" s="35"/>
      <c r="F3674" s="1"/>
      <c r="G3674" s="1"/>
      <c r="H3674" s="1"/>
      <c r="I3674" s="35"/>
      <c r="J3674" s="34"/>
      <c r="K3674" s="19"/>
      <c r="L3674" s="19"/>
      <c r="N3674" s="35"/>
    </row>
    <row r="3675">
      <c r="A3675" s="1"/>
      <c r="B3675" s="166"/>
      <c r="C3675" s="1"/>
      <c r="D3675" s="1"/>
      <c r="E3675" s="35"/>
      <c r="F3675" s="1"/>
      <c r="G3675" s="1"/>
      <c r="H3675" s="1"/>
      <c r="I3675" s="35"/>
      <c r="J3675" s="34"/>
      <c r="K3675" s="19"/>
      <c r="L3675" s="19"/>
      <c r="N3675" s="35"/>
    </row>
    <row r="3676">
      <c r="A3676" s="1"/>
      <c r="B3676" s="166"/>
      <c r="C3676" s="1"/>
      <c r="D3676" s="1"/>
      <c r="E3676" s="35"/>
      <c r="F3676" s="1"/>
      <c r="G3676" s="1"/>
      <c r="H3676" s="1"/>
      <c r="I3676" s="35"/>
      <c r="J3676" s="34"/>
      <c r="K3676" s="19"/>
      <c r="L3676" s="19"/>
      <c r="N3676" s="35"/>
    </row>
    <row r="3677">
      <c r="A3677" s="1"/>
      <c r="B3677" s="166"/>
      <c r="C3677" s="1"/>
      <c r="D3677" s="1"/>
      <c r="E3677" s="35"/>
      <c r="F3677" s="1"/>
      <c r="G3677" s="1"/>
      <c r="H3677" s="1"/>
      <c r="I3677" s="35"/>
      <c r="J3677" s="34"/>
      <c r="K3677" s="19"/>
      <c r="L3677" s="19"/>
      <c r="N3677" s="35"/>
    </row>
    <row r="3678">
      <c r="A3678" s="1"/>
      <c r="B3678" s="166"/>
      <c r="C3678" s="1"/>
      <c r="D3678" s="1"/>
      <c r="E3678" s="35"/>
      <c r="F3678" s="1"/>
      <c r="G3678" s="1"/>
      <c r="H3678" s="1"/>
      <c r="I3678" s="35"/>
      <c r="J3678" s="34"/>
      <c r="K3678" s="19"/>
      <c r="L3678" s="19"/>
      <c r="N3678" s="35"/>
    </row>
    <row r="3679">
      <c r="A3679" s="1"/>
      <c r="B3679" s="166"/>
      <c r="C3679" s="1"/>
      <c r="D3679" s="1"/>
      <c r="E3679" s="35"/>
      <c r="F3679" s="1"/>
      <c r="G3679" s="1"/>
      <c r="H3679" s="1"/>
      <c r="I3679" s="35"/>
      <c r="J3679" s="34"/>
      <c r="K3679" s="19"/>
      <c r="L3679" s="19"/>
      <c r="N3679" s="35"/>
    </row>
    <row r="3680">
      <c r="A3680" s="1"/>
      <c r="B3680" s="166"/>
      <c r="C3680" s="1"/>
      <c r="D3680" s="1"/>
      <c r="E3680" s="35"/>
      <c r="F3680" s="1"/>
      <c r="G3680" s="1"/>
      <c r="H3680" s="1"/>
      <c r="I3680" s="35"/>
      <c r="J3680" s="34"/>
      <c r="K3680" s="19"/>
      <c r="L3680" s="19"/>
      <c r="N3680" s="35"/>
    </row>
    <row r="3681">
      <c r="A3681" s="1"/>
      <c r="B3681" s="166"/>
      <c r="C3681" s="1"/>
      <c r="D3681" s="1"/>
      <c r="E3681" s="35"/>
      <c r="F3681" s="1"/>
      <c r="G3681" s="1"/>
      <c r="H3681" s="1"/>
      <c r="I3681" s="35"/>
      <c r="J3681" s="34"/>
      <c r="K3681" s="19"/>
      <c r="L3681" s="19"/>
      <c r="N3681" s="35"/>
    </row>
    <row r="3682">
      <c r="A3682" s="1"/>
      <c r="B3682" s="166"/>
      <c r="C3682" s="1"/>
      <c r="D3682" s="1"/>
      <c r="E3682" s="35"/>
      <c r="F3682" s="1"/>
      <c r="G3682" s="1"/>
      <c r="H3682" s="1"/>
      <c r="I3682" s="35"/>
      <c r="J3682" s="34"/>
      <c r="K3682" s="19"/>
      <c r="L3682" s="19"/>
      <c r="N3682" s="35"/>
    </row>
    <row r="3683">
      <c r="A3683" s="1"/>
      <c r="B3683" s="166"/>
      <c r="C3683" s="1"/>
      <c r="D3683" s="1"/>
      <c r="E3683" s="35"/>
      <c r="F3683" s="1"/>
      <c r="G3683" s="1"/>
      <c r="H3683" s="1"/>
      <c r="I3683" s="35"/>
      <c r="J3683" s="34"/>
      <c r="K3683" s="19"/>
      <c r="L3683" s="19"/>
      <c r="N3683" s="35"/>
    </row>
    <row r="3684">
      <c r="A3684" s="1"/>
      <c r="B3684" s="166"/>
      <c r="C3684" s="1"/>
      <c r="D3684" s="1"/>
      <c r="E3684" s="35"/>
      <c r="F3684" s="1"/>
      <c r="G3684" s="1"/>
      <c r="H3684" s="1"/>
      <c r="I3684" s="35"/>
      <c r="J3684" s="34"/>
      <c r="K3684" s="19"/>
      <c r="L3684" s="19"/>
      <c r="N3684" s="35"/>
    </row>
    <row r="3685">
      <c r="A3685" s="1"/>
      <c r="B3685" s="166"/>
      <c r="C3685" s="1"/>
      <c r="D3685" s="1"/>
      <c r="E3685" s="35"/>
      <c r="F3685" s="1"/>
      <c r="G3685" s="1"/>
      <c r="H3685" s="1"/>
      <c r="I3685" s="35"/>
      <c r="J3685" s="34"/>
      <c r="K3685" s="19"/>
      <c r="L3685" s="19"/>
      <c r="N3685" s="35"/>
    </row>
    <row r="3686">
      <c r="A3686" s="1"/>
      <c r="B3686" s="166"/>
      <c r="C3686" s="1"/>
      <c r="D3686" s="1"/>
      <c r="E3686" s="35"/>
      <c r="F3686" s="1"/>
      <c r="G3686" s="1"/>
      <c r="H3686" s="1"/>
      <c r="I3686" s="35"/>
      <c r="J3686" s="34"/>
      <c r="K3686" s="19"/>
      <c r="L3686" s="19"/>
      <c r="N3686" s="35"/>
    </row>
    <row r="3687">
      <c r="A3687" s="1"/>
      <c r="B3687" s="166"/>
      <c r="C3687" s="1"/>
      <c r="D3687" s="1"/>
      <c r="E3687" s="35"/>
      <c r="F3687" s="1"/>
      <c r="G3687" s="1"/>
      <c r="H3687" s="1"/>
      <c r="I3687" s="35"/>
      <c r="J3687" s="34"/>
      <c r="K3687" s="19"/>
      <c r="L3687" s="19"/>
      <c r="N3687" s="35"/>
    </row>
    <row r="3688">
      <c r="A3688" s="1"/>
      <c r="B3688" s="166"/>
      <c r="C3688" s="1"/>
      <c r="D3688" s="1"/>
      <c r="E3688" s="35"/>
      <c r="F3688" s="1"/>
      <c r="G3688" s="1"/>
      <c r="H3688" s="1"/>
      <c r="I3688" s="35"/>
      <c r="J3688" s="34"/>
      <c r="K3688" s="19"/>
      <c r="L3688" s="19"/>
      <c r="N3688" s="35"/>
    </row>
    <row r="3689">
      <c r="A3689" s="1"/>
      <c r="B3689" s="166"/>
      <c r="C3689" s="1"/>
      <c r="D3689" s="1"/>
      <c r="E3689" s="35"/>
      <c r="F3689" s="1"/>
      <c r="G3689" s="1"/>
      <c r="H3689" s="1"/>
      <c r="I3689" s="35"/>
      <c r="J3689" s="34"/>
      <c r="K3689" s="19"/>
      <c r="L3689" s="19"/>
      <c r="N3689" s="35"/>
    </row>
    <row r="3690">
      <c r="A3690" s="1"/>
      <c r="B3690" s="166"/>
      <c r="C3690" s="1"/>
      <c r="D3690" s="1"/>
      <c r="E3690" s="35"/>
      <c r="F3690" s="1"/>
      <c r="G3690" s="1"/>
      <c r="H3690" s="1"/>
      <c r="I3690" s="35"/>
      <c r="J3690" s="34"/>
      <c r="K3690" s="19"/>
      <c r="L3690" s="19"/>
      <c r="N3690" s="35"/>
    </row>
    <row r="3691">
      <c r="A3691" s="1"/>
      <c r="B3691" s="166"/>
      <c r="C3691" s="1"/>
      <c r="D3691" s="1"/>
      <c r="E3691" s="35"/>
      <c r="F3691" s="1"/>
      <c r="G3691" s="1"/>
      <c r="H3691" s="1"/>
      <c r="I3691" s="35"/>
      <c r="J3691" s="34"/>
      <c r="K3691" s="19"/>
      <c r="L3691" s="19"/>
      <c r="N3691" s="35"/>
    </row>
    <row r="3692">
      <c r="A3692" s="1"/>
      <c r="B3692" s="166"/>
      <c r="C3692" s="1"/>
      <c r="D3692" s="1"/>
      <c r="E3692" s="35"/>
      <c r="F3692" s="1"/>
      <c r="G3692" s="1"/>
      <c r="H3692" s="1"/>
      <c r="I3692" s="35"/>
      <c r="J3692" s="34"/>
      <c r="K3692" s="19"/>
      <c r="L3692" s="19"/>
      <c r="N3692" s="35"/>
    </row>
    <row r="3693">
      <c r="A3693" s="1"/>
      <c r="B3693" s="166"/>
      <c r="C3693" s="1"/>
      <c r="D3693" s="1"/>
      <c r="E3693" s="35"/>
      <c r="F3693" s="1"/>
      <c r="G3693" s="1"/>
      <c r="H3693" s="1"/>
      <c r="I3693" s="35"/>
      <c r="J3693" s="34"/>
      <c r="K3693" s="19"/>
      <c r="L3693" s="19"/>
      <c r="N3693" s="35"/>
    </row>
    <row r="3694">
      <c r="A3694" s="1"/>
      <c r="B3694" s="166"/>
      <c r="C3694" s="1"/>
      <c r="D3694" s="1"/>
      <c r="E3694" s="35"/>
      <c r="F3694" s="1"/>
      <c r="G3694" s="1"/>
      <c r="H3694" s="1"/>
      <c r="I3694" s="35"/>
      <c r="J3694" s="34"/>
      <c r="K3694" s="19"/>
      <c r="L3694" s="19"/>
      <c r="N3694" s="35"/>
    </row>
    <row r="3695">
      <c r="A3695" s="1"/>
      <c r="B3695" s="166"/>
      <c r="C3695" s="1"/>
      <c r="D3695" s="1"/>
      <c r="E3695" s="35"/>
      <c r="F3695" s="1"/>
      <c r="G3695" s="1"/>
      <c r="H3695" s="1"/>
      <c r="I3695" s="35"/>
      <c r="J3695" s="34"/>
      <c r="K3695" s="19"/>
      <c r="L3695" s="19"/>
      <c r="N3695" s="35"/>
    </row>
    <row r="3696">
      <c r="A3696" s="1"/>
      <c r="B3696" s="166"/>
      <c r="C3696" s="1"/>
      <c r="D3696" s="1"/>
      <c r="E3696" s="35"/>
      <c r="F3696" s="1"/>
      <c r="G3696" s="1"/>
      <c r="H3696" s="1"/>
      <c r="I3696" s="35"/>
      <c r="J3696" s="34"/>
      <c r="K3696" s="19"/>
      <c r="L3696" s="19"/>
      <c r="N3696" s="35"/>
    </row>
    <row r="3697">
      <c r="A3697" s="1"/>
      <c r="B3697" s="166"/>
      <c r="C3697" s="1"/>
      <c r="D3697" s="1"/>
      <c r="E3697" s="35"/>
      <c r="F3697" s="1"/>
      <c r="G3697" s="1"/>
      <c r="H3697" s="1"/>
      <c r="I3697" s="35"/>
      <c r="J3697" s="34"/>
      <c r="K3697" s="19"/>
      <c r="L3697" s="19"/>
      <c r="N3697" s="35"/>
    </row>
    <row r="3698">
      <c r="A3698" s="1"/>
      <c r="B3698" s="166"/>
      <c r="C3698" s="1"/>
      <c r="D3698" s="1"/>
      <c r="E3698" s="35"/>
      <c r="F3698" s="1"/>
      <c r="G3698" s="1"/>
      <c r="H3698" s="1"/>
      <c r="I3698" s="35"/>
      <c r="J3698" s="34"/>
      <c r="K3698" s="19"/>
      <c r="L3698" s="19"/>
      <c r="N3698" s="35"/>
    </row>
    <row r="3699">
      <c r="A3699" s="1"/>
      <c r="B3699" s="166"/>
      <c r="C3699" s="1"/>
      <c r="D3699" s="1"/>
      <c r="E3699" s="35"/>
      <c r="F3699" s="1"/>
      <c r="G3699" s="1"/>
      <c r="H3699" s="1"/>
      <c r="I3699" s="35"/>
      <c r="J3699" s="34"/>
      <c r="K3699" s="19"/>
      <c r="L3699" s="19"/>
      <c r="N3699" s="35"/>
    </row>
    <row r="3700">
      <c r="A3700" s="1"/>
      <c r="B3700" s="166"/>
      <c r="C3700" s="1"/>
      <c r="D3700" s="1"/>
      <c r="E3700" s="35"/>
      <c r="F3700" s="1"/>
      <c r="G3700" s="1"/>
      <c r="H3700" s="1"/>
      <c r="I3700" s="35"/>
      <c r="J3700" s="34"/>
      <c r="K3700" s="19"/>
      <c r="L3700" s="19"/>
      <c r="N3700" s="35"/>
    </row>
    <row r="3701">
      <c r="A3701" s="1"/>
      <c r="B3701" s="166"/>
      <c r="C3701" s="1"/>
      <c r="D3701" s="1"/>
      <c r="E3701" s="35"/>
      <c r="F3701" s="1"/>
      <c r="G3701" s="1"/>
      <c r="H3701" s="1"/>
      <c r="I3701" s="35"/>
      <c r="J3701" s="34"/>
      <c r="K3701" s="19"/>
      <c r="L3701" s="19"/>
      <c r="N3701" s="35"/>
    </row>
    <row r="3702">
      <c r="A3702" s="1"/>
      <c r="B3702" s="166"/>
      <c r="C3702" s="1"/>
      <c r="D3702" s="1"/>
      <c r="E3702" s="35"/>
      <c r="F3702" s="1"/>
      <c r="G3702" s="1"/>
      <c r="H3702" s="1"/>
      <c r="I3702" s="35"/>
      <c r="J3702" s="34"/>
      <c r="K3702" s="19"/>
      <c r="L3702" s="19"/>
      <c r="N3702" s="35"/>
    </row>
    <row r="3703">
      <c r="A3703" s="1"/>
      <c r="B3703" s="166"/>
      <c r="C3703" s="1"/>
      <c r="D3703" s="1"/>
      <c r="E3703" s="35"/>
      <c r="F3703" s="1"/>
      <c r="G3703" s="1"/>
      <c r="H3703" s="1"/>
      <c r="I3703" s="35"/>
      <c r="J3703" s="34"/>
      <c r="K3703" s="19"/>
      <c r="L3703" s="19"/>
      <c r="N3703" s="35"/>
    </row>
    <row r="3704">
      <c r="A3704" s="1"/>
      <c r="B3704" s="166"/>
      <c r="C3704" s="1"/>
      <c r="D3704" s="1"/>
      <c r="E3704" s="35"/>
      <c r="F3704" s="1"/>
      <c r="G3704" s="1"/>
      <c r="H3704" s="1"/>
      <c r="I3704" s="35"/>
      <c r="J3704" s="34"/>
      <c r="K3704" s="19"/>
      <c r="L3704" s="19"/>
      <c r="N3704" s="35"/>
    </row>
    <row r="3705">
      <c r="A3705" s="1"/>
      <c r="B3705" s="166"/>
      <c r="C3705" s="1"/>
      <c r="D3705" s="1"/>
      <c r="E3705" s="35"/>
      <c r="F3705" s="1"/>
      <c r="G3705" s="1"/>
      <c r="H3705" s="1"/>
      <c r="I3705" s="35"/>
      <c r="J3705" s="34"/>
      <c r="K3705" s="19"/>
      <c r="L3705" s="19"/>
      <c r="N3705" s="35"/>
    </row>
    <row r="3706">
      <c r="A3706" s="1"/>
      <c r="B3706" s="166"/>
      <c r="C3706" s="1"/>
      <c r="D3706" s="1"/>
      <c r="E3706" s="35"/>
      <c r="F3706" s="1"/>
      <c r="G3706" s="1"/>
      <c r="H3706" s="1"/>
      <c r="I3706" s="35"/>
      <c r="J3706" s="34"/>
      <c r="K3706" s="19"/>
      <c r="L3706" s="19"/>
      <c r="N3706" s="35"/>
    </row>
    <row r="3707">
      <c r="A3707" s="1"/>
      <c r="B3707" s="166"/>
      <c r="C3707" s="1"/>
      <c r="D3707" s="1"/>
      <c r="E3707" s="35"/>
      <c r="F3707" s="1"/>
      <c r="G3707" s="1"/>
      <c r="H3707" s="1"/>
      <c r="I3707" s="35"/>
      <c r="J3707" s="34"/>
      <c r="K3707" s="19"/>
      <c r="L3707" s="19"/>
      <c r="N3707" s="35"/>
    </row>
    <row r="3708">
      <c r="A3708" s="1"/>
      <c r="B3708" s="166"/>
      <c r="C3708" s="1"/>
      <c r="D3708" s="1"/>
      <c r="E3708" s="35"/>
      <c r="F3708" s="1"/>
      <c r="G3708" s="1"/>
      <c r="H3708" s="1"/>
      <c r="I3708" s="35"/>
      <c r="J3708" s="34"/>
      <c r="K3708" s="19"/>
      <c r="L3708" s="19"/>
      <c r="N3708" s="35"/>
    </row>
    <row r="3709">
      <c r="A3709" s="1"/>
      <c r="B3709" s="166"/>
      <c r="C3709" s="1"/>
      <c r="D3709" s="1"/>
      <c r="E3709" s="35"/>
      <c r="F3709" s="1"/>
      <c r="G3709" s="1"/>
      <c r="H3709" s="1"/>
      <c r="I3709" s="35"/>
      <c r="J3709" s="34"/>
      <c r="K3709" s="19"/>
      <c r="L3709" s="19"/>
      <c r="N3709" s="35"/>
    </row>
    <row r="3710">
      <c r="A3710" s="1"/>
      <c r="B3710" s="166"/>
      <c r="C3710" s="1"/>
      <c r="D3710" s="1"/>
      <c r="E3710" s="35"/>
      <c r="F3710" s="1"/>
      <c r="G3710" s="1"/>
      <c r="H3710" s="1"/>
      <c r="I3710" s="35"/>
      <c r="J3710" s="34"/>
      <c r="K3710" s="19"/>
      <c r="L3710" s="19"/>
      <c r="N3710" s="35"/>
    </row>
    <row r="3711">
      <c r="A3711" s="1"/>
      <c r="B3711" s="166"/>
      <c r="C3711" s="1"/>
      <c r="D3711" s="1"/>
      <c r="E3711" s="35"/>
      <c r="F3711" s="1"/>
      <c r="G3711" s="1"/>
      <c r="H3711" s="1"/>
      <c r="I3711" s="35"/>
      <c r="J3711" s="34"/>
      <c r="K3711" s="19"/>
      <c r="L3711" s="19"/>
      <c r="N3711" s="35"/>
    </row>
    <row r="3712">
      <c r="A3712" s="1"/>
      <c r="B3712" s="166"/>
      <c r="C3712" s="1"/>
      <c r="D3712" s="1"/>
      <c r="E3712" s="35"/>
      <c r="F3712" s="1"/>
      <c r="G3712" s="1"/>
      <c r="H3712" s="1"/>
      <c r="I3712" s="35"/>
      <c r="J3712" s="34"/>
      <c r="K3712" s="19"/>
      <c r="L3712" s="19"/>
      <c r="N3712" s="35"/>
    </row>
    <row r="3713">
      <c r="A3713" s="1"/>
      <c r="B3713" s="166"/>
      <c r="C3713" s="1"/>
      <c r="D3713" s="1"/>
      <c r="E3713" s="35"/>
      <c r="F3713" s="1"/>
      <c r="G3713" s="1"/>
      <c r="H3713" s="1"/>
      <c r="I3713" s="35"/>
      <c r="J3713" s="34"/>
      <c r="K3713" s="19"/>
      <c r="L3713" s="19"/>
      <c r="N3713" s="35"/>
    </row>
    <row r="3714">
      <c r="A3714" s="1"/>
      <c r="B3714" s="166"/>
      <c r="C3714" s="1"/>
      <c r="D3714" s="1"/>
      <c r="E3714" s="35"/>
      <c r="F3714" s="1"/>
      <c r="G3714" s="1"/>
      <c r="H3714" s="1"/>
      <c r="I3714" s="35"/>
      <c r="J3714" s="34"/>
      <c r="K3714" s="19"/>
      <c r="L3714" s="19"/>
      <c r="N3714" s="35"/>
    </row>
    <row r="3715">
      <c r="A3715" s="1"/>
      <c r="B3715" s="166"/>
      <c r="C3715" s="1"/>
      <c r="D3715" s="1"/>
      <c r="E3715" s="35"/>
      <c r="F3715" s="1"/>
      <c r="G3715" s="1"/>
      <c r="H3715" s="1"/>
      <c r="I3715" s="35"/>
      <c r="J3715" s="34"/>
      <c r="K3715" s="19"/>
      <c r="L3715" s="19"/>
      <c r="N3715" s="35"/>
    </row>
    <row r="3716">
      <c r="A3716" s="1"/>
      <c r="B3716" s="166"/>
      <c r="C3716" s="1"/>
      <c r="D3716" s="1"/>
      <c r="E3716" s="35"/>
      <c r="F3716" s="1"/>
      <c r="G3716" s="1"/>
      <c r="H3716" s="1"/>
      <c r="I3716" s="35"/>
      <c r="J3716" s="34"/>
      <c r="K3716" s="19"/>
      <c r="L3716" s="19"/>
      <c r="N3716" s="35"/>
    </row>
    <row r="3717">
      <c r="A3717" s="1"/>
      <c r="B3717" s="166"/>
      <c r="C3717" s="1"/>
      <c r="D3717" s="1"/>
      <c r="E3717" s="35"/>
      <c r="F3717" s="1"/>
      <c r="G3717" s="1"/>
      <c r="H3717" s="1"/>
      <c r="I3717" s="35"/>
      <c r="J3717" s="34"/>
      <c r="K3717" s="19"/>
      <c r="L3717" s="19"/>
      <c r="N3717" s="35"/>
    </row>
    <row r="3718">
      <c r="A3718" s="1"/>
      <c r="B3718" s="166"/>
      <c r="C3718" s="1"/>
      <c r="D3718" s="1"/>
      <c r="E3718" s="35"/>
      <c r="F3718" s="1"/>
      <c r="G3718" s="1"/>
      <c r="H3718" s="1"/>
      <c r="I3718" s="35"/>
      <c r="J3718" s="34"/>
      <c r="K3718" s="19"/>
      <c r="L3718" s="19"/>
      <c r="N3718" s="35"/>
    </row>
    <row r="3719">
      <c r="A3719" s="1"/>
      <c r="B3719" s="166"/>
      <c r="C3719" s="1"/>
      <c r="D3719" s="1"/>
      <c r="E3719" s="35"/>
      <c r="F3719" s="1"/>
      <c r="G3719" s="1"/>
      <c r="H3719" s="1"/>
      <c r="I3719" s="35"/>
      <c r="J3719" s="34"/>
      <c r="K3719" s="19"/>
      <c r="L3719" s="19"/>
      <c r="N3719" s="35"/>
    </row>
    <row r="3720">
      <c r="A3720" s="1"/>
      <c r="B3720" s="166"/>
      <c r="C3720" s="1"/>
      <c r="D3720" s="1"/>
      <c r="E3720" s="35"/>
      <c r="F3720" s="1"/>
      <c r="G3720" s="1"/>
      <c r="H3720" s="1"/>
      <c r="I3720" s="35"/>
      <c r="J3720" s="34"/>
      <c r="K3720" s="19"/>
      <c r="L3720" s="19"/>
      <c r="N3720" s="35"/>
    </row>
    <row r="3721">
      <c r="A3721" s="1"/>
      <c r="B3721" s="166"/>
      <c r="C3721" s="1"/>
      <c r="D3721" s="1"/>
      <c r="E3721" s="35"/>
      <c r="F3721" s="1"/>
      <c r="G3721" s="1"/>
      <c r="H3721" s="1"/>
      <c r="I3721" s="35"/>
      <c r="J3721" s="34"/>
      <c r="K3721" s="19"/>
      <c r="L3721" s="19"/>
      <c r="N3721" s="35"/>
    </row>
    <row r="3722">
      <c r="A3722" s="1"/>
      <c r="B3722" s="166"/>
      <c r="C3722" s="1"/>
      <c r="D3722" s="1"/>
      <c r="E3722" s="35"/>
      <c r="F3722" s="1"/>
      <c r="G3722" s="1"/>
      <c r="H3722" s="1"/>
      <c r="I3722" s="35"/>
      <c r="J3722" s="34"/>
      <c r="K3722" s="19"/>
      <c r="L3722" s="19"/>
      <c r="N3722" s="35"/>
    </row>
    <row r="3723">
      <c r="A3723" s="1"/>
      <c r="B3723" s="166"/>
      <c r="C3723" s="1"/>
      <c r="D3723" s="1"/>
      <c r="E3723" s="35"/>
      <c r="F3723" s="1"/>
      <c r="G3723" s="1"/>
      <c r="H3723" s="1"/>
      <c r="I3723" s="35"/>
      <c r="J3723" s="34"/>
      <c r="K3723" s="19"/>
      <c r="L3723" s="19"/>
      <c r="N3723" s="35"/>
    </row>
    <row r="3724">
      <c r="A3724" s="1"/>
      <c r="B3724" s="166"/>
      <c r="C3724" s="1"/>
      <c r="D3724" s="1"/>
      <c r="E3724" s="35"/>
      <c r="F3724" s="1"/>
      <c r="G3724" s="1"/>
      <c r="H3724" s="1"/>
      <c r="I3724" s="35"/>
      <c r="J3724" s="34"/>
      <c r="K3724" s="19"/>
      <c r="L3724" s="19"/>
      <c r="N3724" s="35"/>
    </row>
    <row r="3725">
      <c r="A3725" s="1"/>
      <c r="B3725" s="166"/>
      <c r="C3725" s="1"/>
      <c r="D3725" s="1"/>
      <c r="E3725" s="35"/>
      <c r="F3725" s="1"/>
      <c r="G3725" s="1"/>
      <c r="H3725" s="1"/>
      <c r="I3725" s="35"/>
      <c r="J3725" s="34"/>
      <c r="K3725" s="19"/>
      <c r="L3725" s="19"/>
      <c r="N3725" s="35"/>
    </row>
    <row r="3726">
      <c r="A3726" s="1"/>
      <c r="B3726" s="166"/>
      <c r="C3726" s="1"/>
      <c r="D3726" s="1"/>
      <c r="E3726" s="35"/>
      <c r="F3726" s="1"/>
      <c r="G3726" s="1"/>
      <c r="H3726" s="1"/>
      <c r="I3726" s="35"/>
      <c r="J3726" s="34"/>
      <c r="K3726" s="19"/>
      <c r="L3726" s="19"/>
      <c r="N3726" s="35"/>
    </row>
    <row r="3727">
      <c r="A3727" s="1"/>
      <c r="B3727" s="166"/>
      <c r="C3727" s="1"/>
      <c r="D3727" s="1"/>
      <c r="E3727" s="35"/>
      <c r="F3727" s="1"/>
      <c r="G3727" s="1"/>
      <c r="H3727" s="1"/>
      <c r="I3727" s="35"/>
      <c r="J3727" s="34"/>
      <c r="K3727" s="19"/>
      <c r="L3727" s="19"/>
      <c r="N3727" s="35"/>
    </row>
    <row r="3728">
      <c r="A3728" s="1"/>
      <c r="B3728" s="166"/>
      <c r="C3728" s="1"/>
      <c r="D3728" s="1"/>
      <c r="E3728" s="35"/>
      <c r="F3728" s="1"/>
      <c r="G3728" s="1"/>
      <c r="H3728" s="1"/>
      <c r="I3728" s="35"/>
      <c r="J3728" s="34"/>
      <c r="K3728" s="19"/>
      <c r="L3728" s="19"/>
      <c r="N3728" s="35"/>
    </row>
    <row r="3729">
      <c r="A3729" s="1"/>
      <c r="B3729" s="166"/>
      <c r="C3729" s="1"/>
      <c r="D3729" s="1"/>
      <c r="E3729" s="35"/>
      <c r="F3729" s="1"/>
      <c r="G3729" s="1"/>
      <c r="H3729" s="1"/>
      <c r="I3729" s="35"/>
      <c r="J3729" s="34"/>
      <c r="K3729" s="19"/>
      <c r="L3729" s="19"/>
      <c r="N3729" s="35"/>
    </row>
    <row r="3730">
      <c r="A3730" s="1"/>
      <c r="B3730" s="166"/>
      <c r="C3730" s="1"/>
      <c r="D3730" s="1"/>
      <c r="E3730" s="35"/>
      <c r="F3730" s="1"/>
      <c r="G3730" s="1"/>
      <c r="H3730" s="1"/>
      <c r="I3730" s="35"/>
      <c r="J3730" s="34"/>
      <c r="K3730" s="19"/>
      <c r="L3730" s="19"/>
      <c r="N3730" s="35"/>
    </row>
    <row r="3731">
      <c r="A3731" s="1"/>
      <c r="B3731" s="166"/>
      <c r="C3731" s="1"/>
      <c r="D3731" s="1"/>
      <c r="E3731" s="35"/>
      <c r="F3731" s="1"/>
      <c r="G3731" s="1"/>
      <c r="H3731" s="1"/>
      <c r="I3731" s="35"/>
      <c r="J3731" s="34"/>
      <c r="K3731" s="19"/>
      <c r="L3731" s="19"/>
      <c r="N3731" s="35"/>
    </row>
    <row r="3732">
      <c r="A3732" s="1"/>
      <c r="B3732" s="166"/>
      <c r="C3732" s="1"/>
      <c r="D3732" s="1"/>
      <c r="E3732" s="35"/>
      <c r="F3732" s="1"/>
      <c r="G3732" s="1"/>
      <c r="H3732" s="1"/>
      <c r="I3732" s="35"/>
      <c r="J3732" s="34"/>
      <c r="K3732" s="19"/>
      <c r="L3732" s="19"/>
      <c r="N3732" s="35"/>
    </row>
    <row r="3733">
      <c r="A3733" s="1"/>
      <c r="B3733" s="166"/>
      <c r="C3733" s="1"/>
      <c r="D3733" s="1"/>
      <c r="E3733" s="35"/>
      <c r="F3733" s="1"/>
      <c r="G3733" s="1"/>
      <c r="H3733" s="1"/>
      <c r="I3733" s="35"/>
      <c r="J3733" s="34"/>
      <c r="K3733" s="19"/>
      <c r="L3733" s="19"/>
      <c r="N3733" s="35"/>
    </row>
    <row r="3734">
      <c r="A3734" s="1"/>
      <c r="B3734" s="166"/>
      <c r="C3734" s="1"/>
      <c r="D3734" s="1"/>
      <c r="E3734" s="35"/>
      <c r="F3734" s="1"/>
      <c r="G3734" s="1"/>
      <c r="H3734" s="1"/>
      <c r="I3734" s="35"/>
      <c r="J3734" s="34"/>
      <c r="K3734" s="19"/>
      <c r="L3734" s="19"/>
      <c r="N3734" s="35"/>
    </row>
    <row r="3735">
      <c r="A3735" s="1"/>
      <c r="B3735" s="166"/>
      <c r="C3735" s="1"/>
      <c r="D3735" s="1"/>
      <c r="E3735" s="35"/>
      <c r="F3735" s="1"/>
      <c r="G3735" s="1"/>
      <c r="H3735" s="1"/>
      <c r="I3735" s="35"/>
      <c r="J3735" s="34"/>
      <c r="K3735" s="19"/>
      <c r="L3735" s="19"/>
      <c r="N3735" s="35"/>
    </row>
    <row r="3736">
      <c r="A3736" s="1"/>
      <c r="B3736" s="166"/>
      <c r="C3736" s="1"/>
      <c r="D3736" s="1"/>
      <c r="E3736" s="35"/>
      <c r="F3736" s="1"/>
      <c r="G3736" s="1"/>
      <c r="H3736" s="1"/>
      <c r="I3736" s="35"/>
      <c r="J3736" s="34"/>
      <c r="K3736" s="19"/>
      <c r="L3736" s="19"/>
      <c r="N3736" s="35"/>
    </row>
    <row r="3737">
      <c r="A3737" s="1"/>
      <c r="B3737" s="166"/>
      <c r="C3737" s="1"/>
      <c r="D3737" s="1"/>
      <c r="E3737" s="35"/>
      <c r="F3737" s="1"/>
      <c r="G3737" s="1"/>
      <c r="H3737" s="1"/>
      <c r="I3737" s="35"/>
      <c r="J3737" s="34"/>
      <c r="K3737" s="19"/>
      <c r="L3737" s="19"/>
      <c r="N3737" s="35"/>
    </row>
    <row r="3738">
      <c r="A3738" s="1"/>
      <c r="B3738" s="166"/>
      <c r="C3738" s="1"/>
      <c r="D3738" s="1"/>
      <c r="E3738" s="35"/>
      <c r="F3738" s="1"/>
      <c r="G3738" s="1"/>
      <c r="H3738" s="1"/>
      <c r="I3738" s="35"/>
      <c r="J3738" s="34"/>
      <c r="K3738" s="19"/>
      <c r="L3738" s="19"/>
      <c r="N3738" s="35"/>
    </row>
    <row r="3739">
      <c r="A3739" s="1"/>
      <c r="B3739" s="166"/>
      <c r="C3739" s="1"/>
      <c r="D3739" s="1"/>
      <c r="E3739" s="35"/>
      <c r="F3739" s="1"/>
      <c r="G3739" s="1"/>
      <c r="H3739" s="1"/>
      <c r="I3739" s="35"/>
      <c r="J3739" s="34"/>
      <c r="K3739" s="19"/>
      <c r="L3739" s="19"/>
      <c r="N3739" s="35"/>
    </row>
    <row r="3740">
      <c r="A3740" s="1"/>
      <c r="B3740" s="166"/>
      <c r="C3740" s="1"/>
      <c r="D3740" s="1"/>
      <c r="E3740" s="35"/>
      <c r="F3740" s="1"/>
      <c r="G3740" s="1"/>
      <c r="H3740" s="1"/>
      <c r="I3740" s="35"/>
      <c r="J3740" s="34"/>
      <c r="K3740" s="19"/>
      <c r="L3740" s="19"/>
      <c r="N3740" s="35"/>
    </row>
    <row r="3741">
      <c r="A3741" s="1"/>
      <c r="B3741" s="166"/>
      <c r="C3741" s="1"/>
      <c r="D3741" s="1"/>
      <c r="E3741" s="35"/>
      <c r="F3741" s="1"/>
      <c r="G3741" s="1"/>
      <c r="H3741" s="1"/>
      <c r="I3741" s="35"/>
      <c r="J3741" s="34"/>
      <c r="K3741" s="19"/>
      <c r="L3741" s="19"/>
      <c r="N3741" s="35"/>
    </row>
    <row r="3742">
      <c r="A3742" s="1"/>
      <c r="B3742" s="166"/>
      <c r="C3742" s="1"/>
      <c r="D3742" s="1"/>
      <c r="E3742" s="35"/>
      <c r="F3742" s="1"/>
      <c r="G3742" s="1"/>
      <c r="H3742" s="1"/>
      <c r="I3742" s="35"/>
      <c r="J3742" s="34"/>
      <c r="K3742" s="19"/>
      <c r="L3742" s="19"/>
      <c r="N3742" s="35"/>
    </row>
    <row r="3743">
      <c r="A3743" s="1"/>
      <c r="B3743" s="166"/>
      <c r="C3743" s="1"/>
      <c r="D3743" s="1"/>
      <c r="E3743" s="35"/>
      <c r="F3743" s="1"/>
      <c r="G3743" s="1"/>
      <c r="H3743" s="1"/>
      <c r="I3743" s="35"/>
      <c r="J3743" s="34"/>
      <c r="K3743" s="19"/>
      <c r="L3743" s="19"/>
      <c r="N3743" s="35"/>
    </row>
    <row r="3744">
      <c r="A3744" s="1"/>
      <c r="B3744" s="166"/>
      <c r="C3744" s="1"/>
      <c r="D3744" s="1"/>
      <c r="E3744" s="35"/>
      <c r="F3744" s="1"/>
      <c r="G3744" s="1"/>
      <c r="H3744" s="1"/>
      <c r="I3744" s="35"/>
      <c r="J3744" s="34"/>
      <c r="K3744" s="19"/>
      <c r="L3744" s="19"/>
      <c r="N3744" s="35"/>
    </row>
    <row r="3745">
      <c r="A3745" s="1"/>
      <c r="B3745" s="166"/>
      <c r="C3745" s="1"/>
      <c r="D3745" s="1"/>
      <c r="E3745" s="35"/>
      <c r="F3745" s="1"/>
      <c r="G3745" s="1"/>
      <c r="H3745" s="1"/>
      <c r="I3745" s="35"/>
      <c r="J3745" s="34"/>
      <c r="K3745" s="19"/>
      <c r="L3745" s="19"/>
      <c r="N3745" s="35"/>
    </row>
    <row r="3746">
      <c r="A3746" s="1"/>
      <c r="B3746" s="166"/>
      <c r="C3746" s="1"/>
      <c r="D3746" s="1"/>
      <c r="E3746" s="35"/>
      <c r="F3746" s="1"/>
      <c r="G3746" s="1"/>
      <c r="H3746" s="1"/>
      <c r="I3746" s="35"/>
      <c r="J3746" s="34"/>
      <c r="K3746" s="19"/>
      <c r="L3746" s="19"/>
      <c r="N3746" s="35"/>
    </row>
    <row r="3747">
      <c r="A3747" s="1"/>
      <c r="B3747" s="166"/>
      <c r="C3747" s="1"/>
      <c r="D3747" s="1"/>
      <c r="E3747" s="35"/>
      <c r="F3747" s="1"/>
      <c r="G3747" s="1"/>
      <c r="H3747" s="1"/>
      <c r="I3747" s="35"/>
      <c r="J3747" s="34"/>
      <c r="K3747" s="19"/>
      <c r="L3747" s="19"/>
      <c r="N3747" s="35"/>
    </row>
    <row r="3748">
      <c r="A3748" s="1"/>
      <c r="B3748" s="166"/>
      <c r="C3748" s="1"/>
      <c r="D3748" s="1"/>
      <c r="E3748" s="35"/>
      <c r="F3748" s="1"/>
      <c r="G3748" s="1"/>
      <c r="H3748" s="1"/>
      <c r="I3748" s="35"/>
      <c r="J3748" s="34"/>
      <c r="K3748" s="19"/>
      <c r="L3748" s="19"/>
      <c r="N3748" s="35"/>
    </row>
    <row r="3749">
      <c r="A3749" s="1"/>
      <c r="B3749" s="166"/>
      <c r="C3749" s="1"/>
      <c r="D3749" s="1"/>
      <c r="E3749" s="35"/>
      <c r="F3749" s="1"/>
      <c r="G3749" s="1"/>
      <c r="H3749" s="1"/>
      <c r="I3749" s="35"/>
      <c r="J3749" s="34"/>
      <c r="K3749" s="19"/>
      <c r="L3749" s="19"/>
      <c r="N3749" s="35"/>
    </row>
    <row r="3750">
      <c r="A3750" s="1"/>
      <c r="B3750" s="166"/>
      <c r="C3750" s="1"/>
      <c r="D3750" s="1"/>
      <c r="E3750" s="35"/>
      <c r="F3750" s="1"/>
      <c r="G3750" s="1"/>
      <c r="H3750" s="1"/>
      <c r="I3750" s="35"/>
      <c r="J3750" s="34"/>
      <c r="K3750" s="19"/>
      <c r="L3750" s="19"/>
      <c r="N3750" s="35"/>
    </row>
    <row r="3751">
      <c r="A3751" s="1"/>
      <c r="B3751" s="166"/>
      <c r="C3751" s="1"/>
      <c r="D3751" s="1"/>
      <c r="E3751" s="35"/>
      <c r="F3751" s="1"/>
      <c r="G3751" s="1"/>
      <c r="H3751" s="1"/>
      <c r="I3751" s="35"/>
      <c r="J3751" s="34"/>
      <c r="K3751" s="19"/>
      <c r="L3751" s="19"/>
      <c r="N3751" s="35"/>
    </row>
    <row r="3752">
      <c r="A3752" s="1"/>
      <c r="B3752" s="166"/>
      <c r="C3752" s="1"/>
      <c r="D3752" s="1"/>
      <c r="E3752" s="35"/>
      <c r="F3752" s="1"/>
      <c r="G3752" s="1"/>
      <c r="H3752" s="1"/>
      <c r="I3752" s="35"/>
      <c r="J3752" s="34"/>
      <c r="K3752" s="19"/>
      <c r="L3752" s="19"/>
      <c r="N3752" s="35"/>
    </row>
    <row r="3753">
      <c r="A3753" s="1"/>
      <c r="B3753" s="166"/>
      <c r="C3753" s="1"/>
      <c r="D3753" s="1"/>
      <c r="E3753" s="35"/>
      <c r="F3753" s="1"/>
      <c r="G3753" s="1"/>
      <c r="H3753" s="1"/>
      <c r="I3753" s="35"/>
      <c r="J3753" s="34"/>
      <c r="K3753" s="19"/>
      <c r="L3753" s="19"/>
      <c r="N3753" s="35"/>
    </row>
    <row r="3754">
      <c r="A3754" s="1"/>
      <c r="B3754" s="166"/>
      <c r="C3754" s="1"/>
      <c r="D3754" s="1"/>
      <c r="E3754" s="35"/>
      <c r="F3754" s="1"/>
      <c r="G3754" s="1"/>
      <c r="H3754" s="1"/>
      <c r="I3754" s="35"/>
      <c r="J3754" s="34"/>
      <c r="K3754" s="19"/>
      <c r="L3754" s="19"/>
      <c r="N3754" s="35"/>
    </row>
    <row r="3755">
      <c r="A3755" s="1"/>
      <c r="B3755" s="166"/>
      <c r="C3755" s="1"/>
      <c r="D3755" s="1"/>
      <c r="E3755" s="35"/>
      <c r="F3755" s="1"/>
      <c r="G3755" s="1"/>
      <c r="H3755" s="1"/>
      <c r="I3755" s="35"/>
      <c r="J3755" s="34"/>
      <c r="K3755" s="19"/>
      <c r="L3755" s="19"/>
      <c r="N3755" s="35"/>
    </row>
    <row r="3756">
      <c r="A3756" s="1"/>
      <c r="B3756" s="166"/>
      <c r="C3756" s="1"/>
      <c r="D3756" s="1"/>
      <c r="E3756" s="35"/>
      <c r="F3756" s="1"/>
      <c r="G3756" s="1"/>
      <c r="H3756" s="1"/>
      <c r="I3756" s="35"/>
      <c r="J3756" s="34"/>
      <c r="K3756" s="19"/>
      <c r="L3756" s="19"/>
      <c r="N3756" s="35"/>
    </row>
    <row r="3757">
      <c r="A3757" s="1"/>
      <c r="B3757" s="166"/>
      <c r="C3757" s="1"/>
      <c r="D3757" s="1"/>
      <c r="E3757" s="35"/>
      <c r="F3757" s="1"/>
      <c r="G3757" s="1"/>
      <c r="H3757" s="1"/>
      <c r="I3757" s="35"/>
      <c r="J3757" s="34"/>
      <c r="K3757" s="19"/>
      <c r="L3757" s="19"/>
      <c r="N3757" s="35"/>
    </row>
    <row r="3758">
      <c r="A3758" s="1"/>
      <c r="B3758" s="166"/>
      <c r="C3758" s="1"/>
      <c r="D3758" s="1"/>
      <c r="E3758" s="35"/>
      <c r="F3758" s="1"/>
      <c r="G3758" s="1"/>
      <c r="H3758" s="1"/>
      <c r="I3758" s="35"/>
      <c r="J3758" s="34"/>
      <c r="K3758" s="19"/>
      <c r="L3758" s="19"/>
      <c r="N3758" s="35"/>
    </row>
    <row r="3759">
      <c r="A3759" s="1"/>
      <c r="B3759" s="166"/>
      <c r="C3759" s="1"/>
      <c r="D3759" s="1"/>
      <c r="E3759" s="35"/>
      <c r="F3759" s="1"/>
      <c r="G3759" s="1"/>
      <c r="H3759" s="1"/>
      <c r="I3759" s="35"/>
      <c r="J3759" s="34"/>
      <c r="K3759" s="19"/>
      <c r="L3759" s="19"/>
      <c r="N3759" s="35"/>
    </row>
    <row r="3760">
      <c r="A3760" s="1"/>
      <c r="B3760" s="166"/>
      <c r="C3760" s="1"/>
      <c r="D3760" s="1"/>
      <c r="E3760" s="35"/>
      <c r="F3760" s="1"/>
      <c r="G3760" s="1"/>
      <c r="H3760" s="1"/>
      <c r="I3760" s="35"/>
      <c r="J3760" s="34"/>
      <c r="K3760" s="19"/>
      <c r="L3760" s="19"/>
      <c r="N3760" s="35"/>
    </row>
    <row r="3761">
      <c r="A3761" s="1"/>
      <c r="B3761" s="166"/>
      <c r="C3761" s="1"/>
      <c r="D3761" s="1"/>
      <c r="E3761" s="35"/>
      <c r="F3761" s="1"/>
      <c r="G3761" s="1"/>
      <c r="H3761" s="1"/>
      <c r="I3761" s="35"/>
      <c r="J3761" s="34"/>
      <c r="K3761" s="19"/>
      <c r="L3761" s="19"/>
      <c r="N3761" s="35"/>
    </row>
    <row r="3762">
      <c r="A3762" s="1"/>
      <c r="B3762" s="166"/>
      <c r="C3762" s="1"/>
      <c r="D3762" s="1"/>
      <c r="E3762" s="35"/>
      <c r="F3762" s="1"/>
      <c r="G3762" s="1"/>
      <c r="H3762" s="1"/>
      <c r="I3762" s="35"/>
      <c r="J3762" s="34"/>
      <c r="K3762" s="19"/>
      <c r="L3762" s="19"/>
      <c r="N3762" s="35"/>
    </row>
    <row r="3763">
      <c r="A3763" s="1"/>
      <c r="B3763" s="166"/>
      <c r="C3763" s="1"/>
      <c r="D3763" s="1"/>
      <c r="E3763" s="35"/>
      <c r="F3763" s="1"/>
      <c r="G3763" s="1"/>
      <c r="H3763" s="1"/>
      <c r="I3763" s="35"/>
      <c r="J3763" s="34"/>
      <c r="K3763" s="19"/>
      <c r="L3763" s="19"/>
      <c r="N3763" s="35"/>
    </row>
    <row r="3764">
      <c r="A3764" s="1"/>
      <c r="B3764" s="166"/>
      <c r="C3764" s="1"/>
      <c r="D3764" s="1"/>
      <c r="E3764" s="35"/>
      <c r="F3764" s="1"/>
      <c r="G3764" s="1"/>
      <c r="H3764" s="1"/>
      <c r="I3764" s="35"/>
      <c r="J3764" s="34"/>
      <c r="K3764" s="19"/>
      <c r="L3764" s="19"/>
      <c r="N3764" s="35"/>
    </row>
    <row r="3765">
      <c r="A3765" s="1"/>
      <c r="B3765" s="166"/>
      <c r="C3765" s="1"/>
      <c r="D3765" s="1"/>
      <c r="E3765" s="35"/>
      <c r="F3765" s="1"/>
      <c r="G3765" s="1"/>
      <c r="H3765" s="1"/>
      <c r="I3765" s="35"/>
      <c r="J3765" s="34"/>
      <c r="K3765" s="19"/>
      <c r="L3765" s="19"/>
      <c r="N3765" s="35"/>
    </row>
    <row r="3766">
      <c r="A3766" s="1"/>
      <c r="B3766" s="166"/>
      <c r="C3766" s="1"/>
      <c r="D3766" s="1"/>
      <c r="E3766" s="35"/>
      <c r="F3766" s="1"/>
      <c r="G3766" s="1"/>
      <c r="H3766" s="1"/>
      <c r="I3766" s="35"/>
      <c r="J3766" s="34"/>
      <c r="K3766" s="19"/>
      <c r="L3766" s="19"/>
      <c r="N3766" s="35"/>
    </row>
    <row r="3767">
      <c r="A3767" s="1"/>
      <c r="B3767" s="166"/>
      <c r="C3767" s="1"/>
      <c r="D3767" s="1"/>
      <c r="E3767" s="35"/>
      <c r="F3767" s="1"/>
      <c r="G3767" s="1"/>
      <c r="H3767" s="1"/>
      <c r="I3767" s="35"/>
      <c r="J3767" s="34"/>
      <c r="K3767" s="19"/>
      <c r="L3767" s="19"/>
      <c r="N3767" s="35"/>
    </row>
    <row r="3768">
      <c r="A3768" s="1"/>
      <c r="B3768" s="166"/>
      <c r="C3768" s="1"/>
      <c r="D3768" s="1"/>
      <c r="E3768" s="35"/>
      <c r="F3768" s="1"/>
      <c r="G3768" s="1"/>
      <c r="H3768" s="1"/>
      <c r="I3768" s="35"/>
      <c r="J3768" s="34"/>
      <c r="K3768" s="19"/>
      <c r="L3768" s="19"/>
      <c r="N3768" s="35"/>
    </row>
    <row r="3769">
      <c r="A3769" s="1"/>
      <c r="B3769" s="166"/>
      <c r="C3769" s="1"/>
      <c r="D3769" s="1"/>
      <c r="E3769" s="35"/>
      <c r="F3769" s="1"/>
      <c r="G3769" s="1"/>
      <c r="H3769" s="1"/>
      <c r="I3769" s="35"/>
      <c r="J3769" s="34"/>
      <c r="K3769" s="19"/>
      <c r="L3769" s="19"/>
      <c r="N3769" s="35"/>
    </row>
    <row r="3770">
      <c r="A3770" s="1"/>
      <c r="B3770" s="166"/>
      <c r="C3770" s="1"/>
      <c r="D3770" s="1"/>
      <c r="E3770" s="35"/>
      <c r="F3770" s="1"/>
      <c r="G3770" s="1"/>
      <c r="H3770" s="1"/>
      <c r="I3770" s="35"/>
      <c r="J3770" s="34"/>
      <c r="K3770" s="19"/>
      <c r="L3770" s="19"/>
      <c r="N3770" s="35"/>
    </row>
    <row r="3771">
      <c r="A3771" s="1"/>
      <c r="B3771" s="166"/>
      <c r="C3771" s="1"/>
      <c r="D3771" s="1"/>
      <c r="E3771" s="35"/>
      <c r="F3771" s="1"/>
      <c r="G3771" s="1"/>
      <c r="H3771" s="1"/>
      <c r="I3771" s="35"/>
      <c r="J3771" s="34"/>
      <c r="K3771" s="19"/>
      <c r="L3771" s="19"/>
      <c r="N3771" s="35"/>
    </row>
    <row r="3772">
      <c r="A3772" s="1"/>
      <c r="B3772" s="166"/>
      <c r="C3772" s="1"/>
      <c r="D3772" s="1"/>
      <c r="E3772" s="35"/>
      <c r="F3772" s="1"/>
      <c r="G3772" s="1"/>
      <c r="H3772" s="1"/>
      <c r="I3772" s="35"/>
      <c r="J3772" s="34"/>
      <c r="K3772" s="19"/>
      <c r="L3772" s="19"/>
      <c r="N3772" s="35"/>
    </row>
    <row r="3773">
      <c r="A3773" s="1"/>
      <c r="B3773" s="166"/>
      <c r="C3773" s="1"/>
      <c r="D3773" s="1"/>
      <c r="E3773" s="35"/>
      <c r="F3773" s="1"/>
      <c r="G3773" s="1"/>
      <c r="H3773" s="1"/>
      <c r="I3773" s="35"/>
      <c r="J3773" s="34"/>
      <c r="K3773" s="19"/>
      <c r="L3773" s="19"/>
      <c r="N3773" s="35"/>
    </row>
    <row r="3774">
      <c r="A3774" s="1"/>
      <c r="B3774" s="166"/>
      <c r="C3774" s="1"/>
      <c r="D3774" s="1"/>
      <c r="E3774" s="35"/>
      <c r="F3774" s="1"/>
      <c r="G3774" s="1"/>
      <c r="H3774" s="1"/>
      <c r="I3774" s="35"/>
      <c r="J3774" s="34"/>
      <c r="K3774" s="19"/>
      <c r="L3774" s="19"/>
      <c r="N3774" s="35"/>
    </row>
    <row r="3775">
      <c r="A3775" s="1"/>
      <c r="B3775" s="166"/>
      <c r="C3775" s="1"/>
      <c r="D3775" s="1"/>
      <c r="E3775" s="35"/>
      <c r="F3775" s="1"/>
      <c r="G3775" s="1"/>
      <c r="H3775" s="1"/>
      <c r="I3775" s="35"/>
      <c r="J3775" s="34"/>
      <c r="K3775" s="19"/>
      <c r="L3775" s="19"/>
      <c r="N3775" s="35"/>
    </row>
    <row r="3776">
      <c r="A3776" s="1"/>
      <c r="B3776" s="166"/>
      <c r="C3776" s="1"/>
      <c r="D3776" s="1"/>
      <c r="E3776" s="35"/>
      <c r="F3776" s="1"/>
      <c r="G3776" s="1"/>
      <c r="H3776" s="1"/>
      <c r="I3776" s="35"/>
      <c r="J3776" s="34"/>
      <c r="K3776" s="19"/>
      <c r="L3776" s="19"/>
      <c r="N3776" s="35"/>
    </row>
    <row r="3777">
      <c r="A3777" s="1"/>
      <c r="B3777" s="166"/>
      <c r="C3777" s="1"/>
      <c r="D3777" s="1"/>
      <c r="E3777" s="35"/>
      <c r="F3777" s="1"/>
      <c r="G3777" s="1"/>
      <c r="H3777" s="1"/>
      <c r="I3777" s="35"/>
      <c r="J3777" s="34"/>
      <c r="K3777" s="19"/>
      <c r="L3777" s="19"/>
      <c r="N3777" s="35"/>
    </row>
    <row r="3778">
      <c r="A3778" s="1"/>
      <c r="B3778" s="166"/>
      <c r="C3778" s="1"/>
      <c r="D3778" s="1"/>
      <c r="E3778" s="35"/>
      <c r="F3778" s="1"/>
      <c r="G3778" s="1"/>
      <c r="H3778" s="1"/>
      <c r="I3778" s="35"/>
      <c r="J3778" s="34"/>
      <c r="K3778" s="19"/>
      <c r="L3778" s="19"/>
      <c r="N3778" s="35"/>
    </row>
    <row r="3779">
      <c r="A3779" s="1"/>
      <c r="B3779" s="166"/>
      <c r="C3779" s="1"/>
      <c r="D3779" s="1"/>
      <c r="E3779" s="35"/>
      <c r="F3779" s="1"/>
      <c r="G3779" s="1"/>
      <c r="H3779" s="1"/>
      <c r="I3779" s="35"/>
      <c r="J3779" s="34"/>
      <c r="K3779" s="19"/>
      <c r="L3779" s="19"/>
      <c r="N3779" s="35"/>
    </row>
    <row r="3780">
      <c r="A3780" s="1"/>
      <c r="B3780" s="166"/>
      <c r="C3780" s="1"/>
      <c r="D3780" s="1"/>
      <c r="E3780" s="35"/>
      <c r="F3780" s="1"/>
      <c r="G3780" s="1"/>
      <c r="H3780" s="1"/>
      <c r="I3780" s="35"/>
      <c r="J3780" s="34"/>
      <c r="K3780" s="19"/>
      <c r="L3780" s="19"/>
      <c r="N3780" s="35"/>
    </row>
    <row r="3781">
      <c r="A3781" s="1"/>
      <c r="B3781" s="166"/>
      <c r="C3781" s="1"/>
      <c r="D3781" s="1"/>
      <c r="E3781" s="35"/>
      <c r="F3781" s="1"/>
      <c r="G3781" s="1"/>
      <c r="H3781" s="1"/>
      <c r="I3781" s="35"/>
      <c r="J3781" s="34"/>
      <c r="K3781" s="19"/>
      <c r="L3781" s="19"/>
      <c r="N3781" s="35"/>
    </row>
    <row r="3782">
      <c r="A3782" s="1"/>
      <c r="B3782" s="166"/>
      <c r="C3782" s="1"/>
      <c r="D3782" s="1"/>
      <c r="E3782" s="35"/>
      <c r="F3782" s="1"/>
      <c r="G3782" s="1"/>
      <c r="H3782" s="1"/>
      <c r="I3782" s="35"/>
      <c r="J3782" s="34"/>
      <c r="K3782" s="19"/>
      <c r="L3782" s="19"/>
      <c r="N3782" s="35"/>
    </row>
    <row r="3783">
      <c r="A3783" s="1"/>
      <c r="B3783" s="166"/>
      <c r="C3783" s="1"/>
      <c r="D3783" s="1"/>
      <c r="E3783" s="35"/>
      <c r="F3783" s="1"/>
      <c r="G3783" s="1"/>
      <c r="H3783" s="1"/>
      <c r="I3783" s="35"/>
      <c r="J3783" s="34"/>
      <c r="K3783" s="19"/>
      <c r="L3783" s="19"/>
      <c r="N3783" s="35"/>
    </row>
    <row r="3784">
      <c r="A3784" s="1"/>
      <c r="B3784" s="166"/>
      <c r="C3784" s="1"/>
      <c r="D3784" s="1"/>
      <c r="E3784" s="35"/>
      <c r="F3784" s="1"/>
      <c r="G3784" s="1"/>
      <c r="H3784" s="1"/>
      <c r="I3784" s="35"/>
      <c r="J3784" s="34"/>
      <c r="K3784" s="19"/>
      <c r="L3784" s="19"/>
      <c r="N3784" s="35"/>
    </row>
    <row r="3785">
      <c r="A3785" s="1"/>
      <c r="B3785" s="166"/>
      <c r="C3785" s="1"/>
      <c r="D3785" s="1"/>
      <c r="E3785" s="35"/>
      <c r="F3785" s="1"/>
      <c r="G3785" s="1"/>
      <c r="H3785" s="1"/>
      <c r="I3785" s="35"/>
      <c r="J3785" s="34"/>
      <c r="K3785" s="19"/>
      <c r="L3785" s="19"/>
      <c r="N3785" s="35"/>
    </row>
    <row r="3786">
      <c r="A3786" s="1"/>
      <c r="B3786" s="166"/>
      <c r="C3786" s="1"/>
      <c r="D3786" s="1"/>
      <c r="E3786" s="35"/>
      <c r="F3786" s="1"/>
      <c r="G3786" s="1"/>
      <c r="H3786" s="1"/>
      <c r="I3786" s="35"/>
      <c r="J3786" s="34"/>
      <c r="K3786" s="19"/>
      <c r="L3786" s="19"/>
      <c r="N3786" s="35"/>
    </row>
    <row r="3787">
      <c r="A3787" s="1"/>
      <c r="B3787" s="166"/>
      <c r="C3787" s="1"/>
      <c r="D3787" s="1"/>
      <c r="E3787" s="35"/>
      <c r="F3787" s="1"/>
      <c r="G3787" s="1"/>
      <c r="H3787" s="1"/>
      <c r="I3787" s="35"/>
      <c r="J3787" s="34"/>
      <c r="K3787" s="19"/>
      <c r="L3787" s="19"/>
      <c r="N3787" s="35"/>
    </row>
    <row r="3788">
      <c r="A3788" s="1"/>
      <c r="B3788" s="166"/>
      <c r="C3788" s="1"/>
      <c r="D3788" s="1"/>
      <c r="E3788" s="35"/>
      <c r="F3788" s="1"/>
      <c r="G3788" s="1"/>
      <c r="H3788" s="1"/>
      <c r="I3788" s="35"/>
      <c r="J3788" s="34"/>
      <c r="K3788" s="19"/>
      <c r="L3788" s="19"/>
      <c r="N3788" s="35"/>
    </row>
    <row r="3789">
      <c r="A3789" s="1"/>
      <c r="B3789" s="166"/>
      <c r="C3789" s="1"/>
      <c r="D3789" s="1"/>
      <c r="E3789" s="35"/>
      <c r="F3789" s="1"/>
      <c r="G3789" s="1"/>
      <c r="H3789" s="1"/>
      <c r="I3789" s="35"/>
      <c r="J3789" s="34"/>
      <c r="K3789" s="19"/>
      <c r="L3789" s="19"/>
      <c r="N3789" s="35"/>
    </row>
    <row r="3790">
      <c r="A3790" s="1"/>
      <c r="B3790" s="166"/>
      <c r="C3790" s="1"/>
      <c r="D3790" s="1"/>
      <c r="E3790" s="35"/>
      <c r="F3790" s="1"/>
      <c r="G3790" s="1"/>
      <c r="H3790" s="1"/>
      <c r="I3790" s="35"/>
      <c r="J3790" s="34"/>
      <c r="K3790" s="19"/>
      <c r="L3790" s="19"/>
      <c r="N3790" s="35"/>
    </row>
    <row r="3791">
      <c r="A3791" s="1"/>
      <c r="B3791" s="166"/>
      <c r="C3791" s="1"/>
      <c r="D3791" s="1"/>
      <c r="E3791" s="35"/>
      <c r="F3791" s="1"/>
      <c r="G3791" s="1"/>
      <c r="H3791" s="1"/>
      <c r="I3791" s="35"/>
      <c r="J3791" s="34"/>
      <c r="K3791" s="19"/>
      <c r="L3791" s="19"/>
      <c r="N3791" s="35"/>
    </row>
    <row r="3792">
      <c r="A3792" s="1"/>
      <c r="B3792" s="166"/>
      <c r="C3792" s="1"/>
      <c r="D3792" s="1"/>
      <c r="E3792" s="35"/>
      <c r="F3792" s="1"/>
      <c r="G3792" s="1"/>
      <c r="H3792" s="1"/>
      <c r="I3792" s="35"/>
      <c r="J3792" s="34"/>
      <c r="K3792" s="19"/>
      <c r="L3792" s="19"/>
      <c r="N3792" s="35"/>
    </row>
    <row r="3793">
      <c r="A3793" s="1"/>
      <c r="B3793" s="166"/>
      <c r="C3793" s="1"/>
      <c r="D3793" s="1"/>
      <c r="E3793" s="35"/>
      <c r="F3793" s="1"/>
      <c r="G3793" s="1"/>
      <c r="H3793" s="1"/>
      <c r="I3793" s="35"/>
      <c r="J3793" s="34"/>
      <c r="K3793" s="19"/>
      <c r="L3793" s="19"/>
      <c r="N3793" s="35"/>
    </row>
    <row r="3794">
      <c r="A3794" s="1"/>
      <c r="B3794" s="166"/>
      <c r="C3794" s="1"/>
      <c r="D3794" s="1"/>
      <c r="E3794" s="35"/>
      <c r="F3794" s="1"/>
      <c r="G3794" s="1"/>
      <c r="H3794" s="1"/>
      <c r="I3794" s="35"/>
      <c r="J3794" s="34"/>
      <c r="K3794" s="19"/>
      <c r="L3794" s="19"/>
      <c r="N3794" s="35"/>
    </row>
    <row r="3795">
      <c r="A3795" s="1"/>
      <c r="B3795" s="166"/>
      <c r="C3795" s="1"/>
      <c r="D3795" s="1"/>
      <c r="E3795" s="35"/>
      <c r="F3795" s="1"/>
      <c r="G3795" s="1"/>
      <c r="H3795" s="1"/>
      <c r="I3795" s="35"/>
      <c r="J3795" s="34"/>
      <c r="K3795" s="19"/>
      <c r="L3795" s="19"/>
      <c r="N3795" s="35"/>
    </row>
    <row r="3796">
      <c r="A3796" s="1"/>
      <c r="B3796" s="166"/>
      <c r="C3796" s="1"/>
      <c r="D3796" s="1"/>
      <c r="E3796" s="35"/>
      <c r="F3796" s="1"/>
      <c r="G3796" s="1"/>
      <c r="H3796" s="1"/>
      <c r="I3796" s="35"/>
      <c r="J3796" s="34"/>
      <c r="K3796" s="19"/>
      <c r="L3796" s="19"/>
      <c r="N3796" s="35"/>
    </row>
    <row r="3797">
      <c r="A3797" s="1"/>
      <c r="B3797" s="166"/>
      <c r="C3797" s="1"/>
      <c r="D3797" s="1"/>
      <c r="E3797" s="35"/>
      <c r="F3797" s="1"/>
      <c r="G3797" s="1"/>
      <c r="H3797" s="1"/>
      <c r="I3797" s="35"/>
      <c r="J3797" s="34"/>
      <c r="K3797" s="19"/>
      <c r="L3797" s="19"/>
      <c r="N3797" s="35"/>
    </row>
    <row r="3798">
      <c r="A3798" s="1"/>
      <c r="B3798" s="166"/>
      <c r="C3798" s="1"/>
      <c r="D3798" s="1"/>
      <c r="E3798" s="35"/>
      <c r="F3798" s="1"/>
      <c r="G3798" s="1"/>
      <c r="H3798" s="1"/>
      <c r="I3798" s="35"/>
      <c r="J3798" s="34"/>
      <c r="K3798" s="19"/>
      <c r="L3798" s="19"/>
      <c r="N3798" s="35"/>
    </row>
    <row r="3799">
      <c r="A3799" s="1"/>
      <c r="B3799" s="166"/>
      <c r="C3799" s="1"/>
      <c r="D3799" s="1"/>
      <c r="E3799" s="35"/>
      <c r="F3799" s="1"/>
      <c r="G3799" s="1"/>
      <c r="H3799" s="1"/>
      <c r="I3799" s="35"/>
      <c r="J3799" s="34"/>
      <c r="K3799" s="19"/>
      <c r="L3799" s="19"/>
      <c r="N3799" s="35"/>
    </row>
    <row r="3800">
      <c r="A3800" s="1"/>
      <c r="B3800" s="166"/>
      <c r="C3800" s="1"/>
      <c r="D3800" s="1"/>
      <c r="E3800" s="35"/>
      <c r="F3800" s="1"/>
      <c r="G3800" s="1"/>
      <c r="H3800" s="1"/>
      <c r="I3800" s="35"/>
      <c r="J3800" s="34"/>
      <c r="K3800" s="19"/>
      <c r="L3800" s="19"/>
      <c r="N3800" s="35"/>
    </row>
    <row r="3801">
      <c r="A3801" s="1"/>
      <c r="B3801" s="166"/>
      <c r="C3801" s="1"/>
      <c r="D3801" s="1"/>
      <c r="E3801" s="35"/>
      <c r="F3801" s="1"/>
      <c r="G3801" s="1"/>
      <c r="H3801" s="1"/>
      <c r="I3801" s="35"/>
      <c r="J3801" s="34"/>
      <c r="K3801" s="19"/>
      <c r="L3801" s="19"/>
      <c r="N3801" s="35"/>
    </row>
    <row r="3802">
      <c r="A3802" s="1"/>
      <c r="B3802" s="166"/>
      <c r="C3802" s="1"/>
      <c r="D3802" s="1"/>
      <c r="E3802" s="35"/>
      <c r="F3802" s="1"/>
      <c r="G3802" s="1"/>
      <c r="H3802" s="1"/>
      <c r="I3802" s="35"/>
      <c r="J3802" s="34"/>
      <c r="K3802" s="19"/>
      <c r="L3802" s="19"/>
      <c r="N3802" s="35"/>
    </row>
    <row r="3803">
      <c r="A3803" s="1"/>
      <c r="B3803" s="166"/>
      <c r="C3803" s="1"/>
      <c r="D3803" s="1"/>
      <c r="E3803" s="35"/>
      <c r="F3803" s="1"/>
      <c r="G3803" s="1"/>
      <c r="H3803" s="1"/>
      <c r="I3803" s="35"/>
      <c r="J3803" s="34"/>
      <c r="K3803" s="19"/>
      <c r="L3803" s="19"/>
      <c r="N3803" s="35"/>
    </row>
    <row r="3804">
      <c r="A3804" s="1"/>
      <c r="B3804" s="166"/>
      <c r="C3804" s="1"/>
      <c r="D3804" s="1"/>
      <c r="E3804" s="35"/>
      <c r="F3804" s="1"/>
      <c r="G3804" s="1"/>
      <c r="H3804" s="1"/>
      <c r="I3804" s="35"/>
      <c r="J3804" s="34"/>
      <c r="K3804" s="19"/>
      <c r="L3804" s="19"/>
      <c r="N3804" s="35"/>
    </row>
    <row r="3805">
      <c r="A3805" s="1"/>
      <c r="B3805" s="166"/>
      <c r="C3805" s="1"/>
      <c r="D3805" s="1"/>
      <c r="E3805" s="35"/>
      <c r="F3805" s="1"/>
      <c r="G3805" s="1"/>
      <c r="H3805" s="1"/>
      <c r="I3805" s="35"/>
      <c r="J3805" s="34"/>
      <c r="K3805" s="19"/>
      <c r="L3805" s="19"/>
      <c r="N3805" s="35"/>
    </row>
    <row r="3806">
      <c r="A3806" s="1"/>
      <c r="B3806" s="166"/>
      <c r="C3806" s="1"/>
      <c r="D3806" s="1"/>
      <c r="E3806" s="35"/>
      <c r="F3806" s="1"/>
      <c r="G3806" s="1"/>
      <c r="H3806" s="1"/>
      <c r="I3806" s="35"/>
      <c r="J3806" s="34"/>
      <c r="K3806" s="19"/>
      <c r="L3806" s="19"/>
      <c r="N3806" s="35"/>
    </row>
    <row r="3807">
      <c r="A3807" s="1"/>
      <c r="B3807" s="166"/>
      <c r="C3807" s="1"/>
      <c r="D3807" s="1"/>
      <c r="E3807" s="35"/>
      <c r="F3807" s="1"/>
      <c r="G3807" s="1"/>
      <c r="H3807" s="1"/>
      <c r="I3807" s="35"/>
      <c r="J3807" s="34"/>
      <c r="K3807" s="19"/>
      <c r="L3807" s="19"/>
      <c r="N3807" s="35"/>
    </row>
    <row r="3808">
      <c r="A3808" s="1"/>
      <c r="B3808" s="166"/>
      <c r="C3808" s="1"/>
      <c r="D3808" s="1"/>
      <c r="E3808" s="35"/>
      <c r="F3808" s="1"/>
      <c r="G3808" s="1"/>
      <c r="H3808" s="1"/>
      <c r="I3808" s="35"/>
      <c r="J3808" s="34"/>
      <c r="K3808" s="19"/>
      <c r="L3808" s="19"/>
      <c r="N3808" s="35"/>
    </row>
    <row r="3809">
      <c r="A3809" s="1"/>
      <c r="B3809" s="166"/>
      <c r="C3809" s="1"/>
      <c r="D3809" s="1"/>
      <c r="E3809" s="35"/>
      <c r="F3809" s="1"/>
      <c r="G3809" s="1"/>
      <c r="H3809" s="1"/>
      <c r="I3809" s="35"/>
      <c r="J3809" s="34"/>
      <c r="K3809" s="19"/>
      <c r="L3809" s="19"/>
      <c r="N3809" s="35"/>
    </row>
    <row r="3810">
      <c r="A3810" s="1"/>
      <c r="B3810" s="166"/>
      <c r="C3810" s="1"/>
      <c r="D3810" s="1"/>
      <c r="E3810" s="35"/>
      <c r="F3810" s="1"/>
      <c r="G3810" s="1"/>
      <c r="H3810" s="1"/>
      <c r="I3810" s="35"/>
      <c r="J3810" s="34"/>
      <c r="K3810" s="19"/>
      <c r="L3810" s="19"/>
      <c r="N3810" s="35"/>
    </row>
    <row r="3811">
      <c r="A3811" s="1"/>
      <c r="B3811" s="166"/>
      <c r="C3811" s="1"/>
      <c r="D3811" s="1"/>
      <c r="E3811" s="35"/>
      <c r="F3811" s="1"/>
      <c r="G3811" s="1"/>
      <c r="H3811" s="1"/>
      <c r="I3811" s="35"/>
      <c r="J3811" s="34"/>
      <c r="K3811" s="19"/>
      <c r="L3811" s="19"/>
      <c r="N3811" s="35"/>
    </row>
    <row r="3812">
      <c r="A3812" s="1"/>
      <c r="B3812" s="166"/>
      <c r="C3812" s="1"/>
      <c r="D3812" s="1"/>
      <c r="E3812" s="35"/>
      <c r="F3812" s="1"/>
      <c r="G3812" s="1"/>
      <c r="H3812" s="1"/>
      <c r="I3812" s="35"/>
      <c r="J3812" s="34"/>
      <c r="K3812" s="19"/>
      <c r="L3812" s="19"/>
      <c r="N3812" s="35"/>
    </row>
    <row r="3813">
      <c r="A3813" s="1"/>
      <c r="B3813" s="166"/>
      <c r="C3813" s="1"/>
      <c r="D3813" s="1"/>
      <c r="E3813" s="35"/>
      <c r="F3813" s="1"/>
      <c r="G3813" s="1"/>
      <c r="H3813" s="1"/>
      <c r="I3813" s="35"/>
      <c r="J3813" s="34"/>
      <c r="K3813" s="19"/>
      <c r="L3813" s="19"/>
      <c r="N3813" s="35"/>
    </row>
    <row r="3814">
      <c r="A3814" s="1"/>
      <c r="B3814" s="166"/>
      <c r="C3814" s="1"/>
      <c r="D3814" s="1"/>
      <c r="E3814" s="35"/>
      <c r="F3814" s="1"/>
      <c r="G3814" s="1"/>
      <c r="H3814" s="1"/>
      <c r="I3814" s="35"/>
      <c r="J3814" s="34"/>
      <c r="K3814" s="19"/>
      <c r="L3814" s="19"/>
      <c r="N3814" s="35"/>
    </row>
    <row r="3815">
      <c r="A3815" s="1"/>
      <c r="B3815" s="166"/>
      <c r="C3815" s="1"/>
      <c r="D3815" s="1"/>
      <c r="E3815" s="35"/>
      <c r="F3815" s="1"/>
      <c r="G3815" s="1"/>
      <c r="H3815" s="1"/>
      <c r="I3815" s="35"/>
      <c r="J3815" s="34"/>
      <c r="K3815" s="19"/>
      <c r="L3815" s="19"/>
      <c r="N3815" s="35"/>
    </row>
    <row r="3816">
      <c r="A3816" s="1"/>
      <c r="B3816" s="166"/>
      <c r="C3816" s="1"/>
      <c r="D3816" s="1"/>
      <c r="E3816" s="35"/>
      <c r="F3816" s="1"/>
      <c r="G3816" s="1"/>
      <c r="H3816" s="1"/>
      <c r="I3816" s="35"/>
      <c r="J3816" s="34"/>
      <c r="K3816" s="19"/>
      <c r="L3816" s="19"/>
      <c r="N3816" s="35"/>
    </row>
    <row r="3817">
      <c r="A3817" s="1"/>
      <c r="B3817" s="166"/>
      <c r="C3817" s="1"/>
      <c r="D3817" s="1"/>
      <c r="E3817" s="35"/>
      <c r="F3817" s="1"/>
      <c r="G3817" s="1"/>
      <c r="H3817" s="1"/>
      <c r="I3817" s="35"/>
      <c r="J3817" s="34"/>
      <c r="K3817" s="19"/>
      <c r="L3817" s="19"/>
      <c r="N3817" s="35"/>
    </row>
    <row r="3818">
      <c r="A3818" s="1"/>
      <c r="B3818" s="166"/>
      <c r="C3818" s="1"/>
      <c r="D3818" s="1"/>
      <c r="E3818" s="35"/>
      <c r="F3818" s="1"/>
      <c r="G3818" s="1"/>
      <c r="H3818" s="1"/>
      <c r="I3818" s="35"/>
      <c r="J3818" s="34"/>
      <c r="K3818" s="19"/>
      <c r="L3818" s="19"/>
      <c r="N3818" s="35"/>
    </row>
    <row r="3819">
      <c r="A3819" s="1"/>
      <c r="B3819" s="166"/>
      <c r="C3819" s="1"/>
      <c r="D3819" s="1"/>
      <c r="E3819" s="35"/>
      <c r="F3819" s="1"/>
      <c r="G3819" s="1"/>
      <c r="H3819" s="1"/>
      <c r="I3819" s="35"/>
      <c r="J3819" s="34"/>
      <c r="K3819" s="19"/>
      <c r="L3819" s="19"/>
      <c r="N3819" s="35"/>
    </row>
    <row r="3820">
      <c r="A3820" s="1"/>
      <c r="B3820" s="166"/>
      <c r="C3820" s="1"/>
      <c r="D3820" s="1"/>
      <c r="E3820" s="35"/>
      <c r="F3820" s="1"/>
      <c r="G3820" s="1"/>
      <c r="H3820" s="1"/>
      <c r="I3820" s="35"/>
      <c r="J3820" s="34"/>
      <c r="K3820" s="19"/>
      <c r="L3820" s="19"/>
      <c r="N3820" s="35"/>
    </row>
    <row r="3821">
      <c r="A3821" s="1"/>
      <c r="B3821" s="166"/>
      <c r="C3821" s="1"/>
      <c r="D3821" s="1"/>
      <c r="E3821" s="35"/>
      <c r="F3821" s="1"/>
      <c r="G3821" s="1"/>
      <c r="H3821" s="1"/>
      <c r="I3821" s="35"/>
      <c r="J3821" s="34"/>
      <c r="K3821" s="19"/>
      <c r="L3821" s="19"/>
      <c r="N3821" s="35"/>
    </row>
    <row r="3822">
      <c r="A3822" s="1"/>
      <c r="B3822" s="166"/>
      <c r="C3822" s="1"/>
      <c r="D3822" s="1"/>
      <c r="E3822" s="35"/>
      <c r="F3822" s="1"/>
      <c r="G3822" s="1"/>
      <c r="H3822" s="1"/>
      <c r="I3822" s="35"/>
      <c r="J3822" s="34"/>
      <c r="K3822" s="19"/>
      <c r="L3822" s="19"/>
      <c r="N3822" s="35"/>
    </row>
    <row r="3823">
      <c r="A3823" s="1"/>
      <c r="B3823" s="166"/>
      <c r="C3823" s="1"/>
      <c r="D3823" s="1"/>
      <c r="E3823" s="35"/>
      <c r="F3823" s="1"/>
      <c r="G3823" s="1"/>
      <c r="H3823" s="1"/>
      <c r="I3823" s="35"/>
      <c r="J3823" s="34"/>
      <c r="K3823" s="19"/>
      <c r="L3823" s="19"/>
      <c r="N3823" s="35"/>
    </row>
    <row r="3824">
      <c r="A3824" s="1"/>
      <c r="B3824" s="166"/>
      <c r="C3824" s="1"/>
      <c r="D3824" s="1"/>
      <c r="E3824" s="35"/>
      <c r="F3824" s="1"/>
      <c r="G3824" s="1"/>
      <c r="H3824" s="1"/>
      <c r="I3824" s="35"/>
      <c r="J3824" s="34"/>
      <c r="K3824" s="19"/>
      <c r="L3824" s="19"/>
      <c r="N3824" s="35"/>
    </row>
    <row r="3825">
      <c r="A3825" s="1"/>
      <c r="B3825" s="166"/>
      <c r="C3825" s="1"/>
      <c r="D3825" s="1"/>
      <c r="E3825" s="35"/>
      <c r="F3825" s="1"/>
      <c r="G3825" s="1"/>
      <c r="H3825" s="1"/>
      <c r="I3825" s="35"/>
      <c r="J3825" s="34"/>
      <c r="K3825" s="19"/>
      <c r="L3825" s="19"/>
      <c r="N3825" s="35"/>
    </row>
    <row r="3826">
      <c r="A3826" s="1"/>
      <c r="B3826" s="166"/>
      <c r="C3826" s="1"/>
      <c r="D3826" s="1"/>
      <c r="E3826" s="35"/>
      <c r="F3826" s="1"/>
      <c r="G3826" s="1"/>
      <c r="H3826" s="1"/>
      <c r="I3826" s="35"/>
      <c r="J3826" s="34"/>
      <c r="K3826" s="19"/>
      <c r="L3826" s="19"/>
      <c r="N3826" s="35"/>
    </row>
    <row r="3827">
      <c r="A3827" s="1"/>
      <c r="B3827" s="166"/>
      <c r="C3827" s="1"/>
      <c r="D3827" s="1"/>
      <c r="E3827" s="35"/>
      <c r="F3827" s="1"/>
      <c r="G3827" s="1"/>
      <c r="H3827" s="1"/>
      <c r="I3827" s="35"/>
      <c r="J3827" s="34"/>
      <c r="K3827" s="19"/>
      <c r="L3827" s="19"/>
      <c r="N3827" s="35"/>
    </row>
    <row r="3828">
      <c r="A3828" s="1"/>
      <c r="B3828" s="166"/>
      <c r="C3828" s="1"/>
      <c r="D3828" s="1"/>
      <c r="E3828" s="35"/>
      <c r="F3828" s="1"/>
      <c r="G3828" s="1"/>
      <c r="H3828" s="1"/>
      <c r="I3828" s="35"/>
      <c r="J3828" s="34"/>
      <c r="K3828" s="19"/>
      <c r="L3828" s="19"/>
      <c r="N3828" s="35"/>
    </row>
    <row r="3829">
      <c r="A3829" s="1"/>
      <c r="B3829" s="166"/>
      <c r="C3829" s="1"/>
      <c r="D3829" s="1"/>
      <c r="E3829" s="35"/>
      <c r="F3829" s="1"/>
      <c r="G3829" s="1"/>
      <c r="H3829" s="1"/>
      <c r="I3829" s="35"/>
      <c r="J3829" s="34"/>
      <c r="K3829" s="19"/>
      <c r="L3829" s="19"/>
      <c r="N3829" s="35"/>
    </row>
    <row r="3830">
      <c r="A3830" s="1"/>
      <c r="B3830" s="166"/>
      <c r="C3830" s="1"/>
      <c r="D3830" s="1"/>
      <c r="E3830" s="35"/>
      <c r="F3830" s="1"/>
      <c r="G3830" s="1"/>
      <c r="H3830" s="1"/>
      <c r="I3830" s="35"/>
      <c r="J3830" s="34"/>
      <c r="K3830" s="19"/>
      <c r="L3830" s="19"/>
      <c r="N3830" s="35"/>
    </row>
    <row r="3831">
      <c r="A3831" s="1"/>
      <c r="B3831" s="166"/>
      <c r="C3831" s="1"/>
      <c r="D3831" s="1"/>
      <c r="E3831" s="35"/>
      <c r="F3831" s="1"/>
      <c r="G3831" s="1"/>
      <c r="H3831" s="1"/>
      <c r="I3831" s="35"/>
      <c r="J3831" s="34"/>
      <c r="K3831" s="19"/>
      <c r="L3831" s="19"/>
      <c r="N3831" s="35"/>
    </row>
    <row r="3832">
      <c r="A3832" s="1"/>
      <c r="B3832" s="166"/>
      <c r="C3832" s="1"/>
      <c r="D3832" s="1"/>
      <c r="E3832" s="35"/>
      <c r="F3832" s="1"/>
      <c r="G3832" s="1"/>
      <c r="H3832" s="1"/>
      <c r="I3832" s="35"/>
      <c r="J3832" s="34"/>
      <c r="K3832" s="19"/>
      <c r="L3832" s="19"/>
      <c r="N3832" s="35"/>
    </row>
    <row r="3833">
      <c r="A3833" s="1"/>
      <c r="B3833" s="166"/>
      <c r="C3833" s="1"/>
      <c r="D3833" s="1"/>
      <c r="E3833" s="35"/>
      <c r="F3833" s="1"/>
      <c r="G3833" s="1"/>
      <c r="H3833" s="1"/>
      <c r="I3833" s="35"/>
      <c r="J3833" s="34"/>
      <c r="K3833" s="19"/>
      <c r="L3833" s="19"/>
      <c r="N3833" s="35"/>
    </row>
    <row r="3834">
      <c r="A3834" s="1"/>
      <c r="B3834" s="166"/>
      <c r="C3834" s="1"/>
      <c r="D3834" s="1"/>
      <c r="E3834" s="35"/>
      <c r="F3834" s="1"/>
      <c r="G3834" s="1"/>
      <c r="H3834" s="1"/>
      <c r="I3834" s="35"/>
      <c r="J3834" s="34"/>
      <c r="K3834" s="19"/>
      <c r="L3834" s="19"/>
      <c r="N3834" s="35"/>
    </row>
    <row r="3835">
      <c r="A3835" s="1"/>
      <c r="B3835" s="166"/>
      <c r="C3835" s="1"/>
      <c r="D3835" s="1"/>
      <c r="E3835" s="35"/>
      <c r="F3835" s="1"/>
      <c r="G3835" s="1"/>
      <c r="H3835" s="1"/>
      <c r="I3835" s="35"/>
      <c r="J3835" s="34"/>
      <c r="K3835" s="19"/>
      <c r="L3835" s="19"/>
      <c r="N3835" s="35"/>
    </row>
    <row r="3836">
      <c r="A3836" s="1"/>
      <c r="B3836" s="166"/>
      <c r="C3836" s="1"/>
      <c r="D3836" s="1"/>
      <c r="E3836" s="35"/>
      <c r="F3836" s="1"/>
      <c r="G3836" s="1"/>
      <c r="H3836" s="1"/>
      <c r="I3836" s="35"/>
      <c r="J3836" s="34"/>
      <c r="K3836" s="19"/>
      <c r="L3836" s="19"/>
      <c r="N3836" s="35"/>
    </row>
    <row r="3837">
      <c r="A3837" s="1"/>
      <c r="B3837" s="166"/>
      <c r="C3837" s="1"/>
      <c r="D3837" s="1"/>
      <c r="E3837" s="35"/>
      <c r="F3837" s="1"/>
      <c r="G3837" s="1"/>
      <c r="H3837" s="1"/>
      <c r="I3837" s="35"/>
      <c r="J3837" s="34"/>
      <c r="K3837" s="19"/>
      <c r="L3837" s="19"/>
      <c r="N3837" s="35"/>
    </row>
    <row r="3838">
      <c r="A3838" s="1"/>
      <c r="B3838" s="166"/>
      <c r="C3838" s="1"/>
      <c r="D3838" s="1"/>
      <c r="E3838" s="35"/>
      <c r="F3838" s="1"/>
      <c r="G3838" s="1"/>
      <c r="H3838" s="1"/>
      <c r="I3838" s="35"/>
      <c r="J3838" s="34"/>
      <c r="K3838" s="19"/>
      <c r="L3838" s="19"/>
      <c r="N3838" s="35"/>
    </row>
    <row r="3839">
      <c r="A3839" s="1"/>
      <c r="B3839" s="166"/>
      <c r="C3839" s="1"/>
      <c r="D3839" s="1"/>
      <c r="E3839" s="35"/>
      <c r="F3839" s="1"/>
      <c r="G3839" s="1"/>
      <c r="H3839" s="1"/>
      <c r="I3839" s="35"/>
      <c r="J3839" s="34"/>
      <c r="K3839" s="19"/>
      <c r="L3839" s="19"/>
      <c r="N3839" s="35"/>
    </row>
    <row r="3840">
      <c r="A3840" s="1"/>
      <c r="B3840" s="166"/>
      <c r="C3840" s="1"/>
      <c r="D3840" s="1"/>
      <c r="E3840" s="35"/>
      <c r="F3840" s="1"/>
      <c r="G3840" s="1"/>
      <c r="H3840" s="1"/>
      <c r="I3840" s="35"/>
      <c r="J3840" s="34"/>
      <c r="K3840" s="19"/>
      <c r="L3840" s="19"/>
      <c r="N3840" s="35"/>
    </row>
    <row r="3841">
      <c r="A3841" s="1"/>
      <c r="B3841" s="166"/>
      <c r="C3841" s="1"/>
      <c r="D3841" s="1"/>
      <c r="E3841" s="35"/>
      <c r="F3841" s="1"/>
      <c r="G3841" s="1"/>
      <c r="H3841" s="1"/>
      <c r="I3841" s="35"/>
      <c r="J3841" s="34"/>
      <c r="K3841" s="19"/>
      <c r="L3841" s="19"/>
      <c r="N3841" s="35"/>
    </row>
    <row r="3842">
      <c r="A3842" s="1"/>
      <c r="B3842" s="166"/>
      <c r="C3842" s="1"/>
      <c r="D3842" s="1"/>
      <c r="E3842" s="35"/>
      <c r="F3842" s="1"/>
      <c r="G3842" s="1"/>
      <c r="H3842" s="1"/>
      <c r="I3842" s="35"/>
      <c r="J3842" s="34"/>
      <c r="K3842" s="19"/>
      <c r="L3842" s="19"/>
      <c r="N3842" s="35"/>
    </row>
    <row r="3843">
      <c r="A3843" s="1"/>
      <c r="B3843" s="166"/>
      <c r="C3843" s="1"/>
      <c r="D3843" s="1"/>
      <c r="E3843" s="35"/>
      <c r="F3843" s="1"/>
      <c r="G3843" s="1"/>
      <c r="H3843" s="1"/>
      <c r="I3843" s="35"/>
      <c r="J3843" s="34"/>
      <c r="K3843" s="19"/>
      <c r="L3843" s="19"/>
      <c r="N3843" s="35"/>
    </row>
    <row r="3844">
      <c r="A3844" s="1"/>
      <c r="B3844" s="166"/>
      <c r="C3844" s="1"/>
      <c r="D3844" s="1"/>
      <c r="E3844" s="35"/>
      <c r="F3844" s="1"/>
      <c r="G3844" s="1"/>
      <c r="H3844" s="1"/>
      <c r="I3844" s="35"/>
      <c r="J3844" s="34"/>
      <c r="K3844" s="19"/>
      <c r="L3844" s="19"/>
      <c r="N3844" s="35"/>
    </row>
    <row r="3845">
      <c r="A3845" s="1"/>
      <c r="B3845" s="166"/>
      <c r="C3845" s="1"/>
      <c r="D3845" s="1"/>
      <c r="E3845" s="35"/>
      <c r="F3845" s="1"/>
      <c r="G3845" s="1"/>
      <c r="H3845" s="1"/>
      <c r="I3845" s="35"/>
      <c r="J3845" s="34"/>
      <c r="K3845" s="19"/>
      <c r="L3845" s="19"/>
      <c r="N3845" s="35"/>
    </row>
    <row r="3846">
      <c r="A3846" s="1"/>
      <c r="B3846" s="166"/>
      <c r="C3846" s="1"/>
      <c r="D3846" s="1"/>
      <c r="E3846" s="35"/>
      <c r="F3846" s="1"/>
      <c r="G3846" s="1"/>
      <c r="H3846" s="1"/>
      <c r="I3846" s="35"/>
      <c r="J3846" s="34"/>
      <c r="K3846" s="19"/>
      <c r="L3846" s="19"/>
      <c r="N3846" s="35"/>
    </row>
    <row r="3847">
      <c r="A3847" s="1"/>
      <c r="B3847" s="166"/>
      <c r="C3847" s="1"/>
      <c r="D3847" s="1"/>
      <c r="E3847" s="35"/>
      <c r="F3847" s="1"/>
      <c r="G3847" s="1"/>
      <c r="H3847" s="1"/>
      <c r="I3847" s="35"/>
      <c r="J3847" s="34"/>
      <c r="K3847" s="19"/>
      <c r="L3847" s="19"/>
      <c r="N3847" s="35"/>
    </row>
    <row r="3848">
      <c r="A3848" s="1"/>
      <c r="B3848" s="166"/>
      <c r="C3848" s="1"/>
      <c r="D3848" s="1"/>
      <c r="E3848" s="35"/>
      <c r="F3848" s="1"/>
      <c r="G3848" s="1"/>
      <c r="H3848" s="1"/>
      <c r="I3848" s="35"/>
      <c r="J3848" s="34"/>
      <c r="K3848" s="19"/>
      <c r="L3848" s="19"/>
      <c r="N3848" s="35"/>
    </row>
    <row r="3849">
      <c r="A3849" s="1"/>
      <c r="B3849" s="166"/>
      <c r="C3849" s="1"/>
      <c r="D3849" s="1"/>
      <c r="E3849" s="35"/>
      <c r="F3849" s="1"/>
      <c r="G3849" s="1"/>
      <c r="H3849" s="1"/>
      <c r="I3849" s="35"/>
      <c r="J3849" s="34"/>
      <c r="K3849" s="19"/>
      <c r="L3849" s="19"/>
      <c r="N3849" s="35"/>
    </row>
    <row r="3850">
      <c r="A3850" s="1"/>
      <c r="B3850" s="166"/>
      <c r="C3850" s="1"/>
      <c r="D3850" s="1"/>
      <c r="E3850" s="35"/>
      <c r="F3850" s="1"/>
      <c r="G3850" s="1"/>
      <c r="H3850" s="1"/>
      <c r="I3850" s="35"/>
      <c r="J3850" s="34"/>
      <c r="K3850" s="19"/>
      <c r="L3850" s="19"/>
      <c r="N3850" s="35"/>
    </row>
    <row r="3851">
      <c r="A3851" s="1"/>
      <c r="B3851" s="166"/>
      <c r="C3851" s="1"/>
      <c r="D3851" s="1"/>
      <c r="E3851" s="35"/>
      <c r="F3851" s="1"/>
      <c r="G3851" s="1"/>
      <c r="H3851" s="1"/>
      <c r="I3851" s="35"/>
      <c r="J3851" s="34"/>
      <c r="K3851" s="19"/>
      <c r="L3851" s="19"/>
      <c r="N3851" s="35"/>
    </row>
    <row r="3852">
      <c r="A3852" s="1"/>
      <c r="B3852" s="166"/>
      <c r="C3852" s="1"/>
      <c r="D3852" s="1"/>
      <c r="E3852" s="35"/>
      <c r="F3852" s="1"/>
      <c r="G3852" s="1"/>
      <c r="H3852" s="1"/>
      <c r="I3852" s="35"/>
      <c r="J3852" s="34"/>
      <c r="K3852" s="19"/>
      <c r="L3852" s="19"/>
      <c r="N3852" s="35"/>
    </row>
    <row r="3853">
      <c r="A3853" s="1"/>
      <c r="B3853" s="166"/>
      <c r="C3853" s="1"/>
      <c r="D3853" s="1"/>
      <c r="E3853" s="35"/>
      <c r="F3853" s="1"/>
      <c r="G3853" s="1"/>
      <c r="H3853" s="1"/>
      <c r="I3853" s="35"/>
      <c r="J3853" s="34"/>
      <c r="K3853" s="19"/>
      <c r="L3853" s="19"/>
      <c r="N3853" s="35"/>
    </row>
    <row r="3854">
      <c r="A3854" s="1"/>
      <c r="B3854" s="166"/>
      <c r="C3854" s="1"/>
      <c r="D3854" s="1"/>
      <c r="E3854" s="35"/>
      <c r="F3854" s="1"/>
      <c r="G3854" s="1"/>
      <c r="H3854" s="1"/>
      <c r="I3854" s="35"/>
      <c r="J3854" s="34"/>
      <c r="K3854" s="19"/>
      <c r="L3854" s="19"/>
      <c r="N3854" s="35"/>
    </row>
    <row r="3855">
      <c r="A3855" s="1"/>
      <c r="B3855" s="166"/>
      <c r="C3855" s="1"/>
      <c r="D3855" s="1"/>
      <c r="E3855" s="35"/>
      <c r="F3855" s="1"/>
      <c r="G3855" s="1"/>
      <c r="H3855" s="1"/>
      <c r="I3855" s="35"/>
      <c r="J3855" s="34"/>
      <c r="K3855" s="19"/>
      <c r="L3855" s="19"/>
      <c r="N3855" s="35"/>
    </row>
    <row r="3856">
      <c r="A3856" s="1"/>
      <c r="B3856" s="166"/>
      <c r="C3856" s="1"/>
      <c r="D3856" s="1"/>
      <c r="E3856" s="35"/>
      <c r="F3856" s="1"/>
      <c r="G3856" s="1"/>
      <c r="H3856" s="1"/>
      <c r="I3856" s="35"/>
      <c r="J3856" s="34"/>
      <c r="K3856" s="19"/>
      <c r="L3856" s="19"/>
      <c r="N3856" s="35"/>
    </row>
    <row r="3857">
      <c r="A3857" s="1"/>
      <c r="B3857" s="166"/>
      <c r="C3857" s="1"/>
      <c r="D3857" s="1"/>
      <c r="E3857" s="35"/>
      <c r="F3857" s="1"/>
      <c r="G3857" s="1"/>
      <c r="H3857" s="1"/>
      <c r="I3857" s="35"/>
      <c r="J3857" s="34"/>
      <c r="K3857" s="19"/>
      <c r="L3857" s="19"/>
      <c r="N3857" s="35"/>
    </row>
    <row r="3858">
      <c r="A3858" s="1"/>
      <c r="B3858" s="166"/>
      <c r="C3858" s="1"/>
      <c r="D3858" s="1"/>
      <c r="E3858" s="35"/>
      <c r="F3858" s="1"/>
      <c r="G3858" s="1"/>
      <c r="H3858" s="1"/>
      <c r="I3858" s="35"/>
      <c r="J3858" s="34"/>
      <c r="K3858" s="19"/>
      <c r="L3858" s="19"/>
      <c r="N3858" s="35"/>
    </row>
    <row r="3859">
      <c r="A3859" s="1"/>
      <c r="B3859" s="166"/>
      <c r="C3859" s="1"/>
      <c r="D3859" s="1"/>
      <c r="E3859" s="35"/>
      <c r="F3859" s="1"/>
      <c r="G3859" s="1"/>
      <c r="H3859" s="1"/>
      <c r="I3859" s="35"/>
      <c r="J3859" s="34"/>
      <c r="K3859" s="19"/>
      <c r="L3859" s="19"/>
      <c r="N3859" s="35"/>
    </row>
    <row r="3860">
      <c r="A3860" s="1"/>
      <c r="B3860" s="166"/>
      <c r="C3860" s="1"/>
      <c r="D3860" s="1"/>
      <c r="E3860" s="35"/>
      <c r="F3860" s="1"/>
      <c r="G3860" s="1"/>
      <c r="H3860" s="1"/>
      <c r="I3860" s="35"/>
      <c r="J3860" s="34"/>
      <c r="K3860" s="19"/>
      <c r="L3860" s="19"/>
      <c r="N3860" s="35"/>
    </row>
    <row r="3861">
      <c r="A3861" s="1"/>
      <c r="B3861" s="166"/>
      <c r="C3861" s="1"/>
      <c r="D3861" s="1"/>
      <c r="E3861" s="35"/>
      <c r="F3861" s="1"/>
      <c r="G3861" s="1"/>
      <c r="H3861" s="1"/>
      <c r="I3861" s="35"/>
      <c r="J3861" s="34"/>
      <c r="K3861" s="19"/>
      <c r="L3861" s="19"/>
      <c r="N3861" s="35"/>
    </row>
    <row r="3862">
      <c r="A3862" s="1"/>
      <c r="B3862" s="166"/>
      <c r="C3862" s="1"/>
      <c r="D3862" s="1"/>
      <c r="E3862" s="35"/>
      <c r="F3862" s="1"/>
      <c r="G3862" s="1"/>
      <c r="H3862" s="1"/>
      <c r="I3862" s="35"/>
      <c r="J3862" s="34"/>
      <c r="K3862" s="19"/>
      <c r="L3862" s="19"/>
      <c r="N3862" s="35"/>
    </row>
    <row r="3863">
      <c r="A3863" s="1"/>
      <c r="B3863" s="166"/>
      <c r="C3863" s="1"/>
      <c r="D3863" s="1"/>
      <c r="E3863" s="35"/>
      <c r="F3863" s="1"/>
      <c r="G3863" s="1"/>
      <c r="H3863" s="1"/>
      <c r="I3863" s="35"/>
      <c r="J3863" s="34"/>
      <c r="K3863" s="19"/>
      <c r="L3863" s="19"/>
      <c r="N3863" s="35"/>
    </row>
    <row r="3864">
      <c r="A3864" s="1"/>
      <c r="B3864" s="166"/>
      <c r="C3864" s="1"/>
      <c r="D3864" s="1"/>
      <c r="E3864" s="35"/>
      <c r="F3864" s="1"/>
      <c r="G3864" s="1"/>
      <c r="H3864" s="1"/>
      <c r="I3864" s="35"/>
      <c r="J3864" s="34"/>
      <c r="K3864" s="19"/>
      <c r="L3864" s="19"/>
      <c r="N3864" s="35"/>
    </row>
    <row r="3865">
      <c r="A3865" s="1"/>
      <c r="B3865" s="166"/>
      <c r="C3865" s="1"/>
      <c r="D3865" s="1"/>
      <c r="E3865" s="35"/>
      <c r="F3865" s="1"/>
      <c r="G3865" s="1"/>
      <c r="H3865" s="1"/>
      <c r="I3865" s="35"/>
      <c r="J3865" s="34"/>
      <c r="K3865" s="19"/>
      <c r="L3865" s="19"/>
      <c r="N3865" s="35"/>
    </row>
    <row r="3866">
      <c r="A3866" s="1"/>
      <c r="B3866" s="166"/>
      <c r="C3866" s="1"/>
      <c r="D3866" s="1"/>
      <c r="E3866" s="35"/>
      <c r="F3866" s="1"/>
      <c r="G3866" s="1"/>
      <c r="H3866" s="1"/>
      <c r="I3866" s="35"/>
      <c r="J3866" s="34"/>
      <c r="K3866" s="19"/>
      <c r="L3866" s="19"/>
      <c r="N3866" s="35"/>
    </row>
    <row r="3867">
      <c r="A3867" s="1"/>
      <c r="B3867" s="166"/>
      <c r="C3867" s="1"/>
      <c r="D3867" s="1"/>
      <c r="E3867" s="35"/>
      <c r="F3867" s="1"/>
      <c r="G3867" s="1"/>
      <c r="H3867" s="1"/>
      <c r="I3867" s="35"/>
      <c r="J3867" s="34"/>
      <c r="K3867" s="19"/>
      <c r="L3867" s="19"/>
      <c r="N3867" s="35"/>
    </row>
    <row r="3868">
      <c r="A3868" s="1"/>
      <c r="B3868" s="166"/>
      <c r="C3868" s="1"/>
      <c r="D3868" s="1"/>
      <c r="E3868" s="35"/>
      <c r="F3868" s="1"/>
      <c r="G3868" s="1"/>
      <c r="H3868" s="1"/>
      <c r="I3868" s="35"/>
      <c r="J3868" s="34"/>
      <c r="K3868" s="19"/>
      <c r="L3868" s="19"/>
      <c r="N3868" s="35"/>
    </row>
    <row r="3869">
      <c r="A3869" s="1"/>
      <c r="B3869" s="166"/>
      <c r="C3869" s="1"/>
      <c r="D3869" s="1"/>
      <c r="E3869" s="35"/>
      <c r="F3869" s="1"/>
      <c r="G3869" s="1"/>
      <c r="H3869" s="1"/>
      <c r="I3869" s="35"/>
      <c r="J3869" s="34"/>
      <c r="K3869" s="19"/>
      <c r="L3869" s="19"/>
      <c r="N3869" s="35"/>
    </row>
    <row r="3870">
      <c r="A3870" s="1"/>
      <c r="B3870" s="166"/>
      <c r="C3870" s="1"/>
      <c r="D3870" s="1"/>
      <c r="E3870" s="35"/>
      <c r="F3870" s="1"/>
      <c r="G3870" s="1"/>
      <c r="H3870" s="1"/>
      <c r="I3870" s="35"/>
      <c r="J3870" s="34"/>
      <c r="K3870" s="19"/>
      <c r="L3870" s="19"/>
      <c r="N3870" s="35"/>
    </row>
    <row r="3871">
      <c r="A3871" s="1"/>
      <c r="B3871" s="166"/>
      <c r="C3871" s="1"/>
      <c r="D3871" s="1"/>
      <c r="E3871" s="35"/>
      <c r="F3871" s="1"/>
      <c r="G3871" s="1"/>
      <c r="H3871" s="1"/>
      <c r="I3871" s="35"/>
      <c r="J3871" s="34"/>
      <c r="K3871" s="19"/>
      <c r="L3871" s="19"/>
      <c r="N3871" s="35"/>
    </row>
    <row r="3872">
      <c r="A3872" s="1"/>
      <c r="B3872" s="166"/>
      <c r="C3872" s="1"/>
      <c r="D3872" s="1"/>
      <c r="E3872" s="35"/>
      <c r="F3872" s="1"/>
      <c r="G3872" s="1"/>
      <c r="H3872" s="1"/>
      <c r="I3872" s="35"/>
      <c r="J3872" s="34"/>
      <c r="K3872" s="19"/>
      <c r="L3872" s="19"/>
      <c r="N3872" s="35"/>
    </row>
    <row r="3873">
      <c r="A3873" s="1"/>
      <c r="B3873" s="166"/>
      <c r="C3873" s="1"/>
      <c r="D3873" s="1"/>
      <c r="E3873" s="35"/>
      <c r="F3873" s="1"/>
      <c r="G3873" s="1"/>
      <c r="H3873" s="1"/>
      <c r="I3873" s="35"/>
      <c r="J3873" s="34"/>
      <c r="K3873" s="19"/>
      <c r="L3873" s="19"/>
      <c r="N3873" s="35"/>
    </row>
    <row r="3874">
      <c r="A3874" s="1"/>
      <c r="B3874" s="166"/>
      <c r="C3874" s="1"/>
      <c r="D3874" s="1"/>
      <c r="E3874" s="35"/>
      <c r="F3874" s="1"/>
      <c r="G3874" s="1"/>
      <c r="H3874" s="1"/>
      <c r="I3874" s="35"/>
      <c r="J3874" s="34"/>
      <c r="K3874" s="19"/>
      <c r="L3874" s="19"/>
      <c r="N3874" s="35"/>
    </row>
    <row r="3875">
      <c r="A3875" s="1"/>
      <c r="B3875" s="166"/>
      <c r="C3875" s="1"/>
      <c r="D3875" s="1"/>
      <c r="E3875" s="35"/>
      <c r="F3875" s="1"/>
      <c r="G3875" s="1"/>
      <c r="H3875" s="1"/>
      <c r="I3875" s="35"/>
      <c r="J3875" s="34"/>
      <c r="K3875" s="19"/>
      <c r="L3875" s="19"/>
      <c r="N3875" s="35"/>
    </row>
    <row r="3876">
      <c r="A3876" s="1"/>
      <c r="B3876" s="166"/>
      <c r="C3876" s="1"/>
      <c r="D3876" s="1"/>
      <c r="E3876" s="35"/>
      <c r="F3876" s="1"/>
      <c r="G3876" s="1"/>
      <c r="H3876" s="1"/>
      <c r="I3876" s="35"/>
      <c r="J3876" s="34"/>
      <c r="K3876" s="19"/>
      <c r="L3876" s="19"/>
      <c r="N3876" s="35"/>
    </row>
    <row r="3877">
      <c r="A3877" s="1"/>
      <c r="B3877" s="166"/>
      <c r="C3877" s="1"/>
      <c r="D3877" s="1"/>
      <c r="E3877" s="35"/>
      <c r="F3877" s="1"/>
      <c r="G3877" s="1"/>
      <c r="H3877" s="1"/>
      <c r="I3877" s="35"/>
      <c r="J3877" s="34"/>
      <c r="K3877" s="19"/>
      <c r="L3877" s="19"/>
      <c r="N3877" s="35"/>
    </row>
    <row r="3878">
      <c r="A3878" s="1"/>
      <c r="B3878" s="166"/>
      <c r="C3878" s="1"/>
      <c r="D3878" s="1"/>
      <c r="E3878" s="35"/>
      <c r="F3878" s="1"/>
      <c r="G3878" s="1"/>
      <c r="H3878" s="1"/>
      <c r="I3878" s="35"/>
      <c r="J3878" s="34"/>
      <c r="K3878" s="19"/>
      <c r="L3878" s="19"/>
      <c r="N3878" s="35"/>
    </row>
    <row r="3879">
      <c r="A3879" s="1"/>
      <c r="B3879" s="166"/>
      <c r="C3879" s="1"/>
      <c r="D3879" s="1"/>
      <c r="E3879" s="35"/>
      <c r="F3879" s="1"/>
      <c r="G3879" s="1"/>
      <c r="H3879" s="1"/>
      <c r="I3879" s="35"/>
      <c r="J3879" s="34"/>
      <c r="K3879" s="19"/>
      <c r="L3879" s="19"/>
      <c r="N3879" s="35"/>
    </row>
    <row r="3880">
      <c r="A3880" s="1"/>
      <c r="B3880" s="166"/>
      <c r="C3880" s="1"/>
      <c r="D3880" s="1"/>
      <c r="E3880" s="35"/>
      <c r="F3880" s="1"/>
      <c r="G3880" s="1"/>
      <c r="H3880" s="1"/>
      <c r="I3880" s="35"/>
      <c r="J3880" s="34"/>
      <c r="K3880" s="19"/>
      <c r="L3880" s="19"/>
      <c r="N3880" s="35"/>
    </row>
    <row r="3881">
      <c r="A3881" s="1"/>
      <c r="B3881" s="166"/>
      <c r="C3881" s="1"/>
      <c r="D3881" s="1"/>
      <c r="E3881" s="35"/>
      <c r="F3881" s="1"/>
      <c r="G3881" s="1"/>
      <c r="H3881" s="1"/>
      <c r="I3881" s="35"/>
      <c r="J3881" s="34"/>
      <c r="K3881" s="19"/>
      <c r="L3881" s="19"/>
      <c r="N3881" s="35"/>
    </row>
    <row r="3882">
      <c r="A3882" s="1"/>
      <c r="B3882" s="166"/>
      <c r="C3882" s="1"/>
      <c r="D3882" s="1"/>
      <c r="E3882" s="35"/>
      <c r="F3882" s="1"/>
      <c r="G3882" s="1"/>
      <c r="H3882" s="1"/>
      <c r="I3882" s="35"/>
      <c r="J3882" s="34"/>
      <c r="K3882" s="19"/>
      <c r="L3882" s="19"/>
      <c r="N3882" s="35"/>
    </row>
    <row r="3883">
      <c r="A3883" s="1"/>
      <c r="B3883" s="166"/>
      <c r="C3883" s="1"/>
      <c r="D3883" s="1"/>
      <c r="E3883" s="35"/>
      <c r="F3883" s="1"/>
      <c r="G3883" s="1"/>
      <c r="H3883" s="1"/>
      <c r="I3883" s="35"/>
      <c r="J3883" s="34"/>
      <c r="K3883" s="19"/>
      <c r="L3883" s="19"/>
      <c r="N3883" s="35"/>
    </row>
    <row r="3884">
      <c r="A3884" s="1"/>
      <c r="B3884" s="166"/>
      <c r="C3884" s="1"/>
      <c r="D3884" s="1"/>
      <c r="E3884" s="35"/>
      <c r="F3884" s="1"/>
      <c r="G3884" s="1"/>
      <c r="H3884" s="1"/>
      <c r="I3884" s="35"/>
      <c r="J3884" s="34"/>
      <c r="K3884" s="19"/>
      <c r="L3884" s="19"/>
      <c r="N3884" s="35"/>
    </row>
    <row r="3885">
      <c r="A3885" s="1"/>
      <c r="B3885" s="166"/>
      <c r="C3885" s="1"/>
      <c r="D3885" s="1"/>
      <c r="E3885" s="35"/>
      <c r="F3885" s="1"/>
      <c r="G3885" s="1"/>
      <c r="H3885" s="1"/>
      <c r="I3885" s="35"/>
      <c r="J3885" s="34"/>
      <c r="K3885" s="19"/>
      <c r="L3885" s="19"/>
      <c r="N3885" s="35"/>
    </row>
    <row r="3886">
      <c r="A3886" s="1"/>
      <c r="B3886" s="166"/>
      <c r="C3886" s="1"/>
      <c r="D3886" s="1"/>
      <c r="E3886" s="35"/>
      <c r="F3886" s="1"/>
      <c r="G3886" s="1"/>
      <c r="H3886" s="1"/>
      <c r="I3886" s="35"/>
      <c r="J3886" s="34"/>
      <c r="K3886" s="19"/>
      <c r="L3886" s="19"/>
      <c r="N3886" s="35"/>
    </row>
    <row r="3887">
      <c r="A3887" s="1"/>
      <c r="B3887" s="166"/>
      <c r="C3887" s="1"/>
      <c r="D3887" s="1"/>
      <c r="E3887" s="35"/>
      <c r="F3887" s="1"/>
      <c r="G3887" s="1"/>
      <c r="H3887" s="1"/>
      <c r="I3887" s="35"/>
      <c r="J3887" s="34"/>
      <c r="K3887" s="19"/>
      <c r="L3887" s="19"/>
      <c r="N3887" s="35"/>
    </row>
    <row r="3888">
      <c r="A3888" s="1"/>
      <c r="B3888" s="166"/>
      <c r="C3888" s="1"/>
      <c r="D3888" s="1"/>
      <c r="E3888" s="35"/>
      <c r="F3888" s="1"/>
      <c r="G3888" s="1"/>
      <c r="H3888" s="1"/>
      <c r="I3888" s="35"/>
      <c r="J3888" s="34"/>
      <c r="K3888" s="19"/>
      <c r="L3888" s="19"/>
      <c r="N3888" s="35"/>
    </row>
    <row r="3889">
      <c r="A3889" s="1"/>
      <c r="B3889" s="166"/>
      <c r="C3889" s="1"/>
      <c r="D3889" s="1"/>
      <c r="E3889" s="35"/>
      <c r="F3889" s="1"/>
      <c r="G3889" s="1"/>
      <c r="H3889" s="1"/>
      <c r="I3889" s="35"/>
      <c r="J3889" s="34"/>
      <c r="K3889" s="19"/>
      <c r="L3889" s="19"/>
      <c r="N3889" s="35"/>
    </row>
    <row r="3890">
      <c r="A3890" s="1"/>
      <c r="B3890" s="166"/>
      <c r="C3890" s="1"/>
      <c r="D3890" s="1"/>
      <c r="E3890" s="35"/>
      <c r="F3890" s="1"/>
      <c r="G3890" s="1"/>
      <c r="H3890" s="1"/>
      <c r="I3890" s="35"/>
      <c r="J3890" s="34"/>
      <c r="K3890" s="19"/>
      <c r="L3890" s="19"/>
      <c r="N3890" s="35"/>
    </row>
    <row r="3891">
      <c r="A3891" s="1"/>
      <c r="B3891" s="166"/>
      <c r="C3891" s="1"/>
      <c r="D3891" s="1"/>
      <c r="E3891" s="35"/>
      <c r="F3891" s="1"/>
      <c r="G3891" s="1"/>
      <c r="H3891" s="1"/>
      <c r="I3891" s="35"/>
      <c r="J3891" s="34"/>
      <c r="K3891" s="19"/>
      <c r="L3891" s="19"/>
      <c r="N3891" s="35"/>
    </row>
    <row r="3892">
      <c r="A3892" s="1"/>
      <c r="B3892" s="166"/>
      <c r="C3892" s="1"/>
      <c r="D3892" s="1"/>
      <c r="E3892" s="35"/>
      <c r="F3892" s="1"/>
      <c r="G3892" s="1"/>
      <c r="H3892" s="1"/>
      <c r="I3892" s="35"/>
      <c r="J3892" s="34"/>
      <c r="K3892" s="19"/>
      <c r="L3892" s="19"/>
      <c r="N3892" s="35"/>
    </row>
    <row r="3893">
      <c r="A3893" s="1"/>
      <c r="B3893" s="166"/>
      <c r="C3893" s="1"/>
      <c r="D3893" s="1"/>
      <c r="E3893" s="35"/>
      <c r="F3893" s="1"/>
      <c r="G3893" s="1"/>
      <c r="H3893" s="1"/>
      <c r="I3893" s="35"/>
      <c r="J3893" s="34"/>
      <c r="K3893" s="19"/>
      <c r="L3893" s="19"/>
      <c r="N3893" s="35"/>
    </row>
    <row r="3894">
      <c r="A3894" s="1"/>
      <c r="B3894" s="166"/>
      <c r="C3894" s="1"/>
      <c r="D3894" s="1"/>
      <c r="E3894" s="35"/>
      <c r="F3894" s="1"/>
      <c r="G3894" s="1"/>
      <c r="H3894" s="1"/>
      <c r="I3894" s="35"/>
      <c r="J3894" s="34"/>
      <c r="K3894" s="19"/>
      <c r="L3894" s="19"/>
      <c r="N3894" s="35"/>
    </row>
    <row r="3895">
      <c r="A3895" s="1"/>
      <c r="B3895" s="166"/>
      <c r="C3895" s="1"/>
      <c r="D3895" s="1"/>
      <c r="E3895" s="35"/>
      <c r="F3895" s="1"/>
      <c r="G3895" s="1"/>
      <c r="H3895" s="1"/>
      <c r="I3895" s="35"/>
      <c r="J3895" s="34"/>
      <c r="K3895" s="19"/>
      <c r="L3895" s="19"/>
      <c r="N3895" s="35"/>
    </row>
    <row r="3896">
      <c r="A3896" s="1"/>
      <c r="B3896" s="166"/>
      <c r="C3896" s="1"/>
      <c r="D3896" s="1"/>
      <c r="E3896" s="35"/>
      <c r="F3896" s="1"/>
      <c r="G3896" s="1"/>
      <c r="H3896" s="1"/>
      <c r="I3896" s="35"/>
      <c r="J3896" s="34"/>
      <c r="K3896" s="19"/>
      <c r="L3896" s="19"/>
      <c r="N3896" s="35"/>
    </row>
    <row r="3897">
      <c r="A3897" s="1"/>
      <c r="B3897" s="166"/>
      <c r="C3897" s="1"/>
      <c r="D3897" s="1"/>
      <c r="E3897" s="35"/>
      <c r="F3897" s="1"/>
      <c r="G3897" s="1"/>
      <c r="H3897" s="1"/>
      <c r="I3897" s="35"/>
      <c r="J3897" s="34"/>
      <c r="K3897" s="19"/>
      <c r="L3897" s="19"/>
      <c r="N3897" s="35"/>
    </row>
    <row r="3898">
      <c r="A3898" s="1"/>
      <c r="B3898" s="166"/>
      <c r="C3898" s="1"/>
      <c r="D3898" s="1"/>
      <c r="E3898" s="35"/>
      <c r="F3898" s="1"/>
      <c r="G3898" s="1"/>
      <c r="H3898" s="1"/>
      <c r="I3898" s="35"/>
      <c r="J3898" s="34"/>
      <c r="K3898" s="19"/>
      <c r="L3898" s="19"/>
      <c r="N3898" s="35"/>
    </row>
    <row r="3899">
      <c r="A3899" s="1"/>
      <c r="B3899" s="166"/>
      <c r="C3899" s="1"/>
      <c r="D3899" s="1"/>
      <c r="E3899" s="35"/>
      <c r="F3899" s="1"/>
      <c r="G3899" s="1"/>
      <c r="H3899" s="1"/>
      <c r="I3899" s="35"/>
      <c r="J3899" s="34"/>
      <c r="K3899" s="19"/>
      <c r="L3899" s="19"/>
      <c r="N3899" s="35"/>
    </row>
    <row r="3900">
      <c r="A3900" s="1"/>
      <c r="B3900" s="166"/>
      <c r="C3900" s="1"/>
      <c r="D3900" s="1"/>
      <c r="E3900" s="35"/>
      <c r="F3900" s="1"/>
      <c r="G3900" s="1"/>
      <c r="H3900" s="1"/>
      <c r="I3900" s="35"/>
      <c r="J3900" s="34"/>
      <c r="K3900" s="19"/>
      <c r="L3900" s="19"/>
      <c r="N3900" s="35"/>
    </row>
    <row r="3901">
      <c r="A3901" s="1"/>
      <c r="B3901" s="166"/>
      <c r="C3901" s="1"/>
      <c r="D3901" s="1"/>
      <c r="E3901" s="35"/>
      <c r="F3901" s="1"/>
      <c r="G3901" s="1"/>
      <c r="H3901" s="1"/>
      <c r="I3901" s="35"/>
      <c r="J3901" s="34"/>
      <c r="K3901" s="19"/>
      <c r="L3901" s="19"/>
      <c r="N3901" s="35"/>
    </row>
    <row r="3902">
      <c r="A3902" s="1"/>
      <c r="B3902" s="166"/>
      <c r="C3902" s="1"/>
      <c r="D3902" s="1"/>
      <c r="E3902" s="35"/>
      <c r="F3902" s="1"/>
      <c r="G3902" s="1"/>
      <c r="H3902" s="1"/>
      <c r="I3902" s="35"/>
      <c r="J3902" s="34"/>
      <c r="K3902" s="19"/>
      <c r="L3902" s="19"/>
      <c r="N3902" s="35"/>
    </row>
    <row r="3903">
      <c r="A3903" s="1"/>
      <c r="B3903" s="166"/>
      <c r="C3903" s="1"/>
      <c r="D3903" s="1"/>
      <c r="E3903" s="35"/>
      <c r="F3903" s="1"/>
      <c r="G3903" s="1"/>
      <c r="H3903" s="1"/>
      <c r="I3903" s="35"/>
      <c r="J3903" s="34"/>
      <c r="K3903" s="19"/>
      <c r="L3903" s="19"/>
      <c r="N3903" s="35"/>
    </row>
    <row r="3904">
      <c r="A3904" s="1"/>
      <c r="B3904" s="166"/>
      <c r="C3904" s="1"/>
      <c r="D3904" s="1"/>
      <c r="E3904" s="35"/>
      <c r="F3904" s="1"/>
      <c r="G3904" s="1"/>
      <c r="H3904" s="1"/>
      <c r="I3904" s="35"/>
      <c r="J3904" s="34"/>
      <c r="K3904" s="19"/>
      <c r="L3904" s="19"/>
      <c r="N3904" s="35"/>
    </row>
    <row r="3905">
      <c r="A3905" s="1"/>
      <c r="B3905" s="166"/>
      <c r="C3905" s="1"/>
      <c r="D3905" s="1"/>
      <c r="E3905" s="35"/>
      <c r="F3905" s="1"/>
      <c r="G3905" s="1"/>
      <c r="H3905" s="1"/>
      <c r="I3905" s="35"/>
      <c r="J3905" s="34"/>
      <c r="K3905" s="19"/>
      <c r="L3905" s="19"/>
      <c r="N3905" s="35"/>
    </row>
    <row r="3906">
      <c r="A3906" s="1"/>
      <c r="B3906" s="166"/>
      <c r="C3906" s="1"/>
      <c r="D3906" s="1"/>
      <c r="E3906" s="35"/>
      <c r="F3906" s="1"/>
      <c r="G3906" s="1"/>
      <c r="H3906" s="1"/>
      <c r="I3906" s="35"/>
      <c r="J3906" s="34"/>
      <c r="K3906" s="19"/>
      <c r="L3906" s="19"/>
      <c r="N3906" s="35"/>
    </row>
    <row r="3907">
      <c r="A3907" s="1"/>
      <c r="B3907" s="166"/>
      <c r="C3907" s="1"/>
      <c r="D3907" s="1"/>
      <c r="E3907" s="35"/>
      <c r="F3907" s="1"/>
      <c r="G3907" s="1"/>
      <c r="H3907" s="1"/>
      <c r="I3907" s="35"/>
      <c r="J3907" s="34"/>
      <c r="K3907" s="19"/>
      <c r="L3907" s="19"/>
      <c r="N3907" s="35"/>
    </row>
    <row r="3908">
      <c r="A3908" s="1"/>
      <c r="B3908" s="166"/>
      <c r="C3908" s="1"/>
      <c r="D3908" s="1"/>
      <c r="E3908" s="35"/>
      <c r="F3908" s="1"/>
      <c r="G3908" s="1"/>
      <c r="H3908" s="1"/>
      <c r="I3908" s="35"/>
      <c r="J3908" s="34"/>
      <c r="K3908" s="19"/>
      <c r="L3908" s="19"/>
      <c r="N3908" s="35"/>
    </row>
    <row r="3909">
      <c r="A3909" s="1"/>
      <c r="B3909" s="166"/>
      <c r="C3909" s="1"/>
      <c r="D3909" s="1"/>
      <c r="E3909" s="35"/>
      <c r="F3909" s="1"/>
      <c r="G3909" s="1"/>
      <c r="H3909" s="1"/>
      <c r="I3909" s="35"/>
      <c r="J3909" s="34"/>
      <c r="K3909" s="19"/>
      <c r="L3909" s="19"/>
      <c r="N3909" s="35"/>
    </row>
    <row r="3910">
      <c r="A3910" s="1"/>
      <c r="B3910" s="166"/>
      <c r="C3910" s="1"/>
      <c r="D3910" s="1"/>
      <c r="E3910" s="35"/>
      <c r="F3910" s="1"/>
      <c r="G3910" s="1"/>
      <c r="H3910" s="1"/>
      <c r="I3910" s="35"/>
      <c r="J3910" s="34"/>
      <c r="K3910" s="19"/>
      <c r="L3910" s="19"/>
      <c r="N3910" s="35"/>
    </row>
    <row r="3911">
      <c r="A3911" s="1"/>
      <c r="B3911" s="166"/>
      <c r="C3911" s="1"/>
      <c r="D3911" s="1"/>
      <c r="E3911" s="35"/>
      <c r="F3911" s="1"/>
      <c r="G3911" s="1"/>
      <c r="H3911" s="1"/>
      <c r="I3911" s="35"/>
      <c r="J3911" s="34"/>
      <c r="K3911" s="19"/>
      <c r="L3911" s="19"/>
      <c r="N3911" s="35"/>
    </row>
    <row r="3912">
      <c r="A3912" s="1"/>
      <c r="B3912" s="166"/>
      <c r="C3912" s="1"/>
      <c r="D3912" s="1"/>
      <c r="E3912" s="35"/>
      <c r="F3912" s="1"/>
      <c r="G3912" s="1"/>
      <c r="H3912" s="1"/>
      <c r="I3912" s="35"/>
      <c r="J3912" s="34"/>
      <c r="K3912" s="19"/>
      <c r="L3912" s="19"/>
      <c r="N3912" s="35"/>
    </row>
    <row r="3913">
      <c r="A3913" s="1"/>
      <c r="B3913" s="166"/>
      <c r="C3913" s="1"/>
      <c r="D3913" s="1"/>
      <c r="E3913" s="35"/>
      <c r="F3913" s="1"/>
      <c r="G3913" s="1"/>
      <c r="H3913" s="1"/>
      <c r="I3913" s="35"/>
      <c r="J3913" s="34"/>
      <c r="K3913" s="19"/>
      <c r="L3913" s="19"/>
      <c r="N3913" s="35"/>
    </row>
    <row r="3914">
      <c r="A3914" s="1"/>
      <c r="B3914" s="166"/>
      <c r="C3914" s="1"/>
      <c r="D3914" s="1"/>
      <c r="E3914" s="35"/>
      <c r="F3914" s="1"/>
      <c r="G3914" s="1"/>
      <c r="H3914" s="1"/>
      <c r="I3914" s="35"/>
      <c r="J3914" s="34"/>
      <c r="K3914" s="19"/>
      <c r="L3914" s="19"/>
      <c r="N3914" s="35"/>
    </row>
    <row r="3915">
      <c r="A3915" s="1"/>
      <c r="B3915" s="166"/>
      <c r="C3915" s="1"/>
      <c r="D3915" s="1"/>
      <c r="E3915" s="35"/>
      <c r="F3915" s="1"/>
      <c r="G3915" s="1"/>
      <c r="H3915" s="1"/>
      <c r="I3915" s="35"/>
      <c r="J3915" s="34"/>
      <c r="K3915" s="19"/>
      <c r="L3915" s="19"/>
      <c r="N3915" s="35"/>
    </row>
    <row r="3916">
      <c r="A3916" s="1"/>
      <c r="B3916" s="166"/>
      <c r="C3916" s="1"/>
      <c r="D3916" s="1"/>
      <c r="E3916" s="35"/>
      <c r="F3916" s="1"/>
      <c r="G3916" s="1"/>
      <c r="H3916" s="1"/>
      <c r="I3916" s="35"/>
      <c r="J3916" s="34"/>
      <c r="K3916" s="19"/>
      <c r="L3916" s="19"/>
      <c r="N3916" s="35"/>
    </row>
    <row r="3917">
      <c r="A3917" s="1"/>
      <c r="B3917" s="166"/>
      <c r="C3917" s="1"/>
      <c r="D3917" s="1"/>
      <c r="E3917" s="35"/>
      <c r="F3917" s="1"/>
      <c r="G3917" s="1"/>
      <c r="H3917" s="1"/>
      <c r="I3917" s="35"/>
      <c r="J3917" s="34"/>
      <c r="K3917" s="19"/>
      <c r="L3917" s="19"/>
      <c r="N3917" s="35"/>
    </row>
    <row r="3918">
      <c r="A3918" s="1"/>
      <c r="B3918" s="166"/>
      <c r="C3918" s="1"/>
      <c r="D3918" s="1"/>
      <c r="E3918" s="35"/>
      <c r="F3918" s="1"/>
      <c r="G3918" s="1"/>
      <c r="H3918" s="1"/>
      <c r="I3918" s="35"/>
      <c r="J3918" s="34"/>
      <c r="K3918" s="19"/>
      <c r="L3918" s="19"/>
      <c r="N3918" s="35"/>
    </row>
    <row r="3919">
      <c r="A3919" s="1"/>
      <c r="B3919" s="166"/>
      <c r="C3919" s="1"/>
      <c r="D3919" s="1"/>
      <c r="E3919" s="35"/>
      <c r="F3919" s="1"/>
      <c r="G3919" s="1"/>
      <c r="H3919" s="1"/>
      <c r="I3919" s="35"/>
      <c r="J3919" s="34"/>
      <c r="K3919" s="19"/>
      <c r="L3919" s="19"/>
      <c r="N3919" s="35"/>
    </row>
    <row r="3920">
      <c r="A3920" s="1"/>
      <c r="B3920" s="166"/>
      <c r="C3920" s="1"/>
      <c r="D3920" s="1"/>
      <c r="E3920" s="35"/>
      <c r="F3920" s="1"/>
      <c r="G3920" s="1"/>
      <c r="H3920" s="1"/>
      <c r="I3920" s="35"/>
      <c r="J3920" s="34"/>
      <c r="K3920" s="19"/>
      <c r="L3920" s="19"/>
      <c r="N3920" s="35"/>
    </row>
    <row r="3921">
      <c r="A3921" s="1"/>
      <c r="B3921" s="166"/>
      <c r="C3921" s="1"/>
      <c r="D3921" s="1"/>
      <c r="E3921" s="35"/>
      <c r="F3921" s="1"/>
      <c r="G3921" s="1"/>
      <c r="H3921" s="1"/>
      <c r="I3921" s="35"/>
      <c r="J3921" s="34"/>
      <c r="K3921" s="19"/>
      <c r="L3921" s="19"/>
      <c r="N3921" s="35"/>
    </row>
    <row r="3922">
      <c r="A3922" s="1"/>
      <c r="B3922" s="166"/>
      <c r="C3922" s="1"/>
      <c r="D3922" s="1"/>
      <c r="E3922" s="35"/>
      <c r="F3922" s="1"/>
      <c r="G3922" s="1"/>
      <c r="H3922" s="1"/>
      <c r="I3922" s="35"/>
      <c r="J3922" s="34"/>
      <c r="K3922" s="19"/>
      <c r="L3922" s="19"/>
      <c r="N3922" s="35"/>
    </row>
    <row r="3923">
      <c r="A3923" s="1"/>
      <c r="B3923" s="166"/>
      <c r="C3923" s="1"/>
      <c r="D3923" s="1"/>
      <c r="E3923" s="35"/>
      <c r="F3923" s="1"/>
      <c r="G3923" s="1"/>
      <c r="H3923" s="1"/>
      <c r="I3923" s="35"/>
      <c r="J3923" s="34"/>
      <c r="K3923" s="19"/>
      <c r="L3923" s="19"/>
      <c r="N3923" s="35"/>
    </row>
    <row r="3924">
      <c r="A3924" s="1"/>
      <c r="B3924" s="166"/>
      <c r="C3924" s="1"/>
      <c r="D3924" s="1"/>
      <c r="E3924" s="35"/>
      <c r="F3924" s="1"/>
      <c r="G3924" s="1"/>
      <c r="H3924" s="1"/>
      <c r="I3924" s="35"/>
      <c r="J3924" s="34"/>
      <c r="K3924" s="19"/>
      <c r="L3924" s="19"/>
      <c r="N3924" s="35"/>
    </row>
    <row r="3925">
      <c r="A3925" s="1"/>
      <c r="B3925" s="166"/>
      <c r="C3925" s="1"/>
      <c r="D3925" s="1"/>
      <c r="E3925" s="35"/>
      <c r="F3925" s="1"/>
      <c r="G3925" s="1"/>
      <c r="H3925" s="1"/>
      <c r="I3925" s="35"/>
      <c r="J3925" s="34"/>
      <c r="K3925" s="19"/>
      <c r="L3925" s="19"/>
      <c r="N3925" s="35"/>
    </row>
    <row r="3926">
      <c r="A3926" s="1"/>
      <c r="B3926" s="166"/>
      <c r="C3926" s="1"/>
      <c r="D3926" s="1"/>
      <c r="E3926" s="35"/>
      <c r="F3926" s="1"/>
      <c r="G3926" s="1"/>
      <c r="H3926" s="1"/>
      <c r="I3926" s="35"/>
      <c r="J3926" s="34"/>
      <c r="K3926" s="19"/>
      <c r="L3926" s="19"/>
      <c r="N3926" s="35"/>
    </row>
    <row r="3927">
      <c r="A3927" s="1"/>
      <c r="B3927" s="166"/>
      <c r="C3927" s="1"/>
      <c r="D3927" s="1"/>
      <c r="E3927" s="35"/>
      <c r="F3927" s="1"/>
      <c r="G3927" s="1"/>
      <c r="H3927" s="1"/>
      <c r="I3927" s="35"/>
      <c r="J3927" s="34"/>
      <c r="K3927" s="19"/>
      <c r="L3927" s="19"/>
      <c r="N3927" s="35"/>
    </row>
    <row r="3928">
      <c r="A3928" s="1"/>
      <c r="B3928" s="166"/>
      <c r="C3928" s="1"/>
      <c r="D3928" s="1"/>
      <c r="E3928" s="35"/>
      <c r="F3928" s="1"/>
      <c r="G3928" s="1"/>
      <c r="H3928" s="1"/>
      <c r="I3928" s="35"/>
      <c r="J3928" s="34"/>
      <c r="K3928" s="19"/>
      <c r="L3928" s="19"/>
      <c r="N3928" s="35"/>
    </row>
    <row r="3929">
      <c r="A3929" s="1"/>
      <c r="B3929" s="166"/>
      <c r="C3929" s="1"/>
      <c r="D3929" s="1"/>
      <c r="E3929" s="35"/>
      <c r="F3929" s="1"/>
      <c r="G3929" s="1"/>
      <c r="H3929" s="1"/>
      <c r="I3929" s="35"/>
      <c r="J3929" s="34"/>
      <c r="K3929" s="19"/>
      <c r="L3929" s="19"/>
      <c r="N3929" s="35"/>
    </row>
    <row r="3930">
      <c r="A3930" s="1"/>
      <c r="B3930" s="166"/>
      <c r="C3930" s="1"/>
      <c r="D3930" s="1"/>
      <c r="E3930" s="35"/>
      <c r="F3930" s="1"/>
      <c r="G3930" s="1"/>
      <c r="H3930" s="1"/>
      <c r="I3930" s="35"/>
      <c r="J3930" s="34"/>
      <c r="K3930" s="19"/>
      <c r="L3930" s="19"/>
      <c r="N3930" s="35"/>
    </row>
    <row r="3931">
      <c r="A3931" s="1"/>
      <c r="B3931" s="166"/>
      <c r="C3931" s="1"/>
      <c r="D3931" s="1"/>
      <c r="E3931" s="35"/>
      <c r="F3931" s="1"/>
      <c r="G3931" s="1"/>
      <c r="H3931" s="1"/>
      <c r="I3931" s="35"/>
      <c r="J3931" s="34"/>
      <c r="K3931" s="19"/>
      <c r="L3931" s="19"/>
      <c r="N3931" s="35"/>
    </row>
    <row r="3932">
      <c r="A3932" s="1"/>
      <c r="B3932" s="166"/>
      <c r="C3932" s="1"/>
      <c r="D3932" s="1"/>
      <c r="E3932" s="35"/>
      <c r="F3932" s="1"/>
      <c r="G3932" s="1"/>
      <c r="H3932" s="1"/>
      <c r="I3932" s="35"/>
      <c r="J3932" s="34"/>
      <c r="K3932" s="19"/>
      <c r="L3932" s="19"/>
      <c r="N3932" s="35"/>
    </row>
    <row r="3933">
      <c r="A3933" s="1"/>
      <c r="B3933" s="166"/>
      <c r="C3933" s="1"/>
      <c r="D3933" s="1"/>
      <c r="E3933" s="35"/>
      <c r="F3933" s="1"/>
      <c r="G3933" s="1"/>
      <c r="H3933" s="1"/>
      <c r="I3933" s="35"/>
      <c r="J3933" s="34"/>
      <c r="K3933" s="19"/>
      <c r="L3933" s="19"/>
      <c r="N3933" s="35"/>
    </row>
    <row r="3934">
      <c r="A3934" s="1"/>
      <c r="B3934" s="166"/>
      <c r="C3934" s="1"/>
      <c r="D3934" s="1"/>
      <c r="E3934" s="35"/>
      <c r="F3934" s="1"/>
      <c r="G3934" s="1"/>
      <c r="H3934" s="1"/>
      <c r="I3934" s="35"/>
      <c r="J3934" s="34"/>
      <c r="K3934" s="19"/>
      <c r="L3934" s="19"/>
      <c r="N3934" s="35"/>
    </row>
    <row r="3935">
      <c r="A3935" s="1"/>
      <c r="B3935" s="166"/>
      <c r="C3935" s="1"/>
      <c r="D3935" s="1"/>
      <c r="E3935" s="35"/>
      <c r="F3935" s="1"/>
      <c r="G3935" s="1"/>
      <c r="H3935" s="1"/>
      <c r="I3935" s="35"/>
      <c r="J3935" s="34"/>
      <c r="K3935" s="19"/>
      <c r="L3935" s="19"/>
      <c r="N3935" s="35"/>
    </row>
    <row r="3936">
      <c r="A3936" s="1"/>
      <c r="B3936" s="166"/>
      <c r="C3936" s="1"/>
      <c r="D3936" s="1"/>
      <c r="E3936" s="35"/>
      <c r="F3936" s="1"/>
      <c r="G3936" s="1"/>
      <c r="H3936" s="1"/>
      <c r="I3936" s="35"/>
      <c r="J3936" s="34"/>
      <c r="K3936" s="19"/>
      <c r="L3936" s="19"/>
      <c r="N3936" s="35"/>
    </row>
    <row r="3937">
      <c r="A3937" s="1"/>
      <c r="B3937" s="166"/>
      <c r="C3937" s="1"/>
      <c r="D3937" s="1"/>
      <c r="E3937" s="35"/>
      <c r="F3937" s="1"/>
      <c r="G3937" s="1"/>
      <c r="H3937" s="1"/>
      <c r="I3937" s="35"/>
      <c r="J3937" s="34"/>
      <c r="K3937" s="19"/>
      <c r="L3937" s="19"/>
      <c r="N3937" s="35"/>
    </row>
    <row r="3938">
      <c r="A3938" s="1"/>
      <c r="B3938" s="166"/>
      <c r="C3938" s="1"/>
      <c r="D3938" s="1"/>
      <c r="E3938" s="35"/>
      <c r="F3938" s="1"/>
      <c r="G3938" s="1"/>
      <c r="H3938" s="1"/>
      <c r="I3938" s="35"/>
      <c r="J3938" s="34"/>
      <c r="K3938" s="19"/>
      <c r="L3938" s="19"/>
      <c r="N3938" s="35"/>
    </row>
    <row r="3939">
      <c r="A3939" s="1"/>
      <c r="B3939" s="166"/>
      <c r="C3939" s="1"/>
      <c r="D3939" s="1"/>
      <c r="E3939" s="35"/>
      <c r="F3939" s="1"/>
      <c r="G3939" s="1"/>
      <c r="H3939" s="1"/>
      <c r="I3939" s="35"/>
      <c r="J3939" s="34"/>
      <c r="K3939" s="19"/>
      <c r="L3939" s="19"/>
      <c r="N3939" s="35"/>
    </row>
    <row r="3940">
      <c r="A3940" s="1"/>
      <c r="B3940" s="166"/>
      <c r="C3940" s="1"/>
      <c r="D3940" s="1"/>
      <c r="E3940" s="35"/>
      <c r="F3940" s="1"/>
      <c r="G3940" s="1"/>
      <c r="H3940" s="1"/>
      <c r="I3940" s="35"/>
      <c r="J3940" s="34"/>
      <c r="K3940" s="19"/>
      <c r="L3940" s="19"/>
      <c r="N3940" s="35"/>
    </row>
    <row r="3941">
      <c r="A3941" s="1"/>
      <c r="B3941" s="166"/>
      <c r="C3941" s="1"/>
      <c r="D3941" s="1"/>
      <c r="E3941" s="35"/>
      <c r="F3941" s="1"/>
      <c r="G3941" s="1"/>
      <c r="H3941" s="1"/>
      <c r="I3941" s="35"/>
      <c r="J3941" s="34"/>
      <c r="K3941" s="19"/>
      <c r="L3941" s="19"/>
      <c r="N3941" s="35"/>
    </row>
    <row r="3942">
      <c r="A3942" s="1"/>
      <c r="B3942" s="166"/>
      <c r="C3942" s="1"/>
      <c r="D3942" s="1"/>
      <c r="E3942" s="35"/>
      <c r="F3942" s="1"/>
      <c r="G3942" s="1"/>
      <c r="H3942" s="1"/>
      <c r="I3942" s="35"/>
      <c r="J3942" s="34"/>
      <c r="K3942" s="19"/>
      <c r="L3942" s="19"/>
      <c r="N3942" s="35"/>
    </row>
    <row r="3943">
      <c r="A3943" s="1"/>
      <c r="B3943" s="166"/>
      <c r="C3943" s="1"/>
      <c r="D3943" s="1"/>
      <c r="E3943" s="35"/>
      <c r="F3943" s="1"/>
      <c r="G3943" s="1"/>
      <c r="H3943" s="1"/>
      <c r="I3943" s="35"/>
      <c r="J3943" s="34"/>
      <c r="K3943" s="19"/>
      <c r="L3943" s="19"/>
      <c r="N3943" s="35"/>
    </row>
    <row r="3944">
      <c r="A3944" s="1"/>
      <c r="B3944" s="166"/>
      <c r="C3944" s="1"/>
      <c r="D3944" s="1"/>
      <c r="E3944" s="35"/>
      <c r="F3944" s="1"/>
      <c r="G3944" s="1"/>
      <c r="H3944" s="1"/>
      <c r="I3944" s="35"/>
      <c r="J3944" s="34"/>
      <c r="K3944" s="19"/>
      <c r="L3944" s="19"/>
      <c r="N3944" s="35"/>
    </row>
    <row r="3945">
      <c r="A3945" s="1"/>
      <c r="B3945" s="166"/>
      <c r="C3945" s="1"/>
      <c r="D3945" s="1"/>
      <c r="E3945" s="35"/>
      <c r="F3945" s="1"/>
      <c r="G3945" s="1"/>
      <c r="H3945" s="1"/>
      <c r="I3945" s="35"/>
      <c r="J3945" s="34"/>
      <c r="K3945" s="19"/>
      <c r="L3945" s="19"/>
      <c r="N3945" s="35"/>
    </row>
    <row r="3946">
      <c r="A3946" s="1"/>
      <c r="B3946" s="166"/>
      <c r="C3946" s="1"/>
      <c r="D3946" s="1"/>
      <c r="E3946" s="35"/>
      <c r="F3946" s="1"/>
      <c r="G3946" s="1"/>
      <c r="H3946" s="1"/>
      <c r="I3946" s="35"/>
      <c r="J3946" s="34"/>
      <c r="K3946" s="19"/>
      <c r="L3946" s="19"/>
      <c r="N3946" s="35"/>
    </row>
    <row r="3947">
      <c r="A3947" s="1"/>
      <c r="B3947" s="166"/>
      <c r="C3947" s="1"/>
      <c r="D3947" s="1"/>
      <c r="E3947" s="35"/>
      <c r="F3947" s="1"/>
      <c r="G3947" s="1"/>
      <c r="H3947" s="1"/>
      <c r="I3947" s="35"/>
      <c r="J3947" s="34"/>
      <c r="K3947" s="19"/>
      <c r="L3947" s="19"/>
      <c r="N3947" s="35"/>
    </row>
    <row r="3948">
      <c r="A3948" s="1"/>
      <c r="B3948" s="166"/>
      <c r="C3948" s="1"/>
      <c r="D3948" s="1"/>
      <c r="E3948" s="35"/>
      <c r="F3948" s="1"/>
      <c r="G3948" s="1"/>
      <c r="H3948" s="1"/>
      <c r="I3948" s="35"/>
      <c r="J3948" s="34"/>
      <c r="K3948" s="19"/>
      <c r="L3948" s="19"/>
      <c r="N3948" s="35"/>
    </row>
    <row r="3949">
      <c r="A3949" s="1"/>
      <c r="B3949" s="166"/>
      <c r="C3949" s="1"/>
      <c r="D3949" s="1"/>
      <c r="E3949" s="35"/>
      <c r="F3949" s="1"/>
      <c r="G3949" s="1"/>
      <c r="H3949" s="1"/>
      <c r="I3949" s="35"/>
      <c r="J3949" s="34"/>
      <c r="K3949" s="19"/>
      <c r="L3949" s="19"/>
      <c r="N3949" s="35"/>
    </row>
    <row r="3950">
      <c r="A3950" s="1"/>
      <c r="B3950" s="166"/>
      <c r="C3950" s="1"/>
      <c r="D3950" s="1"/>
      <c r="E3950" s="35"/>
      <c r="F3950" s="1"/>
      <c r="G3950" s="1"/>
      <c r="H3950" s="1"/>
      <c r="I3950" s="35"/>
      <c r="J3950" s="34"/>
      <c r="K3950" s="19"/>
      <c r="L3950" s="19"/>
      <c r="N3950" s="35"/>
    </row>
    <row r="3951">
      <c r="A3951" s="1"/>
      <c r="B3951" s="166"/>
      <c r="C3951" s="1"/>
      <c r="D3951" s="1"/>
      <c r="E3951" s="35"/>
      <c r="F3951" s="1"/>
      <c r="G3951" s="1"/>
      <c r="H3951" s="1"/>
      <c r="I3951" s="35"/>
      <c r="J3951" s="34"/>
      <c r="K3951" s="19"/>
      <c r="L3951" s="19"/>
      <c r="N3951" s="35"/>
    </row>
    <row r="3952">
      <c r="A3952" s="1"/>
      <c r="B3952" s="166"/>
      <c r="C3952" s="1"/>
      <c r="D3952" s="1"/>
      <c r="E3952" s="35"/>
      <c r="F3952" s="1"/>
      <c r="G3952" s="1"/>
      <c r="H3952" s="1"/>
      <c r="I3952" s="35"/>
      <c r="J3952" s="34"/>
      <c r="K3952" s="19"/>
      <c r="L3952" s="19"/>
      <c r="N3952" s="35"/>
    </row>
    <row r="3953">
      <c r="A3953" s="1"/>
      <c r="B3953" s="166"/>
      <c r="C3953" s="1"/>
      <c r="D3953" s="1"/>
      <c r="E3953" s="35"/>
      <c r="F3953" s="1"/>
      <c r="G3953" s="1"/>
      <c r="H3953" s="1"/>
      <c r="I3953" s="35"/>
      <c r="J3953" s="34"/>
      <c r="K3953" s="19"/>
      <c r="L3953" s="19"/>
      <c r="N3953" s="35"/>
    </row>
    <row r="3954">
      <c r="A3954" s="1"/>
      <c r="B3954" s="166"/>
      <c r="C3954" s="1"/>
      <c r="D3954" s="1"/>
      <c r="E3954" s="35"/>
      <c r="F3954" s="1"/>
      <c r="G3954" s="1"/>
      <c r="H3954" s="1"/>
      <c r="I3954" s="35"/>
      <c r="J3954" s="34"/>
      <c r="K3954" s="19"/>
      <c r="L3954" s="19"/>
      <c r="N3954" s="35"/>
    </row>
    <row r="3955">
      <c r="A3955" s="1"/>
      <c r="B3955" s="166"/>
      <c r="C3955" s="1"/>
      <c r="D3955" s="1"/>
      <c r="E3955" s="35"/>
      <c r="F3955" s="1"/>
      <c r="G3955" s="1"/>
      <c r="H3955" s="1"/>
      <c r="I3955" s="35"/>
      <c r="J3955" s="34"/>
      <c r="K3955" s="19"/>
      <c r="L3955" s="19"/>
      <c r="N3955" s="35"/>
    </row>
    <row r="3956">
      <c r="A3956" s="1"/>
      <c r="B3956" s="166"/>
      <c r="C3956" s="1"/>
      <c r="D3956" s="1"/>
      <c r="E3956" s="35"/>
      <c r="F3956" s="1"/>
      <c r="G3956" s="1"/>
      <c r="H3956" s="1"/>
      <c r="I3956" s="35"/>
      <c r="J3956" s="34"/>
      <c r="K3956" s="19"/>
      <c r="L3956" s="19"/>
      <c r="N3956" s="35"/>
    </row>
    <row r="3957">
      <c r="A3957" s="1"/>
      <c r="B3957" s="166"/>
      <c r="C3957" s="1"/>
      <c r="D3957" s="1"/>
      <c r="E3957" s="35"/>
      <c r="F3957" s="1"/>
      <c r="G3957" s="1"/>
      <c r="H3957" s="1"/>
      <c r="I3957" s="35"/>
      <c r="J3957" s="34"/>
      <c r="K3957" s="19"/>
      <c r="L3957" s="19"/>
      <c r="N3957" s="35"/>
    </row>
    <row r="3958">
      <c r="A3958" s="1"/>
      <c r="B3958" s="166"/>
      <c r="C3958" s="1"/>
      <c r="D3958" s="1"/>
      <c r="E3958" s="35"/>
      <c r="F3958" s="1"/>
      <c r="G3958" s="1"/>
      <c r="H3958" s="1"/>
      <c r="I3958" s="35"/>
      <c r="J3958" s="34"/>
      <c r="K3958" s="19"/>
      <c r="L3958" s="19"/>
      <c r="N3958" s="35"/>
    </row>
    <row r="3959">
      <c r="A3959" s="1"/>
      <c r="B3959" s="166"/>
      <c r="C3959" s="1"/>
      <c r="D3959" s="1"/>
      <c r="E3959" s="35"/>
      <c r="F3959" s="1"/>
      <c r="G3959" s="1"/>
      <c r="H3959" s="1"/>
      <c r="I3959" s="35"/>
      <c r="J3959" s="34"/>
      <c r="K3959" s="19"/>
      <c r="L3959" s="19"/>
      <c r="N3959" s="35"/>
    </row>
    <row r="3960">
      <c r="A3960" s="1"/>
      <c r="B3960" s="166"/>
      <c r="C3960" s="1"/>
      <c r="D3960" s="1"/>
      <c r="E3960" s="35"/>
      <c r="F3960" s="1"/>
      <c r="G3960" s="1"/>
      <c r="H3960" s="1"/>
      <c r="I3960" s="35"/>
      <c r="J3960" s="34"/>
      <c r="K3960" s="19"/>
      <c r="L3960" s="19"/>
      <c r="N3960" s="35"/>
    </row>
    <row r="3961">
      <c r="A3961" s="1"/>
      <c r="B3961" s="166"/>
      <c r="C3961" s="1"/>
      <c r="D3961" s="1"/>
      <c r="E3961" s="35"/>
      <c r="F3961" s="1"/>
      <c r="G3961" s="1"/>
      <c r="H3961" s="1"/>
      <c r="I3961" s="35"/>
      <c r="J3961" s="34"/>
      <c r="K3961" s="19"/>
      <c r="L3961" s="19"/>
      <c r="N3961" s="35"/>
    </row>
    <row r="3962">
      <c r="A3962" s="1"/>
      <c r="B3962" s="166"/>
      <c r="C3962" s="1"/>
      <c r="D3962" s="1"/>
      <c r="E3962" s="35"/>
      <c r="F3962" s="1"/>
      <c r="G3962" s="1"/>
      <c r="H3962" s="1"/>
      <c r="I3962" s="35"/>
      <c r="J3962" s="34"/>
      <c r="K3962" s="19"/>
      <c r="L3962" s="19"/>
      <c r="N3962" s="35"/>
    </row>
    <row r="3963">
      <c r="A3963" s="1"/>
      <c r="B3963" s="166"/>
      <c r="C3963" s="1"/>
      <c r="D3963" s="1"/>
      <c r="E3963" s="35"/>
      <c r="F3963" s="1"/>
      <c r="G3963" s="1"/>
      <c r="H3963" s="1"/>
      <c r="I3963" s="35"/>
      <c r="J3963" s="34"/>
      <c r="K3963" s="19"/>
      <c r="L3963" s="19"/>
      <c r="N3963" s="35"/>
    </row>
    <row r="3964">
      <c r="A3964" s="1"/>
      <c r="B3964" s="166"/>
      <c r="C3964" s="1"/>
      <c r="D3964" s="1"/>
      <c r="E3964" s="35"/>
      <c r="F3964" s="1"/>
      <c r="G3964" s="1"/>
      <c r="H3964" s="1"/>
      <c r="I3964" s="35"/>
      <c r="J3964" s="34"/>
      <c r="K3964" s="19"/>
      <c r="L3964" s="19"/>
      <c r="N3964" s="35"/>
    </row>
    <row r="3965">
      <c r="A3965" s="1"/>
      <c r="B3965" s="166"/>
      <c r="C3965" s="1"/>
      <c r="D3965" s="1"/>
      <c r="E3965" s="35"/>
      <c r="F3965" s="1"/>
      <c r="G3965" s="1"/>
      <c r="H3965" s="1"/>
      <c r="I3965" s="35"/>
      <c r="J3965" s="34"/>
      <c r="K3965" s="19"/>
      <c r="L3965" s="19"/>
      <c r="N3965" s="35"/>
    </row>
    <row r="3966">
      <c r="A3966" s="1"/>
      <c r="B3966" s="166"/>
      <c r="C3966" s="1"/>
      <c r="D3966" s="1"/>
      <c r="E3966" s="35"/>
      <c r="F3966" s="1"/>
      <c r="G3966" s="1"/>
      <c r="H3966" s="1"/>
      <c r="I3966" s="35"/>
      <c r="J3966" s="34"/>
      <c r="K3966" s="19"/>
      <c r="L3966" s="19"/>
      <c r="N3966" s="35"/>
    </row>
    <row r="3967">
      <c r="A3967" s="1"/>
      <c r="B3967" s="166"/>
      <c r="C3967" s="1"/>
      <c r="D3967" s="1"/>
      <c r="E3967" s="35"/>
      <c r="F3967" s="1"/>
      <c r="G3967" s="1"/>
      <c r="H3967" s="1"/>
      <c r="I3967" s="35"/>
      <c r="J3967" s="34"/>
      <c r="K3967" s="19"/>
      <c r="L3967" s="19"/>
      <c r="N3967" s="35"/>
    </row>
  </sheetData>
  <hyperlinks>
    <hyperlink r:id="rId2" ref="E2"/>
    <hyperlink r:id="rId3" ref="E3"/>
    <hyperlink r:id="rId4" ref="E4"/>
    <hyperlink r:id="rId5" ref="E5"/>
    <hyperlink r:id="rId6" ref="E6"/>
    <hyperlink r:id="rId7" ref="E7"/>
    <hyperlink r:id="rId8" ref="E8"/>
    <hyperlink r:id="rId9" ref="E9"/>
    <hyperlink r:id="rId10" ref="E10"/>
    <hyperlink r:id="rId11" ref="E11"/>
    <hyperlink r:id="rId12" ref="E12"/>
    <hyperlink r:id="rId13" ref="E13"/>
    <hyperlink r:id="rId14" ref="E14"/>
    <hyperlink r:id="rId15" ref="E15"/>
    <hyperlink r:id="rId16" ref="E16"/>
    <hyperlink r:id="rId17" ref="E17"/>
    <hyperlink r:id="rId18" ref="E18"/>
    <hyperlink r:id="rId19" ref="E19"/>
    <hyperlink r:id="rId20" ref="E20"/>
    <hyperlink r:id="rId21" ref="E21"/>
    <hyperlink r:id="rId22" ref="E22"/>
    <hyperlink r:id="rId23" ref="E23"/>
    <hyperlink r:id="rId24" ref="E24"/>
    <hyperlink r:id="rId25" ref="E25"/>
    <hyperlink r:id="rId26" ref="E26"/>
    <hyperlink r:id="rId27" ref="E27"/>
    <hyperlink r:id="rId28" ref="E28"/>
    <hyperlink r:id="rId29" ref="E29"/>
    <hyperlink r:id="rId30" ref="E30"/>
    <hyperlink r:id="rId31" ref="E31"/>
    <hyperlink r:id="rId32" ref="E32"/>
    <hyperlink r:id="rId33" ref="E33"/>
    <hyperlink r:id="rId34" ref="E34"/>
    <hyperlink r:id="rId35" ref="E35"/>
    <hyperlink r:id="rId36" ref="E36"/>
    <hyperlink r:id="rId37" ref="E37"/>
    <hyperlink r:id="rId38" ref="E38"/>
    <hyperlink r:id="rId39" ref="E39"/>
    <hyperlink r:id="rId40" ref="E40"/>
    <hyperlink r:id="rId41" ref="E41"/>
    <hyperlink r:id="rId42" ref="E42"/>
    <hyperlink r:id="rId43" ref="E43"/>
    <hyperlink r:id="rId44" ref="E44"/>
    <hyperlink r:id="rId45" ref="E45"/>
    <hyperlink r:id="rId46" ref="E46"/>
    <hyperlink r:id="rId47" ref="E47"/>
    <hyperlink r:id="rId48" ref="E48"/>
    <hyperlink r:id="rId49" ref="E49"/>
    <hyperlink r:id="rId50" ref="E50"/>
    <hyperlink r:id="rId51" ref="E51"/>
    <hyperlink r:id="rId52" ref="E52"/>
    <hyperlink r:id="rId53" ref="E53"/>
    <hyperlink r:id="rId54" ref="E54"/>
    <hyperlink r:id="rId55" ref="E55"/>
    <hyperlink r:id="rId56" ref="E56"/>
    <hyperlink r:id="rId57" ref="E57"/>
    <hyperlink r:id="rId58" ref="E58"/>
    <hyperlink r:id="rId59" ref="E59"/>
    <hyperlink r:id="rId60" ref="E60"/>
    <hyperlink r:id="rId61" ref="E61"/>
    <hyperlink r:id="rId62" ref="E62"/>
    <hyperlink r:id="rId63" ref="E63"/>
    <hyperlink r:id="rId64" ref="E64"/>
    <hyperlink r:id="rId65" ref="E65"/>
    <hyperlink r:id="rId66" ref="E66"/>
    <hyperlink r:id="rId67" ref="E67"/>
    <hyperlink r:id="rId68" ref="E68"/>
    <hyperlink r:id="rId69" ref="E69"/>
    <hyperlink r:id="rId70" ref="E70"/>
    <hyperlink r:id="rId71" ref="E71"/>
    <hyperlink r:id="rId72" ref="E72"/>
    <hyperlink r:id="rId73" ref="E73"/>
    <hyperlink r:id="rId74" ref="E74"/>
    <hyperlink r:id="rId75" ref="E75"/>
    <hyperlink r:id="rId76" ref="E76"/>
    <hyperlink r:id="rId77" ref="E77"/>
    <hyperlink r:id="rId78" ref="E78"/>
    <hyperlink r:id="rId79" ref="E79"/>
    <hyperlink r:id="rId80" ref="E80"/>
    <hyperlink r:id="rId81" ref="E81"/>
    <hyperlink r:id="rId82" ref="E82"/>
    <hyperlink r:id="rId83" ref="E83"/>
    <hyperlink r:id="rId84" ref="E84"/>
    <hyperlink r:id="rId85" ref="E85"/>
    <hyperlink r:id="rId86" ref="E86"/>
    <hyperlink r:id="rId87" ref="E87"/>
    <hyperlink r:id="rId88" ref="E88"/>
    <hyperlink r:id="rId89" ref="E89"/>
    <hyperlink r:id="rId90" ref="E90"/>
    <hyperlink r:id="rId91" ref="E91"/>
    <hyperlink r:id="rId92" ref="E92"/>
    <hyperlink r:id="rId93" ref="E93"/>
    <hyperlink r:id="rId94" ref="E94"/>
    <hyperlink r:id="rId95" ref="E95"/>
    <hyperlink r:id="rId96" ref="E96"/>
    <hyperlink r:id="rId97" ref="E97"/>
    <hyperlink r:id="rId98" ref="E98"/>
    <hyperlink r:id="rId99" ref="E99"/>
    <hyperlink r:id="rId100" ref="E100"/>
    <hyperlink r:id="rId101" ref="E101"/>
    <hyperlink r:id="rId102" ref="E102"/>
    <hyperlink r:id="rId103" ref="E103"/>
    <hyperlink r:id="rId104" ref="E104"/>
    <hyperlink r:id="rId105" ref="E105"/>
    <hyperlink r:id="rId106" ref="E106"/>
    <hyperlink r:id="rId107" ref="E107"/>
    <hyperlink r:id="rId108" ref="E108"/>
    <hyperlink r:id="rId109" ref="E109"/>
    <hyperlink r:id="rId110" ref="E110"/>
    <hyperlink r:id="rId111" ref="E111"/>
    <hyperlink r:id="rId112" ref="E112"/>
    <hyperlink r:id="rId113" ref="E113"/>
    <hyperlink r:id="rId114" ref="E114"/>
    <hyperlink r:id="rId115" ref="E115"/>
    <hyperlink r:id="rId116" ref="E116"/>
    <hyperlink r:id="rId117" ref="E117"/>
    <hyperlink r:id="rId118" ref="E118"/>
    <hyperlink r:id="rId119" ref="E119"/>
    <hyperlink r:id="rId120" ref="E120"/>
    <hyperlink r:id="rId121" ref="E121"/>
    <hyperlink r:id="rId122" ref="E122"/>
    <hyperlink r:id="rId123" ref="E123"/>
    <hyperlink r:id="rId124" ref="E124"/>
    <hyperlink r:id="rId125" ref="E125"/>
    <hyperlink r:id="rId126" ref="E126"/>
    <hyperlink r:id="rId127" ref="E127"/>
    <hyperlink r:id="rId128" ref="E128"/>
    <hyperlink r:id="rId129" ref="E129"/>
    <hyperlink r:id="rId130" ref="E130"/>
    <hyperlink r:id="rId131" ref="E131"/>
    <hyperlink r:id="rId132" ref="E132"/>
    <hyperlink r:id="rId133" ref="E133"/>
    <hyperlink r:id="rId134" ref="E134"/>
    <hyperlink r:id="rId135" ref="E135"/>
    <hyperlink r:id="rId136" ref="E136"/>
    <hyperlink r:id="rId137" ref="E137"/>
    <hyperlink r:id="rId138" ref="E138"/>
    <hyperlink r:id="rId139" ref="E139"/>
    <hyperlink r:id="rId140" ref="E140"/>
    <hyperlink r:id="rId141" ref="E141"/>
    <hyperlink r:id="rId142" ref="E142"/>
    <hyperlink r:id="rId143" ref="E143"/>
    <hyperlink r:id="rId144" ref="E144"/>
    <hyperlink r:id="rId145" ref="E145"/>
    <hyperlink r:id="rId146" ref="E146"/>
    <hyperlink r:id="rId147" ref="E147"/>
    <hyperlink r:id="rId148" ref="E148"/>
    <hyperlink r:id="rId149" ref="E149"/>
    <hyperlink r:id="rId150" ref="E150"/>
    <hyperlink r:id="rId151" ref="E151"/>
    <hyperlink r:id="rId152" ref="E152"/>
    <hyperlink r:id="rId153" ref="E153"/>
    <hyperlink r:id="rId154" ref="E154"/>
    <hyperlink r:id="rId155" ref="E155"/>
    <hyperlink r:id="rId156" ref="E156"/>
    <hyperlink r:id="rId157" ref="E157"/>
    <hyperlink r:id="rId158" ref="E158"/>
    <hyperlink r:id="rId159" ref="E159"/>
    <hyperlink r:id="rId160" ref="E160"/>
    <hyperlink r:id="rId161" ref="E161"/>
    <hyperlink r:id="rId162" ref="E162"/>
    <hyperlink r:id="rId163" ref="E163"/>
    <hyperlink r:id="rId164" ref="E164"/>
    <hyperlink r:id="rId165" ref="E165"/>
    <hyperlink r:id="rId166" ref="E166"/>
    <hyperlink r:id="rId167" ref="E167"/>
    <hyperlink r:id="rId168" ref="E168"/>
    <hyperlink r:id="rId169" ref="E169"/>
    <hyperlink r:id="rId170" ref="E170"/>
    <hyperlink r:id="rId171" ref="E171"/>
    <hyperlink r:id="rId172" ref="E172"/>
    <hyperlink r:id="rId173" ref="E173"/>
    <hyperlink r:id="rId174" ref="E174"/>
    <hyperlink r:id="rId175" ref="E175"/>
    <hyperlink r:id="rId176" ref="E176"/>
    <hyperlink r:id="rId177" ref="E177"/>
    <hyperlink r:id="rId178" ref="E178"/>
    <hyperlink r:id="rId179" ref="E179"/>
    <hyperlink r:id="rId180" ref="E180"/>
    <hyperlink r:id="rId181" ref="E181"/>
    <hyperlink r:id="rId182" ref="E182"/>
    <hyperlink r:id="rId183" ref="E183"/>
    <hyperlink r:id="rId184" ref="E184"/>
    <hyperlink r:id="rId185" ref="E185"/>
    <hyperlink r:id="rId186" ref="E186"/>
    <hyperlink r:id="rId187" ref="E187"/>
    <hyperlink r:id="rId188" ref="E188"/>
    <hyperlink r:id="rId189" ref="E189"/>
    <hyperlink r:id="rId190" ref="E190"/>
    <hyperlink r:id="rId191" ref="E191"/>
    <hyperlink r:id="rId192" ref="E192"/>
    <hyperlink r:id="rId193" ref="E193"/>
    <hyperlink r:id="rId194" ref="E194"/>
    <hyperlink r:id="rId195" ref="E195"/>
    <hyperlink r:id="rId196" ref="E196"/>
    <hyperlink r:id="rId197" ref="E197"/>
    <hyperlink r:id="rId198" ref="E198"/>
    <hyperlink r:id="rId199" ref="E199"/>
    <hyperlink r:id="rId200" ref="E200"/>
    <hyperlink r:id="rId201" ref="E201"/>
    <hyperlink r:id="rId202" ref="E202"/>
    <hyperlink r:id="rId203" ref="E203"/>
    <hyperlink r:id="rId204" ref="E204"/>
    <hyperlink r:id="rId205" ref="E205"/>
    <hyperlink r:id="rId206" ref="E206"/>
    <hyperlink r:id="rId207" ref="E207"/>
    <hyperlink r:id="rId208" ref="E208"/>
    <hyperlink r:id="rId209" ref="E209"/>
    <hyperlink r:id="rId210" ref="E210"/>
    <hyperlink r:id="rId211" ref="E211"/>
    <hyperlink r:id="rId212" ref="E212"/>
    <hyperlink r:id="rId213" ref="E213"/>
    <hyperlink r:id="rId214" ref="E214"/>
    <hyperlink r:id="rId215" ref="E215"/>
    <hyperlink r:id="rId216" ref="E216"/>
    <hyperlink r:id="rId217" ref="E217"/>
    <hyperlink r:id="rId218" ref="E218"/>
    <hyperlink r:id="rId219" ref="E219"/>
    <hyperlink r:id="rId220" ref="E220"/>
    <hyperlink r:id="rId221" ref="E221"/>
    <hyperlink r:id="rId222" ref="E222"/>
    <hyperlink r:id="rId223" ref="E223"/>
    <hyperlink r:id="rId224" ref="E224"/>
    <hyperlink r:id="rId225" ref="E225"/>
    <hyperlink r:id="rId226" ref="E226"/>
    <hyperlink r:id="rId227" ref="E227"/>
    <hyperlink r:id="rId228" ref="E228"/>
    <hyperlink r:id="rId229" ref="E229"/>
    <hyperlink r:id="rId230" ref="E230"/>
    <hyperlink r:id="rId231" ref="E231"/>
    <hyperlink r:id="rId232" ref="E232"/>
    <hyperlink r:id="rId233" ref="E233"/>
    <hyperlink r:id="rId234" ref="E234"/>
    <hyperlink r:id="rId235" ref="E235"/>
    <hyperlink r:id="rId236" ref="E236"/>
    <hyperlink r:id="rId237" ref="E237"/>
    <hyperlink r:id="rId238" ref="E238"/>
    <hyperlink r:id="rId239" ref="E239"/>
    <hyperlink r:id="rId240" ref="E240"/>
    <hyperlink r:id="rId241" ref="E241"/>
    <hyperlink r:id="rId242" ref="E242"/>
    <hyperlink r:id="rId243" ref="E243"/>
    <hyperlink r:id="rId244" ref="E244"/>
    <hyperlink r:id="rId245" ref="E245"/>
    <hyperlink r:id="rId246" ref="E246"/>
    <hyperlink r:id="rId247" ref="E247"/>
    <hyperlink r:id="rId248" ref="E248"/>
    <hyperlink r:id="rId249" ref="E249"/>
    <hyperlink r:id="rId250" ref="E250"/>
    <hyperlink r:id="rId251" ref="E251"/>
    <hyperlink r:id="rId252" ref="E252"/>
    <hyperlink r:id="rId253" ref="E253"/>
    <hyperlink r:id="rId254" ref="E254"/>
    <hyperlink r:id="rId255" ref="E255"/>
    <hyperlink r:id="rId256" ref="E256"/>
    <hyperlink r:id="rId257" ref="E257"/>
    <hyperlink r:id="rId258" ref="E258"/>
    <hyperlink r:id="rId259" ref="E259"/>
    <hyperlink r:id="rId260" ref="E260"/>
    <hyperlink r:id="rId261" ref="E261"/>
    <hyperlink r:id="rId262" ref="E262"/>
    <hyperlink r:id="rId263" ref="E263"/>
    <hyperlink r:id="rId264" ref="E264"/>
    <hyperlink r:id="rId265" ref="E265"/>
    <hyperlink r:id="rId266" ref="E266"/>
    <hyperlink r:id="rId267" ref="E267"/>
    <hyperlink r:id="rId268" ref="E268"/>
    <hyperlink r:id="rId269" ref="E269"/>
    <hyperlink r:id="rId270" ref="E270"/>
    <hyperlink r:id="rId271" ref="E271"/>
    <hyperlink r:id="rId272" ref="E272"/>
    <hyperlink r:id="rId273" ref="E273"/>
    <hyperlink r:id="rId274" ref="E274"/>
    <hyperlink r:id="rId275" ref="E275"/>
    <hyperlink r:id="rId276" ref="E276"/>
    <hyperlink r:id="rId277" ref="E277"/>
    <hyperlink r:id="rId278" ref="E278"/>
    <hyperlink r:id="rId279" ref="E279"/>
    <hyperlink r:id="rId280" ref="E280"/>
    <hyperlink r:id="rId281" ref="E281"/>
    <hyperlink r:id="rId282" ref="E282"/>
    <hyperlink r:id="rId283" ref="E283"/>
    <hyperlink r:id="rId284" ref="E284"/>
    <hyperlink r:id="rId285" ref="E285"/>
    <hyperlink r:id="rId286" ref="E360"/>
    <hyperlink r:id="rId287" ref="E361"/>
    <hyperlink r:id="rId288" ref="E362"/>
    <hyperlink r:id="rId289" ref="E363"/>
    <hyperlink r:id="rId290" ref="E364"/>
    <hyperlink r:id="rId291" ref="E365"/>
    <hyperlink r:id="rId292" ref="E366"/>
    <hyperlink r:id="rId293" ref="E367"/>
    <hyperlink r:id="rId294" ref="E368"/>
    <hyperlink r:id="rId295" ref="E369"/>
    <hyperlink r:id="rId296" ref="E370"/>
    <hyperlink r:id="rId297" ref="E371"/>
    <hyperlink r:id="rId298" ref="E372"/>
    <hyperlink r:id="rId299" ref="E373"/>
    <hyperlink r:id="rId300" ref="E374"/>
    <hyperlink r:id="rId301" ref="E375"/>
    <hyperlink r:id="rId302" ref="E376"/>
    <hyperlink r:id="rId303" ref="E377"/>
    <hyperlink r:id="rId304" ref="E378"/>
    <hyperlink r:id="rId305" ref="E379"/>
    <hyperlink r:id="rId306" ref="E380"/>
    <hyperlink r:id="rId307" ref="E381"/>
    <hyperlink r:id="rId308" ref="E382"/>
    <hyperlink r:id="rId309" ref="E383"/>
    <hyperlink r:id="rId310" ref="E384"/>
    <hyperlink r:id="rId311" ref="E386"/>
    <hyperlink r:id="rId312" ref="E387"/>
    <hyperlink r:id="rId313" ref="E388"/>
    <hyperlink r:id="rId314" ref="E389"/>
    <hyperlink r:id="rId315" ref="E390"/>
    <hyperlink r:id="rId316" ref="E391"/>
    <hyperlink r:id="rId317" ref="E392"/>
    <hyperlink r:id="rId318" ref="E393"/>
    <hyperlink r:id="rId319" ref="E394"/>
    <hyperlink r:id="rId320" ref="E395"/>
    <hyperlink r:id="rId321" ref="E396"/>
    <hyperlink r:id="rId322" ref="E397"/>
    <hyperlink r:id="rId323" ref="E398"/>
    <hyperlink r:id="rId324" ref="E399"/>
    <hyperlink r:id="rId325" ref="E400"/>
    <hyperlink r:id="rId326" ref="E401"/>
    <hyperlink r:id="rId327" ref="E402"/>
    <hyperlink r:id="rId328" ref="E403"/>
    <hyperlink r:id="rId329" ref="E404"/>
    <hyperlink r:id="rId330" ref="E405"/>
    <hyperlink r:id="rId331" ref="E406"/>
    <hyperlink r:id="rId332" ref="E408"/>
    <hyperlink r:id="rId333" ref="E410"/>
    <hyperlink r:id="rId334" ref="E411"/>
    <hyperlink r:id="rId335" ref="E412"/>
    <hyperlink r:id="rId336" ref="E413"/>
    <hyperlink r:id="rId337" ref="E414"/>
    <hyperlink r:id="rId338" ref="E415"/>
    <hyperlink r:id="rId339" ref="E416"/>
    <hyperlink r:id="rId340" ref="E418"/>
    <hyperlink r:id="rId341" ref="E419"/>
    <hyperlink r:id="rId342" ref="E420"/>
    <hyperlink r:id="rId343" ref="E421"/>
    <hyperlink r:id="rId344" ref="E422"/>
    <hyperlink r:id="rId345" ref="E423"/>
    <hyperlink r:id="rId346" ref="E424"/>
    <hyperlink r:id="rId347" ref="E425"/>
    <hyperlink r:id="rId348" ref="E426"/>
    <hyperlink r:id="rId349" ref="E427"/>
    <hyperlink r:id="rId350" ref="E428"/>
    <hyperlink r:id="rId351" ref="E429"/>
    <hyperlink r:id="rId352" ref="E430"/>
    <hyperlink r:id="rId353" ref="E431"/>
    <hyperlink r:id="rId354" ref="E432"/>
    <hyperlink r:id="rId355" ref="E433"/>
    <hyperlink r:id="rId356" ref="E434"/>
    <hyperlink r:id="rId357" ref="E435"/>
    <hyperlink r:id="rId358" ref="E437"/>
    <hyperlink r:id="rId359" ref="E438"/>
    <hyperlink r:id="rId360" ref="E439"/>
    <hyperlink r:id="rId361" ref="E440"/>
    <hyperlink r:id="rId362" ref="E441"/>
    <hyperlink r:id="rId363" ref="E442"/>
    <hyperlink r:id="rId364" ref="E443"/>
    <hyperlink r:id="rId365" ref="E444"/>
    <hyperlink r:id="rId366" ref="E445"/>
    <hyperlink r:id="rId367" ref="E446"/>
    <hyperlink r:id="rId368" ref="E447"/>
    <hyperlink r:id="rId369" ref="E448"/>
    <hyperlink r:id="rId370" ref="E449"/>
    <hyperlink r:id="rId371" ref="E450"/>
    <hyperlink r:id="rId372" ref="E451"/>
    <hyperlink r:id="rId373" ref="E452"/>
    <hyperlink r:id="rId374" ref="E453"/>
    <hyperlink r:id="rId375" ref="E454"/>
    <hyperlink r:id="rId376" ref="E455"/>
    <hyperlink r:id="rId377" ref="E456"/>
    <hyperlink r:id="rId378" ref="E457"/>
    <hyperlink r:id="rId379" ref="E458"/>
    <hyperlink r:id="rId380" ref="E459"/>
    <hyperlink r:id="rId381" ref="E460"/>
    <hyperlink r:id="rId382" ref="E461"/>
    <hyperlink r:id="rId383" ref="E462"/>
    <hyperlink r:id="rId384" ref="E463"/>
    <hyperlink r:id="rId385" ref="E464"/>
    <hyperlink r:id="rId386" ref="E465"/>
    <hyperlink r:id="rId387" ref="E466"/>
    <hyperlink r:id="rId388" ref="E467"/>
    <hyperlink r:id="rId389" ref="E468"/>
    <hyperlink r:id="rId390" ref="E469"/>
    <hyperlink r:id="rId391" ref="E470"/>
    <hyperlink r:id="rId392" ref="E471"/>
    <hyperlink r:id="rId393" ref="E472"/>
    <hyperlink r:id="rId394" ref="E473"/>
    <hyperlink r:id="rId395" ref="E474"/>
    <hyperlink r:id="rId396" ref="E475"/>
    <hyperlink r:id="rId397" ref="E476"/>
    <hyperlink r:id="rId398" ref="E477"/>
    <hyperlink r:id="rId399" ref="E478"/>
    <hyperlink r:id="rId400" ref="E479"/>
    <hyperlink r:id="rId401" ref="E480"/>
    <hyperlink r:id="rId402" ref="E481"/>
    <hyperlink r:id="rId403" ref="E482"/>
    <hyperlink r:id="rId404" ref="E483"/>
    <hyperlink r:id="rId405" ref="E484"/>
    <hyperlink r:id="rId406" ref="E485"/>
    <hyperlink r:id="rId407" ref="E486"/>
    <hyperlink r:id="rId408" ref="E487"/>
    <hyperlink r:id="rId409" ref="E488"/>
    <hyperlink r:id="rId410" ref="E489"/>
    <hyperlink r:id="rId411" ref="E490"/>
    <hyperlink r:id="rId412" ref="E491"/>
    <hyperlink r:id="rId413" ref="E492"/>
    <hyperlink r:id="rId414" ref="E493"/>
    <hyperlink r:id="rId415" ref="E494"/>
    <hyperlink r:id="rId416" ref="E495"/>
    <hyperlink r:id="rId417" ref="E496"/>
    <hyperlink r:id="rId418" ref="E497"/>
    <hyperlink r:id="rId419" ref="E498"/>
    <hyperlink r:id="rId420" ref="E499"/>
    <hyperlink r:id="rId421" ref="E500"/>
    <hyperlink r:id="rId422" ref="E501"/>
    <hyperlink r:id="rId423" ref="E502"/>
    <hyperlink r:id="rId424" ref="E503"/>
    <hyperlink r:id="rId425" ref="E504"/>
    <hyperlink r:id="rId426" ref="E505"/>
    <hyperlink r:id="rId427" ref="E506"/>
    <hyperlink r:id="rId428" ref="E507"/>
    <hyperlink r:id="rId429" ref="E508"/>
    <hyperlink r:id="rId430" ref="E509"/>
    <hyperlink r:id="rId431" ref="E510"/>
    <hyperlink r:id="rId432" ref="E511"/>
    <hyperlink r:id="rId433" ref="E512"/>
    <hyperlink r:id="rId434" ref="E513"/>
    <hyperlink r:id="rId435" ref="E514"/>
    <hyperlink r:id="rId436" ref="E515"/>
    <hyperlink r:id="rId437" ref="E516"/>
    <hyperlink r:id="rId438" ref="E517"/>
    <hyperlink r:id="rId439" ref="E518"/>
    <hyperlink r:id="rId440" ref="E519"/>
    <hyperlink r:id="rId441" ref="E520"/>
    <hyperlink r:id="rId442" ref="E521"/>
    <hyperlink r:id="rId443" ref="E522"/>
    <hyperlink r:id="rId444" ref="E523"/>
    <hyperlink r:id="rId445" ref="E524"/>
    <hyperlink r:id="rId446" ref="E525"/>
    <hyperlink r:id="rId447" ref="E526"/>
    <hyperlink r:id="rId448" ref="E527"/>
    <hyperlink r:id="rId449" ref="E528"/>
    <hyperlink r:id="rId450" ref="E529"/>
    <hyperlink r:id="rId451" ref="E530"/>
    <hyperlink r:id="rId452" ref="E531"/>
    <hyperlink r:id="rId453" ref="E532"/>
    <hyperlink r:id="rId454" ref="E533"/>
    <hyperlink r:id="rId455" ref="E534"/>
    <hyperlink r:id="rId456" ref="E535"/>
    <hyperlink r:id="rId457" ref="E536"/>
    <hyperlink r:id="rId458" ref="E537"/>
    <hyperlink r:id="rId459" ref="E538"/>
    <hyperlink r:id="rId460" ref="E539"/>
    <hyperlink r:id="rId461" ref="E540"/>
    <hyperlink r:id="rId462" ref="E541"/>
    <hyperlink r:id="rId463" ref="E542"/>
    <hyperlink r:id="rId464" ref="E543"/>
    <hyperlink r:id="rId465" ref="E544"/>
    <hyperlink r:id="rId466" ref="E545"/>
    <hyperlink r:id="rId467" ref="E546"/>
    <hyperlink r:id="rId468" ref="E547"/>
    <hyperlink r:id="rId469" ref="E548"/>
    <hyperlink r:id="rId470" ref="E549"/>
    <hyperlink r:id="rId471" ref="E550"/>
    <hyperlink r:id="rId472" ref="E551"/>
    <hyperlink r:id="rId473" ref="E552"/>
    <hyperlink r:id="rId474" ref="E553"/>
    <hyperlink r:id="rId475" ref="E554"/>
    <hyperlink r:id="rId476" ref="E555"/>
    <hyperlink r:id="rId477" ref="E556"/>
    <hyperlink r:id="rId478" ref="E557"/>
    <hyperlink r:id="rId479" ref="E558"/>
    <hyperlink r:id="rId480" ref="E559"/>
    <hyperlink r:id="rId481" ref="E560"/>
    <hyperlink r:id="rId482" ref="E561"/>
    <hyperlink r:id="rId483" ref="E562"/>
    <hyperlink r:id="rId484" ref="E563"/>
    <hyperlink r:id="rId485" ref="E564"/>
    <hyperlink r:id="rId486" ref="E565"/>
    <hyperlink r:id="rId487" ref="E566"/>
    <hyperlink r:id="rId488" ref="E567"/>
    <hyperlink r:id="rId489" ref="E568"/>
    <hyperlink r:id="rId490" ref="E569"/>
    <hyperlink r:id="rId491" ref="E570"/>
    <hyperlink r:id="rId492" ref="E571"/>
    <hyperlink r:id="rId493" ref="E572"/>
    <hyperlink r:id="rId494" ref="E573"/>
    <hyperlink r:id="rId495" ref="E574"/>
    <hyperlink r:id="rId496" ref="E575"/>
    <hyperlink r:id="rId497" ref="E576"/>
    <hyperlink r:id="rId498" ref="E577"/>
    <hyperlink r:id="rId499" ref="E578"/>
    <hyperlink r:id="rId500" ref="E579"/>
    <hyperlink r:id="rId501" ref="E580"/>
    <hyperlink r:id="rId502" ref="E581"/>
    <hyperlink r:id="rId503" ref="E582"/>
    <hyperlink r:id="rId504" ref="E583"/>
    <hyperlink r:id="rId505" ref="E584"/>
    <hyperlink r:id="rId506" ref="E585"/>
    <hyperlink r:id="rId507" ref="E586"/>
    <hyperlink r:id="rId508" ref="E587"/>
    <hyperlink r:id="rId509" ref="E588"/>
    <hyperlink r:id="rId510" ref="E589"/>
    <hyperlink r:id="rId511" ref="E590"/>
    <hyperlink r:id="rId512" ref="E591"/>
    <hyperlink r:id="rId513" ref="E592"/>
    <hyperlink r:id="rId514" ref="E593"/>
    <hyperlink r:id="rId515" ref="E594"/>
    <hyperlink r:id="rId516" ref="E595"/>
    <hyperlink r:id="rId517" ref="E596"/>
    <hyperlink r:id="rId518" ref="E597"/>
    <hyperlink r:id="rId519" ref="E598"/>
    <hyperlink r:id="rId520" ref="E599"/>
    <hyperlink r:id="rId521" ref="E600"/>
    <hyperlink r:id="rId522" ref="E601"/>
    <hyperlink r:id="rId523" ref="E602"/>
    <hyperlink r:id="rId524" ref="E603"/>
    <hyperlink r:id="rId525" ref="E604"/>
    <hyperlink r:id="rId526" ref="E605"/>
    <hyperlink r:id="rId527" ref="E606"/>
    <hyperlink r:id="rId528" ref="E607"/>
    <hyperlink r:id="rId529" ref="E608"/>
    <hyperlink r:id="rId530" ref="E609"/>
    <hyperlink r:id="rId531" ref="E610"/>
    <hyperlink r:id="rId532" ref="E611"/>
    <hyperlink r:id="rId533" ref="E612"/>
    <hyperlink r:id="rId534" ref="E613"/>
    <hyperlink r:id="rId535" ref="E614"/>
    <hyperlink r:id="rId536" ref="E615"/>
    <hyperlink r:id="rId537" ref="E616"/>
    <hyperlink r:id="rId538" ref="E617"/>
    <hyperlink r:id="rId539" ref="E618"/>
    <hyperlink r:id="rId540" ref="E619"/>
    <hyperlink r:id="rId541" ref="E620"/>
    <hyperlink r:id="rId542" ref="E621"/>
    <hyperlink r:id="rId543" ref="E622"/>
    <hyperlink r:id="rId544" ref="E623"/>
    <hyperlink r:id="rId545" ref="E624"/>
    <hyperlink r:id="rId546" ref="E625"/>
    <hyperlink r:id="rId547" ref="E626"/>
    <hyperlink r:id="rId548" ref="E627"/>
    <hyperlink r:id="rId549" ref="E628"/>
    <hyperlink r:id="rId550" ref="E629"/>
    <hyperlink r:id="rId551" ref="E630"/>
    <hyperlink r:id="rId552" ref="E631"/>
    <hyperlink r:id="rId553" ref="E632"/>
    <hyperlink r:id="rId554" ref="E633"/>
    <hyperlink r:id="rId555" ref="E664"/>
    <hyperlink r:id="rId556" ref="E682"/>
    <hyperlink r:id="rId557" ref="E725"/>
    <hyperlink r:id="rId558" ref="E765"/>
    <hyperlink r:id="rId559" ref="E774"/>
    <hyperlink r:id="rId560" ref="E787"/>
    <hyperlink r:id="rId561" ref="E792"/>
    <hyperlink r:id="rId562" ref="E816"/>
    <hyperlink r:id="rId563" ref="E845"/>
    <hyperlink r:id="rId564" ref="E846"/>
    <hyperlink r:id="rId565" ref="E848"/>
    <hyperlink r:id="rId566" ref="E849"/>
    <hyperlink r:id="rId567" ref="E856"/>
    <hyperlink r:id="rId568" ref="E862"/>
    <hyperlink r:id="rId569" ref="E873"/>
    <hyperlink r:id="rId570" ref="E880"/>
    <hyperlink r:id="rId571" ref="E889"/>
    <hyperlink r:id="rId572" ref="E893"/>
    <hyperlink r:id="rId573" ref="E911"/>
    <hyperlink r:id="rId574" ref="E912"/>
    <hyperlink r:id="rId575" ref="E1030"/>
    <hyperlink r:id="rId576" ref="E1031"/>
    <hyperlink r:id="rId577" ref="E1036"/>
    <hyperlink r:id="rId578" ref="E1048"/>
    <hyperlink r:id="rId579" ref="E1051"/>
    <hyperlink r:id="rId580" ref="E2154"/>
    <hyperlink r:id="rId581" ref="E2155"/>
    <hyperlink r:id="rId582" ref="E2156"/>
    <hyperlink r:id="rId583" ref="E2157"/>
    <hyperlink r:id="rId584" ref="E2158"/>
    <hyperlink r:id="rId585" ref="E2159"/>
    <hyperlink r:id="rId586" ref="E2160"/>
    <hyperlink r:id="rId587" ref="E2161"/>
    <hyperlink r:id="rId588" ref="E2162"/>
    <hyperlink r:id="rId589" ref="E2163"/>
    <hyperlink r:id="rId590" ref="E2164"/>
    <hyperlink r:id="rId591" ref="E2165"/>
    <hyperlink r:id="rId592" ref="E2166"/>
    <hyperlink r:id="rId593" ref="E2167"/>
    <hyperlink r:id="rId594" ref="E2168"/>
    <hyperlink r:id="rId595" ref="E2169"/>
    <hyperlink r:id="rId596" ref="E2170"/>
    <hyperlink r:id="rId597" ref="E2171"/>
    <hyperlink r:id="rId598" ref="E2172"/>
    <hyperlink r:id="rId599" ref="E2461"/>
    <hyperlink r:id="rId600" ref="E2462"/>
    <hyperlink r:id="rId601" ref="E2463"/>
    <hyperlink r:id="rId602" ref="E2464"/>
    <hyperlink r:id="rId603" ref="E2465"/>
    <hyperlink r:id="rId604" ref="E2466"/>
    <hyperlink r:id="rId605" ref="E2467"/>
    <hyperlink r:id="rId606" ref="E2468"/>
    <hyperlink r:id="rId607" ref="E2469"/>
    <hyperlink r:id="rId608" ref="E2470"/>
    <hyperlink r:id="rId609" ref="E2471"/>
    <hyperlink r:id="rId610" ref="E2472"/>
    <hyperlink r:id="rId611" ref="E2473"/>
    <hyperlink r:id="rId612" ref="E2474"/>
    <hyperlink r:id="rId613" ref="E2475"/>
    <hyperlink r:id="rId614" ref="E2476"/>
    <hyperlink r:id="rId615" ref="E2477"/>
    <hyperlink r:id="rId616" ref="E2478"/>
    <hyperlink r:id="rId617" ref="E2479"/>
    <hyperlink r:id="rId618" ref="E2480"/>
    <hyperlink r:id="rId619" ref="E2481"/>
    <hyperlink r:id="rId620" ref="E2482"/>
    <hyperlink r:id="rId621" ref="E2483"/>
    <hyperlink r:id="rId622" ref="E2484"/>
    <hyperlink r:id="rId623" ref="E2485"/>
    <hyperlink r:id="rId624" ref="E2486"/>
    <hyperlink r:id="rId625" ref="E2487"/>
    <hyperlink r:id="rId626" ref="E2488"/>
    <hyperlink r:id="rId627" ref="E2489"/>
    <hyperlink r:id="rId628" ref="E2490"/>
    <hyperlink r:id="rId629" ref="E2491"/>
    <hyperlink r:id="rId630" ref="E2492"/>
    <hyperlink r:id="rId631" ref="E2493"/>
    <hyperlink r:id="rId632" ref="E2494"/>
    <hyperlink r:id="rId633" ref="E2495"/>
    <hyperlink r:id="rId634" ref="E2496"/>
    <hyperlink r:id="rId635" ref="E2497"/>
    <hyperlink r:id="rId636" ref="E2498"/>
    <hyperlink r:id="rId637" ref="E2499"/>
    <hyperlink r:id="rId638" ref="E2500"/>
    <hyperlink r:id="rId639" ref="E2501"/>
    <hyperlink r:id="rId640" ref="E2502"/>
    <hyperlink r:id="rId641" ref="E2503"/>
    <hyperlink r:id="rId642" ref="E2504"/>
    <hyperlink r:id="rId643" ref="E2505"/>
    <hyperlink r:id="rId644" ref="E2506"/>
    <hyperlink r:id="rId645" ref="E2507"/>
    <hyperlink r:id="rId646" ref="E2508"/>
    <hyperlink r:id="rId647" ref="E2509"/>
    <hyperlink r:id="rId648" ref="E2510"/>
    <hyperlink r:id="rId649" ref="E2511"/>
    <hyperlink r:id="rId650" ref="E2512"/>
    <hyperlink r:id="rId651" ref="E2513"/>
    <hyperlink r:id="rId652" ref="E2514"/>
    <hyperlink r:id="rId653" ref="E2515"/>
    <hyperlink r:id="rId654" ref="E2516"/>
    <hyperlink r:id="rId655" ref="E2517"/>
    <hyperlink r:id="rId656" ref="E2518"/>
    <hyperlink r:id="rId657" ref="E2519"/>
    <hyperlink r:id="rId658" ref="E2520"/>
    <hyperlink r:id="rId659" ref="E2521"/>
    <hyperlink r:id="rId660" ref="E2522"/>
    <hyperlink r:id="rId661" ref="E2523"/>
    <hyperlink r:id="rId662" ref="E2524"/>
    <hyperlink r:id="rId663" ref="E2525"/>
    <hyperlink r:id="rId664" ref="E2526"/>
    <hyperlink r:id="rId665" ref="E2527"/>
    <hyperlink r:id="rId666" ref="E2528"/>
    <hyperlink r:id="rId667" ref="E2529"/>
    <hyperlink r:id="rId668" ref="E2530"/>
    <hyperlink r:id="rId669" ref="E2531"/>
    <hyperlink r:id="rId670" ref="E2532"/>
    <hyperlink r:id="rId671" ref="E2533"/>
    <hyperlink r:id="rId672" ref="E2534"/>
    <hyperlink r:id="rId673" ref="E2535"/>
    <hyperlink r:id="rId674" ref="E2536"/>
    <hyperlink r:id="rId675" ref="E2537"/>
    <hyperlink r:id="rId676" ref="E2538"/>
    <hyperlink r:id="rId677" ref="E2539"/>
    <hyperlink r:id="rId678" ref="E2540"/>
    <hyperlink r:id="rId679" ref="E2541"/>
    <hyperlink r:id="rId680" ref="E2542"/>
    <hyperlink r:id="rId681" ref="E2543"/>
    <hyperlink r:id="rId682" ref="E2544"/>
    <hyperlink r:id="rId683" ref="E2545"/>
    <hyperlink r:id="rId684" ref="E2546"/>
    <hyperlink r:id="rId685" ref="E2547"/>
    <hyperlink r:id="rId686" ref="E2548"/>
    <hyperlink r:id="rId687" ref="E2549"/>
    <hyperlink r:id="rId688" ref="E2550"/>
    <hyperlink r:id="rId689" ref="E2551"/>
    <hyperlink r:id="rId690" ref="E2552"/>
    <hyperlink r:id="rId691" ref="E2553"/>
    <hyperlink r:id="rId692" ref="E2554"/>
    <hyperlink r:id="rId693" ref="E2555"/>
    <hyperlink r:id="rId694" ref="E2556"/>
    <hyperlink r:id="rId695" ref="E2557"/>
    <hyperlink r:id="rId696" ref="E2558"/>
    <hyperlink r:id="rId697" ref="E2559"/>
    <hyperlink r:id="rId698" ref="E2560"/>
    <hyperlink r:id="rId699" ref="E2561"/>
    <hyperlink r:id="rId700" ref="E2562"/>
    <hyperlink r:id="rId701" ref="E2563"/>
    <hyperlink r:id="rId702" ref="E2564"/>
    <hyperlink r:id="rId703" ref="E2565"/>
    <hyperlink r:id="rId704" ref="E2566"/>
    <hyperlink r:id="rId705" ref="E2567"/>
    <hyperlink r:id="rId706" ref="E2568"/>
    <hyperlink r:id="rId707" ref="E2569"/>
    <hyperlink r:id="rId708" ref="E2570"/>
    <hyperlink r:id="rId709" ref="E2571"/>
    <hyperlink r:id="rId710" ref="E2572"/>
    <hyperlink r:id="rId711" ref="E2573"/>
    <hyperlink r:id="rId712" ref="E2574"/>
    <hyperlink r:id="rId713" ref="E2575"/>
    <hyperlink r:id="rId714" ref="E2576"/>
    <hyperlink r:id="rId715" ref="E2577"/>
    <hyperlink r:id="rId716" ref="E2578"/>
    <hyperlink r:id="rId717" ref="E2579"/>
    <hyperlink r:id="rId718" ref="E2580"/>
    <hyperlink r:id="rId719" ref="E2581"/>
    <hyperlink r:id="rId720" ref="E2582"/>
    <hyperlink r:id="rId721" ref="E2583"/>
    <hyperlink r:id="rId722" ref="E2584"/>
    <hyperlink r:id="rId723" ref="E2585"/>
    <hyperlink r:id="rId724" ref="E2586"/>
    <hyperlink r:id="rId725" ref="E2587"/>
    <hyperlink r:id="rId726" ref="E2588"/>
    <hyperlink r:id="rId727" ref="E2589"/>
    <hyperlink r:id="rId728" ref="E2590"/>
    <hyperlink r:id="rId729" ref="E2591"/>
    <hyperlink r:id="rId730" ref="E2592"/>
    <hyperlink r:id="rId731" ref="E2593"/>
    <hyperlink r:id="rId732" ref="E2594"/>
    <hyperlink r:id="rId733" ref="E2595"/>
    <hyperlink r:id="rId734" ref="E2596"/>
    <hyperlink r:id="rId735" ref="E2597"/>
    <hyperlink r:id="rId736" ref="E2598"/>
    <hyperlink r:id="rId737" ref="E2599"/>
    <hyperlink r:id="rId738" ref="E2600"/>
    <hyperlink r:id="rId739" ref="E2601"/>
    <hyperlink r:id="rId740" ref="E2602"/>
    <hyperlink r:id="rId741" ref="E2603"/>
    <hyperlink r:id="rId742" ref="E2604"/>
    <hyperlink r:id="rId743" ref="E2605"/>
    <hyperlink r:id="rId744" ref="E2606"/>
    <hyperlink r:id="rId745" ref="E2607"/>
    <hyperlink r:id="rId746" ref="E2608"/>
    <hyperlink r:id="rId747" ref="E2609"/>
    <hyperlink r:id="rId748" ref="E2610"/>
    <hyperlink r:id="rId749" ref="E2611"/>
    <hyperlink r:id="rId750" ref="E2612"/>
    <hyperlink r:id="rId751" ref="E2613"/>
    <hyperlink r:id="rId752" ref="E2614"/>
    <hyperlink r:id="rId753" ref="E2615"/>
    <hyperlink r:id="rId754" ref="E2616"/>
    <hyperlink r:id="rId755" ref="E2617"/>
    <hyperlink r:id="rId756" ref="E2618"/>
    <hyperlink r:id="rId757" ref="E2619"/>
    <hyperlink r:id="rId758" ref="E2620"/>
    <hyperlink r:id="rId759" ref="E2621"/>
    <hyperlink r:id="rId760" ref="E2622"/>
    <hyperlink r:id="rId761" ref="E2623"/>
    <hyperlink r:id="rId762" ref="E2624"/>
    <hyperlink r:id="rId763" ref="E2625"/>
    <hyperlink r:id="rId764" ref="E2626"/>
    <hyperlink r:id="rId765" ref="E2627"/>
    <hyperlink r:id="rId766" ref="E2628"/>
    <hyperlink r:id="rId767" ref="E2629"/>
    <hyperlink r:id="rId768" ref="E2630"/>
    <hyperlink r:id="rId769" ref="E2631"/>
    <hyperlink r:id="rId770" ref="E2632"/>
    <hyperlink r:id="rId771" ref="E2633"/>
    <hyperlink r:id="rId772" ref="E2634"/>
    <hyperlink r:id="rId773" ref="E2635"/>
    <hyperlink r:id="rId774" ref="E2636"/>
    <hyperlink r:id="rId775" ref="E2637"/>
    <hyperlink r:id="rId776" ref="E2638"/>
    <hyperlink r:id="rId777" ref="E2639"/>
    <hyperlink r:id="rId778" ref="E2640"/>
    <hyperlink r:id="rId779" ref="E2641"/>
    <hyperlink r:id="rId780" ref="E2642"/>
    <hyperlink r:id="rId781" ref="E2643"/>
    <hyperlink r:id="rId782" ref="E2644"/>
    <hyperlink r:id="rId783" ref="E2645"/>
    <hyperlink r:id="rId784" ref="E2646"/>
    <hyperlink r:id="rId785" ref="E2647"/>
    <hyperlink r:id="rId786" ref="E2648"/>
    <hyperlink r:id="rId787" ref="E2649"/>
    <hyperlink r:id="rId788" ref="E2650"/>
    <hyperlink r:id="rId789" ref="E2651"/>
    <hyperlink r:id="rId790" ref="E2652"/>
    <hyperlink r:id="rId791" ref="E2653"/>
    <hyperlink r:id="rId792" ref="E2654"/>
    <hyperlink r:id="rId793" ref="E2655"/>
    <hyperlink r:id="rId794" ref="E2656"/>
    <hyperlink r:id="rId795" ref="E2657"/>
    <hyperlink r:id="rId796" ref="E2658"/>
    <hyperlink r:id="rId797" ref="E2659"/>
    <hyperlink r:id="rId798" ref="E2660"/>
    <hyperlink r:id="rId799" ref="E2661"/>
    <hyperlink r:id="rId800" ref="E2662"/>
    <hyperlink r:id="rId801" ref="E2663"/>
    <hyperlink r:id="rId802" ref="E2664"/>
    <hyperlink r:id="rId803" ref="E2665"/>
    <hyperlink r:id="rId804" ref="E2666"/>
    <hyperlink r:id="rId805" ref="E2667"/>
    <hyperlink r:id="rId806" ref="E2668"/>
    <hyperlink r:id="rId807" ref="E2669"/>
    <hyperlink r:id="rId808" ref="E2670"/>
    <hyperlink r:id="rId809" ref="E2671"/>
    <hyperlink r:id="rId810" ref="E2672"/>
    <hyperlink r:id="rId811" ref="E2673"/>
    <hyperlink r:id="rId812" ref="E2674"/>
    <hyperlink r:id="rId813" ref="E2675"/>
    <hyperlink r:id="rId814" ref="E2676"/>
    <hyperlink r:id="rId815" ref="E2677"/>
    <hyperlink r:id="rId816" ref="E2678"/>
    <hyperlink r:id="rId817" ref="E2679"/>
    <hyperlink r:id="rId818" ref="E2680"/>
    <hyperlink r:id="rId819" ref="E2681"/>
    <hyperlink r:id="rId820" ref="E2682"/>
    <hyperlink r:id="rId821" ref="E2683"/>
    <hyperlink r:id="rId822" ref="E2684"/>
    <hyperlink r:id="rId823" ref="E2685"/>
    <hyperlink r:id="rId824" ref="E2686"/>
    <hyperlink r:id="rId825" ref="E2687"/>
    <hyperlink r:id="rId826" ref="E2688"/>
    <hyperlink r:id="rId827" ref="E2689"/>
    <hyperlink r:id="rId828" ref="E2690"/>
    <hyperlink r:id="rId829" ref="E2691"/>
    <hyperlink r:id="rId830" ref="E2692"/>
    <hyperlink r:id="rId831" ref="E2693"/>
    <hyperlink r:id="rId832" ref="E2694"/>
    <hyperlink r:id="rId833" ref="E2695"/>
    <hyperlink r:id="rId834" ref="E2696"/>
    <hyperlink r:id="rId835" ref="E2697"/>
    <hyperlink r:id="rId836" ref="E2698"/>
    <hyperlink r:id="rId837" ref="E2699"/>
    <hyperlink r:id="rId838" ref="E2700"/>
    <hyperlink r:id="rId839" ref="E2701"/>
    <hyperlink r:id="rId840" ref="E2702"/>
    <hyperlink r:id="rId841" ref="E2703"/>
    <hyperlink r:id="rId842" ref="E2704"/>
    <hyperlink r:id="rId843" ref="E2705"/>
    <hyperlink r:id="rId844" ref="E2706"/>
    <hyperlink r:id="rId845" ref="E2707"/>
    <hyperlink r:id="rId846" ref="E2708"/>
    <hyperlink r:id="rId847" ref="E2709"/>
    <hyperlink r:id="rId848" ref="E2710"/>
    <hyperlink r:id="rId849" ref="E2711"/>
    <hyperlink r:id="rId850" ref="E2712"/>
    <hyperlink r:id="rId851" ref="E2713"/>
    <hyperlink r:id="rId852" ref="E2714"/>
    <hyperlink r:id="rId853" ref="E2715"/>
    <hyperlink r:id="rId854" ref="E2716"/>
    <hyperlink r:id="rId855" ref="E2717"/>
    <hyperlink r:id="rId856" ref="E2718"/>
    <hyperlink r:id="rId857" ref="E2719"/>
    <hyperlink r:id="rId858" ref="E2720"/>
    <hyperlink r:id="rId859" ref="E2721"/>
    <hyperlink r:id="rId860" ref="E2722"/>
    <hyperlink r:id="rId861" ref="E2723"/>
    <hyperlink r:id="rId862" ref="E2724"/>
    <hyperlink r:id="rId863" ref="E2725"/>
    <hyperlink r:id="rId864" ref="E2726"/>
    <hyperlink r:id="rId865" ref="E2727"/>
    <hyperlink r:id="rId866" ref="E2728"/>
    <hyperlink r:id="rId867" ref="E2729"/>
    <hyperlink r:id="rId868" ref="E2730"/>
    <hyperlink r:id="rId869" ref="E2731"/>
    <hyperlink r:id="rId870" ref="E2732"/>
    <hyperlink r:id="rId871" ref="E2733"/>
    <hyperlink r:id="rId872" ref="E2734"/>
    <hyperlink r:id="rId873" ref="E2735"/>
    <hyperlink r:id="rId874" ref="E2736"/>
    <hyperlink r:id="rId875" ref="E2737"/>
    <hyperlink r:id="rId876" ref="E2738"/>
    <hyperlink r:id="rId877" ref="E2739"/>
    <hyperlink r:id="rId878" ref="E2740"/>
    <hyperlink r:id="rId879" ref="E2741"/>
    <hyperlink r:id="rId880" ref="E2742"/>
    <hyperlink r:id="rId881" ref="E2743"/>
    <hyperlink r:id="rId882" ref="E2744"/>
    <hyperlink r:id="rId883" ref="E2745"/>
    <hyperlink r:id="rId884" ref="E2746"/>
    <hyperlink r:id="rId885" ref="E2747"/>
    <hyperlink r:id="rId886" ref="E2748"/>
    <hyperlink r:id="rId887" ref="E2749"/>
    <hyperlink r:id="rId888" ref="E2750"/>
    <hyperlink r:id="rId889" ref="E2751"/>
    <hyperlink r:id="rId890" ref="E2752"/>
    <hyperlink r:id="rId891" ref="E2753"/>
    <hyperlink r:id="rId892" ref="E2754"/>
    <hyperlink r:id="rId893" ref="E2755"/>
    <hyperlink r:id="rId894" ref="E2756"/>
    <hyperlink r:id="rId895" ref="E2757"/>
    <hyperlink r:id="rId896" ref="E2758"/>
    <hyperlink r:id="rId897" ref="E2759"/>
    <hyperlink r:id="rId898" ref="E2760"/>
    <hyperlink r:id="rId899" ref="E2761"/>
    <hyperlink r:id="rId900" ref="E2762"/>
    <hyperlink r:id="rId901" ref="E2763"/>
    <hyperlink r:id="rId902" ref="E2764"/>
    <hyperlink r:id="rId903" ref="E2765"/>
    <hyperlink r:id="rId904" ref="E2766"/>
    <hyperlink r:id="rId905" ref="E2767"/>
    <hyperlink r:id="rId906" ref="E2768"/>
    <hyperlink r:id="rId907" ref="E2769"/>
    <hyperlink r:id="rId908" ref="E2770"/>
    <hyperlink r:id="rId909" ref="E2771"/>
    <hyperlink r:id="rId910" ref="E2772"/>
    <hyperlink r:id="rId911" ref="E2773"/>
    <hyperlink r:id="rId912" ref="E2774"/>
    <hyperlink r:id="rId913" ref="E2775"/>
    <hyperlink r:id="rId914" ref="E2776"/>
    <hyperlink r:id="rId915" ref="E2777"/>
    <hyperlink r:id="rId916" ref="E2778"/>
    <hyperlink r:id="rId917" ref="E2779"/>
    <hyperlink r:id="rId918" ref="E2780"/>
    <hyperlink r:id="rId919" ref="E2781"/>
    <hyperlink r:id="rId920" ref="E2782"/>
    <hyperlink r:id="rId921" ref="E2783"/>
    <hyperlink r:id="rId922" ref="E2784"/>
    <hyperlink r:id="rId923" ref="E2785"/>
    <hyperlink r:id="rId924" ref="E2786"/>
    <hyperlink r:id="rId925" ref="E2787"/>
    <hyperlink r:id="rId926" ref="E2788"/>
    <hyperlink r:id="rId927" ref="E2789"/>
    <hyperlink r:id="rId928" ref="E2790"/>
    <hyperlink r:id="rId929" ref="E2791"/>
    <hyperlink r:id="rId930" ref="E2792"/>
    <hyperlink r:id="rId931" ref="E2793"/>
    <hyperlink r:id="rId932" ref="E2794"/>
    <hyperlink r:id="rId933" ref="E2795"/>
    <hyperlink r:id="rId934" ref="E2796"/>
    <hyperlink r:id="rId935" ref="E2797"/>
    <hyperlink r:id="rId936" ref="E2798"/>
    <hyperlink r:id="rId937" ref="E2799"/>
    <hyperlink r:id="rId938" ref="E2800"/>
    <hyperlink r:id="rId939" ref="E2801"/>
    <hyperlink r:id="rId940" ref="E2802"/>
    <hyperlink r:id="rId941" ref="E2803"/>
    <hyperlink r:id="rId942" ref="E2804"/>
    <hyperlink r:id="rId943" ref="E2805"/>
    <hyperlink r:id="rId944" ref="E2806"/>
    <hyperlink r:id="rId945" ref="E2807"/>
    <hyperlink r:id="rId946" ref="E2808"/>
    <hyperlink r:id="rId947" ref="E2809"/>
    <hyperlink r:id="rId948" ref="E2810"/>
    <hyperlink r:id="rId949" ref="E2811"/>
    <hyperlink r:id="rId950" ref="E2812"/>
    <hyperlink r:id="rId951" ref="E2813"/>
    <hyperlink r:id="rId952" ref="E2814"/>
    <hyperlink r:id="rId953" ref="E2815"/>
    <hyperlink r:id="rId954" ref="E2816"/>
    <hyperlink r:id="rId955" ref="E2817"/>
    <hyperlink r:id="rId956" ref="E2818"/>
    <hyperlink r:id="rId957" ref="E2819"/>
    <hyperlink r:id="rId958" ref="E2820"/>
    <hyperlink r:id="rId959" ref="E2821"/>
    <hyperlink r:id="rId960" ref="E2822"/>
    <hyperlink r:id="rId961" ref="E2823"/>
    <hyperlink r:id="rId962" ref="E2824"/>
    <hyperlink r:id="rId963" ref="E2825"/>
    <hyperlink r:id="rId964" ref="E2826"/>
    <hyperlink r:id="rId965" ref="E2827"/>
    <hyperlink r:id="rId966" ref="E2828"/>
    <hyperlink r:id="rId967" ref="E2829"/>
    <hyperlink r:id="rId968" ref="E2830"/>
    <hyperlink r:id="rId969" ref="E2831"/>
    <hyperlink r:id="rId970" ref="E2832"/>
    <hyperlink r:id="rId971" ref="E2833"/>
    <hyperlink r:id="rId972" ref="E2834"/>
    <hyperlink r:id="rId973" ref="E2835"/>
    <hyperlink r:id="rId974" ref="E2836"/>
    <hyperlink r:id="rId975" ref="E2837"/>
    <hyperlink r:id="rId976" ref="E2838"/>
    <hyperlink r:id="rId977" ref="E2839"/>
    <hyperlink r:id="rId978" ref="E2840"/>
    <hyperlink r:id="rId979" ref="E2841"/>
    <hyperlink r:id="rId980" ref="E2842"/>
    <hyperlink r:id="rId981" ref="E2843"/>
    <hyperlink r:id="rId982" ref="E2844"/>
    <hyperlink r:id="rId983" ref="E2845"/>
    <hyperlink r:id="rId984" ref="E2846"/>
    <hyperlink r:id="rId985" ref="E2847"/>
    <hyperlink r:id="rId986" ref="E2848"/>
    <hyperlink r:id="rId987" ref="E2849"/>
    <hyperlink r:id="rId988" ref="E2850"/>
    <hyperlink r:id="rId989" ref="E2851"/>
    <hyperlink r:id="rId990" ref="E2852"/>
    <hyperlink r:id="rId991" ref="E2853"/>
    <hyperlink r:id="rId992" ref="E2854"/>
    <hyperlink r:id="rId993" ref="E2855"/>
    <hyperlink r:id="rId994" ref="E2856"/>
    <hyperlink r:id="rId995" ref="E2857"/>
    <hyperlink r:id="rId996" ref="E2858"/>
    <hyperlink r:id="rId997" ref="E2859"/>
    <hyperlink r:id="rId998" ref="E2860"/>
    <hyperlink r:id="rId999" ref="E2861"/>
    <hyperlink r:id="rId1000" ref="E2862"/>
    <hyperlink r:id="rId1001" ref="E2863"/>
    <hyperlink r:id="rId1002" ref="E2864"/>
    <hyperlink r:id="rId1003" ref="E2865"/>
    <hyperlink r:id="rId1004" ref="E2866"/>
    <hyperlink r:id="rId1005" ref="E2867"/>
    <hyperlink r:id="rId1006" ref="E2868"/>
    <hyperlink r:id="rId1007" ref="E2869"/>
    <hyperlink r:id="rId1008" ref="E2870"/>
    <hyperlink r:id="rId1009" ref="E2871"/>
    <hyperlink r:id="rId1010" ref="E2872"/>
    <hyperlink r:id="rId1011" ref="E2873"/>
    <hyperlink r:id="rId1012" ref="E2874"/>
    <hyperlink r:id="rId1013" ref="E2875"/>
    <hyperlink r:id="rId1014" ref="E2876"/>
    <hyperlink r:id="rId1015" ref="E2877"/>
    <hyperlink r:id="rId1016" ref="E2878"/>
    <hyperlink r:id="rId1017" ref="E2879"/>
    <hyperlink r:id="rId1018" ref="E2880"/>
    <hyperlink r:id="rId1019" ref="E2881"/>
    <hyperlink r:id="rId1020" ref="E2882"/>
    <hyperlink r:id="rId1021" ref="E2883"/>
    <hyperlink r:id="rId1022" ref="E2884"/>
    <hyperlink r:id="rId1023" ref="E2885"/>
    <hyperlink r:id="rId1024" ref="E2886"/>
    <hyperlink r:id="rId1025" ref="E2887"/>
    <hyperlink r:id="rId1026" ref="E2888"/>
    <hyperlink r:id="rId1027" ref="E2889"/>
    <hyperlink r:id="rId1028" ref="E2890"/>
    <hyperlink r:id="rId1029" ref="E2891"/>
    <hyperlink r:id="rId1030" ref="E2892"/>
    <hyperlink r:id="rId1031" ref="E2893"/>
    <hyperlink r:id="rId1032" ref="E2894"/>
    <hyperlink r:id="rId1033" ref="E2895"/>
    <hyperlink r:id="rId1034" ref="E2896"/>
    <hyperlink r:id="rId1035" ref="E2897"/>
    <hyperlink r:id="rId1036" ref="E2898"/>
    <hyperlink r:id="rId1037" ref="E2899"/>
    <hyperlink r:id="rId1038" ref="E2900"/>
    <hyperlink r:id="rId1039" ref="E2901"/>
    <hyperlink r:id="rId1040" ref="E2902"/>
    <hyperlink r:id="rId1041" ref="E2903"/>
    <hyperlink r:id="rId1042" ref="E2904"/>
    <hyperlink r:id="rId1043" ref="E2905"/>
    <hyperlink r:id="rId1044" ref="E2906"/>
    <hyperlink r:id="rId1045" ref="E2907"/>
    <hyperlink r:id="rId1046" ref="E2908"/>
    <hyperlink r:id="rId1047" ref="E2909"/>
    <hyperlink r:id="rId1048" ref="E2910"/>
    <hyperlink r:id="rId1049" ref="E2911"/>
    <hyperlink r:id="rId1050" ref="E2912"/>
    <hyperlink r:id="rId1051" ref="E2913"/>
    <hyperlink r:id="rId1052" ref="E2914"/>
    <hyperlink r:id="rId1053" ref="E2915"/>
    <hyperlink r:id="rId1054" ref="E2916"/>
    <hyperlink r:id="rId1055" ref="E2917"/>
    <hyperlink r:id="rId1056" ref="E2918"/>
    <hyperlink r:id="rId1057" ref="E2919"/>
    <hyperlink r:id="rId1058" ref="E2920"/>
    <hyperlink r:id="rId1059" ref="E2921"/>
    <hyperlink r:id="rId1060" ref="E2922"/>
    <hyperlink r:id="rId1061" ref="E2923"/>
    <hyperlink r:id="rId1062" ref="E2924"/>
    <hyperlink r:id="rId1063" ref="E2925"/>
    <hyperlink r:id="rId1064" ref="E2926"/>
    <hyperlink r:id="rId1065" ref="E2927"/>
    <hyperlink r:id="rId1066" ref="E2928"/>
    <hyperlink r:id="rId1067" ref="E2929"/>
    <hyperlink r:id="rId1068" ref="E2930"/>
    <hyperlink r:id="rId1069" ref="E2931"/>
    <hyperlink r:id="rId1070" ref="E2932"/>
    <hyperlink r:id="rId1071" ref="E2933"/>
    <hyperlink r:id="rId1072" ref="E2934"/>
    <hyperlink r:id="rId1073" ref="E2935"/>
    <hyperlink r:id="rId1074" ref="E2936"/>
    <hyperlink r:id="rId1075" ref="E2937"/>
    <hyperlink r:id="rId1076" ref="E2938"/>
    <hyperlink r:id="rId1077" ref="E2939"/>
    <hyperlink r:id="rId1078" ref="E2940"/>
    <hyperlink r:id="rId1079" ref="E2941"/>
    <hyperlink r:id="rId1080" ref="E2942"/>
    <hyperlink r:id="rId1081" ref="E2943"/>
    <hyperlink r:id="rId1082" ref="E2944"/>
    <hyperlink r:id="rId1083" ref="E2945"/>
    <hyperlink r:id="rId1084" ref="E2946"/>
    <hyperlink r:id="rId1085" ref="E2947"/>
    <hyperlink r:id="rId1086" ref="E2948"/>
    <hyperlink r:id="rId1087" ref="E2949"/>
    <hyperlink r:id="rId1088" ref="E2950"/>
    <hyperlink r:id="rId1089" ref="E2951"/>
    <hyperlink r:id="rId1090" ref="E2952"/>
    <hyperlink r:id="rId1091" ref="E2953"/>
    <hyperlink r:id="rId1092" ref="E2954"/>
    <hyperlink r:id="rId1093" ref="E2955"/>
    <hyperlink r:id="rId1094" ref="E2956"/>
    <hyperlink r:id="rId1095" ref="E2957"/>
    <hyperlink r:id="rId1096" ref="E2958"/>
    <hyperlink r:id="rId1097" ref="E2959"/>
    <hyperlink r:id="rId1098" ref="E2960"/>
    <hyperlink r:id="rId1099" ref="E2961"/>
    <hyperlink r:id="rId1100" ref="E2962"/>
    <hyperlink r:id="rId1101" ref="E2963"/>
    <hyperlink r:id="rId1102" ref="E2964"/>
    <hyperlink r:id="rId1103" ref="E2965"/>
    <hyperlink r:id="rId1104" ref="E2966"/>
    <hyperlink r:id="rId1105" ref="E2967"/>
    <hyperlink r:id="rId1106" ref="E2968"/>
    <hyperlink r:id="rId1107" ref="E2969"/>
    <hyperlink r:id="rId1108" ref="E2970"/>
    <hyperlink r:id="rId1109" ref="E2971"/>
    <hyperlink r:id="rId1110" ref="E2972"/>
    <hyperlink r:id="rId1111" ref="E2973"/>
    <hyperlink r:id="rId1112" ref="E2974"/>
    <hyperlink r:id="rId1113" ref="E2975"/>
    <hyperlink r:id="rId1114" ref="E2976"/>
    <hyperlink r:id="rId1115" ref="E2977"/>
    <hyperlink r:id="rId1116" ref="E2978"/>
    <hyperlink r:id="rId1117" ref="E2979"/>
    <hyperlink r:id="rId1118" ref="E2980"/>
    <hyperlink r:id="rId1119" ref="E2981"/>
    <hyperlink r:id="rId1120" ref="E2982"/>
    <hyperlink r:id="rId1121" ref="E2983"/>
    <hyperlink r:id="rId1122" ref="E2984"/>
    <hyperlink r:id="rId1123" ref="E2985"/>
    <hyperlink r:id="rId1124" ref="E2986"/>
    <hyperlink r:id="rId1125" ref="E2987"/>
    <hyperlink r:id="rId1126" ref="E2988"/>
    <hyperlink r:id="rId1127" ref="E2989"/>
    <hyperlink r:id="rId1128" ref="E2990"/>
    <hyperlink r:id="rId1129" ref="E2991"/>
    <hyperlink r:id="rId1130" ref="E2992"/>
    <hyperlink r:id="rId1131" ref="E2993"/>
    <hyperlink r:id="rId1132" ref="E2994"/>
    <hyperlink r:id="rId1133" ref="E2995"/>
    <hyperlink r:id="rId1134" ref="E2996"/>
    <hyperlink r:id="rId1135" ref="E2997"/>
    <hyperlink r:id="rId1136" ref="E2998"/>
    <hyperlink r:id="rId1137" ref="E2999"/>
    <hyperlink r:id="rId1138" ref="E3000"/>
    <hyperlink r:id="rId1139" ref="E3001"/>
    <hyperlink r:id="rId1140" ref="E3002"/>
    <hyperlink r:id="rId1141" ref="E3003"/>
    <hyperlink r:id="rId1142" ref="E3004"/>
    <hyperlink r:id="rId1143" ref="E3005"/>
    <hyperlink r:id="rId1144" ref="E3006"/>
    <hyperlink r:id="rId1145" ref="E3007"/>
    <hyperlink r:id="rId1146" ref="E3008"/>
    <hyperlink r:id="rId1147" ref="E3009"/>
    <hyperlink r:id="rId1148" ref="E3010"/>
    <hyperlink r:id="rId1149" ref="E3011"/>
    <hyperlink r:id="rId1150" ref="E3012"/>
    <hyperlink r:id="rId1151" ref="E3013"/>
    <hyperlink r:id="rId1152" ref="E3014"/>
    <hyperlink r:id="rId1153" ref="E3015"/>
    <hyperlink r:id="rId1154" ref="E3016"/>
    <hyperlink r:id="rId1155" ref="E3017"/>
    <hyperlink r:id="rId1156" ref="E3018"/>
    <hyperlink r:id="rId1157" ref="E3019"/>
    <hyperlink r:id="rId1158" ref="E3020"/>
    <hyperlink r:id="rId1159" ref="E3021"/>
    <hyperlink r:id="rId1160" ref="E3022"/>
    <hyperlink r:id="rId1161" ref="E3023"/>
    <hyperlink r:id="rId1162" ref="E3024"/>
    <hyperlink r:id="rId1163" ref="E3025"/>
    <hyperlink r:id="rId1164" ref="E3026"/>
    <hyperlink r:id="rId1165" ref="E3027"/>
    <hyperlink r:id="rId1166" ref="E3028"/>
    <hyperlink r:id="rId1167" ref="E3029"/>
    <hyperlink r:id="rId1168" ref="E3030"/>
    <hyperlink r:id="rId1169" ref="E3031"/>
    <hyperlink r:id="rId1170" ref="E3032"/>
    <hyperlink r:id="rId1171" ref="E3033"/>
    <hyperlink r:id="rId1172" ref="E3034"/>
    <hyperlink r:id="rId1173" ref="E3035"/>
    <hyperlink r:id="rId1174" ref="E3036"/>
    <hyperlink r:id="rId1175" ref="E3037"/>
    <hyperlink r:id="rId1176" ref="E3038"/>
    <hyperlink r:id="rId1177" ref="E3039"/>
    <hyperlink r:id="rId1178" ref="E3040"/>
    <hyperlink r:id="rId1179" ref="E3041"/>
    <hyperlink r:id="rId1180" ref="E3042"/>
    <hyperlink r:id="rId1181" ref="E3043"/>
    <hyperlink r:id="rId1182" ref="E3044"/>
    <hyperlink r:id="rId1183" ref="E3045"/>
    <hyperlink r:id="rId1184" ref="E3046"/>
    <hyperlink r:id="rId1185" ref="E3047"/>
    <hyperlink r:id="rId1186" ref="E3048"/>
    <hyperlink r:id="rId1187" ref="E3049"/>
    <hyperlink r:id="rId1188" ref="E3050"/>
    <hyperlink r:id="rId1189" ref="E3051"/>
    <hyperlink r:id="rId1190" ref="E3052"/>
    <hyperlink r:id="rId1191" ref="E3053"/>
    <hyperlink r:id="rId1192" ref="E3054"/>
    <hyperlink r:id="rId1193" ref="E3055"/>
    <hyperlink r:id="rId1194" ref="E3056"/>
    <hyperlink r:id="rId1195" ref="E3057"/>
    <hyperlink r:id="rId1196" ref="E3058"/>
    <hyperlink r:id="rId1197" ref="E3059"/>
    <hyperlink r:id="rId1198" ref="E3060"/>
    <hyperlink r:id="rId1199" ref="E3061"/>
    <hyperlink r:id="rId1200" ref="E3062"/>
    <hyperlink r:id="rId1201" ref="E3063"/>
    <hyperlink r:id="rId1202" ref="E3064"/>
    <hyperlink r:id="rId1203" ref="E3065"/>
    <hyperlink r:id="rId1204" ref="E3066"/>
    <hyperlink r:id="rId1205" ref="E3067"/>
    <hyperlink r:id="rId1206" ref="E3068"/>
    <hyperlink r:id="rId1207" ref="E3069"/>
    <hyperlink r:id="rId1208" ref="E3070"/>
    <hyperlink r:id="rId1209" ref="E3071"/>
    <hyperlink r:id="rId1210" ref="E3072"/>
    <hyperlink r:id="rId1211" ref="E3073"/>
    <hyperlink r:id="rId1212" ref="E3074"/>
    <hyperlink r:id="rId1213" ref="E3075"/>
    <hyperlink r:id="rId1214" ref="E3076"/>
    <hyperlink r:id="rId1215" ref="E3077"/>
    <hyperlink r:id="rId1216" ref="E3078"/>
    <hyperlink r:id="rId1217" ref="E3079"/>
    <hyperlink r:id="rId1218" ref="E3080"/>
    <hyperlink r:id="rId1219" ref="E3081"/>
    <hyperlink r:id="rId1220" ref="E3082"/>
    <hyperlink r:id="rId1221" ref="E3083"/>
    <hyperlink r:id="rId1222" ref="E3084"/>
    <hyperlink r:id="rId1223" ref="E3085"/>
    <hyperlink r:id="rId1224" ref="E3086"/>
    <hyperlink r:id="rId1225" ref="E3087"/>
    <hyperlink r:id="rId1226" ref="E3088"/>
    <hyperlink r:id="rId1227" ref="E3089"/>
    <hyperlink r:id="rId1228" ref="E3090"/>
    <hyperlink r:id="rId1229" ref="E3091"/>
    <hyperlink r:id="rId1230" ref="E3092"/>
    <hyperlink r:id="rId1231" ref="E3093"/>
    <hyperlink r:id="rId1232" ref="E3094"/>
    <hyperlink r:id="rId1233" ref="E3095"/>
    <hyperlink r:id="rId1234" ref="E3096"/>
    <hyperlink r:id="rId1235" ref="E3097"/>
    <hyperlink r:id="rId1236" ref="E3098"/>
    <hyperlink r:id="rId1237" ref="E3099"/>
    <hyperlink r:id="rId1238" ref="E3100"/>
    <hyperlink r:id="rId1239" ref="E3101"/>
    <hyperlink r:id="rId1240" ref="E3102"/>
  </hyperlinks>
  <drawing r:id="rId1241"/>
  <legacyDrawing r:id="rId124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4" max="4" width="31.57"/>
    <col customWidth="1" min="12" max="12" width="43.29"/>
    <col customWidth="1" min="13" max="13" width="39.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t="s">
        <v>17</v>
      </c>
      <c r="B2" s="1">
        <v>1990.0</v>
      </c>
      <c r="C2" s="1" t="s">
        <v>18</v>
      </c>
      <c r="D2" s="1" t="s">
        <v>19</v>
      </c>
      <c r="E2" s="2" t="s">
        <v>20</v>
      </c>
      <c r="F2" s="1">
        <v>457.0</v>
      </c>
      <c r="G2" s="1">
        <v>457.0</v>
      </c>
      <c r="H2" s="1" t="s">
        <v>21</v>
      </c>
      <c r="I2" s="1"/>
      <c r="J2" s="1" t="s">
        <v>22</v>
      </c>
      <c r="K2" s="1"/>
      <c r="L2" s="1" t="s">
        <v>23</v>
      </c>
    </row>
    <row r="3">
      <c r="A3" s="1" t="s">
        <v>17</v>
      </c>
      <c r="B3" s="1">
        <v>1990.0</v>
      </c>
      <c r="C3" s="1" t="s">
        <v>24</v>
      </c>
      <c r="D3" s="1" t="s">
        <v>25</v>
      </c>
      <c r="E3" s="2" t="s">
        <v>26</v>
      </c>
      <c r="F3" s="1">
        <v>6.0</v>
      </c>
      <c r="G3" s="1" t="s">
        <v>27</v>
      </c>
      <c r="H3" s="1" t="s">
        <v>28</v>
      </c>
      <c r="I3" s="1"/>
      <c r="J3" s="1" t="s">
        <v>29</v>
      </c>
      <c r="K3" s="1"/>
      <c r="L3" s="1" t="s">
        <v>30</v>
      </c>
    </row>
    <row r="4">
      <c r="A4" s="1" t="s">
        <v>17</v>
      </c>
      <c r="B4" s="1">
        <v>1990.0</v>
      </c>
      <c r="C4" s="1" t="s">
        <v>31</v>
      </c>
      <c r="D4" s="1" t="s">
        <v>32</v>
      </c>
      <c r="E4" s="2" t="s">
        <v>33</v>
      </c>
      <c r="F4" s="1">
        <v>14.0</v>
      </c>
      <c r="G4" s="1" t="s">
        <v>34</v>
      </c>
      <c r="H4" s="1" t="s">
        <v>28</v>
      </c>
      <c r="I4" s="1"/>
      <c r="J4" s="1" t="s">
        <v>35</v>
      </c>
      <c r="K4" s="1"/>
      <c r="L4" s="1" t="s">
        <v>36</v>
      </c>
    </row>
    <row r="5">
      <c r="A5" s="1" t="s">
        <v>17</v>
      </c>
      <c r="B5" s="1">
        <v>1990.0</v>
      </c>
      <c r="C5" s="1" t="s">
        <v>37</v>
      </c>
      <c r="D5" s="1" t="s">
        <v>38</v>
      </c>
      <c r="E5" s="2" t="s">
        <v>39</v>
      </c>
      <c r="F5" s="1">
        <v>28.0</v>
      </c>
      <c r="G5" s="1" t="s">
        <v>40</v>
      </c>
      <c r="H5" s="1" t="s">
        <v>28</v>
      </c>
      <c r="I5" s="1"/>
      <c r="J5" s="1" t="s">
        <v>41</v>
      </c>
      <c r="K5" s="1"/>
      <c r="L5" s="1" t="s">
        <v>42</v>
      </c>
    </row>
    <row r="6">
      <c r="A6" s="1" t="s">
        <v>17</v>
      </c>
      <c r="B6" s="1">
        <v>1990.0</v>
      </c>
      <c r="C6" s="1" t="s">
        <v>43</v>
      </c>
      <c r="D6" s="1" t="s">
        <v>44</v>
      </c>
      <c r="E6" s="2" t="s">
        <v>45</v>
      </c>
      <c r="F6" s="1">
        <v>36.0</v>
      </c>
      <c r="G6" s="1" t="s">
        <v>46</v>
      </c>
      <c r="H6" s="1" t="s">
        <v>28</v>
      </c>
      <c r="I6" s="1"/>
      <c r="J6" s="1" t="s">
        <v>47</v>
      </c>
      <c r="K6" s="1"/>
      <c r="L6" s="1" t="s">
        <v>48</v>
      </c>
    </row>
    <row r="7">
      <c r="A7" s="1" t="s">
        <v>17</v>
      </c>
      <c r="B7" s="1">
        <v>1990.0</v>
      </c>
      <c r="C7" s="1" t="s">
        <v>49</v>
      </c>
      <c r="D7" s="1" t="s">
        <v>50</v>
      </c>
      <c r="E7" s="2" t="s">
        <v>51</v>
      </c>
      <c r="F7" s="1">
        <v>45.0</v>
      </c>
      <c r="G7" s="1" t="s">
        <v>52</v>
      </c>
      <c r="H7" s="1" t="s">
        <v>28</v>
      </c>
      <c r="I7" s="1"/>
      <c r="J7" s="1" t="s">
        <v>53</v>
      </c>
      <c r="K7" s="1"/>
      <c r="L7" s="1" t="s">
        <v>54</v>
      </c>
      <c r="M7" s="1" t="s">
        <v>55</v>
      </c>
    </row>
    <row r="8">
      <c r="A8" s="1" t="s">
        <v>17</v>
      </c>
      <c r="B8" s="1">
        <v>1990.0</v>
      </c>
      <c r="C8" s="1" t="s">
        <v>56</v>
      </c>
      <c r="D8" s="1" t="s">
        <v>57</v>
      </c>
      <c r="E8" s="2" t="s">
        <v>58</v>
      </c>
      <c r="F8" s="1">
        <v>51.0</v>
      </c>
      <c r="G8" s="1" t="s">
        <v>59</v>
      </c>
      <c r="H8" s="1" t="s">
        <v>28</v>
      </c>
      <c r="I8" s="1"/>
      <c r="J8" s="1" t="s">
        <v>60</v>
      </c>
      <c r="K8" s="1"/>
      <c r="L8" s="1" t="s">
        <v>61</v>
      </c>
    </row>
    <row r="9">
      <c r="A9" s="1" t="s">
        <v>17</v>
      </c>
      <c r="B9" s="1">
        <v>1990.0</v>
      </c>
      <c r="C9" s="1" t="s">
        <v>62</v>
      </c>
      <c r="D9" s="1" t="s">
        <v>63</v>
      </c>
      <c r="E9" s="2" t="s">
        <v>64</v>
      </c>
      <c r="F9" s="1">
        <v>59.0</v>
      </c>
      <c r="G9" s="1">
        <v>66.0</v>
      </c>
      <c r="H9" s="1" t="s">
        <v>28</v>
      </c>
      <c r="I9" s="1"/>
      <c r="J9" s="1" t="s">
        <v>65</v>
      </c>
      <c r="K9" s="1"/>
      <c r="L9" s="1" t="s">
        <v>66</v>
      </c>
    </row>
    <row r="10">
      <c r="A10" s="1" t="s">
        <v>17</v>
      </c>
      <c r="B10" s="1">
        <v>1990.0</v>
      </c>
      <c r="C10" s="1" t="s">
        <v>67</v>
      </c>
      <c r="D10" s="1" t="s">
        <v>68</v>
      </c>
      <c r="E10" s="2" t="s">
        <v>69</v>
      </c>
      <c r="F10" s="1">
        <v>67.0</v>
      </c>
      <c r="G10" s="1">
        <v>73.0</v>
      </c>
      <c r="H10" s="1" t="s">
        <v>28</v>
      </c>
      <c r="I10" s="1"/>
      <c r="J10" s="1" t="s">
        <v>70</v>
      </c>
      <c r="K10" s="1"/>
      <c r="L10" s="1" t="s">
        <v>71</v>
      </c>
    </row>
    <row r="11">
      <c r="A11" s="1" t="s">
        <v>17</v>
      </c>
      <c r="B11" s="1">
        <v>1990.0</v>
      </c>
      <c r="C11" s="1" t="s">
        <v>72</v>
      </c>
      <c r="D11" s="1" t="s">
        <v>73</v>
      </c>
      <c r="E11" s="2" t="s">
        <v>74</v>
      </c>
      <c r="F11" s="1">
        <v>74.0</v>
      </c>
      <c r="G11" s="1" t="s">
        <v>75</v>
      </c>
      <c r="H11" s="1" t="s">
        <v>28</v>
      </c>
      <c r="I11" s="1"/>
      <c r="J11" s="1" t="s">
        <v>76</v>
      </c>
      <c r="K11" s="1"/>
      <c r="L11" s="1" t="s">
        <v>77</v>
      </c>
    </row>
    <row r="12">
      <c r="A12" s="1" t="s">
        <v>17</v>
      </c>
      <c r="B12" s="1">
        <v>1990.0</v>
      </c>
      <c r="C12" s="1" t="s">
        <v>78</v>
      </c>
      <c r="D12" s="1" t="s">
        <v>79</v>
      </c>
      <c r="E12" s="2" t="s">
        <v>80</v>
      </c>
      <c r="F12" s="1">
        <v>83.0</v>
      </c>
      <c r="G12" s="1" t="s">
        <v>81</v>
      </c>
      <c r="H12" s="1" t="s">
        <v>28</v>
      </c>
      <c r="I12" s="1"/>
      <c r="J12" s="1" t="s">
        <v>82</v>
      </c>
      <c r="K12" s="1"/>
      <c r="L12" s="1" t="s">
        <v>83</v>
      </c>
    </row>
    <row r="13">
      <c r="A13" s="1" t="s">
        <v>17</v>
      </c>
      <c r="B13" s="1">
        <v>1990.0</v>
      </c>
      <c r="C13" s="1" t="s">
        <v>84</v>
      </c>
      <c r="D13" s="1" t="s">
        <v>85</v>
      </c>
      <c r="E13" s="2" t="s">
        <v>86</v>
      </c>
      <c r="F13" s="1">
        <v>93.0</v>
      </c>
      <c r="G13" s="1" t="s">
        <v>87</v>
      </c>
      <c r="H13" s="1" t="s">
        <v>28</v>
      </c>
      <c r="I13" s="1"/>
      <c r="J13" s="1" t="s">
        <v>88</v>
      </c>
      <c r="K13" s="1"/>
      <c r="L13" s="1" t="s">
        <v>89</v>
      </c>
    </row>
    <row r="14">
      <c r="A14" s="1" t="s">
        <v>17</v>
      </c>
      <c r="B14" s="1">
        <v>1990.0</v>
      </c>
      <c r="C14" s="1" t="s">
        <v>90</v>
      </c>
      <c r="D14" s="1" t="s">
        <v>91</v>
      </c>
      <c r="E14" s="2" t="s">
        <v>92</v>
      </c>
      <c r="F14" s="1">
        <v>97.0</v>
      </c>
      <c r="G14" s="1" t="s">
        <v>93</v>
      </c>
      <c r="H14" s="1" t="s">
        <v>28</v>
      </c>
      <c r="I14" s="1"/>
      <c r="J14" s="1" t="s">
        <v>94</v>
      </c>
      <c r="K14" s="1"/>
      <c r="L14" s="1" t="s">
        <v>95</v>
      </c>
    </row>
    <row r="15">
      <c r="A15" s="1" t="s">
        <v>17</v>
      </c>
      <c r="B15" s="1">
        <v>1990.0</v>
      </c>
      <c r="C15" s="1" t="s">
        <v>96</v>
      </c>
      <c r="D15" s="1" t="s">
        <v>97</v>
      </c>
      <c r="E15" s="2" t="s">
        <v>98</v>
      </c>
      <c r="F15" s="1">
        <v>107.0</v>
      </c>
      <c r="G15" s="1">
        <v>113.0</v>
      </c>
      <c r="H15" s="1" t="s">
        <v>28</v>
      </c>
      <c r="I15" s="1"/>
      <c r="J15" s="1" t="s">
        <v>143</v>
      </c>
      <c r="K15" s="1"/>
      <c r="L15" s="1" t="s">
        <v>144</v>
      </c>
    </row>
    <row r="16">
      <c r="A16" s="1" t="s">
        <v>17</v>
      </c>
      <c r="B16" s="1">
        <v>1990.0</v>
      </c>
      <c r="C16" s="1" t="s">
        <v>145</v>
      </c>
      <c r="D16" s="1" t="s">
        <v>146</v>
      </c>
      <c r="E16" s="2" t="s">
        <v>147</v>
      </c>
      <c r="F16" s="1">
        <v>114.0</v>
      </c>
      <c r="G16" s="1">
        <v>123.0</v>
      </c>
      <c r="H16" s="1" t="s">
        <v>28</v>
      </c>
      <c r="I16" s="1"/>
      <c r="J16" s="1" t="s">
        <v>148</v>
      </c>
      <c r="K16" s="1"/>
      <c r="L16" s="1" t="s">
        <v>149</v>
      </c>
    </row>
    <row r="17">
      <c r="A17" s="1" t="s">
        <v>17</v>
      </c>
      <c r="B17" s="1">
        <v>1990.0</v>
      </c>
      <c r="C17" s="1" t="s">
        <v>150</v>
      </c>
      <c r="D17" s="1" t="s">
        <v>151</v>
      </c>
      <c r="E17" s="2" t="s">
        <v>152</v>
      </c>
      <c r="F17" s="1">
        <v>124.0</v>
      </c>
      <c r="G17" s="1" t="s">
        <v>153</v>
      </c>
      <c r="H17" s="1" t="s">
        <v>28</v>
      </c>
      <c r="I17" s="1"/>
      <c r="J17" s="1" t="s">
        <v>154</v>
      </c>
      <c r="K17" s="1"/>
      <c r="L17" s="1" t="s">
        <v>155</v>
      </c>
    </row>
    <row r="18">
      <c r="A18" s="1" t="s">
        <v>17</v>
      </c>
      <c r="B18" s="1">
        <v>1990.0</v>
      </c>
      <c r="C18" s="1" t="s">
        <v>156</v>
      </c>
      <c r="D18" s="1" t="s">
        <v>157</v>
      </c>
      <c r="E18" s="2" t="s">
        <v>158</v>
      </c>
      <c r="F18" s="1">
        <v>131.0</v>
      </c>
      <c r="G18" s="1">
        <v>138.0</v>
      </c>
      <c r="H18" s="1" t="s">
        <v>28</v>
      </c>
      <c r="I18" s="1"/>
      <c r="J18" s="1" t="s">
        <v>159</v>
      </c>
      <c r="K18" s="1"/>
      <c r="L18" s="1" t="s">
        <v>160</v>
      </c>
    </row>
    <row r="19">
      <c r="A19" s="1" t="s">
        <v>17</v>
      </c>
      <c r="B19" s="1">
        <v>1990.0</v>
      </c>
      <c r="C19" s="1" t="s">
        <v>161</v>
      </c>
      <c r="D19" s="1" t="s">
        <v>162</v>
      </c>
      <c r="E19" s="2" t="s">
        <v>163</v>
      </c>
      <c r="F19" s="1">
        <v>139.0</v>
      </c>
      <c r="G19" s="1" t="s">
        <v>164</v>
      </c>
      <c r="H19" s="1" t="s">
        <v>28</v>
      </c>
      <c r="I19" s="1"/>
      <c r="J19" s="1" t="s">
        <v>165</v>
      </c>
      <c r="K19" s="1"/>
      <c r="L19" s="1" t="s">
        <v>166</v>
      </c>
    </row>
    <row r="20">
      <c r="A20" s="1" t="s">
        <v>17</v>
      </c>
      <c r="B20" s="1">
        <v>1990.0</v>
      </c>
      <c r="C20" s="1" t="s">
        <v>167</v>
      </c>
      <c r="D20" s="1" t="s">
        <v>168</v>
      </c>
      <c r="E20" s="2" t="s">
        <v>169</v>
      </c>
      <c r="F20" s="1">
        <v>144.0</v>
      </c>
      <c r="G20" s="1" t="s">
        <v>170</v>
      </c>
      <c r="H20" s="1" t="s">
        <v>28</v>
      </c>
      <c r="I20" s="1"/>
      <c r="J20" s="1" t="s">
        <v>171</v>
      </c>
      <c r="K20" s="1"/>
      <c r="L20" s="1" t="s">
        <v>172</v>
      </c>
    </row>
    <row r="21">
      <c r="A21" s="1" t="s">
        <v>17</v>
      </c>
      <c r="B21" s="1">
        <v>1990.0</v>
      </c>
      <c r="C21" s="1" t="s">
        <v>173</v>
      </c>
      <c r="D21" s="1" t="s">
        <v>174</v>
      </c>
      <c r="E21" s="2" t="s">
        <v>175</v>
      </c>
      <c r="F21" s="1">
        <v>150.0</v>
      </c>
      <c r="G21" s="1" t="s">
        <v>176</v>
      </c>
      <c r="H21" s="1" t="s">
        <v>28</v>
      </c>
      <c r="I21" s="1"/>
      <c r="J21" s="1" t="s">
        <v>177</v>
      </c>
      <c r="K21" s="1"/>
      <c r="L21" s="1" t="s">
        <v>178</v>
      </c>
    </row>
    <row r="22">
      <c r="A22" s="1" t="s">
        <v>17</v>
      </c>
      <c r="B22" s="1">
        <v>1990.0</v>
      </c>
      <c r="C22" s="1" t="s">
        <v>179</v>
      </c>
      <c r="D22" s="1" t="s">
        <v>180</v>
      </c>
      <c r="E22" s="2" t="s">
        <v>181</v>
      </c>
      <c r="F22" s="1">
        <v>160.0</v>
      </c>
      <c r="G22" s="1" t="s">
        <v>182</v>
      </c>
      <c r="H22" s="1" t="s">
        <v>28</v>
      </c>
      <c r="I22" s="1"/>
      <c r="J22" s="1" t="s">
        <v>183</v>
      </c>
      <c r="K22" s="1"/>
      <c r="L22" s="1" t="s">
        <v>184</v>
      </c>
    </row>
    <row r="23">
      <c r="A23" s="1" t="s">
        <v>17</v>
      </c>
      <c r="B23" s="1">
        <v>1990.0</v>
      </c>
      <c r="C23" s="1" t="s">
        <v>185</v>
      </c>
      <c r="D23" s="1" t="s">
        <v>186</v>
      </c>
      <c r="E23" s="2" t="s">
        <v>187</v>
      </c>
      <c r="F23" s="1">
        <v>168.0</v>
      </c>
      <c r="G23" s="1">
        <v>175.0</v>
      </c>
      <c r="H23" s="1" t="s">
        <v>28</v>
      </c>
      <c r="I23" s="1"/>
      <c r="J23" s="1" t="s">
        <v>188</v>
      </c>
      <c r="K23" s="1"/>
      <c r="L23" s="1" t="s">
        <v>189</v>
      </c>
    </row>
    <row r="24">
      <c r="A24" s="1" t="s">
        <v>17</v>
      </c>
      <c r="B24" s="1">
        <v>1990.0</v>
      </c>
      <c r="C24" s="1" t="s">
        <v>190</v>
      </c>
      <c r="D24" s="1" t="s">
        <v>191</v>
      </c>
      <c r="E24" s="2" t="s">
        <v>192</v>
      </c>
      <c r="F24" s="1">
        <v>176.0</v>
      </c>
      <c r="G24" s="1">
        <v>186.0</v>
      </c>
      <c r="H24" s="1" t="s">
        <v>28</v>
      </c>
      <c r="I24" s="1"/>
      <c r="J24" s="1" t="s">
        <v>193</v>
      </c>
      <c r="K24" s="1"/>
      <c r="L24" s="1" t="s">
        <v>194</v>
      </c>
    </row>
    <row r="25">
      <c r="A25" s="1" t="s">
        <v>17</v>
      </c>
      <c r="B25" s="1">
        <v>1990.0</v>
      </c>
      <c r="C25" s="1" t="s">
        <v>195</v>
      </c>
      <c r="D25" s="1" t="s">
        <v>196</v>
      </c>
      <c r="E25" s="2" t="s">
        <v>197</v>
      </c>
      <c r="F25" s="1">
        <v>187.0</v>
      </c>
      <c r="G25" s="1" t="s">
        <v>198</v>
      </c>
      <c r="H25" s="1" t="s">
        <v>28</v>
      </c>
      <c r="I25" s="1"/>
      <c r="J25" s="1" t="s">
        <v>199</v>
      </c>
      <c r="K25" s="1"/>
      <c r="L25" s="1" t="s">
        <v>200</v>
      </c>
    </row>
    <row r="26">
      <c r="A26" s="1" t="s">
        <v>17</v>
      </c>
      <c r="B26" s="1">
        <v>1990.0</v>
      </c>
      <c r="C26" s="1" t="s">
        <v>201</v>
      </c>
      <c r="D26" s="1" t="s">
        <v>202</v>
      </c>
      <c r="E26" s="2" t="s">
        <v>203</v>
      </c>
      <c r="F26" s="1">
        <v>194.0</v>
      </c>
      <c r="G26" s="1" t="s">
        <v>204</v>
      </c>
      <c r="H26" s="1" t="s">
        <v>28</v>
      </c>
      <c r="I26" s="1"/>
      <c r="J26" s="1" t="s">
        <v>205</v>
      </c>
      <c r="K26" s="1"/>
      <c r="L26" s="1" t="s">
        <v>206</v>
      </c>
    </row>
    <row r="27">
      <c r="A27" s="1" t="s">
        <v>17</v>
      </c>
      <c r="B27" s="1">
        <v>1990.0</v>
      </c>
      <c r="C27" s="1" t="s">
        <v>207</v>
      </c>
      <c r="D27" s="1" t="s">
        <v>208</v>
      </c>
      <c r="E27" s="2" t="s">
        <v>209</v>
      </c>
      <c r="F27" s="1">
        <v>202.0</v>
      </c>
      <c r="G27" s="1" t="s">
        <v>210</v>
      </c>
      <c r="H27" s="1" t="s">
        <v>28</v>
      </c>
      <c r="I27" s="1"/>
      <c r="J27" s="1" t="s">
        <v>211</v>
      </c>
      <c r="K27" s="1"/>
      <c r="L27" s="1" t="s">
        <v>212</v>
      </c>
    </row>
    <row r="28">
      <c r="A28" s="1" t="s">
        <v>17</v>
      </c>
      <c r="B28" s="1">
        <v>1990.0</v>
      </c>
      <c r="C28" s="1" t="s">
        <v>213</v>
      </c>
      <c r="D28" s="1" t="s">
        <v>214</v>
      </c>
      <c r="E28" s="2" t="s">
        <v>215</v>
      </c>
      <c r="F28" s="1">
        <v>209.0</v>
      </c>
      <c r="G28" s="1" t="s">
        <v>216</v>
      </c>
      <c r="H28" s="1" t="s">
        <v>28</v>
      </c>
      <c r="I28" s="1"/>
      <c r="J28" s="1" t="s">
        <v>217</v>
      </c>
      <c r="K28" s="1"/>
      <c r="L28" s="1" t="s">
        <v>218</v>
      </c>
    </row>
    <row r="29">
      <c r="A29" s="1" t="s">
        <v>17</v>
      </c>
      <c r="B29" s="1">
        <v>1990.0</v>
      </c>
      <c r="C29" s="1" t="s">
        <v>219</v>
      </c>
      <c r="D29" s="1" t="s">
        <v>220</v>
      </c>
      <c r="E29" s="2" t="s">
        <v>221</v>
      </c>
      <c r="F29" s="1">
        <v>219.0</v>
      </c>
      <c r="G29" s="1" t="s">
        <v>222</v>
      </c>
      <c r="H29" s="1" t="s">
        <v>28</v>
      </c>
      <c r="I29" s="1"/>
      <c r="J29" s="1" t="s">
        <v>223</v>
      </c>
      <c r="K29" s="1"/>
      <c r="L29" s="1" t="s">
        <v>224</v>
      </c>
    </row>
    <row r="30">
      <c r="A30" s="1" t="s">
        <v>17</v>
      </c>
      <c r="B30" s="1">
        <v>1990.0</v>
      </c>
      <c r="C30" s="1" t="s">
        <v>225</v>
      </c>
      <c r="D30" s="1" t="s">
        <v>226</v>
      </c>
      <c r="E30" s="2" t="s">
        <v>227</v>
      </c>
      <c r="F30" s="1">
        <v>230.0</v>
      </c>
      <c r="G30" s="1">
        <v>237.0</v>
      </c>
      <c r="H30" s="1" t="s">
        <v>28</v>
      </c>
      <c r="I30" s="1"/>
      <c r="J30" s="1" t="s">
        <v>228</v>
      </c>
      <c r="K30" s="1"/>
      <c r="L30" s="1" t="s">
        <v>229</v>
      </c>
    </row>
    <row r="31">
      <c r="A31" s="1" t="s">
        <v>17</v>
      </c>
      <c r="B31" s="1">
        <v>1990.0</v>
      </c>
      <c r="C31" s="1" t="s">
        <v>230</v>
      </c>
      <c r="D31" s="1" t="s">
        <v>231</v>
      </c>
      <c r="E31" s="2" t="s">
        <v>232</v>
      </c>
      <c r="F31" s="1">
        <v>238.0</v>
      </c>
      <c r="G31" s="1" t="s">
        <v>233</v>
      </c>
      <c r="H31" s="1" t="s">
        <v>28</v>
      </c>
      <c r="I31" s="1"/>
      <c r="J31" s="1" t="s">
        <v>234</v>
      </c>
      <c r="K31" s="1"/>
      <c r="L31" s="1" t="s">
        <v>235</v>
      </c>
    </row>
    <row r="32">
      <c r="A32" s="1" t="s">
        <v>17</v>
      </c>
      <c r="B32" s="1">
        <v>1990.0</v>
      </c>
      <c r="C32" s="1" t="s">
        <v>236</v>
      </c>
      <c r="D32" s="1" t="s">
        <v>55</v>
      </c>
      <c r="E32" s="2" t="s">
        <v>237</v>
      </c>
      <c r="F32" s="1">
        <v>247.0</v>
      </c>
      <c r="G32" s="1" t="s">
        <v>238</v>
      </c>
      <c r="H32" s="1" t="s">
        <v>28</v>
      </c>
      <c r="I32" s="1"/>
      <c r="J32" s="1" t="s">
        <v>239</v>
      </c>
      <c r="K32" s="1"/>
      <c r="L32" s="1" t="s">
        <v>54</v>
      </c>
    </row>
    <row r="33">
      <c r="A33" s="1" t="s">
        <v>17</v>
      </c>
      <c r="B33" s="1">
        <v>1990.0</v>
      </c>
      <c r="C33" s="1" t="s">
        <v>240</v>
      </c>
      <c r="D33" s="1" t="s">
        <v>241</v>
      </c>
      <c r="E33" s="2" t="s">
        <v>242</v>
      </c>
      <c r="F33" s="1">
        <v>255.0</v>
      </c>
      <c r="G33" s="1" t="s">
        <v>243</v>
      </c>
      <c r="H33" s="1" t="s">
        <v>28</v>
      </c>
      <c r="I33" s="1"/>
      <c r="J33" s="1" t="s">
        <v>244</v>
      </c>
      <c r="K33" s="1"/>
      <c r="L33" s="1" t="s">
        <v>245</v>
      </c>
    </row>
    <row r="34">
      <c r="A34" s="1" t="s">
        <v>17</v>
      </c>
      <c r="B34" s="1">
        <v>1990.0</v>
      </c>
      <c r="C34" s="1" t="s">
        <v>246</v>
      </c>
      <c r="D34" s="1" t="s">
        <v>247</v>
      </c>
      <c r="E34" s="2" t="s">
        <v>248</v>
      </c>
      <c r="F34" s="1">
        <v>263.0</v>
      </c>
      <c r="G34" s="1" t="s">
        <v>249</v>
      </c>
      <c r="H34" s="1" t="s">
        <v>28</v>
      </c>
      <c r="I34" s="1"/>
      <c r="J34" s="1" t="s">
        <v>250</v>
      </c>
      <c r="K34" s="1"/>
      <c r="L34" s="1" t="s">
        <v>251</v>
      </c>
    </row>
    <row r="35">
      <c r="A35" s="1" t="s">
        <v>17</v>
      </c>
      <c r="B35" s="1">
        <v>1990.0</v>
      </c>
      <c r="C35" s="1" t="s">
        <v>252</v>
      </c>
      <c r="D35" s="1" t="s">
        <v>253</v>
      </c>
      <c r="E35" s="2" t="s">
        <v>254</v>
      </c>
      <c r="F35" s="1">
        <v>273.0</v>
      </c>
      <c r="G35" s="1" t="s">
        <v>255</v>
      </c>
      <c r="H35" s="1" t="s">
        <v>28</v>
      </c>
      <c r="I35" s="1"/>
      <c r="J35" s="1" t="s">
        <v>256</v>
      </c>
      <c r="K35" s="1"/>
      <c r="L35" s="1" t="s">
        <v>257</v>
      </c>
    </row>
    <row r="36">
      <c r="A36" s="1" t="s">
        <v>17</v>
      </c>
      <c r="B36" s="1">
        <v>1990.0</v>
      </c>
      <c r="C36" s="1" t="s">
        <v>258</v>
      </c>
      <c r="D36" s="1" t="s">
        <v>259</v>
      </c>
      <c r="E36" s="2" t="s">
        <v>260</v>
      </c>
      <c r="F36" s="1">
        <v>281.0</v>
      </c>
      <c r="G36" s="1" t="s">
        <v>261</v>
      </c>
      <c r="H36" s="1" t="s">
        <v>28</v>
      </c>
      <c r="I36" s="1"/>
      <c r="J36" s="1" t="s">
        <v>262</v>
      </c>
      <c r="K36" s="1"/>
      <c r="L36" s="1" t="s">
        <v>263</v>
      </c>
    </row>
    <row r="37">
      <c r="A37" s="1" t="s">
        <v>17</v>
      </c>
      <c r="B37" s="1">
        <v>1990.0</v>
      </c>
      <c r="C37" s="1" t="s">
        <v>264</v>
      </c>
      <c r="D37" s="1" t="s">
        <v>265</v>
      </c>
      <c r="E37" s="2" t="s">
        <v>266</v>
      </c>
      <c r="F37" s="1">
        <v>289.0</v>
      </c>
      <c r="G37" s="1" t="s">
        <v>267</v>
      </c>
      <c r="H37" s="1" t="s">
        <v>28</v>
      </c>
      <c r="I37" s="1"/>
      <c r="J37" s="1" t="s">
        <v>268</v>
      </c>
      <c r="K37" s="1"/>
      <c r="L37" s="1" t="s">
        <v>269</v>
      </c>
    </row>
    <row r="38">
      <c r="A38" s="1" t="s">
        <v>17</v>
      </c>
      <c r="B38" s="1">
        <v>1990.0</v>
      </c>
      <c r="C38" s="1" t="s">
        <v>270</v>
      </c>
      <c r="D38" s="1" t="s">
        <v>271</v>
      </c>
      <c r="E38" s="2" t="s">
        <v>272</v>
      </c>
      <c r="F38" s="1">
        <v>298.0</v>
      </c>
      <c r="G38" s="1" t="s">
        <v>273</v>
      </c>
      <c r="H38" s="1" t="s">
        <v>28</v>
      </c>
      <c r="I38" s="1"/>
      <c r="J38" s="1" t="s">
        <v>274</v>
      </c>
      <c r="K38" s="1"/>
      <c r="L38" s="1" t="s">
        <v>275</v>
      </c>
    </row>
    <row r="39">
      <c r="A39" s="1" t="s">
        <v>17</v>
      </c>
      <c r="B39" s="1">
        <v>1990.0</v>
      </c>
      <c r="C39" s="1" t="s">
        <v>276</v>
      </c>
      <c r="D39" s="1" t="s">
        <v>277</v>
      </c>
      <c r="E39" s="2" t="s">
        <v>278</v>
      </c>
      <c r="F39" s="1">
        <v>307.0</v>
      </c>
      <c r="G39" s="1" t="s">
        <v>279</v>
      </c>
      <c r="H39" s="1" t="s">
        <v>28</v>
      </c>
      <c r="I39" s="1"/>
      <c r="J39" s="1" t="s">
        <v>280</v>
      </c>
      <c r="K39" s="1"/>
      <c r="L39" s="1" t="s">
        <v>281</v>
      </c>
    </row>
    <row r="40">
      <c r="A40" s="1" t="s">
        <v>17</v>
      </c>
      <c r="B40" s="1">
        <v>1990.0</v>
      </c>
      <c r="C40" s="1" t="s">
        <v>282</v>
      </c>
      <c r="D40" s="1" t="s">
        <v>283</v>
      </c>
      <c r="E40" s="2" t="s">
        <v>284</v>
      </c>
      <c r="F40" s="1">
        <v>315.0</v>
      </c>
      <c r="G40" s="1">
        <v>322.0</v>
      </c>
      <c r="H40" s="1" t="s">
        <v>28</v>
      </c>
      <c r="I40" s="1"/>
      <c r="J40" s="1" t="s">
        <v>285</v>
      </c>
      <c r="K40" s="1"/>
      <c r="L40" s="1" t="s">
        <v>286</v>
      </c>
    </row>
    <row r="41">
      <c r="A41" s="1" t="s">
        <v>17</v>
      </c>
      <c r="B41" s="1">
        <v>1990.0</v>
      </c>
      <c r="C41" s="1" t="s">
        <v>287</v>
      </c>
      <c r="D41" s="1" t="s">
        <v>288</v>
      </c>
      <c r="E41" s="2" t="s">
        <v>289</v>
      </c>
      <c r="F41" s="1">
        <v>323.0</v>
      </c>
      <c r="G41" s="1" t="s">
        <v>343</v>
      </c>
      <c r="H41" s="1" t="s">
        <v>28</v>
      </c>
      <c r="I41" s="1"/>
      <c r="J41" s="1" t="s">
        <v>344</v>
      </c>
      <c r="K41" s="1"/>
      <c r="L41" s="1" t="s">
        <v>345</v>
      </c>
    </row>
    <row r="42">
      <c r="A42" s="1" t="s">
        <v>17</v>
      </c>
      <c r="B42" s="1">
        <v>1990.0</v>
      </c>
      <c r="C42" s="1" t="s">
        <v>346</v>
      </c>
      <c r="D42" s="1" t="s">
        <v>347</v>
      </c>
      <c r="E42" s="2" t="s">
        <v>348</v>
      </c>
      <c r="F42" s="1">
        <v>329.0</v>
      </c>
      <c r="G42" s="1">
        <v>337.0</v>
      </c>
      <c r="H42" s="1" t="s">
        <v>28</v>
      </c>
      <c r="I42" s="1"/>
      <c r="J42" s="1" t="s">
        <v>349</v>
      </c>
      <c r="K42" s="1"/>
      <c r="L42" s="1" t="s">
        <v>350</v>
      </c>
    </row>
    <row r="43">
      <c r="A43" s="1" t="s">
        <v>17</v>
      </c>
      <c r="B43" s="1">
        <v>1990.0</v>
      </c>
      <c r="C43" s="1" t="s">
        <v>354</v>
      </c>
      <c r="D43" s="1" t="s">
        <v>355</v>
      </c>
      <c r="E43" s="2" t="s">
        <v>356</v>
      </c>
      <c r="F43" s="1">
        <v>338.0</v>
      </c>
      <c r="G43" s="1">
        <v>341.0</v>
      </c>
      <c r="H43" s="1" t="s">
        <v>28</v>
      </c>
      <c r="I43" s="1"/>
      <c r="J43" s="1" t="s">
        <v>357</v>
      </c>
      <c r="K43" s="1"/>
      <c r="L43" s="1" t="s">
        <v>358</v>
      </c>
    </row>
    <row r="44">
      <c r="A44" s="1" t="s">
        <v>17</v>
      </c>
      <c r="B44" s="1">
        <v>1990.0</v>
      </c>
      <c r="C44" s="1" t="s">
        <v>359</v>
      </c>
      <c r="D44" s="1" t="s">
        <v>361</v>
      </c>
      <c r="E44" s="2" t="s">
        <v>362</v>
      </c>
      <c r="F44" s="1">
        <v>342.0</v>
      </c>
      <c r="G44" s="1" t="s">
        <v>365</v>
      </c>
      <c r="H44" s="1" t="s">
        <v>28</v>
      </c>
      <c r="I44" s="1"/>
      <c r="J44" s="1" t="s">
        <v>366</v>
      </c>
      <c r="K44" s="1"/>
      <c r="L44" s="1" t="s">
        <v>367</v>
      </c>
    </row>
    <row r="45">
      <c r="A45" s="1" t="s">
        <v>17</v>
      </c>
      <c r="B45" s="1">
        <v>1990.0</v>
      </c>
      <c r="C45" s="1" t="s">
        <v>368</v>
      </c>
      <c r="D45" s="1" t="s">
        <v>369</v>
      </c>
      <c r="E45" s="2" t="s">
        <v>371</v>
      </c>
      <c r="F45" s="1">
        <v>353.0</v>
      </c>
      <c r="G45" s="1" t="s">
        <v>374</v>
      </c>
      <c r="H45" s="1" t="s">
        <v>28</v>
      </c>
      <c r="I45" s="1"/>
      <c r="J45" s="1" t="s">
        <v>375</v>
      </c>
      <c r="K45" s="1"/>
      <c r="L45" s="1" t="s">
        <v>376</v>
      </c>
    </row>
    <row r="46">
      <c r="A46" s="1" t="s">
        <v>17</v>
      </c>
      <c r="B46" s="1">
        <v>1990.0</v>
      </c>
      <c r="C46" s="1" t="s">
        <v>377</v>
      </c>
      <c r="D46" s="1" t="s">
        <v>378</v>
      </c>
      <c r="E46" s="2" t="s">
        <v>379</v>
      </c>
      <c r="F46" s="1">
        <v>361.0</v>
      </c>
      <c r="G46" s="1">
        <v>378.0</v>
      </c>
      <c r="H46" s="1" t="s">
        <v>28</v>
      </c>
      <c r="I46" s="1"/>
      <c r="J46" s="1" t="s">
        <v>383</v>
      </c>
      <c r="K46" s="1"/>
      <c r="L46" s="1" t="s">
        <v>384</v>
      </c>
    </row>
    <row r="47">
      <c r="A47" s="1" t="s">
        <v>17</v>
      </c>
      <c r="B47" s="1">
        <v>1990.0</v>
      </c>
      <c r="C47" s="1" t="s">
        <v>385</v>
      </c>
      <c r="D47" s="1" t="s">
        <v>386</v>
      </c>
      <c r="E47" s="2" t="s">
        <v>387</v>
      </c>
      <c r="F47" s="1">
        <v>379.0</v>
      </c>
      <c r="G47" s="1">
        <v>386.0</v>
      </c>
      <c r="H47" s="1" t="s">
        <v>28</v>
      </c>
      <c r="I47" s="1"/>
      <c r="J47" s="1" t="s">
        <v>391</v>
      </c>
      <c r="K47" s="1"/>
      <c r="L47" s="1" t="s">
        <v>392</v>
      </c>
    </row>
    <row r="48">
      <c r="A48" s="1" t="s">
        <v>17</v>
      </c>
      <c r="B48" s="1">
        <v>1990.0</v>
      </c>
      <c r="C48" s="1" t="s">
        <v>393</v>
      </c>
      <c r="D48" s="1" t="s">
        <v>394</v>
      </c>
      <c r="E48" s="2" t="s">
        <v>395</v>
      </c>
      <c r="F48" s="1">
        <v>422.0</v>
      </c>
      <c r="G48" s="1" t="s">
        <v>399</v>
      </c>
      <c r="H48" s="1" t="s">
        <v>28</v>
      </c>
      <c r="I48" s="1"/>
      <c r="J48" s="1" t="s">
        <v>400</v>
      </c>
      <c r="K48" s="1"/>
      <c r="L48" s="1" t="s">
        <v>401</v>
      </c>
    </row>
    <row r="49">
      <c r="A49" s="1" t="s">
        <v>17</v>
      </c>
      <c r="B49" s="1">
        <v>1990.0</v>
      </c>
      <c r="C49" s="1" t="s">
        <v>402</v>
      </c>
      <c r="D49" s="1" t="s">
        <v>403</v>
      </c>
      <c r="E49" s="2" t="s">
        <v>404</v>
      </c>
      <c r="F49" s="1">
        <v>424.0</v>
      </c>
      <c r="G49" s="1">
        <v>428.0</v>
      </c>
      <c r="H49" s="1" t="s">
        <v>28</v>
      </c>
      <c r="I49" s="1"/>
      <c r="J49" s="1" t="s">
        <v>406</v>
      </c>
      <c r="K49" s="1"/>
      <c r="L49" s="1" t="s">
        <v>408</v>
      </c>
    </row>
    <row r="50">
      <c r="A50" s="1" t="s">
        <v>17</v>
      </c>
      <c r="B50" s="1">
        <v>1990.0</v>
      </c>
      <c r="C50" s="1" t="s">
        <v>409</v>
      </c>
      <c r="D50" s="1" t="s">
        <v>410</v>
      </c>
      <c r="E50" s="2" t="s">
        <v>411</v>
      </c>
      <c r="F50" s="1">
        <v>429.0</v>
      </c>
      <c r="G50" s="1"/>
      <c r="H50" s="1" t="s">
        <v>28</v>
      </c>
      <c r="I50" s="1"/>
      <c r="J50" s="1" t="s">
        <v>412</v>
      </c>
      <c r="K50" s="1"/>
      <c r="L50" s="1" t="s">
        <v>413</v>
      </c>
    </row>
    <row r="51">
      <c r="A51" s="1" t="s">
        <v>17</v>
      </c>
      <c r="B51" s="1">
        <v>1990.0</v>
      </c>
      <c r="C51" s="1" t="s">
        <v>414</v>
      </c>
      <c r="D51" s="1" t="s">
        <v>415</v>
      </c>
      <c r="E51" s="2" t="s">
        <v>416</v>
      </c>
      <c r="F51" s="1">
        <v>430.0</v>
      </c>
      <c r="G51" s="1">
        <v>434.0</v>
      </c>
      <c r="H51" s="1" t="s">
        <v>28</v>
      </c>
      <c r="I51" s="1"/>
      <c r="J51" s="1" t="s">
        <v>420</v>
      </c>
      <c r="K51" s="1"/>
      <c r="L51" s="1" t="s">
        <v>421</v>
      </c>
    </row>
    <row r="52">
      <c r="A52" s="1" t="s">
        <v>17</v>
      </c>
      <c r="B52" s="1">
        <v>1990.0</v>
      </c>
      <c r="C52" s="1" t="s">
        <v>422</v>
      </c>
      <c r="D52" s="1" t="s">
        <v>423</v>
      </c>
      <c r="E52" s="2" t="s">
        <v>424</v>
      </c>
      <c r="F52" s="1">
        <v>435.0</v>
      </c>
      <c r="G52" s="1" t="s">
        <v>428</v>
      </c>
      <c r="H52" s="1" t="s">
        <v>28</v>
      </c>
      <c r="I52" s="1"/>
      <c r="J52" s="1" t="s">
        <v>429</v>
      </c>
    </row>
    <row r="53">
      <c r="A53" s="1" t="s">
        <v>17</v>
      </c>
      <c r="B53" s="1">
        <v>1990.0</v>
      </c>
      <c r="C53" s="1" t="s">
        <v>430</v>
      </c>
      <c r="D53" s="1" t="s">
        <v>431</v>
      </c>
      <c r="E53" s="2" t="s">
        <v>432</v>
      </c>
      <c r="F53" s="1">
        <v>440.0</v>
      </c>
      <c r="G53" s="1">
        <v>442.0</v>
      </c>
      <c r="H53" s="1" t="s">
        <v>28</v>
      </c>
      <c r="I53" s="1"/>
      <c r="J53" s="1" t="s">
        <v>434</v>
      </c>
      <c r="K53" s="1"/>
      <c r="L53" s="1" t="s">
        <v>437</v>
      </c>
    </row>
    <row r="54">
      <c r="A54" s="1" t="s">
        <v>17</v>
      </c>
      <c r="B54" s="1">
        <v>1990.0</v>
      </c>
      <c r="C54" s="1" t="s">
        <v>439</v>
      </c>
      <c r="D54" s="1" t="s">
        <v>440</v>
      </c>
      <c r="E54" s="2" t="s">
        <v>441</v>
      </c>
      <c r="F54" s="1">
        <v>443.0</v>
      </c>
      <c r="G54" s="1" t="s">
        <v>445</v>
      </c>
      <c r="H54" s="1" t="s">
        <v>28</v>
      </c>
      <c r="I54" s="1"/>
      <c r="J54" s="1" t="s">
        <v>446</v>
      </c>
      <c r="K54" s="1"/>
      <c r="L54" s="1" t="s">
        <v>447</v>
      </c>
    </row>
    <row r="55">
      <c r="A55" s="1" t="s">
        <v>17</v>
      </c>
      <c r="B55" s="1">
        <v>1990.0</v>
      </c>
      <c r="C55" s="1" t="s">
        <v>448</v>
      </c>
      <c r="D55" s="1" t="s">
        <v>449</v>
      </c>
      <c r="E55" s="2" t="s">
        <v>450</v>
      </c>
      <c r="F55" s="1">
        <v>449.0</v>
      </c>
      <c r="G55" s="1">
        <v>456.0</v>
      </c>
      <c r="H55" s="1" t="s">
        <v>28</v>
      </c>
      <c r="I55" s="1"/>
      <c r="J55" s="1" t="s">
        <v>454</v>
      </c>
      <c r="K55" s="1"/>
      <c r="L55" s="1" t="s">
        <v>251</v>
      </c>
    </row>
    <row r="56">
      <c r="A56" s="1" t="s">
        <v>17</v>
      </c>
      <c r="B56" s="1">
        <v>1991.0</v>
      </c>
      <c r="C56" s="1" t="s">
        <v>455</v>
      </c>
      <c r="D56" s="1" t="s">
        <v>456</v>
      </c>
      <c r="E56" s="2" t="s">
        <v>457</v>
      </c>
      <c r="F56" s="1">
        <v>2.0</v>
      </c>
      <c r="G56" s="1"/>
      <c r="H56" s="1" t="s">
        <v>21</v>
      </c>
      <c r="I56" s="1"/>
      <c r="J56" s="1" t="s">
        <v>458</v>
      </c>
      <c r="K56" s="1"/>
      <c r="L56" s="1" t="s">
        <v>459</v>
      </c>
    </row>
    <row r="57">
      <c r="A57" s="1" t="s">
        <v>17</v>
      </c>
      <c r="B57" s="1">
        <v>1991.0</v>
      </c>
      <c r="C57" s="1" t="s">
        <v>461</v>
      </c>
      <c r="D57" s="1" t="s">
        <v>463</v>
      </c>
      <c r="E57" s="2" t="s">
        <v>465</v>
      </c>
      <c r="F57" s="1">
        <v>12.0</v>
      </c>
      <c r="G57" s="1" t="s">
        <v>466</v>
      </c>
      <c r="H57" s="1" t="s">
        <v>28</v>
      </c>
      <c r="I57" s="1"/>
      <c r="J57" s="1" t="s">
        <v>467</v>
      </c>
      <c r="K57" s="1"/>
      <c r="L57" s="1" t="s">
        <v>468</v>
      </c>
    </row>
    <row r="58">
      <c r="A58" s="1" t="s">
        <v>17</v>
      </c>
      <c r="B58" s="1">
        <v>1991.0</v>
      </c>
      <c r="C58" s="1" t="s">
        <v>469</v>
      </c>
      <c r="D58" s="1" t="s">
        <v>470</v>
      </c>
      <c r="E58" s="2" t="s">
        <v>471</v>
      </c>
      <c r="F58" s="1">
        <v>17.0</v>
      </c>
      <c r="G58" s="1" t="s">
        <v>475</v>
      </c>
      <c r="H58" s="1" t="s">
        <v>28</v>
      </c>
      <c r="I58" s="1"/>
      <c r="J58" s="1" t="s">
        <v>476</v>
      </c>
      <c r="K58" s="1"/>
      <c r="L58" s="1" t="s">
        <v>477</v>
      </c>
    </row>
    <row r="59">
      <c r="A59" s="1" t="s">
        <v>17</v>
      </c>
      <c r="B59" s="1">
        <v>1991.0</v>
      </c>
      <c r="C59" s="1" t="s">
        <v>478</v>
      </c>
      <c r="D59" s="1" t="s">
        <v>479</v>
      </c>
      <c r="E59" s="2" t="s">
        <v>480</v>
      </c>
      <c r="F59" s="1">
        <v>25.0</v>
      </c>
      <c r="G59" s="1">
        <v>32.0</v>
      </c>
      <c r="H59" s="1" t="s">
        <v>28</v>
      </c>
      <c r="I59" s="1"/>
      <c r="J59" s="1" t="s">
        <v>484</v>
      </c>
      <c r="K59" s="1"/>
      <c r="L59" s="1" t="s">
        <v>485</v>
      </c>
    </row>
    <row r="60">
      <c r="A60" s="1" t="s">
        <v>17</v>
      </c>
      <c r="B60" s="1">
        <v>1991.0</v>
      </c>
      <c r="C60" s="1" t="s">
        <v>486</v>
      </c>
      <c r="D60" s="1" t="s">
        <v>487</v>
      </c>
      <c r="E60" s="2" t="s">
        <v>488</v>
      </c>
      <c r="F60" s="1">
        <v>33.0</v>
      </c>
      <c r="G60" s="1" t="s">
        <v>490</v>
      </c>
      <c r="H60" s="1" t="s">
        <v>28</v>
      </c>
      <c r="I60" s="1"/>
      <c r="J60" s="1" t="s">
        <v>492</v>
      </c>
      <c r="K60" s="1"/>
      <c r="L60" s="1" t="s">
        <v>494</v>
      </c>
      <c r="M60" s="1" t="s">
        <v>495</v>
      </c>
    </row>
    <row r="61">
      <c r="A61" s="1" t="s">
        <v>17</v>
      </c>
      <c r="B61" s="1">
        <v>1991.0</v>
      </c>
      <c r="C61" s="1" t="s">
        <v>496</v>
      </c>
      <c r="D61" s="1" t="s">
        <v>497</v>
      </c>
      <c r="E61" s="2" t="s">
        <v>498</v>
      </c>
      <c r="F61" s="1">
        <v>42.0</v>
      </c>
      <c r="G61" s="1">
        <v>49.0</v>
      </c>
      <c r="H61" s="1" t="s">
        <v>28</v>
      </c>
      <c r="I61" s="1"/>
      <c r="J61" s="1" t="s">
        <v>499</v>
      </c>
      <c r="K61" s="1"/>
      <c r="L61" s="1" t="s">
        <v>500</v>
      </c>
    </row>
    <row r="62">
      <c r="A62" s="1" t="s">
        <v>17</v>
      </c>
      <c r="B62" s="1">
        <v>1991.0</v>
      </c>
      <c r="C62" s="1" t="s">
        <v>501</v>
      </c>
      <c r="D62" s="1" t="s">
        <v>502</v>
      </c>
      <c r="E62" s="2" t="s">
        <v>503</v>
      </c>
      <c r="F62" s="1">
        <v>50.0</v>
      </c>
      <c r="G62" s="1" t="s">
        <v>507</v>
      </c>
      <c r="H62" s="1" t="s">
        <v>28</v>
      </c>
      <c r="I62" s="1"/>
      <c r="J62" s="1" t="s">
        <v>508</v>
      </c>
      <c r="K62" s="1"/>
      <c r="L62" s="1" t="s">
        <v>509</v>
      </c>
    </row>
    <row r="63">
      <c r="A63" s="1" t="s">
        <v>17</v>
      </c>
      <c r="B63" s="1">
        <v>1991.0</v>
      </c>
      <c r="C63" s="1" t="s">
        <v>510</v>
      </c>
      <c r="D63" s="1" t="s">
        <v>511</v>
      </c>
      <c r="E63" s="2" t="s">
        <v>512</v>
      </c>
      <c r="F63" s="1">
        <v>58.0</v>
      </c>
      <c r="G63" s="1" t="s">
        <v>516</v>
      </c>
      <c r="H63" s="1" t="s">
        <v>28</v>
      </c>
      <c r="I63" s="1"/>
      <c r="J63" s="1" t="s">
        <v>517</v>
      </c>
      <c r="K63" s="1"/>
      <c r="L63" s="1" t="s">
        <v>518</v>
      </c>
    </row>
    <row r="64">
      <c r="A64" s="1" t="s">
        <v>17</v>
      </c>
      <c r="B64" s="1">
        <v>1991.0</v>
      </c>
      <c r="C64" s="1" t="s">
        <v>519</v>
      </c>
      <c r="D64" s="1" t="s">
        <v>520</v>
      </c>
      <c r="E64" s="2" t="s">
        <v>521</v>
      </c>
      <c r="F64" s="1">
        <v>68.0</v>
      </c>
      <c r="G64" s="1" t="s">
        <v>522</v>
      </c>
      <c r="H64" s="1" t="s">
        <v>28</v>
      </c>
      <c r="I64" s="1"/>
      <c r="J64" s="1" t="s">
        <v>524</v>
      </c>
      <c r="K64" s="1"/>
      <c r="L64" s="1" t="s">
        <v>526</v>
      </c>
      <c r="M64" s="1" t="s">
        <v>247</v>
      </c>
    </row>
    <row r="65">
      <c r="A65" s="1" t="s">
        <v>17</v>
      </c>
      <c r="B65" s="1">
        <v>1991.0</v>
      </c>
      <c r="C65" s="1" t="s">
        <v>528</v>
      </c>
      <c r="D65" s="1" t="s">
        <v>529</v>
      </c>
      <c r="E65" s="2" t="s">
        <v>530</v>
      </c>
      <c r="F65" s="1">
        <v>76.0</v>
      </c>
      <c r="G65" s="1" t="s">
        <v>531</v>
      </c>
      <c r="H65" s="1" t="s">
        <v>28</v>
      </c>
      <c r="I65" s="1"/>
      <c r="J65" s="1" t="s">
        <v>532</v>
      </c>
      <c r="K65" s="1"/>
      <c r="L65" s="1" t="s">
        <v>533</v>
      </c>
      <c r="M65" s="1" t="s">
        <v>369</v>
      </c>
    </row>
    <row r="66">
      <c r="A66" s="1" t="s">
        <v>17</v>
      </c>
      <c r="B66" s="1">
        <v>1991.0</v>
      </c>
      <c r="C66" s="1" t="s">
        <v>535</v>
      </c>
      <c r="D66" s="1" t="s">
        <v>536</v>
      </c>
      <c r="E66" s="2" t="s">
        <v>538</v>
      </c>
      <c r="F66" s="1">
        <v>83.0</v>
      </c>
      <c r="G66" s="1" t="s">
        <v>540</v>
      </c>
      <c r="H66" s="1" t="s">
        <v>28</v>
      </c>
      <c r="I66" s="1"/>
      <c r="J66" s="1" t="s">
        <v>53</v>
      </c>
      <c r="K66" s="1"/>
      <c r="L66" s="1" t="s">
        <v>54</v>
      </c>
      <c r="M66" s="1" t="s">
        <v>50</v>
      </c>
    </row>
    <row r="67">
      <c r="A67" s="1" t="s">
        <v>17</v>
      </c>
      <c r="B67" s="1">
        <v>1991.0</v>
      </c>
      <c r="C67" s="1" t="s">
        <v>542</v>
      </c>
      <c r="D67" s="1" t="s">
        <v>544</v>
      </c>
      <c r="E67" s="2" t="s">
        <v>546</v>
      </c>
      <c r="F67" s="1">
        <v>94.0</v>
      </c>
      <c r="G67" s="1" t="s">
        <v>547</v>
      </c>
      <c r="H67" s="1" t="s">
        <v>28</v>
      </c>
      <c r="I67" s="1"/>
      <c r="J67" s="1" t="s">
        <v>548</v>
      </c>
      <c r="K67" s="1"/>
      <c r="L67" s="1" t="s">
        <v>549</v>
      </c>
    </row>
    <row r="68">
      <c r="A68" s="1" t="s">
        <v>17</v>
      </c>
      <c r="B68" s="1">
        <v>1991.0</v>
      </c>
      <c r="C68" s="1" t="s">
        <v>550</v>
      </c>
      <c r="D68" s="1" t="s">
        <v>551</v>
      </c>
      <c r="E68" s="2" t="s">
        <v>552</v>
      </c>
      <c r="F68" s="1">
        <v>102.0</v>
      </c>
      <c r="G68" s="1">
        <v>108.0</v>
      </c>
      <c r="H68" s="1" t="s">
        <v>28</v>
      </c>
      <c r="I68" s="1"/>
      <c r="J68" s="1" t="s">
        <v>556</v>
      </c>
      <c r="K68" s="1"/>
      <c r="L68" s="1" t="s">
        <v>557</v>
      </c>
    </row>
    <row r="69">
      <c r="A69" s="1" t="s">
        <v>17</v>
      </c>
      <c r="B69" s="1">
        <v>1991.0</v>
      </c>
      <c r="C69" s="1" t="s">
        <v>558</v>
      </c>
      <c r="D69" s="1" t="s">
        <v>559</v>
      </c>
      <c r="E69" s="2" t="s">
        <v>560</v>
      </c>
      <c r="F69" s="1">
        <v>109.0</v>
      </c>
      <c r="G69" s="1" t="s">
        <v>564</v>
      </c>
      <c r="H69" s="1" t="s">
        <v>28</v>
      </c>
      <c r="I69" s="1"/>
      <c r="J69" s="1" t="s">
        <v>565</v>
      </c>
      <c r="K69" s="1"/>
      <c r="L69" s="1" t="s">
        <v>144</v>
      </c>
    </row>
    <row r="70">
      <c r="A70" s="1" t="s">
        <v>17</v>
      </c>
      <c r="B70" s="1">
        <v>1991.0</v>
      </c>
      <c r="C70" s="1" t="s">
        <v>566</v>
      </c>
      <c r="D70" s="1" t="s">
        <v>567</v>
      </c>
      <c r="E70" s="2" t="s">
        <v>568</v>
      </c>
      <c r="F70" s="1">
        <v>116.0</v>
      </c>
      <c r="G70" s="1" t="s">
        <v>569</v>
      </c>
      <c r="H70" s="1" t="s">
        <v>28</v>
      </c>
      <c r="I70" s="1"/>
      <c r="J70" s="1" t="s">
        <v>571</v>
      </c>
      <c r="K70" s="1"/>
      <c r="L70" s="1" t="s">
        <v>573</v>
      </c>
    </row>
    <row r="71">
      <c r="A71" s="1" t="s">
        <v>17</v>
      </c>
      <c r="B71" s="1">
        <v>1991.0</v>
      </c>
      <c r="C71" s="1" t="s">
        <v>575</v>
      </c>
      <c r="D71" s="1" t="s">
        <v>576</v>
      </c>
      <c r="E71" s="2" t="s">
        <v>577</v>
      </c>
      <c r="F71" s="1">
        <v>126.0</v>
      </c>
      <c r="G71" s="1" t="s">
        <v>638</v>
      </c>
      <c r="H71" s="1" t="s">
        <v>28</v>
      </c>
      <c r="I71" s="1"/>
      <c r="J71" s="1" t="s">
        <v>640</v>
      </c>
      <c r="K71" s="1"/>
      <c r="L71" s="1" t="s">
        <v>658</v>
      </c>
    </row>
    <row r="72">
      <c r="A72" s="1" t="s">
        <v>17</v>
      </c>
      <c r="B72" s="1">
        <v>1991.0</v>
      </c>
      <c r="C72" s="1" t="s">
        <v>643</v>
      </c>
      <c r="D72" s="1" t="s">
        <v>644</v>
      </c>
      <c r="E72" s="2" t="s">
        <v>645</v>
      </c>
      <c r="F72" s="1">
        <v>133.0</v>
      </c>
      <c r="G72" s="1" t="s">
        <v>646</v>
      </c>
      <c r="H72" s="1" t="s">
        <v>28</v>
      </c>
      <c r="I72" s="1"/>
      <c r="J72" s="1" t="s">
        <v>648</v>
      </c>
      <c r="K72" s="1"/>
      <c r="L72" s="1" t="s">
        <v>665</v>
      </c>
      <c r="M72" s="1" t="s">
        <v>650</v>
      </c>
    </row>
    <row r="73">
      <c r="A73" s="1" t="s">
        <v>17</v>
      </c>
      <c r="B73" s="1">
        <v>1991.0</v>
      </c>
      <c r="C73" s="1" t="s">
        <v>651</v>
      </c>
      <c r="D73" s="1" t="s">
        <v>652</v>
      </c>
      <c r="E73" s="2" t="s">
        <v>653</v>
      </c>
      <c r="F73" s="1">
        <v>140.0</v>
      </c>
      <c r="G73" s="1">
        <v>147.0</v>
      </c>
      <c r="H73" s="1" t="s">
        <v>28</v>
      </c>
      <c r="I73" s="1"/>
      <c r="J73" s="1" t="s">
        <v>655</v>
      </c>
      <c r="K73" s="1"/>
      <c r="L73" s="1" t="s">
        <v>670</v>
      </c>
    </row>
    <row r="74">
      <c r="A74" s="1" t="s">
        <v>17</v>
      </c>
      <c r="B74" s="1">
        <v>1991.0</v>
      </c>
      <c r="C74" s="1" t="s">
        <v>659</v>
      </c>
      <c r="D74" s="1" t="s">
        <v>660</v>
      </c>
      <c r="E74" s="2" t="s">
        <v>661</v>
      </c>
      <c r="F74" s="1">
        <v>148.0</v>
      </c>
      <c r="G74" s="1">
        <v>153.0</v>
      </c>
      <c r="H74" s="1" t="s">
        <v>28</v>
      </c>
      <c r="I74" s="1"/>
      <c r="J74" s="1" t="s">
        <v>663</v>
      </c>
      <c r="K74" s="1"/>
      <c r="L74" s="1" t="s">
        <v>679</v>
      </c>
    </row>
    <row r="75">
      <c r="A75" s="1" t="s">
        <v>17</v>
      </c>
      <c r="B75" s="1">
        <v>1991.0</v>
      </c>
      <c r="C75" s="1" t="s">
        <v>667</v>
      </c>
      <c r="D75" s="1" t="s">
        <v>668</v>
      </c>
      <c r="E75" s="2" t="s">
        <v>669</v>
      </c>
      <c r="F75" s="1">
        <v>156.0</v>
      </c>
      <c r="G75" s="1" t="s">
        <v>671</v>
      </c>
      <c r="H75" s="1" t="s">
        <v>28</v>
      </c>
      <c r="I75" s="1"/>
      <c r="J75" s="1" t="s">
        <v>673</v>
      </c>
      <c r="K75" s="1"/>
      <c r="L75" s="1" t="s">
        <v>688</v>
      </c>
    </row>
    <row r="76">
      <c r="A76" s="1" t="s">
        <v>17</v>
      </c>
      <c r="B76" s="1">
        <v>1991.0</v>
      </c>
      <c r="C76" s="1" t="s">
        <v>676</v>
      </c>
      <c r="D76" s="1" t="s">
        <v>677</v>
      </c>
      <c r="E76" s="2" t="s">
        <v>678</v>
      </c>
      <c r="F76" s="1">
        <v>164.0</v>
      </c>
      <c r="G76" s="1" t="s">
        <v>680</v>
      </c>
      <c r="H76" s="1" t="s">
        <v>28</v>
      </c>
      <c r="I76" s="1"/>
      <c r="J76" s="1" t="s">
        <v>682</v>
      </c>
      <c r="K76" s="1"/>
      <c r="L76" s="1" t="s">
        <v>697</v>
      </c>
    </row>
    <row r="77">
      <c r="A77" s="1" t="s">
        <v>17</v>
      </c>
      <c r="B77" s="1">
        <v>1991.0</v>
      </c>
      <c r="C77" s="1" t="s">
        <v>685</v>
      </c>
      <c r="D77" s="1" t="s">
        <v>686</v>
      </c>
      <c r="E77" s="2" t="s">
        <v>687</v>
      </c>
      <c r="F77" s="1">
        <v>171.0</v>
      </c>
      <c r="G77" s="1" t="s">
        <v>689</v>
      </c>
      <c r="H77" s="1" t="s">
        <v>28</v>
      </c>
      <c r="I77" s="1"/>
      <c r="J77" s="1" t="s">
        <v>691</v>
      </c>
      <c r="K77" s="1"/>
      <c r="L77" s="1" t="s">
        <v>705</v>
      </c>
    </row>
    <row r="78">
      <c r="A78" s="1" t="s">
        <v>17</v>
      </c>
      <c r="B78" s="1">
        <v>1991.0</v>
      </c>
      <c r="C78" s="1" t="s">
        <v>694</v>
      </c>
      <c r="D78" s="1" t="s">
        <v>695</v>
      </c>
      <c r="E78" s="2" t="s">
        <v>696</v>
      </c>
      <c r="F78" s="1">
        <v>179.0</v>
      </c>
      <c r="G78" s="1">
        <v>186.0</v>
      </c>
      <c r="H78" s="1" t="s">
        <v>28</v>
      </c>
      <c r="I78" s="1"/>
      <c r="J78" s="1" t="s">
        <v>699</v>
      </c>
      <c r="K78" s="1"/>
      <c r="L78" s="1" t="s">
        <v>709</v>
      </c>
    </row>
    <row r="79">
      <c r="A79" s="1" t="s">
        <v>17</v>
      </c>
      <c r="B79" s="1">
        <v>1991.0</v>
      </c>
      <c r="C79" s="1" t="s">
        <v>702</v>
      </c>
      <c r="D79" s="1" t="s">
        <v>703</v>
      </c>
      <c r="E79" s="2" t="s">
        <v>704</v>
      </c>
      <c r="F79" s="1">
        <v>188.0</v>
      </c>
      <c r="G79" s="1" t="s">
        <v>706</v>
      </c>
      <c r="H79" s="1" t="s">
        <v>28</v>
      </c>
      <c r="I79" s="1"/>
      <c r="J79" s="1" t="s">
        <v>171</v>
      </c>
      <c r="K79" s="1"/>
      <c r="L79" s="1" t="s">
        <v>713</v>
      </c>
    </row>
    <row r="80">
      <c r="A80" s="1" t="s">
        <v>17</v>
      </c>
      <c r="B80" s="1">
        <v>1991.0</v>
      </c>
      <c r="C80" s="1" t="s">
        <v>710</v>
      </c>
      <c r="D80" s="1" t="s">
        <v>711</v>
      </c>
      <c r="E80" s="2" t="s">
        <v>712</v>
      </c>
      <c r="F80" s="1">
        <v>194.0</v>
      </c>
      <c r="G80" s="1">
        <v>201.0</v>
      </c>
      <c r="H80" s="1" t="s">
        <v>28</v>
      </c>
      <c r="I80" s="1"/>
      <c r="J80" s="1" t="s">
        <v>715</v>
      </c>
      <c r="K80" s="1"/>
      <c r="L80" s="1" t="s">
        <v>721</v>
      </c>
    </row>
    <row r="81">
      <c r="A81" s="1" t="s">
        <v>17</v>
      </c>
      <c r="B81" s="1">
        <v>1991.0</v>
      </c>
      <c r="C81" s="1" t="s">
        <v>718</v>
      </c>
      <c r="D81" s="1" t="s">
        <v>719</v>
      </c>
      <c r="E81" s="2" t="s">
        <v>720</v>
      </c>
      <c r="F81" s="1">
        <v>202.0</v>
      </c>
      <c r="G81" s="1" t="s">
        <v>722</v>
      </c>
      <c r="H81" s="1" t="s">
        <v>28</v>
      </c>
      <c r="I81" s="1"/>
      <c r="J81" s="1" t="s">
        <v>724</v>
      </c>
      <c r="K81" s="1"/>
      <c r="L81" s="1" t="s">
        <v>730</v>
      </c>
    </row>
    <row r="82">
      <c r="A82" s="1" t="s">
        <v>17</v>
      </c>
      <c r="B82" s="1">
        <v>1991.0</v>
      </c>
      <c r="C82" s="1" t="s">
        <v>727</v>
      </c>
      <c r="D82" s="1" t="s">
        <v>728</v>
      </c>
      <c r="E82" s="2" t="s">
        <v>729</v>
      </c>
      <c r="F82" s="1">
        <v>210.0</v>
      </c>
      <c r="G82" s="1">
        <v>215.0</v>
      </c>
      <c r="H82" s="1" t="s">
        <v>28</v>
      </c>
      <c r="I82" s="1"/>
      <c r="J82" s="1" t="s">
        <v>738</v>
      </c>
      <c r="K82" s="1"/>
      <c r="L82" s="1" t="s">
        <v>739</v>
      </c>
    </row>
    <row r="83">
      <c r="A83" s="1" t="s">
        <v>17</v>
      </c>
      <c r="B83" s="1">
        <v>1991.0</v>
      </c>
      <c r="C83" s="1" t="s">
        <v>735</v>
      </c>
      <c r="D83" s="1" t="s">
        <v>736</v>
      </c>
      <c r="E83" s="2" t="s">
        <v>737</v>
      </c>
      <c r="F83" s="1">
        <v>218.0</v>
      </c>
      <c r="G83" s="1" t="s">
        <v>740</v>
      </c>
      <c r="H83" s="1" t="s">
        <v>28</v>
      </c>
      <c r="I83" s="1"/>
      <c r="J83" s="1" t="s">
        <v>239</v>
      </c>
      <c r="K83" s="1"/>
      <c r="L83" s="1" t="s">
        <v>54</v>
      </c>
      <c r="M83" s="1" t="s">
        <v>742</v>
      </c>
    </row>
    <row r="84">
      <c r="A84" s="1" t="s">
        <v>17</v>
      </c>
      <c r="B84" s="1">
        <v>1991.0</v>
      </c>
      <c r="C84" s="1" t="s">
        <v>743</v>
      </c>
      <c r="D84" s="1" t="s">
        <v>744</v>
      </c>
      <c r="E84" s="2" t="s">
        <v>745</v>
      </c>
      <c r="F84" s="1">
        <v>226.0</v>
      </c>
      <c r="G84" s="1" t="s">
        <v>746</v>
      </c>
      <c r="H84" s="1" t="s">
        <v>28</v>
      </c>
      <c r="I84" s="1"/>
      <c r="J84" s="1" t="s">
        <v>748</v>
      </c>
      <c r="K84" s="1"/>
      <c r="L84" s="1" t="s">
        <v>753</v>
      </c>
    </row>
    <row r="85">
      <c r="A85" s="1" t="s">
        <v>17</v>
      </c>
      <c r="B85" s="1">
        <v>1991.0</v>
      </c>
      <c r="C85" s="1" t="s">
        <v>750</v>
      </c>
      <c r="D85" s="1" t="s">
        <v>751</v>
      </c>
      <c r="E85" s="2" t="s">
        <v>752</v>
      </c>
      <c r="F85" s="1">
        <v>232.0</v>
      </c>
      <c r="G85" s="1" t="s">
        <v>754</v>
      </c>
      <c r="H85" s="1" t="s">
        <v>28</v>
      </c>
      <c r="I85" s="1"/>
      <c r="J85" s="1" t="s">
        <v>756</v>
      </c>
      <c r="K85" s="1"/>
      <c r="L85" s="1" t="s">
        <v>762</v>
      </c>
    </row>
    <row r="86">
      <c r="A86" s="1" t="s">
        <v>17</v>
      </c>
      <c r="B86" s="1">
        <v>1991.0</v>
      </c>
      <c r="C86" s="1" t="s">
        <v>759</v>
      </c>
      <c r="D86" s="1" t="s">
        <v>760</v>
      </c>
      <c r="E86" s="2" t="s">
        <v>761</v>
      </c>
      <c r="F86" s="1">
        <v>239.0</v>
      </c>
      <c r="G86" s="1">
        <v>245.0</v>
      </c>
      <c r="H86" s="1" t="s">
        <v>28</v>
      </c>
      <c r="I86" s="1"/>
      <c r="J86" s="1" t="s">
        <v>764</v>
      </c>
      <c r="K86" s="1"/>
      <c r="L86" s="1" t="s">
        <v>771</v>
      </c>
      <c r="M86" s="1" t="s">
        <v>767</v>
      </c>
    </row>
    <row r="87">
      <c r="A87" s="1" t="s">
        <v>17</v>
      </c>
      <c r="B87" s="1">
        <v>1991.0</v>
      </c>
      <c r="C87" s="1" t="s">
        <v>768</v>
      </c>
      <c r="D87" s="1" t="s">
        <v>769</v>
      </c>
      <c r="E87" s="2" t="s">
        <v>770</v>
      </c>
      <c r="F87" s="1">
        <v>248.0</v>
      </c>
      <c r="G87" s="1">
        <v>254.0</v>
      </c>
      <c r="H87" s="1" t="s">
        <v>28</v>
      </c>
      <c r="I87" s="1"/>
      <c r="J87" s="1" t="s">
        <v>773</v>
      </c>
      <c r="K87" s="1"/>
      <c r="L87" s="1" t="s">
        <v>776</v>
      </c>
    </row>
    <row r="88">
      <c r="A88" s="1" t="s">
        <v>17</v>
      </c>
      <c r="B88" s="1">
        <v>1991.0</v>
      </c>
      <c r="C88" s="1" t="s">
        <v>777</v>
      </c>
      <c r="D88" s="1" t="s">
        <v>778</v>
      </c>
      <c r="E88" s="2" t="s">
        <v>779</v>
      </c>
      <c r="F88" s="1">
        <v>255.0</v>
      </c>
      <c r="G88" s="1">
        <v>261.0</v>
      </c>
      <c r="H88" s="1" t="s">
        <v>28</v>
      </c>
      <c r="I88" s="1"/>
      <c r="J88" s="1" t="s">
        <v>780</v>
      </c>
      <c r="K88" s="1"/>
      <c r="L88" s="1" t="s">
        <v>781</v>
      </c>
    </row>
    <row r="89">
      <c r="A89" s="1" t="s">
        <v>17</v>
      </c>
      <c r="B89" s="1">
        <v>1991.0</v>
      </c>
      <c r="C89" s="1" t="s">
        <v>785</v>
      </c>
      <c r="D89" s="1" t="s">
        <v>786</v>
      </c>
      <c r="E89" s="2" t="s">
        <v>787</v>
      </c>
      <c r="F89" s="1">
        <v>262.0</v>
      </c>
      <c r="G89" s="1">
        <v>267.0</v>
      </c>
      <c r="H89" s="1" t="s">
        <v>28</v>
      </c>
      <c r="I89" s="1"/>
      <c r="J89" s="1" t="s">
        <v>788</v>
      </c>
      <c r="K89" s="1"/>
      <c r="L89" s="1" t="s">
        <v>789</v>
      </c>
    </row>
    <row r="90">
      <c r="A90" s="1" t="s">
        <v>17</v>
      </c>
      <c r="B90" s="1">
        <v>1991.0</v>
      </c>
      <c r="C90" s="1" t="s">
        <v>790</v>
      </c>
      <c r="D90" s="1" t="s">
        <v>791</v>
      </c>
      <c r="E90" s="2" t="s">
        <v>793</v>
      </c>
      <c r="F90" s="1">
        <v>268.0</v>
      </c>
      <c r="G90" s="1" t="s">
        <v>796</v>
      </c>
      <c r="H90" s="1" t="s">
        <v>28</v>
      </c>
      <c r="I90" s="1"/>
      <c r="J90" s="1" t="s">
        <v>797</v>
      </c>
      <c r="K90" s="1"/>
      <c r="L90" s="1" t="s">
        <v>798</v>
      </c>
    </row>
    <row r="91">
      <c r="A91" s="1" t="s">
        <v>17</v>
      </c>
      <c r="B91" s="1">
        <v>1991.0</v>
      </c>
      <c r="C91" s="1" t="s">
        <v>799</v>
      </c>
      <c r="D91" s="1" t="s">
        <v>800</v>
      </c>
      <c r="E91" s="2" t="s">
        <v>801</v>
      </c>
      <c r="F91" s="1">
        <v>276.0</v>
      </c>
      <c r="G91" s="1">
        <v>283.0</v>
      </c>
      <c r="H91" s="1" t="s">
        <v>28</v>
      </c>
      <c r="I91" s="1"/>
      <c r="J91" s="1" t="s">
        <v>806</v>
      </c>
      <c r="K91" s="1"/>
      <c r="L91" s="1" t="s">
        <v>807</v>
      </c>
      <c r="M91" s="1" t="s">
        <v>760</v>
      </c>
    </row>
    <row r="92">
      <c r="A92" s="1" t="s">
        <v>17</v>
      </c>
      <c r="B92" s="1">
        <v>1991.0</v>
      </c>
      <c r="C92" s="1" t="s">
        <v>808</v>
      </c>
      <c r="D92" s="1" t="s">
        <v>809</v>
      </c>
      <c r="E92" s="2" t="s">
        <v>810</v>
      </c>
      <c r="F92" s="1">
        <v>284.0</v>
      </c>
      <c r="G92" s="1">
        <v>291.0</v>
      </c>
      <c r="H92" s="1" t="s">
        <v>28</v>
      </c>
      <c r="I92" s="1"/>
      <c r="J92" s="1" t="s">
        <v>814</v>
      </c>
      <c r="K92" s="1"/>
      <c r="L92" s="1" t="s">
        <v>815</v>
      </c>
    </row>
    <row r="93">
      <c r="A93" s="1" t="s">
        <v>17</v>
      </c>
      <c r="B93" s="1">
        <v>1991.0</v>
      </c>
      <c r="C93" s="1" t="s">
        <v>816</v>
      </c>
      <c r="D93" s="1" t="s">
        <v>817</v>
      </c>
      <c r="E93" s="2" t="s">
        <v>818</v>
      </c>
      <c r="F93" s="1">
        <v>292.0</v>
      </c>
      <c r="G93" s="1">
        <v>296.0</v>
      </c>
      <c r="H93" s="1" t="s">
        <v>28</v>
      </c>
      <c r="I93" s="1"/>
      <c r="J93" s="1" t="s">
        <v>820</v>
      </c>
      <c r="K93" s="1"/>
      <c r="L93" s="1" t="s">
        <v>821</v>
      </c>
    </row>
    <row r="94">
      <c r="A94" s="1" t="s">
        <v>17</v>
      </c>
      <c r="B94" s="1">
        <v>1991.0</v>
      </c>
      <c r="C94" s="1" t="s">
        <v>824</v>
      </c>
      <c r="D94" s="1" t="s">
        <v>825</v>
      </c>
      <c r="E94" s="2" t="s">
        <v>826</v>
      </c>
      <c r="F94" s="1">
        <v>298.0</v>
      </c>
      <c r="G94" s="1">
        <v>305.0</v>
      </c>
      <c r="H94" s="1" t="s">
        <v>28</v>
      </c>
      <c r="I94" s="1"/>
      <c r="J94" s="1" t="s">
        <v>827</v>
      </c>
      <c r="K94" s="1"/>
      <c r="L94" s="1" t="s">
        <v>828</v>
      </c>
    </row>
    <row r="95">
      <c r="A95" s="1" t="s">
        <v>17</v>
      </c>
      <c r="B95" s="1">
        <v>1991.0</v>
      </c>
      <c r="C95" s="1" t="s">
        <v>829</v>
      </c>
      <c r="D95" s="1" t="s">
        <v>830</v>
      </c>
      <c r="E95" s="2" t="s">
        <v>831</v>
      </c>
      <c r="F95" s="1">
        <v>306.0</v>
      </c>
      <c r="G95" s="1" t="s">
        <v>835</v>
      </c>
      <c r="H95" s="1" t="s">
        <v>28</v>
      </c>
      <c r="I95" s="1"/>
      <c r="J95" s="1" t="s">
        <v>836</v>
      </c>
      <c r="K95" s="1"/>
      <c r="L95" s="1" t="s">
        <v>837</v>
      </c>
      <c r="M95" s="1"/>
      <c r="N95" s="1" t="s">
        <v>838</v>
      </c>
    </row>
    <row r="96">
      <c r="A96" s="1" t="s">
        <v>17</v>
      </c>
      <c r="B96" s="1">
        <v>1991.0</v>
      </c>
      <c r="C96" s="1" t="s">
        <v>839</v>
      </c>
      <c r="D96" s="1" t="s">
        <v>840</v>
      </c>
      <c r="E96" s="2" t="s">
        <v>841</v>
      </c>
      <c r="F96" s="1">
        <v>314.0</v>
      </c>
      <c r="G96" s="1" t="s">
        <v>845</v>
      </c>
      <c r="H96" s="1" t="s">
        <v>28</v>
      </c>
      <c r="I96" s="1"/>
      <c r="J96" s="1" t="s">
        <v>846</v>
      </c>
      <c r="K96" s="1"/>
      <c r="L96" s="1" t="s">
        <v>178</v>
      </c>
    </row>
    <row r="97">
      <c r="A97" s="1" t="s">
        <v>17</v>
      </c>
      <c r="B97" s="1">
        <v>1991.0</v>
      </c>
      <c r="C97" s="1" t="s">
        <v>847</v>
      </c>
      <c r="D97" s="1" t="s">
        <v>848</v>
      </c>
      <c r="E97" s="2" t="s">
        <v>849</v>
      </c>
      <c r="F97" s="1">
        <v>321.0</v>
      </c>
      <c r="G97" s="1" t="s">
        <v>853</v>
      </c>
      <c r="H97" s="1" t="s">
        <v>28</v>
      </c>
      <c r="I97" s="1"/>
      <c r="J97" s="1" t="s">
        <v>854</v>
      </c>
      <c r="K97" s="1"/>
      <c r="L97" s="1" t="s">
        <v>855</v>
      </c>
      <c r="M97" s="1" t="s">
        <v>91</v>
      </c>
    </row>
    <row r="98">
      <c r="A98" s="1" t="s">
        <v>17</v>
      </c>
      <c r="B98" s="1">
        <v>1991.0</v>
      </c>
      <c r="C98" s="1" t="s">
        <v>856</v>
      </c>
      <c r="D98" s="1" t="s">
        <v>857</v>
      </c>
      <c r="E98" s="2" t="s">
        <v>858</v>
      </c>
      <c r="F98" s="1">
        <v>330.0</v>
      </c>
      <c r="G98" s="1">
        <v>335.0</v>
      </c>
      <c r="H98" s="1" t="s">
        <v>21</v>
      </c>
      <c r="I98" s="1"/>
      <c r="J98" s="1" t="s">
        <v>859</v>
      </c>
      <c r="K98" s="1"/>
      <c r="L98" s="1" t="s">
        <v>860</v>
      </c>
    </row>
    <row r="99">
      <c r="A99" s="1" t="s">
        <v>17</v>
      </c>
      <c r="B99" s="1">
        <v>1991.0</v>
      </c>
      <c r="C99" s="1" t="s">
        <v>861</v>
      </c>
      <c r="D99" s="1" t="s">
        <v>862</v>
      </c>
      <c r="E99" s="2" t="s">
        <v>863</v>
      </c>
      <c r="F99" s="1">
        <v>336.0</v>
      </c>
      <c r="G99" s="1">
        <v>339.0</v>
      </c>
      <c r="H99" s="1" t="s">
        <v>21</v>
      </c>
      <c r="I99" s="1"/>
      <c r="J99" s="1" t="s">
        <v>866</v>
      </c>
      <c r="K99" s="1"/>
      <c r="L99" s="1" t="s">
        <v>867</v>
      </c>
    </row>
    <row r="100">
      <c r="A100" s="1" t="s">
        <v>17</v>
      </c>
      <c r="B100" s="1">
        <v>1991.0</v>
      </c>
      <c r="C100" s="1" t="s">
        <v>868</v>
      </c>
      <c r="D100" s="1" t="s">
        <v>869</v>
      </c>
      <c r="E100" s="2" t="s">
        <v>870</v>
      </c>
      <c r="F100" s="1">
        <v>340.0</v>
      </c>
      <c r="G100" s="1">
        <v>344.0</v>
      </c>
      <c r="H100" s="1" t="s">
        <v>21</v>
      </c>
      <c r="I100" s="1"/>
      <c r="J100" s="1" t="s">
        <v>874</v>
      </c>
      <c r="K100" s="1"/>
      <c r="L100" s="1" t="s">
        <v>875</v>
      </c>
    </row>
    <row r="101">
      <c r="A101" s="1" t="s">
        <v>17</v>
      </c>
      <c r="B101" s="1">
        <v>1991.0</v>
      </c>
      <c r="C101" s="1" t="s">
        <v>876</v>
      </c>
      <c r="D101" s="1" t="s">
        <v>877</v>
      </c>
      <c r="E101" s="2" t="s">
        <v>878</v>
      </c>
      <c r="F101" s="1">
        <v>345.0</v>
      </c>
      <c r="G101" s="1">
        <v>347.0</v>
      </c>
      <c r="H101" s="1" t="s">
        <v>21</v>
      </c>
      <c r="I101" s="1"/>
      <c r="J101" s="1" t="s">
        <v>879</v>
      </c>
      <c r="K101" s="1"/>
      <c r="L101" s="1" t="s">
        <v>880</v>
      </c>
    </row>
    <row r="102">
      <c r="A102" s="1" t="s">
        <v>17</v>
      </c>
      <c r="B102" s="1">
        <v>1991.0</v>
      </c>
      <c r="C102" s="1" t="s">
        <v>881</v>
      </c>
      <c r="D102" s="1" t="s">
        <v>883</v>
      </c>
      <c r="E102" s="2" t="s">
        <v>884</v>
      </c>
      <c r="F102" s="1">
        <v>348.0</v>
      </c>
      <c r="G102" s="1">
        <v>353.0</v>
      </c>
      <c r="H102" s="1" t="s">
        <v>21</v>
      </c>
      <c r="I102" s="1"/>
      <c r="J102" s="1" t="s">
        <v>886</v>
      </c>
      <c r="K102" s="1"/>
      <c r="L102" s="1" t="s">
        <v>860</v>
      </c>
    </row>
    <row r="103">
      <c r="A103" s="1" t="s">
        <v>17</v>
      </c>
      <c r="B103" s="1">
        <v>1991.0</v>
      </c>
      <c r="C103" s="1" t="s">
        <v>887</v>
      </c>
      <c r="D103" s="1" t="s">
        <v>888</v>
      </c>
      <c r="E103" s="2" t="s">
        <v>889</v>
      </c>
      <c r="F103" s="1">
        <v>354.0</v>
      </c>
      <c r="G103" s="1">
        <v>357.0</v>
      </c>
      <c r="H103" s="1" t="s">
        <v>21</v>
      </c>
      <c r="I103" s="1"/>
      <c r="J103" s="1" t="s">
        <v>893</v>
      </c>
      <c r="K103" s="1"/>
      <c r="L103" s="1" t="s">
        <v>860</v>
      </c>
    </row>
    <row r="104">
      <c r="A104" s="1" t="s">
        <v>17</v>
      </c>
      <c r="B104" s="1">
        <v>1991.0</v>
      </c>
      <c r="C104" s="1" t="s">
        <v>894</v>
      </c>
      <c r="D104" s="1" t="s">
        <v>895</v>
      </c>
      <c r="E104" s="2" t="s">
        <v>896</v>
      </c>
      <c r="F104" s="1">
        <v>360.0</v>
      </c>
      <c r="G104" s="1" t="s">
        <v>898</v>
      </c>
      <c r="H104" s="1" t="s">
        <v>28</v>
      </c>
      <c r="I104" s="1"/>
      <c r="J104" s="1" t="s">
        <v>899</v>
      </c>
      <c r="K104" s="1"/>
      <c r="L104" s="1" t="s">
        <v>149</v>
      </c>
    </row>
    <row r="105">
      <c r="A105" s="1" t="s">
        <v>17</v>
      </c>
      <c r="B105" s="1">
        <v>1991.0</v>
      </c>
      <c r="C105" s="1" t="s">
        <v>902</v>
      </c>
      <c r="D105" s="1" t="s">
        <v>903</v>
      </c>
      <c r="E105" s="2" t="s">
        <v>904</v>
      </c>
      <c r="F105" s="1">
        <v>364.0</v>
      </c>
      <c r="G105" s="1" t="s">
        <v>905</v>
      </c>
      <c r="H105" s="1" t="s">
        <v>28</v>
      </c>
      <c r="I105" s="1"/>
      <c r="J105" s="1" t="s">
        <v>906</v>
      </c>
      <c r="K105" s="1"/>
      <c r="L105" s="1" t="s">
        <v>907</v>
      </c>
    </row>
    <row r="106">
      <c r="A106" s="1" t="s">
        <v>17</v>
      </c>
      <c r="B106" s="1">
        <v>1991.0</v>
      </c>
      <c r="C106" s="1" t="s">
        <v>908</v>
      </c>
      <c r="D106" s="1" t="s">
        <v>909</v>
      </c>
      <c r="E106" s="2" t="s">
        <v>910</v>
      </c>
      <c r="F106" s="1">
        <v>368.0</v>
      </c>
      <c r="G106" s="1">
        <v>371.0</v>
      </c>
      <c r="H106" s="1" t="s">
        <v>28</v>
      </c>
      <c r="I106" s="1"/>
      <c r="J106" s="1" t="s">
        <v>912</v>
      </c>
      <c r="K106" s="1"/>
      <c r="L106" s="1" t="s">
        <v>913</v>
      </c>
    </row>
    <row r="107">
      <c r="A107" s="1" t="s">
        <v>17</v>
      </c>
      <c r="B107" s="1">
        <v>1991.0</v>
      </c>
      <c r="C107" s="1" t="s">
        <v>914</v>
      </c>
      <c r="D107" s="1" t="s">
        <v>915</v>
      </c>
      <c r="E107" s="2" t="s">
        <v>916</v>
      </c>
      <c r="F107" s="1">
        <v>372.0</v>
      </c>
      <c r="G107" s="1" t="s">
        <v>917</v>
      </c>
      <c r="H107" s="1" t="s">
        <v>28</v>
      </c>
      <c r="I107" s="1"/>
      <c r="J107" s="1" t="s">
        <v>429</v>
      </c>
      <c r="K107" s="1"/>
      <c r="L107" s="1" t="s">
        <v>918</v>
      </c>
    </row>
    <row r="108">
      <c r="A108" s="1" t="s">
        <v>17</v>
      </c>
      <c r="B108" s="1">
        <v>1991.0</v>
      </c>
      <c r="C108" s="1" t="s">
        <v>919</v>
      </c>
      <c r="D108" s="1" t="s">
        <v>920</v>
      </c>
      <c r="E108" s="2" t="s">
        <v>921</v>
      </c>
      <c r="F108" s="1">
        <v>379.0</v>
      </c>
      <c r="G108" s="1">
        <v>382.0</v>
      </c>
      <c r="H108" s="1" t="s">
        <v>28</v>
      </c>
      <c r="I108" s="1"/>
      <c r="J108" s="1" t="s">
        <v>924</v>
      </c>
      <c r="K108" s="1"/>
      <c r="L108" s="1" t="s">
        <v>925</v>
      </c>
    </row>
    <row r="109">
      <c r="A109" s="1" t="s">
        <v>17</v>
      </c>
      <c r="B109" s="1">
        <v>1991.0</v>
      </c>
      <c r="C109" s="1" t="s">
        <v>926</v>
      </c>
      <c r="D109" s="1" t="s">
        <v>927</v>
      </c>
      <c r="E109" s="2" t="s">
        <v>928</v>
      </c>
      <c r="F109" s="1">
        <v>383.0</v>
      </c>
      <c r="G109" s="1">
        <v>386.0</v>
      </c>
      <c r="H109" s="1" t="s">
        <v>28</v>
      </c>
      <c r="I109" s="1"/>
      <c r="J109" s="1" t="s">
        <v>929</v>
      </c>
    </row>
    <row r="110">
      <c r="A110" s="1" t="s">
        <v>17</v>
      </c>
      <c r="B110" s="1">
        <v>1991.0</v>
      </c>
      <c r="C110" s="1" t="s">
        <v>930</v>
      </c>
      <c r="D110" s="1" t="s">
        <v>931</v>
      </c>
      <c r="E110" s="2" t="s">
        <v>932</v>
      </c>
      <c r="F110" s="1">
        <v>387.0</v>
      </c>
      <c r="G110" s="1">
        <v>391.0</v>
      </c>
      <c r="H110" s="1" t="s">
        <v>28</v>
      </c>
      <c r="I110" s="1"/>
      <c r="J110" s="1" t="s">
        <v>935</v>
      </c>
      <c r="K110" s="1"/>
      <c r="L110" s="1" t="s">
        <v>936</v>
      </c>
    </row>
    <row r="111">
      <c r="A111" s="1" t="s">
        <v>17</v>
      </c>
      <c r="B111" s="1">
        <v>1991.0</v>
      </c>
      <c r="C111" s="1" t="s">
        <v>937</v>
      </c>
      <c r="D111" s="1" t="s">
        <v>938</v>
      </c>
      <c r="E111" s="2" t="s">
        <v>939</v>
      </c>
      <c r="F111" s="1">
        <v>392.0</v>
      </c>
      <c r="G111" s="1" t="s">
        <v>942</v>
      </c>
      <c r="H111" s="1" t="s">
        <v>28</v>
      </c>
      <c r="I111" s="1"/>
      <c r="J111" s="1" t="s">
        <v>943</v>
      </c>
      <c r="K111" s="1"/>
      <c r="L111" s="1" t="s">
        <v>944</v>
      </c>
    </row>
    <row r="112">
      <c r="A112" s="1" t="s">
        <v>17</v>
      </c>
      <c r="B112" s="1">
        <v>1991.0</v>
      </c>
      <c r="C112" s="1" t="s">
        <v>945</v>
      </c>
      <c r="D112" s="1" t="s">
        <v>946</v>
      </c>
      <c r="E112" s="2" t="s">
        <v>947</v>
      </c>
      <c r="F112" s="1">
        <v>398.0</v>
      </c>
      <c r="G112" s="1">
        <v>404.0</v>
      </c>
      <c r="H112" s="1" t="s">
        <v>28</v>
      </c>
      <c r="I112" s="1"/>
      <c r="J112" s="1" t="s">
        <v>951</v>
      </c>
      <c r="K112" s="1"/>
      <c r="L112" s="1" t="s">
        <v>952</v>
      </c>
    </row>
    <row r="113">
      <c r="A113" s="1" t="s">
        <v>17</v>
      </c>
      <c r="B113" s="1">
        <v>1992.0</v>
      </c>
      <c r="C113" s="1" t="s">
        <v>953</v>
      </c>
      <c r="D113" s="1" t="s">
        <v>954</v>
      </c>
      <c r="E113" s="2" t="s">
        <v>955</v>
      </c>
      <c r="F113" s="1">
        <v>441.0</v>
      </c>
      <c r="G113" s="1">
        <v>445.0</v>
      </c>
      <c r="H113" s="1" t="s">
        <v>28</v>
      </c>
      <c r="I113" s="1"/>
      <c r="J113" s="1" t="s">
        <v>956</v>
      </c>
      <c r="K113" s="1"/>
      <c r="L113" s="1" t="s">
        <v>957</v>
      </c>
    </row>
    <row r="114">
      <c r="A114" s="1" t="s">
        <v>17</v>
      </c>
      <c r="B114" s="1">
        <v>1992.0</v>
      </c>
      <c r="C114" s="1" t="s">
        <v>958</v>
      </c>
      <c r="D114" s="1" t="s">
        <v>959</v>
      </c>
      <c r="E114" s="2" t="s">
        <v>960</v>
      </c>
      <c r="F114" s="1">
        <v>436.0</v>
      </c>
      <c r="G114" s="1">
        <v>440.0</v>
      </c>
      <c r="H114" s="1" t="s">
        <v>28</v>
      </c>
      <c r="I114" s="1"/>
      <c r="J114" s="1" t="s">
        <v>964</v>
      </c>
      <c r="K114" s="1"/>
      <c r="L114" s="1" t="s">
        <v>965</v>
      </c>
      <c r="M114" s="1" t="s">
        <v>966</v>
      </c>
    </row>
    <row r="115">
      <c r="A115" s="1" t="s">
        <v>17</v>
      </c>
      <c r="B115" s="1">
        <v>1992.0</v>
      </c>
      <c r="C115" s="1" t="s">
        <v>967</v>
      </c>
      <c r="D115" s="1" t="s">
        <v>968</v>
      </c>
      <c r="E115" s="2" t="s">
        <v>969</v>
      </c>
      <c r="F115" s="1">
        <v>428.0</v>
      </c>
      <c r="G115" s="1">
        <v>435.0</v>
      </c>
      <c r="H115" s="1" t="s">
        <v>28</v>
      </c>
      <c r="I115" s="1"/>
      <c r="J115" s="1" t="s">
        <v>970</v>
      </c>
      <c r="K115" s="1"/>
      <c r="L115" s="1" t="s">
        <v>971</v>
      </c>
      <c r="M115" s="1" t="s">
        <v>972</v>
      </c>
    </row>
    <row r="116">
      <c r="A116" s="1" t="s">
        <v>17</v>
      </c>
      <c r="B116" s="1">
        <v>1992.0</v>
      </c>
      <c r="C116" s="1" t="s">
        <v>973</v>
      </c>
      <c r="D116" s="1" t="s">
        <v>975</v>
      </c>
      <c r="E116" s="2" t="s">
        <v>976</v>
      </c>
      <c r="F116" s="1">
        <v>424.0</v>
      </c>
      <c r="G116" s="1">
        <v>427.0</v>
      </c>
      <c r="H116" s="1" t="s">
        <v>28</v>
      </c>
      <c r="I116" s="1"/>
      <c r="J116" s="1" t="s">
        <v>978</v>
      </c>
      <c r="K116" s="1"/>
      <c r="L116" s="1" t="s">
        <v>979</v>
      </c>
    </row>
    <row r="117">
      <c r="A117" s="1" t="s">
        <v>17</v>
      </c>
      <c r="B117" s="1">
        <v>1992.0</v>
      </c>
      <c r="C117" s="1" t="s">
        <v>980</v>
      </c>
      <c r="D117" s="1" t="s">
        <v>981</v>
      </c>
      <c r="E117" s="2" t="s">
        <v>982</v>
      </c>
      <c r="F117" s="1">
        <v>419.0</v>
      </c>
      <c r="G117" s="1">
        <v>423.0</v>
      </c>
      <c r="H117" s="1" t="s">
        <v>28</v>
      </c>
      <c r="I117" s="1"/>
      <c r="J117" s="1" t="s">
        <v>986</v>
      </c>
      <c r="K117" s="1"/>
      <c r="L117" s="1" t="s">
        <v>807</v>
      </c>
      <c r="M117" s="1" t="s">
        <v>760</v>
      </c>
    </row>
    <row r="118">
      <c r="A118" s="1" t="s">
        <v>17</v>
      </c>
      <c r="B118" s="1">
        <v>1992.0</v>
      </c>
      <c r="C118" s="1" t="s">
        <v>987</v>
      </c>
      <c r="D118" s="1" t="s">
        <v>988</v>
      </c>
      <c r="E118" s="2" t="s">
        <v>989</v>
      </c>
      <c r="F118" s="1">
        <v>411.0</v>
      </c>
      <c r="G118" s="1">
        <v>418.0</v>
      </c>
      <c r="H118" s="1" t="s">
        <v>28</v>
      </c>
      <c r="I118" s="1"/>
      <c r="J118" s="1" t="s">
        <v>992</v>
      </c>
      <c r="K118" s="1"/>
      <c r="L118" s="1" t="s">
        <v>993</v>
      </c>
    </row>
    <row r="119">
      <c r="A119" s="1" t="s">
        <v>17</v>
      </c>
      <c r="B119" s="1">
        <v>1992.0</v>
      </c>
      <c r="C119" s="1" t="s">
        <v>994</v>
      </c>
      <c r="D119" s="1" t="s">
        <v>995</v>
      </c>
      <c r="E119" s="2" t="s">
        <v>996</v>
      </c>
      <c r="F119" s="1">
        <v>404.0</v>
      </c>
      <c r="G119" s="1">
        <v>410.0</v>
      </c>
      <c r="H119" s="1" t="s">
        <v>28</v>
      </c>
      <c r="I119" s="1"/>
      <c r="J119" s="1" t="s">
        <v>1000</v>
      </c>
      <c r="K119" s="1"/>
      <c r="L119" s="1" t="s">
        <v>1001</v>
      </c>
    </row>
    <row r="120">
      <c r="A120" s="1" t="s">
        <v>17</v>
      </c>
      <c r="B120" s="1">
        <v>1992.0</v>
      </c>
      <c r="C120" s="1" t="s">
        <v>1002</v>
      </c>
      <c r="D120" s="1" t="s">
        <v>1003</v>
      </c>
      <c r="E120" s="2" t="s">
        <v>1004</v>
      </c>
      <c r="F120" s="1">
        <v>398.0</v>
      </c>
      <c r="G120" s="1">
        <v>403.0</v>
      </c>
      <c r="H120" s="1" t="s">
        <v>28</v>
      </c>
      <c r="I120" s="1"/>
      <c r="J120" s="1" t="s">
        <v>1008</v>
      </c>
      <c r="K120" s="1"/>
      <c r="L120" s="1" t="s">
        <v>1009</v>
      </c>
      <c r="M120" s="1" t="s">
        <v>895</v>
      </c>
    </row>
    <row r="121">
      <c r="A121" s="1" t="s">
        <v>17</v>
      </c>
      <c r="B121" s="1">
        <v>1992.0</v>
      </c>
      <c r="C121" s="1" t="s">
        <v>1010</v>
      </c>
      <c r="D121" s="1" t="s">
        <v>1011</v>
      </c>
      <c r="E121" s="2" t="s">
        <v>1012</v>
      </c>
      <c r="F121" s="1">
        <v>390.0</v>
      </c>
      <c r="G121" s="1">
        <v>397.0</v>
      </c>
      <c r="H121" s="1" t="s">
        <v>28</v>
      </c>
      <c r="I121" s="1"/>
      <c r="J121" s="1" t="s">
        <v>1014</v>
      </c>
      <c r="K121" s="1"/>
      <c r="L121" s="1" t="s">
        <v>1015</v>
      </c>
    </row>
    <row r="122">
      <c r="A122" s="1" t="s">
        <v>17</v>
      </c>
      <c r="B122" s="1">
        <v>1992.0</v>
      </c>
      <c r="C122" s="1" t="s">
        <v>1017</v>
      </c>
      <c r="D122" s="1" t="s">
        <v>1018</v>
      </c>
      <c r="E122" s="2" t="s">
        <v>1019</v>
      </c>
      <c r="F122" s="1">
        <v>384.0</v>
      </c>
      <c r="G122" s="1">
        <v>388.0</v>
      </c>
      <c r="H122" s="1" t="s">
        <v>21</v>
      </c>
      <c r="I122" s="1"/>
      <c r="J122" s="1" t="s">
        <v>1024</v>
      </c>
      <c r="K122" s="1"/>
      <c r="L122" s="1" t="s">
        <v>860</v>
      </c>
    </row>
    <row r="123">
      <c r="A123" s="1" t="s">
        <v>17</v>
      </c>
      <c r="B123" s="1">
        <v>1992.0</v>
      </c>
      <c r="C123" s="1" t="s">
        <v>1025</v>
      </c>
      <c r="D123" s="1" t="s">
        <v>1026</v>
      </c>
      <c r="E123" s="2" t="s">
        <v>1027</v>
      </c>
      <c r="F123" s="1">
        <v>380.0</v>
      </c>
      <c r="G123" s="1">
        <v>383.0</v>
      </c>
      <c r="H123" s="1" t="s">
        <v>21</v>
      </c>
      <c r="I123" s="1"/>
      <c r="J123" s="1" t="s">
        <v>1028</v>
      </c>
      <c r="K123" s="1"/>
      <c r="L123" s="1" t="s">
        <v>1029</v>
      </c>
    </row>
    <row r="124">
      <c r="A124" s="1" t="s">
        <v>17</v>
      </c>
      <c r="B124" s="1">
        <v>1992.0</v>
      </c>
      <c r="C124" s="1" t="s">
        <v>1030</v>
      </c>
      <c r="D124" s="1" t="s">
        <v>1031</v>
      </c>
      <c r="E124" s="2" t="s">
        <v>1032</v>
      </c>
      <c r="F124" s="1">
        <v>375.0</v>
      </c>
      <c r="G124" s="1">
        <v>379.0</v>
      </c>
      <c r="H124" s="1" t="s">
        <v>21</v>
      </c>
      <c r="I124" s="1"/>
      <c r="J124" s="1" t="s">
        <v>1036</v>
      </c>
    </row>
    <row r="125">
      <c r="A125" s="1" t="s">
        <v>17</v>
      </c>
      <c r="B125" s="1">
        <v>1992.0</v>
      </c>
      <c r="C125" s="1" t="s">
        <v>1037</v>
      </c>
      <c r="D125" s="1" t="s">
        <v>1038</v>
      </c>
      <c r="E125" s="2" t="s">
        <v>1039</v>
      </c>
      <c r="F125" s="1">
        <v>372.0</v>
      </c>
      <c r="G125" s="1">
        <v>374.0</v>
      </c>
      <c r="H125" s="1" t="s">
        <v>21</v>
      </c>
      <c r="I125" s="1"/>
      <c r="J125" s="1" t="s">
        <v>1040</v>
      </c>
      <c r="K125" s="1"/>
      <c r="L125" s="1" t="s">
        <v>1041</v>
      </c>
    </row>
    <row r="126">
      <c r="A126" s="1" t="s">
        <v>17</v>
      </c>
      <c r="B126" s="1">
        <v>1992.0</v>
      </c>
      <c r="C126" s="1" t="s">
        <v>1042</v>
      </c>
      <c r="D126" s="1" t="s">
        <v>1043</v>
      </c>
      <c r="E126" s="2" t="s">
        <v>1044</v>
      </c>
      <c r="F126" s="1">
        <v>366.0</v>
      </c>
      <c r="G126" s="1">
        <v>371.0</v>
      </c>
      <c r="H126" s="1" t="s">
        <v>21</v>
      </c>
      <c r="I126" s="1"/>
      <c r="J126" s="1" t="s">
        <v>1045</v>
      </c>
      <c r="K126" s="1"/>
      <c r="L126" s="1" t="s">
        <v>1046</v>
      </c>
    </row>
    <row r="127">
      <c r="A127" s="1" t="s">
        <v>17</v>
      </c>
      <c r="B127" s="1">
        <v>1992.0</v>
      </c>
      <c r="C127" s="1" t="s">
        <v>1047</v>
      </c>
      <c r="D127" s="1" t="s">
        <v>1048</v>
      </c>
      <c r="E127" s="2" t="s">
        <v>1049</v>
      </c>
      <c r="F127" s="1">
        <v>362.0</v>
      </c>
      <c r="G127" s="1">
        <v>365.0</v>
      </c>
      <c r="H127" s="1" t="s">
        <v>21</v>
      </c>
      <c r="I127" s="1"/>
      <c r="J127" s="1" t="s">
        <v>1052</v>
      </c>
      <c r="K127" s="1"/>
      <c r="L127" s="1" t="s">
        <v>880</v>
      </c>
    </row>
    <row r="128">
      <c r="A128" s="1" t="s">
        <v>17</v>
      </c>
      <c r="B128" s="1">
        <v>1992.0</v>
      </c>
      <c r="C128" s="1" t="s">
        <v>1053</v>
      </c>
      <c r="D128" s="1" t="s">
        <v>1054</v>
      </c>
      <c r="E128" s="2" t="s">
        <v>1055</v>
      </c>
      <c r="F128" s="1">
        <v>356.0</v>
      </c>
      <c r="G128" s="1">
        <v>360.0</v>
      </c>
      <c r="H128" s="1" t="s">
        <v>28</v>
      </c>
      <c r="I128" s="1"/>
      <c r="J128" s="1" t="s">
        <v>1056</v>
      </c>
      <c r="K128" s="1"/>
      <c r="L128" s="1" t="s">
        <v>1057</v>
      </c>
    </row>
    <row r="129">
      <c r="A129" s="1" t="s">
        <v>17</v>
      </c>
      <c r="B129" s="1">
        <v>1992.0</v>
      </c>
      <c r="C129" s="1" t="s">
        <v>1058</v>
      </c>
      <c r="D129" s="1" t="s">
        <v>1059</v>
      </c>
      <c r="E129" s="2" t="s">
        <v>1061</v>
      </c>
      <c r="F129" s="1">
        <v>349.0</v>
      </c>
      <c r="G129" s="1">
        <v>355.0</v>
      </c>
      <c r="H129" s="1" t="s">
        <v>28</v>
      </c>
      <c r="I129" s="1"/>
      <c r="J129" s="1" t="s">
        <v>1063</v>
      </c>
      <c r="K129" s="1"/>
      <c r="L129" s="1" t="s">
        <v>1064</v>
      </c>
      <c r="M129" s="1" t="s">
        <v>1065</v>
      </c>
    </row>
    <row r="130">
      <c r="A130" s="1" t="s">
        <v>17</v>
      </c>
      <c r="B130" s="1">
        <v>1992.0</v>
      </c>
      <c r="C130" s="1" t="s">
        <v>1066</v>
      </c>
      <c r="D130" s="1" t="s">
        <v>1067</v>
      </c>
      <c r="E130" s="2" t="s">
        <v>1068</v>
      </c>
      <c r="F130" s="1">
        <v>340.0</v>
      </c>
      <c r="G130" s="1">
        <v>348.0</v>
      </c>
      <c r="H130" s="1" t="s">
        <v>28</v>
      </c>
      <c r="I130" s="1"/>
      <c r="J130" s="1" t="s">
        <v>1072</v>
      </c>
      <c r="K130" s="1"/>
      <c r="L130" s="1" t="s">
        <v>1073</v>
      </c>
    </row>
    <row r="131">
      <c r="A131" s="1" t="s">
        <v>17</v>
      </c>
      <c r="B131" s="1">
        <v>1992.0</v>
      </c>
      <c r="C131" s="1" t="s">
        <v>1074</v>
      </c>
      <c r="D131" s="1" t="s">
        <v>1075</v>
      </c>
      <c r="E131" s="2" t="s">
        <v>1076</v>
      </c>
      <c r="F131" s="1">
        <v>333.0</v>
      </c>
      <c r="G131" s="1">
        <v>339.0</v>
      </c>
      <c r="H131" s="1" t="s">
        <v>28</v>
      </c>
      <c r="I131" s="1"/>
      <c r="J131" s="1" t="s">
        <v>188</v>
      </c>
      <c r="K131" s="1"/>
      <c r="L131" s="1" t="s">
        <v>1077</v>
      </c>
    </row>
    <row r="132">
      <c r="A132" s="1" t="s">
        <v>17</v>
      </c>
      <c r="B132" s="1">
        <v>1992.0</v>
      </c>
      <c r="C132" s="1" t="s">
        <v>1078</v>
      </c>
      <c r="D132" s="1" t="s">
        <v>1079</v>
      </c>
      <c r="E132" s="2" t="s">
        <v>1080</v>
      </c>
      <c r="F132" s="1">
        <v>324.0</v>
      </c>
      <c r="G132" s="1">
        <v>331.0</v>
      </c>
      <c r="H132" s="1" t="s">
        <v>28</v>
      </c>
      <c r="I132" s="1"/>
      <c r="J132" s="1" t="s">
        <v>1081</v>
      </c>
      <c r="K132" s="1"/>
      <c r="L132" s="1" t="s">
        <v>789</v>
      </c>
    </row>
    <row r="133">
      <c r="A133" s="1" t="s">
        <v>17</v>
      </c>
      <c r="B133" s="1">
        <v>1992.0</v>
      </c>
      <c r="C133" s="1" t="s">
        <v>1083</v>
      </c>
      <c r="D133" s="1" t="s">
        <v>1084</v>
      </c>
      <c r="E133" s="2" t="s">
        <v>1085</v>
      </c>
      <c r="F133" s="1">
        <v>316.0</v>
      </c>
      <c r="G133" s="1">
        <v>323.0</v>
      </c>
      <c r="H133" s="1" t="s">
        <v>28</v>
      </c>
      <c r="I133" s="1"/>
      <c r="J133" s="1" t="s">
        <v>1088</v>
      </c>
      <c r="K133" s="1"/>
      <c r="L133" s="1" t="s">
        <v>30</v>
      </c>
      <c r="M133" s="1" t="s">
        <v>1090</v>
      </c>
      <c r="P133" s="1"/>
      <c r="Q133" s="1" t="s">
        <v>1093</v>
      </c>
    </row>
    <row r="134">
      <c r="A134" s="1" t="s">
        <v>17</v>
      </c>
      <c r="B134" s="1">
        <v>1992.0</v>
      </c>
      <c r="C134" s="1" t="s">
        <v>1094</v>
      </c>
      <c r="D134" s="1" t="s">
        <v>1095</v>
      </c>
      <c r="E134" s="2" t="s">
        <v>1096</v>
      </c>
      <c r="F134" s="1">
        <v>308.0</v>
      </c>
      <c r="G134" s="1">
        <v>315.0</v>
      </c>
      <c r="H134" s="1" t="s">
        <v>28</v>
      </c>
      <c r="I134" s="1"/>
      <c r="J134" s="1" t="s">
        <v>1097</v>
      </c>
      <c r="K134" s="1"/>
      <c r="L134" s="1" t="s">
        <v>1098</v>
      </c>
    </row>
    <row r="135">
      <c r="A135" s="1" t="s">
        <v>17</v>
      </c>
      <c r="B135" s="1">
        <v>1992.0</v>
      </c>
      <c r="C135" s="1" t="s">
        <v>1099</v>
      </c>
      <c r="D135" s="1" t="s">
        <v>1100</v>
      </c>
      <c r="E135" s="2" t="s">
        <v>1101</v>
      </c>
      <c r="F135" s="1">
        <v>299.0</v>
      </c>
      <c r="G135" s="1">
        <v>306.0</v>
      </c>
      <c r="H135" s="1" t="s">
        <v>28</v>
      </c>
      <c r="I135" s="1"/>
      <c r="J135" s="1" t="s">
        <v>1104</v>
      </c>
      <c r="K135" s="1"/>
      <c r="L135" s="1" t="s">
        <v>1105</v>
      </c>
      <c r="M135" s="1" t="s">
        <v>800</v>
      </c>
    </row>
    <row r="136">
      <c r="A136" s="1" t="s">
        <v>17</v>
      </c>
      <c r="B136" s="1">
        <v>1992.0</v>
      </c>
      <c r="C136" s="1" t="s">
        <v>1106</v>
      </c>
      <c r="D136" s="1" t="s">
        <v>1107</v>
      </c>
      <c r="E136" s="2" t="s">
        <v>1108</v>
      </c>
      <c r="F136" s="1">
        <v>291.0</v>
      </c>
      <c r="G136" s="1">
        <v>298.0</v>
      </c>
      <c r="H136" s="1" t="s">
        <v>28</v>
      </c>
      <c r="I136" s="1"/>
      <c r="J136" s="1" t="s">
        <v>1109</v>
      </c>
      <c r="K136" s="1"/>
      <c r="L136" s="1" t="s">
        <v>1110</v>
      </c>
      <c r="M136" s="1" t="s">
        <v>470</v>
      </c>
    </row>
    <row r="137">
      <c r="A137" s="1" t="s">
        <v>17</v>
      </c>
      <c r="B137" s="1">
        <v>1992.0</v>
      </c>
      <c r="C137" s="1" t="s">
        <v>1111</v>
      </c>
      <c r="D137" s="1" t="s">
        <v>1112</v>
      </c>
      <c r="E137" s="2" t="s">
        <v>1113</v>
      </c>
      <c r="F137" s="1">
        <v>283.0</v>
      </c>
      <c r="G137" s="1">
        <v>290.0</v>
      </c>
      <c r="H137" s="1" t="s">
        <v>28</v>
      </c>
      <c r="I137" s="1"/>
      <c r="J137" s="1" t="s">
        <v>1117</v>
      </c>
      <c r="K137" s="1"/>
      <c r="L137" s="1" t="s">
        <v>1118</v>
      </c>
      <c r="M137" s="1" t="s">
        <v>830</v>
      </c>
    </row>
    <row r="138">
      <c r="A138" s="1" t="s">
        <v>17</v>
      </c>
      <c r="B138" s="1">
        <v>1992.0</v>
      </c>
      <c r="C138" s="1" t="s">
        <v>1119</v>
      </c>
      <c r="D138" s="1" t="s">
        <v>1120</v>
      </c>
      <c r="E138" s="2" t="s">
        <v>1121</v>
      </c>
      <c r="F138" s="1">
        <v>274.0</v>
      </c>
      <c r="G138" s="1">
        <v>281.0</v>
      </c>
      <c r="H138" s="1" t="s">
        <v>28</v>
      </c>
      <c r="I138" s="1"/>
      <c r="J138" s="1" t="s">
        <v>1122</v>
      </c>
      <c r="K138" s="1"/>
      <c r="L138" s="1" t="s">
        <v>1123</v>
      </c>
    </row>
    <row r="139">
      <c r="A139" s="1" t="s">
        <v>17</v>
      </c>
      <c r="B139" s="1">
        <v>1992.0</v>
      </c>
      <c r="C139" s="1" t="s">
        <v>1124</v>
      </c>
      <c r="D139" s="1" t="s">
        <v>1125</v>
      </c>
      <c r="E139" s="2" t="s">
        <v>1126</v>
      </c>
      <c r="F139" s="1">
        <v>268.0</v>
      </c>
      <c r="G139" s="1">
        <v>273.0</v>
      </c>
      <c r="H139" s="1" t="s">
        <v>28</v>
      </c>
      <c r="I139" s="1"/>
      <c r="J139" s="1" t="s">
        <v>171</v>
      </c>
      <c r="K139" s="1"/>
      <c r="L139" s="1" t="s">
        <v>713</v>
      </c>
    </row>
    <row r="140">
      <c r="A140" s="1" t="s">
        <v>17</v>
      </c>
      <c r="B140" s="1">
        <v>1992.0</v>
      </c>
      <c r="C140" s="1" t="s">
        <v>1129</v>
      </c>
      <c r="D140" s="1" t="s">
        <v>1130</v>
      </c>
      <c r="E140" s="2" t="s">
        <v>1131</v>
      </c>
      <c r="F140" s="1">
        <v>260.0</v>
      </c>
      <c r="G140" s="1">
        <v>267.0</v>
      </c>
      <c r="H140" s="1" t="s">
        <v>28</v>
      </c>
      <c r="I140" s="1"/>
      <c r="J140" s="1" t="s">
        <v>1132</v>
      </c>
      <c r="K140" s="1"/>
      <c r="L140" s="1" t="s">
        <v>1133</v>
      </c>
    </row>
    <row r="141">
      <c r="A141" s="1" t="s">
        <v>17</v>
      </c>
      <c r="B141" s="1">
        <v>1992.0</v>
      </c>
      <c r="C141" s="1" t="s">
        <v>1134</v>
      </c>
      <c r="D141" s="1" t="s">
        <v>1135</v>
      </c>
      <c r="E141" s="2" t="s">
        <v>1136</v>
      </c>
      <c r="F141" s="1">
        <v>252.0</v>
      </c>
      <c r="G141" s="1">
        <v>259.0</v>
      </c>
      <c r="H141" s="1" t="s">
        <v>28</v>
      </c>
      <c r="I141" s="1"/>
      <c r="J141" s="1" t="s">
        <v>1137</v>
      </c>
      <c r="K141" s="1"/>
      <c r="L141" s="1" t="s">
        <v>1138</v>
      </c>
      <c r="M141" s="1" t="s">
        <v>208</v>
      </c>
    </row>
    <row r="142">
      <c r="A142" s="1" t="s">
        <v>17</v>
      </c>
      <c r="B142" s="1">
        <v>1992.0</v>
      </c>
      <c r="C142" s="1" t="s">
        <v>1140</v>
      </c>
      <c r="D142" s="1" t="s">
        <v>1142</v>
      </c>
      <c r="E142" s="2" t="s">
        <v>1144</v>
      </c>
      <c r="F142" s="1">
        <v>243.0</v>
      </c>
      <c r="G142" s="1">
        <v>250.0</v>
      </c>
      <c r="H142" s="1" t="s">
        <v>28</v>
      </c>
      <c r="I142" s="1"/>
      <c r="J142" s="1" t="s">
        <v>1145</v>
      </c>
      <c r="K142" s="1"/>
      <c r="L142" s="1" t="s">
        <v>477</v>
      </c>
      <c r="M142" s="1" t="s">
        <v>1146</v>
      </c>
    </row>
    <row r="143">
      <c r="A143" s="1" t="s">
        <v>17</v>
      </c>
      <c r="B143" s="1">
        <v>1992.0</v>
      </c>
      <c r="C143" s="1" t="s">
        <v>1147</v>
      </c>
      <c r="D143" s="1" t="s">
        <v>1148</v>
      </c>
      <c r="E143" s="2" t="s">
        <v>1149</v>
      </c>
      <c r="F143" s="1">
        <v>235.0</v>
      </c>
      <c r="G143" s="1">
        <v>242.0</v>
      </c>
      <c r="H143" s="1" t="s">
        <v>28</v>
      </c>
      <c r="I143" s="1"/>
      <c r="J143" s="1" t="s">
        <v>1152</v>
      </c>
      <c r="K143" s="1"/>
      <c r="L143" s="1" t="s">
        <v>1153</v>
      </c>
      <c r="M143" s="1" t="s">
        <v>355</v>
      </c>
    </row>
    <row r="144">
      <c r="A144" s="1" t="s">
        <v>17</v>
      </c>
      <c r="B144" s="1">
        <v>1992.0</v>
      </c>
      <c r="C144" s="1" t="s">
        <v>1154</v>
      </c>
      <c r="D144" s="1" t="s">
        <v>1155</v>
      </c>
      <c r="E144" s="2" t="s">
        <v>1156</v>
      </c>
      <c r="F144" s="1">
        <v>227.0</v>
      </c>
      <c r="G144" s="1">
        <v>234.0</v>
      </c>
      <c r="H144" s="1" t="s">
        <v>28</v>
      </c>
      <c r="I144" s="1"/>
      <c r="J144" s="1" t="s">
        <v>1157</v>
      </c>
      <c r="K144" s="1"/>
      <c r="L144" s="1" t="s">
        <v>1158</v>
      </c>
      <c r="M144" s="1" t="s">
        <v>1159</v>
      </c>
    </row>
    <row r="145">
      <c r="A145" s="1" t="s">
        <v>17</v>
      </c>
      <c r="B145" s="1">
        <v>1992.0</v>
      </c>
      <c r="C145" s="1" t="s">
        <v>1160</v>
      </c>
      <c r="D145" s="1" t="s">
        <v>1161</v>
      </c>
      <c r="E145" s="2" t="s">
        <v>1162</v>
      </c>
      <c r="F145" s="1">
        <v>219.0</v>
      </c>
      <c r="G145" s="1">
        <v>226.0</v>
      </c>
      <c r="H145" s="1" t="s">
        <v>28</v>
      </c>
      <c r="I145" s="1"/>
      <c r="J145" s="1" t="s">
        <v>1166</v>
      </c>
      <c r="K145" s="1"/>
      <c r="L145" s="1" t="s">
        <v>1167</v>
      </c>
      <c r="M145" s="1" t="s">
        <v>1168</v>
      </c>
    </row>
    <row r="146">
      <c r="A146" s="1" t="s">
        <v>17</v>
      </c>
      <c r="B146" s="1">
        <v>1992.0</v>
      </c>
      <c r="C146" s="1" t="s">
        <v>1169</v>
      </c>
      <c r="D146" s="1" t="s">
        <v>1170</v>
      </c>
      <c r="E146" s="2" t="s">
        <v>1171</v>
      </c>
      <c r="F146" s="1">
        <v>210.0</v>
      </c>
      <c r="G146" s="1">
        <v>217.0</v>
      </c>
      <c r="H146" s="1" t="s">
        <v>28</v>
      </c>
      <c r="I146" s="1"/>
      <c r="J146" s="1" t="s">
        <v>1173</v>
      </c>
      <c r="K146" s="1"/>
      <c r="L146" s="1" t="s">
        <v>1174</v>
      </c>
    </row>
    <row r="147">
      <c r="A147" s="1" t="s">
        <v>17</v>
      </c>
      <c r="B147" s="1">
        <v>1992.0</v>
      </c>
      <c r="C147" s="1" t="s">
        <v>1177</v>
      </c>
      <c r="D147" s="1" t="s">
        <v>1178</v>
      </c>
      <c r="E147" s="2" t="s">
        <v>1179</v>
      </c>
      <c r="F147" s="1">
        <v>202.0</v>
      </c>
      <c r="G147" s="1">
        <v>209.0</v>
      </c>
      <c r="H147" s="1" t="s">
        <v>28</v>
      </c>
      <c r="I147" s="1"/>
      <c r="J147" s="1" t="s">
        <v>1180</v>
      </c>
      <c r="K147" s="1"/>
      <c r="L147" s="1" t="s">
        <v>1181</v>
      </c>
      <c r="M147" s="1" t="s">
        <v>1182</v>
      </c>
    </row>
    <row r="148">
      <c r="A148" s="1" t="s">
        <v>17</v>
      </c>
      <c r="B148" s="1">
        <v>1992.0</v>
      </c>
      <c r="C148" s="1" t="s">
        <v>1183</v>
      </c>
      <c r="D148" s="1" t="s">
        <v>1184</v>
      </c>
      <c r="E148" s="2" t="s">
        <v>1185</v>
      </c>
      <c r="F148" s="1">
        <v>194.0</v>
      </c>
      <c r="G148" s="1">
        <v>201.0</v>
      </c>
      <c r="H148" s="1" t="s">
        <v>28</v>
      </c>
      <c r="I148" s="1"/>
      <c r="J148" s="1" t="s">
        <v>1188</v>
      </c>
      <c r="K148" s="1"/>
      <c r="L148" s="1" t="s">
        <v>1189</v>
      </c>
      <c r="M148" s="1"/>
      <c r="N148" s="1" t="s">
        <v>1190</v>
      </c>
    </row>
    <row r="149">
      <c r="A149" s="1" t="s">
        <v>17</v>
      </c>
      <c r="B149" s="1">
        <v>1992.0</v>
      </c>
      <c r="C149" s="1" t="s">
        <v>1191</v>
      </c>
      <c r="D149" s="1" t="s">
        <v>1192</v>
      </c>
      <c r="E149" s="2" t="s">
        <v>1193</v>
      </c>
      <c r="F149" s="1">
        <v>186.0</v>
      </c>
      <c r="G149" s="1">
        <v>193.0</v>
      </c>
      <c r="H149" s="1" t="s">
        <v>28</v>
      </c>
      <c r="I149" s="1"/>
      <c r="J149" s="1" t="s">
        <v>1194</v>
      </c>
      <c r="K149" s="1"/>
      <c r="L149" s="1" t="s">
        <v>1195</v>
      </c>
    </row>
    <row r="150">
      <c r="A150" s="1" t="s">
        <v>17</v>
      </c>
      <c r="B150" s="1">
        <v>1992.0</v>
      </c>
      <c r="C150" s="1" t="s">
        <v>1196</v>
      </c>
      <c r="D150" s="1" t="s">
        <v>1197</v>
      </c>
      <c r="E150" s="2" t="s">
        <v>1199</v>
      </c>
      <c r="F150" s="1">
        <v>179.0</v>
      </c>
      <c r="G150" s="1">
        <v>184.0</v>
      </c>
      <c r="H150" s="1" t="s">
        <v>28</v>
      </c>
      <c r="I150" s="1"/>
      <c r="J150" s="1" t="s">
        <v>1202</v>
      </c>
      <c r="K150" s="1"/>
      <c r="L150" s="1" t="s">
        <v>1153</v>
      </c>
      <c r="M150" s="1" t="s">
        <v>487</v>
      </c>
      <c r="N150" s="1" t="s">
        <v>1203</v>
      </c>
    </row>
    <row r="151">
      <c r="A151" s="1" t="s">
        <v>17</v>
      </c>
      <c r="B151" s="1">
        <v>1992.0</v>
      </c>
      <c r="C151" s="1" t="s">
        <v>1204</v>
      </c>
      <c r="D151" s="1" t="s">
        <v>1205</v>
      </c>
      <c r="E151" s="2" t="s">
        <v>1206</v>
      </c>
      <c r="F151" s="1">
        <v>171.0</v>
      </c>
      <c r="G151" s="1">
        <v>178.0</v>
      </c>
      <c r="H151" s="1" t="s">
        <v>28</v>
      </c>
      <c r="I151" s="1"/>
      <c r="J151" s="1" t="s">
        <v>1207</v>
      </c>
      <c r="K151" s="1"/>
      <c r="L151" s="1" t="s">
        <v>1110</v>
      </c>
      <c r="M151" s="1" t="s">
        <v>1208</v>
      </c>
    </row>
    <row r="152">
      <c r="A152" s="1" t="s">
        <v>17</v>
      </c>
      <c r="B152" s="1">
        <v>1992.0</v>
      </c>
      <c r="C152" s="1" t="s">
        <v>1209</v>
      </c>
      <c r="D152" s="1" t="s">
        <v>1210</v>
      </c>
      <c r="E152" s="2" t="s">
        <v>1212</v>
      </c>
      <c r="F152" s="1">
        <v>164.0</v>
      </c>
      <c r="G152" s="1">
        <v>170.0</v>
      </c>
      <c r="H152" s="1" t="s">
        <v>28</v>
      </c>
      <c r="I152" s="1"/>
      <c r="J152" s="1" t="s">
        <v>1215</v>
      </c>
      <c r="K152" s="1"/>
      <c r="L152" s="1" t="s">
        <v>1216</v>
      </c>
    </row>
    <row r="153">
      <c r="A153" s="1" t="s">
        <v>17</v>
      </c>
      <c r="B153" s="1">
        <v>1992.0</v>
      </c>
      <c r="C153" s="1" t="s">
        <v>1217</v>
      </c>
      <c r="D153" s="1" t="s">
        <v>1218</v>
      </c>
      <c r="E153" s="2" t="s">
        <v>1219</v>
      </c>
      <c r="F153" s="1">
        <v>156.0</v>
      </c>
      <c r="G153" s="1">
        <v>163.0</v>
      </c>
      <c r="H153" s="1" t="s">
        <v>28</v>
      </c>
      <c r="I153" s="1"/>
      <c r="J153" s="1" t="s">
        <v>1220</v>
      </c>
      <c r="K153" s="1"/>
      <c r="L153" s="1" t="s">
        <v>1221</v>
      </c>
      <c r="M153" s="1" t="s">
        <v>470</v>
      </c>
    </row>
    <row r="154">
      <c r="A154" s="1" t="s">
        <v>17</v>
      </c>
      <c r="B154" s="1">
        <v>1992.0</v>
      </c>
      <c r="C154" s="1" t="s">
        <v>1222</v>
      </c>
      <c r="D154" s="1" t="s">
        <v>1223</v>
      </c>
      <c r="E154" s="2" t="s">
        <v>1224</v>
      </c>
      <c r="F154" s="1">
        <v>147.0</v>
      </c>
      <c r="G154" s="1">
        <v>154.0</v>
      </c>
      <c r="H154" s="1" t="s">
        <v>28</v>
      </c>
      <c r="I154" s="1"/>
      <c r="J154" s="1" t="s">
        <v>1225</v>
      </c>
      <c r="K154" s="1"/>
      <c r="L154" s="1" t="s">
        <v>1174</v>
      </c>
      <c r="M154" s="1" t="s">
        <v>174</v>
      </c>
    </row>
    <row r="155">
      <c r="A155" s="1" t="s">
        <v>17</v>
      </c>
      <c r="B155" s="1">
        <v>1992.0</v>
      </c>
      <c r="C155" s="1" t="s">
        <v>1229</v>
      </c>
      <c r="D155" s="1" t="s">
        <v>972</v>
      </c>
      <c r="E155" s="2" t="s">
        <v>1230</v>
      </c>
      <c r="F155" s="1">
        <v>139.0</v>
      </c>
      <c r="G155" s="1">
        <v>146.0</v>
      </c>
      <c r="H155" s="1" t="s">
        <v>28</v>
      </c>
      <c r="I155" s="1"/>
      <c r="J155" s="1" t="s">
        <v>1231</v>
      </c>
      <c r="K155" s="1"/>
      <c r="L155" s="1" t="s">
        <v>1232</v>
      </c>
    </row>
    <row r="156">
      <c r="A156" s="1" t="s">
        <v>17</v>
      </c>
      <c r="B156" s="1">
        <v>1992.0</v>
      </c>
      <c r="C156" s="1" t="s">
        <v>1233</v>
      </c>
      <c r="D156" s="1" t="s">
        <v>1234</v>
      </c>
      <c r="E156" s="2" t="s">
        <v>1235</v>
      </c>
      <c r="F156" s="1">
        <v>132.0</v>
      </c>
      <c r="G156" s="1">
        <v>138.0</v>
      </c>
      <c r="H156" s="1" t="s">
        <v>28</v>
      </c>
      <c r="I156" s="1"/>
      <c r="J156" s="1" t="s">
        <v>1239</v>
      </c>
      <c r="K156" s="1"/>
      <c r="L156" s="1" t="s">
        <v>1240</v>
      </c>
      <c r="M156" s="1"/>
      <c r="N156" s="1" t="s">
        <v>1241</v>
      </c>
    </row>
    <row r="157">
      <c r="A157" s="1" t="s">
        <v>17</v>
      </c>
      <c r="B157" s="1">
        <v>1992.0</v>
      </c>
      <c r="C157" s="1" t="s">
        <v>1242</v>
      </c>
      <c r="D157" s="1" t="s">
        <v>1243</v>
      </c>
      <c r="E157" s="2" t="s">
        <v>1244</v>
      </c>
      <c r="F157" s="1">
        <v>124.0</v>
      </c>
      <c r="G157" s="1">
        <v>131.0</v>
      </c>
      <c r="H157" s="1" t="s">
        <v>28</v>
      </c>
      <c r="I157" s="1"/>
      <c r="J157" s="1" t="s">
        <v>1245</v>
      </c>
      <c r="K157" s="1"/>
      <c r="L157" s="1" t="s">
        <v>815</v>
      </c>
      <c r="M157" s="1" t="s">
        <v>1246</v>
      </c>
    </row>
    <row r="158">
      <c r="A158" s="1" t="s">
        <v>17</v>
      </c>
      <c r="B158" s="1">
        <v>1992.0</v>
      </c>
      <c r="C158" s="1" t="s">
        <v>1247</v>
      </c>
      <c r="D158" s="1" t="s">
        <v>1248</v>
      </c>
      <c r="E158" s="2" t="s">
        <v>1249</v>
      </c>
      <c r="F158" s="1">
        <v>115.0</v>
      </c>
      <c r="G158" s="1">
        <v>122.0</v>
      </c>
      <c r="H158" s="1" t="s">
        <v>28</v>
      </c>
      <c r="I158" s="1"/>
      <c r="J158" s="1" t="s">
        <v>1252</v>
      </c>
      <c r="K158" s="1"/>
      <c r="L158" s="1" t="s">
        <v>1253</v>
      </c>
    </row>
    <row r="159">
      <c r="A159" s="1" t="s">
        <v>17</v>
      </c>
      <c r="B159" s="1">
        <v>1992.0</v>
      </c>
      <c r="C159" s="1" t="s">
        <v>1254</v>
      </c>
      <c r="D159" s="1" t="s">
        <v>1182</v>
      </c>
      <c r="E159" s="2" t="s">
        <v>1255</v>
      </c>
      <c r="F159" s="1">
        <v>107.0</v>
      </c>
      <c r="G159" s="1">
        <v>114.0</v>
      </c>
      <c r="H159" s="1" t="s">
        <v>28</v>
      </c>
      <c r="I159" s="1"/>
      <c r="J159" s="1" t="s">
        <v>1256</v>
      </c>
      <c r="K159" s="1"/>
      <c r="L159" s="1" t="s">
        <v>1257</v>
      </c>
      <c r="M159" s="1" t="s">
        <v>1258</v>
      </c>
    </row>
    <row r="160">
      <c r="A160" s="1" t="s">
        <v>17</v>
      </c>
      <c r="B160" s="1">
        <v>1992.0</v>
      </c>
      <c r="C160" s="1" t="s">
        <v>1259</v>
      </c>
      <c r="D160" s="1" t="s">
        <v>1260</v>
      </c>
      <c r="E160" s="2" t="s">
        <v>1261</v>
      </c>
      <c r="F160" s="1">
        <v>99.0</v>
      </c>
      <c r="G160" s="1">
        <v>106.0</v>
      </c>
      <c r="H160" s="1" t="s">
        <v>28</v>
      </c>
      <c r="I160" s="1"/>
      <c r="J160" s="1" t="s">
        <v>1265</v>
      </c>
      <c r="K160" s="1"/>
      <c r="L160" s="1" t="s">
        <v>494</v>
      </c>
    </row>
    <row r="161">
      <c r="A161" s="1" t="s">
        <v>17</v>
      </c>
      <c r="B161" s="1">
        <v>1992.0</v>
      </c>
      <c r="C161" s="1" t="s">
        <v>1266</v>
      </c>
      <c r="D161" s="1" t="s">
        <v>1267</v>
      </c>
      <c r="E161" s="2" t="s">
        <v>1268</v>
      </c>
      <c r="F161" s="1">
        <v>93.0</v>
      </c>
      <c r="G161" s="1">
        <v>98.0</v>
      </c>
      <c r="H161" s="1" t="s">
        <v>28</v>
      </c>
      <c r="I161" s="1"/>
      <c r="J161" s="1" t="s">
        <v>1269</v>
      </c>
      <c r="K161" s="1"/>
      <c r="L161" s="1" t="s">
        <v>1270</v>
      </c>
      <c r="M161" s="1" t="s">
        <v>1271</v>
      </c>
    </row>
    <row r="162">
      <c r="A162" s="1" t="s">
        <v>17</v>
      </c>
      <c r="B162" s="1">
        <v>1992.0</v>
      </c>
      <c r="C162" s="1" t="s">
        <v>1272</v>
      </c>
      <c r="D162" s="1" t="s">
        <v>1273</v>
      </c>
      <c r="E162" s="2" t="s">
        <v>1274</v>
      </c>
      <c r="F162" s="1">
        <v>84.0</v>
      </c>
      <c r="G162" s="1">
        <v>91.0</v>
      </c>
      <c r="H162" s="1" t="s">
        <v>28</v>
      </c>
      <c r="I162" s="1"/>
      <c r="J162" s="1" t="s">
        <v>854</v>
      </c>
      <c r="K162" s="1"/>
      <c r="L162" s="1" t="s">
        <v>1278</v>
      </c>
      <c r="M162" s="1" t="s">
        <v>1279</v>
      </c>
    </row>
    <row r="163">
      <c r="A163" s="1" t="s">
        <v>17</v>
      </c>
      <c r="B163" s="1">
        <v>1992.0</v>
      </c>
      <c r="C163" s="1" t="s">
        <v>1280</v>
      </c>
      <c r="D163" s="1" t="s">
        <v>1281</v>
      </c>
      <c r="E163" s="2" t="s">
        <v>1282</v>
      </c>
      <c r="F163" s="1">
        <v>77.0</v>
      </c>
      <c r="G163" s="1">
        <v>83.0</v>
      </c>
      <c r="H163" s="1" t="s">
        <v>28</v>
      </c>
      <c r="I163" s="1"/>
      <c r="J163" s="1" t="s">
        <v>1286</v>
      </c>
      <c r="K163" s="1"/>
      <c r="L163" s="1" t="s">
        <v>1287</v>
      </c>
      <c r="M163" s="1" t="s">
        <v>536</v>
      </c>
    </row>
    <row r="164">
      <c r="A164" s="1" t="s">
        <v>17</v>
      </c>
      <c r="B164" s="1">
        <v>1992.0</v>
      </c>
      <c r="C164" s="1" t="s">
        <v>1288</v>
      </c>
      <c r="D164" s="1" t="s">
        <v>1289</v>
      </c>
      <c r="E164" s="2" t="s">
        <v>1290</v>
      </c>
      <c r="F164" s="1">
        <v>70.0</v>
      </c>
      <c r="G164" s="1">
        <v>76.0</v>
      </c>
      <c r="H164" s="1" t="s">
        <v>28</v>
      </c>
      <c r="I164" s="1"/>
      <c r="J164" s="1" t="s">
        <v>1291</v>
      </c>
      <c r="K164" s="1"/>
      <c r="L164" s="1" t="s">
        <v>1292</v>
      </c>
    </row>
    <row r="165">
      <c r="A165" s="1" t="s">
        <v>17</v>
      </c>
      <c r="B165" s="1">
        <v>1992.0</v>
      </c>
      <c r="C165" s="1" t="s">
        <v>1293</v>
      </c>
      <c r="D165" s="1" t="s">
        <v>1294</v>
      </c>
      <c r="E165" s="2" t="s">
        <v>1295</v>
      </c>
      <c r="F165" s="1">
        <v>62.0</v>
      </c>
      <c r="G165" s="1">
        <v>68.0</v>
      </c>
      <c r="H165" s="1" t="s">
        <v>28</v>
      </c>
      <c r="I165" s="1"/>
      <c r="J165" s="1" t="s">
        <v>1299</v>
      </c>
      <c r="K165" s="1"/>
      <c r="L165" s="1" t="s">
        <v>1300</v>
      </c>
    </row>
    <row r="166">
      <c r="A166" s="1" t="s">
        <v>17</v>
      </c>
      <c r="B166" s="1">
        <v>1992.0</v>
      </c>
      <c r="C166" s="1" t="s">
        <v>1301</v>
      </c>
      <c r="D166" s="1" t="s">
        <v>1302</v>
      </c>
      <c r="E166" s="2" t="s">
        <v>1303</v>
      </c>
      <c r="F166" s="1">
        <v>54.0</v>
      </c>
      <c r="G166" s="1">
        <v>61.0</v>
      </c>
      <c r="H166" s="1" t="s">
        <v>28</v>
      </c>
      <c r="I166" s="1"/>
      <c r="J166" s="1" t="s">
        <v>1304</v>
      </c>
      <c r="K166" s="1"/>
      <c r="L166" s="1" t="s">
        <v>1305</v>
      </c>
      <c r="M166" s="1" t="s">
        <v>25</v>
      </c>
    </row>
    <row r="167">
      <c r="A167" s="1" t="s">
        <v>17</v>
      </c>
      <c r="B167" s="1">
        <v>1992.0</v>
      </c>
      <c r="C167" s="1" t="s">
        <v>1306</v>
      </c>
      <c r="D167" s="1" t="s">
        <v>1307</v>
      </c>
      <c r="E167" s="2" t="s">
        <v>1308</v>
      </c>
      <c r="F167" s="1">
        <v>46.0</v>
      </c>
      <c r="G167" s="1">
        <v>53.0</v>
      </c>
      <c r="H167" s="1" t="s">
        <v>28</v>
      </c>
      <c r="I167" s="1"/>
      <c r="J167" s="1" t="s">
        <v>1312</v>
      </c>
      <c r="K167" s="1"/>
      <c r="L167" s="1" t="s">
        <v>1313</v>
      </c>
      <c r="M167" s="1" t="s">
        <v>1314</v>
      </c>
    </row>
    <row r="168">
      <c r="A168" s="1" t="s">
        <v>17</v>
      </c>
      <c r="B168" s="1">
        <v>1992.0</v>
      </c>
      <c r="C168" s="1" t="s">
        <v>1315</v>
      </c>
      <c r="D168" s="1" t="s">
        <v>1316</v>
      </c>
      <c r="E168" s="2" t="s">
        <v>1317</v>
      </c>
      <c r="F168" s="1">
        <v>37.0</v>
      </c>
      <c r="G168" s="1">
        <v>44.0</v>
      </c>
      <c r="H168" s="1" t="s">
        <v>28</v>
      </c>
      <c r="I168" s="1"/>
      <c r="J168" s="1" t="s">
        <v>1318</v>
      </c>
      <c r="K168" s="1"/>
      <c r="L168" s="1" t="s">
        <v>1319</v>
      </c>
      <c r="M168" s="1" t="s">
        <v>825</v>
      </c>
    </row>
    <row r="169">
      <c r="A169" s="1" t="s">
        <v>17</v>
      </c>
      <c r="B169" s="1">
        <v>1992.0</v>
      </c>
      <c r="C169" s="1" t="s">
        <v>1321</v>
      </c>
      <c r="D169" s="1" t="s">
        <v>1323</v>
      </c>
      <c r="E169" s="2" t="s">
        <v>1324</v>
      </c>
      <c r="F169" s="1">
        <v>29.0</v>
      </c>
      <c r="G169" s="1">
        <v>36.0</v>
      </c>
      <c r="H169" s="1" t="s">
        <v>28</v>
      </c>
      <c r="I169" s="1"/>
      <c r="J169" s="1" t="s">
        <v>1325</v>
      </c>
      <c r="K169" s="1"/>
      <c r="L169" s="1" t="s">
        <v>1326</v>
      </c>
    </row>
    <row r="170">
      <c r="A170" s="1" t="s">
        <v>17</v>
      </c>
      <c r="B170" s="1">
        <v>1992.0</v>
      </c>
      <c r="C170" s="1" t="s">
        <v>1327</v>
      </c>
      <c r="D170" s="1" t="s">
        <v>1328</v>
      </c>
      <c r="E170" s="2" t="s">
        <v>1329</v>
      </c>
      <c r="F170" s="1">
        <v>21.0</v>
      </c>
      <c r="G170" s="1">
        <v>28.0</v>
      </c>
      <c r="H170" s="1" t="s">
        <v>28</v>
      </c>
      <c r="I170" s="1"/>
      <c r="J170" s="1" t="s">
        <v>1331</v>
      </c>
      <c r="K170" s="1"/>
      <c r="L170" s="1" t="s">
        <v>1332</v>
      </c>
    </row>
    <row r="171">
      <c r="A171" s="1" t="s">
        <v>17</v>
      </c>
      <c r="B171" s="1">
        <v>1992.0</v>
      </c>
      <c r="C171" s="1" t="s">
        <v>1333</v>
      </c>
      <c r="D171" s="1" t="s">
        <v>1334</v>
      </c>
      <c r="E171" s="2" t="s">
        <v>1335</v>
      </c>
      <c r="F171" s="1">
        <v>13.0</v>
      </c>
      <c r="G171" s="1">
        <v>20.0</v>
      </c>
      <c r="H171" s="1" t="s">
        <v>28</v>
      </c>
      <c r="I171" s="1"/>
      <c r="J171" s="1" t="s">
        <v>1336</v>
      </c>
      <c r="K171" s="1"/>
      <c r="L171" s="1" t="s">
        <v>1337</v>
      </c>
      <c r="M171" s="1" t="s">
        <v>1338</v>
      </c>
    </row>
    <row r="172">
      <c r="A172" s="1" t="s">
        <v>17</v>
      </c>
      <c r="B172" s="1">
        <v>1993.0</v>
      </c>
      <c r="C172" s="1" t="s">
        <v>1339</v>
      </c>
      <c r="D172" s="1" t="s">
        <v>1340</v>
      </c>
      <c r="E172" s="2" t="s">
        <v>1341</v>
      </c>
      <c r="F172" s="1">
        <v>11.0</v>
      </c>
      <c r="G172" s="1">
        <v>18.0</v>
      </c>
      <c r="H172" s="1" t="s">
        <v>28</v>
      </c>
      <c r="I172" s="1"/>
      <c r="J172" s="1" t="s">
        <v>1345</v>
      </c>
      <c r="K172" s="1"/>
      <c r="L172" s="1" t="s">
        <v>1346</v>
      </c>
      <c r="M172" s="1" t="s">
        <v>511</v>
      </c>
    </row>
    <row r="173">
      <c r="A173" s="1" t="s">
        <v>17</v>
      </c>
      <c r="B173" s="1">
        <v>1993.0</v>
      </c>
      <c r="C173" s="1" t="s">
        <v>1347</v>
      </c>
      <c r="D173" s="1" t="s">
        <v>1348</v>
      </c>
      <c r="E173" s="2" t="s">
        <v>1349</v>
      </c>
      <c r="F173" s="1">
        <v>19.0</v>
      </c>
      <c r="G173" s="1">
        <v>24.0</v>
      </c>
      <c r="H173" s="1" t="s">
        <v>28</v>
      </c>
      <c r="I173" s="1"/>
      <c r="J173" s="1" t="s">
        <v>1350</v>
      </c>
      <c r="K173" s="1"/>
      <c r="L173" s="1" t="s">
        <v>1351</v>
      </c>
      <c r="M173" s="1" t="s">
        <v>1352</v>
      </c>
    </row>
    <row r="174">
      <c r="A174" s="1" t="s">
        <v>17</v>
      </c>
      <c r="B174" s="1">
        <v>1993.0</v>
      </c>
      <c r="C174" s="1" t="s">
        <v>1353</v>
      </c>
      <c r="D174" s="1" t="s">
        <v>1354</v>
      </c>
      <c r="E174" s="2" t="s">
        <v>1355</v>
      </c>
      <c r="F174" s="1">
        <v>25.0</v>
      </c>
      <c r="G174" s="1">
        <v>30.0</v>
      </c>
      <c r="H174" s="1" t="s">
        <v>28</v>
      </c>
      <c r="I174" s="1"/>
      <c r="J174" s="1" t="s">
        <v>1356</v>
      </c>
      <c r="K174" s="1"/>
      <c r="L174" s="1" t="s">
        <v>1357</v>
      </c>
    </row>
    <row r="175">
      <c r="A175" s="1" t="s">
        <v>17</v>
      </c>
      <c r="B175" s="1">
        <v>1993.0</v>
      </c>
      <c r="C175" s="1" t="s">
        <v>1358</v>
      </c>
      <c r="D175" s="1" t="s">
        <v>1359</v>
      </c>
      <c r="E175" s="2" t="s">
        <v>1360</v>
      </c>
      <c r="F175" s="1">
        <v>32.0</v>
      </c>
      <c r="G175" s="1">
        <v>38.0</v>
      </c>
      <c r="H175" s="1" t="s">
        <v>28</v>
      </c>
      <c r="I175" s="1"/>
      <c r="J175" s="1" t="s">
        <v>1364</v>
      </c>
      <c r="K175" s="1"/>
      <c r="L175" s="1" t="s">
        <v>1110</v>
      </c>
      <c r="M175" s="1" t="s">
        <v>1365</v>
      </c>
    </row>
    <row r="176">
      <c r="A176" s="1" t="s">
        <v>17</v>
      </c>
      <c r="B176" s="1">
        <v>1993.0</v>
      </c>
      <c r="C176" s="1" t="s">
        <v>1366</v>
      </c>
      <c r="D176" s="1" t="s">
        <v>1367</v>
      </c>
      <c r="E176" s="2" t="s">
        <v>1368</v>
      </c>
      <c r="F176" s="1">
        <v>39.0</v>
      </c>
      <c r="G176" s="1">
        <v>45.0</v>
      </c>
      <c r="H176" s="1" t="s">
        <v>28</v>
      </c>
      <c r="I176" s="1"/>
      <c r="J176" s="1" t="s">
        <v>1371</v>
      </c>
      <c r="K176" s="1"/>
      <c r="L176" s="1" t="s">
        <v>1372</v>
      </c>
      <c r="M176" s="1" t="s">
        <v>1373</v>
      </c>
    </row>
    <row r="177">
      <c r="A177" s="1" t="s">
        <v>17</v>
      </c>
      <c r="B177" s="1">
        <v>1993.0</v>
      </c>
      <c r="C177" s="1" t="s">
        <v>1374</v>
      </c>
      <c r="D177" s="1" t="s">
        <v>1375</v>
      </c>
      <c r="E177" s="2" t="s">
        <v>1376</v>
      </c>
      <c r="F177" s="1">
        <v>46.0</v>
      </c>
      <c r="G177" s="1">
        <v>52.0</v>
      </c>
      <c r="H177" s="1" t="s">
        <v>28</v>
      </c>
      <c r="I177" s="1"/>
      <c r="J177" s="1" t="s">
        <v>1377</v>
      </c>
      <c r="K177" s="1"/>
      <c r="L177" s="1" t="s">
        <v>1372</v>
      </c>
    </row>
    <row r="178">
      <c r="A178" s="1" t="s">
        <v>17</v>
      </c>
      <c r="B178" s="1">
        <v>1993.0</v>
      </c>
      <c r="C178" s="1" t="s">
        <v>1378</v>
      </c>
      <c r="D178" s="1" t="s">
        <v>1379</v>
      </c>
      <c r="E178" s="2" t="s">
        <v>1380</v>
      </c>
      <c r="F178" s="1">
        <v>54.0</v>
      </c>
      <c r="G178" s="1">
        <v>61.0</v>
      </c>
      <c r="H178" s="1" t="s">
        <v>28</v>
      </c>
      <c r="I178" s="1"/>
      <c r="J178" s="1" t="s">
        <v>1384</v>
      </c>
      <c r="K178" s="1"/>
      <c r="L178" s="1" t="s">
        <v>1385</v>
      </c>
    </row>
    <row r="179">
      <c r="A179" s="1" t="s">
        <v>17</v>
      </c>
      <c r="B179" s="1">
        <v>1993.0</v>
      </c>
      <c r="C179" s="1" t="s">
        <v>1386</v>
      </c>
      <c r="D179" s="1" t="s">
        <v>1387</v>
      </c>
      <c r="E179" s="2" t="s">
        <v>1388</v>
      </c>
      <c r="F179" s="1">
        <v>62.0</v>
      </c>
      <c r="G179" s="1">
        <v>69.0</v>
      </c>
      <c r="H179" s="1" t="s">
        <v>28</v>
      </c>
      <c r="I179" s="1"/>
      <c r="J179" s="1" t="s">
        <v>1389</v>
      </c>
      <c r="K179" s="1"/>
      <c r="L179" s="1" t="s">
        <v>1390</v>
      </c>
      <c r="M179" s="1" t="s">
        <v>1334</v>
      </c>
    </row>
    <row r="180">
      <c r="A180" s="1" t="s">
        <v>17</v>
      </c>
      <c r="B180" s="1">
        <v>1993.0</v>
      </c>
      <c r="C180" s="1" t="s">
        <v>1391</v>
      </c>
      <c r="D180" s="1" t="s">
        <v>1392</v>
      </c>
      <c r="E180" s="2" t="s">
        <v>1393</v>
      </c>
      <c r="F180" s="1">
        <v>70.0</v>
      </c>
      <c r="G180" s="1">
        <v>77.0</v>
      </c>
      <c r="H180" s="1" t="s">
        <v>28</v>
      </c>
      <c r="I180" s="1"/>
      <c r="J180" s="1" t="s">
        <v>1396</v>
      </c>
      <c r="K180" s="1"/>
      <c r="L180" s="1" t="s">
        <v>1397</v>
      </c>
      <c r="M180" s="1" t="s">
        <v>1398</v>
      </c>
    </row>
    <row r="181">
      <c r="A181" s="1" t="s">
        <v>17</v>
      </c>
      <c r="B181" s="1">
        <v>1993.0</v>
      </c>
      <c r="C181" s="1" t="s">
        <v>1399</v>
      </c>
      <c r="D181" s="1" t="s">
        <v>1400</v>
      </c>
      <c r="E181" s="2" t="s">
        <v>1401</v>
      </c>
      <c r="F181" s="1">
        <v>78.0</v>
      </c>
      <c r="G181" s="1">
        <v>84.0</v>
      </c>
      <c r="H181" s="1" t="s">
        <v>28</v>
      </c>
      <c r="I181" s="1"/>
      <c r="J181" s="1" t="s">
        <v>1403</v>
      </c>
      <c r="K181" s="1"/>
      <c r="L181" s="1" t="s">
        <v>66</v>
      </c>
      <c r="M181" s="1" t="s">
        <v>1067</v>
      </c>
      <c r="N181" s="1" t="s">
        <v>1406</v>
      </c>
    </row>
    <row r="182">
      <c r="A182" s="1" t="s">
        <v>17</v>
      </c>
      <c r="B182" s="1">
        <v>1993.0</v>
      </c>
      <c r="C182" s="1" t="s">
        <v>1407</v>
      </c>
      <c r="D182" s="1" t="s">
        <v>1408</v>
      </c>
      <c r="E182" s="2" t="s">
        <v>1409</v>
      </c>
      <c r="F182" s="1">
        <v>86.0</v>
      </c>
      <c r="G182" s="1">
        <v>93.0</v>
      </c>
      <c r="H182" s="1" t="s">
        <v>28</v>
      </c>
      <c r="I182" s="1"/>
      <c r="J182" s="1" t="s">
        <v>1410</v>
      </c>
      <c r="K182" s="1"/>
      <c r="L182" s="1" t="s">
        <v>1411</v>
      </c>
    </row>
    <row r="183">
      <c r="A183" s="1" t="s">
        <v>17</v>
      </c>
      <c r="B183" s="1">
        <v>1993.0</v>
      </c>
      <c r="C183" s="1" t="s">
        <v>1413</v>
      </c>
      <c r="D183" s="1" t="s">
        <v>1414</v>
      </c>
      <c r="E183" s="2" t="s">
        <v>1416</v>
      </c>
      <c r="F183" s="1">
        <v>94.0</v>
      </c>
      <c r="G183" s="1">
        <v>101.0</v>
      </c>
      <c r="H183" s="1" t="s">
        <v>28</v>
      </c>
      <c r="I183" s="1"/>
      <c r="J183" s="1" t="s">
        <v>1418</v>
      </c>
      <c r="K183" s="1"/>
      <c r="L183" s="1" t="s">
        <v>1419</v>
      </c>
      <c r="M183" s="1" t="s">
        <v>1420</v>
      </c>
    </row>
    <row r="184">
      <c r="A184" s="1" t="s">
        <v>17</v>
      </c>
      <c r="B184" s="1">
        <v>1993.0</v>
      </c>
      <c r="C184" s="1" t="s">
        <v>1421</v>
      </c>
      <c r="D184" s="1" t="s">
        <v>1422</v>
      </c>
      <c r="E184" s="2" t="s">
        <v>1423</v>
      </c>
      <c r="F184" s="1">
        <v>102.0</v>
      </c>
      <c r="G184" s="1">
        <v>109.0</v>
      </c>
      <c r="H184" s="1" t="s">
        <v>28</v>
      </c>
      <c r="I184" s="1"/>
      <c r="J184" s="1" t="s">
        <v>1427</v>
      </c>
      <c r="K184" s="1"/>
      <c r="L184" s="1" t="s">
        <v>1428</v>
      </c>
      <c r="M184" s="1" t="s">
        <v>1159</v>
      </c>
    </row>
    <row r="185">
      <c r="A185" s="1" t="s">
        <v>17</v>
      </c>
      <c r="B185" s="1">
        <v>1993.0</v>
      </c>
      <c r="C185" s="1" t="s">
        <v>1429</v>
      </c>
      <c r="D185" s="1" t="s">
        <v>1430</v>
      </c>
      <c r="E185" s="2" t="s">
        <v>1431</v>
      </c>
      <c r="F185" s="1">
        <v>110.0</v>
      </c>
      <c r="G185" s="1">
        <v>117.0</v>
      </c>
      <c r="H185" s="1" t="s">
        <v>28</v>
      </c>
      <c r="I185" s="1"/>
      <c r="J185" s="1" t="s">
        <v>1435</v>
      </c>
      <c r="K185" s="1"/>
      <c r="L185" s="1" t="s">
        <v>1385</v>
      </c>
      <c r="M185" s="1" t="s">
        <v>972</v>
      </c>
    </row>
    <row r="186">
      <c r="A186" s="1" t="s">
        <v>17</v>
      </c>
      <c r="B186" s="1">
        <v>1993.0</v>
      </c>
      <c r="C186" s="1" t="s">
        <v>1436</v>
      </c>
      <c r="D186" s="1" t="s">
        <v>1437</v>
      </c>
      <c r="E186" s="2" t="s">
        <v>1438</v>
      </c>
      <c r="F186" s="1">
        <v>119.0</v>
      </c>
      <c r="G186" s="1">
        <v>125.0</v>
      </c>
      <c r="H186" s="1" t="s">
        <v>28</v>
      </c>
      <c r="I186" s="1"/>
      <c r="J186" s="1" t="s">
        <v>1442</v>
      </c>
      <c r="K186" s="1"/>
      <c r="L186" s="1" t="s">
        <v>1443</v>
      </c>
      <c r="M186" s="1" t="s">
        <v>1444</v>
      </c>
    </row>
    <row r="187">
      <c r="A187" s="1" t="s">
        <v>17</v>
      </c>
      <c r="B187" s="1">
        <v>1993.0</v>
      </c>
      <c r="C187" s="1" t="s">
        <v>1445</v>
      </c>
      <c r="D187" s="1" t="s">
        <v>1446</v>
      </c>
      <c r="E187" s="2" t="s">
        <v>1447</v>
      </c>
      <c r="F187" s="1">
        <v>126.0</v>
      </c>
      <c r="G187" s="1">
        <v>133.0</v>
      </c>
      <c r="H187" s="1" t="s">
        <v>28</v>
      </c>
      <c r="I187" s="1"/>
      <c r="J187" s="1" t="s">
        <v>1448</v>
      </c>
      <c r="K187" s="1"/>
      <c r="L187" s="1" t="s">
        <v>1449</v>
      </c>
      <c r="M187" s="1" t="s">
        <v>1182</v>
      </c>
    </row>
    <row r="188">
      <c r="A188" s="1" t="s">
        <v>17</v>
      </c>
      <c r="B188" s="1">
        <v>1993.0</v>
      </c>
      <c r="C188" s="1" t="s">
        <v>1450</v>
      </c>
      <c r="D188" s="1" t="s">
        <v>1452</v>
      </c>
      <c r="E188" s="2" t="s">
        <v>1453</v>
      </c>
      <c r="F188" s="1">
        <v>134.0</v>
      </c>
      <c r="G188" s="1">
        <v>141.0</v>
      </c>
      <c r="H188" s="1" t="s">
        <v>28</v>
      </c>
      <c r="I188" s="1"/>
      <c r="J188" s="1" t="s">
        <v>1455</v>
      </c>
      <c r="K188" s="1"/>
      <c r="L188" s="1" t="s">
        <v>1456</v>
      </c>
    </row>
    <row r="189">
      <c r="A189" s="1" t="s">
        <v>17</v>
      </c>
      <c r="B189" s="1">
        <v>1993.0</v>
      </c>
      <c r="C189" s="1" t="s">
        <v>1457</v>
      </c>
      <c r="D189" s="1" t="s">
        <v>1458</v>
      </c>
      <c r="E189" s="2" t="s">
        <v>1459</v>
      </c>
      <c r="F189" s="1">
        <v>142.0</v>
      </c>
      <c r="G189" s="1">
        <v>148.0</v>
      </c>
      <c r="H189" s="1" t="s">
        <v>28</v>
      </c>
      <c r="I189" s="1"/>
      <c r="J189" s="1" t="s">
        <v>1460</v>
      </c>
      <c r="K189" s="1"/>
      <c r="L189" s="1" t="s">
        <v>66</v>
      </c>
      <c r="M189" s="1" t="s">
        <v>1334</v>
      </c>
      <c r="N189" s="1" t="s">
        <v>1462</v>
      </c>
    </row>
    <row r="190">
      <c r="A190" s="1" t="s">
        <v>17</v>
      </c>
      <c r="B190" s="1">
        <v>1993.0</v>
      </c>
      <c r="C190" s="1" t="s">
        <v>1464</v>
      </c>
      <c r="D190" s="1" t="s">
        <v>1465</v>
      </c>
      <c r="E190" s="2" t="s">
        <v>1466</v>
      </c>
      <c r="F190" s="1">
        <v>150.0</v>
      </c>
      <c r="G190" s="1">
        <v>157.0</v>
      </c>
      <c r="H190" s="1" t="s">
        <v>28</v>
      </c>
      <c r="I190" s="1"/>
      <c r="J190" s="1" t="s">
        <v>1467</v>
      </c>
      <c r="K190" s="1"/>
      <c r="L190" s="1" t="s">
        <v>1468</v>
      </c>
      <c r="M190" s="1"/>
      <c r="N190" s="1" t="s">
        <v>1469</v>
      </c>
    </row>
    <row r="191">
      <c r="A191" s="1" t="s">
        <v>17</v>
      </c>
      <c r="B191" s="1">
        <v>1993.0</v>
      </c>
      <c r="C191" s="1" t="s">
        <v>1470</v>
      </c>
      <c r="D191" s="1" t="s">
        <v>1471</v>
      </c>
      <c r="E191" s="2" t="s">
        <v>1472</v>
      </c>
      <c r="F191" s="1">
        <v>158.0</v>
      </c>
      <c r="G191" s="1">
        <v>165.0</v>
      </c>
      <c r="H191" s="1" t="s">
        <v>28</v>
      </c>
      <c r="I191" s="1"/>
      <c r="J191" s="1" t="s">
        <v>1475</v>
      </c>
      <c r="K191" s="1"/>
      <c r="L191" s="1" t="s">
        <v>1476</v>
      </c>
      <c r="M191" s="1" t="s">
        <v>1477</v>
      </c>
    </row>
    <row r="192">
      <c r="A192" s="1" t="s">
        <v>17</v>
      </c>
      <c r="B192" s="1">
        <v>1993.0</v>
      </c>
      <c r="C192" s="1" t="s">
        <v>1478</v>
      </c>
      <c r="D192" s="1" t="s">
        <v>1479</v>
      </c>
      <c r="E192" s="2" t="s">
        <v>1480</v>
      </c>
      <c r="F192" s="1">
        <v>166.0</v>
      </c>
      <c r="G192" s="1">
        <v>173.0</v>
      </c>
      <c r="H192" s="1" t="s">
        <v>28</v>
      </c>
      <c r="I192" s="1"/>
      <c r="J192" s="1" t="s">
        <v>1482</v>
      </c>
      <c r="K192" s="1"/>
      <c r="L192" s="1" t="s">
        <v>1483</v>
      </c>
    </row>
    <row r="193">
      <c r="A193" s="1" t="s">
        <v>17</v>
      </c>
      <c r="B193" s="1">
        <v>1993.0</v>
      </c>
      <c r="C193" s="1" t="s">
        <v>1485</v>
      </c>
      <c r="D193" s="1" t="s">
        <v>1486</v>
      </c>
      <c r="E193" s="2" t="s">
        <v>1487</v>
      </c>
      <c r="F193" s="1">
        <v>174.0</v>
      </c>
      <c r="G193" s="1">
        <v>181.0</v>
      </c>
      <c r="H193" s="1" t="s">
        <v>28</v>
      </c>
      <c r="I193" s="1"/>
      <c r="J193" s="1" t="s">
        <v>1488</v>
      </c>
      <c r="K193" s="1"/>
      <c r="L193" s="1" t="s">
        <v>1489</v>
      </c>
    </row>
    <row r="194">
      <c r="A194" s="1" t="s">
        <v>17</v>
      </c>
      <c r="B194" s="1">
        <v>1993.0</v>
      </c>
      <c r="C194" s="1" t="s">
        <v>1490</v>
      </c>
      <c r="D194" s="1" t="s">
        <v>1492</v>
      </c>
      <c r="E194" s="2" t="s">
        <v>1493</v>
      </c>
      <c r="F194" s="1">
        <v>183.0</v>
      </c>
      <c r="G194" s="1">
        <v>188.0</v>
      </c>
      <c r="H194" s="1" t="s">
        <v>28</v>
      </c>
      <c r="I194" s="1"/>
      <c r="J194" s="1" t="s">
        <v>1495</v>
      </c>
      <c r="K194" s="1"/>
      <c r="L194" s="1" t="s">
        <v>1496</v>
      </c>
    </row>
    <row r="195">
      <c r="A195" s="1" t="s">
        <v>17</v>
      </c>
      <c r="B195" s="1">
        <v>1993.0</v>
      </c>
      <c r="C195" s="1" t="s">
        <v>1497</v>
      </c>
      <c r="D195" s="1" t="s">
        <v>1498</v>
      </c>
      <c r="E195" s="2" t="s">
        <v>1499</v>
      </c>
      <c r="F195" s="1">
        <v>189.0</v>
      </c>
      <c r="G195" s="1">
        <v>195.0</v>
      </c>
      <c r="H195" s="1" t="s">
        <v>28</v>
      </c>
      <c r="I195" s="1"/>
      <c r="J195" s="1" t="s">
        <v>1503</v>
      </c>
      <c r="K195" s="1"/>
      <c r="L195" s="1" t="s">
        <v>1287</v>
      </c>
      <c r="M195" s="1" t="s">
        <v>1281</v>
      </c>
    </row>
    <row r="196">
      <c r="A196" s="1" t="s">
        <v>17</v>
      </c>
      <c r="B196" s="1">
        <v>1993.0</v>
      </c>
      <c r="C196" s="1" t="s">
        <v>1504</v>
      </c>
      <c r="D196" s="1" t="s">
        <v>1505</v>
      </c>
      <c r="E196" s="2" t="s">
        <v>1506</v>
      </c>
      <c r="F196" s="1">
        <v>196.0</v>
      </c>
      <c r="G196" s="1">
        <v>203.0</v>
      </c>
      <c r="H196" s="1" t="s">
        <v>28</v>
      </c>
      <c r="I196" s="1"/>
      <c r="J196" s="1" t="s">
        <v>1509</v>
      </c>
      <c r="K196" s="1"/>
      <c r="L196" s="1" t="s">
        <v>855</v>
      </c>
      <c r="M196" s="1" t="s">
        <v>1510</v>
      </c>
    </row>
    <row r="197">
      <c r="A197" s="1" t="s">
        <v>17</v>
      </c>
      <c r="B197" s="1">
        <v>1993.0</v>
      </c>
      <c r="C197" s="1" t="s">
        <v>1511</v>
      </c>
      <c r="D197" s="1" t="s">
        <v>1512</v>
      </c>
      <c r="E197" s="2" t="s">
        <v>1513</v>
      </c>
      <c r="F197" s="1">
        <v>204.0</v>
      </c>
      <c r="G197" s="1">
        <v>210.0</v>
      </c>
      <c r="H197" s="1" t="s">
        <v>28</v>
      </c>
      <c r="I197" s="1"/>
      <c r="J197" s="1" t="s">
        <v>1516</v>
      </c>
      <c r="K197" s="1"/>
      <c r="L197" s="1" t="s">
        <v>1517</v>
      </c>
      <c r="M197" s="1" t="s">
        <v>1518</v>
      </c>
    </row>
    <row r="198">
      <c r="A198" s="1" t="s">
        <v>17</v>
      </c>
      <c r="B198" s="1">
        <v>1993.0</v>
      </c>
      <c r="C198" s="1" t="s">
        <v>1519</v>
      </c>
      <c r="D198" s="1" t="s">
        <v>1520</v>
      </c>
      <c r="E198" s="2" t="s">
        <v>1521</v>
      </c>
      <c r="F198" s="1">
        <v>212.0</v>
      </c>
      <c r="G198" s="1">
        <v>219.0</v>
      </c>
      <c r="H198" s="1" t="s">
        <v>28</v>
      </c>
      <c r="I198" s="1"/>
      <c r="J198" s="1" t="s">
        <v>1522</v>
      </c>
      <c r="K198" s="1"/>
      <c r="L198" s="1" t="s">
        <v>30</v>
      </c>
    </row>
    <row r="199">
      <c r="A199" s="1" t="s">
        <v>17</v>
      </c>
      <c r="B199" s="1">
        <v>1993.0</v>
      </c>
      <c r="C199" s="1" t="s">
        <v>1523</v>
      </c>
      <c r="D199" s="1" t="s">
        <v>1524</v>
      </c>
      <c r="E199" s="2" t="s">
        <v>1525</v>
      </c>
      <c r="F199" s="1">
        <v>220.0</v>
      </c>
      <c r="G199" s="1">
        <v>227.0</v>
      </c>
      <c r="H199" s="1" t="s">
        <v>28</v>
      </c>
      <c r="I199" s="1"/>
      <c r="J199" s="1" t="s">
        <v>1529</v>
      </c>
      <c r="K199" s="1"/>
      <c r="L199" s="1" t="s">
        <v>1530</v>
      </c>
      <c r="M199" s="1" t="s">
        <v>157</v>
      </c>
    </row>
    <row r="200">
      <c r="A200" s="1" t="s">
        <v>17</v>
      </c>
      <c r="B200" s="1">
        <v>1993.0</v>
      </c>
      <c r="C200" s="1" t="s">
        <v>1531</v>
      </c>
      <c r="D200" s="1" t="s">
        <v>1532</v>
      </c>
      <c r="E200" s="2" t="s">
        <v>1533</v>
      </c>
      <c r="F200" s="1">
        <v>228.0</v>
      </c>
      <c r="G200" s="1">
        <v>235.0</v>
      </c>
      <c r="H200" s="1" t="s">
        <v>28</v>
      </c>
      <c r="I200" s="1"/>
      <c r="J200" s="1" t="s">
        <v>1537</v>
      </c>
      <c r="K200" s="1"/>
      <c r="L200" s="1" t="s">
        <v>1538</v>
      </c>
      <c r="M200" s="1" t="s">
        <v>1539</v>
      </c>
    </row>
    <row r="201">
      <c r="A201" s="1" t="s">
        <v>17</v>
      </c>
      <c r="B201" s="1">
        <v>1993.0</v>
      </c>
      <c r="C201" s="1" t="s">
        <v>1540</v>
      </c>
      <c r="D201" s="1" t="s">
        <v>1541</v>
      </c>
      <c r="E201" s="2" t="s">
        <v>1542</v>
      </c>
      <c r="F201" s="1">
        <v>236.0</v>
      </c>
      <c r="G201" s="1">
        <v>243.0</v>
      </c>
      <c r="H201" s="1" t="s">
        <v>28</v>
      </c>
      <c r="I201" s="1"/>
      <c r="J201" s="1" t="s">
        <v>1543</v>
      </c>
      <c r="K201" s="1"/>
      <c r="L201" s="1" t="s">
        <v>1530</v>
      </c>
      <c r="M201" s="1" t="s">
        <v>1544</v>
      </c>
    </row>
    <row r="202">
      <c r="A202" s="1" t="s">
        <v>17</v>
      </c>
      <c r="B202" s="1">
        <v>1993.0</v>
      </c>
      <c r="C202" s="1" t="s">
        <v>1545</v>
      </c>
      <c r="D202" s="1" t="s">
        <v>1546</v>
      </c>
      <c r="E202" s="2" t="s">
        <v>1547</v>
      </c>
      <c r="F202" s="1">
        <v>245.0</v>
      </c>
      <c r="G202" s="1">
        <v>252.0</v>
      </c>
      <c r="H202" s="1" t="s">
        <v>28</v>
      </c>
      <c r="I202" s="1"/>
      <c r="J202" s="1" t="s">
        <v>1304</v>
      </c>
      <c r="K202" s="1"/>
      <c r="L202" s="1" t="s">
        <v>1548</v>
      </c>
      <c r="M202" s="1" t="s">
        <v>1549</v>
      </c>
    </row>
    <row r="203">
      <c r="A203" s="1" t="s">
        <v>17</v>
      </c>
      <c r="B203" s="1">
        <v>1993.0</v>
      </c>
      <c r="C203" s="1" t="s">
        <v>1550</v>
      </c>
      <c r="D203" s="1" t="s">
        <v>1551</v>
      </c>
      <c r="E203" s="2" t="s">
        <v>1552</v>
      </c>
      <c r="F203" s="1">
        <v>253.0</v>
      </c>
      <c r="G203" s="1">
        <v>260.0</v>
      </c>
      <c r="H203" s="1" t="s">
        <v>28</v>
      </c>
      <c r="I203" s="1"/>
      <c r="J203" s="1" t="s">
        <v>1312</v>
      </c>
      <c r="K203" s="1"/>
      <c r="L203" s="1" t="s">
        <v>1555</v>
      </c>
      <c r="M203" s="1" t="s">
        <v>1556</v>
      </c>
    </row>
    <row r="204">
      <c r="A204" s="1" t="s">
        <v>17</v>
      </c>
      <c r="B204" s="1">
        <v>1993.0</v>
      </c>
      <c r="C204" s="1" t="s">
        <v>1557</v>
      </c>
      <c r="D204" s="1" t="s">
        <v>1558</v>
      </c>
      <c r="E204" s="2" t="s">
        <v>1559</v>
      </c>
      <c r="F204" s="1">
        <v>261.0</v>
      </c>
      <c r="G204" s="1">
        <v>266.0</v>
      </c>
      <c r="H204" s="1" t="s">
        <v>28</v>
      </c>
      <c r="I204" s="1"/>
      <c r="J204" s="1" t="s">
        <v>1560</v>
      </c>
      <c r="K204" s="1"/>
      <c r="L204" s="1" t="s">
        <v>1561</v>
      </c>
      <c r="P204" s="1"/>
      <c r="Q204" s="1" t="s">
        <v>1093</v>
      </c>
    </row>
    <row r="205">
      <c r="A205" s="1" t="s">
        <v>17</v>
      </c>
      <c r="B205" s="1">
        <v>1993.0</v>
      </c>
      <c r="C205" s="1" t="s">
        <v>1563</v>
      </c>
      <c r="D205" s="1" t="s">
        <v>1565</v>
      </c>
      <c r="E205" s="2" t="s">
        <v>1567</v>
      </c>
      <c r="F205" s="1">
        <v>268.0</v>
      </c>
      <c r="G205" s="1">
        <v>274.0</v>
      </c>
      <c r="H205" s="1" t="s">
        <v>28</v>
      </c>
      <c r="I205" s="1"/>
      <c r="J205" s="1" t="s">
        <v>1568</v>
      </c>
      <c r="K205" s="1"/>
      <c r="L205" s="1" t="s">
        <v>1569</v>
      </c>
      <c r="M205" s="1" t="s">
        <v>1570</v>
      </c>
    </row>
    <row r="206">
      <c r="A206" s="1" t="s">
        <v>17</v>
      </c>
      <c r="B206" s="1">
        <v>1993.0</v>
      </c>
      <c r="C206" s="1" t="s">
        <v>1571</v>
      </c>
      <c r="D206" s="1" t="s">
        <v>1572</v>
      </c>
      <c r="E206" s="2" t="s">
        <v>1573</v>
      </c>
      <c r="F206" s="1">
        <v>275.0</v>
      </c>
      <c r="G206" s="1">
        <v>282.0</v>
      </c>
      <c r="H206" s="1" t="s">
        <v>28</v>
      </c>
      <c r="I206" s="1"/>
      <c r="J206" s="1" t="s">
        <v>1576</v>
      </c>
      <c r="K206" s="1"/>
      <c r="L206" s="1" t="s">
        <v>1577</v>
      </c>
      <c r="M206" s="1" t="s">
        <v>736</v>
      </c>
    </row>
    <row r="207">
      <c r="A207" s="1" t="s">
        <v>17</v>
      </c>
      <c r="B207" s="1">
        <v>1993.0</v>
      </c>
      <c r="C207" s="1" t="s">
        <v>1578</v>
      </c>
      <c r="D207" s="1" t="s">
        <v>1579</v>
      </c>
      <c r="E207" s="2" t="s">
        <v>1580</v>
      </c>
      <c r="F207" s="1">
        <v>283.0</v>
      </c>
      <c r="G207" s="1">
        <v>290.0</v>
      </c>
      <c r="H207" s="1" t="s">
        <v>28</v>
      </c>
      <c r="I207" s="1"/>
      <c r="J207" s="1" t="s">
        <v>1581</v>
      </c>
      <c r="K207" s="1"/>
      <c r="L207" s="1" t="s">
        <v>1582</v>
      </c>
      <c r="M207" s="1" t="s">
        <v>1302</v>
      </c>
    </row>
    <row r="208">
      <c r="A208" s="1" t="s">
        <v>17</v>
      </c>
      <c r="B208" s="1">
        <v>1993.0</v>
      </c>
      <c r="C208" s="1" t="s">
        <v>1584</v>
      </c>
      <c r="D208" s="1" t="s">
        <v>1585</v>
      </c>
      <c r="E208" s="2" t="s">
        <v>1586</v>
      </c>
      <c r="F208" s="1">
        <v>291.0</v>
      </c>
      <c r="G208" s="1">
        <v>298.0</v>
      </c>
      <c r="H208" s="1" t="s">
        <v>28</v>
      </c>
      <c r="I208" s="1"/>
      <c r="J208" s="1" t="s">
        <v>1589</v>
      </c>
      <c r="K208" s="1"/>
      <c r="L208" s="1" t="s">
        <v>1590</v>
      </c>
    </row>
    <row r="209">
      <c r="A209" s="1" t="s">
        <v>17</v>
      </c>
      <c r="B209" s="1">
        <v>1993.0</v>
      </c>
      <c r="C209" s="1" t="s">
        <v>1591</v>
      </c>
      <c r="D209" s="1" t="s">
        <v>1592</v>
      </c>
      <c r="E209" s="2" t="s">
        <v>1593</v>
      </c>
      <c r="F209" s="1">
        <v>300.0</v>
      </c>
      <c r="G209" s="1">
        <v>307.0</v>
      </c>
      <c r="H209" s="1" t="s">
        <v>28</v>
      </c>
      <c r="I209" s="1"/>
      <c r="J209" s="1" t="s">
        <v>1595</v>
      </c>
      <c r="K209" s="1"/>
      <c r="L209" s="1" t="s">
        <v>1596</v>
      </c>
    </row>
    <row r="210">
      <c r="A210" s="1" t="s">
        <v>17</v>
      </c>
      <c r="B210" s="1">
        <v>1993.0</v>
      </c>
      <c r="C210" s="1" t="s">
        <v>1598</v>
      </c>
      <c r="D210" s="1" t="s">
        <v>1599</v>
      </c>
      <c r="E210" s="2" t="s">
        <v>1600</v>
      </c>
      <c r="F210" s="1">
        <v>308.0</v>
      </c>
      <c r="G210" s="1">
        <v>315.0</v>
      </c>
      <c r="H210" s="1" t="s">
        <v>28</v>
      </c>
      <c r="I210" s="1"/>
      <c r="J210" s="1" t="s">
        <v>1601</v>
      </c>
      <c r="K210" s="1"/>
      <c r="L210" s="1" t="s">
        <v>1602</v>
      </c>
    </row>
    <row r="211">
      <c r="A211" s="1" t="s">
        <v>17</v>
      </c>
      <c r="B211" s="1">
        <v>1993.0</v>
      </c>
      <c r="C211" s="1" t="s">
        <v>1603</v>
      </c>
      <c r="D211" s="1" t="s">
        <v>1604</v>
      </c>
      <c r="E211" s="2" t="s">
        <v>1605</v>
      </c>
      <c r="F211" s="1">
        <v>316.0</v>
      </c>
      <c r="G211" s="1">
        <v>323.0</v>
      </c>
      <c r="H211" s="1" t="s">
        <v>28</v>
      </c>
      <c r="I211" s="1"/>
      <c r="J211" s="1" t="s">
        <v>1609</v>
      </c>
      <c r="K211" s="1"/>
      <c r="L211" s="1" t="s">
        <v>1610</v>
      </c>
      <c r="M211" s="1" t="s">
        <v>544</v>
      </c>
    </row>
    <row r="212">
      <c r="A212" s="1" t="s">
        <v>17</v>
      </c>
      <c r="B212" s="1">
        <v>1993.0</v>
      </c>
      <c r="C212" s="1" t="s">
        <v>1611</v>
      </c>
      <c r="D212" s="1" t="s">
        <v>1612</v>
      </c>
      <c r="E212" s="2" t="s">
        <v>1613</v>
      </c>
      <c r="F212" s="1">
        <v>324.0</v>
      </c>
      <c r="G212" s="1">
        <v>331.0</v>
      </c>
      <c r="H212" s="1" t="s">
        <v>28</v>
      </c>
      <c r="I212" s="1"/>
      <c r="J212" s="1" t="s">
        <v>1614</v>
      </c>
      <c r="K212" s="1"/>
      <c r="L212" s="1" t="s">
        <v>1287</v>
      </c>
    </row>
    <row r="213">
      <c r="A213" s="1" t="s">
        <v>17</v>
      </c>
      <c r="B213" s="1">
        <v>1993.0</v>
      </c>
      <c r="C213" s="1" t="s">
        <v>1615</v>
      </c>
      <c r="D213" s="1" t="s">
        <v>1616</v>
      </c>
      <c r="E213" s="2" t="s">
        <v>1617</v>
      </c>
      <c r="F213" s="1">
        <v>362.0</v>
      </c>
      <c r="G213" s="1">
        <v>365.0</v>
      </c>
      <c r="H213" s="1" t="s">
        <v>28</v>
      </c>
      <c r="I213" s="1"/>
      <c r="J213" s="1" t="s">
        <v>1621</v>
      </c>
      <c r="K213" s="1"/>
      <c r="L213" s="1" t="s">
        <v>1622</v>
      </c>
    </row>
    <row r="214">
      <c r="A214" s="1" t="s">
        <v>17</v>
      </c>
      <c r="B214" s="1">
        <v>1993.0</v>
      </c>
      <c r="C214" s="1" t="s">
        <v>1623</v>
      </c>
      <c r="D214" s="1" t="s">
        <v>1624</v>
      </c>
      <c r="E214" s="2" t="s">
        <v>1625</v>
      </c>
      <c r="F214" s="1">
        <v>366.0</v>
      </c>
      <c r="G214" s="1">
        <v>369.0</v>
      </c>
      <c r="H214" s="1" t="s">
        <v>28</v>
      </c>
      <c r="I214" s="1"/>
      <c r="J214" s="1" t="s">
        <v>1626</v>
      </c>
      <c r="K214" s="1"/>
      <c r="L214" s="1" t="s">
        <v>1627</v>
      </c>
    </row>
    <row r="215">
      <c r="A215" s="1" t="s">
        <v>17</v>
      </c>
      <c r="B215" s="1">
        <v>1993.0</v>
      </c>
      <c r="C215" s="1" t="s">
        <v>1628</v>
      </c>
      <c r="D215" s="1" t="s">
        <v>1630</v>
      </c>
      <c r="E215" s="2" t="s">
        <v>1631</v>
      </c>
      <c r="F215" s="1">
        <v>370.0</v>
      </c>
      <c r="G215" s="1">
        <v>373.0</v>
      </c>
      <c r="H215" s="1" t="s">
        <v>28</v>
      </c>
      <c r="I215" s="1"/>
      <c r="J215" s="1" t="s">
        <v>1634</v>
      </c>
      <c r="K215" s="1"/>
      <c r="L215" s="1" t="s">
        <v>1636</v>
      </c>
    </row>
    <row r="216">
      <c r="A216" s="1" t="s">
        <v>17</v>
      </c>
      <c r="B216" s="1">
        <v>1993.0</v>
      </c>
      <c r="C216" s="1" t="s">
        <v>1639</v>
      </c>
      <c r="D216" s="1" t="s">
        <v>1640</v>
      </c>
      <c r="E216" s="2" t="s">
        <v>1641</v>
      </c>
      <c r="F216" s="1">
        <v>374.0</v>
      </c>
      <c r="G216" s="1">
        <v>377.0</v>
      </c>
      <c r="H216" s="1" t="s">
        <v>28</v>
      </c>
      <c r="I216" s="1"/>
      <c r="J216" s="1" t="s">
        <v>1642</v>
      </c>
      <c r="K216" s="1"/>
      <c r="L216" s="1" t="s">
        <v>1643</v>
      </c>
    </row>
    <row r="217">
      <c r="A217" s="1" t="s">
        <v>17</v>
      </c>
      <c r="B217" s="1">
        <v>1993.0</v>
      </c>
      <c r="C217" s="1" t="s">
        <v>1644</v>
      </c>
      <c r="D217" s="1" t="s">
        <v>1645</v>
      </c>
      <c r="E217" s="2" t="s">
        <v>1646</v>
      </c>
      <c r="F217" s="1">
        <v>406.0</v>
      </c>
      <c r="G217" s="1">
        <v>409.0</v>
      </c>
      <c r="H217" s="1" t="s">
        <v>28</v>
      </c>
      <c r="I217" s="1"/>
      <c r="J217" s="1" t="s">
        <v>1650</v>
      </c>
      <c r="K217" s="1"/>
      <c r="L217" s="1" t="s">
        <v>1651</v>
      </c>
      <c r="M217" s="1" t="s">
        <v>470</v>
      </c>
    </row>
    <row r="218">
      <c r="A218" s="1" t="s">
        <v>17</v>
      </c>
      <c r="B218" s="1">
        <v>1993.0</v>
      </c>
      <c r="C218" s="1" t="s">
        <v>1652</v>
      </c>
      <c r="D218" s="1" t="s">
        <v>1653</v>
      </c>
      <c r="E218" s="2" t="s">
        <v>1654</v>
      </c>
      <c r="F218" s="1">
        <v>382.0</v>
      </c>
      <c r="G218" s="1">
        <v>385.0</v>
      </c>
      <c r="H218" s="1" t="s">
        <v>28</v>
      </c>
      <c r="I218" s="1"/>
      <c r="J218" s="1" t="s">
        <v>1658</v>
      </c>
      <c r="K218" s="1"/>
      <c r="L218" s="1" t="s">
        <v>1659</v>
      </c>
    </row>
    <row r="219">
      <c r="A219" s="1" t="s">
        <v>17</v>
      </c>
      <c r="B219" s="1">
        <v>1993.0</v>
      </c>
      <c r="C219" s="1" t="s">
        <v>1660</v>
      </c>
      <c r="D219" s="1" t="s">
        <v>1661</v>
      </c>
      <c r="E219" s="2" t="s">
        <v>1662</v>
      </c>
      <c r="F219" s="1">
        <v>386.0</v>
      </c>
      <c r="G219" s="1">
        <v>390.0</v>
      </c>
      <c r="H219" s="1" t="s">
        <v>28</v>
      </c>
      <c r="I219" s="1"/>
      <c r="J219" s="1" t="s">
        <v>1663</v>
      </c>
      <c r="K219" s="1"/>
      <c r="L219" s="1" t="s">
        <v>1664</v>
      </c>
    </row>
    <row r="220">
      <c r="A220" s="1" t="s">
        <v>17</v>
      </c>
      <c r="B220" s="1">
        <v>1993.0</v>
      </c>
      <c r="C220" s="1" t="s">
        <v>1665</v>
      </c>
      <c r="D220" s="1" t="s">
        <v>1666</v>
      </c>
      <c r="E220" s="2" t="s">
        <v>1667</v>
      </c>
      <c r="F220" s="1">
        <v>391.0</v>
      </c>
      <c r="G220" s="1">
        <v>396.0</v>
      </c>
      <c r="H220" s="1" t="s">
        <v>28</v>
      </c>
      <c r="I220" s="1"/>
      <c r="J220" s="1" t="s">
        <v>1672</v>
      </c>
      <c r="K220" s="1"/>
      <c r="L220" s="1" t="s">
        <v>1673</v>
      </c>
      <c r="M220" s="1" t="s">
        <v>1182</v>
      </c>
    </row>
    <row r="221">
      <c r="A221" s="1" t="s">
        <v>17</v>
      </c>
      <c r="B221" s="1">
        <v>1993.0</v>
      </c>
      <c r="C221" s="1" t="s">
        <v>1674</v>
      </c>
      <c r="D221" s="1" t="s">
        <v>1675</v>
      </c>
      <c r="E221" s="2" t="s">
        <v>1676</v>
      </c>
      <c r="F221" s="1">
        <v>397.0</v>
      </c>
      <c r="G221" s="1">
        <v>401.0</v>
      </c>
      <c r="H221" s="1" t="s">
        <v>28</v>
      </c>
      <c r="I221" s="1"/>
      <c r="J221" s="1" t="s">
        <v>1680</v>
      </c>
      <c r="K221" s="1"/>
      <c r="L221" s="1" t="s">
        <v>1681</v>
      </c>
    </row>
    <row r="222">
      <c r="A222" s="1" t="s">
        <v>17</v>
      </c>
      <c r="B222" s="1">
        <v>1993.0</v>
      </c>
      <c r="C222" s="1" t="s">
        <v>1682</v>
      </c>
      <c r="D222" s="1" t="s">
        <v>1683</v>
      </c>
      <c r="E222" s="2" t="s">
        <v>1684</v>
      </c>
      <c r="F222" s="1">
        <v>402.0</v>
      </c>
      <c r="G222" s="1">
        <v>405.0</v>
      </c>
      <c r="H222" s="1" t="s">
        <v>28</v>
      </c>
      <c r="I222" s="1"/>
      <c r="J222" s="1" t="s">
        <v>1685</v>
      </c>
      <c r="K222" s="1"/>
      <c r="L222" s="1" t="s">
        <v>1686</v>
      </c>
    </row>
    <row r="223">
      <c r="A223" s="1" t="s">
        <v>17</v>
      </c>
      <c r="B223" s="1">
        <v>1993.0</v>
      </c>
      <c r="C223" s="1" t="s">
        <v>1687</v>
      </c>
      <c r="D223" s="1" t="s">
        <v>1688</v>
      </c>
      <c r="E223" s="2" t="s">
        <v>1689</v>
      </c>
      <c r="F223" s="1">
        <v>410.0</v>
      </c>
      <c r="G223" s="1">
        <v>415.0</v>
      </c>
      <c r="H223" s="1" t="s">
        <v>28</v>
      </c>
      <c r="I223" s="1"/>
      <c r="J223" s="1" t="s">
        <v>1690</v>
      </c>
      <c r="K223" s="1"/>
      <c r="L223" s="1" t="s">
        <v>1691</v>
      </c>
    </row>
    <row r="224">
      <c r="A224" s="1" t="s">
        <v>17</v>
      </c>
      <c r="B224" s="1">
        <v>1993.0</v>
      </c>
      <c r="C224" s="1" t="s">
        <v>1692</v>
      </c>
      <c r="D224" s="1" t="s">
        <v>1693</v>
      </c>
      <c r="E224" s="2" t="s">
        <v>1694</v>
      </c>
      <c r="F224" s="1">
        <v>416.0</v>
      </c>
      <c r="G224" s="1">
        <v>419.0</v>
      </c>
      <c r="H224" s="1" t="s">
        <v>28</v>
      </c>
      <c r="I224" s="1"/>
      <c r="J224" s="1" t="s">
        <v>1695</v>
      </c>
      <c r="K224" s="1"/>
      <c r="L224" s="1" t="s">
        <v>1696</v>
      </c>
    </row>
    <row r="225">
      <c r="A225" s="1" t="s">
        <v>17</v>
      </c>
      <c r="B225" s="1">
        <v>1993.0</v>
      </c>
      <c r="C225" s="1" t="s">
        <v>1697</v>
      </c>
      <c r="D225" s="1" t="s">
        <v>1698</v>
      </c>
      <c r="E225" s="2" t="s">
        <v>1699</v>
      </c>
      <c r="F225" s="1">
        <v>420.0</v>
      </c>
      <c r="G225" s="1">
        <v>423.0</v>
      </c>
      <c r="H225" s="1" t="s">
        <v>28</v>
      </c>
      <c r="I225" s="1"/>
      <c r="J225" s="1" t="s">
        <v>1703</v>
      </c>
      <c r="K225" s="1"/>
      <c r="L225" s="1" t="s">
        <v>1704</v>
      </c>
    </row>
    <row r="226">
      <c r="A226" s="1" t="s">
        <v>17</v>
      </c>
      <c r="B226" s="1">
        <v>1993.0</v>
      </c>
      <c r="C226" s="1" t="s">
        <v>1705</v>
      </c>
      <c r="D226" s="1" t="s">
        <v>1706</v>
      </c>
      <c r="E226" s="2" t="s">
        <v>1707</v>
      </c>
      <c r="F226" s="1">
        <v>378.0</v>
      </c>
      <c r="G226" s="1">
        <v>381.0</v>
      </c>
      <c r="H226" s="1" t="s">
        <v>28</v>
      </c>
      <c r="I226" s="1"/>
      <c r="J226" s="1" t="s">
        <v>1708</v>
      </c>
      <c r="K226" s="1"/>
      <c r="L226" s="1" t="s">
        <v>1709</v>
      </c>
      <c r="M226" s="1" t="s">
        <v>1710</v>
      </c>
    </row>
    <row r="227">
      <c r="A227" s="1" t="s">
        <v>17</v>
      </c>
      <c r="B227" s="1">
        <v>1994.0</v>
      </c>
      <c r="C227" s="1" t="s">
        <v>1711</v>
      </c>
      <c r="D227" s="1" t="s">
        <v>1712</v>
      </c>
      <c r="E227" s="2" t="s">
        <v>1713</v>
      </c>
      <c r="F227" s="1">
        <v>400.0</v>
      </c>
      <c r="G227" s="1">
        <v>403.0</v>
      </c>
      <c r="H227" s="1" t="s">
        <v>21</v>
      </c>
      <c r="I227" s="1"/>
      <c r="J227" s="1" t="s">
        <v>1718</v>
      </c>
      <c r="K227" s="1"/>
      <c r="L227" s="1" t="s">
        <v>1719</v>
      </c>
    </row>
    <row r="228">
      <c r="A228" s="1" t="s">
        <v>17</v>
      </c>
      <c r="B228" s="1">
        <v>1994.0</v>
      </c>
      <c r="C228" s="1" t="s">
        <v>1720</v>
      </c>
      <c r="D228" s="1" t="s">
        <v>1721</v>
      </c>
      <c r="E228" s="2" t="s">
        <v>1722</v>
      </c>
      <c r="F228" s="1">
        <v>414.0</v>
      </c>
      <c r="G228" s="1">
        <v>418.0</v>
      </c>
      <c r="H228" s="1" t="s">
        <v>21</v>
      </c>
      <c r="I228" s="1"/>
      <c r="J228" s="1" t="s">
        <v>1723</v>
      </c>
      <c r="K228" s="1"/>
      <c r="L228" s="1" t="s">
        <v>1724</v>
      </c>
    </row>
    <row r="229">
      <c r="A229" s="1" t="s">
        <v>17</v>
      </c>
      <c r="B229" s="1">
        <v>1994.0</v>
      </c>
      <c r="C229" s="1" t="s">
        <v>1725</v>
      </c>
      <c r="D229" s="1" t="s">
        <v>1726</v>
      </c>
      <c r="E229" s="2" t="s">
        <v>1727</v>
      </c>
      <c r="F229" s="1">
        <v>410.0</v>
      </c>
      <c r="G229" s="1">
        <v>413.0</v>
      </c>
      <c r="H229" s="1" t="s">
        <v>21</v>
      </c>
      <c r="I229" s="1"/>
      <c r="J229" s="1" t="s">
        <v>1730</v>
      </c>
      <c r="K229" s="1"/>
      <c r="L229" s="1" t="s">
        <v>1731</v>
      </c>
    </row>
    <row r="230">
      <c r="A230" s="1" t="s">
        <v>17</v>
      </c>
      <c r="B230" s="1">
        <v>1994.0</v>
      </c>
      <c r="C230" s="1" t="s">
        <v>1732</v>
      </c>
      <c r="D230" s="1" t="s">
        <v>1733</v>
      </c>
      <c r="E230" s="2" t="s">
        <v>1734</v>
      </c>
      <c r="F230" s="1">
        <v>404.0</v>
      </c>
      <c r="G230" s="1">
        <v>409.0</v>
      </c>
      <c r="H230" s="1" t="s">
        <v>21</v>
      </c>
      <c r="I230" s="1"/>
      <c r="J230" s="1" t="s">
        <v>1735</v>
      </c>
      <c r="K230" s="1"/>
      <c r="L230" s="1" t="s">
        <v>1736</v>
      </c>
    </row>
    <row r="231">
      <c r="A231" s="1" t="s">
        <v>17</v>
      </c>
      <c r="B231" s="1">
        <v>1994.0</v>
      </c>
      <c r="C231" s="1" t="s">
        <v>1737</v>
      </c>
      <c r="D231" s="1" t="s">
        <v>1738</v>
      </c>
      <c r="E231" s="2" t="s">
        <v>1739</v>
      </c>
      <c r="F231" s="1">
        <v>396.0</v>
      </c>
      <c r="G231" s="1">
        <v>399.0</v>
      </c>
      <c r="H231" s="1" t="s">
        <v>21</v>
      </c>
      <c r="I231" s="1"/>
      <c r="J231" s="1" t="s">
        <v>1743</v>
      </c>
      <c r="K231" s="1"/>
      <c r="L231" s="1" t="s">
        <v>1744</v>
      </c>
    </row>
    <row r="232">
      <c r="A232" s="1" t="s">
        <v>17</v>
      </c>
      <c r="B232" s="1">
        <v>1994.0</v>
      </c>
      <c r="C232" s="1" t="s">
        <v>1745</v>
      </c>
      <c r="D232" s="1" t="s">
        <v>1746</v>
      </c>
      <c r="E232" s="2" t="s">
        <v>1747</v>
      </c>
      <c r="F232" s="1">
        <v>392.0</v>
      </c>
      <c r="G232" s="1">
        <v>395.0</v>
      </c>
      <c r="H232" s="1" t="s">
        <v>21</v>
      </c>
      <c r="I232" s="1"/>
      <c r="J232" s="1" t="s">
        <v>1750</v>
      </c>
      <c r="K232" s="1"/>
      <c r="L232" s="1" t="s">
        <v>1751</v>
      </c>
    </row>
    <row r="233">
      <c r="A233" s="1" t="s">
        <v>17</v>
      </c>
      <c r="B233" s="1">
        <v>1994.0</v>
      </c>
      <c r="C233" s="1" t="s">
        <v>1752</v>
      </c>
      <c r="D233" s="1" t="s">
        <v>1753</v>
      </c>
      <c r="E233" s="2" t="s">
        <v>1754</v>
      </c>
      <c r="F233" s="1">
        <v>386.0</v>
      </c>
      <c r="G233" s="1" t="s">
        <v>1755</v>
      </c>
      <c r="H233" s="1" t="s">
        <v>28</v>
      </c>
      <c r="I233" s="1"/>
      <c r="J233" s="1" t="s">
        <v>1756</v>
      </c>
      <c r="K233" s="1"/>
      <c r="L233" s="1" t="s">
        <v>1757</v>
      </c>
    </row>
    <row r="234">
      <c r="A234" s="1" t="s">
        <v>17</v>
      </c>
      <c r="B234" s="1">
        <v>1994.0</v>
      </c>
      <c r="C234" s="1" t="s">
        <v>1758</v>
      </c>
      <c r="D234" s="1" t="s">
        <v>1759</v>
      </c>
      <c r="E234" s="2" t="s">
        <v>1760</v>
      </c>
      <c r="F234" s="1">
        <v>382.0</v>
      </c>
      <c r="G234" s="1" t="s">
        <v>1764</v>
      </c>
      <c r="H234" s="1" t="s">
        <v>28</v>
      </c>
      <c r="I234" s="1"/>
      <c r="J234" s="1" t="s">
        <v>1765</v>
      </c>
      <c r="K234" s="1"/>
      <c r="L234" s="1" t="s">
        <v>1766</v>
      </c>
    </row>
    <row r="235">
      <c r="A235" s="1" t="s">
        <v>17</v>
      </c>
      <c r="B235" s="1">
        <v>1994.0</v>
      </c>
      <c r="C235" s="1" t="s">
        <v>1767</v>
      </c>
      <c r="D235" s="1" t="s">
        <v>1768</v>
      </c>
      <c r="E235" s="2" t="s">
        <v>1769</v>
      </c>
      <c r="F235" s="1">
        <v>379.0</v>
      </c>
      <c r="G235" s="1" t="s">
        <v>1770</v>
      </c>
      <c r="H235" s="1" t="s">
        <v>28</v>
      </c>
      <c r="I235" s="1"/>
      <c r="J235" s="1" t="s">
        <v>1771</v>
      </c>
      <c r="K235" s="1"/>
      <c r="L235" s="1" t="s">
        <v>1772</v>
      </c>
    </row>
    <row r="236">
      <c r="A236" s="1" t="s">
        <v>17</v>
      </c>
      <c r="B236" s="1">
        <v>1994.0</v>
      </c>
      <c r="C236" s="1" t="s">
        <v>1773</v>
      </c>
      <c r="D236" s="1" t="s">
        <v>1774</v>
      </c>
      <c r="E236" s="2" t="s">
        <v>1775</v>
      </c>
      <c r="F236" s="1">
        <v>374.0</v>
      </c>
      <c r="G236" s="1" t="s">
        <v>1779</v>
      </c>
      <c r="H236" s="1" t="s">
        <v>28</v>
      </c>
      <c r="I236" s="1"/>
      <c r="J236" s="1" t="s">
        <v>1780</v>
      </c>
      <c r="K236" s="1"/>
      <c r="L236" s="1" t="s">
        <v>1781</v>
      </c>
    </row>
    <row r="237">
      <c r="A237" s="1" t="s">
        <v>17</v>
      </c>
      <c r="B237" s="1">
        <v>1994.0</v>
      </c>
      <c r="C237" s="1" t="s">
        <v>1782</v>
      </c>
      <c r="D237" s="1" t="s">
        <v>1783</v>
      </c>
      <c r="E237" s="2" t="s">
        <v>1784</v>
      </c>
      <c r="F237" s="1">
        <v>369.0</v>
      </c>
      <c r="G237" s="1" t="s">
        <v>1785</v>
      </c>
      <c r="H237" s="1" t="s">
        <v>28</v>
      </c>
      <c r="I237" s="1"/>
      <c r="J237" s="1" t="s">
        <v>1786</v>
      </c>
      <c r="K237" s="1"/>
      <c r="L237" s="1" t="s">
        <v>1787</v>
      </c>
      <c r="M237" s="1" t="s">
        <v>1316</v>
      </c>
    </row>
    <row r="238">
      <c r="A238" s="1" t="s">
        <v>17</v>
      </c>
      <c r="B238" s="1">
        <v>1994.0</v>
      </c>
      <c r="C238" s="1" t="s">
        <v>1788</v>
      </c>
      <c r="D238" s="1" t="s">
        <v>1789</v>
      </c>
      <c r="E238" s="2" t="s">
        <v>1790</v>
      </c>
      <c r="F238" s="1">
        <v>364.0</v>
      </c>
      <c r="G238" s="1" t="s">
        <v>1794</v>
      </c>
      <c r="H238" s="1" t="s">
        <v>28</v>
      </c>
      <c r="I238" s="1"/>
      <c r="J238" s="1" t="s">
        <v>1795</v>
      </c>
      <c r="K238" s="1"/>
      <c r="L238" s="1" t="s">
        <v>1796</v>
      </c>
    </row>
    <row r="239">
      <c r="A239" s="1" t="s">
        <v>17</v>
      </c>
      <c r="B239" s="1">
        <v>1994.0</v>
      </c>
      <c r="C239" s="1" t="s">
        <v>1797</v>
      </c>
      <c r="D239" s="1" t="s">
        <v>1798</v>
      </c>
      <c r="E239" s="2" t="s">
        <v>1799</v>
      </c>
      <c r="F239" s="1">
        <v>359.0</v>
      </c>
      <c r="G239" s="1" t="s">
        <v>1800</v>
      </c>
      <c r="H239" s="1" t="s">
        <v>28</v>
      </c>
      <c r="I239" s="1"/>
      <c r="J239" s="1" t="s">
        <v>1801</v>
      </c>
      <c r="K239" s="1"/>
      <c r="L239" s="1" t="s">
        <v>1802</v>
      </c>
      <c r="M239" s="1" t="s">
        <v>1803</v>
      </c>
    </row>
    <row r="240">
      <c r="A240" s="1" t="s">
        <v>17</v>
      </c>
      <c r="B240" s="1">
        <v>1994.0</v>
      </c>
      <c r="C240" s="1" t="s">
        <v>1804</v>
      </c>
      <c r="D240" s="1" t="s">
        <v>1805</v>
      </c>
      <c r="E240" s="2" t="s">
        <v>1806</v>
      </c>
      <c r="F240" s="1">
        <v>355.0</v>
      </c>
      <c r="G240" s="1" t="s">
        <v>1809</v>
      </c>
      <c r="H240" s="1" t="s">
        <v>28</v>
      </c>
      <c r="I240" s="1"/>
      <c r="J240" s="1" t="s">
        <v>1810</v>
      </c>
      <c r="K240" s="1"/>
      <c r="L240" s="1" t="s">
        <v>1811</v>
      </c>
      <c r="M240" s="1" t="s">
        <v>1812</v>
      </c>
    </row>
    <row r="241">
      <c r="A241" s="1" t="s">
        <v>17</v>
      </c>
      <c r="B241" s="1">
        <v>1994.0</v>
      </c>
      <c r="C241" s="1" t="s">
        <v>1813</v>
      </c>
      <c r="D241" s="1" t="s">
        <v>1814</v>
      </c>
      <c r="E241" s="2" t="s">
        <v>1815</v>
      </c>
      <c r="F241" s="1">
        <v>350.0</v>
      </c>
      <c r="G241" s="1" t="s">
        <v>1816</v>
      </c>
      <c r="H241" s="1" t="s">
        <v>28</v>
      </c>
      <c r="I241" s="1"/>
      <c r="J241" s="1" t="s">
        <v>1672</v>
      </c>
      <c r="K241" s="1"/>
      <c r="L241" s="1" t="s">
        <v>1158</v>
      </c>
      <c r="M241" s="1" t="s">
        <v>1182</v>
      </c>
    </row>
    <row r="242">
      <c r="A242" s="1" t="s">
        <v>17</v>
      </c>
      <c r="B242" s="1">
        <v>1994.0</v>
      </c>
      <c r="C242" s="1" t="s">
        <v>1817</v>
      </c>
      <c r="D242" s="1" t="s">
        <v>1819</v>
      </c>
      <c r="E242" s="2" t="s">
        <v>1820</v>
      </c>
      <c r="F242" s="1">
        <v>345.0</v>
      </c>
      <c r="G242" s="1">
        <v>348.0</v>
      </c>
      <c r="H242" s="1" t="s">
        <v>28</v>
      </c>
      <c r="I242" s="1"/>
      <c r="J242" s="1" t="s">
        <v>1823</v>
      </c>
      <c r="K242" s="1"/>
      <c r="L242" s="1" t="s">
        <v>1824</v>
      </c>
    </row>
    <row r="243">
      <c r="A243" s="1" t="s">
        <v>17</v>
      </c>
      <c r="B243" s="1">
        <v>1994.0</v>
      </c>
      <c r="C243" s="1" t="s">
        <v>1825</v>
      </c>
      <c r="D243" s="1" t="s">
        <v>1826</v>
      </c>
      <c r="E243" s="2" t="s">
        <v>1827</v>
      </c>
      <c r="F243" s="1">
        <v>341.0</v>
      </c>
      <c r="G243" s="1" t="s">
        <v>1828</v>
      </c>
      <c r="H243" s="1" t="s">
        <v>28</v>
      </c>
      <c r="I243" s="1"/>
      <c r="J243" s="1" t="s">
        <v>1829</v>
      </c>
      <c r="K243" s="1"/>
      <c r="L243" s="1" t="s">
        <v>1831</v>
      </c>
    </row>
    <row r="244">
      <c r="A244" s="1" t="s">
        <v>17</v>
      </c>
      <c r="B244" s="1">
        <v>1994.0</v>
      </c>
      <c r="C244" s="1" t="s">
        <v>1833</v>
      </c>
      <c r="D244" s="1" t="s">
        <v>1834</v>
      </c>
      <c r="E244" s="2" t="s">
        <v>1836</v>
      </c>
      <c r="F244" s="1">
        <v>337.0</v>
      </c>
      <c r="G244" s="1" t="s">
        <v>1837</v>
      </c>
      <c r="H244" s="1" t="s">
        <v>28</v>
      </c>
      <c r="I244" s="1"/>
      <c r="J244" s="1" t="s">
        <v>1838</v>
      </c>
      <c r="K244" s="1"/>
      <c r="L244" s="1" t="s">
        <v>1839</v>
      </c>
      <c r="M244" s="1"/>
      <c r="N244" s="1" t="s">
        <v>1840</v>
      </c>
    </row>
    <row r="245">
      <c r="A245" s="1" t="s">
        <v>17</v>
      </c>
      <c r="B245" s="1">
        <v>1994.0</v>
      </c>
      <c r="C245" s="1" t="s">
        <v>1841</v>
      </c>
      <c r="D245" s="1" t="s">
        <v>1842</v>
      </c>
      <c r="E245" s="2" t="s">
        <v>1843</v>
      </c>
      <c r="F245" s="1">
        <v>326.0</v>
      </c>
      <c r="G245" s="1">
        <v>333.0</v>
      </c>
      <c r="H245" s="1" t="s">
        <v>28</v>
      </c>
      <c r="I245" s="1"/>
      <c r="J245" s="1" t="s">
        <v>1844</v>
      </c>
      <c r="K245" s="1"/>
      <c r="L245" s="1" t="s">
        <v>1845</v>
      </c>
      <c r="M245" s="1" t="s">
        <v>1846</v>
      </c>
    </row>
    <row r="246">
      <c r="A246" s="1" t="s">
        <v>17</v>
      </c>
      <c r="B246" s="1">
        <v>1994.0</v>
      </c>
      <c r="C246" s="1" t="s">
        <v>1847</v>
      </c>
      <c r="D246" s="1" t="s">
        <v>1848</v>
      </c>
      <c r="E246" s="2" t="s">
        <v>1849</v>
      </c>
      <c r="F246" s="1">
        <v>318.0</v>
      </c>
      <c r="G246" s="1" t="s">
        <v>1853</v>
      </c>
      <c r="H246" s="1" t="s">
        <v>28</v>
      </c>
      <c r="I246" s="1"/>
      <c r="J246" s="1" t="s">
        <v>1854</v>
      </c>
      <c r="K246" s="1"/>
      <c r="L246" s="1" t="s">
        <v>1855</v>
      </c>
      <c r="M246" s="1" t="s">
        <v>1856</v>
      </c>
    </row>
    <row r="247">
      <c r="A247" s="1" t="s">
        <v>17</v>
      </c>
      <c r="B247" s="1">
        <v>1994.0</v>
      </c>
      <c r="C247" s="1" t="s">
        <v>1857</v>
      </c>
      <c r="D247" s="1" t="s">
        <v>1858</v>
      </c>
      <c r="E247" s="2" t="s">
        <v>1859</v>
      </c>
      <c r="F247" s="1">
        <v>310.0</v>
      </c>
      <c r="G247" s="1">
        <v>317.0</v>
      </c>
      <c r="H247" s="1" t="s">
        <v>28</v>
      </c>
      <c r="I247" s="1"/>
      <c r="J247" s="1" t="s">
        <v>1231</v>
      </c>
      <c r="K247" s="1"/>
      <c r="L247" s="1" t="s">
        <v>1860</v>
      </c>
      <c r="M247" s="1" t="s">
        <v>1861</v>
      </c>
    </row>
    <row r="248">
      <c r="A248" s="1" t="s">
        <v>17</v>
      </c>
      <c r="B248" s="1">
        <v>1994.0</v>
      </c>
      <c r="C248" s="1" t="s">
        <v>1863</v>
      </c>
      <c r="D248" s="1" t="s">
        <v>1865</v>
      </c>
      <c r="E248" s="2" t="s">
        <v>1866</v>
      </c>
      <c r="F248" s="1">
        <v>302.0</v>
      </c>
      <c r="G248" s="1" t="s">
        <v>1867</v>
      </c>
      <c r="H248" s="1" t="s">
        <v>28</v>
      </c>
      <c r="I248" s="1"/>
      <c r="J248" s="1" t="s">
        <v>1868</v>
      </c>
      <c r="K248" s="1"/>
      <c r="L248" s="1" t="s">
        <v>1869</v>
      </c>
      <c r="M248" s="1" t="s">
        <v>1870</v>
      </c>
    </row>
    <row r="249">
      <c r="A249" s="1" t="s">
        <v>17</v>
      </c>
      <c r="B249" s="1">
        <v>1994.0</v>
      </c>
      <c r="C249" s="1" t="s">
        <v>1871</v>
      </c>
      <c r="D249" s="1" t="s">
        <v>1872</v>
      </c>
      <c r="E249" s="2" t="s">
        <v>1873</v>
      </c>
      <c r="F249" s="1">
        <v>293.0</v>
      </c>
      <c r="G249" s="1" t="s">
        <v>1874</v>
      </c>
      <c r="H249" s="1" t="s">
        <v>28</v>
      </c>
      <c r="I249" s="1"/>
      <c r="J249" s="1" t="s">
        <v>1876</v>
      </c>
      <c r="K249" s="1"/>
      <c r="L249" s="1" t="s">
        <v>1877</v>
      </c>
    </row>
    <row r="250">
      <c r="A250" s="1" t="s">
        <v>17</v>
      </c>
      <c r="B250" s="1">
        <v>1994.0</v>
      </c>
      <c r="C250" s="1" t="s">
        <v>1880</v>
      </c>
      <c r="D250" s="1" t="s">
        <v>1881</v>
      </c>
      <c r="E250" s="2" t="s">
        <v>1882</v>
      </c>
      <c r="F250" s="1">
        <v>288.0</v>
      </c>
      <c r="G250" s="1">
        <v>292.0</v>
      </c>
      <c r="H250" s="1" t="s">
        <v>28</v>
      </c>
      <c r="I250" s="1"/>
      <c r="J250" s="1" t="s">
        <v>1883</v>
      </c>
      <c r="K250" s="1"/>
      <c r="L250" s="1" t="s">
        <v>1884</v>
      </c>
      <c r="M250" s="1" t="s">
        <v>536</v>
      </c>
    </row>
    <row r="251">
      <c r="A251" s="1" t="s">
        <v>17</v>
      </c>
      <c r="B251" s="1">
        <v>1994.0</v>
      </c>
      <c r="C251" s="1" t="s">
        <v>1885</v>
      </c>
      <c r="D251" s="1" t="s">
        <v>1886</v>
      </c>
      <c r="E251" s="2" t="s">
        <v>1887</v>
      </c>
      <c r="F251" s="1">
        <v>281.0</v>
      </c>
      <c r="G251" s="1" t="s">
        <v>1888</v>
      </c>
      <c r="H251" s="1" t="s">
        <v>28</v>
      </c>
      <c r="I251" s="1"/>
      <c r="J251" s="1" t="s">
        <v>1889</v>
      </c>
      <c r="K251" s="1"/>
      <c r="L251" s="1" t="s">
        <v>1890</v>
      </c>
      <c r="M251" s="1" t="s">
        <v>1281</v>
      </c>
    </row>
    <row r="252">
      <c r="A252" s="1" t="s">
        <v>17</v>
      </c>
      <c r="B252" s="1">
        <v>1994.0</v>
      </c>
      <c r="C252" s="1" t="s">
        <v>1891</v>
      </c>
      <c r="D252" s="1" t="s">
        <v>1892</v>
      </c>
      <c r="E252" s="2" t="s">
        <v>1893</v>
      </c>
      <c r="F252" s="1">
        <v>273.0</v>
      </c>
      <c r="G252" s="1" t="s">
        <v>1897</v>
      </c>
      <c r="H252" s="1" t="s">
        <v>28</v>
      </c>
      <c r="I252" s="1"/>
      <c r="J252" s="1" t="s">
        <v>1898</v>
      </c>
      <c r="K252" s="1"/>
      <c r="L252" s="1" t="s">
        <v>1899</v>
      </c>
      <c r="M252" s="1" t="s">
        <v>1900</v>
      </c>
    </row>
    <row r="253">
      <c r="A253" s="1" t="s">
        <v>17</v>
      </c>
      <c r="B253" s="1">
        <v>1994.0</v>
      </c>
      <c r="C253" s="1" t="s">
        <v>1901</v>
      </c>
      <c r="D253" s="1" t="s">
        <v>1902</v>
      </c>
      <c r="E253" s="2" t="s">
        <v>1903</v>
      </c>
      <c r="F253" s="1">
        <v>265.0</v>
      </c>
      <c r="G253" s="1" t="s">
        <v>1907</v>
      </c>
      <c r="H253" s="1" t="s">
        <v>28</v>
      </c>
      <c r="I253" s="1"/>
      <c r="J253" s="1" t="s">
        <v>1908</v>
      </c>
      <c r="K253" s="1"/>
      <c r="L253" s="1" t="s">
        <v>1909</v>
      </c>
      <c r="M253" s="1" t="s">
        <v>1910</v>
      </c>
      <c r="N253" s="1" t="s">
        <v>1911</v>
      </c>
    </row>
    <row r="254">
      <c r="A254" s="1" t="s">
        <v>17</v>
      </c>
      <c r="B254" s="1">
        <v>1994.0</v>
      </c>
      <c r="C254" s="1" t="s">
        <v>1912</v>
      </c>
      <c r="D254" s="1" t="s">
        <v>1913</v>
      </c>
      <c r="E254" s="2" t="s">
        <v>1914</v>
      </c>
      <c r="F254" s="1">
        <v>257.0</v>
      </c>
      <c r="G254" s="1" t="s">
        <v>1915</v>
      </c>
      <c r="H254" s="1" t="s">
        <v>28</v>
      </c>
      <c r="I254" s="1"/>
      <c r="J254" s="1" t="s">
        <v>1364</v>
      </c>
      <c r="K254" s="1"/>
      <c r="L254" s="1" t="s">
        <v>1110</v>
      </c>
      <c r="M254" s="1" t="s">
        <v>1916</v>
      </c>
    </row>
    <row r="255">
      <c r="A255" s="1" t="s">
        <v>17</v>
      </c>
      <c r="B255" s="1">
        <v>1994.0</v>
      </c>
      <c r="C255" s="1" t="s">
        <v>1917</v>
      </c>
      <c r="D255" s="1" t="s">
        <v>1918</v>
      </c>
      <c r="E255" s="2" t="s">
        <v>1919</v>
      </c>
      <c r="F255" s="1">
        <v>248.0</v>
      </c>
      <c r="G255" s="1" t="s">
        <v>1922</v>
      </c>
      <c r="H255" s="1" t="s">
        <v>28</v>
      </c>
      <c r="I255" s="1"/>
      <c r="J255" s="1" t="s">
        <v>1923</v>
      </c>
      <c r="K255" s="1"/>
      <c r="L255" s="1" t="s">
        <v>1153</v>
      </c>
      <c r="M255" s="1" t="s">
        <v>1924</v>
      </c>
    </row>
    <row r="256">
      <c r="A256" s="1" t="s">
        <v>17</v>
      </c>
      <c r="B256" s="1">
        <v>1994.0</v>
      </c>
      <c r="C256" s="1" t="s">
        <v>1925</v>
      </c>
      <c r="D256" s="1" t="s">
        <v>1926</v>
      </c>
      <c r="E256" s="2" t="s">
        <v>1927</v>
      </c>
      <c r="F256" s="1">
        <v>240.0</v>
      </c>
      <c r="G256" s="1" t="s">
        <v>1928</v>
      </c>
      <c r="H256" s="1" t="s">
        <v>28</v>
      </c>
      <c r="I256" s="1"/>
      <c r="J256" s="1" t="s">
        <v>1929</v>
      </c>
      <c r="K256" s="1"/>
      <c r="L256" s="1" t="s">
        <v>1930</v>
      </c>
      <c r="M256" s="1" t="s">
        <v>1931</v>
      </c>
    </row>
    <row r="257">
      <c r="A257" s="1" t="s">
        <v>17</v>
      </c>
      <c r="B257" s="1">
        <v>1994.0</v>
      </c>
      <c r="C257" s="1" t="s">
        <v>1932</v>
      </c>
      <c r="D257" s="1" t="s">
        <v>1933</v>
      </c>
      <c r="E257" s="2" t="s">
        <v>1934</v>
      </c>
      <c r="F257" s="1">
        <v>232.0</v>
      </c>
      <c r="G257" s="1" t="s">
        <v>1935</v>
      </c>
      <c r="H257" s="1" t="s">
        <v>28</v>
      </c>
      <c r="I257" s="1"/>
      <c r="J257" s="1" t="s">
        <v>1936</v>
      </c>
      <c r="K257" s="1"/>
      <c r="L257" s="1" t="s">
        <v>1937</v>
      </c>
    </row>
    <row r="258">
      <c r="A258" s="1" t="s">
        <v>17</v>
      </c>
      <c r="B258" s="1">
        <v>1994.0</v>
      </c>
      <c r="C258" s="1" t="s">
        <v>1938</v>
      </c>
      <c r="D258" s="1" t="s">
        <v>1939</v>
      </c>
      <c r="E258" s="2" t="s">
        <v>1940</v>
      </c>
      <c r="F258" s="1">
        <v>225.0</v>
      </c>
      <c r="G258" s="1" t="s">
        <v>1941</v>
      </c>
      <c r="H258" s="1" t="s">
        <v>28</v>
      </c>
      <c r="I258" s="1"/>
      <c r="J258" s="1" t="s">
        <v>1942</v>
      </c>
      <c r="K258" s="1"/>
      <c r="L258" s="1" t="s">
        <v>1943</v>
      </c>
      <c r="M258" s="1" t="s">
        <v>1944</v>
      </c>
    </row>
    <row r="259">
      <c r="A259" s="1" t="s">
        <v>17</v>
      </c>
      <c r="B259" s="1">
        <v>1994.0</v>
      </c>
      <c r="C259" s="1" t="s">
        <v>1945</v>
      </c>
      <c r="D259" s="1" t="s">
        <v>1946</v>
      </c>
      <c r="E259" s="2" t="s">
        <v>1947</v>
      </c>
      <c r="F259" s="1">
        <v>217.0</v>
      </c>
      <c r="G259" s="1" t="s">
        <v>1948</v>
      </c>
      <c r="H259" s="1" t="s">
        <v>28</v>
      </c>
      <c r="I259" s="1"/>
      <c r="J259" s="1" t="s">
        <v>1949</v>
      </c>
      <c r="K259" s="1"/>
      <c r="L259" s="1" t="s">
        <v>1950</v>
      </c>
      <c r="M259" s="1" t="s">
        <v>1951</v>
      </c>
    </row>
    <row r="260">
      <c r="A260" s="1" t="s">
        <v>17</v>
      </c>
      <c r="B260" s="1">
        <v>1994.0</v>
      </c>
      <c r="C260" s="1" t="s">
        <v>1952</v>
      </c>
      <c r="D260" s="1" t="s">
        <v>1953</v>
      </c>
      <c r="E260" s="2" t="s">
        <v>1954</v>
      </c>
      <c r="F260" s="1">
        <v>212.0</v>
      </c>
      <c r="G260" s="1" t="s">
        <v>1955</v>
      </c>
      <c r="H260" s="1" t="s">
        <v>28</v>
      </c>
      <c r="I260" s="1"/>
      <c r="J260" s="1" t="s">
        <v>1956</v>
      </c>
      <c r="K260" s="1"/>
      <c r="L260" s="1" t="s">
        <v>1957</v>
      </c>
    </row>
    <row r="261">
      <c r="A261" s="1" t="s">
        <v>17</v>
      </c>
      <c r="B261" s="1">
        <v>1994.0</v>
      </c>
      <c r="C261" s="1" t="s">
        <v>1958</v>
      </c>
      <c r="D261" s="1" t="s">
        <v>1959</v>
      </c>
      <c r="E261" s="2" t="s">
        <v>1960</v>
      </c>
      <c r="F261" s="1">
        <v>205.0</v>
      </c>
      <c r="G261" s="1" t="s">
        <v>1964</v>
      </c>
      <c r="H261" s="1" t="s">
        <v>28</v>
      </c>
      <c r="I261" s="1"/>
      <c r="J261" s="1" t="s">
        <v>1965</v>
      </c>
      <c r="K261" s="1"/>
      <c r="L261" s="1" t="s">
        <v>1966</v>
      </c>
      <c r="M261" s="1" t="s">
        <v>668</v>
      </c>
    </row>
    <row r="262">
      <c r="A262" s="1" t="s">
        <v>17</v>
      </c>
      <c r="B262" s="1">
        <v>1994.0</v>
      </c>
      <c r="C262" s="1" t="s">
        <v>1967</v>
      </c>
      <c r="D262" s="1" t="s">
        <v>1968</v>
      </c>
      <c r="E262" s="2" t="s">
        <v>1969</v>
      </c>
      <c r="F262" s="1">
        <v>196.0</v>
      </c>
      <c r="G262" s="1">
        <v>203.0</v>
      </c>
      <c r="H262" s="1" t="s">
        <v>28</v>
      </c>
      <c r="I262" s="1"/>
      <c r="J262" s="1" t="s">
        <v>1970</v>
      </c>
      <c r="K262" s="1"/>
      <c r="L262" s="1" t="s">
        <v>66</v>
      </c>
      <c r="M262" s="1" t="s">
        <v>1971</v>
      </c>
    </row>
    <row r="263">
      <c r="A263" s="1" t="s">
        <v>17</v>
      </c>
      <c r="B263" s="1">
        <v>1994.0</v>
      </c>
      <c r="C263" s="1" t="s">
        <v>1972</v>
      </c>
      <c r="D263" s="1" t="s">
        <v>1973</v>
      </c>
      <c r="E263" s="2" t="s">
        <v>1974</v>
      </c>
      <c r="F263" s="1">
        <v>188.0</v>
      </c>
      <c r="G263" s="1" t="s">
        <v>1976</v>
      </c>
      <c r="H263" s="1" t="s">
        <v>28</v>
      </c>
      <c r="I263" s="1"/>
      <c r="J263" s="1" t="s">
        <v>1978</v>
      </c>
      <c r="K263" s="1"/>
      <c r="L263" s="1" t="s">
        <v>1979</v>
      </c>
      <c r="M263" s="1" t="s">
        <v>1387</v>
      </c>
    </row>
    <row r="264">
      <c r="A264" s="1" t="s">
        <v>17</v>
      </c>
      <c r="B264" s="1">
        <v>1994.0</v>
      </c>
      <c r="C264" s="1" t="s">
        <v>1981</v>
      </c>
      <c r="D264" s="1" t="s">
        <v>1982</v>
      </c>
      <c r="E264" s="2" t="s">
        <v>1983</v>
      </c>
      <c r="F264" s="1">
        <v>180.0</v>
      </c>
      <c r="G264" s="1" t="s">
        <v>1984</v>
      </c>
      <c r="H264" s="1" t="s">
        <v>28</v>
      </c>
      <c r="I264" s="1"/>
      <c r="J264" s="1" t="s">
        <v>1985</v>
      </c>
      <c r="K264" s="1"/>
      <c r="L264" s="1" t="s">
        <v>281</v>
      </c>
      <c r="M264" s="1" t="s">
        <v>1986</v>
      </c>
    </row>
    <row r="265">
      <c r="A265" s="1" t="s">
        <v>17</v>
      </c>
      <c r="B265" s="1">
        <v>1994.0</v>
      </c>
      <c r="C265" s="1" t="s">
        <v>1987</v>
      </c>
      <c r="D265" s="1" t="s">
        <v>1988</v>
      </c>
      <c r="E265" s="2" t="s">
        <v>1989</v>
      </c>
      <c r="F265" s="1">
        <v>172.0</v>
      </c>
      <c r="G265" s="1" t="s">
        <v>1990</v>
      </c>
      <c r="H265" s="1" t="s">
        <v>28</v>
      </c>
      <c r="I265" s="1"/>
      <c r="J265" s="1" t="s">
        <v>1991</v>
      </c>
      <c r="K265" s="1"/>
      <c r="L265" s="1" t="s">
        <v>144</v>
      </c>
    </row>
    <row r="266">
      <c r="A266" s="1" t="s">
        <v>17</v>
      </c>
      <c r="B266" s="1">
        <v>1994.0</v>
      </c>
      <c r="C266" s="1" t="s">
        <v>1992</v>
      </c>
      <c r="D266" s="1" t="s">
        <v>1993</v>
      </c>
      <c r="E266" s="2" t="s">
        <v>1994</v>
      </c>
      <c r="F266" s="1">
        <v>164.0</v>
      </c>
      <c r="G266" s="1" t="s">
        <v>1997</v>
      </c>
      <c r="H266" s="1" t="s">
        <v>28</v>
      </c>
      <c r="I266" s="1"/>
      <c r="J266" s="1" t="s">
        <v>1998</v>
      </c>
      <c r="K266" s="1"/>
      <c r="L266" s="1" t="s">
        <v>1999</v>
      </c>
    </row>
    <row r="267">
      <c r="A267" s="1" t="s">
        <v>17</v>
      </c>
      <c r="B267" s="1">
        <v>1994.0</v>
      </c>
      <c r="C267" s="1" t="s">
        <v>2000</v>
      </c>
      <c r="D267" s="1" t="s">
        <v>2001</v>
      </c>
      <c r="E267" s="2" t="s">
        <v>2002</v>
      </c>
      <c r="F267" s="1">
        <v>156.0</v>
      </c>
      <c r="G267" s="1" t="s">
        <v>2004</v>
      </c>
      <c r="H267" s="1" t="s">
        <v>28</v>
      </c>
      <c r="I267" s="1"/>
      <c r="J267" s="1" t="s">
        <v>2005</v>
      </c>
      <c r="K267" s="1"/>
      <c r="L267" s="1" t="s">
        <v>855</v>
      </c>
      <c r="M267" s="1" t="s">
        <v>2006</v>
      </c>
    </row>
    <row r="268">
      <c r="A268" s="1" t="s">
        <v>17</v>
      </c>
      <c r="B268" s="1">
        <v>1994.0</v>
      </c>
      <c r="C268" s="1" t="s">
        <v>2007</v>
      </c>
      <c r="D268" s="1" t="s">
        <v>2008</v>
      </c>
      <c r="E268" s="2" t="s">
        <v>2009</v>
      </c>
      <c r="F268" s="1">
        <v>149.0</v>
      </c>
      <c r="G268" s="1" t="s">
        <v>2012</v>
      </c>
      <c r="H268" s="1" t="s">
        <v>28</v>
      </c>
      <c r="I268" s="1"/>
      <c r="J268" s="1" t="s">
        <v>2014</v>
      </c>
      <c r="K268" s="1"/>
      <c r="L268" s="1" t="s">
        <v>2015</v>
      </c>
    </row>
    <row r="269">
      <c r="A269" s="1" t="s">
        <v>17</v>
      </c>
      <c r="B269" s="1">
        <v>1994.0</v>
      </c>
      <c r="C269" s="1" t="s">
        <v>2016</v>
      </c>
      <c r="D269" s="1" t="s">
        <v>2017</v>
      </c>
      <c r="E269" s="2" t="s">
        <v>2018</v>
      </c>
      <c r="F269" s="1">
        <v>140.0</v>
      </c>
      <c r="G269" s="1" t="s">
        <v>2019</v>
      </c>
      <c r="H269" s="1" t="s">
        <v>28</v>
      </c>
      <c r="I269" s="1"/>
      <c r="J269" s="1" t="s">
        <v>1088</v>
      </c>
      <c r="K269" s="1"/>
      <c r="L269" s="1" t="s">
        <v>2020</v>
      </c>
      <c r="M269" s="1" t="s">
        <v>487</v>
      </c>
    </row>
    <row r="270">
      <c r="A270" s="1" t="s">
        <v>17</v>
      </c>
      <c r="B270" s="1">
        <v>1994.0</v>
      </c>
      <c r="C270" s="1" t="s">
        <v>2021</v>
      </c>
      <c r="D270" s="1" t="s">
        <v>2022</v>
      </c>
      <c r="E270" s="2" t="s">
        <v>2023</v>
      </c>
      <c r="F270" s="1">
        <v>132.0</v>
      </c>
      <c r="G270" s="1" t="s">
        <v>2024</v>
      </c>
      <c r="H270" s="1" t="s">
        <v>28</v>
      </c>
      <c r="I270" s="1"/>
      <c r="J270" s="1" t="s">
        <v>2025</v>
      </c>
      <c r="K270" s="1"/>
      <c r="L270" s="1" t="s">
        <v>2026</v>
      </c>
      <c r="M270" s="1" t="s">
        <v>487</v>
      </c>
    </row>
    <row r="271">
      <c r="A271" s="1" t="s">
        <v>17</v>
      </c>
      <c r="B271" s="1">
        <v>1994.0</v>
      </c>
      <c r="C271" s="1" t="s">
        <v>2027</v>
      </c>
      <c r="D271" s="1" t="s">
        <v>2028</v>
      </c>
      <c r="E271" s="2" t="s">
        <v>2029</v>
      </c>
      <c r="F271" s="1">
        <v>124.0</v>
      </c>
      <c r="G271" s="1" t="s">
        <v>2033</v>
      </c>
      <c r="H271" s="1" t="s">
        <v>28</v>
      </c>
      <c r="I271" s="1"/>
      <c r="J271" s="1" t="s">
        <v>2034</v>
      </c>
      <c r="K271" s="1"/>
      <c r="L271" s="1" t="s">
        <v>2026</v>
      </c>
    </row>
    <row r="272">
      <c r="A272" s="1" t="s">
        <v>17</v>
      </c>
      <c r="B272" s="1">
        <v>1994.0</v>
      </c>
      <c r="C272" s="1" t="s">
        <v>2035</v>
      </c>
      <c r="D272" s="1" t="s">
        <v>2036</v>
      </c>
      <c r="E272" s="2" t="s">
        <v>2037</v>
      </c>
      <c r="F272" s="1">
        <v>117.0</v>
      </c>
      <c r="G272" s="1" t="s">
        <v>2040</v>
      </c>
      <c r="H272" s="1" t="s">
        <v>28</v>
      </c>
      <c r="I272" s="1"/>
      <c r="J272" s="1" t="s">
        <v>2041</v>
      </c>
      <c r="K272" s="1"/>
      <c r="L272" s="1" t="s">
        <v>2042</v>
      </c>
      <c r="M272" s="1" t="s">
        <v>1294</v>
      </c>
    </row>
    <row r="273">
      <c r="A273" s="1" t="s">
        <v>17</v>
      </c>
      <c r="B273" s="1">
        <v>1994.0</v>
      </c>
      <c r="C273" s="1" t="s">
        <v>2043</v>
      </c>
      <c r="D273" s="1" t="s">
        <v>2044</v>
      </c>
      <c r="E273" s="2" t="s">
        <v>2045</v>
      </c>
      <c r="F273" s="1">
        <v>108.0</v>
      </c>
      <c r="G273" s="1" t="s">
        <v>2048</v>
      </c>
      <c r="H273" s="1" t="s">
        <v>28</v>
      </c>
      <c r="I273" s="1"/>
      <c r="J273" s="1" t="s">
        <v>2049</v>
      </c>
      <c r="K273" s="1"/>
      <c r="L273" s="1" t="s">
        <v>855</v>
      </c>
      <c r="M273" s="1" t="s">
        <v>2050</v>
      </c>
    </row>
    <row r="274">
      <c r="A274" s="1" t="s">
        <v>17</v>
      </c>
      <c r="B274" s="1">
        <v>1994.0</v>
      </c>
      <c r="C274" s="1" t="s">
        <v>2051</v>
      </c>
      <c r="D274" s="1" t="s">
        <v>2052</v>
      </c>
      <c r="E274" s="2" t="s">
        <v>2053</v>
      </c>
      <c r="F274" s="1">
        <v>100.0</v>
      </c>
      <c r="G274" s="1" t="s">
        <v>2057</v>
      </c>
      <c r="H274" s="1" t="s">
        <v>28</v>
      </c>
      <c r="I274" s="1"/>
      <c r="J274" s="1" t="s">
        <v>2058</v>
      </c>
      <c r="K274" s="1"/>
      <c r="L274" s="1" t="s">
        <v>1877</v>
      </c>
      <c r="M274" s="1" t="s">
        <v>1379</v>
      </c>
    </row>
    <row r="275">
      <c r="A275" s="1" t="s">
        <v>17</v>
      </c>
      <c r="B275" s="1">
        <v>1994.0</v>
      </c>
      <c r="C275" s="1" t="s">
        <v>2059</v>
      </c>
      <c r="D275" s="1" t="s">
        <v>2060</v>
      </c>
      <c r="E275" s="2" t="s">
        <v>2061</v>
      </c>
      <c r="F275" s="1">
        <v>93.0</v>
      </c>
      <c r="G275" s="1" t="s">
        <v>2062</v>
      </c>
      <c r="H275" s="1" t="s">
        <v>28</v>
      </c>
      <c r="I275" s="1"/>
      <c r="J275" s="1" t="s">
        <v>2063</v>
      </c>
      <c r="K275" s="1"/>
      <c r="L275" s="1" t="s">
        <v>2064</v>
      </c>
      <c r="M275" s="1" t="s">
        <v>1340</v>
      </c>
    </row>
    <row r="276">
      <c r="A276" s="1" t="s">
        <v>17</v>
      </c>
      <c r="B276" s="1">
        <v>1994.0</v>
      </c>
      <c r="C276" s="1" t="s">
        <v>2066</v>
      </c>
      <c r="D276" s="1" t="s">
        <v>2067</v>
      </c>
      <c r="E276" s="2" t="s">
        <v>2068</v>
      </c>
      <c r="F276" s="1">
        <v>85.0</v>
      </c>
      <c r="G276" s="1" t="s">
        <v>2070</v>
      </c>
      <c r="H276" s="1" t="s">
        <v>28</v>
      </c>
      <c r="I276" s="1"/>
      <c r="J276" s="1" t="s">
        <v>2071</v>
      </c>
      <c r="K276" s="1"/>
      <c r="L276" s="1" t="s">
        <v>753</v>
      </c>
      <c r="M276" s="1" t="s">
        <v>1400</v>
      </c>
    </row>
    <row r="277">
      <c r="A277" s="1" t="s">
        <v>17</v>
      </c>
      <c r="B277" s="1">
        <v>1994.0</v>
      </c>
      <c r="C277" s="1" t="s">
        <v>2072</v>
      </c>
      <c r="D277" s="1" t="s">
        <v>2073</v>
      </c>
      <c r="E277" s="2" t="s">
        <v>2074</v>
      </c>
      <c r="F277" s="1">
        <v>77.0</v>
      </c>
      <c r="G277" s="1" t="s">
        <v>2075</v>
      </c>
      <c r="H277" s="1" t="s">
        <v>28</v>
      </c>
      <c r="I277" s="1"/>
      <c r="J277" s="1" t="s">
        <v>2076</v>
      </c>
      <c r="K277" s="1"/>
      <c r="L277" s="1" t="s">
        <v>2077</v>
      </c>
      <c r="M277" s="1" t="s">
        <v>2078</v>
      </c>
    </row>
    <row r="278">
      <c r="A278" s="1" t="s">
        <v>17</v>
      </c>
      <c r="B278" s="1">
        <v>1994.0</v>
      </c>
      <c r="C278" s="1" t="s">
        <v>2080</v>
      </c>
      <c r="D278" s="1" t="s">
        <v>2081</v>
      </c>
      <c r="E278" s="2" t="s">
        <v>2082</v>
      </c>
      <c r="F278" s="1">
        <v>69.0</v>
      </c>
      <c r="G278" s="1" t="s">
        <v>2085</v>
      </c>
      <c r="H278" s="1" t="s">
        <v>28</v>
      </c>
      <c r="I278" s="1"/>
      <c r="J278" s="1" t="s">
        <v>2086</v>
      </c>
      <c r="K278" s="1"/>
      <c r="L278" s="1" t="s">
        <v>2087</v>
      </c>
    </row>
    <row r="279">
      <c r="A279" s="1" t="s">
        <v>17</v>
      </c>
      <c r="B279" s="1">
        <v>1994.0</v>
      </c>
      <c r="C279" s="1" t="s">
        <v>2088</v>
      </c>
      <c r="D279" s="1" t="s">
        <v>2089</v>
      </c>
      <c r="E279" s="2" t="s">
        <v>2090</v>
      </c>
      <c r="F279" s="1">
        <v>61.0</v>
      </c>
      <c r="G279" s="1">
        <v>68.0</v>
      </c>
      <c r="H279" s="1" t="s">
        <v>28</v>
      </c>
      <c r="I279" s="1"/>
      <c r="J279" s="1" t="s">
        <v>2092</v>
      </c>
      <c r="K279" s="1"/>
      <c r="L279" s="1" t="s">
        <v>2094</v>
      </c>
    </row>
    <row r="280">
      <c r="A280" s="1" t="s">
        <v>17</v>
      </c>
      <c r="B280" s="1">
        <v>1994.0</v>
      </c>
      <c r="C280" s="1" t="s">
        <v>2096</v>
      </c>
      <c r="D280" s="1" t="s">
        <v>2097</v>
      </c>
      <c r="E280" s="2" t="s">
        <v>2098</v>
      </c>
      <c r="F280" s="1">
        <v>52.0</v>
      </c>
      <c r="G280" s="1">
        <v>59.0</v>
      </c>
      <c r="H280" s="1" t="s">
        <v>28</v>
      </c>
      <c r="I280" s="1"/>
      <c r="J280" s="1" t="s">
        <v>2099</v>
      </c>
      <c r="K280" s="1"/>
      <c r="L280" s="1" t="s">
        <v>1449</v>
      </c>
    </row>
    <row r="281">
      <c r="A281" s="1" t="s">
        <v>17</v>
      </c>
      <c r="B281" s="1">
        <v>1994.0</v>
      </c>
      <c r="C281" s="1" t="s">
        <v>2100</v>
      </c>
      <c r="D281" s="1" t="s">
        <v>2101</v>
      </c>
      <c r="E281" s="2" t="s">
        <v>2102</v>
      </c>
      <c r="F281" s="1">
        <v>46.0</v>
      </c>
      <c r="G281" s="1" t="s">
        <v>2105</v>
      </c>
      <c r="H281" s="1" t="s">
        <v>28</v>
      </c>
      <c r="I281" s="1"/>
      <c r="J281" s="1" t="s">
        <v>2106</v>
      </c>
      <c r="K281" s="1"/>
      <c r="L281" s="1" t="s">
        <v>2107</v>
      </c>
      <c r="M281" s="1" t="s">
        <v>2108</v>
      </c>
    </row>
    <row r="282">
      <c r="A282" s="1" t="s">
        <v>17</v>
      </c>
      <c r="B282" s="1">
        <v>1994.0</v>
      </c>
      <c r="C282" s="1" t="s">
        <v>2109</v>
      </c>
      <c r="D282" s="1" t="s">
        <v>2110</v>
      </c>
      <c r="E282" s="2" t="s">
        <v>2111</v>
      </c>
      <c r="F282" s="1">
        <v>40.0</v>
      </c>
      <c r="G282" s="1" t="s">
        <v>2112</v>
      </c>
      <c r="H282" s="1" t="s">
        <v>28</v>
      </c>
      <c r="I282" s="1"/>
      <c r="J282" s="1" t="s">
        <v>2113</v>
      </c>
      <c r="K282" s="1"/>
      <c r="L282" s="1" t="s">
        <v>2107</v>
      </c>
    </row>
    <row r="283">
      <c r="A283" s="1" t="s">
        <v>17</v>
      </c>
      <c r="B283" s="1">
        <v>1994.0</v>
      </c>
      <c r="C283" s="1" t="s">
        <v>2114</v>
      </c>
      <c r="D283" s="1" t="s">
        <v>2115</v>
      </c>
      <c r="E283" s="2" t="s">
        <v>2116</v>
      </c>
      <c r="F283" s="1">
        <v>31.0</v>
      </c>
      <c r="G283" s="1" t="s">
        <v>2119</v>
      </c>
      <c r="H283" s="1" t="s">
        <v>28</v>
      </c>
      <c r="I283" s="1"/>
      <c r="J283" s="1" t="s">
        <v>2120</v>
      </c>
      <c r="K283" s="1"/>
      <c r="L283" s="1" t="s">
        <v>2121</v>
      </c>
      <c r="M283" s="1" t="s">
        <v>2122</v>
      </c>
    </row>
    <row r="284">
      <c r="A284" s="1" t="s">
        <v>17</v>
      </c>
      <c r="B284" s="1">
        <v>1994.0</v>
      </c>
      <c r="C284" s="1" t="s">
        <v>2123</v>
      </c>
      <c r="D284" s="1" t="s">
        <v>2124</v>
      </c>
      <c r="E284" s="2" t="s">
        <v>2125</v>
      </c>
      <c r="F284" s="1">
        <v>21.0</v>
      </c>
      <c r="G284" s="1" t="s">
        <v>2126</v>
      </c>
      <c r="H284" s="1" t="s">
        <v>28</v>
      </c>
      <c r="I284" s="1"/>
      <c r="J284" s="1" t="s">
        <v>2127</v>
      </c>
      <c r="K284" s="1"/>
      <c r="L284" s="1" t="s">
        <v>2128</v>
      </c>
    </row>
    <row r="285">
      <c r="A285" s="1" t="s">
        <v>17</v>
      </c>
      <c r="B285" s="1">
        <v>1994.0</v>
      </c>
      <c r="C285" s="1" t="s">
        <v>2129</v>
      </c>
      <c r="D285" s="1" t="s">
        <v>2130</v>
      </c>
      <c r="E285" s="2" t="s">
        <v>2131</v>
      </c>
      <c r="F285" s="1">
        <v>13.0</v>
      </c>
      <c r="G285" s="1">
        <v>20.0</v>
      </c>
      <c r="H285" s="1" t="s">
        <v>28</v>
      </c>
      <c r="I285" s="1"/>
      <c r="J285" s="1" t="s">
        <v>2135</v>
      </c>
      <c r="K285" s="1"/>
      <c r="L285" s="1" t="s">
        <v>2136</v>
      </c>
      <c r="M285" s="1" t="s">
        <v>1334</v>
      </c>
    </row>
    <row r="286">
      <c r="A286" s="1" t="s">
        <v>2137</v>
      </c>
      <c r="B286" s="1">
        <v>1995.0</v>
      </c>
      <c r="C286" s="1" t="s">
        <v>2138</v>
      </c>
      <c r="D286" s="1" t="s">
        <v>2139</v>
      </c>
      <c r="E286" s="2" t="s">
        <v>2140</v>
      </c>
      <c r="F286" s="1">
        <v>4.0</v>
      </c>
      <c r="G286" s="1">
        <v>10.0</v>
      </c>
      <c r="H286" s="1" t="s">
        <v>28</v>
      </c>
      <c r="I286" s="1"/>
      <c r="J286" s="1" t="s">
        <v>2141</v>
      </c>
      <c r="K286" s="1"/>
      <c r="L286" s="1" t="s">
        <v>2142</v>
      </c>
    </row>
    <row r="287">
      <c r="A287" s="1" t="s">
        <v>2137</v>
      </c>
      <c r="B287" s="1">
        <v>1995.0</v>
      </c>
      <c r="C287" s="1" t="s">
        <v>2143</v>
      </c>
      <c r="D287" s="1" t="s">
        <v>2144</v>
      </c>
      <c r="E287" s="2" t="s">
        <v>2145</v>
      </c>
      <c r="F287" s="1">
        <v>11.0</v>
      </c>
      <c r="G287" s="1">
        <v>18.0</v>
      </c>
      <c r="H287" s="1" t="s">
        <v>28</v>
      </c>
      <c r="I287" s="1"/>
      <c r="J287" s="1" t="s">
        <v>2148</v>
      </c>
      <c r="K287" s="1"/>
      <c r="L287" s="1" t="s">
        <v>2150</v>
      </c>
      <c r="M287" s="1" t="s">
        <v>2151</v>
      </c>
    </row>
    <row r="288">
      <c r="A288" s="1" t="s">
        <v>2137</v>
      </c>
      <c r="B288" s="1">
        <v>1995.0</v>
      </c>
      <c r="C288" s="1" t="s">
        <v>2152</v>
      </c>
      <c r="D288" s="1" t="s">
        <v>2153</v>
      </c>
      <c r="E288" s="2" t="s">
        <v>2154</v>
      </c>
      <c r="F288" s="1">
        <v>19.0</v>
      </c>
      <c r="G288" s="1">
        <v>25.0</v>
      </c>
      <c r="H288" s="1" t="s">
        <v>28</v>
      </c>
      <c r="I288" s="1"/>
      <c r="J288" s="1" t="s">
        <v>2155</v>
      </c>
      <c r="K288" s="1"/>
      <c r="L288" s="1" t="s">
        <v>2156</v>
      </c>
    </row>
    <row r="289">
      <c r="A289" s="1" t="s">
        <v>2137</v>
      </c>
      <c r="B289" s="1">
        <v>1995.0</v>
      </c>
      <c r="C289" s="1" t="s">
        <v>2157</v>
      </c>
      <c r="D289" s="1" t="s">
        <v>2158</v>
      </c>
      <c r="E289" s="2" t="s">
        <v>2159</v>
      </c>
      <c r="F289" s="1">
        <v>26.0</v>
      </c>
      <c r="G289" s="1">
        <v>33.0</v>
      </c>
      <c r="H289" s="1" t="s">
        <v>28</v>
      </c>
      <c r="I289" s="1"/>
      <c r="J289" s="1" t="s">
        <v>2160</v>
      </c>
      <c r="K289" s="1"/>
      <c r="L289" s="1" t="s">
        <v>2161</v>
      </c>
    </row>
    <row r="290">
      <c r="A290" s="1" t="s">
        <v>2137</v>
      </c>
      <c r="B290" s="1">
        <v>1995.0</v>
      </c>
      <c r="C290" s="1" t="s">
        <v>2162</v>
      </c>
      <c r="D290" s="1" t="s">
        <v>2163</v>
      </c>
      <c r="E290" s="2" t="s">
        <v>2164</v>
      </c>
      <c r="F290" s="1">
        <v>36.0</v>
      </c>
      <c r="G290" s="1">
        <v>42.0</v>
      </c>
      <c r="H290" s="1" t="s">
        <v>28</v>
      </c>
      <c r="I290" s="1"/>
      <c r="J290" s="1" t="s">
        <v>2165</v>
      </c>
      <c r="K290" s="1"/>
      <c r="L290" s="1" t="s">
        <v>2166</v>
      </c>
      <c r="M290" s="1"/>
      <c r="N290" s="1" t="s">
        <v>2167</v>
      </c>
    </row>
    <row r="291">
      <c r="A291" s="1" t="s">
        <v>2137</v>
      </c>
      <c r="B291" s="1">
        <v>1995.0</v>
      </c>
      <c r="C291" s="1" t="s">
        <v>2168</v>
      </c>
      <c r="D291" s="1" t="s">
        <v>2170</v>
      </c>
      <c r="E291" s="2" t="s">
        <v>2172</v>
      </c>
      <c r="F291" s="1">
        <v>43.0</v>
      </c>
      <c r="G291" s="1">
        <v>50.0</v>
      </c>
      <c r="H291" s="1" t="s">
        <v>28</v>
      </c>
      <c r="I291" s="1"/>
      <c r="J291" s="1" t="s">
        <v>2178</v>
      </c>
      <c r="K291" s="1"/>
      <c r="L291" s="1" t="s">
        <v>2179</v>
      </c>
      <c r="M291" s="1" t="s">
        <v>1988</v>
      </c>
    </row>
    <row r="292">
      <c r="A292" s="1" t="s">
        <v>2137</v>
      </c>
      <c r="B292" s="1">
        <v>1995.0</v>
      </c>
      <c r="C292" s="1" t="s">
        <v>2180</v>
      </c>
      <c r="D292" s="1" t="s">
        <v>2181</v>
      </c>
      <c r="E292" s="2" t="s">
        <v>2183</v>
      </c>
      <c r="F292" s="1">
        <v>51.0</v>
      </c>
      <c r="G292" s="1">
        <v>58.0</v>
      </c>
      <c r="H292" s="1" t="s">
        <v>28</v>
      </c>
      <c r="I292" s="1"/>
      <c r="J292" s="1" t="s">
        <v>2186</v>
      </c>
      <c r="K292" s="1"/>
      <c r="L292" s="1" t="s">
        <v>2187</v>
      </c>
      <c r="M292" s="1" t="s">
        <v>1465</v>
      </c>
      <c r="P292" s="1"/>
      <c r="Q292" s="1" t="s">
        <v>1093</v>
      </c>
    </row>
    <row r="293">
      <c r="A293" s="1" t="s">
        <v>2137</v>
      </c>
      <c r="B293" s="1">
        <v>1995.0</v>
      </c>
      <c r="C293" s="1" t="s">
        <v>2188</v>
      </c>
      <c r="D293" s="1" t="s">
        <v>2189</v>
      </c>
      <c r="E293" s="2" t="s">
        <v>2190</v>
      </c>
      <c r="F293" s="1">
        <v>59.0</v>
      </c>
      <c r="G293" s="1">
        <v>64.0</v>
      </c>
      <c r="H293" s="1" t="s">
        <v>28</v>
      </c>
      <c r="I293" s="1"/>
      <c r="J293" s="1" t="s">
        <v>2194</v>
      </c>
      <c r="K293" s="1"/>
      <c r="L293" s="1" t="s">
        <v>2195</v>
      </c>
      <c r="M293" s="1"/>
      <c r="N293" s="1" t="s">
        <v>2196</v>
      </c>
    </row>
    <row r="294">
      <c r="A294" s="1" t="s">
        <v>2137</v>
      </c>
      <c r="B294" s="1">
        <v>1995.0</v>
      </c>
      <c r="C294" s="1" t="s">
        <v>2197</v>
      </c>
      <c r="D294" s="1" t="s">
        <v>2198</v>
      </c>
      <c r="E294" s="2" t="s">
        <v>2199</v>
      </c>
      <c r="F294" s="1">
        <v>66.0</v>
      </c>
      <c r="G294" s="1">
        <v>73.0</v>
      </c>
      <c r="H294" s="1" t="s">
        <v>28</v>
      </c>
      <c r="I294" s="1"/>
      <c r="J294" s="1" t="s">
        <v>2200</v>
      </c>
      <c r="K294" s="1"/>
      <c r="L294" s="1" t="s">
        <v>2201</v>
      </c>
      <c r="M294" s="1" t="s">
        <v>2202</v>
      </c>
    </row>
    <row r="295">
      <c r="A295" s="1" t="s">
        <v>2137</v>
      </c>
      <c r="B295" s="1">
        <v>1995.0</v>
      </c>
      <c r="C295" s="1" t="s">
        <v>2203</v>
      </c>
      <c r="D295" s="1" t="s">
        <v>2204</v>
      </c>
      <c r="E295" s="2" t="s">
        <v>2205</v>
      </c>
      <c r="F295" s="1">
        <v>74.0</v>
      </c>
      <c r="G295" s="1">
        <v>81.0</v>
      </c>
      <c r="H295" s="1" t="s">
        <v>28</v>
      </c>
      <c r="I295" s="1"/>
      <c r="J295" s="1" t="s">
        <v>2209</v>
      </c>
      <c r="K295" s="1"/>
      <c r="L295" s="1" t="s">
        <v>2210</v>
      </c>
    </row>
    <row r="296">
      <c r="A296" s="1" t="s">
        <v>2137</v>
      </c>
      <c r="B296" s="1">
        <v>1995.0</v>
      </c>
      <c r="C296" s="1" t="s">
        <v>2211</v>
      </c>
      <c r="D296" s="1" t="s">
        <v>2212</v>
      </c>
      <c r="E296" s="2" t="s">
        <v>2213</v>
      </c>
      <c r="F296" s="1">
        <v>82.0</v>
      </c>
      <c r="G296" s="1">
        <v>88.0</v>
      </c>
      <c r="H296" s="1" t="s">
        <v>28</v>
      </c>
      <c r="I296" s="1"/>
      <c r="J296" s="1" t="s">
        <v>2215</v>
      </c>
      <c r="K296" s="1"/>
      <c r="L296" s="1" t="s">
        <v>2216</v>
      </c>
      <c r="M296" s="1" t="s">
        <v>1858</v>
      </c>
    </row>
    <row r="297">
      <c r="A297" s="1" t="s">
        <v>2137</v>
      </c>
      <c r="B297" s="1">
        <v>1995.0</v>
      </c>
      <c r="C297" s="1" t="s">
        <v>2219</v>
      </c>
      <c r="D297" s="1" t="s">
        <v>2220</v>
      </c>
      <c r="E297" s="2" t="s">
        <v>2221</v>
      </c>
      <c r="F297" s="1">
        <v>90.0</v>
      </c>
      <c r="G297" s="1">
        <v>96.0</v>
      </c>
      <c r="H297" s="1" t="s">
        <v>28</v>
      </c>
      <c r="I297" s="1"/>
      <c r="J297" s="1" t="s">
        <v>2222</v>
      </c>
      <c r="K297" s="1"/>
      <c r="L297" s="1" t="s">
        <v>2223</v>
      </c>
    </row>
    <row r="298">
      <c r="A298" s="1" t="s">
        <v>2137</v>
      </c>
      <c r="B298" s="1">
        <v>1995.0</v>
      </c>
      <c r="C298" s="1" t="s">
        <v>2224</v>
      </c>
      <c r="D298" s="1" t="s">
        <v>2225</v>
      </c>
      <c r="E298" s="2" t="s">
        <v>2226</v>
      </c>
      <c r="F298" s="1">
        <v>97.0</v>
      </c>
      <c r="G298" s="1">
        <v>104.0</v>
      </c>
      <c r="H298" s="1" t="s">
        <v>28</v>
      </c>
      <c r="I298" s="1"/>
      <c r="J298" s="1" t="s">
        <v>2230</v>
      </c>
      <c r="K298" s="1"/>
      <c r="L298" s="1" t="s">
        <v>2231</v>
      </c>
      <c r="M298" s="1" t="s">
        <v>2232</v>
      </c>
    </row>
    <row r="299">
      <c r="A299" s="1" t="s">
        <v>2137</v>
      </c>
      <c r="B299" s="1">
        <v>1995.0</v>
      </c>
      <c r="C299" s="1" t="s">
        <v>2233</v>
      </c>
      <c r="D299" s="1" t="s">
        <v>2234</v>
      </c>
      <c r="E299" s="2" t="s">
        <v>2235</v>
      </c>
      <c r="F299" s="1">
        <v>105.0</v>
      </c>
      <c r="G299" s="1">
        <v>111.0</v>
      </c>
      <c r="H299" s="1" t="s">
        <v>28</v>
      </c>
      <c r="I299" s="1"/>
      <c r="J299" s="1" t="s">
        <v>2236</v>
      </c>
      <c r="K299" s="1"/>
      <c r="L299" s="1" t="s">
        <v>2237</v>
      </c>
      <c r="M299" s="1" t="s">
        <v>809</v>
      </c>
    </row>
    <row r="300">
      <c r="A300" s="1" t="s">
        <v>2137</v>
      </c>
      <c r="B300" s="1">
        <v>1995.0</v>
      </c>
      <c r="C300" s="1" t="s">
        <v>2239</v>
      </c>
      <c r="D300" s="1" t="s">
        <v>2240</v>
      </c>
      <c r="E300" s="2" t="s">
        <v>2242</v>
      </c>
      <c r="F300" s="1">
        <v>112.0</v>
      </c>
      <c r="G300" s="1">
        <v>114.0</v>
      </c>
      <c r="H300" s="1" t="s">
        <v>28</v>
      </c>
      <c r="I300" s="1"/>
      <c r="J300" s="1" t="s">
        <v>2243</v>
      </c>
      <c r="K300" s="1"/>
      <c r="L300" s="1" t="s">
        <v>2244</v>
      </c>
      <c r="M300" s="1" t="s">
        <v>1541</v>
      </c>
    </row>
    <row r="301">
      <c r="A301" s="1" t="s">
        <v>2137</v>
      </c>
      <c r="B301" s="1">
        <v>1995.0</v>
      </c>
      <c r="C301" s="1" t="s">
        <v>2245</v>
      </c>
      <c r="D301" s="1" t="s">
        <v>2246</v>
      </c>
      <c r="E301" s="2" t="s">
        <v>2248</v>
      </c>
      <c r="F301" s="1">
        <v>115.0</v>
      </c>
      <c r="G301" s="1">
        <v>121.0</v>
      </c>
      <c r="H301" s="1" t="s">
        <v>28</v>
      </c>
      <c r="I301" s="1"/>
      <c r="J301" s="1" t="s">
        <v>2250</v>
      </c>
      <c r="K301" s="1"/>
      <c r="L301" s="1" t="s">
        <v>2251</v>
      </c>
    </row>
    <row r="302">
      <c r="A302" s="1" t="s">
        <v>2137</v>
      </c>
      <c r="B302" s="1">
        <v>1995.0</v>
      </c>
      <c r="C302" s="1" t="s">
        <v>2252</v>
      </c>
      <c r="D302" s="1" t="s">
        <v>2253</v>
      </c>
      <c r="E302" s="2" t="s">
        <v>2254</v>
      </c>
      <c r="F302" s="1">
        <v>122.0</v>
      </c>
      <c r="G302" s="1">
        <v>128.0</v>
      </c>
      <c r="H302" s="1" t="s">
        <v>28</v>
      </c>
      <c r="I302" s="1"/>
      <c r="J302" s="1" t="s">
        <v>2257</v>
      </c>
      <c r="K302" s="1"/>
      <c r="L302" s="1" t="s">
        <v>2258</v>
      </c>
    </row>
    <row r="303">
      <c r="A303" s="1" t="s">
        <v>2137</v>
      </c>
      <c r="B303" s="1">
        <v>1995.0</v>
      </c>
      <c r="C303" s="1" t="s">
        <v>2259</v>
      </c>
      <c r="D303" s="1" t="s">
        <v>2260</v>
      </c>
      <c r="E303" s="2" t="s">
        <v>2261</v>
      </c>
      <c r="F303" s="1">
        <v>129.0</v>
      </c>
      <c r="G303" s="1">
        <v>131.0</v>
      </c>
      <c r="H303" s="1" t="s">
        <v>28</v>
      </c>
      <c r="I303" s="1"/>
      <c r="J303" s="1" t="s">
        <v>2265</v>
      </c>
      <c r="K303" s="1"/>
      <c r="L303" s="1" t="s">
        <v>2266</v>
      </c>
      <c r="M303" s="1" t="s">
        <v>1512</v>
      </c>
    </row>
    <row r="304">
      <c r="A304" s="1" t="s">
        <v>17</v>
      </c>
      <c r="B304" s="1">
        <v>1995.0</v>
      </c>
      <c r="C304" s="1" t="s">
        <v>2267</v>
      </c>
      <c r="D304" s="1" t="s">
        <v>2268</v>
      </c>
      <c r="E304" s="2" t="s">
        <v>2269</v>
      </c>
      <c r="F304" s="1">
        <v>3.0</v>
      </c>
      <c r="G304" s="1" t="s">
        <v>2270</v>
      </c>
      <c r="H304" s="1" t="s">
        <v>28</v>
      </c>
      <c r="I304" s="1"/>
      <c r="J304" s="1" t="s">
        <v>2271</v>
      </c>
      <c r="K304" s="1"/>
      <c r="L304" s="1" t="s">
        <v>2272</v>
      </c>
    </row>
    <row r="305">
      <c r="A305" s="1" t="s">
        <v>17</v>
      </c>
      <c r="B305" s="1">
        <v>1995.0</v>
      </c>
      <c r="C305" s="1" t="s">
        <v>2273</v>
      </c>
      <c r="D305" s="1" t="s">
        <v>2274</v>
      </c>
      <c r="E305" s="2" t="s">
        <v>2275</v>
      </c>
      <c r="F305" s="1">
        <v>11.0</v>
      </c>
      <c r="G305" s="1" t="s">
        <v>2279</v>
      </c>
      <c r="H305" s="1" t="s">
        <v>28</v>
      </c>
      <c r="I305" s="1"/>
      <c r="J305" s="1" t="s">
        <v>2280</v>
      </c>
      <c r="K305" s="1"/>
      <c r="L305" s="1" t="s">
        <v>2281</v>
      </c>
    </row>
    <row r="306">
      <c r="A306" s="1" t="s">
        <v>17</v>
      </c>
      <c r="B306" s="1">
        <v>1995.0</v>
      </c>
      <c r="C306" s="1" t="s">
        <v>2282</v>
      </c>
      <c r="D306" s="1" t="s">
        <v>2283</v>
      </c>
      <c r="E306" s="2" t="s">
        <v>2284</v>
      </c>
      <c r="F306" s="1">
        <v>19.0</v>
      </c>
      <c r="G306" s="1" t="s">
        <v>2285</v>
      </c>
      <c r="H306" s="1" t="s">
        <v>28</v>
      </c>
      <c r="I306" s="1"/>
      <c r="J306" s="1" t="s">
        <v>2287</v>
      </c>
      <c r="K306" s="1"/>
      <c r="L306" s="1" t="s">
        <v>2288</v>
      </c>
    </row>
    <row r="307">
      <c r="A307" s="1" t="s">
        <v>17</v>
      </c>
      <c r="B307" s="1">
        <v>1995.0</v>
      </c>
      <c r="C307" s="1" t="s">
        <v>2289</v>
      </c>
      <c r="D307" s="1" t="s">
        <v>2290</v>
      </c>
      <c r="E307" s="2" t="s">
        <v>2292</v>
      </c>
      <c r="F307" s="1">
        <v>27.0</v>
      </c>
      <c r="G307" s="1" t="s">
        <v>2294</v>
      </c>
      <c r="H307" s="1" t="s">
        <v>28</v>
      </c>
      <c r="I307" s="1"/>
      <c r="J307" s="1" t="s">
        <v>2295</v>
      </c>
      <c r="K307" s="1"/>
      <c r="L307" s="1" t="s">
        <v>2296</v>
      </c>
      <c r="M307" s="1" t="s">
        <v>2297</v>
      </c>
    </row>
    <row r="308">
      <c r="A308" s="1" t="s">
        <v>17</v>
      </c>
      <c r="B308" s="1">
        <v>1995.0</v>
      </c>
      <c r="C308" s="1" t="s">
        <v>2298</v>
      </c>
      <c r="D308" s="1" t="s">
        <v>2299</v>
      </c>
      <c r="E308" s="2" t="s">
        <v>2300</v>
      </c>
      <c r="F308" s="1">
        <v>36.0</v>
      </c>
      <c r="G308" s="1" t="s">
        <v>2301</v>
      </c>
      <c r="H308" s="1" t="s">
        <v>28</v>
      </c>
      <c r="I308" s="1"/>
      <c r="J308" s="1" t="s">
        <v>2302</v>
      </c>
      <c r="K308" s="1"/>
      <c r="L308" s="1" t="s">
        <v>2303</v>
      </c>
      <c r="M308" s="1" t="s">
        <v>1565</v>
      </c>
    </row>
    <row r="309">
      <c r="A309" s="1" t="s">
        <v>17</v>
      </c>
      <c r="B309" s="1">
        <v>1995.0</v>
      </c>
      <c r="C309" s="1" t="s">
        <v>2304</v>
      </c>
      <c r="D309" s="1" t="s">
        <v>2305</v>
      </c>
      <c r="E309" s="2" t="s">
        <v>2306</v>
      </c>
      <c r="F309" s="1">
        <v>44.0</v>
      </c>
      <c r="G309" s="1" t="s">
        <v>2309</v>
      </c>
      <c r="H309" s="1" t="s">
        <v>28</v>
      </c>
      <c r="I309" s="1"/>
      <c r="J309" s="1" t="s">
        <v>2310</v>
      </c>
      <c r="K309" s="1"/>
      <c r="L309" s="1" t="s">
        <v>2311</v>
      </c>
      <c r="M309" s="1" t="s">
        <v>1599</v>
      </c>
    </row>
    <row r="310">
      <c r="A310" s="1" t="s">
        <v>17</v>
      </c>
      <c r="B310" s="1">
        <v>1995.0</v>
      </c>
      <c r="C310" s="1" t="s">
        <v>2312</v>
      </c>
      <c r="D310" s="1" t="s">
        <v>2313</v>
      </c>
      <c r="E310" s="2" t="s">
        <v>2314</v>
      </c>
      <c r="F310" s="1">
        <v>52.0</v>
      </c>
      <c r="G310" s="1" t="s">
        <v>2318</v>
      </c>
      <c r="H310" s="1" t="s">
        <v>28</v>
      </c>
      <c r="I310" s="1"/>
      <c r="J310" s="1" t="s">
        <v>2319</v>
      </c>
      <c r="K310" s="1"/>
      <c r="L310" s="1" t="s">
        <v>2320</v>
      </c>
    </row>
    <row r="311">
      <c r="A311" s="1" t="s">
        <v>17</v>
      </c>
      <c r="B311" s="1">
        <v>1995.0</v>
      </c>
      <c r="C311" s="1" t="s">
        <v>2321</v>
      </c>
      <c r="D311" s="1" t="s">
        <v>2322</v>
      </c>
      <c r="E311" s="2" t="s">
        <v>2323</v>
      </c>
      <c r="F311" s="1">
        <v>61.0</v>
      </c>
      <c r="G311" s="1" t="s">
        <v>2324</v>
      </c>
      <c r="H311" s="1" t="s">
        <v>28</v>
      </c>
      <c r="I311" s="1"/>
      <c r="J311" s="1" t="s">
        <v>2325</v>
      </c>
      <c r="K311" s="1"/>
      <c r="L311" s="1" t="s">
        <v>753</v>
      </c>
      <c r="M311" s="1" t="s">
        <v>2326</v>
      </c>
    </row>
    <row r="312">
      <c r="A312" s="1" t="s">
        <v>17</v>
      </c>
      <c r="B312" s="1">
        <v>1995.0</v>
      </c>
      <c r="C312" s="1" t="s">
        <v>2327</v>
      </c>
      <c r="D312" s="1" t="s">
        <v>2328</v>
      </c>
      <c r="E312" s="2" t="s">
        <v>2329</v>
      </c>
      <c r="F312" s="1">
        <v>69.0</v>
      </c>
      <c r="G312" s="1" t="s">
        <v>2333</v>
      </c>
      <c r="H312" s="1" t="s">
        <v>28</v>
      </c>
      <c r="I312" s="1"/>
      <c r="J312" s="1" t="s">
        <v>2334</v>
      </c>
      <c r="K312" s="1"/>
      <c r="L312" s="1" t="s">
        <v>2335</v>
      </c>
      <c r="M312" s="1" t="s">
        <v>174</v>
      </c>
    </row>
    <row r="313">
      <c r="A313" s="1" t="s">
        <v>17</v>
      </c>
      <c r="B313" s="1">
        <v>1995.0</v>
      </c>
      <c r="C313" s="1" t="s">
        <v>2338</v>
      </c>
      <c r="D313" s="1" t="s">
        <v>2340</v>
      </c>
      <c r="E313" s="2" t="s">
        <v>2341</v>
      </c>
      <c r="F313" s="1">
        <v>77.0</v>
      </c>
      <c r="G313" s="1" t="s">
        <v>2342</v>
      </c>
      <c r="H313" s="1" t="s">
        <v>28</v>
      </c>
      <c r="I313" s="1"/>
      <c r="J313" s="1" t="s">
        <v>2343</v>
      </c>
      <c r="K313" s="1"/>
      <c r="L313" s="1" t="s">
        <v>2344</v>
      </c>
    </row>
    <row r="314">
      <c r="A314" s="1" t="s">
        <v>17</v>
      </c>
      <c r="B314" s="1">
        <v>1995.0</v>
      </c>
      <c r="C314" s="1" t="s">
        <v>2345</v>
      </c>
      <c r="D314" s="1" t="s">
        <v>2346</v>
      </c>
      <c r="E314" s="2" t="s">
        <v>2347</v>
      </c>
      <c r="F314" s="1">
        <v>86.0</v>
      </c>
      <c r="G314" s="1" t="s">
        <v>2351</v>
      </c>
      <c r="H314" s="1" t="s">
        <v>28</v>
      </c>
      <c r="I314" s="1"/>
      <c r="J314" s="1" t="s">
        <v>2352</v>
      </c>
      <c r="K314" s="1"/>
      <c r="L314" s="1" t="s">
        <v>2353</v>
      </c>
      <c r="M314" s="1"/>
      <c r="N314" s="1" t="s">
        <v>2354</v>
      </c>
    </row>
    <row r="315">
      <c r="A315" s="1" t="s">
        <v>17</v>
      </c>
      <c r="B315" s="1">
        <v>1995.0</v>
      </c>
      <c r="C315" s="1" t="s">
        <v>2355</v>
      </c>
      <c r="D315" s="1" t="s">
        <v>2356</v>
      </c>
      <c r="E315" s="2" t="s">
        <v>2357</v>
      </c>
      <c r="F315" s="1">
        <v>94.0</v>
      </c>
      <c r="G315" s="1" t="s">
        <v>2359</v>
      </c>
      <c r="H315" s="1" t="s">
        <v>28</v>
      </c>
      <c r="I315" s="1"/>
      <c r="J315" s="1" t="s">
        <v>2360</v>
      </c>
      <c r="K315" s="1"/>
      <c r="L315" s="1" t="s">
        <v>2361</v>
      </c>
    </row>
    <row r="316">
      <c r="A316" s="1" t="s">
        <v>17</v>
      </c>
      <c r="B316" s="1">
        <v>1995.0</v>
      </c>
      <c r="C316" s="1" t="s">
        <v>2362</v>
      </c>
      <c r="D316" s="1" t="s">
        <v>2363</v>
      </c>
      <c r="E316" s="2" t="s">
        <v>2364</v>
      </c>
      <c r="F316" s="1">
        <v>101.0</v>
      </c>
      <c r="G316" s="1">
        <v>108.0</v>
      </c>
      <c r="H316" s="1" t="s">
        <v>28</v>
      </c>
      <c r="I316" s="1"/>
      <c r="J316" s="1" t="s">
        <v>2365</v>
      </c>
      <c r="K316" s="1"/>
      <c r="L316" s="1" t="s">
        <v>2366</v>
      </c>
      <c r="M316" s="1" t="s">
        <v>2367</v>
      </c>
      <c r="N316" s="1" t="s">
        <v>2368</v>
      </c>
    </row>
    <row r="317">
      <c r="A317" s="1" t="s">
        <v>17</v>
      </c>
      <c r="B317" s="1">
        <v>1995.0</v>
      </c>
      <c r="C317" s="1" t="s">
        <v>2370</v>
      </c>
      <c r="D317" s="1" t="s">
        <v>2371</v>
      </c>
      <c r="E317" s="2" t="s">
        <v>2372</v>
      </c>
      <c r="F317" s="1">
        <v>110.0</v>
      </c>
      <c r="G317" s="1">
        <v>117.0</v>
      </c>
      <c r="H317" s="1" t="s">
        <v>28</v>
      </c>
      <c r="I317" s="1"/>
      <c r="J317" s="1" t="s">
        <v>2375</v>
      </c>
      <c r="K317" s="1"/>
      <c r="L317" s="1" t="s">
        <v>2376</v>
      </c>
    </row>
    <row r="318">
      <c r="A318" s="1" t="s">
        <v>17</v>
      </c>
      <c r="B318" s="1">
        <v>1995.0</v>
      </c>
      <c r="C318" s="1" t="s">
        <v>2377</v>
      </c>
      <c r="D318" s="1" t="s">
        <v>2378</v>
      </c>
      <c r="E318" s="2" t="s">
        <v>2379</v>
      </c>
      <c r="F318" s="1">
        <v>118.0</v>
      </c>
      <c r="G318" s="1" t="s">
        <v>2382</v>
      </c>
      <c r="H318" s="1" t="s">
        <v>28</v>
      </c>
      <c r="I318" s="1"/>
      <c r="J318" s="1" t="s">
        <v>2384</v>
      </c>
      <c r="K318" s="1"/>
      <c r="L318" s="1" t="s">
        <v>144</v>
      </c>
      <c r="M318" s="1" t="s">
        <v>2385</v>
      </c>
    </row>
    <row r="319">
      <c r="A319" s="1" t="s">
        <v>17</v>
      </c>
      <c r="B319" s="1">
        <v>1995.0</v>
      </c>
      <c r="C319" s="1" t="s">
        <v>2386</v>
      </c>
      <c r="D319" s="1" t="s">
        <v>2387</v>
      </c>
      <c r="E319" s="2" t="s">
        <v>2388</v>
      </c>
      <c r="F319" s="1">
        <v>126.0</v>
      </c>
      <c r="G319" s="1" t="s">
        <v>2389</v>
      </c>
      <c r="H319" s="1" t="s">
        <v>28</v>
      </c>
      <c r="I319" s="1"/>
      <c r="J319" s="1" t="s">
        <v>2049</v>
      </c>
      <c r="K319" s="1"/>
      <c r="L319" s="1" t="s">
        <v>855</v>
      </c>
      <c r="M319" s="1" t="s">
        <v>2390</v>
      </c>
    </row>
    <row r="320">
      <c r="A320" s="1" t="s">
        <v>17</v>
      </c>
      <c r="B320" s="1">
        <v>1995.0</v>
      </c>
      <c r="C320" s="1" t="s">
        <v>2391</v>
      </c>
      <c r="D320" s="1" t="s">
        <v>2392</v>
      </c>
      <c r="E320" s="2" t="s">
        <v>2393</v>
      </c>
      <c r="F320" s="1">
        <v>135.0</v>
      </c>
      <c r="G320" s="1" t="s">
        <v>2397</v>
      </c>
      <c r="H320" s="1" t="s">
        <v>28</v>
      </c>
      <c r="I320" s="1"/>
      <c r="J320" s="1" t="s">
        <v>2398</v>
      </c>
      <c r="K320" s="1"/>
      <c r="L320" s="1" t="s">
        <v>2399</v>
      </c>
      <c r="M320" s="1" t="s">
        <v>2067</v>
      </c>
    </row>
    <row r="321">
      <c r="A321" s="1" t="s">
        <v>17</v>
      </c>
      <c r="B321" s="1">
        <v>1995.0</v>
      </c>
      <c r="C321" s="1" t="s">
        <v>2400</v>
      </c>
      <c r="D321" s="1" t="s">
        <v>2401</v>
      </c>
      <c r="E321" s="2" t="s">
        <v>2402</v>
      </c>
      <c r="F321" s="1">
        <v>143.0</v>
      </c>
      <c r="G321" s="1" t="s">
        <v>2403</v>
      </c>
      <c r="H321" s="1" t="s">
        <v>28</v>
      </c>
      <c r="I321" s="1"/>
      <c r="J321" s="1" t="s">
        <v>1985</v>
      </c>
      <c r="K321" s="1"/>
      <c r="L321" s="1" t="s">
        <v>281</v>
      </c>
      <c r="M321" s="1" t="s">
        <v>520</v>
      </c>
    </row>
    <row r="322">
      <c r="A322" s="1" t="s">
        <v>17</v>
      </c>
      <c r="B322" s="1">
        <v>1995.0</v>
      </c>
      <c r="C322" s="1" t="s">
        <v>2405</v>
      </c>
      <c r="D322" s="1" t="s">
        <v>2406</v>
      </c>
      <c r="E322" s="2" t="s">
        <v>2407</v>
      </c>
      <c r="F322" s="1">
        <v>151.0</v>
      </c>
      <c r="G322" s="1" t="s">
        <v>2411</v>
      </c>
      <c r="H322" s="1" t="s">
        <v>28</v>
      </c>
      <c r="I322" s="1"/>
      <c r="J322" s="1" t="s">
        <v>2412</v>
      </c>
      <c r="K322" s="1"/>
      <c r="L322" s="1" t="s">
        <v>2413</v>
      </c>
      <c r="M322" s="1" t="s">
        <v>2414</v>
      </c>
      <c r="N322" s="1" t="s">
        <v>2416</v>
      </c>
    </row>
    <row r="323">
      <c r="A323" s="1" t="s">
        <v>17</v>
      </c>
      <c r="B323" s="1">
        <v>1995.0</v>
      </c>
      <c r="C323" s="1" t="s">
        <v>2419</v>
      </c>
      <c r="D323" s="1" t="s">
        <v>2420</v>
      </c>
      <c r="E323" s="2" t="s">
        <v>2421</v>
      </c>
      <c r="F323" s="1">
        <v>159.0</v>
      </c>
      <c r="G323" s="1" t="s">
        <v>2422</v>
      </c>
      <c r="H323" s="1" t="s">
        <v>28</v>
      </c>
      <c r="I323" s="1"/>
      <c r="J323" s="1" t="s">
        <v>2423</v>
      </c>
      <c r="K323" s="1"/>
      <c r="L323" s="1" t="s">
        <v>2424</v>
      </c>
      <c r="M323" s="1" t="s">
        <v>2425</v>
      </c>
    </row>
    <row r="324">
      <c r="A324" s="1" t="s">
        <v>17</v>
      </c>
      <c r="B324" s="1">
        <v>1995.0</v>
      </c>
      <c r="C324" s="1" t="s">
        <v>2426</v>
      </c>
      <c r="D324" s="1" t="s">
        <v>2427</v>
      </c>
      <c r="E324" s="2" t="s">
        <v>2428</v>
      </c>
      <c r="F324" s="1">
        <v>168.0</v>
      </c>
      <c r="G324" s="1" t="s">
        <v>2429</v>
      </c>
      <c r="H324" s="1" t="s">
        <v>28</v>
      </c>
      <c r="I324" s="1"/>
      <c r="J324" s="1" t="s">
        <v>2430</v>
      </c>
      <c r="K324" s="1"/>
      <c r="L324" s="1" t="s">
        <v>2431</v>
      </c>
      <c r="M324" s="1" t="s">
        <v>2432</v>
      </c>
      <c r="N324" s="1" t="s">
        <v>2433</v>
      </c>
    </row>
    <row r="325">
      <c r="A325" s="1" t="s">
        <v>17</v>
      </c>
      <c r="B325" s="1">
        <v>1995.0</v>
      </c>
      <c r="C325" s="1" t="s">
        <v>2434</v>
      </c>
      <c r="D325" s="1" t="s">
        <v>2435</v>
      </c>
      <c r="E325" s="2" t="s">
        <v>2436</v>
      </c>
      <c r="F325" s="1">
        <v>176.0</v>
      </c>
      <c r="G325" s="1" t="s">
        <v>2439</v>
      </c>
      <c r="H325" s="1" t="s">
        <v>28</v>
      </c>
      <c r="I325" s="1"/>
      <c r="J325" s="1" t="s">
        <v>2440</v>
      </c>
      <c r="K325" s="1"/>
      <c r="L325" s="1" t="s">
        <v>2441</v>
      </c>
      <c r="M325" s="1" t="s">
        <v>2442</v>
      </c>
    </row>
    <row r="326">
      <c r="A326" s="1" t="s">
        <v>17</v>
      </c>
      <c r="B326" s="1">
        <v>1995.0</v>
      </c>
      <c r="C326" s="1" t="s">
        <v>2443</v>
      </c>
      <c r="D326" s="1" t="s">
        <v>2444</v>
      </c>
      <c r="E326" s="2" t="s">
        <v>2445</v>
      </c>
      <c r="F326" s="1">
        <v>184.0</v>
      </c>
      <c r="G326" s="1" t="s">
        <v>2449</v>
      </c>
      <c r="H326" s="1" t="s">
        <v>28</v>
      </c>
      <c r="I326" s="1"/>
      <c r="J326" s="1" t="s">
        <v>2450</v>
      </c>
      <c r="K326" s="1"/>
      <c r="L326" s="1" t="s">
        <v>2451</v>
      </c>
      <c r="M326" s="1" t="s">
        <v>2452</v>
      </c>
    </row>
    <row r="327">
      <c r="A327" s="1" t="s">
        <v>17</v>
      </c>
      <c r="B327" s="1">
        <v>1995.0</v>
      </c>
      <c r="C327" s="1" t="s">
        <v>2453</v>
      </c>
      <c r="D327" s="1" t="s">
        <v>2454</v>
      </c>
      <c r="E327" s="2" t="s">
        <v>2455</v>
      </c>
      <c r="F327" s="1">
        <v>192.0</v>
      </c>
      <c r="G327" s="1">
        <v>199.0</v>
      </c>
      <c r="H327" s="1" t="s">
        <v>28</v>
      </c>
      <c r="I327" s="1"/>
      <c r="J327" s="1" t="s">
        <v>2459</v>
      </c>
      <c r="K327" s="1"/>
      <c r="L327" s="1" t="s">
        <v>2460</v>
      </c>
      <c r="M327" s="1" t="s">
        <v>1340</v>
      </c>
    </row>
    <row r="328">
      <c r="A328" s="1" t="s">
        <v>17</v>
      </c>
      <c r="B328" s="1">
        <v>1995.0</v>
      </c>
      <c r="C328" s="1" t="s">
        <v>2461</v>
      </c>
      <c r="D328" s="1" t="s">
        <v>2462</v>
      </c>
      <c r="E328" s="2" t="s">
        <v>2463</v>
      </c>
      <c r="F328" s="1">
        <v>201.0</v>
      </c>
      <c r="G328" s="1" t="s">
        <v>2464</v>
      </c>
      <c r="H328" s="1" t="s">
        <v>28</v>
      </c>
      <c r="I328" s="1"/>
      <c r="J328" s="1" t="s">
        <v>2465</v>
      </c>
      <c r="K328" s="1"/>
      <c r="L328" s="1" t="s">
        <v>753</v>
      </c>
      <c r="M328" s="1" t="s">
        <v>2466</v>
      </c>
    </row>
    <row r="329">
      <c r="A329" s="1" t="s">
        <v>17</v>
      </c>
      <c r="B329" s="1">
        <v>1995.0</v>
      </c>
      <c r="C329" s="1" t="s">
        <v>2467</v>
      </c>
      <c r="D329" s="1" t="s">
        <v>2468</v>
      </c>
      <c r="E329" s="2" t="s">
        <v>2469</v>
      </c>
      <c r="F329" s="1">
        <v>209.0</v>
      </c>
      <c r="G329" s="1" t="s">
        <v>2473</v>
      </c>
      <c r="H329" s="1" t="s">
        <v>28</v>
      </c>
      <c r="I329" s="1"/>
      <c r="J329" s="1" t="s">
        <v>2474</v>
      </c>
      <c r="K329" s="1"/>
      <c r="L329" s="1" t="s">
        <v>2475</v>
      </c>
    </row>
    <row r="330">
      <c r="A330" s="1" t="s">
        <v>17</v>
      </c>
      <c r="B330" s="1">
        <v>1995.0</v>
      </c>
      <c r="C330" s="1" t="s">
        <v>2476</v>
      </c>
      <c r="D330" s="1" t="s">
        <v>2151</v>
      </c>
      <c r="E330" s="2" t="s">
        <v>2477</v>
      </c>
      <c r="F330" s="1">
        <v>217.0</v>
      </c>
      <c r="G330" s="1" t="s">
        <v>2478</v>
      </c>
      <c r="H330" s="1" t="s">
        <v>28</v>
      </c>
      <c r="I330" s="1"/>
      <c r="J330" s="1" t="s">
        <v>2479</v>
      </c>
      <c r="K330" s="1"/>
      <c r="L330" s="1" t="s">
        <v>2480</v>
      </c>
      <c r="M330" s="1" t="s">
        <v>2144</v>
      </c>
    </row>
    <row r="331">
      <c r="A331" s="1" t="s">
        <v>17</v>
      </c>
      <c r="B331" s="1">
        <v>1995.0</v>
      </c>
      <c r="C331" s="1" t="s">
        <v>2483</v>
      </c>
      <c r="D331" s="1" t="s">
        <v>2484</v>
      </c>
      <c r="E331" s="2" t="s">
        <v>2486</v>
      </c>
      <c r="F331" s="1">
        <v>224.0</v>
      </c>
      <c r="G331" s="1" t="s">
        <v>2487</v>
      </c>
      <c r="H331" s="1" t="s">
        <v>28</v>
      </c>
      <c r="I331" s="1"/>
      <c r="J331" s="1" t="s">
        <v>2488</v>
      </c>
      <c r="K331" s="1"/>
      <c r="L331" s="1" t="s">
        <v>2489</v>
      </c>
      <c r="M331" s="1" t="s">
        <v>769</v>
      </c>
    </row>
    <row r="332">
      <c r="A332" s="1" t="s">
        <v>17</v>
      </c>
      <c r="B332" s="1">
        <v>1995.0</v>
      </c>
      <c r="C332" s="1" t="s">
        <v>2490</v>
      </c>
      <c r="D332" s="1" t="s">
        <v>2491</v>
      </c>
      <c r="E332" s="2" t="s">
        <v>2492</v>
      </c>
      <c r="F332" s="1">
        <v>233.0</v>
      </c>
      <c r="G332" s="1" t="s">
        <v>2496</v>
      </c>
      <c r="H332" s="1" t="s">
        <v>28</v>
      </c>
      <c r="I332" s="1"/>
      <c r="J332" s="1" t="s">
        <v>1371</v>
      </c>
      <c r="K332" s="1"/>
      <c r="L332" s="1" t="s">
        <v>1372</v>
      </c>
      <c r="M332" s="1" t="s">
        <v>2497</v>
      </c>
    </row>
    <row r="333">
      <c r="A333" s="1" t="s">
        <v>17</v>
      </c>
      <c r="B333" s="1">
        <v>1995.0</v>
      </c>
      <c r="C333" s="1" t="s">
        <v>2498</v>
      </c>
      <c r="D333" s="1" t="s">
        <v>2499</v>
      </c>
      <c r="E333" s="2" t="s">
        <v>2500</v>
      </c>
      <c r="F333" s="1">
        <v>240.0</v>
      </c>
      <c r="G333" s="1" t="s">
        <v>2514</v>
      </c>
      <c r="H333" s="1" t="s">
        <v>28</v>
      </c>
      <c r="I333" s="1"/>
      <c r="J333" s="1" t="s">
        <v>2515</v>
      </c>
      <c r="K333" s="1"/>
      <c r="L333" s="1" t="s">
        <v>753</v>
      </c>
      <c r="M333" s="1" t="s">
        <v>2516</v>
      </c>
    </row>
    <row r="334">
      <c r="A334" s="1" t="s">
        <v>17</v>
      </c>
      <c r="B334" s="1">
        <v>1995.0</v>
      </c>
      <c r="C334" s="1" t="s">
        <v>2517</v>
      </c>
      <c r="D334" s="1" t="s">
        <v>2518</v>
      </c>
      <c r="E334" s="2" t="s">
        <v>2519</v>
      </c>
      <c r="F334" s="1">
        <v>248.0</v>
      </c>
      <c r="G334" s="1" t="s">
        <v>2523</v>
      </c>
      <c r="H334" s="1" t="s">
        <v>28</v>
      </c>
      <c r="I334" s="1"/>
      <c r="J334" s="1" t="s">
        <v>2524</v>
      </c>
      <c r="K334" s="1"/>
      <c r="L334" s="1" t="s">
        <v>2525</v>
      </c>
      <c r="M334" s="1" t="s">
        <v>2526</v>
      </c>
    </row>
    <row r="335">
      <c r="A335" s="1" t="s">
        <v>17</v>
      </c>
      <c r="B335" s="1">
        <v>1995.0</v>
      </c>
      <c r="C335" s="1" t="s">
        <v>2527</v>
      </c>
      <c r="D335" s="1" t="s">
        <v>2528</v>
      </c>
      <c r="E335" s="2" t="s">
        <v>2529</v>
      </c>
      <c r="F335" s="1">
        <v>254.0</v>
      </c>
      <c r="G335" s="1" t="s">
        <v>2533</v>
      </c>
      <c r="H335" s="1" t="s">
        <v>28</v>
      </c>
      <c r="I335" s="1"/>
      <c r="J335" s="1" t="s">
        <v>2534</v>
      </c>
      <c r="K335" s="1"/>
      <c r="L335" s="1" t="s">
        <v>2535</v>
      </c>
      <c r="M335" s="1"/>
      <c r="N335" s="1" t="s">
        <v>2536</v>
      </c>
    </row>
    <row r="336">
      <c r="A336" s="1" t="s">
        <v>17</v>
      </c>
      <c r="B336" s="1">
        <v>1995.0</v>
      </c>
      <c r="C336" s="1" t="s">
        <v>2538</v>
      </c>
      <c r="D336" s="1" t="s">
        <v>2539</v>
      </c>
      <c r="E336" s="2" t="s">
        <v>2542</v>
      </c>
      <c r="F336" s="1">
        <v>263.0</v>
      </c>
      <c r="G336" s="1" t="s">
        <v>2544</v>
      </c>
      <c r="H336" s="1" t="s">
        <v>28</v>
      </c>
      <c r="I336" s="1"/>
      <c r="J336" s="1" t="s">
        <v>2545</v>
      </c>
      <c r="K336" s="1"/>
      <c r="L336" s="1" t="s">
        <v>665</v>
      </c>
      <c r="M336" s="1" t="s">
        <v>2546</v>
      </c>
    </row>
    <row r="337">
      <c r="A337" s="1" t="s">
        <v>17</v>
      </c>
      <c r="B337" s="1">
        <v>1995.0</v>
      </c>
      <c r="C337" s="1" t="s">
        <v>2547</v>
      </c>
      <c r="D337" s="1" t="s">
        <v>2548</v>
      </c>
      <c r="E337" s="2" t="s">
        <v>2549</v>
      </c>
      <c r="F337" s="1">
        <v>271.0</v>
      </c>
      <c r="G337" s="1"/>
      <c r="H337" s="1" t="s">
        <v>28</v>
      </c>
      <c r="I337" s="1"/>
      <c r="J337" s="1" t="s">
        <v>2550</v>
      </c>
      <c r="K337" s="1"/>
      <c r="L337" s="1" t="s">
        <v>178</v>
      </c>
      <c r="M337" s="1" t="s">
        <v>2551</v>
      </c>
    </row>
    <row r="338">
      <c r="A338" s="1" t="s">
        <v>17</v>
      </c>
      <c r="B338" s="1">
        <v>1995.0</v>
      </c>
      <c r="C338" s="1" t="s">
        <v>2553</v>
      </c>
      <c r="D338" s="1" t="s">
        <v>2555</v>
      </c>
      <c r="E338" s="2" t="s">
        <v>2557</v>
      </c>
      <c r="F338" s="1">
        <v>279.0</v>
      </c>
      <c r="G338" s="1" t="s">
        <v>2559</v>
      </c>
      <c r="H338" s="1" t="s">
        <v>28</v>
      </c>
      <c r="I338" s="1"/>
      <c r="J338" s="1" t="s">
        <v>2560</v>
      </c>
      <c r="K338" s="1"/>
      <c r="L338" s="1" t="s">
        <v>2561</v>
      </c>
      <c r="M338" s="1" t="s">
        <v>2562</v>
      </c>
      <c r="N338" s="1" t="s">
        <v>2563</v>
      </c>
    </row>
    <row r="339">
      <c r="A339" s="1" t="s">
        <v>17</v>
      </c>
      <c r="B339" s="1">
        <v>1995.0</v>
      </c>
      <c r="C339" s="1" t="s">
        <v>2564</v>
      </c>
      <c r="D339" s="1" t="s">
        <v>2565</v>
      </c>
      <c r="E339" s="2" t="s">
        <v>2566</v>
      </c>
      <c r="F339" s="1">
        <v>288.0</v>
      </c>
      <c r="G339" s="1" t="s">
        <v>2573</v>
      </c>
      <c r="H339" s="1" t="s">
        <v>28</v>
      </c>
      <c r="I339" s="1"/>
      <c r="J339" s="1" t="s">
        <v>2574</v>
      </c>
      <c r="K339" s="1"/>
      <c r="L339" s="1" t="s">
        <v>2575</v>
      </c>
      <c r="M339" s="1" t="s">
        <v>2576</v>
      </c>
      <c r="N339" s="1" t="s">
        <v>2577</v>
      </c>
    </row>
    <row r="340">
      <c r="A340" s="1" t="s">
        <v>17</v>
      </c>
      <c r="B340" s="1">
        <v>1995.0</v>
      </c>
      <c r="C340" s="1" t="s">
        <v>2578</v>
      </c>
      <c r="D340" s="1" t="s">
        <v>2579</v>
      </c>
      <c r="E340" s="2" t="s">
        <v>2580</v>
      </c>
      <c r="F340" s="1">
        <v>296.0</v>
      </c>
      <c r="G340" s="1" t="s">
        <v>2584</v>
      </c>
      <c r="H340" s="1" t="s">
        <v>28</v>
      </c>
      <c r="I340" s="1"/>
      <c r="J340" s="1" t="s">
        <v>2585</v>
      </c>
      <c r="K340" s="1"/>
      <c r="L340" s="1" t="s">
        <v>2303</v>
      </c>
      <c r="M340" s="1" t="s">
        <v>1323</v>
      </c>
    </row>
    <row r="341">
      <c r="A341" s="1" t="s">
        <v>17</v>
      </c>
      <c r="B341" s="1">
        <v>1995.0</v>
      </c>
      <c r="C341" s="1" t="s">
        <v>2586</v>
      </c>
      <c r="D341" s="1" t="s">
        <v>2587</v>
      </c>
      <c r="E341" s="2" t="s">
        <v>2588</v>
      </c>
      <c r="F341" s="1">
        <v>304.0</v>
      </c>
      <c r="G341" s="1" t="s">
        <v>2592</v>
      </c>
      <c r="H341" s="1" t="s">
        <v>28</v>
      </c>
      <c r="I341" s="1"/>
      <c r="J341" s="1" t="s">
        <v>2593</v>
      </c>
      <c r="K341" s="1"/>
      <c r="L341" s="1" t="s">
        <v>2594</v>
      </c>
      <c r="M341" s="1" t="s">
        <v>2595</v>
      </c>
    </row>
    <row r="342">
      <c r="A342" s="1" t="s">
        <v>17</v>
      </c>
      <c r="B342" s="1">
        <v>1995.0</v>
      </c>
      <c r="C342" s="1" t="s">
        <v>2596</v>
      </c>
      <c r="D342" s="1" t="s">
        <v>2597</v>
      </c>
      <c r="E342" s="2" t="s">
        <v>2598</v>
      </c>
      <c r="F342" s="1">
        <v>313.0</v>
      </c>
      <c r="G342" s="1"/>
      <c r="H342" s="1" t="s">
        <v>28</v>
      </c>
      <c r="I342" s="1"/>
      <c r="J342" s="1" t="s">
        <v>2602</v>
      </c>
      <c r="K342" s="1"/>
      <c r="L342" s="1" t="s">
        <v>494</v>
      </c>
      <c r="M342" s="1" t="s">
        <v>2604</v>
      </c>
    </row>
    <row r="343">
      <c r="A343" s="1" t="s">
        <v>17</v>
      </c>
      <c r="B343" s="1">
        <v>1995.0</v>
      </c>
      <c r="C343" s="1" t="s">
        <v>2605</v>
      </c>
      <c r="D343" s="1" t="s">
        <v>2606</v>
      </c>
      <c r="E343" s="2" t="s">
        <v>2607</v>
      </c>
      <c r="F343" s="1">
        <v>321.0</v>
      </c>
      <c r="G343" s="1" t="s">
        <v>2611</v>
      </c>
      <c r="H343" s="1" t="s">
        <v>28</v>
      </c>
      <c r="I343" s="1"/>
      <c r="J343" s="1" t="s">
        <v>2612</v>
      </c>
      <c r="K343" s="1"/>
      <c r="L343" s="1" t="s">
        <v>2613</v>
      </c>
      <c r="M343" s="1" t="s">
        <v>2614</v>
      </c>
    </row>
    <row r="344">
      <c r="A344" s="1" t="s">
        <v>17</v>
      </c>
      <c r="B344" s="1">
        <v>1995.0</v>
      </c>
      <c r="C344" s="1" t="s">
        <v>2615</v>
      </c>
      <c r="D344" s="1" t="s">
        <v>2616</v>
      </c>
      <c r="E344" s="2" t="s">
        <v>2617</v>
      </c>
      <c r="F344" s="1">
        <v>329.0</v>
      </c>
      <c r="G344" s="1" t="s">
        <v>2618</v>
      </c>
      <c r="H344" s="1" t="s">
        <v>28</v>
      </c>
      <c r="I344" s="1"/>
      <c r="J344" s="1" t="s">
        <v>2619</v>
      </c>
      <c r="K344" s="1"/>
      <c r="L344" s="1" t="s">
        <v>1153</v>
      </c>
      <c r="M344" s="1" t="s">
        <v>2621</v>
      </c>
    </row>
    <row r="345">
      <c r="A345" s="1" t="s">
        <v>17</v>
      </c>
      <c r="B345" s="1">
        <v>1995.0</v>
      </c>
      <c r="C345" s="1" t="s">
        <v>2624</v>
      </c>
      <c r="D345" s="1" t="s">
        <v>2625</v>
      </c>
      <c r="E345" s="2" t="s">
        <v>2626</v>
      </c>
      <c r="F345" s="1">
        <v>338.0</v>
      </c>
      <c r="G345" s="1" t="s">
        <v>2627</v>
      </c>
      <c r="H345" s="1" t="s">
        <v>28</v>
      </c>
      <c r="I345" s="1"/>
      <c r="J345" s="1" t="s">
        <v>2628</v>
      </c>
      <c r="K345" s="1"/>
      <c r="L345" s="1" t="s">
        <v>2629</v>
      </c>
      <c r="M345" s="1" t="s">
        <v>1465</v>
      </c>
    </row>
    <row r="346">
      <c r="A346" s="1" t="s">
        <v>17</v>
      </c>
      <c r="B346" s="1">
        <v>1995.0</v>
      </c>
      <c r="C346" s="1" t="s">
        <v>2630</v>
      </c>
      <c r="D346" s="1" t="s">
        <v>2631</v>
      </c>
      <c r="E346" s="2" t="s">
        <v>2632</v>
      </c>
      <c r="F346" s="1">
        <v>342.0</v>
      </c>
      <c r="G346" s="1" t="s">
        <v>2636</v>
      </c>
      <c r="H346" s="1" t="s">
        <v>28</v>
      </c>
      <c r="I346" s="1"/>
      <c r="J346" s="1" t="s">
        <v>2637</v>
      </c>
      <c r="K346" s="1"/>
      <c r="L346" s="1" t="s">
        <v>2638</v>
      </c>
    </row>
    <row r="347">
      <c r="A347" s="1" t="s">
        <v>17</v>
      </c>
      <c r="B347" s="1">
        <v>1995.0</v>
      </c>
      <c r="C347" s="1" t="s">
        <v>2639</v>
      </c>
      <c r="D347" s="1" t="s">
        <v>2640</v>
      </c>
      <c r="E347" s="2" t="s">
        <v>2642</v>
      </c>
      <c r="F347" s="1">
        <v>346.0</v>
      </c>
      <c r="G347" s="1">
        <v>349.0</v>
      </c>
      <c r="H347" s="1" t="s">
        <v>28</v>
      </c>
      <c r="I347" s="1"/>
      <c r="J347" s="1" t="s">
        <v>2645</v>
      </c>
      <c r="K347" s="1"/>
      <c r="L347" s="1" t="s">
        <v>2646</v>
      </c>
    </row>
    <row r="348">
      <c r="A348" s="1" t="s">
        <v>17</v>
      </c>
      <c r="B348" s="1">
        <v>1995.0</v>
      </c>
      <c r="C348" s="1" t="s">
        <v>2647</v>
      </c>
      <c r="D348" s="1" t="s">
        <v>2648</v>
      </c>
      <c r="E348" s="2" t="s">
        <v>2649</v>
      </c>
      <c r="F348" s="1">
        <v>351.0</v>
      </c>
      <c r="G348" s="1" t="s">
        <v>2653</v>
      </c>
      <c r="H348" s="1" t="s">
        <v>28</v>
      </c>
      <c r="I348" s="1"/>
      <c r="J348" s="1" t="s">
        <v>154</v>
      </c>
      <c r="K348" s="1"/>
      <c r="L348" s="1" t="s">
        <v>2654</v>
      </c>
    </row>
    <row r="349">
      <c r="A349" s="1" t="s">
        <v>17</v>
      </c>
      <c r="B349" s="1">
        <v>1995.0</v>
      </c>
      <c r="C349" s="1" t="s">
        <v>2655</v>
      </c>
      <c r="D349" s="1" t="s">
        <v>2656</v>
      </c>
      <c r="E349" s="2" t="s">
        <v>2657</v>
      </c>
      <c r="F349" s="1">
        <v>355.0</v>
      </c>
      <c r="G349" s="1" t="s">
        <v>2661</v>
      </c>
      <c r="H349" s="1" t="s">
        <v>28</v>
      </c>
      <c r="I349" s="1"/>
      <c r="J349" s="1" t="s">
        <v>2662</v>
      </c>
      <c r="K349" s="1"/>
      <c r="L349" s="1" t="s">
        <v>2663</v>
      </c>
      <c r="M349" s="1" t="s">
        <v>1630</v>
      </c>
    </row>
    <row r="350">
      <c r="A350" s="1" t="s">
        <v>17</v>
      </c>
      <c r="B350" s="1">
        <v>1995.0</v>
      </c>
      <c r="C350" s="1" t="s">
        <v>2664</v>
      </c>
      <c r="D350" s="1" t="s">
        <v>2665</v>
      </c>
      <c r="E350" s="2" t="s">
        <v>2666</v>
      </c>
      <c r="F350" s="1">
        <v>359.0</v>
      </c>
      <c r="G350" s="1" t="s">
        <v>2668</v>
      </c>
      <c r="H350" s="1" t="s">
        <v>28</v>
      </c>
      <c r="I350" s="1"/>
      <c r="J350" s="1" t="s">
        <v>2669</v>
      </c>
      <c r="K350" s="1"/>
      <c r="L350" s="1" t="s">
        <v>2670</v>
      </c>
    </row>
    <row r="351">
      <c r="A351" s="1" t="s">
        <v>17</v>
      </c>
      <c r="B351" s="1">
        <v>1995.0</v>
      </c>
      <c r="C351" s="1" t="s">
        <v>2671</v>
      </c>
      <c r="D351" s="1" t="s">
        <v>2672</v>
      </c>
      <c r="E351" s="2" t="s">
        <v>2673</v>
      </c>
      <c r="F351" s="1">
        <v>364.0</v>
      </c>
      <c r="G351" s="1" t="s">
        <v>2676</v>
      </c>
      <c r="H351" s="1" t="s">
        <v>28</v>
      </c>
      <c r="I351" s="1"/>
      <c r="J351" s="1" t="s">
        <v>2677</v>
      </c>
      <c r="K351" s="1"/>
      <c r="L351" s="1" t="s">
        <v>2678</v>
      </c>
    </row>
    <row r="352">
      <c r="A352" s="1" t="s">
        <v>17</v>
      </c>
      <c r="B352" s="1">
        <v>1995.0</v>
      </c>
      <c r="C352" s="1" t="s">
        <v>2679</v>
      </c>
      <c r="D352" s="1" t="s">
        <v>2680</v>
      </c>
      <c r="E352" s="2" t="s">
        <v>2681</v>
      </c>
      <c r="F352" s="1">
        <v>368.0</v>
      </c>
      <c r="G352" s="1" t="s">
        <v>2685</v>
      </c>
      <c r="H352" s="1" t="s">
        <v>28</v>
      </c>
      <c r="I352" s="1"/>
      <c r="J352" s="1" t="s">
        <v>2171</v>
      </c>
      <c r="K352" s="1"/>
      <c r="L352" s="1" t="s">
        <v>2686</v>
      </c>
      <c r="M352" s="1" t="s">
        <v>1161</v>
      </c>
    </row>
    <row r="353">
      <c r="A353" s="1" t="s">
        <v>17</v>
      </c>
      <c r="B353" s="1">
        <v>1995.0</v>
      </c>
      <c r="C353" s="1" t="s">
        <v>2687</v>
      </c>
      <c r="D353" s="1" t="s">
        <v>2688</v>
      </c>
      <c r="E353" s="2" t="s">
        <v>2689</v>
      </c>
      <c r="F353" s="1">
        <v>374.0</v>
      </c>
      <c r="G353" s="1" t="s">
        <v>2690</v>
      </c>
      <c r="H353" s="1" t="s">
        <v>28</v>
      </c>
      <c r="I353" s="1"/>
      <c r="J353" s="1" t="s">
        <v>2691</v>
      </c>
      <c r="K353" s="1"/>
      <c r="L353" s="1" t="s">
        <v>2692</v>
      </c>
    </row>
    <row r="354">
      <c r="A354" s="1" t="s">
        <v>17</v>
      </c>
      <c r="B354" s="1">
        <v>1995.0</v>
      </c>
      <c r="C354" s="1" t="s">
        <v>2693</v>
      </c>
      <c r="D354" s="1" t="s">
        <v>2694</v>
      </c>
      <c r="E354" s="2" t="s">
        <v>2695</v>
      </c>
      <c r="F354" s="1">
        <v>379.0</v>
      </c>
      <c r="G354" s="1" t="s">
        <v>2696</v>
      </c>
      <c r="H354" s="1" t="s">
        <v>28</v>
      </c>
      <c r="I354" s="1"/>
      <c r="J354" s="1" t="s">
        <v>2697</v>
      </c>
      <c r="K354" s="1"/>
      <c r="L354" s="1" t="s">
        <v>2663</v>
      </c>
      <c r="M354" s="1" t="s">
        <v>2698</v>
      </c>
    </row>
    <row r="355">
      <c r="A355" s="1" t="s">
        <v>17</v>
      </c>
      <c r="B355" s="1">
        <v>1995.0</v>
      </c>
      <c r="C355" s="1" t="s">
        <v>2699</v>
      </c>
      <c r="D355" s="1" t="s">
        <v>2700</v>
      </c>
      <c r="E355" s="2" t="s">
        <v>2701</v>
      </c>
      <c r="F355" s="1">
        <v>383.0</v>
      </c>
      <c r="G355" s="1" t="s">
        <v>2702</v>
      </c>
      <c r="H355" s="1" t="s">
        <v>28</v>
      </c>
      <c r="I355" s="1"/>
      <c r="J355" s="1" t="s">
        <v>2703</v>
      </c>
      <c r="K355" s="1"/>
      <c r="L355" s="1" t="s">
        <v>2704</v>
      </c>
    </row>
    <row r="356">
      <c r="A356" s="1" t="s">
        <v>17</v>
      </c>
      <c r="B356" s="1">
        <v>1995.0</v>
      </c>
      <c r="C356" s="1" t="s">
        <v>2705</v>
      </c>
      <c r="D356" s="1" t="s">
        <v>2706</v>
      </c>
      <c r="E356" s="2" t="s">
        <v>2707</v>
      </c>
      <c r="F356" s="1">
        <v>388.0</v>
      </c>
      <c r="G356" s="1" t="s">
        <v>2708</v>
      </c>
      <c r="H356" s="1" t="s">
        <v>28</v>
      </c>
      <c r="I356" s="1"/>
      <c r="J356" s="1" t="s">
        <v>2709</v>
      </c>
      <c r="K356" s="1"/>
      <c r="L356" s="1" t="s">
        <v>2303</v>
      </c>
    </row>
    <row r="357">
      <c r="A357" s="1" t="s">
        <v>17</v>
      </c>
      <c r="B357" s="1">
        <v>1995.0</v>
      </c>
      <c r="C357" s="1" t="s">
        <v>2710</v>
      </c>
      <c r="D357" s="1" t="s">
        <v>2711</v>
      </c>
      <c r="E357" s="2" t="s">
        <v>2712</v>
      </c>
      <c r="F357" s="1">
        <v>393.0</v>
      </c>
      <c r="G357" s="1" t="s">
        <v>2713</v>
      </c>
      <c r="H357" s="1" t="s">
        <v>28</v>
      </c>
      <c r="I357" s="1"/>
      <c r="J357" s="1" t="s">
        <v>2714</v>
      </c>
      <c r="K357" s="1"/>
      <c r="L357" s="1" t="s">
        <v>2715</v>
      </c>
    </row>
    <row r="358">
      <c r="A358" s="1" t="s">
        <v>17</v>
      </c>
      <c r="B358" s="1">
        <v>1995.0</v>
      </c>
      <c r="C358" s="1" t="s">
        <v>2716</v>
      </c>
      <c r="D358" s="1" t="s">
        <v>2717</v>
      </c>
      <c r="E358" s="2" t="s">
        <v>2718</v>
      </c>
      <c r="F358" s="1">
        <v>397.0</v>
      </c>
      <c r="G358" s="1" t="s">
        <v>2719</v>
      </c>
      <c r="H358" s="1" t="s">
        <v>28</v>
      </c>
      <c r="I358" s="1"/>
      <c r="J358" s="1" t="s">
        <v>2720</v>
      </c>
      <c r="K358" s="1"/>
      <c r="L358" s="1" t="s">
        <v>2721</v>
      </c>
    </row>
    <row r="359">
      <c r="A359" s="1" t="s">
        <v>17</v>
      </c>
      <c r="B359" s="1">
        <v>1995.0</v>
      </c>
      <c r="C359" s="1" t="s">
        <v>2722</v>
      </c>
      <c r="D359" s="1" t="s">
        <v>2723</v>
      </c>
      <c r="E359" s="2" t="s">
        <v>2724</v>
      </c>
      <c r="F359" s="1">
        <v>400.0</v>
      </c>
      <c r="G359" s="1" t="s">
        <v>2725</v>
      </c>
      <c r="H359" s="1" t="s">
        <v>28</v>
      </c>
      <c r="I359" s="1"/>
      <c r="J359" s="1" t="s">
        <v>2726</v>
      </c>
      <c r="K359" s="1"/>
      <c r="L359" s="1" t="s">
        <v>815</v>
      </c>
    </row>
    <row r="360">
      <c r="A360" s="1" t="s">
        <v>2137</v>
      </c>
      <c r="B360" s="1">
        <v>1996.0</v>
      </c>
      <c r="C360" s="1" t="s">
        <v>2727</v>
      </c>
      <c r="D360" s="1" t="s">
        <v>2728</v>
      </c>
      <c r="E360" s="2" t="s">
        <v>2729</v>
      </c>
      <c r="F360" s="1">
        <v>3.0</v>
      </c>
      <c r="G360" s="1" t="s">
        <v>2730</v>
      </c>
      <c r="H360" s="1" t="s">
        <v>28</v>
      </c>
      <c r="I360" s="1"/>
      <c r="J360" s="1" t="s">
        <v>2731</v>
      </c>
      <c r="K360" s="1"/>
      <c r="L360" s="1" t="s">
        <v>2732</v>
      </c>
      <c r="M360" s="1" t="s">
        <v>2733</v>
      </c>
      <c r="N360" s="1" t="s">
        <v>2734</v>
      </c>
      <c r="P360" s="1"/>
      <c r="Q360" s="1" t="s">
        <v>1093</v>
      </c>
    </row>
    <row r="361">
      <c r="A361" s="1" t="s">
        <v>2137</v>
      </c>
      <c r="B361" s="1">
        <v>1996.0</v>
      </c>
      <c r="C361" s="1" t="s">
        <v>2735</v>
      </c>
      <c r="D361" s="1" t="s">
        <v>2736</v>
      </c>
      <c r="E361" s="2" t="s">
        <v>2737</v>
      </c>
      <c r="F361" s="1">
        <v>13.0</v>
      </c>
      <c r="G361" s="1" t="s">
        <v>2738</v>
      </c>
      <c r="H361" s="1" t="s">
        <v>28</v>
      </c>
      <c r="I361" s="1"/>
      <c r="J361" s="1" t="s">
        <v>2739</v>
      </c>
      <c r="K361" s="1"/>
      <c r="L361" s="1" t="s">
        <v>1118</v>
      </c>
      <c r="M361" s="1" t="s">
        <v>162</v>
      </c>
    </row>
    <row r="362">
      <c r="A362" s="1" t="s">
        <v>2137</v>
      </c>
      <c r="B362" s="1">
        <v>1996.0</v>
      </c>
      <c r="C362" s="1" t="s">
        <v>2740</v>
      </c>
      <c r="D362" s="1" t="s">
        <v>2741</v>
      </c>
      <c r="E362" s="2" t="s">
        <v>2742</v>
      </c>
      <c r="F362" s="1">
        <v>21.0</v>
      </c>
      <c r="G362" s="1" t="s">
        <v>2743</v>
      </c>
      <c r="H362" s="1" t="s">
        <v>28</v>
      </c>
      <c r="I362" s="1"/>
      <c r="J362" s="1" t="s">
        <v>2744</v>
      </c>
      <c r="K362" s="1"/>
      <c r="L362" s="1" t="s">
        <v>2210</v>
      </c>
      <c r="M362" s="1" t="s">
        <v>2745</v>
      </c>
      <c r="N362" s="1" t="s">
        <v>2746</v>
      </c>
    </row>
    <row r="363">
      <c r="A363" s="1" t="s">
        <v>2137</v>
      </c>
      <c r="B363" s="1">
        <v>1996.0</v>
      </c>
      <c r="C363" s="1" t="s">
        <v>2747</v>
      </c>
      <c r="D363" s="1" t="s">
        <v>2748</v>
      </c>
      <c r="E363" s="2" t="s">
        <v>2749</v>
      </c>
      <c r="F363" s="1">
        <v>29.0</v>
      </c>
      <c r="G363" s="1">
        <v>36.0</v>
      </c>
      <c r="H363" s="1" t="s">
        <v>28</v>
      </c>
      <c r="I363" s="1"/>
      <c r="J363" s="1" t="s">
        <v>2750</v>
      </c>
      <c r="K363" s="1"/>
      <c r="L363" s="1" t="s">
        <v>2751</v>
      </c>
      <c r="M363" s="1" t="s">
        <v>2752</v>
      </c>
      <c r="N363" s="1" t="s">
        <v>2753</v>
      </c>
    </row>
    <row r="364">
      <c r="A364" s="1" t="s">
        <v>2137</v>
      </c>
      <c r="B364" s="1">
        <v>1996.0</v>
      </c>
      <c r="C364" s="1" t="s">
        <v>2754</v>
      </c>
      <c r="D364" s="1" t="s">
        <v>2755</v>
      </c>
      <c r="E364" s="2" t="s">
        <v>2756</v>
      </c>
      <c r="F364" s="1">
        <v>38.0</v>
      </c>
      <c r="G364" s="1">
        <v>45.0</v>
      </c>
      <c r="H364" s="1" t="s">
        <v>28</v>
      </c>
      <c r="I364" s="1"/>
      <c r="J364" s="1" t="s">
        <v>2757</v>
      </c>
      <c r="K364" s="1"/>
      <c r="L364" s="1" t="s">
        <v>855</v>
      </c>
    </row>
    <row r="365">
      <c r="A365" s="1" t="s">
        <v>2137</v>
      </c>
      <c r="B365" s="1">
        <v>1996.0</v>
      </c>
      <c r="C365" s="1" t="s">
        <v>2758</v>
      </c>
      <c r="D365" s="1" t="s">
        <v>2759</v>
      </c>
      <c r="E365" s="2" t="s">
        <v>2760</v>
      </c>
      <c r="F365" s="1">
        <v>46.0</v>
      </c>
      <c r="G365" s="1" t="s">
        <v>2761</v>
      </c>
      <c r="H365" s="1" t="s">
        <v>28</v>
      </c>
      <c r="I365" s="1"/>
      <c r="J365" s="1" t="s">
        <v>2762</v>
      </c>
      <c r="K365" s="1"/>
      <c r="L365" s="1" t="s">
        <v>1802</v>
      </c>
      <c r="M365" s="1"/>
      <c r="N365" s="1" t="s">
        <v>2763</v>
      </c>
    </row>
    <row r="366">
      <c r="A366" s="1" t="s">
        <v>2137</v>
      </c>
      <c r="B366" s="1">
        <v>1996.0</v>
      </c>
      <c r="C366" s="1" t="s">
        <v>2764</v>
      </c>
      <c r="D366" s="1" t="s">
        <v>2765</v>
      </c>
      <c r="E366" s="2" t="s">
        <v>2766</v>
      </c>
      <c r="F366" s="1">
        <v>54.0</v>
      </c>
      <c r="G366" s="1" t="s">
        <v>2767</v>
      </c>
      <c r="H366" s="1" t="s">
        <v>28</v>
      </c>
      <c r="I366" s="1"/>
      <c r="J366" s="1" t="s">
        <v>2768</v>
      </c>
      <c r="K366" s="1"/>
      <c r="L366" s="1" t="s">
        <v>2769</v>
      </c>
    </row>
    <row r="367">
      <c r="A367" s="1" t="s">
        <v>2137</v>
      </c>
      <c r="B367" s="1">
        <v>1996.0</v>
      </c>
      <c r="C367" s="1" t="s">
        <v>2770</v>
      </c>
      <c r="D367" s="1" t="s">
        <v>2771</v>
      </c>
      <c r="E367" s="2" t="s">
        <v>2772</v>
      </c>
      <c r="F367" s="1">
        <v>62.0</v>
      </c>
      <c r="G367" s="1" t="s">
        <v>2773</v>
      </c>
      <c r="H367" s="1" t="s">
        <v>21</v>
      </c>
      <c r="I367" s="1"/>
      <c r="J367" s="1" t="s">
        <v>2774</v>
      </c>
      <c r="K367" s="1"/>
      <c r="L367" s="1" t="s">
        <v>2775</v>
      </c>
    </row>
    <row r="368">
      <c r="A368" s="1" t="s">
        <v>2137</v>
      </c>
      <c r="B368" s="1">
        <v>1996.0</v>
      </c>
      <c r="C368" s="1" t="s">
        <v>2776</v>
      </c>
      <c r="D368" s="1" t="s">
        <v>2777</v>
      </c>
      <c r="E368" s="2" t="s">
        <v>2778</v>
      </c>
      <c r="F368" s="1">
        <v>64.0</v>
      </c>
      <c r="G368" s="1" t="s">
        <v>2779</v>
      </c>
      <c r="H368" s="1" t="s">
        <v>21</v>
      </c>
      <c r="I368" s="1"/>
      <c r="J368" s="1" t="s">
        <v>2780</v>
      </c>
      <c r="K368" s="1"/>
      <c r="L368" s="1" t="s">
        <v>2781</v>
      </c>
    </row>
    <row r="369">
      <c r="A369" s="1" t="s">
        <v>2137</v>
      </c>
      <c r="B369" s="1">
        <v>1996.0</v>
      </c>
      <c r="C369" s="1" t="s">
        <v>2782</v>
      </c>
      <c r="D369" s="1" t="s">
        <v>2783</v>
      </c>
      <c r="E369" s="2" t="s">
        <v>2784</v>
      </c>
      <c r="F369" s="1">
        <v>66.0</v>
      </c>
      <c r="G369" s="1" t="s">
        <v>2785</v>
      </c>
      <c r="H369" s="1" t="s">
        <v>21</v>
      </c>
      <c r="I369" s="1"/>
      <c r="J369" s="1" t="s">
        <v>2786</v>
      </c>
      <c r="K369" s="1"/>
      <c r="L369" s="1" t="s">
        <v>2787</v>
      </c>
    </row>
    <row r="370">
      <c r="A370" s="1" t="s">
        <v>2137</v>
      </c>
      <c r="B370" s="1">
        <v>1996.0</v>
      </c>
      <c r="C370" s="1" t="s">
        <v>2788</v>
      </c>
      <c r="D370" s="1" t="s">
        <v>2789</v>
      </c>
      <c r="E370" s="2" t="s">
        <v>2790</v>
      </c>
      <c r="F370" s="1">
        <v>68.0</v>
      </c>
      <c r="G370" s="1" t="s">
        <v>2791</v>
      </c>
      <c r="H370" s="1" t="s">
        <v>21</v>
      </c>
      <c r="I370" s="1"/>
      <c r="J370" s="1" t="s">
        <v>2792</v>
      </c>
      <c r="K370" s="1"/>
      <c r="L370" s="1" t="s">
        <v>2793</v>
      </c>
    </row>
    <row r="371">
      <c r="A371" s="1" t="s">
        <v>2137</v>
      </c>
      <c r="B371" s="1">
        <v>1996.0</v>
      </c>
      <c r="C371" s="1" t="s">
        <v>2794</v>
      </c>
      <c r="D371" s="1" t="s">
        <v>2795</v>
      </c>
      <c r="E371" s="2" t="s">
        <v>2796</v>
      </c>
      <c r="F371" s="1">
        <v>70.0</v>
      </c>
      <c r="G371" s="1" t="s">
        <v>2797</v>
      </c>
      <c r="H371" s="1" t="s">
        <v>21</v>
      </c>
      <c r="I371" s="1"/>
      <c r="J371" s="1" t="s">
        <v>2798</v>
      </c>
      <c r="K371" s="1"/>
      <c r="L371" s="1" t="s">
        <v>66</v>
      </c>
    </row>
    <row r="372">
      <c r="A372" s="1" t="s">
        <v>2137</v>
      </c>
      <c r="B372" s="1">
        <v>1996.0</v>
      </c>
      <c r="C372" s="1" t="s">
        <v>2799</v>
      </c>
      <c r="D372" s="1" t="s">
        <v>2800</v>
      </c>
      <c r="E372" s="2" t="s">
        <v>2801</v>
      </c>
      <c r="F372" s="1">
        <v>72.0</v>
      </c>
      <c r="G372" s="1" t="s">
        <v>2802</v>
      </c>
      <c r="H372" s="1" t="s">
        <v>21</v>
      </c>
      <c r="I372" s="1"/>
      <c r="J372" s="1" t="s">
        <v>2803</v>
      </c>
      <c r="K372" s="1"/>
      <c r="L372" s="1" t="s">
        <v>2804</v>
      </c>
    </row>
    <row r="373">
      <c r="A373" s="1" t="s">
        <v>2137</v>
      </c>
      <c r="B373" s="1">
        <v>1996.0</v>
      </c>
      <c r="C373" s="1" t="s">
        <v>2805</v>
      </c>
      <c r="D373" s="1" t="s">
        <v>2806</v>
      </c>
      <c r="E373" s="2" t="s">
        <v>2807</v>
      </c>
      <c r="F373" s="1">
        <v>74.0</v>
      </c>
      <c r="G373" s="1" t="s">
        <v>2808</v>
      </c>
      <c r="H373" s="1" t="s">
        <v>21</v>
      </c>
      <c r="I373" s="1"/>
      <c r="J373" s="1" t="s">
        <v>2809</v>
      </c>
      <c r="K373" s="1"/>
      <c r="L373" s="1" t="s">
        <v>2810</v>
      </c>
    </row>
    <row r="374">
      <c r="A374" s="1" t="s">
        <v>2137</v>
      </c>
      <c r="B374" s="1">
        <v>1996.0</v>
      </c>
      <c r="C374" s="1" t="s">
        <v>2811</v>
      </c>
      <c r="D374" s="1" t="s">
        <v>2812</v>
      </c>
      <c r="E374" s="2" t="s">
        <v>2813</v>
      </c>
      <c r="F374" s="1">
        <v>77.0</v>
      </c>
      <c r="G374" s="1" t="s">
        <v>2814</v>
      </c>
      <c r="H374" s="1" t="s">
        <v>28</v>
      </c>
      <c r="I374" s="1"/>
      <c r="J374" s="1" t="s">
        <v>2815</v>
      </c>
      <c r="K374" s="1"/>
      <c r="L374" s="1" t="s">
        <v>2816</v>
      </c>
      <c r="M374" s="1" t="s">
        <v>2817</v>
      </c>
    </row>
    <row r="375">
      <c r="A375" s="1" t="s">
        <v>2137</v>
      </c>
      <c r="B375" s="1">
        <v>1996.0</v>
      </c>
      <c r="C375" s="1" t="s">
        <v>2818</v>
      </c>
      <c r="D375" s="1" t="s">
        <v>2819</v>
      </c>
      <c r="E375" s="2" t="s">
        <v>2820</v>
      </c>
      <c r="F375" s="1">
        <v>85.0</v>
      </c>
      <c r="G375" s="1" t="s">
        <v>2821</v>
      </c>
      <c r="H375" s="1" t="s">
        <v>28</v>
      </c>
      <c r="I375" s="1"/>
      <c r="J375" s="1" t="s">
        <v>2822</v>
      </c>
      <c r="K375" s="1"/>
      <c r="L375" s="1" t="s">
        <v>2823</v>
      </c>
      <c r="M375" s="1" t="s">
        <v>2260</v>
      </c>
    </row>
    <row r="376">
      <c r="A376" s="1" t="s">
        <v>2137</v>
      </c>
      <c r="B376" s="1">
        <v>1996.0</v>
      </c>
      <c r="C376" s="1" t="s">
        <v>2824</v>
      </c>
      <c r="D376" s="1" t="s">
        <v>2825</v>
      </c>
      <c r="E376" s="2" t="s">
        <v>2826</v>
      </c>
      <c r="F376" s="1">
        <v>93.0</v>
      </c>
      <c r="G376" s="1" t="s">
        <v>2827</v>
      </c>
      <c r="H376" s="1" t="s">
        <v>28</v>
      </c>
      <c r="I376" s="1"/>
      <c r="J376" s="1" t="s">
        <v>2828</v>
      </c>
      <c r="K376" s="1"/>
      <c r="L376" s="1" t="s">
        <v>2829</v>
      </c>
    </row>
    <row r="377">
      <c r="A377" s="1" t="s">
        <v>2137</v>
      </c>
      <c r="B377" s="1">
        <v>1996.0</v>
      </c>
      <c r="C377" s="1" t="s">
        <v>2830</v>
      </c>
      <c r="D377" s="1" t="s">
        <v>2831</v>
      </c>
      <c r="E377" s="2" t="s">
        <v>2832</v>
      </c>
      <c r="F377" s="1">
        <v>100.0</v>
      </c>
      <c r="G377" s="1" t="s">
        <v>2833</v>
      </c>
      <c r="H377" s="1" t="s">
        <v>28</v>
      </c>
      <c r="I377" s="1"/>
      <c r="J377" s="1" t="s">
        <v>2834</v>
      </c>
      <c r="K377" s="1"/>
      <c r="L377" s="1" t="s">
        <v>2835</v>
      </c>
    </row>
    <row r="378">
      <c r="A378" s="1" t="s">
        <v>2137</v>
      </c>
      <c r="B378" s="1">
        <v>1996.0</v>
      </c>
      <c r="C378" s="1" t="s">
        <v>2836</v>
      </c>
      <c r="D378" s="1" t="s">
        <v>2837</v>
      </c>
      <c r="E378" s="2" t="s">
        <v>2838</v>
      </c>
      <c r="F378" s="1">
        <v>108.0</v>
      </c>
      <c r="G378" s="1" t="s">
        <v>2839</v>
      </c>
      <c r="H378" s="1" t="s">
        <v>28</v>
      </c>
      <c r="I378" s="1"/>
      <c r="J378" s="1" t="s">
        <v>2840</v>
      </c>
      <c r="K378" s="1"/>
      <c r="L378" s="1" t="s">
        <v>2841</v>
      </c>
      <c r="M378" s="1" t="s">
        <v>809</v>
      </c>
    </row>
    <row r="379">
      <c r="A379" s="1" t="s">
        <v>17</v>
      </c>
      <c r="B379" s="1">
        <v>1996.0</v>
      </c>
      <c r="C379" s="1" t="s">
        <v>2842</v>
      </c>
      <c r="D379" s="1" t="s">
        <v>2843</v>
      </c>
      <c r="E379" s="2" t="s">
        <v>2844</v>
      </c>
      <c r="F379" s="1">
        <v>21.0</v>
      </c>
      <c r="G379" s="1">
        <v>28.0</v>
      </c>
      <c r="H379" s="1" t="s">
        <v>28</v>
      </c>
      <c r="I379" s="1"/>
      <c r="J379" s="1" t="s">
        <v>2845</v>
      </c>
      <c r="K379" s="1"/>
      <c r="L379" s="1" t="s">
        <v>2846</v>
      </c>
      <c r="M379" s="1"/>
      <c r="N379" s="1" t="s">
        <v>2847</v>
      </c>
    </row>
    <row r="380">
      <c r="A380" s="1" t="s">
        <v>17</v>
      </c>
      <c r="B380" s="1">
        <v>1996.0</v>
      </c>
      <c r="C380" s="1" t="s">
        <v>2848</v>
      </c>
      <c r="D380" s="1" t="s">
        <v>2849</v>
      </c>
      <c r="E380" s="2" t="s">
        <v>2850</v>
      </c>
      <c r="F380" s="1">
        <v>29.0</v>
      </c>
      <c r="G380" s="1">
        <v>35.0</v>
      </c>
      <c r="H380" s="1" t="s">
        <v>28</v>
      </c>
      <c r="I380" s="1"/>
      <c r="J380" s="1" t="s">
        <v>2851</v>
      </c>
      <c r="K380" s="1"/>
      <c r="L380" s="1" t="s">
        <v>2852</v>
      </c>
    </row>
    <row r="381">
      <c r="A381" s="1" t="s">
        <v>17</v>
      </c>
      <c r="B381" s="1">
        <v>1996.0</v>
      </c>
      <c r="C381" s="1" t="s">
        <v>2853</v>
      </c>
      <c r="D381" s="1" t="s">
        <v>2854</v>
      </c>
      <c r="E381" s="2" t="s">
        <v>2855</v>
      </c>
      <c r="F381" s="1">
        <v>37.0</v>
      </c>
      <c r="G381" s="1">
        <v>42.0</v>
      </c>
      <c r="H381" s="1" t="s">
        <v>28</v>
      </c>
      <c r="I381" s="1"/>
      <c r="J381" s="1" t="s">
        <v>2856</v>
      </c>
      <c r="K381" s="1"/>
      <c r="L381" s="1" t="s">
        <v>2857</v>
      </c>
    </row>
    <row r="382">
      <c r="A382" s="1" t="s">
        <v>17</v>
      </c>
      <c r="B382" s="1">
        <v>1996.0</v>
      </c>
      <c r="C382" s="1" t="s">
        <v>2858</v>
      </c>
      <c r="D382" s="1" t="s">
        <v>2859</v>
      </c>
      <c r="E382" s="2" t="s">
        <v>2860</v>
      </c>
      <c r="F382" s="1">
        <v>43.0</v>
      </c>
      <c r="G382" s="1">
        <v>48.0</v>
      </c>
      <c r="H382" s="1" t="s">
        <v>28</v>
      </c>
      <c r="I382" s="1"/>
      <c r="J382" s="1" t="s">
        <v>2861</v>
      </c>
      <c r="K382" s="1"/>
      <c r="L382" s="1" t="s">
        <v>2862</v>
      </c>
    </row>
    <row r="383">
      <c r="A383" s="1" t="s">
        <v>17</v>
      </c>
      <c r="B383" s="1">
        <v>1996.0</v>
      </c>
      <c r="C383" s="1" t="s">
        <v>2863</v>
      </c>
      <c r="D383" s="1" t="s">
        <v>2864</v>
      </c>
      <c r="E383" s="2" t="s">
        <v>2865</v>
      </c>
      <c r="F383" s="1">
        <v>49.0</v>
      </c>
      <c r="G383" s="1">
        <v>56.0</v>
      </c>
      <c r="H383" s="1" t="s">
        <v>28</v>
      </c>
      <c r="I383" s="1"/>
      <c r="J383" s="1" t="s">
        <v>1460</v>
      </c>
      <c r="K383" s="1"/>
      <c r="L383" s="1" t="s">
        <v>66</v>
      </c>
      <c r="M383" s="1" t="s">
        <v>2115</v>
      </c>
    </row>
    <row r="384">
      <c r="A384" s="1" t="s">
        <v>17</v>
      </c>
      <c r="B384" s="1">
        <v>1996.0</v>
      </c>
      <c r="C384" s="1" t="s">
        <v>2866</v>
      </c>
      <c r="D384" s="1" t="s">
        <v>2867</v>
      </c>
      <c r="E384" s="2" t="s">
        <v>2868</v>
      </c>
      <c r="F384" s="1">
        <v>57.0</v>
      </c>
      <c r="G384" s="1">
        <v>63.0</v>
      </c>
      <c r="H384" s="1" t="s">
        <v>28</v>
      </c>
      <c r="I384" s="1"/>
      <c r="J384" s="1" t="s">
        <v>2869</v>
      </c>
      <c r="K384" s="1"/>
      <c r="L384" s="1" t="s">
        <v>2870</v>
      </c>
      <c r="M384" s="1" t="s">
        <v>2871</v>
      </c>
      <c r="N384" s="1" t="s">
        <v>2872</v>
      </c>
    </row>
    <row r="385">
      <c r="A385" s="1" t="s">
        <v>17</v>
      </c>
      <c r="B385" s="1">
        <v>1996.0</v>
      </c>
      <c r="C385" s="1" t="s">
        <v>2873</v>
      </c>
      <c r="D385" s="1" t="s">
        <v>2874</v>
      </c>
      <c r="E385" s="2" t="s">
        <v>2875</v>
      </c>
      <c r="F385" s="1">
        <v>65.0</v>
      </c>
      <c r="G385" s="1">
        <v>72.0</v>
      </c>
      <c r="H385" s="1" t="s">
        <v>28</v>
      </c>
      <c r="I385" s="1"/>
      <c r="J385" s="1" t="s">
        <v>2876</v>
      </c>
      <c r="K385" s="1"/>
      <c r="L385" s="1" t="s">
        <v>2877</v>
      </c>
      <c r="M385" s="1" t="s">
        <v>2878</v>
      </c>
    </row>
    <row r="386">
      <c r="A386" s="1" t="s">
        <v>17</v>
      </c>
      <c r="B386" s="1">
        <v>1996.0</v>
      </c>
      <c r="C386" s="1" t="s">
        <v>2879</v>
      </c>
      <c r="D386" s="1" t="s">
        <v>2880</v>
      </c>
      <c r="E386" s="2" t="s">
        <v>2881</v>
      </c>
      <c r="F386" s="1">
        <v>73.0</v>
      </c>
      <c r="G386" s="1">
        <v>80.0</v>
      </c>
      <c r="H386" s="1" t="s">
        <v>28</v>
      </c>
      <c r="I386" s="1"/>
      <c r="J386" s="1" t="s">
        <v>2882</v>
      </c>
      <c r="K386" s="1"/>
      <c r="L386" s="1" t="s">
        <v>2883</v>
      </c>
      <c r="M386" s="1" t="s">
        <v>2067</v>
      </c>
      <c r="N386" s="1" t="s">
        <v>2884</v>
      </c>
    </row>
    <row r="387">
      <c r="A387" s="1" t="s">
        <v>17</v>
      </c>
      <c r="B387" s="1">
        <v>1996.0</v>
      </c>
      <c r="C387" s="1" t="s">
        <v>2885</v>
      </c>
      <c r="D387" s="1" t="s">
        <v>2886</v>
      </c>
      <c r="E387" s="2" t="s">
        <v>2887</v>
      </c>
      <c r="F387" s="1">
        <v>81.0</v>
      </c>
      <c r="G387" s="1">
        <v>86.0</v>
      </c>
      <c r="H387" s="1" t="s">
        <v>28</v>
      </c>
      <c r="I387" s="1"/>
      <c r="J387" s="1" t="s">
        <v>2888</v>
      </c>
      <c r="K387" s="1"/>
      <c r="L387" s="1" t="s">
        <v>2889</v>
      </c>
      <c r="M387" s="1" t="s">
        <v>2130</v>
      </c>
    </row>
    <row r="388">
      <c r="A388" s="1" t="s">
        <v>17</v>
      </c>
      <c r="B388" s="1">
        <v>1996.0</v>
      </c>
      <c r="C388" s="1" t="s">
        <v>2891</v>
      </c>
      <c r="D388" s="1" t="s">
        <v>2892</v>
      </c>
      <c r="E388" s="2" t="s">
        <v>2895</v>
      </c>
      <c r="F388" s="1">
        <v>87.0</v>
      </c>
      <c r="G388" s="1">
        <v>92.0</v>
      </c>
      <c r="H388" s="1" t="s">
        <v>28</v>
      </c>
      <c r="I388" s="1"/>
      <c r="J388" s="1" t="s">
        <v>2896</v>
      </c>
      <c r="K388" s="1"/>
      <c r="L388" s="1" t="s">
        <v>2897</v>
      </c>
      <c r="M388" s="1" t="s">
        <v>2204</v>
      </c>
      <c r="N388" s="1" t="s">
        <v>2898</v>
      </c>
    </row>
    <row r="389">
      <c r="A389" s="1" t="s">
        <v>17</v>
      </c>
      <c r="B389" s="1">
        <v>1996.0</v>
      </c>
      <c r="C389" s="1" t="s">
        <v>2899</v>
      </c>
      <c r="D389" s="1" t="s">
        <v>2900</v>
      </c>
      <c r="E389" s="2" t="s">
        <v>2901</v>
      </c>
      <c r="F389" s="1">
        <v>93.0</v>
      </c>
      <c r="G389" s="1">
        <v>100.0</v>
      </c>
      <c r="H389" s="1" t="s">
        <v>28</v>
      </c>
      <c r="I389" s="1"/>
      <c r="J389" s="1" t="s">
        <v>2903</v>
      </c>
      <c r="L389" s="1"/>
      <c r="M389" s="1" t="s">
        <v>2905</v>
      </c>
    </row>
    <row r="390">
      <c r="A390" s="1" t="s">
        <v>17</v>
      </c>
      <c r="B390" s="1">
        <v>1996.0</v>
      </c>
      <c r="C390" s="1" t="s">
        <v>2907</v>
      </c>
      <c r="D390" s="1" t="s">
        <v>2908</v>
      </c>
      <c r="E390" s="2" t="s">
        <v>2909</v>
      </c>
      <c r="F390" s="1">
        <v>101.0</v>
      </c>
      <c r="G390" s="1">
        <v>106.0</v>
      </c>
      <c r="H390" s="1" t="s">
        <v>28</v>
      </c>
      <c r="I390" s="1"/>
      <c r="J390" s="1" t="s">
        <v>2911</v>
      </c>
      <c r="K390" s="1"/>
      <c r="L390" s="1" t="s">
        <v>2913</v>
      </c>
    </row>
    <row r="391">
      <c r="A391" s="1" t="s">
        <v>17</v>
      </c>
      <c r="B391" s="1">
        <v>1996.0</v>
      </c>
      <c r="C391" s="1" t="s">
        <v>2915</v>
      </c>
      <c r="D391" s="1" t="s">
        <v>2916</v>
      </c>
      <c r="E391" s="2" t="s">
        <v>2917</v>
      </c>
      <c r="F391" s="1">
        <v>107.0</v>
      </c>
      <c r="G391" s="1">
        <v>113.0</v>
      </c>
      <c r="H391" s="1" t="s">
        <v>28</v>
      </c>
      <c r="I391" s="1"/>
      <c r="J391" s="1" t="s">
        <v>2918</v>
      </c>
      <c r="K391" s="1"/>
      <c r="L391" s="1" t="s">
        <v>2919</v>
      </c>
      <c r="M391" s="1" t="s">
        <v>2920</v>
      </c>
      <c r="P391" s="1"/>
      <c r="Q391" s="1" t="s">
        <v>106</v>
      </c>
    </row>
    <row r="392">
      <c r="A392" s="1" t="s">
        <v>17</v>
      </c>
      <c r="B392" s="1">
        <v>1996.0</v>
      </c>
      <c r="C392" s="1" t="s">
        <v>2921</v>
      </c>
      <c r="D392" s="1" t="s">
        <v>2922</v>
      </c>
      <c r="E392" s="2" t="s">
        <v>2923</v>
      </c>
      <c r="F392" s="1">
        <v>115.0</v>
      </c>
      <c r="G392" s="1">
        <v>120.0</v>
      </c>
      <c r="H392" s="1" t="s">
        <v>28</v>
      </c>
      <c r="I392" s="1"/>
      <c r="J392" s="1" t="s">
        <v>2924</v>
      </c>
      <c r="K392" s="1"/>
      <c r="L392" s="1" t="s">
        <v>2925</v>
      </c>
      <c r="M392" s="1" t="s">
        <v>2926</v>
      </c>
    </row>
    <row r="393">
      <c r="A393" s="1" t="s">
        <v>17</v>
      </c>
      <c r="B393" s="1">
        <v>1996.0</v>
      </c>
      <c r="C393" s="1" t="s">
        <v>2928</v>
      </c>
      <c r="D393" s="1" t="s">
        <v>2930</v>
      </c>
      <c r="E393" s="2" t="s">
        <v>2931</v>
      </c>
      <c r="F393" s="1">
        <v>121.0</v>
      </c>
      <c r="G393" s="1">
        <v>126.0</v>
      </c>
      <c r="H393" s="1" t="s">
        <v>28</v>
      </c>
      <c r="I393" s="1"/>
      <c r="J393" s="1" t="s">
        <v>2936</v>
      </c>
      <c r="K393" s="1"/>
      <c r="L393" s="1" t="s">
        <v>2938</v>
      </c>
      <c r="M393" s="1" t="s">
        <v>1926</v>
      </c>
    </row>
    <row r="394">
      <c r="A394" s="1" t="s">
        <v>17</v>
      </c>
      <c r="B394" s="1">
        <v>1996.0</v>
      </c>
      <c r="C394" s="1" t="s">
        <v>2941</v>
      </c>
      <c r="D394" s="1" t="s">
        <v>2942</v>
      </c>
      <c r="E394" s="2" t="s">
        <v>2943</v>
      </c>
      <c r="F394" s="1">
        <v>127.0</v>
      </c>
      <c r="G394" s="1">
        <v>131.0</v>
      </c>
      <c r="H394" s="1" t="s">
        <v>28</v>
      </c>
      <c r="I394" s="1"/>
      <c r="J394" s="1" t="s">
        <v>2944</v>
      </c>
      <c r="K394" s="1"/>
      <c r="L394" s="1" t="s">
        <v>2945</v>
      </c>
      <c r="M394" s="1" t="s">
        <v>2946</v>
      </c>
      <c r="N394" s="1" t="s">
        <v>2947</v>
      </c>
    </row>
    <row r="395">
      <c r="A395" s="1" t="s">
        <v>17</v>
      </c>
      <c r="B395" s="1">
        <v>1996.0</v>
      </c>
      <c r="C395" s="1" t="s">
        <v>2948</v>
      </c>
      <c r="D395" s="1" t="s">
        <v>2949</v>
      </c>
      <c r="E395" s="2" t="s">
        <v>2950</v>
      </c>
      <c r="F395" s="1">
        <v>133.0</v>
      </c>
      <c r="G395" s="1">
        <v>140.0</v>
      </c>
      <c r="H395" s="1" t="s">
        <v>28</v>
      </c>
      <c r="I395" s="1"/>
      <c r="J395" s="1" t="s">
        <v>2955</v>
      </c>
      <c r="K395" s="1"/>
      <c r="L395" s="1" t="s">
        <v>2956</v>
      </c>
      <c r="M395" s="1" t="s">
        <v>2957</v>
      </c>
      <c r="N395" s="1" t="s">
        <v>2958</v>
      </c>
    </row>
    <row r="396">
      <c r="A396" s="1" t="s">
        <v>17</v>
      </c>
      <c r="B396" s="1">
        <v>1996.0</v>
      </c>
      <c r="C396" s="1" t="s">
        <v>2959</v>
      </c>
      <c r="D396" s="1" t="s">
        <v>2960</v>
      </c>
      <c r="E396" s="2" t="s">
        <v>2961</v>
      </c>
      <c r="F396" s="1">
        <v>141.0</v>
      </c>
      <c r="G396" s="1">
        <v>148.0</v>
      </c>
      <c r="H396" s="1" t="s">
        <v>28</v>
      </c>
      <c r="I396" s="1"/>
      <c r="J396" s="1" t="s">
        <v>2450</v>
      </c>
      <c r="K396" s="1"/>
      <c r="L396" s="1" t="s">
        <v>2451</v>
      </c>
      <c r="M396" s="1" t="s">
        <v>2962</v>
      </c>
    </row>
    <row r="397">
      <c r="A397" s="1" t="s">
        <v>17</v>
      </c>
      <c r="B397" s="1">
        <v>1996.0</v>
      </c>
      <c r="C397" s="1" t="s">
        <v>2964</v>
      </c>
      <c r="D397" s="1" t="s">
        <v>2965</v>
      </c>
      <c r="E397" s="2" t="s">
        <v>2966</v>
      </c>
      <c r="F397" s="1">
        <v>149.0</v>
      </c>
      <c r="G397" s="1">
        <v>156.0</v>
      </c>
      <c r="H397" s="1" t="s">
        <v>28</v>
      </c>
      <c r="I397" s="1"/>
      <c r="J397" s="1" t="s">
        <v>2968</v>
      </c>
      <c r="K397" s="1"/>
      <c r="L397" s="1" t="s">
        <v>2969</v>
      </c>
      <c r="M397" s="1"/>
      <c r="N397" s="1" t="s">
        <v>2970</v>
      </c>
    </row>
    <row r="398">
      <c r="A398" s="1" t="s">
        <v>17</v>
      </c>
      <c r="B398" s="1">
        <v>1996.0</v>
      </c>
      <c r="C398" s="1" t="s">
        <v>2971</v>
      </c>
      <c r="D398" s="1" t="s">
        <v>2973</v>
      </c>
      <c r="E398" s="2" t="s">
        <v>2974</v>
      </c>
      <c r="F398" s="1">
        <v>157.0</v>
      </c>
      <c r="G398" s="1">
        <v>164.0</v>
      </c>
      <c r="H398" s="1" t="s">
        <v>28</v>
      </c>
      <c r="I398" s="1"/>
      <c r="J398" s="1" t="s">
        <v>2976</v>
      </c>
      <c r="K398" s="1"/>
      <c r="L398" s="1" t="s">
        <v>2977</v>
      </c>
      <c r="M398" s="1" t="s">
        <v>2978</v>
      </c>
      <c r="N398" s="1" t="s">
        <v>2979</v>
      </c>
    </row>
    <row r="399">
      <c r="A399" s="1" t="s">
        <v>17</v>
      </c>
      <c r="B399" s="1">
        <v>1996.0</v>
      </c>
      <c r="C399" s="1" t="s">
        <v>2980</v>
      </c>
      <c r="D399" s="1" t="s">
        <v>2981</v>
      </c>
      <c r="E399" s="2" t="s">
        <v>2982</v>
      </c>
      <c r="F399" s="1">
        <v>165.0</v>
      </c>
      <c r="G399" s="1">
        <v>172.0</v>
      </c>
      <c r="H399" s="1" t="s">
        <v>28</v>
      </c>
      <c r="I399" s="1"/>
      <c r="J399" s="1" t="s">
        <v>2986</v>
      </c>
      <c r="K399" s="1"/>
      <c r="L399" s="1" t="s">
        <v>2987</v>
      </c>
      <c r="M399" s="1" t="s">
        <v>2067</v>
      </c>
      <c r="N399" s="1" t="s">
        <v>2988</v>
      </c>
    </row>
    <row r="400">
      <c r="A400" s="1" t="s">
        <v>17</v>
      </c>
      <c r="B400" s="1">
        <v>1996.0</v>
      </c>
      <c r="C400" s="1" t="s">
        <v>2989</v>
      </c>
      <c r="D400" s="1" t="s">
        <v>2990</v>
      </c>
      <c r="E400" s="2" t="s">
        <v>2991</v>
      </c>
      <c r="F400" s="1">
        <v>173.0</v>
      </c>
      <c r="G400" s="1">
        <v>180.0</v>
      </c>
      <c r="H400" s="1" t="s">
        <v>28</v>
      </c>
      <c r="I400" s="1"/>
      <c r="J400" s="1" t="s">
        <v>2994</v>
      </c>
      <c r="K400" s="1"/>
      <c r="L400" s="1" t="s">
        <v>2841</v>
      </c>
      <c r="M400" s="1" t="s">
        <v>2995</v>
      </c>
    </row>
    <row r="401">
      <c r="A401" s="1" t="s">
        <v>17</v>
      </c>
      <c r="B401" s="1">
        <v>1996.0</v>
      </c>
      <c r="C401" s="1" t="s">
        <v>2996</v>
      </c>
      <c r="D401" s="1" t="s">
        <v>2997</v>
      </c>
      <c r="E401" s="2" t="s">
        <v>2998</v>
      </c>
      <c r="F401" s="1">
        <v>181.0</v>
      </c>
      <c r="G401" s="1">
        <v>188.0</v>
      </c>
      <c r="H401" s="1" t="s">
        <v>28</v>
      </c>
      <c r="I401" s="1"/>
      <c r="J401" s="1" t="s">
        <v>2999</v>
      </c>
      <c r="K401" s="1"/>
      <c r="L401" s="1" t="s">
        <v>3000</v>
      </c>
      <c r="M401" s="1" t="s">
        <v>2371</v>
      </c>
    </row>
    <row r="402">
      <c r="A402" s="1" t="s">
        <v>17</v>
      </c>
      <c r="B402" s="1">
        <v>1996.0</v>
      </c>
      <c r="C402" s="1" t="s">
        <v>3001</v>
      </c>
      <c r="D402" s="1" t="s">
        <v>3002</v>
      </c>
      <c r="E402" s="2" t="s">
        <v>3003</v>
      </c>
      <c r="F402" s="1">
        <v>189.0</v>
      </c>
      <c r="G402" s="1">
        <v>195.0</v>
      </c>
      <c r="H402" s="1" t="s">
        <v>28</v>
      </c>
      <c r="I402" s="1"/>
      <c r="J402" s="1" t="s">
        <v>3007</v>
      </c>
      <c r="K402" s="1"/>
      <c r="L402" s="1" t="s">
        <v>3008</v>
      </c>
      <c r="M402" s="1" t="s">
        <v>3009</v>
      </c>
      <c r="N402" s="1" t="s">
        <v>3010</v>
      </c>
    </row>
    <row r="403">
      <c r="A403" s="1" t="s">
        <v>17</v>
      </c>
      <c r="B403" s="1">
        <v>1996.0</v>
      </c>
      <c r="C403" s="1" t="s">
        <v>3011</v>
      </c>
      <c r="D403" s="1" t="s">
        <v>3012</v>
      </c>
      <c r="E403" s="2" t="s">
        <v>3013</v>
      </c>
      <c r="F403" s="1">
        <v>197.0</v>
      </c>
      <c r="G403" s="1">
        <v>204.0</v>
      </c>
      <c r="H403" s="1" t="s">
        <v>28</v>
      </c>
      <c r="I403" s="1"/>
      <c r="J403" s="1" t="s">
        <v>3014</v>
      </c>
      <c r="K403" s="1"/>
      <c r="L403" s="1" t="s">
        <v>3015</v>
      </c>
      <c r="M403" s="1" t="s">
        <v>2290</v>
      </c>
    </row>
    <row r="404">
      <c r="A404" s="1" t="s">
        <v>17</v>
      </c>
      <c r="B404" s="1">
        <v>1996.0</v>
      </c>
      <c r="C404" s="1" t="s">
        <v>3016</v>
      </c>
      <c r="D404" s="1" t="s">
        <v>3017</v>
      </c>
      <c r="E404" s="2" t="s">
        <v>3018</v>
      </c>
      <c r="F404" s="1">
        <v>205.0</v>
      </c>
      <c r="G404" s="1">
        <v>210.0</v>
      </c>
      <c r="H404" s="1" t="s">
        <v>28</v>
      </c>
      <c r="I404" s="1"/>
      <c r="J404" s="1" t="s">
        <v>3021</v>
      </c>
      <c r="K404" s="1"/>
      <c r="L404" s="1" t="s">
        <v>3022</v>
      </c>
      <c r="M404" s="1" t="s">
        <v>2565</v>
      </c>
    </row>
    <row r="405">
      <c r="A405" s="1" t="s">
        <v>17</v>
      </c>
      <c r="B405" s="1">
        <v>1996.0</v>
      </c>
      <c r="C405" s="1" t="s">
        <v>3023</v>
      </c>
      <c r="D405" s="1" t="s">
        <v>3024</v>
      </c>
      <c r="E405" s="2" t="s">
        <v>3025</v>
      </c>
      <c r="F405" s="1">
        <v>211.0</v>
      </c>
      <c r="G405" s="1">
        <v>218.0</v>
      </c>
      <c r="H405" s="1" t="s">
        <v>28</v>
      </c>
      <c r="I405" s="1"/>
      <c r="J405" s="1" t="s">
        <v>2319</v>
      </c>
      <c r="K405" s="1"/>
      <c r="L405" s="1" t="s">
        <v>3026</v>
      </c>
      <c r="M405" s="1" t="s">
        <v>3027</v>
      </c>
    </row>
    <row r="406">
      <c r="A406" s="1" t="s">
        <v>17</v>
      </c>
      <c r="B406" s="1">
        <v>1996.0</v>
      </c>
      <c r="C406" s="1" t="s">
        <v>3029</v>
      </c>
      <c r="D406" s="1" t="s">
        <v>3030</v>
      </c>
      <c r="E406" s="2" t="s">
        <v>3032</v>
      </c>
      <c r="F406" s="1">
        <v>219.0</v>
      </c>
      <c r="G406" s="1">
        <v>225.0</v>
      </c>
      <c r="H406" s="1" t="s">
        <v>28</v>
      </c>
      <c r="I406" s="1"/>
      <c r="J406" s="1" t="s">
        <v>1137</v>
      </c>
      <c r="K406" s="1"/>
      <c r="L406" s="1" t="s">
        <v>3034</v>
      </c>
      <c r="M406" s="1" t="s">
        <v>3035</v>
      </c>
    </row>
    <row r="407">
      <c r="A407" s="1" t="s">
        <v>17</v>
      </c>
      <c r="B407" s="1">
        <v>1996.0</v>
      </c>
      <c r="C407" s="1" t="s">
        <v>3036</v>
      </c>
      <c r="D407" s="1" t="s">
        <v>3037</v>
      </c>
      <c r="E407" s="2" t="s">
        <v>3038</v>
      </c>
      <c r="F407" s="1">
        <v>227.0</v>
      </c>
      <c r="G407" s="1">
        <v>234.0</v>
      </c>
      <c r="H407" s="1" t="s">
        <v>28</v>
      </c>
      <c r="I407" s="1"/>
      <c r="J407" s="1" t="s">
        <v>3041</v>
      </c>
      <c r="K407" s="1"/>
      <c r="L407" s="1" t="s">
        <v>3042</v>
      </c>
    </row>
    <row r="408">
      <c r="A408" s="1" t="s">
        <v>17</v>
      </c>
      <c r="B408" s="1">
        <v>1996.0</v>
      </c>
      <c r="C408" s="1" t="s">
        <v>3043</v>
      </c>
      <c r="D408" s="1" t="s">
        <v>3044</v>
      </c>
      <c r="E408" s="2" t="s">
        <v>3045</v>
      </c>
      <c r="F408" s="1">
        <v>235.0</v>
      </c>
      <c r="G408" s="1">
        <v>240.0</v>
      </c>
      <c r="H408" s="1" t="s">
        <v>28</v>
      </c>
      <c r="I408" s="1"/>
      <c r="J408" s="1" t="s">
        <v>3046</v>
      </c>
      <c r="K408" s="1"/>
      <c r="L408" s="1" t="s">
        <v>3047</v>
      </c>
      <c r="M408" s="1" t="s">
        <v>3048</v>
      </c>
      <c r="N408" s="1" t="s">
        <v>3049</v>
      </c>
    </row>
    <row r="409">
      <c r="A409" s="1" t="s">
        <v>17</v>
      </c>
      <c r="B409" s="1">
        <v>1996.0</v>
      </c>
      <c r="C409" s="1" t="s">
        <v>3050</v>
      </c>
      <c r="D409" s="1" t="s">
        <v>3051</v>
      </c>
      <c r="E409" s="2" t="s">
        <v>3052</v>
      </c>
      <c r="F409" s="1">
        <v>241.0</v>
      </c>
      <c r="G409" s="1">
        <v>247.0</v>
      </c>
      <c r="H409" s="1" t="s">
        <v>28</v>
      </c>
      <c r="I409" s="1"/>
      <c r="J409" s="1" t="s">
        <v>3056</v>
      </c>
      <c r="K409" s="1"/>
      <c r="L409" s="1" t="s">
        <v>3057</v>
      </c>
      <c r="M409" s="1" t="s">
        <v>3058</v>
      </c>
    </row>
    <row r="410">
      <c r="A410" s="1" t="s">
        <v>17</v>
      </c>
      <c r="B410" s="1">
        <v>1996.0</v>
      </c>
      <c r="C410" s="1" t="s">
        <v>3059</v>
      </c>
      <c r="D410" s="1" t="s">
        <v>3060</v>
      </c>
      <c r="E410" s="2" t="s">
        <v>3061</v>
      </c>
      <c r="F410" s="1">
        <v>249.0</v>
      </c>
      <c r="G410" s="1">
        <v>254.0</v>
      </c>
      <c r="H410" s="1" t="s">
        <v>28</v>
      </c>
      <c r="I410" s="1"/>
      <c r="J410" s="1" t="s">
        <v>3064</v>
      </c>
      <c r="K410" s="1"/>
      <c r="L410" s="1" t="s">
        <v>3065</v>
      </c>
      <c r="M410" s="1" t="s">
        <v>3066</v>
      </c>
      <c r="N410" s="1" t="s">
        <v>3067</v>
      </c>
    </row>
    <row r="411">
      <c r="A411" s="1" t="s">
        <v>17</v>
      </c>
      <c r="B411" s="1">
        <v>1996.0</v>
      </c>
      <c r="C411" s="1" t="s">
        <v>3068</v>
      </c>
      <c r="D411" s="1" t="s">
        <v>3069</v>
      </c>
      <c r="E411" s="2" t="s">
        <v>3070</v>
      </c>
      <c r="F411" s="1">
        <v>255.0</v>
      </c>
      <c r="G411" s="1">
        <v>261.0</v>
      </c>
      <c r="H411" s="1" t="s">
        <v>28</v>
      </c>
      <c r="I411" s="1"/>
      <c r="J411" s="1" t="s">
        <v>3071</v>
      </c>
      <c r="K411" s="1"/>
      <c r="L411" s="1" t="s">
        <v>477</v>
      </c>
      <c r="M411" s="1" t="s">
        <v>2606</v>
      </c>
    </row>
    <row r="412">
      <c r="A412" s="1" t="s">
        <v>17</v>
      </c>
      <c r="B412" s="1">
        <v>1996.0</v>
      </c>
      <c r="C412" s="1" t="s">
        <v>3072</v>
      </c>
      <c r="D412" s="1" t="s">
        <v>3073</v>
      </c>
      <c r="E412" s="2" t="s">
        <v>3074</v>
      </c>
      <c r="F412" s="1">
        <v>263.0</v>
      </c>
      <c r="G412" s="1">
        <v>270.0</v>
      </c>
      <c r="H412" s="1" t="s">
        <v>28</v>
      </c>
      <c r="I412" s="1"/>
      <c r="J412" s="1" t="s">
        <v>3075</v>
      </c>
      <c r="K412" s="1"/>
      <c r="L412" s="1" t="s">
        <v>3076</v>
      </c>
      <c r="M412" s="1" t="s">
        <v>3077</v>
      </c>
    </row>
    <row r="413">
      <c r="A413" s="1" t="s">
        <v>17</v>
      </c>
      <c r="B413" s="1">
        <v>1996.0</v>
      </c>
      <c r="C413" s="1" t="s">
        <v>3078</v>
      </c>
      <c r="D413" s="1" t="s">
        <v>3079</v>
      </c>
      <c r="E413" s="2" t="s">
        <v>3080</v>
      </c>
      <c r="F413" s="1">
        <v>271.0</v>
      </c>
      <c r="G413" s="1">
        <v>277.0</v>
      </c>
      <c r="H413" s="1" t="s">
        <v>28</v>
      </c>
      <c r="I413" s="1"/>
      <c r="J413" s="1" t="s">
        <v>3081</v>
      </c>
      <c r="K413" s="1"/>
      <c r="L413" s="1" t="s">
        <v>2525</v>
      </c>
      <c r="M413" s="1" t="s">
        <v>3082</v>
      </c>
      <c r="N413" s="1" t="s">
        <v>3083</v>
      </c>
    </row>
    <row r="414">
      <c r="A414" s="1" t="s">
        <v>17</v>
      </c>
      <c r="B414" s="1">
        <v>1996.0</v>
      </c>
      <c r="C414" s="1" t="s">
        <v>3084</v>
      </c>
      <c r="D414" s="1" t="s">
        <v>3085</v>
      </c>
      <c r="E414" s="2" t="s">
        <v>3086</v>
      </c>
      <c r="F414" s="1">
        <v>279.0</v>
      </c>
      <c r="G414" s="1">
        <v>286.0</v>
      </c>
      <c r="H414" s="1" t="s">
        <v>28</v>
      </c>
      <c r="I414" s="1"/>
      <c r="J414" s="1" t="s">
        <v>3087</v>
      </c>
      <c r="K414" s="1"/>
      <c r="L414" s="1" t="s">
        <v>3088</v>
      </c>
    </row>
    <row r="415">
      <c r="A415" s="1" t="s">
        <v>17</v>
      </c>
      <c r="B415" s="1">
        <v>1996.0</v>
      </c>
      <c r="C415" s="1" t="s">
        <v>3089</v>
      </c>
      <c r="D415" s="1" t="s">
        <v>3090</v>
      </c>
      <c r="E415" s="2" t="s">
        <v>3091</v>
      </c>
      <c r="F415" s="1">
        <v>287.0</v>
      </c>
      <c r="G415" s="1">
        <v>294.0</v>
      </c>
      <c r="H415" s="1" t="s">
        <v>28</v>
      </c>
      <c r="I415" s="1"/>
      <c r="J415" s="1" t="s">
        <v>3092</v>
      </c>
      <c r="K415" s="1"/>
      <c r="L415" s="1" t="s">
        <v>3093</v>
      </c>
      <c r="M415" s="1" t="s">
        <v>3094</v>
      </c>
    </row>
    <row r="416">
      <c r="A416" s="1" t="s">
        <v>17</v>
      </c>
      <c r="B416" s="1">
        <v>1996.0</v>
      </c>
      <c r="C416" s="1" t="s">
        <v>3095</v>
      </c>
      <c r="D416" s="1" t="s">
        <v>3096</v>
      </c>
      <c r="E416" s="2" t="s">
        <v>3097</v>
      </c>
      <c r="F416" s="1">
        <v>295.0</v>
      </c>
      <c r="G416" s="1">
        <v>302.0</v>
      </c>
      <c r="H416" s="1" t="s">
        <v>28</v>
      </c>
      <c r="I416" s="1"/>
      <c r="J416" s="1" t="s">
        <v>3098</v>
      </c>
      <c r="K416" s="1"/>
      <c r="L416" s="1" t="s">
        <v>3099</v>
      </c>
    </row>
    <row r="417">
      <c r="A417" s="1" t="s">
        <v>17</v>
      </c>
      <c r="B417" s="1">
        <v>1996.0</v>
      </c>
      <c r="C417" s="1" t="s">
        <v>3100</v>
      </c>
      <c r="D417" s="1" t="s">
        <v>3101</v>
      </c>
      <c r="E417" s="2" t="s">
        <v>3102</v>
      </c>
      <c r="F417" s="1">
        <v>303.0</v>
      </c>
      <c r="G417" s="1">
        <v>310.0</v>
      </c>
      <c r="H417" s="1" t="s">
        <v>28</v>
      </c>
      <c r="I417" s="1"/>
      <c r="J417" s="1" t="s">
        <v>3103</v>
      </c>
      <c r="K417" s="1"/>
      <c r="L417" s="1" t="s">
        <v>3104</v>
      </c>
      <c r="M417" s="1" t="s">
        <v>520</v>
      </c>
    </row>
    <row r="418">
      <c r="A418" s="1" t="s">
        <v>17</v>
      </c>
      <c r="B418" s="1">
        <v>1996.0</v>
      </c>
      <c r="C418" s="1" t="s">
        <v>3105</v>
      </c>
      <c r="D418" s="1" t="s">
        <v>3106</v>
      </c>
      <c r="E418" s="2" t="s">
        <v>3107</v>
      </c>
      <c r="F418" s="1">
        <v>311.0</v>
      </c>
      <c r="G418" s="1">
        <v>318.0</v>
      </c>
      <c r="H418" s="1" t="s">
        <v>28</v>
      </c>
      <c r="I418" s="1"/>
      <c r="J418" s="1" t="s">
        <v>3108</v>
      </c>
      <c r="K418" s="1"/>
      <c r="L418" s="1" t="s">
        <v>3109</v>
      </c>
      <c r="M418" s="1" t="s">
        <v>1886</v>
      </c>
      <c r="N418" s="1" t="s">
        <v>3110</v>
      </c>
    </row>
    <row r="419">
      <c r="A419" s="1" t="s">
        <v>17</v>
      </c>
      <c r="B419" s="1">
        <v>1996.0</v>
      </c>
      <c r="C419" s="1" t="s">
        <v>3111</v>
      </c>
      <c r="D419" s="1" t="s">
        <v>3112</v>
      </c>
      <c r="E419" s="2" t="s">
        <v>3113</v>
      </c>
      <c r="F419" s="1">
        <v>319.0</v>
      </c>
      <c r="G419" s="1">
        <v>326.0</v>
      </c>
      <c r="H419" s="1" t="s">
        <v>28</v>
      </c>
      <c r="I419" s="1"/>
      <c r="J419" s="1" t="s">
        <v>3114</v>
      </c>
      <c r="K419" s="1"/>
      <c r="L419" s="1" t="s">
        <v>1337</v>
      </c>
    </row>
    <row r="420">
      <c r="A420" s="1" t="s">
        <v>17</v>
      </c>
      <c r="B420" s="1">
        <v>1996.0</v>
      </c>
      <c r="C420" s="1" t="s">
        <v>3115</v>
      </c>
      <c r="D420" s="1" t="s">
        <v>3116</v>
      </c>
      <c r="E420" s="2" t="s">
        <v>3117</v>
      </c>
      <c r="F420" s="1">
        <v>327.0</v>
      </c>
      <c r="G420" s="1">
        <v>334.0</v>
      </c>
      <c r="H420" s="1" t="s">
        <v>28</v>
      </c>
      <c r="I420" s="1"/>
      <c r="J420" s="1" t="s">
        <v>3118</v>
      </c>
      <c r="K420" s="1"/>
      <c r="L420" s="1" t="s">
        <v>3119</v>
      </c>
      <c r="M420" s="1" t="s">
        <v>3120</v>
      </c>
    </row>
    <row r="421">
      <c r="A421" s="1" t="s">
        <v>17</v>
      </c>
      <c r="B421" s="1">
        <v>1996.0</v>
      </c>
      <c r="C421" s="1" t="s">
        <v>3121</v>
      </c>
      <c r="D421" s="1" t="s">
        <v>3122</v>
      </c>
      <c r="E421" s="2" t="s">
        <v>3123</v>
      </c>
      <c r="F421" s="1">
        <v>335.0</v>
      </c>
      <c r="G421" s="1">
        <v>342.0</v>
      </c>
      <c r="H421" s="1" t="s">
        <v>28</v>
      </c>
      <c r="I421" s="1"/>
      <c r="J421" s="1" t="s">
        <v>3124</v>
      </c>
      <c r="K421" s="1"/>
      <c r="L421" s="1" t="s">
        <v>3125</v>
      </c>
      <c r="M421" s="1" t="s">
        <v>1886</v>
      </c>
    </row>
    <row r="422">
      <c r="A422" s="1" t="s">
        <v>17</v>
      </c>
      <c r="B422" s="1">
        <v>1996.0</v>
      </c>
      <c r="C422" s="1" t="s">
        <v>3126</v>
      </c>
      <c r="D422" s="1" t="s">
        <v>3127</v>
      </c>
      <c r="E422" s="2" t="s">
        <v>3128</v>
      </c>
      <c r="F422" s="1">
        <v>345.0</v>
      </c>
      <c r="G422" s="1">
        <v>349.0</v>
      </c>
      <c r="H422" s="1" t="s">
        <v>28</v>
      </c>
      <c r="I422" s="1"/>
      <c r="J422" s="1" t="s">
        <v>3129</v>
      </c>
      <c r="K422" s="1"/>
      <c r="L422" s="1" t="s">
        <v>3130</v>
      </c>
      <c r="M422" s="1" t="s">
        <v>470</v>
      </c>
    </row>
    <row r="423">
      <c r="A423" s="1" t="s">
        <v>17</v>
      </c>
      <c r="B423" s="1">
        <v>1996.0</v>
      </c>
      <c r="C423" s="1" t="s">
        <v>3131</v>
      </c>
      <c r="D423" s="1" t="s">
        <v>3132</v>
      </c>
      <c r="E423" s="2" t="s">
        <v>3133</v>
      </c>
      <c r="F423" s="1">
        <v>351.0</v>
      </c>
      <c r="G423" s="1">
        <v>354.0</v>
      </c>
      <c r="H423" s="1" t="s">
        <v>28</v>
      </c>
      <c r="I423" s="1"/>
      <c r="J423" s="1" t="s">
        <v>3134</v>
      </c>
      <c r="K423" s="1"/>
      <c r="L423" s="1" t="s">
        <v>3135</v>
      </c>
      <c r="M423" s="1" t="s">
        <v>3136</v>
      </c>
    </row>
    <row r="424">
      <c r="A424" s="1" t="s">
        <v>17</v>
      </c>
      <c r="B424" s="1">
        <v>1996.0</v>
      </c>
      <c r="C424" s="1" t="s">
        <v>3137</v>
      </c>
      <c r="D424" s="1" t="s">
        <v>3138</v>
      </c>
      <c r="E424" s="2" t="s">
        <v>3139</v>
      </c>
      <c r="F424" s="1">
        <v>355.0</v>
      </c>
      <c r="G424" s="1">
        <v>357.0</v>
      </c>
      <c r="H424" s="1" t="s">
        <v>28</v>
      </c>
      <c r="I424" s="1"/>
      <c r="J424" s="1" t="s">
        <v>3140</v>
      </c>
    </row>
    <row r="425">
      <c r="A425" s="1" t="s">
        <v>17</v>
      </c>
      <c r="B425" s="1">
        <v>1996.0</v>
      </c>
      <c r="C425" s="1" t="s">
        <v>3141</v>
      </c>
      <c r="D425" s="1" t="s">
        <v>3142</v>
      </c>
      <c r="E425" s="2" t="s">
        <v>3143</v>
      </c>
      <c r="F425" s="1">
        <v>359.0</v>
      </c>
      <c r="G425" s="1">
        <v>362.0</v>
      </c>
      <c r="H425" s="1" t="s">
        <v>28</v>
      </c>
      <c r="I425" s="1"/>
      <c r="J425" s="1" t="s">
        <v>3144</v>
      </c>
      <c r="K425" s="1"/>
      <c r="L425" s="1" t="s">
        <v>3145</v>
      </c>
    </row>
    <row r="426">
      <c r="A426" s="1" t="s">
        <v>17</v>
      </c>
      <c r="B426" s="1">
        <v>1996.0</v>
      </c>
      <c r="C426" s="1" t="s">
        <v>3146</v>
      </c>
      <c r="D426" s="1" t="s">
        <v>3147</v>
      </c>
      <c r="E426" s="2" t="s">
        <v>3148</v>
      </c>
      <c r="F426" s="1">
        <v>363.0</v>
      </c>
      <c r="G426" s="1">
        <v>366.0</v>
      </c>
      <c r="H426" s="1" t="s">
        <v>28</v>
      </c>
      <c r="I426" s="1"/>
      <c r="J426" s="1" t="s">
        <v>3149</v>
      </c>
      <c r="L426" s="1"/>
      <c r="M426" s="1" t="s">
        <v>2115</v>
      </c>
    </row>
    <row r="427">
      <c r="A427" s="1" t="s">
        <v>17</v>
      </c>
      <c r="B427" s="1">
        <v>1996.0</v>
      </c>
      <c r="C427" s="1" t="s">
        <v>3150</v>
      </c>
      <c r="D427" s="1" t="s">
        <v>3151</v>
      </c>
      <c r="E427" s="2" t="s">
        <v>3152</v>
      </c>
      <c r="F427" s="1">
        <v>367.0</v>
      </c>
      <c r="G427" s="1">
        <v>370.0</v>
      </c>
      <c r="H427" s="1" t="s">
        <v>28</v>
      </c>
      <c r="I427" s="1"/>
      <c r="J427" s="1" t="s">
        <v>3153</v>
      </c>
      <c r="K427" s="1"/>
      <c r="L427" s="1" t="s">
        <v>3154</v>
      </c>
      <c r="M427" s="1"/>
      <c r="N427" s="1" t="s">
        <v>3155</v>
      </c>
    </row>
    <row r="428">
      <c r="A428" s="1" t="s">
        <v>17</v>
      </c>
      <c r="B428" s="1">
        <v>1996.0</v>
      </c>
      <c r="C428" s="1" t="s">
        <v>3156</v>
      </c>
      <c r="D428" s="1" t="s">
        <v>3157</v>
      </c>
      <c r="E428" s="2" t="s">
        <v>3158</v>
      </c>
      <c r="F428" s="1">
        <v>371.0</v>
      </c>
      <c r="G428" s="1">
        <v>374.0</v>
      </c>
      <c r="H428" s="1" t="s">
        <v>28</v>
      </c>
      <c r="I428" s="1"/>
      <c r="J428" s="1" t="s">
        <v>3159</v>
      </c>
      <c r="K428" s="1"/>
      <c r="L428" s="1" t="s">
        <v>3160</v>
      </c>
    </row>
    <row r="429">
      <c r="A429" s="1" t="s">
        <v>17</v>
      </c>
      <c r="B429" s="1">
        <v>1996.0</v>
      </c>
      <c r="C429" s="1" t="s">
        <v>3161</v>
      </c>
      <c r="D429" s="1" t="s">
        <v>3162</v>
      </c>
      <c r="E429" s="2" t="s">
        <v>3163</v>
      </c>
      <c r="F429" s="1">
        <v>375.0</v>
      </c>
      <c r="G429" s="1">
        <v>379.0</v>
      </c>
      <c r="H429" s="1" t="s">
        <v>28</v>
      </c>
      <c r="I429" s="1"/>
      <c r="J429" s="1" t="s">
        <v>3164</v>
      </c>
      <c r="K429" s="1"/>
      <c r="L429" s="1" t="s">
        <v>1787</v>
      </c>
      <c r="M429" s="1" t="s">
        <v>1323</v>
      </c>
    </row>
    <row r="430">
      <c r="A430" s="1" t="s">
        <v>17</v>
      </c>
      <c r="B430" s="1">
        <v>1996.0</v>
      </c>
      <c r="C430" s="1" t="s">
        <v>3165</v>
      </c>
      <c r="D430" s="1" t="s">
        <v>3166</v>
      </c>
      <c r="E430" s="2" t="s">
        <v>3167</v>
      </c>
      <c r="F430" s="1">
        <v>381.0</v>
      </c>
      <c r="G430" s="1">
        <v>384.0</v>
      </c>
      <c r="H430" s="1" t="s">
        <v>28</v>
      </c>
      <c r="I430" s="1"/>
      <c r="J430" s="1" t="s">
        <v>3168</v>
      </c>
      <c r="K430" s="1"/>
      <c r="L430" s="1" t="s">
        <v>3169</v>
      </c>
      <c r="M430" s="1" t="s">
        <v>487</v>
      </c>
    </row>
    <row r="431">
      <c r="A431" s="1" t="s">
        <v>17</v>
      </c>
      <c r="B431" s="1">
        <v>1996.0</v>
      </c>
      <c r="C431" s="1" t="s">
        <v>3170</v>
      </c>
      <c r="D431" s="1" t="s">
        <v>3171</v>
      </c>
      <c r="E431" s="2" t="s">
        <v>3172</v>
      </c>
      <c r="F431" s="1">
        <v>385.0</v>
      </c>
      <c r="G431" s="1">
        <v>388.0</v>
      </c>
      <c r="H431" s="1" t="s">
        <v>28</v>
      </c>
      <c r="I431" s="1"/>
      <c r="J431" s="1" t="s">
        <v>3173</v>
      </c>
      <c r="K431" s="1"/>
      <c r="L431" s="1" t="s">
        <v>3174</v>
      </c>
      <c r="M431" s="1" t="s">
        <v>2060</v>
      </c>
    </row>
    <row r="432">
      <c r="A432" s="1" t="s">
        <v>17</v>
      </c>
      <c r="B432" s="1">
        <v>1996.0</v>
      </c>
      <c r="C432" s="1" t="s">
        <v>3175</v>
      </c>
      <c r="D432" s="1" t="s">
        <v>3176</v>
      </c>
      <c r="E432" s="2" t="s">
        <v>3177</v>
      </c>
      <c r="F432" s="1">
        <v>389.0</v>
      </c>
      <c r="G432" s="1">
        <v>392.0</v>
      </c>
      <c r="H432" s="1" t="s">
        <v>28</v>
      </c>
      <c r="I432" s="1"/>
      <c r="J432" s="1" t="s">
        <v>3181</v>
      </c>
      <c r="K432" s="1"/>
      <c r="L432" s="1" t="s">
        <v>3182</v>
      </c>
      <c r="M432" s="1" t="s">
        <v>2518</v>
      </c>
      <c r="N432" s="1" t="s">
        <v>3183</v>
      </c>
    </row>
    <row r="433">
      <c r="A433" s="1" t="s">
        <v>17</v>
      </c>
      <c r="B433" s="1">
        <v>1996.0</v>
      </c>
      <c r="C433" s="1" t="s">
        <v>3184</v>
      </c>
      <c r="D433" s="1" t="s">
        <v>3185</v>
      </c>
      <c r="E433" s="2" t="s">
        <v>3186</v>
      </c>
      <c r="F433" s="1">
        <v>393.0</v>
      </c>
      <c r="G433" s="1">
        <v>396.0</v>
      </c>
      <c r="H433" s="1" t="s">
        <v>28</v>
      </c>
      <c r="I433" s="1"/>
      <c r="J433" s="1" t="s">
        <v>3187</v>
      </c>
      <c r="K433" s="1"/>
      <c r="L433" s="1" t="s">
        <v>2042</v>
      </c>
      <c r="M433" s="1" t="s">
        <v>3188</v>
      </c>
    </row>
    <row r="434">
      <c r="A434" s="1" t="s">
        <v>17</v>
      </c>
      <c r="B434" s="1">
        <v>1996.0</v>
      </c>
      <c r="C434" s="1" t="s">
        <v>3189</v>
      </c>
      <c r="D434" s="1" t="s">
        <v>3190</v>
      </c>
      <c r="E434" s="2" t="s">
        <v>3191</v>
      </c>
      <c r="F434" s="1">
        <v>397.0</v>
      </c>
      <c r="G434" s="1">
        <v>400.0</v>
      </c>
      <c r="H434" s="1" t="s">
        <v>28</v>
      </c>
      <c r="I434" s="1"/>
      <c r="J434" s="1" t="s">
        <v>3195</v>
      </c>
      <c r="K434" s="1"/>
      <c r="L434" s="1" t="s">
        <v>3196</v>
      </c>
    </row>
    <row r="435">
      <c r="A435" s="1" t="s">
        <v>17</v>
      </c>
      <c r="B435" s="1">
        <v>1996.0</v>
      </c>
      <c r="C435" s="1" t="s">
        <v>3197</v>
      </c>
      <c r="D435" s="1" t="s">
        <v>3198</v>
      </c>
      <c r="E435" s="2" t="s">
        <v>3199</v>
      </c>
      <c r="F435" s="1">
        <v>401.0</v>
      </c>
      <c r="G435" s="1">
        <v>403.0</v>
      </c>
      <c r="H435" s="1" t="s">
        <v>28</v>
      </c>
      <c r="I435" s="1"/>
      <c r="J435" s="1" t="s">
        <v>3200</v>
      </c>
      <c r="K435" s="1"/>
      <c r="L435" s="1" t="s">
        <v>3201</v>
      </c>
    </row>
    <row r="436">
      <c r="A436" s="1" t="s">
        <v>17</v>
      </c>
      <c r="B436" s="1">
        <v>1996.0</v>
      </c>
      <c r="C436" s="1" t="s">
        <v>3202</v>
      </c>
      <c r="D436" s="1" t="s">
        <v>3203</v>
      </c>
      <c r="E436" s="2" t="s">
        <v>3204</v>
      </c>
      <c r="F436" s="1">
        <v>405.0</v>
      </c>
      <c r="G436" s="1">
        <v>407.0</v>
      </c>
      <c r="H436" s="1" t="s">
        <v>28</v>
      </c>
      <c r="I436" s="1"/>
      <c r="J436" s="1" t="s">
        <v>3200</v>
      </c>
      <c r="K436" s="1"/>
      <c r="L436" s="1" t="s">
        <v>3201</v>
      </c>
    </row>
    <row r="437">
      <c r="A437" s="1" t="s">
        <v>17</v>
      </c>
      <c r="B437" s="1">
        <v>1996.0</v>
      </c>
      <c r="C437" s="1" t="s">
        <v>3207</v>
      </c>
      <c r="D437" s="1" t="s">
        <v>3208</v>
      </c>
      <c r="E437" s="2" t="s">
        <v>3209</v>
      </c>
      <c r="F437" s="1">
        <v>409.0</v>
      </c>
      <c r="G437" s="1">
        <v>412.0</v>
      </c>
      <c r="H437" s="1" t="s">
        <v>28</v>
      </c>
      <c r="I437" s="1"/>
      <c r="J437" s="1" t="s">
        <v>3213</v>
      </c>
      <c r="K437" s="1"/>
      <c r="L437" s="1" t="s">
        <v>3214</v>
      </c>
    </row>
    <row r="438">
      <c r="A438" s="1" t="s">
        <v>17</v>
      </c>
      <c r="B438" s="1">
        <v>1996.0</v>
      </c>
      <c r="C438" s="1" t="s">
        <v>3215</v>
      </c>
      <c r="D438" s="1" t="s">
        <v>3216</v>
      </c>
      <c r="E438" s="2" t="s">
        <v>3217</v>
      </c>
      <c r="F438" s="1">
        <v>413.0</v>
      </c>
      <c r="G438" s="1">
        <v>416.0</v>
      </c>
      <c r="H438" s="1" t="s">
        <v>28</v>
      </c>
      <c r="I438" s="1"/>
      <c r="J438" s="1" t="s">
        <v>3218</v>
      </c>
      <c r="K438" s="1"/>
      <c r="L438" s="1" t="s">
        <v>3219</v>
      </c>
    </row>
    <row r="439">
      <c r="A439" s="1" t="s">
        <v>17</v>
      </c>
      <c r="B439" s="1">
        <v>1996.0</v>
      </c>
      <c r="C439" s="1" t="s">
        <v>3220</v>
      </c>
      <c r="D439" s="1" t="s">
        <v>3222</v>
      </c>
      <c r="E439" s="2" t="s">
        <v>3223</v>
      </c>
      <c r="F439" s="1">
        <v>417.0</v>
      </c>
      <c r="G439" s="1">
        <v>420.0</v>
      </c>
      <c r="H439" s="1" t="s">
        <v>28</v>
      </c>
      <c r="I439" s="1"/>
      <c r="J439" s="1" t="s">
        <v>3226</v>
      </c>
      <c r="K439" s="1"/>
      <c r="L439" s="1" t="s">
        <v>3227</v>
      </c>
      <c r="M439" s="1" t="s">
        <v>2565</v>
      </c>
    </row>
    <row r="440">
      <c r="A440" s="1" t="s">
        <v>17</v>
      </c>
      <c r="B440" s="1">
        <v>1996.0</v>
      </c>
      <c r="C440" s="1" t="s">
        <v>3228</v>
      </c>
      <c r="D440" s="1" t="s">
        <v>3229</v>
      </c>
      <c r="E440" s="2" t="s">
        <v>3230</v>
      </c>
      <c r="F440" s="1">
        <v>421.0</v>
      </c>
      <c r="G440" s="1">
        <v>424.0</v>
      </c>
      <c r="H440" s="1" t="s">
        <v>28</v>
      </c>
      <c r="I440" s="1"/>
      <c r="J440" s="1" t="s">
        <v>3234</v>
      </c>
      <c r="K440" s="1"/>
      <c r="L440" s="1" t="s">
        <v>3235</v>
      </c>
    </row>
    <row r="441">
      <c r="A441" s="1" t="s">
        <v>17</v>
      </c>
      <c r="B441" s="1">
        <v>1996.0</v>
      </c>
      <c r="C441" s="1" t="s">
        <v>3236</v>
      </c>
      <c r="D441" s="1" t="s">
        <v>3237</v>
      </c>
      <c r="E441" s="2" t="s">
        <v>3238</v>
      </c>
      <c r="F441" s="1">
        <v>425.0</v>
      </c>
      <c r="G441" s="1">
        <v>428.0</v>
      </c>
      <c r="H441" s="1" t="s">
        <v>28</v>
      </c>
      <c r="I441" s="1"/>
      <c r="J441" s="1" t="s">
        <v>3239</v>
      </c>
      <c r="K441" s="1"/>
      <c r="L441" s="1" t="s">
        <v>3240</v>
      </c>
      <c r="M441" s="1"/>
      <c r="N441" s="1" t="s">
        <v>3241</v>
      </c>
    </row>
    <row r="442">
      <c r="A442" s="1" t="s">
        <v>17</v>
      </c>
      <c r="B442" s="1">
        <v>1996.0</v>
      </c>
      <c r="C442" s="1" t="s">
        <v>3245</v>
      </c>
      <c r="D442" s="1" t="s">
        <v>3246</v>
      </c>
      <c r="E442" s="2" t="s">
        <v>3247</v>
      </c>
      <c r="F442" s="1">
        <v>429.0</v>
      </c>
      <c r="G442" s="1">
        <v>432.0</v>
      </c>
      <c r="H442" s="1" t="s">
        <v>28</v>
      </c>
      <c r="I442" s="1"/>
      <c r="J442" s="1" t="s">
        <v>3248</v>
      </c>
      <c r="K442" s="1"/>
      <c r="L442" s="1" t="s">
        <v>3249</v>
      </c>
    </row>
    <row r="443">
      <c r="A443" s="1" t="s">
        <v>17</v>
      </c>
      <c r="B443" s="1">
        <v>1996.0</v>
      </c>
      <c r="C443" s="1" t="s">
        <v>3250</v>
      </c>
      <c r="D443" s="1" t="s">
        <v>3251</v>
      </c>
      <c r="E443" s="2" t="s">
        <v>3252</v>
      </c>
      <c r="F443" s="1">
        <v>433.0</v>
      </c>
      <c r="G443" s="1">
        <v>438.0</v>
      </c>
      <c r="H443" s="1" t="s">
        <v>28</v>
      </c>
      <c r="I443" s="1"/>
      <c r="J443" s="1" t="s">
        <v>3256</v>
      </c>
      <c r="K443" s="1"/>
      <c r="L443" s="1" t="s">
        <v>3257</v>
      </c>
      <c r="M443" s="1" t="s">
        <v>2587</v>
      </c>
    </row>
    <row r="444">
      <c r="A444" s="1" t="s">
        <v>17</v>
      </c>
      <c r="B444" s="1">
        <v>1996.0</v>
      </c>
      <c r="C444" s="1" t="s">
        <v>3258</v>
      </c>
      <c r="D444" s="1" t="s">
        <v>3259</v>
      </c>
      <c r="E444" s="2" t="s">
        <v>3260</v>
      </c>
      <c r="F444" s="1">
        <v>439.0</v>
      </c>
      <c r="G444" s="1">
        <v>440.0</v>
      </c>
      <c r="H444" s="1" t="s">
        <v>21</v>
      </c>
      <c r="I444" s="1"/>
      <c r="J444" s="1" t="s">
        <v>3263</v>
      </c>
      <c r="K444" s="1"/>
      <c r="L444" s="1" t="s">
        <v>3264</v>
      </c>
    </row>
    <row r="445">
      <c r="A445" s="1" t="s">
        <v>17</v>
      </c>
      <c r="B445" s="1">
        <v>1996.0</v>
      </c>
      <c r="C445" s="1" t="s">
        <v>3265</v>
      </c>
      <c r="D445" s="1" t="s">
        <v>3266</v>
      </c>
      <c r="E445" s="2" t="s">
        <v>3267</v>
      </c>
      <c r="F445" s="1">
        <v>445.0</v>
      </c>
      <c r="G445" s="1">
        <v>447.0</v>
      </c>
      <c r="H445" s="1" t="s">
        <v>21</v>
      </c>
      <c r="I445" s="1"/>
      <c r="J445" s="1" t="s">
        <v>3268</v>
      </c>
      <c r="K445" s="1"/>
      <c r="L445" s="1" t="s">
        <v>3269</v>
      </c>
    </row>
    <row r="446">
      <c r="A446" s="1" t="s">
        <v>17</v>
      </c>
      <c r="B446" s="1">
        <v>1996.0</v>
      </c>
      <c r="C446" s="1" t="s">
        <v>3270</v>
      </c>
      <c r="D446" s="1" t="s">
        <v>3271</v>
      </c>
      <c r="E446" s="2" t="s">
        <v>3272</v>
      </c>
      <c r="F446" s="1">
        <v>449.0</v>
      </c>
      <c r="G446" s="1">
        <v>450.0</v>
      </c>
      <c r="H446" s="1" t="s">
        <v>21</v>
      </c>
      <c r="I446" s="1"/>
      <c r="J446" s="1" t="s">
        <v>3277</v>
      </c>
      <c r="K446" s="1"/>
      <c r="L446" s="1" t="s">
        <v>3278</v>
      </c>
    </row>
    <row r="447">
      <c r="A447" s="1" t="s">
        <v>17</v>
      </c>
      <c r="B447" s="1">
        <v>1996.0</v>
      </c>
      <c r="C447" s="1" t="s">
        <v>3279</v>
      </c>
      <c r="D447" s="1" t="s">
        <v>3280</v>
      </c>
      <c r="E447" s="2" t="s">
        <v>3281</v>
      </c>
      <c r="F447" s="1">
        <v>451.0</v>
      </c>
      <c r="G447" s="1">
        <v>453.0</v>
      </c>
      <c r="H447" s="1" t="s">
        <v>21</v>
      </c>
      <c r="I447" s="1"/>
      <c r="J447" s="1" t="s">
        <v>3283</v>
      </c>
      <c r="K447" s="1"/>
      <c r="L447" s="1" t="s">
        <v>3284</v>
      </c>
    </row>
    <row r="448">
      <c r="A448" s="1" t="s">
        <v>17</v>
      </c>
      <c r="B448" s="1">
        <v>1996.0</v>
      </c>
      <c r="C448" s="1" t="s">
        <v>3287</v>
      </c>
      <c r="D448" s="1" t="s">
        <v>3288</v>
      </c>
      <c r="E448" s="2" t="s">
        <v>3289</v>
      </c>
      <c r="F448" s="1">
        <v>441.0</v>
      </c>
      <c r="G448" s="1">
        <v>443.0</v>
      </c>
      <c r="H448" s="1" t="s">
        <v>21</v>
      </c>
      <c r="I448" s="1"/>
      <c r="J448" s="1" t="s">
        <v>3290</v>
      </c>
      <c r="K448" s="1"/>
      <c r="L448" s="1" t="s">
        <v>3291</v>
      </c>
    </row>
    <row r="449">
      <c r="A449" s="1" t="s">
        <v>2137</v>
      </c>
      <c r="B449" s="1">
        <v>1997.0</v>
      </c>
      <c r="C449" s="1" t="s">
        <v>3292</v>
      </c>
      <c r="D449" s="1" t="s">
        <v>3293</v>
      </c>
      <c r="E449" s="2" t="s">
        <v>3294</v>
      </c>
      <c r="F449" s="1">
        <v>2.0</v>
      </c>
      <c r="G449" s="1">
        <v>10.0</v>
      </c>
      <c r="H449" s="1" t="s">
        <v>28</v>
      </c>
      <c r="I449" s="1"/>
      <c r="J449" s="1" t="s">
        <v>3299</v>
      </c>
      <c r="K449" s="1"/>
      <c r="L449" s="1" t="s">
        <v>3300</v>
      </c>
      <c r="M449" s="1" t="s">
        <v>3301</v>
      </c>
    </row>
    <row r="450">
      <c r="A450" s="1" t="s">
        <v>2137</v>
      </c>
      <c r="B450" s="1">
        <v>1997.0</v>
      </c>
      <c r="C450" s="1" t="s">
        <v>3302</v>
      </c>
      <c r="D450" s="1" t="s">
        <v>3303</v>
      </c>
      <c r="E450" s="2" t="s">
        <v>3304</v>
      </c>
      <c r="F450" s="1">
        <v>11.0</v>
      </c>
      <c r="G450" s="1">
        <v>16.0</v>
      </c>
      <c r="H450" s="1" t="s">
        <v>28</v>
      </c>
      <c r="I450" s="1"/>
      <c r="J450" s="1" t="s">
        <v>3305</v>
      </c>
      <c r="K450" s="1"/>
      <c r="L450" s="1" t="s">
        <v>3306</v>
      </c>
      <c r="M450" s="1" t="s">
        <v>3307</v>
      </c>
      <c r="N450" s="1" t="s">
        <v>3308</v>
      </c>
    </row>
    <row r="451">
      <c r="A451" s="1" t="s">
        <v>2137</v>
      </c>
      <c r="B451" s="1">
        <v>1997.0</v>
      </c>
      <c r="C451" s="1" t="s">
        <v>3309</v>
      </c>
      <c r="D451" s="1" t="s">
        <v>3310</v>
      </c>
      <c r="E451" s="2" t="s">
        <v>3311</v>
      </c>
      <c r="F451" s="1">
        <v>17.0</v>
      </c>
      <c r="G451" s="1">
        <v>24.0</v>
      </c>
      <c r="H451" s="1" t="s">
        <v>28</v>
      </c>
      <c r="I451" s="1"/>
      <c r="J451" s="1" t="s">
        <v>3324</v>
      </c>
      <c r="K451" s="1"/>
      <c r="L451" s="1" t="s">
        <v>3325</v>
      </c>
      <c r="M451" s="1" t="s">
        <v>3326</v>
      </c>
    </row>
    <row r="452">
      <c r="A452" s="1" t="s">
        <v>2137</v>
      </c>
      <c r="B452" s="1">
        <v>1997.0</v>
      </c>
      <c r="C452" s="1" t="s">
        <v>3327</v>
      </c>
      <c r="D452" s="1" t="s">
        <v>3328</v>
      </c>
      <c r="E452" s="2" t="s">
        <v>3329</v>
      </c>
      <c r="F452" s="1">
        <v>25.0</v>
      </c>
      <c r="G452" s="1">
        <v>28.0</v>
      </c>
      <c r="H452" s="1" t="s">
        <v>28</v>
      </c>
      <c r="I452" s="1"/>
      <c r="J452" s="1" t="s">
        <v>3333</v>
      </c>
      <c r="K452" s="1"/>
      <c r="L452" s="1" t="s">
        <v>3334</v>
      </c>
    </row>
    <row r="453">
      <c r="A453" s="1" t="s">
        <v>2137</v>
      </c>
      <c r="B453" s="1">
        <v>1997.0</v>
      </c>
      <c r="C453" s="1" t="s">
        <v>3335</v>
      </c>
      <c r="D453" s="1" t="s">
        <v>3336</v>
      </c>
      <c r="E453" s="2" t="s">
        <v>3337</v>
      </c>
      <c r="F453" s="1">
        <v>30.0</v>
      </c>
      <c r="G453" s="1">
        <v>37.0</v>
      </c>
      <c r="H453" s="1" t="s">
        <v>28</v>
      </c>
      <c r="I453" s="1"/>
      <c r="J453" s="1" t="s">
        <v>3341</v>
      </c>
      <c r="K453" s="1"/>
      <c r="L453" s="1" t="s">
        <v>2751</v>
      </c>
      <c r="M453" s="1" t="s">
        <v>1541</v>
      </c>
    </row>
    <row r="454">
      <c r="A454" s="1" t="s">
        <v>2137</v>
      </c>
      <c r="B454" s="1">
        <v>1997.0</v>
      </c>
      <c r="C454" s="1" t="s">
        <v>3342</v>
      </c>
      <c r="D454" s="1" t="s">
        <v>3343</v>
      </c>
      <c r="E454" s="2" t="s">
        <v>3344</v>
      </c>
      <c r="F454" s="1">
        <v>38.0</v>
      </c>
      <c r="G454" s="1">
        <v>45.0</v>
      </c>
      <c r="H454" s="1" t="s">
        <v>28</v>
      </c>
      <c r="I454" s="1"/>
      <c r="J454" s="1" t="s">
        <v>3348</v>
      </c>
      <c r="K454" s="1"/>
      <c r="L454" s="1" t="s">
        <v>2638</v>
      </c>
      <c r="M454" s="1" t="s">
        <v>809</v>
      </c>
      <c r="N454" s="1" t="s">
        <v>3349</v>
      </c>
    </row>
    <row r="455">
      <c r="A455" s="1" t="s">
        <v>2137</v>
      </c>
      <c r="B455" s="1">
        <v>1997.0</v>
      </c>
      <c r="C455" s="1" t="s">
        <v>3350</v>
      </c>
      <c r="D455" s="1" t="s">
        <v>3351</v>
      </c>
      <c r="E455" s="2" t="s">
        <v>3352</v>
      </c>
      <c r="F455" s="1">
        <v>46.0</v>
      </c>
      <c r="G455" s="1">
        <v>49.0</v>
      </c>
      <c r="H455" s="1" t="s">
        <v>28</v>
      </c>
      <c r="I455" s="1"/>
      <c r="J455" s="1" t="s">
        <v>3356</v>
      </c>
      <c r="K455" s="1"/>
      <c r="L455" s="1" t="s">
        <v>3357</v>
      </c>
      <c r="M455" s="1" t="s">
        <v>2728</v>
      </c>
    </row>
    <row r="456">
      <c r="A456" s="1" t="s">
        <v>2137</v>
      </c>
      <c r="B456" s="1">
        <v>1997.0</v>
      </c>
      <c r="C456" s="1" t="s">
        <v>3358</v>
      </c>
      <c r="D456" s="1" t="s">
        <v>3359</v>
      </c>
      <c r="E456" s="2" t="s">
        <v>3360</v>
      </c>
      <c r="F456" s="1">
        <v>51.0</v>
      </c>
      <c r="G456" s="1">
        <v>58.0</v>
      </c>
      <c r="H456" s="1" t="s">
        <v>28</v>
      </c>
      <c r="I456" s="1"/>
      <c r="J456" s="1" t="s">
        <v>2757</v>
      </c>
      <c r="K456" s="1"/>
      <c r="L456" s="1" t="s">
        <v>855</v>
      </c>
      <c r="M456" s="1" t="s">
        <v>2755</v>
      </c>
      <c r="N456" s="1" t="s">
        <v>3361</v>
      </c>
    </row>
    <row r="457">
      <c r="A457" s="1" t="s">
        <v>2137</v>
      </c>
      <c r="B457" s="1">
        <v>1997.0</v>
      </c>
      <c r="C457" s="1" t="s">
        <v>3362</v>
      </c>
      <c r="D457" s="1" t="s">
        <v>3363</v>
      </c>
      <c r="E457" s="2" t="s">
        <v>3364</v>
      </c>
      <c r="F457" s="1">
        <v>59.0</v>
      </c>
      <c r="G457" s="1">
        <v>63.0</v>
      </c>
      <c r="H457" s="1" t="s">
        <v>28</v>
      </c>
      <c r="I457" s="1"/>
      <c r="J457" s="1" t="s">
        <v>3368</v>
      </c>
      <c r="K457" s="1"/>
      <c r="L457" s="1" t="s">
        <v>3369</v>
      </c>
      <c r="M457" s="1"/>
      <c r="N457" s="1" t="s">
        <v>3370</v>
      </c>
    </row>
    <row r="458">
      <c r="A458" s="1" t="s">
        <v>2137</v>
      </c>
      <c r="B458" s="1">
        <v>1997.0</v>
      </c>
      <c r="C458" s="1" t="s">
        <v>3371</v>
      </c>
      <c r="D458" s="1" t="s">
        <v>3372</v>
      </c>
      <c r="E458" s="2" t="s">
        <v>3374</v>
      </c>
      <c r="F458" s="1">
        <v>65.0</v>
      </c>
      <c r="G458" s="1">
        <v>72.0</v>
      </c>
      <c r="H458" s="1" t="s">
        <v>28</v>
      </c>
      <c r="I458" s="1"/>
      <c r="J458" s="1" t="s">
        <v>3378</v>
      </c>
      <c r="K458" s="1"/>
      <c r="L458" s="1" t="s">
        <v>3379</v>
      </c>
      <c r="M458" s="1" t="s">
        <v>3380</v>
      </c>
    </row>
    <row r="459">
      <c r="A459" s="1" t="s">
        <v>2137</v>
      </c>
      <c r="B459" s="1">
        <v>1997.0</v>
      </c>
      <c r="C459" s="1" t="s">
        <v>3381</v>
      </c>
      <c r="D459" s="1" t="s">
        <v>3382</v>
      </c>
      <c r="E459" s="2" t="s">
        <v>3384</v>
      </c>
      <c r="F459" s="1">
        <v>73.0</v>
      </c>
      <c r="G459" s="1">
        <v>80.0</v>
      </c>
      <c r="H459" s="1" t="s">
        <v>28</v>
      </c>
      <c r="I459" s="1"/>
      <c r="J459" s="1" t="s">
        <v>3387</v>
      </c>
      <c r="K459" s="1"/>
      <c r="L459" s="1" t="s">
        <v>3388</v>
      </c>
      <c r="M459" s="1" t="s">
        <v>3389</v>
      </c>
    </row>
    <row r="460">
      <c r="A460" s="1" t="s">
        <v>2137</v>
      </c>
      <c r="B460" s="1">
        <v>1997.0</v>
      </c>
      <c r="C460" s="1" t="s">
        <v>3390</v>
      </c>
      <c r="D460" s="1" t="s">
        <v>3391</v>
      </c>
      <c r="E460" s="2" t="s">
        <v>3392</v>
      </c>
      <c r="F460" s="1">
        <v>81.0</v>
      </c>
      <c r="G460" s="1">
        <v>86.0</v>
      </c>
      <c r="H460" s="1" t="s">
        <v>28</v>
      </c>
      <c r="I460" s="1"/>
      <c r="J460" s="1" t="s">
        <v>3396</v>
      </c>
      <c r="K460" s="1"/>
      <c r="L460" s="1" t="s">
        <v>3397</v>
      </c>
      <c r="M460" s="1" t="s">
        <v>3398</v>
      </c>
      <c r="N460" s="1" t="s">
        <v>3399</v>
      </c>
    </row>
    <row r="461">
      <c r="A461" s="1" t="s">
        <v>2137</v>
      </c>
      <c r="B461" s="1">
        <v>1997.0</v>
      </c>
      <c r="C461" s="1" t="s">
        <v>3401</v>
      </c>
      <c r="D461" s="1" t="s">
        <v>3402</v>
      </c>
      <c r="E461" s="2" t="s">
        <v>3403</v>
      </c>
      <c r="F461" s="1">
        <v>87.0</v>
      </c>
      <c r="G461" s="1">
        <v>90.0</v>
      </c>
      <c r="H461" s="1" t="s">
        <v>28</v>
      </c>
      <c r="I461" s="1"/>
      <c r="J461" s="1" t="s">
        <v>3405</v>
      </c>
      <c r="K461" s="1"/>
      <c r="L461" s="1" t="s">
        <v>376</v>
      </c>
      <c r="M461" s="1" t="s">
        <v>3407</v>
      </c>
      <c r="N461" s="1" t="s">
        <v>3409</v>
      </c>
    </row>
    <row r="462">
      <c r="A462" s="1" t="s">
        <v>2137</v>
      </c>
      <c r="B462" s="1">
        <v>1997.0</v>
      </c>
      <c r="C462" s="1" t="s">
        <v>3411</v>
      </c>
      <c r="D462" s="1" t="s">
        <v>3412</v>
      </c>
      <c r="E462" s="2" t="s">
        <v>3413</v>
      </c>
      <c r="F462" s="1">
        <v>92.0</v>
      </c>
      <c r="G462" s="1">
        <v>99.0</v>
      </c>
      <c r="H462" s="1" t="s">
        <v>28</v>
      </c>
      <c r="I462" s="1"/>
      <c r="J462" s="1" t="s">
        <v>3417</v>
      </c>
      <c r="K462" s="1"/>
      <c r="L462" s="1" t="s">
        <v>3369</v>
      </c>
      <c r="M462" s="1" t="s">
        <v>3418</v>
      </c>
      <c r="N462" s="1" t="s">
        <v>3419</v>
      </c>
      <c r="P462" s="1"/>
      <c r="Q462" s="1" t="s">
        <v>1093</v>
      </c>
    </row>
    <row r="463">
      <c r="A463" s="1" t="s">
        <v>2137</v>
      </c>
      <c r="B463" s="1">
        <v>1997.0</v>
      </c>
      <c r="C463" s="1" t="s">
        <v>3420</v>
      </c>
      <c r="D463" s="1" t="s">
        <v>3421</v>
      </c>
      <c r="E463" s="2" t="s">
        <v>3422</v>
      </c>
      <c r="F463" s="1">
        <v>100.0</v>
      </c>
      <c r="G463" s="1">
        <v>107.0</v>
      </c>
      <c r="H463" s="1" t="s">
        <v>28</v>
      </c>
      <c r="I463" s="1"/>
      <c r="J463" s="1" t="s">
        <v>3426</v>
      </c>
      <c r="K463" s="1"/>
      <c r="L463" s="1" t="s">
        <v>3427</v>
      </c>
      <c r="M463" s="1" t="s">
        <v>3428</v>
      </c>
    </row>
    <row r="464">
      <c r="A464" s="1" t="s">
        <v>2137</v>
      </c>
      <c r="B464" s="1">
        <v>1997.0</v>
      </c>
      <c r="C464" s="1" t="s">
        <v>3429</v>
      </c>
      <c r="D464" s="1" t="s">
        <v>3430</v>
      </c>
      <c r="E464" s="2" t="s">
        <v>3432</v>
      </c>
      <c r="F464" s="1">
        <v>108.0</v>
      </c>
      <c r="G464" s="1">
        <v>111.0</v>
      </c>
      <c r="H464" s="1" t="s">
        <v>28</v>
      </c>
      <c r="I464" s="1"/>
      <c r="J464" s="1" t="s">
        <v>3435</v>
      </c>
      <c r="K464" s="1"/>
      <c r="L464" s="1" t="s">
        <v>3436</v>
      </c>
      <c r="M464" s="1" t="s">
        <v>3438</v>
      </c>
    </row>
    <row r="465">
      <c r="A465" s="1" t="s">
        <v>17</v>
      </c>
      <c r="B465" s="1">
        <v>1997.0</v>
      </c>
      <c r="C465" s="1" t="s">
        <v>3441</v>
      </c>
      <c r="D465" s="1" t="s">
        <v>3442</v>
      </c>
      <c r="E465" s="2" t="s">
        <v>3443</v>
      </c>
      <c r="F465" s="1">
        <v>19.0</v>
      </c>
      <c r="G465" s="1">
        <v>26.0</v>
      </c>
      <c r="H465" s="1" t="s">
        <v>28</v>
      </c>
      <c r="I465" s="1"/>
      <c r="J465" s="1" t="s">
        <v>3445</v>
      </c>
      <c r="K465" s="1"/>
      <c r="L465" s="1" t="s">
        <v>2670</v>
      </c>
      <c r="M465" s="1" t="s">
        <v>2052</v>
      </c>
      <c r="N465" s="1" t="s">
        <v>3447</v>
      </c>
    </row>
    <row r="466">
      <c r="A466" s="1" t="s">
        <v>17</v>
      </c>
      <c r="B466" s="1">
        <v>1997.0</v>
      </c>
      <c r="C466" s="1" t="s">
        <v>3448</v>
      </c>
      <c r="D466" s="1" t="s">
        <v>3449</v>
      </c>
      <c r="E466" s="2" t="s">
        <v>3450</v>
      </c>
      <c r="F466" s="1">
        <v>27.0</v>
      </c>
      <c r="G466" s="1">
        <v>34.0</v>
      </c>
      <c r="H466" s="1" t="s">
        <v>28</v>
      </c>
      <c r="I466" s="1"/>
      <c r="J466" s="1" t="s">
        <v>1460</v>
      </c>
      <c r="K466" s="1"/>
      <c r="L466" s="1" t="s">
        <v>2266</v>
      </c>
      <c r="M466" s="1" t="s">
        <v>3454</v>
      </c>
      <c r="N466" s="1" t="s">
        <v>3455</v>
      </c>
    </row>
    <row r="467">
      <c r="A467" s="1" t="s">
        <v>17</v>
      </c>
      <c r="B467" s="1">
        <v>1997.0</v>
      </c>
      <c r="C467" s="1" t="s">
        <v>3456</v>
      </c>
      <c r="D467" s="1" t="s">
        <v>3457</v>
      </c>
      <c r="E467" s="2" t="s">
        <v>3458</v>
      </c>
      <c r="F467" s="1">
        <v>35.0</v>
      </c>
      <c r="G467" s="1">
        <v>42.0</v>
      </c>
      <c r="H467" s="1" t="s">
        <v>28</v>
      </c>
      <c r="I467" s="1"/>
      <c r="J467" s="1" t="s">
        <v>3462</v>
      </c>
      <c r="K467" s="1"/>
      <c r="L467" s="1" t="s">
        <v>3463</v>
      </c>
      <c r="M467" s="1" t="s">
        <v>3464</v>
      </c>
    </row>
    <row r="468">
      <c r="A468" s="1" t="s">
        <v>17</v>
      </c>
      <c r="B468" s="1">
        <v>1997.0</v>
      </c>
      <c r="C468" s="1" t="s">
        <v>3465</v>
      </c>
      <c r="D468" s="1" t="s">
        <v>3466</v>
      </c>
      <c r="E468" s="2" t="s">
        <v>3468</v>
      </c>
      <c r="F468" s="1">
        <v>43.0</v>
      </c>
      <c r="G468" s="1">
        <v>50.0</v>
      </c>
      <c r="H468" s="1" t="s">
        <v>28</v>
      </c>
      <c r="I468" s="1"/>
      <c r="J468" s="1" t="s">
        <v>3471</v>
      </c>
      <c r="K468" s="1"/>
      <c r="L468" s="1" t="s">
        <v>3472</v>
      </c>
      <c r="M468" s="1" t="s">
        <v>3473</v>
      </c>
      <c r="N468" s="1" t="s">
        <v>3474</v>
      </c>
    </row>
    <row r="469">
      <c r="A469" s="1" t="s">
        <v>17</v>
      </c>
      <c r="B469" s="1">
        <v>1997.0</v>
      </c>
      <c r="C469" s="1" t="s">
        <v>3476</v>
      </c>
      <c r="D469" s="1" t="s">
        <v>3477</v>
      </c>
      <c r="E469" s="2" t="s">
        <v>3479</v>
      </c>
      <c r="F469" s="1">
        <v>51.0</v>
      </c>
      <c r="G469" s="1">
        <v>57.0</v>
      </c>
      <c r="H469" s="1" t="s">
        <v>28</v>
      </c>
      <c r="I469" s="1"/>
      <c r="J469" s="1" t="s">
        <v>3481</v>
      </c>
      <c r="K469" s="1"/>
      <c r="L469" s="1" t="s">
        <v>3482</v>
      </c>
      <c r="M469" s="1" t="s">
        <v>3483</v>
      </c>
    </row>
    <row r="470">
      <c r="A470" s="1" t="s">
        <v>17</v>
      </c>
      <c r="B470" s="1">
        <v>1997.0</v>
      </c>
      <c r="C470" s="1" t="s">
        <v>3484</v>
      </c>
      <c r="D470" s="1" t="s">
        <v>3485</v>
      </c>
      <c r="E470" s="2" t="s">
        <v>3486</v>
      </c>
      <c r="F470" s="1">
        <v>59.0</v>
      </c>
      <c r="G470" s="1">
        <v>66.0</v>
      </c>
      <c r="H470" s="1" t="s">
        <v>28</v>
      </c>
      <c r="I470" s="1"/>
      <c r="J470" s="1" t="s">
        <v>3490</v>
      </c>
      <c r="K470" s="1"/>
      <c r="L470" s="1" t="s">
        <v>3491</v>
      </c>
      <c r="M470" s="1" t="s">
        <v>1084</v>
      </c>
    </row>
    <row r="471">
      <c r="A471" s="1" t="s">
        <v>17</v>
      </c>
      <c r="B471" s="1">
        <v>1997.0</v>
      </c>
      <c r="C471" s="1" t="s">
        <v>3492</v>
      </c>
      <c r="D471" s="1" t="s">
        <v>3493</v>
      </c>
      <c r="E471" s="2" t="s">
        <v>3494</v>
      </c>
      <c r="F471" s="1">
        <v>67.0</v>
      </c>
      <c r="G471" s="1">
        <v>74.0</v>
      </c>
      <c r="H471" s="1" t="s">
        <v>28</v>
      </c>
      <c r="I471" s="1"/>
      <c r="J471" s="1" t="s">
        <v>3498</v>
      </c>
      <c r="K471" s="1"/>
      <c r="L471" s="1" t="s">
        <v>1943</v>
      </c>
    </row>
    <row r="472">
      <c r="A472" s="1" t="s">
        <v>17</v>
      </c>
      <c r="B472" s="1">
        <v>1997.0</v>
      </c>
      <c r="C472" s="1" t="s">
        <v>3499</v>
      </c>
      <c r="D472" s="1" t="s">
        <v>3500</v>
      </c>
      <c r="E472" s="2" t="s">
        <v>3501</v>
      </c>
      <c r="F472" s="1">
        <v>75.0</v>
      </c>
      <c r="G472" s="1">
        <v>80.0</v>
      </c>
      <c r="H472" s="1" t="s">
        <v>28</v>
      </c>
      <c r="I472" s="1"/>
      <c r="J472" s="1" t="s">
        <v>3503</v>
      </c>
      <c r="K472" s="1"/>
      <c r="L472" s="1" t="s">
        <v>3505</v>
      </c>
      <c r="M472" s="1" t="s">
        <v>3506</v>
      </c>
      <c r="N472" s="1" t="s">
        <v>3507</v>
      </c>
    </row>
    <row r="473">
      <c r="A473" s="1" t="s">
        <v>17</v>
      </c>
      <c r="B473" s="1">
        <v>1997.0</v>
      </c>
      <c r="C473" s="1" t="s">
        <v>3508</v>
      </c>
      <c r="D473" s="1" t="s">
        <v>3509</v>
      </c>
      <c r="E473" s="2" t="s">
        <v>3510</v>
      </c>
      <c r="F473" s="1">
        <v>81.0</v>
      </c>
      <c r="G473" s="1">
        <v>88.0</v>
      </c>
      <c r="H473" s="1" t="s">
        <v>28</v>
      </c>
      <c r="I473" s="1"/>
      <c r="J473" s="1" t="s">
        <v>3511</v>
      </c>
      <c r="K473" s="1"/>
      <c r="L473" s="1" t="s">
        <v>3512</v>
      </c>
      <c r="M473" s="1" t="s">
        <v>3513</v>
      </c>
      <c r="N473" s="1" t="s">
        <v>3514</v>
      </c>
    </row>
    <row r="474">
      <c r="A474" s="1" t="s">
        <v>17</v>
      </c>
      <c r="B474" s="1">
        <v>1997.0</v>
      </c>
      <c r="C474" s="1" t="s">
        <v>3515</v>
      </c>
      <c r="D474" s="1" t="s">
        <v>3516</v>
      </c>
      <c r="E474" s="2" t="s">
        <v>3517</v>
      </c>
      <c r="F474" s="1">
        <v>89.0</v>
      </c>
      <c r="G474" s="1">
        <v>94.0</v>
      </c>
      <c r="H474" s="1" t="s">
        <v>28</v>
      </c>
      <c r="I474" s="1"/>
      <c r="J474" s="1" t="s">
        <v>3518</v>
      </c>
      <c r="K474" s="1"/>
      <c r="L474" s="1" t="s">
        <v>3519</v>
      </c>
      <c r="M474" s="1" t="s">
        <v>800</v>
      </c>
      <c r="N474" s="1" t="s">
        <v>3520</v>
      </c>
    </row>
    <row r="475">
      <c r="A475" s="1" t="s">
        <v>17</v>
      </c>
      <c r="B475" s="1">
        <v>1997.0</v>
      </c>
      <c r="C475" s="1" t="s">
        <v>3521</v>
      </c>
      <c r="D475" s="1" t="s">
        <v>3522</v>
      </c>
      <c r="E475" s="2" t="s">
        <v>3523</v>
      </c>
      <c r="F475" s="1">
        <v>95.0</v>
      </c>
      <c r="G475" s="1">
        <v>102.0</v>
      </c>
      <c r="H475" s="1" t="s">
        <v>28</v>
      </c>
      <c r="I475" s="1"/>
      <c r="J475" s="1" t="s">
        <v>3524</v>
      </c>
      <c r="K475" s="1"/>
      <c r="L475" s="1" t="s">
        <v>3525</v>
      </c>
      <c r="M475" s="1" t="s">
        <v>2854</v>
      </c>
      <c r="N475" s="1" t="s">
        <v>3526</v>
      </c>
    </row>
    <row r="476">
      <c r="A476" s="1" t="s">
        <v>17</v>
      </c>
      <c r="B476" s="1">
        <v>1997.0</v>
      </c>
      <c r="C476" s="1" t="s">
        <v>3527</v>
      </c>
      <c r="D476" s="1" t="s">
        <v>3528</v>
      </c>
      <c r="E476" s="2" t="s">
        <v>3529</v>
      </c>
      <c r="F476" s="1">
        <v>103.0</v>
      </c>
      <c r="G476" s="1">
        <v>110.0</v>
      </c>
      <c r="H476" s="1" t="s">
        <v>28</v>
      </c>
      <c r="I476" s="1"/>
      <c r="J476" s="1" t="s">
        <v>3530</v>
      </c>
      <c r="K476" s="1"/>
      <c r="L476" s="1" t="s">
        <v>3531</v>
      </c>
    </row>
    <row r="477">
      <c r="A477" s="1" t="s">
        <v>17</v>
      </c>
      <c r="B477" s="1">
        <v>1997.0</v>
      </c>
      <c r="C477" s="1" t="s">
        <v>3532</v>
      </c>
      <c r="D477" s="1" t="s">
        <v>3533</v>
      </c>
      <c r="E477" s="2" t="s">
        <v>3534</v>
      </c>
      <c r="F477" s="1">
        <v>111.0</v>
      </c>
      <c r="G477" s="1">
        <v>118.0</v>
      </c>
      <c r="H477" s="1" t="s">
        <v>28</v>
      </c>
      <c r="I477" s="1"/>
      <c r="J477" s="1" t="s">
        <v>2450</v>
      </c>
      <c r="K477" s="1"/>
      <c r="L477" s="1" t="s">
        <v>2451</v>
      </c>
      <c r="M477" s="1" t="s">
        <v>3535</v>
      </c>
    </row>
    <row r="478">
      <c r="A478" s="1" t="s">
        <v>17</v>
      </c>
      <c r="B478" s="1">
        <v>1997.0</v>
      </c>
      <c r="C478" s="1" t="s">
        <v>3536</v>
      </c>
      <c r="D478" s="1" t="s">
        <v>3537</v>
      </c>
      <c r="E478" s="2" t="s">
        <v>3538</v>
      </c>
      <c r="F478" s="1">
        <v>119.0</v>
      </c>
      <c r="G478" s="1">
        <v>125.0</v>
      </c>
      <c r="H478" s="1" t="s">
        <v>28</v>
      </c>
      <c r="I478" s="1"/>
      <c r="J478" s="1" t="s">
        <v>3539</v>
      </c>
      <c r="K478" s="1"/>
      <c r="L478" s="1" t="s">
        <v>3540</v>
      </c>
      <c r="M478" s="1" t="s">
        <v>3541</v>
      </c>
    </row>
    <row r="479">
      <c r="A479" s="1" t="s">
        <v>17</v>
      </c>
      <c r="B479" s="1">
        <v>1997.0</v>
      </c>
      <c r="C479" s="1" t="s">
        <v>3542</v>
      </c>
      <c r="D479" s="1" t="s">
        <v>3543</v>
      </c>
      <c r="E479" s="2" t="s">
        <v>3544</v>
      </c>
      <c r="F479" s="1">
        <v>127.0</v>
      </c>
      <c r="G479" s="1">
        <v>134.0</v>
      </c>
      <c r="H479" s="1" t="s">
        <v>28</v>
      </c>
      <c r="I479" s="1"/>
      <c r="J479" s="1" t="s">
        <v>3545</v>
      </c>
      <c r="K479" s="1"/>
      <c r="L479" s="1" t="s">
        <v>3546</v>
      </c>
      <c r="M479" s="1" t="s">
        <v>3547</v>
      </c>
    </row>
    <row r="480">
      <c r="A480" s="1" t="s">
        <v>17</v>
      </c>
      <c r="B480" s="1">
        <v>1997.0</v>
      </c>
      <c r="C480" s="1" t="s">
        <v>3548</v>
      </c>
      <c r="D480" s="1" t="s">
        <v>3549</v>
      </c>
      <c r="E480" s="2" t="s">
        <v>3550</v>
      </c>
      <c r="F480" s="1">
        <v>135.0</v>
      </c>
      <c r="G480" s="1">
        <v>142.0</v>
      </c>
      <c r="H480" s="1" t="s">
        <v>28</v>
      </c>
      <c r="I480" s="1"/>
      <c r="J480" s="1" t="s">
        <v>3551</v>
      </c>
      <c r="K480" s="1"/>
      <c r="L480" s="1" t="s">
        <v>3552</v>
      </c>
      <c r="M480" s="1" t="s">
        <v>3122</v>
      </c>
      <c r="N480" s="1" t="s">
        <v>3553</v>
      </c>
    </row>
    <row r="481">
      <c r="A481" s="1" t="s">
        <v>17</v>
      </c>
      <c r="B481" s="1">
        <v>1997.0</v>
      </c>
      <c r="C481" s="1" t="s">
        <v>3554</v>
      </c>
      <c r="D481" s="1" t="s">
        <v>3555</v>
      </c>
      <c r="E481" s="2" t="s">
        <v>3556</v>
      </c>
      <c r="F481" s="1">
        <v>143.0</v>
      </c>
      <c r="G481" s="1">
        <v>149.0</v>
      </c>
      <c r="H481" s="1" t="s">
        <v>28</v>
      </c>
      <c r="I481" s="1"/>
      <c r="J481" s="1" t="s">
        <v>3557</v>
      </c>
      <c r="K481" s="1"/>
      <c r="L481" s="1" t="s">
        <v>3558</v>
      </c>
    </row>
    <row r="482">
      <c r="A482" s="1" t="s">
        <v>17</v>
      </c>
      <c r="B482" s="1">
        <v>1997.0</v>
      </c>
      <c r="C482" s="1" t="s">
        <v>3559</v>
      </c>
      <c r="D482" s="1" t="s">
        <v>3560</v>
      </c>
      <c r="E482" s="2" t="s">
        <v>3561</v>
      </c>
      <c r="F482" s="1">
        <v>151.0</v>
      </c>
      <c r="G482" s="1">
        <v>158.0</v>
      </c>
      <c r="H482" s="1" t="s">
        <v>28</v>
      </c>
      <c r="I482" s="1"/>
      <c r="J482" s="1" t="s">
        <v>3562</v>
      </c>
      <c r="K482" s="1"/>
      <c r="L482" s="1" t="s">
        <v>3563</v>
      </c>
      <c r="M482" s="1" t="s">
        <v>3564</v>
      </c>
      <c r="N482" s="1" t="s">
        <v>3565</v>
      </c>
    </row>
    <row r="483">
      <c r="A483" s="1" t="s">
        <v>17</v>
      </c>
      <c r="B483" s="1">
        <v>1997.0</v>
      </c>
      <c r="C483" s="1" t="s">
        <v>3566</v>
      </c>
      <c r="D483" s="1" t="s">
        <v>3567</v>
      </c>
      <c r="E483" s="2" t="s">
        <v>3568</v>
      </c>
      <c r="F483" s="1">
        <v>159.0</v>
      </c>
      <c r="G483" s="1">
        <v>166.0</v>
      </c>
      <c r="H483" s="1" t="s">
        <v>28</v>
      </c>
      <c r="I483" s="1"/>
      <c r="J483" s="1" t="s">
        <v>1137</v>
      </c>
      <c r="K483" s="1"/>
      <c r="L483" s="1" t="s">
        <v>3569</v>
      </c>
      <c r="M483" s="1" t="s">
        <v>3570</v>
      </c>
    </row>
    <row r="484">
      <c r="A484" s="1" t="s">
        <v>17</v>
      </c>
      <c r="B484" s="1">
        <v>1997.0</v>
      </c>
      <c r="C484" s="1" t="s">
        <v>3571</v>
      </c>
      <c r="D484" s="1" t="s">
        <v>3572</v>
      </c>
      <c r="E484" s="2" t="s">
        <v>3573</v>
      </c>
      <c r="F484" s="1">
        <v>167.0</v>
      </c>
      <c r="G484" s="1">
        <v>173.0</v>
      </c>
      <c r="H484" s="1" t="s">
        <v>28</v>
      </c>
      <c r="I484" s="1"/>
      <c r="J484" s="1" t="s">
        <v>3574</v>
      </c>
      <c r="K484" s="1"/>
      <c r="L484" s="1" t="s">
        <v>3575</v>
      </c>
      <c r="M484" s="1" t="s">
        <v>3576</v>
      </c>
      <c r="N484" s="1" t="s">
        <v>3577</v>
      </c>
    </row>
    <row r="485">
      <c r="A485" s="1" t="s">
        <v>17</v>
      </c>
      <c r="B485" s="1">
        <v>1997.0</v>
      </c>
      <c r="C485" s="1" t="s">
        <v>3578</v>
      </c>
      <c r="D485" s="1" t="s">
        <v>3579</v>
      </c>
      <c r="E485" s="2" t="s">
        <v>3580</v>
      </c>
      <c r="F485" s="1">
        <v>175.0</v>
      </c>
      <c r="G485" s="1">
        <v>182.0</v>
      </c>
      <c r="H485" s="1" t="s">
        <v>28</v>
      </c>
      <c r="I485" s="1"/>
      <c r="J485" s="1" t="s">
        <v>3581</v>
      </c>
      <c r="K485" s="1"/>
      <c r="L485" s="1" t="s">
        <v>855</v>
      </c>
      <c r="M485" s="1" t="s">
        <v>2387</v>
      </c>
      <c r="N485" s="1" t="s">
        <v>3582</v>
      </c>
    </row>
    <row r="486">
      <c r="A486" s="1" t="s">
        <v>17</v>
      </c>
      <c r="B486" s="1">
        <v>1997.0</v>
      </c>
      <c r="C486" s="1" t="s">
        <v>3583</v>
      </c>
      <c r="D486" s="1" t="s">
        <v>3584</v>
      </c>
      <c r="E486" s="2" t="s">
        <v>3585</v>
      </c>
      <c r="F486" s="1">
        <v>183.0</v>
      </c>
      <c r="G486" s="1">
        <v>189.0</v>
      </c>
      <c r="H486" s="1" t="s">
        <v>28</v>
      </c>
      <c r="I486" s="1"/>
      <c r="J486" s="1" t="s">
        <v>3586</v>
      </c>
      <c r="K486" s="1"/>
      <c r="L486" s="1" t="s">
        <v>3587</v>
      </c>
      <c r="M486" s="1" t="s">
        <v>3588</v>
      </c>
      <c r="N486" s="1" t="s">
        <v>3589</v>
      </c>
    </row>
    <row r="487">
      <c r="A487" s="1" t="s">
        <v>17</v>
      </c>
      <c r="B487" s="1">
        <v>1997.0</v>
      </c>
      <c r="C487" s="1" t="s">
        <v>3590</v>
      </c>
      <c r="D487" s="1" t="s">
        <v>3591</v>
      </c>
      <c r="E487" s="2" t="s">
        <v>3592</v>
      </c>
      <c r="F487" s="1">
        <v>191.0</v>
      </c>
      <c r="G487" s="1">
        <v>196.0</v>
      </c>
      <c r="H487" s="1" t="s">
        <v>28</v>
      </c>
      <c r="I487" s="1"/>
      <c r="J487" s="1" t="s">
        <v>3593</v>
      </c>
      <c r="K487" s="1"/>
      <c r="L487" s="1" t="s">
        <v>3594</v>
      </c>
      <c r="M487" s="1" t="s">
        <v>174</v>
      </c>
      <c r="N487" s="1" t="s">
        <v>3595</v>
      </c>
    </row>
    <row r="488">
      <c r="A488" s="1" t="s">
        <v>17</v>
      </c>
      <c r="B488" s="1">
        <v>1997.0</v>
      </c>
      <c r="C488" s="1" t="s">
        <v>3596</v>
      </c>
      <c r="D488" s="1" t="s">
        <v>3597</v>
      </c>
      <c r="E488" s="2" t="s">
        <v>3598</v>
      </c>
      <c r="F488" s="1">
        <v>197.0</v>
      </c>
      <c r="G488" s="1">
        <v>204.0</v>
      </c>
      <c r="H488" s="1" t="s">
        <v>28</v>
      </c>
      <c r="I488" s="1"/>
      <c r="J488" s="1" t="s">
        <v>3599</v>
      </c>
      <c r="K488" s="1"/>
      <c r="L488" s="1" t="s">
        <v>3600</v>
      </c>
      <c r="M488" s="1" t="s">
        <v>3601</v>
      </c>
      <c r="N488" s="1" t="s">
        <v>3602</v>
      </c>
      <c r="P488" s="1"/>
      <c r="Q488" s="1" t="s">
        <v>106</v>
      </c>
    </row>
    <row r="489">
      <c r="A489" s="1" t="s">
        <v>17</v>
      </c>
      <c r="B489" s="1">
        <v>1997.0</v>
      </c>
      <c r="C489" s="1" t="s">
        <v>3603</v>
      </c>
      <c r="D489" s="1" t="s">
        <v>3604</v>
      </c>
      <c r="E489" s="2" t="s">
        <v>3605</v>
      </c>
      <c r="F489" s="1">
        <v>205.0</v>
      </c>
      <c r="G489" s="1">
        <v>212.0</v>
      </c>
      <c r="H489" s="1" t="s">
        <v>28</v>
      </c>
      <c r="I489" s="1"/>
      <c r="J489" s="1" t="s">
        <v>3606</v>
      </c>
      <c r="L489" s="1"/>
      <c r="M489" s="1" t="s">
        <v>3607</v>
      </c>
    </row>
    <row r="490">
      <c r="A490" s="1" t="s">
        <v>17</v>
      </c>
      <c r="B490" s="1">
        <v>1997.0</v>
      </c>
      <c r="C490" s="1" t="s">
        <v>3608</v>
      </c>
      <c r="D490" s="1" t="s">
        <v>3609</v>
      </c>
      <c r="E490" s="2" t="s">
        <v>3610</v>
      </c>
      <c r="F490" s="1">
        <v>213.0</v>
      </c>
      <c r="G490" s="1">
        <v>219.0</v>
      </c>
      <c r="H490" s="1" t="s">
        <v>28</v>
      </c>
      <c r="I490" s="1"/>
      <c r="J490" s="1" t="s">
        <v>3611</v>
      </c>
      <c r="K490" s="1"/>
      <c r="L490" s="1" t="s">
        <v>3612</v>
      </c>
      <c r="M490" s="1" t="s">
        <v>3613</v>
      </c>
      <c r="N490" s="1" t="s">
        <v>3614</v>
      </c>
    </row>
    <row r="491">
      <c r="A491" s="1" t="s">
        <v>17</v>
      </c>
      <c r="B491" s="1">
        <v>1997.0</v>
      </c>
      <c r="C491" s="1" t="s">
        <v>3615</v>
      </c>
      <c r="D491" s="1" t="s">
        <v>3616</v>
      </c>
      <c r="E491" s="2" t="s">
        <v>3617</v>
      </c>
      <c r="F491" s="1">
        <v>221.0</v>
      </c>
      <c r="G491" s="1">
        <v>228.0</v>
      </c>
      <c r="H491" s="1" t="s">
        <v>28</v>
      </c>
      <c r="I491" s="1"/>
      <c r="J491" s="1" t="s">
        <v>3618</v>
      </c>
      <c r="K491" s="1"/>
      <c r="L491" s="1" t="s">
        <v>54</v>
      </c>
      <c r="M491" s="1" t="s">
        <v>3619</v>
      </c>
    </row>
    <row r="492">
      <c r="A492" s="1" t="s">
        <v>17</v>
      </c>
      <c r="B492" s="1">
        <v>1997.0</v>
      </c>
      <c r="C492" s="1" t="s">
        <v>3620</v>
      </c>
      <c r="D492" s="1" t="s">
        <v>3621</v>
      </c>
      <c r="E492" s="2" t="s">
        <v>3622</v>
      </c>
      <c r="F492" s="1">
        <v>229.0</v>
      </c>
      <c r="G492" s="1">
        <v>233.0</v>
      </c>
      <c r="H492" s="1" t="s">
        <v>28</v>
      </c>
      <c r="I492" s="1"/>
      <c r="J492" s="1" t="s">
        <v>3623</v>
      </c>
      <c r="K492" s="1"/>
      <c r="L492" s="1" t="s">
        <v>3624</v>
      </c>
      <c r="M492" s="1" t="s">
        <v>536</v>
      </c>
    </row>
    <row r="493">
      <c r="A493" s="1" t="s">
        <v>17</v>
      </c>
      <c r="B493" s="1">
        <v>1997.0</v>
      </c>
      <c r="C493" s="1" t="s">
        <v>3625</v>
      </c>
      <c r="D493" s="1" t="s">
        <v>3626</v>
      </c>
      <c r="E493" s="2" t="s">
        <v>3627</v>
      </c>
      <c r="F493" s="1">
        <v>235.0</v>
      </c>
      <c r="G493" s="1">
        <v>244.0</v>
      </c>
      <c r="H493" s="1" t="s">
        <v>28</v>
      </c>
      <c r="I493" s="1"/>
      <c r="J493" s="1" t="s">
        <v>3628</v>
      </c>
      <c r="K493" s="1"/>
      <c r="L493" s="1" t="s">
        <v>477</v>
      </c>
      <c r="M493" s="1" t="s">
        <v>3629</v>
      </c>
      <c r="N493" s="1" t="s">
        <v>3630</v>
      </c>
    </row>
    <row r="494">
      <c r="A494" s="1" t="s">
        <v>17</v>
      </c>
      <c r="B494" s="1">
        <v>1997.0</v>
      </c>
      <c r="C494" s="1" t="s">
        <v>3631</v>
      </c>
      <c r="D494" s="1" t="s">
        <v>3632</v>
      </c>
      <c r="E494" s="2" t="s">
        <v>3633</v>
      </c>
      <c r="F494" s="1">
        <v>245.0</v>
      </c>
      <c r="G494" s="1">
        <v>252.0</v>
      </c>
      <c r="H494" s="1" t="s">
        <v>28</v>
      </c>
      <c r="I494" s="1"/>
      <c r="J494" s="1" t="s">
        <v>3634</v>
      </c>
      <c r="K494" s="1"/>
      <c r="L494" s="1" t="s">
        <v>3635</v>
      </c>
      <c r="M494" s="1" t="s">
        <v>3636</v>
      </c>
      <c r="N494" s="1" t="s">
        <v>3637</v>
      </c>
    </row>
    <row r="495">
      <c r="A495" s="1" t="s">
        <v>17</v>
      </c>
      <c r="B495" s="1">
        <v>1997.0</v>
      </c>
      <c r="C495" s="1" t="s">
        <v>3638</v>
      </c>
      <c r="D495" s="1" t="s">
        <v>3639</v>
      </c>
      <c r="E495" s="2" t="s">
        <v>3640</v>
      </c>
      <c r="F495" s="1">
        <v>253.0</v>
      </c>
      <c r="G495" s="1">
        <v>259.0</v>
      </c>
      <c r="H495" s="1" t="s">
        <v>28</v>
      </c>
      <c r="I495" s="1"/>
      <c r="J495" s="1" t="s">
        <v>3641</v>
      </c>
      <c r="K495" s="1"/>
      <c r="L495" s="1" t="s">
        <v>3642</v>
      </c>
      <c r="M495" s="1" t="s">
        <v>2539</v>
      </c>
    </row>
    <row r="496">
      <c r="A496" s="1" t="s">
        <v>17</v>
      </c>
      <c r="B496" s="1">
        <v>1997.0</v>
      </c>
      <c r="C496" s="1" t="s">
        <v>3643</v>
      </c>
      <c r="D496" s="1" t="s">
        <v>3644</v>
      </c>
      <c r="E496" s="2" t="s">
        <v>3645</v>
      </c>
      <c r="F496" s="1">
        <v>261.0</v>
      </c>
      <c r="G496" s="1">
        <v>267.0</v>
      </c>
      <c r="H496" s="1" t="s">
        <v>28</v>
      </c>
      <c r="I496" s="1"/>
      <c r="J496" s="1" t="s">
        <v>3646</v>
      </c>
      <c r="K496" s="1"/>
      <c r="L496" s="1" t="s">
        <v>3647</v>
      </c>
      <c r="M496" s="1" t="s">
        <v>38</v>
      </c>
    </row>
    <row r="497">
      <c r="A497" s="1" t="s">
        <v>17</v>
      </c>
      <c r="B497" s="1">
        <v>1997.0</v>
      </c>
      <c r="C497" s="1" t="s">
        <v>3648</v>
      </c>
      <c r="D497" s="1" t="s">
        <v>3649</v>
      </c>
      <c r="E497" s="2" t="s">
        <v>3650</v>
      </c>
      <c r="F497" s="1">
        <v>269.0</v>
      </c>
      <c r="G497" s="1">
        <v>275.0</v>
      </c>
      <c r="H497" s="1" t="s">
        <v>28</v>
      </c>
      <c r="I497" s="1"/>
      <c r="J497" s="1" t="s">
        <v>3651</v>
      </c>
      <c r="K497" s="1"/>
      <c r="L497" s="1" t="s">
        <v>3652</v>
      </c>
      <c r="M497" s="1"/>
      <c r="N497" s="1" t="s">
        <v>3653</v>
      </c>
    </row>
    <row r="498">
      <c r="A498" s="1" t="s">
        <v>17</v>
      </c>
      <c r="B498" s="1">
        <v>1997.0</v>
      </c>
      <c r="C498" s="1" t="s">
        <v>3654</v>
      </c>
      <c r="D498" s="1" t="s">
        <v>3655</v>
      </c>
      <c r="E498" s="2" t="s">
        <v>3656</v>
      </c>
      <c r="F498" s="1">
        <v>277.0</v>
      </c>
      <c r="G498" s="1">
        <v>283.0</v>
      </c>
      <c r="H498" s="1" t="s">
        <v>28</v>
      </c>
      <c r="I498" s="1"/>
      <c r="J498" s="1" t="s">
        <v>3657</v>
      </c>
      <c r="K498" s="1"/>
      <c r="L498" s="1" t="s">
        <v>3379</v>
      </c>
      <c r="M498" s="1"/>
      <c r="N498" s="1" t="s">
        <v>3658</v>
      </c>
    </row>
    <row r="499">
      <c r="A499" s="1" t="s">
        <v>17</v>
      </c>
      <c r="B499" s="1">
        <v>1997.0</v>
      </c>
      <c r="C499" s="1" t="s">
        <v>3659</v>
      </c>
      <c r="D499" s="1" t="s">
        <v>3660</v>
      </c>
      <c r="E499" s="2" t="s">
        <v>3661</v>
      </c>
      <c r="F499" s="1">
        <v>285.0</v>
      </c>
      <c r="G499" s="1">
        <v>292.0</v>
      </c>
      <c r="H499" s="1" t="s">
        <v>28</v>
      </c>
      <c r="I499" s="1"/>
      <c r="J499" s="1" t="s">
        <v>3662</v>
      </c>
      <c r="K499" s="1"/>
      <c r="L499" s="1" t="s">
        <v>2026</v>
      </c>
      <c r="M499" s="1" t="s">
        <v>2313</v>
      </c>
    </row>
    <row r="500">
      <c r="A500" s="1" t="s">
        <v>17</v>
      </c>
      <c r="B500" s="1">
        <v>1997.0</v>
      </c>
      <c r="C500" s="1" t="s">
        <v>3663</v>
      </c>
      <c r="D500" s="1" t="s">
        <v>3664</v>
      </c>
      <c r="E500" s="2" t="s">
        <v>3665</v>
      </c>
      <c r="F500" s="1">
        <v>293.0</v>
      </c>
      <c r="G500" s="1">
        <v>300.0</v>
      </c>
      <c r="H500" s="1" t="s">
        <v>28</v>
      </c>
      <c r="I500" s="1"/>
      <c r="J500" s="1" t="s">
        <v>3666</v>
      </c>
      <c r="K500" s="1"/>
      <c r="L500" s="1" t="s">
        <v>178</v>
      </c>
      <c r="M500" s="1" t="s">
        <v>3667</v>
      </c>
    </row>
    <row r="501">
      <c r="A501" s="1" t="s">
        <v>17</v>
      </c>
      <c r="B501" s="1">
        <v>1997.0</v>
      </c>
      <c r="C501" s="1" t="s">
        <v>3668</v>
      </c>
      <c r="D501" s="1" t="s">
        <v>3669</v>
      </c>
      <c r="E501" s="2" t="s">
        <v>3670</v>
      </c>
      <c r="F501" s="1">
        <v>301.0</v>
      </c>
      <c r="G501" s="1">
        <v>308.0</v>
      </c>
      <c r="H501" s="1" t="s">
        <v>28</v>
      </c>
      <c r="I501" s="1"/>
      <c r="J501" s="1" t="s">
        <v>3671</v>
      </c>
      <c r="K501" s="1"/>
      <c r="L501" s="1" t="s">
        <v>3672</v>
      </c>
      <c r="M501" s="1" t="s">
        <v>3673</v>
      </c>
    </row>
    <row r="502">
      <c r="A502" s="1" t="s">
        <v>17</v>
      </c>
      <c r="B502" s="1">
        <v>1997.0</v>
      </c>
      <c r="C502" s="1" t="s">
        <v>3674</v>
      </c>
      <c r="D502" s="1" t="s">
        <v>3675</v>
      </c>
      <c r="E502" s="2" t="s">
        <v>3676</v>
      </c>
      <c r="F502" s="1">
        <v>309.0</v>
      </c>
      <c r="G502" s="1">
        <v>316.0</v>
      </c>
      <c r="H502" s="1" t="s">
        <v>28</v>
      </c>
      <c r="I502" s="1"/>
      <c r="J502" s="1" t="s">
        <v>3677</v>
      </c>
      <c r="K502" s="1"/>
      <c r="L502" s="1" t="s">
        <v>3678</v>
      </c>
      <c r="M502" s="1" t="s">
        <v>3679</v>
      </c>
    </row>
    <row r="503">
      <c r="A503" s="1" t="s">
        <v>17</v>
      </c>
      <c r="B503" s="1">
        <v>1997.0</v>
      </c>
      <c r="C503" s="1" t="s">
        <v>3680</v>
      </c>
      <c r="D503" s="1" t="s">
        <v>3681</v>
      </c>
      <c r="E503" s="2" t="s">
        <v>3682</v>
      </c>
      <c r="F503" s="1">
        <v>317.0</v>
      </c>
      <c r="G503" s="1">
        <v>322.0</v>
      </c>
      <c r="H503" s="1" t="s">
        <v>28</v>
      </c>
      <c r="I503" s="1"/>
      <c r="J503" s="1" t="s">
        <v>3683</v>
      </c>
      <c r="K503" s="1"/>
      <c r="L503" s="1" t="s">
        <v>477</v>
      </c>
      <c r="M503" s="1" t="s">
        <v>3684</v>
      </c>
      <c r="N503" s="1" t="s">
        <v>3658</v>
      </c>
    </row>
    <row r="504">
      <c r="A504" s="1" t="s">
        <v>17</v>
      </c>
      <c r="B504" s="1">
        <v>1997.0</v>
      </c>
      <c r="C504" s="1" t="s">
        <v>3685</v>
      </c>
      <c r="D504" s="1" t="s">
        <v>3686</v>
      </c>
      <c r="E504" s="2" t="s">
        <v>3687</v>
      </c>
      <c r="F504" s="1">
        <v>323.0</v>
      </c>
      <c r="G504" s="1">
        <v>328.0</v>
      </c>
      <c r="H504" s="1" t="s">
        <v>28</v>
      </c>
      <c r="I504" s="1"/>
      <c r="J504" s="1" t="s">
        <v>3688</v>
      </c>
      <c r="K504" s="1"/>
      <c r="L504" s="1" t="s">
        <v>3689</v>
      </c>
      <c r="M504" s="1" t="s">
        <v>1926</v>
      </c>
    </row>
    <row r="505">
      <c r="A505" s="1" t="s">
        <v>17</v>
      </c>
      <c r="B505" s="1">
        <v>1997.0</v>
      </c>
      <c r="C505" s="1" t="s">
        <v>3690</v>
      </c>
      <c r="D505" s="1" t="s">
        <v>3691</v>
      </c>
      <c r="E505" s="2" t="s">
        <v>3692</v>
      </c>
      <c r="F505" s="1">
        <v>329.0</v>
      </c>
      <c r="G505" s="1">
        <v>336.0</v>
      </c>
      <c r="H505" s="1" t="s">
        <v>28</v>
      </c>
      <c r="I505" s="1"/>
      <c r="J505" s="1" t="s">
        <v>3693</v>
      </c>
      <c r="K505" s="1"/>
      <c r="L505" s="1" t="s">
        <v>3694</v>
      </c>
      <c r="M505" s="1" t="s">
        <v>1340</v>
      </c>
      <c r="N505" s="1" t="s">
        <v>3695</v>
      </c>
    </row>
    <row r="506">
      <c r="A506" s="1" t="s">
        <v>17</v>
      </c>
      <c r="B506" s="1">
        <v>1997.0</v>
      </c>
      <c r="C506" s="1" t="s">
        <v>3696</v>
      </c>
      <c r="D506" s="1" t="s">
        <v>3697</v>
      </c>
      <c r="E506" s="2" t="s">
        <v>3698</v>
      </c>
      <c r="F506" s="1">
        <v>337.0</v>
      </c>
      <c r="G506" s="1">
        <v>346.0</v>
      </c>
      <c r="H506" s="1" t="s">
        <v>28</v>
      </c>
      <c r="I506" s="1"/>
      <c r="J506" s="1" t="s">
        <v>3699</v>
      </c>
      <c r="K506" s="1"/>
      <c r="L506" s="1" t="s">
        <v>2399</v>
      </c>
      <c r="M506" s="1"/>
      <c r="N506" s="1" t="s">
        <v>3700</v>
      </c>
    </row>
    <row r="507">
      <c r="A507" s="1" t="s">
        <v>17</v>
      </c>
      <c r="B507" s="1">
        <v>1997.0</v>
      </c>
      <c r="C507" s="1" t="s">
        <v>3701</v>
      </c>
      <c r="D507" s="1" t="s">
        <v>3702</v>
      </c>
      <c r="E507" s="2" t="s">
        <v>3703</v>
      </c>
      <c r="F507" s="1">
        <v>347.0</v>
      </c>
      <c r="G507" s="1">
        <v>354.0</v>
      </c>
      <c r="H507" s="1" t="s">
        <v>28</v>
      </c>
      <c r="I507" s="1"/>
      <c r="J507" s="1" t="s">
        <v>3704</v>
      </c>
      <c r="K507" s="1"/>
      <c r="L507" s="1" t="s">
        <v>3705</v>
      </c>
      <c r="M507" s="1" t="s">
        <v>3112</v>
      </c>
    </row>
    <row r="508">
      <c r="A508" s="1" t="s">
        <v>17</v>
      </c>
      <c r="B508" s="1">
        <v>1997.0</v>
      </c>
      <c r="C508" s="1" t="s">
        <v>3706</v>
      </c>
      <c r="D508" s="1" t="s">
        <v>3707</v>
      </c>
      <c r="E508" s="2" t="s">
        <v>3708</v>
      </c>
      <c r="F508" s="1">
        <v>355.0</v>
      </c>
      <c r="G508" s="1">
        <v>362.0</v>
      </c>
      <c r="H508" s="1" t="s">
        <v>28</v>
      </c>
      <c r="I508" s="1"/>
      <c r="J508" s="1" t="s">
        <v>3709</v>
      </c>
      <c r="K508" s="1"/>
      <c r="L508" s="1" t="s">
        <v>1596</v>
      </c>
      <c r="M508" s="1" t="s">
        <v>2908</v>
      </c>
      <c r="N508" s="1" t="s">
        <v>3710</v>
      </c>
    </row>
    <row r="509">
      <c r="A509" s="1" t="s">
        <v>17</v>
      </c>
      <c r="B509" s="1">
        <v>1997.0</v>
      </c>
      <c r="C509" s="1" t="s">
        <v>3711</v>
      </c>
      <c r="D509" s="1" t="s">
        <v>3712</v>
      </c>
      <c r="E509" s="2" t="s">
        <v>3713</v>
      </c>
      <c r="F509" s="1">
        <v>363.0</v>
      </c>
      <c r="G509" s="1">
        <v>370.0</v>
      </c>
      <c r="H509" s="1" t="s">
        <v>28</v>
      </c>
      <c r="I509" s="1"/>
      <c r="J509" s="1" t="s">
        <v>3714</v>
      </c>
      <c r="K509" s="1"/>
      <c r="L509" s="1" t="s">
        <v>3715</v>
      </c>
    </row>
    <row r="510">
      <c r="A510" s="1" t="s">
        <v>17</v>
      </c>
      <c r="B510" s="1">
        <v>1997.0</v>
      </c>
      <c r="C510" s="1" t="s">
        <v>3716</v>
      </c>
      <c r="D510" s="1" t="s">
        <v>3717</v>
      </c>
      <c r="E510" s="2" t="s">
        <v>3718</v>
      </c>
      <c r="F510" s="1">
        <v>371.0</v>
      </c>
      <c r="G510" s="1">
        <v>377.0</v>
      </c>
      <c r="H510" s="1" t="s">
        <v>28</v>
      </c>
      <c r="I510" s="1"/>
      <c r="J510" s="1" t="s">
        <v>3719</v>
      </c>
      <c r="K510" s="1"/>
      <c r="L510" s="1" t="s">
        <v>3720</v>
      </c>
      <c r="M510" s="1"/>
      <c r="N510" s="1" t="s">
        <v>3721</v>
      </c>
    </row>
    <row r="511">
      <c r="A511" s="1" t="s">
        <v>17</v>
      </c>
      <c r="B511" s="1">
        <v>1997.0</v>
      </c>
      <c r="C511" s="1" t="s">
        <v>3722</v>
      </c>
      <c r="D511" s="1" t="s">
        <v>3723</v>
      </c>
      <c r="E511" s="2" t="s">
        <v>3724</v>
      </c>
      <c r="F511" s="1">
        <v>379.0</v>
      </c>
      <c r="G511" s="1">
        <v>386.0</v>
      </c>
      <c r="H511" s="1" t="s">
        <v>28</v>
      </c>
      <c r="I511" s="1"/>
      <c r="J511" s="1" t="s">
        <v>3725</v>
      </c>
      <c r="K511" s="1"/>
      <c r="L511" s="1" t="s">
        <v>3726</v>
      </c>
      <c r="M511" s="1" t="s">
        <v>3727</v>
      </c>
      <c r="N511" s="1" t="s">
        <v>3728</v>
      </c>
    </row>
    <row r="512">
      <c r="A512" s="1" t="s">
        <v>17</v>
      </c>
      <c r="B512" s="1">
        <v>1997.0</v>
      </c>
      <c r="C512" s="1" t="s">
        <v>3729</v>
      </c>
      <c r="D512" s="1" t="s">
        <v>3730</v>
      </c>
      <c r="E512" s="2" t="s">
        <v>3731</v>
      </c>
      <c r="F512" s="1">
        <v>387.0</v>
      </c>
      <c r="G512" s="1">
        <v>394.0</v>
      </c>
      <c r="H512" s="1" t="s">
        <v>28</v>
      </c>
      <c r="I512" s="1"/>
      <c r="J512" s="1" t="s">
        <v>3732</v>
      </c>
      <c r="K512" s="1"/>
      <c r="L512" s="1" t="s">
        <v>3733</v>
      </c>
      <c r="M512" s="1" t="s">
        <v>3734</v>
      </c>
    </row>
    <row r="513">
      <c r="A513" s="1" t="s">
        <v>17</v>
      </c>
      <c r="B513" s="1">
        <v>1997.0</v>
      </c>
      <c r="C513" s="1" t="s">
        <v>3735</v>
      </c>
      <c r="D513" s="1" t="s">
        <v>3736</v>
      </c>
      <c r="E513" s="2" t="s">
        <v>3737</v>
      </c>
      <c r="F513" s="1">
        <v>395.0</v>
      </c>
      <c r="G513" s="1">
        <v>402.0</v>
      </c>
      <c r="H513" s="1" t="s">
        <v>28</v>
      </c>
      <c r="I513" s="1"/>
      <c r="J513" s="1" t="s">
        <v>3738</v>
      </c>
      <c r="K513" s="1"/>
      <c r="L513" s="1" t="s">
        <v>3739</v>
      </c>
      <c r="M513" s="1"/>
      <c r="N513" s="1" t="s">
        <v>3740</v>
      </c>
    </row>
    <row r="514">
      <c r="A514" s="1" t="s">
        <v>17</v>
      </c>
      <c r="B514" s="1">
        <v>1997.0</v>
      </c>
      <c r="C514" s="1" t="s">
        <v>3741</v>
      </c>
      <c r="D514" s="1" t="s">
        <v>3742</v>
      </c>
      <c r="E514" s="2" t="s">
        <v>3743</v>
      </c>
      <c r="F514" s="1">
        <v>403.0</v>
      </c>
      <c r="G514" s="1">
        <v>410.0</v>
      </c>
      <c r="H514" s="1" t="s">
        <v>28</v>
      </c>
      <c r="I514" s="1"/>
      <c r="J514" s="1" t="s">
        <v>3744</v>
      </c>
      <c r="K514" s="1"/>
      <c r="L514" s="1" t="s">
        <v>3119</v>
      </c>
    </row>
    <row r="515">
      <c r="A515" s="1" t="s">
        <v>17</v>
      </c>
      <c r="B515" s="1">
        <v>1997.0</v>
      </c>
      <c r="C515" s="1" t="s">
        <v>3745</v>
      </c>
      <c r="D515" s="1" t="s">
        <v>3746</v>
      </c>
      <c r="E515" s="2" t="s">
        <v>3747</v>
      </c>
      <c r="F515" s="1">
        <v>413.0</v>
      </c>
      <c r="G515" s="1">
        <v>416.0</v>
      </c>
      <c r="H515" s="1" t="s">
        <v>28</v>
      </c>
      <c r="I515" s="1"/>
      <c r="J515" s="1" t="s">
        <v>3748</v>
      </c>
      <c r="K515" s="1"/>
      <c r="L515" s="1" t="s">
        <v>477</v>
      </c>
      <c r="M515" s="1" t="s">
        <v>3749</v>
      </c>
    </row>
    <row r="516">
      <c r="A516" s="1" t="s">
        <v>17</v>
      </c>
      <c r="B516" s="1">
        <v>1997.0</v>
      </c>
      <c r="C516" s="1" t="s">
        <v>3750</v>
      </c>
      <c r="D516" s="1" t="s">
        <v>3751</v>
      </c>
      <c r="E516" s="2" t="s">
        <v>3752</v>
      </c>
      <c r="F516" s="1">
        <v>417.0</v>
      </c>
      <c r="G516" s="1">
        <v>420.0</v>
      </c>
      <c r="H516" s="1" t="s">
        <v>28</v>
      </c>
      <c r="I516" s="1"/>
      <c r="J516" s="1" t="s">
        <v>3753</v>
      </c>
      <c r="K516" s="1"/>
      <c r="L516" s="1" t="s">
        <v>3754</v>
      </c>
    </row>
    <row r="517">
      <c r="A517" s="1" t="s">
        <v>17</v>
      </c>
      <c r="B517" s="1">
        <v>1997.0</v>
      </c>
      <c r="C517" s="1" t="s">
        <v>3755</v>
      </c>
      <c r="D517" s="1" t="s">
        <v>3756</v>
      </c>
      <c r="E517" s="2" t="s">
        <v>3757</v>
      </c>
      <c r="F517" s="1">
        <v>421.0</v>
      </c>
      <c r="G517" s="1">
        <v>424.0</v>
      </c>
      <c r="H517" s="1" t="s">
        <v>28</v>
      </c>
      <c r="I517" s="1"/>
      <c r="J517" s="1" t="s">
        <v>3758</v>
      </c>
      <c r="K517" s="1"/>
      <c r="L517" s="1" t="s">
        <v>178</v>
      </c>
      <c r="M517" s="1" t="s">
        <v>3759</v>
      </c>
    </row>
    <row r="518">
      <c r="A518" s="1" t="s">
        <v>17</v>
      </c>
      <c r="B518" s="1">
        <v>1997.0</v>
      </c>
      <c r="C518" s="1" t="s">
        <v>3760</v>
      </c>
      <c r="D518" s="1" t="s">
        <v>3761</v>
      </c>
      <c r="E518" s="2" t="s">
        <v>3762</v>
      </c>
      <c r="F518" s="1">
        <v>425.0</v>
      </c>
      <c r="G518" s="1">
        <v>428.0</v>
      </c>
      <c r="H518" s="1" t="s">
        <v>28</v>
      </c>
      <c r="I518" s="1"/>
      <c r="J518" s="1" t="s">
        <v>3763</v>
      </c>
      <c r="K518" s="1"/>
      <c r="L518" s="1" t="s">
        <v>3764</v>
      </c>
    </row>
    <row r="519">
      <c r="A519" s="1" t="s">
        <v>17</v>
      </c>
      <c r="B519" s="1">
        <v>1997.0</v>
      </c>
      <c r="C519" s="1" t="s">
        <v>3765</v>
      </c>
      <c r="D519" s="1" t="s">
        <v>3766</v>
      </c>
      <c r="E519" s="2" t="s">
        <v>3767</v>
      </c>
      <c r="F519" s="1">
        <v>429.0</v>
      </c>
      <c r="G519" s="1">
        <v>432.0</v>
      </c>
      <c r="H519" s="1" t="s">
        <v>28</v>
      </c>
      <c r="I519" s="1"/>
      <c r="J519" s="1" t="s">
        <v>2450</v>
      </c>
      <c r="K519" s="1"/>
      <c r="L519" s="1" t="s">
        <v>2451</v>
      </c>
      <c r="M519" s="1" t="s">
        <v>3768</v>
      </c>
    </row>
    <row r="520">
      <c r="A520" s="1" t="s">
        <v>17</v>
      </c>
      <c r="B520" s="1">
        <v>1997.0</v>
      </c>
      <c r="C520" s="1" t="s">
        <v>3769</v>
      </c>
      <c r="D520" s="1" t="s">
        <v>3770</v>
      </c>
      <c r="E520" s="2" t="s">
        <v>3771</v>
      </c>
      <c r="F520" s="1">
        <v>433.0</v>
      </c>
      <c r="G520" s="1">
        <v>436.0</v>
      </c>
      <c r="H520" s="1" t="s">
        <v>28</v>
      </c>
      <c r="I520" s="1"/>
      <c r="J520" s="1" t="s">
        <v>3772</v>
      </c>
      <c r="K520" s="1"/>
      <c r="L520" s="1" t="s">
        <v>3773</v>
      </c>
      <c r="M520" s="1"/>
      <c r="N520" s="1" t="s">
        <v>3774</v>
      </c>
    </row>
    <row r="521">
      <c r="A521" s="1" t="s">
        <v>17</v>
      </c>
      <c r="B521" s="1">
        <v>1997.0</v>
      </c>
      <c r="C521" s="1" t="s">
        <v>3775</v>
      </c>
      <c r="D521" s="1" t="s">
        <v>3776</v>
      </c>
      <c r="E521" s="2" t="s">
        <v>3777</v>
      </c>
      <c r="F521" s="1">
        <v>437.0</v>
      </c>
      <c r="G521" s="1">
        <v>441.0</v>
      </c>
      <c r="H521" s="1" t="s">
        <v>28</v>
      </c>
      <c r="I521" s="1"/>
      <c r="J521" s="1" t="s">
        <v>3778</v>
      </c>
      <c r="K521" s="1"/>
      <c r="L521" s="1" t="s">
        <v>3779</v>
      </c>
      <c r="M521" s="1" t="s">
        <v>2548</v>
      </c>
    </row>
    <row r="522">
      <c r="A522" s="1" t="s">
        <v>17</v>
      </c>
      <c r="B522" s="1">
        <v>1997.0</v>
      </c>
      <c r="C522" s="1" t="s">
        <v>3780</v>
      </c>
      <c r="D522" s="1" t="s">
        <v>3781</v>
      </c>
      <c r="E522" s="2" t="s">
        <v>3782</v>
      </c>
      <c r="F522" s="1">
        <v>443.0</v>
      </c>
      <c r="G522" s="1">
        <v>446.0</v>
      </c>
      <c r="H522" s="1" t="s">
        <v>28</v>
      </c>
      <c r="I522" s="1"/>
      <c r="J522" s="1" t="s">
        <v>3783</v>
      </c>
      <c r="K522" s="1"/>
      <c r="L522" s="1" t="s">
        <v>3784</v>
      </c>
      <c r="M522" s="1" t="s">
        <v>2274</v>
      </c>
      <c r="N522" s="1" t="s">
        <v>3785</v>
      </c>
    </row>
    <row r="523">
      <c r="A523" s="1" t="s">
        <v>17</v>
      </c>
      <c r="B523" s="1">
        <v>1997.0</v>
      </c>
      <c r="C523" s="1" t="s">
        <v>3786</v>
      </c>
      <c r="D523" s="1" t="s">
        <v>3787</v>
      </c>
      <c r="E523" s="2" t="s">
        <v>3788</v>
      </c>
      <c r="F523" s="1">
        <v>447.0</v>
      </c>
      <c r="G523" s="1">
        <v>450.0</v>
      </c>
      <c r="H523" s="1" t="s">
        <v>28</v>
      </c>
      <c r="I523" s="1"/>
      <c r="J523" s="1" t="s">
        <v>3789</v>
      </c>
      <c r="K523" s="1"/>
      <c r="L523" s="1" t="s">
        <v>3790</v>
      </c>
    </row>
    <row r="524">
      <c r="A524" s="1" t="s">
        <v>17</v>
      </c>
      <c r="B524" s="1">
        <v>1997.0</v>
      </c>
      <c r="C524" s="1" t="s">
        <v>3791</v>
      </c>
      <c r="D524" s="1" t="s">
        <v>3792</v>
      </c>
      <c r="E524" s="2" t="s">
        <v>3793</v>
      </c>
      <c r="F524" s="1">
        <v>451.0</v>
      </c>
      <c r="G524" s="1">
        <v>454.0</v>
      </c>
      <c r="H524" s="1" t="s">
        <v>28</v>
      </c>
      <c r="I524" s="1"/>
      <c r="J524" s="1" t="s">
        <v>3794</v>
      </c>
      <c r="K524" s="1"/>
      <c r="L524" s="1" t="s">
        <v>3795</v>
      </c>
      <c r="M524" s="1" t="s">
        <v>1759</v>
      </c>
    </row>
    <row r="525">
      <c r="A525" s="1" t="s">
        <v>17</v>
      </c>
      <c r="B525" s="1">
        <v>1997.0</v>
      </c>
      <c r="C525" s="1" t="s">
        <v>3796</v>
      </c>
      <c r="D525" s="1" t="s">
        <v>3797</v>
      </c>
      <c r="E525" s="2" t="s">
        <v>3798</v>
      </c>
      <c r="F525" s="1">
        <v>455.0</v>
      </c>
      <c r="G525" s="1">
        <v>458.0</v>
      </c>
      <c r="H525" s="1" t="s">
        <v>28</v>
      </c>
      <c r="I525" s="1"/>
      <c r="J525" s="1" t="s">
        <v>3799</v>
      </c>
      <c r="K525" s="1"/>
      <c r="L525" s="1" t="s">
        <v>3800</v>
      </c>
      <c r="M525" s="1"/>
      <c r="N525" s="1" t="s">
        <v>3801</v>
      </c>
    </row>
    <row r="526">
      <c r="A526" s="1" t="s">
        <v>17</v>
      </c>
      <c r="B526" s="1">
        <v>1997.0</v>
      </c>
      <c r="C526" s="1" t="s">
        <v>3802</v>
      </c>
      <c r="D526" s="1" t="s">
        <v>3803</v>
      </c>
      <c r="E526" s="2" t="s">
        <v>3804</v>
      </c>
      <c r="F526" s="1">
        <v>459.0</v>
      </c>
      <c r="G526" s="1">
        <v>462.0</v>
      </c>
      <c r="H526" s="1" t="s">
        <v>28</v>
      </c>
      <c r="I526" s="1"/>
      <c r="J526" s="1" t="s">
        <v>3805</v>
      </c>
      <c r="K526" s="1"/>
      <c r="L526" s="1" t="s">
        <v>3806</v>
      </c>
      <c r="M526" s="1" t="s">
        <v>3127</v>
      </c>
      <c r="N526" s="1" t="s">
        <v>3807</v>
      </c>
    </row>
    <row r="527">
      <c r="A527" s="1" t="s">
        <v>17</v>
      </c>
      <c r="B527" s="1">
        <v>1997.0</v>
      </c>
      <c r="C527" s="1" t="s">
        <v>3808</v>
      </c>
      <c r="D527" s="1" t="s">
        <v>3809</v>
      </c>
      <c r="E527" s="2" t="s">
        <v>3810</v>
      </c>
      <c r="F527" s="1">
        <v>463.0</v>
      </c>
      <c r="G527" s="1">
        <v>466.0</v>
      </c>
      <c r="H527" s="1" t="s">
        <v>28</v>
      </c>
      <c r="I527" s="1"/>
      <c r="J527" s="1" t="s">
        <v>3811</v>
      </c>
      <c r="K527" s="1"/>
      <c r="L527" s="1" t="s">
        <v>144</v>
      </c>
    </row>
    <row r="528">
      <c r="A528" s="1" t="s">
        <v>17</v>
      </c>
      <c r="B528" s="1">
        <v>1997.0</v>
      </c>
      <c r="C528" s="1" t="s">
        <v>3812</v>
      </c>
      <c r="D528" s="1" t="s">
        <v>3813</v>
      </c>
      <c r="E528" s="2" t="s">
        <v>3814</v>
      </c>
      <c r="F528" s="1">
        <v>467.0</v>
      </c>
      <c r="G528" s="1">
        <v>470.0</v>
      </c>
      <c r="H528" s="1" t="s">
        <v>28</v>
      </c>
      <c r="I528" s="1"/>
      <c r="J528" s="1" t="s">
        <v>3815</v>
      </c>
      <c r="K528" s="1"/>
      <c r="L528" s="1" t="s">
        <v>3816</v>
      </c>
      <c r="M528" s="1"/>
      <c r="N528" s="1" t="s">
        <v>3817</v>
      </c>
    </row>
    <row r="529">
      <c r="A529" s="1" t="s">
        <v>17</v>
      </c>
      <c r="B529" s="1">
        <v>1997.0</v>
      </c>
      <c r="C529" s="1" t="s">
        <v>3818</v>
      </c>
      <c r="D529" s="1" t="s">
        <v>3819</v>
      </c>
      <c r="E529" s="2" t="s">
        <v>3820</v>
      </c>
      <c r="F529" s="1">
        <v>471.0</v>
      </c>
      <c r="G529" s="1">
        <v>474.0</v>
      </c>
      <c r="H529" s="1" t="s">
        <v>28</v>
      </c>
      <c r="I529" s="1"/>
      <c r="J529" s="1" t="s">
        <v>3821</v>
      </c>
      <c r="K529" s="1"/>
      <c r="L529" s="1" t="s">
        <v>3822</v>
      </c>
      <c r="M529" s="1"/>
      <c r="N529" s="1" t="s">
        <v>3823</v>
      </c>
    </row>
    <row r="530">
      <c r="A530" s="1" t="s">
        <v>17</v>
      </c>
      <c r="B530" s="1">
        <v>1997.0</v>
      </c>
      <c r="C530" s="1" t="s">
        <v>3824</v>
      </c>
      <c r="D530" s="1" t="s">
        <v>3825</v>
      </c>
      <c r="E530" s="2" t="s">
        <v>3826</v>
      </c>
      <c r="F530" s="1">
        <v>475.0</v>
      </c>
      <c r="G530" s="1">
        <v>478.0</v>
      </c>
      <c r="H530" s="1" t="s">
        <v>28</v>
      </c>
      <c r="I530" s="1"/>
      <c r="J530" s="1" t="s">
        <v>3827</v>
      </c>
      <c r="K530" s="1"/>
      <c r="L530" s="1" t="s">
        <v>3828</v>
      </c>
      <c r="M530" s="1"/>
      <c r="N530" s="1" t="s">
        <v>3829</v>
      </c>
    </row>
    <row r="531">
      <c r="A531" s="1" t="s">
        <v>17</v>
      </c>
      <c r="B531" s="1">
        <v>1997.0</v>
      </c>
      <c r="C531" s="1" t="s">
        <v>3830</v>
      </c>
      <c r="D531" s="1" t="s">
        <v>3831</v>
      </c>
      <c r="E531" s="2" t="s">
        <v>3832</v>
      </c>
      <c r="F531" s="1">
        <v>479.0</v>
      </c>
      <c r="G531" s="1">
        <v>482.0</v>
      </c>
      <c r="H531" s="1" t="s">
        <v>28</v>
      </c>
      <c r="I531" s="1"/>
      <c r="J531" s="1" t="s">
        <v>3833</v>
      </c>
      <c r="K531" s="1"/>
      <c r="L531" s="1" t="s">
        <v>3834</v>
      </c>
      <c r="M531" s="1" t="s">
        <v>3835</v>
      </c>
    </row>
    <row r="532">
      <c r="A532" s="1" t="s">
        <v>17</v>
      </c>
      <c r="B532" s="1">
        <v>1997.0</v>
      </c>
      <c r="C532" s="1" t="s">
        <v>3836</v>
      </c>
      <c r="D532" s="1" t="s">
        <v>3837</v>
      </c>
      <c r="E532" s="2" t="s">
        <v>3838</v>
      </c>
      <c r="F532" s="1">
        <v>483.0</v>
      </c>
      <c r="G532" s="1">
        <v>486.0</v>
      </c>
      <c r="H532" s="1" t="s">
        <v>28</v>
      </c>
      <c r="I532" s="1"/>
      <c r="J532" s="1" t="s">
        <v>3839</v>
      </c>
      <c r="K532" s="1"/>
      <c r="L532" s="1" t="s">
        <v>3840</v>
      </c>
      <c r="M532" s="1" t="s">
        <v>3841</v>
      </c>
    </row>
    <row r="533">
      <c r="A533" s="1" t="s">
        <v>17</v>
      </c>
      <c r="B533" s="1">
        <v>1997.0</v>
      </c>
      <c r="C533" s="1" t="s">
        <v>3842</v>
      </c>
      <c r="D533" s="1" t="s">
        <v>3843</v>
      </c>
      <c r="E533" s="2" t="s">
        <v>3844</v>
      </c>
      <c r="F533" s="1">
        <v>487.0</v>
      </c>
      <c r="G533" s="1">
        <v>490.0</v>
      </c>
      <c r="H533" s="1" t="s">
        <v>28</v>
      </c>
      <c r="I533" s="1"/>
      <c r="J533" s="1" t="s">
        <v>3845</v>
      </c>
      <c r="K533" s="1"/>
      <c r="L533" s="1" t="s">
        <v>3733</v>
      </c>
      <c r="M533" s="1" t="s">
        <v>3846</v>
      </c>
    </row>
    <row r="534">
      <c r="A534" s="1" t="s">
        <v>17</v>
      </c>
      <c r="B534" s="1">
        <v>1997.0</v>
      </c>
      <c r="C534" s="1" t="s">
        <v>3847</v>
      </c>
      <c r="D534" s="1" t="s">
        <v>3848</v>
      </c>
      <c r="E534" s="2" t="s">
        <v>3849</v>
      </c>
      <c r="F534" s="1">
        <v>491.0</v>
      </c>
      <c r="G534" s="1">
        <v>494.0</v>
      </c>
      <c r="H534" s="1" t="s">
        <v>28</v>
      </c>
      <c r="I534" s="1"/>
      <c r="J534" s="1" t="s">
        <v>3850</v>
      </c>
      <c r="K534" s="1"/>
      <c r="L534" s="1" t="s">
        <v>1138</v>
      </c>
      <c r="M534" s="1" t="s">
        <v>3851</v>
      </c>
      <c r="N534" s="1" t="s">
        <v>3852</v>
      </c>
    </row>
    <row r="535">
      <c r="A535" s="1" t="s">
        <v>17</v>
      </c>
      <c r="B535" s="1">
        <v>1997.0</v>
      </c>
      <c r="C535" s="1" t="s">
        <v>3853</v>
      </c>
      <c r="D535" s="1" t="s">
        <v>3854</v>
      </c>
      <c r="E535" s="2" t="s">
        <v>3855</v>
      </c>
      <c r="F535" s="1">
        <v>495.0</v>
      </c>
      <c r="G535" s="1">
        <v>498.0</v>
      </c>
      <c r="H535" s="1" t="s">
        <v>28</v>
      </c>
      <c r="I535" s="1"/>
      <c r="J535" s="1" t="s">
        <v>3856</v>
      </c>
      <c r="K535" s="1"/>
      <c r="L535" s="1" t="s">
        <v>3857</v>
      </c>
      <c r="M535" s="1" t="s">
        <v>1579</v>
      </c>
    </row>
    <row r="536">
      <c r="A536" s="1" t="s">
        <v>17</v>
      </c>
      <c r="B536" s="1">
        <v>1997.0</v>
      </c>
      <c r="C536" s="1" t="s">
        <v>3858</v>
      </c>
      <c r="D536" s="1" t="s">
        <v>3859</v>
      </c>
      <c r="E536" s="2" t="s">
        <v>3860</v>
      </c>
      <c r="F536" s="1">
        <v>499.0</v>
      </c>
      <c r="G536" s="1">
        <v>503.0</v>
      </c>
      <c r="H536" s="1" t="s">
        <v>28</v>
      </c>
      <c r="I536" s="1"/>
      <c r="J536" s="1" t="s">
        <v>3861</v>
      </c>
      <c r="K536" s="1"/>
      <c r="L536" s="1" t="s">
        <v>3862</v>
      </c>
    </row>
    <row r="537">
      <c r="A537" s="1" t="s">
        <v>17</v>
      </c>
      <c r="B537" s="1">
        <v>1997.0</v>
      </c>
      <c r="C537" s="1" t="s">
        <v>3863</v>
      </c>
      <c r="D537" s="1" t="s">
        <v>3864</v>
      </c>
      <c r="E537" s="2" t="s">
        <v>3865</v>
      </c>
      <c r="F537" s="1">
        <v>507.0</v>
      </c>
      <c r="G537" s="1">
        <v>509.0</v>
      </c>
      <c r="H537" s="1" t="s">
        <v>21</v>
      </c>
      <c r="I537" s="1"/>
      <c r="J537" s="1" t="s">
        <v>3866</v>
      </c>
      <c r="K537" s="1"/>
      <c r="L537" s="1" t="s">
        <v>3867</v>
      </c>
    </row>
    <row r="538">
      <c r="A538" s="1" t="s">
        <v>17</v>
      </c>
      <c r="B538" s="1">
        <v>1997.0</v>
      </c>
      <c r="C538" s="1" t="s">
        <v>3868</v>
      </c>
      <c r="D538" s="1" t="s">
        <v>3869</v>
      </c>
      <c r="E538" s="2" t="s">
        <v>3870</v>
      </c>
      <c r="F538" s="1">
        <v>511.0</v>
      </c>
      <c r="G538" s="1">
        <v>513.0</v>
      </c>
      <c r="H538" s="1" t="s">
        <v>21</v>
      </c>
      <c r="I538" s="1"/>
      <c r="J538" s="1" t="s">
        <v>3871</v>
      </c>
      <c r="K538" s="1"/>
      <c r="L538" s="1" t="s">
        <v>3872</v>
      </c>
    </row>
    <row r="539">
      <c r="A539" s="1" t="s">
        <v>17</v>
      </c>
      <c r="B539" s="1">
        <v>1997.0</v>
      </c>
      <c r="C539" s="1" t="s">
        <v>3873</v>
      </c>
      <c r="D539" s="1" t="s">
        <v>3874</v>
      </c>
      <c r="E539" s="2" t="s">
        <v>3875</v>
      </c>
      <c r="F539" s="1">
        <v>515.0</v>
      </c>
      <c r="G539" s="1">
        <v>517.0</v>
      </c>
      <c r="H539" s="1" t="s">
        <v>21</v>
      </c>
      <c r="I539" s="1"/>
      <c r="J539" s="1" t="s">
        <v>3876</v>
      </c>
      <c r="K539" s="1"/>
      <c r="L539" s="1" t="s">
        <v>3877</v>
      </c>
    </row>
    <row r="540">
      <c r="A540" s="1" t="s">
        <v>2137</v>
      </c>
      <c r="B540" s="1">
        <v>1998.0</v>
      </c>
      <c r="C540" s="1" t="s">
        <v>3878</v>
      </c>
      <c r="D540" s="1" t="s">
        <v>3879</v>
      </c>
      <c r="E540" s="2" t="s">
        <v>3880</v>
      </c>
      <c r="F540" s="1">
        <v>3.0</v>
      </c>
      <c r="G540" s="1" t="s">
        <v>3881</v>
      </c>
      <c r="H540" s="1" t="s">
        <v>28</v>
      </c>
      <c r="I540" s="1"/>
      <c r="J540" s="1" t="s">
        <v>3882</v>
      </c>
      <c r="K540" s="1"/>
      <c r="L540" s="1" t="s">
        <v>3883</v>
      </c>
      <c r="M540" s="1"/>
      <c r="N540" s="1" t="s">
        <v>3884</v>
      </c>
    </row>
    <row r="541">
      <c r="A541" s="1" t="s">
        <v>2137</v>
      </c>
      <c r="B541" s="1">
        <v>1998.0</v>
      </c>
      <c r="C541" s="1" t="s">
        <v>3885</v>
      </c>
      <c r="D541" s="1" t="s">
        <v>3886</v>
      </c>
      <c r="E541" s="2" t="s">
        <v>3887</v>
      </c>
      <c r="F541" s="1">
        <v>11.0</v>
      </c>
      <c r="G541" s="1">
        <v>18.0</v>
      </c>
      <c r="H541" s="1" t="s">
        <v>28</v>
      </c>
      <c r="I541" s="1"/>
      <c r="J541" s="1" t="s">
        <v>3888</v>
      </c>
      <c r="K541" s="1"/>
      <c r="L541" s="1" t="s">
        <v>2015</v>
      </c>
    </row>
    <row r="542">
      <c r="A542" s="1" t="s">
        <v>2137</v>
      </c>
      <c r="B542" s="1">
        <v>1998.0</v>
      </c>
      <c r="C542" s="1" t="s">
        <v>3889</v>
      </c>
      <c r="D542" s="1" t="s">
        <v>3890</v>
      </c>
      <c r="E542" s="2" t="s">
        <v>3891</v>
      </c>
      <c r="F542" s="1">
        <v>19.0</v>
      </c>
      <c r="G542" s="1" t="s">
        <v>3892</v>
      </c>
      <c r="H542" s="1" t="s">
        <v>28</v>
      </c>
      <c r="I542" s="1"/>
      <c r="J542" s="1" t="s">
        <v>3893</v>
      </c>
      <c r="K542" s="1"/>
      <c r="L542" s="1" t="s">
        <v>3894</v>
      </c>
      <c r="M542" s="1" t="s">
        <v>3895</v>
      </c>
      <c r="N542" s="1" t="s">
        <v>3896</v>
      </c>
    </row>
    <row r="543">
      <c r="A543" s="1" t="s">
        <v>2137</v>
      </c>
      <c r="B543" s="1">
        <v>1998.0</v>
      </c>
      <c r="C543" s="1" t="s">
        <v>3897</v>
      </c>
      <c r="D543" s="1" t="s">
        <v>3898</v>
      </c>
      <c r="E543" s="2" t="s">
        <v>3899</v>
      </c>
      <c r="F543" s="1">
        <v>26.0</v>
      </c>
      <c r="G543" s="1" t="s">
        <v>3900</v>
      </c>
      <c r="H543" s="1" t="s">
        <v>28</v>
      </c>
      <c r="I543" s="1"/>
      <c r="J543" s="1" t="s">
        <v>2768</v>
      </c>
      <c r="K543" s="1"/>
      <c r="L543" s="1" t="s">
        <v>3901</v>
      </c>
      <c r="M543" s="1" t="s">
        <v>2765</v>
      </c>
    </row>
    <row r="544">
      <c r="A544" s="1" t="s">
        <v>2137</v>
      </c>
      <c r="B544" s="1">
        <v>1998.0</v>
      </c>
      <c r="C544" s="1" t="s">
        <v>3902</v>
      </c>
      <c r="D544" s="1" t="s">
        <v>3903</v>
      </c>
      <c r="E544" s="2" t="s">
        <v>3904</v>
      </c>
      <c r="F544" s="1">
        <v>35.0</v>
      </c>
      <c r="G544" s="1" t="s">
        <v>3905</v>
      </c>
      <c r="H544" s="1" t="s">
        <v>28</v>
      </c>
      <c r="I544" s="1"/>
      <c r="J544" s="1" t="s">
        <v>3906</v>
      </c>
      <c r="K544" s="1"/>
      <c r="L544" s="1" t="s">
        <v>3907</v>
      </c>
      <c r="M544" s="1" t="s">
        <v>3908</v>
      </c>
    </row>
    <row r="545">
      <c r="A545" s="1" t="s">
        <v>2137</v>
      </c>
      <c r="B545" s="1">
        <v>1998.0</v>
      </c>
      <c r="C545" s="1" t="s">
        <v>3909</v>
      </c>
      <c r="D545" s="1" t="s">
        <v>3910</v>
      </c>
      <c r="E545" s="2" t="s">
        <v>3911</v>
      </c>
      <c r="F545" s="1">
        <v>44.0</v>
      </c>
      <c r="G545" s="1" t="s">
        <v>3985</v>
      </c>
      <c r="H545" s="1" t="s">
        <v>28</v>
      </c>
      <c r="I545" s="1"/>
      <c r="J545" s="1" t="s">
        <v>3986</v>
      </c>
      <c r="K545" s="1"/>
      <c r="L545" s="1" t="s">
        <v>358</v>
      </c>
      <c r="M545" s="1" t="s">
        <v>3987</v>
      </c>
    </row>
    <row r="546">
      <c r="A546" s="1" t="s">
        <v>2137</v>
      </c>
      <c r="B546" s="1">
        <v>1998.0</v>
      </c>
      <c r="C546" s="1" t="s">
        <v>3988</v>
      </c>
      <c r="D546" s="1" t="s">
        <v>3989</v>
      </c>
      <c r="E546" s="2" t="s">
        <v>3990</v>
      </c>
      <c r="F546" s="1">
        <v>52.0</v>
      </c>
      <c r="G546" s="1" t="s">
        <v>3991</v>
      </c>
      <c r="H546" s="1" t="s">
        <v>28</v>
      </c>
      <c r="I546" s="1"/>
      <c r="J546" s="1" t="s">
        <v>3992</v>
      </c>
      <c r="K546" s="1"/>
      <c r="L546" s="1" t="s">
        <v>3993</v>
      </c>
      <c r="M546" s="1" t="s">
        <v>3994</v>
      </c>
    </row>
    <row r="547">
      <c r="A547" s="1" t="s">
        <v>2137</v>
      </c>
      <c r="B547" s="1">
        <v>1998.0</v>
      </c>
      <c r="C547" s="1" t="s">
        <v>3995</v>
      </c>
      <c r="D547" s="1" t="s">
        <v>3996</v>
      </c>
      <c r="E547" s="2" t="s">
        <v>3997</v>
      </c>
      <c r="F547" s="1">
        <v>63.0</v>
      </c>
      <c r="G547" s="1">
        <v>70.0</v>
      </c>
      <c r="H547" s="1" t="s">
        <v>28</v>
      </c>
      <c r="I547" s="1"/>
      <c r="J547" s="1" t="s">
        <v>3998</v>
      </c>
      <c r="K547" s="1"/>
      <c r="L547" s="1" t="s">
        <v>3999</v>
      </c>
      <c r="M547" s="1" t="s">
        <v>4000</v>
      </c>
      <c r="N547" s="1" t="s">
        <v>4001</v>
      </c>
      <c r="P547" s="1"/>
      <c r="Q547" s="1" t="s">
        <v>1093</v>
      </c>
    </row>
    <row r="548">
      <c r="A548" s="1" t="s">
        <v>2137</v>
      </c>
      <c r="B548" s="1">
        <v>1998.0</v>
      </c>
      <c r="C548" s="1" t="s">
        <v>4002</v>
      </c>
      <c r="D548" s="1" t="s">
        <v>4003</v>
      </c>
      <c r="E548" s="2" t="s">
        <v>4004</v>
      </c>
      <c r="F548" s="1">
        <v>71.0</v>
      </c>
      <c r="G548" s="1" t="s">
        <v>4005</v>
      </c>
      <c r="H548" s="1" t="s">
        <v>28</v>
      </c>
      <c r="I548" s="1"/>
      <c r="J548" s="1" t="s">
        <v>4006</v>
      </c>
      <c r="K548" s="1"/>
      <c r="L548" s="1" t="s">
        <v>4007</v>
      </c>
      <c r="M548" s="1" t="s">
        <v>3797</v>
      </c>
    </row>
    <row r="549">
      <c r="A549" s="1" t="s">
        <v>2137</v>
      </c>
      <c r="B549" s="1">
        <v>1998.0</v>
      </c>
      <c r="C549" s="1" t="s">
        <v>4008</v>
      </c>
      <c r="D549" s="1" t="s">
        <v>4009</v>
      </c>
      <c r="E549" s="2" t="s">
        <v>4010</v>
      </c>
      <c r="F549" s="1">
        <v>79.0</v>
      </c>
      <c r="G549" s="1" t="s">
        <v>4011</v>
      </c>
      <c r="H549" s="1" t="s">
        <v>28</v>
      </c>
      <c r="I549" s="1"/>
      <c r="J549" s="1" t="s">
        <v>4012</v>
      </c>
      <c r="K549" s="1"/>
      <c r="L549" s="1" t="s">
        <v>4013</v>
      </c>
      <c r="M549" s="1" t="s">
        <v>4014</v>
      </c>
      <c r="N549" s="1" t="s">
        <v>4015</v>
      </c>
    </row>
    <row r="550">
      <c r="A550" s="1" t="s">
        <v>2137</v>
      </c>
      <c r="B550" s="1">
        <v>1998.0</v>
      </c>
      <c r="C550" s="1" t="s">
        <v>4016</v>
      </c>
      <c r="D550" s="1" t="s">
        <v>4017</v>
      </c>
      <c r="E550" s="2" t="s">
        <v>4018</v>
      </c>
      <c r="F550" s="1">
        <v>87.0</v>
      </c>
      <c r="G550" s="1" t="s">
        <v>4022</v>
      </c>
      <c r="H550" s="1" t="s">
        <v>28</v>
      </c>
      <c r="I550" s="1"/>
      <c r="J550" s="1" t="s">
        <v>4023</v>
      </c>
      <c r="K550" s="1"/>
      <c r="L550" s="1" t="s">
        <v>4024</v>
      </c>
      <c r="M550" s="1" t="s">
        <v>4025</v>
      </c>
    </row>
    <row r="551">
      <c r="A551" s="1" t="s">
        <v>2137</v>
      </c>
      <c r="B551" s="1">
        <v>1998.0</v>
      </c>
      <c r="C551" s="1" t="s">
        <v>4026</v>
      </c>
      <c r="D551" s="1" t="s">
        <v>4027</v>
      </c>
      <c r="E551" s="2" t="s">
        <v>4028</v>
      </c>
      <c r="F551" s="1">
        <v>97.0</v>
      </c>
      <c r="G551" s="1">
        <v>101.0</v>
      </c>
      <c r="H551" s="1" t="s">
        <v>28</v>
      </c>
      <c r="I551" s="1"/>
      <c r="J551" s="1" t="s">
        <v>4029</v>
      </c>
      <c r="K551" s="1"/>
      <c r="L551" s="1" t="s">
        <v>4030</v>
      </c>
    </row>
    <row r="552">
      <c r="A552" s="1" t="s">
        <v>2137</v>
      </c>
      <c r="B552" s="1">
        <v>1998.0</v>
      </c>
      <c r="C552" s="1" t="s">
        <v>4031</v>
      </c>
      <c r="D552" s="1" t="s">
        <v>4032</v>
      </c>
      <c r="E552" s="2" t="s">
        <v>4033</v>
      </c>
      <c r="F552" s="1">
        <v>102.0</v>
      </c>
      <c r="G552" s="1" t="s">
        <v>4040</v>
      </c>
      <c r="H552" s="1" t="s">
        <v>28</v>
      </c>
      <c r="I552" s="1"/>
      <c r="J552" s="1" t="s">
        <v>3405</v>
      </c>
      <c r="K552" s="1"/>
      <c r="L552" s="1" t="s">
        <v>4041</v>
      </c>
      <c r="M552" s="1" t="s">
        <v>226</v>
      </c>
    </row>
    <row r="553">
      <c r="A553" s="1" t="s">
        <v>2137</v>
      </c>
      <c r="B553" s="1">
        <v>1998.0</v>
      </c>
      <c r="C553" s="1" t="s">
        <v>4042</v>
      </c>
      <c r="D553" s="1" t="s">
        <v>4043</v>
      </c>
      <c r="E553" s="2" t="s">
        <v>4044</v>
      </c>
      <c r="F553" s="1">
        <v>106.0</v>
      </c>
      <c r="G553" s="1" t="s">
        <v>4046</v>
      </c>
      <c r="H553" s="1" t="s">
        <v>28</v>
      </c>
      <c r="I553" s="1"/>
      <c r="J553" s="1" t="s">
        <v>4047</v>
      </c>
      <c r="K553" s="1"/>
      <c r="L553" s="1" t="s">
        <v>4048</v>
      </c>
      <c r="M553" s="1" t="s">
        <v>4049</v>
      </c>
      <c r="N553" s="1" t="s">
        <v>4050</v>
      </c>
    </row>
    <row r="554">
      <c r="A554" s="1" t="s">
        <v>2137</v>
      </c>
      <c r="B554" s="1">
        <v>1998.0</v>
      </c>
      <c r="C554" s="1" t="s">
        <v>4052</v>
      </c>
      <c r="D554" s="1" t="s">
        <v>4053</v>
      </c>
      <c r="E554" s="2" t="s">
        <v>4055</v>
      </c>
      <c r="F554" s="1">
        <v>113.0</v>
      </c>
      <c r="G554" s="1" t="s">
        <v>4057</v>
      </c>
      <c r="H554" s="1" t="s">
        <v>28</v>
      </c>
      <c r="I554" s="1"/>
      <c r="J554" s="1" t="s">
        <v>4058</v>
      </c>
      <c r="K554" s="1"/>
      <c r="L554" s="1" t="s">
        <v>4059</v>
      </c>
    </row>
    <row r="555">
      <c r="A555" s="1" t="s">
        <v>2137</v>
      </c>
      <c r="B555" s="1">
        <v>1998.0</v>
      </c>
      <c r="C555" s="1" t="s">
        <v>4060</v>
      </c>
      <c r="D555" s="1" t="s">
        <v>4061</v>
      </c>
      <c r="E555" s="2" t="s">
        <v>4062</v>
      </c>
      <c r="F555" s="1">
        <v>121.0</v>
      </c>
      <c r="G555" s="1" t="s">
        <v>4065</v>
      </c>
      <c r="H555" s="1" t="s">
        <v>28</v>
      </c>
      <c r="I555" s="1"/>
      <c r="J555" s="1" t="s">
        <v>4066</v>
      </c>
      <c r="K555" s="1"/>
      <c r="L555" s="1" t="s">
        <v>4067</v>
      </c>
      <c r="M555" s="1" t="s">
        <v>4068</v>
      </c>
      <c r="N555" s="1" t="s">
        <v>4069</v>
      </c>
    </row>
    <row r="556">
      <c r="A556" s="1" t="s">
        <v>2137</v>
      </c>
      <c r="B556" s="1">
        <v>1998.0</v>
      </c>
      <c r="C556" s="1" t="s">
        <v>4070</v>
      </c>
      <c r="D556" s="1" t="s">
        <v>4071</v>
      </c>
      <c r="E556" s="2" t="s">
        <v>4072</v>
      </c>
      <c r="F556" s="1">
        <v>130.0</v>
      </c>
      <c r="G556" s="1">
        <v>136.0</v>
      </c>
      <c r="H556" s="1" t="s">
        <v>28</v>
      </c>
      <c r="I556" s="1"/>
      <c r="J556" s="1" t="s">
        <v>4077</v>
      </c>
      <c r="K556" s="1"/>
      <c r="L556" s="1" t="s">
        <v>4078</v>
      </c>
      <c r="M556" s="1" t="s">
        <v>4079</v>
      </c>
      <c r="N556" s="1" t="s">
        <v>4080</v>
      </c>
    </row>
    <row r="557">
      <c r="A557" s="1" t="s">
        <v>2137</v>
      </c>
      <c r="B557" s="1">
        <v>1998.0</v>
      </c>
      <c r="C557" s="1" t="s">
        <v>4081</v>
      </c>
      <c r="D557" s="1" t="s">
        <v>4082</v>
      </c>
      <c r="E557" s="2" t="s">
        <v>4084</v>
      </c>
      <c r="F557" s="1">
        <v>137.0</v>
      </c>
      <c r="G557" s="1" t="s">
        <v>4090</v>
      </c>
      <c r="H557" s="1" t="s">
        <v>28</v>
      </c>
      <c r="I557" s="1"/>
      <c r="J557" s="1" t="s">
        <v>4091</v>
      </c>
      <c r="K557" s="1"/>
      <c r="L557" s="1" t="s">
        <v>4092</v>
      </c>
      <c r="M557" s="1" t="s">
        <v>4093</v>
      </c>
      <c r="N557" s="1" t="s">
        <v>4094</v>
      </c>
    </row>
    <row r="558">
      <c r="A558" s="1" t="s">
        <v>17</v>
      </c>
      <c r="B558" s="1">
        <v>1998.0</v>
      </c>
      <c r="C558" s="1" t="s">
        <v>4095</v>
      </c>
      <c r="D558" s="1" t="s">
        <v>4096</v>
      </c>
      <c r="E558" s="2" t="s">
        <v>4097</v>
      </c>
      <c r="F558" s="1">
        <v>19.0</v>
      </c>
      <c r="G558" s="1">
        <v>26.0</v>
      </c>
      <c r="H558" s="1" t="s">
        <v>28</v>
      </c>
      <c r="I558" s="1"/>
      <c r="J558" s="1" t="s">
        <v>4101</v>
      </c>
      <c r="K558" s="1"/>
      <c r="L558" s="1" t="s">
        <v>4102</v>
      </c>
      <c r="M558" s="1" t="s">
        <v>4103</v>
      </c>
      <c r="N558" s="1" t="s">
        <v>4104</v>
      </c>
    </row>
    <row r="559">
      <c r="A559" s="1" t="s">
        <v>17</v>
      </c>
      <c r="B559" s="1">
        <v>1998.0</v>
      </c>
      <c r="C559" s="1" t="s">
        <v>4105</v>
      </c>
      <c r="D559" s="1" t="s">
        <v>4107</v>
      </c>
      <c r="E559" s="2" t="s">
        <v>4108</v>
      </c>
      <c r="F559" s="1">
        <v>27.0</v>
      </c>
      <c r="G559" s="1">
        <v>33.0</v>
      </c>
      <c r="H559" s="1" t="s">
        <v>28</v>
      </c>
      <c r="I559" s="1"/>
      <c r="J559" s="1" t="s">
        <v>4111</v>
      </c>
      <c r="K559" s="1"/>
      <c r="L559" s="1" t="s">
        <v>4112</v>
      </c>
      <c r="M559" s="1"/>
      <c r="N559" s="1" t="s">
        <v>4113</v>
      </c>
    </row>
    <row r="560">
      <c r="A560" s="1" t="s">
        <v>17</v>
      </c>
      <c r="B560" s="1">
        <v>1998.0</v>
      </c>
      <c r="C560" s="1" t="s">
        <v>4114</v>
      </c>
      <c r="D560" s="1" t="s">
        <v>4115</v>
      </c>
      <c r="E560" s="2" t="s">
        <v>4116</v>
      </c>
      <c r="F560" s="1">
        <v>35.0</v>
      </c>
      <c r="G560" s="1">
        <v>42.0</v>
      </c>
      <c r="H560" s="1" t="s">
        <v>28</v>
      </c>
      <c r="I560" s="1"/>
      <c r="J560" s="1" t="s">
        <v>4120</v>
      </c>
      <c r="K560" s="1"/>
      <c r="L560" s="1" t="s">
        <v>4121</v>
      </c>
      <c r="M560" s="1" t="s">
        <v>4122</v>
      </c>
    </row>
    <row r="561">
      <c r="A561" s="1" t="s">
        <v>17</v>
      </c>
      <c r="B561" s="1">
        <v>1998.0</v>
      </c>
      <c r="C561" s="1" t="s">
        <v>4123</v>
      </c>
      <c r="D561" s="1" t="s">
        <v>4124</v>
      </c>
      <c r="E561" s="2" t="s">
        <v>4125</v>
      </c>
      <c r="F561" s="1">
        <v>43.0</v>
      </c>
      <c r="G561" s="1">
        <v>50.0</v>
      </c>
      <c r="H561" s="1" t="s">
        <v>28</v>
      </c>
      <c r="I561" s="1"/>
      <c r="J561" s="1" t="s">
        <v>3530</v>
      </c>
      <c r="K561" s="1"/>
      <c r="L561" s="1" t="s">
        <v>4128</v>
      </c>
      <c r="M561" s="1" t="s">
        <v>4129</v>
      </c>
    </row>
    <row r="562">
      <c r="A562" s="1" t="s">
        <v>17</v>
      </c>
      <c r="B562" s="1">
        <v>1998.0</v>
      </c>
      <c r="C562" s="1" t="s">
        <v>4130</v>
      </c>
      <c r="D562" s="1" t="s">
        <v>4131</v>
      </c>
      <c r="E562" s="2" t="s">
        <v>4132</v>
      </c>
      <c r="F562" s="1">
        <v>51.0</v>
      </c>
      <c r="G562" s="1">
        <v>58.0</v>
      </c>
      <c r="H562" s="1" t="s">
        <v>28</v>
      </c>
      <c r="I562" s="1"/>
      <c r="J562" s="1" t="s">
        <v>3574</v>
      </c>
      <c r="K562" s="1"/>
      <c r="L562" s="1" t="s">
        <v>4135</v>
      </c>
      <c r="M562" s="1" t="s">
        <v>4136</v>
      </c>
      <c r="N562" s="1" t="s">
        <v>4137</v>
      </c>
    </row>
    <row r="563">
      <c r="A563" s="1" t="s">
        <v>17</v>
      </c>
      <c r="B563" s="1">
        <v>1998.0</v>
      </c>
      <c r="C563" s="1" t="s">
        <v>4138</v>
      </c>
      <c r="D563" s="1" t="s">
        <v>4139</v>
      </c>
      <c r="E563" s="2" t="s">
        <v>4140</v>
      </c>
      <c r="F563" s="1">
        <v>59.0</v>
      </c>
      <c r="G563" s="1">
        <v>66.0</v>
      </c>
      <c r="H563" s="1" t="s">
        <v>28</v>
      </c>
      <c r="I563" s="1"/>
      <c r="J563" s="1" t="s">
        <v>4144</v>
      </c>
      <c r="K563" s="1"/>
      <c r="L563" s="1" t="s">
        <v>4145</v>
      </c>
      <c r="M563" s="1" t="s">
        <v>1498</v>
      </c>
      <c r="N563" s="1" t="s">
        <v>4146</v>
      </c>
    </row>
    <row r="564">
      <c r="A564" s="1" t="s">
        <v>17</v>
      </c>
      <c r="B564" s="1">
        <v>1998.0</v>
      </c>
      <c r="C564" s="1" t="s">
        <v>4147</v>
      </c>
      <c r="D564" s="1" t="s">
        <v>4148</v>
      </c>
      <c r="E564" s="2" t="s">
        <v>4149</v>
      </c>
      <c r="F564" s="1">
        <v>67.0</v>
      </c>
      <c r="G564" s="1">
        <v>72.0</v>
      </c>
      <c r="H564" s="1" t="s">
        <v>28</v>
      </c>
      <c r="I564" s="1"/>
      <c r="J564" s="1" t="s">
        <v>4156</v>
      </c>
      <c r="K564" s="1"/>
      <c r="L564" s="1" t="s">
        <v>4158</v>
      </c>
    </row>
    <row r="565">
      <c r="A565" s="1" t="s">
        <v>17</v>
      </c>
      <c r="B565" s="1">
        <v>1998.0</v>
      </c>
      <c r="C565" s="1" t="s">
        <v>4160</v>
      </c>
      <c r="D565" s="1" t="s">
        <v>4161</v>
      </c>
      <c r="E565" s="2" t="s">
        <v>4163</v>
      </c>
      <c r="F565" s="1">
        <v>73.0</v>
      </c>
      <c r="G565" s="1">
        <v>77.0</v>
      </c>
      <c r="H565" s="1" t="s">
        <v>28</v>
      </c>
      <c r="I565" s="1"/>
      <c r="J565" s="1" t="s">
        <v>4166</v>
      </c>
      <c r="K565" s="1"/>
      <c r="L565" s="1" t="s">
        <v>4167</v>
      </c>
      <c r="M565" s="1" t="s">
        <v>2859</v>
      </c>
      <c r="N565" s="1" t="s">
        <v>4204</v>
      </c>
    </row>
    <row r="566">
      <c r="A566" s="1" t="s">
        <v>17</v>
      </c>
      <c r="B566" s="1">
        <v>1998.0</v>
      </c>
      <c r="C566" s="1" t="s">
        <v>4205</v>
      </c>
      <c r="D566" s="1" t="s">
        <v>4206</v>
      </c>
      <c r="E566" s="2" t="s">
        <v>4207</v>
      </c>
      <c r="F566" s="1">
        <v>79.0</v>
      </c>
      <c r="G566" s="1">
        <v>86.0</v>
      </c>
      <c r="H566" s="1" t="s">
        <v>28</v>
      </c>
      <c r="I566" s="1"/>
      <c r="J566" s="1" t="s">
        <v>2976</v>
      </c>
      <c r="K566" s="1"/>
      <c r="L566" s="1" t="s">
        <v>2977</v>
      </c>
      <c r="M566" s="1" t="s">
        <v>4211</v>
      </c>
      <c r="N566" s="1" t="s">
        <v>4212</v>
      </c>
    </row>
    <row r="567">
      <c r="A567" s="1" t="s">
        <v>17</v>
      </c>
      <c r="B567" s="1">
        <v>1998.0</v>
      </c>
      <c r="C567" s="1" t="s">
        <v>4213</v>
      </c>
      <c r="D567" s="1" t="s">
        <v>4214</v>
      </c>
      <c r="E567" s="2" t="s">
        <v>4215</v>
      </c>
      <c r="F567" s="1">
        <v>87.0</v>
      </c>
      <c r="G567" s="1">
        <v>94.0</v>
      </c>
      <c r="H567" s="1" t="s">
        <v>28</v>
      </c>
      <c r="I567" s="1"/>
      <c r="J567" s="1" t="s">
        <v>4218</v>
      </c>
      <c r="K567" s="1"/>
      <c r="L567" s="1" t="s">
        <v>1110</v>
      </c>
      <c r="M567" s="1" t="s">
        <v>4219</v>
      </c>
      <c r="N567" s="1" t="s">
        <v>4220</v>
      </c>
    </row>
    <row r="568">
      <c r="A568" s="1" t="s">
        <v>17</v>
      </c>
      <c r="B568" s="1">
        <v>1998.0</v>
      </c>
      <c r="C568" s="1" t="s">
        <v>4221</v>
      </c>
      <c r="D568" s="1" t="s">
        <v>4222</v>
      </c>
      <c r="E568" s="2" t="s">
        <v>4223</v>
      </c>
      <c r="F568" s="1">
        <v>95.0</v>
      </c>
      <c r="G568" s="1">
        <v>102.0</v>
      </c>
      <c r="H568" s="1" t="s">
        <v>28</v>
      </c>
      <c r="I568" s="1"/>
      <c r="J568" s="1" t="s">
        <v>4225</v>
      </c>
      <c r="K568" s="1"/>
      <c r="L568" s="1" t="s">
        <v>3652</v>
      </c>
      <c r="M568" s="1" t="s">
        <v>4228</v>
      </c>
      <c r="N568" s="1" t="s">
        <v>4229</v>
      </c>
    </row>
    <row r="569">
      <c r="A569" s="1" t="s">
        <v>17</v>
      </c>
      <c r="B569" s="1">
        <v>1998.0</v>
      </c>
      <c r="C569" s="1" t="s">
        <v>4230</v>
      </c>
      <c r="D569" s="1" t="s">
        <v>4231</v>
      </c>
      <c r="E569" s="2" t="s">
        <v>4232</v>
      </c>
      <c r="F569" s="1">
        <v>103.0</v>
      </c>
      <c r="G569" s="1">
        <v>109.0</v>
      </c>
      <c r="H569" s="1" t="s">
        <v>28</v>
      </c>
      <c r="I569" s="1"/>
      <c r="J569" s="1" t="s">
        <v>4233</v>
      </c>
      <c r="K569" s="1"/>
      <c r="L569" s="1" t="s">
        <v>3491</v>
      </c>
      <c r="M569" s="1" t="s">
        <v>4234</v>
      </c>
    </row>
    <row r="570">
      <c r="A570" s="1" t="s">
        <v>17</v>
      </c>
      <c r="B570" s="1">
        <v>1998.0</v>
      </c>
      <c r="C570" s="1" t="s">
        <v>4235</v>
      </c>
      <c r="D570" s="1" t="s">
        <v>4237</v>
      </c>
      <c r="E570" s="2" t="s">
        <v>4238</v>
      </c>
      <c r="F570" s="1">
        <v>111.0</v>
      </c>
      <c r="G570" s="1">
        <v>118.0</v>
      </c>
      <c r="H570" s="1" t="s">
        <v>28</v>
      </c>
      <c r="I570" s="1"/>
      <c r="J570" s="1" t="s">
        <v>4241</v>
      </c>
      <c r="K570" s="1"/>
      <c r="L570" s="1" t="s">
        <v>4242</v>
      </c>
      <c r="M570" s="1" t="s">
        <v>4243</v>
      </c>
      <c r="N570" s="1" t="s">
        <v>4244</v>
      </c>
    </row>
    <row r="571">
      <c r="A571" s="1" t="s">
        <v>17</v>
      </c>
      <c r="B571" s="1">
        <v>1998.0</v>
      </c>
      <c r="C571" s="1" t="s">
        <v>4245</v>
      </c>
      <c r="D571" s="1" t="s">
        <v>4246</v>
      </c>
      <c r="E571" s="2" t="s">
        <v>4247</v>
      </c>
      <c r="F571" s="1">
        <v>119.0</v>
      </c>
      <c r="G571" s="1">
        <v>126.0</v>
      </c>
      <c r="H571" s="1" t="s">
        <v>28</v>
      </c>
      <c r="I571" s="1"/>
      <c r="J571" s="1" t="s">
        <v>4248</v>
      </c>
      <c r="K571" s="1"/>
      <c r="L571" s="1" t="s">
        <v>4249</v>
      </c>
      <c r="M571" s="1" t="s">
        <v>4250</v>
      </c>
      <c r="N571" s="1" t="s">
        <v>4251</v>
      </c>
    </row>
    <row r="572">
      <c r="A572" s="1" t="s">
        <v>17</v>
      </c>
      <c r="B572" s="1">
        <v>1998.0</v>
      </c>
      <c r="C572" s="1" t="s">
        <v>4252</v>
      </c>
      <c r="D572" s="1" t="s">
        <v>4253</v>
      </c>
      <c r="E572" s="2" t="s">
        <v>4254</v>
      </c>
      <c r="F572" s="1">
        <v>127.0</v>
      </c>
      <c r="G572" s="1">
        <v>134.0</v>
      </c>
      <c r="H572" s="1" t="s">
        <v>28</v>
      </c>
      <c r="I572" s="1"/>
      <c r="J572" s="1" t="s">
        <v>4255</v>
      </c>
      <c r="K572" s="1"/>
      <c r="L572" s="1" t="s">
        <v>4256</v>
      </c>
      <c r="M572" s="1" t="s">
        <v>1135</v>
      </c>
      <c r="N572" s="1" t="s">
        <v>4257</v>
      </c>
    </row>
    <row r="573">
      <c r="A573" s="1" t="s">
        <v>17</v>
      </c>
      <c r="B573" s="1">
        <v>1998.0</v>
      </c>
      <c r="C573" s="1" t="s">
        <v>4258</v>
      </c>
      <c r="D573" s="1" t="s">
        <v>4259</v>
      </c>
      <c r="E573" s="2" t="s">
        <v>4260</v>
      </c>
      <c r="F573" s="1">
        <v>135.0</v>
      </c>
      <c r="G573" s="1">
        <v>142.0</v>
      </c>
      <c r="H573" s="1" t="s">
        <v>28</v>
      </c>
      <c r="I573" s="1"/>
      <c r="J573" s="1" t="s">
        <v>4261</v>
      </c>
      <c r="K573" s="1"/>
      <c r="L573" s="1" t="s">
        <v>4262</v>
      </c>
      <c r="M573" s="1" t="s">
        <v>4264</v>
      </c>
      <c r="N573" s="1" t="s">
        <v>4265</v>
      </c>
    </row>
    <row r="574">
      <c r="A574" s="1" t="s">
        <v>17</v>
      </c>
      <c r="B574" s="1">
        <v>1998.0</v>
      </c>
      <c r="C574" s="1" t="s">
        <v>4266</v>
      </c>
      <c r="D574" s="1" t="s">
        <v>4267</v>
      </c>
      <c r="E574" s="2" t="s">
        <v>4268</v>
      </c>
      <c r="F574" s="1">
        <v>143.0</v>
      </c>
      <c r="G574" s="1">
        <v>150.0</v>
      </c>
      <c r="H574" s="1" t="s">
        <v>28</v>
      </c>
      <c r="I574" s="1"/>
      <c r="J574" s="1" t="s">
        <v>3168</v>
      </c>
      <c r="K574" s="1"/>
      <c r="L574" s="1" t="s">
        <v>4271</v>
      </c>
      <c r="M574" s="1" t="s">
        <v>4272</v>
      </c>
    </row>
    <row r="575">
      <c r="A575" s="1" t="s">
        <v>17</v>
      </c>
      <c r="B575" s="1">
        <v>1998.0</v>
      </c>
      <c r="C575" s="1" t="s">
        <v>4273</v>
      </c>
      <c r="D575" s="1" t="s">
        <v>4274</v>
      </c>
      <c r="E575" s="2" t="s">
        <v>4275</v>
      </c>
      <c r="F575" s="1">
        <v>151.0</v>
      </c>
      <c r="G575" s="1">
        <v>158.0</v>
      </c>
      <c r="H575" s="1" t="s">
        <v>28</v>
      </c>
      <c r="I575" s="1"/>
      <c r="J575" s="1" t="s">
        <v>4276</v>
      </c>
      <c r="K575" s="1"/>
      <c r="L575" s="1" t="s">
        <v>4277</v>
      </c>
      <c r="M575" s="1" t="s">
        <v>4278</v>
      </c>
    </row>
    <row r="576">
      <c r="A576" s="1" t="s">
        <v>17</v>
      </c>
      <c r="B576" s="1">
        <v>1998.0</v>
      </c>
      <c r="C576" s="1" t="s">
        <v>4279</v>
      </c>
      <c r="D576" s="1" t="s">
        <v>4280</v>
      </c>
      <c r="E576" s="2" t="s">
        <v>4282</v>
      </c>
      <c r="F576" s="1">
        <v>159.0</v>
      </c>
      <c r="G576" s="1">
        <v>166.0</v>
      </c>
      <c r="H576" s="1" t="s">
        <v>28</v>
      </c>
      <c r="I576" s="1"/>
      <c r="J576" s="1" t="s">
        <v>4285</v>
      </c>
      <c r="K576" s="1"/>
      <c r="L576" s="1" t="s">
        <v>3754</v>
      </c>
      <c r="M576" s="1" t="s">
        <v>4286</v>
      </c>
      <c r="N576" s="1" t="s">
        <v>4287</v>
      </c>
    </row>
    <row r="577">
      <c r="A577" s="1" t="s">
        <v>17</v>
      </c>
      <c r="B577" s="1">
        <v>1998.0</v>
      </c>
      <c r="C577" s="1" t="s">
        <v>4288</v>
      </c>
      <c r="D577" s="1" t="s">
        <v>4289</v>
      </c>
      <c r="E577" s="2" t="s">
        <v>4290</v>
      </c>
      <c r="F577" s="1">
        <v>167.0</v>
      </c>
      <c r="G577" s="1">
        <v>174.0</v>
      </c>
      <c r="H577" s="1" t="s">
        <v>28</v>
      </c>
      <c r="I577" s="1"/>
      <c r="J577" s="1" t="s">
        <v>4294</v>
      </c>
      <c r="K577" s="1"/>
      <c r="L577" s="1" t="s">
        <v>494</v>
      </c>
      <c r="M577" s="1" t="s">
        <v>4295</v>
      </c>
      <c r="N577" s="1" t="s">
        <v>4296</v>
      </c>
    </row>
    <row r="578">
      <c r="A578" s="1" t="s">
        <v>17</v>
      </c>
      <c r="B578" s="1">
        <v>1998.0</v>
      </c>
      <c r="C578" s="1" t="s">
        <v>4297</v>
      </c>
      <c r="D578" s="1" t="s">
        <v>4298</v>
      </c>
      <c r="E578" s="2" t="s">
        <v>4299</v>
      </c>
      <c r="F578" s="1">
        <v>175.0</v>
      </c>
      <c r="G578" s="1">
        <v>180.0</v>
      </c>
      <c r="H578" s="1" t="s">
        <v>28</v>
      </c>
      <c r="I578" s="1"/>
      <c r="J578" s="1" t="s">
        <v>4300</v>
      </c>
      <c r="K578" s="1"/>
      <c r="L578" s="1" t="s">
        <v>1313</v>
      </c>
      <c r="M578" s="1" t="s">
        <v>4301</v>
      </c>
    </row>
    <row r="579">
      <c r="A579" s="1" t="s">
        <v>17</v>
      </c>
      <c r="B579" s="1">
        <v>1998.0</v>
      </c>
      <c r="C579" s="1" t="s">
        <v>4302</v>
      </c>
      <c r="D579" s="1" t="s">
        <v>4303</v>
      </c>
      <c r="E579" s="2" t="s">
        <v>4304</v>
      </c>
      <c r="F579" s="1">
        <v>181.0</v>
      </c>
      <c r="G579" s="1">
        <v>188.0</v>
      </c>
      <c r="H579" s="1" t="s">
        <v>28</v>
      </c>
      <c r="I579" s="1"/>
      <c r="J579" s="1" t="s">
        <v>4340</v>
      </c>
      <c r="K579" s="1"/>
      <c r="L579" s="1" t="s">
        <v>4341</v>
      </c>
      <c r="M579" s="1" t="s">
        <v>4342</v>
      </c>
      <c r="N579" s="1" t="s">
        <v>4343</v>
      </c>
    </row>
    <row r="580">
      <c r="A580" s="1" t="s">
        <v>17</v>
      </c>
      <c r="B580" s="1">
        <v>1998.0</v>
      </c>
      <c r="C580" s="1" t="s">
        <v>4344</v>
      </c>
      <c r="D580" s="1" t="s">
        <v>4345</v>
      </c>
      <c r="E580" s="2" t="s">
        <v>4346</v>
      </c>
      <c r="F580" s="1">
        <v>189.0</v>
      </c>
      <c r="G580" s="1">
        <v>196.0</v>
      </c>
      <c r="H580" s="1" t="s">
        <v>28</v>
      </c>
      <c r="I580" s="1"/>
      <c r="J580" s="1" t="s">
        <v>4349</v>
      </c>
      <c r="K580" s="1"/>
      <c r="L580" s="1" t="s">
        <v>4092</v>
      </c>
      <c r="M580" s="1" t="s">
        <v>4350</v>
      </c>
      <c r="N580" s="1" t="s">
        <v>4351</v>
      </c>
    </row>
    <row r="581">
      <c r="A581" s="1" t="s">
        <v>17</v>
      </c>
      <c r="B581" s="1">
        <v>1998.0</v>
      </c>
      <c r="C581" s="1" t="s">
        <v>4352</v>
      </c>
      <c r="D581" s="1" t="s">
        <v>4353</v>
      </c>
      <c r="E581" s="2" t="s">
        <v>4354</v>
      </c>
      <c r="F581" s="1">
        <v>197.0</v>
      </c>
      <c r="G581" s="1">
        <v>204.0</v>
      </c>
      <c r="H581" s="1" t="s">
        <v>28</v>
      </c>
      <c r="I581" s="1"/>
      <c r="J581" s="1" t="s">
        <v>4356</v>
      </c>
      <c r="K581" s="1"/>
      <c r="L581" s="1" t="s">
        <v>178</v>
      </c>
      <c r="M581" s="1"/>
      <c r="N581" s="1" t="s">
        <v>4359</v>
      </c>
    </row>
    <row r="582">
      <c r="A582" s="1" t="s">
        <v>17</v>
      </c>
      <c r="B582" s="1">
        <v>1998.0</v>
      </c>
      <c r="C582" s="1" t="s">
        <v>4360</v>
      </c>
      <c r="D582" s="1" t="s">
        <v>4361</v>
      </c>
      <c r="E582" s="2" t="s">
        <v>4362</v>
      </c>
      <c r="F582" s="1">
        <v>205.0</v>
      </c>
      <c r="G582" s="1">
        <v>210.0</v>
      </c>
      <c r="H582" s="1" t="s">
        <v>28</v>
      </c>
      <c r="I582" s="1"/>
      <c r="J582" s="1" t="s">
        <v>4363</v>
      </c>
      <c r="K582" s="1"/>
      <c r="L582" s="1" t="s">
        <v>4364</v>
      </c>
      <c r="M582" s="1"/>
      <c r="N582" s="1" t="s">
        <v>4365</v>
      </c>
    </row>
    <row r="583">
      <c r="A583" s="1" t="s">
        <v>17</v>
      </c>
      <c r="B583" s="1">
        <v>1998.0</v>
      </c>
      <c r="C583" s="1" t="s">
        <v>4366</v>
      </c>
      <c r="D583" s="1" t="s">
        <v>4367</v>
      </c>
      <c r="E583" s="2" t="s">
        <v>4368</v>
      </c>
      <c r="F583" s="1">
        <v>211.0</v>
      </c>
      <c r="G583" s="1">
        <v>215.0</v>
      </c>
      <c r="H583" s="1" t="s">
        <v>28</v>
      </c>
      <c r="I583" s="1"/>
      <c r="J583" s="1" t="s">
        <v>4369</v>
      </c>
      <c r="K583" s="1"/>
      <c r="L583" s="1" t="s">
        <v>4370</v>
      </c>
      <c r="M583" s="1" t="s">
        <v>3707</v>
      </c>
      <c r="N583" s="1" t="s">
        <v>4371</v>
      </c>
    </row>
    <row r="584">
      <c r="A584" s="1" t="s">
        <v>17</v>
      </c>
      <c r="B584" s="1">
        <v>1998.0</v>
      </c>
      <c r="C584" s="1" t="s">
        <v>4372</v>
      </c>
      <c r="D584" s="1" t="s">
        <v>4373</v>
      </c>
      <c r="E584" s="2" t="s">
        <v>4374</v>
      </c>
      <c r="F584" s="1">
        <v>217.0</v>
      </c>
      <c r="G584" s="1">
        <v>224.0</v>
      </c>
      <c r="H584" s="1" t="s">
        <v>28</v>
      </c>
      <c r="I584" s="1"/>
      <c r="J584" s="1" t="s">
        <v>4375</v>
      </c>
      <c r="K584" s="1"/>
      <c r="L584" s="1" t="s">
        <v>4376</v>
      </c>
      <c r="M584" s="1" t="s">
        <v>3686</v>
      </c>
      <c r="N584" s="1" t="s">
        <v>4377</v>
      </c>
    </row>
    <row r="585">
      <c r="A585" s="1" t="s">
        <v>17</v>
      </c>
      <c r="B585" s="1">
        <v>1998.0</v>
      </c>
      <c r="C585" s="1" t="s">
        <v>4380</v>
      </c>
      <c r="D585" s="1" t="s">
        <v>4382</v>
      </c>
      <c r="E585" s="2" t="s">
        <v>4383</v>
      </c>
      <c r="F585" s="1">
        <v>225.0</v>
      </c>
      <c r="G585" s="1">
        <v>231.0</v>
      </c>
      <c r="H585" s="1" t="s">
        <v>28</v>
      </c>
      <c r="I585" s="1"/>
      <c r="J585" s="1" t="s">
        <v>4385</v>
      </c>
      <c r="K585" s="1"/>
      <c r="L585" s="1" t="s">
        <v>4386</v>
      </c>
      <c r="M585" s="1" t="s">
        <v>4387</v>
      </c>
    </row>
    <row r="586">
      <c r="A586" s="1" t="s">
        <v>17</v>
      </c>
      <c r="B586" s="1">
        <v>1998.0</v>
      </c>
      <c r="C586" s="1" t="s">
        <v>4388</v>
      </c>
      <c r="D586" s="1" t="s">
        <v>4390</v>
      </c>
      <c r="E586" s="2" t="s">
        <v>4392</v>
      </c>
      <c r="F586" s="1">
        <v>239.0</v>
      </c>
      <c r="G586" s="1">
        <v>245.0</v>
      </c>
      <c r="H586" s="1" t="s">
        <v>28</v>
      </c>
      <c r="I586" s="1"/>
      <c r="J586" s="1" t="s">
        <v>4393</v>
      </c>
      <c r="K586" s="1"/>
      <c r="L586" s="1" t="s">
        <v>3612</v>
      </c>
      <c r="M586" s="1" t="s">
        <v>4394</v>
      </c>
    </row>
    <row r="587">
      <c r="A587" s="1" t="s">
        <v>17</v>
      </c>
      <c r="B587" s="1">
        <v>1998.0</v>
      </c>
      <c r="C587" s="1" t="s">
        <v>4395</v>
      </c>
      <c r="D587" s="1" t="s">
        <v>4396</v>
      </c>
      <c r="E587" s="2" t="s">
        <v>4397</v>
      </c>
      <c r="F587" s="1">
        <v>247.0</v>
      </c>
      <c r="G587" s="1">
        <v>253.0</v>
      </c>
      <c r="H587" s="1" t="s">
        <v>28</v>
      </c>
      <c r="I587" s="1"/>
      <c r="J587" s="1" t="s">
        <v>4401</v>
      </c>
      <c r="K587" s="1"/>
      <c r="L587" s="1" t="s">
        <v>4402</v>
      </c>
      <c r="M587" s="1" t="s">
        <v>4403</v>
      </c>
      <c r="N587" s="1" t="s">
        <v>4404</v>
      </c>
    </row>
    <row r="588">
      <c r="A588" s="1" t="s">
        <v>17</v>
      </c>
      <c r="B588" s="1">
        <v>1998.0</v>
      </c>
      <c r="C588" s="1" t="s">
        <v>4405</v>
      </c>
      <c r="D588" s="1" t="s">
        <v>4406</v>
      </c>
      <c r="E588" s="2" t="s">
        <v>4407</v>
      </c>
      <c r="F588" s="1">
        <v>255.0</v>
      </c>
      <c r="G588" s="1">
        <v>262.0</v>
      </c>
      <c r="H588" s="1" t="s">
        <v>28</v>
      </c>
      <c r="I588" s="1"/>
      <c r="J588" s="1" t="s">
        <v>4408</v>
      </c>
      <c r="K588" s="1"/>
      <c r="L588" s="1" t="s">
        <v>4409</v>
      </c>
      <c r="M588" s="1"/>
      <c r="N588" s="1" t="s">
        <v>4411</v>
      </c>
    </row>
    <row r="589">
      <c r="A589" s="1" t="s">
        <v>17</v>
      </c>
      <c r="B589" s="1">
        <v>1998.0</v>
      </c>
      <c r="C589" s="1" t="s">
        <v>4414</v>
      </c>
      <c r="D589" s="1" t="s">
        <v>4415</v>
      </c>
      <c r="E589" s="2" t="s">
        <v>4416</v>
      </c>
      <c r="F589" s="1">
        <v>263.0</v>
      </c>
      <c r="G589" s="1">
        <v>269.0</v>
      </c>
      <c r="H589" s="1" t="s">
        <v>28</v>
      </c>
      <c r="I589" s="1"/>
      <c r="J589" s="1" t="s">
        <v>4417</v>
      </c>
      <c r="K589" s="1"/>
      <c r="L589" s="1" t="s">
        <v>4418</v>
      </c>
      <c r="M589" s="1" t="s">
        <v>3736</v>
      </c>
      <c r="N589" s="1" t="s">
        <v>4419</v>
      </c>
    </row>
    <row r="590">
      <c r="A590" s="1" t="s">
        <v>17</v>
      </c>
      <c r="B590" s="1">
        <v>1998.0</v>
      </c>
      <c r="C590" s="1" t="s">
        <v>4420</v>
      </c>
      <c r="D590" s="1" t="s">
        <v>4421</v>
      </c>
      <c r="E590" s="2" t="s">
        <v>4423</v>
      </c>
      <c r="F590" s="1">
        <v>271.0</v>
      </c>
      <c r="G590" s="1">
        <v>278.0</v>
      </c>
      <c r="H590" s="1" t="s">
        <v>28</v>
      </c>
      <c r="I590" s="1"/>
      <c r="J590" s="1" t="s">
        <v>4426</v>
      </c>
      <c r="K590" s="1"/>
      <c r="L590" s="1" t="s">
        <v>1596</v>
      </c>
      <c r="M590" s="1" t="s">
        <v>4427</v>
      </c>
      <c r="N590" s="1" t="s">
        <v>4428</v>
      </c>
    </row>
    <row r="591">
      <c r="A591" s="1" t="s">
        <v>17</v>
      </c>
      <c r="B591" s="1">
        <v>1998.0</v>
      </c>
      <c r="C591" s="1" t="s">
        <v>4429</v>
      </c>
      <c r="D591" s="1" t="s">
        <v>4430</v>
      </c>
      <c r="E591" s="2" t="s">
        <v>4431</v>
      </c>
      <c r="F591" s="1">
        <v>279.0</v>
      </c>
      <c r="G591" s="1">
        <v>286.0</v>
      </c>
      <c r="H591" s="1" t="s">
        <v>28</v>
      </c>
      <c r="I591" s="1"/>
      <c r="J591" s="1" t="s">
        <v>4434</v>
      </c>
      <c r="K591" s="1"/>
      <c r="L591" s="1" t="s">
        <v>4435</v>
      </c>
      <c r="M591" s="1" t="s">
        <v>4436</v>
      </c>
    </row>
    <row r="592">
      <c r="A592" s="1" t="s">
        <v>17</v>
      </c>
      <c r="B592" s="1">
        <v>1998.0</v>
      </c>
      <c r="C592" s="1" t="s">
        <v>4437</v>
      </c>
      <c r="D592" s="1" t="s">
        <v>4438</v>
      </c>
      <c r="E592" s="2" t="s">
        <v>4439</v>
      </c>
      <c r="F592" s="1">
        <v>287.0</v>
      </c>
      <c r="G592" s="1">
        <v>295.0</v>
      </c>
      <c r="H592" s="1" t="s">
        <v>28</v>
      </c>
      <c r="I592" s="1"/>
      <c r="J592" s="1" t="s">
        <v>4440</v>
      </c>
      <c r="K592" s="1"/>
      <c r="L592" s="1" t="s">
        <v>4441</v>
      </c>
      <c r="M592" s="1" t="s">
        <v>4442</v>
      </c>
      <c r="N592" s="1" t="s">
        <v>4443</v>
      </c>
    </row>
    <row r="593">
      <c r="A593" s="1" t="s">
        <v>17</v>
      </c>
      <c r="B593" s="1">
        <v>1998.0</v>
      </c>
      <c r="C593" s="1" t="s">
        <v>4444</v>
      </c>
      <c r="D593" s="1" t="s">
        <v>4445</v>
      </c>
      <c r="E593" s="2" t="s">
        <v>4446</v>
      </c>
      <c r="F593" s="1">
        <v>297.0</v>
      </c>
      <c r="G593" s="1">
        <v>304.0</v>
      </c>
      <c r="H593" s="1" t="s">
        <v>28</v>
      </c>
      <c r="I593" s="1"/>
      <c r="J593" s="1" t="s">
        <v>3181</v>
      </c>
      <c r="K593" s="1"/>
      <c r="L593" s="1" t="s">
        <v>3182</v>
      </c>
      <c r="M593" s="1" t="s">
        <v>4451</v>
      </c>
      <c r="N593" s="1" t="s">
        <v>4452</v>
      </c>
    </row>
    <row r="594">
      <c r="A594" s="1" t="s">
        <v>17</v>
      </c>
      <c r="B594" s="1">
        <v>1998.0</v>
      </c>
      <c r="C594" s="1" t="s">
        <v>4453</v>
      </c>
      <c r="D594" s="1" t="s">
        <v>4454</v>
      </c>
      <c r="E594" s="2" t="s">
        <v>4455</v>
      </c>
      <c r="F594" s="1">
        <v>305.0</v>
      </c>
      <c r="G594" s="1">
        <v>312.0</v>
      </c>
      <c r="H594" s="1" t="s">
        <v>28</v>
      </c>
      <c r="I594" s="1"/>
      <c r="J594" s="1" t="s">
        <v>4460</v>
      </c>
      <c r="K594" s="1"/>
      <c r="L594" s="1" t="s">
        <v>4461</v>
      </c>
      <c r="M594" s="1" t="s">
        <v>4462</v>
      </c>
      <c r="N594" s="1" t="s">
        <v>4463</v>
      </c>
    </row>
    <row r="595">
      <c r="A595" s="1" t="s">
        <v>17</v>
      </c>
      <c r="B595" s="1">
        <v>1998.0</v>
      </c>
      <c r="C595" s="1" t="s">
        <v>4464</v>
      </c>
      <c r="D595" s="1" t="s">
        <v>4465</v>
      </c>
      <c r="E595" s="2" t="s">
        <v>4466</v>
      </c>
      <c r="F595" s="1">
        <v>313.0</v>
      </c>
      <c r="G595" s="1">
        <v>317.0</v>
      </c>
      <c r="H595" s="1" t="s">
        <v>28</v>
      </c>
      <c r="I595" s="1"/>
      <c r="J595" s="1" t="s">
        <v>3557</v>
      </c>
      <c r="K595" s="1"/>
      <c r="L595" s="1" t="s">
        <v>3558</v>
      </c>
      <c r="M595" s="1" t="s">
        <v>4470</v>
      </c>
    </row>
    <row r="596">
      <c r="A596" s="1" t="s">
        <v>17</v>
      </c>
      <c r="B596" s="1">
        <v>1998.0</v>
      </c>
      <c r="C596" s="1" t="s">
        <v>4471</v>
      </c>
      <c r="D596" s="1" t="s">
        <v>4472</v>
      </c>
      <c r="E596" s="2" t="s">
        <v>4473</v>
      </c>
      <c r="F596" s="1">
        <v>319.0</v>
      </c>
      <c r="G596" s="1">
        <v>326.0</v>
      </c>
      <c r="H596" s="1" t="s">
        <v>28</v>
      </c>
      <c r="I596" s="1"/>
      <c r="J596" s="1" t="s">
        <v>4477</v>
      </c>
      <c r="K596" s="1"/>
      <c r="L596" s="1" t="s">
        <v>4478</v>
      </c>
      <c r="M596" s="1" t="s">
        <v>4479</v>
      </c>
      <c r="N596" s="1" t="s">
        <v>4480</v>
      </c>
    </row>
    <row r="597">
      <c r="A597" s="1" t="s">
        <v>17</v>
      </c>
      <c r="B597" s="1">
        <v>1998.0</v>
      </c>
      <c r="C597" s="1" t="s">
        <v>4481</v>
      </c>
      <c r="D597" s="1" t="s">
        <v>4482</v>
      </c>
      <c r="E597" s="2" t="s">
        <v>4483</v>
      </c>
      <c r="F597" s="1">
        <v>327.0</v>
      </c>
      <c r="G597" s="1">
        <v>334.0</v>
      </c>
      <c r="H597" s="1" t="s">
        <v>28</v>
      </c>
      <c r="I597" s="1"/>
      <c r="J597" s="1" t="s">
        <v>3581</v>
      </c>
      <c r="K597" s="1"/>
      <c r="L597" s="1" t="s">
        <v>4487</v>
      </c>
      <c r="M597" s="1" t="s">
        <v>3579</v>
      </c>
      <c r="N597" s="1" t="s">
        <v>4488</v>
      </c>
    </row>
    <row r="598">
      <c r="A598" s="1" t="s">
        <v>17</v>
      </c>
      <c r="B598" s="1">
        <v>1998.0</v>
      </c>
      <c r="C598" s="1" t="s">
        <v>4489</v>
      </c>
      <c r="D598" s="1" t="s">
        <v>4490</v>
      </c>
      <c r="E598" s="2" t="s">
        <v>4491</v>
      </c>
      <c r="F598" s="1">
        <v>335.0</v>
      </c>
      <c r="G598" s="1">
        <v>341.0</v>
      </c>
      <c r="H598" s="1" t="s">
        <v>28</v>
      </c>
      <c r="I598" s="1"/>
      <c r="J598" s="1" t="s">
        <v>4493</v>
      </c>
      <c r="K598" s="1"/>
      <c r="L598" s="1" t="s">
        <v>3463</v>
      </c>
    </row>
    <row r="599">
      <c r="A599" s="1" t="s">
        <v>17</v>
      </c>
      <c r="B599" s="1">
        <v>1998.0</v>
      </c>
      <c r="C599" s="1" t="s">
        <v>4494</v>
      </c>
      <c r="D599" s="1" t="s">
        <v>4495</v>
      </c>
      <c r="E599" s="2" t="s">
        <v>4496</v>
      </c>
      <c r="F599" s="1">
        <v>343.0</v>
      </c>
      <c r="G599" s="1">
        <v>350.0</v>
      </c>
      <c r="H599" s="1" t="s">
        <v>28</v>
      </c>
      <c r="I599" s="1"/>
      <c r="J599" s="1" t="s">
        <v>4500</v>
      </c>
      <c r="K599" s="1"/>
      <c r="L599" s="1" t="s">
        <v>4501</v>
      </c>
      <c r="M599" s="1"/>
      <c r="N599" s="1" t="s">
        <v>4502</v>
      </c>
    </row>
    <row r="600">
      <c r="A600" s="1" t="s">
        <v>17</v>
      </c>
      <c r="B600" s="1">
        <v>1998.0</v>
      </c>
      <c r="C600" s="1" t="s">
        <v>4503</v>
      </c>
      <c r="D600" s="1" t="s">
        <v>4504</v>
      </c>
      <c r="E600" s="2" t="s">
        <v>4505</v>
      </c>
      <c r="F600" s="1">
        <v>351.0</v>
      </c>
      <c r="G600" s="1">
        <v>358.0</v>
      </c>
      <c r="H600" s="1" t="s">
        <v>28</v>
      </c>
      <c r="I600" s="1"/>
      <c r="J600" s="1" t="s">
        <v>4506</v>
      </c>
      <c r="K600" s="1"/>
      <c r="L600" s="1" t="s">
        <v>4386</v>
      </c>
      <c r="M600" s="1" t="s">
        <v>38</v>
      </c>
      <c r="N600" s="1" t="s">
        <v>4507</v>
      </c>
    </row>
    <row r="601">
      <c r="A601" s="1" t="s">
        <v>17</v>
      </c>
      <c r="B601" s="1">
        <v>1998.0</v>
      </c>
      <c r="C601" s="1" t="s">
        <v>4509</v>
      </c>
      <c r="D601" s="1" t="s">
        <v>4510</v>
      </c>
      <c r="E601" s="2" t="s">
        <v>4512</v>
      </c>
      <c r="F601" s="1">
        <v>359.0</v>
      </c>
      <c r="G601" s="1">
        <v>365.0</v>
      </c>
      <c r="H601" s="1" t="s">
        <v>28</v>
      </c>
      <c r="I601" s="1"/>
      <c r="J601" s="1" t="s">
        <v>4514</v>
      </c>
      <c r="K601" s="1"/>
      <c r="L601" s="1" t="s">
        <v>4515</v>
      </c>
      <c r="M601" s="1" t="s">
        <v>4516</v>
      </c>
      <c r="N601" s="1" t="s">
        <v>4517</v>
      </c>
    </row>
    <row r="602">
      <c r="A602" s="1" t="s">
        <v>17</v>
      </c>
      <c r="B602" s="1">
        <v>1998.0</v>
      </c>
      <c r="C602" s="1" t="s">
        <v>4518</v>
      </c>
      <c r="D602" s="1" t="s">
        <v>4519</v>
      </c>
      <c r="E602" s="2" t="s">
        <v>4520</v>
      </c>
      <c r="F602" s="1">
        <v>367.0</v>
      </c>
      <c r="G602" s="1">
        <v>373.0</v>
      </c>
      <c r="H602" s="1" t="s">
        <v>28</v>
      </c>
      <c r="I602" s="1"/>
      <c r="J602" s="1" t="s">
        <v>4523</v>
      </c>
      <c r="K602" s="1"/>
      <c r="L602" s="1" t="s">
        <v>4524</v>
      </c>
    </row>
    <row r="603">
      <c r="A603" s="1" t="s">
        <v>17</v>
      </c>
      <c r="B603" s="1">
        <v>1998.0</v>
      </c>
      <c r="C603" s="1" t="s">
        <v>4525</v>
      </c>
      <c r="D603" s="1" t="s">
        <v>4526</v>
      </c>
      <c r="E603" s="2" t="s">
        <v>4527</v>
      </c>
      <c r="F603" s="1">
        <v>375.0</v>
      </c>
      <c r="G603" s="1">
        <v>382.0</v>
      </c>
      <c r="H603" s="1" t="s">
        <v>28</v>
      </c>
      <c r="I603" s="1"/>
      <c r="J603" s="1" t="s">
        <v>4528</v>
      </c>
      <c r="K603" s="1"/>
      <c r="L603" s="1" t="s">
        <v>4529</v>
      </c>
      <c r="M603" s="1" t="s">
        <v>4530</v>
      </c>
      <c r="N603" s="1" t="s">
        <v>4531</v>
      </c>
    </row>
    <row r="604">
      <c r="A604" s="1" t="s">
        <v>17</v>
      </c>
      <c r="B604" s="1">
        <v>1998.0</v>
      </c>
      <c r="C604" s="1" t="s">
        <v>4532</v>
      </c>
      <c r="D604" s="1" t="s">
        <v>4534</v>
      </c>
      <c r="E604" s="2" t="s">
        <v>4535</v>
      </c>
      <c r="F604" s="1">
        <v>383.0</v>
      </c>
      <c r="G604" s="1">
        <v>390.0</v>
      </c>
      <c r="H604" s="1" t="s">
        <v>28</v>
      </c>
      <c r="I604" s="1"/>
      <c r="J604" s="1" t="s">
        <v>4537</v>
      </c>
      <c r="K604" s="1"/>
      <c r="L604" s="1" t="s">
        <v>1001</v>
      </c>
      <c r="M604" s="1" t="s">
        <v>4538</v>
      </c>
      <c r="N604" s="1" t="s">
        <v>4539</v>
      </c>
    </row>
    <row r="605">
      <c r="A605" s="1" t="s">
        <v>17</v>
      </c>
      <c r="B605" s="1">
        <v>1998.0</v>
      </c>
      <c r="C605" s="1" t="s">
        <v>4540</v>
      </c>
      <c r="D605" s="1" t="s">
        <v>4541</v>
      </c>
      <c r="E605" s="2" t="s">
        <v>4542</v>
      </c>
      <c r="F605" s="1">
        <v>391.0</v>
      </c>
      <c r="G605" s="1">
        <v>396.0</v>
      </c>
      <c r="H605" s="1" t="s">
        <v>28</v>
      </c>
      <c r="I605" s="1"/>
      <c r="J605" s="1" t="s">
        <v>4546</v>
      </c>
      <c r="K605" s="1"/>
      <c r="L605" s="1" t="s">
        <v>4547</v>
      </c>
      <c r="M605" s="1"/>
      <c r="N605" s="1" t="s">
        <v>4548</v>
      </c>
    </row>
    <row r="606">
      <c r="A606" s="1" t="s">
        <v>17</v>
      </c>
      <c r="B606" s="1">
        <v>1998.0</v>
      </c>
      <c r="C606" s="1" t="s">
        <v>4549</v>
      </c>
      <c r="D606" s="1" t="s">
        <v>4550</v>
      </c>
      <c r="E606" s="2" t="s">
        <v>4551</v>
      </c>
      <c r="F606" s="1">
        <v>397.0</v>
      </c>
      <c r="G606" s="1">
        <v>402.0</v>
      </c>
      <c r="H606" s="1" t="s">
        <v>28</v>
      </c>
      <c r="I606" s="1"/>
      <c r="J606" s="1" t="s">
        <v>4553</v>
      </c>
      <c r="K606" s="1"/>
      <c r="L606" s="1" t="s">
        <v>4555</v>
      </c>
      <c r="M606" s="1" t="s">
        <v>4557</v>
      </c>
      <c r="N606" s="1" t="s">
        <v>4558</v>
      </c>
    </row>
    <row r="607">
      <c r="A607" s="1" t="s">
        <v>17</v>
      </c>
      <c r="B607" s="1">
        <v>1998.0</v>
      </c>
      <c r="C607" s="1" t="s">
        <v>4559</v>
      </c>
      <c r="D607" s="1" t="s">
        <v>4560</v>
      </c>
      <c r="E607" s="2" t="s">
        <v>4561</v>
      </c>
      <c r="F607" s="1">
        <v>405.0</v>
      </c>
      <c r="G607" s="1">
        <v>409.0</v>
      </c>
      <c r="H607" s="1" t="s">
        <v>28</v>
      </c>
      <c r="I607" s="1"/>
      <c r="J607" s="1" t="s">
        <v>1672</v>
      </c>
      <c r="K607" s="1"/>
      <c r="L607" s="1" t="s">
        <v>1158</v>
      </c>
      <c r="M607" s="1" t="s">
        <v>4565</v>
      </c>
    </row>
    <row r="608">
      <c r="A608" s="1" t="s">
        <v>17</v>
      </c>
      <c r="B608" s="1">
        <v>1998.0</v>
      </c>
      <c r="C608" s="1" t="s">
        <v>4566</v>
      </c>
      <c r="D608" s="1" t="s">
        <v>4567</v>
      </c>
      <c r="E608" s="2" t="s">
        <v>4568</v>
      </c>
      <c r="F608" s="1">
        <v>411.0</v>
      </c>
      <c r="G608" s="1">
        <v>414.0</v>
      </c>
      <c r="H608" s="1" t="s">
        <v>28</v>
      </c>
      <c r="I608" s="1"/>
      <c r="J608" s="1" t="s">
        <v>4569</v>
      </c>
      <c r="K608" s="1"/>
      <c r="L608" s="1" t="s">
        <v>477</v>
      </c>
      <c r="M608" s="1" t="s">
        <v>4570</v>
      </c>
    </row>
    <row r="609">
      <c r="A609" s="1" t="s">
        <v>17</v>
      </c>
      <c r="B609" s="1">
        <v>1998.0</v>
      </c>
      <c r="C609" s="1" t="s">
        <v>4571</v>
      </c>
      <c r="D609" s="1" t="s">
        <v>4572</v>
      </c>
      <c r="E609" s="2" t="s">
        <v>4573</v>
      </c>
      <c r="F609" s="1">
        <v>415.0</v>
      </c>
      <c r="G609" s="1">
        <v>418.0</v>
      </c>
      <c r="H609" s="1" t="s">
        <v>28</v>
      </c>
      <c r="I609" s="1"/>
      <c r="J609" s="1" t="s">
        <v>4576</v>
      </c>
      <c r="K609" s="1"/>
      <c r="L609" s="1" t="s">
        <v>4048</v>
      </c>
      <c r="M609" s="1" t="s">
        <v>4577</v>
      </c>
    </row>
    <row r="610">
      <c r="A610" s="1" t="s">
        <v>17</v>
      </c>
      <c r="B610" s="1">
        <v>1998.0</v>
      </c>
      <c r="C610" s="1" t="s">
        <v>4578</v>
      </c>
      <c r="D610" s="1" t="s">
        <v>4579</v>
      </c>
      <c r="E610" s="2" t="s">
        <v>4580</v>
      </c>
      <c r="F610" s="1">
        <v>419.0</v>
      </c>
      <c r="G610" s="1">
        <v>422.0</v>
      </c>
      <c r="H610" s="1" t="s">
        <v>28</v>
      </c>
      <c r="I610" s="1"/>
      <c r="J610" s="1" t="s">
        <v>4582</v>
      </c>
      <c r="K610" s="1"/>
      <c r="L610" s="1" t="s">
        <v>4584</v>
      </c>
      <c r="M610" s="1" t="s">
        <v>4585</v>
      </c>
    </row>
    <row r="611">
      <c r="A611" s="1" t="s">
        <v>17</v>
      </c>
      <c r="B611" s="1">
        <v>1998.0</v>
      </c>
      <c r="C611" s="1" t="s">
        <v>4586</v>
      </c>
      <c r="D611" s="1" t="s">
        <v>4587</v>
      </c>
      <c r="E611" s="2" t="s">
        <v>4588</v>
      </c>
      <c r="F611" s="1">
        <v>423.0</v>
      </c>
      <c r="G611" s="1">
        <v>426.0</v>
      </c>
      <c r="H611" s="1" t="s">
        <v>28</v>
      </c>
      <c r="I611" s="1"/>
      <c r="J611" s="1" t="s">
        <v>4591</v>
      </c>
      <c r="K611" s="1"/>
      <c r="L611" s="1" t="s">
        <v>2638</v>
      </c>
      <c r="M611" s="1" t="s">
        <v>2755</v>
      </c>
    </row>
    <row r="612">
      <c r="A612" s="1" t="s">
        <v>17</v>
      </c>
      <c r="B612" s="1">
        <v>1998.0</v>
      </c>
      <c r="C612" s="1" t="s">
        <v>4592</v>
      </c>
      <c r="D612" s="1" t="s">
        <v>4593</v>
      </c>
      <c r="E612" s="2" t="s">
        <v>4594</v>
      </c>
      <c r="F612" s="1">
        <v>427.0</v>
      </c>
      <c r="G612" s="1">
        <v>430.0</v>
      </c>
      <c r="H612" s="1" t="s">
        <v>28</v>
      </c>
      <c r="I612" s="1"/>
      <c r="J612" s="1" t="s">
        <v>4595</v>
      </c>
      <c r="K612" s="1"/>
      <c r="L612" s="1" t="s">
        <v>4596</v>
      </c>
    </row>
    <row r="613">
      <c r="A613" s="1" t="s">
        <v>17</v>
      </c>
      <c r="B613" s="1">
        <v>1998.0</v>
      </c>
      <c r="C613" s="1" t="s">
        <v>4597</v>
      </c>
      <c r="D613" s="1" t="s">
        <v>4598</v>
      </c>
      <c r="E613" s="2" t="s">
        <v>4600</v>
      </c>
      <c r="F613" s="1">
        <v>431.0</v>
      </c>
      <c r="G613" s="1">
        <v>434.0</v>
      </c>
      <c r="H613" s="1" t="s">
        <v>28</v>
      </c>
      <c r="I613" s="1"/>
      <c r="J613" s="1" t="s">
        <v>4602</v>
      </c>
      <c r="K613" s="1"/>
      <c r="L613" s="1" t="s">
        <v>4603</v>
      </c>
    </row>
    <row r="614">
      <c r="A614" s="1" t="s">
        <v>17</v>
      </c>
      <c r="B614" s="1">
        <v>1998.0</v>
      </c>
      <c r="C614" s="1" t="s">
        <v>4604</v>
      </c>
      <c r="D614" s="1" t="s">
        <v>4605</v>
      </c>
      <c r="E614" s="2" t="s">
        <v>4606</v>
      </c>
      <c r="F614" s="1">
        <v>435.0</v>
      </c>
      <c r="G614" s="1">
        <v>438.0</v>
      </c>
      <c r="H614" s="1" t="s">
        <v>28</v>
      </c>
      <c r="I614" s="1"/>
      <c r="J614" s="1" t="s">
        <v>4607</v>
      </c>
      <c r="K614" s="1"/>
      <c r="L614" s="1" t="s">
        <v>4608</v>
      </c>
      <c r="M614" s="1" t="s">
        <v>3770</v>
      </c>
    </row>
    <row r="615">
      <c r="A615" s="1" t="s">
        <v>17</v>
      </c>
      <c r="B615" s="1">
        <v>1998.0</v>
      </c>
      <c r="C615" s="1" t="s">
        <v>4609</v>
      </c>
      <c r="D615" s="1" t="s">
        <v>4610</v>
      </c>
      <c r="E615" s="2" t="s">
        <v>4611</v>
      </c>
      <c r="F615" s="1">
        <v>439.0</v>
      </c>
      <c r="G615" s="1">
        <v>442.0</v>
      </c>
      <c r="H615" s="1" t="s">
        <v>28</v>
      </c>
      <c r="I615" s="1"/>
      <c r="J615" s="1" t="s">
        <v>4614</v>
      </c>
      <c r="K615" s="1"/>
      <c r="L615" s="1" t="s">
        <v>4615</v>
      </c>
      <c r="M615" s="1" t="s">
        <v>2900</v>
      </c>
    </row>
    <row r="616">
      <c r="A616" s="1" t="s">
        <v>17</v>
      </c>
      <c r="B616" s="1">
        <v>1998.0</v>
      </c>
      <c r="C616" s="1" t="s">
        <v>4616</v>
      </c>
      <c r="D616" s="1" t="s">
        <v>4617</v>
      </c>
      <c r="E616" s="2" t="s">
        <v>4618</v>
      </c>
      <c r="F616" s="1">
        <v>443.0</v>
      </c>
      <c r="G616" s="1">
        <v>446.0</v>
      </c>
      <c r="H616" s="1" t="s">
        <v>28</v>
      </c>
      <c r="I616" s="1"/>
      <c r="J616" s="1" t="s">
        <v>4619</v>
      </c>
      <c r="K616" s="1"/>
      <c r="L616" s="1" t="s">
        <v>2678</v>
      </c>
    </row>
    <row r="617">
      <c r="A617" s="1" t="s">
        <v>17</v>
      </c>
      <c r="B617" s="1">
        <v>1998.0</v>
      </c>
      <c r="C617" s="1" t="s">
        <v>4620</v>
      </c>
      <c r="D617" s="1" t="s">
        <v>4621</v>
      </c>
      <c r="E617" s="2" t="s">
        <v>4622</v>
      </c>
      <c r="F617" s="1">
        <v>447.0</v>
      </c>
      <c r="G617" s="1">
        <v>450.0</v>
      </c>
      <c r="H617" s="1" t="s">
        <v>28</v>
      </c>
      <c r="I617" s="1"/>
      <c r="J617" s="1" t="s">
        <v>556</v>
      </c>
      <c r="K617" s="1"/>
      <c r="L617" s="1" t="s">
        <v>2525</v>
      </c>
    </row>
    <row r="618">
      <c r="A618" s="1" t="s">
        <v>17</v>
      </c>
      <c r="B618" s="1">
        <v>1998.0</v>
      </c>
      <c r="C618" s="1" t="s">
        <v>4625</v>
      </c>
      <c r="D618" s="1" t="s">
        <v>4626</v>
      </c>
      <c r="E618" s="2" t="s">
        <v>4627</v>
      </c>
      <c r="F618" s="1">
        <v>451.0</v>
      </c>
      <c r="G618" s="1">
        <v>454.0</v>
      </c>
      <c r="H618" s="1" t="s">
        <v>28</v>
      </c>
      <c r="I618" s="1"/>
      <c r="J618" s="1" t="s">
        <v>4628</v>
      </c>
      <c r="K618" s="1"/>
      <c r="L618" s="1" t="s">
        <v>4629</v>
      </c>
      <c r="M618" s="1" t="s">
        <v>3516</v>
      </c>
    </row>
    <row r="619">
      <c r="A619" s="1" t="s">
        <v>17</v>
      </c>
      <c r="B619" s="1">
        <v>1998.0</v>
      </c>
      <c r="C619" s="1" t="s">
        <v>4630</v>
      </c>
      <c r="D619" s="1" t="s">
        <v>4631</v>
      </c>
      <c r="E619" s="2" t="s">
        <v>4632</v>
      </c>
      <c r="F619" s="1">
        <v>455.0</v>
      </c>
      <c r="G619" s="1">
        <v>458.0</v>
      </c>
      <c r="H619" s="1" t="s">
        <v>28</v>
      </c>
      <c r="I619" s="1"/>
      <c r="J619" s="1" t="s">
        <v>4633</v>
      </c>
      <c r="K619" s="1"/>
      <c r="L619" s="1" t="s">
        <v>4634</v>
      </c>
      <c r="M619" s="1" t="s">
        <v>4635</v>
      </c>
    </row>
    <row r="620">
      <c r="A620" s="1" t="s">
        <v>17</v>
      </c>
      <c r="B620" s="1">
        <v>1998.0</v>
      </c>
      <c r="C620" s="1" t="s">
        <v>4636</v>
      </c>
      <c r="D620" s="1" t="s">
        <v>4637</v>
      </c>
      <c r="E620" s="2" t="s">
        <v>4638</v>
      </c>
      <c r="F620" s="1">
        <v>459.0</v>
      </c>
      <c r="G620" s="1">
        <v>462.0</v>
      </c>
      <c r="H620" s="1" t="s">
        <v>28</v>
      </c>
      <c r="I620" s="1"/>
      <c r="J620" s="1" t="s">
        <v>4639</v>
      </c>
      <c r="K620" s="1"/>
      <c r="L620" s="1" t="s">
        <v>4640</v>
      </c>
    </row>
    <row r="621">
      <c r="A621" s="1" t="s">
        <v>17</v>
      </c>
      <c r="B621" s="1">
        <v>1998.0</v>
      </c>
      <c r="C621" s="1" t="s">
        <v>4641</v>
      </c>
      <c r="D621" s="1" t="s">
        <v>4642</v>
      </c>
      <c r="E621" s="2" t="s">
        <v>4643</v>
      </c>
      <c r="F621" s="1">
        <v>463.0</v>
      </c>
      <c r="G621" s="1">
        <v>466.0</v>
      </c>
      <c r="H621" s="1" t="s">
        <v>28</v>
      </c>
      <c r="I621" s="1"/>
      <c r="J621" s="1" t="s">
        <v>4644</v>
      </c>
      <c r="K621" s="1"/>
      <c r="L621" s="1" t="s">
        <v>3130</v>
      </c>
      <c r="M621" s="1" t="s">
        <v>3127</v>
      </c>
    </row>
    <row r="622">
      <c r="A622" s="1" t="s">
        <v>17</v>
      </c>
      <c r="B622" s="1">
        <v>1998.0</v>
      </c>
      <c r="C622" s="1" t="s">
        <v>4645</v>
      </c>
      <c r="D622" s="1" t="s">
        <v>4646</v>
      </c>
      <c r="E622" s="2" t="s">
        <v>4647</v>
      </c>
      <c r="F622" s="1">
        <v>467.0</v>
      </c>
      <c r="G622" s="1">
        <v>470.0</v>
      </c>
      <c r="H622" s="1" t="s">
        <v>28</v>
      </c>
      <c r="I622" s="1"/>
      <c r="J622" s="1" t="s">
        <v>4648</v>
      </c>
      <c r="K622" s="1"/>
      <c r="L622" s="1" t="s">
        <v>4649</v>
      </c>
    </row>
    <row r="623">
      <c r="A623" s="1" t="s">
        <v>17</v>
      </c>
      <c r="B623" s="1">
        <v>1998.0</v>
      </c>
      <c r="C623" s="1" t="s">
        <v>4650</v>
      </c>
      <c r="D623" s="1" t="s">
        <v>4651</v>
      </c>
      <c r="E623" s="2" t="s">
        <v>4652</v>
      </c>
      <c r="F623" s="1">
        <v>471.0</v>
      </c>
      <c r="G623" s="1">
        <v>474.0</v>
      </c>
      <c r="H623" s="1" t="s">
        <v>28</v>
      </c>
      <c r="I623" s="1"/>
      <c r="J623" s="1" t="s">
        <v>4653</v>
      </c>
      <c r="K623" s="1"/>
      <c r="L623" s="1" t="s">
        <v>4654</v>
      </c>
      <c r="M623" s="1" t="s">
        <v>4655</v>
      </c>
    </row>
    <row r="624">
      <c r="A624" s="1" t="s">
        <v>17</v>
      </c>
      <c r="B624" s="1">
        <v>1998.0</v>
      </c>
      <c r="C624" s="1" t="s">
        <v>4656</v>
      </c>
      <c r="D624" s="1" t="s">
        <v>4657</v>
      </c>
      <c r="E624" s="2" t="s">
        <v>4658</v>
      </c>
      <c r="F624" s="1">
        <v>475.0</v>
      </c>
      <c r="G624" s="1">
        <v>478.0</v>
      </c>
      <c r="H624" s="1" t="s">
        <v>28</v>
      </c>
      <c r="I624" s="1"/>
      <c r="J624" s="1" t="s">
        <v>4659</v>
      </c>
      <c r="K624" s="1"/>
      <c r="L624" s="1" t="s">
        <v>4660</v>
      </c>
      <c r="M624" s="1" t="s">
        <v>2565</v>
      </c>
    </row>
    <row r="625">
      <c r="A625" s="1" t="s">
        <v>17</v>
      </c>
      <c r="B625" s="1">
        <v>1998.0</v>
      </c>
      <c r="C625" s="1" t="s">
        <v>4661</v>
      </c>
      <c r="D625" s="1" t="s">
        <v>4662</v>
      </c>
      <c r="E625" s="2" t="s">
        <v>4663</v>
      </c>
      <c r="F625" s="1">
        <v>479.0</v>
      </c>
      <c r="G625" s="1">
        <v>481.0</v>
      </c>
      <c r="H625" s="1" t="s">
        <v>28</v>
      </c>
      <c r="I625" s="1"/>
      <c r="J625" s="1" t="s">
        <v>4664</v>
      </c>
      <c r="K625" s="1"/>
      <c r="L625" s="1" t="s">
        <v>4665</v>
      </c>
    </row>
    <row r="626">
      <c r="A626" s="1" t="s">
        <v>17</v>
      </c>
      <c r="B626" s="1">
        <v>1998.0</v>
      </c>
      <c r="C626" s="1" t="s">
        <v>4666</v>
      </c>
      <c r="D626" s="1" t="s">
        <v>4667</v>
      </c>
      <c r="E626" s="2" t="s">
        <v>4668</v>
      </c>
      <c r="F626" s="1">
        <v>483.0</v>
      </c>
      <c r="G626" s="1">
        <v>486.0</v>
      </c>
      <c r="H626" s="1" t="s">
        <v>28</v>
      </c>
      <c r="I626" s="1"/>
      <c r="J626" s="1" t="s">
        <v>4669</v>
      </c>
      <c r="K626" s="1"/>
      <c r="L626" s="1" t="s">
        <v>4670</v>
      </c>
    </row>
    <row r="627">
      <c r="A627" s="1" t="s">
        <v>17</v>
      </c>
      <c r="B627" s="1">
        <v>1998.0</v>
      </c>
      <c r="C627" s="1" t="s">
        <v>4671</v>
      </c>
      <c r="D627" s="1" t="s">
        <v>4672</v>
      </c>
      <c r="E627" s="2" t="s">
        <v>4673</v>
      </c>
      <c r="F627" s="1">
        <v>487.0</v>
      </c>
      <c r="G627" s="1">
        <v>490.0</v>
      </c>
      <c r="H627" s="1" t="s">
        <v>28</v>
      </c>
      <c r="I627" s="1"/>
      <c r="J627" s="1" t="s">
        <v>4674</v>
      </c>
      <c r="K627" s="1"/>
      <c r="L627" s="1" t="s">
        <v>4675</v>
      </c>
    </row>
    <row r="628">
      <c r="A628" s="1" t="s">
        <v>17</v>
      </c>
      <c r="B628" s="1">
        <v>1998.0</v>
      </c>
      <c r="C628" s="1" t="s">
        <v>4676</v>
      </c>
      <c r="D628" s="1" t="s">
        <v>4677</v>
      </c>
      <c r="E628" s="2" t="s">
        <v>4678</v>
      </c>
      <c r="F628" s="1">
        <v>491.0</v>
      </c>
      <c r="G628" s="1">
        <v>494.0</v>
      </c>
      <c r="H628" s="1" t="s">
        <v>28</v>
      </c>
      <c r="I628" s="1"/>
      <c r="J628" s="1" t="s">
        <v>4679</v>
      </c>
      <c r="K628" s="1"/>
      <c r="L628" s="1" t="s">
        <v>4680</v>
      </c>
      <c r="M628" s="1" t="s">
        <v>4681</v>
      </c>
    </row>
    <row r="629">
      <c r="A629" s="1" t="s">
        <v>17</v>
      </c>
      <c r="B629" s="1">
        <v>1998.0</v>
      </c>
      <c r="C629" s="1" t="s">
        <v>4682</v>
      </c>
      <c r="D629" s="1" t="s">
        <v>4683</v>
      </c>
      <c r="E629" s="2" t="s">
        <v>4684</v>
      </c>
      <c r="F629" s="1">
        <v>497.0</v>
      </c>
      <c r="G629" s="1">
        <v>499.0</v>
      </c>
      <c r="H629" s="1" t="s">
        <v>21</v>
      </c>
      <c r="I629" s="1"/>
      <c r="J629" s="1" t="s">
        <v>4685</v>
      </c>
      <c r="K629" s="1"/>
      <c r="L629" s="1" t="s">
        <v>4686</v>
      </c>
    </row>
    <row r="630">
      <c r="A630" s="1" t="s">
        <v>17</v>
      </c>
      <c r="B630" s="1">
        <v>1998.0</v>
      </c>
      <c r="C630" s="1" t="s">
        <v>4687</v>
      </c>
      <c r="D630" s="1" t="s">
        <v>4688</v>
      </c>
      <c r="E630" s="2" t="s">
        <v>4689</v>
      </c>
      <c r="F630" s="1">
        <v>501.0</v>
      </c>
      <c r="G630" s="1">
        <v>504.0</v>
      </c>
      <c r="H630" s="1" t="s">
        <v>21</v>
      </c>
      <c r="I630" s="1"/>
      <c r="J630" s="1" t="s">
        <v>4690</v>
      </c>
      <c r="K630" s="1"/>
      <c r="L630" s="1" t="s">
        <v>4691</v>
      </c>
    </row>
    <row r="631">
      <c r="A631" s="1" t="s">
        <v>17</v>
      </c>
      <c r="B631" s="1">
        <v>1998.0</v>
      </c>
      <c r="C631" s="1" t="s">
        <v>4692</v>
      </c>
      <c r="D631" s="1" t="s">
        <v>4693</v>
      </c>
      <c r="E631" s="2" t="s">
        <v>4694</v>
      </c>
      <c r="F631" s="1">
        <v>505.0</v>
      </c>
      <c r="G631" s="1">
        <v>506.0</v>
      </c>
      <c r="H631" s="1" t="s">
        <v>21</v>
      </c>
      <c r="I631" s="1"/>
      <c r="J631" s="1" t="s">
        <v>4695</v>
      </c>
      <c r="K631" s="1"/>
      <c r="L631" s="1" t="s">
        <v>4696</v>
      </c>
    </row>
    <row r="632">
      <c r="A632" s="1" t="s">
        <v>17</v>
      </c>
      <c r="B632" s="1">
        <v>1998.0</v>
      </c>
      <c r="C632" s="1" t="s">
        <v>4697</v>
      </c>
      <c r="D632" s="1" t="s">
        <v>4698</v>
      </c>
      <c r="E632" s="2" t="s">
        <v>4699</v>
      </c>
      <c r="F632" s="1">
        <v>507.0</v>
      </c>
      <c r="G632" s="1">
        <v>509.0</v>
      </c>
      <c r="H632" s="1" t="s">
        <v>21</v>
      </c>
      <c r="I632" s="1"/>
      <c r="J632" s="1" t="s">
        <v>4700</v>
      </c>
      <c r="K632" s="1"/>
      <c r="L632" s="1" t="s">
        <v>4701</v>
      </c>
    </row>
    <row r="633">
      <c r="A633" s="1" t="s">
        <v>17</v>
      </c>
      <c r="B633" s="1">
        <v>1998.0</v>
      </c>
      <c r="C633" s="1" t="s">
        <v>4702</v>
      </c>
      <c r="D633" s="1" t="s">
        <v>4703</v>
      </c>
      <c r="E633" s="2" t="s">
        <v>4704</v>
      </c>
      <c r="F633" s="1">
        <v>233.0</v>
      </c>
      <c r="G633" s="1">
        <v>238.0</v>
      </c>
      <c r="H633" s="1" t="s">
        <v>28</v>
      </c>
      <c r="I633" s="1"/>
      <c r="J633" s="1" t="s">
        <v>4705</v>
      </c>
      <c r="K633" s="1"/>
      <c r="L633" s="1" t="s">
        <v>4706</v>
      </c>
      <c r="M633" s="1" t="s">
        <v>4707</v>
      </c>
    </row>
    <row r="634">
      <c r="A634" s="1" t="s">
        <v>2137</v>
      </c>
      <c r="B634" s="1">
        <v>1999.0</v>
      </c>
      <c r="C634" s="1" t="s">
        <v>4708</v>
      </c>
      <c r="D634" s="1" t="s">
        <v>4709</v>
      </c>
      <c r="E634" s="2" t="s">
        <v>4710</v>
      </c>
      <c r="F634" s="1">
        <v>4.0</v>
      </c>
      <c r="G634" s="1" t="s">
        <v>4711</v>
      </c>
      <c r="H634" s="1" t="s">
        <v>28</v>
      </c>
      <c r="I634" s="1"/>
      <c r="J634" s="1" t="s">
        <v>4712</v>
      </c>
      <c r="K634" s="1"/>
      <c r="L634" s="1" t="s">
        <v>4713</v>
      </c>
    </row>
    <row r="635">
      <c r="A635" s="1" t="s">
        <v>2137</v>
      </c>
      <c r="B635" s="1">
        <v>1999.0</v>
      </c>
      <c r="C635" s="1" t="s">
        <v>4714</v>
      </c>
      <c r="D635" s="1" t="s">
        <v>4715</v>
      </c>
      <c r="E635" s="2" t="s">
        <v>4716</v>
      </c>
      <c r="F635" s="1">
        <v>10.0</v>
      </c>
      <c r="G635" s="1" t="s">
        <v>4757</v>
      </c>
      <c r="H635" s="1" t="s">
        <v>28</v>
      </c>
      <c r="I635" s="1"/>
      <c r="J635" s="1" t="s">
        <v>4759</v>
      </c>
      <c r="K635" s="1"/>
      <c r="L635" s="1" t="s">
        <v>4760</v>
      </c>
      <c r="M635" s="1"/>
      <c r="N635" s="1" t="s">
        <v>4761</v>
      </c>
    </row>
    <row r="636">
      <c r="A636" s="1" t="s">
        <v>2137</v>
      </c>
      <c r="B636" s="1">
        <v>1999.0</v>
      </c>
      <c r="C636" s="1" t="s">
        <v>4762</v>
      </c>
      <c r="D636" s="1" t="s">
        <v>4763</v>
      </c>
      <c r="E636" s="2" t="s">
        <v>4764</v>
      </c>
      <c r="F636" s="1">
        <v>18.0</v>
      </c>
      <c r="G636" s="1" t="s">
        <v>4767</v>
      </c>
      <c r="H636" s="1" t="s">
        <v>28</v>
      </c>
      <c r="I636" s="1"/>
      <c r="J636" s="1" t="s">
        <v>4768</v>
      </c>
      <c r="K636" s="1"/>
      <c r="L636" s="1" t="s">
        <v>3369</v>
      </c>
      <c r="M636" s="1" t="s">
        <v>4769</v>
      </c>
      <c r="N636" s="1" t="s">
        <v>4770</v>
      </c>
    </row>
    <row r="637">
      <c r="A637" s="1" t="s">
        <v>2137</v>
      </c>
      <c r="B637" s="1">
        <v>1999.0</v>
      </c>
      <c r="C637" s="1" t="s">
        <v>4771</v>
      </c>
      <c r="D637" s="1" t="s">
        <v>4772</v>
      </c>
      <c r="E637" s="2" t="s">
        <v>4773</v>
      </c>
      <c r="F637" s="1">
        <v>28.0</v>
      </c>
      <c r="G637" s="1">
        <v>35.0</v>
      </c>
      <c r="H637" s="1" t="s">
        <v>28</v>
      </c>
      <c r="I637" s="1"/>
      <c r="J637" s="1" t="s">
        <v>4777</v>
      </c>
      <c r="K637" s="1"/>
      <c r="L637" s="1" t="s">
        <v>815</v>
      </c>
      <c r="M637" s="1"/>
      <c r="N637" s="1" t="s">
        <v>4778</v>
      </c>
    </row>
    <row r="638">
      <c r="A638" s="1" t="s">
        <v>2137</v>
      </c>
      <c r="B638" s="1">
        <v>1999.0</v>
      </c>
      <c r="C638" s="1" t="s">
        <v>4779</v>
      </c>
      <c r="D638" s="1" t="s">
        <v>4780</v>
      </c>
      <c r="E638" s="2" t="s">
        <v>4781</v>
      </c>
      <c r="F638" s="1">
        <v>36.0</v>
      </c>
      <c r="G638" s="1" t="s">
        <v>4784</v>
      </c>
      <c r="H638" s="1" t="s">
        <v>28</v>
      </c>
      <c r="I638" s="1"/>
      <c r="J638" s="1" t="s">
        <v>4785</v>
      </c>
      <c r="K638" s="1"/>
      <c r="L638" s="1" t="s">
        <v>4786</v>
      </c>
    </row>
    <row r="639">
      <c r="A639" s="1" t="s">
        <v>2137</v>
      </c>
      <c r="B639" s="1">
        <v>1999.0</v>
      </c>
      <c r="C639" s="1" t="s">
        <v>4787</v>
      </c>
      <c r="D639" s="1" t="s">
        <v>4788</v>
      </c>
      <c r="E639" s="2" t="s">
        <v>4789</v>
      </c>
      <c r="F639" s="1">
        <v>44.0</v>
      </c>
      <c r="G639" s="1" t="s">
        <v>4790</v>
      </c>
      <c r="H639" s="1" t="s">
        <v>28</v>
      </c>
      <c r="I639" s="1"/>
      <c r="J639" s="1" t="s">
        <v>4791</v>
      </c>
      <c r="K639" s="1"/>
      <c r="L639" s="1" t="s">
        <v>4792</v>
      </c>
      <c r="M639" s="1" t="s">
        <v>4793</v>
      </c>
      <c r="N639" s="1" t="s">
        <v>4794</v>
      </c>
    </row>
    <row r="640">
      <c r="A640" s="1" t="s">
        <v>2137</v>
      </c>
      <c r="B640" s="1">
        <v>1999.0</v>
      </c>
      <c r="C640" s="1" t="s">
        <v>4797</v>
      </c>
      <c r="D640" s="1" t="s">
        <v>4798</v>
      </c>
      <c r="E640" s="2" t="s">
        <v>4799</v>
      </c>
      <c r="F640" s="1">
        <v>53.0</v>
      </c>
      <c r="G640" s="1" t="s">
        <v>4800</v>
      </c>
      <c r="H640" s="1" t="s">
        <v>28</v>
      </c>
      <c r="I640" s="1"/>
      <c r="J640" s="1" t="s">
        <v>4801</v>
      </c>
      <c r="K640" s="1"/>
      <c r="L640" s="1" t="s">
        <v>4802</v>
      </c>
      <c r="M640" s="1" t="s">
        <v>4803</v>
      </c>
      <c r="N640" s="1" t="s">
        <v>4805</v>
      </c>
    </row>
    <row r="641">
      <c r="A641" s="1" t="s">
        <v>2137</v>
      </c>
      <c r="B641" s="1">
        <v>1999.0</v>
      </c>
      <c r="C641" s="1" t="s">
        <v>4809</v>
      </c>
      <c r="D641" s="1" t="s">
        <v>4810</v>
      </c>
      <c r="E641" s="2" t="s">
        <v>4811</v>
      </c>
      <c r="F641" s="1">
        <v>58.0</v>
      </c>
      <c r="G641" s="1" t="s">
        <v>4812</v>
      </c>
      <c r="H641" s="1" t="s">
        <v>28</v>
      </c>
      <c r="I641" s="1"/>
      <c r="J641" s="1" t="s">
        <v>4813</v>
      </c>
      <c r="K641" s="1"/>
      <c r="L641" s="1" t="s">
        <v>4817</v>
      </c>
      <c r="M641" s="1" t="s">
        <v>4818</v>
      </c>
      <c r="N641" s="1" t="s">
        <v>4819</v>
      </c>
    </row>
    <row r="642">
      <c r="A642" s="1" t="s">
        <v>2137</v>
      </c>
      <c r="B642" s="1">
        <v>1999.0</v>
      </c>
      <c r="C642" s="1" t="s">
        <v>4820</v>
      </c>
      <c r="D642" s="1" t="s">
        <v>4821</v>
      </c>
      <c r="E642" s="2" t="s">
        <v>4822</v>
      </c>
      <c r="F642" s="1">
        <v>65.0</v>
      </c>
      <c r="G642" s="1">
        <v>72.0</v>
      </c>
      <c r="H642" s="1" t="s">
        <v>28</v>
      </c>
      <c r="I642" s="1"/>
      <c r="J642" s="1" t="s">
        <v>4826</v>
      </c>
      <c r="K642" s="1"/>
      <c r="L642" s="1" t="s">
        <v>2451</v>
      </c>
      <c r="M642" s="1" t="s">
        <v>4827</v>
      </c>
    </row>
    <row r="643">
      <c r="A643" s="1" t="s">
        <v>2137</v>
      </c>
      <c r="B643" s="1">
        <v>1999.0</v>
      </c>
      <c r="C643" s="1" t="s">
        <v>4828</v>
      </c>
      <c r="D643" s="1" t="s">
        <v>4829</v>
      </c>
      <c r="E643" s="2" t="s">
        <v>4830</v>
      </c>
      <c r="F643" s="1">
        <v>73.0</v>
      </c>
      <c r="G643" s="1" t="s">
        <v>4831</v>
      </c>
      <c r="H643" s="1" t="s">
        <v>28</v>
      </c>
      <c r="I643" s="1"/>
      <c r="J643" s="1" t="s">
        <v>4834</v>
      </c>
      <c r="K643" s="1"/>
      <c r="L643" s="1" t="s">
        <v>4713</v>
      </c>
      <c r="M643" s="1" t="s">
        <v>809</v>
      </c>
      <c r="N643" s="1" t="s">
        <v>4837</v>
      </c>
    </row>
    <row r="644">
      <c r="A644" s="1" t="s">
        <v>2137</v>
      </c>
      <c r="B644" s="1">
        <v>1999.0</v>
      </c>
      <c r="C644" s="1" t="s">
        <v>4838</v>
      </c>
      <c r="D644" s="1" t="s">
        <v>4839</v>
      </c>
      <c r="E644" s="2" t="s">
        <v>4840</v>
      </c>
      <c r="F644" s="1">
        <v>79.0</v>
      </c>
      <c r="G644" s="1" t="s">
        <v>4842</v>
      </c>
      <c r="H644" s="1" t="s">
        <v>28</v>
      </c>
      <c r="I644" s="1"/>
      <c r="J644" s="1" t="s">
        <v>4844</v>
      </c>
      <c r="K644" s="1"/>
      <c r="L644" s="1" t="s">
        <v>4846</v>
      </c>
      <c r="M644" s="1" t="s">
        <v>3310</v>
      </c>
      <c r="N644" s="1" t="s">
        <v>4847</v>
      </c>
    </row>
    <row r="645">
      <c r="A645" s="1" t="s">
        <v>2137</v>
      </c>
      <c r="B645" s="1">
        <v>1999.0</v>
      </c>
      <c r="C645" s="1" t="s">
        <v>4848</v>
      </c>
      <c r="D645" s="1" t="s">
        <v>4849</v>
      </c>
      <c r="E645" s="2" t="s">
        <v>4850</v>
      </c>
      <c r="F645" s="1">
        <v>84.0</v>
      </c>
      <c r="G645" s="1">
        <v>91.0</v>
      </c>
      <c r="H645" s="1" t="s">
        <v>28</v>
      </c>
      <c r="I645" s="1"/>
      <c r="J645" s="1" t="s">
        <v>4851</v>
      </c>
      <c r="K645" s="1"/>
      <c r="L645" s="1" t="s">
        <v>4852</v>
      </c>
      <c r="M645" s="1" t="s">
        <v>3391</v>
      </c>
      <c r="N645" s="1" t="s">
        <v>4853</v>
      </c>
    </row>
    <row r="646">
      <c r="A646" s="1" t="s">
        <v>2137</v>
      </c>
      <c r="B646" s="1">
        <v>1999.0</v>
      </c>
      <c r="C646" s="1" t="s">
        <v>4854</v>
      </c>
      <c r="D646" s="1" t="s">
        <v>4855</v>
      </c>
      <c r="E646" s="2" t="s">
        <v>4856</v>
      </c>
      <c r="F646" s="1">
        <v>92.0</v>
      </c>
      <c r="G646" s="1" t="s">
        <v>4860</v>
      </c>
      <c r="H646" s="1" t="s">
        <v>28</v>
      </c>
      <c r="I646" s="1"/>
      <c r="J646" s="1" t="s">
        <v>4861</v>
      </c>
      <c r="K646" s="1"/>
      <c r="L646" s="1" t="s">
        <v>4862</v>
      </c>
      <c r="M646" s="1" t="s">
        <v>4863</v>
      </c>
      <c r="N646" s="1" t="s">
        <v>4864</v>
      </c>
    </row>
    <row r="647">
      <c r="A647" s="1" t="s">
        <v>2137</v>
      </c>
      <c r="B647" s="1">
        <v>1999.0</v>
      </c>
      <c r="C647" s="1" t="s">
        <v>4865</v>
      </c>
      <c r="D647" s="1" t="s">
        <v>4866</v>
      </c>
      <c r="E647" s="2" t="s">
        <v>4867</v>
      </c>
      <c r="F647" s="1">
        <v>100.0</v>
      </c>
      <c r="G647" s="1" t="s">
        <v>4870</v>
      </c>
      <c r="H647" s="1" t="s">
        <v>28</v>
      </c>
      <c r="I647" s="1"/>
      <c r="J647" s="1" t="s">
        <v>4871</v>
      </c>
      <c r="K647" s="1"/>
      <c r="L647" s="1" t="s">
        <v>4872</v>
      </c>
      <c r="M647" s="1"/>
      <c r="N647" s="1" t="s">
        <v>4873</v>
      </c>
    </row>
    <row r="648">
      <c r="A648" s="1" t="s">
        <v>2137</v>
      </c>
      <c r="B648" s="1">
        <v>1999.0</v>
      </c>
      <c r="C648" s="1" t="s">
        <v>4874</v>
      </c>
      <c r="D648" s="1" t="s">
        <v>4875</v>
      </c>
      <c r="E648" s="2" t="s">
        <v>4876</v>
      </c>
      <c r="F648" s="1">
        <v>112.0</v>
      </c>
      <c r="G648" s="1" t="s">
        <v>4877</v>
      </c>
      <c r="H648" s="1" t="s">
        <v>28</v>
      </c>
      <c r="I648" s="1"/>
      <c r="J648" s="1" t="s">
        <v>4878</v>
      </c>
      <c r="K648" s="1"/>
      <c r="L648" s="1" t="s">
        <v>4880</v>
      </c>
      <c r="M648" s="1" t="s">
        <v>3421</v>
      </c>
    </row>
    <row r="649">
      <c r="A649" s="1" t="s">
        <v>2137</v>
      </c>
      <c r="B649" s="1">
        <v>1999.0</v>
      </c>
      <c r="C649" s="1" t="s">
        <v>4883</v>
      </c>
      <c r="D649" s="1" t="s">
        <v>4884</v>
      </c>
      <c r="E649" s="2" t="s">
        <v>4885</v>
      </c>
      <c r="F649" s="1">
        <v>120.0</v>
      </c>
      <c r="G649" s="1" t="s">
        <v>4886</v>
      </c>
      <c r="H649" s="1" t="s">
        <v>28</v>
      </c>
      <c r="I649" s="1"/>
      <c r="J649" s="1" t="s">
        <v>4887</v>
      </c>
      <c r="K649" s="1"/>
      <c r="L649" s="1" t="s">
        <v>4888</v>
      </c>
      <c r="M649" s="1" t="s">
        <v>4889</v>
      </c>
    </row>
    <row r="650">
      <c r="A650" s="1" t="s">
        <v>2137</v>
      </c>
      <c r="B650" s="1">
        <v>1999.0</v>
      </c>
      <c r="C650" s="1" t="s">
        <v>4890</v>
      </c>
      <c r="D650" s="1" t="s">
        <v>4891</v>
      </c>
      <c r="E650" s="2" t="s">
        <v>4892</v>
      </c>
      <c r="F650" s="1">
        <v>124.0</v>
      </c>
      <c r="G650" s="1" t="s">
        <v>4896</v>
      </c>
      <c r="H650" s="1" t="s">
        <v>28</v>
      </c>
      <c r="I650" s="1"/>
      <c r="J650" s="1" t="s">
        <v>4897</v>
      </c>
      <c r="K650" s="1"/>
      <c r="L650" s="1" t="s">
        <v>4898</v>
      </c>
      <c r="M650" s="1" t="s">
        <v>4899</v>
      </c>
    </row>
    <row r="651">
      <c r="A651" s="1" t="s">
        <v>2137</v>
      </c>
      <c r="B651" s="1">
        <v>1999.0</v>
      </c>
      <c r="C651" s="1" t="s">
        <v>4900</v>
      </c>
      <c r="D651" s="1" t="s">
        <v>4901</v>
      </c>
      <c r="E651" s="2" t="s">
        <v>4902</v>
      </c>
      <c r="F651" s="1">
        <v>128.0</v>
      </c>
      <c r="G651" s="1">
        <v>131.0</v>
      </c>
      <c r="H651" s="1" t="s">
        <v>28</v>
      </c>
      <c r="I651" s="1"/>
      <c r="J651" s="1" t="s">
        <v>4904</v>
      </c>
      <c r="K651" s="1"/>
      <c r="L651" s="1" t="s">
        <v>4905</v>
      </c>
      <c r="M651" s="1" t="s">
        <v>4907</v>
      </c>
      <c r="N651" s="1" t="s">
        <v>4909</v>
      </c>
    </row>
    <row r="652">
      <c r="A652" s="1" t="s">
        <v>2137</v>
      </c>
      <c r="B652" s="1">
        <v>1999.0</v>
      </c>
      <c r="C652" s="1" t="s">
        <v>4910</v>
      </c>
      <c r="D652" s="1" t="s">
        <v>4911</v>
      </c>
      <c r="E652" s="2" t="s">
        <v>4912</v>
      </c>
      <c r="F652" s="1">
        <v>132.0</v>
      </c>
      <c r="G652" s="1" t="s">
        <v>4913</v>
      </c>
      <c r="H652" s="1" t="s">
        <v>28</v>
      </c>
      <c r="I652" s="1"/>
      <c r="J652" s="1" t="s">
        <v>4914</v>
      </c>
      <c r="K652" s="1"/>
      <c r="L652" s="1" t="s">
        <v>4915</v>
      </c>
    </row>
    <row r="653">
      <c r="A653" s="1" t="s">
        <v>17</v>
      </c>
      <c r="B653" s="1">
        <v>1999.0</v>
      </c>
      <c r="C653" s="1" t="s">
        <v>4916</v>
      </c>
      <c r="D653" s="1" t="s">
        <v>4917</v>
      </c>
      <c r="E653" s="2" t="s">
        <v>4918</v>
      </c>
      <c r="F653" s="1">
        <v>67.0</v>
      </c>
      <c r="G653" s="1">
        <v>72.0</v>
      </c>
      <c r="H653" s="1" t="s">
        <v>28</v>
      </c>
      <c r="I653" s="1"/>
      <c r="J653" s="1" t="s">
        <v>4920</v>
      </c>
      <c r="L653" s="1"/>
      <c r="M653" s="1" t="s">
        <v>3112</v>
      </c>
      <c r="N653" s="1" t="s">
        <v>4921</v>
      </c>
    </row>
    <row r="654">
      <c r="A654" s="1" t="s">
        <v>17</v>
      </c>
      <c r="B654" s="1">
        <v>1999.0</v>
      </c>
      <c r="C654" s="1" t="s">
        <v>4922</v>
      </c>
      <c r="D654" s="1" t="s">
        <v>4923</v>
      </c>
      <c r="E654" s="2" t="s">
        <v>4924</v>
      </c>
      <c r="F654" s="1">
        <v>19.0</v>
      </c>
      <c r="G654" s="1" t="s">
        <v>4925</v>
      </c>
      <c r="H654" s="1" t="s">
        <v>28</v>
      </c>
      <c r="I654" s="1"/>
      <c r="J654" s="1" t="s">
        <v>4926</v>
      </c>
      <c r="K654" s="1"/>
      <c r="L654" s="1" t="s">
        <v>4927</v>
      </c>
      <c r="M654" s="1" t="s">
        <v>4928</v>
      </c>
      <c r="N654" s="1" t="s">
        <v>4930</v>
      </c>
    </row>
    <row r="655">
      <c r="A655" s="1" t="s">
        <v>17</v>
      </c>
      <c r="B655" s="1">
        <v>1999.0</v>
      </c>
      <c r="C655" s="1" t="s">
        <v>4933</v>
      </c>
      <c r="D655" s="1" t="s">
        <v>4934</v>
      </c>
      <c r="E655" s="2" t="s">
        <v>4935</v>
      </c>
      <c r="F655" s="1">
        <v>27.0</v>
      </c>
      <c r="G655" s="1">
        <v>506.0</v>
      </c>
      <c r="H655" s="1" t="s">
        <v>28</v>
      </c>
      <c r="I655" s="1"/>
      <c r="J655" s="1" t="s">
        <v>4936</v>
      </c>
      <c r="K655" s="1"/>
      <c r="L655" s="1" t="s">
        <v>4937</v>
      </c>
      <c r="M655" s="1" t="s">
        <v>4938</v>
      </c>
      <c r="N655" s="1" t="s">
        <v>4939</v>
      </c>
    </row>
    <row r="656">
      <c r="A656" s="1" t="s">
        <v>17</v>
      </c>
      <c r="B656" s="1">
        <v>1999.0</v>
      </c>
      <c r="C656" s="1" t="s">
        <v>4940</v>
      </c>
      <c r="D656" s="1" t="s">
        <v>4941</v>
      </c>
      <c r="E656" s="2" t="s">
        <v>4942</v>
      </c>
      <c r="F656" s="1">
        <v>35.0</v>
      </c>
      <c r="G656" s="1">
        <v>507.0</v>
      </c>
      <c r="H656" s="1" t="s">
        <v>28</v>
      </c>
      <c r="I656" s="1"/>
      <c r="J656" s="1" t="s">
        <v>4946</v>
      </c>
      <c r="K656" s="1"/>
      <c r="L656" s="1" t="s">
        <v>4947</v>
      </c>
      <c r="M656" s="1" t="s">
        <v>4948</v>
      </c>
      <c r="N656" s="1" t="s">
        <v>4949</v>
      </c>
    </row>
    <row r="657">
      <c r="A657" s="1" t="s">
        <v>17</v>
      </c>
      <c r="B657" s="1">
        <v>1999.0</v>
      </c>
      <c r="C657" s="1" t="s">
        <v>4950</v>
      </c>
      <c r="D657" s="1" t="s">
        <v>4951</v>
      </c>
      <c r="E657" s="2" t="s">
        <v>4952</v>
      </c>
      <c r="F657" s="1">
        <v>43.0</v>
      </c>
      <c r="G657" s="1">
        <v>508.0</v>
      </c>
      <c r="H657" s="1" t="s">
        <v>28</v>
      </c>
      <c r="I657" s="1"/>
      <c r="J657" s="1" t="s">
        <v>4813</v>
      </c>
      <c r="K657" s="1"/>
      <c r="L657" s="1" t="s">
        <v>4817</v>
      </c>
      <c r="M657" s="1" t="s">
        <v>4956</v>
      </c>
      <c r="N657" s="1" t="s">
        <v>4957</v>
      </c>
    </row>
    <row r="658">
      <c r="A658" s="1" t="s">
        <v>17</v>
      </c>
      <c r="B658" s="1">
        <v>1999.0</v>
      </c>
      <c r="C658" s="1" t="s">
        <v>4958</v>
      </c>
      <c r="D658" s="1" t="s">
        <v>4959</v>
      </c>
      <c r="E658" s="2" t="s">
        <v>4960</v>
      </c>
      <c r="F658" s="1">
        <v>51.0</v>
      </c>
      <c r="G658" s="1">
        <v>58.0</v>
      </c>
      <c r="H658" s="1" t="s">
        <v>28</v>
      </c>
      <c r="I658" s="1"/>
      <c r="J658" s="1" t="s">
        <v>4964</v>
      </c>
      <c r="K658" s="1"/>
      <c r="L658" s="1" t="s">
        <v>4965</v>
      </c>
      <c r="M658" s="1" t="s">
        <v>4966</v>
      </c>
    </row>
    <row r="659">
      <c r="A659" s="1" t="s">
        <v>17</v>
      </c>
      <c r="B659" s="1">
        <v>1999.0</v>
      </c>
      <c r="C659" s="1" t="s">
        <v>4967</v>
      </c>
      <c r="D659" s="1" t="s">
        <v>4968</v>
      </c>
      <c r="E659" s="2" t="s">
        <v>4969</v>
      </c>
      <c r="F659" s="1">
        <v>59.0</v>
      </c>
      <c r="G659" s="1">
        <v>510.0</v>
      </c>
      <c r="H659" s="1" t="s">
        <v>28</v>
      </c>
      <c r="I659" s="1"/>
      <c r="J659" s="1" t="s">
        <v>4120</v>
      </c>
      <c r="L659" s="1"/>
      <c r="M659" s="1" t="s">
        <v>4972</v>
      </c>
      <c r="N659" s="1" t="s">
        <v>4973</v>
      </c>
    </row>
    <row r="660">
      <c r="A660" s="1" t="s">
        <v>17</v>
      </c>
      <c r="B660" s="1">
        <v>1999.0</v>
      </c>
      <c r="C660" s="1" t="s">
        <v>4974</v>
      </c>
      <c r="D660" s="1" t="s">
        <v>4975</v>
      </c>
      <c r="E660" s="2" t="s">
        <v>4976</v>
      </c>
      <c r="F660" s="1">
        <v>73.0</v>
      </c>
      <c r="G660" s="1">
        <v>512.0</v>
      </c>
      <c r="H660" s="1" t="s">
        <v>28</v>
      </c>
      <c r="I660" s="1"/>
      <c r="J660" s="1" t="s">
        <v>4977</v>
      </c>
      <c r="K660" s="1"/>
      <c r="L660" s="1" t="s">
        <v>4978</v>
      </c>
      <c r="M660" s="1" t="s">
        <v>4979</v>
      </c>
      <c r="N660" s="1" t="s">
        <v>4980</v>
      </c>
    </row>
    <row r="661">
      <c r="A661" s="1" t="s">
        <v>17</v>
      </c>
      <c r="B661" s="1">
        <v>1999.0</v>
      </c>
      <c r="C661" s="1" t="s">
        <v>4981</v>
      </c>
      <c r="D661" s="1" t="s">
        <v>4982</v>
      </c>
      <c r="E661" s="2" t="s">
        <v>4983</v>
      </c>
      <c r="F661" s="1">
        <v>81.0</v>
      </c>
      <c r="G661" s="1">
        <v>88.0</v>
      </c>
      <c r="H661" s="1" t="s">
        <v>28</v>
      </c>
      <c r="I661" s="1"/>
      <c r="J661" s="1" t="s">
        <v>4987</v>
      </c>
      <c r="K661" s="1"/>
      <c r="L661" s="1" t="s">
        <v>557</v>
      </c>
      <c r="M661" s="1" t="s">
        <v>4988</v>
      </c>
      <c r="N661" s="1" t="s">
        <v>4989</v>
      </c>
    </row>
    <row r="662">
      <c r="A662" s="1" t="s">
        <v>17</v>
      </c>
      <c r="B662" s="1">
        <v>1999.0</v>
      </c>
      <c r="C662" s="1" t="s">
        <v>4990</v>
      </c>
      <c r="D662" s="1" t="s">
        <v>4991</v>
      </c>
      <c r="E662" s="2" t="s">
        <v>4992</v>
      </c>
      <c r="F662" s="1">
        <v>89.0</v>
      </c>
      <c r="G662" s="1">
        <v>514.0</v>
      </c>
      <c r="H662" s="1" t="s">
        <v>28</v>
      </c>
      <c r="I662" s="1"/>
      <c r="J662" s="1" t="s">
        <v>4993</v>
      </c>
      <c r="K662" s="1"/>
      <c r="L662" s="1" t="s">
        <v>753</v>
      </c>
      <c r="M662" s="1"/>
      <c r="N662" s="1" t="s">
        <v>4994</v>
      </c>
    </row>
    <row r="663">
      <c r="A663" s="1" t="s">
        <v>17</v>
      </c>
      <c r="B663" s="1">
        <v>1999.0</v>
      </c>
      <c r="C663" s="1" t="s">
        <v>4996</v>
      </c>
      <c r="D663" s="1" t="s">
        <v>4997</v>
      </c>
      <c r="E663" s="2" t="s">
        <v>4999</v>
      </c>
      <c r="F663" s="1">
        <v>97.0</v>
      </c>
      <c r="G663" s="1">
        <v>515.0</v>
      </c>
      <c r="H663" s="1" t="s">
        <v>28</v>
      </c>
      <c r="I663" s="1"/>
      <c r="J663" s="1" t="s">
        <v>5001</v>
      </c>
      <c r="K663" s="1"/>
      <c r="L663" s="1" t="s">
        <v>3790</v>
      </c>
      <c r="M663" s="1" t="s">
        <v>5002</v>
      </c>
      <c r="N663" s="1" t="s">
        <v>5003</v>
      </c>
    </row>
    <row r="664">
      <c r="A664" s="1" t="s">
        <v>17</v>
      </c>
      <c r="B664" s="1">
        <v>1999.0</v>
      </c>
      <c r="C664" s="1" t="s">
        <v>5004</v>
      </c>
      <c r="D664" s="1" t="s">
        <v>5005</v>
      </c>
      <c r="E664" s="2" t="s">
        <v>4232</v>
      </c>
      <c r="F664" s="1">
        <v>105.0</v>
      </c>
      <c r="G664" s="1"/>
      <c r="H664" s="1" t="s">
        <v>28</v>
      </c>
      <c r="I664" s="1"/>
      <c r="J664" s="1" t="s">
        <v>5006</v>
      </c>
      <c r="L664" s="1"/>
      <c r="M664" s="1" t="s">
        <v>5007</v>
      </c>
    </row>
    <row r="665">
      <c r="A665" s="1" t="s">
        <v>17</v>
      </c>
      <c r="B665" s="1">
        <v>1999.0</v>
      </c>
      <c r="C665" s="1" t="s">
        <v>5008</v>
      </c>
      <c r="D665" s="1" t="s">
        <v>5009</v>
      </c>
      <c r="E665" s="2" t="s">
        <v>5010</v>
      </c>
      <c r="F665" s="1">
        <v>115.0</v>
      </c>
      <c r="G665" s="1">
        <v>516.0</v>
      </c>
      <c r="H665" s="1" t="s">
        <v>28</v>
      </c>
      <c r="I665" s="1"/>
      <c r="J665" s="1" t="s">
        <v>5011</v>
      </c>
      <c r="K665" s="1"/>
      <c r="L665" s="1" t="s">
        <v>665</v>
      </c>
      <c r="M665" s="1"/>
      <c r="N665" s="1" t="s">
        <v>5012</v>
      </c>
    </row>
    <row r="666">
      <c r="A666" s="1" t="s">
        <v>17</v>
      </c>
      <c r="B666" s="1">
        <v>1999.0</v>
      </c>
      <c r="C666" s="1" t="s">
        <v>5014</v>
      </c>
      <c r="D666" s="1" t="s">
        <v>5015</v>
      </c>
      <c r="E666" s="2" t="s">
        <v>5016</v>
      </c>
      <c r="F666" s="1">
        <v>123.0</v>
      </c>
      <c r="G666" s="1">
        <v>130.0</v>
      </c>
      <c r="H666" s="1" t="s">
        <v>28</v>
      </c>
      <c r="I666" s="1"/>
      <c r="J666" s="1" t="s">
        <v>5018</v>
      </c>
      <c r="K666" s="1"/>
      <c r="L666" s="1" t="s">
        <v>5019</v>
      </c>
      <c r="M666" s="1" t="s">
        <v>5020</v>
      </c>
      <c r="N666" s="1" t="s">
        <v>5021</v>
      </c>
    </row>
    <row r="667">
      <c r="A667" s="1" t="s">
        <v>17</v>
      </c>
      <c r="B667" s="1">
        <v>1999.0</v>
      </c>
      <c r="C667" s="1" t="s">
        <v>5022</v>
      </c>
      <c r="D667" s="1" t="s">
        <v>5023</v>
      </c>
      <c r="E667" s="2" t="s">
        <v>5024</v>
      </c>
      <c r="F667" s="1">
        <v>131.0</v>
      </c>
      <c r="G667" s="1">
        <v>518.0</v>
      </c>
      <c r="H667" s="1" t="s">
        <v>28</v>
      </c>
      <c r="I667" s="1"/>
      <c r="J667" s="1" t="s">
        <v>5028</v>
      </c>
      <c r="K667" s="1"/>
      <c r="L667" s="1" t="s">
        <v>5029</v>
      </c>
      <c r="M667" s="1" t="s">
        <v>5030</v>
      </c>
    </row>
    <row r="668">
      <c r="A668" s="1" t="s">
        <v>17</v>
      </c>
      <c r="B668" s="1">
        <v>1999.0</v>
      </c>
      <c r="C668" s="1" t="s">
        <v>5031</v>
      </c>
      <c r="D668" s="1" t="s">
        <v>5032</v>
      </c>
      <c r="E668" s="2" t="s">
        <v>5033</v>
      </c>
      <c r="F668" s="1">
        <v>139.0</v>
      </c>
      <c r="G668" s="1">
        <v>519.0</v>
      </c>
      <c r="H668" s="1" t="s">
        <v>28</v>
      </c>
      <c r="I668" s="1"/>
      <c r="J668" s="1" t="s">
        <v>5034</v>
      </c>
      <c r="K668" s="1"/>
      <c r="L668" s="1" t="s">
        <v>5035</v>
      </c>
      <c r="M668" s="1" t="s">
        <v>5036</v>
      </c>
      <c r="N668" s="1" t="s">
        <v>5037</v>
      </c>
    </row>
    <row r="669">
      <c r="A669" s="1" t="s">
        <v>17</v>
      </c>
      <c r="B669" s="1">
        <v>1999.0</v>
      </c>
      <c r="C669" s="1" t="s">
        <v>5038</v>
      </c>
      <c r="D669" s="1" t="s">
        <v>5039</v>
      </c>
      <c r="E669" s="2" t="s">
        <v>5040</v>
      </c>
      <c r="F669" s="1">
        <v>147.0</v>
      </c>
      <c r="G669" s="1">
        <v>520.0</v>
      </c>
      <c r="H669" s="1" t="s">
        <v>28</v>
      </c>
      <c r="I669" s="1"/>
      <c r="J669" s="1" t="s">
        <v>5043</v>
      </c>
      <c r="K669" s="1"/>
      <c r="L669" s="1" t="s">
        <v>281</v>
      </c>
      <c r="M669" s="1" t="s">
        <v>5044</v>
      </c>
      <c r="N669" s="1" t="s">
        <v>5045</v>
      </c>
    </row>
    <row r="670">
      <c r="A670" s="1" t="s">
        <v>17</v>
      </c>
      <c r="B670" s="1">
        <v>1999.0</v>
      </c>
      <c r="C670" s="1" t="s">
        <v>5046</v>
      </c>
      <c r="D670" s="1" t="s">
        <v>5047</v>
      </c>
      <c r="E670" s="2" t="s">
        <v>5048</v>
      </c>
      <c r="F670" s="1">
        <v>155.0</v>
      </c>
      <c r="G670" s="1">
        <v>521.0</v>
      </c>
      <c r="H670" s="1" t="s">
        <v>28</v>
      </c>
      <c r="I670" s="1"/>
      <c r="J670" s="1" t="s">
        <v>5052</v>
      </c>
      <c r="K670" s="1"/>
      <c r="L670" s="1" t="s">
        <v>5053</v>
      </c>
      <c r="M670" s="1" t="s">
        <v>5054</v>
      </c>
      <c r="N670" s="1" t="s">
        <v>5055</v>
      </c>
    </row>
    <row r="671">
      <c r="A671" s="1" t="s">
        <v>17</v>
      </c>
      <c r="B671" s="1">
        <v>1999.0</v>
      </c>
      <c r="C671" s="1" t="s">
        <v>5056</v>
      </c>
      <c r="D671" s="1" t="s">
        <v>5057</v>
      </c>
      <c r="E671" s="2" t="s">
        <v>5058</v>
      </c>
      <c r="F671" s="1">
        <v>161.0</v>
      </c>
      <c r="G671" s="1">
        <v>522.0</v>
      </c>
      <c r="H671" s="1" t="s">
        <v>28</v>
      </c>
      <c r="I671" s="1"/>
      <c r="J671" s="1" t="s">
        <v>5062</v>
      </c>
      <c r="K671" s="1"/>
      <c r="L671" s="1" t="s">
        <v>5063</v>
      </c>
      <c r="M671" s="1"/>
      <c r="N671" s="1" t="s">
        <v>5064</v>
      </c>
    </row>
    <row r="672">
      <c r="A672" s="1" t="s">
        <v>17</v>
      </c>
      <c r="B672" s="1">
        <v>1999.0</v>
      </c>
      <c r="C672" s="1" t="s">
        <v>5065</v>
      </c>
      <c r="D672" s="1" t="s">
        <v>5066</v>
      </c>
      <c r="E672" s="2" t="s">
        <v>5067</v>
      </c>
      <c r="F672" s="1">
        <v>169.0</v>
      </c>
      <c r="G672" s="1">
        <v>173.0</v>
      </c>
      <c r="H672" s="1" t="s">
        <v>28</v>
      </c>
      <c r="I672" s="1"/>
      <c r="J672" s="1" t="s">
        <v>5070</v>
      </c>
      <c r="K672" s="1"/>
      <c r="L672" s="1" t="s">
        <v>5071</v>
      </c>
      <c r="M672" s="1" t="s">
        <v>5072</v>
      </c>
    </row>
    <row r="673">
      <c r="A673" s="1" t="s">
        <v>17</v>
      </c>
      <c r="B673" s="1">
        <v>1999.0</v>
      </c>
      <c r="C673" s="1" t="s">
        <v>5073</v>
      </c>
      <c r="D673" s="1" t="s">
        <v>5074</v>
      </c>
      <c r="E673" s="2" t="s">
        <v>5075</v>
      </c>
      <c r="F673" s="1">
        <v>175.0</v>
      </c>
      <c r="G673" s="1">
        <v>523.0</v>
      </c>
      <c r="H673" s="1" t="s">
        <v>28</v>
      </c>
      <c r="I673" s="1"/>
      <c r="J673" s="1" t="s">
        <v>5076</v>
      </c>
      <c r="K673" s="1"/>
      <c r="L673" s="1" t="s">
        <v>5077</v>
      </c>
      <c r="M673" s="1"/>
      <c r="N673" s="1" t="s">
        <v>5078</v>
      </c>
    </row>
    <row r="674">
      <c r="A674" s="1" t="s">
        <v>17</v>
      </c>
      <c r="B674" s="1">
        <v>1999.0</v>
      </c>
      <c r="C674" s="1" t="s">
        <v>5079</v>
      </c>
      <c r="D674" s="1" t="s">
        <v>5080</v>
      </c>
      <c r="E674" s="2" t="s">
        <v>5081</v>
      </c>
      <c r="F674" s="1">
        <v>183.0</v>
      </c>
      <c r="G674" s="1">
        <v>524.0</v>
      </c>
      <c r="H674" s="1" t="s">
        <v>28</v>
      </c>
      <c r="I674" s="1"/>
      <c r="J674" s="1" t="s">
        <v>5085</v>
      </c>
      <c r="K674" s="1"/>
      <c r="L674" s="1" t="s">
        <v>281</v>
      </c>
      <c r="M674" s="1" t="s">
        <v>5086</v>
      </c>
    </row>
    <row r="675">
      <c r="A675" s="1" t="s">
        <v>17</v>
      </c>
      <c r="B675" s="1">
        <v>1999.0</v>
      </c>
      <c r="C675" s="1" t="s">
        <v>5087</v>
      </c>
      <c r="D675" s="1" t="s">
        <v>5088</v>
      </c>
      <c r="E675" s="2" t="s">
        <v>5089</v>
      </c>
      <c r="F675" s="1">
        <v>191.0</v>
      </c>
      <c r="G675" s="1">
        <v>525.0</v>
      </c>
      <c r="H675" s="1" t="s">
        <v>28</v>
      </c>
      <c r="I675" s="1"/>
      <c r="J675" s="1" t="s">
        <v>5090</v>
      </c>
      <c r="K675" s="1"/>
      <c r="L675" s="1" t="s">
        <v>66</v>
      </c>
      <c r="M675" s="1" t="s">
        <v>3457</v>
      </c>
      <c r="N675" s="1" t="s">
        <v>5092</v>
      </c>
    </row>
    <row r="676">
      <c r="A676" s="1" t="s">
        <v>17</v>
      </c>
      <c r="B676" s="1">
        <v>1999.0</v>
      </c>
      <c r="C676" s="1" t="s">
        <v>5094</v>
      </c>
      <c r="D676" s="1" t="s">
        <v>5096</v>
      </c>
      <c r="E676" s="2" t="s">
        <v>5097</v>
      </c>
      <c r="F676" s="1">
        <v>199.0</v>
      </c>
      <c r="G676" s="1">
        <v>206.0</v>
      </c>
      <c r="H676" s="1" t="s">
        <v>28</v>
      </c>
      <c r="I676" s="1"/>
      <c r="J676" s="1" t="s">
        <v>5098</v>
      </c>
      <c r="K676" s="1"/>
      <c r="L676" s="1" t="s">
        <v>5099</v>
      </c>
    </row>
    <row r="677">
      <c r="A677" s="1" t="s">
        <v>17</v>
      </c>
      <c r="B677" s="1">
        <v>1999.0</v>
      </c>
      <c r="C677" s="1" t="s">
        <v>5100</v>
      </c>
      <c r="D677" s="1" t="s">
        <v>5101</v>
      </c>
      <c r="E677" s="2" t="s">
        <v>5102</v>
      </c>
      <c r="F677" s="1">
        <v>207.0</v>
      </c>
      <c r="G677" s="1">
        <v>526.0</v>
      </c>
      <c r="H677" s="1" t="s">
        <v>28</v>
      </c>
      <c r="I677" s="1"/>
      <c r="J677" s="1" t="s">
        <v>5106</v>
      </c>
      <c r="K677" s="1"/>
      <c r="L677" s="1" t="s">
        <v>5107</v>
      </c>
      <c r="M677" s="1"/>
      <c r="N677" s="1" t="s">
        <v>5108</v>
      </c>
    </row>
    <row r="678">
      <c r="A678" s="1" t="s">
        <v>17</v>
      </c>
      <c r="B678" s="1">
        <v>1999.0</v>
      </c>
      <c r="C678" s="1" t="s">
        <v>5109</v>
      </c>
      <c r="D678" s="1" t="s">
        <v>5110</v>
      </c>
      <c r="E678" s="2" t="s">
        <v>5111</v>
      </c>
      <c r="F678" s="1">
        <v>215.0</v>
      </c>
      <c r="G678" s="1">
        <v>527.0</v>
      </c>
      <c r="H678" s="1" t="s">
        <v>28</v>
      </c>
      <c r="I678" s="1"/>
      <c r="J678" s="1" t="s">
        <v>5114</v>
      </c>
      <c r="K678" s="1"/>
      <c r="L678" s="1" t="s">
        <v>5115</v>
      </c>
    </row>
    <row r="679">
      <c r="A679" s="1" t="s">
        <v>17</v>
      </c>
      <c r="B679" s="1">
        <v>1999.0</v>
      </c>
      <c r="C679" s="1" t="s">
        <v>5116</v>
      </c>
      <c r="D679" s="1" t="s">
        <v>5117</v>
      </c>
      <c r="E679" s="2" t="s">
        <v>5118</v>
      </c>
      <c r="F679" s="1">
        <v>225.0</v>
      </c>
      <c r="G679" s="1">
        <v>232.0</v>
      </c>
      <c r="H679" s="1" t="s">
        <v>28</v>
      </c>
      <c r="I679" s="1"/>
      <c r="J679" s="1" t="s">
        <v>5119</v>
      </c>
      <c r="K679" s="1"/>
      <c r="L679" s="1" t="s">
        <v>5120</v>
      </c>
      <c r="M679" s="1" t="s">
        <v>5121</v>
      </c>
    </row>
    <row r="680">
      <c r="A680" s="1" t="s">
        <v>17</v>
      </c>
      <c r="B680" s="1">
        <v>1999.0</v>
      </c>
      <c r="C680" s="1" t="s">
        <v>5124</v>
      </c>
      <c r="D680" s="1" t="s">
        <v>5126</v>
      </c>
      <c r="E680" s="2" t="s">
        <v>5127</v>
      </c>
      <c r="F680" s="1">
        <v>233.0</v>
      </c>
      <c r="G680" s="1">
        <v>528.0</v>
      </c>
      <c r="H680" s="1" t="s">
        <v>28</v>
      </c>
      <c r="I680" s="1"/>
      <c r="J680" s="1" t="s">
        <v>5128</v>
      </c>
      <c r="K680" s="1"/>
      <c r="L680" s="1" t="s">
        <v>5129</v>
      </c>
      <c r="M680" s="1" t="s">
        <v>5130</v>
      </c>
      <c r="N680" s="1" t="s">
        <v>5131</v>
      </c>
    </row>
    <row r="681">
      <c r="A681" s="1" t="s">
        <v>17</v>
      </c>
      <c r="B681" s="1">
        <v>1999.0</v>
      </c>
      <c r="C681" s="1" t="s">
        <v>5132</v>
      </c>
      <c r="D681" s="1" t="s">
        <v>5133</v>
      </c>
      <c r="E681" s="2" t="s">
        <v>5134</v>
      </c>
      <c r="F681" s="1">
        <v>241.0</v>
      </c>
      <c r="G681" s="1">
        <v>529.0</v>
      </c>
      <c r="H681" s="1" t="s">
        <v>28</v>
      </c>
      <c r="I681" s="1"/>
      <c r="J681" s="1" t="s">
        <v>5138</v>
      </c>
      <c r="K681" s="1"/>
      <c r="L681" s="1" t="s">
        <v>855</v>
      </c>
      <c r="M681" s="1" t="s">
        <v>5139</v>
      </c>
      <c r="N681" s="1" t="s">
        <v>5140</v>
      </c>
    </row>
    <row r="682">
      <c r="A682" s="1" t="s">
        <v>17</v>
      </c>
      <c r="B682" s="1">
        <v>1999.0</v>
      </c>
      <c r="C682" s="1" t="s">
        <v>5141</v>
      </c>
      <c r="D682" s="1" t="s">
        <v>5142</v>
      </c>
      <c r="E682" s="2" t="s">
        <v>5143</v>
      </c>
      <c r="F682" s="1">
        <v>249.0</v>
      </c>
      <c r="G682" s="1">
        <v>253.0</v>
      </c>
      <c r="H682" s="1" t="s">
        <v>28</v>
      </c>
      <c r="I682" s="1"/>
      <c r="J682" s="1" t="s">
        <v>5148</v>
      </c>
      <c r="K682" s="1"/>
      <c r="L682" s="1" t="s">
        <v>5149</v>
      </c>
      <c r="M682" s="1" t="s">
        <v>5150</v>
      </c>
    </row>
    <row r="683">
      <c r="A683" s="1" t="s">
        <v>17</v>
      </c>
      <c r="B683" s="1">
        <v>1999.0</v>
      </c>
      <c r="C683" s="1" t="s">
        <v>5151</v>
      </c>
      <c r="D683" s="1" t="s">
        <v>5152</v>
      </c>
      <c r="E683" s="2" t="s">
        <v>5153</v>
      </c>
      <c r="F683" s="1">
        <v>255.0</v>
      </c>
      <c r="G683" s="1">
        <v>261.0</v>
      </c>
      <c r="H683" s="1" t="s">
        <v>28</v>
      </c>
      <c r="I683" s="1"/>
      <c r="J683" s="1" t="s">
        <v>5157</v>
      </c>
      <c r="K683" s="1"/>
      <c r="L683" s="1" t="s">
        <v>5158</v>
      </c>
      <c r="M683" s="1" t="s">
        <v>5159</v>
      </c>
      <c r="N683" s="1" t="s">
        <v>5160</v>
      </c>
    </row>
    <row r="684">
      <c r="A684" s="1" t="s">
        <v>17</v>
      </c>
      <c r="B684" s="1">
        <v>1999.0</v>
      </c>
      <c r="C684" s="1" t="s">
        <v>5161</v>
      </c>
      <c r="D684" s="1" t="s">
        <v>5162</v>
      </c>
      <c r="E684" s="2" t="s">
        <v>5163</v>
      </c>
      <c r="F684" s="1">
        <v>263.0</v>
      </c>
      <c r="G684" s="1">
        <v>532.0</v>
      </c>
      <c r="H684" s="1" t="s">
        <v>28</v>
      </c>
      <c r="I684" s="1"/>
      <c r="J684" s="1" t="s">
        <v>5167</v>
      </c>
      <c r="K684" s="1"/>
      <c r="L684" s="1" t="s">
        <v>5168</v>
      </c>
      <c r="M684" s="1" t="s">
        <v>5169</v>
      </c>
    </row>
    <row r="685">
      <c r="A685" s="1" t="s">
        <v>17</v>
      </c>
      <c r="B685" s="1">
        <v>1999.0</v>
      </c>
      <c r="C685" s="1" t="s">
        <v>5170</v>
      </c>
      <c r="D685" s="1" t="s">
        <v>5171</v>
      </c>
      <c r="E685" s="2" t="s">
        <v>5172</v>
      </c>
      <c r="F685" s="1">
        <v>271.0</v>
      </c>
      <c r="G685" s="1">
        <v>533.0</v>
      </c>
      <c r="H685" s="1" t="s">
        <v>28</v>
      </c>
      <c r="I685" s="1"/>
      <c r="J685" s="1" t="s">
        <v>5179</v>
      </c>
      <c r="K685" s="1"/>
      <c r="L685" s="1" t="s">
        <v>5181</v>
      </c>
      <c r="M685" s="1" t="s">
        <v>5182</v>
      </c>
      <c r="N685" s="1" t="s">
        <v>5184</v>
      </c>
    </row>
    <row r="686">
      <c r="A686" s="1" t="s">
        <v>17</v>
      </c>
      <c r="B686" s="1">
        <v>1999.0</v>
      </c>
      <c r="C686" s="1" t="s">
        <v>5186</v>
      </c>
      <c r="D686" s="1" t="s">
        <v>5187</v>
      </c>
      <c r="E686" s="2" t="s">
        <v>5188</v>
      </c>
      <c r="F686" s="1">
        <v>279.0</v>
      </c>
      <c r="G686" s="1">
        <v>534.0</v>
      </c>
      <c r="H686" s="1" t="s">
        <v>28</v>
      </c>
      <c r="I686" s="1"/>
      <c r="J686" s="1" t="s">
        <v>5189</v>
      </c>
      <c r="K686" s="1"/>
      <c r="L686" s="1" t="s">
        <v>5190</v>
      </c>
      <c r="M686" s="1" t="s">
        <v>3555</v>
      </c>
      <c r="N686" s="1" t="s">
        <v>5191</v>
      </c>
    </row>
    <row r="687">
      <c r="A687" s="1" t="s">
        <v>17</v>
      </c>
      <c r="B687" s="1">
        <v>1999.0</v>
      </c>
      <c r="C687" s="1" t="s">
        <v>5195</v>
      </c>
      <c r="D687" s="1" t="s">
        <v>5197</v>
      </c>
      <c r="E687" s="2" t="s">
        <v>5200</v>
      </c>
      <c r="F687" s="1">
        <v>285.0</v>
      </c>
      <c r="G687" s="1">
        <v>535.0</v>
      </c>
      <c r="H687" s="1" t="s">
        <v>28</v>
      </c>
      <c r="I687" s="1"/>
      <c r="J687" s="1" t="s">
        <v>5201</v>
      </c>
      <c r="K687" s="1"/>
      <c r="L687" s="1" t="s">
        <v>3558</v>
      </c>
      <c r="M687" s="1" t="s">
        <v>5203</v>
      </c>
    </row>
    <row r="688">
      <c r="A688" s="1" t="s">
        <v>17</v>
      </c>
      <c r="B688" s="1">
        <v>1999.0</v>
      </c>
      <c r="C688" s="1" t="s">
        <v>5205</v>
      </c>
      <c r="D688" s="1" t="s">
        <v>5206</v>
      </c>
      <c r="E688" s="2" t="s">
        <v>5207</v>
      </c>
      <c r="F688" s="1">
        <v>291.0</v>
      </c>
      <c r="G688" s="1">
        <v>536.0</v>
      </c>
      <c r="H688" s="1" t="s">
        <v>28</v>
      </c>
      <c r="I688" s="1"/>
      <c r="J688" s="1" t="s">
        <v>5212</v>
      </c>
      <c r="K688" s="1"/>
      <c r="L688" s="1" t="s">
        <v>5213</v>
      </c>
      <c r="M688" s="1" t="s">
        <v>5214</v>
      </c>
      <c r="N688" s="1" t="s">
        <v>5215</v>
      </c>
    </row>
    <row r="689">
      <c r="A689" s="1" t="s">
        <v>17</v>
      </c>
      <c r="B689" s="1">
        <v>1999.0</v>
      </c>
      <c r="C689" s="1" t="s">
        <v>5216</v>
      </c>
      <c r="D689" s="1" t="s">
        <v>5217</v>
      </c>
      <c r="E689" s="2" t="s">
        <v>5218</v>
      </c>
      <c r="F689" s="1">
        <v>299.0</v>
      </c>
      <c r="G689" s="1">
        <v>305.0</v>
      </c>
      <c r="H689" s="1" t="s">
        <v>28</v>
      </c>
      <c r="I689" s="1"/>
      <c r="J689" s="1" t="s">
        <v>5219</v>
      </c>
      <c r="K689" s="1"/>
      <c r="L689" s="1" t="s">
        <v>5220</v>
      </c>
      <c r="M689" s="1" t="s">
        <v>5221</v>
      </c>
      <c r="N689" s="1" t="s">
        <v>5222</v>
      </c>
    </row>
    <row r="690">
      <c r="A690" s="1" t="s">
        <v>17</v>
      </c>
      <c r="B690" s="1">
        <v>1999.0</v>
      </c>
      <c r="C690" s="1" t="s">
        <v>5223</v>
      </c>
      <c r="D690" s="1" t="s">
        <v>5224</v>
      </c>
      <c r="E690" s="2" t="s">
        <v>5225</v>
      </c>
      <c r="F690" s="1">
        <v>307.0</v>
      </c>
      <c r="G690" s="1">
        <v>537.0</v>
      </c>
      <c r="H690" s="1" t="s">
        <v>28</v>
      </c>
      <c r="I690" s="1"/>
      <c r="J690" s="1" t="s">
        <v>5227</v>
      </c>
      <c r="K690" s="1"/>
      <c r="L690" s="1" t="s">
        <v>4135</v>
      </c>
      <c r="M690" s="1" t="s">
        <v>5229</v>
      </c>
    </row>
    <row r="691">
      <c r="A691" s="1" t="s">
        <v>17</v>
      </c>
      <c r="B691" s="1">
        <v>1999.0</v>
      </c>
      <c r="C691" s="1" t="s">
        <v>5230</v>
      </c>
      <c r="D691" s="1" t="s">
        <v>5231</v>
      </c>
      <c r="E691" s="2" t="s">
        <v>5232</v>
      </c>
      <c r="F691" s="1">
        <v>317.0</v>
      </c>
      <c r="G691" s="1">
        <v>538.0</v>
      </c>
      <c r="H691" s="1" t="s">
        <v>28</v>
      </c>
      <c r="I691" s="1"/>
      <c r="J691" s="1" t="s">
        <v>3856</v>
      </c>
      <c r="K691" s="1"/>
      <c r="L691" s="1" t="s">
        <v>5233</v>
      </c>
      <c r="M691" s="1" t="s">
        <v>5234</v>
      </c>
      <c r="N691" s="1" t="s">
        <v>5235</v>
      </c>
    </row>
    <row r="692">
      <c r="A692" s="1" t="s">
        <v>17</v>
      </c>
      <c r="B692" s="1">
        <v>1999.0</v>
      </c>
      <c r="C692" s="1" t="s">
        <v>5236</v>
      </c>
      <c r="D692" s="1" t="s">
        <v>5237</v>
      </c>
      <c r="E692" s="2" t="s">
        <v>5238</v>
      </c>
      <c r="F692" s="1">
        <v>325.0</v>
      </c>
      <c r="G692" s="1">
        <v>539.0</v>
      </c>
      <c r="H692" s="1" t="s">
        <v>28</v>
      </c>
      <c r="I692" s="1"/>
      <c r="J692" s="1" t="s">
        <v>5240</v>
      </c>
      <c r="K692" s="1"/>
      <c r="L692" s="1" t="s">
        <v>5241</v>
      </c>
      <c r="M692" s="1" t="s">
        <v>5244</v>
      </c>
      <c r="N692" s="1" t="s">
        <v>5245</v>
      </c>
    </row>
    <row r="693">
      <c r="A693" s="1" t="s">
        <v>17</v>
      </c>
      <c r="B693" s="1">
        <v>1999.0</v>
      </c>
      <c r="C693" s="1" t="s">
        <v>5246</v>
      </c>
      <c r="D693" s="1" t="s">
        <v>5247</v>
      </c>
      <c r="E693" s="2" t="s">
        <v>5248</v>
      </c>
      <c r="F693" s="1">
        <v>333.0</v>
      </c>
      <c r="G693" s="1">
        <v>540.0</v>
      </c>
      <c r="H693" s="1" t="s">
        <v>28</v>
      </c>
      <c r="I693" s="1"/>
      <c r="J693" s="1" t="s">
        <v>5260</v>
      </c>
      <c r="K693" s="1"/>
      <c r="L693" s="1" t="s">
        <v>5261</v>
      </c>
      <c r="M693" s="1" t="s">
        <v>4253</v>
      </c>
    </row>
    <row r="694">
      <c r="A694" s="1" t="s">
        <v>17</v>
      </c>
      <c r="B694" s="1">
        <v>1999.0</v>
      </c>
      <c r="C694" s="1" t="s">
        <v>5262</v>
      </c>
      <c r="D694" s="1" t="s">
        <v>5263</v>
      </c>
      <c r="E694" s="2" t="s">
        <v>5264</v>
      </c>
      <c r="F694" s="1">
        <v>341.0</v>
      </c>
      <c r="G694" s="1">
        <v>541.0</v>
      </c>
      <c r="H694" s="1" t="s">
        <v>28</v>
      </c>
      <c r="I694" s="1"/>
      <c r="J694" s="1" t="s">
        <v>5265</v>
      </c>
      <c r="K694" s="1"/>
      <c r="L694" s="1" t="s">
        <v>5266</v>
      </c>
      <c r="M694" s="1" t="s">
        <v>5267</v>
      </c>
      <c r="N694" s="1" t="s">
        <v>5268</v>
      </c>
    </row>
    <row r="695">
      <c r="A695" s="1" t="s">
        <v>17</v>
      </c>
      <c r="B695" s="1">
        <v>1999.0</v>
      </c>
      <c r="C695" s="1" t="s">
        <v>5270</v>
      </c>
      <c r="D695" s="1" t="s">
        <v>5271</v>
      </c>
      <c r="E695" s="2" t="s">
        <v>5273</v>
      </c>
      <c r="F695" s="1">
        <v>349.0</v>
      </c>
      <c r="G695" s="1">
        <v>354.0</v>
      </c>
      <c r="H695" s="1" t="s">
        <v>28</v>
      </c>
      <c r="I695" s="1"/>
      <c r="J695" s="1" t="s">
        <v>4514</v>
      </c>
      <c r="K695" s="1"/>
      <c r="L695" s="1" t="s">
        <v>5275</v>
      </c>
      <c r="M695" s="1" t="s">
        <v>487</v>
      </c>
      <c r="N695" s="1" t="s">
        <v>5276</v>
      </c>
    </row>
    <row r="696">
      <c r="A696" s="1" t="s">
        <v>17</v>
      </c>
      <c r="B696" s="1">
        <v>1999.0</v>
      </c>
      <c r="C696" s="1" t="s">
        <v>5277</v>
      </c>
      <c r="D696" s="1" t="s">
        <v>5278</v>
      </c>
      <c r="E696" s="2" t="s">
        <v>5279</v>
      </c>
      <c r="F696" s="1">
        <v>355.0</v>
      </c>
      <c r="G696" s="1"/>
      <c r="H696" s="1" t="s">
        <v>28</v>
      </c>
      <c r="I696" s="1"/>
      <c r="J696" s="1" t="s">
        <v>5280</v>
      </c>
      <c r="M696" s="1"/>
      <c r="N696" s="1" t="s">
        <v>5281</v>
      </c>
    </row>
    <row r="697">
      <c r="A697" s="1" t="s">
        <v>17</v>
      </c>
      <c r="B697" s="1">
        <v>1999.0</v>
      </c>
      <c r="C697" s="1" t="s">
        <v>5282</v>
      </c>
      <c r="D697" s="1" t="s">
        <v>5283</v>
      </c>
      <c r="E697" s="2" t="s">
        <v>5285</v>
      </c>
      <c r="F697" s="1">
        <v>363.0</v>
      </c>
      <c r="G697" s="1">
        <v>544.0</v>
      </c>
      <c r="H697" s="1" t="s">
        <v>28</v>
      </c>
      <c r="I697" s="1"/>
      <c r="J697" s="1" t="s">
        <v>5288</v>
      </c>
      <c r="K697" s="1"/>
      <c r="L697" s="1" t="s">
        <v>4524</v>
      </c>
      <c r="M697" s="1" t="s">
        <v>5289</v>
      </c>
    </row>
    <row r="698">
      <c r="A698" s="1" t="s">
        <v>17</v>
      </c>
      <c r="B698" s="1">
        <v>1999.0</v>
      </c>
      <c r="C698" s="1" t="s">
        <v>5290</v>
      </c>
      <c r="D698" s="1" t="s">
        <v>5291</v>
      </c>
      <c r="E698" s="2" t="s">
        <v>5292</v>
      </c>
      <c r="F698" s="1">
        <v>371.0</v>
      </c>
      <c r="G698" s="1">
        <v>545.0</v>
      </c>
      <c r="H698" s="1" t="s">
        <v>28</v>
      </c>
      <c r="I698" s="1"/>
      <c r="J698" s="1" t="s">
        <v>5293</v>
      </c>
      <c r="K698" s="1"/>
      <c r="L698" s="1" t="s">
        <v>5294</v>
      </c>
      <c r="M698" s="1" t="s">
        <v>5295</v>
      </c>
      <c r="N698" s="1" t="s">
        <v>5297</v>
      </c>
    </row>
    <row r="699">
      <c r="A699" s="1" t="s">
        <v>17</v>
      </c>
      <c r="B699" s="1">
        <v>1999.0</v>
      </c>
      <c r="C699" s="1" t="s">
        <v>5299</v>
      </c>
      <c r="D699" s="1" t="s">
        <v>5301</v>
      </c>
      <c r="E699" s="2" t="s">
        <v>5302</v>
      </c>
      <c r="F699" s="1">
        <v>379.0</v>
      </c>
      <c r="G699" s="1">
        <v>546.0</v>
      </c>
      <c r="H699" s="1" t="s">
        <v>28</v>
      </c>
      <c r="I699" s="1"/>
      <c r="J699" s="1" t="s">
        <v>5303</v>
      </c>
      <c r="K699" s="1"/>
      <c r="L699" s="1" t="s">
        <v>753</v>
      </c>
      <c r="M699" s="1" t="s">
        <v>5304</v>
      </c>
      <c r="N699" s="1" t="s">
        <v>5305</v>
      </c>
    </row>
    <row r="700">
      <c r="A700" s="1" t="s">
        <v>17</v>
      </c>
      <c r="B700" s="1">
        <v>1999.0</v>
      </c>
      <c r="C700" s="1" t="s">
        <v>5306</v>
      </c>
      <c r="D700" s="1" t="s">
        <v>5307</v>
      </c>
      <c r="E700" s="2" t="s">
        <v>5308</v>
      </c>
      <c r="F700" s="1">
        <v>389.0</v>
      </c>
      <c r="G700" s="1">
        <v>547.0</v>
      </c>
      <c r="H700" s="1" t="s">
        <v>28</v>
      </c>
      <c r="I700" s="1"/>
      <c r="J700" s="1" t="s">
        <v>5310</v>
      </c>
      <c r="K700" s="1"/>
      <c r="L700" s="1" t="s">
        <v>5311</v>
      </c>
      <c r="M700" s="1" t="s">
        <v>5312</v>
      </c>
    </row>
    <row r="701">
      <c r="A701" s="1" t="s">
        <v>17</v>
      </c>
      <c r="B701" s="1">
        <v>1999.0</v>
      </c>
      <c r="C701" s="1" t="s">
        <v>5313</v>
      </c>
      <c r="D701" s="1" t="s">
        <v>5314</v>
      </c>
      <c r="E701" s="2" t="s">
        <v>5315</v>
      </c>
      <c r="F701" s="1">
        <v>393.0</v>
      </c>
      <c r="G701" s="1">
        <v>548.0</v>
      </c>
      <c r="H701" s="1" t="s">
        <v>28</v>
      </c>
      <c r="I701" s="1"/>
      <c r="J701" s="1" t="s">
        <v>5316</v>
      </c>
      <c r="K701" s="1"/>
      <c r="L701" s="1" t="s">
        <v>5317</v>
      </c>
      <c r="M701" s="1" t="s">
        <v>5318</v>
      </c>
    </row>
    <row r="702">
      <c r="A702" s="1" t="s">
        <v>17</v>
      </c>
      <c r="B702" s="1">
        <v>1999.0</v>
      </c>
      <c r="C702" s="1" t="s">
        <v>5319</v>
      </c>
      <c r="D702" s="1" t="s">
        <v>5320</v>
      </c>
      <c r="E702" s="2" t="s">
        <v>5321</v>
      </c>
      <c r="F702" s="1">
        <v>397.0</v>
      </c>
      <c r="G702" s="1">
        <v>549.0</v>
      </c>
      <c r="H702" s="1" t="s">
        <v>28</v>
      </c>
      <c r="I702" s="1"/>
      <c r="J702" s="1" t="s">
        <v>5323</v>
      </c>
      <c r="K702" s="1"/>
      <c r="L702" s="1" t="s">
        <v>2303</v>
      </c>
      <c r="M702" s="1" t="s">
        <v>5325</v>
      </c>
    </row>
    <row r="703">
      <c r="A703" s="1" t="s">
        <v>17</v>
      </c>
      <c r="B703" s="1">
        <v>1999.0</v>
      </c>
      <c r="C703" s="1" t="s">
        <v>5328</v>
      </c>
      <c r="D703" s="1" t="s">
        <v>5329</v>
      </c>
      <c r="E703" s="2" t="s">
        <v>5330</v>
      </c>
      <c r="F703" s="1">
        <v>401.0</v>
      </c>
      <c r="G703" s="1">
        <v>550.0</v>
      </c>
      <c r="H703" s="1" t="s">
        <v>28</v>
      </c>
      <c r="I703" s="1"/>
      <c r="J703" s="1" t="s">
        <v>5331</v>
      </c>
      <c r="K703" s="1"/>
      <c r="L703" s="1" t="s">
        <v>5332</v>
      </c>
    </row>
    <row r="704">
      <c r="A704" s="1" t="s">
        <v>17</v>
      </c>
      <c r="B704" s="1">
        <v>1999.0</v>
      </c>
      <c r="C704" s="1" t="s">
        <v>5333</v>
      </c>
      <c r="D704" s="1" t="s">
        <v>5334</v>
      </c>
      <c r="E704" s="2" t="s">
        <v>5335</v>
      </c>
      <c r="F704" s="1">
        <v>405.0</v>
      </c>
      <c r="G704" s="1">
        <v>551.0</v>
      </c>
      <c r="H704" s="1" t="s">
        <v>28</v>
      </c>
      <c r="I704" s="1"/>
      <c r="J704" s="1" t="s">
        <v>5336</v>
      </c>
      <c r="K704" s="1"/>
      <c r="L704" s="1" t="s">
        <v>3182</v>
      </c>
      <c r="M704" s="1" t="s">
        <v>3216</v>
      </c>
    </row>
    <row r="705">
      <c r="A705" s="1" t="s">
        <v>17</v>
      </c>
      <c r="B705" s="1">
        <v>1999.0</v>
      </c>
      <c r="C705" s="1" t="s">
        <v>5337</v>
      </c>
      <c r="D705" s="1" t="s">
        <v>5338</v>
      </c>
      <c r="E705" s="2" t="s">
        <v>5339</v>
      </c>
      <c r="F705" s="1">
        <v>409.0</v>
      </c>
      <c r="G705" s="1">
        <v>552.0</v>
      </c>
      <c r="H705" s="1" t="s">
        <v>28</v>
      </c>
      <c r="I705" s="1"/>
      <c r="J705" s="1" t="s">
        <v>5342</v>
      </c>
      <c r="K705" s="1"/>
      <c r="L705" s="1" t="s">
        <v>5343</v>
      </c>
      <c r="M705" s="1" t="s">
        <v>5344</v>
      </c>
    </row>
    <row r="706">
      <c r="A706" s="1" t="s">
        <v>17</v>
      </c>
      <c r="B706" s="1">
        <v>1999.0</v>
      </c>
      <c r="C706" s="1" t="s">
        <v>5345</v>
      </c>
      <c r="D706" s="1" t="s">
        <v>5346</v>
      </c>
      <c r="E706" s="2" t="s">
        <v>5347</v>
      </c>
      <c r="F706" s="1">
        <v>413.0</v>
      </c>
      <c r="G706" s="1">
        <v>553.0</v>
      </c>
      <c r="H706" s="1" t="s">
        <v>28</v>
      </c>
      <c r="I706" s="1"/>
      <c r="J706" s="1" t="s">
        <v>5348</v>
      </c>
      <c r="K706" s="1"/>
      <c r="L706" s="1" t="s">
        <v>5349</v>
      </c>
      <c r="M706" s="1" t="s">
        <v>3751</v>
      </c>
    </row>
    <row r="707">
      <c r="A707" s="1" t="s">
        <v>17</v>
      </c>
      <c r="B707" s="1">
        <v>1999.0</v>
      </c>
      <c r="C707" s="1" t="s">
        <v>5350</v>
      </c>
      <c r="D707" s="1" t="s">
        <v>5352</v>
      </c>
      <c r="E707" s="2" t="s">
        <v>5353</v>
      </c>
      <c r="F707" s="1">
        <v>417.0</v>
      </c>
      <c r="G707" s="1">
        <v>554.0</v>
      </c>
      <c r="H707" s="1" t="s">
        <v>28</v>
      </c>
      <c r="I707" s="1"/>
      <c r="J707" s="1" t="s">
        <v>3856</v>
      </c>
      <c r="K707" s="1"/>
      <c r="L707" s="1" t="s">
        <v>5233</v>
      </c>
      <c r="M707" s="1" t="s">
        <v>5356</v>
      </c>
    </row>
    <row r="708">
      <c r="A708" s="1" t="s">
        <v>17</v>
      </c>
      <c r="B708" s="1">
        <v>1999.0</v>
      </c>
      <c r="C708" s="1" t="s">
        <v>5357</v>
      </c>
      <c r="D708" s="1" t="s">
        <v>5358</v>
      </c>
      <c r="E708" s="2" t="s">
        <v>5359</v>
      </c>
      <c r="F708" s="1">
        <v>421.0</v>
      </c>
      <c r="G708" s="1">
        <v>423.0</v>
      </c>
      <c r="H708" s="1" t="s">
        <v>28</v>
      </c>
      <c r="I708" s="1"/>
      <c r="J708" s="1" t="s">
        <v>5360</v>
      </c>
      <c r="K708" s="1"/>
      <c r="L708" s="1" t="s">
        <v>5361</v>
      </c>
    </row>
    <row r="709">
      <c r="A709" s="1" t="s">
        <v>17</v>
      </c>
      <c r="B709" s="1">
        <v>1999.0</v>
      </c>
      <c r="C709" s="1" t="s">
        <v>5362</v>
      </c>
      <c r="D709" s="1" t="s">
        <v>5363</v>
      </c>
      <c r="E709" s="2" t="s">
        <v>5364</v>
      </c>
      <c r="F709" s="1">
        <v>425.0</v>
      </c>
      <c r="G709" s="1">
        <v>555.0</v>
      </c>
      <c r="H709" s="1" t="s">
        <v>28</v>
      </c>
      <c r="I709" s="1"/>
      <c r="J709" s="1" t="s">
        <v>5368</v>
      </c>
      <c r="K709" s="1"/>
      <c r="L709" s="1" t="s">
        <v>5369</v>
      </c>
      <c r="M709" s="1" t="s">
        <v>5370</v>
      </c>
    </row>
    <row r="710">
      <c r="A710" s="1" t="s">
        <v>17</v>
      </c>
      <c r="B710" s="1">
        <v>1999.0</v>
      </c>
      <c r="C710" s="1" t="s">
        <v>5371</v>
      </c>
      <c r="D710" s="1" t="s">
        <v>5372</v>
      </c>
      <c r="E710" s="2" t="s">
        <v>5373</v>
      </c>
      <c r="F710" s="1">
        <v>429.0</v>
      </c>
      <c r="G710" s="1">
        <v>556.0</v>
      </c>
      <c r="H710" s="1" t="s">
        <v>28</v>
      </c>
      <c r="I710" s="1"/>
      <c r="J710" s="1" t="s">
        <v>5374</v>
      </c>
      <c r="K710" s="1"/>
      <c r="L710" s="1" t="s">
        <v>5375</v>
      </c>
    </row>
    <row r="711">
      <c r="A711" s="1" t="s">
        <v>17</v>
      </c>
      <c r="B711" s="1">
        <v>1999.0</v>
      </c>
      <c r="C711" s="1" t="s">
        <v>5376</v>
      </c>
      <c r="D711" s="1" t="s">
        <v>5377</v>
      </c>
      <c r="E711" s="2" t="s">
        <v>5378</v>
      </c>
      <c r="F711" s="1">
        <v>433.0</v>
      </c>
      <c r="G711" s="1">
        <v>557.0</v>
      </c>
      <c r="H711" s="1" t="s">
        <v>28</v>
      </c>
      <c r="I711" s="1"/>
      <c r="J711" s="1" t="s">
        <v>5382</v>
      </c>
      <c r="K711" s="1"/>
      <c r="L711" s="1" t="s">
        <v>5383</v>
      </c>
      <c r="M711" s="1" t="s">
        <v>3359</v>
      </c>
    </row>
    <row r="712">
      <c r="A712" s="1" t="s">
        <v>17</v>
      </c>
      <c r="B712" s="1">
        <v>1999.0</v>
      </c>
      <c r="C712" s="1" t="s">
        <v>5384</v>
      </c>
      <c r="D712" s="1" t="s">
        <v>5385</v>
      </c>
      <c r="E712" s="2" t="s">
        <v>5386</v>
      </c>
      <c r="F712" s="1">
        <v>437.0</v>
      </c>
      <c r="G712" s="1">
        <v>558.0</v>
      </c>
      <c r="H712" s="1" t="s">
        <v>28</v>
      </c>
      <c r="I712" s="1"/>
      <c r="J712" s="1" t="s">
        <v>5387</v>
      </c>
      <c r="K712" s="1"/>
      <c r="L712" s="1" t="s">
        <v>5388</v>
      </c>
      <c r="M712" s="1" t="s">
        <v>5389</v>
      </c>
    </row>
    <row r="713">
      <c r="A713" s="1" t="s">
        <v>17</v>
      </c>
      <c r="B713" s="1">
        <v>1999.0</v>
      </c>
      <c r="C713" s="1" t="s">
        <v>5390</v>
      </c>
      <c r="D713" s="1" t="s">
        <v>5392</v>
      </c>
      <c r="E713" s="2" t="s">
        <v>5393</v>
      </c>
      <c r="F713" s="1">
        <v>441.0</v>
      </c>
      <c r="G713" s="1">
        <v>559.0</v>
      </c>
      <c r="H713" s="1" t="s">
        <v>28</v>
      </c>
      <c r="I713" s="1"/>
      <c r="J713" s="1" t="s">
        <v>5395</v>
      </c>
      <c r="K713" s="1"/>
      <c r="L713" s="1" t="s">
        <v>5396</v>
      </c>
    </row>
    <row r="714">
      <c r="A714" s="1" t="s">
        <v>17</v>
      </c>
      <c r="B714" s="1">
        <v>1999.0</v>
      </c>
      <c r="C714" s="1" t="s">
        <v>5400</v>
      </c>
      <c r="D714" s="1" t="s">
        <v>5401</v>
      </c>
      <c r="E714" s="2" t="s">
        <v>5402</v>
      </c>
      <c r="F714" s="1">
        <v>445.0</v>
      </c>
      <c r="G714" s="1">
        <v>560.0</v>
      </c>
      <c r="H714" s="1" t="s">
        <v>28</v>
      </c>
      <c r="I714" s="1"/>
      <c r="J714" s="1" t="s">
        <v>5403</v>
      </c>
      <c r="K714" s="1"/>
      <c r="L714" s="1" t="s">
        <v>4665</v>
      </c>
      <c r="M714" s="1" t="s">
        <v>4662</v>
      </c>
    </row>
    <row r="715">
      <c r="A715" s="1" t="s">
        <v>17</v>
      </c>
      <c r="B715" s="1">
        <v>1999.0</v>
      </c>
      <c r="C715" s="1" t="s">
        <v>5406</v>
      </c>
      <c r="D715" s="1" t="s">
        <v>5407</v>
      </c>
      <c r="E715" s="2" t="s">
        <v>5408</v>
      </c>
      <c r="F715" s="1">
        <v>449.0</v>
      </c>
      <c r="G715" s="1">
        <v>561.0</v>
      </c>
      <c r="H715" s="1" t="s">
        <v>28</v>
      </c>
      <c r="I715" s="1"/>
      <c r="J715" s="1" t="s">
        <v>5409</v>
      </c>
      <c r="K715" s="1"/>
      <c r="L715" s="1" t="s">
        <v>5410</v>
      </c>
      <c r="M715" s="1" t="s">
        <v>1512</v>
      </c>
    </row>
    <row r="716">
      <c r="A716" s="1" t="s">
        <v>17</v>
      </c>
      <c r="B716" s="1">
        <v>1999.0</v>
      </c>
      <c r="C716" s="1" t="s">
        <v>5411</v>
      </c>
      <c r="D716" s="1" t="s">
        <v>5412</v>
      </c>
      <c r="E716" s="2" t="s">
        <v>5413</v>
      </c>
      <c r="F716" s="1">
        <v>453.0</v>
      </c>
      <c r="G716" s="1">
        <v>562.0</v>
      </c>
      <c r="H716" s="1" t="s">
        <v>28</v>
      </c>
      <c r="I716" s="1"/>
      <c r="J716" s="1" t="s">
        <v>5417</v>
      </c>
      <c r="K716" s="1"/>
      <c r="L716" s="1" t="s">
        <v>1001</v>
      </c>
      <c r="M716" s="1" t="s">
        <v>2539</v>
      </c>
    </row>
    <row r="717">
      <c r="A717" s="1" t="s">
        <v>17</v>
      </c>
      <c r="B717" s="1">
        <v>1999.0</v>
      </c>
      <c r="C717" s="1" t="s">
        <v>5418</v>
      </c>
      <c r="D717" s="1" t="s">
        <v>5419</v>
      </c>
      <c r="E717" s="2" t="s">
        <v>5420</v>
      </c>
      <c r="F717" s="1">
        <v>457.0</v>
      </c>
      <c r="G717" s="1">
        <v>461.0</v>
      </c>
      <c r="H717" s="1" t="s">
        <v>28</v>
      </c>
      <c r="I717" s="1"/>
      <c r="J717" s="1" t="s">
        <v>5424</v>
      </c>
      <c r="K717" s="1"/>
      <c r="L717" s="1" t="s">
        <v>5425</v>
      </c>
      <c r="M717" s="1" t="s">
        <v>5426</v>
      </c>
    </row>
    <row r="718">
      <c r="A718" s="1" t="s">
        <v>17</v>
      </c>
      <c r="B718" s="1">
        <v>1999.0</v>
      </c>
      <c r="C718" s="1" t="s">
        <v>5427</v>
      </c>
      <c r="D718" s="1" t="s">
        <v>5428</v>
      </c>
      <c r="E718" s="2" t="s">
        <v>5429</v>
      </c>
      <c r="F718" s="1">
        <v>463.0</v>
      </c>
      <c r="G718" s="1">
        <v>466.0</v>
      </c>
      <c r="H718" s="1" t="s">
        <v>28</v>
      </c>
      <c r="I718" s="1"/>
      <c r="J718" s="1" t="s">
        <v>5433</v>
      </c>
      <c r="K718" s="1"/>
      <c r="L718" s="1" t="s">
        <v>494</v>
      </c>
    </row>
    <row r="719">
      <c r="A719" s="1" t="s">
        <v>17</v>
      </c>
      <c r="B719" s="1">
        <v>1999.0</v>
      </c>
      <c r="C719" s="1" t="s">
        <v>5435</v>
      </c>
      <c r="D719" s="1" t="s">
        <v>5436</v>
      </c>
      <c r="E719" s="2" t="s">
        <v>5437</v>
      </c>
      <c r="F719" s="1">
        <v>467.0</v>
      </c>
      <c r="G719" s="1">
        <v>563.0</v>
      </c>
      <c r="H719" s="1" t="s">
        <v>28</v>
      </c>
      <c r="I719" s="1"/>
      <c r="J719" s="1" t="s">
        <v>5438</v>
      </c>
      <c r="K719" s="1"/>
      <c r="L719" s="1" t="s">
        <v>2413</v>
      </c>
      <c r="M719" s="1" t="s">
        <v>3037</v>
      </c>
    </row>
    <row r="720">
      <c r="A720" s="1" t="s">
        <v>17</v>
      </c>
      <c r="B720" s="1">
        <v>1999.0</v>
      </c>
      <c r="C720" s="1" t="s">
        <v>5439</v>
      </c>
      <c r="D720" s="1" t="s">
        <v>5440</v>
      </c>
      <c r="E720" s="2" t="s">
        <v>5441</v>
      </c>
      <c r="F720" s="1">
        <v>471.0</v>
      </c>
      <c r="G720" s="1">
        <v>564.0</v>
      </c>
      <c r="H720" s="1" t="s">
        <v>28</v>
      </c>
      <c r="I720" s="1"/>
      <c r="J720" s="1" t="s">
        <v>5444</v>
      </c>
      <c r="K720" s="1"/>
      <c r="L720" s="1" t="s">
        <v>5445</v>
      </c>
      <c r="M720" s="1" t="s">
        <v>5446</v>
      </c>
    </row>
    <row r="721">
      <c r="A721" s="1" t="s">
        <v>17</v>
      </c>
      <c r="B721" s="1">
        <v>1999.0</v>
      </c>
      <c r="C721" s="1" t="s">
        <v>5447</v>
      </c>
      <c r="D721" s="1" t="s">
        <v>5448</v>
      </c>
      <c r="E721" s="2" t="s">
        <v>5449</v>
      </c>
      <c r="F721" s="1">
        <v>475.0</v>
      </c>
      <c r="G721" s="1">
        <v>478.0</v>
      </c>
      <c r="H721" s="1" t="s">
        <v>28</v>
      </c>
      <c r="I721" s="1"/>
      <c r="J721" s="1" t="s">
        <v>5452</v>
      </c>
      <c r="K721" s="1"/>
      <c r="L721" s="1" t="s">
        <v>5453</v>
      </c>
      <c r="M721" s="1" t="s">
        <v>5454</v>
      </c>
    </row>
    <row r="722">
      <c r="A722" s="1" t="s">
        <v>17</v>
      </c>
      <c r="B722" s="1">
        <v>1999.0</v>
      </c>
      <c r="C722" s="1" t="s">
        <v>5455</v>
      </c>
      <c r="D722" s="1" t="s">
        <v>5456</v>
      </c>
      <c r="E722" s="2" t="s">
        <v>5457</v>
      </c>
      <c r="F722" s="1">
        <v>481.0</v>
      </c>
      <c r="G722" s="1">
        <v>483.0</v>
      </c>
      <c r="H722" s="1" t="s">
        <v>21</v>
      </c>
      <c r="I722" s="1"/>
      <c r="J722" s="1" t="s">
        <v>5458</v>
      </c>
      <c r="K722" s="1"/>
      <c r="L722" s="1" t="s">
        <v>5459</v>
      </c>
    </row>
    <row r="723">
      <c r="A723" s="1" t="s">
        <v>17</v>
      </c>
      <c r="B723" s="1">
        <v>1999.0</v>
      </c>
      <c r="C723" s="1" t="s">
        <v>5460</v>
      </c>
      <c r="D723" s="1" t="s">
        <v>5461</v>
      </c>
      <c r="E723" s="2" t="s">
        <v>5462</v>
      </c>
      <c r="F723" s="1">
        <v>485.0</v>
      </c>
      <c r="G723" s="1">
        <v>490.0</v>
      </c>
      <c r="H723" s="1" t="s">
        <v>21</v>
      </c>
      <c r="I723" s="1"/>
      <c r="J723" s="1" t="s">
        <v>5465</v>
      </c>
      <c r="K723" s="1"/>
      <c r="L723" s="1" t="s">
        <v>5466</v>
      </c>
    </row>
    <row r="724">
      <c r="A724" s="1" t="s">
        <v>17</v>
      </c>
      <c r="B724" s="1">
        <v>1999.0</v>
      </c>
      <c r="C724" s="1" t="s">
        <v>5467</v>
      </c>
      <c r="D724" s="1" t="s">
        <v>5468</v>
      </c>
      <c r="E724" s="2" t="s">
        <v>5469</v>
      </c>
      <c r="F724" s="1">
        <v>491.0</v>
      </c>
      <c r="G724" s="1">
        <v>495.0</v>
      </c>
      <c r="H724" s="1" t="s">
        <v>21</v>
      </c>
      <c r="I724" s="1"/>
      <c r="J724" s="1" t="s">
        <v>5470</v>
      </c>
      <c r="K724" s="1"/>
      <c r="L724" s="1" t="s">
        <v>5471</v>
      </c>
    </row>
    <row r="725">
      <c r="A725" s="1" t="s">
        <v>2137</v>
      </c>
      <c r="B725" s="1">
        <v>2000.0</v>
      </c>
      <c r="C725" s="1" t="s">
        <v>5472</v>
      </c>
      <c r="D725" s="1" t="s">
        <v>5473</v>
      </c>
      <c r="E725" s="2" t="s">
        <v>5475</v>
      </c>
      <c r="F725" s="1">
        <v>173.0</v>
      </c>
      <c r="G725" s="1"/>
      <c r="H725" s="1" t="s">
        <v>28</v>
      </c>
      <c r="I725" s="1"/>
      <c r="J725" s="1" t="s">
        <v>5477</v>
      </c>
      <c r="K725" s="1"/>
      <c r="L725" s="1" t="s">
        <v>5478</v>
      </c>
      <c r="M725" s="1" t="s">
        <v>5479</v>
      </c>
    </row>
    <row r="726">
      <c r="A726" s="1" t="s">
        <v>2137</v>
      </c>
      <c r="B726" s="1">
        <v>2000.0</v>
      </c>
      <c r="C726" s="1" t="s">
        <v>5480</v>
      </c>
      <c r="D726" s="1" t="s">
        <v>5481</v>
      </c>
      <c r="E726" s="2" t="s">
        <v>5482</v>
      </c>
      <c r="F726" s="1">
        <v>5.0</v>
      </c>
      <c r="G726" s="1">
        <v>14.0</v>
      </c>
      <c r="H726" s="1" t="s">
        <v>28</v>
      </c>
      <c r="I726" s="1"/>
      <c r="J726" s="1" t="s">
        <v>5485</v>
      </c>
      <c r="K726" s="1"/>
      <c r="L726" s="1" t="s">
        <v>5115</v>
      </c>
      <c r="M726" s="1" t="s">
        <v>2728</v>
      </c>
    </row>
    <row r="727">
      <c r="A727" s="1" t="s">
        <v>2137</v>
      </c>
      <c r="B727" s="1">
        <v>2000.0</v>
      </c>
      <c r="C727" s="1" t="s">
        <v>5486</v>
      </c>
      <c r="D727" s="1" t="s">
        <v>5487</v>
      </c>
      <c r="E727" s="2" t="s">
        <v>5488</v>
      </c>
      <c r="F727" s="1">
        <v>15.0</v>
      </c>
      <c r="G727" s="1">
        <v>25.0</v>
      </c>
      <c r="H727" s="1" t="s">
        <v>28</v>
      </c>
      <c r="I727" s="1"/>
      <c r="J727" s="1" t="s">
        <v>5489</v>
      </c>
      <c r="K727" s="1"/>
      <c r="L727" s="1" t="s">
        <v>30</v>
      </c>
      <c r="M727" s="1" t="s">
        <v>2198</v>
      </c>
      <c r="N727" s="1" t="s">
        <v>5491</v>
      </c>
    </row>
    <row r="728">
      <c r="A728" s="1" t="s">
        <v>2137</v>
      </c>
      <c r="B728" s="1">
        <v>2000.0</v>
      </c>
      <c r="C728" s="1" t="s">
        <v>5493</v>
      </c>
      <c r="D728" s="1" t="s">
        <v>5494</v>
      </c>
      <c r="E728" s="2" t="s">
        <v>5495</v>
      </c>
      <c r="F728" s="1">
        <v>27.0</v>
      </c>
      <c r="G728" s="1">
        <v>36.0</v>
      </c>
      <c r="H728" s="1" t="s">
        <v>28</v>
      </c>
      <c r="I728" s="1"/>
      <c r="J728" s="1" t="s">
        <v>5496</v>
      </c>
      <c r="K728" s="1"/>
      <c r="L728" s="1" t="s">
        <v>5497</v>
      </c>
      <c r="M728" s="1" t="s">
        <v>5498</v>
      </c>
    </row>
    <row r="729">
      <c r="A729" s="1" t="s">
        <v>2137</v>
      </c>
      <c r="B729" s="1">
        <v>2000.0</v>
      </c>
      <c r="C729" s="1" t="s">
        <v>5499</v>
      </c>
      <c r="D729" s="1" t="s">
        <v>5500</v>
      </c>
      <c r="E729" s="2" t="s">
        <v>5501</v>
      </c>
      <c r="F729" s="1">
        <v>39.0</v>
      </c>
      <c r="G729" s="1">
        <v>47.0</v>
      </c>
      <c r="H729" s="1" t="s">
        <v>28</v>
      </c>
      <c r="I729" s="1"/>
      <c r="J729" s="1" t="s">
        <v>5505</v>
      </c>
      <c r="K729" s="1"/>
      <c r="L729" s="1" t="s">
        <v>178</v>
      </c>
      <c r="M729" s="1" t="s">
        <v>5506</v>
      </c>
      <c r="N729" s="1" t="s">
        <v>5507</v>
      </c>
    </row>
    <row r="730">
      <c r="A730" s="1" t="s">
        <v>2137</v>
      </c>
      <c r="B730" s="1">
        <v>2000.0</v>
      </c>
      <c r="C730" s="1" t="s">
        <v>5508</v>
      </c>
      <c r="D730" s="1" t="s">
        <v>5509</v>
      </c>
      <c r="E730" s="2" t="s">
        <v>5510</v>
      </c>
      <c r="F730" s="1">
        <v>49.0</v>
      </c>
      <c r="G730" s="1">
        <v>56.0</v>
      </c>
      <c r="H730" s="1" t="s">
        <v>28</v>
      </c>
      <c r="I730" s="1"/>
      <c r="J730" s="1" t="s">
        <v>5513</v>
      </c>
      <c r="K730" s="1"/>
      <c r="L730" s="1" t="s">
        <v>5515</v>
      </c>
      <c r="M730" s="1" t="s">
        <v>5516</v>
      </c>
      <c r="N730" s="1" t="s">
        <v>5517</v>
      </c>
    </row>
    <row r="731">
      <c r="A731" s="1" t="s">
        <v>2137</v>
      </c>
      <c r="B731" s="1">
        <v>2000.0</v>
      </c>
      <c r="C731" s="1" t="s">
        <v>5518</v>
      </c>
      <c r="D731" s="1" t="s">
        <v>5519</v>
      </c>
      <c r="E731" s="2" t="s">
        <v>5520</v>
      </c>
      <c r="F731" s="1">
        <v>57.0</v>
      </c>
      <c r="G731" s="1">
        <v>65.0</v>
      </c>
      <c r="H731" s="1" t="s">
        <v>28</v>
      </c>
      <c r="I731" s="1"/>
      <c r="J731" s="1" t="s">
        <v>5521</v>
      </c>
      <c r="K731" s="1"/>
      <c r="L731" s="1" t="s">
        <v>5522</v>
      </c>
      <c r="M731" s="1" t="s">
        <v>5523</v>
      </c>
    </row>
    <row r="732">
      <c r="A732" s="1" t="s">
        <v>2137</v>
      </c>
      <c r="B732" s="1">
        <v>2000.0</v>
      </c>
      <c r="C732" s="1" t="s">
        <v>5524</v>
      </c>
      <c r="D732" s="1" t="s">
        <v>5525</v>
      </c>
      <c r="E732" s="2" t="s">
        <v>5526</v>
      </c>
      <c r="F732" s="1">
        <v>69.0</v>
      </c>
      <c r="G732" s="1">
        <v>75.0</v>
      </c>
      <c r="H732" s="1" t="s">
        <v>28</v>
      </c>
      <c r="I732" s="1"/>
      <c r="J732" s="1" t="s">
        <v>5531</v>
      </c>
      <c r="K732" s="1"/>
      <c r="L732" s="1" t="s">
        <v>5532</v>
      </c>
      <c r="M732" s="1" t="s">
        <v>5533</v>
      </c>
      <c r="N732" s="1" t="s">
        <v>5534</v>
      </c>
    </row>
    <row r="733">
      <c r="A733" s="1" t="s">
        <v>2137</v>
      </c>
      <c r="B733" s="1">
        <v>2000.0</v>
      </c>
      <c r="C733" s="1" t="s">
        <v>5535</v>
      </c>
      <c r="D733" s="1" t="s">
        <v>5536</v>
      </c>
      <c r="E733" s="2" t="s">
        <v>5537</v>
      </c>
      <c r="F733" s="1">
        <v>77.0</v>
      </c>
      <c r="G733" s="1">
        <v>83.0</v>
      </c>
      <c r="H733" s="1" t="s">
        <v>28</v>
      </c>
      <c r="I733" s="1"/>
      <c r="J733" s="1" t="s">
        <v>5540</v>
      </c>
      <c r="K733" s="1"/>
      <c r="L733" s="1" t="s">
        <v>3635</v>
      </c>
      <c r="M733" s="1" t="s">
        <v>5541</v>
      </c>
    </row>
    <row r="734">
      <c r="A734" s="1" t="s">
        <v>2137</v>
      </c>
      <c r="B734" s="1">
        <v>2000.0</v>
      </c>
      <c r="C734" s="1" t="s">
        <v>5542</v>
      </c>
      <c r="D734" s="1" t="s">
        <v>5543</v>
      </c>
      <c r="E734" s="2" t="s">
        <v>5544</v>
      </c>
      <c r="F734" s="1">
        <v>85.0</v>
      </c>
      <c r="G734" s="1">
        <v>89.0</v>
      </c>
      <c r="H734" s="1" t="s">
        <v>28</v>
      </c>
      <c r="I734" s="1"/>
      <c r="J734" s="1" t="s">
        <v>5547</v>
      </c>
      <c r="K734" s="1"/>
      <c r="L734" s="1" t="s">
        <v>5548</v>
      </c>
      <c r="M734" s="1" t="s">
        <v>5549</v>
      </c>
    </row>
    <row r="735">
      <c r="A735" s="1" t="s">
        <v>2137</v>
      </c>
      <c r="B735" s="1">
        <v>2000.0</v>
      </c>
      <c r="C735" s="1" t="s">
        <v>5550</v>
      </c>
      <c r="D735" s="1" t="s">
        <v>5551</v>
      </c>
      <c r="E735" s="2" t="s">
        <v>5552</v>
      </c>
      <c r="F735" s="1">
        <v>91.0</v>
      </c>
      <c r="G735" s="1">
        <v>97.0</v>
      </c>
      <c r="H735" s="1" t="s">
        <v>28</v>
      </c>
      <c r="I735" s="1"/>
      <c r="J735" s="1" t="s">
        <v>5556</v>
      </c>
      <c r="K735" s="1"/>
      <c r="L735" s="1" t="s">
        <v>5557</v>
      </c>
      <c r="M735" s="1" t="s">
        <v>5558</v>
      </c>
    </row>
    <row r="736">
      <c r="A736" s="1" t="s">
        <v>2137</v>
      </c>
      <c r="B736" s="1">
        <v>2000.0</v>
      </c>
      <c r="C736" s="1" t="s">
        <v>5559</v>
      </c>
      <c r="D736" s="1" t="s">
        <v>5560</v>
      </c>
      <c r="E736" s="2" t="s">
        <v>5561</v>
      </c>
      <c r="F736" s="1">
        <v>99.0</v>
      </c>
      <c r="G736" s="1">
        <v>103.0</v>
      </c>
      <c r="H736" s="1" t="s">
        <v>28</v>
      </c>
      <c r="I736" s="1"/>
      <c r="J736" s="1" t="s">
        <v>5565</v>
      </c>
      <c r="K736" s="1"/>
      <c r="L736" s="1" t="s">
        <v>5566</v>
      </c>
      <c r="M736" s="1" t="s">
        <v>5567</v>
      </c>
    </row>
    <row r="737">
      <c r="A737" s="1" t="s">
        <v>2137</v>
      </c>
      <c r="B737" s="1">
        <v>2000.0</v>
      </c>
      <c r="C737" s="1" t="s">
        <v>5568</v>
      </c>
      <c r="D737" s="1" t="s">
        <v>5569</v>
      </c>
      <c r="E737" s="2" t="s">
        <v>5570</v>
      </c>
      <c r="F737" s="1">
        <v>105.0</v>
      </c>
      <c r="G737" s="1">
        <v>111.0</v>
      </c>
      <c r="H737" s="1" t="s">
        <v>28</v>
      </c>
      <c r="I737" s="1"/>
      <c r="J737" s="1" t="s">
        <v>5574</v>
      </c>
      <c r="K737" s="1"/>
      <c r="L737" s="1" t="s">
        <v>5575</v>
      </c>
      <c r="M737" s="1" t="s">
        <v>5576</v>
      </c>
    </row>
    <row r="738">
      <c r="A738" s="1" t="s">
        <v>2137</v>
      </c>
      <c r="B738" s="1">
        <v>2000.0</v>
      </c>
      <c r="C738" s="1" t="s">
        <v>5577</v>
      </c>
      <c r="D738" s="1" t="s">
        <v>5578</v>
      </c>
      <c r="E738" s="2" t="s">
        <v>5579</v>
      </c>
      <c r="F738" s="1">
        <v>115.0</v>
      </c>
      <c r="G738" s="1">
        <v>123.0</v>
      </c>
      <c r="H738" s="1" t="s">
        <v>28</v>
      </c>
      <c r="I738" s="1"/>
      <c r="J738" s="1" t="s">
        <v>5580</v>
      </c>
      <c r="K738" s="1"/>
      <c r="L738" s="1" t="s">
        <v>5581</v>
      </c>
      <c r="M738" s="1" t="s">
        <v>5582</v>
      </c>
    </row>
    <row r="739">
      <c r="A739" s="1" t="s">
        <v>2137</v>
      </c>
      <c r="B739" s="1">
        <v>2000.0</v>
      </c>
      <c r="C739" s="1" t="s">
        <v>5583</v>
      </c>
      <c r="D739" s="1" t="s">
        <v>5584</v>
      </c>
      <c r="E739" s="2" t="s">
        <v>5585</v>
      </c>
      <c r="F739" s="1">
        <v>125.0</v>
      </c>
      <c r="G739" s="1">
        <v>129.0</v>
      </c>
      <c r="H739" s="1" t="s">
        <v>28</v>
      </c>
      <c r="I739" s="1"/>
      <c r="J739" s="1" t="s">
        <v>5588</v>
      </c>
      <c r="K739" s="1"/>
      <c r="L739" s="1" t="s">
        <v>5589</v>
      </c>
    </row>
    <row r="740">
      <c r="A740" s="1" t="s">
        <v>2137</v>
      </c>
      <c r="B740" s="1">
        <v>2000.0</v>
      </c>
      <c r="C740" s="1" t="s">
        <v>5590</v>
      </c>
      <c r="D740" s="1" t="s">
        <v>5591</v>
      </c>
      <c r="E740" s="2" t="s">
        <v>5592</v>
      </c>
      <c r="F740" s="1">
        <v>131.0</v>
      </c>
      <c r="G740" s="1" t="s">
        <v>5593</v>
      </c>
      <c r="H740" s="1" t="s">
        <v>28</v>
      </c>
      <c r="I740" s="1"/>
      <c r="J740" s="1" t="s">
        <v>5594</v>
      </c>
      <c r="K740" s="1"/>
      <c r="L740" s="1" t="s">
        <v>5595</v>
      </c>
    </row>
    <row r="741">
      <c r="A741" s="1" t="s">
        <v>2137</v>
      </c>
      <c r="B741" s="1">
        <v>2000.0</v>
      </c>
      <c r="C741" s="1" t="s">
        <v>5596</v>
      </c>
      <c r="D741" s="1" t="s">
        <v>5597</v>
      </c>
      <c r="E741" s="2" t="s">
        <v>5598</v>
      </c>
      <c r="F741" s="1">
        <v>137.0</v>
      </c>
      <c r="G741" s="1">
        <v>141.0</v>
      </c>
      <c r="H741" s="1" t="s">
        <v>28</v>
      </c>
      <c r="I741" s="1"/>
      <c r="J741" s="1" t="s">
        <v>5602</v>
      </c>
      <c r="K741" s="1"/>
      <c r="L741" s="1" t="s">
        <v>5603</v>
      </c>
    </row>
    <row r="742">
      <c r="A742" s="1" t="s">
        <v>2137</v>
      </c>
      <c r="B742" s="1">
        <v>2000.0</v>
      </c>
      <c r="C742" s="1" t="s">
        <v>5604</v>
      </c>
      <c r="D742" s="1" t="s">
        <v>5605</v>
      </c>
      <c r="E742" s="2" t="s">
        <v>5606</v>
      </c>
      <c r="F742" s="1">
        <v>145.0</v>
      </c>
      <c r="G742" s="1">
        <v>153.0</v>
      </c>
      <c r="H742" s="1" t="s">
        <v>28</v>
      </c>
      <c r="I742" s="1"/>
      <c r="J742" s="1" t="s">
        <v>5608</v>
      </c>
      <c r="K742" s="1"/>
      <c r="L742" s="1" t="s">
        <v>5609</v>
      </c>
      <c r="M742" s="1" t="s">
        <v>3903</v>
      </c>
    </row>
    <row r="743">
      <c r="A743" s="1" t="s">
        <v>2137</v>
      </c>
      <c r="B743" s="1">
        <v>2000.0</v>
      </c>
      <c r="C743" s="1" t="s">
        <v>5611</v>
      </c>
      <c r="D743" s="1" t="s">
        <v>5612</v>
      </c>
      <c r="E743" s="2" t="s">
        <v>5613</v>
      </c>
      <c r="F743" s="1">
        <v>155.0</v>
      </c>
      <c r="G743" s="1">
        <v>165.0</v>
      </c>
      <c r="H743" s="1" t="s">
        <v>28</v>
      </c>
      <c r="I743" s="1"/>
      <c r="J743" s="1" t="s">
        <v>5614</v>
      </c>
      <c r="K743" s="1"/>
      <c r="L743" s="1" t="s">
        <v>5615</v>
      </c>
      <c r="M743" s="1" t="s">
        <v>3579</v>
      </c>
    </row>
    <row r="744">
      <c r="A744" s="1" t="s">
        <v>2137</v>
      </c>
      <c r="B744" s="1">
        <v>2000.0</v>
      </c>
      <c r="C744" s="1" t="s">
        <v>5616</v>
      </c>
      <c r="D744" s="1" t="s">
        <v>5617</v>
      </c>
      <c r="E744" s="2" t="s">
        <v>5618</v>
      </c>
      <c r="F744" s="1">
        <v>167.0</v>
      </c>
      <c r="G744" s="1">
        <v>171.0</v>
      </c>
      <c r="H744" s="1" t="s">
        <v>28</v>
      </c>
      <c r="I744" s="1"/>
      <c r="J744" s="1" t="s">
        <v>5622</v>
      </c>
      <c r="K744" s="1"/>
      <c r="L744" s="1" t="s">
        <v>5623</v>
      </c>
      <c r="M744" s="1"/>
      <c r="N744" s="1" t="s">
        <v>5624</v>
      </c>
    </row>
    <row r="745">
      <c r="A745" s="1" t="s">
        <v>17</v>
      </c>
      <c r="B745" s="1">
        <v>2000.0</v>
      </c>
      <c r="C745" s="1" t="s">
        <v>5625</v>
      </c>
      <c r="D745" s="1" t="s">
        <v>5626</v>
      </c>
      <c r="E745" s="2" t="s">
        <v>5627</v>
      </c>
      <c r="F745" s="1">
        <v>21.0</v>
      </c>
      <c r="G745" s="1">
        <v>28.0</v>
      </c>
      <c r="H745" s="1" t="s">
        <v>28</v>
      </c>
      <c r="I745" s="1"/>
      <c r="J745" s="1" t="s">
        <v>5636</v>
      </c>
      <c r="K745" s="1"/>
      <c r="L745" s="1" t="s">
        <v>5637</v>
      </c>
      <c r="M745" s="1" t="s">
        <v>4406</v>
      </c>
      <c r="N745" s="1" t="s">
        <v>5638</v>
      </c>
    </row>
    <row r="746">
      <c r="A746" s="1" t="s">
        <v>17</v>
      </c>
      <c r="B746" s="1">
        <v>2000.0</v>
      </c>
      <c r="C746" s="1" t="s">
        <v>5639</v>
      </c>
      <c r="D746" s="1" t="s">
        <v>5640</v>
      </c>
      <c r="E746" s="2" t="s">
        <v>5641</v>
      </c>
      <c r="F746" s="1">
        <v>29.0</v>
      </c>
      <c r="G746" s="1">
        <v>36.0</v>
      </c>
      <c r="H746" s="1" t="s">
        <v>28</v>
      </c>
      <c r="I746" s="1"/>
      <c r="J746" s="1" t="s">
        <v>5642</v>
      </c>
      <c r="K746" s="1"/>
      <c r="L746" s="1" t="s">
        <v>5643</v>
      </c>
      <c r="M746" s="1" t="s">
        <v>5644</v>
      </c>
      <c r="N746" s="1" t="s">
        <v>5645</v>
      </c>
    </row>
    <row r="747">
      <c r="A747" s="1" t="s">
        <v>17</v>
      </c>
      <c r="B747" s="1">
        <v>2000.0</v>
      </c>
      <c r="C747" s="1" t="s">
        <v>5646</v>
      </c>
      <c r="D747" s="1" t="s">
        <v>5647</v>
      </c>
      <c r="E747" s="2" t="s">
        <v>5648</v>
      </c>
      <c r="F747" s="1">
        <v>37.0</v>
      </c>
      <c r="G747" s="1">
        <v>44.0</v>
      </c>
      <c r="H747" s="1" t="s">
        <v>28</v>
      </c>
      <c r="I747" s="1"/>
      <c r="J747" s="1" t="s">
        <v>5649</v>
      </c>
      <c r="K747" s="1"/>
      <c r="L747" s="1" t="s">
        <v>184</v>
      </c>
      <c r="M747" s="1" t="s">
        <v>5320</v>
      </c>
      <c r="N747" s="1" t="s">
        <v>5650</v>
      </c>
    </row>
    <row r="748">
      <c r="A748" s="1" t="s">
        <v>17</v>
      </c>
      <c r="B748" s="1">
        <v>2000.0</v>
      </c>
      <c r="C748" s="1" t="s">
        <v>5651</v>
      </c>
      <c r="D748" s="1" t="s">
        <v>5652</v>
      </c>
      <c r="E748" s="2" t="s">
        <v>5653</v>
      </c>
      <c r="F748" s="1">
        <v>45.0</v>
      </c>
      <c r="G748" s="1">
        <v>52.0</v>
      </c>
      <c r="H748" s="1" t="s">
        <v>28</v>
      </c>
      <c r="I748" s="1"/>
      <c r="J748" s="1" t="s">
        <v>5654</v>
      </c>
      <c r="K748" s="1"/>
      <c r="L748" s="1" t="s">
        <v>5655</v>
      </c>
      <c r="M748" s="1" t="s">
        <v>5647</v>
      </c>
    </row>
    <row r="749">
      <c r="A749" s="1" t="s">
        <v>17</v>
      </c>
      <c r="B749" s="1">
        <v>2000.0</v>
      </c>
      <c r="C749" s="1" t="s">
        <v>5656</v>
      </c>
      <c r="D749" s="1" t="s">
        <v>5657</v>
      </c>
      <c r="E749" s="2" t="s">
        <v>5658</v>
      </c>
      <c r="F749" s="1">
        <v>53.0</v>
      </c>
      <c r="G749" s="1">
        <v>60.0</v>
      </c>
      <c r="H749" s="1" t="s">
        <v>28</v>
      </c>
      <c r="I749" s="1"/>
      <c r="J749" s="1" t="s">
        <v>5659</v>
      </c>
      <c r="K749" s="1"/>
      <c r="L749" s="1" t="s">
        <v>5660</v>
      </c>
      <c r="M749" s="1"/>
      <c r="N749" s="1" t="s">
        <v>5661</v>
      </c>
    </row>
    <row r="750">
      <c r="A750" s="1" t="s">
        <v>17</v>
      </c>
      <c r="B750" s="1">
        <v>2000.0</v>
      </c>
      <c r="C750" s="1" t="s">
        <v>5662</v>
      </c>
      <c r="D750" s="1" t="s">
        <v>5663</v>
      </c>
      <c r="E750" s="2" t="s">
        <v>5664</v>
      </c>
      <c r="F750" s="1">
        <v>61.0</v>
      </c>
      <c r="G750" s="1">
        <v>68.0</v>
      </c>
      <c r="H750" s="1" t="s">
        <v>28</v>
      </c>
      <c r="I750" s="1"/>
      <c r="J750" s="1" t="s">
        <v>5665</v>
      </c>
      <c r="K750" s="1"/>
      <c r="L750" s="1" t="s">
        <v>5666</v>
      </c>
      <c r="M750" s="1" t="s">
        <v>5667</v>
      </c>
      <c r="N750" s="1" t="s">
        <v>5668</v>
      </c>
    </row>
    <row r="751">
      <c r="A751" s="1" t="s">
        <v>17</v>
      </c>
      <c r="B751" s="1">
        <v>2000.0</v>
      </c>
      <c r="C751" s="1" t="s">
        <v>5669</v>
      </c>
      <c r="D751" s="1" t="s">
        <v>5670</v>
      </c>
      <c r="E751" s="2" t="s">
        <v>5671</v>
      </c>
      <c r="F751" s="1">
        <v>69.0</v>
      </c>
      <c r="G751" s="1">
        <v>76.0</v>
      </c>
      <c r="H751" s="1" t="s">
        <v>28</v>
      </c>
      <c r="I751" s="1"/>
      <c r="J751" s="1" t="s">
        <v>5672</v>
      </c>
      <c r="K751" s="1"/>
      <c r="L751" s="1" t="s">
        <v>5673</v>
      </c>
      <c r="M751" s="1" t="s">
        <v>5674</v>
      </c>
      <c r="N751" s="1" t="s">
        <v>5675</v>
      </c>
    </row>
    <row r="752">
      <c r="A752" s="1" t="s">
        <v>17</v>
      </c>
      <c r="B752" s="1">
        <v>2000.0</v>
      </c>
      <c r="C752" s="1" t="s">
        <v>5676</v>
      </c>
      <c r="D752" s="1" t="s">
        <v>5677</v>
      </c>
      <c r="E752" s="2" t="s">
        <v>5678</v>
      </c>
      <c r="F752" s="1">
        <v>77.0</v>
      </c>
      <c r="G752" s="1">
        <v>84.0</v>
      </c>
      <c r="H752" s="1" t="s">
        <v>28</v>
      </c>
      <c r="I752" s="1"/>
      <c r="J752" s="1" t="s">
        <v>5679</v>
      </c>
      <c r="K752" s="1"/>
      <c r="L752" s="1" t="s">
        <v>5680</v>
      </c>
      <c r="M752" s="1" t="s">
        <v>5681</v>
      </c>
      <c r="N752" s="1" t="s">
        <v>5682</v>
      </c>
    </row>
    <row r="753">
      <c r="A753" s="1" t="s">
        <v>17</v>
      </c>
      <c r="B753" s="1">
        <v>2000.0</v>
      </c>
      <c r="C753" s="1" t="s">
        <v>5683</v>
      </c>
      <c r="D753" s="1" t="s">
        <v>5684</v>
      </c>
      <c r="E753" s="2" t="s">
        <v>5685</v>
      </c>
      <c r="F753" s="1">
        <v>85.0</v>
      </c>
      <c r="G753" s="1">
        <v>92.0</v>
      </c>
      <c r="H753" s="1" t="s">
        <v>28</v>
      </c>
      <c r="I753" s="1"/>
      <c r="J753" s="1" t="s">
        <v>5686</v>
      </c>
      <c r="K753" s="1"/>
      <c r="L753" s="1" t="s">
        <v>5687</v>
      </c>
      <c r="M753" s="1" t="s">
        <v>5688</v>
      </c>
      <c r="N753" s="1" t="s">
        <v>5689</v>
      </c>
    </row>
    <row r="754">
      <c r="A754" s="1" t="s">
        <v>17</v>
      </c>
      <c r="B754" s="1">
        <v>2000.0</v>
      </c>
      <c r="C754" s="1" t="s">
        <v>5690</v>
      </c>
      <c r="D754" s="1" t="s">
        <v>5691</v>
      </c>
      <c r="E754" s="2" t="s">
        <v>5692</v>
      </c>
      <c r="F754" s="1">
        <v>93.0</v>
      </c>
      <c r="G754" s="1">
        <v>100.0</v>
      </c>
      <c r="H754" s="1" t="s">
        <v>28</v>
      </c>
      <c r="I754" s="1"/>
      <c r="J754" s="1" t="s">
        <v>5693</v>
      </c>
      <c r="K754" s="1"/>
      <c r="L754" s="1" t="s">
        <v>5694</v>
      </c>
      <c r="M754" s="1" t="s">
        <v>3730</v>
      </c>
    </row>
    <row r="755">
      <c r="A755" s="1" t="s">
        <v>17</v>
      </c>
      <c r="B755" s="1">
        <v>2000.0</v>
      </c>
      <c r="C755" s="1" t="s">
        <v>5695</v>
      </c>
      <c r="D755" s="1" t="s">
        <v>5696</v>
      </c>
      <c r="E755" s="2" t="s">
        <v>5697</v>
      </c>
      <c r="F755" s="1">
        <v>101.0</v>
      </c>
      <c r="G755" s="1">
        <v>108.0</v>
      </c>
      <c r="H755" s="1" t="s">
        <v>28</v>
      </c>
      <c r="I755" s="1"/>
      <c r="J755" s="1" t="s">
        <v>5698</v>
      </c>
      <c r="K755" s="1"/>
      <c r="L755" s="1" t="s">
        <v>753</v>
      </c>
      <c r="M755" s="1" t="s">
        <v>4959</v>
      </c>
      <c r="N755" s="1" t="s">
        <v>5699</v>
      </c>
    </row>
    <row r="756">
      <c r="A756" s="1" t="s">
        <v>17</v>
      </c>
      <c r="B756" s="1">
        <v>2000.0</v>
      </c>
      <c r="C756" s="1" t="s">
        <v>5700</v>
      </c>
      <c r="D756" s="1" t="s">
        <v>5701</v>
      </c>
      <c r="E756" s="2" t="s">
        <v>5702</v>
      </c>
      <c r="F756" s="1">
        <v>109.0</v>
      </c>
      <c r="G756" s="1">
        <v>116.0</v>
      </c>
      <c r="H756" s="1" t="s">
        <v>28</v>
      </c>
      <c r="I756" s="1"/>
      <c r="J756" s="1" t="s">
        <v>5703</v>
      </c>
      <c r="K756" s="1"/>
      <c r="L756" s="1" t="s">
        <v>5704</v>
      </c>
      <c r="M756" s="1" t="s">
        <v>5705</v>
      </c>
      <c r="N756" s="1" t="s">
        <v>5706</v>
      </c>
    </row>
    <row r="757">
      <c r="A757" s="1" t="s">
        <v>17</v>
      </c>
      <c r="B757" s="1">
        <v>2000.0</v>
      </c>
      <c r="C757" s="1" t="s">
        <v>5707</v>
      </c>
      <c r="D757" s="1" t="s">
        <v>5708</v>
      </c>
      <c r="E757" s="2" t="s">
        <v>5709</v>
      </c>
      <c r="F757" s="1">
        <v>117.0</v>
      </c>
      <c r="G757" s="1">
        <v>124.0</v>
      </c>
      <c r="H757" s="1" t="s">
        <v>28</v>
      </c>
      <c r="I757" s="1"/>
      <c r="J757" s="1" t="s">
        <v>5710</v>
      </c>
      <c r="K757" s="1"/>
      <c r="L757" s="1" t="s">
        <v>3047</v>
      </c>
      <c r="M757" s="1" t="s">
        <v>5110</v>
      </c>
      <c r="N757" s="1" t="s">
        <v>5711</v>
      </c>
    </row>
    <row r="758">
      <c r="A758" s="1" t="s">
        <v>17</v>
      </c>
      <c r="B758" s="1">
        <v>2000.0</v>
      </c>
      <c r="C758" s="1" t="s">
        <v>5712</v>
      </c>
      <c r="D758" s="1" t="s">
        <v>5713</v>
      </c>
      <c r="E758" s="2" t="s">
        <v>5714</v>
      </c>
      <c r="F758" s="1">
        <v>125.0</v>
      </c>
      <c r="G758" s="1">
        <v>130.0</v>
      </c>
      <c r="H758" s="1" t="s">
        <v>28</v>
      </c>
      <c r="I758" s="1"/>
      <c r="J758" s="1" t="s">
        <v>5715</v>
      </c>
      <c r="K758" s="1"/>
      <c r="L758" s="1" t="s">
        <v>5716</v>
      </c>
      <c r="M758" s="1" t="s">
        <v>5057</v>
      </c>
      <c r="N758" s="1" t="s">
        <v>5717</v>
      </c>
    </row>
    <row r="759">
      <c r="A759" s="1" t="s">
        <v>17</v>
      </c>
      <c r="B759" s="1">
        <v>2000.0</v>
      </c>
      <c r="C759" s="1" t="s">
        <v>5718</v>
      </c>
      <c r="D759" s="1" t="s">
        <v>5719</v>
      </c>
      <c r="E759" s="2" t="s">
        <v>5720</v>
      </c>
      <c r="F759" s="1">
        <v>131.0</v>
      </c>
      <c r="G759" s="1">
        <v>137.0</v>
      </c>
      <c r="H759" s="1" t="s">
        <v>28</v>
      </c>
      <c r="I759" s="1"/>
      <c r="J759" s="1" t="s">
        <v>5721</v>
      </c>
      <c r="K759" s="1"/>
      <c r="L759" s="1" t="s">
        <v>5722</v>
      </c>
      <c r="M759" s="1" t="s">
        <v>5723</v>
      </c>
      <c r="N759" s="1" t="s">
        <v>5724</v>
      </c>
    </row>
    <row r="760">
      <c r="A760" s="1" t="s">
        <v>17</v>
      </c>
      <c r="B760" s="1">
        <v>2000.0</v>
      </c>
      <c r="C760" s="1" t="s">
        <v>5725</v>
      </c>
      <c r="D760" s="1" t="s">
        <v>5726</v>
      </c>
      <c r="E760" s="2" t="s">
        <v>5727</v>
      </c>
      <c r="F760" s="1">
        <v>139.0</v>
      </c>
      <c r="G760" s="1">
        <v>146.0</v>
      </c>
      <c r="H760" s="1" t="s">
        <v>28</v>
      </c>
      <c r="I760" s="1"/>
      <c r="J760" s="1" t="s">
        <v>5728</v>
      </c>
      <c r="K760" s="1"/>
      <c r="L760" s="1" t="s">
        <v>5729</v>
      </c>
      <c r="M760" s="1" t="s">
        <v>3012</v>
      </c>
      <c r="N760" s="1" t="s">
        <v>5730</v>
      </c>
    </row>
    <row r="761">
      <c r="A761" s="1" t="s">
        <v>17</v>
      </c>
      <c r="B761" s="1">
        <v>2000.0</v>
      </c>
      <c r="C761" s="1" t="s">
        <v>5731</v>
      </c>
      <c r="D761" s="1" t="s">
        <v>5732</v>
      </c>
      <c r="E761" s="2" t="s">
        <v>5733</v>
      </c>
      <c r="F761" s="1">
        <v>147.0</v>
      </c>
      <c r="G761" s="1">
        <v>154.0</v>
      </c>
      <c r="H761" s="1" t="s">
        <v>28</v>
      </c>
      <c r="I761" s="1"/>
      <c r="J761" s="1" t="s">
        <v>5734</v>
      </c>
      <c r="K761" s="1"/>
      <c r="L761" s="1" t="s">
        <v>5735</v>
      </c>
      <c r="M761" s="1" t="s">
        <v>5736</v>
      </c>
      <c r="N761" s="1" t="s">
        <v>5737</v>
      </c>
    </row>
    <row r="762">
      <c r="A762" s="1" t="s">
        <v>17</v>
      </c>
      <c r="B762" s="1">
        <v>2000.0</v>
      </c>
      <c r="C762" s="1" t="s">
        <v>5738</v>
      </c>
      <c r="D762" s="1" t="s">
        <v>5739</v>
      </c>
      <c r="E762" s="2" t="s">
        <v>5740</v>
      </c>
      <c r="F762" s="1">
        <v>155.0</v>
      </c>
      <c r="G762" s="1">
        <v>162.0</v>
      </c>
      <c r="H762" s="1" t="s">
        <v>28</v>
      </c>
      <c r="I762" s="1"/>
      <c r="J762" s="1" t="s">
        <v>5741</v>
      </c>
      <c r="K762" s="1"/>
      <c r="L762" s="1" t="s">
        <v>5742</v>
      </c>
      <c r="M762" s="1" t="s">
        <v>5743</v>
      </c>
      <c r="N762" s="1" t="s">
        <v>5744</v>
      </c>
    </row>
    <row r="763">
      <c r="A763" s="1" t="s">
        <v>17</v>
      </c>
      <c r="B763" s="1">
        <v>2000.0</v>
      </c>
      <c r="C763" s="1" t="s">
        <v>5745</v>
      </c>
      <c r="D763" s="1" t="s">
        <v>5746</v>
      </c>
      <c r="E763" s="2" t="s">
        <v>5747</v>
      </c>
      <c r="F763" s="1">
        <v>163.0</v>
      </c>
      <c r="G763" s="1">
        <v>170.0</v>
      </c>
      <c r="H763" s="1" t="s">
        <v>28</v>
      </c>
      <c r="I763" s="1"/>
      <c r="J763" s="1" t="s">
        <v>5265</v>
      </c>
      <c r="K763" s="1"/>
      <c r="L763" s="1" t="s">
        <v>5748</v>
      </c>
      <c r="M763" s="1" t="s">
        <v>5749</v>
      </c>
      <c r="N763" s="1" t="s">
        <v>5750</v>
      </c>
    </row>
    <row r="764">
      <c r="A764" s="1" t="s">
        <v>17</v>
      </c>
      <c r="B764" s="1">
        <v>2000.0</v>
      </c>
      <c r="C764" s="1" t="s">
        <v>5751</v>
      </c>
      <c r="D764" s="1" t="s">
        <v>5752</v>
      </c>
      <c r="E764" s="2" t="s">
        <v>5753</v>
      </c>
      <c r="F764" s="1">
        <v>171.0</v>
      </c>
      <c r="G764" s="1">
        <v>178.0</v>
      </c>
      <c r="H764" s="1" t="s">
        <v>28</v>
      </c>
      <c r="I764" s="1"/>
      <c r="J764" s="1" t="s">
        <v>5754</v>
      </c>
      <c r="K764" s="1"/>
      <c r="L764" s="1" t="s">
        <v>5755</v>
      </c>
      <c r="M764" s="1" t="s">
        <v>5020</v>
      </c>
      <c r="N764" s="1" t="s">
        <v>5756</v>
      </c>
    </row>
    <row r="765">
      <c r="A765" s="1" t="s">
        <v>17</v>
      </c>
      <c r="B765" s="1">
        <v>2000.0</v>
      </c>
      <c r="C765" s="1" t="s">
        <v>5757</v>
      </c>
      <c r="D765" s="1" t="s">
        <v>5758</v>
      </c>
      <c r="E765" s="2" t="s">
        <v>5759</v>
      </c>
      <c r="F765" s="1">
        <v>179.0</v>
      </c>
      <c r="G765" s="1">
        <v>185.0</v>
      </c>
      <c r="H765" s="1" t="s">
        <v>28</v>
      </c>
      <c r="I765" s="1"/>
      <c r="J765" s="1" t="s">
        <v>5760</v>
      </c>
      <c r="K765" s="1"/>
      <c r="L765" s="1" t="s">
        <v>5761</v>
      </c>
      <c r="M765" s="1"/>
      <c r="N765" s="1" t="s">
        <v>5762</v>
      </c>
    </row>
    <row r="766">
      <c r="A766" s="1" t="s">
        <v>17</v>
      </c>
      <c r="B766" s="1">
        <v>2000.0</v>
      </c>
      <c r="C766" s="1" t="s">
        <v>5763</v>
      </c>
      <c r="D766" s="1" t="s">
        <v>5764</v>
      </c>
      <c r="E766" s="2" t="s">
        <v>5765</v>
      </c>
      <c r="F766" s="1">
        <v>187.0</v>
      </c>
      <c r="G766" s="1">
        <v>194.0</v>
      </c>
      <c r="H766" s="1" t="s">
        <v>28</v>
      </c>
      <c r="I766" s="1"/>
      <c r="J766" s="1" t="s">
        <v>5766</v>
      </c>
      <c r="K766" s="1"/>
      <c r="L766" s="1" t="s">
        <v>5767</v>
      </c>
      <c r="M766" s="1" t="s">
        <v>3037</v>
      </c>
      <c r="N766" s="1" t="s">
        <v>5768</v>
      </c>
    </row>
    <row r="767">
      <c r="A767" s="1" t="s">
        <v>17</v>
      </c>
      <c r="B767" s="1">
        <v>2000.0</v>
      </c>
      <c r="C767" s="1" t="s">
        <v>5769</v>
      </c>
      <c r="D767" s="1" t="s">
        <v>5770</v>
      </c>
      <c r="E767" s="2" t="s">
        <v>5771</v>
      </c>
      <c r="F767" s="1">
        <v>195.0</v>
      </c>
      <c r="G767" s="1">
        <v>202.0</v>
      </c>
      <c r="H767" s="1" t="s">
        <v>28</v>
      </c>
      <c r="I767" s="1"/>
      <c r="J767" s="1" t="s">
        <v>5772</v>
      </c>
      <c r="K767" s="1"/>
      <c r="L767" s="1" t="s">
        <v>5773</v>
      </c>
      <c r="M767" s="1" t="s">
        <v>5774</v>
      </c>
      <c r="N767" s="1" t="s">
        <v>5775</v>
      </c>
    </row>
    <row r="768">
      <c r="A768" s="1" t="s">
        <v>17</v>
      </c>
      <c r="B768" s="1">
        <v>2000.0</v>
      </c>
      <c r="C768" s="1" t="s">
        <v>5776</v>
      </c>
      <c r="D768" s="1" t="s">
        <v>5777</v>
      </c>
      <c r="E768" s="2" t="s">
        <v>5778</v>
      </c>
      <c r="F768" s="1">
        <v>203.0</v>
      </c>
      <c r="G768" s="1">
        <v>210.0</v>
      </c>
      <c r="H768" s="1" t="s">
        <v>28</v>
      </c>
      <c r="I768" s="1"/>
      <c r="J768" s="1" t="s">
        <v>5779</v>
      </c>
      <c r="K768" s="1"/>
      <c r="L768" s="1" t="s">
        <v>5780</v>
      </c>
      <c r="M768" s="1" t="s">
        <v>3024</v>
      </c>
      <c r="N768" s="1" t="s">
        <v>5781</v>
      </c>
    </row>
    <row r="769">
      <c r="A769" s="1" t="s">
        <v>17</v>
      </c>
      <c r="B769" s="1">
        <v>2000.0</v>
      </c>
      <c r="C769" s="1" t="s">
        <v>5782</v>
      </c>
      <c r="D769" s="1" t="s">
        <v>5783</v>
      </c>
      <c r="E769" s="2" t="s">
        <v>5784</v>
      </c>
      <c r="F769" s="1">
        <v>211.0</v>
      </c>
      <c r="G769" s="1">
        <v>218.0</v>
      </c>
      <c r="H769" s="1" t="s">
        <v>28</v>
      </c>
      <c r="I769" s="1"/>
      <c r="J769" s="1" t="s">
        <v>5785</v>
      </c>
      <c r="K769" s="1"/>
      <c r="L769" s="1" t="s">
        <v>5786</v>
      </c>
      <c r="M769" s="1" t="s">
        <v>5787</v>
      </c>
      <c r="N769" s="1" t="s">
        <v>5788</v>
      </c>
    </row>
    <row r="770">
      <c r="A770" s="1" t="s">
        <v>17</v>
      </c>
      <c r="B770" s="1">
        <v>2000.0</v>
      </c>
      <c r="C770" s="1" t="s">
        <v>5789</v>
      </c>
      <c r="D770" s="1" t="s">
        <v>5790</v>
      </c>
      <c r="E770" s="2" t="s">
        <v>5791</v>
      </c>
      <c r="F770" s="1">
        <v>219.0</v>
      </c>
      <c r="G770" s="1">
        <v>226.0</v>
      </c>
      <c r="H770" s="1" t="s">
        <v>28</v>
      </c>
      <c r="I770" s="1"/>
      <c r="J770" s="1" t="s">
        <v>5792</v>
      </c>
      <c r="K770" s="1"/>
      <c r="L770" s="1" t="s">
        <v>2670</v>
      </c>
      <c r="M770" s="1" t="s">
        <v>5793</v>
      </c>
    </row>
    <row r="771">
      <c r="A771" s="1" t="s">
        <v>17</v>
      </c>
      <c r="B771" s="1">
        <v>2000.0</v>
      </c>
      <c r="C771" s="1" t="s">
        <v>5794</v>
      </c>
      <c r="D771" s="1" t="s">
        <v>5795</v>
      </c>
      <c r="E771" s="2" t="s">
        <v>5796</v>
      </c>
      <c r="F771" s="1">
        <v>227.0</v>
      </c>
      <c r="G771" s="1">
        <v>234.0</v>
      </c>
      <c r="H771" s="1" t="s">
        <v>28</v>
      </c>
      <c r="I771" s="1"/>
      <c r="J771" s="1" t="s">
        <v>5797</v>
      </c>
      <c r="K771" s="1"/>
      <c r="L771" s="1" t="s">
        <v>5798</v>
      </c>
      <c r="M771" s="1" t="s">
        <v>5799</v>
      </c>
      <c r="N771" s="1" t="s">
        <v>5800</v>
      </c>
    </row>
    <row r="772">
      <c r="A772" s="1" t="s">
        <v>17</v>
      </c>
      <c r="B772" s="1">
        <v>2000.0</v>
      </c>
      <c r="C772" s="1" t="s">
        <v>5801</v>
      </c>
      <c r="D772" s="1" t="s">
        <v>5802</v>
      </c>
      <c r="E772" s="2" t="s">
        <v>5803</v>
      </c>
      <c r="F772" s="1">
        <v>235.0</v>
      </c>
      <c r="G772" s="1">
        <v>242.0</v>
      </c>
      <c r="H772" s="1" t="s">
        <v>28</v>
      </c>
      <c r="I772" s="1"/>
      <c r="J772" s="1" t="s">
        <v>5804</v>
      </c>
      <c r="K772" s="1"/>
      <c r="L772" s="1" t="s">
        <v>1001</v>
      </c>
      <c r="M772" s="1" t="s">
        <v>4139</v>
      </c>
      <c r="N772" s="1" t="s">
        <v>5805</v>
      </c>
    </row>
    <row r="773">
      <c r="A773" s="1" t="s">
        <v>17</v>
      </c>
      <c r="B773" s="1">
        <v>2000.0</v>
      </c>
      <c r="C773" s="1" t="s">
        <v>5806</v>
      </c>
      <c r="D773" s="1" t="s">
        <v>5807</v>
      </c>
      <c r="E773" s="2" t="s">
        <v>5808</v>
      </c>
      <c r="F773" s="1">
        <v>243.0</v>
      </c>
      <c r="G773" s="1">
        <v>250.0</v>
      </c>
      <c r="H773" s="1" t="s">
        <v>28</v>
      </c>
      <c r="I773" s="1"/>
      <c r="J773" s="1" t="s">
        <v>5809</v>
      </c>
      <c r="K773" s="1"/>
      <c r="L773" s="1" t="s">
        <v>5810</v>
      </c>
      <c r="M773" s="1"/>
      <c r="N773" s="1" t="s">
        <v>5811</v>
      </c>
    </row>
    <row r="774">
      <c r="A774" s="1" t="s">
        <v>17</v>
      </c>
      <c r="B774" s="1">
        <v>2000.0</v>
      </c>
      <c r="C774" s="1" t="s">
        <v>5812</v>
      </c>
      <c r="D774" s="1" t="s">
        <v>5813</v>
      </c>
      <c r="E774" s="2" t="s">
        <v>5814</v>
      </c>
      <c r="F774" s="1">
        <v>251.0</v>
      </c>
      <c r="G774" s="1">
        <v>258.0</v>
      </c>
      <c r="H774" s="1" t="s">
        <v>28</v>
      </c>
      <c r="I774" s="1"/>
      <c r="J774" s="1" t="s">
        <v>5815</v>
      </c>
      <c r="K774" s="1"/>
      <c r="L774" s="1" t="s">
        <v>753</v>
      </c>
      <c r="M774" s="1" t="s">
        <v>5816</v>
      </c>
      <c r="N774" s="1" t="s">
        <v>5817</v>
      </c>
    </row>
    <row r="775">
      <c r="A775" s="1" t="s">
        <v>17</v>
      </c>
      <c r="B775" s="1">
        <v>2000.0</v>
      </c>
      <c r="C775" s="1" t="s">
        <v>5818</v>
      </c>
      <c r="D775" s="1" t="s">
        <v>5819</v>
      </c>
      <c r="E775" s="2" t="s">
        <v>5820</v>
      </c>
      <c r="F775" s="1">
        <v>259.0</v>
      </c>
      <c r="G775" s="1">
        <v>266.0</v>
      </c>
      <c r="H775" s="1" t="s">
        <v>28</v>
      </c>
      <c r="I775" s="1"/>
      <c r="J775" s="1" t="s">
        <v>5821</v>
      </c>
      <c r="K775" s="1"/>
      <c r="L775" s="1" t="s">
        <v>5822</v>
      </c>
      <c r="M775" s="1" t="s">
        <v>5823</v>
      </c>
      <c r="N775" s="1" t="s">
        <v>5824</v>
      </c>
    </row>
    <row r="776">
      <c r="A776" s="1" t="s">
        <v>17</v>
      </c>
      <c r="B776" s="1">
        <v>2000.0</v>
      </c>
      <c r="C776" s="1" t="s">
        <v>5825</v>
      </c>
      <c r="D776" s="1" t="s">
        <v>5826</v>
      </c>
      <c r="E776" s="2" t="s">
        <v>5827</v>
      </c>
      <c r="F776" s="1">
        <v>267.0</v>
      </c>
      <c r="G776" s="1">
        <v>273.0</v>
      </c>
      <c r="H776" s="1" t="s">
        <v>28</v>
      </c>
      <c r="I776" s="1"/>
      <c r="J776" s="1" t="s">
        <v>5828</v>
      </c>
      <c r="K776" s="1"/>
      <c r="L776" s="1" t="s">
        <v>5829</v>
      </c>
      <c r="M776" s="1" t="s">
        <v>5830</v>
      </c>
    </row>
    <row r="777">
      <c r="A777" s="1" t="s">
        <v>17</v>
      </c>
      <c r="B777" s="1">
        <v>2000.0</v>
      </c>
      <c r="C777" s="1" t="s">
        <v>5831</v>
      </c>
      <c r="D777" s="1" t="s">
        <v>5832</v>
      </c>
      <c r="E777" s="2" t="s">
        <v>5833</v>
      </c>
      <c r="F777" s="1">
        <v>275.0</v>
      </c>
      <c r="G777" s="1">
        <v>282.0</v>
      </c>
      <c r="H777" s="1" t="s">
        <v>28</v>
      </c>
      <c r="I777" s="1"/>
      <c r="J777" s="1" t="s">
        <v>5834</v>
      </c>
      <c r="K777" s="1"/>
      <c r="L777" s="1" t="s">
        <v>5835</v>
      </c>
      <c r="M777" s="1" t="s">
        <v>5819</v>
      </c>
      <c r="N777" s="1" t="s">
        <v>5836</v>
      </c>
    </row>
    <row r="778">
      <c r="A778" s="1" t="s">
        <v>17</v>
      </c>
      <c r="B778" s="1">
        <v>2000.0</v>
      </c>
      <c r="C778" s="1" t="s">
        <v>5837</v>
      </c>
      <c r="D778" s="1" t="s">
        <v>5838</v>
      </c>
      <c r="E778" s="2" t="s">
        <v>5839</v>
      </c>
      <c r="F778" s="1">
        <v>283.0</v>
      </c>
      <c r="G778" s="1">
        <v>289.0</v>
      </c>
      <c r="H778" s="1" t="s">
        <v>28</v>
      </c>
      <c r="I778" s="1"/>
      <c r="J778" s="1" t="s">
        <v>5840</v>
      </c>
      <c r="K778" s="1"/>
      <c r="L778" s="1" t="s">
        <v>5841</v>
      </c>
      <c r="M778" s="1" t="s">
        <v>5842</v>
      </c>
      <c r="N778" s="1" t="s">
        <v>5843</v>
      </c>
    </row>
    <row r="779">
      <c r="A779" s="1" t="s">
        <v>17</v>
      </c>
      <c r="B779" s="1">
        <v>2000.0</v>
      </c>
      <c r="C779" s="1" t="s">
        <v>5844</v>
      </c>
      <c r="D779" s="1" t="s">
        <v>5845</v>
      </c>
      <c r="E779" s="2" t="s">
        <v>5846</v>
      </c>
      <c r="F779" s="1">
        <v>291.0</v>
      </c>
      <c r="G779" s="1">
        <v>296.0</v>
      </c>
      <c r="H779" s="1" t="s">
        <v>28</v>
      </c>
      <c r="I779" s="1"/>
      <c r="J779" s="1" t="s">
        <v>5847</v>
      </c>
      <c r="K779" s="1"/>
      <c r="L779" s="1" t="s">
        <v>5848</v>
      </c>
      <c r="M779" s="1" t="s">
        <v>5849</v>
      </c>
      <c r="N779" s="1" t="s">
        <v>5850</v>
      </c>
    </row>
    <row r="780">
      <c r="A780" s="1" t="s">
        <v>17</v>
      </c>
      <c r="B780" s="1">
        <v>2000.0</v>
      </c>
      <c r="C780" s="1" t="s">
        <v>5851</v>
      </c>
      <c r="D780" s="1" t="s">
        <v>5852</v>
      </c>
      <c r="E780" s="2" t="s">
        <v>5853</v>
      </c>
      <c r="F780" s="1">
        <v>297.0</v>
      </c>
      <c r="G780" s="1">
        <v>302.0</v>
      </c>
      <c r="H780" s="1" t="s">
        <v>28</v>
      </c>
      <c r="I780" s="1"/>
      <c r="J780" s="1" t="s">
        <v>5854</v>
      </c>
      <c r="K780" s="1"/>
      <c r="L780" s="1" t="s">
        <v>5855</v>
      </c>
      <c r="M780" s="1"/>
      <c r="N780" s="1" t="s">
        <v>5856</v>
      </c>
    </row>
    <row r="781">
      <c r="A781" s="1" t="s">
        <v>17</v>
      </c>
      <c r="B781" s="1">
        <v>2000.0</v>
      </c>
      <c r="C781" s="1" t="s">
        <v>5857</v>
      </c>
      <c r="D781" s="1" t="s">
        <v>5858</v>
      </c>
      <c r="E781" s="2" t="s">
        <v>5859</v>
      </c>
      <c r="F781" s="1">
        <v>303.0</v>
      </c>
      <c r="G781" s="1">
        <v>310.0</v>
      </c>
      <c r="H781" s="1" t="s">
        <v>28</v>
      </c>
      <c r="I781" s="1"/>
      <c r="J781" s="1" t="s">
        <v>5860</v>
      </c>
      <c r="K781" s="1"/>
      <c r="L781" s="1" t="s">
        <v>5861</v>
      </c>
      <c r="M781" s="1" t="s">
        <v>79</v>
      </c>
      <c r="N781" s="1" t="s">
        <v>5862</v>
      </c>
    </row>
    <row r="782">
      <c r="A782" s="1" t="s">
        <v>17</v>
      </c>
      <c r="B782" s="1">
        <v>2000.0</v>
      </c>
      <c r="C782" s="1" t="s">
        <v>5863</v>
      </c>
      <c r="D782" s="1" t="s">
        <v>5864</v>
      </c>
      <c r="E782" s="2" t="s">
        <v>5865</v>
      </c>
      <c r="F782" s="1">
        <v>311.0</v>
      </c>
      <c r="G782" s="1">
        <v>318.0</v>
      </c>
      <c r="H782" s="1" t="s">
        <v>28</v>
      </c>
      <c r="I782" s="1"/>
      <c r="J782" s="1" t="s">
        <v>5866</v>
      </c>
      <c r="K782" s="1"/>
      <c r="L782" s="1" t="s">
        <v>5867</v>
      </c>
      <c r="M782" s="1" t="s">
        <v>1107</v>
      </c>
      <c r="N782" s="1" t="s">
        <v>5868</v>
      </c>
    </row>
    <row r="783">
      <c r="A783" s="1" t="s">
        <v>17</v>
      </c>
      <c r="B783" s="1">
        <v>2000.0</v>
      </c>
      <c r="C783" s="1" t="s">
        <v>5869</v>
      </c>
      <c r="D783" s="1" t="s">
        <v>5870</v>
      </c>
      <c r="E783" s="2" t="s">
        <v>5871</v>
      </c>
      <c r="F783" s="1">
        <v>319.0</v>
      </c>
      <c r="G783" s="1">
        <v>326.0</v>
      </c>
      <c r="H783" s="1" t="s">
        <v>28</v>
      </c>
      <c r="I783" s="1"/>
      <c r="J783" s="1" t="s">
        <v>5872</v>
      </c>
      <c r="K783" s="1"/>
      <c r="L783" s="1" t="s">
        <v>5873</v>
      </c>
      <c r="M783" s="1" t="s">
        <v>5874</v>
      </c>
      <c r="N783" s="1" t="s">
        <v>5875</v>
      </c>
    </row>
    <row r="784">
      <c r="A784" s="1" t="s">
        <v>17</v>
      </c>
      <c r="B784" s="1">
        <v>2000.0</v>
      </c>
      <c r="C784" s="1" t="s">
        <v>5876</v>
      </c>
      <c r="D784" s="1" t="s">
        <v>5877</v>
      </c>
      <c r="E784" s="2" t="s">
        <v>5878</v>
      </c>
      <c r="F784" s="1">
        <v>327.0</v>
      </c>
      <c r="G784" s="1">
        <v>333.0</v>
      </c>
      <c r="H784" s="1" t="s">
        <v>28</v>
      </c>
      <c r="I784" s="1"/>
      <c r="J784" s="1" t="s">
        <v>5879</v>
      </c>
      <c r="K784" s="1"/>
      <c r="L784" s="1" t="s">
        <v>5729</v>
      </c>
      <c r="M784" s="1" t="s">
        <v>5880</v>
      </c>
      <c r="N784" s="1" t="s">
        <v>5881</v>
      </c>
    </row>
    <row r="785">
      <c r="A785" s="1" t="s">
        <v>17</v>
      </c>
      <c r="B785" s="1">
        <v>2000.0</v>
      </c>
      <c r="C785" s="1" t="s">
        <v>5882</v>
      </c>
      <c r="D785" s="1" t="s">
        <v>5883</v>
      </c>
      <c r="E785" s="2" t="s">
        <v>5884</v>
      </c>
      <c r="F785" s="1">
        <v>335.0</v>
      </c>
      <c r="G785" s="1">
        <v>342.0</v>
      </c>
      <c r="H785" s="1" t="s">
        <v>28</v>
      </c>
      <c r="I785" s="1"/>
      <c r="J785" s="1" t="s">
        <v>5885</v>
      </c>
      <c r="K785" s="1"/>
      <c r="L785" s="1" t="s">
        <v>5886</v>
      </c>
      <c r="M785" s="1" t="s">
        <v>5887</v>
      </c>
    </row>
    <row r="786">
      <c r="A786" s="1" t="s">
        <v>17</v>
      </c>
      <c r="B786" s="1">
        <v>2000.0</v>
      </c>
      <c r="C786" s="1" t="s">
        <v>5888</v>
      </c>
      <c r="D786" s="1" t="s">
        <v>5889</v>
      </c>
      <c r="E786" s="2" t="s">
        <v>5890</v>
      </c>
      <c r="F786" s="1">
        <v>343.0</v>
      </c>
      <c r="G786" s="1">
        <v>350.0</v>
      </c>
      <c r="H786" s="1" t="s">
        <v>28</v>
      </c>
      <c r="I786" s="1"/>
      <c r="J786" s="1" t="s">
        <v>5891</v>
      </c>
      <c r="K786" s="1"/>
      <c r="L786" s="1" t="s">
        <v>5266</v>
      </c>
      <c r="M786" s="1" t="s">
        <v>5892</v>
      </c>
      <c r="N786" s="1" t="s">
        <v>5893</v>
      </c>
    </row>
    <row r="787">
      <c r="A787" s="1" t="s">
        <v>17</v>
      </c>
      <c r="B787" s="1">
        <v>2000.0</v>
      </c>
      <c r="C787" s="1" t="s">
        <v>5894</v>
      </c>
      <c r="D787" s="1" t="s">
        <v>5895</v>
      </c>
      <c r="E787" s="2" t="s">
        <v>5896</v>
      </c>
      <c r="F787" s="1">
        <v>351.0</v>
      </c>
      <c r="G787" s="1">
        <v>358.0</v>
      </c>
      <c r="H787" s="1" t="s">
        <v>28</v>
      </c>
      <c r="I787" s="1"/>
      <c r="J787" s="1" t="s">
        <v>5897</v>
      </c>
      <c r="K787" s="1"/>
      <c r="L787" s="1" t="s">
        <v>5898</v>
      </c>
      <c r="M787" s="1" t="s">
        <v>5899</v>
      </c>
    </row>
    <row r="788">
      <c r="A788" s="1" t="s">
        <v>17</v>
      </c>
      <c r="B788" s="1">
        <v>2000.0</v>
      </c>
      <c r="C788" s="1" t="s">
        <v>5900</v>
      </c>
      <c r="D788" s="1" t="s">
        <v>5901</v>
      </c>
      <c r="E788" s="2" t="s">
        <v>5902</v>
      </c>
      <c r="F788" s="1">
        <v>359.0</v>
      </c>
      <c r="G788" s="1">
        <v>366.0</v>
      </c>
      <c r="H788" s="1" t="s">
        <v>28</v>
      </c>
      <c r="I788" s="1"/>
      <c r="J788" s="1" t="s">
        <v>5903</v>
      </c>
      <c r="K788" s="1"/>
      <c r="L788" s="1" t="s">
        <v>5181</v>
      </c>
      <c r="M788" s="1" t="s">
        <v>5904</v>
      </c>
      <c r="N788" s="1" t="s">
        <v>5905</v>
      </c>
    </row>
    <row r="789">
      <c r="A789" s="1" t="s">
        <v>17</v>
      </c>
      <c r="B789" s="1">
        <v>2000.0</v>
      </c>
      <c r="C789" s="1" t="s">
        <v>5906</v>
      </c>
      <c r="D789" s="1" t="s">
        <v>5907</v>
      </c>
      <c r="E789" s="2" t="s">
        <v>5908</v>
      </c>
      <c r="F789" s="1">
        <v>367.0</v>
      </c>
      <c r="G789" s="1">
        <v>372.0</v>
      </c>
      <c r="H789" s="1" t="s">
        <v>28</v>
      </c>
      <c r="I789" s="1"/>
      <c r="J789" s="1" t="s">
        <v>5909</v>
      </c>
      <c r="K789" s="1"/>
      <c r="L789" s="1" t="s">
        <v>5910</v>
      </c>
      <c r="M789" s="1" t="s">
        <v>5911</v>
      </c>
      <c r="N789" s="1" t="s">
        <v>5912</v>
      </c>
    </row>
    <row r="790">
      <c r="A790" s="1" t="s">
        <v>17</v>
      </c>
      <c r="B790" s="1">
        <v>2000.0</v>
      </c>
      <c r="C790" s="1" t="s">
        <v>5913</v>
      </c>
      <c r="D790" s="1" t="s">
        <v>5914</v>
      </c>
      <c r="E790" s="2" t="s">
        <v>5915</v>
      </c>
      <c r="F790" s="1">
        <v>373.0</v>
      </c>
      <c r="G790" s="1">
        <v>380.0</v>
      </c>
      <c r="H790" s="1" t="s">
        <v>28</v>
      </c>
      <c r="I790" s="1"/>
      <c r="J790" s="1" t="s">
        <v>5916</v>
      </c>
      <c r="K790" s="1"/>
      <c r="L790" s="1" t="s">
        <v>5917</v>
      </c>
      <c r="M790" s="1" t="s">
        <v>4148</v>
      </c>
      <c r="N790" s="1" t="s">
        <v>5918</v>
      </c>
    </row>
    <row r="791">
      <c r="A791" s="1" t="s">
        <v>17</v>
      </c>
      <c r="B791" s="1">
        <v>2000.0</v>
      </c>
      <c r="C791" s="1" t="s">
        <v>5919</v>
      </c>
      <c r="D791" s="1" t="s">
        <v>5920</v>
      </c>
      <c r="E791" s="2" t="s">
        <v>5921</v>
      </c>
      <c r="F791" s="1">
        <v>381.0</v>
      </c>
      <c r="G791" s="1">
        <v>387.0</v>
      </c>
      <c r="H791" s="1" t="s">
        <v>28</v>
      </c>
      <c r="I791" s="1"/>
      <c r="J791" s="1" t="s">
        <v>5922</v>
      </c>
      <c r="K791" s="1"/>
      <c r="L791" s="1" t="s">
        <v>5923</v>
      </c>
      <c r="M791" s="1"/>
      <c r="N791" s="1" t="s">
        <v>5924</v>
      </c>
    </row>
    <row r="792">
      <c r="A792" s="1" t="s">
        <v>17</v>
      </c>
      <c r="B792" s="1">
        <v>2000.0</v>
      </c>
      <c r="C792" s="1" t="s">
        <v>5925</v>
      </c>
      <c r="D792" s="1" t="s">
        <v>5926</v>
      </c>
      <c r="E792" s="2" t="s">
        <v>5927</v>
      </c>
      <c r="F792" s="1">
        <v>389.0</v>
      </c>
      <c r="G792" s="1">
        <v>396.0</v>
      </c>
      <c r="H792" s="1" t="s">
        <v>28</v>
      </c>
      <c r="I792" s="1"/>
      <c r="J792" s="1" t="s">
        <v>5928</v>
      </c>
      <c r="K792" s="1"/>
      <c r="L792" s="1" t="s">
        <v>5929</v>
      </c>
      <c r="M792" s="1" t="s">
        <v>5930</v>
      </c>
    </row>
    <row r="793">
      <c r="A793" s="1" t="s">
        <v>17</v>
      </c>
      <c r="B793" s="1">
        <v>2000.0</v>
      </c>
      <c r="C793" s="1" t="s">
        <v>5931</v>
      </c>
      <c r="D793" s="1" t="s">
        <v>5932</v>
      </c>
      <c r="E793" s="2" t="s">
        <v>5933</v>
      </c>
      <c r="F793" s="1">
        <v>397.0</v>
      </c>
      <c r="G793" s="1">
        <v>405.0</v>
      </c>
      <c r="H793" s="1" t="s">
        <v>28</v>
      </c>
      <c r="I793" s="1"/>
      <c r="J793" s="1" t="s">
        <v>5934</v>
      </c>
      <c r="K793" s="1"/>
      <c r="L793" s="1" t="s">
        <v>5935</v>
      </c>
      <c r="M793" s="1" t="s">
        <v>5237</v>
      </c>
      <c r="N793" s="1" t="s">
        <v>5936</v>
      </c>
    </row>
    <row r="794">
      <c r="A794" s="1" t="s">
        <v>17</v>
      </c>
      <c r="B794" s="1">
        <v>2000.0</v>
      </c>
      <c r="C794" s="1" t="s">
        <v>5937</v>
      </c>
      <c r="D794" s="1" t="s">
        <v>5938</v>
      </c>
      <c r="E794" s="2" t="s">
        <v>5939</v>
      </c>
      <c r="F794" s="1">
        <v>407.0</v>
      </c>
      <c r="G794" s="1">
        <v>414.0</v>
      </c>
      <c r="H794" s="1" t="s">
        <v>28</v>
      </c>
      <c r="I794" s="1"/>
      <c r="J794" s="1" t="s">
        <v>5940</v>
      </c>
      <c r="K794" s="1"/>
      <c r="L794" s="1" t="s">
        <v>5941</v>
      </c>
    </row>
    <row r="795">
      <c r="A795" s="1" t="s">
        <v>17</v>
      </c>
      <c r="B795" s="1">
        <v>2000.0</v>
      </c>
      <c r="C795" s="1" t="s">
        <v>5942</v>
      </c>
      <c r="D795" s="1" t="s">
        <v>5943</v>
      </c>
      <c r="E795" s="2" t="s">
        <v>5944</v>
      </c>
      <c r="F795" s="1">
        <v>415.0</v>
      </c>
      <c r="G795" s="1">
        <v>422.0</v>
      </c>
      <c r="H795" s="1" t="s">
        <v>28</v>
      </c>
      <c r="I795" s="1"/>
      <c r="J795" s="1" t="s">
        <v>5945</v>
      </c>
      <c r="K795" s="1"/>
      <c r="L795" s="1" t="s">
        <v>5946</v>
      </c>
      <c r="M795" s="1" t="s">
        <v>5947</v>
      </c>
      <c r="N795" s="1" t="s">
        <v>5948</v>
      </c>
    </row>
    <row r="796">
      <c r="A796" s="1" t="s">
        <v>17</v>
      </c>
      <c r="B796" s="1">
        <v>2000.0</v>
      </c>
      <c r="C796" s="1" t="s">
        <v>5949</v>
      </c>
      <c r="D796" s="1" t="s">
        <v>5950</v>
      </c>
      <c r="E796" s="2" t="s">
        <v>5951</v>
      </c>
      <c r="F796" s="1">
        <v>423.0</v>
      </c>
      <c r="G796" s="1">
        <v>430.0</v>
      </c>
      <c r="H796" s="1" t="s">
        <v>28</v>
      </c>
      <c r="I796" s="1"/>
      <c r="J796" s="1" t="s">
        <v>5952</v>
      </c>
      <c r="K796" s="1"/>
      <c r="L796" s="1" t="s">
        <v>5953</v>
      </c>
      <c r="M796" s="1" t="s">
        <v>5954</v>
      </c>
    </row>
    <row r="797">
      <c r="A797" s="1" t="s">
        <v>17</v>
      </c>
      <c r="B797" s="1">
        <v>2000.0</v>
      </c>
      <c r="C797" s="1" t="s">
        <v>5955</v>
      </c>
      <c r="D797" s="1" t="s">
        <v>5956</v>
      </c>
      <c r="E797" s="2" t="s">
        <v>5957</v>
      </c>
      <c r="F797" s="1">
        <v>433.0</v>
      </c>
      <c r="G797" s="1">
        <v>436.0</v>
      </c>
      <c r="H797" s="1" t="s">
        <v>28</v>
      </c>
      <c r="I797" s="1"/>
      <c r="J797" s="1" t="s">
        <v>5958</v>
      </c>
      <c r="K797" s="1"/>
      <c r="L797" s="1" t="s">
        <v>4376</v>
      </c>
      <c r="M797" s="1" t="s">
        <v>5959</v>
      </c>
      <c r="N797" s="1" t="s">
        <v>5960</v>
      </c>
    </row>
    <row r="798">
      <c r="A798" s="1" t="s">
        <v>17</v>
      </c>
      <c r="B798" s="1">
        <v>2000.0</v>
      </c>
      <c r="C798" s="1" t="s">
        <v>5961</v>
      </c>
      <c r="D798" s="1" t="s">
        <v>5962</v>
      </c>
      <c r="E798" s="2" t="s">
        <v>5963</v>
      </c>
      <c r="F798" s="1">
        <v>437.0</v>
      </c>
      <c r="G798" s="1">
        <v>440.0</v>
      </c>
      <c r="H798" s="1" t="s">
        <v>28</v>
      </c>
      <c r="I798" s="1"/>
      <c r="J798" s="1" t="s">
        <v>5964</v>
      </c>
      <c r="K798" s="1"/>
      <c r="L798" s="1" t="s">
        <v>3540</v>
      </c>
      <c r="M798" s="1" t="s">
        <v>5301</v>
      </c>
      <c r="N798" s="1" t="s">
        <v>5965</v>
      </c>
    </row>
    <row r="799">
      <c r="A799" s="1" t="s">
        <v>17</v>
      </c>
      <c r="B799" s="1">
        <v>2000.0</v>
      </c>
      <c r="C799" s="1" t="s">
        <v>5966</v>
      </c>
      <c r="D799" s="1" t="s">
        <v>5967</v>
      </c>
      <c r="E799" s="2" t="s">
        <v>5968</v>
      </c>
      <c r="F799" s="1">
        <v>441.0</v>
      </c>
      <c r="G799" s="1">
        <v>444.0</v>
      </c>
      <c r="H799" s="1" t="s">
        <v>28</v>
      </c>
      <c r="I799" s="1"/>
      <c r="J799" s="1" t="s">
        <v>5969</v>
      </c>
      <c r="K799" s="1"/>
      <c r="L799" s="1" t="s">
        <v>5970</v>
      </c>
      <c r="M799" s="1"/>
      <c r="N799" s="1" t="s">
        <v>5971</v>
      </c>
    </row>
    <row r="800">
      <c r="A800" s="1" t="s">
        <v>17</v>
      </c>
      <c r="B800" s="1">
        <v>2000.0</v>
      </c>
      <c r="C800" s="1" t="s">
        <v>5972</v>
      </c>
      <c r="D800" s="1" t="s">
        <v>5973</v>
      </c>
      <c r="E800" s="2" t="s">
        <v>5974</v>
      </c>
      <c r="F800" s="1">
        <v>445.0</v>
      </c>
      <c r="G800" s="1">
        <v>448.0</v>
      </c>
      <c r="H800" s="1" t="s">
        <v>28</v>
      </c>
      <c r="I800" s="1"/>
      <c r="J800" s="1" t="s">
        <v>5975</v>
      </c>
      <c r="K800" s="1"/>
      <c r="L800" s="1" t="s">
        <v>5976</v>
      </c>
      <c r="M800" s="1" t="s">
        <v>1107</v>
      </c>
      <c r="N800" s="1" t="s">
        <v>5977</v>
      </c>
    </row>
    <row r="801">
      <c r="A801" s="1" t="s">
        <v>17</v>
      </c>
      <c r="B801" s="1">
        <v>2000.0</v>
      </c>
      <c r="C801" s="1" t="s">
        <v>5978</v>
      </c>
      <c r="D801" s="1" t="s">
        <v>5979</v>
      </c>
      <c r="E801" s="2" t="s">
        <v>5980</v>
      </c>
      <c r="F801" s="1">
        <v>449.0</v>
      </c>
      <c r="G801" s="1">
        <v>452.0</v>
      </c>
      <c r="H801" s="1" t="s">
        <v>28</v>
      </c>
      <c r="I801" s="1"/>
      <c r="J801" s="1" t="s">
        <v>5981</v>
      </c>
      <c r="K801" s="1"/>
      <c r="L801" s="1" t="s">
        <v>5982</v>
      </c>
      <c r="M801" s="1" t="s">
        <v>3151</v>
      </c>
      <c r="N801" s="1" t="s">
        <v>5983</v>
      </c>
    </row>
    <row r="802">
      <c r="A802" s="1" t="s">
        <v>17</v>
      </c>
      <c r="B802" s="1">
        <v>2000.0</v>
      </c>
      <c r="C802" s="1" t="s">
        <v>5984</v>
      </c>
      <c r="D802" s="1" t="s">
        <v>5985</v>
      </c>
      <c r="E802" s="2" t="s">
        <v>5986</v>
      </c>
      <c r="F802" s="1">
        <v>453.0</v>
      </c>
      <c r="G802" s="1">
        <v>456.0</v>
      </c>
      <c r="H802" s="1" t="s">
        <v>28</v>
      </c>
      <c r="I802" s="1"/>
      <c r="J802" s="1" t="s">
        <v>5987</v>
      </c>
      <c r="K802" s="1"/>
      <c r="L802" s="1" t="s">
        <v>5988</v>
      </c>
      <c r="M802" s="1"/>
      <c r="N802" s="1" t="s">
        <v>5989</v>
      </c>
    </row>
    <row r="803">
      <c r="A803" s="1" t="s">
        <v>17</v>
      </c>
      <c r="B803" s="1">
        <v>2000.0</v>
      </c>
      <c r="C803" s="1" t="s">
        <v>5990</v>
      </c>
      <c r="D803" s="1" t="s">
        <v>5991</v>
      </c>
      <c r="E803" s="2" t="s">
        <v>5992</v>
      </c>
      <c r="F803" s="1">
        <v>457.0</v>
      </c>
      <c r="G803" s="1">
        <v>460.0</v>
      </c>
      <c r="H803" s="1" t="s">
        <v>28</v>
      </c>
      <c r="I803" s="1"/>
      <c r="J803" s="1" t="s">
        <v>5993</v>
      </c>
      <c r="K803" s="1"/>
      <c r="L803" s="1" t="s">
        <v>5994</v>
      </c>
      <c r="M803" s="1" t="s">
        <v>470</v>
      </c>
    </row>
    <row r="804">
      <c r="A804" s="1" t="s">
        <v>17</v>
      </c>
      <c r="B804" s="1">
        <v>2000.0</v>
      </c>
      <c r="C804" s="1" t="s">
        <v>5995</v>
      </c>
      <c r="D804" s="1" t="s">
        <v>5996</v>
      </c>
      <c r="E804" s="2" t="s">
        <v>5998</v>
      </c>
      <c r="F804" s="1">
        <v>461.0</v>
      </c>
      <c r="G804" s="1">
        <v>464.0</v>
      </c>
      <c r="H804" s="1" t="s">
        <v>28</v>
      </c>
      <c r="I804" s="1"/>
      <c r="J804" s="1" t="s">
        <v>6001</v>
      </c>
      <c r="K804" s="1"/>
      <c r="L804" s="1" t="s">
        <v>6002</v>
      </c>
      <c r="M804" s="1" t="s">
        <v>6003</v>
      </c>
      <c r="N804" s="1" t="s">
        <v>6004</v>
      </c>
    </row>
    <row r="805">
      <c r="A805" s="1" t="s">
        <v>17</v>
      </c>
      <c r="B805" s="1">
        <v>2000.0</v>
      </c>
      <c r="C805" s="1" t="s">
        <v>6005</v>
      </c>
      <c r="D805" s="1" t="s">
        <v>6006</v>
      </c>
      <c r="E805" s="2" t="s">
        <v>6007</v>
      </c>
      <c r="F805" s="1">
        <v>465.0</v>
      </c>
      <c r="G805" s="1">
        <v>468.0</v>
      </c>
      <c r="H805" s="1" t="s">
        <v>28</v>
      </c>
      <c r="I805" s="1"/>
      <c r="J805" s="1" t="s">
        <v>6011</v>
      </c>
      <c r="K805" s="1"/>
      <c r="L805" s="1" t="s">
        <v>6012</v>
      </c>
      <c r="M805" s="1"/>
      <c r="N805" s="1" t="s">
        <v>6013</v>
      </c>
    </row>
    <row r="806">
      <c r="A806" s="1" t="s">
        <v>17</v>
      </c>
      <c r="B806" s="1">
        <v>2000.0</v>
      </c>
      <c r="C806" s="1" t="s">
        <v>6014</v>
      </c>
      <c r="D806" s="1" t="s">
        <v>6015</v>
      </c>
      <c r="E806" s="2" t="s">
        <v>6016</v>
      </c>
      <c r="F806" s="1">
        <v>469.0</v>
      </c>
      <c r="G806" s="1">
        <v>472.0</v>
      </c>
      <c r="H806" s="1" t="s">
        <v>28</v>
      </c>
      <c r="I806" s="1"/>
      <c r="J806" s="1" t="s">
        <v>6020</v>
      </c>
      <c r="K806" s="1"/>
      <c r="L806" s="1" t="s">
        <v>6021</v>
      </c>
      <c r="M806" s="1"/>
      <c r="N806" s="1" t="s">
        <v>6022</v>
      </c>
    </row>
    <row r="807">
      <c r="A807" s="1" t="s">
        <v>17</v>
      </c>
      <c r="B807" s="1">
        <v>2000.0</v>
      </c>
      <c r="C807" s="1" t="s">
        <v>6023</v>
      </c>
      <c r="D807" s="1" t="s">
        <v>6024</v>
      </c>
      <c r="E807" s="2" t="s">
        <v>6025</v>
      </c>
      <c r="F807" s="1">
        <v>473.0</v>
      </c>
      <c r="G807" s="1">
        <v>476.0</v>
      </c>
      <c r="H807" s="1" t="s">
        <v>28</v>
      </c>
      <c r="I807" s="1"/>
      <c r="J807" s="1" t="s">
        <v>6030</v>
      </c>
      <c r="K807" s="1"/>
      <c r="L807" s="1" t="s">
        <v>6031</v>
      </c>
      <c r="M807" s="1" t="s">
        <v>6032</v>
      </c>
      <c r="N807" s="1" t="s">
        <v>6033</v>
      </c>
    </row>
    <row r="808">
      <c r="A808" s="1" t="s">
        <v>17</v>
      </c>
      <c r="B808" s="1">
        <v>2000.0</v>
      </c>
      <c r="C808" s="1" t="s">
        <v>6034</v>
      </c>
      <c r="D808" s="1" t="s">
        <v>6035</v>
      </c>
      <c r="E808" s="2" t="s">
        <v>6036</v>
      </c>
      <c r="F808" s="1">
        <v>477.0</v>
      </c>
      <c r="G808" s="1">
        <v>480.0</v>
      </c>
      <c r="H808" s="1" t="s">
        <v>28</v>
      </c>
      <c r="I808" s="1"/>
      <c r="J808" s="1" t="s">
        <v>1672</v>
      </c>
      <c r="K808" s="1"/>
      <c r="L808" s="1" t="s">
        <v>1158</v>
      </c>
      <c r="M808" s="1" t="s">
        <v>6038</v>
      </c>
      <c r="N808" s="1" t="s">
        <v>6039</v>
      </c>
    </row>
    <row r="809">
      <c r="A809" s="1" t="s">
        <v>17</v>
      </c>
      <c r="B809" s="1">
        <v>2000.0</v>
      </c>
      <c r="C809" s="1" t="s">
        <v>6041</v>
      </c>
      <c r="D809" s="1" t="s">
        <v>6042</v>
      </c>
      <c r="E809" s="2" t="s">
        <v>6043</v>
      </c>
      <c r="F809" s="1">
        <v>481.0</v>
      </c>
      <c r="G809" s="1">
        <v>484.0</v>
      </c>
      <c r="H809" s="1" t="s">
        <v>28</v>
      </c>
      <c r="I809" s="1"/>
      <c r="J809" s="1" t="s">
        <v>6044</v>
      </c>
      <c r="K809" s="1"/>
      <c r="L809" s="1" t="s">
        <v>4660</v>
      </c>
      <c r="M809" s="1" t="s">
        <v>6045</v>
      </c>
      <c r="N809" s="1" t="s">
        <v>6046</v>
      </c>
    </row>
    <row r="810">
      <c r="A810" s="1" t="s">
        <v>17</v>
      </c>
      <c r="B810" s="1">
        <v>2000.0</v>
      </c>
      <c r="C810" s="1" t="s">
        <v>6047</v>
      </c>
      <c r="D810" s="1" t="s">
        <v>6048</v>
      </c>
      <c r="E810" s="2" t="s">
        <v>6049</v>
      </c>
      <c r="F810" s="1">
        <v>485.0</v>
      </c>
      <c r="G810" s="1">
        <v>488.0</v>
      </c>
      <c r="H810" s="1" t="s">
        <v>28</v>
      </c>
      <c r="I810" s="1"/>
      <c r="J810" s="1" t="s">
        <v>6052</v>
      </c>
      <c r="K810" s="1"/>
      <c r="L810" s="1" t="s">
        <v>6053</v>
      </c>
      <c r="M810" s="1" t="s">
        <v>6054</v>
      </c>
      <c r="N810" s="1" t="s">
        <v>6055</v>
      </c>
    </row>
    <row r="811">
      <c r="A811" s="1" t="s">
        <v>17</v>
      </c>
      <c r="B811" s="1">
        <v>2000.0</v>
      </c>
      <c r="C811" s="1" t="s">
        <v>6056</v>
      </c>
      <c r="D811" s="1" t="s">
        <v>6057</v>
      </c>
      <c r="E811" s="2" t="s">
        <v>6058</v>
      </c>
      <c r="F811" s="1">
        <v>489.0</v>
      </c>
      <c r="G811" s="1">
        <v>492.0</v>
      </c>
      <c r="H811" s="1" t="s">
        <v>28</v>
      </c>
      <c r="I811" s="1"/>
      <c r="J811" s="1" t="s">
        <v>6062</v>
      </c>
      <c r="K811" s="1"/>
      <c r="L811" s="1" t="s">
        <v>6063</v>
      </c>
      <c r="M811" s="1" t="s">
        <v>6064</v>
      </c>
      <c r="N811" s="1" t="s">
        <v>6065</v>
      </c>
    </row>
    <row r="812">
      <c r="A812" s="1" t="s">
        <v>17</v>
      </c>
      <c r="B812" s="1">
        <v>2000.0</v>
      </c>
      <c r="C812" s="1" t="s">
        <v>6068</v>
      </c>
      <c r="D812" s="1" t="s">
        <v>6069</v>
      </c>
      <c r="E812" s="2" t="s">
        <v>6070</v>
      </c>
      <c r="F812" s="1">
        <v>493.0</v>
      </c>
      <c r="G812" s="1">
        <v>496.0</v>
      </c>
      <c r="H812" s="1" t="s">
        <v>28</v>
      </c>
      <c r="I812" s="1"/>
      <c r="J812" s="1" t="s">
        <v>6071</v>
      </c>
      <c r="K812" s="1"/>
      <c r="L812" s="1" t="s">
        <v>5773</v>
      </c>
      <c r="M812" s="1" t="s">
        <v>6072</v>
      </c>
    </row>
    <row r="813">
      <c r="A813" s="1" t="s">
        <v>17</v>
      </c>
      <c r="B813" s="1">
        <v>2000.0</v>
      </c>
      <c r="C813" s="1" t="s">
        <v>6075</v>
      </c>
      <c r="D813" s="1" t="s">
        <v>6077</v>
      </c>
      <c r="E813" s="2" t="s">
        <v>6078</v>
      </c>
      <c r="F813" s="1">
        <v>497.0</v>
      </c>
      <c r="G813" s="1">
        <v>500.0</v>
      </c>
      <c r="H813" s="1" t="s">
        <v>28</v>
      </c>
      <c r="I813" s="1"/>
      <c r="J813" s="1" t="s">
        <v>1104</v>
      </c>
      <c r="K813" s="1"/>
      <c r="L813" s="1" t="s">
        <v>6080</v>
      </c>
      <c r="M813" s="1"/>
      <c r="N813" s="1" t="s">
        <v>6081</v>
      </c>
    </row>
    <row r="814">
      <c r="A814" s="1" t="s">
        <v>17</v>
      </c>
      <c r="B814" s="1">
        <v>2000.0</v>
      </c>
      <c r="C814" s="1" t="s">
        <v>6082</v>
      </c>
      <c r="D814" s="1" t="s">
        <v>6083</v>
      </c>
      <c r="E814" s="2" t="s">
        <v>6084</v>
      </c>
      <c r="F814" s="1">
        <v>501.0</v>
      </c>
      <c r="G814" s="1">
        <v>504.0</v>
      </c>
      <c r="H814" s="1" t="s">
        <v>28</v>
      </c>
      <c r="I814" s="1"/>
      <c r="J814" s="1" t="s">
        <v>6085</v>
      </c>
      <c r="K814" s="1"/>
      <c r="L814" s="1" t="s">
        <v>4927</v>
      </c>
      <c r="M814" s="1" t="s">
        <v>2916</v>
      </c>
      <c r="N814" s="1" t="s">
        <v>6086</v>
      </c>
    </row>
    <row r="815">
      <c r="A815" s="1" t="s">
        <v>17</v>
      </c>
      <c r="B815" s="1">
        <v>2000.0</v>
      </c>
      <c r="C815" s="1" t="s">
        <v>6088</v>
      </c>
      <c r="D815" s="1" t="s">
        <v>6090</v>
      </c>
      <c r="E815" s="2" t="s">
        <v>6091</v>
      </c>
      <c r="F815" s="1">
        <v>505.0</v>
      </c>
      <c r="G815" s="1">
        <v>508.0</v>
      </c>
      <c r="H815" s="1" t="s">
        <v>28</v>
      </c>
      <c r="I815" s="1"/>
      <c r="J815" s="1" t="s">
        <v>5403</v>
      </c>
      <c r="K815" s="1"/>
      <c r="L815" s="1" t="s">
        <v>6092</v>
      </c>
      <c r="M815" s="1" t="s">
        <v>6093</v>
      </c>
      <c r="N815" s="1" t="s">
        <v>6094</v>
      </c>
    </row>
    <row r="816">
      <c r="A816" s="1" t="s">
        <v>17</v>
      </c>
      <c r="B816" s="1">
        <v>2000.0</v>
      </c>
      <c r="C816" s="1" t="s">
        <v>6095</v>
      </c>
      <c r="D816" s="1" t="s">
        <v>6097</v>
      </c>
      <c r="E816" s="2" t="s">
        <v>6098</v>
      </c>
      <c r="F816" s="1">
        <v>509.0</v>
      </c>
      <c r="G816" s="1">
        <v>512.0</v>
      </c>
      <c r="H816" s="1" t="s">
        <v>28</v>
      </c>
      <c r="I816" s="1"/>
      <c r="J816" s="1" t="s">
        <v>6104</v>
      </c>
      <c r="K816" s="1"/>
      <c r="L816" s="1" t="s">
        <v>6105</v>
      </c>
      <c r="M816" s="1" t="s">
        <v>2900</v>
      </c>
    </row>
    <row r="817">
      <c r="A817" s="1" t="s">
        <v>17</v>
      </c>
      <c r="B817" s="1">
        <v>2000.0</v>
      </c>
      <c r="C817" s="1" t="s">
        <v>6106</v>
      </c>
      <c r="D817" s="1" t="s">
        <v>6107</v>
      </c>
      <c r="E817" s="2" t="s">
        <v>6108</v>
      </c>
      <c r="F817" s="1">
        <v>513.0</v>
      </c>
      <c r="G817" s="1">
        <v>516.0</v>
      </c>
      <c r="H817" s="1" t="s">
        <v>28</v>
      </c>
      <c r="I817" s="1"/>
      <c r="J817" s="1" t="s">
        <v>1672</v>
      </c>
      <c r="K817" s="1"/>
      <c r="L817" s="1" t="s">
        <v>1158</v>
      </c>
      <c r="M817" s="1" t="s">
        <v>6111</v>
      </c>
      <c r="N817" s="1" t="s">
        <v>6112</v>
      </c>
    </row>
    <row r="818">
      <c r="A818" s="1" t="s">
        <v>2137</v>
      </c>
      <c r="B818" s="1">
        <v>2001.0</v>
      </c>
      <c r="C818" s="1" t="s">
        <v>6113</v>
      </c>
      <c r="D818" s="1" t="s">
        <v>6114</v>
      </c>
      <c r="E818" s="2" t="s">
        <v>6115</v>
      </c>
      <c r="F818" s="1">
        <v>3.0</v>
      </c>
      <c r="G818" s="1">
        <v>3.0</v>
      </c>
      <c r="H818" s="1" t="s">
        <v>21</v>
      </c>
      <c r="I818" s="1"/>
      <c r="J818" s="1" t="s">
        <v>6118</v>
      </c>
      <c r="K818" s="1"/>
      <c r="L818" s="1" t="s">
        <v>6119</v>
      </c>
    </row>
    <row r="819">
      <c r="A819" s="1" t="s">
        <v>2137</v>
      </c>
      <c r="B819" s="1">
        <v>2001.0</v>
      </c>
      <c r="C819" s="1" t="s">
        <v>6120</v>
      </c>
      <c r="D819" s="1" t="s">
        <v>6121</v>
      </c>
      <c r="E819" s="2" t="s">
        <v>6122</v>
      </c>
      <c r="F819" s="1">
        <v>7.0</v>
      </c>
      <c r="G819" s="1">
        <v>13.0</v>
      </c>
      <c r="H819" s="1" t="s">
        <v>28</v>
      </c>
      <c r="I819" s="1"/>
      <c r="J819" s="1" t="s">
        <v>6123</v>
      </c>
      <c r="K819" s="1"/>
      <c r="L819" s="1" t="s">
        <v>6124</v>
      </c>
      <c r="M819" s="1" t="s">
        <v>6125</v>
      </c>
      <c r="N819" s="1" t="s">
        <v>6126</v>
      </c>
    </row>
    <row r="820">
      <c r="A820" s="1" t="s">
        <v>2137</v>
      </c>
      <c r="B820" s="1">
        <v>2001.0</v>
      </c>
      <c r="C820" s="1" t="s">
        <v>6127</v>
      </c>
      <c r="D820" s="1" t="s">
        <v>6128</v>
      </c>
      <c r="E820" s="2" t="s">
        <v>6129</v>
      </c>
      <c r="F820" s="1">
        <v>15.0</v>
      </c>
      <c r="G820" s="1">
        <v>22.0</v>
      </c>
      <c r="H820" s="1" t="s">
        <v>28</v>
      </c>
      <c r="I820" s="1"/>
      <c r="J820" s="1" t="s">
        <v>6133</v>
      </c>
      <c r="K820" s="1"/>
      <c r="L820" s="1" t="s">
        <v>6134</v>
      </c>
      <c r="M820" s="1" t="s">
        <v>6135</v>
      </c>
    </row>
    <row r="821">
      <c r="A821" s="1" t="s">
        <v>2137</v>
      </c>
      <c r="B821" s="1">
        <v>2001.0</v>
      </c>
      <c r="C821" s="1" t="s">
        <v>6136</v>
      </c>
      <c r="D821" s="1" t="s">
        <v>6137</v>
      </c>
      <c r="E821" s="2" t="s">
        <v>6138</v>
      </c>
      <c r="F821" s="1">
        <v>23.0</v>
      </c>
      <c r="G821" s="1">
        <v>30.0</v>
      </c>
      <c r="H821" s="1" t="s">
        <v>28</v>
      </c>
      <c r="I821" s="1"/>
      <c r="J821" s="1" t="s">
        <v>6139</v>
      </c>
      <c r="K821" s="1"/>
      <c r="L821" s="1" t="s">
        <v>6140</v>
      </c>
      <c r="M821" s="1" t="s">
        <v>2181</v>
      </c>
    </row>
    <row r="822">
      <c r="A822" s="1" t="s">
        <v>2137</v>
      </c>
      <c r="B822" s="1">
        <v>2001.0</v>
      </c>
      <c r="C822" s="1" t="s">
        <v>6141</v>
      </c>
      <c r="D822" s="1" t="s">
        <v>6142</v>
      </c>
      <c r="E822" s="2" t="s">
        <v>6143</v>
      </c>
      <c r="F822" s="1">
        <v>33.0</v>
      </c>
      <c r="G822" s="1">
        <v>36.0</v>
      </c>
      <c r="H822" s="1" t="s">
        <v>28</v>
      </c>
      <c r="I822" s="1"/>
      <c r="J822" s="1" t="s">
        <v>6261</v>
      </c>
      <c r="K822" s="1"/>
      <c r="L822" s="1" t="s">
        <v>6266</v>
      </c>
    </row>
    <row r="823">
      <c r="A823" s="1" t="s">
        <v>2137</v>
      </c>
      <c r="B823" s="1">
        <v>2001.0</v>
      </c>
      <c r="C823" s="1" t="s">
        <v>6270</v>
      </c>
      <c r="D823" s="1" t="s">
        <v>6272</v>
      </c>
      <c r="E823" s="2" t="s">
        <v>6275</v>
      </c>
      <c r="F823" s="1">
        <v>37.0</v>
      </c>
      <c r="G823" s="1">
        <v>40.0</v>
      </c>
      <c r="H823" s="1" t="s">
        <v>28</v>
      </c>
      <c r="I823" s="1"/>
      <c r="J823" s="1" t="s">
        <v>3986</v>
      </c>
      <c r="K823" s="1"/>
      <c r="L823" s="1" t="s">
        <v>6341</v>
      </c>
      <c r="M823" s="1" t="s">
        <v>6343</v>
      </c>
    </row>
    <row r="824">
      <c r="A824" s="1" t="s">
        <v>2137</v>
      </c>
      <c r="B824" s="1">
        <v>2001.0</v>
      </c>
      <c r="C824" s="1" t="s">
        <v>6349</v>
      </c>
      <c r="D824" s="1" t="s">
        <v>6351</v>
      </c>
      <c r="E824" s="2" t="s">
        <v>6353</v>
      </c>
      <c r="F824" s="1">
        <v>43.0</v>
      </c>
      <c r="G824" s="1">
        <v>50.0</v>
      </c>
      <c r="H824" s="1" t="s">
        <v>28</v>
      </c>
      <c r="I824" s="1"/>
      <c r="J824" s="1" t="s">
        <v>6381</v>
      </c>
      <c r="K824" s="1"/>
      <c r="L824" s="1" t="s">
        <v>6383</v>
      </c>
      <c r="M824" s="1" t="s">
        <v>3293</v>
      </c>
      <c r="N824" s="1" t="s">
        <v>6385</v>
      </c>
    </row>
    <row r="825">
      <c r="A825" s="1" t="s">
        <v>2137</v>
      </c>
      <c r="B825" s="1">
        <v>2001.0</v>
      </c>
      <c r="C825" s="1" t="s">
        <v>6395</v>
      </c>
      <c r="D825" s="1" t="s">
        <v>6397</v>
      </c>
      <c r="E825" s="2" t="s">
        <v>6399</v>
      </c>
      <c r="F825" s="1">
        <v>51.0</v>
      </c>
      <c r="G825" s="1">
        <v>58.0</v>
      </c>
      <c r="H825" s="1" t="s">
        <v>28</v>
      </c>
      <c r="I825" s="1"/>
      <c r="J825" s="1" t="s">
        <v>6431</v>
      </c>
      <c r="K825" s="1"/>
      <c r="L825" s="1" t="s">
        <v>6435</v>
      </c>
      <c r="M825" s="1"/>
      <c r="N825" s="1" t="s">
        <v>6444</v>
      </c>
    </row>
    <row r="826">
      <c r="A826" s="1" t="s">
        <v>2137</v>
      </c>
      <c r="B826" s="1">
        <v>2001.0</v>
      </c>
      <c r="C826" s="1" t="s">
        <v>6447</v>
      </c>
      <c r="D826" s="1" t="s">
        <v>6449</v>
      </c>
      <c r="E826" s="2" t="s">
        <v>6451</v>
      </c>
      <c r="F826" s="1">
        <v>59.0</v>
      </c>
      <c r="G826" s="1">
        <v>66.0</v>
      </c>
      <c r="H826" s="1" t="s">
        <v>28</v>
      </c>
      <c r="I826" s="1"/>
      <c r="J826" s="1" t="s">
        <v>6481</v>
      </c>
      <c r="K826" s="1"/>
      <c r="L826" s="1" t="s">
        <v>6482</v>
      </c>
      <c r="M826" s="1" t="s">
        <v>3301</v>
      </c>
    </row>
    <row r="827">
      <c r="A827" s="1" t="s">
        <v>2137</v>
      </c>
      <c r="B827" s="1">
        <v>2001.0</v>
      </c>
      <c r="C827" s="1" t="s">
        <v>6487</v>
      </c>
      <c r="D827" s="1" t="s">
        <v>6488</v>
      </c>
      <c r="E827" s="2" t="s">
        <v>6490</v>
      </c>
      <c r="F827" s="1">
        <v>67.0</v>
      </c>
      <c r="G827" s="1">
        <v>70.0</v>
      </c>
      <c r="H827" s="1" t="s">
        <v>28</v>
      </c>
      <c r="I827" s="1"/>
      <c r="J827" s="1" t="s">
        <v>6512</v>
      </c>
      <c r="K827" s="1"/>
      <c r="L827" s="1" t="s">
        <v>6514</v>
      </c>
      <c r="M827" s="1" t="s">
        <v>5500</v>
      </c>
      <c r="N827" s="1" t="s">
        <v>6519</v>
      </c>
    </row>
    <row r="828">
      <c r="A828" s="1" t="s">
        <v>2137</v>
      </c>
      <c r="B828" s="1">
        <v>2001.0</v>
      </c>
      <c r="C828" s="1" t="s">
        <v>6526</v>
      </c>
      <c r="D828" s="1" t="s">
        <v>6527</v>
      </c>
      <c r="E828" s="2" t="s">
        <v>6529</v>
      </c>
      <c r="F828" s="1">
        <v>73.0</v>
      </c>
      <c r="G828" s="1">
        <v>78.0</v>
      </c>
      <c r="H828" s="1" t="s">
        <v>28</v>
      </c>
      <c r="I828" s="1"/>
      <c r="J828" s="1" t="s">
        <v>6555</v>
      </c>
      <c r="K828" s="1"/>
      <c r="L828" s="1" t="s">
        <v>6556</v>
      </c>
      <c r="M828" s="1" t="s">
        <v>6558</v>
      </c>
      <c r="N828" s="1" t="s">
        <v>6560</v>
      </c>
    </row>
    <row r="829">
      <c r="A829" s="1" t="s">
        <v>2137</v>
      </c>
      <c r="B829" s="1">
        <v>2001.0</v>
      </c>
      <c r="C829" s="1" t="s">
        <v>6563</v>
      </c>
      <c r="D829" s="1" t="s">
        <v>6565</v>
      </c>
      <c r="E829" s="2" t="s">
        <v>6567</v>
      </c>
      <c r="F829" s="1">
        <v>79.0</v>
      </c>
      <c r="G829" s="1">
        <v>86.0</v>
      </c>
      <c r="H829" s="1" t="s">
        <v>28</v>
      </c>
      <c r="I829" s="1"/>
      <c r="J829" s="1" t="s">
        <v>6745</v>
      </c>
      <c r="K829" s="1"/>
      <c r="L829" s="1" t="s">
        <v>6747</v>
      </c>
      <c r="M829" s="1" t="s">
        <v>6749</v>
      </c>
      <c r="N829" s="1" t="s">
        <v>6751</v>
      </c>
    </row>
    <row r="830">
      <c r="A830" s="1" t="s">
        <v>2137</v>
      </c>
      <c r="B830" s="1">
        <v>2001.0</v>
      </c>
      <c r="C830" s="1" t="s">
        <v>6755</v>
      </c>
      <c r="D830" s="1" t="s">
        <v>6757</v>
      </c>
      <c r="E830" s="2" t="s">
        <v>6760</v>
      </c>
      <c r="F830" s="1">
        <v>87.0</v>
      </c>
      <c r="G830" s="1">
        <v>94.0</v>
      </c>
      <c r="H830" s="1" t="s">
        <v>28</v>
      </c>
      <c r="I830" s="1"/>
      <c r="J830" s="1" t="s">
        <v>6785</v>
      </c>
      <c r="K830" s="1"/>
      <c r="L830" s="1" t="s">
        <v>6482</v>
      </c>
      <c r="M830" s="1" t="s">
        <v>6788</v>
      </c>
      <c r="N830" s="1" t="s">
        <v>6789</v>
      </c>
    </row>
    <row r="831">
      <c r="A831" s="1" t="s">
        <v>2137</v>
      </c>
      <c r="B831" s="1">
        <v>2001.0</v>
      </c>
      <c r="C831" s="1" t="s">
        <v>6792</v>
      </c>
      <c r="D831" s="1" t="s">
        <v>6794</v>
      </c>
      <c r="E831" s="2" t="s">
        <v>6796</v>
      </c>
      <c r="F831" s="1">
        <v>97.0</v>
      </c>
      <c r="G831" s="1">
        <v>104.0</v>
      </c>
      <c r="H831" s="1" t="s">
        <v>28</v>
      </c>
      <c r="I831" s="1"/>
      <c r="J831" s="1" t="s">
        <v>6829</v>
      </c>
      <c r="K831" s="1"/>
      <c r="L831" s="1" t="s">
        <v>6831</v>
      </c>
      <c r="M831" s="1" t="s">
        <v>6833</v>
      </c>
      <c r="N831" s="1" t="s">
        <v>6834</v>
      </c>
    </row>
    <row r="832">
      <c r="A832" s="1" t="s">
        <v>2137</v>
      </c>
      <c r="B832" s="1">
        <v>2001.0</v>
      </c>
      <c r="C832" s="1" t="s">
        <v>6837</v>
      </c>
      <c r="D832" s="1" t="s">
        <v>6839</v>
      </c>
      <c r="E832" s="2" t="s">
        <v>6841</v>
      </c>
      <c r="F832" s="1">
        <v>105.0</v>
      </c>
      <c r="G832" s="1">
        <v>112.0</v>
      </c>
      <c r="H832" s="1" t="s">
        <v>28</v>
      </c>
      <c r="I832" s="1"/>
      <c r="J832" s="1" t="s">
        <v>6865</v>
      </c>
      <c r="K832" s="1"/>
      <c r="L832" s="1" t="s">
        <v>6867</v>
      </c>
      <c r="M832" s="1" t="s">
        <v>6868</v>
      </c>
    </row>
    <row r="833">
      <c r="A833" s="1" t="s">
        <v>2137</v>
      </c>
      <c r="B833" s="1">
        <v>2001.0</v>
      </c>
      <c r="C833" s="1" t="s">
        <v>6871</v>
      </c>
      <c r="D833" s="1" t="s">
        <v>6873</v>
      </c>
      <c r="E833" s="2" t="s">
        <v>6875</v>
      </c>
      <c r="F833" s="1">
        <v>113.0</v>
      </c>
      <c r="G833" s="1">
        <v>120.0</v>
      </c>
      <c r="H833" s="1" t="s">
        <v>28</v>
      </c>
      <c r="I833" s="1"/>
      <c r="J833" s="1" t="s">
        <v>6904</v>
      </c>
      <c r="K833" s="1"/>
      <c r="L833" s="1" t="s">
        <v>6907</v>
      </c>
      <c r="M833" s="1" t="s">
        <v>6908</v>
      </c>
    </row>
    <row r="834">
      <c r="A834" s="1" t="s">
        <v>2137</v>
      </c>
      <c r="B834" s="1">
        <v>2001.0</v>
      </c>
      <c r="C834" s="1" t="s">
        <v>6912</v>
      </c>
      <c r="D834" s="1" t="s">
        <v>6913</v>
      </c>
      <c r="E834" s="2" t="s">
        <v>6915</v>
      </c>
      <c r="F834" s="1">
        <v>123.0</v>
      </c>
      <c r="G834" s="1">
        <v>130.0</v>
      </c>
      <c r="H834" s="1" t="s">
        <v>28</v>
      </c>
      <c r="I834" s="1"/>
      <c r="J834" s="1" t="s">
        <v>6926</v>
      </c>
      <c r="K834" s="1"/>
      <c r="L834" s="1" t="s">
        <v>6927</v>
      </c>
      <c r="M834" s="1" t="s">
        <v>2198</v>
      </c>
    </row>
    <row r="835">
      <c r="A835" s="1" t="s">
        <v>2137</v>
      </c>
      <c r="B835" s="1">
        <v>2001.0</v>
      </c>
      <c r="C835" s="1" t="s">
        <v>6928</v>
      </c>
      <c r="D835" s="1" t="s">
        <v>6929</v>
      </c>
      <c r="E835" s="2" t="s">
        <v>6931</v>
      </c>
      <c r="F835" s="1">
        <v>131.0</v>
      </c>
      <c r="G835" s="1">
        <v>138.0</v>
      </c>
      <c r="H835" s="1" t="s">
        <v>28</v>
      </c>
      <c r="I835" s="1"/>
      <c r="J835" s="1" t="s">
        <v>6943</v>
      </c>
      <c r="K835" s="1"/>
      <c r="L835" s="1" t="s">
        <v>6945</v>
      </c>
      <c r="M835" s="1" t="s">
        <v>6946</v>
      </c>
    </row>
    <row r="836">
      <c r="A836" s="1" t="s">
        <v>2137</v>
      </c>
      <c r="B836" s="1">
        <v>2001.0</v>
      </c>
      <c r="C836" s="1" t="s">
        <v>6948</v>
      </c>
      <c r="D836" s="1" t="s">
        <v>6949</v>
      </c>
      <c r="E836" s="2" t="s">
        <v>6951</v>
      </c>
      <c r="F836" s="1">
        <v>139.0</v>
      </c>
      <c r="G836" s="1">
        <v>145.0</v>
      </c>
      <c r="H836" s="1" t="s">
        <v>28</v>
      </c>
      <c r="I836" s="1"/>
      <c r="J836" s="1" t="s">
        <v>6962</v>
      </c>
      <c r="K836" s="1"/>
      <c r="L836" s="1" t="s">
        <v>6964</v>
      </c>
    </row>
    <row r="837">
      <c r="A837" s="1" t="s">
        <v>2137</v>
      </c>
      <c r="B837" s="1">
        <v>2001.0</v>
      </c>
      <c r="C837" s="1" t="s">
        <v>6967</v>
      </c>
      <c r="D837" s="1" t="s">
        <v>6968</v>
      </c>
      <c r="E837" s="2" t="s">
        <v>6970</v>
      </c>
      <c r="F837" s="1">
        <v>149.0</v>
      </c>
      <c r="G837" s="1">
        <v>152.0</v>
      </c>
      <c r="H837" s="1" t="s">
        <v>28</v>
      </c>
      <c r="I837" s="1"/>
      <c r="J837" s="1" t="s">
        <v>6943</v>
      </c>
      <c r="K837" s="1"/>
      <c r="L837" s="1" t="s">
        <v>6945</v>
      </c>
    </row>
    <row r="838">
      <c r="A838" s="1" t="s">
        <v>2137</v>
      </c>
      <c r="B838" s="1">
        <v>2001.0</v>
      </c>
      <c r="C838" s="1" t="s">
        <v>6991</v>
      </c>
      <c r="D838" s="1" t="s">
        <v>6992</v>
      </c>
      <c r="E838" s="2" t="s">
        <v>6994</v>
      </c>
      <c r="F838" s="1">
        <v>153.0</v>
      </c>
      <c r="G838" s="1">
        <v>156.0</v>
      </c>
      <c r="H838" s="1" t="s">
        <v>28</v>
      </c>
      <c r="I838" s="1"/>
      <c r="J838" s="1" t="s">
        <v>7010</v>
      </c>
      <c r="K838" s="1"/>
      <c r="L838" s="1" t="s">
        <v>7012</v>
      </c>
      <c r="M838" s="1" t="s">
        <v>7013</v>
      </c>
    </row>
    <row r="839">
      <c r="A839" s="1" t="s">
        <v>2137</v>
      </c>
      <c r="B839" s="1">
        <v>2001.0</v>
      </c>
      <c r="C839" s="1" t="s">
        <v>7016</v>
      </c>
      <c r="D839" s="1" t="s">
        <v>7018</v>
      </c>
      <c r="E839" s="2" t="s">
        <v>7019</v>
      </c>
      <c r="F839" s="1">
        <v>159.0</v>
      </c>
      <c r="G839" s="1">
        <v>162.0</v>
      </c>
      <c r="H839" s="1" t="s">
        <v>28</v>
      </c>
      <c r="I839" s="1"/>
      <c r="J839" s="1" t="s">
        <v>7042</v>
      </c>
      <c r="K839" s="1"/>
      <c r="L839" s="1" t="s">
        <v>7044</v>
      </c>
      <c r="M839" s="1" t="s">
        <v>4017</v>
      </c>
    </row>
    <row r="840">
      <c r="A840" s="1" t="s">
        <v>2137</v>
      </c>
      <c r="B840" s="1">
        <v>2001.0</v>
      </c>
      <c r="C840" s="1" t="s">
        <v>7046</v>
      </c>
      <c r="D840" s="1" t="s">
        <v>7053</v>
      </c>
      <c r="E840" s="2" t="s">
        <v>7054</v>
      </c>
      <c r="F840" s="1">
        <v>163.0</v>
      </c>
      <c r="G840" s="1">
        <v>166.0</v>
      </c>
      <c r="H840" s="1" t="s">
        <v>28</v>
      </c>
      <c r="I840" s="1"/>
      <c r="J840" s="1" t="s">
        <v>7075</v>
      </c>
      <c r="K840" s="1"/>
      <c r="L840" s="1" t="s">
        <v>7076</v>
      </c>
    </row>
    <row r="841">
      <c r="A841" s="1" t="s">
        <v>2137</v>
      </c>
      <c r="B841" s="1">
        <v>2001.0</v>
      </c>
      <c r="C841" s="1" t="s">
        <v>7078</v>
      </c>
      <c r="D841" s="1" t="s">
        <v>7080</v>
      </c>
      <c r="E841" s="2" t="s">
        <v>7081</v>
      </c>
      <c r="F841" s="1">
        <v>169.0</v>
      </c>
      <c r="G841" s="1">
        <v>170.0</v>
      </c>
      <c r="H841" s="1" t="s">
        <v>21</v>
      </c>
      <c r="I841" s="1"/>
      <c r="J841" s="1" t="s">
        <v>7096</v>
      </c>
      <c r="K841" s="1"/>
      <c r="L841" s="1" t="s">
        <v>7097</v>
      </c>
    </row>
    <row r="842">
      <c r="A842" s="1" t="s">
        <v>17</v>
      </c>
      <c r="B842" s="1">
        <v>2001.0</v>
      </c>
      <c r="C842" s="1" t="s">
        <v>7099</v>
      </c>
      <c r="D842" s="1" t="s">
        <v>7101</v>
      </c>
      <c r="E842" s="2" t="s">
        <v>7102</v>
      </c>
      <c r="F842" s="1">
        <v>21.0</v>
      </c>
      <c r="G842" s="1">
        <v>28.0</v>
      </c>
      <c r="H842" s="1" t="s">
        <v>28</v>
      </c>
      <c r="I842" s="1"/>
      <c r="J842" s="1" t="s">
        <v>7120</v>
      </c>
      <c r="K842" s="1"/>
      <c r="L842" s="1" t="s">
        <v>7122</v>
      </c>
      <c r="M842" s="1" t="s">
        <v>7123</v>
      </c>
      <c r="N842" s="1" t="s">
        <v>7129</v>
      </c>
    </row>
    <row r="843">
      <c r="A843" s="1" t="s">
        <v>17</v>
      </c>
      <c r="B843" s="1">
        <v>2001.0</v>
      </c>
      <c r="C843" s="1" t="s">
        <v>7132</v>
      </c>
      <c r="D843" s="1" t="s">
        <v>7133</v>
      </c>
      <c r="E843" s="2" t="s">
        <v>7135</v>
      </c>
      <c r="F843" s="1">
        <v>29.0</v>
      </c>
      <c r="G843" s="1">
        <v>36.0</v>
      </c>
      <c r="H843" s="1" t="s">
        <v>28</v>
      </c>
      <c r="I843" s="1"/>
      <c r="J843" s="1" t="s">
        <v>7156</v>
      </c>
      <c r="K843" s="1"/>
      <c r="L843" s="1" t="s">
        <v>7158</v>
      </c>
      <c r="M843" s="1" t="s">
        <v>7159</v>
      </c>
      <c r="N843" s="1" t="s">
        <v>7161</v>
      </c>
    </row>
    <row r="844">
      <c r="A844" s="1" t="s">
        <v>17</v>
      </c>
      <c r="B844" s="1">
        <v>2001.0</v>
      </c>
      <c r="C844" s="1" t="s">
        <v>7165</v>
      </c>
      <c r="D844" s="1" t="s">
        <v>7166</v>
      </c>
      <c r="E844" s="2" t="s">
        <v>7168</v>
      </c>
      <c r="F844" s="1">
        <v>37.0</v>
      </c>
      <c r="G844" s="1">
        <v>44.0</v>
      </c>
      <c r="H844" s="1" t="s">
        <v>28</v>
      </c>
      <c r="I844" s="1"/>
      <c r="J844" s="1" t="s">
        <v>7192</v>
      </c>
      <c r="K844" s="1"/>
      <c r="L844" s="1" t="s">
        <v>7194</v>
      </c>
      <c r="M844" s="1" t="s">
        <v>7196</v>
      </c>
      <c r="N844" s="1" t="s">
        <v>7197</v>
      </c>
    </row>
    <row r="845">
      <c r="A845" s="1" t="s">
        <v>17</v>
      </c>
      <c r="B845" s="1">
        <v>2001.0</v>
      </c>
      <c r="C845" s="1" t="s">
        <v>7200</v>
      </c>
      <c r="D845" s="1" t="s">
        <v>7202</v>
      </c>
      <c r="E845" s="2" t="s">
        <v>7204</v>
      </c>
      <c r="F845" s="1">
        <v>45.0</v>
      </c>
      <c r="G845" s="1">
        <v>52.0</v>
      </c>
      <c r="H845" s="1" t="s">
        <v>28</v>
      </c>
      <c r="I845" s="1"/>
      <c r="J845" s="1" t="s">
        <v>7232</v>
      </c>
      <c r="L845" s="1"/>
      <c r="M845" s="1" t="s">
        <v>4115</v>
      </c>
      <c r="N845" s="1" t="s">
        <v>7235</v>
      </c>
    </row>
    <row r="846">
      <c r="A846" s="1" t="s">
        <v>17</v>
      </c>
      <c r="B846" s="1">
        <v>2001.0</v>
      </c>
      <c r="C846" s="1" t="s">
        <v>7246</v>
      </c>
      <c r="D846" s="1" t="s">
        <v>7249</v>
      </c>
      <c r="E846" s="2" t="s">
        <v>7204</v>
      </c>
      <c r="F846" s="1">
        <v>53.0</v>
      </c>
      <c r="G846" s="1">
        <v>60.0</v>
      </c>
      <c r="H846" s="1" t="s">
        <v>28</v>
      </c>
      <c r="I846" s="1"/>
      <c r="J846" s="1" t="s">
        <v>5741</v>
      </c>
      <c r="L846" s="1"/>
      <c r="M846" s="1" t="s">
        <v>7286</v>
      </c>
    </row>
    <row r="847">
      <c r="A847" s="1" t="s">
        <v>17</v>
      </c>
      <c r="B847" s="1">
        <v>2001.0</v>
      </c>
      <c r="C847" s="1" t="s">
        <v>7290</v>
      </c>
      <c r="D847" s="1" t="s">
        <v>7292</v>
      </c>
      <c r="E847" s="2" t="s">
        <v>7331</v>
      </c>
      <c r="F847" s="1">
        <v>61.0</v>
      </c>
      <c r="G847" s="1">
        <v>68.0</v>
      </c>
      <c r="H847" s="1" t="s">
        <v>28</v>
      </c>
      <c r="I847" s="1"/>
      <c r="J847" s="1" t="s">
        <v>7629</v>
      </c>
      <c r="K847" s="1"/>
      <c r="L847" s="1" t="s">
        <v>7630</v>
      </c>
      <c r="M847" s="1" t="s">
        <v>7631</v>
      </c>
      <c r="N847" s="1" t="s">
        <v>7632</v>
      </c>
    </row>
    <row r="848">
      <c r="A848" s="1" t="s">
        <v>17</v>
      </c>
      <c r="B848" s="1">
        <v>2001.0</v>
      </c>
      <c r="C848" s="1" t="s">
        <v>7634</v>
      </c>
      <c r="D848" s="1" t="s">
        <v>7635</v>
      </c>
      <c r="E848" s="2" t="s">
        <v>7637</v>
      </c>
      <c r="F848" s="1">
        <v>69.0</v>
      </c>
      <c r="G848" s="1">
        <v>74.0</v>
      </c>
      <c r="H848" s="1" t="s">
        <v>28</v>
      </c>
      <c r="I848" s="1"/>
      <c r="J848" s="1" t="s">
        <v>7665</v>
      </c>
      <c r="L848" s="1"/>
      <c r="M848" s="1" t="s">
        <v>7667</v>
      </c>
      <c r="N848" s="1" t="s">
        <v>7669</v>
      </c>
    </row>
    <row r="849">
      <c r="A849" s="1" t="s">
        <v>17</v>
      </c>
      <c r="B849" s="1">
        <v>2001.0</v>
      </c>
      <c r="C849" s="1" t="s">
        <v>7673</v>
      </c>
      <c r="D849" s="1" t="s">
        <v>7675</v>
      </c>
      <c r="E849" s="2" t="s">
        <v>7677</v>
      </c>
      <c r="F849" s="1">
        <v>75.0</v>
      </c>
      <c r="G849" s="1">
        <v>82.0</v>
      </c>
      <c r="H849" s="1" t="s">
        <v>28</v>
      </c>
      <c r="I849" s="1"/>
      <c r="J849" s="1" t="s">
        <v>7720</v>
      </c>
      <c r="L849" s="1"/>
      <c r="M849" s="1" t="s">
        <v>3655</v>
      </c>
      <c r="N849" s="1" t="s">
        <v>7723</v>
      </c>
    </row>
    <row r="850">
      <c r="A850" s="1" t="s">
        <v>17</v>
      </c>
      <c r="B850" s="1">
        <v>2001.0</v>
      </c>
      <c r="C850" s="1" t="s">
        <v>7727</v>
      </c>
      <c r="D850" s="1" t="s">
        <v>7728</v>
      </c>
      <c r="E850" s="2" t="s">
        <v>7731</v>
      </c>
      <c r="F850" s="1">
        <v>83.0</v>
      </c>
      <c r="G850" s="1">
        <v>90.0</v>
      </c>
      <c r="H850" s="1" t="s">
        <v>28</v>
      </c>
      <c r="I850" s="1"/>
      <c r="J850" s="1" t="s">
        <v>7757</v>
      </c>
      <c r="K850" s="1"/>
      <c r="L850" s="1" t="s">
        <v>7759</v>
      </c>
      <c r="M850" s="1" t="s">
        <v>7761</v>
      </c>
      <c r="N850" s="1" t="s">
        <v>7763</v>
      </c>
    </row>
    <row r="851">
      <c r="A851" s="1" t="s">
        <v>17</v>
      </c>
      <c r="B851" s="1">
        <v>2001.0</v>
      </c>
      <c r="C851" s="1" t="s">
        <v>7767</v>
      </c>
      <c r="D851" s="1" t="s">
        <v>7770</v>
      </c>
      <c r="E851" s="2" t="s">
        <v>7773</v>
      </c>
      <c r="F851" s="1">
        <v>91.0</v>
      </c>
      <c r="G851" s="1">
        <v>98.0</v>
      </c>
      <c r="H851" s="1" t="s">
        <v>28</v>
      </c>
      <c r="I851" s="1"/>
      <c r="J851" s="1" t="s">
        <v>7807</v>
      </c>
      <c r="K851" s="1"/>
      <c r="L851" s="1" t="s">
        <v>7809</v>
      </c>
      <c r="M851" s="1" t="s">
        <v>2052</v>
      </c>
      <c r="N851" s="1" t="s">
        <v>7811</v>
      </c>
    </row>
    <row r="852">
      <c r="A852" s="1" t="s">
        <v>17</v>
      </c>
      <c r="B852" s="1">
        <v>2001.0</v>
      </c>
      <c r="C852" s="1" t="s">
        <v>7814</v>
      </c>
      <c r="D852" s="1" t="s">
        <v>7816</v>
      </c>
      <c r="E852" s="2" t="s">
        <v>7818</v>
      </c>
      <c r="F852" s="1">
        <v>99.0</v>
      </c>
      <c r="G852" s="1">
        <v>106.0</v>
      </c>
      <c r="H852" s="1" t="s">
        <v>28</v>
      </c>
      <c r="I852" s="1"/>
      <c r="J852" s="1" t="s">
        <v>7835</v>
      </c>
      <c r="K852" s="1"/>
      <c r="L852" s="1" t="s">
        <v>7837</v>
      </c>
      <c r="M852" s="1" t="s">
        <v>7838</v>
      </c>
    </row>
    <row r="853">
      <c r="A853" s="1" t="s">
        <v>17</v>
      </c>
      <c r="B853" s="1">
        <v>2001.0</v>
      </c>
      <c r="C853" s="1" t="s">
        <v>7841</v>
      </c>
      <c r="D853" s="1" t="s">
        <v>7842</v>
      </c>
      <c r="E853" s="2" t="s">
        <v>7844</v>
      </c>
      <c r="F853" s="1">
        <v>107.0</v>
      </c>
      <c r="G853" s="1">
        <v>112.0</v>
      </c>
      <c r="H853" s="1" t="s">
        <v>28</v>
      </c>
      <c r="I853" s="1"/>
      <c r="J853" s="1" t="s">
        <v>7888</v>
      </c>
      <c r="K853" s="1"/>
      <c r="L853" s="1" t="s">
        <v>7890</v>
      </c>
      <c r="M853" s="1" t="s">
        <v>5932</v>
      </c>
      <c r="N853" s="1" t="s">
        <v>7892</v>
      </c>
    </row>
    <row r="854">
      <c r="A854" s="1" t="s">
        <v>17</v>
      </c>
      <c r="B854" s="1">
        <v>2001.0</v>
      </c>
      <c r="C854" s="1" t="s">
        <v>7895</v>
      </c>
      <c r="D854" s="1" t="s">
        <v>7897</v>
      </c>
      <c r="E854" s="2" t="s">
        <v>7899</v>
      </c>
      <c r="F854" s="1">
        <v>113.0</v>
      </c>
      <c r="G854" s="1">
        <v>120.0</v>
      </c>
      <c r="H854" s="1" t="s">
        <v>28</v>
      </c>
      <c r="I854" s="1"/>
      <c r="J854" s="1" t="s">
        <v>7933</v>
      </c>
      <c r="K854" s="1"/>
      <c r="L854" s="1" t="s">
        <v>7936</v>
      </c>
      <c r="M854" s="1" t="s">
        <v>7937</v>
      </c>
      <c r="N854" s="1" t="s">
        <v>7939</v>
      </c>
    </row>
    <row r="855">
      <c r="A855" s="1" t="s">
        <v>17</v>
      </c>
      <c r="B855" s="1">
        <v>2001.0</v>
      </c>
      <c r="C855" s="1" t="s">
        <v>7942</v>
      </c>
      <c r="D855" s="1" t="s">
        <v>7944</v>
      </c>
      <c r="E855" s="2" t="s">
        <v>7946</v>
      </c>
      <c r="F855" s="1">
        <v>121.0</v>
      </c>
      <c r="G855" s="1">
        <v>126.0</v>
      </c>
      <c r="H855" s="1" t="s">
        <v>28</v>
      </c>
      <c r="I855" s="1"/>
      <c r="J855" s="1" t="s">
        <v>7977</v>
      </c>
      <c r="K855" s="1"/>
      <c r="L855" s="1" t="s">
        <v>7979</v>
      </c>
      <c r="M855" s="1" t="s">
        <v>7981</v>
      </c>
      <c r="N855" s="1" t="s">
        <v>7983</v>
      </c>
    </row>
    <row r="856">
      <c r="A856" s="1" t="s">
        <v>17</v>
      </c>
      <c r="B856" s="1">
        <v>2001.0</v>
      </c>
      <c r="C856" s="1" t="s">
        <v>7987</v>
      </c>
      <c r="D856" s="1" t="s">
        <v>7989</v>
      </c>
      <c r="E856" s="2" t="s">
        <v>7991</v>
      </c>
      <c r="F856" s="1">
        <v>127.0</v>
      </c>
      <c r="G856" s="1">
        <v>134.0</v>
      </c>
      <c r="H856" s="1" t="s">
        <v>28</v>
      </c>
      <c r="I856" s="1"/>
      <c r="J856" s="1" t="s">
        <v>8039</v>
      </c>
      <c r="L856" s="1"/>
      <c r="M856" s="1" t="s">
        <v>8042</v>
      </c>
      <c r="N856" s="1" t="s">
        <v>8044</v>
      </c>
    </row>
    <row r="857">
      <c r="A857" s="1" t="s">
        <v>17</v>
      </c>
      <c r="B857" s="1">
        <v>2001.0</v>
      </c>
      <c r="C857" s="1" t="s">
        <v>8048</v>
      </c>
      <c r="D857" s="1" t="s">
        <v>8049</v>
      </c>
      <c r="E857" s="2" t="s">
        <v>8052</v>
      </c>
      <c r="F857" s="1">
        <v>135.0</v>
      </c>
      <c r="G857" s="1">
        <v>142.0</v>
      </c>
      <c r="H857" s="1" t="s">
        <v>28</v>
      </c>
      <c r="I857" s="1"/>
      <c r="J857" s="1" t="s">
        <v>8082</v>
      </c>
      <c r="K857" s="1"/>
      <c r="L857" s="1" t="s">
        <v>3739</v>
      </c>
      <c r="M857" s="1"/>
      <c r="N857" s="1" t="s">
        <v>8088</v>
      </c>
    </row>
    <row r="858">
      <c r="A858" s="1" t="s">
        <v>17</v>
      </c>
      <c r="B858" s="1">
        <v>2001.0</v>
      </c>
      <c r="C858" s="1" t="s">
        <v>8092</v>
      </c>
      <c r="D858" s="1" t="s">
        <v>8094</v>
      </c>
      <c r="E858" s="2" t="s">
        <v>8097</v>
      </c>
      <c r="F858" s="1">
        <v>143.0</v>
      </c>
      <c r="G858" s="1">
        <v>150.0</v>
      </c>
      <c r="H858" s="1" t="s">
        <v>28</v>
      </c>
      <c r="I858" s="1"/>
      <c r="J858" s="1" t="s">
        <v>8132</v>
      </c>
      <c r="K858" s="1"/>
      <c r="L858" s="1" t="s">
        <v>8134</v>
      </c>
      <c r="M858" s="1" t="s">
        <v>8138</v>
      </c>
      <c r="N858" s="1" t="s">
        <v>8250</v>
      </c>
    </row>
    <row r="859">
      <c r="A859" s="1" t="s">
        <v>17</v>
      </c>
      <c r="B859" s="1">
        <v>2001.0</v>
      </c>
      <c r="C859" s="1" t="s">
        <v>8261</v>
      </c>
      <c r="D859" s="1" t="s">
        <v>8263</v>
      </c>
      <c r="E859" s="2" t="s">
        <v>8266</v>
      </c>
      <c r="F859" s="1">
        <v>151.0</v>
      </c>
      <c r="G859" s="1">
        <v>158.0</v>
      </c>
      <c r="H859" s="1" t="s">
        <v>28</v>
      </c>
      <c r="I859" s="1"/>
      <c r="J859" s="1" t="s">
        <v>8306</v>
      </c>
      <c r="K859" s="1"/>
      <c r="L859" s="1" t="s">
        <v>8308</v>
      </c>
      <c r="M859" s="1" t="s">
        <v>8310</v>
      </c>
      <c r="N859" s="1" t="s">
        <v>8312</v>
      </c>
    </row>
    <row r="860">
      <c r="A860" s="1" t="s">
        <v>17</v>
      </c>
      <c r="B860" s="1">
        <v>2001.0</v>
      </c>
      <c r="C860" s="1" t="s">
        <v>8315</v>
      </c>
      <c r="D860" s="1" t="s">
        <v>8317</v>
      </c>
      <c r="E860" s="2" t="s">
        <v>8320</v>
      </c>
      <c r="F860" s="1">
        <v>159.0</v>
      </c>
      <c r="G860" s="1">
        <v>166.0</v>
      </c>
      <c r="H860" s="1" t="s">
        <v>28</v>
      </c>
      <c r="I860" s="1"/>
      <c r="J860" s="1" t="s">
        <v>5903</v>
      </c>
      <c r="K860" s="1"/>
      <c r="L860" s="1" t="s">
        <v>5181</v>
      </c>
      <c r="M860" s="1" t="s">
        <v>8351</v>
      </c>
      <c r="N860" s="1" t="s">
        <v>8353</v>
      </c>
    </row>
    <row r="861">
      <c r="A861" s="1" t="s">
        <v>17</v>
      </c>
      <c r="B861" s="1">
        <v>2001.0</v>
      </c>
      <c r="C861" s="1" t="s">
        <v>8356</v>
      </c>
      <c r="D861" s="1" t="s">
        <v>8358</v>
      </c>
      <c r="E861" s="2" t="s">
        <v>8360</v>
      </c>
      <c r="F861" s="1">
        <v>167.0</v>
      </c>
      <c r="G861" s="1">
        <v>554.0</v>
      </c>
      <c r="H861" s="1" t="s">
        <v>28</v>
      </c>
      <c r="I861" s="1"/>
      <c r="J861" s="1" t="s">
        <v>8382</v>
      </c>
      <c r="K861" s="1"/>
      <c r="L861" s="1" t="s">
        <v>5729</v>
      </c>
      <c r="M861" s="1" t="s">
        <v>8385</v>
      </c>
      <c r="N861" s="1" t="s">
        <v>8386</v>
      </c>
    </row>
    <row r="862">
      <c r="A862" s="1" t="s">
        <v>17</v>
      </c>
      <c r="B862" s="1">
        <v>2001.0</v>
      </c>
      <c r="C862" s="1" t="s">
        <v>8390</v>
      </c>
      <c r="D862" s="1" t="s">
        <v>8392</v>
      </c>
      <c r="E862" s="2" t="s">
        <v>8394</v>
      </c>
      <c r="F862" s="1">
        <v>175.0</v>
      </c>
      <c r="G862" s="1">
        <v>182.0</v>
      </c>
      <c r="H862" s="1" t="s">
        <v>28</v>
      </c>
      <c r="I862" s="1"/>
      <c r="J862" s="1" t="s">
        <v>8442</v>
      </c>
      <c r="L862" s="1"/>
      <c r="M862" s="1" t="s">
        <v>8444</v>
      </c>
      <c r="N862" s="1" t="s">
        <v>8446</v>
      </c>
    </row>
    <row r="863">
      <c r="A863" s="1" t="s">
        <v>17</v>
      </c>
      <c r="B863" s="1">
        <v>2001.0</v>
      </c>
      <c r="C863" s="1" t="s">
        <v>8449</v>
      </c>
      <c r="D863" s="1" t="s">
        <v>8451</v>
      </c>
      <c r="E863" s="2" t="s">
        <v>8453</v>
      </c>
      <c r="F863" s="1">
        <v>183.0</v>
      </c>
      <c r="G863" s="1">
        <v>190.0</v>
      </c>
      <c r="H863" s="1" t="s">
        <v>28</v>
      </c>
      <c r="I863" s="1"/>
      <c r="J863" s="1" t="s">
        <v>8482</v>
      </c>
      <c r="K863" s="1"/>
      <c r="L863" s="1" t="s">
        <v>8484</v>
      </c>
      <c r="M863" s="1" t="s">
        <v>2378</v>
      </c>
      <c r="N863" s="1" t="s">
        <v>8487</v>
      </c>
    </row>
    <row r="864">
      <c r="A864" s="1" t="s">
        <v>17</v>
      </c>
      <c r="B864" s="1">
        <v>2001.0</v>
      </c>
      <c r="C864" s="1" t="s">
        <v>8490</v>
      </c>
      <c r="D864" s="1" t="s">
        <v>8492</v>
      </c>
      <c r="E864" s="2" t="s">
        <v>8495</v>
      </c>
      <c r="F864" s="1">
        <v>191.0</v>
      </c>
      <c r="G864" s="1">
        <v>198.0</v>
      </c>
      <c r="H864" s="1" t="s">
        <v>28</v>
      </c>
      <c r="I864" s="1"/>
      <c r="J864" s="1" t="s">
        <v>8509</v>
      </c>
      <c r="K864" s="1"/>
      <c r="L864" s="1" t="s">
        <v>8510</v>
      </c>
      <c r="M864" s="1" t="s">
        <v>2867</v>
      </c>
      <c r="N864" s="1" t="s">
        <v>8511</v>
      </c>
    </row>
    <row r="865">
      <c r="A865" s="1" t="s">
        <v>17</v>
      </c>
      <c r="B865" s="1">
        <v>2001.0</v>
      </c>
      <c r="C865" s="1" t="s">
        <v>8513</v>
      </c>
      <c r="D865" s="1" t="s">
        <v>8515</v>
      </c>
      <c r="E865" s="2" t="s">
        <v>8517</v>
      </c>
      <c r="F865" s="1">
        <v>199.0</v>
      </c>
      <c r="G865" s="1">
        <v>206.0</v>
      </c>
      <c r="H865" s="1" t="s">
        <v>28</v>
      </c>
      <c r="I865" s="1"/>
      <c r="J865" s="1" t="s">
        <v>8544</v>
      </c>
      <c r="K865" s="1"/>
      <c r="L865" s="1" t="s">
        <v>5445</v>
      </c>
      <c r="M865" s="1" t="s">
        <v>2867</v>
      </c>
    </row>
    <row r="866">
      <c r="A866" s="1" t="s">
        <v>17</v>
      </c>
      <c r="B866" s="1">
        <v>2001.0</v>
      </c>
      <c r="C866" s="1" t="s">
        <v>8549</v>
      </c>
      <c r="D866" s="1" t="s">
        <v>8550</v>
      </c>
      <c r="E866" s="2" t="s">
        <v>8553</v>
      </c>
      <c r="F866" s="1">
        <v>207.0</v>
      </c>
      <c r="G866" s="1">
        <v>213.0</v>
      </c>
      <c r="H866" s="1" t="s">
        <v>28</v>
      </c>
      <c r="I866" s="1"/>
      <c r="J866" s="1" t="s">
        <v>8582</v>
      </c>
      <c r="K866" s="1"/>
      <c r="L866" s="1" t="s">
        <v>8584</v>
      </c>
      <c r="M866" s="1" t="s">
        <v>8586</v>
      </c>
      <c r="N866" s="1" t="s">
        <v>8587</v>
      </c>
    </row>
    <row r="867">
      <c r="A867" s="1" t="s">
        <v>17</v>
      </c>
      <c r="B867" s="1">
        <v>2001.0</v>
      </c>
      <c r="C867" s="1" t="s">
        <v>8590</v>
      </c>
      <c r="D867" s="1" t="s">
        <v>8592</v>
      </c>
      <c r="E867" s="2" t="s">
        <v>8594</v>
      </c>
      <c r="F867" s="1">
        <v>215.0</v>
      </c>
      <c r="G867" s="1">
        <v>222.0</v>
      </c>
      <c r="H867" s="1" t="s">
        <v>28</v>
      </c>
      <c r="I867" s="1"/>
      <c r="J867" s="1" t="s">
        <v>8622</v>
      </c>
      <c r="K867" s="1"/>
      <c r="L867" s="1" t="s">
        <v>8624</v>
      </c>
      <c r="M867" s="1" t="s">
        <v>5701</v>
      </c>
      <c r="N867" s="1" t="s">
        <v>8626</v>
      </c>
    </row>
    <row r="868">
      <c r="A868" s="1" t="s">
        <v>17</v>
      </c>
      <c r="B868" s="1">
        <v>2001.0</v>
      </c>
      <c r="C868" s="1" t="s">
        <v>8629</v>
      </c>
      <c r="D868" s="1" t="s">
        <v>8631</v>
      </c>
      <c r="E868" s="2" t="s">
        <v>8633</v>
      </c>
      <c r="F868" s="1">
        <v>223.0</v>
      </c>
      <c r="G868" s="1">
        <v>230.0</v>
      </c>
      <c r="H868" s="1" t="s">
        <v>28</v>
      </c>
      <c r="I868" s="1"/>
      <c r="J868" s="1" t="s">
        <v>8658</v>
      </c>
      <c r="K868" s="1"/>
      <c r="L868" s="1" t="s">
        <v>8660</v>
      </c>
      <c r="M868" s="1" t="s">
        <v>8662</v>
      </c>
      <c r="N868" s="1" t="s">
        <v>8663</v>
      </c>
    </row>
    <row r="869">
      <c r="A869" s="1" t="s">
        <v>17</v>
      </c>
      <c r="B869" s="1">
        <v>2001.0</v>
      </c>
      <c r="C869" s="1" t="s">
        <v>8666</v>
      </c>
      <c r="D869" s="1" t="s">
        <v>8668</v>
      </c>
      <c r="E869" s="2" t="s">
        <v>8670</v>
      </c>
      <c r="F869" s="1">
        <v>231.0</v>
      </c>
      <c r="G869" s="1">
        <v>238.0</v>
      </c>
      <c r="H869" s="1" t="s">
        <v>28</v>
      </c>
      <c r="I869" s="1"/>
      <c r="J869" s="1" t="s">
        <v>8694</v>
      </c>
      <c r="K869" s="1"/>
      <c r="L869" s="1" t="s">
        <v>4524</v>
      </c>
      <c r="M869" s="1" t="s">
        <v>8695</v>
      </c>
      <c r="N869" s="1" t="s">
        <v>8696</v>
      </c>
    </row>
    <row r="870">
      <c r="A870" s="1" t="s">
        <v>17</v>
      </c>
      <c r="B870" s="1">
        <v>2001.0</v>
      </c>
      <c r="C870" s="1" t="s">
        <v>8697</v>
      </c>
      <c r="D870" s="1" t="s">
        <v>8698</v>
      </c>
      <c r="E870" s="2" t="s">
        <v>8699</v>
      </c>
      <c r="F870" s="1">
        <v>239.0</v>
      </c>
      <c r="G870" s="1">
        <v>246.0</v>
      </c>
      <c r="H870" s="1" t="s">
        <v>28</v>
      </c>
      <c r="I870" s="1"/>
      <c r="J870" s="1" t="s">
        <v>8740</v>
      </c>
      <c r="K870" s="1"/>
      <c r="L870" s="1" t="s">
        <v>8742</v>
      </c>
      <c r="M870" s="1" t="s">
        <v>8744</v>
      </c>
      <c r="N870" s="1" t="s">
        <v>8746</v>
      </c>
    </row>
    <row r="871">
      <c r="A871" s="1" t="s">
        <v>17</v>
      </c>
      <c r="B871" s="1">
        <v>2001.0</v>
      </c>
      <c r="C871" s="1" t="s">
        <v>8749</v>
      </c>
      <c r="D871" s="1" t="s">
        <v>8751</v>
      </c>
      <c r="E871" s="2" t="s">
        <v>8754</v>
      </c>
      <c r="F871" s="1">
        <v>247.0</v>
      </c>
      <c r="G871" s="1">
        <v>254.0</v>
      </c>
      <c r="H871" s="1" t="s">
        <v>28</v>
      </c>
      <c r="I871" s="1"/>
      <c r="J871" s="1" t="s">
        <v>8789</v>
      </c>
      <c r="K871" s="1"/>
      <c r="L871" s="1" t="s">
        <v>8791</v>
      </c>
      <c r="M871" s="1" t="s">
        <v>8793</v>
      </c>
      <c r="N871" s="1" t="s">
        <v>8795</v>
      </c>
    </row>
    <row r="872">
      <c r="A872" s="1" t="s">
        <v>17</v>
      </c>
      <c r="B872" s="1">
        <v>2001.0</v>
      </c>
      <c r="C872" s="1" t="s">
        <v>8798</v>
      </c>
      <c r="D872" s="1" t="s">
        <v>8800</v>
      </c>
      <c r="E872" s="2" t="s">
        <v>8802</v>
      </c>
      <c r="F872" s="1">
        <v>255.0</v>
      </c>
      <c r="G872" s="1">
        <v>262.0</v>
      </c>
      <c r="H872" s="1" t="s">
        <v>28</v>
      </c>
      <c r="I872" s="1"/>
      <c r="J872" s="1" t="s">
        <v>9324</v>
      </c>
      <c r="K872" s="1"/>
      <c r="L872" s="1" t="s">
        <v>9326</v>
      </c>
      <c r="M872" s="1" t="s">
        <v>9328</v>
      </c>
      <c r="N872" s="1" t="s">
        <v>9330</v>
      </c>
    </row>
    <row r="873">
      <c r="A873" s="1" t="s">
        <v>17</v>
      </c>
      <c r="B873" s="1">
        <v>2001.0</v>
      </c>
      <c r="C873" s="1" t="s">
        <v>9334</v>
      </c>
      <c r="D873" s="1" t="s">
        <v>9336</v>
      </c>
      <c r="E873" s="2" t="s">
        <v>9342</v>
      </c>
      <c r="F873" s="1">
        <v>263.0</v>
      </c>
      <c r="G873" s="1">
        <v>270.0</v>
      </c>
      <c r="H873" s="1" t="s">
        <v>28</v>
      </c>
      <c r="I873" s="1"/>
      <c r="J873" s="1" t="s">
        <v>9393</v>
      </c>
      <c r="L873" s="1"/>
      <c r="M873" s="1" t="s">
        <v>9395</v>
      </c>
      <c r="N873" s="1" t="s">
        <v>9397</v>
      </c>
    </row>
    <row r="874">
      <c r="A874" s="1" t="s">
        <v>17</v>
      </c>
      <c r="B874" s="1">
        <v>2001.0</v>
      </c>
      <c r="C874" s="1" t="s">
        <v>9401</v>
      </c>
      <c r="D874" s="1" t="s">
        <v>9405</v>
      </c>
      <c r="E874" s="2" t="s">
        <v>9408</v>
      </c>
      <c r="F874" s="1">
        <v>271.0</v>
      </c>
      <c r="G874" s="1">
        <v>278.0</v>
      </c>
      <c r="H874" s="1" t="s">
        <v>28</v>
      </c>
      <c r="I874" s="1"/>
      <c r="J874" s="1" t="s">
        <v>9430</v>
      </c>
      <c r="K874" s="1"/>
      <c r="L874" s="1" t="s">
        <v>9432</v>
      </c>
      <c r="M874" s="1" t="s">
        <v>9434</v>
      </c>
      <c r="N874" s="1" t="s">
        <v>9436</v>
      </c>
    </row>
    <row r="875">
      <c r="A875" s="1" t="s">
        <v>17</v>
      </c>
      <c r="B875" s="1">
        <v>2001.0</v>
      </c>
      <c r="C875" s="1" t="s">
        <v>9439</v>
      </c>
      <c r="D875" s="1" t="s">
        <v>9441</v>
      </c>
      <c r="E875" s="2" t="s">
        <v>9443</v>
      </c>
      <c r="F875" s="1">
        <v>279.0</v>
      </c>
      <c r="G875" s="1">
        <v>286.0</v>
      </c>
      <c r="H875" s="1" t="s">
        <v>28</v>
      </c>
      <c r="I875" s="1"/>
      <c r="J875" s="1" t="s">
        <v>9477</v>
      </c>
      <c r="K875" s="1"/>
      <c r="L875" s="1" t="s">
        <v>9478</v>
      </c>
      <c r="M875" s="1" t="s">
        <v>9479</v>
      </c>
      <c r="N875" s="1" t="s">
        <v>9481</v>
      </c>
    </row>
    <row r="876">
      <c r="A876" s="1" t="s">
        <v>17</v>
      </c>
      <c r="B876" s="1">
        <v>2001.0</v>
      </c>
      <c r="C876" s="1" t="s">
        <v>9484</v>
      </c>
      <c r="D876" s="1" t="s">
        <v>9486</v>
      </c>
      <c r="E876" s="2" t="s">
        <v>9488</v>
      </c>
      <c r="F876" s="1">
        <v>287.0</v>
      </c>
      <c r="G876" s="1">
        <v>294.0</v>
      </c>
      <c r="H876" s="1" t="s">
        <v>28</v>
      </c>
      <c r="I876" s="1"/>
      <c r="J876" s="1" t="s">
        <v>5940</v>
      </c>
      <c r="K876" s="1"/>
      <c r="L876" s="1" t="s">
        <v>9522</v>
      </c>
      <c r="M876" s="1" t="s">
        <v>9524</v>
      </c>
      <c r="N876" s="1" t="s">
        <v>9526</v>
      </c>
    </row>
    <row r="877">
      <c r="A877" s="1" t="s">
        <v>17</v>
      </c>
      <c r="B877" s="1">
        <v>2001.0</v>
      </c>
      <c r="C877" s="1" t="s">
        <v>9531</v>
      </c>
      <c r="D877" s="1" t="s">
        <v>9533</v>
      </c>
      <c r="E877" s="2" t="s">
        <v>9536</v>
      </c>
      <c r="F877" s="1">
        <v>295.0</v>
      </c>
      <c r="G877" s="1">
        <v>302.0</v>
      </c>
      <c r="H877" s="1" t="s">
        <v>28</v>
      </c>
      <c r="I877" s="1"/>
      <c r="J877" s="1" t="s">
        <v>9569</v>
      </c>
      <c r="K877" s="1"/>
      <c r="L877" s="1" t="s">
        <v>9572</v>
      </c>
      <c r="M877" s="1" t="s">
        <v>5832</v>
      </c>
    </row>
    <row r="878">
      <c r="A878" s="1" t="s">
        <v>17</v>
      </c>
      <c r="B878" s="1">
        <v>2001.0</v>
      </c>
      <c r="C878" s="1" t="s">
        <v>9579</v>
      </c>
      <c r="D878" s="1" t="s">
        <v>9581</v>
      </c>
      <c r="E878" s="2" t="s">
        <v>9583</v>
      </c>
      <c r="F878" s="1">
        <v>303.0</v>
      </c>
      <c r="G878" s="1">
        <v>310.0</v>
      </c>
      <c r="H878" s="1" t="s">
        <v>28</v>
      </c>
      <c r="I878" s="1"/>
      <c r="J878" s="1" t="s">
        <v>9612</v>
      </c>
      <c r="K878" s="1"/>
      <c r="L878" s="1" t="s">
        <v>9614</v>
      </c>
      <c r="M878" s="1" t="s">
        <v>9616</v>
      </c>
      <c r="N878" s="1" t="s">
        <v>9618</v>
      </c>
    </row>
    <row r="879">
      <c r="A879" s="1" t="s">
        <v>17</v>
      </c>
      <c r="B879" s="1">
        <v>2001.0</v>
      </c>
      <c r="C879" s="1" t="s">
        <v>9621</v>
      </c>
      <c r="D879" s="1" t="s">
        <v>9623</v>
      </c>
      <c r="E879" s="2" t="s">
        <v>9625</v>
      </c>
      <c r="F879" s="1">
        <v>311.0</v>
      </c>
      <c r="G879" s="1">
        <v>318.0</v>
      </c>
      <c r="H879" s="1" t="s">
        <v>28</v>
      </c>
      <c r="I879" s="1"/>
      <c r="J879" s="1" t="s">
        <v>9654</v>
      </c>
      <c r="K879" s="1"/>
      <c r="L879" s="1" t="s">
        <v>1596</v>
      </c>
      <c r="M879" s="1" t="s">
        <v>9657</v>
      </c>
    </row>
    <row r="880">
      <c r="A880" s="1" t="s">
        <v>17</v>
      </c>
      <c r="B880" s="1">
        <v>2001.0</v>
      </c>
      <c r="C880" s="1" t="s">
        <v>9660</v>
      </c>
      <c r="D880" s="1" t="s">
        <v>9662</v>
      </c>
      <c r="E880" s="2" t="s">
        <v>9664</v>
      </c>
      <c r="F880" s="1">
        <v>319.0</v>
      </c>
      <c r="G880" s="1">
        <v>324.0</v>
      </c>
      <c r="H880" s="1" t="s">
        <v>28</v>
      </c>
      <c r="I880" s="1"/>
      <c r="J880" s="1" t="s">
        <v>9714</v>
      </c>
      <c r="M880" s="1"/>
      <c r="N880" s="1" t="s">
        <v>9716</v>
      </c>
    </row>
    <row r="881">
      <c r="A881" s="1" t="s">
        <v>17</v>
      </c>
      <c r="B881" s="1">
        <v>2001.0</v>
      </c>
      <c r="C881" s="1" t="s">
        <v>9720</v>
      </c>
      <c r="D881" s="1" t="s">
        <v>9721</v>
      </c>
      <c r="E881" s="2" t="s">
        <v>9723</v>
      </c>
      <c r="F881" s="1">
        <v>325.0</v>
      </c>
      <c r="G881" s="1">
        <v>332.0</v>
      </c>
      <c r="H881" s="1" t="s">
        <v>28</v>
      </c>
      <c r="I881" s="1"/>
      <c r="J881" s="1" t="s">
        <v>9752</v>
      </c>
      <c r="K881" s="1"/>
      <c r="L881" s="1" t="s">
        <v>9754</v>
      </c>
      <c r="M881" s="1" t="s">
        <v>4975</v>
      </c>
      <c r="N881" s="1" t="s">
        <v>9756</v>
      </c>
    </row>
    <row r="882">
      <c r="A882" s="1" t="s">
        <v>17</v>
      </c>
      <c r="B882" s="1">
        <v>2001.0</v>
      </c>
      <c r="C882" s="1" t="s">
        <v>9759</v>
      </c>
      <c r="D882" s="1" t="s">
        <v>9761</v>
      </c>
      <c r="E882" s="2" t="s">
        <v>9763</v>
      </c>
      <c r="F882" s="1">
        <v>333.0</v>
      </c>
      <c r="G882" s="1">
        <v>340.0</v>
      </c>
      <c r="H882" s="1" t="s">
        <v>28</v>
      </c>
      <c r="I882" s="1"/>
      <c r="J882" s="1" t="s">
        <v>9794</v>
      </c>
      <c r="K882" s="1"/>
      <c r="L882" s="1" t="s">
        <v>178</v>
      </c>
      <c r="M882" s="1"/>
      <c r="N882" s="1" t="s">
        <v>9797</v>
      </c>
    </row>
    <row r="883">
      <c r="A883" s="1" t="s">
        <v>17</v>
      </c>
      <c r="B883" s="1">
        <v>2001.0</v>
      </c>
      <c r="C883" s="1" t="s">
        <v>9801</v>
      </c>
      <c r="D883" s="1" t="s">
        <v>9803</v>
      </c>
      <c r="E883" s="2" t="s">
        <v>9806</v>
      </c>
      <c r="F883" s="1">
        <v>341.0</v>
      </c>
      <c r="G883" s="1">
        <v>348.0</v>
      </c>
      <c r="H883" s="1" t="s">
        <v>28</v>
      </c>
      <c r="I883" s="1"/>
      <c r="J883" s="1" t="s">
        <v>9851</v>
      </c>
      <c r="K883" s="1"/>
      <c r="L883" s="1" t="s">
        <v>9852</v>
      </c>
      <c r="M883" s="1" t="s">
        <v>3509</v>
      </c>
      <c r="N883" s="1" t="s">
        <v>9855</v>
      </c>
    </row>
    <row r="884">
      <c r="A884" s="1" t="s">
        <v>17</v>
      </c>
      <c r="B884" s="1">
        <v>2001.0</v>
      </c>
      <c r="C884" s="1" t="s">
        <v>9858</v>
      </c>
      <c r="D884" s="1" t="s">
        <v>9861</v>
      </c>
      <c r="E884" s="2" t="s">
        <v>9869</v>
      </c>
      <c r="F884" s="1">
        <v>349.0</v>
      </c>
      <c r="G884" s="1">
        <v>356.0</v>
      </c>
      <c r="H884" s="1" t="s">
        <v>28</v>
      </c>
      <c r="I884" s="1"/>
      <c r="J884" s="1" t="s">
        <v>9903</v>
      </c>
      <c r="K884" s="1"/>
      <c r="L884" s="1" t="s">
        <v>5637</v>
      </c>
      <c r="M884" s="1" t="s">
        <v>3584</v>
      </c>
      <c r="N884" s="1" t="s">
        <v>9907</v>
      </c>
    </row>
    <row r="885">
      <c r="A885" s="1" t="s">
        <v>17</v>
      </c>
      <c r="B885" s="1">
        <v>2001.0</v>
      </c>
      <c r="C885" s="1" t="s">
        <v>9912</v>
      </c>
      <c r="D885" s="1" t="s">
        <v>9914</v>
      </c>
      <c r="E885" s="2" t="s">
        <v>9916</v>
      </c>
      <c r="F885" s="1">
        <v>357.0</v>
      </c>
      <c r="G885" s="1">
        <v>262.0</v>
      </c>
      <c r="H885" s="1" t="s">
        <v>28</v>
      </c>
      <c r="I885" s="1"/>
      <c r="J885" s="1" t="s">
        <v>9948</v>
      </c>
      <c r="K885" s="1"/>
      <c r="L885" s="1" t="s">
        <v>9950</v>
      </c>
      <c r="M885" s="1" t="s">
        <v>9952</v>
      </c>
      <c r="N885" s="1" t="s">
        <v>9954</v>
      </c>
    </row>
    <row r="886">
      <c r="A886" s="1" t="s">
        <v>17</v>
      </c>
      <c r="B886" s="1">
        <v>2001.0</v>
      </c>
      <c r="C886" s="1" t="s">
        <v>9955</v>
      </c>
      <c r="D886" s="1" t="s">
        <v>9956</v>
      </c>
      <c r="E886" s="2" t="s">
        <v>9957</v>
      </c>
      <c r="F886" s="1">
        <v>363.0</v>
      </c>
      <c r="G886" s="1">
        <v>370.0</v>
      </c>
      <c r="H886" s="1" t="s">
        <v>28</v>
      </c>
      <c r="I886" s="1"/>
      <c r="J886" s="1" t="s">
        <v>9982</v>
      </c>
      <c r="K886" s="1"/>
      <c r="L886" s="1" t="s">
        <v>9985</v>
      </c>
      <c r="M886" s="1" t="s">
        <v>9987</v>
      </c>
    </row>
    <row r="887">
      <c r="A887" s="1" t="s">
        <v>17</v>
      </c>
      <c r="B887" s="1">
        <v>2001.0</v>
      </c>
      <c r="C887" s="1" t="s">
        <v>9990</v>
      </c>
      <c r="D887" s="1" t="s">
        <v>9993</v>
      </c>
      <c r="E887" s="2" t="s">
        <v>9994</v>
      </c>
      <c r="F887" s="1">
        <v>371.0</v>
      </c>
      <c r="G887" s="1">
        <v>378.0</v>
      </c>
      <c r="H887" s="1" t="s">
        <v>28</v>
      </c>
      <c r="I887" s="1"/>
      <c r="J887" s="1" t="s">
        <v>10026</v>
      </c>
      <c r="K887" s="1"/>
      <c r="L887" s="1" t="s">
        <v>10029</v>
      </c>
      <c r="M887" s="1" t="s">
        <v>10030</v>
      </c>
    </row>
    <row r="888">
      <c r="A888" s="1" t="s">
        <v>17</v>
      </c>
      <c r="B888" s="1">
        <v>2001.0</v>
      </c>
      <c r="C888" s="1" t="s">
        <v>10033</v>
      </c>
      <c r="D888" s="1" t="s">
        <v>10035</v>
      </c>
      <c r="E888" s="2" t="s">
        <v>10037</v>
      </c>
      <c r="F888" s="1">
        <v>379.0</v>
      </c>
      <c r="G888" s="1">
        <v>386.0</v>
      </c>
      <c r="H888" s="1" t="s">
        <v>28</v>
      </c>
      <c r="I888" s="1"/>
      <c r="J888" s="1" t="s">
        <v>10067</v>
      </c>
      <c r="K888" s="1"/>
      <c r="L888" s="1" t="s">
        <v>10069</v>
      </c>
      <c r="M888" s="1" t="s">
        <v>10071</v>
      </c>
      <c r="N888" s="1" t="s">
        <v>10073</v>
      </c>
    </row>
    <row r="889">
      <c r="A889" s="1" t="s">
        <v>17</v>
      </c>
      <c r="B889" s="1">
        <v>2001.0</v>
      </c>
      <c r="C889" s="1" t="s">
        <v>10077</v>
      </c>
      <c r="D889" s="1" t="s">
        <v>10078</v>
      </c>
      <c r="E889" s="2" t="s">
        <v>10080</v>
      </c>
      <c r="F889" s="1">
        <v>387.0</v>
      </c>
      <c r="G889" s="1">
        <v>394.0</v>
      </c>
      <c r="H889" s="1" t="s">
        <v>28</v>
      </c>
      <c r="I889" s="1"/>
      <c r="J889" s="1" t="s">
        <v>10130</v>
      </c>
      <c r="L889" s="1"/>
      <c r="M889" s="1" t="s">
        <v>10132</v>
      </c>
      <c r="N889" s="1" t="s">
        <v>10134</v>
      </c>
    </row>
    <row r="890">
      <c r="A890" s="1" t="s">
        <v>17</v>
      </c>
      <c r="B890" s="1">
        <v>2001.0</v>
      </c>
      <c r="C890" s="1" t="s">
        <v>10137</v>
      </c>
      <c r="D890" s="1" t="s">
        <v>10139</v>
      </c>
      <c r="E890" s="2" t="s">
        <v>10141</v>
      </c>
      <c r="F890" s="1">
        <v>395.0</v>
      </c>
      <c r="G890" s="1">
        <v>402.0</v>
      </c>
      <c r="H890" s="1" t="s">
        <v>28</v>
      </c>
      <c r="I890" s="1"/>
      <c r="J890" s="1" t="s">
        <v>10174</v>
      </c>
      <c r="K890" s="1"/>
      <c r="L890" s="1" t="s">
        <v>10176</v>
      </c>
      <c r="M890" s="1" t="s">
        <v>3781</v>
      </c>
      <c r="N890" s="1" t="s">
        <v>10180</v>
      </c>
    </row>
    <row r="891">
      <c r="A891" s="1" t="s">
        <v>17</v>
      </c>
      <c r="B891" s="1">
        <v>2001.0</v>
      </c>
      <c r="C891" s="1" t="s">
        <v>10183</v>
      </c>
      <c r="D891" s="1" t="s">
        <v>10185</v>
      </c>
      <c r="E891" s="2" t="s">
        <v>10187</v>
      </c>
      <c r="F891" s="1">
        <v>403.0</v>
      </c>
      <c r="G891" s="1">
        <v>410.0</v>
      </c>
      <c r="H891" s="1" t="s">
        <v>28</v>
      </c>
      <c r="I891" s="1"/>
      <c r="J891" s="1" t="s">
        <v>10216</v>
      </c>
      <c r="K891" s="1"/>
      <c r="L891" s="1" t="s">
        <v>10218</v>
      </c>
      <c r="M891" s="1" t="s">
        <v>10220</v>
      </c>
      <c r="N891" s="1" t="s">
        <v>10221</v>
      </c>
    </row>
    <row r="892">
      <c r="A892" s="1" t="s">
        <v>17</v>
      </c>
      <c r="B892" s="1">
        <v>2001.0</v>
      </c>
      <c r="C892" s="1" t="s">
        <v>10225</v>
      </c>
      <c r="D892" s="1" t="s">
        <v>10226</v>
      </c>
      <c r="E892" s="2" t="s">
        <v>10229</v>
      </c>
      <c r="F892" s="1">
        <v>411.0</v>
      </c>
      <c r="G892" s="1">
        <v>418.0</v>
      </c>
      <c r="H892" s="1" t="s">
        <v>28</v>
      </c>
      <c r="I892" s="1"/>
      <c r="J892" s="1" t="s">
        <v>10258</v>
      </c>
      <c r="K892" s="1"/>
      <c r="L892" s="1" t="s">
        <v>10259</v>
      </c>
      <c r="M892" s="1" t="s">
        <v>10261</v>
      </c>
      <c r="N892" s="1" t="s">
        <v>10262</v>
      </c>
    </row>
    <row r="893">
      <c r="A893" s="1" t="s">
        <v>17</v>
      </c>
      <c r="B893" s="1">
        <v>2001.0</v>
      </c>
      <c r="C893" s="1" t="s">
        <v>10265</v>
      </c>
      <c r="D893" s="1" t="s">
        <v>10266</v>
      </c>
      <c r="E893" s="2" t="s">
        <v>10269</v>
      </c>
      <c r="F893" s="1">
        <v>421.0</v>
      </c>
      <c r="G893" s="1">
        <v>424.0</v>
      </c>
      <c r="H893" s="1" t="s">
        <v>28</v>
      </c>
      <c r="I893" s="1"/>
      <c r="J893" s="1" t="s">
        <v>10528</v>
      </c>
      <c r="M893" s="1"/>
      <c r="N893" s="1" t="s">
        <v>10530</v>
      </c>
    </row>
    <row r="894">
      <c r="A894" s="1" t="s">
        <v>17</v>
      </c>
      <c r="B894" s="1">
        <v>2001.0</v>
      </c>
      <c r="C894" s="1" t="s">
        <v>10533</v>
      </c>
      <c r="D894" s="1" t="s">
        <v>10534</v>
      </c>
      <c r="E894" s="2" t="s">
        <v>10539</v>
      </c>
      <c r="F894" s="1">
        <v>425.0</v>
      </c>
      <c r="G894" s="1">
        <v>428.0</v>
      </c>
      <c r="H894" s="1" t="s">
        <v>28</v>
      </c>
      <c r="I894" s="1"/>
      <c r="J894" s="1" t="s">
        <v>10578</v>
      </c>
      <c r="K894" s="1"/>
      <c r="L894" s="1" t="s">
        <v>5982</v>
      </c>
      <c r="M894" s="1" t="s">
        <v>5979</v>
      </c>
      <c r="N894" s="1" t="s">
        <v>10582</v>
      </c>
    </row>
    <row r="895">
      <c r="A895" s="1" t="s">
        <v>17</v>
      </c>
      <c r="B895" s="1">
        <v>2001.0</v>
      </c>
      <c r="C895" s="1" t="s">
        <v>10586</v>
      </c>
      <c r="D895" s="1" t="s">
        <v>10587</v>
      </c>
      <c r="E895" s="2" t="s">
        <v>10591</v>
      </c>
      <c r="F895" s="1">
        <v>429.0</v>
      </c>
      <c r="G895" s="1">
        <v>432.0</v>
      </c>
      <c r="H895" s="1" t="s">
        <v>28</v>
      </c>
      <c r="I895" s="1"/>
      <c r="J895" s="1" t="s">
        <v>10623</v>
      </c>
      <c r="K895" s="1"/>
      <c r="L895" s="1" t="s">
        <v>10625</v>
      </c>
      <c r="M895" s="1" t="s">
        <v>5352</v>
      </c>
      <c r="N895" s="1" t="s">
        <v>10628</v>
      </c>
    </row>
    <row r="896">
      <c r="A896" s="1" t="s">
        <v>17</v>
      </c>
      <c r="B896" s="1">
        <v>2001.0</v>
      </c>
      <c r="C896" s="1" t="s">
        <v>10631</v>
      </c>
      <c r="D896" s="1" t="s">
        <v>10633</v>
      </c>
      <c r="E896" s="2" t="s">
        <v>10638</v>
      </c>
      <c r="F896" s="1">
        <v>433.0</v>
      </c>
      <c r="G896" s="1">
        <v>436.0</v>
      </c>
      <c r="H896" s="1" t="s">
        <v>28</v>
      </c>
      <c r="I896" s="1"/>
      <c r="J896" s="1" t="s">
        <v>10672</v>
      </c>
      <c r="K896" s="1"/>
      <c r="L896" s="1" t="s">
        <v>10673</v>
      </c>
      <c r="M896" s="1"/>
      <c r="N896" s="1" t="s">
        <v>10674</v>
      </c>
    </row>
    <row r="897">
      <c r="A897" s="1" t="s">
        <v>17</v>
      </c>
      <c r="B897" s="1">
        <v>2001.0</v>
      </c>
      <c r="C897" s="1" t="s">
        <v>10675</v>
      </c>
      <c r="D897" s="1" t="s">
        <v>10676</v>
      </c>
      <c r="E897" s="2" t="s">
        <v>10677</v>
      </c>
      <c r="F897" s="1">
        <v>437.0</v>
      </c>
      <c r="G897" s="1">
        <v>440.0</v>
      </c>
      <c r="H897" s="1" t="s">
        <v>28</v>
      </c>
      <c r="I897" s="1"/>
      <c r="J897" s="1" t="s">
        <v>10707</v>
      </c>
      <c r="K897" s="1"/>
      <c r="L897" s="1" t="s">
        <v>10709</v>
      </c>
      <c r="M897" s="1" t="s">
        <v>10711</v>
      </c>
      <c r="N897" s="1" t="s">
        <v>10712</v>
      </c>
    </row>
    <row r="898">
      <c r="A898" s="1" t="s">
        <v>17</v>
      </c>
      <c r="B898" s="1">
        <v>2001.0</v>
      </c>
      <c r="C898" s="1" t="s">
        <v>10716</v>
      </c>
      <c r="D898" s="1" t="s">
        <v>10718</v>
      </c>
      <c r="E898" s="2" t="s">
        <v>10720</v>
      </c>
      <c r="F898" s="1">
        <v>441.0</v>
      </c>
      <c r="G898" s="1">
        <v>444.0</v>
      </c>
      <c r="H898" s="1" t="s">
        <v>28</v>
      </c>
      <c r="I898" s="1"/>
      <c r="J898" s="1" t="s">
        <v>4514</v>
      </c>
      <c r="K898" s="1"/>
      <c r="L898" s="1" t="s">
        <v>4515</v>
      </c>
      <c r="M898" s="1" t="s">
        <v>6024</v>
      </c>
      <c r="N898" s="1" t="s">
        <v>10779</v>
      </c>
    </row>
    <row r="899">
      <c r="A899" s="1" t="s">
        <v>17</v>
      </c>
      <c r="B899" s="1">
        <v>2001.0</v>
      </c>
      <c r="C899" s="1" t="s">
        <v>10783</v>
      </c>
      <c r="D899" s="1" t="s">
        <v>10784</v>
      </c>
      <c r="E899" s="2" t="s">
        <v>10787</v>
      </c>
      <c r="F899" s="1">
        <v>445.0</v>
      </c>
      <c r="G899" s="1">
        <v>448.0</v>
      </c>
      <c r="H899" s="1" t="s">
        <v>28</v>
      </c>
      <c r="I899" s="1"/>
      <c r="J899" s="1" t="s">
        <v>10819</v>
      </c>
      <c r="K899" s="1"/>
      <c r="L899" s="1" t="s">
        <v>144</v>
      </c>
      <c r="M899" s="1" t="s">
        <v>2299</v>
      </c>
      <c r="N899" s="1" t="s">
        <v>10822</v>
      </c>
    </row>
    <row r="900">
      <c r="A900" s="1" t="s">
        <v>17</v>
      </c>
      <c r="B900" s="1">
        <v>2001.0</v>
      </c>
      <c r="C900" s="1" t="s">
        <v>10825</v>
      </c>
      <c r="D900" s="1" t="s">
        <v>10827</v>
      </c>
      <c r="E900" s="2" t="s">
        <v>10829</v>
      </c>
      <c r="F900" s="1">
        <v>449.0</v>
      </c>
      <c r="G900" s="1">
        <v>452.0</v>
      </c>
      <c r="H900" s="1" t="s">
        <v>28</v>
      </c>
      <c r="I900" s="1"/>
      <c r="J900" s="1" t="s">
        <v>10857</v>
      </c>
      <c r="K900" s="1"/>
      <c r="L900" s="1" t="s">
        <v>10859</v>
      </c>
      <c r="M900" s="1"/>
      <c r="N900" s="1" t="s">
        <v>10861</v>
      </c>
    </row>
    <row r="901">
      <c r="A901" s="1" t="s">
        <v>17</v>
      </c>
      <c r="B901" s="1">
        <v>2001.0</v>
      </c>
      <c r="C901" s="1" t="s">
        <v>10864</v>
      </c>
      <c r="D901" s="1" t="s">
        <v>10867</v>
      </c>
      <c r="E901" s="2" t="s">
        <v>10870</v>
      </c>
      <c r="F901" s="1">
        <v>453.0</v>
      </c>
      <c r="G901" s="1">
        <v>456.0</v>
      </c>
      <c r="H901" s="1" t="s">
        <v>28</v>
      </c>
      <c r="I901" s="1"/>
      <c r="J901" s="1" t="s">
        <v>10906</v>
      </c>
      <c r="K901" s="1"/>
      <c r="L901" s="1" t="s">
        <v>10907</v>
      </c>
      <c r="M901" s="1"/>
      <c r="N901" s="1" t="s">
        <v>10908</v>
      </c>
    </row>
    <row r="902">
      <c r="A902" s="1" t="s">
        <v>17</v>
      </c>
      <c r="B902" s="1">
        <v>2001.0</v>
      </c>
      <c r="C902" s="1" t="s">
        <v>10909</v>
      </c>
      <c r="D902" s="1" t="s">
        <v>10911</v>
      </c>
      <c r="E902" s="2" t="s">
        <v>10913</v>
      </c>
      <c r="F902" s="1">
        <v>457.0</v>
      </c>
      <c r="G902" s="1">
        <v>460.0</v>
      </c>
      <c r="H902" s="1" t="s">
        <v>28</v>
      </c>
      <c r="I902" s="1"/>
      <c r="J902" s="1" t="s">
        <v>10944</v>
      </c>
      <c r="K902" s="1"/>
      <c r="L902" s="1" t="s">
        <v>10945</v>
      </c>
      <c r="M902" s="1"/>
      <c r="N902" s="1" t="s">
        <v>10946</v>
      </c>
    </row>
    <row r="903">
      <c r="A903" s="1" t="s">
        <v>17</v>
      </c>
      <c r="B903" s="1">
        <v>2001.0</v>
      </c>
      <c r="C903" s="1" t="s">
        <v>10948</v>
      </c>
      <c r="D903" s="1" t="s">
        <v>10950</v>
      </c>
      <c r="E903" s="2" t="s">
        <v>10952</v>
      </c>
      <c r="F903" s="1">
        <v>461.0</v>
      </c>
      <c r="G903" s="1">
        <v>464.0</v>
      </c>
      <c r="H903" s="1" t="s">
        <v>28</v>
      </c>
      <c r="I903" s="1"/>
      <c r="J903" s="1" t="s">
        <v>10983</v>
      </c>
      <c r="K903" s="1"/>
      <c r="L903" s="1" t="s">
        <v>10985</v>
      </c>
      <c r="M903" s="1" t="s">
        <v>4206</v>
      </c>
      <c r="N903" s="1" t="s">
        <v>10988</v>
      </c>
    </row>
    <row r="904">
      <c r="A904" s="1" t="s">
        <v>17</v>
      </c>
      <c r="B904" s="1">
        <v>2001.0</v>
      </c>
      <c r="C904" s="1" t="s">
        <v>10992</v>
      </c>
      <c r="D904" s="1" t="s">
        <v>10993</v>
      </c>
      <c r="E904" s="2" t="s">
        <v>10996</v>
      </c>
      <c r="F904" s="1">
        <v>465.0</v>
      </c>
      <c r="G904" s="1">
        <v>468.0</v>
      </c>
      <c r="H904" s="1" t="s">
        <v>28</v>
      </c>
      <c r="I904" s="1"/>
      <c r="J904" s="1" t="s">
        <v>11030</v>
      </c>
      <c r="K904" s="1"/>
      <c r="L904" s="1" t="s">
        <v>753</v>
      </c>
      <c r="M904" s="1" t="s">
        <v>11033</v>
      </c>
    </row>
    <row r="905">
      <c r="A905" s="1" t="s">
        <v>17</v>
      </c>
      <c r="B905" s="1">
        <v>2001.0</v>
      </c>
      <c r="C905" s="1" t="s">
        <v>11038</v>
      </c>
      <c r="D905" s="1" t="s">
        <v>11040</v>
      </c>
      <c r="E905" s="2" t="s">
        <v>11042</v>
      </c>
      <c r="F905" s="1">
        <v>469.0</v>
      </c>
      <c r="G905" s="1">
        <v>472.0</v>
      </c>
      <c r="H905" s="1" t="s">
        <v>28</v>
      </c>
      <c r="I905" s="1"/>
      <c r="J905" s="1" t="s">
        <v>11074</v>
      </c>
      <c r="K905" s="1"/>
      <c r="L905" s="1" t="s">
        <v>11076</v>
      </c>
      <c r="M905" s="1"/>
      <c r="N905" s="1" t="s">
        <v>11078</v>
      </c>
    </row>
    <row r="906">
      <c r="A906" s="1" t="s">
        <v>17</v>
      </c>
      <c r="B906" s="1">
        <v>2001.0</v>
      </c>
      <c r="C906" s="1" t="s">
        <v>11081</v>
      </c>
      <c r="D906" s="1" t="s">
        <v>11083</v>
      </c>
      <c r="E906" s="2" t="s">
        <v>11085</v>
      </c>
      <c r="F906" s="1">
        <v>473.0</v>
      </c>
      <c r="G906" s="1">
        <v>476.0</v>
      </c>
      <c r="H906" s="1" t="s">
        <v>28</v>
      </c>
      <c r="I906" s="1"/>
      <c r="J906" s="1" t="s">
        <v>11116</v>
      </c>
      <c r="K906" s="1"/>
      <c r="L906" s="1" t="s">
        <v>3240</v>
      </c>
      <c r="M906" s="1" t="s">
        <v>11120</v>
      </c>
      <c r="N906" s="1" t="s">
        <v>11123</v>
      </c>
    </row>
    <row r="907">
      <c r="A907" s="1" t="s">
        <v>17</v>
      </c>
      <c r="B907" s="1">
        <v>2001.0</v>
      </c>
      <c r="C907" s="1" t="s">
        <v>11128</v>
      </c>
      <c r="D907" s="1" t="s">
        <v>11129</v>
      </c>
      <c r="E907" s="2" t="s">
        <v>11130</v>
      </c>
      <c r="F907" s="1">
        <v>477.0</v>
      </c>
      <c r="G907" s="1">
        <v>480.0</v>
      </c>
      <c r="H907" s="1" t="s">
        <v>28</v>
      </c>
      <c r="I907" s="1"/>
      <c r="J907" s="1" t="s">
        <v>11135</v>
      </c>
      <c r="K907" s="1"/>
      <c r="L907" s="1" t="s">
        <v>11136</v>
      </c>
      <c r="M907" s="1"/>
      <c r="N907" s="1" t="s">
        <v>11137</v>
      </c>
    </row>
    <row r="908">
      <c r="A908" s="1" t="s">
        <v>17</v>
      </c>
      <c r="B908" s="1">
        <v>2001.0</v>
      </c>
      <c r="C908" s="1" t="s">
        <v>11138</v>
      </c>
      <c r="D908" s="1" t="s">
        <v>11139</v>
      </c>
      <c r="E908" s="2" t="s">
        <v>11140</v>
      </c>
      <c r="F908" s="1">
        <v>481.0</v>
      </c>
      <c r="G908" s="1">
        <v>484.0</v>
      </c>
      <c r="H908" s="1" t="s">
        <v>28</v>
      </c>
      <c r="I908" s="1"/>
      <c r="J908" s="1" t="s">
        <v>11159</v>
      </c>
      <c r="K908" s="1"/>
      <c r="L908" s="1" t="s">
        <v>11161</v>
      </c>
    </row>
    <row r="909">
      <c r="A909" s="1" t="s">
        <v>17</v>
      </c>
      <c r="B909" s="1">
        <v>2001.0</v>
      </c>
      <c r="C909" s="1" t="s">
        <v>11164</v>
      </c>
      <c r="D909" s="1" t="s">
        <v>11166</v>
      </c>
      <c r="E909" s="2" t="s">
        <v>11177</v>
      </c>
      <c r="F909" s="1">
        <v>485.0</v>
      </c>
      <c r="G909" s="1">
        <v>488.0</v>
      </c>
      <c r="H909" s="1" t="s">
        <v>28</v>
      </c>
      <c r="I909" s="1"/>
      <c r="J909" s="1" t="s">
        <v>5636</v>
      </c>
      <c r="K909" s="1"/>
      <c r="L909" s="1" t="s">
        <v>11212</v>
      </c>
      <c r="M909" s="1" t="s">
        <v>1354</v>
      </c>
      <c r="N909" s="1" t="s">
        <v>11215</v>
      </c>
    </row>
    <row r="910">
      <c r="A910" s="1" t="s">
        <v>17</v>
      </c>
      <c r="B910" s="1">
        <v>2001.0</v>
      </c>
      <c r="C910" s="1" t="s">
        <v>11218</v>
      </c>
      <c r="D910" s="1" t="s">
        <v>11220</v>
      </c>
      <c r="E910" s="2" t="s">
        <v>11222</v>
      </c>
      <c r="F910" s="1">
        <v>489.0</v>
      </c>
      <c r="G910" s="1">
        <v>492.0</v>
      </c>
      <c r="H910" s="1" t="s">
        <v>28</v>
      </c>
      <c r="I910" s="1"/>
      <c r="J910" s="1" t="s">
        <v>11257</v>
      </c>
      <c r="K910" s="1"/>
      <c r="L910" s="1" t="s">
        <v>3790</v>
      </c>
      <c r="M910" s="1"/>
      <c r="N910" s="1" t="s">
        <v>11260</v>
      </c>
    </row>
    <row r="911">
      <c r="A911" s="1" t="s">
        <v>17</v>
      </c>
      <c r="B911" s="1">
        <v>2001.0</v>
      </c>
      <c r="C911" s="1" t="s">
        <v>11263</v>
      </c>
      <c r="D911" s="1" t="s">
        <v>11265</v>
      </c>
      <c r="E911" s="2" t="s">
        <v>11267</v>
      </c>
      <c r="F911" s="1">
        <v>493.0</v>
      </c>
      <c r="G911" s="1">
        <v>496.0</v>
      </c>
      <c r="H911" s="1" t="s">
        <v>28</v>
      </c>
      <c r="I911" s="1"/>
      <c r="J911" s="1" t="s">
        <v>11319</v>
      </c>
      <c r="M911" s="1"/>
      <c r="N911" s="1" t="s">
        <v>11321</v>
      </c>
    </row>
    <row r="912">
      <c r="A912" s="1" t="s">
        <v>17</v>
      </c>
      <c r="B912" s="1">
        <v>2001.0</v>
      </c>
      <c r="C912" s="1" t="s">
        <v>11324</v>
      </c>
      <c r="D912" s="1" t="s">
        <v>11326</v>
      </c>
      <c r="E912" s="2" t="s">
        <v>11329</v>
      </c>
      <c r="F912" s="1">
        <v>497.0</v>
      </c>
      <c r="G912" s="1">
        <v>500.0</v>
      </c>
      <c r="H912" s="1" t="s">
        <v>28</v>
      </c>
      <c r="I912" s="1"/>
      <c r="J912" s="1" t="s">
        <v>11375</v>
      </c>
      <c r="M912" s="1"/>
      <c r="N912" s="1" t="s">
        <v>11377</v>
      </c>
    </row>
    <row r="913">
      <c r="A913" s="1" t="s">
        <v>17</v>
      </c>
      <c r="B913" s="1">
        <v>2001.0</v>
      </c>
      <c r="C913" s="1" t="s">
        <v>11380</v>
      </c>
      <c r="D913" s="1" t="s">
        <v>11382</v>
      </c>
      <c r="E913" s="2" t="s">
        <v>11384</v>
      </c>
      <c r="F913" s="1">
        <v>501.0</v>
      </c>
      <c r="G913" s="1">
        <v>504.0</v>
      </c>
      <c r="H913" s="1" t="s">
        <v>28</v>
      </c>
      <c r="I913" s="1"/>
      <c r="J913" s="1" t="s">
        <v>11411</v>
      </c>
      <c r="K913" s="1"/>
      <c r="L913" s="1" t="s">
        <v>11412</v>
      </c>
    </row>
    <row r="914">
      <c r="A914" s="1" t="s">
        <v>17</v>
      </c>
      <c r="B914" s="1">
        <v>2001.0</v>
      </c>
      <c r="C914" s="1" t="s">
        <v>11416</v>
      </c>
      <c r="D914" s="1" t="s">
        <v>11417</v>
      </c>
      <c r="E914" s="2" t="s">
        <v>11420</v>
      </c>
      <c r="F914" s="1">
        <v>505.0</v>
      </c>
      <c r="G914" s="1">
        <v>508.0</v>
      </c>
      <c r="H914" s="1" t="s">
        <v>28</v>
      </c>
      <c r="I914" s="1"/>
      <c r="J914" s="1" t="s">
        <v>11464</v>
      </c>
      <c r="L914" s="1"/>
      <c r="M914" s="1" t="s">
        <v>4567</v>
      </c>
      <c r="N914" s="1" t="s">
        <v>11467</v>
      </c>
    </row>
    <row r="915">
      <c r="A915" s="1" t="s">
        <v>17</v>
      </c>
      <c r="B915" s="1">
        <v>2001.0</v>
      </c>
      <c r="C915" s="1" t="s">
        <v>11471</v>
      </c>
      <c r="D915" s="1" t="s">
        <v>11473</v>
      </c>
      <c r="E915" s="2" t="s">
        <v>11475</v>
      </c>
      <c r="F915" s="1">
        <v>509.0</v>
      </c>
      <c r="G915" s="1">
        <v>601.0</v>
      </c>
      <c r="H915" s="1" t="s">
        <v>28</v>
      </c>
      <c r="I915" s="1"/>
      <c r="J915" s="1" t="s">
        <v>11507</v>
      </c>
      <c r="K915" s="1"/>
      <c r="L915" s="1" t="s">
        <v>11509</v>
      </c>
    </row>
    <row r="916">
      <c r="A916" s="1" t="s">
        <v>2137</v>
      </c>
      <c r="B916" s="1">
        <v>2002.0</v>
      </c>
      <c r="C916" s="1" t="s">
        <v>11512</v>
      </c>
      <c r="D916" s="1" t="s">
        <v>11514</v>
      </c>
      <c r="E916" s="2" t="s">
        <v>11516</v>
      </c>
      <c r="F916" s="1">
        <v>3.0</v>
      </c>
      <c r="G916" s="1">
        <v>4.0</v>
      </c>
      <c r="H916" s="1" t="s">
        <v>21</v>
      </c>
      <c r="I916" s="1"/>
      <c r="J916" s="1" t="s">
        <v>11535</v>
      </c>
      <c r="K916" s="1"/>
      <c r="L916" s="1" t="s">
        <v>11536</v>
      </c>
    </row>
    <row r="917">
      <c r="A917" s="1" t="s">
        <v>2137</v>
      </c>
      <c r="B917" s="1">
        <v>2002.0</v>
      </c>
      <c r="C917" s="1" t="s">
        <v>11539</v>
      </c>
      <c r="D917" s="1" t="s">
        <v>11541</v>
      </c>
      <c r="E917" s="2" t="s">
        <v>11543</v>
      </c>
      <c r="F917" s="1">
        <v>7.0</v>
      </c>
      <c r="G917" s="1">
        <v>14.0</v>
      </c>
      <c r="H917" s="1" t="s">
        <v>28</v>
      </c>
      <c r="I917" s="1"/>
      <c r="J917" s="1" t="s">
        <v>11581</v>
      </c>
      <c r="K917" s="1"/>
      <c r="L917" s="1" t="s">
        <v>4915</v>
      </c>
      <c r="M917" s="1" t="s">
        <v>5481</v>
      </c>
      <c r="P917" s="1"/>
      <c r="Q917" s="1" t="s">
        <v>106</v>
      </c>
    </row>
    <row r="918">
      <c r="A918" s="1" t="s">
        <v>2137</v>
      </c>
      <c r="B918" s="1">
        <v>2002.0</v>
      </c>
      <c r="C918" s="1" t="s">
        <v>11588</v>
      </c>
      <c r="D918" s="1" t="s">
        <v>11589</v>
      </c>
      <c r="E918" s="2" t="s">
        <v>11591</v>
      </c>
      <c r="F918" s="1">
        <v>15.0</v>
      </c>
      <c r="G918" s="1">
        <v>22.0</v>
      </c>
      <c r="H918" s="1" t="s">
        <v>28</v>
      </c>
      <c r="I918" s="1"/>
      <c r="J918" s="1" t="s">
        <v>11622</v>
      </c>
      <c r="K918" s="1"/>
      <c r="L918" s="1" t="s">
        <v>4680</v>
      </c>
      <c r="M918" s="1" t="s">
        <v>11625</v>
      </c>
    </row>
    <row r="919">
      <c r="A919" s="1" t="s">
        <v>2137</v>
      </c>
      <c r="B919" s="1">
        <v>2002.0</v>
      </c>
      <c r="C919" s="1" t="s">
        <v>11630</v>
      </c>
      <c r="D919" s="1" t="s">
        <v>11632</v>
      </c>
      <c r="E919" s="2" t="s">
        <v>11635</v>
      </c>
      <c r="F919" s="1">
        <v>23.0</v>
      </c>
      <c r="G919" s="1">
        <v>30.0</v>
      </c>
      <c r="H919" s="1" t="s">
        <v>28</v>
      </c>
      <c r="I919" s="1"/>
      <c r="J919" s="1" t="s">
        <v>11668</v>
      </c>
      <c r="K919" s="1"/>
      <c r="L919" s="1" t="s">
        <v>11670</v>
      </c>
      <c r="M919" s="1" t="s">
        <v>2736</v>
      </c>
    </row>
    <row r="920">
      <c r="A920" s="1" t="s">
        <v>2137</v>
      </c>
      <c r="B920" s="1">
        <v>2002.0</v>
      </c>
      <c r="C920" s="1" t="s">
        <v>11674</v>
      </c>
      <c r="D920" s="1" t="s">
        <v>11676</v>
      </c>
      <c r="E920" s="2" t="s">
        <v>11678</v>
      </c>
      <c r="F920" s="1">
        <v>33.0</v>
      </c>
      <c r="G920" s="1">
        <v>36.0</v>
      </c>
      <c r="H920" s="1" t="s">
        <v>28</v>
      </c>
      <c r="I920" s="1"/>
      <c r="J920" s="1" t="s">
        <v>11709</v>
      </c>
      <c r="K920" s="1"/>
      <c r="L920" s="1" t="s">
        <v>11711</v>
      </c>
      <c r="M920" s="1" t="s">
        <v>11712</v>
      </c>
    </row>
    <row r="921">
      <c r="A921" s="1" t="s">
        <v>2137</v>
      </c>
      <c r="B921" s="1">
        <v>2002.0</v>
      </c>
      <c r="C921" s="1" t="s">
        <v>11716</v>
      </c>
      <c r="D921" s="1" t="s">
        <v>11718</v>
      </c>
      <c r="E921" s="2" t="s">
        <v>11720</v>
      </c>
      <c r="F921" s="1">
        <v>37.0</v>
      </c>
      <c r="G921" s="1">
        <v>40.0</v>
      </c>
      <c r="H921" s="1" t="s">
        <v>28</v>
      </c>
      <c r="I921" s="1"/>
      <c r="J921" s="1" t="s">
        <v>11755</v>
      </c>
      <c r="K921" s="1"/>
      <c r="L921" s="1" t="s">
        <v>30</v>
      </c>
      <c r="M921" s="1" t="s">
        <v>11758</v>
      </c>
      <c r="N921" s="1" t="s">
        <v>11760</v>
      </c>
    </row>
    <row r="922">
      <c r="A922" s="1" t="s">
        <v>2137</v>
      </c>
      <c r="B922" s="1">
        <v>2002.0</v>
      </c>
      <c r="C922" s="1" t="s">
        <v>11763</v>
      </c>
      <c r="D922" s="1" t="s">
        <v>11765</v>
      </c>
      <c r="E922" s="2" t="s">
        <v>11767</v>
      </c>
      <c r="F922" s="1">
        <v>43.0</v>
      </c>
      <c r="G922" s="1">
        <v>50.0</v>
      </c>
      <c r="H922" s="1" t="s">
        <v>28</v>
      </c>
      <c r="I922" s="1"/>
      <c r="J922" s="1" t="s">
        <v>11797</v>
      </c>
      <c r="K922" s="1"/>
      <c r="L922" s="1" t="s">
        <v>5581</v>
      </c>
    </row>
    <row r="923">
      <c r="A923" s="1" t="s">
        <v>2137</v>
      </c>
      <c r="B923" s="1">
        <v>2002.0</v>
      </c>
      <c r="C923" s="1" t="s">
        <v>11801</v>
      </c>
      <c r="D923" s="1" t="s">
        <v>11803</v>
      </c>
      <c r="E923" s="2" t="s">
        <v>11805</v>
      </c>
      <c r="F923" s="1">
        <v>51.0</v>
      </c>
      <c r="G923" s="1">
        <v>56.0</v>
      </c>
      <c r="H923" s="1" t="s">
        <v>28</v>
      </c>
      <c r="I923" s="1"/>
      <c r="J923" s="1" t="s">
        <v>11836</v>
      </c>
      <c r="K923" s="1"/>
      <c r="L923" s="1" t="s">
        <v>11839</v>
      </c>
      <c r="M923" s="1" t="s">
        <v>6949</v>
      </c>
    </row>
    <row r="924">
      <c r="A924" s="1" t="s">
        <v>2137</v>
      </c>
      <c r="B924" s="1">
        <v>2002.0</v>
      </c>
      <c r="C924" s="1" t="s">
        <v>11842</v>
      </c>
      <c r="D924" s="1" t="s">
        <v>11844</v>
      </c>
      <c r="E924" s="2" t="s">
        <v>11846</v>
      </c>
      <c r="F924" s="1">
        <v>57.0</v>
      </c>
      <c r="G924" s="1">
        <v>64.0</v>
      </c>
      <c r="H924" s="1" t="s">
        <v>28</v>
      </c>
      <c r="I924" s="1"/>
      <c r="J924" s="1" t="s">
        <v>11855</v>
      </c>
      <c r="K924" s="1"/>
      <c r="L924" s="1" t="s">
        <v>11856</v>
      </c>
      <c r="M924" s="1" t="s">
        <v>2892</v>
      </c>
    </row>
    <row r="925">
      <c r="A925" s="1" t="s">
        <v>2137</v>
      </c>
      <c r="B925" s="1">
        <v>2002.0</v>
      </c>
      <c r="C925" s="1" t="s">
        <v>11857</v>
      </c>
      <c r="D925" s="1" t="s">
        <v>11858</v>
      </c>
      <c r="E925" s="2" t="s">
        <v>11859</v>
      </c>
      <c r="F925" s="1">
        <v>67.0</v>
      </c>
      <c r="G925" s="1">
        <v>70.0</v>
      </c>
      <c r="H925" s="1" t="s">
        <v>28</v>
      </c>
      <c r="I925" s="1"/>
      <c r="J925" s="1" t="s">
        <v>11860</v>
      </c>
      <c r="K925" s="1"/>
      <c r="L925" s="1" t="s">
        <v>11861</v>
      </c>
      <c r="M925" s="1" t="s">
        <v>11862</v>
      </c>
      <c r="N925" s="1" t="s">
        <v>11863</v>
      </c>
    </row>
    <row r="926">
      <c r="A926" s="1" t="s">
        <v>2137</v>
      </c>
      <c r="B926" s="1">
        <v>2002.0</v>
      </c>
      <c r="C926" s="1" t="s">
        <v>11864</v>
      </c>
      <c r="D926" s="1" t="s">
        <v>11865</v>
      </c>
      <c r="E926" s="2" t="s">
        <v>11866</v>
      </c>
      <c r="F926" s="1">
        <v>71.0</v>
      </c>
      <c r="G926" s="1">
        <v>74.0</v>
      </c>
      <c r="H926" s="1" t="s">
        <v>28</v>
      </c>
      <c r="I926" s="1"/>
      <c r="J926" s="1" t="s">
        <v>11867</v>
      </c>
      <c r="K926" s="1"/>
      <c r="L926" s="1" t="s">
        <v>11868</v>
      </c>
      <c r="M926" s="1" t="s">
        <v>11869</v>
      </c>
    </row>
    <row r="927">
      <c r="A927" s="1" t="s">
        <v>2137</v>
      </c>
      <c r="B927" s="1">
        <v>2002.0</v>
      </c>
      <c r="C927" s="1" t="s">
        <v>11870</v>
      </c>
      <c r="D927" s="1" t="s">
        <v>11871</v>
      </c>
      <c r="E927" s="2" t="s">
        <v>11872</v>
      </c>
      <c r="F927" s="1">
        <v>77.0</v>
      </c>
      <c r="G927" s="1">
        <v>84.0</v>
      </c>
      <c r="H927" s="1" t="s">
        <v>28</v>
      </c>
      <c r="I927" s="1"/>
      <c r="J927" s="1" t="s">
        <v>11873</v>
      </c>
      <c r="K927" s="1"/>
      <c r="L927" s="1" t="s">
        <v>4817</v>
      </c>
      <c r="M927" s="1" t="s">
        <v>11874</v>
      </c>
      <c r="N927" s="1" t="s">
        <v>11875</v>
      </c>
    </row>
    <row r="928">
      <c r="A928" s="1" t="s">
        <v>2137</v>
      </c>
      <c r="B928" s="1">
        <v>2002.0</v>
      </c>
      <c r="C928" s="1" t="s">
        <v>11876</v>
      </c>
      <c r="D928" s="1" t="s">
        <v>11877</v>
      </c>
      <c r="E928" s="2" t="s">
        <v>11878</v>
      </c>
      <c r="F928" s="1">
        <v>85.0</v>
      </c>
      <c r="G928" s="1">
        <v>92.0</v>
      </c>
      <c r="H928" s="1" t="s">
        <v>28</v>
      </c>
      <c r="I928" s="1"/>
      <c r="J928" s="1" t="s">
        <v>11879</v>
      </c>
      <c r="K928" s="1"/>
      <c r="L928" s="1" t="s">
        <v>11880</v>
      </c>
      <c r="M928" s="1" t="s">
        <v>11881</v>
      </c>
    </row>
    <row r="929">
      <c r="A929" s="1" t="s">
        <v>2137</v>
      </c>
      <c r="B929" s="1">
        <v>2002.0</v>
      </c>
      <c r="C929" s="1" t="s">
        <v>11882</v>
      </c>
      <c r="D929" s="1" t="s">
        <v>11883</v>
      </c>
      <c r="E929" s="2" t="s">
        <v>11884</v>
      </c>
      <c r="F929" s="1">
        <v>93.0</v>
      </c>
      <c r="G929" s="1">
        <v>100.0</v>
      </c>
      <c r="H929" s="1" t="s">
        <v>28</v>
      </c>
      <c r="I929" s="1"/>
      <c r="J929" s="1" t="s">
        <v>11885</v>
      </c>
      <c r="K929" s="1"/>
      <c r="L929" s="1" t="s">
        <v>11886</v>
      </c>
      <c r="M929" s="1" t="s">
        <v>11887</v>
      </c>
    </row>
    <row r="930">
      <c r="A930" s="1" t="s">
        <v>2137</v>
      </c>
      <c r="B930" s="1">
        <v>2002.0</v>
      </c>
      <c r="C930" s="1" t="s">
        <v>11888</v>
      </c>
      <c r="D930" s="1" t="s">
        <v>11889</v>
      </c>
      <c r="E930" s="2" t="s">
        <v>11890</v>
      </c>
      <c r="F930" s="1">
        <v>103.0</v>
      </c>
      <c r="G930" s="1">
        <v>109.0</v>
      </c>
      <c r="H930" s="1" t="s">
        <v>28</v>
      </c>
      <c r="I930" s="1"/>
      <c r="J930" s="1" t="s">
        <v>11891</v>
      </c>
      <c r="K930" s="1"/>
      <c r="L930" s="1" t="s">
        <v>11892</v>
      </c>
      <c r="M930" s="1" t="s">
        <v>11893</v>
      </c>
    </row>
    <row r="931">
      <c r="A931" s="1" t="s">
        <v>2137</v>
      </c>
      <c r="B931" s="1">
        <v>2002.0</v>
      </c>
      <c r="C931" s="1" t="s">
        <v>11894</v>
      </c>
      <c r="D931" s="1" t="s">
        <v>11895</v>
      </c>
      <c r="E931" s="2" t="s">
        <v>11896</v>
      </c>
      <c r="F931" s="1">
        <v>110.0</v>
      </c>
      <c r="G931" s="1">
        <v>116.0</v>
      </c>
      <c r="H931" s="1" t="s">
        <v>28</v>
      </c>
      <c r="I931" s="1"/>
      <c r="J931" s="1" t="s">
        <v>11897</v>
      </c>
      <c r="K931" s="1"/>
      <c r="L931" s="1" t="s">
        <v>11898</v>
      </c>
      <c r="M931" s="1" t="s">
        <v>11899</v>
      </c>
      <c r="N931" s="1" t="s">
        <v>11900</v>
      </c>
    </row>
    <row r="932">
      <c r="A932" s="1" t="s">
        <v>2137</v>
      </c>
      <c r="B932" s="1">
        <v>2002.0</v>
      </c>
      <c r="C932" s="1" t="s">
        <v>11901</v>
      </c>
      <c r="D932" s="1" t="s">
        <v>11902</v>
      </c>
      <c r="E932" s="2" t="s">
        <v>11903</v>
      </c>
      <c r="F932" s="1">
        <v>117.0</v>
      </c>
      <c r="G932" s="1">
        <v>124.0</v>
      </c>
      <c r="H932" s="1" t="s">
        <v>28</v>
      </c>
      <c r="I932" s="1"/>
      <c r="J932" s="1" t="s">
        <v>11904</v>
      </c>
      <c r="K932" s="1"/>
      <c r="L932" s="1" t="s">
        <v>11905</v>
      </c>
      <c r="M932" s="1" t="s">
        <v>11906</v>
      </c>
    </row>
    <row r="933">
      <c r="A933" s="1" t="s">
        <v>2137</v>
      </c>
      <c r="B933" s="1">
        <v>2002.0</v>
      </c>
      <c r="C933" s="1" t="s">
        <v>11907</v>
      </c>
      <c r="D933" s="1" t="s">
        <v>11908</v>
      </c>
      <c r="E933" s="2" t="s">
        <v>11909</v>
      </c>
      <c r="F933" s="1">
        <v>127.0</v>
      </c>
      <c r="G933" s="1">
        <v>130.0</v>
      </c>
      <c r="H933" s="1" t="s">
        <v>28</v>
      </c>
      <c r="I933" s="1"/>
      <c r="J933" s="1" t="s">
        <v>11910</v>
      </c>
      <c r="K933" s="1"/>
      <c r="L933" s="1" t="s">
        <v>11911</v>
      </c>
      <c r="M933" s="1" t="s">
        <v>11912</v>
      </c>
      <c r="N933" s="1" t="s">
        <v>11913</v>
      </c>
    </row>
    <row r="934">
      <c r="A934" s="1" t="s">
        <v>2137</v>
      </c>
      <c r="B934" s="1">
        <v>2002.0</v>
      </c>
      <c r="C934" s="1" t="s">
        <v>11914</v>
      </c>
      <c r="D934" s="1" t="s">
        <v>11915</v>
      </c>
      <c r="E934" s="2" t="s">
        <v>11916</v>
      </c>
      <c r="F934" s="1">
        <v>131.0</v>
      </c>
      <c r="G934" s="1">
        <v>134.0</v>
      </c>
      <c r="H934" s="1" t="s">
        <v>28</v>
      </c>
      <c r="I934" s="1"/>
      <c r="J934" s="1" t="s">
        <v>11917</v>
      </c>
      <c r="K934" s="1"/>
      <c r="L934" s="1" t="s">
        <v>4680</v>
      </c>
      <c r="M934" s="1" t="s">
        <v>11918</v>
      </c>
    </row>
    <row r="935">
      <c r="A935" s="1" t="s">
        <v>2137</v>
      </c>
      <c r="B935" s="1">
        <v>2002.0</v>
      </c>
      <c r="C935" s="1" t="s">
        <v>11919</v>
      </c>
      <c r="D935" s="1" t="s">
        <v>11920</v>
      </c>
      <c r="E935" s="2" t="s">
        <v>11921</v>
      </c>
      <c r="F935" s="1">
        <v>137.0</v>
      </c>
      <c r="G935" s="1">
        <v>144.0</v>
      </c>
      <c r="H935" s="1" t="s">
        <v>28</v>
      </c>
      <c r="I935" s="1"/>
      <c r="J935" s="1" t="s">
        <v>11922</v>
      </c>
      <c r="K935" s="1"/>
      <c r="L935" s="1" t="s">
        <v>11923</v>
      </c>
      <c r="M935" s="1"/>
      <c r="N935" s="1" t="s">
        <v>11924</v>
      </c>
    </row>
    <row r="936">
      <c r="A936" s="1" t="s">
        <v>2137</v>
      </c>
      <c r="B936" s="1">
        <v>2002.0</v>
      </c>
      <c r="C936" s="1" t="s">
        <v>11925</v>
      </c>
      <c r="D936" s="1" t="s">
        <v>11926</v>
      </c>
      <c r="E936" s="2" t="s">
        <v>11927</v>
      </c>
      <c r="F936" s="1">
        <v>145.0</v>
      </c>
      <c r="G936" s="1">
        <v>151.0</v>
      </c>
      <c r="H936" s="1" t="s">
        <v>28</v>
      </c>
      <c r="I936" s="1"/>
      <c r="J936" s="1" t="s">
        <v>11928</v>
      </c>
      <c r="K936" s="1"/>
      <c r="L936" s="1" t="s">
        <v>11929</v>
      </c>
      <c r="M936" s="1" t="s">
        <v>6351</v>
      </c>
    </row>
    <row r="937">
      <c r="A937" s="1" t="s">
        <v>2137</v>
      </c>
      <c r="B937" s="1">
        <v>2002.0</v>
      </c>
      <c r="C937" s="1" t="s">
        <v>11930</v>
      </c>
      <c r="D937" s="1" t="s">
        <v>11931</v>
      </c>
      <c r="E937" s="2" t="s">
        <v>11932</v>
      </c>
      <c r="F937" s="1">
        <v>152.0</v>
      </c>
      <c r="G937" s="1">
        <v>158.0</v>
      </c>
      <c r="H937" s="1" t="s">
        <v>28</v>
      </c>
      <c r="I937" s="1"/>
      <c r="J937" s="1" t="s">
        <v>11933</v>
      </c>
      <c r="K937" s="1"/>
      <c r="L937" s="1" t="s">
        <v>11934</v>
      </c>
      <c r="M937" s="1" t="s">
        <v>2942</v>
      </c>
    </row>
    <row r="938">
      <c r="A938" s="1" t="s">
        <v>2137</v>
      </c>
      <c r="B938" s="1">
        <v>2002.0</v>
      </c>
      <c r="C938" s="1" t="s">
        <v>11935</v>
      </c>
      <c r="D938" s="1" t="s">
        <v>11936</v>
      </c>
      <c r="E938" s="2" t="s">
        <v>11937</v>
      </c>
      <c r="F938" s="1">
        <v>161.0</v>
      </c>
      <c r="G938" s="1">
        <v>164.0</v>
      </c>
      <c r="H938" s="1" t="s">
        <v>28</v>
      </c>
      <c r="I938" s="1"/>
      <c r="J938" s="1" t="s">
        <v>3906</v>
      </c>
      <c r="K938" s="1"/>
      <c r="L938" s="1" t="s">
        <v>11938</v>
      </c>
      <c r="M938" s="1" t="s">
        <v>6121</v>
      </c>
    </row>
    <row r="939">
      <c r="A939" s="1" t="s">
        <v>2137</v>
      </c>
      <c r="B939" s="1">
        <v>2002.0</v>
      </c>
      <c r="C939" s="1" t="s">
        <v>11939</v>
      </c>
      <c r="D939" s="1" t="s">
        <v>11940</v>
      </c>
      <c r="E939" s="2" t="s">
        <v>11941</v>
      </c>
      <c r="F939" s="1">
        <v>165.0</v>
      </c>
      <c r="G939" s="1">
        <v>168.0</v>
      </c>
      <c r="H939" s="1" t="s">
        <v>28</v>
      </c>
      <c r="I939" s="1"/>
      <c r="J939" s="1" t="s">
        <v>11942</v>
      </c>
      <c r="K939" s="1"/>
      <c r="L939" s="1" t="s">
        <v>178</v>
      </c>
      <c r="M939" s="1" t="s">
        <v>6992</v>
      </c>
    </row>
    <row r="940">
      <c r="A940" s="1" t="s">
        <v>2137</v>
      </c>
      <c r="B940" s="1">
        <v>2002.0</v>
      </c>
      <c r="C940" s="1" t="s">
        <v>11943</v>
      </c>
      <c r="D940" s="1" t="s">
        <v>11944</v>
      </c>
      <c r="E940" s="2" t="s">
        <v>11945</v>
      </c>
      <c r="F940" s="1">
        <v>171.0</v>
      </c>
      <c r="G940" s="1">
        <v>171.0</v>
      </c>
      <c r="H940" s="1" t="s">
        <v>21</v>
      </c>
      <c r="I940" s="1"/>
      <c r="J940" s="1" t="s">
        <v>11946</v>
      </c>
      <c r="K940" s="1"/>
      <c r="L940" s="1" t="s">
        <v>11947</v>
      </c>
    </row>
    <row r="941">
      <c r="A941" s="1" t="s">
        <v>17</v>
      </c>
      <c r="B941" s="1">
        <v>2002.0</v>
      </c>
      <c r="C941" s="1" t="s">
        <v>11948</v>
      </c>
      <c r="D941" s="1" t="s">
        <v>11949</v>
      </c>
      <c r="E941" s="2" t="s">
        <v>11950</v>
      </c>
      <c r="F941" s="1">
        <v>21.0</v>
      </c>
      <c r="G941" s="1">
        <v>28.0</v>
      </c>
      <c r="H941" s="1" t="s">
        <v>28</v>
      </c>
      <c r="I941" s="1"/>
      <c r="J941" s="1" t="s">
        <v>11951</v>
      </c>
      <c r="K941" s="1"/>
      <c r="L941" s="1" t="s">
        <v>11952</v>
      </c>
      <c r="M941" s="1"/>
      <c r="N941" s="1" t="s">
        <v>11953</v>
      </c>
    </row>
    <row r="942">
      <c r="A942" s="1" t="s">
        <v>17</v>
      </c>
      <c r="B942" s="1">
        <v>2002.0</v>
      </c>
      <c r="C942" s="1" t="s">
        <v>11954</v>
      </c>
      <c r="D942" s="1" t="s">
        <v>11955</v>
      </c>
      <c r="E942" s="2" t="s">
        <v>11956</v>
      </c>
      <c r="F942" s="1">
        <v>29.0</v>
      </c>
      <c r="G942" s="1">
        <v>36.0</v>
      </c>
      <c r="H942" s="1" t="s">
        <v>28</v>
      </c>
      <c r="I942" s="1"/>
      <c r="J942" s="1" t="s">
        <v>11957</v>
      </c>
      <c r="K942" s="1"/>
      <c r="L942" s="1" t="s">
        <v>11958</v>
      </c>
      <c r="M942" s="1"/>
      <c r="N942" s="1" t="s">
        <v>11959</v>
      </c>
    </row>
    <row r="943">
      <c r="A943" s="1" t="s">
        <v>17</v>
      </c>
      <c r="B943" s="1">
        <v>2002.0</v>
      </c>
      <c r="C943" s="1" t="s">
        <v>11960</v>
      </c>
      <c r="D943" s="1" t="s">
        <v>11961</v>
      </c>
      <c r="E943" s="2" t="s">
        <v>11962</v>
      </c>
      <c r="F943" s="1">
        <v>37.0</v>
      </c>
      <c r="G943" s="1">
        <v>44.0</v>
      </c>
      <c r="H943" s="1" t="s">
        <v>28</v>
      </c>
      <c r="I943" s="1"/>
      <c r="J943" s="1" t="s">
        <v>11969</v>
      </c>
      <c r="K943" s="1"/>
      <c r="L943" s="1" t="s">
        <v>11970</v>
      </c>
      <c r="M943" s="1" t="s">
        <v>11971</v>
      </c>
      <c r="N943" s="1" t="s">
        <v>11972</v>
      </c>
    </row>
    <row r="944">
      <c r="A944" s="1" t="s">
        <v>17</v>
      </c>
      <c r="B944" s="1">
        <v>2002.0</v>
      </c>
      <c r="C944" s="1" t="s">
        <v>11974</v>
      </c>
      <c r="D944" s="1" t="s">
        <v>11976</v>
      </c>
      <c r="E944" s="2" t="s">
        <v>11977</v>
      </c>
      <c r="F944" s="1">
        <v>45.0</v>
      </c>
      <c r="G944" s="1">
        <v>52.0</v>
      </c>
      <c r="H944" s="1" t="s">
        <v>28</v>
      </c>
      <c r="I944" s="1"/>
      <c r="J944" s="1" t="s">
        <v>11994</v>
      </c>
      <c r="K944" s="1"/>
      <c r="L944" s="1" t="s">
        <v>7837</v>
      </c>
      <c r="M944" s="1" t="s">
        <v>11995</v>
      </c>
      <c r="N944" s="1" t="s">
        <v>11996</v>
      </c>
    </row>
    <row r="945">
      <c r="A945" s="1" t="s">
        <v>17</v>
      </c>
      <c r="B945" s="1">
        <v>2002.0</v>
      </c>
      <c r="C945" s="1" t="s">
        <v>11997</v>
      </c>
      <c r="D945" s="1" t="s">
        <v>11998</v>
      </c>
      <c r="E945" s="2" t="s">
        <v>11999</v>
      </c>
      <c r="F945" s="1">
        <v>53.0</v>
      </c>
      <c r="G945" s="1">
        <v>60.0</v>
      </c>
      <c r="H945" s="1" t="s">
        <v>28</v>
      </c>
      <c r="I945" s="1"/>
      <c r="J945" s="1" t="s">
        <v>12003</v>
      </c>
      <c r="K945" s="1"/>
      <c r="L945" s="1" t="s">
        <v>12004</v>
      </c>
      <c r="M945" s="1" t="s">
        <v>12005</v>
      </c>
      <c r="N945" s="1" t="s">
        <v>12006</v>
      </c>
    </row>
    <row r="946">
      <c r="A946" s="1" t="s">
        <v>17</v>
      </c>
      <c r="B946" s="1">
        <v>2002.0</v>
      </c>
      <c r="C946" s="1" t="s">
        <v>12007</v>
      </c>
      <c r="D946" s="1" t="s">
        <v>12008</v>
      </c>
      <c r="E946" s="2" t="s">
        <v>12009</v>
      </c>
      <c r="F946" s="1">
        <v>61.0</v>
      </c>
      <c r="G946" s="1">
        <v>68.0</v>
      </c>
      <c r="H946" s="1" t="s">
        <v>28</v>
      </c>
      <c r="I946" s="1"/>
      <c r="J946" s="1" t="s">
        <v>12012</v>
      </c>
      <c r="K946" s="1"/>
      <c r="L946" s="1" t="s">
        <v>12013</v>
      </c>
      <c r="M946" s="1" t="s">
        <v>12014</v>
      </c>
      <c r="N946" s="1" t="s">
        <v>12015</v>
      </c>
    </row>
    <row r="947">
      <c r="A947" s="1" t="s">
        <v>17</v>
      </c>
      <c r="B947" s="1">
        <v>2002.0</v>
      </c>
      <c r="C947" s="1" t="s">
        <v>12016</v>
      </c>
      <c r="D947" s="1" t="s">
        <v>12018</v>
      </c>
      <c r="E947" s="2" t="s">
        <v>12019</v>
      </c>
      <c r="F947" s="1">
        <v>69.0</v>
      </c>
      <c r="G947" s="1">
        <v>76.0</v>
      </c>
      <c r="H947" s="1" t="s">
        <v>28</v>
      </c>
      <c r="I947" s="1"/>
      <c r="J947" s="1" t="s">
        <v>12020</v>
      </c>
      <c r="K947" s="1"/>
      <c r="L947" s="1" t="s">
        <v>1596</v>
      </c>
      <c r="M947" s="1" t="s">
        <v>12022</v>
      </c>
      <c r="N947" s="1" t="s">
        <v>12024</v>
      </c>
    </row>
    <row r="948">
      <c r="A948" s="1" t="s">
        <v>17</v>
      </c>
      <c r="B948" s="1">
        <v>2002.0</v>
      </c>
      <c r="C948" s="1" t="s">
        <v>12025</v>
      </c>
      <c r="D948" s="1" t="s">
        <v>12026</v>
      </c>
      <c r="E948" s="2" t="s">
        <v>12027</v>
      </c>
      <c r="F948" s="1">
        <v>77.0</v>
      </c>
      <c r="G948" s="1">
        <v>84.0</v>
      </c>
      <c r="H948" s="1" t="s">
        <v>28</v>
      </c>
      <c r="I948" s="1"/>
      <c r="J948" s="1" t="s">
        <v>12030</v>
      </c>
      <c r="K948" s="1"/>
      <c r="L948" s="1" t="s">
        <v>12031</v>
      </c>
      <c r="M948" s="1" t="s">
        <v>12032</v>
      </c>
      <c r="N948" s="1" t="s">
        <v>12033</v>
      </c>
    </row>
    <row r="949">
      <c r="A949" s="1" t="s">
        <v>17</v>
      </c>
      <c r="B949" s="1">
        <v>2002.0</v>
      </c>
      <c r="C949" s="1" t="s">
        <v>12034</v>
      </c>
      <c r="D949" s="1" t="s">
        <v>12035</v>
      </c>
      <c r="E949" s="2" t="s">
        <v>12036</v>
      </c>
      <c r="F949" s="1">
        <v>85.0</v>
      </c>
      <c r="G949" s="1">
        <v>92.0</v>
      </c>
      <c r="H949" s="1" t="s">
        <v>28</v>
      </c>
      <c r="I949" s="1"/>
      <c r="J949" s="1" t="s">
        <v>12040</v>
      </c>
      <c r="K949" s="1"/>
      <c r="L949" s="1" t="s">
        <v>3612</v>
      </c>
      <c r="M949" s="1" t="s">
        <v>12041</v>
      </c>
      <c r="N949" s="1" t="s">
        <v>12042</v>
      </c>
    </row>
    <row r="950">
      <c r="A950" s="1" t="s">
        <v>17</v>
      </c>
      <c r="B950" s="1">
        <v>2002.0</v>
      </c>
      <c r="C950" s="1" t="s">
        <v>12043</v>
      </c>
      <c r="D950" s="1" t="s">
        <v>12044</v>
      </c>
      <c r="E950" s="2" t="s">
        <v>12045</v>
      </c>
      <c r="F950" s="1">
        <v>93.0</v>
      </c>
      <c r="G950" s="1">
        <v>100.0</v>
      </c>
      <c r="H950" s="1" t="s">
        <v>28</v>
      </c>
      <c r="I950" s="1"/>
      <c r="J950" s="1" t="s">
        <v>12075</v>
      </c>
      <c r="K950" s="1"/>
      <c r="L950" s="1" t="s">
        <v>5704</v>
      </c>
      <c r="M950" s="1" t="s">
        <v>12076</v>
      </c>
      <c r="N950" s="1" t="s">
        <v>12077</v>
      </c>
    </row>
    <row r="951">
      <c r="A951" s="1" t="s">
        <v>17</v>
      </c>
      <c r="B951" s="1">
        <v>2002.0</v>
      </c>
      <c r="C951" s="1" t="s">
        <v>12079</v>
      </c>
      <c r="D951" s="1" t="s">
        <v>12080</v>
      </c>
      <c r="E951" s="2" t="s">
        <v>12082</v>
      </c>
      <c r="F951" s="1">
        <v>101.0</v>
      </c>
      <c r="G951" s="1">
        <v>108.0</v>
      </c>
      <c r="H951" s="1" t="s">
        <v>28</v>
      </c>
      <c r="I951" s="1"/>
      <c r="J951" s="1" t="s">
        <v>12086</v>
      </c>
      <c r="K951" s="1"/>
      <c r="L951" s="1" t="s">
        <v>12087</v>
      </c>
      <c r="M951" s="1" t="s">
        <v>12088</v>
      </c>
      <c r="N951" s="1" t="s">
        <v>12089</v>
      </c>
    </row>
    <row r="952">
      <c r="A952" s="1" t="s">
        <v>17</v>
      </c>
      <c r="B952" s="1">
        <v>2002.0</v>
      </c>
      <c r="C952" s="1" t="s">
        <v>12090</v>
      </c>
      <c r="D952" s="1" t="s">
        <v>12091</v>
      </c>
      <c r="E952" s="2" t="s">
        <v>12092</v>
      </c>
      <c r="F952" s="1">
        <v>109.0</v>
      </c>
      <c r="G952" s="1">
        <v>116.0</v>
      </c>
      <c r="H952" s="1" t="s">
        <v>28</v>
      </c>
      <c r="I952" s="1"/>
      <c r="J952" s="1" t="s">
        <v>12098</v>
      </c>
      <c r="K952" s="1"/>
      <c r="L952" s="1" t="s">
        <v>12099</v>
      </c>
      <c r="M952" s="1" t="s">
        <v>253</v>
      </c>
      <c r="N952" s="1" t="s">
        <v>12100</v>
      </c>
    </row>
    <row r="953">
      <c r="A953" s="1" t="s">
        <v>17</v>
      </c>
      <c r="B953" s="1">
        <v>2002.0</v>
      </c>
      <c r="C953" s="1" t="s">
        <v>12101</v>
      </c>
      <c r="D953" s="1" t="s">
        <v>12102</v>
      </c>
      <c r="E953" s="2" t="s">
        <v>12103</v>
      </c>
      <c r="F953" s="1">
        <v>117.0</v>
      </c>
      <c r="G953" s="1">
        <v>124.0</v>
      </c>
      <c r="H953" s="1" t="s">
        <v>28</v>
      </c>
      <c r="I953" s="1"/>
      <c r="J953" s="1" t="s">
        <v>12106</v>
      </c>
      <c r="K953" s="1"/>
      <c r="L953" s="1" t="s">
        <v>5595</v>
      </c>
      <c r="M953" s="1" t="s">
        <v>12107</v>
      </c>
      <c r="N953" s="1" t="s">
        <v>12109</v>
      </c>
    </row>
    <row r="954">
      <c r="A954" s="1" t="s">
        <v>17</v>
      </c>
      <c r="B954" s="1">
        <v>2002.0</v>
      </c>
      <c r="C954" s="1" t="s">
        <v>12112</v>
      </c>
      <c r="D954" s="1" t="s">
        <v>12113</v>
      </c>
      <c r="E954" s="2" t="s">
        <v>12114</v>
      </c>
      <c r="F954" s="1">
        <v>125.0</v>
      </c>
      <c r="G954" s="1">
        <v>132.0</v>
      </c>
      <c r="H954" s="1" t="s">
        <v>28</v>
      </c>
      <c r="I954" s="1"/>
      <c r="J954" s="1" t="s">
        <v>12121</v>
      </c>
      <c r="K954" s="1"/>
      <c r="L954" s="1" t="s">
        <v>12122</v>
      </c>
      <c r="M954" s="1"/>
      <c r="N954" s="1" t="s">
        <v>12123</v>
      </c>
    </row>
    <row r="955">
      <c r="A955" s="1" t="s">
        <v>17</v>
      </c>
      <c r="B955" s="1">
        <v>2002.0</v>
      </c>
      <c r="C955" s="1" t="s">
        <v>12124</v>
      </c>
      <c r="D955" s="1" t="s">
        <v>12125</v>
      </c>
      <c r="E955" s="2" t="s">
        <v>12126</v>
      </c>
      <c r="F955" s="1">
        <v>133.0</v>
      </c>
      <c r="G955" s="1">
        <v>140.0</v>
      </c>
      <c r="H955" s="1" t="s">
        <v>28</v>
      </c>
      <c r="I955" s="1"/>
      <c r="J955" s="1" t="s">
        <v>12127</v>
      </c>
      <c r="K955" s="1"/>
      <c r="L955" s="1" t="s">
        <v>12128</v>
      </c>
      <c r="M955" s="1" t="s">
        <v>12129</v>
      </c>
      <c r="N955" s="1" t="s">
        <v>12130</v>
      </c>
    </row>
    <row r="956">
      <c r="A956" s="1" t="s">
        <v>17</v>
      </c>
      <c r="B956" s="1">
        <v>2002.0</v>
      </c>
      <c r="C956" s="1" t="s">
        <v>12131</v>
      </c>
      <c r="D956" s="1" t="s">
        <v>12132</v>
      </c>
      <c r="E956" s="2" t="s">
        <v>12133</v>
      </c>
      <c r="F956" s="1">
        <v>141.0</v>
      </c>
      <c r="G956" s="1">
        <v>146.0</v>
      </c>
      <c r="H956" s="1" t="s">
        <v>28</v>
      </c>
      <c r="I956" s="1"/>
      <c r="J956" s="1" t="s">
        <v>12134</v>
      </c>
      <c r="K956" s="1"/>
      <c r="L956" s="1" t="s">
        <v>12135</v>
      </c>
      <c r="M956" s="1" t="s">
        <v>12136</v>
      </c>
      <c r="N956" s="1" t="s">
        <v>12137</v>
      </c>
    </row>
    <row r="957">
      <c r="A957" s="1" t="s">
        <v>17</v>
      </c>
      <c r="B957" s="1">
        <v>2002.0</v>
      </c>
      <c r="C957" s="1" t="s">
        <v>12138</v>
      </c>
      <c r="D957" s="1" t="s">
        <v>12139</v>
      </c>
      <c r="E957" s="2" t="s">
        <v>12143</v>
      </c>
      <c r="F957" s="1">
        <v>147.0</v>
      </c>
      <c r="G957" s="1">
        <v>153.0</v>
      </c>
      <c r="H957" s="1" t="s">
        <v>28</v>
      </c>
      <c r="I957" s="1"/>
      <c r="J957" s="1" t="s">
        <v>12148</v>
      </c>
      <c r="K957" s="1"/>
      <c r="L957" s="1" t="s">
        <v>5680</v>
      </c>
      <c r="M957" s="1" t="s">
        <v>12149</v>
      </c>
      <c r="N957" s="1" t="s">
        <v>12150</v>
      </c>
    </row>
    <row r="958">
      <c r="A958" s="1" t="s">
        <v>17</v>
      </c>
      <c r="B958" s="1">
        <v>2002.0</v>
      </c>
      <c r="C958" s="1" t="s">
        <v>12151</v>
      </c>
      <c r="D958" s="1" t="s">
        <v>12152</v>
      </c>
      <c r="E958" s="2" t="s">
        <v>12153</v>
      </c>
      <c r="F958" s="1">
        <v>155.0</v>
      </c>
      <c r="G958" s="1">
        <v>162.0</v>
      </c>
      <c r="H958" s="1" t="s">
        <v>28</v>
      </c>
      <c r="I958" s="1"/>
      <c r="J958" s="1" t="s">
        <v>12158</v>
      </c>
      <c r="K958" s="1"/>
      <c r="L958" s="1" t="s">
        <v>12159</v>
      </c>
      <c r="M958" s="1" t="s">
        <v>12160</v>
      </c>
      <c r="N958" s="1" t="s">
        <v>12161</v>
      </c>
    </row>
    <row r="959">
      <c r="A959" s="1" t="s">
        <v>17</v>
      </c>
      <c r="B959" s="1">
        <v>2002.0</v>
      </c>
      <c r="C959" s="1" t="s">
        <v>12162</v>
      </c>
      <c r="D959" s="1" t="s">
        <v>12163</v>
      </c>
      <c r="E959" s="2" t="s">
        <v>12164</v>
      </c>
      <c r="F959" s="1">
        <v>163.0</v>
      </c>
      <c r="G959" s="1">
        <v>170.0</v>
      </c>
      <c r="H959" s="1" t="s">
        <v>28</v>
      </c>
      <c r="I959" s="1"/>
      <c r="J959" s="1" t="s">
        <v>12169</v>
      </c>
      <c r="K959" s="1"/>
      <c r="L959" s="1" t="s">
        <v>12170</v>
      </c>
      <c r="M959" s="1" t="s">
        <v>12171</v>
      </c>
    </row>
    <row r="960">
      <c r="A960" s="1" t="s">
        <v>17</v>
      </c>
      <c r="B960" s="1">
        <v>2002.0</v>
      </c>
      <c r="C960" s="1" t="s">
        <v>12172</v>
      </c>
      <c r="D960" s="1" t="s">
        <v>12173</v>
      </c>
      <c r="E960" s="2" t="s">
        <v>12175</v>
      </c>
      <c r="F960" s="1">
        <v>171.0</v>
      </c>
      <c r="G960" s="1">
        <v>178.0</v>
      </c>
      <c r="H960" s="1" t="s">
        <v>28</v>
      </c>
      <c r="I960" s="1"/>
      <c r="J960" s="1" t="s">
        <v>12176</v>
      </c>
      <c r="K960" s="1"/>
      <c r="L960" s="1" t="s">
        <v>12177</v>
      </c>
      <c r="M960" s="1" t="s">
        <v>12178</v>
      </c>
      <c r="N960" s="1" t="s">
        <v>12179</v>
      </c>
    </row>
    <row r="961">
      <c r="A961" s="1" t="s">
        <v>17</v>
      </c>
      <c r="B961" s="1">
        <v>2002.0</v>
      </c>
      <c r="C961" s="1" t="s">
        <v>12180</v>
      </c>
      <c r="D961" s="1" t="s">
        <v>12181</v>
      </c>
      <c r="E961" s="2" t="s">
        <v>12182</v>
      </c>
      <c r="F961" s="1">
        <v>179.0</v>
      </c>
      <c r="G961" s="1">
        <v>186.0</v>
      </c>
      <c r="H961" s="1" t="s">
        <v>28</v>
      </c>
      <c r="I961" s="1"/>
      <c r="J961" s="1" t="s">
        <v>12187</v>
      </c>
      <c r="K961" s="1"/>
      <c r="L961" s="1" t="s">
        <v>12188</v>
      </c>
      <c r="M961" s="1"/>
      <c r="N961" s="1" t="s">
        <v>12189</v>
      </c>
    </row>
    <row r="962">
      <c r="A962" s="1" t="s">
        <v>17</v>
      </c>
      <c r="B962" s="1">
        <v>2002.0</v>
      </c>
      <c r="C962" s="1" t="s">
        <v>12190</v>
      </c>
      <c r="D962" s="1" t="s">
        <v>12191</v>
      </c>
      <c r="E962" s="2" t="s">
        <v>12192</v>
      </c>
      <c r="F962" s="1">
        <v>187.0</v>
      </c>
      <c r="G962" s="1">
        <v>194.0</v>
      </c>
      <c r="H962" s="1" t="s">
        <v>28</v>
      </c>
      <c r="I962" s="1"/>
      <c r="J962" s="1" t="s">
        <v>12196</v>
      </c>
      <c r="K962" s="1"/>
      <c r="L962" s="1" t="s">
        <v>12197</v>
      </c>
      <c r="M962" s="1" t="s">
        <v>3572</v>
      </c>
      <c r="N962" s="1" t="s">
        <v>12198</v>
      </c>
      <c r="P962" s="1"/>
      <c r="Q962" s="1" t="s">
        <v>1093</v>
      </c>
    </row>
    <row r="963">
      <c r="A963" s="1" t="s">
        <v>17</v>
      </c>
      <c r="B963" s="1">
        <v>2002.0</v>
      </c>
      <c r="C963" s="1" t="s">
        <v>12199</v>
      </c>
      <c r="D963" s="1" t="s">
        <v>12200</v>
      </c>
      <c r="E963" s="2" t="s">
        <v>12201</v>
      </c>
      <c r="F963" s="1">
        <v>195.0</v>
      </c>
      <c r="G963" s="1">
        <v>202.0</v>
      </c>
      <c r="H963" s="1" t="s">
        <v>28</v>
      </c>
      <c r="I963" s="1"/>
      <c r="J963" s="1" t="s">
        <v>12204</v>
      </c>
      <c r="K963" s="1"/>
      <c r="L963" s="1" t="s">
        <v>8742</v>
      </c>
      <c r="M963" s="1"/>
      <c r="N963" s="1" t="s">
        <v>12205</v>
      </c>
    </row>
    <row r="964">
      <c r="A964" s="1" t="s">
        <v>17</v>
      </c>
      <c r="B964" s="1">
        <v>2002.0</v>
      </c>
      <c r="C964" s="1" t="s">
        <v>12206</v>
      </c>
      <c r="D964" s="1" t="s">
        <v>12207</v>
      </c>
      <c r="E964" s="2" t="s">
        <v>12208</v>
      </c>
      <c r="F964" s="1">
        <v>203.0</v>
      </c>
      <c r="G964" s="1">
        <v>210.0</v>
      </c>
      <c r="H964" s="1" t="s">
        <v>28</v>
      </c>
      <c r="I964" s="1"/>
      <c r="J964" s="1" t="s">
        <v>12211</v>
      </c>
      <c r="K964" s="1"/>
      <c r="L964" s="1" t="s">
        <v>12213</v>
      </c>
      <c r="M964" s="1" t="s">
        <v>12214</v>
      </c>
      <c r="N964" s="1" t="s">
        <v>12215</v>
      </c>
    </row>
    <row r="965">
      <c r="A965" s="1" t="s">
        <v>17</v>
      </c>
      <c r="B965" s="1">
        <v>2002.0</v>
      </c>
      <c r="C965" s="1" t="s">
        <v>12216</v>
      </c>
      <c r="D965" s="1" t="s">
        <v>12217</v>
      </c>
      <c r="E965" s="2" t="s">
        <v>12218</v>
      </c>
      <c r="F965" s="1">
        <v>211.0</v>
      </c>
      <c r="G965" s="1">
        <v>218.0</v>
      </c>
      <c r="H965" s="1" t="s">
        <v>28</v>
      </c>
      <c r="I965" s="1"/>
      <c r="J965" s="1" t="s">
        <v>12223</v>
      </c>
      <c r="K965" s="1"/>
      <c r="L965" s="1" t="s">
        <v>12225</v>
      </c>
      <c r="M965" s="1" t="s">
        <v>12226</v>
      </c>
      <c r="N965" s="1" t="s">
        <v>12227</v>
      </c>
      <c r="P965" s="1"/>
      <c r="Q965" s="1" t="s">
        <v>106</v>
      </c>
    </row>
    <row r="966">
      <c r="A966" s="1" t="s">
        <v>17</v>
      </c>
      <c r="B966" s="1">
        <v>2002.0</v>
      </c>
      <c r="C966" s="1" t="s">
        <v>12228</v>
      </c>
      <c r="D966" s="1" t="s">
        <v>12229</v>
      </c>
      <c r="E966" s="2" t="s">
        <v>12230</v>
      </c>
      <c r="F966" s="1">
        <v>219.0</v>
      </c>
      <c r="G966" s="1">
        <v>226.0</v>
      </c>
      <c r="H966" s="1" t="s">
        <v>28</v>
      </c>
      <c r="I966" s="1"/>
      <c r="J966" s="1" t="s">
        <v>12234</v>
      </c>
      <c r="K966" s="1"/>
      <c r="L966" s="1" t="s">
        <v>12235</v>
      </c>
      <c r="M966" s="1" t="s">
        <v>12237</v>
      </c>
      <c r="N966" s="1" t="s">
        <v>12239</v>
      </c>
    </row>
    <row r="967">
      <c r="A967" s="1" t="s">
        <v>17</v>
      </c>
      <c r="B967" s="1">
        <v>2002.0</v>
      </c>
      <c r="C967" s="1" t="s">
        <v>12242</v>
      </c>
      <c r="D967" s="1" t="s">
        <v>12243</v>
      </c>
      <c r="E967" s="2" t="s">
        <v>12244</v>
      </c>
      <c r="F967" s="1">
        <v>227.0</v>
      </c>
      <c r="G967" s="1">
        <v>234.0</v>
      </c>
      <c r="H967" s="1" t="s">
        <v>28</v>
      </c>
      <c r="I967" s="1"/>
      <c r="J967" s="1" t="s">
        <v>12247</v>
      </c>
      <c r="K967" s="1"/>
      <c r="L967" s="1" t="s">
        <v>184</v>
      </c>
      <c r="M967" s="1" t="s">
        <v>1558</v>
      </c>
      <c r="N967" s="1" t="s">
        <v>12251</v>
      </c>
    </row>
    <row r="968">
      <c r="A968" s="1" t="s">
        <v>17</v>
      </c>
      <c r="B968" s="1">
        <v>2002.0</v>
      </c>
      <c r="C968" s="1" t="s">
        <v>12252</v>
      </c>
      <c r="D968" s="1" t="s">
        <v>12253</v>
      </c>
      <c r="E968" s="2" t="s">
        <v>12254</v>
      </c>
      <c r="F968" s="1">
        <v>235.0</v>
      </c>
      <c r="G968" s="1">
        <v>242.0</v>
      </c>
      <c r="H968" s="1" t="s">
        <v>28</v>
      </c>
      <c r="I968" s="1"/>
      <c r="J968" s="1" t="s">
        <v>12261</v>
      </c>
      <c r="K968" s="1"/>
      <c r="L968" s="1" t="s">
        <v>12262</v>
      </c>
      <c r="M968" s="1" t="s">
        <v>6006</v>
      </c>
      <c r="N968" s="1" t="s">
        <v>12263</v>
      </c>
    </row>
    <row r="969">
      <c r="A969" s="1" t="s">
        <v>17</v>
      </c>
      <c r="B969" s="1">
        <v>2002.0</v>
      </c>
      <c r="C969" s="1" t="s">
        <v>12264</v>
      </c>
      <c r="D969" s="1" t="s">
        <v>12265</v>
      </c>
      <c r="E969" s="2" t="s">
        <v>12266</v>
      </c>
      <c r="F969" s="1">
        <v>243.0</v>
      </c>
      <c r="G969" s="1">
        <v>250.0</v>
      </c>
      <c r="H969" s="1" t="s">
        <v>28</v>
      </c>
      <c r="I969" s="1"/>
      <c r="J969" s="1" t="s">
        <v>12272</v>
      </c>
      <c r="K969" s="1"/>
      <c r="L969" s="1" t="s">
        <v>12273</v>
      </c>
      <c r="M969" s="1"/>
      <c r="N969" s="1" t="s">
        <v>12274</v>
      </c>
    </row>
    <row r="970">
      <c r="A970" s="1" t="s">
        <v>17</v>
      </c>
      <c r="B970" s="1">
        <v>2002.0</v>
      </c>
      <c r="C970" s="1" t="s">
        <v>12275</v>
      </c>
      <c r="D970" s="1" t="s">
        <v>12276</v>
      </c>
      <c r="E970" s="2" t="s">
        <v>12277</v>
      </c>
      <c r="F970" s="1">
        <v>251.0</v>
      </c>
      <c r="G970" s="1">
        <v>257.0</v>
      </c>
      <c r="H970" s="1" t="s">
        <v>28</v>
      </c>
      <c r="I970" s="1"/>
      <c r="J970" s="1" t="s">
        <v>12283</v>
      </c>
      <c r="K970" s="1"/>
      <c r="L970" s="1" t="s">
        <v>12284</v>
      </c>
      <c r="M970" s="1" t="s">
        <v>12285</v>
      </c>
      <c r="N970" s="1" t="s">
        <v>12286</v>
      </c>
    </row>
    <row r="971">
      <c r="A971" s="1" t="s">
        <v>17</v>
      </c>
      <c r="B971" s="1">
        <v>2002.0</v>
      </c>
      <c r="C971" s="1" t="s">
        <v>12310</v>
      </c>
      <c r="D971" s="1" t="s">
        <v>12313</v>
      </c>
      <c r="E971" s="2" t="s">
        <v>12314</v>
      </c>
      <c r="F971" s="1">
        <v>259.0</v>
      </c>
      <c r="G971" s="1">
        <v>265.0</v>
      </c>
      <c r="H971" s="1" t="s">
        <v>28</v>
      </c>
      <c r="I971" s="1"/>
      <c r="J971" s="1" t="s">
        <v>12319</v>
      </c>
      <c r="K971" s="1"/>
      <c r="L971" s="1" t="s">
        <v>12320</v>
      </c>
      <c r="M971" s="1" t="s">
        <v>12321</v>
      </c>
      <c r="N971" s="1" t="s">
        <v>12322</v>
      </c>
    </row>
    <row r="972">
      <c r="A972" s="1" t="s">
        <v>17</v>
      </c>
      <c r="B972" s="1">
        <v>2002.0</v>
      </c>
      <c r="C972" s="1" t="s">
        <v>12325</v>
      </c>
      <c r="D972" s="1" t="s">
        <v>12326</v>
      </c>
      <c r="E972" s="2" t="s">
        <v>12327</v>
      </c>
      <c r="F972" s="1">
        <v>267.0</v>
      </c>
      <c r="G972" s="1">
        <v>274.0</v>
      </c>
      <c r="H972" s="1" t="s">
        <v>28</v>
      </c>
      <c r="I972" s="1"/>
      <c r="J972" s="1" t="s">
        <v>12330</v>
      </c>
      <c r="K972" s="1"/>
      <c r="L972" s="1" t="s">
        <v>12331</v>
      </c>
      <c r="M972" s="1" t="s">
        <v>12332</v>
      </c>
      <c r="N972" s="1" t="s">
        <v>12333</v>
      </c>
    </row>
    <row r="973">
      <c r="A973" s="1" t="s">
        <v>17</v>
      </c>
      <c r="B973" s="1">
        <v>2002.0</v>
      </c>
      <c r="C973" s="1" t="s">
        <v>12334</v>
      </c>
      <c r="D973" s="1" t="s">
        <v>12336</v>
      </c>
      <c r="E973" s="2" t="s">
        <v>12337</v>
      </c>
      <c r="F973" s="1">
        <v>275.0</v>
      </c>
      <c r="G973" s="1">
        <v>282.0</v>
      </c>
      <c r="H973" s="1" t="s">
        <v>28</v>
      </c>
      <c r="I973" s="1"/>
      <c r="J973" s="1" t="s">
        <v>12343</v>
      </c>
      <c r="K973" s="1"/>
      <c r="L973" s="1" t="s">
        <v>12344</v>
      </c>
      <c r="M973" s="1"/>
      <c r="N973" s="1" t="s">
        <v>12345</v>
      </c>
    </row>
    <row r="974">
      <c r="A974" s="1" t="s">
        <v>17</v>
      </c>
      <c r="B974" s="1">
        <v>2002.0</v>
      </c>
      <c r="C974" s="1" t="s">
        <v>12346</v>
      </c>
      <c r="D974" s="1" t="s">
        <v>12347</v>
      </c>
      <c r="E974" s="2" t="s">
        <v>12348</v>
      </c>
      <c r="F974" s="1">
        <v>283.0</v>
      </c>
      <c r="G974" s="1">
        <v>289.0</v>
      </c>
      <c r="H974" s="1" t="s">
        <v>28</v>
      </c>
      <c r="I974" s="1"/>
      <c r="J974" s="1" t="s">
        <v>12354</v>
      </c>
      <c r="K974" s="1"/>
      <c r="L974" s="1" t="s">
        <v>12355</v>
      </c>
      <c r="M974" s="1" t="s">
        <v>12356</v>
      </c>
      <c r="N974" s="1" t="s">
        <v>12357</v>
      </c>
    </row>
    <row r="975">
      <c r="A975" s="1" t="s">
        <v>17</v>
      </c>
      <c r="B975" s="1">
        <v>2002.0</v>
      </c>
      <c r="C975" s="1" t="s">
        <v>12358</v>
      </c>
      <c r="D975" s="1" t="s">
        <v>12359</v>
      </c>
      <c r="E975" s="2" t="s">
        <v>12360</v>
      </c>
      <c r="F975" s="1">
        <v>291.0</v>
      </c>
      <c r="G975" s="1">
        <v>298.0</v>
      </c>
      <c r="H975" s="1" t="s">
        <v>28</v>
      </c>
      <c r="I975" s="1"/>
      <c r="J975" s="1" t="s">
        <v>12363</v>
      </c>
      <c r="K975" s="1"/>
      <c r="L975" s="1" t="s">
        <v>3525</v>
      </c>
      <c r="M975" s="1" t="s">
        <v>5943</v>
      </c>
      <c r="N975" s="1" t="s">
        <v>12364</v>
      </c>
    </row>
    <row r="976">
      <c r="A976" s="1" t="s">
        <v>17</v>
      </c>
      <c r="B976" s="1">
        <v>2002.0</v>
      </c>
      <c r="C976" s="1" t="s">
        <v>12365</v>
      </c>
      <c r="D976" s="1" t="s">
        <v>12366</v>
      </c>
      <c r="E976" s="2" t="s">
        <v>12367</v>
      </c>
      <c r="F976" s="1">
        <v>299.0</v>
      </c>
      <c r="G976" s="1">
        <v>306.0</v>
      </c>
      <c r="H976" s="1" t="s">
        <v>28</v>
      </c>
      <c r="I976" s="1"/>
      <c r="J976" s="1" t="s">
        <v>12370</v>
      </c>
      <c r="K976" s="1"/>
      <c r="L976" s="1" t="s">
        <v>9326</v>
      </c>
      <c r="M976" s="1" t="s">
        <v>12371</v>
      </c>
      <c r="N976" s="1" t="s">
        <v>12372</v>
      </c>
    </row>
    <row r="977">
      <c r="A977" s="1" t="s">
        <v>17</v>
      </c>
      <c r="B977" s="1">
        <v>2002.0</v>
      </c>
      <c r="C977" s="1" t="s">
        <v>12373</v>
      </c>
      <c r="D977" s="1" t="s">
        <v>12374</v>
      </c>
      <c r="E977" s="2" t="s">
        <v>12375</v>
      </c>
      <c r="F977" s="1">
        <v>307.0</v>
      </c>
      <c r="G977" s="1">
        <v>314.0</v>
      </c>
      <c r="H977" s="1" t="s">
        <v>28</v>
      </c>
      <c r="I977" s="1"/>
      <c r="J977" s="1" t="s">
        <v>12379</v>
      </c>
      <c r="K977" s="1"/>
      <c r="L977" s="1" t="s">
        <v>12380</v>
      </c>
      <c r="M977" s="1" t="s">
        <v>12381</v>
      </c>
      <c r="N977" s="1" t="s">
        <v>12382</v>
      </c>
    </row>
    <row r="978">
      <c r="A978" s="1" t="s">
        <v>17</v>
      </c>
      <c r="B978" s="1">
        <v>2002.0</v>
      </c>
      <c r="C978" s="1" t="s">
        <v>12383</v>
      </c>
      <c r="D978" s="1" t="s">
        <v>12384</v>
      </c>
      <c r="E978" s="2" t="s">
        <v>12385</v>
      </c>
      <c r="F978" s="1">
        <v>315.0</v>
      </c>
      <c r="G978" s="1">
        <v>322.0</v>
      </c>
      <c r="H978" s="1" t="s">
        <v>28</v>
      </c>
      <c r="I978" s="1"/>
      <c r="J978" s="1" t="s">
        <v>12390</v>
      </c>
      <c r="K978" s="1"/>
      <c r="L978" s="1" t="s">
        <v>12391</v>
      </c>
      <c r="M978" s="1" t="s">
        <v>12392</v>
      </c>
      <c r="N978" s="1" t="s">
        <v>12393</v>
      </c>
    </row>
    <row r="979">
      <c r="A979" s="1" t="s">
        <v>17</v>
      </c>
      <c r="B979" s="1">
        <v>2002.0</v>
      </c>
      <c r="C979" s="1" t="s">
        <v>12394</v>
      </c>
      <c r="D979" s="1" t="s">
        <v>12395</v>
      </c>
      <c r="E979" s="2" t="s">
        <v>12396</v>
      </c>
      <c r="F979" s="1">
        <v>323.0</v>
      </c>
      <c r="G979" s="1">
        <v>330.0</v>
      </c>
      <c r="H979" s="1" t="s">
        <v>28</v>
      </c>
      <c r="I979" s="1"/>
      <c r="J979" s="1" t="s">
        <v>12403</v>
      </c>
      <c r="K979" s="1"/>
      <c r="L979" s="1" t="s">
        <v>12404</v>
      </c>
      <c r="M979" s="1" t="s">
        <v>12405</v>
      </c>
      <c r="N979" s="1" t="s">
        <v>12406</v>
      </c>
    </row>
    <row r="980">
      <c r="A980" s="1" t="s">
        <v>17</v>
      </c>
      <c r="B980" s="1">
        <v>2002.0</v>
      </c>
      <c r="C980" s="1" t="s">
        <v>12407</v>
      </c>
      <c r="D980" s="1" t="s">
        <v>12408</v>
      </c>
      <c r="E980" s="2" t="s">
        <v>12410</v>
      </c>
      <c r="F980" s="1">
        <v>331.0</v>
      </c>
      <c r="G980" s="1">
        <v>338.0</v>
      </c>
      <c r="H980" s="1" t="s">
        <v>28</v>
      </c>
      <c r="I980" s="1"/>
      <c r="J980" s="1" t="s">
        <v>12415</v>
      </c>
      <c r="K980" s="1"/>
      <c r="L980" s="1" t="s">
        <v>12416</v>
      </c>
      <c r="M980" s="1" t="s">
        <v>2328</v>
      </c>
      <c r="N980" s="1" t="s">
        <v>12418</v>
      </c>
    </row>
    <row r="981">
      <c r="A981" s="1" t="s">
        <v>17</v>
      </c>
      <c r="B981" s="1">
        <v>2002.0</v>
      </c>
      <c r="C981" s="1" t="s">
        <v>12420</v>
      </c>
      <c r="D981" s="1" t="s">
        <v>12421</v>
      </c>
      <c r="E981" s="2" t="s">
        <v>12422</v>
      </c>
      <c r="F981" s="1">
        <v>339.0</v>
      </c>
      <c r="G981" s="1">
        <v>346.0</v>
      </c>
      <c r="H981" s="1" t="s">
        <v>28</v>
      </c>
      <c r="I981" s="1"/>
      <c r="J981" s="1" t="s">
        <v>12426</v>
      </c>
      <c r="K981" s="1"/>
      <c r="L981" s="1" t="s">
        <v>12427</v>
      </c>
      <c r="M981" s="1" t="s">
        <v>12428</v>
      </c>
      <c r="N981" s="1" t="s">
        <v>12429</v>
      </c>
    </row>
    <row r="982">
      <c r="A982" s="1" t="s">
        <v>17</v>
      </c>
      <c r="B982" s="1">
        <v>2002.0</v>
      </c>
      <c r="C982" s="1" t="s">
        <v>12430</v>
      </c>
      <c r="D982" s="1" t="s">
        <v>12431</v>
      </c>
      <c r="E982" s="2" t="s">
        <v>12433</v>
      </c>
      <c r="F982" s="1">
        <v>347.0</v>
      </c>
      <c r="G982" s="1">
        <v>354.0</v>
      </c>
      <c r="H982" s="1" t="s">
        <v>28</v>
      </c>
      <c r="I982" s="1"/>
      <c r="J982" s="1" t="s">
        <v>12437</v>
      </c>
      <c r="K982" s="1"/>
      <c r="L982" s="1" t="s">
        <v>12438</v>
      </c>
      <c r="M982" s="1" t="s">
        <v>12136</v>
      </c>
      <c r="N982" s="1" t="s">
        <v>12439</v>
      </c>
    </row>
    <row r="983">
      <c r="A983" s="1" t="s">
        <v>17</v>
      </c>
      <c r="B983" s="1">
        <v>2002.0</v>
      </c>
      <c r="C983" s="1" t="s">
        <v>12441</v>
      </c>
      <c r="D983" s="1" t="s">
        <v>12442</v>
      </c>
      <c r="E983" s="2" t="s">
        <v>12443</v>
      </c>
      <c r="F983" s="1">
        <v>355.0</v>
      </c>
      <c r="G983" s="1">
        <v>362.0</v>
      </c>
      <c r="H983" s="1" t="s">
        <v>28</v>
      </c>
      <c r="I983" s="1"/>
      <c r="J983" s="1" t="s">
        <v>12448</v>
      </c>
      <c r="K983" s="1"/>
      <c r="L983" s="1" t="s">
        <v>12449</v>
      </c>
      <c r="M983" s="1"/>
      <c r="N983" s="1" t="s">
        <v>12450</v>
      </c>
    </row>
    <row r="984">
      <c r="A984" s="1" t="s">
        <v>17</v>
      </c>
      <c r="B984" s="1">
        <v>2002.0</v>
      </c>
      <c r="C984" s="1" t="s">
        <v>12451</v>
      </c>
      <c r="D984" s="1" t="s">
        <v>12452</v>
      </c>
      <c r="E984" s="2" t="s">
        <v>12453</v>
      </c>
      <c r="F984" s="1">
        <v>363.0</v>
      </c>
      <c r="G984" s="1">
        <v>370.0</v>
      </c>
      <c r="H984" s="1" t="s">
        <v>28</v>
      </c>
      <c r="I984" s="1"/>
      <c r="J984" s="1" t="s">
        <v>12457</v>
      </c>
      <c r="K984" s="1"/>
      <c r="L984" s="1" t="s">
        <v>12458</v>
      </c>
      <c r="M984" s="1" t="s">
        <v>12459</v>
      </c>
      <c r="N984" s="1" t="s">
        <v>12460</v>
      </c>
    </row>
    <row r="985">
      <c r="A985" s="1" t="s">
        <v>17</v>
      </c>
      <c r="B985" s="1">
        <v>2002.0</v>
      </c>
      <c r="C985" s="1" t="s">
        <v>12462</v>
      </c>
      <c r="D985" s="1" t="s">
        <v>12463</v>
      </c>
      <c r="E985" s="2" t="s">
        <v>12465</v>
      </c>
      <c r="F985" s="1">
        <v>371.0</v>
      </c>
      <c r="G985" s="1">
        <v>378.0</v>
      </c>
      <c r="H985" s="1" t="s">
        <v>28</v>
      </c>
      <c r="I985" s="1"/>
      <c r="J985" s="1" t="s">
        <v>12470</v>
      </c>
      <c r="K985" s="1"/>
      <c r="L985" s="1" t="s">
        <v>12471</v>
      </c>
      <c r="M985" s="1" t="s">
        <v>12472</v>
      </c>
      <c r="N985" s="1" t="s">
        <v>12473</v>
      </c>
    </row>
    <row r="986">
      <c r="A986" s="1" t="s">
        <v>17</v>
      </c>
      <c r="B986" s="1">
        <v>2002.0</v>
      </c>
      <c r="C986" s="1" t="s">
        <v>12474</v>
      </c>
      <c r="D986" s="1" t="s">
        <v>12475</v>
      </c>
      <c r="E986" s="2" t="s">
        <v>12476</v>
      </c>
      <c r="F986" s="1">
        <v>379.0</v>
      </c>
      <c r="G986" s="1">
        <v>386.0</v>
      </c>
      <c r="H986" s="1" t="s">
        <v>28</v>
      </c>
      <c r="I986" s="1"/>
      <c r="J986" s="1" t="s">
        <v>12502</v>
      </c>
      <c r="K986" s="1"/>
      <c r="L986" s="1" t="s">
        <v>3182</v>
      </c>
      <c r="M986" s="1" t="s">
        <v>12503</v>
      </c>
      <c r="N986" s="1" t="s">
        <v>12505</v>
      </c>
    </row>
    <row r="987">
      <c r="A987" s="1" t="s">
        <v>17</v>
      </c>
      <c r="B987" s="1">
        <v>2002.0</v>
      </c>
      <c r="C987" s="1" t="s">
        <v>12506</v>
      </c>
      <c r="D987" s="1" t="s">
        <v>12508</v>
      </c>
      <c r="E987" s="2" t="s">
        <v>12509</v>
      </c>
      <c r="F987" s="1">
        <v>387.0</v>
      </c>
      <c r="G987" s="1">
        <v>394.0</v>
      </c>
      <c r="H987" s="1" t="s">
        <v>28</v>
      </c>
      <c r="I987" s="1"/>
      <c r="J987" s="1" t="s">
        <v>12510</v>
      </c>
      <c r="K987" s="1"/>
      <c r="L987" s="1" t="s">
        <v>12511</v>
      </c>
      <c r="M987" s="1" t="s">
        <v>12512</v>
      </c>
      <c r="N987" s="1" t="s">
        <v>12513</v>
      </c>
    </row>
    <row r="988">
      <c r="A988" s="1" t="s">
        <v>17</v>
      </c>
      <c r="B988" s="1">
        <v>2002.0</v>
      </c>
      <c r="C988" s="1" t="s">
        <v>12514</v>
      </c>
      <c r="D988" s="1" t="s">
        <v>12515</v>
      </c>
      <c r="E988" s="2" t="s">
        <v>12516</v>
      </c>
      <c r="F988" s="1">
        <v>395.0</v>
      </c>
      <c r="G988" s="1">
        <v>402.0</v>
      </c>
      <c r="H988" s="1" t="s">
        <v>28</v>
      </c>
      <c r="I988" s="1"/>
      <c r="J988" s="1" t="s">
        <v>12519</v>
      </c>
      <c r="K988" s="1"/>
      <c r="L988" s="1" t="s">
        <v>12520</v>
      </c>
      <c r="M988" s="1" t="s">
        <v>12521</v>
      </c>
      <c r="N988" s="1" t="s">
        <v>12522</v>
      </c>
    </row>
    <row r="989">
      <c r="A989" s="1" t="s">
        <v>17</v>
      </c>
      <c r="B989" s="1">
        <v>2002.0</v>
      </c>
      <c r="C989" s="1" t="s">
        <v>12523</v>
      </c>
      <c r="D989" s="1" t="s">
        <v>12524</v>
      </c>
      <c r="E989" s="2" t="s">
        <v>12525</v>
      </c>
      <c r="F989" s="1">
        <v>403.0</v>
      </c>
      <c r="G989" s="1">
        <v>409.0</v>
      </c>
      <c r="H989" s="1" t="s">
        <v>28</v>
      </c>
      <c r="I989" s="1"/>
      <c r="J989" s="1" t="s">
        <v>12532</v>
      </c>
      <c r="K989" s="1"/>
      <c r="L989" s="1" t="s">
        <v>1966</v>
      </c>
      <c r="M989" s="1" t="s">
        <v>12533</v>
      </c>
      <c r="N989" s="1" t="s">
        <v>12534</v>
      </c>
    </row>
    <row r="990">
      <c r="A990" s="1" t="s">
        <v>17</v>
      </c>
      <c r="B990" s="1">
        <v>2002.0</v>
      </c>
      <c r="C990" s="1" t="s">
        <v>12537</v>
      </c>
      <c r="D990" s="1" t="s">
        <v>12538</v>
      </c>
      <c r="E990" s="2" t="s">
        <v>12539</v>
      </c>
      <c r="F990" s="1">
        <v>411.0</v>
      </c>
      <c r="G990" s="1">
        <v>418.0</v>
      </c>
      <c r="H990" s="1" t="s">
        <v>28</v>
      </c>
      <c r="I990" s="1"/>
      <c r="J990" s="1" t="s">
        <v>12543</v>
      </c>
      <c r="K990" s="1"/>
      <c r="L990" s="1" t="s">
        <v>12545</v>
      </c>
      <c r="M990" s="1"/>
      <c r="N990" s="1" t="s">
        <v>12546</v>
      </c>
    </row>
    <row r="991">
      <c r="A991" s="1" t="s">
        <v>17</v>
      </c>
      <c r="B991" s="1">
        <v>2002.0</v>
      </c>
      <c r="C991" s="1" t="s">
        <v>12547</v>
      </c>
      <c r="D991" s="1" t="s">
        <v>12548</v>
      </c>
      <c r="E991" s="2" t="s">
        <v>12549</v>
      </c>
      <c r="F991" s="1">
        <v>419.0</v>
      </c>
      <c r="G991" s="1">
        <v>426.0</v>
      </c>
      <c r="H991" s="1" t="s">
        <v>28</v>
      </c>
      <c r="I991" s="1"/>
      <c r="J991" s="1" t="s">
        <v>12552</v>
      </c>
      <c r="K991" s="1"/>
      <c r="L991" s="1" t="s">
        <v>7936</v>
      </c>
      <c r="M991" s="1" t="s">
        <v>2378</v>
      </c>
      <c r="N991" s="1" t="s">
        <v>12553</v>
      </c>
    </row>
    <row r="992">
      <c r="A992" s="1" t="s">
        <v>17</v>
      </c>
      <c r="B992" s="1">
        <v>2002.0</v>
      </c>
      <c r="C992" s="1" t="s">
        <v>12554</v>
      </c>
      <c r="D992" s="1" t="s">
        <v>12555</v>
      </c>
      <c r="E992" s="2" t="s">
        <v>12556</v>
      </c>
      <c r="F992" s="1">
        <v>427.0</v>
      </c>
      <c r="G992" s="1">
        <v>433.0</v>
      </c>
      <c r="H992" s="1" t="s">
        <v>28</v>
      </c>
      <c r="I992" s="1"/>
      <c r="J992" s="1" t="s">
        <v>4514</v>
      </c>
      <c r="K992" s="1"/>
      <c r="L992" s="1" t="s">
        <v>4515</v>
      </c>
      <c r="M992" s="1" t="s">
        <v>10718</v>
      </c>
      <c r="N992" s="1" t="s">
        <v>12565</v>
      </c>
    </row>
    <row r="993">
      <c r="A993" s="1" t="s">
        <v>17</v>
      </c>
      <c r="B993" s="1">
        <v>2002.0</v>
      </c>
      <c r="C993" s="1" t="s">
        <v>12566</v>
      </c>
      <c r="D993" s="1" t="s">
        <v>12568</v>
      </c>
      <c r="E993" s="2" t="s">
        <v>12571</v>
      </c>
      <c r="F993" s="1">
        <v>435.0</v>
      </c>
      <c r="G993" s="1">
        <v>442.0</v>
      </c>
      <c r="H993" s="1" t="s">
        <v>28</v>
      </c>
      <c r="I993" s="1"/>
      <c r="J993" s="1" t="s">
        <v>12579</v>
      </c>
      <c r="K993" s="1"/>
      <c r="L993" s="1" t="s">
        <v>12580</v>
      </c>
      <c r="M993" s="1" t="s">
        <v>6083</v>
      </c>
      <c r="N993" s="1" t="s">
        <v>12581</v>
      </c>
    </row>
    <row r="994">
      <c r="A994" s="1" t="s">
        <v>17</v>
      </c>
      <c r="B994" s="1">
        <v>2002.0</v>
      </c>
      <c r="C994" s="1" t="s">
        <v>12583</v>
      </c>
      <c r="D994" s="1" t="s">
        <v>12586</v>
      </c>
      <c r="E994" s="2" t="s">
        <v>12588</v>
      </c>
      <c r="F994" s="1">
        <v>443.0</v>
      </c>
      <c r="G994" s="1">
        <v>450.0</v>
      </c>
      <c r="H994" s="1" t="s">
        <v>28</v>
      </c>
      <c r="I994" s="1"/>
      <c r="J994" s="1" t="s">
        <v>12596</v>
      </c>
      <c r="K994" s="1"/>
      <c r="L994" s="1" t="s">
        <v>12598</v>
      </c>
      <c r="M994" s="1" t="s">
        <v>12599</v>
      </c>
      <c r="N994" s="1" t="s">
        <v>12600</v>
      </c>
    </row>
    <row r="995">
      <c r="A995" s="1" t="s">
        <v>17</v>
      </c>
      <c r="B995" s="1">
        <v>2002.0</v>
      </c>
      <c r="C995" s="1" t="s">
        <v>12601</v>
      </c>
      <c r="D995" s="1" t="s">
        <v>12602</v>
      </c>
      <c r="E995" s="2" t="s">
        <v>12603</v>
      </c>
      <c r="F995" s="1">
        <v>451.0</v>
      </c>
      <c r="G995" s="1">
        <v>458.0</v>
      </c>
      <c r="H995" s="1" t="s">
        <v>28</v>
      </c>
      <c r="I995" s="1"/>
      <c r="J995" s="1" t="s">
        <v>12610</v>
      </c>
      <c r="K995" s="1"/>
      <c r="L995" s="1" t="s">
        <v>1158</v>
      </c>
      <c r="M995" s="1" t="s">
        <v>12611</v>
      </c>
      <c r="N995" s="1" t="s">
        <v>12612</v>
      </c>
    </row>
    <row r="996">
      <c r="A996" s="1" t="s">
        <v>17</v>
      </c>
      <c r="B996" s="1">
        <v>2002.0</v>
      </c>
      <c r="C996" s="1" t="s">
        <v>12613</v>
      </c>
      <c r="D996" s="1" t="s">
        <v>12614</v>
      </c>
      <c r="E996" s="2" t="s">
        <v>12615</v>
      </c>
      <c r="F996" s="1">
        <v>459.0</v>
      </c>
      <c r="G996" s="1">
        <v>466.0</v>
      </c>
      <c r="H996" s="1" t="s">
        <v>28</v>
      </c>
      <c r="I996" s="1"/>
      <c r="J996" s="1" t="s">
        <v>12624</v>
      </c>
      <c r="K996" s="1"/>
      <c r="L996" s="1" t="s">
        <v>12625</v>
      </c>
      <c r="M996" s="1" t="s">
        <v>536</v>
      </c>
      <c r="N996" s="1" t="s">
        <v>12626</v>
      </c>
    </row>
    <row r="997">
      <c r="A997" s="1" t="s">
        <v>17</v>
      </c>
      <c r="B997" s="1">
        <v>2002.0</v>
      </c>
      <c r="C997" s="1" t="s">
        <v>12627</v>
      </c>
      <c r="D997" s="1" t="s">
        <v>12628</v>
      </c>
      <c r="E997" s="2" t="s">
        <v>12629</v>
      </c>
      <c r="F997" s="1">
        <v>467.0</v>
      </c>
      <c r="G997" s="1">
        <v>474.0</v>
      </c>
      <c r="H997" s="1" t="s">
        <v>28</v>
      </c>
      <c r="I997" s="1"/>
      <c r="J997" s="1" t="s">
        <v>12633</v>
      </c>
      <c r="K997" s="1"/>
      <c r="L997" s="1" t="s">
        <v>12634</v>
      </c>
      <c r="M997" s="1" t="s">
        <v>12635</v>
      </c>
      <c r="N997" s="1" t="s">
        <v>12636</v>
      </c>
    </row>
    <row r="998">
      <c r="A998" s="1" t="s">
        <v>17</v>
      </c>
      <c r="B998" s="1">
        <v>2002.0</v>
      </c>
      <c r="C998" s="1" t="s">
        <v>12637</v>
      </c>
      <c r="D998" s="1" t="s">
        <v>12638</v>
      </c>
      <c r="E998" s="2" t="s">
        <v>12639</v>
      </c>
      <c r="F998" s="1">
        <v>475.0</v>
      </c>
      <c r="G998" s="1">
        <v>482.0</v>
      </c>
      <c r="H998" s="1" t="s">
        <v>28</v>
      </c>
      <c r="I998" s="1"/>
      <c r="J998" s="1" t="s">
        <v>12640</v>
      </c>
      <c r="K998" s="1"/>
      <c r="L998" s="1" t="s">
        <v>12641</v>
      </c>
      <c r="M998" s="1" t="s">
        <v>12642</v>
      </c>
      <c r="N998" s="1" t="s">
        <v>12643</v>
      </c>
    </row>
    <row r="999">
      <c r="A999" s="1" t="s">
        <v>17</v>
      </c>
      <c r="B999" s="1">
        <v>2002.0</v>
      </c>
      <c r="C999" s="1" t="s">
        <v>12644</v>
      </c>
      <c r="D999" s="1" t="s">
        <v>12645</v>
      </c>
      <c r="E999" s="2" t="s">
        <v>12646</v>
      </c>
      <c r="F999" s="1">
        <v>485.0</v>
      </c>
      <c r="G999" s="1">
        <v>488.0</v>
      </c>
      <c r="H999" s="1" t="s">
        <v>28</v>
      </c>
      <c r="I999" s="1"/>
      <c r="J999" s="1" t="s">
        <v>12651</v>
      </c>
      <c r="K999" s="1"/>
      <c r="L999" s="1" t="s">
        <v>12652</v>
      </c>
      <c r="M999" s="1" t="s">
        <v>12653</v>
      </c>
      <c r="N999" s="1" t="s">
        <v>12654</v>
      </c>
    </row>
    <row r="1000">
      <c r="A1000" s="1" t="s">
        <v>17</v>
      </c>
      <c r="B1000" s="1">
        <v>2002.0</v>
      </c>
      <c r="C1000" s="1" t="s">
        <v>12655</v>
      </c>
      <c r="D1000" s="1" t="s">
        <v>12656</v>
      </c>
      <c r="E1000" s="2" t="s">
        <v>12657</v>
      </c>
      <c r="F1000" s="1">
        <v>489.0</v>
      </c>
      <c r="G1000" s="1">
        <v>492.0</v>
      </c>
      <c r="H1000" s="1" t="s">
        <v>28</v>
      </c>
      <c r="I1000" s="1"/>
      <c r="J1000" s="1" t="s">
        <v>12661</v>
      </c>
      <c r="K1000" s="1"/>
      <c r="L1000" s="1" t="s">
        <v>12662</v>
      </c>
      <c r="M1000" s="1" t="s">
        <v>12663</v>
      </c>
      <c r="N1000" s="1" t="s">
        <v>12664</v>
      </c>
    </row>
    <row r="1001">
      <c r="A1001" s="1" t="s">
        <v>17</v>
      </c>
      <c r="B1001" s="1">
        <v>2002.0</v>
      </c>
      <c r="C1001" s="1" t="s">
        <v>12665</v>
      </c>
      <c r="D1001" s="1" t="s">
        <v>12666</v>
      </c>
      <c r="E1001" s="2" t="s">
        <v>12667</v>
      </c>
      <c r="F1001" s="1">
        <v>493.0</v>
      </c>
      <c r="G1001" s="1">
        <v>496.0</v>
      </c>
      <c r="H1001" s="1" t="s">
        <v>28</v>
      </c>
      <c r="I1001" s="1"/>
      <c r="J1001" s="1" t="s">
        <v>12671</v>
      </c>
      <c r="K1001" s="1"/>
      <c r="L1001" s="1" t="s">
        <v>12672</v>
      </c>
      <c r="M1001" s="1" t="s">
        <v>25</v>
      </c>
      <c r="N1001" s="1" t="s">
        <v>12673</v>
      </c>
    </row>
    <row r="1002">
      <c r="A1002" s="1" t="s">
        <v>17</v>
      </c>
      <c r="B1002" s="1">
        <v>2002.0</v>
      </c>
      <c r="C1002" s="1" t="s">
        <v>12674</v>
      </c>
      <c r="D1002" s="1" t="s">
        <v>12675</v>
      </c>
      <c r="E1002" s="2" t="s">
        <v>12677</v>
      </c>
      <c r="F1002" s="1">
        <v>497.0</v>
      </c>
      <c r="G1002" s="1">
        <v>500.0</v>
      </c>
      <c r="H1002" s="1" t="s">
        <v>28</v>
      </c>
      <c r="I1002" s="1"/>
      <c r="J1002" s="1" t="s">
        <v>12682</v>
      </c>
      <c r="K1002" s="1"/>
      <c r="L1002" s="1" t="s">
        <v>12683</v>
      </c>
      <c r="M1002" s="1" t="s">
        <v>12684</v>
      </c>
      <c r="N1002" s="1" t="s">
        <v>12130</v>
      </c>
    </row>
    <row r="1003">
      <c r="A1003" s="1" t="s">
        <v>17</v>
      </c>
      <c r="B1003" s="1">
        <v>2002.0</v>
      </c>
      <c r="C1003" s="1" t="s">
        <v>12685</v>
      </c>
      <c r="D1003" s="1" t="s">
        <v>12686</v>
      </c>
      <c r="E1003" s="2" t="s">
        <v>12688</v>
      </c>
      <c r="F1003" s="1">
        <v>501.0</v>
      </c>
      <c r="G1003" s="1">
        <v>504.0</v>
      </c>
      <c r="H1003" s="1" t="s">
        <v>28</v>
      </c>
      <c r="I1003" s="1"/>
      <c r="J1003" s="1" t="s">
        <v>12693</v>
      </c>
      <c r="K1003" s="1"/>
      <c r="L1003" s="1" t="s">
        <v>12694</v>
      </c>
      <c r="M1003" s="1" t="s">
        <v>3859</v>
      </c>
      <c r="N1003" s="1" t="s">
        <v>12695</v>
      </c>
    </row>
    <row r="1004">
      <c r="A1004" s="1" t="s">
        <v>17</v>
      </c>
      <c r="B1004" s="1">
        <v>2002.0</v>
      </c>
      <c r="C1004" s="1" t="s">
        <v>12696</v>
      </c>
      <c r="D1004" s="1" t="s">
        <v>12697</v>
      </c>
      <c r="E1004" s="2" t="s">
        <v>12698</v>
      </c>
      <c r="F1004" s="1">
        <v>505.0</v>
      </c>
      <c r="G1004" s="1">
        <v>508.0</v>
      </c>
      <c r="H1004" s="1" t="s">
        <v>28</v>
      </c>
      <c r="I1004" s="1"/>
      <c r="J1004" s="1" t="s">
        <v>12699</v>
      </c>
      <c r="K1004" s="1"/>
      <c r="L1004" s="1" t="s">
        <v>4927</v>
      </c>
      <c r="M1004" s="1"/>
      <c r="N1004" s="1" t="s">
        <v>12700</v>
      </c>
    </row>
    <row r="1005">
      <c r="A1005" s="1" t="s">
        <v>17</v>
      </c>
      <c r="B1005" s="1">
        <v>2002.0</v>
      </c>
      <c r="C1005" s="1" t="s">
        <v>12701</v>
      </c>
      <c r="D1005" s="1" t="s">
        <v>12702</v>
      </c>
      <c r="E1005" s="2" t="s">
        <v>12703</v>
      </c>
      <c r="F1005" s="1">
        <v>509.0</v>
      </c>
      <c r="G1005" s="1">
        <v>512.0</v>
      </c>
      <c r="H1005" s="1" t="s">
        <v>28</v>
      </c>
      <c r="I1005" s="1"/>
      <c r="J1005" s="1" t="s">
        <v>12707</v>
      </c>
      <c r="K1005" s="1"/>
      <c r="L1005" s="1" t="s">
        <v>12708</v>
      </c>
      <c r="M1005" s="1"/>
      <c r="N1005" s="1" t="s">
        <v>12709</v>
      </c>
    </row>
    <row r="1006">
      <c r="A1006" s="1" t="s">
        <v>17</v>
      </c>
      <c r="B1006" s="1">
        <v>2002.0</v>
      </c>
      <c r="C1006" s="1" t="s">
        <v>12710</v>
      </c>
      <c r="D1006" s="1" t="s">
        <v>12711</v>
      </c>
      <c r="E1006" s="2" t="s">
        <v>12712</v>
      </c>
      <c r="F1006" s="1">
        <v>513.0</v>
      </c>
      <c r="G1006" s="1">
        <v>516.0</v>
      </c>
      <c r="H1006" s="1" t="s">
        <v>28</v>
      </c>
      <c r="I1006" s="1"/>
      <c r="J1006" s="1" t="s">
        <v>12715</v>
      </c>
      <c r="K1006" s="1"/>
      <c r="L1006" s="1" t="s">
        <v>12717</v>
      </c>
      <c r="M1006" s="1"/>
      <c r="N1006" s="1" t="s">
        <v>12719</v>
      </c>
    </row>
    <row r="1007">
      <c r="A1007" s="1" t="s">
        <v>17</v>
      </c>
      <c r="B1007" s="1">
        <v>2002.0</v>
      </c>
      <c r="C1007" s="1" t="s">
        <v>12721</v>
      </c>
      <c r="D1007" s="1" t="s">
        <v>12722</v>
      </c>
      <c r="E1007" s="2" t="s">
        <v>12723</v>
      </c>
      <c r="F1007" s="1">
        <v>517.0</v>
      </c>
      <c r="G1007" s="1">
        <v>520.0</v>
      </c>
      <c r="H1007" s="1" t="s">
        <v>28</v>
      </c>
      <c r="I1007" s="1"/>
      <c r="J1007" s="1" t="s">
        <v>12726</v>
      </c>
      <c r="K1007" s="1"/>
      <c r="L1007" s="1" t="s">
        <v>12727</v>
      </c>
      <c r="M1007" s="1" t="s">
        <v>12728</v>
      </c>
      <c r="N1007" s="1" t="s">
        <v>12729</v>
      </c>
    </row>
    <row r="1008">
      <c r="A1008" s="1" t="s">
        <v>17</v>
      </c>
      <c r="B1008" s="1">
        <v>2002.0</v>
      </c>
      <c r="C1008" s="1" t="s">
        <v>12730</v>
      </c>
      <c r="D1008" s="1" t="s">
        <v>12731</v>
      </c>
      <c r="E1008" s="2" t="s">
        <v>12733</v>
      </c>
      <c r="F1008" s="1">
        <v>521.0</v>
      </c>
      <c r="G1008" s="1">
        <v>524.0</v>
      </c>
      <c r="H1008" s="1" t="s">
        <v>28</v>
      </c>
      <c r="I1008" s="1"/>
      <c r="J1008" s="1" t="s">
        <v>12740</v>
      </c>
      <c r="K1008" s="1"/>
      <c r="L1008" s="1" t="s">
        <v>12741</v>
      </c>
      <c r="M1008" s="1" t="s">
        <v>1558</v>
      </c>
      <c r="N1008" s="1" t="s">
        <v>12742</v>
      </c>
    </row>
    <row r="1009">
      <c r="A1009" s="1" t="s">
        <v>17</v>
      </c>
      <c r="B1009" s="1">
        <v>2002.0</v>
      </c>
      <c r="C1009" s="1" t="s">
        <v>12743</v>
      </c>
      <c r="D1009" s="1" t="s">
        <v>12744</v>
      </c>
      <c r="E1009" s="2" t="s">
        <v>12745</v>
      </c>
      <c r="F1009" s="1">
        <v>525.0</v>
      </c>
      <c r="G1009" s="1">
        <v>528.0</v>
      </c>
      <c r="H1009" s="1" t="s">
        <v>28</v>
      </c>
      <c r="I1009" s="1"/>
      <c r="J1009" s="1" t="s">
        <v>12753</v>
      </c>
      <c r="K1009" s="1"/>
      <c r="L1009" s="1" t="s">
        <v>12754</v>
      </c>
      <c r="M1009" s="1" t="s">
        <v>12755</v>
      </c>
      <c r="N1009" s="1" t="s">
        <v>12756</v>
      </c>
    </row>
    <row r="1010">
      <c r="A1010" s="1" t="s">
        <v>17</v>
      </c>
      <c r="B1010" s="1">
        <v>2002.0</v>
      </c>
      <c r="C1010" s="1" t="s">
        <v>12757</v>
      </c>
      <c r="D1010" s="1" t="s">
        <v>12758</v>
      </c>
      <c r="E1010" s="2" t="s">
        <v>12759</v>
      </c>
      <c r="F1010" s="1">
        <v>529.0</v>
      </c>
      <c r="G1010" s="1">
        <v>532.0</v>
      </c>
      <c r="H1010" s="1" t="s">
        <v>28</v>
      </c>
      <c r="I1010" s="1"/>
      <c r="J1010" s="1" t="s">
        <v>12762</v>
      </c>
      <c r="K1010" s="1"/>
      <c r="L1010" s="1" t="s">
        <v>12763</v>
      </c>
      <c r="M1010" s="1" t="s">
        <v>12764</v>
      </c>
      <c r="N1010" s="1" t="s">
        <v>12765</v>
      </c>
    </row>
    <row r="1011">
      <c r="A1011" s="1" t="s">
        <v>17</v>
      </c>
      <c r="B1011" s="1">
        <v>2002.0</v>
      </c>
      <c r="C1011" s="1" t="s">
        <v>12766</v>
      </c>
      <c r="D1011" s="1" t="s">
        <v>12767</v>
      </c>
      <c r="E1011" s="2" t="s">
        <v>12768</v>
      </c>
      <c r="F1011" s="1">
        <v>533.0</v>
      </c>
      <c r="G1011" s="1">
        <v>536.0</v>
      </c>
      <c r="H1011" s="1" t="s">
        <v>28</v>
      </c>
      <c r="I1011" s="1"/>
      <c r="J1011" s="1" t="s">
        <v>12772</v>
      </c>
      <c r="K1011" s="1"/>
      <c r="L1011" s="1" t="s">
        <v>12773</v>
      </c>
      <c r="M1011" s="1" t="s">
        <v>12774</v>
      </c>
      <c r="N1011" s="1" t="s">
        <v>12775</v>
      </c>
    </row>
    <row r="1012">
      <c r="A1012" s="1" t="s">
        <v>17</v>
      </c>
      <c r="B1012" s="1">
        <v>2002.0</v>
      </c>
      <c r="C1012" s="1" t="s">
        <v>12776</v>
      </c>
      <c r="D1012" s="1" t="s">
        <v>12777</v>
      </c>
      <c r="E1012" s="2" t="s">
        <v>12778</v>
      </c>
      <c r="F1012" s="1">
        <v>537.0</v>
      </c>
      <c r="G1012" s="1">
        <v>540.0</v>
      </c>
      <c r="H1012" s="1" t="s">
        <v>28</v>
      </c>
      <c r="I1012" s="1"/>
      <c r="J1012" s="1" t="s">
        <v>12779</v>
      </c>
      <c r="K1012" s="1"/>
      <c r="L1012" s="1" t="s">
        <v>12780</v>
      </c>
      <c r="M1012" s="1" t="s">
        <v>12731</v>
      </c>
      <c r="N1012" s="1" t="s">
        <v>12781</v>
      </c>
    </row>
    <row r="1013">
      <c r="A1013" s="1" t="s">
        <v>17</v>
      </c>
      <c r="B1013" s="1">
        <v>2002.0</v>
      </c>
      <c r="C1013" s="1" t="s">
        <v>12782</v>
      </c>
      <c r="D1013" s="1" t="s">
        <v>12783</v>
      </c>
      <c r="E1013" s="2" t="s">
        <v>12784</v>
      </c>
      <c r="F1013" s="1">
        <v>541.0</v>
      </c>
      <c r="G1013" s="1">
        <v>544.0</v>
      </c>
      <c r="H1013" s="1" t="s">
        <v>28</v>
      </c>
      <c r="I1013" s="1"/>
      <c r="J1013" s="1" t="s">
        <v>12787</v>
      </c>
      <c r="K1013" s="1"/>
      <c r="L1013" s="1" t="s">
        <v>178</v>
      </c>
      <c r="M1013" s="1"/>
      <c r="N1013" s="1" t="s">
        <v>12789</v>
      </c>
    </row>
    <row r="1014">
      <c r="A1014" s="1" t="s">
        <v>17</v>
      </c>
      <c r="B1014" s="1">
        <v>2002.0</v>
      </c>
      <c r="C1014" s="1" t="s">
        <v>12790</v>
      </c>
      <c r="D1014" s="1" t="s">
        <v>12791</v>
      </c>
      <c r="E1014" s="2" t="s">
        <v>12792</v>
      </c>
      <c r="F1014" s="1">
        <v>545.0</v>
      </c>
      <c r="G1014" s="1">
        <v>548.0</v>
      </c>
      <c r="H1014" s="1" t="s">
        <v>28</v>
      </c>
      <c r="I1014" s="1"/>
      <c r="J1014" s="1" t="s">
        <v>5636</v>
      </c>
      <c r="K1014" s="1"/>
      <c r="L1014" s="1" t="s">
        <v>11212</v>
      </c>
      <c r="M1014" s="1" t="s">
        <v>11166</v>
      </c>
      <c r="N1014" s="1" t="s">
        <v>12793</v>
      </c>
    </row>
    <row r="1015">
      <c r="A1015" s="1" t="s">
        <v>17</v>
      </c>
      <c r="B1015" s="1">
        <v>2002.0</v>
      </c>
      <c r="C1015" s="1" t="s">
        <v>12794</v>
      </c>
      <c r="D1015" s="1" t="s">
        <v>12795</v>
      </c>
      <c r="E1015" s="2" t="s">
        <v>12796</v>
      </c>
      <c r="F1015" s="1">
        <v>549.0</v>
      </c>
      <c r="G1015" s="1">
        <v>552.0</v>
      </c>
      <c r="H1015" s="1" t="s">
        <v>28</v>
      </c>
      <c r="I1015" s="1"/>
      <c r="J1015" s="1" t="s">
        <v>1672</v>
      </c>
      <c r="K1015" s="1"/>
      <c r="L1015" s="1" t="s">
        <v>1158</v>
      </c>
      <c r="M1015" s="1" t="s">
        <v>12803</v>
      </c>
      <c r="N1015" s="1" t="s">
        <v>12804</v>
      </c>
    </row>
    <row r="1016">
      <c r="A1016" s="1" t="s">
        <v>17</v>
      </c>
      <c r="B1016" s="1">
        <v>2002.0</v>
      </c>
      <c r="C1016" s="1" t="s">
        <v>12805</v>
      </c>
      <c r="D1016" s="1" t="s">
        <v>12806</v>
      </c>
      <c r="E1016" s="2" t="s">
        <v>12807</v>
      </c>
      <c r="F1016" s="1">
        <v>553.0</v>
      </c>
      <c r="G1016" s="1">
        <v>556.0</v>
      </c>
      <c r="H1016" s="1" t="s">
        <v>28</v>
      </c>
      <c r="I1016" s="1"/>
      <c r="J1016" s="1" t="s">
        <v>12813</v>
      </c>
      <c r="K1016" s="1"/>
      <c r="L1016" s="1" t="s">
        <v>12815</v>
      </c>
      <c r="M1016" s="1" t="s">
        <v>9761</v>
      </c>
      <c r="N1016" s="1" t="s">
        <v>12817</v>
      </c>
    </row>
    <row r="1017">
      <c r="A1017" s="1" t="s">
        <v>17</v>
      </c>
      <c r="B1017" s="1">
        <v>2002.0</v>
      </c>
      <c r="C1017" s="1" t="s">
        <v>12818</v>
      </c>
      <c r="D1017" s="1" t="s">
        <v>12819</v>
      </c>
      <c r="E1017" s="2" t="s">
        <v>12820</v>
      </c>
      <c r="F1017" s="1">
        <v>557.0</v>
      </c>
      <c r="G1017" s="1">
        <v>560.0</v>
      </c>
      <c r="H1017" s="1" t="s">
        <v>28</v>
      </c>
      <c r="I1017" s="1"/>
      <c r="J1017" s="1" t="s">
        <v>12823</v>
      </c>
      <c r="K1017" s="1"/>
      <c r="L1017" s="1" t="s">
        <v>5704</v>
      </c>
      <c r="M1017" s="1" t="s">
        <v>5346</v>
      </c>
      <c r="N1017" s="1" t="s">
        <v>12824</v>
      </c>
    </row>
    <row r="1018">
      <c r="A1018" s="1" t="s">
        <v>17</v>
      </c>
      <c r="B1018" s="1">
        <v>2002.0</v>
      </c>
      <c r="C1018" s="1" t="s">
        <v>12825</v>
      </c>
      <c r="D1018" s="1" t="s">
        <v>12826</v>
      </c>
      <c r="E1018" s="2" t="s">
        <v>12827</v>
      </c>
      <c r="F1018" s="1">
        <v>561.0</v>
      </c>
      <c r="G1018" s="1">
        <v>564.0</v>
      </c>
      <c r="H1018" s="1" t="s">
        <v>28</v>
      </c>
      <c r="I1018" s="1"/>
      <c r="J1018" s="1" t="s">
        <v>3753</v>
      </c>
      <c r="M1018" s="1"/>
      <c r="N1018" s="1" t="s">
        <v>12833</v>
      </c>
    </row>
    <row r="1019">
      <c r="A1019" s="1" t="s">
        <v>2137</v>
      </c>
      <c r="B1019" s="1">
        <v>2003.0</v>
      </c>
      <c r="C1019" s="1" t="s">
        <v>12836</v>
      </c>
      <c r="D1019" s="1" t="s">
        <v>12837</v>
      </c>
      <c r="E1019" s="2" t="s">
        <v>12838</v>
      </c>
      <c r="G1019" s="1"/>
      <c r="H1019" s="1" t="s">
        <v>21</v>
      </c>
      <c r="I1019" s="1"/>
      <c r="J1019" s="1" t="s">
        <v>12842</v>
      </c>
    </row>
    <row r="1020">
      <c r="A1020" s="1" t="s">
        <v>2137</v>
      </c>
      <c r="B1020" s="1">
        <v>2003.0</v>
      </c>
      <c r="C1020" s="1" t="s">
        <v>12843</v>
      </c>
      <c r="D1020" s="1" t="s">
        <v>12844</v>
      </c>
      <c r="E1020" s="2" t="s">
        <v>12845</v>
      </c>
      <c r="F1020" s="1">
        <v>3.0</v>
      </c>
      <c r="G1020" s="1">
        <v>3.0</v>
      </c>
      <c r="H1020" s="1" t="s">
        <v>21</v>
      </c>
      <c r="I1020" s="1"/>
      <c r="J1020" s="1" t="s">
        <v>12848</v>
      </c>
      <c r="K1020" s="1"/>
      <c r="L1020" s="1" t="s">
        <v>12849</v>
      </c>
    </row>
    <row r="1021">
      <c r="A1021" s="1" t="s">
        <v>2137</v>
      </c>
      <c r="B1021" s="1">
        <v>2003.0</v>
      </c>
      <c r="C1021" s="1" t="s">
        <v>12850</v>
      </c>
      <c r="D1021" s="1" t="s">
        <v>12851</v>
      </c>
      <c r="E1021" s="2" t="s">
        <v>12852</v>
      </c>
      <c r="F1021" s="1">
        <v>7.0</v>
      </c>
      <c r="G1021" s="1"/>
      <c r="H1021" s="1" t="s">
        <v>21</v>
      </c>
      <c r="I1021" s="1"/>
      <c r="J1021" s="1" t="s">
        <v>12853</v>
      </c>
      <c r="K1021" s="1"/>
      <c r="L1021" s="1" t="s">
        <v>12854</v>
      </c>
    </row>
    <row r="1022">
      <c r="A1022" s="1" t="s">
        <v>2137</v>
      </c>
      <c r="B1022" s="1">
        <v>2003.0</v>
      </c>
      <c r="C1022" s="1" t="s">
        <v>12855</v>
      </c>
      <c r="D1022" s="1" t="s">
        <v>12856</v>
      </c>
      <c r="E1022" s="2" t="s">
        <v>12857</v>
      </c>
      <c r="F1022" s="1">
        <v>11.0</v>
      </c>
      <c r="G1022" s="1">
        <v>11.0</v>
      </c>
      <c r="H1022" s="1" t="s">
        <v>21</v>
      </c>
      <c r="I1022" s="1"/>
      <c r="J1022" s="1" t="s">
        <v>12858</v>
      </c>
      <c r="K1022" s="1"/>
      <c r="L1022" s="1" t="s">
        <v>12859</v>
      </c>
    </row>
    <row r="1023">
      <c r="A1023" s="1" t="s">
        <v>2137</v>
      </c>
      <c r="B1023" s="1">
        <v>2003.0</v>
      </c>
      <c r="C1023" s="1" t="s">
        <v>12860</v>
      </c>
      <c r="D1023" s="1" t="s">
        <v>12861</v>
      </c>
      <c r="E1023" s="2" t="s">
        <v>12862</v>
      </c>
      <c r="F1023" s="1">
        <v>15.0</v>
      </c>
      <c r="G1023" s="1">
        <v>23.0</v>
      </c>
      <c r="H1023" s="1" t="s">
        <v>28</v>
      </c>
      <c r="I1023" s="1"/>
      <c r="J1023" s="1" t="s">
        <v>12868</v>
      </c>
      <c r="K1023" s="1"/>
      <c r="L1023" s="1" t="s">
        <v>12869</v>
      </c>
      <c r="M1023" s="1" t="s">
        <v>12870</v>
      </c>
      <c r="N1023" s="1" t="s">
        <v>12871</v>
      </c>
    </row>
    <row r="1024">
      <c r="A1024" s="1" t="s">
        <v>2137</v>
      </c>
      <c r="B1024" s="1">
        <v>2003.0</v>
      </c>
      <c r="C1024" s="1" t="s">
        <v>12872</v>
      </c>
      <c r="D1024" s="1" t="s">
        <v>12873</v>
      </c>
      <c r="E1024" s="2" t="s">
        <v>12874</v>
      </c>
      <c r="F1024" s="1">
        <v>23.0</v>
      </c>
      <c r="G1024" s="1">
        <v>30.0</v>
      </c>
      <c r="H1024" s="1" t="s">
        <v>28</v>
      </c>
      <c r="I1024" s="1"/>
      <c r="J1024" s="1" t="s">
        <v>12880</v>
      </c>
      <c r="K1024" s="1"/>
      <c r="L1024" s="1" t="s">
        <v>12881</v>
      </c>
      <c r="M1024" s="1"/>
      <c r="N1024" s="1" t="s">
        <v>12882</v>
      </c>
    </row>
    <row r="1025">
      <c r="A1025" s="1" t="s">
        <v>2137</v>
      </c>
      <c r="B1025" s="1">
        <v>2003.0</v>
      </c>
      <c r="C1025" s="1" t="s">
        <v>12883</v>
      </c>
      <c r="D1025" s="1" t="s">
        <v>12884</v>
      </c>
      <c r="E1025" s="2" t="s">
        <v>12885</v>
      </c>
      <c r="F1025" s="1">
        <v>31.0</v>
      </c>
      <c r="G1025" s="1">
        <v>38.0</v>
      </c>
      <c r="H1025" s="1" t="s">
        <v>28</v>
      </c>
      <c r="I1025" s="1"/>
      <c r="J1025" s="1" t="s">
        <v>12890</v>
      </c>
      <c r="K1025" s="1"/>
      <c r="L1025" s="1" t="s">
        <v>12891</v>
      </c>
      <c r="M1025" s="1" t="s">
        <v>12892</v>
      </c>
      <c r="N1025" s="1" t="s">
        <v>12893</v>
      </c>
    </row>
    <row r="1026">
      <c r="A1026" s="1" t="s">
        <v>2137</v>
      </c>
      <c r="B1026" s="1">
        <v>2003.0</v>
      </c>
      <c r="C1026" s="1" t="s">
        <v>12894</v>
      </c>
      <c r="D1026" s="1" t="s">
        <v>12896</v>
      </c>
      <c r="E1026" s="2" t="s">
        <v>12897</v>
      </c>
      <c r="F1026" s="1">
        <v>41.0</v>
      </c>
      <c r="G1026" s="1">
        <v>48.0</v>
      </c>
      <c r="H1026" s="1" t="s">
        <v>28</v>
      </c>
      <c r="I1026" s="1"/>
      <c r="J1026" s="1" t="s">
        <v>12905</v>
      </c>
      <c r="K1026" s="1"/>
      <c r="L1026" s="1" t="s">
        <v>4915</v>
      </c>
      <c r="M1026" s="1" t="s">
        <v>12906</v>
      </c>
      <c r="N1026" s="1" t="s">
        <v>12907</v>
      </c>
    </row>
    <row r="1027">
      <c r="A1027" s="1" t="s">
        <v>2137</v>
      </c>
      <c r="B1027" s="1">
        <v>2003.0</v>
      </c>
      <c r="C1027" s="1" t="s">
        <v>12908</v>
      </c>
      <c r="D1027" s="1" t="s">
        <v>12909</v>
      </c>
      <c r="E1027" s="2" t="s">
        <v>12910</v>
      </c>
      <c r="F1027" s="1">
        <v>51.0</v>
      </c>
      <c r="G1027" s="1">
        <v>58.0</v>
      </c>
      <c r="H1027" s="1" t="s">
        <v>28</v>
      </c>
      <c r="I1027" s="1"/>
      <c r="J1027" s="1" t="s">
        <v>12913</v>
      </c>
      <c r="K1027" s="1"/>
      <c r="L1027" s="1" t="s">
        <v>12914</v>
      </c>
      <c r="M1027" s="1" t="s">
        <v>12915</v>
      </c>
      <c r="N1027" s="1" t="s">
        <v>12916</v>
      </c>
    </row>
    <row r="1028">
      <c r="A1028" s="1" t="s">
        <v>2137</v>
      </c>
      <c r="B1028" s="1">
        <v>2003.0</v>
      </c>
      <c r="C1028" s="1" t="s">
        <v>12917</v>
      </c>
      <c r="D1028" s="1" t="s">
        <v>12918</v>
      </c>
      <c r="E1028" s="2" t="s">
        <v>12919</v>
      </c>
      <c r="F1028" s="1">
        <v>59.0</v>
      </c>
      <c r="G1028" s="1">
        <v>66.0</v>
      </c>
      <c r="H1028" s="1" t="s">
        <v>28</v>
      </c>
      <c r="I1028" s="1"/>
      <c r="J1028" s="1" t="s">
        <v>5672</v>
      </c>
      <c r="K1028" s="1"/>
      <c r="L1028" s="1" t="s">
        <v>12923</v>
      </c>
      <c r="M1028" s="1" t="s">
        <v>12925</v>
      </c>
      <c r="N1028" s="1" t="s">
        <v>12926</v>
      </c>
    </row>
    <row r="1029">
      <c r="A1029" s="1" t="s">
        <v>2137</v>
      </c>
      <c r="B1029" s="1">
        <v>2003.0</v>
      </c>
      <c r="C1029" s="1" t="s">
        <v>12928</v>
      </c>
      <c r="D1029" s="1" t="s">
        <v>12929</v>
      </c>
      <c r="E1029" s="2" t="s">
        <v>12930</v>
      </c>
      <c r="F1029" s="1">
        <v>67.0</v>
      </c>
      <c r="G1029" s="1">
        <v>74.0</v>
      </c>
      <c r="H1029" s="1" t="s">
        <v>28</v>
      </c>
      <c r="I1029" s="1"/>
      <c r="J1029" s="1" t="s">
        <v>12931</v>
      </c>
      <c r="K1029" s="1"/>
      <c r="L1029" s="1" t="s">
        <v>12932</v>
      </c>
      <c r="M1029" s="1" t="s">
        <v>12933</v>
      </c>
      <c r="N1029" s="1" t="s">
        <v>12934</v>
      </c>
    </row>
    <row r="1030">
      <c r="A1030" s="1" t="s">
        <v>2137</v>
      </c>
      <c r="B1030" s="1">
        <v>2003.0</v>
      </c>
      <c r="C1030" s="1" t="s">
        <v>12935</v>
      </c>
      <c r="D1030" s="1" t="s">
        <v>12936</v>
      </c>
      <c r="E1030" s="2" t="s">
        <v>12937</v>
      </c>
      <c r="F1030" s="1">
        <v>75.0</v>
      </c>
      <c r="G1030" s="1">
        <v>84.0</v>
      </c>
      <c r="H1030" s="1" t="s">
        <v>28</v>
      </c>
      <c r="I1030" s="1"/>
      <c r="J1030" s="1" t="s">
        <v>12943</v>
      </c>
      <c r="M1030" s="1"/>
      <c r="N1030" s="1" t="s">
        <v>12944</v>
      </c>
    </row>
    <row r="1031">
      <c r="A1031" s="1" t="s">
        <v>2137</v>
      </c>
      <c r="B1031" s="1">
        <v>2003.0</v>
      </c>
      <c r="C1031" s="1" t="s">
        <v>12945</v>
      </c>
      <c r="D1031" s="1" t="s">
        <v>12946</v>
      </c>
      <c r="E1031" s="2" t="s">
        <v>12948</v>
      </c>
      <c r="F1031" s="1">
        <v>85.0</v>
      </c>
      <c r="G1031" s="1">
        <v>90.0</v>
      </c>
      <c r="H1031" s="1" t="s">
        <v>28</v>
      </c>
      <c r="I1031" s="1"/>
      <c r="J1031" s="1" t="s">
        <v>12957</v>
      </c>
      <c r="L1031" s="1"/>
      <c r="M1031" s="1" t="s">
        <v>12958</v>
      </c>
      <c r="N1031" s="1" t="s">
        <v>12959</v>
      </c>
    </row>
    <row r="1032">
      <c r="A1032" s="1" t="s">
        <v>2137</v>
      </c>
      <c r="B1032" s="1">
        <v>2003.0</v>
      </c>
      <c r="C1032" s="1" t="s">
        <v>12960</v>
      </c>
      <c r="D1032" s="1" t="s">
        <v>12961</v>
      </c>
      <c r="E1032" s="2" t="s">
        <v>12962</v>
      </c>
      <c r="F1032" s="1">
        <v>91.0</v>
      </c>
      <c r="G1032" s="1">
        <v>96.0</v>
      </c>
      <c r="H1032" s="1" t="s">
        <v>28</v>
      </c>
      <c r="I1032" s="1"/>
      <c r="J1032" s="1" t="s">
        <v>12966</v>
      </c>
      <c r="K1032" s="1"/>
      <c r="L1032" s="1" t="s">
        <v>12967</v>
      </c>
      <c r="M1032" s="1" t="s">
        <v>12968</v>
      </c>
      <c r="N1032" s="1" t="s">
        <v>12969</v>
      </c>
    </row>
    <row r="1033">
      <c r="A1033" s="1" t="s">
        <v>2137</v>
      </c>
      <c r="B1033" s="1">
        <v>2003.0</v>
      </c>
      <c r="C1033" s="1" t="s">
        <v>12970</v>
      </c>
      <c r="D1033" s="1" t="s">
        <v>12971</v>
      </c>
      <c r="E1033" s="2" t="s">
        <v>12972</v>
      </c>
      <c r="F1033" s="1">
        <v>97.0</v>
      </c>
      <c r="G1033" s="1">
        <v>104.0</v>
      </c>
      <c r="H1033" s="1" t="s">
        <v>28</v>
      </c>
      <c r="I1033" s="1"/>
      <c r="J1033" s="1" t="s">
        <v>12976</v>
      </c>
      <c r="K1033" s="1"/>
      <c r="L1033" s="1" t="s">
        <v>12977</v>
      </c>
      <c r="M1033" s="1" t="s">
        <v>12978</v>
      </c>
      <c r="N1033" s="1" t="s">
        <v>12980</v>
      </c>
    </row>
    <row r="1034">
      <c r="A1034" s="1" t="s">
        <v>2137</v>
      </c>
      <c r="B1034" s="1">
        <v>2003.0</v>
      </c>
      <c r="C1034" s="1" t="s">
        <v>12983</v>
      </c>
      <c r="D1034" s="1" t="s">
        <v>12984</v>
      </c>
      <c r="E1034" s="2" t="s">
        <v>12985</v>
      </c>
      <c r="F1034" s="1">
        <v>105.0</v>
      </c>
      <c r="G1034" s="1">
        <v>112.0</v>
      </c>
      <c r="H1034" s="1" t="s">
        <v>28</v>
      </c>
      <c r="I1034" s="1"/>
      <c r="J1034" s="1" t="s">
        <v>12988</v>
      </c>
      <c r="K1034" s="1"/>
      <c r="L1034" s="1" t="s">
        <v>12989</v>
      </c>
      <c r="M1034" s="1" t="s">
        <v>12990</v>
      </c>
      <c r="N1034" s="1" t="s">
        <v>12991</v>
      </c>
    </row>
    <row r="1035">
      <c r="A1035" s="1" t="s">
        <v>2137</v>
      </c>
      <c r="B1035" s="1">
        <v>2003.0</v>
      </c>
      <c r="C1035" s="1" t="s">
        <v>12992</v>
      </c>
      <c r="D1035" s="1" t="s">
        <v>12993</v>
      </c>
      <c r="E1035" s="2" t="s">
        <v>12994</v>
      </c>
      <c r="F1035" s="1">
        <v>113.0</v>
      </c>
      <c r="G1035" s="1">
        <v>120.0</v>
      </c>
      <c r="H1035" s="1" t="s">
        <v>28</v>
      </c>
      <c r="I1035" s="1"/>
      <c r="J1035" s="1" t="s">
        <v>13000</v>
      </c>
      <c r="K1035" s="1"/>
      <c r="L1035" s="1" t="s">
        <v>13001</v>
      </c>
      <c r="M1035" s="1" t="s">
        <v>13002</v>
      </c>
      <c r="N1035" s="1" t="s">
        <v>13003</v>
      </c>
    </row>
    <row r="1036">
      <c r="A1036" s="1" t="s">
        <v>2137</v>
      </c>
      <c r="B1036" s="1">
        <v>2003.0</v>
      </c>
      <c r="C1036" s="1" t="s">
        <v>13004</v>
      </c>
      <c r="D1036" s="1" t="s">
        <v>13005</v>
      </c>
      <c r="E1036" s="2" t="s">
        <v>13006</v>
      </c>
      <c r="F1036" s="1">
        <v>121.0</v>
      </c>
      <c r="G1036" s="1">
        <v>128.0</v>
      </c>
      <c r="H1036" s="1" t="s">
        <v>28</v>
      </c>
      <c r="I1036" s="1"/>
      <c r="J1036" s="1" t="s">
        <v>13007</v>
      </c>
      <c r="K1036" s="1"/>
      <c r="L1036" s="1" t="s">
        <v>13009</v>
      </c>
      <c r="M1036" s="1" t="s">
        <v>13011</v>
      </c>
      <c r="N1036" s="1" t="s">
        <v>13013</v>
      </c>
    </row>
    <row r="1037">
      <c r="A1037" s="1" t="s">
        <v>2137</v>
      </c>
      <c r="B1037" s="1">
        <v>2003.0</v>
      </c>
      <c r="C1037" s="1" t="s">
        <v>13014</v>
      </c>
      <c r="D1037" s="1" t="s">
        <v>13015</v>
      </c>
      <c r="E1037" s="2" t="s">
        <v>13016</v>
      </c>
      <c r="F1037" s="1">
        <v>131.0</v>
      </c>
      <c r="G1037" s="1">
        <v>136.0</v>
      </c>
      <c r="H1037" s="1" t="s">
        <v>28</v>
      </c>
      <c r="I1037" s="1"/>
      <c r="J1037" s="1" t="s">
        <v>13020</v>
      </c>
      <c r="K1037" s="1"/>
      <c r="L1037" s="1" t="s">
        <v>13022</v>
      </c>
      <c r="M1037" s="1" t="s">
        <v>378</v>
      </c>
      <c r="N1037" s="1" t="s">
        <v>13024</v>
      </c>
    </row>
    <row r="1038">
      <c r="A1038" s="1" t="s">
        <v>2137</v>
      </c>
      <c r="B1038" s="1">
        <v>2003.0</v>
      </c>
      <c r="C1038" s="1" t="s">
        <v>13026</v>
      </c>
      <c r="D1038" s="1" t="s">
        <v>13027</v>
      </c>
      <c r="E1038" s="2" t="s">
        <v>13028</v>
      </c>
      <c r="F1038" s="1">
        <v>137.0</v>
      </c>
      <c r="G1038" s="1">
        <v>144.0</v>
      </c>
      <c r="H1038" s="1" t="s">
        <v>28</v>
      </c>
      <c r="I1038" s="1"/>
      <c r="J1038" s="1" t="s">
        <v>13034</v>
      </c>
      <c r="K1038" s="1"/>
      <c r="L1038" s="1" t="s">
        <v>13035</v>
      </c>
      <c r="M1038" s="1" t="s">
        <v>4082</v>
      </c>
      <c r="N1038" s="1" t="s">
        <v>13036</v>
      </c>
    </row>
    <row r="1039">
      <c r="A1039" s="1" t="s">
        <v>2137</v>
      </c>
      <c r="B1039" s="1">
        <v>2003.0</v>
      </c>
      <c r="C1039" s="1" t="s">
        <v>13037</v>
      </c>
      <c r="D1039" s="1" t="s">
        <v>13038</v>
      </c>
      <c r="E1039" s="2" t="s">
        <v>13067</v>
      </c>
      <c r="F1039" s="1">
        <v>147.0</v>
      </c>
      <c r="G1039" s="1">
        <v>153.0</v>
      </c>
      <c r="H1039" s="1" t="s">
        <v>28</v>
      </c>
      <c r="I1039" s="1"/>
      <c r="J1039" s="1" t="s">
        <v>13068</v>
      </c>
      <c r="K1039" s="1"/>
      <c r="L1039" s="1" t="s">
        <v>13069</v>
      </c>
      <c r="M1039" s="1" t="s">
        <v>4849</v>
      </c>
      <c r="N1039" s="1" t="s">
        <v>13070</v>
      </c>
    </row>
    <row r="1040">
      <c r="A1040" s="1" t="s">
        <v>2137</v>
      </c>
      <c r="B1040" s="1">
        <v>2003.0</v>
      </c>
      <c r="C1040" s="1" t="s">
        <v>13071</v>
      </c>
      <c r="D1040" s="1" t="s">
        <v>13072</v>
      </c>
      <c r="E1040" s="2" t="s">
        <v>13073</v>
      </c>
      <c r="F1040" s="1">
        <v>155.0</v>
      </c>
      <c r="G1040" s="1">
        <v>162.0</v>
      </c>
      <c r="H1040" s="1" t="s">
        <v>28</v>
      </c>
      <c r="I1040" s="1"/>
      <c r="J1040" s="1" t="s">
        <v>13074</v>
      </c>
      <c r="K1040" s="1"/>
      <c r="L1040" s="1" t="s">
        <v>13075</v>
      </c>
      <c r="M1040" s="1" t="s">
        <v>3343</v>
      </c>
      <c r="N1040" s="1" t="s">
        <v>13076</v>
      </c>
    </row>
    <row r="1041">
      <c r="A1041" s="1" t="s">
        <v>2137</v>
      </c>
      <c r="B1041" s="1">
        <v>2003.0</v>
      </c>
      <c r="C1041" s="1" t="s">
        <v>13077</v>
      </c>
      <c r="D1041" s="1" t="s">
        <v>13078</v>
      </c>
      <c r="E1041" s="2" t="s">
        <v>13079</v>
      </c>
      <c r="F1041" s="1">
        <v>163.0</v>
      </c>
      <c r="G1041" s="1">
        <v>170.0</v>
      </c>
      <c r="H1041" s="1" t="s">
        <v>28</v>
      </c>
      <c r="I1041" s="1"/>
      <c r="J1041" s="1" t="s">
        <v>13080</v>
      </c>
      <c r="K1041" s="1"/>
      <c r="L1041" s="1" t="s">
        <v>13081</v>
      </c>
      <c r="M1041" s="1"/>
      <c r="N1041" s="1" t="s">
        <v>13082</v>
      </c>
    </row>
    <row r="1042">
      <c r="A1042" s="1" t="s">
        <v>2137</v>
      </c>
      <c r="B1042" s="1">
        <v>2003.0</v>
      </c>
      <c r="C1042" s="1" t="s">
        <v>13083</v>
      </c>
      <c r="D1042" s="1" t="s">
        <v>13084</v>
      </c>
      <c r="E1042" s="2" t="s">
        <v>13085</v>
      </c>
      <c r="F1042" s="1">
        <v>173.0</v>
      </c>
      <c r="G1042" s="1">
        <v>180.0</v>
      </c>
      <c r="H1042" s="1" t="s">
        <v>28</v>
      </c>
      <c r="I1042" s="1"/>
      <c r="J1042" s="1" t="s">
        <v>13086</v>
      </c>
      <c r="K1042" s="1"/>
      <c r="L1042" s="1" t="s">
        <v>13087</v>
      </c>
      <c r="M1042" s="1" t="s">
        <v>11908</v>
      </c>
      <c r="N1042" s="1" t="s">
        <v>13088</v>
      </c>
    </row>
    <row r="1043">
      <c r="A1043" s="1" t="s">
        <v>2137</v>
      </c>
      <c r="B1043" s="1">
        <v>2003.0</v>
      </c>
      <c r="C1043" s="1" t="s">
        <v>13089</v>
      </c>
      <c r="D1043" s="1" t="s">
        <v>13090</v>
      </c>
      <c r="E1043" s="2" t="s">
        <v>13091</v>
      </c>
      <c r="F1043" s="1">
        <v>181.0</v>
      </c>
      <c r="G1043" s="1">
        <v>188.0</v>
      </c>
      <c r="H1043" s="1" t="s">
        <v>28</v>
      </c>
      <c r="I1043" s="1"/>
      <c r="J1043" s="1" t="s">
        <v>8239</v>
      </c>
      <c r="K1043" s="1"/>
      <c r="L1043" s="1" t="s">
        <v>13092</v>
      </c>
      <c r="M1043" s="1" t="s">
        <v>13093</v>
      </c>
      <c r="N1043" s="1" t="s">
        <v>13094</v>
      </c>
    </row>
    <row r="1044">
      <c r="A1044" s="1" t="s">
        <v>2137</v>
      </c>
      <c r="B1044" s="1">
        <v>2003.0</v>
      </c>
      <c r="C1044" s="1" t="s">
        <v>13095</v>
      </c>
      <c r="D1044" s="1" t="s">
        <v>13096</v>
      </c>
      <c r="E1044" s="2" t="s">
        <v>13097</v>
      </c>
      <c r="F1044" s="1">
        <v>189.0</v>
      </c>
      <c r="G1044" s="1">
        <v>196.0</v>
      </c>
      <c r="H1044" s="1" t="s">
        <v>28</v>
      </c>
      <c r="I1044" s="1"/>
      <c r="J1044" s="1" t="s">
        <v>13098</v>
      </c>
      <c r="K1044" s="1"/>
      <c r="L1044" s="1" t="s">
        <v>2201</v>
      </c>
      <c r="M1044" s="1" t="s">
        <v>4003</v>
      </c>
      <c r="N1044" s="1" t="s">
        <v>13099</v>
      </c>
    </row>
    <row r="1045">
      <c r="A1045" s="1" t="s">
        <v>2137</v>
      </c>
      <c r="B1045" s="1">
        <v>2003.0</v>
      </c>
      <c r="C1045" s="1" t="s">
        <v>13100</v>
      </c>
      <c r="D1045" s="1" t="s">
        <v>13101</v>
      </c>
      <c r="E1045" s="2" t="s">
        <v>13102</v>
      </c>
      <c r="F1045" s="1">
        <v>197.0</v>
      </c>
      <c r="G1045" s="1">
        <v>201.0</v>
      </c>
      <c r="H1045" s="1" t="s">
        <v>28</v>
      </c>
      <c r="I1045" s="1"/>
      <c r="J1045" s="1" t="s">
        <v>13105</v>
      </c>
      <c r="K1045" s="1"/>
      <c r="L1045" s="1" t="s">
        <v>13107</v>
      </c>
      <c r="M1045" s="1" t="s">
        <v>13108</v>
      </c>
      <c r="N1045" s="1" t="s">
        <v>13109</v>
      </c>
    </row>
    <row r="1046">
      <c r="A1046" s="1" t="s">
        <v>2137</v>
      </c>
      <c r="B1046" s="1">
        <v>2003.0</v>
      </c>
      <c r="C1046" s="1" t="s">
        <v>13110</v>
      </c>
      <c r="D1046" s="1" t="s">
        <v>13111</v>
      </c>
      <c r="E1046" s="2" t="s">
        <v>13112</v>
      </c>
      <c r="F1046" s="1">
        <v>203.0</v>
      </c>
      <c r="G1046" s="1">
        <v>208.0</v>
      </c>
      <c r="H1046" s="1" t="s">
        <v>28</v>
      </c>
      <c r="I1046" s="1"/>
      <c r="J1046" s="1" t="s">
        <v>13121</v>
      </c>
      <c r="K1046" s="1"/>
      <c r="L1046" s="1" t="s">
        <v>13124</v>
      </c>
      <c r="M1046" s="1" t="s">
        <v>13125</v>
      </c>
      <c r="N1046" s="1" t="s">
        <v>13126</v>
      </c>
    </row>
    <row r="1047">
      <c r="A1047" s="1" t="s">
        <v>2137</v>
      </c>
      <c r="B1047" s="1">
        <v>2003.0</v>
      </c>
      <c r="C1047" s="1" t="s">
        <v>13127</v>
      </c>
      <c r="D1047" s="1" t="s">
        <v>13128</v>
      </c>
      <c r="E1047" s="2" t="s">
        <v>13129</v>
      </c>
      <c r="F1047" s="1">
        <v>211.0</v>
      </c>
      <c r="G1047" s="1">
        <v>218.0</v>
      </c>
      <c r="H1047" s="1" t="s">
        <v>28</v>
      </c>
      <c r="I1047" s="1"/>
      <c r="J1047" s="1" t="s">
        <v>13132</v>
      </c>
      <c r="L1047" s="1"/>
      <c r="M1047" s="1" t="s">
        <v>13133</v>
      </c>
      <c r="N1047" s="1" t="s">
        <v>13134</v>
      </c>
    </row>
    <row r="1048">
      <c r="A1048" s="1" t="s">
        <v>2137</v>
      </c>
      <c r="B1048" s="1">
        <v>2003.0</v>
      </c>
      <c r="C1048" s="1" t="s">
        <v>13135</v>
      </c>
      <c r="D1048" s="1" t="s">
        <v>13136</v>
      </c>
      <c r="E1048" s="2" t="s">
        <v>13138</v>
      </c>
      <c r="F1048" s="1">
        <v>219.0</v>
      </c>
      <c r="G1048" s="1">
        <v>225.0</v>
      </c>
      <c r="H1048" s="1" t="s">
        <v>28</v>
      </c>
      <c r="I1048" s="1"/>
      <c r="J1048" s="1" t="s">
        <v>13145</v>
      </c>
      <c r="K1048" s="1"/>
      <c r="L1048" s="1" t="s">
        <v>13146</v>
      </c>
      <c r="M1048" s="1" t="s">
        <v>11895</v>
      </c>
      <c r="N1048" s="1" t="s">
        <v>13147</v>
      </c>
    </row>
    <row r="1049">
      <c r="A1049" s="1" t="s">
        <v>2137</v>
      </c>
      <c r="B1049" s="1">
        <v>2003.0</v>
      </c>
      <c r="C1049" s="1" t="s">
        <v>13148</v>
      </c>
      <c r="D1049" s="1" t="s">
        <v>12870</v>
      </c>
      <c r="E1049" s="2" t="s">
        <v>13149</v>
      </c>
      <c r="F1049" s="1">
        <v>227.0</v>
      </c>
      <c r="G1049" s="1">
        <v>232.0</v>
      </c>
      <c r="H1049" s="1" t="s">
        <v>28</v>
      </c>
      <c r="I1049" s="1"/>
      <c r="J1049" s="1" t="s">
        <v>13152</v>
      </c>
      <c r="K1049" s="1"/>
      <c r="L1049" s="1" t="s">
        <v>13153</v>
      </c>
      <c r="M1049" s="1" t="s">
        <v>13154</v>
      </c>
      <c r="N1049" s="1" t="s">
        <v>13155</v>
      </c>
    </row>
    <row r="1050">
      <c r="A1050" s="1" t="s">
        <v>2137</v>
      </c>
      <c r="B1050" s="1">
        <v>2003.0</v>
      </c>
      <c r="C1050" s="1" t="s">
        <v>13156</v>
      </c>
      <c r="D1050" s="1" t="s">
        <v>13157</v>
      </c>
      <c r="E1050" s="2" t="s">
        <v>13160</v>
      </c>
      <c r="F1050" s="1">
        <v>233.0</v>
      </c>
      <c r="G1050" s="1">
        <v>240.0</v>
      </c>
      <c r="H1050" s="1" t="s">
        <v>28</v>
      </c>
      <c r="I1050" s="1"/>
      <c r="J1050" s="1" t="s">
        <v>13165</v>
      </c>
      <c r="K1050" s="1"/>
      <c r="L1050" s="1" t="s">
        <v>13166</v>
      </c>
      <c r="M1050" s="1"/>
      <c r="N1050" s="1" t="s">
        <v>13167</v>
      </c>
    </row>
    <row r="1051">
      <c r="A1051" s="1" t="s">
        <v>2137</v>
      </c>
      <c r="B1051" s="1">
        <v>2003.0</v>
      </c>
      <c r="C1051" s="1" t="s">
        <v>13168</v>
      </c>
      <c r="D1051" s="1" t="s">
        <v>13169</v>
      </c>
      <c r="E1051" s="2" t="s">
        <v>13170</v>
      </c>
      <c r="F1051" s="1">
        <v>241.0</v>
      </c>
      <c r="G1051" s="1">
        <v>248.0</v>
      </c>
      <c r="H1051" s="1" t="s">
        <v>28</v>
      </c>
      <c r="I1051" s="1"/>
      <c r="J1051" s="1" t="s">
        <v>13177</v>
      </c>
      <c r="K1051" s="1"/>
      <c r="L1051" s="1" t="s">
        <v>13178</v>
      </c>
      <c r="M1051" s="1"/>
      <c r="N1051" s="1" t="s">
        <v>13179</v>
      </c>
    </row>
    <row r="1052">
      <c r="A1052" s="1" t="s">
        <v>17</v>
      </c>
      <c r="B1052" s="1">
        <v>2003.0</v>
      </c>
      <c r="C1052" s="1" t="s">
        <v>13180</v>
      </c>
      <c r="D1052" s="1" t="s">
        <v>13181</v>
      </c>
      <c r="E1052" s="2" t="s">
        <v>13182</v>
      </c>
      <c r="G1052" s="1"/>
      <c r="H1052" s="1" t="s">
        <v>21</v>
      </c>
      <c r="I1052" s="1"/>
      <c r="J1052" s="1" t="s">
        <v>13187</v>
      </c>
    </row>
    <row r="1053">
      <c r="A1053" s="1" t="s">
        <v>17</v>
      </c>
      <c r="B1053" s="1">
        <v>2003.0</v>
      </c>
      <c r="C1053" s="1" t="s">
        <v>13188</v>
      </c>
      <c r="D1053" s="1" t="s">
        <v>13189</v>
      </c>
      <c r="E1053" s="2" t="s">
        <v>13190</v>
      </c>
      <c r="F1053" s="1">
        <v>21.0</v>
      </c>
      <c r="G1053" s="1">
        <v>24.0</v>
      </c>
      <c r="H1053" s="1" t="s">
        <v>21</v>
      </c>
      <c r="I1053" s="1"/>
      <c r="J1053" s="1" t="s">
        <v>13191</v>
      </c>
      <c r="K1053" s="1"/>
      <c r="L1053" s="1" t="s">
        <v>880</v>
      </c>
    </row>
    <row r="1054">
      <c r="A1054" s="1" t="s">
        <v>17</v>
      </c>
      <c r="B1054" s="1">
        <v>2003.0</v>
      </c>
      <c r="C1054" s="1" t="s">
        <v>13192</v>
      </c>
      <c r="D1054" s="1" t="s">
        <v>13193</v>
      </c>
      <c r="E1054" s="2" t="s">
        <v>13194</v>
      </c>
      <c r="F1054" s="1">
        <v>27.0</v>
      </c>
      <c r="G1054" s="1">
        <v>34.0</v>
      </c>
      <c r="H1054" s="1" t="s">
        <v>28</v>
      </c>
      <c r="I1054" s="1"/>
      <c r="J1054" s="1" t="s">
        <v>13195</v>
      </c>
      <c r="K1054" s="1"/>
      <c r="L1054" s="1" t="s">
        <v>13196</v>
      </c>
      <c r="M1054" s="1" t="s">
        <v>11961</v>
      </c>
      <c r="N1054" s="1" t="s">
        <v>13197</v>
      </c>
    </row>
    <row r="1055">
      <c r="A1055" s="1" t="s">
        <v>17</v>
      </c>
      <c r="B1055" s="1">
        <v>2003.0</v>
      </c>
      <c r="C1055" s="1" t="s">
        <v>13198</v>
      </c>
      <c r="D1055" s="1" t="s">
        <v>13199</v>
      </c>
      <c r="E1055" s="2" t="s">
        <v>13200</v>
      </c>
      <c r="F1055" s="1">
        <v>35.0</v>
      </c>
      <c r="G1055" s="1">
        <v>42.0</v>
      </c>
      <c r="H1055" s="1" t="s">
        <v>28</v>
      </c>
      <c r="I1055" s="1"/>
      <c r="J1055" s="1" t="s">
        <v>13201</v>
      </c>
      <c r="K1055" s="1"/>
      <c r="L1055" s="1" t="s">
        <v>13202</v>
      </c>
      <c r="M1055" s="1" t="s">
        <v>7053</v>
      </c>
      <c r="N1055" s="1" t="s">
        <v>13203</v>
      </c>
    </row>
    <row r="1056">
      <c r="A1056" s="1" t="s">
        <v>17</v>
      </c>
      <c r="B1056" s="1">
        <v>2003.0</v>
      </c>
      <c r="C1056" s="1" t="s">
        <v>13204</v>
      </c>
      <c r="D1056" s="1" t="s">
        <v>13205</v>
      </c>
      <c r="E1056" s="2" t="s">
        <v>13206</v>
      </c>
      <c r="F1056" s="1">
        <v>43.0</v>
      </c>
      <c r="G1056" s="1">
        <v>50.0</v>
      </c>
      <c r="H1056" s="1" t="s">
        <v>28</v>
      </c>
      <c r="I1056" s="1"/>
      <c r="J1056" s="1" t="s">
        <v>13207</v>
      </c>
      <c r="K1056" s="1"/>
      <c r="L1056" s="1" t="s">
        <v>10259</v>
      </c>
      <c r="M1056" s="1" t="s">
        <v>13208</v>
      </c>
      <c r="N1056" s="1" t="s">
        <v>11972</v>
      </c>
    </row>
    <row r="1057">
      <c r="A1057" s="1" t="s">
        <v>17</v>
      </c>
      <c r="B1057" s="1">
        <v>2003.0</v>
      </c>
      <c r="C1057" s="1" t="s">
        <v>13209</v>
      </c>
      <c r="D1057" s="1" t="s">
        <v>13210</v>
      </c>
      <c r="E1057" s="2" t="s">
        <v>13211</v>
      </c>
      <c r="F1057" s="1">
        <v>51.0</v>
      </c>
      <c r="G1057" s="1">
        <v>58.0</v>
      </c>
      <c r="H1057" s="1" t="s">
        <v>28</v>
      </c>
      <c r="I1057" s="1"/>
      <c r="J1057" s="1" t="s">
        <v>13212</v>
      </c>
      <c r="K1057" s="1"/>
      <c r="L1057" s="1" t="s">
        <v>13213</v>
      </c>
      <c r="M1057" s="1" t="s">
        <v>13214</v>
      </c>
      <c r="N1057" s="1" t="s">
        <v>13215</v>
      </c>
    </row>
    <row r="1058">
      <c r="A1058" s="1" t="s">
        <v>17</v>
      </c>
      <c r="B1058" s="1">
        <v>2003.0</v>
      </c>
      <c r="C1058" s="1" t="s">
        <v>13216</v>
      </c>
      <c r="D1058" s="1" t="s">
        <v>13217</v>
      </c>
      <c r="E1058" s="2" t="s">
        <v>13218</v>
      </c>
      <c r="F1058" s="1">
        <v>59.0</v>
      </c>
      <c r="G1058" s="1">
        <v>66.0</v>
      </c>
      <c r="H1058" s="1" t="s">
        <v>28</v>
      </c>
      <c r="I1058" s="1"/>
      <c r="J1058" s="1" t="s">
        <v>13224</v>
      </c>
      <c r="K1058" s="1"/>
      <c r="L1058" s="1" t="s">
        <v>13225</v>
      </c>
      <c r="M1058" s="1" t="s">
        <v>536</v>
      </c>
      <c r="N1058" s="1" t="s">
        <v>13226</v>
      </c>
    </row>
    <row r="1059">
      <c r="A1059" s="1" t="s">
        <v>17</v>
      </c>
      <c r="B1059" s="1">
        <v>2003.0</v>
      </c>
      <c r="C1059" s="1" t="s">
        <v>13227</v>
      </c>
      <c r="D1059" s="1" t="s">
        <v>13228</v>
      </c>
      <c r="E1059" s="2" t="s">
        <v>13229</v>
      </c>
      <c r="F1059" s="1">
        <v>67.0</v>
      </c>
      <c r="G1059" s="1">
        <v>74.0</v>
      </c>
      <c r="H1059" s="1" t="s">
        <v>28</v>
      </c>
      <c r="I1059" s="1"/>
      <c r="J1059" s="1" t="s">
        <v>13235</v>
      </c>
      <c r="K1059" s="1"/>
      <c r="L1059" s="1" t="s">
        <v>13236</v>
      </c>
      <c r="M1059" s="1" t="s">
        <v>13237</v>
      </c>
      <c r="N1059" s="1" t="s">
        <v>13238</v>
      </c>
    </row>
    <row r="1060">
      <c r="A1060" s="1" t="s">
        <v>17</v>
      </c>
      <c r="B1060" s="1">
        <v>2003.0</v>
      </c>
      <c r="C1060" s="1" t="s">
        <v>13242</v>
      </c>
      <c r="D1060" s="1" t="s">
        <v>13244</v>
      </c>
      <c r="E1060" s="2" t="s">
        <v>13245</v>
      </c>
      <c r="F1060" s="1">
        <v>75.0</v>
      </c>
      <c r="G1060" s="1">
        <v>82.0</v>
      </c>
      <c r="H1060" s="1" t="s">
        <v>28</v>
      </c>
      <c r="I1060" s="1"/>
      <c r="J1060" s="1" t="s">
        <v>13250</v>
      </c>
      <c r="K1060" s="1"/>
      <c r="L1060" s="1" t="s">
        <v>13252</v>
      </c>
      <c r="M1060" s="1" t="s">
        <v>13253</v>
      </c>
      <c r="N1060" s="1" t="s">
        <v>13254</v>
      </c>
    </row>
    <row r="1061">
      <c r="A1061" s="1" t="s">
        <v>17</v>
      </c>
      <c r="B1061" s="1">
        <v>2003.0</v>
      </c>
      <c r="C1061" s="1" t="s">
        <v>13255</v>
      </c>
      <c r="D1061" s="1" t="s">
        <v>13256</v>
      </c>
      <c r="E1061" s="2" t="s">
        <v>13257</v>
      </c>
      <c r="F1061" s="1">
        <v>83.0</v>
      </c>
      <c r="G1061" s="1">
        <v>90.0</v>
      </c>
      <c r="H1061" s="1" t="s">
        <v>28</v>
      </c>
      <c r="I1061" s="1"/>
      <c r="J1061" s="1" t="s">
        <v>13261</v>
      </c>
      <c r="K1061" s="1"/>
      <c r="L1061" s="1" t="s">
        <v>13262</v>
      </c>
      <c r="M1061" s="1" t="s">
        <v>13263</v>
      </c>
      <c r="N1061" s="1" t="s">
        <v>13264</v>
      </c>
    </row>
    <row r="1062">
      <c r="A1062" s="1" t="s">
        <v>17</v>
      </c>
      <c r="B1062" s="1">
        <v>2003.0</v>
      </c>
      <c r="C1062" s="1" t="s">
        <v>13265</v>
      </c>
      <c r="D1062" s="1" t="s">
        <v>13266</v>
      </c>
      <c r="E1062" s="2" t="s">
        <v>13267</v>
      </c>
      <c r="F1062" s="1">
        <v>91.0</v>
      </c>
      <c r="G1062" s="1">
        <v>98.0</v>
      </c>
      <c r="H1062" s="1" t="s">
        <v>28</v>
      </c>
      <c r="I1062" s="1"/>
      <c r="J1062" s="1" t="s">
        <v>13268</v>
      </c>
      <c r="K1062" s="1"/>
      <c r="L1062" s="1" t="s">
        <v>13269</v>
      </c>
      <c r="M1062" s="1" t="s">
        <v>7101</v>
      </c>
      <c r="N1062" s="1" t="s">
        <v>13270</v>
      </c>
    </row>
    <row r="1063">
      <c r="A1063" s="1" t="s">
        <v>17</v>
      </c>
      <c r="B1063" s="1">
        <v>2003.0</v>
      </c>
      <c r="C1063" s="1" t="s">
        <v>13271</v>
      </c>
      <c r="D1063" s="1" t="s">
        <v>13272</v>
      </c>
      <c r="E1063" s="2" t="s">
        <v>13273</v>
      </c>
      <c r="F1063" s="1">
        <v>99.0</v>
      </c>
      <c r="G1063" s="1">
        <v>106.0</v>
      </c>
      <c r="H1063" s="1" t="s">
        <v>28</v>
      </c>
      <c r="I1063" s="1"/>
      <c r="J1063" s="1" t="s">
        <v>13274</v>
      </c>
      <c r="K1063" s="1"/>
      <c r="L1063" s="1" t="s">
        <v>4370</v>
      </c>
      <c r="M1063" s="1" t="s">
        <v>13275</v>
      </c>
      <c r="N1063" s="1" t="s">
        <v>13276</v>
      </c>
    </row>
    <row r="1064">
      <c r="A1064" s="1" t="s">
        <v>17</v>
      </c>
      <c r="B1064" s="1">
        <v>2003.0</v>
      </c>
      <c r="C1064" s="1" t="s">
        <v>13277</v>
      </c>
      <c r="D1064" s="1" t="s">
        <v>13278</v>
      </c>
      <c r="E1064" s="2" t="s">
        <v>13279</v>
      </c>
      <c r="F1064" s="1">
        <v>107.0</v>
      </c>
      <c r="G1064" s="1">
        <v>114.0</v>
      </c>
      <c r="H1064" s="1" t="s">
        <v>28</v>
      </c>
      <c r="I1064" s="1"/>
      <c r="J1064" s="1" t="s">
        <v>13280</v>
      </c>
      <c r="K1064" s="1"/>
      <c r="L1064" s="1" t="s">
        <v>13281</v>
      </c>
      <c r="M1064" s="1" t="s">
        <v>13282</v>
      </c>
      <c r="N1064" s="1" t="s">
        <v>13283</v>
      </c>
    </row>
    <row r="1065">
      <c r="A1065" s="1" t="s">
        <v>17</v>
      </c>
      <c r="B1065" s="1">
        <v>2003.0</v>
      </c>
      <c r="C1065" s="1" t="s">
        <v>13284</v>
      </c>
      <c r="D1065" s="1" t="s">
        <v>13285</v>
      </c>
      <c r="E1065" s="2" t="s">
        <v>13286</v>
      </c>
      <c r="F1065" s="1">
        <v>115.0</v>
      </c>
      <c r="G1065" s="1">
        <v>121.0</v>
      </c>
      <c r="H1065" s="1" t="s">
        <v>28</v>
      </c>
      <c r="I1065" s="1"/>
      <c r="J1065" s="1" t="s">
        <v>13290</v>
      </c>
      <c r="K1065" s="1"/>
      <c r="L1065" s="1" t="s">
        <v>13291</v>
      </c>
      <c r="M1065" s="1" t="s">
        <v>13292</v>
      </c>
      <c r="N1065" s="1" t="s">
        <v>13293</v>
      </c>
    </row>
    <row r="1066">
      <c r="A1066" s="1" t="s">
        <v>17</v>
      </c>
      <c r="B1066" s="1">
        <v>2003.0</v>
      </c>
      <c r="C1066" s="1" t="s">
        <v>13294</v>
      </c>
      <c r="D1066" s="1" t="s">
        <v>13295</v>
      </c>
      <c r="E1066" s="2" t="s">
        <v>13296</v>
      </c>
      <c r="F1066" s="1">
        <v>123.0</v>
      </c>
      <c r="G1066" s="1">
        <v>130.0</v>
      </c>
      <c r="H1066" s="1" t="s">
        <v>28</v>
      </c>
      <c r="I1066" s="1"/>
      <c r="J1066" s="1" t="s">
        <v>1304</v>
      </c>
      <c r="K1066" s="1"/>
      <c r="L1066" s="1" t="s">
        <v>13153</v>
      </c>
      <c r="M1066" s="1" t="s">
        <v>13301</v>
      </c>
      <c r="N1066" s="1" t="s">
        <v>13302</v>
      </c>
    </row>
    <row r="1067">
      <c r="A1067" s="1" t="s">
        <v>17</v>
      </c>
      <c r="B1067" s="1">
        <v>2003.0</v>
      </c>
      <c r="C1067" s="1" t="s">
        <v>13303</v>
      </c>
      <c r="D1067" s="1" t="s">
        <v>13304</v>
      </c>
      <c r="E1067" s="2" t="s">
        <v>13305</v>
      </c>
      <c r="F1067" s="1">
        <v>131.0</v>
      </c>
      <c r="G1067" s="1">
        <v>138.0</v>
      </c>
      <c r="H1067" s="1" t="s">
        <v>28</v>
      </c>
      <c r="I1067" s="1"/>
      <c r="J1067" s="1" t="s">
        <v>13309</v>
      </c>
      <c r="K1067" s="1"/>
      <c r="L1067" s="1" t="s">
        <v>13310</v>
      </c>
      <c r="M1067" s="1" t="s">
        <v>13311</v>
      </c>
      <c r="N1067" s="1" t="s">
        <v>13312</v>
      </c>
    </row>
    <row r="1068">
      <c r="A1068" s="1" t="s">
        <v>17</v>
      </c>
      <c r="B1068" s="1">
        <v>2003.0</v>
      </c>
      <c r="C1068" s="1" t="s">
        <v>13313</v>
      </c>
      <c r="D1068" s="1" t="s">
        <v>13314</v>
      </c>
      <c r="E1068" s="2" t="s">
        <v>13315</v>
      </c>
      <c r="F1068" s="1">
        <v>139.0</v>
      </c>
      <c r="G1068" s="1">
        <v>146.0</v>
      </c>
      <c r="H1068" s="1" t="s">
        <v>28</v>
      </c>
      <c r="I1068" s="1"/>
      <c r="J1068" s="1" t="s">
        <v>13326</v>
      </c>
      <c r="K1068" s="1"/>
      <c r="L1068" s="1" t="s">
        <v>4441</v>
      </c>
      <c r="M1068" s="1" t="s">
        <v>13327</v>
      </c>
      <c r="N1068" s="1" t="s">
        <v>13328</v>
      </c>
    </row>
    <row r="1069">
      <c r="A1069" s="1" t="s">
        <v>17</v>
      </c>
      <c r="B1069" s="1">
        <v>2003.0</v>
      </c>
      <c r="C1069" s="1" t="s">
        <v>13329</v>
      </c>
      <c r="D1069" s="1" t="s">
        <v>13330</v>
      </c>
      <c r="E1069" s="2" t="s">
        <v>13331</v>
      </c>
      <c r="F1069" s="1">
        <v>147.0</v>
      </c>
      <c r="G1069" s="1">
        <v>154.0</v>
      </c>
      <c r="H1069" s="1" t="s">
        <v>28</v>
      </c>
      <c r="I1069" s="1"/>
      <c r="J1069" s="1" t="s">
        <v>13338</v>
      </c>
      <c r="K1069" s="1"/>
      <c r="L1069" s="1" t="s">
        <v>13339</v>
      </c>
      <c r="M1069" s="1" t="s">
        <v>13340</v>
      </c>
      <c r="N1069" s="1" t="s">
        <v>13341</v>
      </c>
    </row>
    <row r="1070">
      <c r="A1070" s="1" t="s">
        <v>17</v>
      </c>
      <c r="B1070" s="1">
        <v>2003.0</v>
      </c>
      <c r="C1070" s="1" t="s">
        <v>13342</v>
      </c>
      <c r="D1070" s="1" t="s">
        <v>13343</v>
      </c>
      <c r="E1070" s="2" t="s">
        <v>13344</v>
      </c>
      <c r="F1070" s="1">
        <v>155.0</v>
      </c>
      <c r="G1070" s="1">
        <v>162.0</v>
      </c>
      <c r="H1070" s="1" t="s">
        <v>28</v>
      </c>
      <c r="I1070" s="1"/>
      <c r="J1070" s="1" t="s">
        <v>13348</v>
      </c>
      <c r="K1070" s="1"/>
      <c r="L1070" s="1" t="s">
        <v>13349</v>
      </c>
      <c r="M1070" s="1" t="s">
        <v>13350</v>
      </c>
      <c r="N1070" s="1" t="s">
        <v>13351</v>
      </c>
    </row>
    <row r="1071">
      <c r="A1071" s="1" t="s">
        <v>17</v>
      </c>
      <c r="B1071" s="1">
        <v>2003.0</v>
      </c>
      <c r="C1071" s="1" t="s">
        <v>13352</v>
      </c>
      <c r="D1071" s="1" t="s">
        <v>13353</v>
      </c>
      <c r="E1071" s="2" t="s">
        <v>13354</v>
      </c>
      <c r="F1071" s="1">
        <v>163.0</v>
      </c>
      <c r="G1071" s="1">
        <v>170.0</v>
      </c>
      <c r="H1071" s="1" t="s">
        <v>28</v>
      </c>
      <c r="I1071" s="1"/>
      <c r="J1071" s="1" t="s">
        <v>13359</v>
      </c>
      <c r="K1071" s="1"/>
      <c r="L1071" s="1" t="s">
        <v>3739</v>
      </c>
      <c r="M1071" s="1" t="s">
        <v>13360</v>
      </c>
      <c r="N1071" s="1" t="s">
        <v>13361</v>
      </c>
    </row>
    <row r="1072">
      <c r="A1072" s="1" t="s">
        <v>17</v>
      </c>
      <c r="B1072" s="1">
        <v>2003.0</v>
      </c>
      <c r="C1072" s="1" t="s">
        <v>13362</v>
      </c>
      <c r="D1072" s="1" t="s">
        <v>13363</v>
      </c>
      <c r="E1072" s="2" t="s">
        <v>13364</v>
      </c>
      <c r="F1072" s="1">
        <v>171.0</v>
      </c>
      <c r="G1072" s="1">
        <v>176.0</v>
      </c>
      <c r="H1072" s="1" t="s">
        <v>28</v>
      </c>
      <c r="I1072" s="1"/>
      <c r="J1072" s="1" t="s">
        <v>13367</v>
      </c>
      <c r="K1072" s="1"/>
      <c r="L1072" s="1" t="s">
        <v>4915</v>
      </c>
      <c r="M1072" s="1" t="s">
        <v>13244</v>
      </c>
      <c r="N1072" s="1" t="s">
        <v>13368</v>
      </c>
    </row>
    <row r="1073">
      <c r="A1073" s="1" t="s">
        <v>17</v>
      </c>
      <c r="B1073" s="1">
        <v>2003.0</v>
      </c>
      <c r="C1073" s="1" t="s">
        <v>13369</v>
      </c>
      <c r="D1073" s="1" t="s">
        <v>13370</v>
      </c>
      <c r="E1073" s="2" t="s">
        <v>13371</v>
      </c>
      <c r="F1073" s="1">
        <v>177.0</v>
      </c>
      <c r="G1073" s="1">
        <v>184.0</v>
      </c>
      <c r="H1073" s="1" t="s">
        <v>28</v>
      </c>
      <c r="I1073" s="1"/>
      <c r="J1073" s="1" t="s">
        <v>13376</v>
      </c>
      <c r="K1073" s="1"/>
      <c r="L1073" s="1" t="s">
        <v>13377</v>
      </c>
      <c r="M1073" s="1" t="s">
        <v>5996</v>
      </c>
      <c r="N1073" s="1" t="s">
        <v>13378</v>
      </c>
    </row>
    <row r="1074">
      <c r="A1074" s="1" t="s">
        <v>17</v>
      </c>
      <c r="B1074" s="1">
        <v>2003.0</v>
      </c>
      <c r="C1074" s="1" t="s">
        <v>13379</v>
      </c>
      <c r="D1074" s="1" t="s">
        <v>13380</v>
      </c>
      <c r="E1074" s="2" t="s">
        <v>13381</v>
      </c>
      <c r="F1074" s="1">
        <v>185.0</v>
      </c>
      <c r="G1074" s="1">
        <v>192.0</v>
      </c>
      <c r="H1074" s="1" t="s">
        <v>28</v>
      </c>
      <c r="I1074" s="1"/>
      <c r="J1074" s="1" t="s">
        <v>13385</v>
      </c>
      <c r="K1074" s="1"/>
      <c r="L1074" s="1" t="s">
        <v>13386</v>
      </c>
      <c r="M1074" s="1" t="s">
        <v>13387</v>
      </c>
      <c r="N1074" s="1" t="s">
        <v>13388</v>
      </c>
    </row>
    <row r="1075">
      <c r="A1075" s="1" t="s">
        <v>17</v>
      </c>
      <c r="B1075" s="1">
        <v>2003.0</v>
      </c>
      <c r="C1075" s="1" t="s">
        <v>13389</v>
      </c>
      <c r="D1075" s="1" t="s">
        <v>13390</v>
      </c>
      <c r="E1075" s="2" t="s">
        <v>13391</v>
      </c>
      <c r="F1075" s="1">
        <v>193.0</v>
      </c>
      <c r="G1075" s="1">
        <v>200.0</v>
      </c>
      <c r="H1075" s="1" t="s">
        <v>28</v>
      </c>
      <c r="I1075" s="1"/>
      <c r="J1075" s="1" t="s">
        <v>13395</v>
      </c>
      <c r="K1075" s="1"/>
      <c r="L1075" s="1" t="s">
        <v>13396</v>
      </c>
      <c r="M1075" s="1" t="s">
        <v>13397</v>
      </c>
      <c r="N1075" s="1" t="s">
        <v>13398</v>
      </c>
    </row>
    <row r="1076">
      <c r="A1076" s="1" t="s">
        <v>17</v>
      </c>
      <c r="B1076" s="1">
        <v>2003.0</v>
      </c>
      <c r="C1076" s="1" t="s">
        <v>13399</v>
      </c>
      <c r="D1076" s="1" t="s">
        <v>13400</v>
      </c>
      <c r="E1076" s="2" t="s">
        <v>13401</v>
      </c>
      <c r="F1076" s="1">
        <v>201.0</v>
      </c>
      <c r="G1076" s="1">
        <v>208.0</v>
      </c>
      <c r="H1076" s="1" t="s">
        <v>28</v>
      </c>
      <c r="I1076" s="1"/>
      <c r="J1076" s="1" t="s">
        <v>13403</v>
      </c>
      <c r="K1076" s="1"/>
      <c r="L1076" s="1" t="s">
        <v>13405</v>
      </c>
      <c r="M1076" s="1" t="s">
        <v>13407</v>
      </c>
      <c r="N1076" s="1" t="s">
        <v>13408</v>
      </c>
    </row>
    <row r="1077">
      <c r="A1077" s="1" t="s">
        <v>17</v>
      </c>
      <c r="B1077" s="1">
        <v>2003.0</v>
      </c>
      <c r="C1077" s="1" t="s">
        <v>13409</v>
      </c>
      <c r="D1077" s="1" t="s">
        <v>13410</v>
      </c>
      <c r="E1077" s="2" t="s">
        <v>13411</v>
      </c>
      <c r="F1077" s="1">
        <v>209.0</v>
      </c>
      <c r="G1077" s="1">
        <v>216.0</v>
      </c>
      <c r="H1077" s="1" t="s">
        <v>28</v>
      </c>
      <c r="I1077" s="1"/>
      <c r="J1077" s="1" t="s">
        <v>13413</v>
      </c>
      <c r="K1077" s="1"/>
      <c r="L1077" s="1" t="s">
        <v>13416</v>
      </c>
      <c r="M1077" s="1" t="s">
        <v>13417</v>
      </c>
      <c r="N1077" s="1" t="s">
        <v>13418</v>
      </c>
    </row>
    <row r="1078">
      <c r="A1078" s="1" t="s">
        <v>17</v>
      </c>
      <c r="B1078" s="1">
        <v>2003.0</v>
      </c>
      <c r="C1078" s="1" t="s">
        <v>13419</v>
      </c>
      <c r="D1078" s="1" t="s">
        <v>13420</v>
      </c>
      <c r="E1078" s="2" t="s">
        <v>13421</v>
      </c>
      <c r="F1078" s="1">
        <v>217.0</v>
      </c>
      <c r="G1078" s="1">
        <v>224.0</v>
      </c>
      <c r="H1078" s="1" t="s">
        <v>28</v>
      </c>
      <c r="I1078" s="1"/>
      <c r="J1078" s="1" t="s">
        <v>11679</v>
      </c>
      <c r="K1078" s="1"/>
      <c r="L1078" s="1" t="s">
        <v>13429</v>
      </c>
      <c r="M1078" s="1" t="s">
        <v>13430</v>
      </c>
      <c r="N1078" s="1" t="s">
        <v>13431</v>
      </c>
    </row>
    <row r="1079">
      <c r="A1079" s="1" t="s">
        <v>17</v>
      </c>
      <c r="B1079" s="1">
        <v>2003.0</v>
      </c>
      <c r="C1079" s="1" t="s">
        <v>13432</v>
      </c>
      <c r="D1079" s="1" t="s">
        <v>13433</v>
      </c>
      <c r="E1079" s="2" t="s">
        <v>13434</v>
      </c>
      <c r="F1079" s="1">
        <v>225.0</v>
      </c>
      <c r="G1079" s="1">
        <v>232.0</v>
      </c>
      <c r="H1079" s="1" t="s">
        <v>28</v>
      </c>
      <c r="I1079" s="1"/>
      <c r="J1079" s="1" t="s">
        <v>13442</v>
      </c>
      <c r="K1079" s="1"/>
      <c r="L1079" s="1" t="s">
        <v>13443</v>
      </c>
      <c r="M1079" s="1" t="s">
        <v>13444</v>
      </c>
      <c r="N1079" s="1" t="s">
        <v>13445</v>
      </c>
    </row>
    <row r="1080">
      <c r="A1080" s="1" t="s">
        <v>17</v>
      </c>
      <c r="B1080" s="1">
        <v>2003.0</v>
      </c>
      <c r="C1080" s="1" t="s">
        <v>13446</v>
      </c>
      <c r="D1080" s="1" t="s">
        <v>13447</v>
      </c>
      <c r="E1080" s="2" t="s">
        <v>13448</v>
      </c>
      <c r="F1080" s="1">
        <v>233.0</v>
      </c>
      <c r="G1080" s="1">
        <v>240.0</v>
      </c>
      <c r="H1080" s="1" t="s">
        <v>28</v>
      </c>
      <c r="I1080" s="1"/>
      <c r="J1080" s="1" t="s">
        <v>4946</v>
      </c>
      <c r="K1080" s="1"/>
      <c r="L1080" s="1" t="s">
        <v>11886</v>
      </c>
      <c r="M1080" s="1" t="s">
        <v>13452</v>
      </c>
      <c r="N1080" s="1" t="s">
        <v>13453</v>
      </c>
    </row>
    <row r="1081">
      <c r="A1081" s="1" t="s">
        <v>17</v>
      </c>
      <c r="B1081" s="1">
        <v>2003.0</v>
      </c>
      <c r="C1081" s="1" t="s">
        <v>13454</v>
      </c>
      <c r="D1081" s="1" t="s">
        <v>13455</v>
      </c>
      <c r="E1081" s="2" t="s">
        <v>13456</v>
      </c>
      <c r="F1081" s="1">
        <v>241.0</v>
      </c>
      <c r="G1081" s="1">
        <v>248.0</v>
      </c>
      <c r="H1081" s="1" t="s">
        <v>28</v>
      </c>
      <c r="I1081" s="1"/>
      <c r="J1081" s="1" t="s">
        <v>13463</v>
      </c>
      <c r="K1081" s="1"/>
      <c r="L1081" s="1" t="s">
        <v>13416</v>
      </c>
      <c r="M1081" s="1" t="s">
        <v>13464</v>
      </c>
      <c r="N1081" s="1" t="s">
        <v>13465</v>
      </c>
    </row>
    <row r="1082">
      <c r="A1082" s="1" t="s">
        <v>17</v>
      </c>
      <c r="B1082" s="1">
        <v>2003.0</v>
      </c>
      <c r="C1082" s="1" t="s">
        <v>13466</v>
      </c>
      <c r="D1082" s="1" t="s">
        <v>13467</v>
      </c>
      <c r="E1082" s="2" t="s">
        <v>13468</v>
      </c>
      <c r="F1082" s="1">
        <v>249.0</v>
      </c>
      <c r="G1082" s="1">
        <v>256.0</v>
      </c>
      <c r="H1082" s="1" t="s">
        <v>28</v>
      </c>
      <c r="I1082" s="1"/>
      <c r="J1082" s="1" t="s">
        <v>12502</v>
      </c>
      <c r="K1082" s="1"/>
      <c r="L1082" s="1" t="s">
        <v>13474</v>
      </c>
      <c r="M1082" s="1" t="s">
        <v>13475</v>
      </c>
      <c r="N1082" s="1" t="s">
        <v>13476</v>
      </c>
    </row>
    <row r="1083">
      <c r="A1083" s="1" t="s">
        <v>17</v>
      </c>
      <c r="B1083" s="1">
        <v>2003.0</v>
      </c>
      <c r="C1083" s="1" t="s">
        <v>13477</v>
      </c>
      <c r="D1083" s="1" t="s">
        <v>13478</v>
      </c>
      <c r="E1083" s="2" t="s">
        <v>13479</v>
      </c>
      <c r="F1083" s="1">
        <v>257.0</v>
      </c>
      <c r="G1083" s="1">
        <v>262.0</v>
      </c>
      <c r="H1083" s="1" t="s">
        <v>28</v>
      </c>
      <c r="I1083" s="1"/>
      <c r="J1083" s="1" t="s">
        <v>13483</v>
      </c>
      <c r="K1083" s="1"/>
      <c r="L1083" s="1" t="s">
        <v>13484</v>
      </c>
      <c r="M1083" s="1" t="s">
        <v>5726</v>
      </c>
      <c r="N1083" s="1" t="s">
        <v>13485</v>
      </c>
    </row>
    <row r="1084">
      <c r="A1084" s="1" t="s">
        <v>17</v>
      </c>
      <c r="B1084" s="1">
        <v>2003.0</v>
      </c>
      <c r="C1084" s="1" t="s">
        <v>13486</v>
      </c>
      <c r="D1084" s="1" t="s">
        <v>13487</v>
      </c>
      <c r="E1084" s="2" t="s">
        <v>13488</v>
      </c>
      <c r="F1084" s="1">
        <v>263.0</v>
      </c>
      <c r="G1084" s="1">
        <v>269.0</v>
      </c>
      <c r="H1084" s="1" t="s">
        <v>28</v>
      </c>
      <c r="I1084" s="1"/>
      <c r="J1084" s="1" t="s">
        <v>13493</v>
      </c>
      <c r="K1084" s="1"/>
      <c r="L1084" s="1" t="s">
        <v>13494</v>
      </c>
      <c r="M1084" s="1" t="s">
        <v>13495</v>
      </c>
      <c r="N1084" s="1" t="s">
        <v>13496</v>
      </c>
    </row>
    <row r="1085">
      <c r="A1085" s="1" t="s">
        <v>17</v>
      </c>
      <c r="B1085" s="1">
        <v>2003.0</v>
      </c>
      <c r="C1085" s="1" t="s">
        <v>13497</v>
      </c>
      <c r="D1085" s="1" t="s">
        <v>13498</v>
      </c>
      <c r="E1085" s="2" t="s">
        <v>13499</v>
      </c>
      <c r="F1085" s="1">
        <v>271.0</v>
      </c>
      <c r="G1085" s="1">
        <v>278.0</v>
      </c>
      <c r="H1085" s="1" t="s">
        <v>28</v>
      </c>
      <c r="I1085" s="1"/>
      <c r="J1085" s="1" t="s">
        <v>13503</v>
      </c>
      <c r="K1085" s="1"/>
      <c r="L1085" s="1" t="s">
        <v>13504</v>
      </c>
      <c r="M1085" s="1" t="s">
        <v>13505</v>
      </c>
      <c r="N1085" s="1" t="s">
        <v>13506</v>
      </c>
    </row>
    <row r="1086">
      <c r="A1086" s="1" t="s">
        <v>17</v>
      </c>
      <c r="B1086" s="1">
        <v>2003.0</v>
      </c>
      <c r="C1086" s="1" t="s">
        <v>13508</v>
      </c>
      <c r="D1086" s="1" t="s">
        <v>13509</v>
      </c>
      <c r="E1086" s="2" t="s">
        <v>13511</v>
      </c>
      <c r="F1086" s="1">
        <v>279.0</v>
      </c>
      <c r="G1086" s="1">
        <v>286.0</v>
      </c>
      <c r="H1086" s="1" t="s">
        <v>28</v>
      </c>
      <c r="I1086" s="1"/>
      <c r="J1086" s="1" t="s">
        <v>13515</v>
      </c>
      <c r="K1086" s="1"/>
      <c r="L1086" s="1" t="s">
        <v>13516</v>
      </c>
      <c r="M1086" s="1"/>
      <c r="N1086" s="1" t="s">
        <v>13517</v>
      </c>
    </row>
    <row r="1087">
      <c r="A1087" s="1" t="s">
        <v>17</v>
      </c>
      <c r="B1087" s="1">
        <v>2003.0</v>
      </c>
      <c r="C1087" s="1" t="s">
        <v>13518</v>
      </c>
      <c r="D1087" s="1" t="s">
        <v>13519</v>
      </c>
      <c r="E1087" s="2" t="s">
        <v>13520</v>
      </c>
      <c r="F1087" s="1">
        <v>287.0</v>
      </c>
      <c r="G1087" s="1">
        <v>292.0</v>
      </c>
      <c r="H1087" s="1" t="s">
        <v>28</v>
      </c>
      <c r="I1087" s="1"/>
      <c r="J1087" s="1" t="s">
        <v>13525</v>
      </c>
      <c r="K1087" s="1"/>
      <c r="L1087" s="1" t="s">
        <v>13526</v>
      </c>
      <c r="M1087" s="1" t="s">
        <v>13528</v>
      </c>
      <c r="N1087" s="1" t="s">
        <v>13529</v>
      </c>
      <c r="P1087" s="1"/>
      <c r="Q1087" s="1" t="s">
        <v>1093</v>
      </c>
    </row>
    <row r="1088">
      <c r="A1088" s="1" t="s">
        <v>17</v>
      </c>
      <c r="B1088" s="1">
        <v>2003.0</v>
      </c>
      <c r="C1088" s="1" t="s">
        <v>13530</v>
      </c>
      <c r="D1088" s="1" t="s">
        <v>13531</v>
      </c>
      <c r="E1088" s="2" t="s">
        <v>13532</v>
      </c>
      <c r="F1088" s="1">
        <v>293.0</v>
      </c>
      <c r="G1088" s="1">
        <v>300.0</v>
      </c>
      <c r="H1088" s="1" t="s">
        <v>28</v>
      </c>
      <c r="I1088" s="1"/>
      <c r="J1088" s="1" t="s">
        <v>13533</v>
      </c>
      <c r="K1088" s="1"/>
      <c r="L1088" s="1" t="s">
        <v>13526</v>
      </c>
      <c r="M1088" s="1" t="s">
        <v>13534</v>
      </c>
      <c r="N1088" s="1" t="s">
        <v>13535</v>
      </c>
    </row>
    <row r="1089">
      <c r="A1089" s="1" t="s">
        <v>17</v>
      </c>
      <c r="B1089" s="1">
        <v>2003.0</v>
      </c>
      <c r="C1089" s="1" t="s">
        <v>13536</v>
      </c>
      <c r="D1089" s="1" t="s">
        <v>13537</v>
      </c>
      <c r="E1089" s="2" t="s">
        <v>13538</v>
      </c>
      <c r="F1089" s="1">
        <v>301.0</v>
      </c>
      <c r="G1089" s="1">
        <v>308.0</v>
      </c>
      <c r="H1089" s="1" t="s">
        <v>28</v>
      </c>
      <c r="I1089" s="1"/>
      <c r="J1089" s="1" t="s">
        <v>13542</v>
      </c>
      <c r="K1089" s="1"/>
      <c r="L1089" s="1" t="s">
        <v>13543</v>
      </c>
      <c r="M1089" s="1" t="s">
        <v>13544</v>
      </c>
      <c r="N1089" s="1" t="s">
        <v>13545</v>
      </c>
    </row>
    <row r="1090">
      <c r="A1090" s="1" t="s">
        <v>17</v>
      </c>
      <c r="B1090" s="1">
        <v>2003.0</v>
      </c>
      <c r="C1090" s="1" t="s">
        <v>13546</v>
      </c>
      <c r="D1090" s="1" t="s">
        <v>13547</v>
      </c>
      <c r="E1090" s="2" t="s">
        <v>13548</v>
      </c>
      <c r="F1090" s="1">
        <v>309.0</v>
      </c>
      <c r="G1090" s="1">
        <v>316.0</v>
      </c>
      <c r="H1090" s="1" t="s">
        <v>28</v>
      </c>
      <c r="I1090" s="1"/>
      <c r="J1090" s="1" t="s">
        <v>13552</v>
      </c>
      <c r="K1090" s="1"/>
      <c r="L1090" s="1" t="s">
        <v>13553</v>
      </c>
      <c r="M1090" s="1" t="s">
        <v>13554</v>
      </c>
      <c r="N1090" s="1" t="s">
        <v>13555</v>
      </c>
    </row>
    <row r="1091">
      <c r="A1091" s="1" t="s">
        <v>17</v>
      </c>
      <c r="B1091" s="1">
        <v>2003.0</v>
      </c>
      <c r="C1091" s="1" t="s">
        <v>13559</v>
      </c>
      <c r="D1091" s="1" t="s">
        <v>13560</v>
      </c>
      <c r="E1091" s="2" t="s">
        <v>13561</v>
      </c>
      <c r="F1091" s="1">
        <v>317.0</v>
      </c>
      <c r="G1091" s="1">
        <v>324.0</v>
      </c>
      <c r="H1091" s="1" t="s">
        <v>28</v>
      </c>
      <c r="I1091" s="1"/>
      <c r="J1091" s="1" t="s">
        <v>13566</v>
      </c>
      <c r="K1091" s="1"/>
      <c r="L1091" s="1" t="s">
        <v>13567</v>
      </c>
      <c r="M1091" s="1" t="s">
        <v>13568</v>
      </c>
      <c r="N1091" s="1" t="s">
        <v>13569</v>
      </c>
    </row>
    <row r="1092">
      <c r="A1092" s="1" t="s">
        <v>17</v>
      </c>
      <c r="B1092" s="1">
        <v>2003.0</v>
      </c>
      <c r="C1092" s="1" t="s">
        <v>13570</v>
      </c>
      <c r="D1092" s="1" t="s">
        <v>13571</v>
      </c>
      <c r="E1092" s="2" t="s">
        <v>13572</v>
      </c>
      <c r="F1092" s="1">
        <v>325.0</v>
      </c>
      <c r="G1092" s="1">
        <v>332.0</v>
      </c>
      <c r="H1092" s="1" t="s">
        <v>28</v>
      </c>
      <c r="I1092" s="1"/>
      <c r="J1092" s="1" t="s">
        <v>13577</v>
      </c>
      <c r="K1092" s="1"/>
      <c r="L1092" s="1" t="s">
        <v>13578</v>
      </c>
      <c r="M1092" s="1" t="s">
        <v>13579</v>
      </c>
      <c r="N1092" s="1" t="s">
        <v>13580</v>
      </c>
    </row>
    <row r="1093">
      <c r="A1093" s="1" t="s">
        <v>17</v>
      </c>
      <c r="B1093" s="1">
        <v>2003.0</v>
      </c>
      <c r="C1093" s="1" t="s">
        <v>13581</v>
      </c>
      <c r="D1093" s="1" t="s">
        <v>13582</v>
      </c>
      <c r="E1093" s="2" t="s">
        <v>13583</v>
      </c>
      <c r="F1093" s="1">
        <v>333.0</v>
      </c>
      <c r="G1093" s="1">
        <v>340.0</v>
      </c>
      <c r="H1093" s="1" t="s">
        <v>28</v>
      </c>
      <c r="I1093" s="1"/>
      <c r="J1093" s="1" t="s">
        <v>13587</v>
      </c>
      <c r="K1093" s="1"/>
      <c r="L1093" s="1" t="s">
        <v>13588</v>
      </c>
      <c r="M1093" s="1" t="s">
        <v>5701</v>
      </c>
      <c r="N1093" s="1" t="s">
        <v>13589</v>
      </c>
    </row>
    <row r="1094">
      <c r="A1094" s="1" t="s">
        <v>17</v>
      </c>
      <c r="B1094" s="1">
        <v>2003.0</v>
      </c>
      <c r="C1094" s="1" t="s">
        <v>13590</v>
      </c>
      <c r="D1094" s="1" t="s">
        <v>13591</v>
      </c>
      <c r="E1094" s="2" t="s">
        <v>13592</v>
      </c>
      <c r="F1094" s="1">
        <v>341.0</v>
      </c>
      <c r="G1094" s="1">
        <v>348.0</v>
      </c>
      <c r="H1094" s="1" t="s">
        <v>28</v>
      </c>
      <c r="I1094" s="1"/>
      <c r="J1094" s="1" t="s">
        <v>13596</v>
      </c>
      <c r="K1094" s="1"/>
      <c r="L1094" s="1" t="s">
        <v>13597</v>
      </c>
      <c r="M1094" s="1" t="s">
        <v>13598</v>
      </c>
      <c r="N1094" s="1" t="s">
        <v>13599</v>
      </c>
    </row>
    <row r="1095">
      <c r="A1095" s="1" t="s">
        <v>17</v>
      </c>
      <c r="B1095" s="1">
        <v>2003.0</v>
      </c>
      <c r="C1095" s="1" t="s">
        <v>13600</v>
      </c>
      <c r="D1095" s="1" t="s">
        <v>13601</v>
      </c>
      <c r="E1095" s="2" t="s">
        <v>13603</v>
      </c>
      <c r="F1095" s="1">
        <v>349.0</v>
      </c>
      <c r="G1095" s="1">
        <v>354.0</v>
      </c>
      <c r="H1095" s="1" t="s">
        <v>28</v>
      </c>
      <c r="I1095" s="1"/>
      <c r="J1095" s="1" t="s">
        <v>13610</v>
      </c>
      <c r="K1095" s="1"/>
      <c r="L1095" s="1" t="s">
        <v>13611</v>
      </c>
      <c r="M1095" s="1"/>
      <c r="N1095" s="1" t="s">
        <v>13612</v>
      </c>
    </row>
    <row r="1096">
      <c r="A1096" s="1" t="s">
        <v>17</v>
      </c>
      <c r="B1096" s="1">
        <v>2003.0</v>
      </c>
      <c r="C1096" s="1" t="s">
        <v>13614</v>
      </c>
      <c r="D1096" s="1" t="s">
        <v>13615</v>
      </c>
      <c r="E1096" s="2" t="s">
        <v>13617</v>
      </c>
      <c r="F1096" s="1">
        <v>355.0</v>
      </c>
      <c r="G1096" s="1">
        <v>362.0</v>
      </c>
      <c r="H1096" s="1" t="s">
        <v>28</v>
      </c>
      <c r="I1096" s="1"/>
      <c r="J1096" s="1" t="s">
        <v>13619</v>
      </c>
      <c r="K1096" s="1"/>
      <c r="L1096" s="1" t="s">
        <v>13620</v>
      </c>
      <c r="M1096" s="1" t="s">
        <v>13621</v>
      </c>
      <c r="N1096" s="1" t="s">
        <v>13622</v>
      </c>
    </row>
    <row r="1097">
      <c r="A1097" s="1" t="s">
        <v>17</v>
      </c>
      <c r="B1097" s="1">
        <v>2003.0</v>
      </c>
      <c r="C1097" s="1" t="s">
        <v>13623</v>
      </c>
      <c r="D1097" s="1" t="s">
        <v>13624</v>
      </c>
      <c r="E1097" s="2" t="s">
        <v>13625</v>
      </c>
      <c r="F1097" s="1">
        <v>363.0</v>
      </c>
      <c r="G1097" s="1">
        <v>370.0</v>
      </c>
      <c r="H1097" s="1" t="s">
        <v>28</v>
      </c>
      <c r="I1097" s="1"/>
      <c r="J1097" s="1" t="s">
        <v>13630</v>
      </c>
      <c r="K1097" s="1"/>
      <c r="L1097" s="1" t="s">
        <v>13632</v>
      </c>
      <c r="M1097" s="1" t="s">
        <v>12336</v>
      </c>
      <c r="N1097" s="1" t="s">
        <v>13634</v>
      </c>
    </row>
    <row r="1098">
      <c r="A1098" s="1" t="s">
        <v>17</v>
      </c>
      <c r="B1098" s="1">
        <v>2003.0</v>
      </c>
      <c r="C1098" s="1" t="s">
        <v>13635</v>
      </c>
      <c r="D1098" s="1" t="s">
        <v>13636</v>
      </c>
      <c r="E1098" s="2" t="s">
        <v>13637</v>
      </c>
      <c r="F1098" s="1">
        <v>371.0</v>
      </c>
      <c r="G1098" s="1">
        <v>378.0</v>
      </c>
      <c r="H1098" s="1" t="s">
        <v>28</v>
      </c>
      <c r="I1098" s="1"/>
      <c r="J1098" s="1" t="s">
        <v>13642</v>
      </c>
      <c r="K1098" s="1"/>
      <c r="L1098" s="1" t="s">
        <v>13643</v>
      </c>
      <c r="M1098" s="1" t="s">
        <v>13644</v>
      </c>
      <c r="N1098" s="1" t="s">
        <v>13645</v>
      </c>
    </row>
    <row r="1099">
      <c r="A1099" s="1" t="s">
        <v>17</v>
      </c>
      <c r="B1099" s="1">
        <v>2003.0</v>
      </c>
      <c r="C1099" s="1" t="s">
        <v>13646</v>
      </c>
      <c r="D1099" s="1" t="s">
        <v>13647</v>
      </c>
      <c r="E1099" s="2" t="s">
        <v>13648</v>
      </c>
      <c r="F1099" s="1">
        <v>379.0</v>
      </c>
      <c r="G1099" s="1">
        <v>385.0</v>
      </c>
      <c r="H1099" s="1" t="s">
        <v>28</v>
      </c>
      <c r="I1099" s="1"/>
      <c r="J1099" s="1" t="s">
        <v>13649</v>
      </c>
      <c r="K1099" s="1"/>
      <c r="L1099" s="1" t="s">
        <v>13650</v>
      </c>
      <c r="M1099" s="1"/>
      <c r="N1099" s="1" t="s">
        <v>13651</v>
      </c>
    </row>
    <row r="1100">
      <c r="A1100" s="1" t="s">
        <v>17</v>
      </c>
      <c r="B1100" s="1">
        <v>2003.0</v>
      </c>
      <c r="C1100" s="1" t="s">
        <v>13652</v>
      </c>
      <c r="D1100" s="1" t="s">
        <v>13653</v>
      </c>
      <c r="E1100" s="2" t="s">
        <v>13654</v>
      </c>
      <c r="F1100" s="1">
        <v>387.0</v>
      </c>
      <c r="G1100" s="1">
        <v>392.0</v>
      </c>
      <c r="H1100" s="1" t="s">
        <v>28</v>
      </c>
      <c r="I1100" s="1"/>
      <c r="J1100" s="1" t="s">
        <v>13656</v>
      </c>
      <c r="K1100" s="1"/>
      <c r="L1100" s="1" t="s">
        <v>13659</v>
      </c>
      <c r="M1100" s="1"/>
      <c r="N1100" s="1" t="s">
        <v>13660</v>
      </c>
    </row>
    <row r="1101">
      <c r="A1101" s="1" t="s">
        <v>17</v>
      </c>
      <c r="B1101" s="1">
        <v>2003.0</v>
      </c>
      <c r="C1101" s="1" t="s">
        <v>13661</v>
      </c>
      <c r="D1101" s="1" t="s">
        <v>13662</v>
      </c>
      <c r="E1101" s="2" t="s">
        <v>13663</v>
      </c>
      <c r="F1101" s="1">
        <v>393.0</v>
      </c>
      <c r="G1101" s="1">
        <v>400.0</v>
      </c>
      <c r="H1101" s="1" t="s">
        <v>28</v>
      </c>
      <c r="I1101" s="1"/>
      <c r="J1101" s="1" t="s">
        <v>13665</v>
      </c>
      <c r="K1101" s="1"/>
      <c r="L1101" s="1" t="s">
        <v>13666</v>
      </c>
      <c r="M1101" s="1" t="s">
        <v>13668</v>
      </c>
      <c r="N1101" s="1" t="s">
        <v>13669</v>
      </c>
    </row>
    <row r="1102">
      <c r="A1102" s="1" t="s">
        <v>17</v>
      </c>
      <c r="B1102" s="1">
        <v>2003.0</v>
      </c>
      <c r="C1102" s="1" t="s">
        <v>13670</v>
      </c>
      <c r="D1102" s="1" t="s">
        <v>13671</v>
      </c>
      <c r="E1102" s="2" t="s">
        <v>13672</v>
      </c>
      <c r="F1102" s="1">
        <v>401.0</v>
      </c>
      <c r="G1102" s="1">
        <v>408.0</v>
      </c>
      <c r="H1102" s="1" t="s">
        <v>28</v>
      </c>
      <c r="I1102" s="1"/>
      <c r="J1102" s="1" t="s">
        <v>13676</v>
      </c>
      <c r="K1102" s="1"/>
      <c r="L1102" s="1" t="s">
        <v>13677</v>
      </c>
      <c r="M1102" s="1"/>
      <c r="N1102" s="1" t="s">
        <v>13678</v>
      </c>
    </row>
    <row r="1103">
      <c r="A1103" s="1" t="s">
        <v>17</v>
      </c>
      <c r="B1103" s="1">
        <v>2003.0</v>
      </c>
      <c r="C1103" s="1" t="s">
        <v>13679</v>
      </c>
      <c r="D1103" s="1" t="s">
        <v>13680</v>
      </c>
      <c r="E1103" s="2" t="s">
        <v>13681</v>
      </c>
      <c r="F1103" s="1">
        <v>409.0</v>
      </c>
      <c r="G1103" s="1">
        <v>416.0</v>
      </c>
      <c r="H1103" s="1" t="s">
        <v>28</v>
      </c>
      <c r="I1103" s="1"/>
      <c r="J1103" s="1" t="s">
        <v>13686</v>
      </c>
      <c r="K1103" s="1"/>
      <c r="L1103" s="1" t="s">
        <v>13687</v>
      </c>
      <c r="M1103" s="1" t="s">
        <v>12384</v>
      </c>
      <c r="N1103" s="1" t="s">
        <v>13688</v>
      </c>
    </row>
    <row r="1104">
      <c r="A1104" s="1" t="s">
        <v>17</v>
      </c>
      <c r="B1104" s="1">
        <v>2003.0</v>
      </c>
      <c r="C1104" s="1" t="s">
        <v>13689</v>
      </c>
      <c r="D1104" s="1" t="s">
        <v>13690</v>
      </c>
      <c r="E1104" s="2" t="s">
        <v>13691</v>
      </c>
      <c r="F1104" s="1">
        <v>417.0</v>
      </c>
      <c r="G1104" s="1">
        <v>424.0</v>
      </c>
      <c r="H1104" s="1" t="s">
        <v>28</v>
      </c>
      <c r="I1104" s="1"/>
      <c r="J1104" s="1" t="s">
        <v>13695</v>
      </c>
      <c r="K1104" s="1"/>
      <c r="L1104" s="1" t="s">
        <v>13696</v>
      </c>
      <c r="M1104" s="1" t="s">
        <v>13697</v>
      </c>
      <c r="N1104" s="1" t="s">
        <v>13698</v>
      </c>
    </row>
    <row r="1105">
      <c r="A1105" s="1" t="s">
        <v>17</v>
      </c>
      <c r="B1105" s="1">
        <v>2003.0</v>
      </c>
      <c r="C1105" s="1" t="s">
        <v>13699</v>
      </c>
      <c r="D1105" s="1" t="s">
        <v>13700</v>
      </c>
      <c r="E1105" s="2" t="s">
        <v>13701</v>
      </c>
      <c r="F1105" s="1">
        <v>425.0</v>
      </c>
      <c r="G1105" s="1">
        <v>432.0</v>
      </c>
      <c r="H1105" s="1" t="s">
        <v>28</v>
      </c>
      <c r="I1105" s="1"/>
      <c r="J1105" s="1" t="s">
        <v>13702</v>
      </c>
      <c r="K1105" s="1"/>
      <c r="L1105" s="1" t="s">
        <v>13703</v>
      </c>
      <c r="M1105" s="1" t="s">
        <v>13704</v>
      </c>
      <c r="N1105" s="1" t="s">
        <v>13705</v>
      </c>
    </row>
    <row r="1106">
      <c r="A1106" s="1" t="s">
        <v>17</v>
      </c>
      <c r="B1106" s="1">
        <v>2003.0</v>
      </c>
      <c r="C1106" s="1" t="s">
        <v>13706</v>
      </c>
      <c r="D1106" s="1" t="s">
        <v>13707</v>
      </c>
      <c r="E1106" s="2" t="s">
        <v>13708</v>
      </c>
      <c r="F1106" s="1">
        <v>433.0</v>
      </c>
      <c r="G1106" s="1">
        <v>440.0</v>
      </c>
      <c r="H1106" s="1" t="s">
        <v>28</v>
      </c>
      <c r="I1106" s="1"/>
      <c r="J1106" s="1" t="s">
        <v>5444</v>
      </c>
      <c r="K1106" s="1"/>
      <c r="L1106" s="1" t="s">
        <v>13709</v>
      </c>
      <c r="M1106" s="1" t="s">
        <v>13710</v>
      </c>
      <c r="N1106" s="1" t="s">
        <v>13711</v>
      </c>
    </row>
    <row r="1107">
      <c r="A1107" s="1" t="s">
        <v>17</v>
      </c>
      <c r="B1107" s="1">
        <v>2003.0</v>
      </c>
      <c r="C1107" s="1" t="s">
        <v>13712</v>
      </c>
      <c r="D1107" s="1" t="s">
        <v>13713</v>
      </c>
      <c r="E1107" s="2" t="s">
        <v>13714</v>
      </c>
      <c r="F1107" s="1">
        <v>441.0</v>
      </c>
      <c r="G1107" s="1">
        <v>448.0</v>
      </c>
      <c r="H1107" s="1" t="s">
        <v>28</v>
      </c>
      <c r="I1107" s="1"/>
      <c r="J1107" s="1" t="s">
        <v>13715</v>
      </c>
      <c r="K1107" s="1"/>
      <c r="L1107" s="1" t="s">
        <v>13716</v>
      </c>
      <c r="M1107" s="1" t="s">
        <v>13717</v>
      </c>
      <c r="N1107" s="1" t="s">
        <v>13718</v>
      </c>
    </row>
    <row r="1108">
      <c r="A1108" s="1" t="s">
        <v>17</v>
      </c>
      <c r="B1108" s="1">
        <v>2003.0</v>
      </c>
      <c r="C1108" s="1" t="s">
        <v>13719</v>
      </c>
      <c r="D1108" s="1" t="s">
        <v>13720</v>
      </c>
      <c r="E1108" s="2" t="s">
        <v>13721</v>
      </c>
      <c r="F1108" s="1">
        <v>449.0</v>
      </c>
      <c r="G1108" s="1">
        <v>456.0</v>
      </c>
      <c r="H1108" s="1" t="s">
        <v>28</v>
      </c>
      <c r="I1108" s="1"/>
      <c r="J1108" s="1" t="s">
        <v>13722</v>
      </c>
      <c r="K1108" s="1"/>
      <c r="L1108" s="1" t="s">
        <v>13723</v>
      </c>
      <c r="M1108" s="1" t="s">
        <v>13724</v>
      </c>
      <c r="N1108" s="1" t="s">
        <v>13725</v>
      </c>
    </row>
    <row r="1109">
      <c r="A1109" s="1" t="s">
        <v>17</v>
      </c>
      <c r="B1109" s="1">
        <v>2003.0</v>
      </c>
      <c r="C1109" s="1" t="s">
        <v>13726</v>
      </c>
      <c r="D1109" s="1" t="s">
        <v>13727</v>
      </c>
      <c r="E1109" s="2" t="s">
        <v>13728</v>
      </c>
      <c r="F1109" s="1">
        <v>457.0</v>
      </c>
      <c r="G1109" s="1">
        <v>464.0</v>
      </c>
      <c r="H1109" s="1" t="s">
        <v>28</v>
      </c>
      <c r="I1109" s="1"/>
      <c r="J1109" s="1" t="s">
        <v>13729</v>
      </c>
      <c r="K1109" s="1"/>
      <c r="L1109" s="1" t="s">
        <v>13730</v>
      </c>
      <c r="M1109" s="1" t="s">
        <v>13731</v>
      </c>
      <c r="N1109" s="1" t="s">
        <v>13732</v>
      </c>
    </row>
    <row r="1110">
      <c r="A1110" s="1" t="s">
        <v>17</v>
      </c>
      <c r="B1110" s="1">
        <v>2003.0</v>
      </c>
      <c r="C1110" s="1" t="s">
        <v>13733</v>
      </c>
      <c r="D1110" s="1" t="s">
        <v>13734</v>
      </c>
      <c r="E1110" s="2" t="s">
        <v>13735</v>
      </c>
      <c r="F1110" s="1">
        <v>465.0</v>
      </c>
      <c r="G1110" s="1">
        <v>472.0</v>
      </c>
      <c r="H1110" s="1" t="s">
        <v>28</v>
      </c>
      <c r="I1110" s="1"/>
      <c r="J1110" s="1" t="s">
        <v>13736</v>
      </c>
      <c r="K1110" s="1"/>
      <c r="L1110" s="1" t="s">
        <v>4370</v>
      </c>
      <c r="M1110" s="1" t="s">
        <v>13737</v>
      </c>
      <c r="N1110" s="1" t="s">
        <v>13738</v>
      </c>
    </row>
    <row r="1111">
      <c r="A1111" s="1" t="s">
        <v>17</v>
      </c>
      <c r="B1111" s="1">
        <v>2003.0</v>
      </c>
      <c r="C1111" s="1" t="s">
        <v>13739</v>
      </c>
      <c r="D1111" s="1" t="s">
        <v>13740</v>
      </c>
      <c r="E1111" s="2" t="s">
        <v>13741</v>
      </c>
      <c r="F1111" s="1">
        <v>473.0</v>
      </c>
      <c r="G1111" s="1">
        <v>480.0</v>
      </c>
      <c r="H1111" s="1" t="s">
        <v>28</v>
      </c>
      <c r="I1111" s="1"/>
      <c r="J1111" s="1" t="s">
        <v>13742</v>
      </c>
      <c r="K1111" s="1"/>
      <c r="L1111" s="1" t="s">
        <v>13743</v>
      </c>
      <c r="M1111" s="1" t="s">
        <v>13744</v>
      </c>
      <c r="N1111" s="1" t="s">
        <v>13745</v>
      </c>
    </row>
    <row r="1112">
      <c r="A1112" s="1" t="s">
        <v>17</v>
      </c>
      <c r="B1112" s="1">
        <v>2003.0</v>
      </c>
      <c r="C1112" s="1" t="s">
        <v>13746</v>
      </c>
      <c r="D1112" s="1" t="s">
        <v>13747</v>
      </c>
      <c r="E1112" s="2" t="s">
        <v>13748</v>
      </c>
      <c r="F1112" s="1">
        <v>481.0</v>
      </c>
      <c r="G1112" s="1">
        <v>488.0</v>
      </c>
      <c r="H1112" s="1" t="s">
        <v>28</v>
      </c>
      <c r="I1112" s="1"/>
      <c r="J1112" s="1" t="s">
        <v>13749</v>
      </c>
      <c r="K1112" s="1"/>
      <c r="L1112" s="1" t="s">
        <v>13750</v>
      </c>
      <c r="M1112" s="1"/>
      <c r="N1112" s="1" t="s">
        <v>13751</v>
      </c>
    </row>
    <row r="1113">
      <c r="A1113" s="1" t="s">
        <v>17</v>
      </c>
      <c r="B1113" s="1">
        <v>2003.0</v>
      </c>
      <c r="C1113" s="1" t="s">
        <v>13752</v>
      </c>
      <c r="D1113" s="1" t="s">
        <v>13753</v>
      </c>
      <c r="E1113" s="2" t="s">
        <v>13754</v>
      </c>
      <c r="F1113" s="1">
        <v>489.0</v>
      </c>
      <c r="G1113" s="1">
        <v>496.0</v>
      </c>
      <c r="H1113" s="1" t="s">
        <v>28</v>
      </c>
      <c r="I1113" s="1"/>
      <c r="J1113" s="1" t="s">
        <v>13755</v>
      </c>
      <c r="K1113" s="1"/>
      <c r="L1113" s="1" t="s">
        <v>13756</v>
      </c>
      <c r="M1113" s="1" t="s">
        <v>13757</v>
      </c>
      <c r="N1113" s="1" t="s">
        <v>13758</v>
      </c>
    </row>
    <row r="1114">
      <c r="A1114" s="1" t="s">
        <v>17</v>
      </c>
      <c r="B1114" s="1">
        <v>2003.0</v>
      </c>
      <c r="C1114" s="1" t="s">
        <v>13759</v>
      </c>
      <c r="D1114" s="1" t="s">
        <v>13760</v>
      </c>
      <c r="E1114" s="2" t="s">
        <v>13761</v>
      </c>
      <c r="F1114" s="1">
        <v>497.0</v>
      </c>
      <c r="G1114" s="1">
        <v>504.0</v>
      </c>
      <c r="H1114" s="1" t="s">
        <v>28</v>
      </c>
      <c r="I1114" s="1"/>
      <c r="J1114" s="1" t="s">
        <v>13762</v>
      </c>
      <c r="K1114" s="1"/>
      <c r="L1114" s="1" t="s">
        <v>13763</v>
      </c>
      <c r="M1114" s="1" t="s">
        <v>13764</v>
      </c>
      <c r="N1114" s="1" t="s">
        <v>13765</v>
      </c>
    </row>
    <row r="1115">
      <c r="A1115" s="1" t="s">
        <v>17</v>
      </c>
      <c r="B1115" s="1">
        <v>2003.0</v>
      </c>
      <c r="C1115" s="1" t="s">
        <v>13766</v>
      </c>
      <c r="D1115" s="1" t="s">
        <v>13767</v>
      </c>
      <c r="E1115" s="2" t="s">
        <v>13768</v>
      </c>
      <c r="F1115" s="1">
        <v>505.0</v>
      </c>
      <c r="G1115" s="1">
        <v>512.0</v>
      </c>
      <c r="H1115" s="1" t="s">
        <v>28</v>
      </c>
      <c r="I1115" s="1"/>
      <c r="J1115" s="1" t="s">
        <v>13769</v>
      </c>
      <c r="K1115" s="1"/>
      <c r="L1115" s="1" t="s">
        <v>12580</v>
      </c>
      <c r="M1115" s="1" t="s">
        <v>13770</v>
      </c>
      <c r="N1115" s="1" t="s">
        <v>13771</v>
      </c>
    </row>
    <row r="1116">
      <c r="A1116" s="1" t="s">
        <v>17</v>
      </c>
      <c r="B1116" s="1">
        <v>2003.0</v>
      </c>
      <c r="C1116" s="1" t="s">
        <v>13772</v>
      </c>
      <c r="D1116" s="1" t="s">
        <v>13773</v>
      </c>
      <c r="E1116" s="2" t="s">
        <v>13774</v>
      </c>
      <c r="F1116" s="1">
        <v>513.0</v>
      </c>
      <c r="G1116" s="1">
        <v>520.0</v>
      </c>
      <c r="H1116" s="1" t="s">
        <v>28</v>
      </c>
      <c r="I1116" s="1"/>
      <c r="J1116" s="1" t="s">
        <v>13775</v>
      </c>
      <c r="K1116" s="1"/>
      <c r="L1116" s="1" t="s">
        <v>13776</v>
      </c>
      <c r="M1116" s="1" t="s">
        <v>13777</v>
      </c>
      <c r="N1116" s="1" t="s">
        <v>13778</v>
      </c>
    </row>
    <row r="1117">
      <c r="A1117" s="1" t="s">
        <v>17</v>
      </c>
      <c r="B1117" s="1">
        <v>2003.0</v>
      </c>
      <c r="C1117" s="1" t="s">
        <v>13779</v>
      </c>
      <c r="D1117" s="1" t="s">
        <v>13780</v>
      </c>
      <c r="E1117" s="2" t="s">
        <v>13781</v>
      </c>
      <c r="F1117" s="1">
        <v>523.0</v>
      </c>
      <c r="G1117" s="1">
        <v>530.0</v>
      </c>
      <c r="H1117" s="1" t="s">
        <v>28</v>
      </c>
      <c r="I1117" s="1"/>
      <c r="J1117" s="1" t="s">
        <v>13782</v>
      </c>
      <c r="K1117" s="1"/>
      <c r="L1117" s="1" t="s">
        <v>12580</v>
      </c>
      <c r="M1117" s="1" t="s">
        <v>12697</v>
      </c>
      <c r="N1117" s="1" t="s">
        <v>13783</v>
      </c>
    </row>
    <row r="1118">
      <c r="A1118" s="1" t="s">
        <v>17</v>
      </c>
      <c r="B1118" s="1">
        <v>2003.0</v>
      </c>
      <c r="C1118" s="1" t="s">
        <v>13784</v>
      </c>
      <c r="D1118" s="1" t="s">
        <v>13785</v>
      </c>
      <c r="E1118" s="2" t="s">
        <v>13786</v>
      </c>
      <c r="F1118" s="1">
        <v>531.0</v>
      </c>
      <c r="G1118" s="1">
        <v>538.0</v>
      </c>
      <c r="H1118" s="1" t="s">
        <v>28</v>
      </c>
      <c r="I1118" s="1"/>
      <c r="J1118" s="1" t="s">
        <v>13787</v>
      </c>
      <c r="K1118" s="1"/>
      <c r="L1118" s="1" t="s">
        <v>1530</v>
      </c>
      <c r="M1118" s="1" t="s">
        <v>13788</v>
      </c>
      <c r="N1118" s="1" t="s">
        <v>13789</v>
      </c>
    </row>
    <row r="1119">
      <c r="A1119" s="1" t="s">
        <v>17</v>
      </c>
      <c r="B1119" s="1">
        <v>2003.0</v>
      </c>
      <c r="C1119" s="1" t="s">
        <v>13790</v>
      </c>
      <c r="D1119" s="1" t="s">
        <v>13791</v>
      </c>
      <c r="E1119" s="2" t="s">
        <v>13792</v>
      </c>
      <c r="F1119" s="1">
        <v>539.0</v>
      </c>
      <c r="G1119" s="1">
        <v>546.0</v>
      </c>
      <c r="H1119" s="1" t="s">
        <v>28</v>
      </c>
      <c r="I1119" s="1"/>
      <c r="J1119" s="1" t="s">
        <v>13793</v>
      </c>
      <c r="K1119" s="1"/>
      <c r="L1119" s="1" t="s">
        <v>13543</v>
      </c>
      <c r="M1119" s="1" t="s">
        <v>13794</v>
      </c>
      <c r="N1119" s="1" t="s">
        <v>13795</v>
      </c>
    </row>
    <row r="1120">
      <c r="A1120" s="1" t="s">
        <v>17</v>
      </c>
      <c r="B1120" s="1">
        <v>2003.0</v>
      </c>
      <c r="C1120" s="1" t="s">
        <v>13796</v>
      </c>
      <c r="D1120" s="1" t="s">
        <v>13797</v>
      </c>
      <c r="E1120" s="2" t="s">
        <v>13798</v>
      </c>
      <c r="F1120" s="1">
        <v>547.0</v>
      </c>
      <c r="G1120" s="1">
        <v>554.0</v>
      </c>
      <c r="H1120" s="1" t="s">
        <v>28</v>
      </c>
      <c r="I1120" s="1"/>
      <c r="J1120" s="1" t="s">
        <v>13799</v>
      </c>
      <c r="K1120" s="1"/>
      <c r="L1120" s="1" t="s">
        <v>13800</v>
      </c>
      <c r="M1120" s="1"/>
      <c r="N1120" s="1" t="s">
        <v>13801</v>
      </c>
    </row>
    <row r="1121">
      <c r="A1121" s="1" t="s">
        <v>17</v>
      </c>
      <c r="B1121" s="1">
        <v>2003.0</v>
      </c>
      <c r="C1121" s="1" t="s">
        <v>13829</v>
      </c>
      <c r="D1121" s="1" t="s">
        <v>13830</v>
      </c>
      <c r="E1121" s="2" t="s">
        <v>13833</v>
      </c>
      <c r="F1121" s="1">
        <v>555.0</v>
      </c>
      <c r="G1121" s="1">
        <v>559.0</v>
      </c>
      <c r="H1121" s="1" t="s">
        <v>28</v>
      </c>
      <c r="I1121" s="1"/>
      <c r="J1121" s="1" t="s">
        <v>13836</v>
      </c>
      <c r="K1121" s="1"/>
      <c r="L1121" s="1" t="s">
        <v>13837</v>
      </c>
      <c r="M1121" s="1" t="s">
        <v>13838</v>
      </c>
      <c r="N1121" s="1" t="s">
        <v>13840</v>
      </c>
    </row>
    <row r="1122">
      <c r="A1122" s="1" t="s">
        <v>17</v>
      </c>
      <c r="B1122" s="1">
        <v>2003.0</v>
      </c>
      <c r="C1122" s="1" t="s">
        <v>13843</v>
      </c>
      <c r="D1122" s="1" t="s">
        <v>13844</v>
      </c>
      <c r="E1122" s="2" t="s">
        <v>13845</v>
      </c>
      <c r="F1122" s="1">
        <v>561.0</v>
      </c>
      <c r="G1122" s="1">
        <v>568.0</v>
      </c>
      <c r="H1122" s="1" t="s">
        <v>28</v>
      </c>
      <c r="I1122" s="1"/>
      <c r="J1122" s="1" t="s">
        <v>13846</v>
      </c>
      <c r="K1122" s="1"/>
      <c r="L1122" s="1" t="s">
        <v>13847</v>
      </c>
      <c r="M1122" s="1" t="s">
        <v>13848</v>
      </c>
      <c r="N1122" s="1" t="s">
        <v>13849</v>
      </c>
    </row>
    <row r="1123">
      <c r="A1123" s="1" t="s">
        <v>17</v>
      </c>
      <c r="B1123" s="1">
        <v>2003.0</v>
      </c>
      <c r="C1123" s="1" t="s">
        <v>13850</v>
      </c>
      <c r="D1123" s="1" t="s">
        <v>13851</v>
      </c>
      <c r="E1123" s="2" t="s">
        <v>13852</v>
      </c>
      <c r="F1123" s="1">
        <v>569.0</v>
      </c>
      <c r="G1123" s="1">
        <v>574.0</v>
      </c>
      <c r="H1123" s="1" t="s">
        <v>28</v>
      </c>
      <c r="I1123" s="1"/>
      <c r="J1123" s="1" t="s">
        <v>13856</v>
      </c>
      <c r="K1123" s="1"/>
      <c r="L1123" s="1" t="s">
        <v>13857</v>
      </c>
      <c r="M1123" s="1" t="s">
        <v>13858</v>
      </c>
      <c r="N1123" s="1" t="s">
        <v>13859</v>
      </c>
    </row>
    <row r="1124">
      <c r="A1124" s="1" t="s">
        <v>17</v>
      </c>
      <c r="B1124" s="1">
        <v>2003.0</v>
      </c>
      <c r="C1124" s="1" t="s">
        <v>13860</v>
      </c>
      <c r="D1124" s="1" t="s">
        <v>13861</v>
      </c>
      <c r="E1124" s="2" t="s">
        <v>13862</v>
      </c>
      <c r="F1124" s="1">
        <v>575.0</v>
      </c>
      <c r="G1124" s="1">
        <v>580.0</v>
      </c>
      <c r="H1124" s="1" t="s">
        <v>28</v>
      </c>
      <c r="I1124" s="1"/>
      <c r="J1124" s="1" t="s">
        <v>13866</v>
      </c>
      <c r="K1124" s="1"/>
      <c r="L1124" s="1" t="s">
        <v>13867</v>
      </c>
    </row>
    <row r="1125">
      <c r="A1125" s="1" t="s">
        <v>17</v>
      </c>
      <c r="B1125" s="1">
        <v>2003.0</v>
      </c>
      <c r="C1125" s="1" t="s">
        <v>13868</v>
      </c>
      <c r="D1125" s="1" t="s">
        <v>13869</v>
      </c>
      <c r="E1125" s="2" t="s">
        <v>13870</v>
      </c>
      <c r="F1125" s="1">
        <v>581.0</v>
      </c>
      <c r="G1125" s="1">
        <v>588.0</v>
      </c>
      <c r="H1125" s="1" t="s">
        <v>28</v>
      </c>
      <c r="I1125" s="1"/>
      <c r="J1125" s="1" t="s">
        <v>13874</v>
      </c>
      <c r="K1125" s="1"/>
      <c r="L1125" s="1" t="s">
        <v>13578</v>
      </c>
      <c r="M1125" s="1"/>
      <c r="N1125" s="1" t="s">
        <v>13875</v>
      </c>
    </row>
    <row r="1126">
      <c r="A1126" s="1" t="s">
        <v>17</v>
      </c>
      <c r="B1126" s="1">
        <v>2003.0</v>
      </c>
      <c r="C1126" s="1" t="s">
        <v>13876</v>
      </c>
      <c r="D1126" s="1" t="s">
        <v>13877</v>
      </c>
      <c r="E1126" s="2" t="s">
        <v>13878</v>
      </c>
      <c r="F1126" s="1">
        <v>589.0</v>
      </c>
      <c r="G1126" s="1">
        <v>596.0</v>
      </c>
      <c r="H1126" s="1" t="s">
        <v>28</v>
      </c>
      <c r="I1126" s="1"/>
      <c r="J1126" s="1" t="s">
        <v>13885</v>
      </c>
      <c r="K1126" s="1"/>
      <c r="L1126" s="1" t="s">
        <v>13886</v>
      </c>
      <c r="M1126" s="1"/>
      <c r="N1126" s="1" t="s">
        <v>13887</v>
      </c>
    </row>
    <row r="1127">
      <c r="A1127" s="1" t="s">
        <v>17</v>
      </c>
      <c r="B1127" s="1">
        <v>2003.0</v>
      </c>
      <c r="C1127" s="1" t="s">
        <v>13889</v>
      </c>
      <c r="D1127" s="1" t="s">
        <v>13890</v>
      </c>
      <c r="E1127" s="2" t="s">
        <v>13891</v>
      </c>
      <c r="F1127" s="1">
        <v>597.0</v>
      </c>
      <c r="G1127" s="1">
        <v>602.0</v>
      </c>
      <c r="H1127" s="1" t="s">
        <v>28</v>
      </c>
      <c r="I1127" s="1"/>
      <c r="J1127" s="1" t="s">
        <v>12510</v>
      </c>
      <c r="K1127" s="1"/>
      <c r="L1127" s="1" t="s">
        <v>13898</v>
      </c>
      <c r="M1127" s="1" t="s">
        <v>13899</v>
      </c>
      <c r="N1127" s="1" t="s">
        <v>13900</v>
      </c>
    </row>
    <row r="1128">
      <c r="A1128" s="1" t="s">
        <v>17</v>
      </c>
      <c r="B1128" s="1">
        <v>2003.0</v>
      </c>
      <c r="C1128" s="1" t="s">
        <v>13901</v>
      </c>
      <c r="D1128" s="1" t="s">
        <v>13902</v>
      </c>
      <c r="E1128" s="2" t="s">
        <v>13903</v>
      </c>
      <c r="F1128" s="1">
        <v>605.0</v>
      </c>
      <c r="G1128" s="1">
        <v>606.0</v>
      </c>
      <c r="H1128" s="1" t="s">
        <v>21</v>
      </c>
      <c r="I1128" s="1"/>
      <c r="J1128" s="1" t="s">
        <v>13934</v>
      </c>
      <c r="K1128" s="1"/>
      <c r="L1128" s="1" t="s">
        <v>13936</v>
      </c>
    </row>
    <row r="1129">
      <c r="A1129" s="1" t="s">
        <v>17</v>
      </c>
      <c r="B1129" s="1">
        <v>2003.0</v>
      </c>
      <c r="C1129" s="1" t="s">
        <v>13937</v>
      </c>
      <c r="D1129" s="1" t="s">
        <v>13938</v>
      </c>
      <c r="E1129" s="2" t="s">
        <v>13939</v>
      </c>
      <c r="F1129" s="1">
        <v>607.0</v>
      </c>
      <c r="G1129" s="1">
        <v>610.0</v>
      </c>
      <c r="H1129" s="1" t="s">
        <v>21</v>
      </c>
      <c r="I1129" s="1"/>
      <c r="J1129" s="1" t="s">
        <v>13951</v>
      </c>
      <c r="K1129" s="1"/>
      <c r="L1129" s="1" t="s">
        <v>13953</v>
      </c>
    </row>
    <row r="1130">
      <c r="A1130" s="1" t="s">
        <v>17</v>
      </c>
      <c r="B1130" s="1">
        <v>2003.0</v>
      </c>
      <c r="C1130" s="1" t="s">
        <v>13954</v>
      </c>
      <c r="D1130" s="1" t="s">
        <v>13955</v>
      </c>
      <c r="E1130" s="2" t="s">
        <v>13956</v>
      </c>
      <c r="F1130" s="1">
        <v>611.0</v>
      </c>
      <c r="G1130" s="1">
        <v>614.0</v>
      </c>
      <c r="H1130" s="1" t="s">
        <v>21</v>
      </c>
      <c r="I1130" s="1"/>
      <c r="J1130" s="1" t="s">
        <v>13960</v>
      </c>
      <c r="K1130" s="1"/>
      <c r="L1130" s="1" t="s">
        <v>13961</v>
      </c>
    </row>
    <row r="1131">
      <c r="A1131" s="1" t="s">
        <v>17</v>
      </c>
      <c r="B1131" s="1">
        <v>2003.0</v>
      </c>
      <c r="C1131" s="1" t="s">
        <v>13962</v>
      </c>
      <c r="D1131" s="1" t="s">
        <v>13963</v>
      </c>
      <c r="E1131" s="2" t="s">
        <v>13964</v>
      </c>
      <c r="F1131" s="1">
        <v>615.0</v>
      </c>
      <c r="G1131" s="1">
        <v>617.0</v>
      </c>
      <c r="H1131" s="1" t="s">
        <v>21</v>
      </c>
      <c r="I1131" s="1"/>
      <c r="J1131" s="1" t="s">
        <v>13967</v>
      </c>
      <c r="K1131" s="1"/>
      <c r="L1131" s="1" t="s">
        <v>13968</v>
      </c>
    </row>
    <row r="1132">
      <c r="A1132" s="1" t="s">
        <v>17</v>
      </c>
      <c r="B1132" s="1">
        <v>2003.0</v>
      </c>
      <c r="C1132" s="1" t="s">
        <v>13969</v>
      </c>
      <c r="D1132" s="1" t="s">
        <v>13970</v>
      </c>
      <c r="E1132" s="2" t="s">
        <v>13971</v>
      </c>
      <c r="F1132" s="1">
        <v>619.0</v>
      </c>
      <c r="G1132" s="1">
        <v>621.0</v>
      </c>
      <c r="H1132" s="1" t="s">
        <v>21</v>
      </c>
      <c r="I1132" s="1"/>
      <c r="J1132" s="1" t="s">
        <v>13976</v>
      </c>
      <c r="K1132" s="1"/>
      <c r="L1132" s="1" t="s">
        <v>13977</v>
      </c>
    </row>
    <row r="1133">
      <c r="A1133" s="1" t="s">
        <v>2137</v>
      </c>
      <c r="B1133" s="1">
        <v>2004.0</v>
      </c>
      <c r="C1133" s="1" t="s">
        <v>13978</v>
      </c>
      <c r="D1133" s="1" t="s">
        <v>13979</v>
      </c>
      <c r="E1133" s="2" t="s">
        <v>13980</v>
      </c>
      <c r="F1133" s="1">
        <v>17.0</v>
      </c>
      <c r="G1133" s="1">
        <v>24.0</v>
      </c>
      <c r="H1133" s="1" t="s">
        <v>28</v>
      </c>
      <c r="I1133" s="1"/>
      <c r="J1133" s="1" t="s">
        <v>13983</v>
      </c>
      <c r="K1133" s="1"/>
      <c r="L1133" s="1" t="s">
        <v>13984</v>
      </c>
      <c r="M1133" s="1" t="s">
        <v>12870</v>
      </c>
      <c r="N1133" s="1" t="s">
        <v>13986</v>
      </c>
    </row>
    <row r="1134">
      <c r="A1134" s="1" t="s">
        <v>2137</v>
      </c>
      <c r="B1134" s="1">
        <v>2004.0</v>
      </c>
      <c r="C1134" s="1" t="s">
        <v>13989</v>
      </c>
      <c r="D1134" s="1" t="s">
        <v>13990</v>
      </c>
      <c r="E1134" s="2" t="s">
        <v>13991</v>
      </c>
      <c r="F1134" s="1">
        <v>143.0</v>
      </c>
      <c r="G1134" s="1">
        <v>150.0</v>
      </c>
      <c r="H1134" s="1" t="s">
        <v>28</v>
      </c>
      <c r="I1134" s="1"/>
      <c r="J1134" s="1" t="s">
        <v>13983</v>
      </c>
      <c r="K1134" s="1"/>
      <c r="L1134" s="1" t="s">
        <v>13992</v>
      </c>
      <c r="M1134" s="1" t="s">
        <v>13993</v>
      </c>
      <c r="N1134" s="1" t="s">
        <v>13994</v>
      </c>
      <c r="P1134" s="1"/>
      <c r="Q1134" s="1" t="s">
        <v>106</v>
      </c>
    </row>
    <row r="1135">
      <c r="A1135" s="1" t="s">
        <v>2137</v>
      </c>
      <c r="B1135" s="1">
        <v>2004.0</v>
      </c>
      <c r="C1135" s="1" t="s">
        <v>13995</v>
      </c>
      <c r="D1135" s="1" t="s">
        <v>13997</v>
      </c>
      <c r="E1135" s="2" t="s">
        <v>13998</v>
      </c>
      <c r="F1135" s="1">
        <v>2.0</v>
      </c>
      <c r="G1135" s="1">
        <v>2.0</v>
      </c>
      <c r="H1135" s="1" t="s">
        <v>21</v>
      </c>
      <c r="I1135" s="1"/>
      <c r="J1135" s="1" t="s">
        <v>14080</v>
      </c>
      <c r="K1135" s="1"/>
      <c r="L1135" s="1" t="s">
        <v>14081</v>
      </c>
    </row>
    <row r="1136">
      <c r="A1136" s="1" t="s">
        <v>2137</v>
      </c>
      <c r="B1136" s="1">
        <v>2004.0</v>
      </c>
      <c r="C1136" s="1" t="s">
        <v>14082</v>
      </c>
      <c r="D1136" s="1" t="s">
        <v>14083</v>
      </c>
      <c r="E1136" s="2" t="s">
        <v>14084</v>
      </c>
      <c r="F1136" s="1">
        <v>159.0</v>
      </c>
      <c r="G1136" s="1">
        <v>166.0</v>
      </c>
      <c r="H1136" s="1" t="s">
        <v>28</v>
      </c>
      <c r="I1136" s="1"/>
      <c r="J1136" s="1" t="s">
        <v>14085</v>
      </c>
      <c r="K1136" s="1"/>
      <c r="L1136" s="1" t="s">
        <v>14086</v>
      </c>
      <c r="M1136" s="1" t="s">
        <v>14087</v>
      </c>
      <c r="N1136" s="1" t="s">
        <v>14088</v>
      </c>
    </row>
    <row r="1137">
      <c r="A1137" s="1" t="s">
        <v>2137</v>
      </c>
      <c r="B1137" s="1">
        <v>2004.0</v>
      </c>
      <c r="C1137" s="1" t="s">
        <v>14089</v>
      </c>
      <c r="D1137" s="1" t="s">
        <v>14090</v>
      </c>
      <c r="E1137" s="2" t="s">
        <v>14091</v>
      </c>
      <c r="F1137" s="1" t="s">
        <v>14092</v>
      </c>
      <c r="G1137" s="1" t="s">
        <v>14092</v>
      </c>
      <c r="H1137" s="1" t="s">
        <v>21</v>
      </c>
      <c r="I1137" s="1"/>
      <c r="J1137" s="1" t="s">
        <v>14093</v>
      </c>
    </row>
    <row r="1138">
      <c r="A1138" s="1" t="s">
        <v>2137</v>
      </c>
      <c r="B1138" s="1">
        <v>2004.0</v>
      </c>
      <c r="C1138" s="1" t="s">
        <v>14094</v>
      </c>
      <c r="D1138" s="1" t="s">
        <v>14095</v>
      </c>
      <c r="E1138" s="2" t="s">
        <v>14096</v>
      </c>
      <c r="F1138" s="1" t="s">
        <v>14097</v>
      </c>
      <c r="G1138" s="1" t="s">
        <v>14097</v>
      </c>
      <c r="H1138" s="1" t="s">
        <v>21</v>
      </c>
      <c r="I1138" s="1"/>
      <c r="J1138" s="1" t="s">
        <v>13152</v>
      </c>
      <c r="K1138" s="1"/>
      <c r="L1138" s="1" t="s">
        <v>14098</v>
      </c>
    </row>
    <row r="1139">
      <c r="A1139" s="1" t="s">
        <v>2137</v>
      </c>
      <c r="B1139" s="1">
        <v>2004.0</v>
      </c>
      <c r="C1139" s="1" t="s">
        <v>14099</v>
      </c>
      <c r="D1139" s="1" t="s">
        <v>14100</v>
      </c>
      <c r="E1139" s="2" t="s">
        <v>14101</v>
      </c>
      <c r="F1139" s="1">
        <v>89.0</v>
      </c>
      <c r="G1139" s="1">
        <v>96.0</v>
      </c>
      <c r="H1139" s="1" t="s">
        <v>28</v>
      </c>
      <c r="I1139" s="1"/>
      <c r="J1139" s="1" t="s">
        <v>14102</v>
      </c>
      <c r="K1139" s="1"/>
      <c r="L1139" s="1" t="s">
        <v>14103</v>
      </c>
      <c r="M1139" s="1" t="s">
        <v>14104</v>
      </c>
      <c r="N1139" s="1" t="s">
        <v>14105</v>
      </c>
    </row>
    <row r="1140">
      <c r="A1140" s="1" t="s">
        <v>2137</v>
      </c>
      <c r="B1140" s="1">
        <v>2004.0</v>
      </c>
      <c r="C1140" s="1" t="s">
        <v>14106</v>
      </c>
      <c r="D1140" s="1" t="s">
        <v>14107</v>
      </c>
      <c r="E1140" s="2" t="s">
        <v>14108</v>
      </c>
      <c r="F1140" s="1">
        <v>19.0</v>
      </c>
      <c r="G1140" s="1">
        <v>19.0</v>
      </c>
      <c r="H1140" s="1" t="s">
        <v>21</v>
      </c>
      <c r="I1140" s="1"/>
      <c r="J1140" s="1" t="s">
        <v>14109</v>
      </c>
      <c r="K1140" s="1"/>
      <c r="L1140" s="1" t="s">
        <v>14110</v>
      </c>
    </row>
    <row r="1141">
      <c r="A1141" s="1" t="s">
        <v>2137</v>
      </c>
      <c r="B1141" s="1">
        <v>2004.0</v>
      </c>
      <c r="C1141" s="1" t="s">
        <v>14111</v>
      </c>
      <c r="D1141" s="1" t="s">
        <v>14112</v>
      </c>
      <c r="E1141" s="2" t="s">
        <v>14113</v>
      </c>
      <c r="F1141" s="1">
        <v>21.0</v>
      </c>
      <c r="G1141" s="1">
        <v>21.0</v>
      </c>
      <c r="H1141" s="1" t="s">
        <v>21</v>
      </c>
      <c r="I1141" s="1"/>
      <c r="J1141" s="1" t="s">
        <v>14114</v>
      </c>
      <c r="K1141" s="1"/>
      <c r="L1141" s="1" t="s">
        <v>14115</v>
      </c>
    </row>
    <row r="1142">
      <c r="A1142" s="1" t="s">
        <v>2137</v>
      </c>
      <c r="B1142" s="1">
        <v>2004.0</v>
      </c>
      <c r="C1142" s="1" t="s">
        <v>14116</v>
      </c>
      <c r="D1142" s="1" t="s">
        <v>14117</v>
      </c>
      <c r="E1142" s="2" t="s">
        <v>14118</v>
      </c>
      <c r="F1142" s="1">
        <v>191.0</v>
      </c>
      <c r="G1142" s="1">
        <v>198.0</v>
      </c>
      <c r="H1142" s="1" t="s">
        <v>28</v>
      </c>
      <c r="I1142" s="1"/>
      <c r="J1142" s="1" t="s">
        <v>14119</v>
      </c>
      <c r="K1142" s="1"/>
      <c r="L1142" s="1" t="s">
        <v>14121</v>
      </c>
      <c r="M1142" s="1" t="s">
        <v>4821</v>
      </c>
      <c r="N1142" s="1" t="s">
        <v>14122</v>
      </c>
    </row>
    <row r="1143">
      <c r="A1143" s="1" t="s">
        <v>2137</v>
      </c>
      <c r="B1143" s="1">
        <v>2004.0</v>
      </c>
      <c r="C1143" s="1" t="s">
        <v>14125</v>
      </c>
      <c r="D1143" s="1" t="s">
        <v>14126</v>
      </c>
      <c r="E1143" s="2" t="s">
        <v>14127</v>
      </c>
      <c r="F1143" s="1">
        <v>127.0</v>
      </c>
      <c r="G1143" s="1">
        <v>134.0</v>
      </c>
      <c r="H1143" s="1" t="s">
        <v>28</v>
      </c>
      <c r="I1143" s="1"/>
      <c r="J1143" s="1" t="s">
        <v>14131</v>
      </c>
      <c r="K1143" s="1"/>
      <c r="L1143" s="1" t="s">
        <v>14132</v>
      </c>
      <c r="M1143" s="1" t="s">
        <v>14133</v>
      </c>
      <c r="N1143" s="1" t="s">
        <v>14134</v>
      </c>
    </row>
    <row r="1144">
      <c r="A1144" s="1" t="s">
        <v>2137</v>
      </c>
      <c r="B1144" s="1">
        <v>2004.0</v>
      </c>
      <c r="C1144" s="1" t="s">
        <v>14135</v>
      </c>
      <c r="D1144" s="1" t="s">
        <v>14136</v>
      </c>
      <c r="E1144" s="2" t="s">
        <v>14137</v>
      </c>
      <c r="F1144" s="1">
        <v>49.0</v>
      </c>
      <c r="G1144" s="1">
        <v>56.0</v>
      </c>
      <c r="H1144" s="1" t="s">
        <v>28</v>
      </c>
      <c r="I1144" s="1"/>
      <c r="J1144" s="1" t="s">
        <v>14140</v>
      </c>
      <c r="K1144" s="1"/>
      <c r="L1144" s="1" t="s">
        <v>14141</v>
      </c>
      <c r="M1144" s="1" t="s">
        <v>14142</v>
      </c>
      <c r="N1144" s="1" t="s">
        <v>14144</v>
      </c>
    </row>
    <row r="1145">
      <c r="A1145" s="1" t="s">
        <v>2137</v>
      </c>
      <c r="B1145" s="1">
        <v>2004.0</v>
      </c>
      <c r="C1145" s="1" t="s">
        <v>14147</v>
      </c>
      <c r="D1145" s="1" t="s">
        <v>14148</v>
      </c>
      <c r="E1145" s="2" t="s">
        <v>14149</v>
      </c>
      <c r="F1145" s="1">
        <v>16.0</v>
      </c>
      <c r="G1145" s="1">
        <v>16.0</v>
      </c>
      <c r="H1145" s="1" t="s">
        <v>21</v>
      </c>
      <c r="I1145" s="1"/>
      <c r="J1145" s="1" t="s">
        <v>14153</v>
      </c>
      <c r="K1145" s="1"/>
      <c r="L1145" s="1" t="s">
        <v>14154</v>
      </c>
    </row>
    <row r="1146">
      <c r="A1146" s="1" t="s">
        <v>2137</v>
      </c>
      <c r="B1146" s="1">
        <v>2004.0</v>
      </c>
      <c r="C1146" s="1" t="s">
        <v>14155</v>
      </c>
      <c r="D1146" s="1" t="s">
        <v>14156</v>
      </c>
      <c r="E1146" s="2" t="s">
        <v>14157</v>
      </c>
      <c r="F1146" s="1">
        <v>119.0</v>
      </c>
      <c r="G1146" s="1">
        <v>126.0</v>
      </c>
      <c r="H1146" s="1" t="s">
        <v>28</v>
      </c>
      <c r="I1146" s="1"/>
      <c r="J1146" s="1" t="s">
        <v>14160</v>
      </c>
      <c r="K1146" s="1"/>
      <c r="L1146" s="1" t="s">
        <v>14161</v>
      </c>
      <c r="M1146" s="1" t="s">
        <v>14162</v>
      </c>
      <c r="N1146" s="1" t="s">
        <v>14163</v>
      </c>
    </row>
    <row r="1147">
      <c r="A1147" s="1" t="s">
        <v>2137</v>
      </c>
      <c r="B1147" s="1">
        <v>2004.0</v>
      </c>
      <c r="C1147" s="1" t="s">
        <v>14164</v>
      </c>
      <c r="D1147" s="1" t="s">
        <v>14165</v>
      </c>
      <c r="E1147" s="2" t="s">
        <v>14167</v>
      </c>
      <c r="F1147" s="1" t="s">
        <v>14171</v>
      </c>
      <c r="G1147" s="1" t="s">
        <v>14171</v>
      </c>
      <c r="H1147" s="1" t="s">
        <v>21</v>
      </c>
      <c r="I1147" s="1"/>
      <c r="J1147" s="1" t="s">
        <v>14173</v>
      </c>
      <c r="K1147" s="1"/>
      <c r="L1147" s="1" t="s">
        <v>14174</v>
      </c>
    </row>
    <row r="1148">
      <c r="A1148" s="1" t="s">
        <v>2137</v>
      </c>
      <c r="B1148" s="1">
        <v>2004.0</v>
      </c>
      <c r="C1148" s="1" t="s">
        <v>14175</v>
      </c>
      <c r="D1148" s="1" t="s">
        <v>14176</v>
      </c>
      <c r="E1148" s="2" t="s">
        <v>14177</v>
      </c>
      <c r="F1148" s="1" t="s">
        <v>14180</v>
      </c>
      <c r="G1148" s="1" t="s">
        <v>14180</v>
      </c>
      <c r="H1148" s="1" t="s">
        <v>21</v>
      </c>
      <c r="I1148" s="1"/>
      <c r="J1148" s="1" t="s">
        <v>14181</v>
      </c>
      <c r="K1148" s="1"/>
      <c r="L1148" s="1" t="s">
        <v>14182</v>
      </c>
    </row>
    <row r="1149">
      <c r="A1149" s="1" t="s">
        <v>2137</v>
      </c>
      <c r="B1149" s="1">
        <v>2004.0</v>
      </c>
      <c r="C1149" s="1" t="s">
        <v>14183</v>
      </c>
      <c r="D1149" s="1" t="s">
        <v>14184</v>
      </c>
      <c r="E1149" s="2" t="s">
        <v>14185</v>
      </c>
      <c r="F1149" s="1">
        <v>41.0</v>
      </c>
      <c r="G1149" s="1">
        <v>48.0</v>
      </c>
      <c r="H1149" s="1" t="s">
        <v>28</v>
      </c>
      <c r="I1149" s="1"/>
      <c r="J1149" s="1" t="s">
        <v>14188</v>
      </c>
      <c r="K1149" s="1"/>
      <c r="L1149" s="1" t="s">
        <v>14189</v>
      </c>
      <c r="M1149" s="1" t="s">
        <v>14190</v>
      </c>
      <c r="N1149" s="1" t="s">
        <v>14191</v>
      </c>
    </row>
    <row r="1150">
      <c r="A1150" s="1" t="s">
        <v>2137</v>
      </c>
      <c r="B1150" s="1">
        <v>2004.0</v>
      </c>
      <c r="C1150" s="1" t="s">
        <v>14192</v>
      </c>
      <c r="D1150" s="1" t="s">
        <v>14193</v>
      </c>
      <c r="E1150" s="2" t="s">
        <v>14194</v>
      </c>
      <c r="F1150" s="1">
        <v>14.0</v>
      </c>
      <c r="G1150" s="1">
        <v>14.0</v>
      </c>
      <c r="H1150" s="1" t="s">
        <v>21</v>
      </c>
      <c r="I1150" s="1"/>
      <c r="J1150" s="1" t="s">
        <v>14198</v>
      </c>
      <c r="K1150" s="1"/>
      <c r="L1150" s="1" t="s">
        <v>14199</v>
      </c>
    </row>
    <row r="1151">
      <c r="A1151" s="1" t="s">
        <v>2137</v>
      </c>
      <c r="B1151" s="1">
        <v>2004.0</v>
      </c>
      <c r="C1151" s="1" t="s">
        <v>14200</v>
      </c>
      <c r="D1151" s="1" t="s">
        <v>14202</v>
      </c>
      <c r="E1151" s="2" t="s">
        <v>14203</v>
      </c>
      <c r="F1151" s="1">
        <v>25.0</v>
      </c>
      <c r="G1151" s="1">
        <v>32.0</v>
      </c>
      <c r="H1151" s="1" t="s">
        <v>28</v>
      </c>
      <c r="I1151" s="1"/>
      <c r="J1151" s="1" t="s">
        <v>14209</v>
      </c>
      <c r="K1151" s="1"/>
      <c r="L1151" s="1" t="s">
        <v>178</v>
      </c>
      <c r="M1151" s="1" t="s">
        <v>12884</v>
      </c>
      <c r="N1151" s="1" t="s">
        <v>14210</v>
      </c>
    </row>
    <row r="1152">
      <c r="A1152" s="1" t="s">
        <v>2137</v>
      </c>
      <c r="B1152" s="1">
        <v>2004.0</v>
      </c>
      <c r="C1152" s="1" t="s">
        <v>14211</v>
      </c>
      <c r="D1152" s="1" t="s">
        <v>14212</v>
      </c>
      <c r="E1152" s="2" t="s">
        <v>14213</v>
      </c>
      <c r="F1152" s="1">
        <v>17.0</v>
      </c>
      <c r="G1152" s="1">
        <v>17.0</v>
      </c>
      <c r="H1152" s="1" t="s">
        <v>21</v>
      </c>
      <c r="I1152" s="1"/>
      <c r="J1152" s="1" t="s">
        <v>14217</v>
      </c>
      <c r="K1152" s="1"/>
      <c r="L1152" s="1" t="s">
        <v>14218</v>
      </c>
    </row>
    <row r="1153">
      <c r="A1153" s="1" t="s">
        <v>2137</v>
      </c>
      <c r="B1153" s="1">
        <v>2004.0</v>
      </c>
      <c r="C1153" s="1" t="s">
        <v>14220</v>
      </c>
      <c r="D1153" s="1" t="s">
        <v>14222</v>
      </c>
      <c r="E1153" s="2" t="s">
        <v>14224</v>
      </c>
      <c r="F1153" s="1">
        <v>4.0</v>
      </c>
      <c r="G1153" s="1">
        <v>4.0</v>
      </c>
      <c r="H1153" s="1" t="s">
        <v>21</v>
      </c>
      <c r="I1153" s="1"/>
      <c r="J1153" s="1" t="s">
        <v>14140</v>
      </c>
      <c r="K1153" s="1"/>
      <c r="L1153" s="1" t="s">
        <v>14228</v>
      </c>
    </row>
    <row r="1154">
      <c r="A1154" s="1" t="s">
        <v>2137</v>
      </c>
      <c r="B1154" s="1">
        <v>2004.0</v>
      </c>
      <c r="C1154" s="1" t="s">
        <v>14229</v>
      </c>
      <c r="D1154" s="1" t="s">
        <v>14230</v>
      </c>
      <c r="E1154" s="2" t="s">
        <v>14231</v>
      </c>
      <c r="F1154" s="1">
        <v>65.0</v>
      </c>
      <c r="G1154" s="1">
        <v>72.0</v>
      </c>
      <c r="H1154" s="1" t="s">
        <v>28</v>
      </c>
      <c r="I1154" s="1"/>
      <c r="J1154" s="1" t="s">
        <v>6845</v>
      </c>
      <c r="K1154" s="1"/>
      <c r="L1154" s="1" t="s">
        <v>14236</v>
      </c>
      <c r="M1154" s="1" t="s">
        <v>14238</v>
      </c>
      <c r="N1154" s="1" t="s">
        <v>14239</v>
      </c>
    </row>
    <row r="1155">
      <c r="A1155" s="1" t="s">
        <v>2137</v>
      </c>
      <c r="B1155" s="1">
        <v>2004.0</v>
      </c>
      <c r="C1155" s="1" t="s">
        <v>14242</v>
      </c>
      <c r="D1155" s="1" t="s">
        <v>14243</v>
      </c>
      <c r="E1155" s="2" t="s">
        <v>14244</v>
      </c>
      <c r="F1155" s="1" t="s">
        <v>14248</v>
      </c>
      <c r="G1155" s="1" t="s">
        <v>14248</v>
      </c>
      <c r="H1155" s="1" t="s">
        <v>21</v>
      </c>
      <c r="I1155" s="1"/>
      <c r="J1155" s="1" t="s">
        <v>14249</v>
      </c>
      <c r="K1155" s="1"/>
      <c r="L1155" s="1" t="s">
        <v>14250</v>
      </c>
    </row>
    <row r="1156">
      <c r="A1156" s="1" t="s">
        <v>2137</v>
      </c>
      <c r="B1156" s="1">
        <v>2004.0</v>
      </c>
      <c r="C1156" s="1" t="s">
        <v>14251</v>
      </c>
      <c r="D1156" s="1" t="s">
        <v>14252</v>
      </c>
      <c r="E1156" s="2" t="s">
        <v>14253</v>
      </c>
      <c r="F1156" s="1" t="s">
        <v>14259</v>
      </c>
      <c r="G1156" s="1" t="s">
        <v>14259</v>
      </c>
      <c r="H1156" s="1" t="s">
        <v>21</v>
      </c>
      <c r="I1156" s="1"/>
      <c r="J1156" s="1" t="s">
        <v>6845</v>
      </c>
      <c r="K1156" s="1"/>
      <c r="L1156" s="1" t="s">
        <v>14261</v>
      </c>
    </row>
    <row r="1157">
      <c r="A1157" s="1" t="s">
        <v>2137</v>
      </c>
      <c r="B1157" s="1">
        <v>2004.0</v>
      </c>
      <c r="C1157" s="1" t="s">
        <v>14262</v>
      </c>
      <c r="D1157" s="1" t="s">
        <v>14263</v>
      </c>
      <c r="E1157" s="2" t="s">
        <v>14264</v>
      </c>
      <c r="F1157" s="1" t="s">
        <v>14267</v>
      </c>
      <c r="G1157" s="1" t="s">
        <v>14267</v>
      </c>
      <c r="H1157" s="1" t="s">
        <v>21</v>
      </c>
      <c r="I1157" s="1"/>
      <c r="J1157" s="1" t="s">
        <v>14268</v>
      </c>
      <c r="K1157" s="1"/>
      <c r="L1157" s="1" t="s">
        <v>14269</v>
      </c>
    </row>
    <row r="1158">
      <c r="A1158" s="1" t="s">
        <v>2137</v>
      </c>
      <c r="B1158" s="1">
        <v>2004.0</v>
      </c>
      <c r="C1158" s="1" t="s">
        <v>14270</v>
      </c>
      <c r="D1158" s="1" t="s">
        <v>14271</v>
      </c>
      <c r="E1158" s="2" t="s">
        <v>14272</v>
      </c>
      <c r="F1158" s="1" t="s">
        <v>14278</v>
      </c>
      <c r="G1158" s="1" t="s">
        <v>14278</v>
      </c>
      <c r="H1158" s="1" t="s">
        <v>21</v>
      </c>
      <c r="I1158" s="1"/>
      <c r="J1158" s="1" t="s">
        <v>14279</v>
      </c>
      <c r="K1158" s="1"/>
      <c r="L1158" s="1" t="s">
        <v>14280</v>
      </c>
    </row>
    <row r="1159">
      <c r="A1159" s="1" t="s">
        <v>2137</v>
      </c>
      <c r="B1159" s="1">
        <v>2004.0</v>
      </c>
      <c r="C1159" s="1" t="s">
        <v>14281</v>
      </c>
      <c r="D1159" s="1" t="s">
        <v>14282</v>
      </c>
      <c r="E1159" s="2" t="s">
        <v>14283</v>
      </c>
      <c r="F1159" s="1">
        <v>7.0</v>
      </c>
      <c r="G1159" s="1">
        <v>7.0</v>
      </c>
      <c r="H1159" s="1" t="s">
        <v>21</v>
      </c>
      <c r="I1159" s="1"/>
      <c r="J1159" s="1" t="s">
        <v>14285</v>
      </c>
      <c r="K1159" s="1"/>
      <c r="L1159" s="1" t="s">
        <v>14286</v>
      </c>
    </row>
    <row r="1160">
      <c r="A1160" s="1" t="s">
        <v>2137</v>
      </c>
      <c r="B1160" s="1">
        <v>2004.0</v>
      </c>
      <c r="C1160" s="1" t="s">
        <v>14287</v>
      </c>
      <c r="D1160" s="1" t="s">
        <v>14288</v>
      </c>
      <c r="E1160" s="2" t="s">
        <v>14289</v>
      </c>
      <c r="F1160" s="1">
        <v>10.0</v>
      </c>
      <c r="G1160" s="1">
        <v>10.0</v>
      </c>
      <c r="H1160" s="1" t="s">
        <v>21</v>
      </c>
      <c r="I1160" s="1"/>
      <c r="J1160" s="1" t="s">
        <v>14293</v>
      </c>
      <c r="K1160" s="1"/>
      <c r="L1160" s="1" t="s">
        <v>14294</v>
      </c>
    </row>
    <row r="1161">
      <c r="A1161" s="1" t="s">
        <v>2137</v>
      </c>
      <c r="B1161" s="1">
        <v>2004.0</v>
      </c>
      <c r="C1161" s="1" t="s">
        <v>14295</v>
      </c>
      <c r="D1161" s="1" t="s">
        <v>14296</v>
      </c>
      <c r="E1161" s="2" t="s">
        <v>14297</v>
      </c>
      <c r="F1161" s="1">
        <v>11.0</v>
      </c>
      <c r="G1161" s="1">
        <v>11.0</v>
      </c>
      <c r="H1161" s="1" t="s">
        <v>21</v>
      </c>
      <c r="I1161" s="1"/>
      <c r="J1161" s="1" t="s">
        <v>14301</v>
      </c>
      <c r="K1161" s="1"/>
      <c r="L1161" s="1" t="s">
        <v>14302</v>
      </c>
    </row>
    <row r="1162">
      <c r="A1162" s="1" t="s">
        <v>2137</v>
      </c>
      <c r="B1162" s="1">
        <v>2004.0</v>
      </c>
      <c r="C1162" s="1" t="s">
        <v>14305</v>
      </c>
      <c r="D1162" s="1" t="s">
        <v>14306</v>
      </c>
      <c r="E1162" s="2" t="s">
        <v>14307</v>
      </c>
      <c r="F1162" s="1">
        <v>199.0</v>
      </c>
      <c r="G1162" s="1">
        <v>206.0</v>
      </c>
      <c r="H1162" s="1" t="s">
        <v>28</v>
      </c>
      <c r="I1162" s="1"/>
      <c r="J1162" s="1" t="s">
        <v>11885</v>
      </c>
      <c r="K1162" s="1"/>
      <c r="L1162" s="1" t="s">
        <v>14311</v>
      </c>
      <c r="M1162" s="1" t="s">
        <v>14312</v>
      </c>
      <c r="N1162" s="1" t="s">
        <v>14313</v>
      </c>
    </row>
    <row r="1163">
      <c r="A1163" s="1" t="s">
        <v>2137</v>
      </c>
      <c r="B1163" s="1">
        <v>2004.0</v>
      </c>
      <c r="C1163" s="1" t="s">
        <v>14314</v>
      </c>
      <c r="D1163" s="1" t="s">
        <v>14315</v>
      </c>
      <c r="E1163" s="2" t="s">
        <v>14316</v>
      </c>
      <c r="F1163" s="1" t="s">
        <v>14321</v>
      </c>
      <c r="G1163" s="1" t="s">
        <v>14321</v>
      </c>
      <c r="H1163" s="1" t="s">
        <v>21</v>
      </c>
      <c r="I1163" s="1"/>
      <c r="J1163" s="1" t="s">
        <v>14323</v>
      </c>
    </row>
    <row r="1164">
      <c r="A1164" s="1" t="s">
        <v>2137</v>
      </c>
      <c r="B1164" s="1">
        <v>2004.0</v>
      </c>
      <c r="C1164" s="1" t="s">
        <v>14325</v>
      </c>
      <c r="D1164" s="1" t="s">
        <v>14326</v>
      </c>
      <c r="E1164" s="2" t="s">
        <v>14327</v>
      </c>
      <c r="F1164" s="1" t="s">
        <v>14331</v>
      </c>
      <c r="G1164" s="1" t="s">
        <v>14331</v>
      </c>
      <c r="H1164" s="1" t="s">
        <v>21</v>
      </c>
      <c r="I1164" s="1"/>
      <c r="J1164" s="1" t="s">
        <v>14332</v>
      </c>
      <c r="K1164" s="1"/>
      <c r="L1164" s="1" t="s">
        <v>14333</v>
      </c>
    </row>
    <row r="1165">
      <c r="A1165" s="1" t="s">
        <v>2137</v>
      </c>
      <c r="B1165" s="1">
        <v>2004.0</v>
      </c>
      <c r="C1165" s="1" t="s">
        <v>14334</v>
      </c>
      <c r="D1165" s="1" t="s">
        <v>14335</v>
      </c>
      <c r="E1165" s="2" t="s">
        <v>14336</v>
      </c>
      <c r="F1165" s="1">
        <v>183.0</v>
      </c>
      <c r="G1165" s="1">
        <v>190.0</v>
      </c>
      <c r="H1165" s="1" t="s">
        <v>28</v>
      </c>
      <c r="I1165" s="1"/>
      <c r="J1165" s="1" t="s">
        <v>14279</v>
      </c>
      <c r="K1165" s="1"/>
      <c r="L1165" s="1" t="s">
        <v>14341</v>
      </c>
      <c r="M1165" s="1" t="s">
        <v>12870</v>
      </c>
      <c r="N1165" s="1" t="s">
        <v>14342</v>
      </c>
    </row>
    <row r="1166">
      <c r="A1166" s="1" t="s">
        <v>2137</v>
      </c>
      <c r="B1166" s="1">
        <v>2004.0</v>
      </c>
      <c r="C1166" s="1" t="s">
        <v>14343</v>
      </c>
      <c r="D1166" s="1" t="s">
        <v>14344</v>
      </c>
      <c r="E1166" s="2" t="s">
        <v>14345</v>
      </c>
      <c r="F1166" s="1">
        <v>135.0</v>
      </c>
      <c r="G1166" s="1">
        <v>142.0</v>
      </c>
      <c r="H1166" s="1" t="s">
        <v>28</v>
      </c>
      <c r="I1166" s="1"/>
      <c r="J1166" s="1" t="s">
        <v>14350</v>
      </c>
      <c r="K1166" s="1"/>
      <c r="L1166" s="1" t="s">
        <v>14352</v>
      </c>
      <c r="M1166" s="1" t="s">
        <v>14353</v>
      </c>
      <c r="N1166" s="1" t="s">
        <v>14354</v>
      </c>
    </row>
    <row r="1167">
      <c r="A1167" s="1" t="s">
        <v>2137</v>
      </c>
      <c r="B1167" s="1">
        <v>2004.0</v>
      </c>
      <c r="C1167" s="1" t="s">
        <v>14355</v>
      </c>
      <c r="D1167" s="1" t="s">
        <v>14356</v>
      </c>
      <c r="E1167" s="2" t="s">
        <v>14357</v>
      </c>
      <c r="F1167" s="1" t="s">
        <v>14360</v>
      </c>
      <c r="G1167" s="1" t="s">
        <v>14360</v>
      </c>
      <c r="H1167" s="1" t="s">
        <v>21</v>
      </c>
      <c r="I1167" s="1"/>
      <c r="J1167" s="1" t="s">
        <v>14362</v>
      </c>
      <c r="K1167" s="1"/>
      <c r="L1167" s="1" t="s">
        <v>14363</v>
      </c>
    </row>
    <row r="1168">
      <c r="A1168" s="1" t="s">
        <v>2137</v>
      </c>
      <c r="B1168" s="1">
        <v>2004.0</v>
      </c>
      <c r="C1168" s="1" t="s">
        <v>14364</v>
      </c>
      <c r="D1168" s="1" t="s">
        <v>14365</v>
      </c>
      <c r="E1168" s="2" t="s">
        <v>14366</v>
      </c>
      <c r="F1168" s="1">
        <v>207.0</v>
      </c>
      <c r="G1168" s="1">
        <v>214.0</v>
      </c>
      <c r="H1168" s="1" t="s">
        <v>28</v>
      </c>
      <c r="I1168" s="1"/>
      <c r="J1168" s="1" t="s">
        <v>14368</v>
      </c>
      <c r="K1168" s="1"/>
      <c r="L1168" s="1" t="s">
        <v>14370</v>
      </c>
      <c r="M1168" s="1" t="s">
        <v>14371</v>
      </c>
      <c r="N1168" s="1" t="s">
        <v>14372</v>
      </c>
    </row>
    <row r="1169">
      <c r="A1169" s="1" t="s">
        <v>2137</v>
      </c>
      <c r="B1169" s="1">
        <v>2004.0</v>
      </c>
      <c r="C1169" s="1" t="s">
        <v>14373</v>
      </c>
      <c r="D1169" s="1" t="s">
        <v>14374</v>
      </c>
      <c r="E1169" s="2" t="s">
        <v>14375</v>
      </c>
      <c r="F1169" s="1">
        <v>1.0</v>
      </c>
      <c r="G1169" s="1">
        <v>8.0</v>
      </c>
      <c r="H1169" s="1" t="s">
        <v>28</v>
      </c>
      <c r="I1169" s="1"/>
      <c r="J1169" s="1" t="s">
        <v>14379</v>
      </c>
      <c r="K1169" s="1"/>
      <c r="L1169" s="1" t="s">
        <v>14380</v>
      </c>
      <c r="M1169" s="1" t="s">
        <v>6913</v>
      </c>
      <c r="N1169" s="1" t="s">
        <v>14381</v>
      </c>
    </row>
    <row r="1170">
      <c r="A1170" s="1" t="s">
        <v>2137</v>
      </c>
      <c r="B1170" s="1">
        <v>2004.0</v>
      </c>
      <c r="C1170" s="1" t="s">
        <v>14382</v>
      </c>
      <c r="D1170" s="1" t="s">
        <v>14383</v>
      </c>
      <c r="E1170" s="2" t="s">
        <v>14385</v>
      </c>
      <c r="F1170" s="1" t="s">
        <v>14391</v>
      </c>
      <c r="G1170" s="1" t="s">
        <v>14391</v>
      </c>
      <c r="H1170" s="1" t="s">
        <v>21</v>
      </c>
      <c r="I1170" s="1"/>
      <c r="J1170" s="1" t="s">
        <v>14392</v>
      </c>
      <c r="K1170" s="1"/>
      <c r="L1170" s="1" t="s">
        <v>14393</v>
      </c>
    </row>
    <row r="1171">
      <c r="A1171" s="1" t="s">
        <v>2137</v>
      </c>
      <c r="B1171" s="1">
        <v>2004.0</v>
      </c>
      <c r="C1171" s="1" t="s">
        <v>14394</v>
      </c>
      <c r="D1171" s="1" t="s">
        <v>14395</v>
      </c>
      <c r="E1171" s="2" t="s">
        <v>14396</v>
      </c>
      <c r="F1171" s="1">
        <v>113.0</v>
      </c>
      <c r="G1171" s="1">
        <v>118.0</v>
      </c>
      <c r="H1171" s="1" t="s">
        <v>28</v>
      </c>
      <c r="I1171" s="1"/>
      <c r="J1171" s="1" t="s">
        <v>14401</v>
      </c>
      <c r="K1171" s="1"/>
      <c r="L1171" s="1" t="s">
        <v>14402</v>
      </c>
      <c r="M1171" s="1" t="s">
        <v>13285</v>
      </c>
      <c r="N1171" s="1" t="s">
        <v>14404</v>
      </c>
    </row>
    <row r="1172">
      <c r="A1172" s="1" t="s">
        <v>2137</v>
      </c>
      <c r="B1172" s="1">
        <v>2004.0</v>
      </c>
      <c r="C1172" s="1" t="s">
        <v>14405</v>
      </c>
      <c r="D1172" s="1" t="s">
        <v>14406</v>
      </c>
      <c r="E1172" s="2" t="s">
        <v>14407</v>
      </c>
      <c r="F1172" s="1">
        <v>3.0</v>
      </c>
      <c r="G1172" s="1">
        <v>3.0</v>
      </c>
      <c r="H1172" s="1" t="s">
        <v>21</v>
      </c>
      <c r="I1172" s="1"/>
      <c r="J1172" s="1" t="s">
        <v>14379</v>
      </c>
      <c r="K1172" s="1"/>
      <c r="L1172" s="1" t="s">
        <v>14411</v>
      </c>
    </row>
    <row r="1173">
      <c r="A1173" s="1" t="s">
        <v>2137</v>
      </c>
      <c r="B1173" s="1">
        <v>2004.0</v>
      </c>
      <c r="C1173" s="1" t="s">
        <v>14413</v>
      </c>
      <c r="D1173" s="1" t="s">
        <v>14414</v>
      </c>
      <c r="E1173" s="2" t="s">
        <v>14417</v>
      </c>
      <c r="F1173" s="1">
        <v>18.0</v>
      </c>
      <c r="G1173" s="1">
        <v>18.0</v>
      </c>
      <c r="H1173" s="1" t="s">
        <v>21</v>
      </c>
      <c r="I1173" s="1"/>
      <c r="J1173" s="1" t="s">
        <v>1467</v>
      </c>
      <c r="K1173" s="1"/>
      <c r="L1173" s="1" t="s">
        <v>14422</v>
      </c>
    </row>
    <row r="1174">
      <c r="A1174" s="1" t="s">
        <v>2137</v>
      </c>
      <c r="B1174" s="1">
        <v>2004.0</v>
      </c>
      <c r="C1174" s="1" t="s">
        <v>14423</v>
      </c>
      <c r="D1174" s="1" t="s">
        <v>14424</v>
      </c>
      <c r="E1174" s="2" t="s">
        <v>14425</v>
      </c>
      <c r="F1174" s="1">
        <v>33.0</v>
      </c>
      <c r="G1174" s="1">
        <v>40.0</v>
      </c>
      <c r="H1174" s="1" t="s">
        <v>28</v>
      </c>
      <c r="I1174" s="1"/>
      <c r="J1174" s="1" t="s">
        <v>14429</v>
      </c>
      <c r="K1174" s="1"/>
      <c r="L1174" s="1" t="s">
        <v>5349</v>
      </c>
      <c r="M1174" s="1" t="s">
        <v>14430</v>
      </c>
      <c r="N1174" s="1" t="s">
        <v>14431</v>
      </c>
    </row>
    <row r="1175">
      <c r="A1175" s="1" t="s">
        <v>2137</v>
      </c>
      <c r="B1175" s="1">
        <v>2004.0</v>
      </c>
      <c r="C1175" s="1" t="s">
        <v>14432</v>
      </c>
      <c r="D1175" s="1" t="s">
        <v>14433</v>
      </c>
      <c r="E1175" s="2" t="s">
        <v>14434</v>
      </c>
      <c r="F1175" s="1">
        <v>13.0</v>
      </c>
      <c r="G1175" s="1">
        <v>13.0</v>
      </c>
      <c r="H1175" s="1" t="s">
        <v>21</v>
      </c>
      <c r="I1175" s="1"/>
      <c r="J1175" s="1" t="s">
        <v>14437</v>
      </c>
      <c r="K1175" s="1"/>
      <c r="L1175" s="1" t="s">
        <v>14439</v>
      </c>
    </row>
    <row r="1176">
      <c r="A1176" s="1" t="s">
        <v>2137</v>
      </c>
      <c r="B1176" s="1">
        <v>2004.0</v>
      </c>
      <c r="C1176" s="1" t="s">
        <v>14440</v>
      </c>
      <c r="D1176" s="1" t="s">
        <v>14441</v>
      </c>
      <c r="E1176" s="2" t="s">
        <v>14442</v>
      </c>
      <c r="F1176" s="1">
        <v>151.0</v>
      </c>
      <c r="G1176" s="1">
        <v>158.0</v>
      </c>
      <c r="H1176" s="1" t="s">
        <v>28</v>
      </c>
      <c r="I1176" s="1"/>
      <c r="J1176" s="1" t="s">
        <v>14445</v>
      </c>
      <c r="K1176" s="1"/>
      <c r="L1176" s="1" t="s">
        <v>14446</v>
      </c>
      <c r="M1176" s="1" t="s">
        <v>14447</v>
      </c>
      <c r="N1176" s="1" t="s">
        <v>14448</v>
      </c>
    </row>
    <row r="1177">
      <c r="A1177" s="1" t="s">
        <v>2137</v>
      </c>
      <c r="B1177" s="1">
        <v>2004.0</v>
      </c>
      <c r="C1177" s="1" t="s">
        <v>14449</v>
      </c>
      <c r="D1177" s="1" t="s">
        <v>14450</v>
      </c>
      <c r="E1177" s="2" t="s">
        <v>14451</v>
      </c>
      <c r="F1177" s="1">
        <v>5.0</v>
      </c>
      <c r="G1177" s="1">
        <v>5.0</v>
      </c>
      <c r="H1177" s="1" t="s">
        <v>21</v>
      </c>
      <c r="I1177" s="1"/>
      <c r="J1177" s="1" t="s">
        <v>14455</v>
      </c>
      <c r="K1177" s="1"/>
      <c r="L1177" s="1" t="s">
        <v>14456</v>
      </c>
    </row>
    <row r="1178">
      <c r="A1178" s="1" t="s">
        <v>2137</v>
      </c>
      <c r="B1178" s="1">
        <v>2004.0</v>
      </c>
      <c r="C1178" s="1" t="s">
        <v>14457</v>
      </c>
      <c r="D1178" s="1" t="s">
        <v>14458</v>
      </c>
      <c r="E1178" s="2" t="s">
        <v>14459</v>
      </c>
      <c r="F1178" s="1">
        <v>57.0</v>
      </c>
      <c r="G1178" s="1">
        <v>64.0</v>
      </c>
      <c r="H1178" s="1" t="s">
        <v>28</v>
      </c>
      <c r="I1178" s="1"/>
      <c r="J1178" s="1" t="s">
        <v>14462</v>
      </c>
      <c r="K1178" s="1"/>
      <c r="L1178" s="1" t="s">
        <v>14463</v>
      </c>
      <c r="M1178" s="1" t="s">
        <v>14464</v>
      </c>
      <c r="N1178" s="1" t="s">
        <v>14465</v>
      </c>
    </row>
    <row r="1179">
      <c r="A1179" s="1" t="s">
        <v>2137</v>
      </c>
      <c r="B1179" s="1">
        <v>2004.0</v>
      </c>
      <c r="C1179" s="1" t="s">
        <v>14467</v>
      </c>
      <c r="D1179" s="1" t="s">
        <v>14468</v>
      </c>
      <c r="E1179" s="2" t="s">
        <v>14471</v>
      </c>
      <c r="F1179" s="1">
        <v>1.0</v>
      </c>
      <c r="G1179" s="1">
        <v>1.0</v>
      </c>
      <c r="H1179" s="1" t="s">
        <v>21</v>
      </c>
      <c r="I1179" s="1"/>
      <c r="J1179" s="1" t="s">
        <v>14455</v>
      </c>
      <c r="K1179" s="1"/>
      <c r="L1179" s="1" t="s">
        <v>14474</v>
      </c>
    </row>
    <row r="1180">
      <c r="A1180" s="1" t="s">
        <v>2137</v>
      </c>
      <c r="B1180" s="1">
        <v>2004.0</v>
      </c>
      <c r="C1180" s="1" t="s">
        <v>14476</v>
      </c>
      <c r="D1180" s="1" t="s">
        <v>14478</v>
      </c>
      <c r="E1180" s="2" t="s">
        <v>14480</v>
      </c>
      <c r="F1180" s="1">
        <v>167.0</v>
      </c>
      <c r="G1180" s="1">
        <v>174.0</v>
      </c>
      <c r="H1180" s="1" t="s">
        <v>28</v>
      </c>
      <c r="I1180" s="1"/>
      <c r="J1180" s="1" t="s">
        <v>14484</v>
      </c>
      <c r="K1180" s="1"/>
      <c r="L1180" s="1" t="s">
        <v>14485</v>
      </c>
      <c r="M1180" s="1" t="s">
        <v>14486</v>
      </c>
      <c r="N1180" s="1" t="s">
        <v>14487</v>
      </c>
    </row>
    <row r="1181">
      <c r="A1181" s="1" t="s">
        <v>2137</v>
      </c>
      <c r="B1181" s="1">
        <v>2004.0</v>
      </c>
      <c r="C1181" s="1" t="s">
        <v>14491</v>
      </c>
      <c r="D1181" s="1" t="s">
        <v>14492</v>
      </c>
      <c r="E1181" s="2" t="s">
        <v>14493</v>
      </c>
      <c r="F1181" s="1">
        <v>97.0</v>
      </c>
      <c r="G1181" s="1">
        <v>104.0</v>
      </c>
      <c r="H1181" s="1" t="s">
        <v>28</v>
      </c>
      <c r="I1181" s="1"/>
      <c r="J1181" s="1" t="s">
        <v>14497</v>
      </c>
      <c r="K1181" s="1"/>
      <c r="L1181" s="1" t="s">
        <v>14498</v>
      </c>
      <c r="M1181" s="1"/>
      <c r="N1181" s="1" t="s">
        <v>14500</v>
      </c>
    </row>
    <row r="1182">
      <c r="A1182" s="1" t="s">
        <v>2137</v>
      </c>
      <c r="B1182" s="1">
        <v>2004.0</v>
      </c>
      <c r="C1182" s="1" t="s">
        <v>14501</v>
      </c>
      <c r="D1182" s="1" t="s">
        <v>14502</v>
      </c>
      <c r="E1182" s="2" t="s">
        <v>14503</v>
      </c>
      <c r="F1182" s="1">
        <v>175.0</v>
      </c>
      <c r="G1182" s="1">
        <v>182.0</v>
      </c>
      <c r="H1182" s="1" t="s">
        <v>28</v>
      </c>
      <c r="I1182" s="1"/>
      <c r="J1182" s="1" t="s">
        <v>14506</v>
      </c>
      <c r="K1182" s="1"/>
      <c r="L1182" s="1" t="s">
        <v>14507</v>
      </c>
      <c r="M1182" s="1" t="s">
        <v>14508</v>
      </c>
      <c r="N1182" s="1" t="s">
        <v>14509</v>
      </c>
    </row>
    <row r="1183">
      <c r="A1183" s="1" t="s">
        <v>2137</v>
      </c>
      <c r="B1183" s="1">
        <v>2004.0</v>
      </c>
      <c r="C1183" s="1" t="s">
        <v>14510</v>
      </c>
      <c r="D1183" s="1" t="s">
        <v>14511</v>
      </c>
      <c r="E1183" s="2" t="s">
        <v>14512</v>
      </c>
      <c r="F1183" s="1">
        <v>9.0</v>
      </c>
      <c r="G1183" s="1">
        <v>9.0</v>
      </c>
      <c r="H1183" s="1" t="s">
        <v>21</v>
      </c>
      <c r="I1183" s="1"/>
      <c r="J1183" s="1" t="s">
        <v>14516</v>
      </c>
      <c r="K1183" s="1"/>
      <c r="L1183" s="1" t="s">
        <v>14517</v>
      </c>
    </row>
    <row r="1184">
      <c r="A1184" s="1" t="s">
        <v>2137</v>
      </c>
      <c r="B1184" s="1">
        <v>2004.0</v>
      </c>
      <c r="C1184" s="1" t="s">
        <v>14518</v>
      </c>
      <c r="D1184" s="1" t="s">
        <v>14519</v>
      </c>
      <c r="E1184" s="2" t="s">
        <v>14520</v>
      </c>
      <c r="F1184" s="1">
        <v>81.0</v>
      </c>
      <c r="G1184" s="1">
        <v>88.0</v>
      </c>
      <c r="H1184" s="1" t="s">
        <v>28</v>
      </c>
      <c r="I1184" s="1"/>
      <c r="J1184" s="1" t="s">
        <v>14521</v>
      </c>
      <c r="K1184" s="1"/>
      <c r="L1184" s="1" t="s">
        <v>14522</v>
      </c>
      <c r="M1184" s="1" t="s">
        <v>1842</v>
      </c>
      <c r="N1184" s="1" t="s">
        <v>14523</v>
      </c>
    </row>
    <row r="1185">
      <c r="A1185" s="1" t="s">
        <v>2137</v>
      </c>
      <c r="B1185" s="1">
        <v>2004.0</v>
      </c>
      <c r="C1185" s="1" t="s">
        <v>14528</v>
      </c>
      <c r="D1185" s="1" t="s">
        <v>14529</v>
      </c>
      <c r="E1185" s="2" t="s">
        <v>14530</v>
      </c>
      <c r="F1185" s="1" t="s">
        <v>14531</v>
      </c>
      <c r="G1185" s="1" t="s">
        <v>14531</v>
      </c>
      <c r="H1185" s="1" t="s">
        <v>21</v>
      </c>
      <c r="I1185" s="1"/>
      <c r="J1185" s="1" t="s">
        <v>14532</v>
      </c>
      <c r="K1185" s="1"/>
      <c r="L1185" s="1" t="s">
        <v>14533</v>
      </c>
    </row>
    <row r="1186">
      <c r="A1186" s="1" t="s">
        <v>2137</v>
      </c>
      <c r="B1186" s="1">
        <v>2004.0</v>
      </c>
      <c r="C1186" s="1" t="s">
        <v>14534</v>
      </c>
      <c r="D1186" s="1" t="s">
        <v>14535</v>
      </c>
      <c r="E1186" s="2" t="s">
        <v>14536</v>
      </c>
      <c r="F1186" s="1">
        <v>8.0</v>
      </c>
      <c r="G1186" s="1">
        <v>8.0</v>
      </c>
      <c r="H1186" s="1" t="s">
        <v>21</v>
      </c>
      <c r="I1186" s="1"/>
      <c r="J1186" s="1" t="s">
        <v>14537</v>
      </c>
      <c r="K1186" s="1"/>
      <c r="L1186" s="1" t="s">
        <v>14538</v>
      </c>
    </row>
    <row r="1187">
      <c r="A1187" s="1" t="s">
        <v>2137</v>
      </c>
      <c r="B1187" s="1">
        <v>2004.0</v>
      </c>
      <c r="C1187" s="1" t="s">
        <v>14539</v>
      </c>
      <c r="D1187" s="1" t="s">
        <v>14540</v>
      </c>
      <c r="E1187" s="2" t="s">
        <v>14541</v>
      </c>
      <c r="F1187" s="1">
        <v>9.0</v>
      </c>
      <c r="G1187" s="1">
        <v>16.0</v>
      </c>
      <c r="H1187" s="1" t="s">
        <v>28</v>
      </c>
      <c r="I1187" s="1"/>
      <c r="J1187" s="1" t="s">
        <v>6926</v>
      </c>
      <c r="K1187" s="1"/>
      <c r="L1187" s="1" t="s">
        <v>14542</v>
      </c>
      <c r="M1187" s="1" t="s">
        <v>14543</v>
      </c>
      <c r="N1187" s="1" t="s">
        <v>14544</v>
      </c>
    </row>
    <row r="1188">
      <c r="A1188" s="1" t="s">
        <v>2137</v>
      </c>
      <c r="B1188" s="1">
        <v>2004.0</v>
      </c>
      <c r="C1188" s="1" t="s">
        <v>14545</v>
      </c>
      <c r="D1188" s="1" t="s">
        <v>14546</v>
      </c>
      <c r="E1188" s="2" t="s">
        <v>14547</v>
      </c>
      <c r="F1188" s="1">
        <v>73.0</v>
      </c>
      <c r="G1188" s="1">
        <v>80.0</v>
      </c>
      <c r="H1188" s="1" t="s">
        <v>28</v>
      </c>
      <c r="I1188" s="1"/>
      <c r="J1188" s="1" t="s">
        <v>14551</v>
      </c>
      <c r="K1188" s="1"/>
      <c r="L1188" s="1" t="s">
        <v>14552</v>
      </c>
      <c r="M1188" s="1" t="s">
        <v>14553</v>
      </c>
      <c r="N1188" s="1" t="s">
        <v>14554</v>
      </c>
    </row>
    <row r="1189">
      <c r="A1189" s="1" t="s">
        <v>2137</v>
      </c>
      <c r="B1189" s="1">
        <v>2004.0</v>
      </c>
      <c r="C1189" s="1" t="s">
        <v>14555</v>
      </c>
      <c r="D1189" s="1" t="s">
        <v>14556</v>
      </c>
      <c r="E1189" s="2" t="s">
        <v>14557</v>
      </c>
      <c r="F1189" s="1">
        <v>22.0</v>
      </c>
      <c r="G1189" s="1">
        <v>22.0</v>
      </c>
      <c r="H1189" s="1" t="s">
        <v>21</v>
      </c>
      <c r="I1189" s="1"/>
      <c r="J1189" s="1" t="s">
        <v>14558</v>
      </c>
      <c r="K1189" s="1"/>
      <c r="L1189" s="1" t="s">
        <v>14559</v>
      </c>
    </row>
    <row r="1190">
      <c r="A1190" s="1" t="s">
        <v>2137</v>
      </c>
      <c r="B1190" s="1">
        <v>2004.0</v>
      </c>
      <c r="C1190" s="1" t="s">
        <v>14560</v>
      </c>
      <c r="D1190" s="1" t="s">
        <v>14561</v>
      </c>
      <c r="E1190" s="2" t="s">
        <v>14562</v>
      </c>
      <c r="F1190" s="1">
        <v>12.0</v>
      </c>
      <c r="G1190" s="1">
        <v>12.0</v>
      </c>
      <c r="H1190" s="1" t="s">
        <v>21</v>
      </c>
      <c r="I1190" s="1"/>
      <c r="J1190" s="1" t="s">
        <v>14568</v>
      </c>
      <c r="K1190" s="1"/>
      <c r="L1190" s="1" t="s">
        <v>14569</v>
      </c>
    </row>
    <row r="1191">
      <c r="A1191" s="1" t="s">
        <v>2137</v>
      </c>
      <c r="B1191" s="1">
        <v>2004.0</v>
      </c>
      <c r="C1191" s="1" t="s">
        <v>14570</v>
      </c>
      <c r="D1191" s="1" t="s">
        <v>14571</v>
      </c>
      <c r="E1191" s="2" t="s">
        <v>14572</v>
      </c>
      <c r="F1191" s="1">
        <v>15.0</v>
      </c>
      <c r="G1191" s="1">
        <v>15.0</v>
      </c>
      <c r="H1191" s="1" t="s">
        <v>21</v>
      </c>
      <c r="I1191" s="1"/>
      <c r="J1191" s="1" t="s">
        <v>14576</v>
      </c>
      <c r="K1191" s="1"/>
      <c r="L1191" s="1" t="s">
        <v>14577</v>
      </c>
    </row>
    <row r="1192">
      <c r="A1192" s="1" t="s">
        <v>2137</v>
      </c>
      <c r="B1192" s="1">
        <v>2004.0</v>
      </c>
      <c r="C1192" s="1" t="s">
        <v>14578</v>
      </c>
      <c r="D1192" s="1" t="s">
        <v>14579</v>
      </c>
      <c r="E1192" s="2" t="s">
        <v>14580</v>
      </c>
      <c r="F1192" s="1">
        <v>6.0</v>
      </c>
      <c r="G1192" s="1">
        <v>6.0</v>
      </c>
      <c r="H1192" s="1" t="s">
        <v>21</v>
      </c>
      <c r="I1192" s="1"/>
      <c r="J1192" s="1" t="s">
        <v>14584</v>
      </c>
      <c r="K1192" s="1"/>
      <c r="L1192" s="1" t="s">
        <v>14585</v>
      </c>
    </row>
    <row r="1193">
      <c r="A1193" s="1" t="s">
        <v>2137</v>
      </c>
      <c r="B1193" s="1">
        <v>2004.0</v>
      </c>
      <c r="C1193" s="1" t="s">
        <v>14586</v>
      </c>
      <c r="D1193" s="1" t="s">
        <v>14587</v>
      </c>
      <c r="E1193" s="2" t="s">
        <v>14588</v>
      </c>
      <c r="F1193" s="1">
        <v>20.0</v>
      </c>
      <c r="G1193" s="1">
        <v>20.0</v>
      </c>
      <c r="H1193" s="1" t="s">
        <v>21</v>
      </c>
      <c r="I1193" s="1"/>
      <c r="J1193" s="1" t="s">
        <v>14589</v>
      </c>
      <c r="K1193" s="1"/>
      <c r="L1193" s="1" t="s">
        <v>14590</v>
      </c>
    </row>
    <row r="1194">
      <c r="A1194" s="1" t="s">
        <v>2137</v>
      </c>
      <c r="B1194" s="1">
        <v>2004.0</v>
      </c>
      <c r="C1194" s="1" t="s">
        <v>14591</v>
      </c>
      <c r="D1194" s="1" t="s">
        <v>14592</v>
      </c>
      <c r="E1194" s="2" t="s">
        <v>14593</v>
      </c>
      <c r="F1194" s="1" t="s">
        <v>14597</v>
      </c>
      <c r="G1194" s="1" t="s">
        <v>14597</v>
      </c>
      <c r="H1194" s="1" t="s">
        <v>21</v>
      </c>
      <c r="I1194" s="1"/>
      <c r="J1194" s="1" t="s">
        <v>14537</v>
      </c>
      <c r="K1194" s="1"/>
      <c r="L1194" s="1" t="s">
        <v>14598</v>
      </c>
    </row>
    <row r="1195">
      <c r="A1195" s="1" t="s">
        <v>2137</v>
      </c>
      <c r="B1195" s="1">
        <v>2004.0</v>
      </c>
      <c r="C1195" s="1" t="s">
        <v>14599</v>
      </c>
      <c r="D1195" s="1" t="s">
        <v>14600</v>
      </c>
      <c r="E1195" s="2" t="s">
        <v>14601</v>
      </c>
      <c r="F1195" s="1">
        <v>105.0</v>
      </c>
      <c r="G1195" s="1">
        <v>111.0</v>
      </c>
      <c r="H1195" s="1" t="s">
        <v>28</v>
      </c>
      <c r="I1195" s="1"/>
      <c r="J1195" s="1" t="s">
        <v>14604</v>
      </c>
      <c r="K1195" s="1"/>
      <c r="L1195" s="1" t="s">
        <v>14606</v>
      </c>
      <c r="M1195" s="1"/>
      <c r="N1195" s="1" t="s">
        <v>14607</v>
      </c>
    </row>
    <row r="1196">
      <c r="A1196" s="1" t="s">
        <v>17</v>
      </c>
      <c r="B1196" s="1">
        <v>2004.0</v>
      </c>
      <c r="C1196" s="1" t="s">
        <v>14608</v>
      </c>
      <c r="D1196" s="1" t="s">
        <v>14609</v>
      </c>
      <c r="E1196" s="2" t="s">
        <v>14610</v>
      </c>
      <c r="F1196" s="1">
        <v>7.0</v>
      </c>
      <c r="G1196" s="1">
        <v>7.0</v>
      </c>
      <c r="H1196" s="1" t="s">
        <v>21</v>
      </c>
      <c r="I1196" s="1"/>
      <c r="J1196" s="1" t="s">
        <v>14614</v>
      </c>
      <c r="K1196" s="1"/>
      <c r="L1196" s="1" t="s">
        <v>14615</v>
      </c>
    </row>
    <row r="1197">
      <c r="A1197" s="1" t="s">
        <v>17</v>
      </c>
      <c r="B1197" s="1">
        <v>2004.0</v>
      </c>
      <c r="C1197" s="1" t="s">
        <v>14616</v>
      </c>
      <c r="D1197" s="1" t="s">
        <v>14617</v>
      </c>
      <c r="E1197" s="2" t="s">
        <v>14618</v>
      </c>
      <c r="F1197" s="1">
        <v>259.0</v>
      </c>
      <c r="G1197" s="1">
        <v>266.0</v>
      </c>
      <c r="H1197" s="1" t="s">
        <v>28</v>
      </c>
      <c r="I1197" s="1"/>
      <c r="J1197" s="1" t="s">
        <v>14686</v>
      </c>
      <c r="K1197" s="1"/>
      <c r="L1197" s="1" t="s">
        <v>753</v>
      </c>
      <c r="M1197" s="1" t="s">
        <v>13266</v>
      </c>
      <c r="N1197" s="1" t="s">
        <v>14687</v>
      </c>
    </row>
    <row r="1198">
      <c r="A1198" s="1" t="s">
        <v>17</v>
      </c>
      <c r="B1198" s="1">
        <v>2004.0</v>
      </c>
      <c r="C1198" s="1" t="s">
        <v>14688</v>
      </c>
      <c r="D1198" s="1" t="s">
        <v>14689</v>
      </c>
      <c r="E1198" s="2" t="s">
        <v>14690</v>
      </c>
      <c r="F1198" s="1">
        <v>433.0</v>
      </c>
      <c r="G1198" s="1">
        <v>440.0</v>
      </c>
      <c r="H1198" s="1" t="s">
        <v>28</v>
      </c>
      <c r="I1198" s="1"/>
      <c r="J1198" s="1" t="s">
        <v>14691</v>
      </c>
      <c r="K1198" s="1"/>
      <c r="L1198" s="1" t="s">
        <v>14692</v>
      </c>
      <c r="M1198" s="1" t="s">
        <v>14693</v>
      </c>
      <c r="N1198" s="1" t="s">
        <v>14694</v>
      </c>
    </row>
    <row r="1199">
      <c r="A1199" s="1" t="s">
        <v>17</v>
      </c>
      <c r="B1199" s="1">
        <v>2004.0</v>
      </c>
      <c r="C1199" s="1" t="s">
        <v>14695</v>
      </c>
      <c r="D1199" s="1" t="s">
        <v>14696</v>
      </c>
      <c r="E1199" s="2" t="s">
        <v>14697</v>
      </c>
      <c r="F1199" s="1">
        <v>243.0</v>
      </c>
      <c r="G1199" s="1">
        <v>250.0</v>
      </c>
      <c r="H1199" s="1" t="s">
        <v>28</v>
      </c>
      <c r="I1199" s="1"/>
      <c r="J1199" s="1" t="s">
        <v>14614</v>
      </c>
      <c r="K1199" s="1"/>
      <c r="L1199" s="1" t="s">
        <v>14698</v>
      </c>
      <c r="M1199" s="1" t="s">
        <v>14699</v>
      </c>
      <c r="N1199" s="1" t="s">
        <v>14700</v>
      </c>
    </row>
    <row r="1200">
      <c r="A1200" s="1" t="s">
        <v>17</v>
      </c>
      <c r="B1200" s="1">
        <v>2004.0</v>
      </c>
      <c r="C1200" s="1" t="s">
        <v>14701</v>
      </c>
      <c r="D1200" s="1" t="s">
        <v>14702</v>
      </c>
      <c r="E1200" s="2" t="s">
        <v>14703</v>
      </c>
      <c r="F1200" s="1">
        <v>385.0</v>
      </c>
      <c r="G1200" s="1">
        <v>392.0</v>
      </c>
      <c r="H1200" s="1" t="s">
        <v>28</v>
      </c>
      <c r="I1200" s="1"/>
      <c r="J1200" s="1" t="s">
        <v>14704</v>
      </c>
      <c r="K1200" s="1"/>
      <c r="L1200" s="1" t="s">
        <v>14705</v>
      </c>
      <c r="M1200" s="1" t="s">
        <v>14706</v>
      </c>
      <c r="N1200" s="1" t="s">
        <v>14707</v>
      </c>
    </row>
    <row r="1201">
      <c r="A1201" s="1" t="s">
        <v>17</v>
      </c>
      <c r="B1201" s="1">
        <v>2004.0</v>
      </c>
      <c r="C1201" s="1" t="s">
        <v>14708</v>
      </c>
      <c r="D1201" s="1" t="s">
        <v>14709</v>
      </c>
      <c r="E1201" s="2" t="s">
        <v>14710</v>
      </c>
      <c r="F1201" s="1">
        <v>313.0</v>
      </c>
      <c r="G1201" s="1">
        <v>320.0</v>
      </c>
      <c r="H1201" s="1" t="s">
        <v>28</v>
      </c>
      <c r="I1201" s="1"/>
      <c r="J1201" s="1" t="s">
        <v>12502</v>
      </c>
      <c r="K1201" s="1"/>
      <c r="L1201" s="1" t="s">
        <v>3182</v>
      </c>
      <c r="M1201" s="1" t="s">
        <v>14711</v>
      </c>
      <c r="N1201" s="1" t="s">
        <v>14712</v>
      </c>
    </row>
    <row r="1202">
      <c r="A1202" s="1" t="s">
        <v>17</v>
      </c>
      <c r="B1202" s="1">
        <v>2004.0</v>
      </c>
      <c r="C1202" s="1" t="s">
        <v>14713</v>
      </c>
      <c r="D1202" s="1" t="s">
        <v>14714</v>
      </c>
      <c r="E1202" s="2" t="s">
        <v>14715</v>
      </c>
      <c r="F1202" s="1">
        <v>337.0</v>
      </c>
      <c r="G1202" s="1">
        <v>344.0</v>
      </c>
      <c r="H1202" s="1" t="s">
        <v>28</v>
      </c>
      <c r="I1202" s="1"/>
      <c r="J1202" s="1" t="s">
        <v>14716</v>
      </c>
      <c r="K1202" s="1"/>
      <c r="L1202" s="1" t="s">
        <v>14717</v>
      </c>
      <c r="M1202" s="1" t="s">
        <v>5005</v>
      </c>
      <c r="N1202" s="1" t="s">
        <v>14718</v>
      </c>
    </row>
    <row r="1203">
      <c r="A1203" s="1" t="s">
        <v>17</v>
      </c>
      <c r="B1203" s="1">
        <v>2004.0</v>
      </c>
      <c r="C1203" s="1" t="s">
        <v>14719</v>
      </c>
      <c r="D1203" s="1" t="s">
        <v>14720</v>
      </c>
      <c r="E1203" s="2" t="s">
        <v>14721</v>
      </c>
      <c r="F1203" s="1">
        <v>329.0</v>
      </c>
      <c r="G1203" s="1">
        <v>336.0</v>
      </c>
      <c r="H1203" s="1" t="s">
        <v>28</v>
      </c>
      <c r="I1203" s="1"/>
      <c r="J1203" s="1" t="s">
        <v>14722</v>
      </c>
      <c r="K1203" s="1"/>
      <c r="L1203" s="1" t="s">
        <v>5181</v>
      </c>
      <c r="M1203" s="1" t="s">
        <v>14723</v>
      </c>
      <c r="N1203" s="1" t="s">
        <v>14724</v>
      </c>
    </row>
    <row r="1204">
      <c r="A1204" s="1" t="s">
        <v>17</v>
      </c>
      <c r="B1204" s="1">
        <v>2004.0</v>
      </c>
      <c r="C1204" s="1" t="s">
        <v>14725</v>
      </c>
      <c r="D1204" s="1" t="s">
        <v>14726</v>
      </c>
      <c r="E1204" s="2" t="s">
        <v>14727</v>
      </c>
      <c r="F1204" s="1">
        <v>25.0</v>
      </c>
      <c r="G1204" s="1">
        <v>25.0</v>
      </c>
      <c r="H1204" s="1" t="s">
        <v>21</v>
      </c>
      <c r="I1204" s="1"/>
      <c r="J1204" s="1" t="s">
        <v>14728</v>
      </c>
      <c r="K1204" s="1"/>
      <c r="L1204" s="1" t="s">
        <v>14729</v>
      </c>
    </row>
    <row r="1205">
      <c r="A1205" s="1" t="s">
        <v>17</v>
      </c>
      <c r="B1205" s="1">
        <v>2004.0</v>
      </c>
      <c r="C1205" s="1" t="s">
        <v>14730</v>
      </c>
      <c r="D1205" s="1" t="s">
        <v>14731</v>
      </c>
      <c r="E1205" s="2" t="s">
        <v>14732</v>
      </c>
      <c r="F1205" s="1">
        <v>1.0</v>
      </c>
      <c r="G1205" s="1">
        <v>1.0</v>
      </c>
      <c r="H1205" s="1" t="s">
        <v>21</v>
      </c>
      <c r="I1205" s="1"/>
      <c r="J1205" s="1" t="s">
        <v>14733</v>
      </c>
      <c r="K1205" s="1"/>
      <c r="L1205" s="1" t="s">
        <v>14734</v>
      </c>
    </row>
    <row r="1206">
      <c r="A1206" s="1" t="s">
        <v>17</v>
      </c>
      <c r="B1206" s="1">
        <v>2004.0</v>
      </c>
      <c r="C1206" s="1" t="s">
        <v>14735</v>
      </c>
      <c r="D1206" s="1" t="s">
        <v>14736</v>
      </c>
      <c r="E1206" s="2" t="s">
        <v>14737</v>
      </c>
      <c r="F1206" s="1">
        <v>30.0</v>
      </c>
      <c r="G1206" s="1">
        <v>30.0</v>
      </c>
      <c r="H1206" s="1" t="s">
        <v>21</v>
      </c>
      <c r="I1206" s="1"/>
      <c r="J1206" s="1" t="s">
        <v>14738</v>
      </c>
      <c r="K1206" s="1"/>
      <c r="L1206" s="1" t="s">
        <v>14739</v>
      </c>
    </row>
    <row r="1207">
      <c r="A1207" s="1" t="s">
        <v>17</v>
      </c>
      <c r="B1207" s="1">
        <v>2004.0</v>
      </c>
      <c r="C1207" s="1" t="s">
        <v>14740</v>
      </c>
      <c r="D1207" s="1" t="s">
        <v>14741</v>
      </c>
      <c r="E1207" s="2" t="s">
        <v>14742</v>
      </c>
      <c r="F1207" s="1">
        <v>147.0</v>
      </c>
      <c r="G1207" s="1">
        <v>154.0</v>
      </c>
      <c r="H1207" s="1" t="s">
        <v>28</v>
      </c>
      <c r="I1207" s="1"/>
      <c r="J1207" s="1" t="s">
        <v>14743</v>
      </c>
      <c r="K1207" s="1"/>
      <c r="L1207" s="1" t="s">
        <v>14744</v>
      </c>
      <c r="M1207" s="1" t="s">
        <v>14745</v>
      </c>
      <c r="N1207" s="1" t="s">
        <v>14746</v>
      </c>
    </row>
    <row r="1208">
      <c r="A1208" s="1" t="s">
        <v>17</v>
      </c>
      <c r="B1208" s="1">
        <v>2004.0</v>
      </c>
      <c r="C1208" s="1" t="s">
        <v>14747</v>
      </c>
      <c r="D1208" s="1" t="s">
        <v>14748</v>
      </c>
      <c r="E1208" s="2" t="s">
        <v>14749</v>
      </c>
      <c r="F1208" s="1">
        <v>3.0</v>
      </c>
      <c r="G1208" s="1">
        <v>3.0</v>
      </c>
      <c r="H1208" s="1" t="s">
        <v>21</v>
      </c>
      <c r="I1208" s="1"/>
      <c r="J1208" s="1" t="s">
        <v>14750</v>
      </c>
      <c r="K1208" s="1"/>
      <c r="L1208" s="1" t="s">
        <v>14751</v>
      </c>
    </row>
    <row r="1209">
      <c r="A1209" s="1" t="s">
        <v>17</v>
      </c>
      <c r="B1209" s="1">
        <v>2004.0</v>
      </c>
      <c r="C1209" s="1" t="s">
        <v>14752</v>
      </c>
      <c r="D1209" s="1" t="s">
        <v>14753</v>
      </c>
      <c r="E1209" s="2" t="s">
        <v>14754</v>
      </c>
      <c r="F1209" s="1">
        <v>155.0</v>
      </c>
      <c r="G1209" s="1">
        <v>162.0</v>
      </c>
      <c r="H1209" s="1" t="s">
        <v>28</v>
      </c>
      <c r="I1209" s="1"/>
      <c r="J1209" s="1" t="s">
        <v>14755</v>
      </c>
      <c r="K1209" s="1"/>
      <c r="L1209" s="1" t="s">
        <v>14756</v>
      </c>
      <c r="M1209" s="1" t="s">
        <v>3639</v>
      </c>
      <c r="N1209" s="1" t="s">
        <v>14757</v>
      </c>
    </row>
    <row r="1210">
      <c r="A1210" s="1" t="s">
        <v>17</v>
      </c>
      <c r="B1210" s="1">
        <v>2004.0</v>
      </c>
      <c r="C1210" s="1" t="s">
        <v>14758</v>
      </c>
      <c r="D1210" s="1" t="s">
        <v>14759</v>
      </c>
      <c r="E1210" s="2" t="s">
        <v>14760</v>
      </c>
      <c r="F1210" s="1">
        <v>187.0</v>
      </c>
      <c r="G1210" s="1">
        <v>194.0</v>
      </c>
      <c r="H1210" s="1" t="s">
        <v>28</v>
      </c>
      <c r="I1210" s="1"/>
      <c r="J1210" s="1" t="s">
        <v>14761</v>
      </c>
      <c r="K1210" s="1"/>
      <c r="L1210" s="1" t="s">
        <v>14762</v>
      </c>
      <c r="M1210" s="1" t="s">
        <v>14763</v>
      </c>
      <c r="N1210" s="1" t="s">
        <v>14764</v>
      </c>
    </row>
    <row r="1211">
      <c r="A1211" s="1" t="s">
        <v>17</v>
      </c>
      <c r="B1211" s="1">
        <v>2004.0</v>
      </c>
      <c r="C1211" s="1" t="s">
        <v>14765</v>
      </c>
      <c r="D1211" s="1" t="s">
        <v>14766</v>
      </c>
      <c r="E1211" s="2" t="s">
        <v>14767</v>
      </c>
      <c r="F1211" s="1">
        <v>23.0</v>
      </c>
      <c r="G1211" s="1">
        <v>23.0</v>
      </c>
      <c r="H1211" s="1" t="s">
        <v>21</v>
      </c>
      <c r="I1211" s="1"/>
      <c r="J1211" s="1" t="s">
        <v>14768</v>
      </c>
      <c r="K1211" s="1"/>
      <c r="L1211" s="1" t="s">
        <v>14769</v>
      </c>
    </row>
    <row r="1212">
      <c r="A1212" s="1" t="s">
        <v>17</v>
      </c>
      <c r="B1212" s="1">
        <v>2004.0</v>
      </c>
      <c r="C1212" s="1" t="s">
        <v>14770</v>
      </c>
      <c r="D1212" s="1" t="s">
        <v>14771</v>
      </c>
      <c r="E1212" s="2" t="s">
        <v>14772</v>
      </c>
      <c r="F1212" s="1">
        <v>369.0</v>
      </c>
      <c r="G1212" s="1">
        <v>376.0</v>
      </c>
      <c r="H1212" s="1" t="s">
        <v>28</v>
      </c>
      <c r="I1212" s="1"/>
      <c r="J1212" s="1" t="s">
        <v>14773</v>
      </c>
      <c r="K1212" s="1"/>
      <c r="L1212" s="1" t="s">
        <v>14774</v>
      </c>
      <c r="M1212" s="1" t="s">
        <v>14775</v>
      </c>
      <c r="N1212" s="1" t="s">
        <v>14776</v>
      </c>
    </row>
    <row r="1213">
      <c r="A1213" s="1" t="s">
        <v>17</v>
      </c>
      <c r="B1213" s="1">
        <v>2004.0</v>
      </c>
      <c r="C1213" s="1" t="s">
        <v>14777</v>
      </c>
      <c r="D1213" s="1" t="s">
        <v>14778</v>
      </c>
      <c r="E1213" s="2" t="s">
        <v>14779</v>
      </c>
      <c r="F1213" s="1">
        <v>29.0</v>
      </c>
      <c r="G1213" s="1">
        <v>29.0</v>
      </c>
      <c r="H1213" s="1" t="s">
        <v>21</v>
      </c>
      <c r="I1213" s="1"/>
      <c r="J1213" s="1" t="s">
        <v>14780</v>
      </c>
      <c r="K1213" s="1"/>
      <c r="L1213" s="1" t="s">
        <v>14781</v>
      </c>
    </row>
    <row r="1214">
      <c r="A1214" s="1" t="s">
        <v>17</v>
      </c>
      <c r="B1214" s="1">
        <v>2004.0</v>
      </c>
      <c r="C1214" s="1" t="s">
        <v>14782</v>
      </c>
      <c r="D1214" s="1" t="s">
        <v>14783</v>
      </c>
      <c r="E1214" s="2" t="s">
        <v>14784</v>
      </c>
      <c r="F1214" s="1">
        <v>21.0</v>
      </c>
      <c r="G1214" s="1">
        <v>21.0</v>
      </c>
      <c r="H1214" s="1" t="s">
        <v>21</v>
      </c>
      <c r="I1214" s="1"/>
      <c r="J1214" s="1" t="s">
        <v>14785</v>
      </c>
      <c r="K1214" s="1"/>
      <c r="L1214" s="1" t="s">
        <v>14786</v>
      </c>
    </row>
    <row r="1215">
      <c r="A1215" s="1" t="s">
        <v>17</v>
      </c>
      <c r="B1215" s="1">
        <v>2004.0</v>
      </c>
      <c r="C1215" s="1" t="s">
        <v>14787</v>
      </c>
      <c r="D1215" s="1" t="s">
        <v>14788</v>
      </c>
      <c r="E1215" s="2" t="s">
        <v>14789</v>
      </c>
      <c r="F1215" s="1">
        <v>20.0</v>
      </c>
      <c r="G1215" s="1">
        <v>20.0</v>
      </c>
      <c r="H1215" s="1" t="s">
        <v>21</v>
      </c>
      <c r="I1215" s="1"/>
      <c r="J1215" s="1" t="s">
        <v>14790</v>
      </c>
      <c r="K1215" s="1"/>
      <c r="L1215" s="1" t="s">
        <v>14786</v>
      </c>
    </row>
    <row r="1216">
      <c r="A1216" s="1" t="s">
        <v>17</v>
      </c>
      <c r="B1216" s="1">
        <v>2004.0</v>
      </c>
      <c r="C1216" s="1" t="s">
        <v>14791</v>
      </c>
      <c r="D1216" s="1" t="s">
        <v>14792</v>
      </c>
      <c r="E1216" s="2" t="s">
        <v>14793</v>
      </c>
      <c r="F1216" s="1">
        <v>13.0</v>
      </c>
      <c r="G1216" s="1">
        <v>13.0</v>
      </c>
      <c r="H1216" s="1" t="s">
        <v>21</v>
      </c>
      <c r="I1216" s="1"/>
      <c r="J1216" s="1" t="s">
        <v>14738</v>
      </c>
      <c r="K1216" s="1"/>
      <c r="L1216" s="1" t="s">
        <v>14794</v>
      </c>
    </row>
    <row r="1217">
      <c r="A1217" s="1" t="s">
        <v>17</v>
      </c>
      <c r="B1217" s="1">
        <v>2004.0</v>
      </c>
      <c r="C1217" s="1" t="s">
        <v>14795</v>
      </c>
      <c r="D1217" s="1" t="s">
        <v>14796</v>
      </c>
      <c r="E1217" s="2" t="s">
        <v>14797</v>
      </c>
      <c r="F1217" s="1" t="s">
        <v>14798</v>
      </c>
      <c r="G1217" s="1"/>
      <c r="H1217" s="1" t="s">
        <v>21</v>
      </c>
      <c r="I1217" s="1"/>
      <c r="J1217" s="1" t="s">
        <v>13656</v>
      </c>
      <c r="K1217" s="1"/>
      <c r="L1217" s="1" t="s">
        <v>14799</v>
      </c>
    </row>
    <row r="1218">
      <c r="A1218" s="1" t="s">
        <v>17</v>
      </c>
      <c r="B1218" s="1">
        <v>2004.0</v>
      </c>
      <c r="C1218" s="1" t="s">
        <v>14800</v>
      </c>
      <c r="D1218" s="1" t="s">
        <v>14801</v>
      </c>
      <c r="E1218" s="2" t="s">
        <v>14802</v>
      </c>
      <c r="F1218" s="1">
        <v>163.0</v>
      </c>
      <c r="G1218" s="1">
        <v>170.0</v>
      </c>
      <c r="H1218" s="1" t="s">
        <v>28</v>
      </c>
      <c r="I1218" s="1"/>
      <c r="J1218" s="1" t="s">
        <v>14803</v>
      </c>
      <c r="K1218" s="1"/>
      <c r="L1218" s="1" t="s">
        <v>14804</v>
      </c>
      <c r="M1218" s="1"/>
      <c r="N1218" s="1" t="s">
        <v>14805</v>
      </c>
    </row>
    <row r="1219">
      <c r="A1219" s="1" t="s">
        <v>17</v>
      </c>
      <c r="B1219" s="1">
        <v>2004.0</v>
      </c>
      <c r="C1219" s="1" t="s">
        <v>14806</v>
      </c>
      <c r="D1219" s="1" t="s">
        <v>14807</v>
      </c>
      <c r="E1219" s="2" t="s">
        <v>14808</v>
      </c>
      <c r="F1219" s="1">
        <v>401.0</v>
      </c>
      <c r="G1219" s="1">
        <v>408.0</v>
      </c>
      <c r="H1219" s="1" t="s">
        <v>28</v>
      </c>
      <c r="I1219" s="1"/>
      <c r="J1219" s="1" t="s">
        <v>14809</v>
      </c>
      <c r="K1219" s="1"/>
      <c r="L1219" s="1" t="s">
        <v>14810</v>
      </c>
      <c r="M1219" s="1" t="s">
        <v>14811</v>
      </c>
      <c r="N1219" s="1" t="s">
        <v>14812</v>
      </c>
    </row>
    <row r="1220">
      <c r="A1220" s="1" t="s">
        <v>17</v>
      </c>
      <c r="B1220" s="1">
        <v>2004.0</v>
      </c>
      <c r="C1220" s="1" t="s">
        <v>14813</v>
      </c>
      <c r="D1220" s="1" t="s">
        <v>14814</v>
      </c>
      <c r="E1220" s="2" t="s">
        <v>14815</v>
      </c>
      <c r="F1220" s="1">
        <v>59.0</v>
      </c>
      <c r="G1220" s="1">
        <v>66.0</v>
      </c>
      <c r="H1220" s="1" t="s">
        <v>28</v>
      </c>
      <c r="I1220" s="1"/>
      <c r="J1220" s="1" t="s">
        <v>14816</v>
      </c>
      <c r="K1220" s="1"/>
      <c r="L1220" s="1" t="s">
        <v>14817</v>
      </c>
      <c r="M1220" s="1" t="s">
        <v>14818</v>
      </c>
      <c r="N1220" s="1" t="s">
        <v>14819</v>
      </c>
    </row>
    <row r="1221">
      <c r="A1221" s="1" t="s">
        <v>17</v>
      </c>
      <c r="B1221" s="1">
        <v>2004.0</v>
      </c>
      <c r="C1221" s="1" t="s">
        <v>14820</v>
      </c>
      <c r="D1221" s="1" t="s">
        <v>14821</v>
      </c>
      <c r="E1221" s="2" t="s">
        <v>14822</v>
      </c>
      <c r="F1221" s="1">
        <v>15.0</v>
      </c>
      <c r="G1221" s="1">
        <v>15.0</v>
      </c>
      <c r="H1221" s="1" t="s">
        <v>21</v>
      </c>
      <c r="I1221" s="1"/>
      <c r="J1221" s="1" t="s">
        <v>14823</v>
      </c>
      <c r="K1221" s="1"/>
      <c r="L1221" s="1" t="s">
        <v>14824</v>
      </c>
    </row>
    <row r="1222">
      <c r="A1222" s="1" t="s">
        <v>17</v>
      </c>
      <c r="B1222" s="1">
        <v>2004.0</v>
      </c>
      <c r="C1222" s="1" t="s">
        <v>14825</v>
      </c>
      <c r="D1222" s="1" t="s">
        <v>14826</v>
      </c>
      <c r="E1222" s="2" t="s">
        <v>14827</v>
      </c>
      <c r="F1222" s="1">
        <v>16.0</v>
      </c>
      <c r="G1222" s="1">
        <v>16.0</v>
      </c>
      <c r="H1222" s="1" t="s">
        <v>21</v>
      </c>
      <c r="I1222" s="1"/>
      <c r="J1222" s="1" t="s">
        <v>14828</v>
      </c>
      <c r="K1222" s="1"/>
      <c r="L1222" s="1" t="s">
        <v>14829</v>
      </c>
    </row>
    <row r="1223">
      <c r="A1223" s="1" t="s">
        <v>17</v>
      </c>
      <c r="B1223" s="1">
        <v>2004.0</v>
      </c>
      <c r="C1223" s="1" t="s">
        <v>14830</v>
      </c>
      <c r="D1223" s="1" t="s">
        <v>14831</v>
      </c>
      <c r="E1223" s="2" t="s">
        <v>14832</v>
      </c>
      <c r="F1223" s="1">
        <v>22.0</v>
      </c>
      <c r="G1223" s="1">
        <v>22.0</v>
      </c>
      <c r="H1223" s="1" t="s">
        <v>21</v>
      </c>
      <c r="I1223" s="1"/>
      <c r="J1223" s="1" t="s">
        <v>14833</v>
      </c>
      <c r="K1223" s="1"/>
      <c r="L1223" s="1" t="s">
        <v>14829</v>
      </c>
    </row>
    <row r="1224">
      <c r="A1224" s="1" t="s">
        <v>17</v>
      </c>
      <c r="B1224" s="1">
        <v>2004.0</v>
      </c>
      <c r="C1224" s="1" t="s">
        <v>14834</v>
      </c>
      <c r="D1224" s="1" t="s">
        <v>14835</v>
      </c>
      <c r="E1224" s="2" t="s">
        <v>14836</v>
      </c>
      <c r="F1224" s="1">
        <v>19.0</v>
      </c>
      <c r="G1224" s="1">
        <v>19.0</v>
      </c>
      <c r="H1224" s="1" t="s">
        <v>21</v>
      </c>
      <c r="I1224" s="1"/>
      <c r="J1224" s="1" t="s">
        <v>14837</v>
      </c>
      <c r="K1224" s="1"/>
      <c r="L1224" s="1" t="s">
        <v>14838</v>
      </c>
    </row>
    <row r="1225">
      <c r="A1225" s="1" t="s">
        <v>17</v>
      </c>
      <c r="B1225" s="1">
        <v>2004.0</v>
      </c>
      <c r="C1225" s="1" t="s">
        <v>14839</v>
      </c>
      <c r="D1225" s="1" t="s">
        <v>14840</v>
      </c>
      <c r="E1225" s="2" t="s">
        <v>14841</v>
      </c>
      <c r="F1225" s="1">
        <v>449.0</v>
      </c>
      <c r="G1225" s="1">
        <v>455.0</v>
      </c>
      <c r="H1225" s="1" t="s">
        <v>28</v>
      </c>
      <c r="I1225" s="1"/>
      <c r="J1225" s="1" t="s">
        <v>13656</v>
      </c>
      <c r="K1225" s="1"/>
      <c r="L1225" s="1" t="s">
        <v>14842</v>
      </c>
      <c r="M1225" s="1" t="s">
        <v>14843</v>
      </c>
      <c r="N1225" s="1" t="s">
        <v>14844</v>
      </c>
    </row>
    <row r="1226">
      <c r="A1226" s="1" t="s">
        <v>17</v>
      </c>
      <c r="B1226" s="1">
        <v>2004.0</v>
      </c>
      <c r="C1226" s="1" t="s">
        <v>14845</v>
      </c>
      <c r="D1226" s="1" t="s">
        <v>14846</v>
      </c>
      <c r="E1226" s="2" t="s">
        <v>14847</v>
      </c>
      <c r="F1226" s="1">
        <v>179.0</v>
      </c>
      <c r="G1226" s="1">
        <v>186.0</v>
      </c>
      <c r="H1226" s="1" t="s">
        <v>28</v>
      </c>
      <c r="I1226" s="1"/>
      <c r="J1226" s="1" t="s">
        <v>14848</v>
      </c>
      <c r="K1226" s="1"/>
      <c r="L1226" s="1" t="s">
        <v>14849</v>
      </c>
      <c r="M1226" s="1" t="s">
        <v>14850</v>
      </c>
      <c r="N1226" s="1" t="s">
        <v>14851</v>
      </c>
    </row>
    <row r="1227">
      <c r="A1227" s="1" t="s">
        <v>17</v>
      </c>
      <c r="B1227" s="1">
        <v>2004.0</v>
      </c>
      <c r="C1227" s="1" t="s">
        <v>14852</v>
      </c>
      <c r="D1227" s="1" t="s">
        <v>14853</v>
      </c>
      <c r="E1227" s="2" t="s">
        <v>14854</v>
      </c>
      <c r="F1227" s="1">
        <v>43.0</v>
      </c>
      <c r="G1227" s="1">
        <v>50.0</v>
      </c>
      <c r="H1227" s="1" t="s">
        <v>28</v>
      </c>
      <c r="I1227" s="1"/>
      <c r="J1227" s="1" t="s">
        <v>14855</v>
      </c>
      <c r="K1227" s="1"/>
      <c r="L1227" s="1" t="s">
        <v>14856</v>
      </c>
      <c r="M1227" s="1" t="s">
        <v>14857</v>
      </c>
      <c r="N1227" s="1" t="s">
        <v>14858</v>
      </c>
    </row>
    <row r="1228">
      <c r="A1228" s="1" t="s">
        <v>17</v>
      </c>
      <c r="B1228" s="1">
        <v>2004.0</v>
      </c>
      <c r="C1228" s="1" t="s">
        <v>14859</v>
      </c>
      <c r="D1228" s="1" t="s">
        <v>14860</v>
      </c>
      <c r="E1228" s="2" t="s">
        <v>14861</v>
      </c>
      <c r="F1228" s="1">
        <v>10.0</v>
      </c>
      <c r="G1228" s="1">
        <v>10.0</v>
      </c>
      <c r="H1228" s="1" t="s">
        <v>21</v>
      </c>
      <c r="I1228" s="1"/>
      <c r="J1228" s="1" t="s">
        <v>14862</v>
      </c>
      <c r="K1228" s="1"/>
      <c r="L1228" s="1" t="s">
        <v>14863</v>
      </c>
    </row>
    <row r="1229">
      <c r="A1229" s="1" t="s">
        <v>17</v>
      </c>
      <c r="B1229" s="1">
        <v>2004.0</v>
      </c>
      <c r="C1229" s="1" t="s">
        <v>14864</v>
      </c>
      <c r="D1229" s="1" t="s">
        <v>14865</v>
      </c>
      <c r="E1229" s="2" t="s">
        <v>14866</v>
      </c>
      <c r="F1229" s="1">
        <v>211.0</v>
      </c>
      <c r="G1229" s="1">
        <v>217.0</v>
      </c>
      <c r="H1229" s="1" t="s">
        <v>28</v>
      </c>
      <c r="I1229" s="1"/>
      <c r="J1229" s="1" t="s">
        <v>14867</v>
      </c>
      <c r="K1229" s="1"/>
      <c r="L1229" s="1" t="s">
        <v>494</v>
      </c>
      <c r="M1229" s="1" t="s">
        <v>14868</v>
      </c>
      <c r="N1229" s="1" t="s">
        <v>14869</v>
      </c>
    </row>
    <row r="1230">
      <c r="A1230" s="1" t="s">
        <v>17</v>
      </c>
      <c r="B1230" s="1">
        <v>2004.0</v>
      </c>
      <c r="C1230" s="1" t="s">
        <v>14870</v>
      </c>
      <c r="D1230" s="1" t="s">
        <v>14871</v>
      </c>
      <c r="E1230" s="2" t="s">
        <v>14872</v>
      </c>
      <c r="F1230" s="1">
        <v>31.0</v>
      </c>
      <c r="G1230" s="1">
        <v>31.0</v>
      </c>
      <c r="H1230" s="1" t="s">
        <v>21</v>
      </c>
      <c r="I1230" s="1"/>
      <c r="J1230" s="1" t="s">
        <v>14873</v>
      </c>
      <c r="K1230" s="1"/>
      <c r="L1230" s="1" t="s">
        <v>14874</v>
      </c>
    </row>
    <row r="1231">
      <c r="A1231" s="1" t="s">
        <v>17</v>
      </c>
      <c r="B1231" s="1">
        <v>2004.0</v>
      </c>
      <c r="C1231" s="1" t="s">
        <v>14875</v>
      </c>
      <c r="D1231" s="1" t="s">
        <v>14876</v>
      </c>
      <c r="E1231" s="2" t="s">
        <v>14877</v>
      </c>
      <c r="F1231" s="1">
        <v>83.0</v>
      </c>
      <c r="G1231" s="1">
        <v>90.0</v>
      </c>
      <c r="H1231" s="1" t="s">
        <v>28</v>
      </c>
      <c r="I1231" s="1"/>
      <c r="J1231" s="1" t="s">
        <v>14878</v>
      </c>
      <c r="K1231" s="1"/>
      <c r="L1231" s="1" t="s">
        <v>5349</v>
      </c>
      <c r="M1231" s="1"/>
      <c r="N1231" s="1" t="s">
        <v>14879</v>
      </c>
    </row>
    <row r="1232">
      <c r="A1232" s="1" t="s">
        <v>17</v>
      </c>
      <c r="B1232" s="1">
        <v>2004.0</v>
      </c>
      <c r="C1232" s="1" t="s">
        <v>14880</v>
      </c>
      <c r="D1232" s="1" t="s">
        <v>14881</v>
      </c>
      <c r="E1232" s="2" t="s">
        <v>14882</v>
      </c>
      <c r="F1232" s="1">
        <v>8.0</v>
      </c>
      <c r="G1232" s="1">
        <v>8.0</v>
      </c>
      <c r="H1232" s="1" t="s">
        <v>21</v>
      </c>
      <c r="I1232" s="1"/>
      <c r="J1232" s="1" t="s">
        <v>14883</v>
      </c>
      <c r="K1232" s="1"/>
      <c r="L1232" s="1" t="s">
        <v>14884</v>
      </c>
    </row>
    <row r="1233">
      <c r="A1233" s="1" t="s">
        <v>17</v>
      </c>
      <c r="B1233" s="1">
        <v>2004.0</v>
      </c>
      <c r="C1233" s="1" t="s">
        <v>14885</v>
      </c>
      <c r="D1233" s="1" t="s">
        <v>14886</v>
      </c>
      <c r="E1233" s="2" t="s">
        <v>14887</v>
      </c>
      <c r="F1233" s="1">
        <v>2.0</v>
      </c>
      <c r="G1233" s="1">
        <v>2.0</v>
      </c>
      <c r="H1233" s="1" t="s">
        <v>21</v>
      </c>
      <c r="I1233" s="1"/>
      <c r="J1233" s="1" t="s">
        <v>14888</v>
      </c>
      <c r="K1233" s="1"/>
      <c r="L1233" s="1" t="s">
        <v>14889</v>
      </c>
    </row>
    <row r="1234">
      <c r="A1234" s="1" t="s">
        <v>17</v>
      </c>
      <c r="B1234" s="1">
        <v>2004.0</v>
      </c>
      <c r="C1234" s="1" t="s">
        <v>14890</v>
      </c>
      <c r="D1234" s="1" t="s">
        <v>14891</v>
      </c>
      <c r="E1234" s="2" t="s">
        <v>14892</v>
      </c>
      <c r="F1234" s="1">
        <v>9.0</v>
      </c>
      <c r="G1234" s="1">
        <v>9.0</v>
      </c>
      <c r="H1234" s="1" t="s">
        <v>21</v>
      </c>
      <c r="I1234" s="1"/>
      <c r="J1234" s="1" t="s">
        <v>14893</v>
      </c>
      <c r="K1234" s="1"/>
      <c r="L1234" s="1" t="s">
        <v>14894</v>
      </c>
    </row>
    <row r="1235">
      <c r="A1235" s="1" t="s">
        <v>17</v>
      </c>
      <c r="B1235" s="1">
        <v>2004.0</v>
      </c>
      <c r="C1235" s="1" t="s">
        <v>14895</v>
      </c>
      <c r="D1235" s="1" t="s">
        <v>14896</v>
      </c>
      <c r="E1235" s="2" t="s">
        <v>14897</v>
      </c>
      <c r="F1235" s="1">
        <v>11.0</v>
      </c>
      <c r="G1235" s="1">
        <v>11.0</v>
      </c>
      <c r="H1235" s="1" t="s">
        <v>21</v>
      </c>
      <c r="I1235" s="1"/>
      <c r="J1235" s="1" t="s">
        <v>14888</v>
      </c>
      <c r="K1235" s="1"/>
      <c r="L1235" s="1" t="s">
        <v>14898</v>
      </c>
    </row>
    <row r="1236">
      <c r="A1236" s="1" t="s">
        <v>17</v>
      </c>
      <c r="B1236" s="1">
        <v>2004.0</v>
      </c>
      <c r="C1236" s="1" t="s">
        <v>14899</v>
      </c>
      <c r="D1236" s="1" t="s">
        <v>14900</v>
      </c>
      <c r="E1236" s="2" t="s">
        <v>14901</v>
      </c>
      <c r="F1236" s="1">
        <v>465.0</v>
      </c>
      <c r="G1236" s="1">
        <v>472.0</v>
      </c>
      <c r="H1236" s="1" t="s">
        <v>28</v>
      </c>
      <c r="I1236" s="1"/>
      <c r="J1236" s="1" t="s">
        <v>14902</v>
      </c>
      <c r="K1236" s="1"/>
      <c r="L1236" s="1" t="s">
        <v>14903</v>
      </c>
      <c r="M1236" s="1" t="s">
        <v>14904</v>
      </c>
      <c r="N1236" s="1" t="s">
        <v>14905</v>
      </c>
    </row>
    <row r="1237">
      <c r="A1237" s="1" t="s">
        <v>17</v>
      </c>
      <c r="B1237" s="1">
        <v>2004.0</v>
      </c>
      <c r="C1237" s="1" t="s">
        <v>14906</v>
      </c>
      <c r="D1237" s="1" t="s">
        <v>14907</v>
      </c>
      <c r="E1237" s="2" t="s">
        <v>14908</v>
      </c>
      <c r="F1237" s="1">
        <v>553.0</v>
      </c>
      <c r="G1237" s="1">
        <v>560.0</v>
      </c>
      <c r="H1237" s="1" t="s">
        <v>28</v>
      </c>
      <c r="I1237" s="1"/>
      <c r="J1237" s="1" t="s">
        <v>14909</v>
      </c>
      <c r="K1237" s="1"/>
      <c r="L1237" s="1" t="s">
        <v>14910</v>
      </c>
      <c r="M1237" s="1" t="s">
        <v>14911</v>
      </c>
      <c r="N1237" s="1" t="s">
        <v>14912</v>
      </c>
    </row>
    <row r="1238">
      <c r="A1238" s="1" t="s">
        <v>17</v>
      </c>
      <c r="B1238" s="1">
        <v>2004.0</v>
      </c>
      <c r="C1238" s="1" t="s">
        <v>14913</v>
      </c>
      <c r="D1238" s="1" t="s">
        <v>14914</v>
      </c>
      <c r="E1238" s="2" t="s">
        <v>14915</v>
      </c>
      <c r="F1238" s="1">
        <v>115.0</v>
      </c>
      <c r="G1238" s="1">
        <v>122.0</v>
      </c>
      <c r="H1238" s="1" t="s">
        <v>28</v>
      </c>
      <c r="I1238" s="1"/>
      <c r="J1238" s="1" t="s">
        <v>14916</v>
      </c>
      <c r="K1238" s="1"/>
      <c r="L1238" s="1" t="s">
        <v>14917</v>
      </c>
      <c r="M1238" s="1" t="s">
        <v>14918</v>
      </c>
      <c r="N1238" s="1" t="s">
        <v>14919</v>
      </c>
    </row>
    <row r="1239">
      <c r="A1239" s="1" t="s">
        <v>17</v>
      </c>
      <c r="B1239" s="1">
        <v>2004.0</v>
      </c>
      <c r="C1239" s="1" t="s">
        <v>14920</v>
      </c>
      <c r="D1239" s="1" t="s">
        <v>14921</v>
      </c>
      <c r="E1239" s="2" t="s">
        <v>14922</v>
      </c>
      <c r="F1239" s="1">
        <v>28.0</v>
      </c>
      <c r="G1239" s="1">
        <v>28.0</v>
      </c>
      <c r="H1239" s="1" t="s">
        <v>21</v>
      </c>
      <c r="I1239" s="1"/>
      <c r="J1239" s="1" t="s">
        <v>14923</v>
      </c>
      <c r="K1239" s="1"/>
      <c r="L1239" s="1" t="s">
        <v>14924</v>
      </c>
    </row>
    <row r="1240">
      <c r="A1240" s="1" t="s">
        <v>17</v>
      </c>
      <c r="B1240" s="1">
        <v>2004.0</v>
      </c>
      <c r="C1240" s="1" t="s">
        <v>14925</v>
      </c>
      <c r="D1240" s="1" t="s">
        <v>14926</v>
      </c>
      <c r="E1240" s="2" t="s">
        <v>14927</v>
      </c>
      <c r="F1240" s="1">
        <v>505.0</v>
      </c>
      <c r="G1240" s="1">
        <v>512.0</v>
      </c>
      <c r="H1240" s="1" t="s">
        <v>28</v>
      </c>
      <c r="I1240" s="1"/>
      <c r="J1240" s="1" t="s">
        <v>14928</v>
      </c>
      <c r="K1240" s="1"/>
      <c r="L1240" s="1" t="s">
        <v>753</v>
      </c>
      <c r="M1240" s="1" t="s">
        <v>14929</v>
      </c>
      <c r="N1240" s="1" t="s">
        <v>14930</v>
      </c>
    </row>
    <row r="1241">
      <c r="A1241" s="1" t="s">
        <v>17</v>
      </c>
      <c r="B1241" s="1">
        <v>2004.0</v>
      </c>
      <c r="C1241" s="1" t="s">
        <v>14931</v>
      </c>
      <c r="D1241" s="1" t="s">
        <v>14932</v>
      </c>
      <c r="E1241" s="2" t="s">
        <v>14933</v>
      </c>
      <c r="F1241" s="1">
        <v>489.0</v>
      </c>
      <c r="G1241" s="1">
        <v>496.0</v>
      </c>
      <c r="H1241" s="1" t="s">
        <v>28</v>
      </c>
      <c r="I1241" s="1"/>
      <c r="J1241" s="1" t="s">
        <v>13224</v>
      </c>
      <c r="K1241" s="1"/>
      <c r="L1241" s="1" t="s">
        <v>14934</v>
      </c>
      <c r="M1241" s="1" t="s">
        <v>14935</v>
      </c>
      <c r="N1241" s="1" t="s">
        <v>14936</v>
      </c>
    </row>
    <row r="1242">
      <c r="A1242" s="1" t="s">
        <v>17</v>
      </c>
      <c r="B1242" s="1">
        <v>2004.0</v>
      </c>
      <c r="C1242" s="1" t="s">
        <v>14937</v>
      </c>
      <c r="D1242" s="1" t="s">
        <v>14938</v>
      </c>
      <c r="E1242" s="2" t="s">
        <v>14939</v>
      </c>
      <c r="F1242" s="1">
        <v>441.0</v>
      </c>
      <c r="G1242" s="1">
        <v>448.0</v>
      </c>
      <c r="H1242" s="1" t="s">
        <v>28</v>
      </c>
      <c r="I1242" s="1"/>
      <c r="J1242" s="1" t="s">
        <v>14940</v>
      </c>
      <c r="K1242" s="1"/>
      <c r="L1242" s="1" t="s">
        <v>880</v>
      </c>
      <c r="M1242" s="1" t="s">
        <v>14941</v>
      </c>
      <c r="N1242" s="1" t="s">
        <v>14942</v>
      </c>
    </row>
    <row r="1243">
      <c r="A1243" s="1" t="s">
        <v>17</v>
      </c>
      <c r="B1243" s="1">
        <v>2004.0</v>
      </c>
      <c r="C1243" s="1" t="s">
        <v>14943</v>
      </c>
      <c r="D1243" s="1" t="s">
        <v>14944</v>
      </c>
      <c r="E1243" s="2" t="s">
        <v>14945</v>
      </c>
      <c r="F1243" s="1">
        <v>195.0</v>
      </c>
      <c r="G1243" s="1">
        <v>202.0</v>
      </c>
      <c r="H1243" s="1" t="s">
        <v>28</v>
      </c>
      <c r="I1243" s="1"/>
      <c r="J1243" s="1" t="s">
        <v>14946</v>
      </c>
      <c r="K1243" s="1"/>
      <c r="L1243" s="1" t="s">
        <v>14947</v>
      </c>
      <c r="M1243" s="1" t="s">
        <v>14948</v>
      </c>
      <c r="N1243" s="1" t="s">
        <v>14949</v>
      </c>
    </row>
    <row r="1244">
      <c r="A1244" s="1" t="s">
        <v>17</v>
      </c>
      <c r="B1244" s="1">
        <v>2004.0</v>
      </c>
      <c r="C1244" s="1" t="s">
        <v>14950</v>
      </c>
      <c r="D1244" s="1" t="s">
        <v>14951</v>
      </c>
      <c r="E1244" s="2" t="s">
        <v>14952</v>
      </c>
      <c r="F1244" s="1">
        <v>377.0</v>
      </c>
      <c r="G1244" s="1">
        <v>384.0</v>
      </c>
      <c r="H1244" s="1" t="s">
        <v>28</v>
      </c>
      <c r="I1244" s="1"/>
      <c r="J1244" s="1" t="s">
        <v>14946</v>
      </c>
      <c r="K1244" s="1"/>
      <c r="L1244" s="1" t="s">
        <v>14953</v>
      </c>
      <c r="M1244" s="1" t="s">
        <v>14954</v>
      </c>
      <c r="N1244" s="1" t="s">
        <v>14955</v>
      </c>
    </row>
    <row r="1245">
      <c r="A1245" s="1" t="s">
        <v>17</v>
      </c>
      <c r="B1245" s="1">
        <v>2004.0</v>
      </c>
      <c r="C1245" s="1" t="s">
        <v>14956</v>
      </c>
      <c r="D1245" s="1" t="s">
        <v>14957</v>
      </c>
      <c r="E1245" s="2" t="s">
        <v>14958</v>
      </c>
      <c r="F1245" s="1">
        <v>26.0</v>
      </c>
      <c r="G1245" s="1">
        <v>26.0</v>
      </c>
      <c r="H1245" s="1" t="s">
        <v>21</v>
      </c>
      <c r="I1245" s="1"/>
      <c r="J1245" s="1" t="s">
        <v>14959</v>
      </c>
      <c r="K1245" s="1"/>
      <c r="L1245" s="1" t="s">
        <v>14960</v>
      </c>
    </row>
    <row r="1246">
      <c r="A1246" s="1" t="s">
        <v>17</v>
      </c>
      <c r="B1246" s="1">
        <v>2004.0</v>
      </c>
      <c r="C1246" s="1" t="s">
        <v>14961</v>
      </c>
      <c r="D1246" s="1" t="s">
        <v>14962</v>
      </c>
      <c r="E1246" s="2" t="s">
        <v>14963</v>
      </c>
      <c r="F1246" s="1">
        <v>35.0</v>
      </c>
      <c r="G1246" s="1">
        <v>42.0</v>
      </c>
      <c r="H1246" s="1" t="s">
        <v>28</v>
      </c>
      <c r="I1246" s="1"/>
      <c r="J1246" s="1" t="s">
        <v>14964</v>
      </c>
      <c r="K1246" s="1"/>
      <c r="L1246" s="1" t="s">
        <v>14965</v>
      </c>
      <c r="M1246" s="1" t="s">
        <v>14966</v>
      </c>
      <c r="N1246" s="1" t="s">
        <v>14967</v>
      </c>
    </row>
    <row r="1247">
      <c r="A1247" s="1" t="s">
        <v>17</v>
      </c>
      <c r="B1247" s="1">
        <v>2004.0</v>
      </c>
      <c r="C1247" s="1" t="s">
        <v>14968</v>
      </c>
      <c r="D1247" s="1" t="s">
        <v>14969</v>
      </c>
      <c r="E1247" s="2" t="s">
        <v>14970</v>
      </c>
      <c r="F1247" s="1">
        <v>32.0</v>
      </c>
      <c r="G1247" s="1">
        <v>32.0</v>
      </c>
      <c r="H1247" s="1" t="s">
        <v>21</v>
      </c>
      <c r="I1247" s="1"/>
      <c r="J1247" s="1" t="s">
        <v>14971</v>
      </c>
      <c r="K1247" s="1"/>
      <c r="L1247" s="1" t="s">
        <v>14972</v>
      </c>
    </row>
    <row r="1248">
      <c r="A1248" s="1" t="s">
        <v>17</v>
      </c>
      <c r="B1248" s="1">
        <v>2004.0</v>
      </c>
      <c r="C1248" s="1" t="s">
        <v>14973</v>
      </c>
      <c r="D1248" s="1" t="s">
        <v>14974</v>
      </c>
      <c r="E1248" s="2" t="s">
        <v>14975</v>
      </c>
      <c r="F1248" s="1">
        <v>91.0</v>
      </c>
      <c r="G1248" s="1">
        <v>98.0</v>
      </c>
      <c r="H1248" s="1" t="s">
        <v>28</v>
      </c>
      <c r="I1248" s="1"/>
      <c r="J1248" s="1" t="s">
        <v>14976</v>
      </c>
      <c r="K1248" s="1"/>
      <c r="L1248" s="1" t="s">
        <v>14977</v>
      </c>
      <c r="M1248" s="1" t="s">
        <v>14978</v>
      </c>
      <c r="N1248" s="1" t="s">
        <v>14979</v>
      </c>
    </row>
    <row r="1249">
      <c r="A1249" s="1" t="s">
        <v>17</v>
      </c>
      <c r="B1249" s="1">
        <v>2004.0</v>
      </c>
      <c r="C1249" s="1" t="s">
        <v>14980</v>
      </c>
      <c r="D1249" s="1" t="s">
        <v>14981</v>
      </c>
      <c r="E1249" s="2" t="s">
        <v>14982</v>
      </c>
      <c r="F1249" s="1">
        <v>75.0</v>
      </c>
      <c r="G1249" s="1">
        <v>82.0</v>
      </c>
      <c r="H1249" s="1" t="s">
        <v>28</v>
      </c>
      <c r="I1249" s="1"/>
      <c r="J1249" s="1" t="s">
        <v>14983</v>
      </c>
      <c r="K1249" s="1"/>
      <c r="L1249" s="1" t="s">
        <v>178</v>
      </c>
      <c r="M1249" s="1"/>
      <c r="N1249" s="1" t="s">
        <v>14984</v>
      </c>
    </row>
    <row r="1250">
      <c r="A1250" s="1" t="s">
        <v>17</v>
      </c>
      <c r="B1250" s="1">
        <v>2004.0</v>
      </c>
      <c r="C1250" s="1" t="s">
        <v>14985</v>
      </c>
      <c r="D1250" s="1" t="s">
        <v>14986</v>
      </c>
      <c r="E1250" s="2" t="s">
        <v>14987</v>
      </c>
      <c r="F1250" s="1">
        <v>481.0</v>
      </c>
      <c r="G1250" s="1">
        <v>488.0</v>
      </c>
      <c r="H1250" s="1" t="s">
        <v>28</v>
      </c>
      <c r="I1250" s="1"/>
      <c r="J1250" s="1" t="s">
        <v>14988</v>
      </c>
      <c r="K1250" s="1"/>
      <c r="L1250" s="1" t="s">
        <v>14989</v>
      </c>
      <c r="M1250" s="1"/>
      <c r="N1250" s="1" t="s">
        <v>14990</v>
      </c>
    </row>
    <row r="1251">
      <c r="A1251" s="1" t="s">
        <v>17</v>
      </c>
      <c r="B1251" s="1">
        <v>2004.0</v>
      </c>
      <c r="C1251" s="1" t="s">
        <v>14991</v>
      </c>
      <c r="D1251" s="1" t="s">
        <v>14992</v>
      </c>
      <c r="E1251" s="2" t="s">
        <v>14993</v>
      </c>
      <c r="F1251" s="1">
        <v>297.0</v>
      </c>
      <c r="G1251" s="1">
        <v>304.0</v>
      </c>
      <c r="H1251" s="1" t="s">
        <v>28</v>
      </c>
      <c r="I1251" s="1"/>
      <c r="J1251" s="1" t="s">
        <v>14994</v>
      </c>
      <c r="K1251" s="1"/>
      <c r="L1251" s="1" t="s">
        <v>3047</v>
      </c>
      <c r="M1251" s="1" t="s">
        <v>13478</v>
      </c>
      <c r="N1251" s="1" t="s">
        <v>14995</v>
      </c>
    </row>
    <row r="1252">
      <c r="A1252" s="1" t="s">
        <v>17</v>
      </c>
      <c r="B1252" s="1">
        <v>2004.0</v>
      </c>
      <c r="C1252" s="1" t="s">
        <v>14996</v>
      </c>
      <c r="D1252" s="1" t="s">
        <v>14997</v>
      </c>
      <c r="E1252" s="2" t="s">
        <v>14998</v>
      </c>
      <c r="F1252" s="1">
        <v>67.0</v>
      </c>
      <c r="G1252" s="1">
        <v>74.0</v>
      </c>
      <c r="H1252" s="1" t="s">
        <v>28</v>
      </c>
      <c r="I1252" s="1"/>
      <c r="J1252" s="1" t="s">
        <v>14999</v>
      </c>
      <c r="K1252" s="1"/>
      <c r="L1252" s="1" t="s">
        <v>15000</v>
      </c>
      <c r="M1252" s="1" t="s">
        <v>15001</v>
      </c>
      <c r="N1252" s="1" t="s">
        <v>15002</v>
      </c>
    </row>
    <row r="1253">
      <c r="A1253" s="1" t="s">
        <v>17</v>
      </c>
      <c r="B1253" s="1">
        <v>2004.0</v>
      </c>
      <c r="C1253" s="1" t="s">
        <v>15003</v>
      </c>
      <c r="D1253" s="1" t="s">
        <v>15004</v>
      </c>
      <c r="E1253" s="2" t="s">
        <v>15005</v>
      </c>
      <c r="F1253" s="1">
        <v>4.0</v>
      </c>
      <c r="G1253" s="1">
        <v>4.0</v>
      </c>
      <c r="H1253" s="1" t="s">
        <v>21</v>
      </c>
      <c r="I1253" s="1"/>
      <c r="J1253" s="1" t="s">
        <v>15006</v>
      </c>
      <c r="K1253" s="1"/>
      <c r="L1253" s="1" t="s">
        <v>15007</v>
      </c>
    </row>
    <row r="1254">
      <c r="A1254" s="1" t="s">
        <v>17</v>
      </c>
      <c r="B1254" s="1">
        <v>2004.0</v>
      </c>
      <c r="C1254" s="1" t="s">
        <v>15008</v>
      </c>
      <c r="D1254" s="1" t="s">
        <v>15009</v>
      </c>
      <c r="E1254" s="2" t="s">
        <v>15010</v>
      </c>
      <c r="F1254" s="1">
        <v>219.0</v>
      </c>
      <c r="G1254" s="1">
        <v>226.0</v>
      </c>
      <c r="H1254" s="1" t="s">
        <v>28</v>
      </c>
      <c r="I1254" s="1"/>
      <c r="J1254" s="1" t="s">
        <v>15011</v>
      </c>
      <c r="K1254" s="1"/>
      <c r="L1254" s="1" t="s">
        <v>15012</v>
      </c>
      <c r="M1254" s="1" t="s">
        <v>15013</v>
      </c>
      <c r="N1254" s="1" t="s">
        <v>15014</v>
      </c>
    </row>
    <row r="1255">
      <c r="A1255" s="1" t="s">
        <v>17</v>
      </c>
      <c r="B1255" s="1">
        <v>2004.0</v>
      </c>
      <c r="C1255" s="1" t="s">
        <v>15015</v>
      </c>
      <c r="D1255" s="1" t="s">
        <v>15016</v>
      </c>
      <c r="E1255" s="2" t="s">
        <v>15017</v>
      </c>
      <c r="F1255" s="1">
        <v>529.0</v>
      </c>
      <c r="G1255" s="1">
        <v>536.0</v>
      </c>
      <c r="H1255" s="1" t="s">
        <v>28</v>
      </c>
      <c r="I1255" s="1"/>
      <c r="J1255" s="1" t="s">
        <v>15018</v>
      </c>
      <c r="K1255" s="1"/>
      <c r="L1255" s="1" t="s">
        <v>15019</v>
      </c>
      <c r="M1255" s="1" t="s">
        <v>15020</v>
      </c>
      <c r="N1255" s="1" t="s">
        <v>15021</v>
      </c>
    </row>
    <row r="1256">
      <c r="A1256" s="1" t="s">
        <v>17</v>
      </c>
      <c r="B1256" s="1">
        <v>2004.0</v>
      </c>
      <c r="C1256" s="1" t="s">
        <v>15022</v>
      </c>
      <c r="D1256" s="1" t="s">
        <v>15023</v>
      </c>
      <c r="E1256" s="2" t="s">
        <v>15024</v>
      </c>
      <c r="F1256" s="1">
        <v>227.0</v>
      </c>
      <c r="G1256" s="1">
        <v>234.0</v>
      </c>
      <c r="H1256" s="1" t="s">
        <v>28</v>
      </c>
      <c r="I1256" s="1"/>
      <c r="J1256" s="1" t="s">
        <v>15025</v>
      </c>
      <c r="K1256" s="1"/>
      <c r="L1256" s="1" t="s">
        <v>494</v>
      </c>
      <c r="M1256" s="1"/>
      <c r="N1256" s="1" t="s">
        <v>15026</v>
      </c>
    </row>
    <row r="1257">
      <c r="A1257" s="1" t="s">
        <v>17</v>
      </c>
      <c r="B1257" s="1">
        <v>2004.0</v>
      </c>
      <c r="C1257" s="1" t="s">
        <v>15027</v>
      </c>
      <c r="D1257" s="1" t="s">
        <v>15028</v>
      </c>
      <c r="E1257" s="2" t="s">
        <v>15029</v>
      </c>
      <c r="F1257" s="1">
        <v>139.0</v>
      </c>
      <c r="G1257" s="1">
        <v>145.0</v>
      </c>
      <c r="H1257" s="1" t="s">
        <v>28</v>
      </c>
      <c r="I1257" s="1"/>
      <c r="J1257" s="1" t="s">
        <v>13552</v>
      </c>
      <c r="K1257" s="1"/>
      <c r="L1257" s="1" t="s">
        <v>13553</v>
      </c>
      <c r="M1257" s="1" t="s">
        <v>15030</v>
      </c>
      <c r="N1257" s="1" t="s">
        <v>15031</v>
      </c>
    </row>
    <row r="1258">
      <c r="A1258" s="1" t="s">
        <v>17</v>
      </c>
      <c r="B1258" s="1">
        <v>2004.0</v>
      </c>
      <c r="C1258" s="1" t="s">
        <v>15032</v>
      </c>
      <c r="D1258" s="1" t="s">
        <v>15033</v>
      </c>
      <c r="E1258" s="2" t="s">
        <v>15034</v>
      </c>
      <c r="F1258" s="1">
        <v>107.0</v>
      </c>
      <c r="G1258" s="1">
        <v>114.0</v>
      </c>
      <c r="H1258" s="1" t="s">
        <v>28</v>
      </c>
      <c r="I1258" s="1"/>
      <c r="J1258" s="1" t="s">
        <v>15035</v>
      </c>
      <c r="K1258" s="1"/>
      <c r="L1258" s="1" t="s">
        <v>15036</v>
      </c>
      <c r="M1258" s="1"/>
      <c r="N1258" s="1" t="s">
        <v>15037</v>
      </c>
    </row>
    <row r="1259">
      <c r="A1259" s="1" t="s">
        <v>17</v>
      </c>
      <c r="B1259" s="1">
        <v>2004.0</v>
      </c>
      <c r="C1259" s="1" t="s">
        <v>15038</v>
      </c>
      <c r="D1259" s="1" t="s">
        <v>15039</v>
      </c>
      <c r="E1259" s="2" t="s">
        <v>15040</v>
      </c>
      <c r="F1259" s="1">
        <v>537.0</v>
      </c>
      <c r="G1259" s="1">
        <v>544.0</v>
      </c>
      <c r="H1259" s="1" t="s">
        <v>28</v>
      </c>
      <c r="I1259" s="1"/>
      <c r="J1259" s="1" t="s">
        <v>15044</v>
      </c>
      <c r="K1259" s="1"/>
      <c r="L1259" s="1" t="s">
        <v>15045</v>
      </c>
      <c r="M1259" s="1"/>
      <c r="N1259" s="1" t="s">
        <v>15046</v>
      </c>
    </row>
    <row r="1260">
      <c r="A1260" s="1" t="s">
        <v>17</v>
      </c>
      <c r="B1260" s="1">
        <v>2004.0</v>
      </c>
      <c r="C1260" s="1" t="s">
        <v>15047</v>
      </c>
      <c r="D1260" s="1" t="s">
        <v>15048</v>
      </c>
      <c r="E1260" s="2" t="s">
        <v>15049</v>
      </c>
      <c r="F1260" s="1">
        <v>345.0</v>
      </c>
      <c r="G1260" s="1">
        <v>352.0</v>
      </c>
      <c r="H1260" s="1" t="s">
        <v>28</v>
      </c>
      <c r="I1260" s="1"/>
      <c r="J1260" s="1" t="s">
        <v>15051</v>
      </c>
      <c r="K1260" s="1"/>
      <c r="L1260" s="1" t="s">
        <v>15053</v>
      </c>
      <c r="M1260" s="1" t="s">
        <v>15055</v>
      </c>
      <c r="N1260" s="1" t="s">
        <v>15056</v>
      </c>
    </row>
    <row r="1261">
      <c r="A1261" s="1" t="s">
        <v>17</v>
      </c>
      <c r="B1261" s="1">
        <v>2004.0</v>
      </c>
      <c r="C1261" s="1" t="s">
        <v>15057</v>
      </c>
      <c r="D1261" s="1" t="s">
        <v>15058</v>
      </c>
      <c r="E1261" s="2" t="s">
        <v>15059</v>
      </c>
      <c r="F1261" s="1">
        <v>457.0</v>
      </c>
      <c r="G1261" s="1">
        <v>464.0</v>
      </c>
      <c r="H1261" s="1" t="s">
        <v>28</v>
      </c>
      <c r="I1261" s="1"/>
      <c r="J1261" s="1" t="s">
        <v>15061</v>
      </c>
      <c r="K1261" s="1"/>
      <c r="L1261" s="1" t="s">
        <v>12013</v>
      </c>
      <c r="M1261" s="1" t="s">
        <v>15062</v>
      </c>
      <c r="N1261" s="1" t="s">
        <v>15063</v>
      </c>
    </row>
    <row r="1262">
      <c r="A1262" s="1" t="s">
        <v>17</v>
      </c>
      <c r="B1262" s="1">
        <v>2004.0</v>
      </c>
      <c r="C1262" s="1" t="s">
        <v>15064</v>
      </c>
      <c r="D1262" s="1" t="s">
        <v>15065</v>
      </c>
      <c r="E1262" s="2" t="s">
        <v>15066</v>
      </c>
      <c r="F1262" s="1">
        <v>18.0</v>
      </c>
      <c r="G1262" s="1">
        <v>18.0</v>
      </c>
      <c r="H1262" s="1" t="s">
        <v>21</v>
      </c>
      <c r="I1262" s="1"/>
      <c r="J1262" s="1" t="s">
        <v>15070</v>
      </c>
      <c r="K1262" s="1"/>
      <c r="L1262" s="1" t="s">
        <v>15071</v>
      </c>
    </row>
    <row r="1263">
      <c r="A1263" s="1" t="s">
        <v>17</v>
      </c>
      <c r="B1263" s="1">
        <v>2004.0</v>
      </c>
      <c r="C1263" s="1" t="s">
        <v>15072</v>
      </c>
      <c r="D1263" s="1" t="s">
        <v>15073</v>
      </c>
      <c r="E1263" s="2" t="s">
        <v>15074</v>
      </c>
      <c r="F1263" s="1">
        <v>24.0</v>
      </c>
      <c r="G1263" s="1">
        <v>24.0</v>
      </c>
      <c r="H1263" s="1" t="s">
        <v>21</v>
      </c>
      <c r="I1263" s="1"/>
      <c r="J1263" s="1" t="s">
        <v>15075</v>
      </c>
      <c r="K1263" s="1"/>
      <c r="L1263" s="1" t="s">
        <v>15076</v>
      </c>
    </row>
    <row r="1264">
      <c r="A1264" s="1" t="s">
        <v>17</v>
      </c>
      <c r="B1264" s="1">
        <v>2004.0</v>
      </c>
      <c r="C1264" s="1" t="s">
        <v>15077</v>
      </c>
      <c r="D1264" s="1" t="s">
        <v>15079</v>
      </c>
      <c r="E1264" s="2" t="s">
        <v>15080</v>
      </c>
      <c r="F1264" s="1">
        <v>353.0</v>
      </c>
      <c r="G1264" s="1">
        <v>360.0</v>
      </c>
      <c r="H1264" s="1" t="s">
        <v>28</v>
      </c>
      <c r="I1264" s="1"/>
      <c r="J1264" s="1" t="s">
        <v>15035</v>
      </c>
      <c r="K1264" s="1"/>
      <c r="L1264" s="1" t="s">
        <v>10945</v>
      </c>
      <c r="M1264" s="1" t="s">
        <v>15082</v>
      </c>
      <c r="N1264" s="1" t="s">
        <v>15083</v>
      </c>
    </row>
    <row r="1265">
      <c r="A1265" s="1" t="s">
        <v>17</v>
      </c>
      <c r="B1265" s="1">
        <v>2004.0</v>
      </c>
      <c r="C1265" s="1" t="s">
        <v>15084</v>
      </c>
      <c r="D1265" s="1" t="s">
        <v>15085</v>
      </c>
      <c r="E1265" s="2" t="s">
        <v>15086</v>
      </c>
      <c r="F1265" s="1">
        <v>521.0</v>
      </c>
      <c r="G1265" s="1">
        <v>527.0</v>
      </c>
      <c r="H1265" s="1" t="s">
        <v>28</v>
      </c>
      <c r="I1265" s="1"/>
      <c r="J1265" s="1" t="s">
        <v>15090</v>
      </c>
      <c r="K1265" s="1"/>
      <c r="L1265" s="1" t="s">
        <v>15091</v>
      </c>
      <c r="M1265" s="1" t="s">
        <v>15092</v>
      </c>
      <c r="N1265" s="1" t="s">
        <v>15093</v>
      </c>
    </row>
    <row r="1266">
      <c r="A1266" s="1" t="s">
        <v>17</v>
      </c>
      <c r="B1266" s="1">
        <v>2004.0</v>
      </c>
      <c r="C1266" s="1" t="s">
        <v>15094</v>
      </c>
      <c r="D1266" s="1" t="s">
        <v>15095</v>
      </c>
      <c r="E1266" s="2" t="s">
        <v>15096</v>
      </c>
      <c r="F1266" s="1">
        <v>6.0</v>
      </c>
      <c r="G1266" s="1">
        <v>6.0</v>
      </c>
      <c r="H1266" s="1" t="s">
        <v>21</v>
      </c>
      <c r="I1266" s="1"/>
      <c r="J1266" s="1" t="s">
        <v>15100</v>
      </c>
      <c r="K1266" s="1"/>
      <c r="L1266" s="1" t="s">
        <v>15101</v>
      </c>
    </row>
    <row r="1267">
      <c r="A1267" s="1" t="s">
        <v>17</v>
      </c>
      <c r="B1267" s="1">
        <v>2004.0</v>
      </c>
      <c r="C1267" s="1" t="s">
        <v>15102</v>
      </c>
      <c r="D1267" s="1" t="s">
        <v>15104</v>
      </c>
      <c r="E1267" s="2" t="s">
        <v>15105</v>
      </c>
      <c r="F1267" s="1">
        <v>361.0</v>
      </c>
      <c r="G1267" s="1">
        <v>368.0</v>
      </c>
      <c r="H1267" s="1" t="s">
        <v>28</v>
      </c>
      <c r="I1267" s="1"/>
      <c r="J1267" s="1" t="s">
        <v>15110</v>
      </c>
      <c r="K1267" s="1"/>
      <c r="L1267" s="1" t="s">
        <v>5704</v>
      </c>
      <c r="M1267" s="1" t="s">
        <v>12819</v>
      </c>
      <c r="N1267" s="1" t="s">
        <v>15111</v>
      </c>
    </row>
    <row r="1268">
      <c r="A1268" s="1" t="s">
        <v>17</v>
      </c>
      <c r="B1268" s="1">
        <v>2004.0</v>
      </c>
      <c r="C1268" s="1" t="s">
        <v>15112</v>
      </c>
      <c r="D1268" s="1" t="s">
        <v>15113</v>
      </c>
      <c r="E1268" s="2" t="s">
        <v>15114</v>
      </c>
      <c r="F1268" s="1">
        <v>51.0</v>
      </c>
      <c r="G1268" s="1">
        <v>58.0</v>
      </c>
      <c r="H1268" s="1" t="s">
        <v>28</v>
      </c>
      <c r="I1268" s="1"/>
      <c r="J1268" s="1" t="s">
        <v>15119</v>
      </c>
      <c r="K1268" s="1"/>
      <c r="L1268" s="1" t="s">
        <v>15120</v>
      </c>
      <c r="M1268" s="1" t="s">
        <v>15121</v>
      </c>
      <c r="N1268" s="1" t="s">
        <v>15122</v>
      </c>
    </row>
    <row r="1269">
      <c r="A1269" s="1" t="s">
        <v>17</v>
      </c>
      <c r="B1269" s="1">
        <v>2004.0</v>
      </c>
      <c r="C1269" s="1" t="s">
        <v>15123</v>
      </c>
      <c r="D1269" s="1" t="s">
        <v>15124</v>
      </c>
      <c r="E1269" s="2" t="s">
        <v>15125</v>
      </c>
      <c r="F1269" s="1">
        <v>27.0</v>
      </c>
      <c r="G1269" s="1">
        <v>27.0</v>
      </c>
      <c r="H1269" s="1" t="s">
        <v>21</v>
      </c>
      <c r="I1269" s="1"/>
      <c r="J1269" s="1" t="s">
        <v>15129</v>
      </c>
      <c r="K1269" s="1"/>
      <c r="L1269" s="1" t="s">
        <v>14924</v>
      </c>
    </row>
    <row r="1270">
      <c r="A1270" s="1" t="s">
        <v>17</v>
      </c>
      <c r="B1270" s="1">
        <v>2004.0</v>
      </c>
      <c r="C1270" s="1" t="s">
        <v>15130</v>
      </c>
      <c r="D1270" s="1" t="s">
        <v>15131</v>
      </c>
      <c r="E1270" s="2" t="s">
        <v>15132</v>
      </c>
      <c r="F1270" s="1">
        <v>35.0</v>
      </c>
      <c r="G1270" s="1">
        <v>35.0</v>
      </c>
      <c r="H1270" s="1" t="s">
        <v>21</v>
      </c>
      <c r="I1270" s="1"/>
      <c r="J1270" s="1" t="s">
        <v>15136</v>
      </c>
      <c r="K1270" s="1"/>
      <c r="L1270" s="1" t="s">
        <v>15137</v>
      </c>
    </row>
    <row r="1271">
      <c r="A1271" s="1" t="s">
        <v>17</v>
      </c>
      <c r="B1271" s="1">
        <v>2004.0</v>
      </c>
      <c r="C1271" s="1" t="s">
        <v>15138</v>
      </c>
      <c r="D1271" s="1" t="s">
        <v>15139</v>
      </c>
      <c r="E1271" s="2" t="s">
        <v>15140</v>
      </c>
      <c r="F1271" s="1" t="s">
        <v>15144</v>
      </c>
      <c r="G1271" s="1"/>
      <c r="H1271" s="1" t="s">
        <v>21</v>
      </c>
      <c r="I1271" s="1"/>
      <c r="J1271" s="1" t="s">
        <v>15145</v>
      </c>
      <c r="K1271" s="1"/>
      <c r="L1271" s="1" t="s">
        <v>15146</v>
      </c>
    </row>
    <row r="1272">
      <c r="A1272" s="1" t="s">
        <v>17</v>
      </c>
      <c r="B1272" s="1">
        <v>2004.0</v>
      </c>
      <c r="C1272" s="1" t="s">
        <v>15147</v>
      </c>
      <c r="D1272" s="1" t="s">
        <v>15148</v>
      </c>
      <c r="E1272" s="2" t="s">
        <v>15149</v>
      </c>
      <c r="F1272" s="1">
        <v>281.0</v>
      </c>
      <c r="G1272" s="1">
        <v>288.0</v>
      </c>
      <c r="H1272" s="1" t="s">
        <v>28</v>
      </c>
      <c r="I1272" s="1"/>
      <c r="J1272" s="1" t="s">
        <v>15151</v>
      </c>
      <c r="K1272" s="1"/>
      <c r="L1272" s="1" t="s">
        <v>3397</v>
      </c>
      <c r="M1272" s="1" t="s">
        <v>15154</v>
      </c>
      <c r="N1272" s="1" t="s">
        <v>15155</v>
      </c>
    </row>
    <row r="1273">
      <c r="A1273" s="1" t="s">
        <v>17</v>
      </c>
      <c r="B1273" s="1">
        <v>2004.0</v>
      </c>
      <c r="C1273" s="1" t="s">
        <v>15156</v>
      </c>
      <c r="D1273" s="1" t="s">
        <v>15157</v>
      </c>
      <c r="E1273" s="2" t="s">
        <v>15158</v>
      </c>
      <c r="F1273" s="1">
        <v>19.0</v>
      </c>
      <c r="G1273" s="1">
        <v>26.0</v>
      </c>
      <c r="H1273" s="1" t="s">
        <v>28</v>
      </c>
      <c r="I1273" s="1"/>
      <c r="J1273" s="1" t="s">
        <v>15161</v>
      </c>
      <c r="K1273" s="1"/>
      <c r="L1273" s="1" t="s">
        <v>15162</v>
      </c>
      <c r="M1273" s="1" t="s">
        <v>15163</v>
      </c>
      <c r="N1273" s="1" t="s">
        <v>15164</v>
      </c>
    </row>
    <row r="1274">
      <c r="A1274" s="1" t="s">
        <v>17</v>
      </c>
      <c r="B1274" s="1">
        <v>2004.0</v>
      </c>
      <c r="C1274" s="1" t="s">
        <v>15166</v>
      </c>
      <c r="D1274" s="1" t="s">
        <v>15168</v>
      </c>
      <c r="E1274" s="2" t="s">
        <v>15170</v>
      </c>
      <c r="F1274" s="1">
        <v>289.0</v>
      </c>
      <c r="G1274" s="1">
        <v>296.0</v>
      </c>
      <c r="H1274" s="1" t="s">
        <v>28</v>
      </c>
      <c r="I1274" s="1"/>
      <c r="J1274" s="1" t="s">
        <v>15173</v>
      </c>
      <c r="K1274" s="1"/>
      <c r="L1274" s="1" t="s">
        <v>15174</v>
      </c>
      <c r="M1274" s="1" t="s">
        <v>15175</v>
      </c>
      <c r="N1274" s="1" t="s">
        <v>15176</v>
      </c>
    </row>
    <row r="1275">
      <c r="A1275" s="1" t="s">
        <v>17</v>
      </c>
      <c r="B1275" s="1">
        <v>2004.0</v>
      </c>
      <c r="C1275" s="1" t="s">
        <v>15177</v>
      </c>
      <c r="D1275" s="1" t="s">
        <v>15178</v>
      </c>
      <c r="E1275" s="2" t="s">
        <v>15179</v>
      </c>
      <c r="F1275" s="1">
        <v>11.0</v>
      </c>
      <c r="G1275" s="1">
        <v>18.0</v>
      </c>
      <c r="H1275" s="1" t="s">
        <v>28</v>
      </c>
      <c r="I1275" s="1"/>
      <c r="J1275" s="1" t="s">
        <v>15182</v>
      </c>
      <c r="K1275" s="1"/>
      <c r="L1275" s="1" t="s">
        <v>15183</v>
      </c>
      <c r="M1275" s="1" t="s">
        <v>15184</v>
      </c>
      <c r="N1275" s="1" t="s">
        <v>15185</v>
      </c>
    </row>
    <row r="1276">
      <c r="A1276" s="1" t="s">
        <v>17</v>
      </c>
      <c r="B1276" s="1">
        <v>2004.0</v>
      </c>
      <c r="C1276" s="1" t="s">
        <v>15186</v>
      </c>
      <c r="D1276" s="1" t="s">
        <v>15187</v>
      </c>
      <c r="E1276" s="2" t="s">
        <v>15188</v>
      </c>
      <c r="F1276" s="1">
        <v>5.0</v>
      </c>
      <c r="G1276" s="1">
        <v>5.0</v>
      </c>
      <c r="H1276" s="1" t="s">
        <v>21</v>
      </c>
      <c r="I1276" s="1"/>
      <c r="J1276" s="1" t="s">
        <v>15191</v>
      </c>
      <c r="K1276" s="1"/>
      <c r="L1276" s="1" t="s">
        <v>15192</v>
      </c>
    </row>
    <row r="1277">
      <c r="A1277" s="1" t="s">
        <v>17</v>
      </c>
      <c r="B1277" s="1">
        <v>2004.0</v>
      </c>
      <c r="C1277" s="1" t="s">
        <v>15194</v>
      </c>
      <c r="D1277" s="1" t="s">
        <v>15195</v>
      </c>
      <c r="E1277" s="2" t="s">
        <v>15197</v>
      </c>
      <c r="F1277" s="1">
        <v>12.0</v>
      </c>
      <c r="G1277" s="1">
        <v>12.0</v>
      </c>
      <c r="H1277" s="1" t="s">
        <v>21</v>
      </c>
      <c r="I1277" s="1"/>
      <c r="J1277" s="1" t="s">
        <v>15129</v>
      </c>
      <c r="K1277" s="1"/>
      <c r="L1277" s="1" t="s">
        <v>14972</v>
      </c>
    </row>
    <row r="1278">
      <c r="A1278" s="1" t="s">
        <v>17</v>
      </c>
      <c r="B1278" s="1">
        <v>2004.0</v>
      </c>
      <c r="C1278" s="1" t="s">
        <v>15202</v>
      </c>
      <c r="D1278" s="1" t="s">
        <v>15203</v>
      </c>
      <c r="E1278" s="2" t="s">
        <v>15204</v>
      </c>
      <c r="F1278" s="1">
        <v>275.0</v>
      </c>
      <c r="G1278" s="1">
        <v>280.0</v>
      </c>
      <c r="H1278" s="1" t="s">
        <v>28</v>
      </c>
      <c r="I1278" s="1"/>
      <c r="J1278" s="1" t="s">
        <v>15208</v>
      </c>
      <c r="K1278" s="1"/>
      <c r="L1278" s="1" t="s">
        <v>15209</v>
      </c>
      <c r="M1278" s="1"/>
      <c r="N1278" s="1" t="s">
        <v>15210</v>
      </c>
    </row>
    <row r="1279">
      <c r="A1279" s="1" t="s">
        <v>17</v>
      </c>
      <c r="B1279" s="1">
        <v>2004.0</v>
      </c>
      <c r="C1279" s="1" t="s">
        <v>15211</v>
      </c>
      <c r="D1279" s="1" t="s">
        <v>15212</v>
      </c>
      <c r="E1279" s="2" t="s">
        <v>15213</v>
      </c>
      <c r="F1279" s="1">
        <v>417.0</v>
      </c>
      <c r="G1279" s="1">
        <v>424.0</v>
      </c>
      <c r="H1279" s="1" t="s">
        <v>28</v>
      </c>
      <c r="I1279" s="1"/>
      <c r="J1279" s="1" t="s">
        <v>15217</v>
      </c>
      <c r="K1279" s="1"/>
      <c r="L1279" s="1" t="s">
        <v>15218</v>
      </c>
      <c r="M1279" s="1" t="s">
        <v>15219</v>
      </c>
      <c r="N1279" s="1" t="s">
        <v>15220</v>
      </c>
    </row>
    <row r="1280">
      <c r="A1280" s="1" t="s">
        <v>17</v>
      </c>
      <c r="B1280" s="1">
        <v>2004.0</v>
      </c>
      <c r="C1280" s="1" t="s">
        <v>15222</v>
      </c>
      <c r="D1280" s="1" t="s">
        <v>15223</v>
      </c>
      <c r="E1280" s="2" t="s">
        <v>15226</v>
      </c>
      <c r="F1280" s="1">
        <v>235.0</v>
      </c>
      <c r="G1280" s="1">
        <v>241.0</v>
      </c>
      <c r="H1280" s="1" t="s">
        <v>28</v>
      </c>
      <c r="I1280" s="1"/>
      <c r="J1280" s="1" t="s">
        <v>15231</v>
      </c>
      <c r="K1280" s="1"/>
      <c r="L1280" s="1" t="s">
        <v>880</v>
      </c>
      <c r="M1280" s="1"/>
      <c r="N1280" s="1" t="s">
        <v>15232</v>
      </c>
    </row>
    <row r="1281">
      <c r="A1281" s="1" t="s">
        <v>17</v>
      </c>
      <c r="B1281" s="1">
        <v>2004.0</v>
      </c>
      <c r="C1281" s="1" t="s">
        <v>15233</v>
      </c>
      <c r="D1281" s="1" t="s">
        <v>15234</v>
      </c>
      <c r="E1281" s="2" t="s">
        <v>15235</v>
      </c>
      <c r="F1281" s="1">
        <v>3.0</v>
      </c>
      <c r="G1281" s="1">
        <v>10.0</v>
      </c>
      <c r="H1281" s="1" t="s">
        <v>28</v>
      </c>
      <c r="I1281" s="1"/>
      <c r="J1281" s="1" t="s">
        <v>15239</v>
      </c>
      <c r="K1281" s="1"/>
      <c r="L1281" s="1" t="s">
        <v>15240</v>
      </c>
      <c r="M1281" s="1" t="s">
        <v>2052</v>
      </c>
      <c r="N1281" s="1" t="s">
        <v>15241</v>
      </c>
    </row>
    <row r="1282">
      <c r="A1282" s="1" t="s">
        <v>17</v>
      </c>
      <c r="B1282" s="1">
        <v>2004.0</v>
      </c>
      <c r="C1282" s="1" t="s">
        <v>15242</v>
      </c>
      <c r="D1282" s="1" t="s">
        <v>15243</v>
      </c>
      <c r="E1282" s="2" t="s">
        <v>15244</v>
      </c>
      <c r="F1282" s="1">
        <v>14.0</v>
      </c>
      <c r="G1282" s="1">
        <v>14.0</v>
      </c>
      <c r="H1282" s="1" t="s">
        <v>21</v>
      </c>
      <c r="I1282" s="1"/>
      <c r="J1282" s="1" t="s">
        <v>15249</v>
      </c>
      <c r="K1282" s="1"/>
      <c r="L1282" s="1" t="s">
        <v>14199</v>
      </c>
    </row>
    <row r="1283">
      <c r="A1283" s="1" t="s">
        <v>17</v>
      </c>
      <c r="B1283" s="1">
        <v>2004.0</v>
      </c>
      <c r="C1283" s="1" t="s">
        <v>15250</v>
      </c>
      <c r="D1283" s="1" t="s">
        <v>15251</v>
      </c>
      <c r="E1283" s="2" t="s">
        <v>15252</v>
      </c>
      <c r="F1283" s="1">
        <v>393.0</v>
      </c>
      <c r="G1283" s="1">
        <v>400.0</v>
      </c>
      <c r="H1283" s="1" t="s">
        <v>28</v>
      </c>
      <c r="I1283" s="1"/>
      <c r="J1283" s="1" t="s">
        <v>15256</v>
      </c>
      <c r="K1283" s="1"/>
      <c r="L1283" s="1" t="s">
        <v>15257</v>
      </c>
      <c r="M1283" s="1" t="s">
        <v>11129</v>
      </c>
      <c r="N1283" s="1" t="s">
        <v>15258</v>
      </c>
    </row>
    <row r="1284">
      <c r="A1284" s="1" t="s">
        <v>17</v>
      </c>
      <c r="B1284" s="1">
        <v>2004.0</v>
      </c>
      <c r="C1284" s="1" t="s">
        <v>15259</v>
      </c>
      <c r="D1284" s="1" t="s">
        <v>15262</v>
      </c>
      <c r="E1284" s="2" t="s">
        <v>15265</v>
      </c>
      <c r="F1284" s="1">
        <v>305.0</v>
      </c>
      <c r="G1284" s="1">
        <v>312.0</v>
      </c>
      <c r="H1284" s="1" t="s">
        <v>28</v>
      </c>
      <c r="I1284" s="1"/>
      <c r="J1284" s="1" t="s">
        <v>5975</v>
      </c>
      <c r="K1284" s="1"/>
      <c r="L1284" s="1" t="s">
        <v>15266</v>
      </c>
      <c r="M1284" s="1" t="s">
        <v>15267</v>
      </c>
      <c r="N1284" s="1" t="s">
        <v>15268</v>
      </c>
    </row>
    <row r="1285">
      <c r="A1285" s="1" t="s">
        <v>17</v>
      </c>
      <c r="B1285" s="1">
        <v>2004.0</v>
      </c>
      <c r="C1285" s="1" t="s">
        <v>15270</v>
      </c>
      <c r="D1285" s="1" t="s">
        <v>15272</v>
      </c>
      <c r="E1285" s="2" t="s">
        <v>15274</v>
      </c>
      <c r="F1285" s="1">
        <v>17.0</v>
      </c>
      <c r="G1285" s="1">
        <v>17.0</v>
      </c>
      <c r="H1285" s="1" t="s">
        <v>21</v>
      </c>
      <c r="I1285" s="1"/>
      <c r="J1285" s="1" t="s">
        <v>15231</v>
      </c>
      <c r="K1285" s="1"/>
      <c r="L1285" s="1" t="s">
        <v>15278</v>
      </c>
    </row>
    <row r="1286">
      <c r="A1286" s="1" t="s">
        <v>17</v>
      </c>
      <c r="B1286" s="1">
        <v>2004.0</v>
      </c>
      <c r="C1286" s="1" t="s">
        <v>15279</v>
      </c>
      <c r="D1286" s="1" t="s">
        <v>15280</v>
      </c>
      <c r="E1286" s="2" t="s">
        <v>15281</v>
      </c>
      <c r="F1286" s="1">
        <v>267.0</v>
      </c>
      <c r="G1286" s="1">
        <v>274.0</v>
      </c>
      <c r="H1286" s="1" t="s">
        <v>28</v>
      </c>
      <c r="I1286" s="1"/>
      <c r="J1286" s="1" t="s">
        <v>15285</v>
      </c>
      <c r="K1286" s="1"/>
      <c r="L1286" s="1" t="s">
        <v>184</v>
      </c>
      <c r="M1286" s="1"/>
      <c r="N1286" s="1" t="s">
        <v>15286</v>
      </c>
    </row>
    <row r="1287">
      <c r="A1287" s="1" t="s">
        <v>17</v>
      </c>
      <c r="B1287" s="1">
        <v>2004.0</v>
      </c>
      <c r="C1287" s="1" t="s">
        <v>15287</v>
      </c>
      <c r="D1287" s="1" t="s">
        <v>15288</v>
      </c>
      <c r="E1287" s="2" t="s">
        <v>15289</v>
      </c>
      <c r="F1287" s="1">
        <v>563.0</v>
      </c>
      <c r="G1287" s="1">
        <v>566.0</v>
      </c>
      <c r="H1287" s="1" t="s">
        <v>21</v>
      </c>
      <c r="I1287" s="1"/>
      <c r="J1287" s="1" t="s">
        <v>15294</v>
      </c>
      <c r="K1287" s="1"/>
      <c r="L1287" s="1" t="s">
        <v>15296</v>
      </c>
    </row>
    <row r="1288">
      <c r="A1288" s="1" t="s">
        <v>17</v>
      </c>
      <c r="B1288" s="1">
        <v>2004.0</v>
      </c>
      <c r="C1288" s="1" t="s">
        <v>15298</v>
      </c>
      <c r="D1288" s="1" t="s">
        <v>15299</v>
      </c>
      <c r="E1288" s="2" t="s">
        <v>15300</v>
      </c>
      <c r="F1288" s="1">
        <v>567.0</v>
      </c>
      <c r="G1288" s="1">
        <v>568.0</v>
      </c>
      <c r="H1288" s="1" t="s">
        <v>21</v>
      </c>
      <c r="I1288" s="1"/>
      <c r="J1288" s="1" t="s">
        <v>15720</v>
      </c>
      <c r="K1288" s="1"/>
      <c r="L1288" s="1" t="s">
        <v>14824</v>
      </c>
    </row>
    <row r="1289">
      <c r="A1289" s="1" t="s">
        <v>17</v>
      </c>
      <c r="B1289" s="1">
        <v>2004.0</v>
      </c>
      <c r="C1289" s="1" t="s">
        <v>15721</v>
      </c>
      <c r="D1289" s="1" t="s">
        <v>15722</v>
      </c>
      <c r="E1289" s="2" t="s">
        <v>15725</v>
      </c>
      <c r="F1289" s="1">
        <v>569.0</v>
      </c>
      <c r="G1289" s="1">
        <v>571.0</v>
      </c>
      <c r="H1289" s="1" t="s">
        <v>21</v>
      </c>
      <c r="I1289" s="1"/>
      <c r="J1289" s="1" t="s">
        <v>15731</v>
      </c>
      <c r="K1289" s="1"/>
      <c r="L1289" s="1" t="s">
        <v>15732</v>
      </c>
    </row>
    <row r="1290">
      <c r="A1290" s="1" t="s">
        <v>17</v>
      </c>
      <c r="B1290" s="1">
        <v>2004.0</v>
      </c>
      <c r="C1290" s="1" t="s">
        <v>15733</v>
      </c>
      <c r="D1290" s="1" t="s">
        <v>15734</v>
      </c>
      <c r="E1290" s="2" t="s">
        <v>15735</v>
      </c>
      <c r="F1290" s="1">
        <v>573.0</v>
      </c>
      <c r="G1290" s="1">
        <v>575.0</v>
      </c>
      <c r="H1290" s="1" t="s">
        <v>21</v>
      </c>
      <c r="I1290" s="1"/>
      <c r="J1290" s="1" t="s">
        <v>15740</v>
      </c>
      <c r="K1290" s="1"/>
      <c r="L1290" s="1" t="s">
        <v>15741</v>
      </c>
    </row>
    <row r="1291">
      <c r="A1291" s="1" t="s">
        <v>17</v>
      </c>
      <c r="B1291" s="1">
        <v>2004.0</v>
      </c>
      <c r="C1291" s="1" t="s">
        <v>15742</v>
      </c>
      <c r="D1291" s="1" t="s">
        <v>15743</v>
      </c>
      <c r="E1291" s="2" t="s">
        <v>15744</v>
      </c>
      <c r="F1291" s="1">
        <v>123.0</v>
      </c>
      <c r="G1291" s="1">
        <v>130.0</v>
      </c>
      <c r="H1291" s="1" t="s">
        <v>28</v>
      </c>
      <c r="I1291" s="1"/>
      <c r="J1291" s="1" t="s">
        <v>15745</v>
      </c>
      <c r="K1291" s="1"/>
      <c r="L1291" s="1" t="s">
        <v>15746</v>
      </c>
      <c r="M1291" s="1" t="s">
        <v>15747</v>
      </c>
      <c r="N1291" s="1" t="s">
        <v>15748</v>
      </c>
    </row>
    <row r="1292">
      <c r="A1292" s="1" t="s">
        <v>17</v>
      </c>
      <c r="B1292" s="1">
        <v>2004.0</v>
      </c>
      <c r="C1292" s="1" t="s">
        <v>15749</v>
      </c>
      <c r="D1292" s="1" t="s">
        <v>15750</v>
      </c>
      <c r="E1292" s="2" t="s">
        <v>15752</v>
      </c>
      <c r="F1292" s="1">
        <v>425.0</v>
      </c>
      <c r="G1292" s="1">
        <v>432.0</v>
      </c>
      <c r="H1292" s="1" t="s">
        <v>28</v>
      </c>
      <c r="I1292" s="1"/>
      <c r="J1292" s="1" t="s">
        <v>15757</v>
      </c>
      <c r="K1292" s="1"/>
      <c r="L1292" s="1" t="s">
        <v>15758</v>
      </c>
      <c r="M1292" s="1" t="s">
        <v>15759</v>
      </c>
      <c r="N1292" s="1" t="s">
        <v>15760</v>
      </c>
    </row>
    <row r="1293">
      <c r="A1293" s="1" t="s">
        <v>17</v>
      </c>
      <c r="B1293" s="1">
        <v>2004.0</v>
      </c>
      <c r="C1293" s="1" t="s">
        <v>15761</v>
      </c>
      <c r="D1293" s="1" t="s">
        <v>15762</v>
      </c>
      <c r="E1293" s="2" t="s">
        <v>15763</v>
      </c>
      <c r="F1293" s="1">
        <v>473.0</v>
      </c>
      <c r="G1293" s="1">
        <v>480.0</v>
      </c>
      <c r="H1293" s="1" t="s">
        <v>28</v>
      </c>
      <c r="I1293" s="1"/>
      <c r="J1293" s="1" t="s">
        <v>15766</v>
      </c>
      <c r="K1293" s="1"/>
      <c r="L1293" s="1" t="s">
        <v>15767</v>
      </c>
      <c r="M1293" s="1" t="s">
        <v>2170</v>
      </c>
      <c r="N1293" s="1" t="s">
        <v>15768</v>
      </c>
    </row>
    <row r="1294">
      <c r="A1294" s="1" t="s">
        <v>17</v>
      </c>
      <c r="B1294" s="1">
        <v>2004.0</v>
      </c>
      <c r="C1294" s="1" t="s">
        <v>15769</v>
      </c>
      <c r="D1294" s="1" t="s">
        <v>15770</v>
      </c>
      <c r="E1294" s="2" t="s">
        <v>15771</v>
      </c>
      <c r="F1294" s="1">
        <v>27.0</v>
      </c>
      <c r="G1294" s="1">
        <v>34.0</v>
      </c>
      <c r="H1294" s="1" t="s">
        <v>28</v>
      </c>
      <c r="I1294" s="1"/>
      <c r="J1294" s="1" t="s">
        <v>15775</v>
      </c>
      <c r="K1294" s="1"/>
      <c r="L1294" s="1" t="s">
        <v>15776</v>
      </c>
      <c r="M1294" s="1" t="s">
        <v>15777</v>
      </c>
      <c r="N1294" s="1" t="s">
        <v>15778</v>
      </c>
    </row>
    <row r="1295">
      <c r="A1295" s="1" t="s">
        <v>17</v>
      </c>
      <c r="B1295" s="1">
        <v>2004.0</v>
      </c>
      <c r="C1295" s="1" t="s">
        <v>15779</v>
      </c>
      <c r="D1295" s="1" t="s">
        <v>15780</v>
      </c>
      <c r="E1295" s="2" t="s">
        <v>15781</v>
      </c>
      <c r="F1295" s="1">
        <v>131.0</v>
      </c>
      <c r="G1295" s="1">
        <v>138.0</v>
      </c>
      <c r="H1295" s="1" t="s">
        <v>28</v>
      </c>
      <c r="I1295" s="1"/>
      <c r="J1295" s="1" t="s">
        <v>15786</v>
      </c>
      <c r="K1295" s="1"/>
      <c r="L1295" s="1" t="s">
        <v>3047</v>
      </c>
      <c r="M1295" s="1" t="s">
        <v>15787</v>
      </c>
      <c r="N1295" s="1" t="s">
        <v>15788</v>
      </c>
    </row>
    <row r="1296">
      <c r="A1296" s="1" t="s">
        <v>17</v>
      </c>
      <c r="B1296" s="1">
        <v>2004.0</v>
      </c>
      <c r="C1296" s="1" t="s">
        <v>15789</v>
      </c>
      <c r="D1296" s="1" t="s">
        <v>15790</v>
      </c>
      <c r="E1296" s="2" t="s">
        <v>15791</v>
      </c>
      <c r="F1296" s="1">
        <v>203.0</v>
      </c>
      <c r="G1296" s="1">
        <v>210.0</v>
      </c>
      <c r="H1296" s="1" t="s">
        <v>28</v>
      </c>
      <c r="I1296" s="1"/>
      <c r="J1296" s="1" t="s">
        <v>13224</v>
      </c>
      <c r="K1296" s="1"/>
      <c r="L1296" s="1" t="s">
        <v>15794</v>
      </c>
      <c r="M1296" s="1" t="s">
        <v>15795</v>
      </c>
      <c r="N1296" s="1" t="s">
        <v>15796</v>
      </c>
    </row>
    <row r="1297">
      <c r="A1297" s="1" t="s">
        <v>17</v>
      </c>
      <c r="B1297" s="1">
        <v>2004.0</v>
      </c>
      <c r="C1297" s="1" t="s">
        <v>15798</v>
      </c>
      <c r="D1297" s="1" t="s">
        <v>15800</v>
      </c>
      <c r="E1297" s="2" t="s">
        <v>15801</v>
      </c>
      <c r="F1297" s="1">
        <v>545.0</v>
      </c>
      <c r="G1297" s="1">
        <v>552.0</v>
      </c>
      <c r="H1297" s="1" t="s">
        <v>28</v>
      </c>
      <c r="I1297" s="1"/>
      <c r="J1297" s="1" t="s">
        <v>15805</v>
      </c>
      <c r="K1297" s="1"/>
      <c r="L1297" s="1" t="s">
        <v>15807</v>
      </c>
      <c r="M1297" s="1" t="s">
        <v>15808</v>
      </c>
      <c r="N1297" s="1" t="s">
        <v>15809</v>
      </c>
    </row>
    <row r="1298">
      <c r="A1298" s="1" t="s">
        <v>17</v>
      </c>
      <c r="B1298" s="1">
        <v>2004.0</v>
      </c>
      <c r="C1298" s="1" t="s">
        <v>15810</v>
      </c>
      <c r="D1298" s="1" t="s">
        <v>15811</v>
      </c>
      <c r="E1298" s="2" t="s">
        <v>15812</v>
      </c>
      <c r="F1298" s="1">
        <v>34.0</v>
      </c>
      <c r="G1298" s="1">
        <v>34.0</v>
      </c>
      <c r="H1298" s="1" t="s">
        <v>21</v>
      </c>
      <c r="I1298" s="1"/>
      <c r="J1298" s="1" t="s">
        <v>15813</v>
      </c>
      <c r="K1298" s="1"/>
      <c r="L1298" s="1" t="s">
        <v>14924</v>
      </c>
    </row>
    <row r="1299">
      <c r="A1299" s="1" t="s">
        <v>17</v>
      </c>
      <c r="B1299" s="1">
        <v>2004.0</v>
      </c>
      <c r="C1299" s="1" t="s">
        <v>15814</v>
      </c>
      <c r="D1299" s="1" t="s">
        <v>15815</v>
      </c>
      <c r="E1299" s="2" t="s">
        <v>15816</v>
      </c>
      <c r="F1299" s="1">
        <v>33.0</v>
      </c>
      <c r="G1299" s="1">
        <v>33.0</v>
      </c>
      <c r="H1299" s="1" t="s">
        <v>21</v>
      </c>
      <c r="I1299" s="1"/>
      <c r="J1299" s="1" t="s">
        <v>15817</v>
      </c>
      <c r="K1299" s="1"/>
      <c r="L1299" s="1" t="s">
        <v>15818</v>
      </c>
    </row>
    <row r="1300">
      <c r="A1300" s="1" t="s">
        <v>17</v>
      </c>
      <c r="B1300" s="1">
        <v>2004.0</v>
      </c>
      <c r="C1300" s="1" t="s">
        <v>15819</v>
      </c>
      <c r="D1300" s="1" t="s">
        <v>15820</v>
      </c>
      <c r="E1300" s="2" t="s">
        <v>15821</v>
      </c>
      <c r="F1300" s="1">
        <v>99.0</v>
      </c>
      <c r="G1300" s="1">
        <v>106.0</v>
      </c>
      <c r="H1300" s="1" t="s">
        <v>28</v>
      </c>
      <c r="I1300" s="1"/>
      <c r="J1300" s="1" t="s">
        <v>15822</v>
      </c>
      <c r="K1300" s="1"/>
      <c r="L1300" s="1" t="s">
        <v>15823</v>
      </c>
      <c r="M1300" s="1" t="s">
        <v>15824</v>
      </c>
      <c r="N1300" s="1" t="s">
        <v>15825</v>
      </c>
    </row>
    <row r="1301">
      <c r="A1301" s="1" t="s">
        <v>17</v>
      </c>
      <c r="B1301" s="1">
        <v>2004.0</v>
      </c>
      <c r="C1301" s="1" t="s">
        <v>15826</v>
      </c>
      <c r="D1301" s="1" t="s">
        <v>15827</v>
      </c>
      <c r="E1301" s="2" t="s">
        <v>15828</v>
      </c>
      <c r="F1301" s="1">
        <v>409.0</v>
      </c>
      <c r="G1301" s="1">
        <v>416.0</v>
      </c>
      <c r="H1301" s="1" t="s">
        <v>28</v>
      </c>
      <c r="I1301" s="1"/>
      <c r="J1301" s="1" t="s">
        <v>15817</v>
      </c>
      <c r="K1301" s="1"/>
      <c r="L1301" s="1" t="s">
        <v>15829</v>
      </c>
      <c r="M1301" s="1"/>
      <c r="N1301" s="1" t="s">
        <v>15830</v>
      </c>
    </row>
    <row r="1302">
      <c r="A1302" s="1" t="s">
        <v>17</v>
      </c>
      <c r="B1302" s="1">
        <v>2004.0</v>
      </c>
      <c r="C1302" s="1" t="s">
        <v>15831</v>
      </c>
      <c r="D1302" s="1" t="s">
        <v>15832</v>
      </c>
      <c r="E1302" s="2" t="s">
        <v>15833</v>
      </c>
      <c r="F1302" s="1">
        <v>251.0</v>
      </c>
      <c r="G1302" s="1">
        <v>258.0</v>
      </c>
      <c r="H1302" s="1" t="s">
        <v>28</v>
      </c>
      <c r="I1302" s="1"/>
      <c r="J1302" s="1" t="s">
        <v>15835</v>
      </c>
      <c r="K1302" s="1"/>
      <c r="L1302" s="1" t="s">
        <v>12380</v>
      </c>
      <c r="M1302" s="1"/>
      <c r="N1302" s="1" t="s">
        <v>15836</v>
      </c>
    </row>
    <row r="1303">
      <c r="A1303" s="1" t="s">
        <v>17</v>
      </c>
      <c r="B1303" s="1">
        <v>2004.0</v>
      </c>
      <c r="C1303" s="1" t="s">
        <v>15837</v>
      </c>
      <c r="D1303" s="1" t="s">
        <v>15838</v>
      </c>
      <c r="E1303" s="2" t="s">
        <v>15839</v>
      </c>
      <c r="F1303" s="1">
        <v>171.0</v>
      </c>
      <c r="G1303" s="1">
        <v>178.0</v>
      </c>
      <c r="H1303" s="1" t="s">
        <v>28</v>
      </c>
      <c r="I1303" s="1"/>
      <c r="J1303" s="1" t="s">
        <v>15842</v>
      </c>
      <c r="K1303" s="1"/>
      <c r="L1303" s="1" t="s">
        <v>15843</v>
      </c>
      <c r="M1303" s="1" t="s">
        <v>15844</v>
      </c>
      <c r="N1303" s="1" t="s">
        <v>15845</v>
      </c>
    </row>
    <row r="1304">
      <c r="A1304" s="1" t="s">
        <v>17</v>
      </c>
      <c r="B1304" s="1">
        <v>2004.0</v>
      </c>
      <c r="C1304" s="1" t="s">
        <v>15846</v>
      </c>
      <c r="D1304" s="1" t="s">
        <v>15847</v>
      </c>
      <c r="E1304" s="2" t="s">
        <v>15848</v>
      </c>
      <c r="F1304" s="1">
        <v>497.0</v>
      </c>
      <c r="G1304" s="1">
        <v>504.0</v>
      </c>
      <c r="H1304" s="1" t="s">
        <v>28</v>
      </c>
      <c r="I1304" s="1"/>
      <c r="J1304" s="1" t="s">
        <v>15852</v>
      </c>
      <c r="K1304" s="1"/>
      <c r="L1304" s="1" t="s">
        <v>7837</v>
      </c>
      <c r="M1304" s="1" t="s">
        <v>15853</v>
      </c>
      <c r="N1304" s="1" t="s">
        <v>15854</v>
      </c>
    </row>
    <row r="1305">
      <c r="A1305" s="1" t="s">
        <v>17</v>
      </c>
      <c r="B1305" s="1">
        <v>2004.0</v>
      </c>
      <c r="C1305" s="1" t="s">
        <v>15856</v>
      </c>
      <c r="D1305" s="1" t="s">
        <v>15857</v>
      </c>
      <c r="E1305" s="2" t="s">
        <v>15860</v>
      </c>
      <c r="F1305" s="1">
        <v>513.0</v>
      </c>
      <c r="G1305" s="1">
        <v>520.0</v>
      </c>
      <c r="H1305" s="1" t="s">
        <v>28</v>
      </c>
      <c r="I1305" s="1"/>
      <c r="J1305" s="1" t="s">
        <v>15864</v>
      </c>
      <c r="K1305" s="1"/>
      <c r="L1305" s="1" t="s">
        <v>15865</v>
      </c>
      <c r="M1305" s="1" t="s">
        <v>15866</v>
      </c>
      <c r="N1305" s="1" t="s">
        <v>15867</v>
      </c>
    </row>
    <row r="1306">
      <c r="A1306" s="1" t="s">
        <v>17</v>
      </c>
      <c r="B1306" s="1">
        <v>2004.0</v>
      </c>
      <c r="C1306" s="1" t="s">
        <v>15868</v>
      </c>
      <c r="D1306" s="1" t="s">
        <v>15869</v>
      </c>
      <c r="E1306" s="2" t="s">
        <v>15870</v>
      </c>
      <c r="F1306" s="1">
        <v>321.0</v>
      </c>
      <c r="G1306" s="1">
        <v>328.0</v>
      </c>
      <c r="H1306" s="1" t="s">
        <v>28</v>
      </c>
      <c r="I1306" s="1"/>
      <c r="J1306" s="1" t="s">
        <v>13442</v>
      </c>
      <c r="K1306" s="1"/>
      <c r="L1306" s="1" t="s">
        <v>9852</v>
      </c>
      <c r="M1306" s="1" t="s">
        <v>15877</v>
      </c>
      <c r="N1306" s="1" t="s">
        <v>15878</v>
      </c>
    </row>
    <row r="1307">
      <c r="A1307" s="1" t="s">
        <v>2137</v>
      </c>
      <c r="B1307" s="1">
        <v>2005.0</v>
      </c>
      <c r="C1307" s="1" t="s">
        <v>15879</v>
      </c>
      <c r="D1307" s="1" t="s">
        <v>15880</v>
      </c>
      <c r="E1307" s="2" t="s">
        <v>15881</v>
      </c>
      <c r="F1307" s="1">
        <v>1.0</v>
      </c>
      <c r="G1307" s="1">
        <v>7.0</v>
      </c>
      <c r="H1307" s="1" t="s">
        <v>28</v>
      </c>
      <c r="I1307" s="1"/>
      <c r="J1307" s="1" t="s">
        <v>11897</v>
      </c>
      <c r="K1307" s="1"/>
      <c r="L1307" s="1" t="s">
        <v>15884</v>
      </c>
      <c r="M1307" s="1" t="s">
        <v>15885</v>
      </c>
      <c r="N1307" s="1" t="s">
        <v>15886</v>
      </c>
    </row>
    <row r="1308">
      <c r="A1308" s="1" t="s">
        <v>2137</v>
      </c>
      <c r="B1308" s="1">
        <v>2005.0</v>
      </c>
      <c r="C1308" s="1" t="s">
        <v>15887</v>
      </c>
      <c r="D1308" s="1" t="s">
        <v>15888</v>
      </c>
      <c r="E1308" s="2" t="s">
        <v>15889</v>
      </c>
      <c r="F1308" s="1">
        <v>8.0</v>
      </c>
      <c r="G1308" s="1">
        <v>15.0</v>
      </c>
      <c r="H1308" s="1" t="s">
        <v>28</v>
      </c>
      <c r="I1308" s="1"/>
      <c r="J1308" s="1" t="s">
        <v>15893</v>
      </c>
      <c r="K1308" s="1"/>
      <c r="L1308" s="1" t="s">
        <v>15894</v>
      </c>
      <c r="M1308" s="1"/>
      <c r="N1308" s="1" t="s">
        <v>15896</v>
      </c>
    </row>
    <row r="1309">
      <c r="A1309" s="1" t="s">
        <v>2137</v>
      </c>
      <c r="B1309" s="1">
        <v>2005.0</v>
      </c>
      <c r="C1309" s="1" t="s">
        <v>15898</v>
      </c>
      <c r="D1309" s="1" t="s">
        <v>15899</v>
      </c>
      <c r="E1309" s="2" t="s">
        <v>15900</v>
      </c>
      <c r="F1309" s="1">
        <v>16.0</v>
      </c>
      <c r="G1309" s="1">
        <v>23.0</v>
      </c>
      <c r="H1309" s="1" t="s">
        <v>28</v>
      </c>
      <c r="I1309" s="1"/>
      <c r="J1309" s="1" t="s">
        <v>15903</v>
      </c>
      <c r="K1309" s="1"/>
      <c r="L1309" s="1" t="s">
        <v>15904</v>
      </c>
      <c r="M1309" s="1" t="s">
        <v>15905</v>
      </c>
      <c r="N1309" s="1" t="s">
        <v>15906</v>
      </c>
    </row>
    <row r="1310">
      <c r="A1310" s="1" t="s">
        <v>2137</v>
      </c>
      <c r="B1310" s="1">
        <v>2005.0</v>
      </c>
      <c r="C1310" s="1" t="s">
        <v>15907</v>
      </c>
      <c r="D1310" s="1" t="s">
        <v>15908</v>
      </c>
      <c r="E1310" s="2" t="s">
        <v>15909</v>
      </c>
      <c r="F1310" s="1">
        <v>24.0</v>
      </c>
      <c r="G1310" s="1">
        <v>31.0</v>
      </c>
      <c r="H1310" s="1" t="s">
        <v>28</v>
      </c>
      <c r="I1310" s="1"/>
      <c r="J1310" s="1" t="s">
        <v>15912</v>
      </c>
      <c r="K1310" s="1"/>
      <c r="L1310" s="1" t="s">
        <v>15913</v>
      </c>
      <c r="M1310" s="1" t="s">
        <v>15914</v>
      </c>
      <c r="N1310" s="1" t="s">
        <v>15915</v>
      </c>
    </row>
    <row r="1311">
      <c r="A1311" s="1" t="s">
        <v>2137</v>
      </c>
      <c r="B1311" s="1">
        <v>2005.0</v>
      </c>
      <c r="C1311" s="1" t="s">
        <v>15916</v>
      </c>
      <c r="D1311" s="1" t="s">
        <v>15917</v>
      </c>
      <c r="E1311" s="2" t="s">
        <v>15918</v>
      </c>
      <c r="F1311" s="1">
        <v>32.0</v>
      </c>
      <c r="G1311" s="1">
        <v>39.0</v>
      </c>
      <c r="H1311" s="1" t="s">
        <v>28</v>
      </c>
      <c r="I1311" s="1"/>
      <c r="J1311" s="1" t="s">
        <v>15922</v>
      </c>
      <c r="K1311" s="1"/>
      <c r="L1311" s="1" t="s">
        <v>15923</v>
      </c>
      <c r="M1311" s="1" t="s">
        <v>13979</v>
      </c>
      <c r="N1311" s="1" t="s">
        <v>15924</v>
      </c>
    </row>
    <row r="1312">
      <c r="A1312" s="1" t="s">
        <v>2137</v>
      </c>
      <c r="B1312" s="1">
        <v>2005.0</v>
      </c>
      <c r="C1312" s="1" t="s">
        <v>15925</v>
      </c>
      <c r="D1312" s="1" t="s">
        <v>15926</v>
      </c>
      <c r="E1312" s="2" t="s">
        <v>15927</v>
      </c>
      <c r="F1312" s="1">
        <v>41.0</v>
      </c>
      <c r="G1312" s="1">
        <v>48.0</v>
      </c>
      <c r="H1312" s="1" t="s">
        <v>28</v>
      </c>
      <c r="I1312" s="1"/>
      <c r="J1312" s="1" t="s">
        <v>15929</v>
      </c>
      <c r="K1312" s="1"/>
      <c r="L1312" s="1" t="s">
        <v>15930</v>
      </c>
      <c r="M1312" s="1" t="s">
        <v>15931</v>
      </c>
      <c r="N1312" s="1" t="s">
        <v>15933</v>
      </c>
    </row>
    <row r="1313">
      <c r="A1313" s="1" t="s">
        <v>2137</v>
      </c>
      <c r="B1313" s="1">
        <v>2005.0</v>
      </c>
      <c r="C1313" s="1" t="s">
        <v>15934</v>
      </c>
      <c r="D1313" s="1" t="s">
        <v>15935</v>
      </c>
      <c r="E1313" s="2" t="s">
        <v>15936</v>
      </c>
      <c r="F1313" s="1">
        <v>49.0</v>
      </c>
      <c r="G1313" s="1">
        <v>56.0</v>
      </c>
      <c r="H1313" s="1" t="s">
        <v>28</v>
      </c>
      <c r="I1313" s="1"/>
      <c r="J1313" s="1" t="s">
        <v>15006</v>
      </c>
      <c r="K1313" s="1"/>
      <c r="L1313" s="1" t="s">
        <v>11929</v>
      </c>
      <c r="M1313" s="1" t="s">
        <v>15941</v>
      </c>
      <c r="N1313" s="1" t="s">
        <v>15942</v>
      </c>
    </row>
    <row r="1314">
      <c r="A1314" s="1" t="s">
        <v>2137</v>
      </c>
      <c r="B1314" s="1">
        <v>2005.0</v>
      </c>
      <c r="C1314" s="1" t="s">
        <v>15943</v>
      </c>
      <c r="D1314" s="1" t="s">
        <v>15944</v>
      </c>
      <c r="E1314" s="2" t="s">
        <v>15945</v>
      </c>
      <c r="F1314" s="1">
        <v>57.0</v>
      </c>
      <c r="G1314" s="1">
        <v>64.0</v>
      </c>
      <c r="H1314" s="1" t="s">
        <v>28</v>
      </c>
      <c r="I1314" s="1"/>
      <c r="J1314" s="1" t="s">
        <v>15947</v>
      </c>
      <c r="K1314" s="1"/>
      <c r="L1314" s="1" t="s">
        <v>15948</v>
      </c>
      <c r="M1314" s="1" t="s">
        <v>15949</v>
      </c>
      <c r="N1314" s="1" t="s">
        <v>15950</v>
      </c>
    </row>
    <row r="1315">
      <c r="A1315" s="1" t="s">
        <v>2137</v>
      </c>
      <c r="B1315" s="1">
        <v>2005.0</v>
      </c>
      <c r="C1315" s="1" t="s">
        <v>15954</v>
      </c>
      <c r="D1315" s="1" t="s">
        <v>15955</v>
      </c>
      <c r="E1315" s="2" t="s">
        <v>15956</v>
      </c>
      <c r="F1315" s="1">
        <v>65.0</v>
      </c>
      <c r="G1315" s="1">
        <v>72.0</v>
      </c>
      <c r="H1315" s="1" t="s">
        <v>28</v>
      </c>
      <c r="I1315" s="1"/>
      <c r="J1315" s="1" t="s">
        <v>15959</v>
      </c>
      <c r="K1315" s="1"/>
      <c r="L1315" s="1" t="s">
        <v>15960</v>
      </c>
      <c r="P1315" s="1"/>
      <c r="Q1315" s="1" t="s">
        <v>106</v>
      </c>
    </row>
    <row r="1316">
      <c r="A1316" s="1" t="s">
        <v>2137</v>
      </c>
      <c r="B1316" s="1">
        <v>2005.0</v>
      </c>
      <c r="C1316" s="1" t="s">
        <v>15961</v>
      </c>
      <c r="D1316" s="1" t="s">
        <v>15962</v>
      </c>
      <c r="E1316" s="2" t="s">
        <v>15963</v>
      </c>
      <c r="F1316" s="1">
        <v>73.0</v>
      </c>
      <c r="G1316" s="1">
        <v>80.0</v>
      </c>
      <c r="H1316" s="1" t="s">
        <v>28</v>
      </c>
      <c r="I1316" s="1"/>
      <c r="J1316" s="1" t="s">
        <v>15973</v>
      </c>
      <c r="K1316" s="1"/>
      <c r="L1316" s="1" t="s">
        <v>15976</v>
      </c>
      <c r="M1316" s="1"/>
      <c r="N1316" s="1" t="s">
        <v>15978</v>
      </c>
    </row>
    <row r="1317">
      <c r="A1317" s="1" t="s">
        <v>2137</v>
      </c>
      <c r="B1317" s="1">
        <v>2005.0</v>
      </c>
      <c r="C1317" s="1" t="s">
        <v>15979</v>
      </c>
      <c r="D1317" s="1" t="s">
        <v>15980</v>
      </c>
      <c r="E1317" s="2" t="s">
        <v>15981</v>
      </c>
      <c r="F1317" s="1">
        <v>81.0</v>
      </c>
      <c r="G1317" s="1">
        <v>88.0</v>
      </c>
      <c r="H1317" s="1" t="s">
        <v>28</v>
      </c>
      <c r="I1317" s="1"/>
      <c r="J1317" s="1" t="s">
        <v>15984</v>
      </c>
      <c r="K1317" s="1"/>
      <c r="L1317" s="1" t="s">
        <v>15985</v>
      </c>
      <c r="M1317" s="1" t="s">
        <v>15986</v>
      </c>
      <c r="N1317" s="1" t="s">
        <v>15987</v>
      </c>
    </row>
    <row r="1318">
      <c r="A1318" s="1" t="s">
        <v>2137</v>
      </c>
      <c r="B1318" s="1">
        <v>2005.0</v>
      </c>
      <c r="C1318" s="1" t="s">
        <v>15989</v>
      </c>
      <c r="D1318" s="1" t="s">
        <v>15990</v>
      </c>
      <c r="E1318" s="2" t="s">
        <v>15992</v>
      </c>
      <c r="F1318" s="1">
        <v>89.0</v>
      </c>
      <c r="G1318" s="1">
        <v>94.0</v>
      </c>
      <c r="H1318" s="1" t="s">
        <v>28</v>
      </c>
      <c r="I1318" s="1"/>
      <c r="J1318" s="1" t="s">
        <v>15997</v>
      </c>
      <c r="K1318" s="1"/>
      <c r="L1318" s="1" t="s">
        <v>15767</v>
      </c>
      <c r="M1318" s="1" t="s">
        <v>15998</v>
      </c>
      <c r="N1318" s="1" t="s">
        <v>15999</v>
      </c>
    </row>
    <row r="1319">
      <c r="A1319" s="1" t="s">
        <v>2137</v>
      </c>
      <c r="B1319" s="1">
        <v>2005.0</v>
      </c>
      <c r="C1319" s="1" t="s">
        <v>16000</v>
      </c>
      <c r="D1319" s="1" t="s">
        <v>16001</v>
      </c>
      <c r="E1319" s="2" t="s">
        <v>16002</v>
      </c>
      <c r="F1319" s="1">
        <v>95.0</v>
      </c>
      <c r="G1319" s="1">
        <v>102.0</v>
      </c>
      <c r="H1319" s="1" t="s">
        <v>28</v>
      </c>
      <c r="I1319" s="1"/>
      <c r="J1319" s="1" t="s">
        <v>16007</v>
      </c>
      <c r="K1319" s="1"/>
      <c r="L1319" s="1" t="s">
        <v>13494</v>
      </c>
      <c r="M1319" s="1" t="s">
        <v>13780</v>
      </c>
      <c r="N1319" s="1" t="s">
        <v>16008</v>
      </c>
    </row>
    <row r="1320">
      <c r="A1320" s="1" t="s">
        <v>2137</v>
      </c>
      <c r="B1320" s="1">
        <v>2005.0</v>
      </c>
      <c r="C1320" s="1" t="s">
        <v>16009</v>
      </c>
      <c r="D1320" s="1" t="s">
        <v>16010</v>
      </c>
      <c r="E1320" s="2" t="s">
        <v>16011</v>
      </c>
      <c r="F1320" s="1">
        <v>103.0</v>
      </c>
      <c r="G1320" s="1">
        <v>110.0</v>
      </c>
      <c r="H1320" s="1" t="s">
        <v>28</v>
      </c>
      <c r="I1320" s="1"/>
      <c r="J1320" s="1" t="s">
        <v>16018</v>
      </c>
      <c r="K1320" s="1"/>
      <c r="L1320" s="1" t="s">
        <v>16019</v>
      </c>
      <c r="M1320" s="1"/>
      <c r="N1320" s="1" t="s">
        <v>16021</v>
      </c>
    </row>
    <row r="1321">
      <c r="A1321" s="1" t="s">
        <v>2137</v>
      </c>
      <c r="B1321" s="1">
        <v>2005.0</v>
      </c>
      <c r="C1321" s="1" t="s">
        <v>16023</v>
      </c>
      <c r="D1321" s="1" t="s">
        <v>16024</v>
      </c>
      <c r="E1321" s="2" t="s">
        <v>16025</v>
      </c>
      <c r="F1321" s="1">
        <v>111.0</v>
      </c>
      <c r="G1321" s="1">
        <v>117.0</v>
      </c>
      <c r="H1321" s="1" t="s">
        <v>28</v>
      </c>
      <c r="I1321" s="1"/>
      <c r="J1321" s="1" t="s">
        <v>16029</v>
      </c>
      <c r="K1321" s="1"/>
      <c r="L1321" s="1" t="s">
        <v>16030</v>
      </c>
      <c r="M1321" s="1" t="s">
        <v>16031</v>
      </c>
      <c r="N1321" s="1" t="s">
        <v>16032</v>
      </c>
    </row>
    <row r="1322">
      <c r="A1322" s="1" t="s">
        <v>2137</v>
      </c>
      <c r="B1322" s="1">
        <v>2005.0</v>
      </c>
      <c r="C1322" s="1" t="s">
        <v>16033</v>
      </c>
      <c r="D1322" s="1" t="s">
        <v>16035</v>
      </c>
      <c r="E1322" s="2" t="s">
        <v>16038</v>
      </c>
      <c r="F1322" s="1">
        <v>119.0</v>
      </c>
      <c r="G1322" s="1">
        <v>124.0</v>
      </c>
      <c r="H1322" s="1" t="s">
        <v>28</v>
      </c>
      <c r="I1322" s="1"/>
      <c r="J1322" s="1" t="s">
        <v>16039</v>
      </c>
      <c r="K1322" s="1"/>
      <c r="L1322" s="1" t="s">
        <v>11839</v>
      </c>
      <c r="M1322" s="1"/>
      <c r="N1322" s="1" t="s">
        <v>16040</v>
      </c>
    </row>
    <row r="1323">
      <c r="A1323" s="1" t="s">
        <v>2137</v>
      </c>
      <c r="B1323" s="1">
        <v>2005.0</v>
      </c>
      <c r="C1323" s="1" t="s">
        <v>16041</v>
      </c>
      <c r="D1323" s="1" t="s">
        <v>16042</v>
      </c>
      <c r="E1323" s="2" t="s">
        <v>16043</v>
      </c>
      <c r="F1323" s="1">
        <v>125.0</v>
      </c>
      <c r="G1323" s="1">
        <v>132.0</v>
      </c>
      <c r="H1323" s="1" t="s">
        <v>28</v>
      </c>
      <c r="I1323" s="1"/>
      <c r="J1323" s="1" t="s">
        <v>16046</v>
      </c>
      <c r="K1323" s="1"/>
      <c r="L1323" s="1" t="s">
        <v>16047</v>
      </c>
      <c r="M1323" s="1" t="s">
        <v>16048</v>
      </c>
      <c r="N1323" s="1" t="s">
        <v>16049</v>
      </c>
    </row>
    <row r="1324">
      <c r="A1324" s="1" t="s">
        <v>2137</v>
      </c>
      <c r="B1324" s="1">
        <v>2005.0</v>
      </c>
      <c r="C1324" s="1" t="s">
        <v>16050</v>
      </c>
      <c r="D1324" s="1" t="s">
        <v>16051</v>
      </c>
      <c r="E1324" s="2" t="s">
        <v>16052</v>
      </c>
      <c r="F1324" s="1">
        <v>133.0</v>
      </c>
      <c r="G1324" s="1">
        <v>140.0</v>
      </c>
      <c r="H1324" s="1" t="s">
        <v>28</v>
      </c>
      <c r="I1324" s="1"/>
      <c r="J1324" s="1" t="s">
        <v>16056</v>
      </c>
      <c r="K1324" s="1"/>
      <c r="L1324" s="1" t="s">
        <v>11911</v>
      </c>
      <c r="M1324" s="1" t="s">
        <v>16057</v>
      </c>
      <c r="N1324" s="1" t="s">
        <v>16058</v>
      </c>
    </row>
    <row r="1325">
      <c r="A1325" s="1" t="s">
        <v>2137</v>
      </c>
      <c r="B1325" s="1">
        <v>2005.0</v>
      </c>
      <c r="C1325" s="1" t="s">
        <v>16060</v>
      </c>
      <c r="D1325" s="1" t="s">
        <v>16062</v>
      </c>
      <c r="E1325" s="2" t="s">
        <v>16063</v>
      </c>
      <c r="F1325" s="1">
        <v>141.0</v>
      </c>
      <c r="G1325" s="1">
        <v>148.0</v>
      </c>
      <c r="H1325" s="1" t="s">
        <v>28</v>
      </c>
      <c r="I1325" s="1"/>
      <c r="J1325" s="1" t="s">
        <v>16069</v>
      </c>
      <c r="K1325" s="1"/>
      <c r="L1325" s="1" t="s">
        <v>16070</v>
      </c>
      <c r="M1325" s="1" t="s">
        <v>16071</v>
      </c>
      <c r="N1325" s="1" t="s">
        <v>16072</v>
      </c>
    </row>
    <row r="1326">
      <c r="A1326" s="1" t="s">
        <v>2137</v>
      </c>
      <c r="B1326" s="1">
        <v>2005.0</v>
      </c>
      <c r="C1326" s="1" t="s">
        <v>16073</v>
      </c>
      <c r="D1326" s="1" t="s">
        <v>16074</v>
      </c>
      <c r="E1326" s="2" t="s">
        <v>16075</v>
      </c>
      <c r="F1326" s="1">
        <v>149.0</v>
      </c>
      <c r="G1326" s="1">
        <v>156.0</v>
      </c>
      <c r="H1326" s="1" t="s">
        <v>28</v>
      </c>
      <c r="I1326" s="1"/>
      <c r="J1326" s="1" t="s">
        <v>16083</v>
      </c>
      <c r="K1326" s="1"/>
      <c r="L1326" s="1" t="s">
        <v>12914</v>
      </c>
      <c r="M1326" s="1" t="s">
        <v>16084</v>
      </c>
      <c r="N1326" s="1" t="s">
        <v>16085</v>
      </c>
    </row>
    <row r="1327">
      <c r="A1327" s="1" t="s">
        <v>2137</v>
      </c>
      <c r="B1327" s="1">
        <v>2005.0</v>
      </c>
      <c r="C1327" s="1" t="s">
        <v>16086</v>
      </c>
      <c r="D1327" s="1" t="s">
        <v>16087</v>
      </c>
      <c r="E1327" s="2" t="s">
        <v>16088</v>
      </c>
      <c r="F1327" s="1">
        <v>157.0</v>
      </c>
      <c r="G1327" s="1">
        <v>164.0</v>
      </c>
      <c r="H1327" s="1" t="s">
        <v>28</v>
      </c>
      <c r="I1327" s="1"/>
      <c r="J1327" s="1" t="s">
        <v>16091</v>
      </c>
      <c r="K1327" s="1"/>
      <c r="L1327" s="1" t="s">
        <v>16092</v>
      </c>
      <c r="M1327" s="1" t="s">
        <v>16093</v>
      </c>
      <c r="N1327" s="1" t="s">
        <v>16094</v>
      </c>
    </row>
    <row r="1328">
      <c r="A1328" s="1" t="s">
        <v>2137</v>
      </c>
      <c r="B1328" s="1">
        <v>2005.0</v>
      </c>
      <c r="C1328" s="1" t="s">
        <v>16095</v>
      </c>
      <c r="D1328" s="1" t="s">
        <v>16096</v>
      </c>
      <c r="E1328" s="2" t="s">
        <v>16098</v>
      </c>
      <c r="F1328" s="1">
        <v>165.0</v>
      </c>
      <c r="G1328" s="1">
        <v>172.0</v>
      </c>
      <c r="H1328" s="1" t="s">
        <v>28</v>
      </c>
      <c r="I1328" s="1"/>
      <c r="J1328" s="1" t="s">
        <v>14085</v>
      </c>
      <c r="K1328" s="1"/>
      <c r="L1328" s="1" t="s">
        <v>16102</v>
      </c>
      <c r="M1328" s="1" t="s">
        <v>16103</v>
      </c>
      <c r="N1328" s="1" t="s">
        <v>16104</v>
      </c>
    </row>
    <row r="1329">
      <c r="A1329" s="1" t="s">
        <v>2137</v>
      </c>
      <c r="B1329" s="1">
        <v>2005.0</v>
      </c>
      <c r="C1329" s="1" t="s">
        <v>16105</v>
      </c>
      <c r="D1329" s="1" t="s">
        <v>16106</v>
      </c>
      <c r="E1329" s="2" t="s">
        <v>16107</v>
      </c>
      <c r="F1329" s="1">
        <v>173.0</v>
      </c>
      <c r="G1329" s="1">
        <v>180.0</v>
      </c>
      <c r="H1329" s="1" t="s">
        <v>28</v>
      </c>
      <c r="I1329" s="1"/>
      <c r="J1329" s="1" t="s">
        <v>16111</v>
      </c>
      <c r="K1329" s="1"/>
      <c r="L1329" s="1" t="s">
        <v>16113</v>
      </c>
      <c r="M1329" s="1"/>
      <c r="N1329" s="1" t="s">
        <v>16114</v>
      </c>
    </row>
    <row r="1330">
      <c r="A1330" s="1" t="s">
        <v>2137</v>
      </c>
      <c r="B1330" s="1">
        <v>2005.0</v>
      </c>
      <c r="C1330" s="1" t="s">
        <v>16116</v>
      </c>
      <c r="D1330" s="1" t="s">
        <v>16117</v>
      </c>
      <c r="E1330" s="2" t="s">
        <v>16118</v>
      </c>
      <c r="F1330" s="1">
        <v>181.0</v>
      </c>
      <c r="G1330" s="1">
        <v>186.0</v>
      </c>
      <c r="H1330" s="1" t="s">
        <v>28</v>
      </c>
      <c r="I1330" s="1"/>
      <c r="J1330" s="1" t="s">
        <v>11897</v>
      </c>
      <c r="K1330" s="1"/>
      <c r="L1330" s="1" t="s">
        <v>16122</v>
      </c>
      <c r="M1330" s="1" t="s">
        <v>16123</v>
      </c>
      <c r="N1330" s="1" t="s">
        <v>16124</v>
      </c>
    </row>
    <row r="1331">
      <c r="A1331" s="1" t="s">
        <v>2137</v>
      </c>
      <c r="B1331" s="1">
        <v>2005.0</v>
      </c>
      <c r="C1331" s="1" t="s">
        <v>16125</v>
      </c>
      <c r="D1331" s="1" t="s">
        <v>16126</v>
      </c>
      <c r="E1331" s="2" t="s">
        <v>16127</v>
      </c>
      <c r="F1331" s="1">
        <v>187.0</v>
      </c>
      <c r="G1331" s="1">
        <v>194.0</v>
      </c>
      <c r="H1331" s="1" t="s">
        <v>28</v>
      </c>
      <c r="I1331" s="1"/>
      <c r="J1331" s="1" t="s">
        <v>16131</v>
      </c>
      <c r="K1331" s="1"/>
      <c r="L1331" s="1" t="s">
        <v>16132</v>
      </c>
      <c r="M1331" s="1" t="s">
        <v>16133</v>
      </c>
      <c r="N1331" s="1" t="s">
        <v>16134</v>
      </c>
    </row>
    <row r="1332">
      <c r="A1332" s="1" t="s">
        <v>2137</v>
      </c>
      <c r="B1332" s="1">
        <v>2005.0</v>
      </c>
      <c r="C1332" s="1" t="s">
        <v>16135</v>
      </c>
      <c r="D1332" s="1" t="s">
        <v>16136</v>
      </c>
      <c r="E1332" s="2" t="s">
        <v>16137</v>
      </c>
      <c r="F1332" s="1">
        <v>195.0</v>
      </c>
      <c r="G1332" s="1">
        <v>202.0</v>
      </c>
      <c r="H1332" s="1" t="s">
        <v>28</v>
      </c>
      <c r="I1332" s="1"/>
      <c r="J1332" s="1" t="s">
        <v>16141</v>
      </c>
      <c r="K1332" s="1"/>
      <c r="L1332" s="1" t="s">
        <v>16142</v>
      </c>
      <c r="M1332" s="1"/>
      <c r="N1332" s="1" t="s">
        <v>16143</v>
      </c>
    </row>
    <row r="1333">
      <c r="A1333" s="1" t="s">
        <v>2137</v>
      </c>
      <c r="B1333" s="1">
        <v>2005.0</v>
      </c>
      <c r="C1333" s="1" t="s">
        <v>16144</v>
      </c>
      <c r="D1333" s="1" t="s">
        <v>16145</v>
      </c>
      <c r="E1333" s="2" t="s">
        <v>16146</v>
      </c>
      <c r="F1333" s="1">
        <v>203.0</v>
      </c>
      <c r="G1333" s="1">
        <v>210.0</v>
      </c>
      <c r="H1333" s="1" t="s">
        <v>28</v>
      </c>
      <c r="I1333" s="1"/>
      <c r="J1333" s="1" t="s">
        <v>16152</v>
      </c>
      <c r="K1333" s="1"/>
      <c r="L1333" s="1" t="s">
        <v>16153</v>
      </c>
      <c r="M1333" s="1" t="s">
        <v>16154</v>
      </c>
      <c r="N1333" s="1" t="s">
        <v>16155</v>
      </c>
    </row>
    <row r="1334">
      <c r="A1334" s="1" t="s">
        <v>2137</v>
      </c>
      <c r="B1334" s="1">
        <v>2005.0</v>
      </c>
      <c r="C1334" s="1" t="s">
        <v>16156</v>
      </c>
      <c r="D1334" s="1" t="s">
        <v>16157</v>
      </c>
      <c r="E1334" s="2" t="s">
        <v>16158</v>
      </c>
      <c r="F1334" s="1">
        <v>211.0</v>
      </c>
      <c r="G1334" s="1">
        <v>218.0</v>
      </c>
      <c r="H1334" s="1" t="s">
        <v>28</v>
      </c>
      <c r="I1334" s="1"/>
      <c r="J1334" s="1" t="s">
        <v>16162</v>
      </c>
      <c r="K1334" s="1"/>
      <c r="L1334" s="1" t="s">
        <v>12815</v>
      </c>
      <c r="M1334" s="1" t="s">
        <v>16163</v>
      </c>
      <c r="N1334" s="1" t="s">
        <v>16164</v>
      </c>
    </row>
    <row r="1335">
      <c r="A1335" s="1" t="s">
        <v>2137</v>
      </c>
      <c r="B1335" s="1">
        <v>2005.0</v>
      </c>
      <c r="C1335" s="1" t="s">
        <v>16165</v>
      </c>
      <c r="D1335" s="1" t="s">
        <v>16166</v>
      </c>
      <c r="E1335" s="2" t="s">
        <v>16168</v>
      </c>
      <c r="F1335" s="1">
        <v>219.0</v>
      </c>
      <c r="G1335" s="1">
        <v>224.0</v>
      </c>
      <c r="H1335" s="1" t="s">
        <v>28</v>
      </c>
      <c r="I1335" s="1"/>
      <c r="J1335" s="1" t="s">
        <v>16173</v>
      </c>
      <c r="K1335" s="1"/>
      <c r="L1335" s="1" t="s">
        <v>2823</v>
      </c>
      <c r="M1335" s="1" t="s">
        <v>16175</v>
      </c>
      <c r="N1335" s="1" t="s">
        <v>16177</v>
      </c>
    </row>
    <row r="1336">
      <c r="A1336" s="1" t="s">
        <v>2137</v>
      </c>
      <c r="B1336" s="1">
        <v>2005.0</v>
      </c>
      <c r="C1336" s="1" t="s">
        <v>16178</v>
      </c>
      <c r="D1336" s="1" t="s">
        <v>16179</v>
      </c>
      <c r="E1336" s="2" t="s">
        <v>16180</v>
      </c>
      <c r="F1336" s="1">
        <v>225.0</v>
      </c>
      <c r="G1336" s="1">
        <v>232.0</v>
      </c>
      <c r="H1336" s="1" t="s">
        <v>28</v>
      </c>
      <c r="I1336" s="1"/>
      <c r="J1336" s="1" t="s">
        <v>16184</v>
      </c>
      <c r="K1336" s="1"/>
      <c r="L1336" s="1" t="s">
        <v>4680</v>
      </c>
      <c r="M1336" s="1" t="s">
        <v>16186</v>
      </c>
      <c r="N1336" s="1" t="s">
        <v>16188</v>
      </c>
    </row>
    <row r="1337">
      <c r="A1337" s="1" t="s">
        <v>2137</v>
      </c>
      <c r="B1337" s="1">
        <v>2005.0</v>
      </c>
      <c r="C1337" s="1" t="s">
        <v>16189</v>
      </c>
      <c r="D1337" s="1" t="s">
        <v>16190</v>
      </c>
      <c r="E1337" s="2" t="s">
        <v>16191</v>
      </c>
      <c r="F1337" s="1">
        <v>233.0</v>
      </c>
      <c r="G1337" s="1">
        <v>240.0</v>
      </c>
      <c r="H1337" s="1" t="s">
        <v>28</v>
      </c>
      <c r="I1337" s="1"/>
      <c r="J1337" s="1" t="s">
        <v>16197</v>
      </c>
      <c r="K1337" s="1"/>
      <c r="L1337" s="1" t="s">
        <v>16198</v>
      </c>
      <c r="M1337" s="1" t="s">
        <v>16199</v>
      </c>
      <c r="N1337" s="1" t="s">
        <v>16200</v>
      </c>
    </row>
    <row r="1338">
      <c r="A1338" s="1" t="s">
        <v>2137</v>
      </c>
      <c r="B1338" s="1">
        <v>2005.0</v>
      </c>
      <c r="C1338" s="1" t="s">
        <v>16201</v>
      </c>
      <c r="D1338" s="1" t="s">
        <v>16202</v>
      </c>
      <c r="E1338" s="2" t="s">
        <v>16206</v>
      </c>
      <c r="F1338" s="1">
        <v>241.0</v>
      </c>
      <c r="G1338" s="1">
        <v>244.0</v>
      </c>
      <c r="H1338" s="1" t="s">
        <v>21</v>
      </c>
      <c r="I1338" s="1"/>
      <c r="J1338" s="1" t="s">
        <v>16212</v>
      </c>
      <c r="K1338" s="1"/>
      <c r="L1338" s="1" t="s">
        <v>16213</v>
      </c>
    </row>
    <row r="1339">
      <c r="A1339" s="1" t="s">
        <v>17</v>
      </c>
      <c r="B1339" s="1">
        <v>2005.0</v>
      </c>
      <c r="C1339" s="1" t="s">
        <v>16215</v>
      </c>
      <c r="D1339" s="1" t="s">
        <v>16217</v>
      </c>
      <c r="E1339" s="2" t="s">
        <v>16219</v>
      </c>
      <c r="F1339" s="1">
        <v>3.0</v>
      </c>
      <c r="G1339" s="1">
        <v>10.0</v>
      </c>
      <c r="H1339" s="1" t="s">
        <v>28</v>
      </c>
      <c r="I1339" s="1"/>
      <c r="J1339" s="1" t="s">
        <v>12502</v>
      </c>
      <c r="K1339" s="1"/>
      <c r="L1339" s="1" t="s">
        <v>13474</v>
      </c>
      <c r="M1339" s="1" t="s">
        <v>16225</v>
      </c>
      <c r="N1339" s="1" t="s">
        <v>16226</v>
      </c>
    </row>
    <row r="1340">
      <c r="A1340" s="1" t="s">
        <v>17</v>
      </c>
      <c r="B1340" s="1">
        <v>2005.0</v>
      </c>
      <c r="C1340" s="1" t="s">
        <v>16227</v>
      </c>
      <c r="D1340" s="1" t="s">
        <v>16228</v>
      </c>
      <c r="E1340" s="2" t="s">
        <v>16230</v>
      </c>
      <c r="F1340" s="1">
        <v>11.0</v>
      </c>
      <c r="G1340" s="1">
        <v>18.0</v>
      </c>
      <c r="H1340" s="1" t="s">
        <v>28</v>
      </c>
      <c r="I1340" s="1"/>
      <c r="J1340" s="1" t="s">
        <v>16238</v>
      </c>
      <c r="K1340" s="1"/>
      <c r="L1340" s="1" t="s">
        <v>10625</v>
      </c>
      <c r="M1340" s="1" t="s">
        <v>16240</v>
      </c>
      <c r="N1340" s="1" t="s">
        <v>16241</v>
      </c>
    </row>
    <row r="1341">
      <c r="A1341" s="1" t="s">
        <v>17</v>
      </c>
      <c r="B1341" s="1">
        <v>2005.0</v>
      </c>
      <c r="C1341" s="1" t="s">
        <v>16242</v>
      </c>
      <c r="D1341" s="1" t="s">
        <v>16243</v>
      </c>
      <c r="E1341" s="2" t="s">
        <v>16244</v>
      </c>
      <c r="F1341" s="1">
        <v>19.0</v>
      </c>
      <c r="G1341" s="1">
        <v>26.0</v>
      </c>
      <c r="H1341" s="1" t="s">
        <v>28</v>
      </c>
      <c r="I1341" s="1"/>
      <c r="J1341" s="1" t="s">
        <v>16250</v>
      </c>
      <c r="K1341" s="1"/>
      <c r="L1341" s="1" t="s">
        <v>7158</v>
      </c>
      <c r="M1341" s="1" t="s">
        <v>16251</v>
      </c>
      <c r="N1341" s="1" t="s">
        <v>16252</v>
      </c>
    </row>
    <row r="1342">
      <c r="A1342" s="1" t="s">
        <v>17</v>
      </c>
      <c r="B1342" s="1">
        <v>2005.0</v>
      </c>
      <c r="C1342" s="1" t="s">
        <v>16253</v>
      </c>
      <c r="D1342" s="1" t="s">
        <v>16254</v>
      </c>
      <c r="E1342" s="2" t="s">
        <v>16255</v>
      </c>
      <c r="F1342" s="1">
        <v>27.0</v>
      </c>
      <c r="G1342" s="1">
        <v>34.0</v>
      </c>
      <c r="H1342" s="1" t="s">
        <v>28</v>
      </c>
      <c r="I1342" s="1"/>
      <c r="J1342" s="1" t="s">
        <v>16263</v>
      </c>
      <c r="K1342" s="1"/>
      <c r="L1342" s="1" t="s">
        <v>16264</v>
      </c>
      <c r="M1342" s="1" t="s">
        <v>16265</v>
      </c>
      <c r="N1342" s="1" t="s">
        <v>16266</v>
      </c>
    </row>
    <row r="1343">
      <c r="A1343" s="1" t="s">
        <v>17</v>
      </c>
      <c r="B1343" s="1">
        <v>2005.0</v>
      </c>
      <c r="C1343" s="1" t="s">
        <v>16267</v>
      </c>
      <c r="D1343" s="1" t="s">
        <v>16268</v>
      </c>
      <c r="E1343" s="2" t="s">
        <v>16269</v>
      </c>
      <c r="F1343" s="1">
        <v>35.0</v>
      </c>
      <c r="G1343" s="1">
        <v>42.0</v>
      </c>
      <c r="H1343" s="1" t="s">
        <v>28</v>
      </c>
      <c r="I1343" s="1"/>
      <c r="J1343" s="1" t="s">
        <v>16275</v>
      </c>
      <c r="K1343" s="1"/>
      <c r="L1343" s="1" t="s">
        <v>16276</v>
      </c>
      <c r="M1343" s="1" t="s">
        <v>16277</v>
      </c>
      <c r="N1343" s="1" t="s">
        <v>16278</v>
      </c>
    </row>
    <row r="1344">
      <c r="A1344" s="1" t="s">
        <v>17</v>
      </c>
      <c r="B1344" s="1">
        <v>2005.0</v>
      </c>
      <c r="C1344" s="1" t="s">
        <v>16279</v>
      </c>
      <c r="D1344" s="1" t="s">
        <v>16280</v>
      </c>
      <c r="E1344" s="2" t="s">
        <v>16281</v>
      </c>
      <c r="F1344" s="1">
        <v>43.0</v>
      </c>
      <c r="G1344" s="1">
        <v>50.0</v>
      </c>
      <c r="H1344" s="1" t="s">
        <v>28</v>
      </c>
      <c r="I1344" s="1"/>
      <c r="J1344" s="1" t="s">
        <v>16288</v>
      </c>
      <c r="K1344" s="1"/>
      <c r="L1344" s="1" t="s">
        <v>1253</v>
      </c>
      <c r="M1344" s="1" t="s">
        <v>16289</v>
      </c>
      <c r="N1344" s="1" t="s">
        <v>16290</v>
      </c>
    </row>
    <row r="1345">
      <c r="A1345" s="1" t="s">
        <v>17</v>
      </c>
      <c r="B1345" s="1">
        <v>2005.0</v>
      </c>
      <c r="C1345" s="1" t="s">
        <v>16291</v>
      </c>
      <c r="D1345" s="1" t="s">
        <v>16292</v>
      </c>
      <c r="E1345" s="2" t="s">
        <v>16293</v>
      </c>
      <c r="F1345" s="1">
        <v>51.0</v>
      </c>
      <c r="G1345" s="1">
        <v>58.0</v>
      </c>
      <c r="H1345" s="1" t="s">
        <v>28</v>
      </c>
      <c r="I1345" s="1"/>
      <c r="J1345" s="1" t="s">
        <v>16298</v>
      </c>
      <c r="K1345" s="1"/>
      <c r="L1345" s="1" t="s">
        <v>16303</v>
      </c>
      <c r="M1345" s="1" t="s">
        <v>16301</v>
      </c>
      <c r="N1345" s="1" t="s">
        <v>16302</v>
      </c>
    </row>
    <row r="1346">
      <c r="A1346" s="1" t="s">
        <v>17</v>
      </c>
      <c r="B1346" s="1">
        <v>2005.0</v>
      </c>
      <c r="C1346" s="1" t="s">
        <v>16304</v>
      </c>
      <c r="D1346" s="1" t="s">
        <v>16305</v>
      </c>
      <c r="E1346" s="2" t="s">
        <v>16306</v>
      </c>
      <c r="F1346" s="1">
        <v>59.0</v>
      </c>
      <c r="G1346" s="1">
        <v>64.0</v>
      </c>
      <c r="H1346" s="1" t="s">
        <v>28</v>
      </c>
      <c r="I1346" s="1"/>
      <c r="J1346" s="1" t="s">
        <v>16308</v>
      </c>
      <c r="K1346" s="1"/>
      <c r="L1346" s="1" t="s">
        <v>16322</v>
      </c>
      <c r="M1346" s="1" t="s">
        <v>16311</v>
      </c>
      <c r="N1346" s="1" t="s">
        <v>16312</v>
      </c>
    </row>
    <row r="1347">
      <c r="A1347" s="1" t="s">
        <v>17</v>
      </c>
      <c r="B1347" s="1">
        <v>2005.0</v>
      </c>
      <c r="C1347" s="1" t="s">
        <v>16313</v>
      </c>
      <c r="D1347" s="1" t="s">
        <v>16314</v>
      </c>
      <c r="E1347" s="2" t="s">
        <v>16330</v>
      </c>
      <c r="F1347" s="1">
        <v>65.0</v>
      </c>
      <c r="G1347" s="1">
        <v>72.0</v>
      </c>
      <c r="H1347" s="1" t="s">
        <v>28</v>
      </c>
      <c r="I1347" s="1"/>
      <c r="J1347" s="1" t="s">
        <v>16316</v>
      </c>
      <c r="K1347" s="1"/>
      <c r="L1347" s="1" t="s">
        <v>16337</v>
      </c>
      <c r="M1347" s="1" t="s">
        <v>10867</v>
      </c>
      <c r="N1347" s="1" t="s">
        <v>16319</v>
      </c>
    </row>
    <row r="1348">
      <c r="A1348" s="1" t="s">
        <v>17</v>
      </c>
      <c r="B1348" s="1">
        <v>2005.0</v>
      </c>
      <c r="C1348" s="1" t="s">
        <v>16320</v>
      </c>
      <c r="D1348" s="1" t="s">
        <v>16321</v>
      </c>
      <c r="E1348" s="2" t="s">
        <v>16338</v>
      </c>
      <c r="F1348" s="1">
        <v>73.0</v>
      </c>
      <c r="G1348" s="1">
        <v>78.0</v>
      </c>
      <c r="H1348" s="1" t="s">
        <v>28</v>
      </c>
      <c r="I1348" s="1"/>
      <c r="J1348" s="1" t="s">
        <v>16355</v>
      </c>
      <c r="K1348" s="1"/>
      <c r="L1348" s="1" t="s">
        <v>16356</v>
      </c>
      <c r="M1348" s="1" t="s">
        <v>16327</v>
      </c>
      <c r="N1348" s="1" t="s">
        <v>16328</v>
      </c>
    </row>
    <row r="1349">
      <c r="A1349" s="1" t="s">
        <v>17</v>
      </c>
      <c r="B1349" s="1">
        <v>2005.0</v>
      </c>
      <c r="C1349" s="1" t="s">
        <v>16329</v>
      </c>
      <c r="D1349" s="1" t="s">
        <v>16331</v>
      </c>
      <c r="E1349" s="2" t="s">
        <v>16361</v>
      </c>
      <c r="F1349" s="1">
        <v>79.0</v>
      </c>
      <c r="G1349" s="1">
        <v>86.0</v>
      </c>
      <c r="H1349" s="1" t="s">
        <v>28</v>
      </c>
      <c r="I1349" s="1"/>
      <c r="J1349" s="1" t="s">
        <v>1304</v>
      </c>
      <c r="K1349" s="1"/>
      <c r="L1349" s="1" t="s">
        <v>16371</v>
      </c>
      <c r="M1349" s="1" t="s">
        <v>16333</v>
      </c>
      <c r="N1349" s="1" t="s">
        <v>16334</v>
      </c>
    </row>
    <row r="1350">
      <c r="A1350" s="1" t="s">
        <v>17</v>
      </c>
      <c r="B1350" s="1">
        <v>2005.0</v>
      </c>
      <c r="C1350" s="1" t="s">
        <v>16335</v>
      </c>
      <c r="D1350" s="1" t="s">
        <v>16336</v>
      </c>
      <c r="E1350" s="2" t="s">
        <v>16375</v>
      </c>
      <c r="F1350" s="1">
        <v>87.0</v>
      </c>
      <c r="G1350" s="1">
        <v>94.0</v>
      </c>
      <c r="H1350" s="1" t="s">
        <v>28</v>
      </c>
      <c r="I1350" s="1"/>
      <c r="J1350" s="1" t="s">
        <v>16340</v>
      </c>
      <c r="K1350" s="1"/>
      <c r="L1350" s="1" t="s">
        <v>16387</v>
      </c>
      <c r="M1350" s="1" t="s">
        <v>16343</v>
      </c>
      <c r="N1350" s="1" t="s">
        <v>16344</v>
      </c>
    </row>
    <row r="1351">
      <c r="A1351" s="1" t="s">
        <v>17</v>
      </c>
      <c r="B1351" s="1">
        <v>2005.0</v>
      </c>
      <c r="C1351" s="1" t="s">
        <v>16345</v>
      </c>
      <c r="D1351" s="1" t="s">
        <v>16346</v>
      </c>
      <c r="E1351" s="2" t="s">
        <v>16393</v>
      </c>
      <c r="F1351" s="1">
        <v>95.0</v>
      </c>
      <c r="G1351" s="1">
        <v>102.0</v>
      </c>
      <c r="H1351" s="1" t="s">
        <v>28</v>
      </c>
      <c r="I1351" s="1"/>
      <c r="J1351" s="1" t="s">
        <v>16348</v>
      </c>
      <c r="K1351" s="1"/>
      <c r="L1351" s="1" t="s">
        <v>16405</v>
      </c>
      <c r="M1351" s="1" t="s">
        <v>16351</v>
      </c>
      <c r="N1351" s="1" t="s">
        <v>16352</v>
      </c>
    </row>
    <row r="1352">
      <c r="A1352" s="1" t="s">
        <v>17</v>
      </c>
      <c r="B1352" s="1">
        <v>2005.0</v>
      </c>
      <c r="C1352" s="1" t="s">
        <v>16353</v>
      </c>
      <c r="D1352" s="1" t="s">
        <v>16354</v>
      </c>
      <c r="E1352" s="2" t="s">
        <v>16407</v>
      </c>
      <c r="F1352" s="1">
        <v>103.0</v>
      </c>
      <c r="G1352" s="1">
        <v>110.0</v>
      </c>
      <c r="H1352" s="1" t="s">
        <v>28</v>
      </c>
      <c r="I1352" s="1"/>
      <c r="J1352" s="1" t="s">
        <v>16358</v>
      </c>
      <c r="K1352" s="1"/>
      <c r="L1352" s="1" t="s">
        <v>16420</v>
      </c>
      <c r="M1352" s="1"/>
      <c r="N1352" s="1" t="s">
        <v>16362</v>
      </c>
    </row>
    <row r="1353">
      <c r="A1353" s="1" t="s">
        <v>17</v>
      </c>
      <c r="B1353" s="1">
        <v>2005.0</v>
      </c>
      <c r="C1353" s="1" t="s">
        <v>16363</v>
      </c>
      <c r="D1353" s="1" t="s">
        <v>16364</v>
      </c>
      <c r="E1353" s="2" t="s">
        <v>16423</v>
      </c>
      <c r="F1353" s="1">
        <v>111.0</v>
      </c>
      <c r="G1353" s="1">
        <v>118.0</v>
      </c>
      <c r="H1353" s="1" t="s">
        <v>28</v>
      </c>
      <c r="I1353" s="1"/>
      <c r="J1353" s="1" t="s">
        <v>16366</v>
      </c>
      <c r="K1353" s="1"/>
      <c r="L1353" s="1" t="s">
        <v>494</v>
      </c>
      <c r="M1353" s="1"/>
      <c r="N1353" s="1" t="s">
        <v>16368</v>
      </c>
    </row>
    <row r="1354">
      <c r="A1354" s="1" t="s">
        <v>17</v>
      </c>
      <c r="B1354" s="1">
        <v>2005.0</v>
      </c>
      <c r="C1354" s="1" t="s">
        <v>16369</v>
      </c>
      <c r="D1354" s="1" t="s">
        <v>16370</v>
      </c>
      <c r="E1354" s="2" t="s">
        <v>16438</v>
      </c>
      <c r="F1354" s="1">
        <v>119.0</v>
      </c>
      <c r="G1354" s="1">
        <v>126.0</v>
      </c>
      <c r="H1354" s="1" t="s">
        <v>28</v>
      </c>
      <c r="I1354" s="1" t="s">
        <v>16372</v>
      </c>
      <c r="J1354" s="1" t="s">
        <v>16373</v>
      </c>
      <c r="K1354" s="1"/>
      <c r="L1354" s="1" t="s">
        <v>494</v>
      </c>
      <c r="M1354" s="1" t="s">
        <v>5110</v>
      </c>
      <c r="N1354" s="1" t="s">
        <v>16376</v>
      </c>
    </row>
    <row r="1355">
      <c r="A1355" s="1" t="s">
        <v>17</v>
      </c>
      <c r="B1355" s="1">
        <v>2005.0</v>
      </c>
      <c r="C1355" s="1" t="s">
        <v>16377</v>
      </c>
      <c r="D1355" s="1" t="s">
        <v>16378</v>
      </c>
      <c r="E1355" s="2" t="s">
        <v>16451</v>
      </c>
      <c r="F1355" s="1">
        <v>127.0</v>
      </c>
      <c r="G1355" s="1">
        <v>134.0</v>
      </c>
      <c r="H1355" s="1" t="s">
        <v>28</v>
      </c>
      <c r="I1355" s="1" t="s">
        <v>16379</v>
      </c>
      <c r="J1355" s="1" t="s">
        <v>16452</v>
      </c>
      <c r="K1355" s="1"/>
      <c r="L1355" s="1" t="s">
        <v>16453</v>
      </c>
      <c r="M1355" s="1" t="s">
        <v>16383</v>
      </c>
      <c r="N1355" s="1" t="s">
        <v>16384</v>
      </c>
    </row>
    <row r="1356">
      <c r="A1356" s="1" t="s">
        <v>17</v>
      </c>
      <c r="B1356" s="1">
        <v>2005.0</v>
      </c>
      <c r="C1356" s="1" t="s">
        <v>16385</v>
      </c>
      <c r="D1356" s="1" t="s">
        <v>16386</v>
      </c>
      <c r="E1356" s="2" t="s">
        <v>16454</v>
      </c>
      <c r="F1356" s="1">
        <v>135.0</v>
      </c>
      <c r="G1356" s="1">
        <v>142.0</v>
      </c>
      <c r="H1356" s="1" t="s">
        <v>28</v>
      </c>
      <c r="I1356" s="1" t="s">
        <v>16388</v>
      </c>
      <c r="J1356" s="1" t="s">
        <v>16455</v>
      </c>
      <c r="K1356" s="1"/>
      <c r="L1356" s="1" t="s">
        <v>16456</v>
      </c>
      <c r="M1356" s="1" t="s">
        <v>16391</v>
      </c>
      <c r="N1356" s="1" t="s">
        <v>16392</v>
      </c>
    </row>
    <row r="1357">
      <c r="A1357" s="1" t="s">
        <v>17</v>
      </c>
      <c r="B1357" s="1">
        <v>2005.0</v>
      </c>
      <c r="C1357" s="1" t="s">
        <v>16394</v>
      </c>
      <c r="D1357" s="1" t="s">
        <v>16395</v>
      </c>
      <c r="E1357" s="2" t="s">
        <v>16457</v>
      </c>
      <c r="F1357" s="1">
        <v>143.0</v>
      </c>
      <c r="G1357" s="1">
        <v>150.0</v>
      </c>
      <c r="H1357" s="1" t="s">
        <v>28</v>
      </c>
      <c r="I1357" s="1" t="s">
        <v>16396</v>
      </c>
      <c r="J1357" s="1" t="s">
        <v>16397</v>
      </c>
      <c r="K1357" s="1"/>
      <c r="L1357" s="1" t="s">
        <v>2087</v>
      </c>
    </row>
    <row r="1358">
      <c r="A1358" s="1" t="s">
        <v>17</v>
      </c>
      <c r="B1358" s="1">
        <v>2005.0</v>
      </c>
      <c r="C1358" s="1" t="s">
        <v>16399</v>
      </c>
      <c r="D1358" s="1" t="s">
        <v>16400</v>
      </c>
      <c r="E1358" s="2" t="s">
        <v>16458</v>
      </c>
      <c r="F1358" s="1">
        <v>151.0</v>
      </c>
      <c r="G1358" s="1">
        <v>158.0</v>
      </c>
      <c r="H1358" s="1" t="s">
        <v>28</v>
      </c>
      <c r="I1358" s="1" t="s">
        <v>16401</v>
      </c>
      <c r="J1358" s="1" t="s">
        <v>16402</v>
      </c>
      <c r="K1358" s="1"/>
      <c r="L1358" s="1" t="s">
        <v>16459</v>
      </c>
      <c r="M1358" s="1"/>
      <c r="N1358" s="1" t="s">
        <v>16406</v>
      </c>
    </row>
    <row r="1359">
      <c r="A1359" s="1" t="s">
        <v>17</v>
      </c>
      <c r="B1359" s="1">
        <v>2005.0</v>
      </c>
      <c r="C1359" s="1" t="s">
        <v>16408</v>
      </c>
      <c r="D1359" s="1" t="s">
        <v>16409</v>
      </c>
      <c r="E1359" s="2" t="s">
        <v>16460</v>
      </c>
      <c r="F1359" s="1">
        <v>159.0</v>
      </c>
      <c r="G1359" s="1">
        <v>165.0</v>
      </c>
      <c r="H1359" s="1" t="s">
        <v>28</v>
      </c>
      <c r="I1359" s="1" t="s">
        <v>16410</v>
      </c>
      <c r="J1359" s="1" t="s">
        <v>16411</v>
      </c>
      <c r="K1359" s="1"/>
      <c r="L1359" s="1" t="s">
        <v>16461</v>
      </c>
      <c r="M1359" s="1"/>
      <c r="N1359" s="1" t="s">
        <v>16414</v>
      </c>
    </row>
    <row r="1360">
      <c r="A1360" s="1" t="s">
        <v>17</v>
      </c>
      <c r="B1360" s="1">
        <v>2005.0</v>
      </c>
      <c r="C1360" s="1" t="s">
        <v>16415</v>
      </c>
      <c r="D1360" s="1" t="s">
        <v>16416</v>
      </c>
      <c r="E1360" s="2" t="s">
        <v>16462</v>
      </c>
      <c r="F1360" s="1">
        <v>167.0</v>
      </c>
      <c r="G1360" s="1">
        <v>174.0</v>
      </c>
      <c r="H1360" s="1" t="s">
        <v>28</v>
      </c>
      <c r="I1360" s="1" t="s">
        <v>16463</v>
      </c>
      <c r="J1360" s="1" t="s">
        <v>16418</v>
      </c>
      <c r="K1360" s="1"/>
      <c r="L1360" s="1" t="s">
        <v>16464</v>
      </c>
      <c r="M1360" s="1" t="s">
        <v>16422</v>
      </c>
      <c r="N1360" s="1" t="s">
        <v>16424</v>
      </c>
    </row>
    <row r="1361">
      <c r="A1361" s="1" t="s">
        <v>17</v>
      </c>
      <c r="B1361" s="1">
        <v>2005.0</v>
      </c>
      <c r="C1361" s="1" t="s">
        <v>16425</v>
      </c>
      <c r="D1361" s="1" t="s">
        <v>16426</v>
      </c>
      <c r="E1361" s="2" t="s">
        <v>16465</v>
      </c>
      <c r="F1361" s="1">
        <v>175.0</v>
      </c>
      <c r="G1361" s="1">
        <v>182.0</v>
      </c>
      <c r="H1361" s="1" t="s">
        <v>28</v>
      </c>
      <c r="I1361" s="1" t="s">
        <v>16427</v>
      </c>
      <c r="J1361" s="1" t="s">
        <v>16466</v>
      </c>
      <c r="K1361" s="1"/>
      <c r="L1361" s="1" t="s">
        <v>16467</v>
      </c>
      <c r="M1361" s="1" t="s">
        <v>16431</v>
      </c>
      <c r="N1361" s="1" t="s">
        <v>16432</v>
      </c>
    </row>
    <row r="1362">
      <c r="A1362" s="1" t="s">
        <v>17</v>
      </c>
      <c r="B1362" s="1">
        <v>2005.0</v>
      </c>
      <c r="C1362" s="1" t="s">
        <v>16433</v>
      </c>
      <c r="D1362" s="1" t="s">
        <v>16434</v>
      </c>
      <c r="E1362" s="2" t="s">
        <v>16468</v>
      </c>
      <c r="F1362" s="1">
        <v>183.0</v>
      </c>
      <c r="G1362" s="1">
        <v>189.0</v>
      </c>
      <c r="H1362" s="1" t="s">
        <v>28</v>
      </c>
      <c r="I1362" s="1" t="s">
        <v>16435</v>
      </c>
      <c r="J1362" s="1" t="s">
        <v>16436</v>
      </c>
      <c r="K1362" s="1"/>
      <c r="L1362" s="1" t="s">
        <v>16469</v>
      </c>
      <c r="M1362" s="1" t="s">
        <v>16440</v>
      </c>
      <c r="N1362" s="1" t="s">
        <v>16441</v>
      </c>
    </row>
    <row r="1363">
      <c r="A1363" s="1" t="s">
        <v>17</v>
      </c>
      <c r="B1363" s="1">
        <v>2005.0</v>
      </c>
      <c r="C1363" s="1" t="s">
        <v>16442</v>
      </c>
      <c r="D1363" s="1" t="s">
        <v>16443</v>
      </c>
      <c r="E1363" s="2" t="s">
        <v>16470</v>
      </c>
      <c r="F1363" s="1">
        <v>191.0</v>
      </c>
      <c r="G1363" s="1">
        <v>198.0</v>
      </c>
      <c r="H1363" s="1" t="s">
        <v>28</v>
      </c>
      <c r="I1363" s="1" t="s">
        <v>16444</v>
      </c>
      <c r="J1363" s="1" t="s">
        <v>16445</v>
      </c>
      <c r="K1363" s="1"/>
      <c r="L1363" s="1" t="s">
        <v>16471</v>
      </c>
      <c r="M1363" s="1" t="s">
        <v>16447</v>
      </c>
      <c r="N1363" s="1" t="s">
        <v>16448</v>
      </c>
    </row>
    <row r="1364">
      <c r="A1364" s="1" t="s">
        <v>17</v>
      </c>
      <c r="B1364" s="1">
        <v>2005.0</v>
      </c>
      <c r="C1364" s="1" t="s">
        <v>16449</v>
      </c>
      <c r="D1364" s="1" t="s">
        <v>16450</v>
      </c>
      <c r="E1364" s="2" t="s">
        <v>16472</v>
      </c>
      <c r="F1364" s="1">
        <v>199.0</v>
      </c>
      <c r="G1364" s="1">
        <v>206.0</v>
      </c>
      <c r="H1364" s="1" t="s">
        <v>28</v>
      </c>
      <c r="I1364" s="1" t="s">
        <v>16473</v>
      </c>
      <c r="J1364" s="1" t="s">
        <v>16474</v>
      </c>
      <c r="K1364" s="1"/>
      <c r="L1364" s="1" t="s">
        <v>16475</v>
      </c>
      <c r="M1364" s="1" t="s">
        <v>16476</v>
      </c>
      <c r="N1364" s="1" t="s">
        <v>16477</v>
      </c>
    </row>
    <row r="1365">
      <c r="A1365" s="1" t="s">
        <v>17</v>
      </c>
      <c r="B1365" s="1">
        <v>2005.0</v>
      </c>
      <c r="C1365" s="1" t="s">
        <v>16478</v>
      </c>
      <c r="D1365" s="1" t="s">
        <v>16479</v>
      </c>
      <c r="E1365" s="2" t="s">
        <v>16480</v>
      </c>
      <c r="F1365" s="1">
        <v>207.0</v>
      </c>
      <c r="G1365" s="1">
        <v>214.0</v>
      </c>
      <c r="H1365" s="1" t="s">
        <v>28</v>
      </c>
      <c r="I1365" s="1" t="s">
        <v>16481</v>
      </c>
      <c r="J1365" s="1" t="s">
        <v>13338</v>
      </c>
      <c r="K1365" s="1"/>
      <c r="L1365" s="1" t="s">
        <v>16482</v>
      </c>
      <c r="M1365" s="1" t="s">
        <v>16483</v>
      </c>
    </row>
    <row r="1366">
      <c r="A1366" s="1" t="s">
        <v>17</v>
      </c>
      <c r="B1366" s="1">
        <v>2005.0</v>
      </c>
      <c r="C1366" s="1" t="s">
        <v>16484</v>
      </c>
      <c r="D1366" s="1" t="s">
        <v>16485</v>
      </c>
      <c r="E1366" s="2" t="s">
        <v>16486</v>
      </c>
      <c r="F1366" s="1">
        <v>215.0</v>
      </c>
      <c r="G1366" s="1">
        <v>222.0</v>
      </c>
      <c r="H1366" s="1" t="s">
        <v>28</v>
      </c>
      <c r="I1366" s="1" t="s">
        <v>16487</v>
      </c>
      <c r="J1366" s="1" t="s">
        <v>16488</v>
      </c>
      <c r="K1366" s="1"/>
      <c r="L1366" s="1" t="s">
        <v>16489</v>
      </c>
      <c r="M1366" s="1" t="s">
        <v>16490</v>
      </c>
      <c r="N1366" s="1" t="s">
        <v>16491</v>
      </c>
    </row>
    <row r="1367">
      <c r="A1367" s="1" t="s">
        <v>17</v>
      </c>
      <c r="B1367" s="1">
        <v>2005.0</v>
      </c>
      <c r="C1367" s="1" t="s">
        <v>16492</v>
      </c>
      <c r="D1367" s="1" t="s">
        <v>16493</v>
      </c>
      <c r="E1367" s="2" t="s">
        <v>16494</v>
      </c>
      <c r="F1367" s="1">
        <v>223.0</v>
      </c>
      <c r="G1367" s="1">
        <v>230.0</v>
      </c>
      <c r="H1367" s="1" t="s">
        <v>28</v>
      </c>
      <c r="I1367" s="1" t="s">
        <v>16495</v>
      </c>
      <c r="J1367" s="1" t="s">
        <v>16496</v>
      </c>
      <c r="K1367" s="1"/>
      <c r="L1367" s="1" t="s">
        <v>16497</v>
      </c>
      <c r="M1367" s="1" t="s">
        <v>16498</v>
      </c>
      <c r="N1367" s="1" t="s">
        <v>16499</v>
      </c>
    </row>
    <row r="1368">
      <c r="A1368" s="1" t="s">
        <v>17</v>
      </c>
      <c r="B1368" s="1">
        <v>2005.0</v>
      </c>
      <c r="C1368" s="1" t="s">
        <v>16500</v>
      </c>
      <c r="D1368" s="1" t="s">
        <v>16501</v>
      </c>
      <c r="E1368" s="2" t="s">
        <v>16502</v>
      </c>
      <c r="F1368" s="1">
        <v>231.0</v>
      </c>
      <c r="G1368" s="1">
        <v>238.0</v>
      </c>
      <c r="H1368" s="1" t="s">
        <v>28</v>
      </c>
      <c r="I1368" s="1" t="s">
        <v>16503</v>
      </c>
      <c r="J1368" s="1" t="s">
        <v>16504</v>
      </c>
      <c r="K1368" s="1"/>
      <c r="L1368" s="1" t="s">
        <v>12135</v>
      </c>
      <c r="M1368" s="1" t="s">
        <v>16505</v>
      </c>
    </row>
    <row r="1369">
      <c r="A1369" s="1" t="s">
        <v>17</v>
      </c>
      <c r="B1369" s="1">
        <v>2005.0</v>
      </c>
      <c r="C1369" s="1" t="s">
        <v>16506</v>
      </c>
      <c r="D1369" s="1" t="s">
        <v>16507</v>
      </c>
      <c r="E1369" s="2" t="s">
        <v>16508</v>
      </c>
      <c r="F1369" s="1">
        <v>239.0</v>
      </c>
      <c r="G1369" s="1">
        <v>246.0</v>
      </c>
      <c r="H1369" s="1" t="s">
        <v>28</v>
      </c>
      <c r="I1369" s="1" t="s">
        <v>16509</v>
      </c>
      <c r="J1369" s="1" t="s">
        <v>4101</v>
      </c>
      <c r="K1369" s="1"/>
      <c r="L1369" s="1" t="s">
        <v>16510</v>
      </c>
      <c r="M1369" s="1" t="s">
        <v>16511</v>
      </c>
      <c r="N1369" s="1" t="s">
        <v>16512</v>
      </c>
    </row>
    <row r="1370">
      <c r="A1370" s="1" t="s">
        <v>17</v>
      </c>
      <c r="B1370" s="1">
        <v>2005.0</v>
      </c>
      <c r="C1370" s="1" t="s">
        <v>16513</v>
      </c>
      <c r="D1370" s="1" t="s">
        <v>16514</v>
      </c>
      <c r="E1370" s="2" t="s">
        <v>16515</v>
      </c>
      <c r="F1370" s="1">
        <v>247.0</v>
      </c>
      <c r="G1370" s="1">
        <v>254.0</v>
      </c>
      <c r="H1370" s="1" t="s">
        <v>28</v>
      </c>
      <c r="I1370" s="1" t="s">
        <v>16516</v>
      </c>
      <c r="J1370" s="1" t="s">
        <v>16517</v>
      </c>
      <c r="K1370" s="1"/>
      <c r="L1370" s="1" t="s">
        <v>494</v>
      </c>
      <c r="M1370" s="1" t="s">
        <v>16518</v>
      </c>
      <c r="N1370" s="1" t="s">
        <v>16519</v>
      </c>
    </row>
    <row r="1371">
      <c r="A1371" s="1" t="s">
        <v>17</v>
      </c>
      <c r="B1371" s="1">
        <v>2005.0</v>
      </c>
      <c r="C1371" s="1" t="s">
        <v>16520</v>
      </c>
      <c r="D1371" s="1" t="s">
        <v>16521</v>
      </c>
      <c r="E1371" s="2" t="s">
        <v>16522</v>
      </c>
      <c r="F1371" s="1">
        <v>255.0</v>
      </c>
      <c r="G1371" s="1">
        <v>262.0</v>
      </c>
      <c r="H1371" s="1" t="s">
        <v>28</v>
      </c>
      <c r="I1371" s="1" t="s">
        <v>16523</v>
      </c>
      <c r="J1371" s="1" t="s">
        <v>16524</v>
      </c>
      <c r="K1371" s="1"/>
      <c r="L1371" s="1" t="s">
        <v>5349</v>
      </c>
      <c r="M1371" s="1" t="s">
        <v>16525</v>
      </c>
      <c r="N1371" s="1" t="s">
        <v>16526</v>
      </c>
    </row>
    <row r="1372">
      <c r="A1372" s="1" t="s">
        <v>17</v>
      </c>
      <c r="B1372" s="1">
        <v>2005.0</v>
      </c>
      <c r="C1372" s="1" t="s">
        <v>16527</v>
      </c>
      <c r="D1372" s="1" t="s">
        <v>16528</v>
      </c>
      <c r="E1372" s="2" t="s">
        <v>16529</v>
      </c>
      <c r="F1372" s="1">
        <v>263.0</v>
      </c>
      <c r="G1372" s="1">
        <v>270.0</v>
      </c>
      <c r="H1372" s="1" t="s">
        <v>28</v>
      </c>
      <c r="I1372" s="1" t="s">
        <v>16530</v>
      </c>
      <c r="J1372" s="1" t="s">
        <v>16531</v>
      </c>
      <c r="K1372" s="1"/>
      <c r="L1372" s="1" t="s">
        <v>855</v>
      </c>
      <c r="M1372" s="1" t="s">
        <v>2387</v>
      </c>
      <c r="N1372" s="1" t="s">
        <v>16532</v>
      </c>
    </row>
    <row r="1373">
      <c r="A1373" s="1" t="s">
        <v>17</v>
      </c>
      <c r="B1373" s="1">
        <v>2005.0</v>
      </c>
      <c r="C1373" s="1" t="s">
        <v>16533</v>
      </c>
      <c r="D1373" s="1" t="s">
        <v>16534</v>
      </c>
      <c r="E1373" s="2" t="s">
        <v>16535</v>
      </c>
      <c r="F1373" s="1">
        <v>271.0</v>
      </c>
      <c r="G1373" s="1">
        <v>278.0</v>
      </c>
      <c r="H1373" s="1" t="s">
        <v>28</v>
      </c>
      <c r="I1373" s="1" t="s">
        <v>16536</v>
      </c>
      <c r="J1373" s="1" t="s">
        <v>16537</v>
      </c>
      <c r="K1373" s="1"/>
      <c r="L1373" s="1" t="s">
        <v>16538</v>
      </c>
      <c r="M1373" s="1" t="s">
        <v>16539</v>
      </c>
      <c r="N1373" s="1" t="s">
        <v>16540</v>
      </c>
    </row>
    <row r="1374">
      <c r="A1374" s="1" t="s">
        <v>17</v>
      </c>
      <c r="B1374" s="1">
        <v>2005.0</v>
      </c>
      <c r="C1374" s="1" t="s">
        <v>16541</v>
      </c>
      <c r="D1374" s="1" t="s">
        <v>16542</v>
      </c>
      <c r="E1374" s="2" t="s">
        <v>16543</v>
      </c>
      <c r="F1374" s="1">
        <v>279.0</v>
      </c>
      <c r="G1374" s="1">
        <v>285.0</v>
      </c>
      <c r="H1374" s="1" t="s">
        <v>28</v>
      </c>
      <c r="I1374" s="1" t="s">
        <v>16544</v>
      </c>
      <c r="J1374" s="1" t="s">
        <v>16545</v>
      </c>
      <c r="K1374" s="1"/>
      <c r="L1374" s="1" t="s">
        <v>16546</v>
      </c>
      <c r="M1374" s="1" t="s">
        <v>16547</v>
      </c>
      <c r="N1374" s="1" t="s">
        <v>16548</v>
      </c>
    </row>
    <row r="1375">
      <c r="A1375" s="1" t="s">
        <v>17</v>
      </c>
      <c r="B1375" s="1">
        <v>2005.0</v>
      </c>
      <c r="C1375" s="1" t="s">
        <v>16549</v>
      </c>
      <c r="D1375" s="1" t="s">
        <v>16550</v>
      </c>
      <c r="E1375" s="2" t="s">
        <v>16551</v>
      </c>
      <c r="F1375" s="1">
        <v>287.0</v>
      </c>
      <c r="G1375" s="1">
        <v>294.0</v>
      </c>
      <c r="H1375" s="1" t="s">
        <v>28</v>
      </c>
      <c r="I1375" s="1" t="s">
        <v>16552</v>
      </c>
      <c r="J1375" s="1" t="s">
        <v>16553</v>
      </c>
      <c r="K1375" s="1"/>
      <c r="L1375" s="1" t="s">
        <v>16554</v>
      </c>
      <c r="M1375" s="1" t="s">
        <v>16555</v>
      </c>
      <c r="N1375" s="1" t="s">
        <v>16556</v>
      </c>
    </row>
    <row r="1376">
      <c r="A1376" s="1" t="s">
        <v>17</v>
      </c>
      <c r="B1376" s="1">
        <v>2005.0</v>
      </c>
      <c r="C1376" s="1" t="s">
        <v>16557</v>
      </c>
      <c r="D1376" s="1" t="s">
        <v>16558</v>
      </c>
      <c r="E1376" s="2" t="s">
        <v>16559</v>
      </c>
      <c r="F1376" s="1">
        <v>295.0</v>
      </c>
      <c r="G1376" s="1">
        <v>302.0</v>
      </c>
      <c r="H1376" s="1" t="s">
        <v>28</v>
      </c>
      <c r="I1376" s="1" t="s">
        <v>16560</v>
      </c>
      <c r="J1376" s="1" t="s">
        <v>16561</v>
      </c>
      <c r="L1376" s="1"/>
      <c r="M1376" s="1" t="s">
        <v>16562</v>
      </c>
      <c r="N1376" s="1" t="s">
        <v>16563</v>
      </c>
    </row>
    <row r="1377">
      <c r="A1377" s="1" t="s">
        <v>17</v>
      </c>
      <c r="B1377" s="1">
        <v>2005.0</v>
      </c>
      <c r="C1377" s="1" t="s">
        <v>16564</v>
      </c>
      <c r="D1377" s="1" t="s">
        <v>16565</v>
      </c>
      <c r="E1377" s="2" t="s">
        <v>16566</v>
      </c>
      <c r="F1377" s="1">
        <v>303.0</v>
      </c>
      <c r="G1377" s="1">
        <v>310.0</v>
      </c>
      <c r="H1377" s="1" t="s">
        <v>28</v>
      </c>
      <c r="I1377" s="1" t="s">
        <v>16567</v>
      </c>
      <c r="J1377" s="1" t="s">
        <v>16568</v>
      </c>
      <c r="K1377" s="1"/>
      <c r="L1377" s="1" t="s">
        <v>16569</v>
      </c>
      <c r="M1377" s="1" t="s">
        <v>16570</v>
      </c>
      <c r="N1377" s="1" t="s">
        <v>16571</v>
      </c>
    </row>
    <row r="1378">
      <c r="A1378" s="1" t="s">
        <v>17</v>
      </c>
      <c r="B1378" s="1">
        <v>2005.0</v>
      </c>
      <c r="C1378" s="1" t="s">
        <v>16572</v>
      </c>
      <c r="D1378" s="1" t="s">
        <v>16573</v>
      </c>
      <c r="E1378" s="2" t="s">
        <v>16574</v>
      </c>
      <c r="F1378" s="1">
        <v>311.0</v>
      </c>
      <c r="G1378" s="1">
        <v>318.0</v>
      </c>
      <c r="H1378" s="1" t="s">
        <v>28</v>
      </c>
      <c r="I1378" s="1" t="s">
        <v>16575</v>
      </c>
      <c r="J1378" s="1" t="s">
        <v>16576</v>
      </c>
      <c r="K1378" s="1"/>
      <c r="L1378" s="1" t="s">
        <v>16577</v>
      </c>
      <c r="M1378" s="1" t="s">
        <v>16578</v>
      </c>
      <c r="N1378" s="1" t="s">
        <v>16579</v>
      </c>
    </row>
    <row r="1379">
      <c r="A1379" s="1" t="s">
        <v>17</v>
      </c>
      <c r="B1379" s="1">
        <v>2005.0</v>
      </c>
      <c r="C1379" s="1" t="s">
        <v>16580</v>
      </c>
      <c r="D1379" s="1" t="s">
        <v>16581</v>
      </c>
      <c r="E1379" s="2" t="s">
        <v>16582</v>
      </c>
      <c r="F1379" s="1">
        <v>319.0</v>
      </c>
      <c r="G1379" s="1">
        <v>326.0</v>
      </c>
      <c r="H1379" s="1" t="s">
        <v>28</v>
      </c>
      <c r="I1379" s="1" t="s">
        <v>16583</v>
      </c>
      <c r="J1379" s="1" t="s">
        <v>16584</v>
      </c>
      <c r="K1379" s="1"/>
      <c r="L1379" s="1" t="s">
        <v>12225</v>
      </c>
      <c r="M1379" s="1" t="s">
        <v>16585</v>
      </c>
      <c r="N1379" s="1" t="s">
        <v>16586</v>
      </c>
    </row>
    <row r="1380">
      <c r="A1380" s="1" t="s">
        <v>17</v>
      </c>
      <c r="B1380" s="1">
        <v>2005.0</v>
      </c>
      <c r="C1380" s="1" t="s">
        <v>16587</v>
      </c>
      <c r="D1380" s="1" t="s">
        <v>16588</v>
      </c>
      <c r="E1380" s="2" t="s">
        <v>16589</v>
      </c>
      <c r="F1380" s="1">
        <v>327.0</v>
      </c>
      <c r="G1380" s="1">
        <v>334.0</v>
      </c>
      <c r="H1380" s="1" t="s">
        <v>28</v>
      </c>
      <c r="I1380" s="1" t="s">
        <v>16590</v>
      </c>
      <c r="J1380" s="1" t="s">
        <v>16591</v>
      </c>
      <c r="K1380" s="1"/>
      <c r="L1380" s="1" t="s">
        <v>16592</v>
      </c>
      <c r="M1380" s="1" t="s">
        <v>16593</v>
      </c>
      <c r="N1380" s="1" t="s">
        <v>16594</v>
      </c>
    </row>
    <row r="1381">
      <c r="A1381" s="1" t="s">
        <v>17</v>
      </c>
      <c r="B1381" s="1">
        <v>2005.0</v>
      </c>
      <c r="C1381" s="1" t="s">
        <v>16595</v>
      </c>
      <c r="D1381" s="1" t="s">
        <v>16596</v>
      </c>
      <c r="E1381" s="2" t="s">
        <v>16597</v>
      </c>
      <c r="F1381" s="1">
        <v>335.0</v>
      </c>
      <c r="G1381" s="1">
        <v>341.0</v>
      </c>
      <c r="H1381" s="1" t="s">
        <v>28</v>
      </c>
      <c r="I1381" s="1" t="s">
        <v>16598</v>
      </c>
      <c r="J1381" s="1" t="s">
        <v>16599</v>
      </c>
      <c r="K1381" s="1"/>
      <c r="L1381" s="1" t="s">
        <v>16600</v>
      </c>
      <c r="M1381" s="1" t="s">
        <v>16601</v>
      </c>
      <c r="N1381" s="1" t="s">
        <v>16602</v>
      </c>
    </row>
    <row r="1382">
      <c r="A1382" s="1" t="s">
        <v>17</v>
      </c>
      <c r="B1382" s="1">
        <v>2005.0</v>
      </c>
      <c r="C1382" s="1" t="s">
        <v>16603</v>
      </c>
      <c r="D1382" s="1" t="s">
        <v>16604</v>
      </c>
      <c r="E1382" s="2" t="s">
        <v>16605</v>
      </c>
      <c r="F1382" s="1">
        <v>343.0</v>
      </c>
      <c r="G1382" s="1">
        <v>350.0</v>
      </c>
      <c r="H1382" s="1" t="s">
        <v>28</v>
      </c>
      <c r="I1382" s="1" t="s">
        <v>16606</v>
      </c>
      <c r="J1382" s="1" t="s">
        <v>16607</v>
      </c>
      <c r="K1382" s="1"/>
      <c r="L1382" s="1" t="s">
        <v>16608</v>
      </c>
      <c r="M1382" s="1" t="s">
        <v>16609</v>
      </c>
      <c r="N1382" s="1" t="s">
        <v>16610</v>
      </c>
    </row>
    <row r="1383">
      <c r="A1383" s="1" t="s">
        <v>17</v>
      </c>
      <c r="B1383" s="1">
        <v>2005.0</v>
      </c>
      <c r="C1383" s="1" t="s">
        <v>16611</v>
      </c>
      <c r="D1383" s="1" t="s">
        <v>16612</v>
      </c>
      <c r="E1383" s="2" t="s">
        <v>16613</v>
      </c>
      <c r="F1383" s="1">
        <v>351.0</v>
      </c>
      <c r="G1383" s="1">
        <v>358.0</v>
      </c>
      <c r="H1383" s="1" t="s">
        <v>28</v>
      </c>
      <c r="I1383" s="1" t="s">
        <v>16614</v>
      </c>
      <c r="J1383" s="1" t="s">
        <v>16615</v>
      </c>
      <c r="K1383" s="1"/>
      <c r="L1383" s="1" t="s">
        <v>16616</v>
      </c>
      <c r="M1383" s="1" t="s">
        <v>16617</v>
      </c>
      <c r="N1383" s="1" t="s">
        <v>16618</v>
      </c>
    </row>
    <row r="1384">
      <c r="A1384" s="1" t="s">
        <v>17</v>
      </c>
      <c r="B1384" s="1">
        <v>2005.0</v>
      </c>
      <c r="C1384" s="1" t="s">
        <v>16619</v>
      </c>
      <c r="D1384" s="1" t="s">
        <v>16620</v>
      </c>
      <c r="E1384" s="2" t="s">
        <v>16621</v>
      </c>
      <c r="F1384" s="1">
        <v>359.0</v>
      </c>
      <c r="G1384" s="1">
        <v>366.0</v>
      </c>
      <c r="H1384" s="1" t="s">
        <v>28</v>
      </c>
      <c r="I1384" s="1" t="s">
        <v>16622</v>
      </c>
      <c r="J1384" s="1" t="s">
        <v>16623</v>
      </c>
      <c r="K1384" s="1"/>
      <c r="L1384" s="1" t="s">
        <v>16624</v>
      </c>
      <c r="M1384" s="1" t="s">
        <v>16625</v>
      </c>
      <c r="N1384" s="1" t="s">
        <v>16626</v>
      </c>
    </row>
    <row r="1385">
      <c r="A1385" s="1" t="s">
        <v>17</v>
      </c>
      <c r="B1385" s="1">
        <v>2005.0</v>
      </c>
      <c r="C1385" s="1" t="s">
        <v>16627</v>
      </c>
      <c r="D1385" s="1" t="s">
        <v>16628</v>
      </c>
      <c r="E1385" s="2" t="s">
        <v>16629</v>
      </c>
      <c r="F1385" s="1">
        <v>367.0</v>
      </c>
      <c r="G1385" s="1">
        <v>374.0</v>
      </c>
      <c r="H1385" s="1" t="s">
        <v>28</v>
      </c>
      <c r="I1385" s="1" t="s">
        <v>16630</v>
      </c>
      <c r="J1385" s="1" t="s">
        <v>16631</v>
      </c>
      <c r="K1385" s="1"/>
      <c r="L1385" s="1" t="s">
        <v>16632</v>
      </c>
      <c r="M1385" s="1" t="s">
        <v>16633</v>
      </c>
      <c r="N1385" s="1" t="s">
        <v>16634</v>
      </c>
    </row>
    <row r="1386">
      <c r="A1386" s="1" t="s">
        <v>17</v>
      </c>
      <c r="B1386" s="1">
        <v>2005.0</v>
      </c>
      <c r="C1386" s="1" t="s">
        <v>16635</v>
      </c>
      <c r="D1386" s="1" t="s">
        <v>16636</v>
      </c>
      <c r="E1386" s="2" t="s">
        <v>16637</v>
      </c>
      <c r="F1386" s="1">
        <v>375.0</v>
      </c>
      <c r="G1386" s="1">
        <v>382.0</v>
      </c>
      <c r="H1386" s="1" t="s">
        <v>28</v>
      </c>
      <c r="I1386" s="1" t="s">
        <v>16638</v>
      </c>
      <c r="J1386" s="1" t="s">
        <v>16639</v>
      </c>
      <c r="K1386" s="1"/>
      <c r="L1386" s="1" t="s">
        <v>16640</v>
      </c>
      <c r="M1386" s="1" t="s">
        <v>16641</v>
      </c>
      <c r="N1386" s="1" t="s">
        <v>16642</v>
      </c>
    </row>
    <row r="1387">
      <c r="A1387" s="1" t="s">
        <v>17</v>
      </c>
      <c r="B1387" s="1">
        <v>2005.0</v>
      </c>
      <c r="C1387" s="1" t="s">
        <v>16643</v>
      </c>
      <c r="D1387" s="1" t="s">
        <v>16644</v>
      </c>
      <c r="E1387" s="2" t="s">
        <v>16645</v>
      </c>
      <c r="F1387" s="1">
        <v>383.0</v>
      </c>
      <c r="G1387" s="1">
        <v>390.0</v>
      </c>
      <c r="H1387" s="1" t="s">
        <v>28</v>
      </c>
      <c r="I1387" s="1" t="s">
        <v>16646</v>
      </c>
      <c r="J1387" s="1" t="s">
        <v>16647</v>
      </c>
      <c r="K1387" s="1"/>
      <c r="L1387" s="1" t="s">
        <v>5673</v>
      </c>
      <c r="M1387" s="1" t="s">
        <v>16648</v>
      </c>
      <c r="N1387" s="1" t="s">
        <v>16649</v>
      </c>
    </row>
    <row r="1388">
      <c r="A1388" s="1" t="s">
        <v>17</v>
      </c>
      <c r="B1388" s="1">
        <v>2005.0</v>
      </c>
      <c r="C1388" s="1" t="s">
        <v>16650</v>
      </c>
      <c r="D1388" s="1" t="s">
        <v>16651</v>
      </c>
      <c r="E1388" s="2" t="s">
        <v>16652</v>
      </c>
      <c r="F1388" s="1">
        <v>391.0</v>
      </c>
      <c r="G1388" s="1">
        <v>398.0</v>
      </c>
      <c r="H1388" s="1" t="s">
        <v>28</v>
      </c>
      <c r="I1388" s="1" t="s">
        <v>16653</v>
      </c>
      <c r="J1388" s="1" t="s">
        <v>16654</v>
      </c>
      <c r="K1388" s="1"/>
      <c r="L1388" s="1" t="s">
        <v>16655</v>
      </c>
      <c r="M1388" s="1" t="s">
        <v>16656</v>
      </c>
      <c r="N1388" s="1" t="s">
        <v>16657</v>
      </c>
    </row>
    <row r="1389">
      <c r="A1389" s="1" t="s">
        <v>17</v>
      </c>
      <c r="B1389" s="1">
        <v>2005.0</v>
      </c>
      <c r="C1389" s="1" t="s">
        <v>16658</v>
      </c>
      <c r="D1389" s="1" t="s">
        <v>16659</v>
      </c>
      <c r="E1389" s="2" t="s">
        <v>16660</v>
      </c>
      <c r="F1389" s="1">
        <v>399.0</v>
      </c>
      <c r="G1389" s="1">
        <v>405.0</v>
      </c>
      <c r="H1389" s="1" t="s">
        <v>28</v>
      </c>
      <c r="I1389" s="1" t="s">
        <v>16661</v>
      </c>
      <c r="J1389" s="1" t="s">
        <v>14988</v>
      </c>
      <c r="K1389" s="1"/>
      <c r="L1389" s="1" t="s">
        <v>14989</v>
      </c>
      <c r="M1389" s="1" t="s">
        <v>14986</v>
      </c>
      <c r="N1389" s="1" t="s">
        <v>16662</v>
      </c>
    </row>
    <row r="1390">
      <c r="A1390" s="1" t="s">
        <v>17</v>
      </c>
      <c r="B1390" s="1">
        <v>2005.0</v>
      </c>
      <c r="C1390" s="1" t="s">
        <v>16663</v>
      </c>
      <c r="D1390" s="1" t="s">
        <v>16664</v>
      </c>
      <c r="E1390" s="2" t="s">
        <v>16665</v>
      </c>
      <c r="F1390" s="1">
        <v>407.0</v>
      </c>
      <c r="G1390" s="1">
        <v>414.0</v>
      </c>
      <c r="H1390" s="1" t="s">
        <v>28</v>
      </c>
      <c r="I1390" s="1" t="s">
        <v>16666</v>
      </c>
      <c r="J1390" s="1" t="s">
        <v>16667</v>
      </c>
      <c r="K1390" s="1"/>
      <c r="L1390" s="1" t="s">
        <v>16668</v>
      </c>
      <c r="M1390" s="1" t="s">
        <v>16669</v>
      </c>
      <c r="N1390" s="1" t="s">
        <v>16670</v>
      </c>
    </row>
    <row r="1391">
      <c r="A1391" s="1" t="s">
        <v>17</v>
      </c>
      <c r="B1391" s="1">
        <v>2005.0</v>
      </c>
      <c r="C1391" s="1" t="s">
        <v>16671</v>
      </c>
      <c r="D1391" s="1" t="s">
        <v>16672</v>
      </c>
      <c r="E1391" s="2" t="s">
        <v>16673</v>
      </c>
      <c r="F1391" s="1">
        <v>415.0</v>
      </c>
      <c r="G1391" s="1">
        <v>422.0</v>
      </c>
      <c r="H1391" s="1" t="s">
        <v>28</v>
      </c>
      <c r="I1391" s="1" t="s">
        <v>16674</v>
      </c>
      <c r="J1391" s="1" t="s">
        <v>16675</v>
      </c>
      <c r="K1391" s="1"/>
      <c r="L1391" s="1" t="s">
        <v>16676</v>
      </c>
      <c r="M1391" s="1" t="s">
        <v>16677</v>
      </c>
      <c r="N1391" s="1" t="s">
        <v>16678</v>
      </c>
    </row>
    <row r="1392">
      <c r="A1392" s="1" t="s">
        <v>17</v>
      </c>
      <c r="B1392" s="1">
        <v>2005.0</v>
      </c>
      <c r="C1392" s="1" t="s">
        <v>16679</v>
      </c>
      <c r="D1392" s="1" t="s">
        <v>16680</v>
      </c>
      <c r="E1392" s="2" t="s">
        <v>16681</v>
      </c>
      <c r="F1392" s="1">
        <v>423.0</v>
      </c>
      <c r="G1392" s="1">
        <v>429.0</v>
      </c>
      <c r="H1392" s="1" t="s">
        <v>28</v>
      </c>
      <c r="I1392" s="1" t="s">
        <v>16682</v>
      </c>
      <c r="J1392" s="1" t="s">
        <v>16683</v>
      </c>
      <c r="K1392" s="1"/>
      <c r="L1392" s="1" t="s">
        <v>12404</v>
      </c>
      <c r="M1392" s="1" t="s">
        <v>16684</v>
      </c>
      <c r="N1392" s="1" t="s">
        <v>16685</v>
      </c>
    </row>
    <row r="1393">
      <c r="A1393" s="1" t="s">
        <v>17</v>
      </c>
      <c r="B1393" s="1">
        <v>2005.0</v>
      </c>
      <c r="C1393" s="1" t="s">
        <v>16686</v>
      </c>
      <c r="D1393" s="1" t="s">
        <v>16687</v>
      </c>
      <c r="E1393" s="2" t="s">
        <v>16688</v>
      </c>
      <c r="F1393" s="1">
        <v>431.0</v>
      </c>
      <c r="G1393" s="1">
        <v>438.0</v>
      </c>
      <c r="H1393" s="1" t="s">
        <v>28</v>
      </c>
      <c r="I1393" s="1" t="s">
        <v>16689</v>
      </c>
      <c r="J1393" s="1" t="s">
        <v>16690</v>
      </c>
      <c r="K1393" s="1"/>
      <c r="L1393" s="1" t="s">
        <v>16691</v>
      </c>
      <c r="M1393" s="1"/>
      <c r="N1393" s="1" t="s">
        <v>16692</v>
      </c>
    </row>
    <row r="1394">
      <c r="A1394" s="1" t="s">
        <v>17</v>
      </c>
      <c r="B1394" s="1">
        <v>2005.0</v>
      </c>
      <c r="C1394" s="1" t="s">
        <v>16693</v>
      </c>
      <c r="D1394" s="1" t="s">
        <v>16694</v>
      </c>
      <c r="E1394" s="2" t="s">
        <v>16695</v>
      </c>
      <c r="F1394" s="1">
        <v>439.0</v>
      </c>
      <c r="G1394" s="1">
        <v>446.0</v>
      </c>
      <c r="H1394" s="1" t="s">
        <v>28</v>
      </c>
      <c r="I1394" s="1" t="s">
        <v>16696</v>
      </c>
      <c r="J1394" s="1" t="s">
        <v>16697</v>
      </c>
      <c r="K1394" s="1"/>
      <c r="L1394" s="1" t="s">
        <v>16698</v>
      </c>
      <c r="M1394" s="1" t="s">
        <v>16699</v>
      </c>
      <c r="N1394" s="1" t="s">
        <v>16700</v>
      </c>
    </row>
    <row r="1395">
      <c r="A1395" s="1" t="s">
        <v>17</v>
      </c>
      <c r="B1395" s="1">
        <v>2005.0</v>
      </c>
      <c r="C1395" s="1" t="s">
        <v>16701</v>
      </c>
      <c r="D1395" s="1" t="s">
        <v>16702</v>
      </c>
      <c r="E1395" s="2" t="s">
        <v>16703</v>
      </c>
      <c r="F1395" s="1">
        <v>447.0</v>
      </c>
      <c r="G1395" s="1">
        <v>454.0</v>
      </c>
      <c r="H1395" s="1" t="s">
        <v>28</v>
      </c>
      <c r="I1395" s="1" t="s">
        <v>16707</v>
      </c>
      <c r="J1395" s="1" t="s">
        <v>16708</v>
      </c>
      <c r="K1395" s="1"/>
      <c r="L1395" s="1" t="s">
        <v>16709</v>
      </c>
      <c r="M1395" s="1" t="s">
        <v>3730</v>
      </c>
      <c r="N1395" s="1" t="s">
        <v>16710</v>
      </c>
    </row>
    <row r="1396">
      <c r="A1396" s="1" t="s">
        <v>17</v>
      </c>
      <c r="B1396" s="1">
        <v>2005.0</v>
      </c>
      <c r="C1396" s="1" t="s">
        <v>16711</v>
      </c>
      <c r="D1396" s="1" t="s">
        <v>16712</v>
      </c>
      <c r="E1396" s="2" t="s">
        <v>16713</v>
      </c>
      <c r="F1396" s="1">
        <v>455.0</v>
      </c>
      <c r="G1396" s="1">
        <v>462.0</v>
      </c>
      <c r="H1396" s="1" t="s">
        <v>28</v>
      </c>
      <c r="I1396" s="1" t="s">
        <v>16715</v>
      </c>
      <c r="J1396" s="1" t="s">
        <v>16716</v>
      </c>
      <c r="K1396" s="1"/>
      <c r="L1396" s="1" t="s">
        <v>16718</v>
      </c>
      <c r="M1396" s="1" t="s">
        <v>16719</v>
      </c>
      <c r="N1396" s="1" t="s">
        <v>16720</v>
      </c>
    </row>
    <row r="1397">
      <c r="A1397" s="1" t="s">
        <v>17</v>
      </c>
      <c r="B1397" s="1">
        <v>2005.0</v>
      </c>
      <c r="C1397" s="1" t="s">
        <v>16723</v>
      </c>
      <c r="D1397" s="1" t="s">
        <v>16724</v>
      </c>
      <c r="E1397" s="2" t="s">
        <v>16725</v>
      </c>
      <c r="F1397" s="1">
        <v>463.0</v>
      </c>
      <c r="G1397" s="1">
        <v>470.0</v>
      </c>
      <c r="H1397" s="1" t="s">
        <v>28</v>
      </c>
      <c r="I1397" s="1" t="s">
        <v>16728</v>
      </c>
      <c r="J1397" s="1" t="s">
        <v>16729</v>
      </c>
      <c r="K1397" s="1"/>
      <c r="L1397" s="1" t="s">
        <v>16730</v>
      </c>
      <c r="M1397" s="1" t="s">
        <v>16731</v>
      </c>
      <c r="N1397" s="1" t="s">
        <v>16732</v>
      </c>
    </row>
    <row r="1398">
      <c r="A1398" s="1" t="s">
        <v>17</v>
      </c>
      <c r="B1398" s="1">
        <v>2005.0</v>
      </c>
      <c r="C1398" s="1" t="s">
        <v>16733</v>
      </c>
      <c r="D1398" s="1" t="s">
        <v>16734</v>
      </c>
      <c r="E1398" s="2" t="s">
        <v>16735</v>
      </c>
      <c r="F1398" s="1">
        <v>471.0</v>
      </c>
      <c r="G1398" s="1">
        <v>478.0</v>
      </c>
      <c r="H1398" s="1" t="s">
        <v>28</v>
      </c>
      <c r="I1398" s="1" t="s">
        <v>16738</v>
      </c>
      <c r="J1398" s="1" t="s">
        <v>16739</v>
      </c>
      <c r="K1398" s="1"/>
      <c r="L1398" s="1" t="s">
        <v>16740</v>
      </c>
      <c r="M1398" s="1" t="s">
        <v>16741</v>
      </c>
      <c r="N1398" s="1" t="s">
        <v>16742</v>
      </c>
    </row>
    <row r="1399">
      <c r="A1399" s="1" t="s">
        <v>17</v>
      </c>
      <c r="B1399" s="1">
        <v>2005.0</v>
      </c>
      <c r="C1399" s="1" t="s">
        <v>16743</v>
      </c>
      <c r="D1399" s="1" t="s">
        <v>16744</v>
      </c>
      <c r="E1399" s="2" t="s">
        <v>16745</v>
      </c>
      <c r="F1399" s="1">
        <v>479.0</v>
      </c>
      <c r="G1399" s="1">
        <v>486.0</v>
      </c>
      <c r="H1399" s="1" t="s">
        <v>28</v>
      </c>
      <c r="I1399" s="1" t="s">
        <v>16749</v>
      </c>
      <c r="J1399" s="1" t="s">
        <v>16750</v>
      </c>
      <c r="K1399" s="1"/>
      <c r="L1399" s="1" t="s">
        <v>16751</v>
      </c>
      <c r="M1399" s="1" t="s">
        <v>5746</v>
      </c>
      <c r="N1399" s="1" t="s">
        <v>16752</v>
      </c>
    </row>
    <row r="1400">
      <c r="A1400" s="1" t="s">
        <v>17</v>
      </c>
      <c r="B1400" s="1">
        <v>2005.0</v>
      </c>
      <c r="C1400" s="1" t="s">
        <v>16753</v>
      </c>
      <c r="D1400" s="1" t="s">
        <v>16754</v>
      </c>
      <c r="E1400" s="2" t="s">
        <v>16755</v>
      </c>
      <c r="F1400" s="1">
        <v>487.0</v>
      </c>
      <c r="G1400" s="1">
        <v>494.0</v>
      </c>
      <c r="H1400" s="1" t="s">
        <v>28</v>
      </c>
      <c r="I1400" s="1" t="s">
        <v>16757</v>
      </c>
      <c r="J1400" s="1" t="s">
        <v>13403</v>
      </c>
      <c r="K1400" s="1"/>
      <c r="L1400" s="1" t="s">
        <v>12159</v>
      </c>
      <c r="M1400" s="1" t="s">
        <v>16758</v>
      </c>
      <c r="N1400" s="1" t="s">
        <v>16759</v>
      </c>
    </row>
    <row r="1401">
      <c r="A1401" s="1" t="s">
        <v>17</v>
      </c>
      <c r="B1401" s="1">
        <v>2005.0</v>
      </c>
      <c r="C1401" s="1" t="s">
        <v>16760</v>
      </c>
      <c r="D1401" s="1" t="s">
        <v>16762</v>
      </c>
      <c r="E1401" s="2" t="s">
        <v>16764</v>
      </c>
      <c r="F1401" s="1">
        <v>495.0</v>
      </c>
      <c r="G1401" s="1">
        <v>502.0</v>
      </c>
      <c r="H1401" s="1" t="s">
        <v>28</v>
      </c>
      <c r="I1401" s="1" t="s">
        <v>16768</v>
      </c>
      <c r="J1401" s="1" t="s">
        <v>16769</v>
      </c>
      <c r="K1401" s="1"/>
      <c r="L1401" s="1" t="s">
        <v>16770</v>
      </c>
      <c r="M1401" s="1" t="s">
        <v>16771</v>
      </c>
      <c r="N1401" s="1" t="s">
        <v>16772</v>
      </c>
    </row>
    <row r="1402">
      <c r="A1402" s="1" t="s">
        <v>17</v>
      </c>
      <c r="B1402" s="1">
        <v>2005.0</v>
      </c>
      <c r="C1402" s="1" t="s">
        <v>16773</v>
      </c>
      <c r="D1402" s="1" t="s">
        <v>16774</v>
      </c>
      <c r="E1402" s="2" t="s">
        <v>16775</v>
      </c>
      <c r="F1402" s="1">
        <v>503.0</v>
      </c>
      <c r="G1402" s="1">
        <v>510.0</v>
      </c>
      <c r="H1402" s="1" t="s">
        <v>28</v>
      </c>
      <c r="I1402" s="1" t="s">
        <v>16777</v>
      </c>
      <c r="J1402" s="1" t="s">
        <v>16778</v>
      </c>
      <c r="K1402" s="1"/>
      <c r="L1402" s="1" t="s">
        <v>1596</v>
      </c>
      <c r="M1402" s="1" t="s">
        <v>16779</v>
      </c>
      <c r="N1402" s="1" t="s">
        <v>16780</v>
      </c>
    </row>
    <row r="1403">
      <c r="A1403" s="1" t="s">
        <v>17</v>
      </c>
      <c r="B1403" s="1">
        <v>2005.0</v>
      </c>
      <c r="C1403" s="1" t="s">
        <v>16781</v>
      </c>
      <c r="D1403" s="1" t="s">
        <v>16782</v>
      </c>
      <c r="E1403" s="2" t="s">
        <v>16783</v>
      </c>
      <c r="F1403" s="1">
        <v>511.0</v>
      </c>
      <c r="G1403" s="1">
        <v>518.0</v>
      </c>
      <c r="H1403" s="1" t="s">
        <v>28</v>
      </c>
      <c r="I1403" s="1" t="s">
        <v>16787</v>
      </c>
      <c r="J1403" s="1" t="s">
        <v>16788</v>
      </c>
      <c r="K1403" s="1"/>
      <c r="L1403" s="1" t="s">
        <v>16789</v>
      </c>
      <c r="M1403" s="1" t="s">
        <v>16790</v>
      </c>
      <c r="N1403" s="1" t="s">
        <v>16791</v>
      </c>
    </row>
    <row r="1404">
      <c r="A1404" s="1" t="s">
        <v>17</v>
      </c>
      <c r="B1404" s="1">
        <v>2005.0</v>
      </c>
      <c r="C1404" s="1" t="s">
        <v>16792</v>
      </c>
      <c r="D1404" s="1" t="s">
        <v>16793</v>
      </c>
      <c r="E1404" s="2" t="s">
        <v>16794</v>
      </c>
      <c r="F1404" s="1">
        <v>519.0</v>
      </c>
      <c r="G1404" s="1">
        <v>526.0</v>
      </c>
      <c r="H1404" s="1" t="s">
        <v>28</v>
      </c>
      <c r="I1404" s="1" t="s">
        <v>16799</v>
      </c>
      <c r="J1404" s="1" t="s">
        <v>16800</v>
      </c>
      <c r="K1404" s="1"/>
      <c r="L1404" s="1" t="s">
        <v>16801</v>
      </c>
      <c r="M1404" s="1" t="s">
        <v>16802</v>
      </c>
      <c r="N1404" s="1" t="s">
        <v>16803</v>
      </c>
    </row>
    <row r="1405">
      <c r="A1405" s="1" t="s">
        <v>17</v>
      </c>
      <c r="B1405" s="1">
        <v>2005.0</v>
      </c>
      <c r="C1405" s="1" t="s">
        <v>16804</v>
      </c>
      <c r="D1405" s="1" t="s">
        <v>16805</v>
      </c>
      <c r="E1405" s="2" t="s">
        <v>16806</v>
      </c>
      <c r="F1405" s="1">
        <v>527.0</v>
      </c>
      <c r="G1405" s="1">
        <v>534.0</v>
      </c>
      <c r="H1405" s="1" t="s">
        <v>28</v>
      </c>
      <c r="I1405" s="1" t="s">
        <v>16809</v>
      </c>
      <c r="J1405" s="1" t="s">
        <v>16811</v>
      </c>
      <c r="K1405" s="1"/>
      <c r="L1405" s="1" t="s">
        <v>178</v>
      </c>
      <c r="M1405" s="1" t="s">
        <v>151</v>
      </c>
      <c r="N1405" s="1" t="s">
        <v>16813</v>
      </c>
    </row>
    <row r="1406">
      <c r="A1406" s="1" t="s">
        <v>17</v>
      </c>
      <c r="B1406" s="1">
        <v>2005.0</v>
      </c>
      <c r="C1406" s="1" t="s">
        <v>16814</v>
      </c>
      <c r="D1406" s="1" t="s">
        <v>16815</v>
      </c>
      <c r="E1406" s="2" t="s">
        <v>16816</v>
      </c>
      <c r="F1406" s="1">
        <v>535.0</v>
      </c>
      <c r="G1406" s="1">
        <v>542.0</v>
      </c>
      <c r="H1406" s="1" t="s">
        <v>28</v>
      </c>
      <c r="I1406" s="1" t="s">
        <v>16820</v>
      </c>
      <c r="J1406" s="1" t="s">
        <v>16821</v>
      </c>
      <c r="K1406" s="1"/>
      <c r="L1406" s="1" t="s">
        <v>5673</v>
      </c>
      <c r="M1406" s="1" t="s">
        <v>16822</v>
      </c>
      <c r="N1406" s="1" t="s">
        <v>16823</v>
      </c>
    </row>
    <row r="1407">
      <c r="A1407" s="1" t="s">
        <v>17</v>
      </c>
      <c r="B1407" s="1">
        <v>2005.0</v>
      </c>
      <c r="C1407" s="1" t="s">
        <v>16824</v>
      </c>
      <c r="D1407" s="1" t="s">
        <v>16825</v>
      </c>
      <c r="E1407" s="2" t="s">
        <v>16826</v>
      </c>
      <c r="F1407" s="1">
        <v>543.0</v>
      </c>
      <c r="G1407" s="1">
        <v>550.0</v>
      </c>
      <c r="H1407" s="1" t="s">
        <v>28</v>
      </c>
      <c r="I1407" s="1" t="s">
        <v>16830</v>
      </c>
      <c r="J1407" s="1" t="s">
        <v>16831</v>
      </c>
      <c r="K1407" s="1"/>
      <c r="L1407" s="1" t="s">
        <v>16832</v>
      </c>
      <c r="M1407" s="1" t="s">
        <v>12442</v>
      </c>
      <c r="N1407" s="1" t="s">
        <v>16833</v>
      </c>
    </row>
    <row r="1408">
      <c r="A1408" s="1" t="s">
        <v>17</v>
      </c>
      <c r="B1408" s="1">
        <v>2005.0</v>
      </c>
      <c r="C1408" s="1" t="s">
        <v>16834</v>
      </c>
      <c r="D1408" s="1" t="s">
        <v>16835</v>
      </c>
      <c r="E1408" s="2" t="s">
        <v>16836</v>
      </c>
      <c r="F1408" s="1">
        <v>551.0</v>
      </c>
      <c r="G1408" s="1">
        <v>558.0</v>
      </c>
      <c r="H1408" s="1" t="s">
        <v>28</v>
      </c>
      <c r="I1408" s="1" t="s">
        <v>16841</v>
      </c>
      <c r="J1408" s="1" t="s">
        <v>16842</v>
      </c>
      <c r="K1408" s="1"/>
      <c r="L1408" s="1" t="s">
        <v>16843</v>
      </c>
      <c r="M1408" s="1" t="s">
        <v>16844</v>
      </c>
      <c r="N1408" s="1" t="s">
        <v>16845</v>
      </c>
    </row>
    <row r="1409">
      <c r="A1409" s="1" t="s">
        <v>17</v>
      </c>
      <c r="B1409" s="1">
        <v>2005.0</v>
      </c>
      <c r="C1409" s="1" t="s">
        <v>16846</v>
      </c>
      <c r="D1409" s="1" t="s">
        <v>16847</v>
      </c>
      <c r="E1409" s="2" t="s">
        <v>16848</v>
      </c>
      <c r="F1409" s="1">
        <v>559.0</v>
      </c>
      <c r="G1409" s="1">
        <v>566.0</v>
      </c>
      <c r="H1409" s="1" t="s">
        <v>28</v>
      </c>
      <c r="I1409" s="1" t="s">
        <v>16852</v>
      </c>
      <c r="J1409" s="1" t="s">
        <v>16853</v>
      </c>
      <c r="K1409" s="1"/>
      <c r="L1409" s="1" t="s">
        <v>16854</v>
      </c>
      <c r="M1409" s="1" t="s">
        <v>16855</v>
      </c>
    </row>
    <row r="1410">
      <c r="A1410" s="1" t="s">
        <v>17</v>
      </c>
      <c r="B1410" s="1">
        <v>2005.0</v>
      </c>
      <c r="C1410" s="1" t="s">
        <v>16856</v>
      </c>
      <c r="D1410" s="1" t="s">
        <v>16857</v>
      </c>
      <c r="E1410" s="2" t="s">
        <v>16858</v>
      </c>
      <c r="F1410" s="1">
        <v>567.0</v>
      </c>
      <c r="G1410" s="1">
        <v>574.0</v>
      </c>
      <c r="H1410" s="1" t="s">
        <v>28</v>
      </c>
      <c r="I1410" s="1" t="s">
        <v>16860</v>
      </c>
      <c r="J1410" s="1" t="s">
        <v>16861</v>
      </c>
      <c r="K1410" s="1"/>
      <c r="L1410" s="1" t="s">
        <v>4713</v>
      </c>
      <c r="M1410" s="1"/>
      <c r="N1410" s="1" t="s">
        <v>16862</v>
      </c>
    </row>
    <row r="1411">
      <c r="A1411" s="1" t="s">
        <v>17</v>
      </c>
      <c r="B1411" s="1">
        <v>2005.0</v>
      </c>
      <c r="C1411" s="1" t="s">
        <v>16863</v>
      </c>
      <c r="D1411" s="1" t="s">
        <v>16864</v>
      </c>
      <c r="E1411" s="2" t="s">
        <v>16865</v>
      </c>
      <c r="F1411" s="1">
        <v>575.0</v>
      </c>
      <c r="G1411" s="1">
        <v>582.0</v>
      </c>
      <c r="H1411" s="1" t="s">
        <v>28</v>
      </c>
      <c r="I1411" s="1" t="s">
        <v>16868</v>
      </c>
      <c r="J1411" s="1" t="s">
        <v>16869</v>
      </c>
      <c r="K1411" s="1"/>
      <c r="L1411" s="1" t="s">
        <v>16870</v>
      </c>
      <c r="M1411" s="1"/>
      <c r="N1411" s="1" t="s">
        <v>16872</v>
      </c>
    </row>
    <row r="1412">
      <c r="A1412" s="1" t="s">
        <v>17</v>
      </c>
      <c r="B1412" s="1">
        <v>2005.0</v>
      </c>
      <c r="C1412" s="1" t="s">
        <v>16874</v>
      </c>
      <c r="D1412" s="1" t="s">
        <v>16875</v>
      </c>
      <c r="E1412" s="2" t="s">
        <v>16876</v>
      </c>
      <c r="F1412" s="1">
        <v>583.0</v>
      </c>
      <c r="G1412" s="1">
        <v>590.0</v>
      </c>
      <c r="H1412" s="1" t="s">
        <v>28</v>
      </c>
      <c r="I1412" s="1" t="s">
        <v>16879</v>
      </c>
      <c r="J1412" s="1" t="s">
        <v>16880</v>
      </c>
      <c r="K1412" s="1"/>
      <c r="L1412" s="1" t="s">
        <v>16881</v>
      </c>
      <c r="M1412" s="1" t="s">
        <v>16882</v>
      </c>
      <c r="N1412" s="1" t="s">
        <v>16883</v>
      </c>
    </row>
    <row r="1413">
      <c r="A1413" s="1" t="s">
        <v>17</v>
      </c>
      <c r="B1413" s="1">
        <v>2005.0</v>
      </c>
      <c r="C1413" s="1" t="s">
        <v>16884</v>
      </c>
      <c r="D1413" s="1" t="s">
        <v>16885</v>
      </c>
      <c r="E1413" s="2" t="s">
        <v>16886</v>
      </c>
      <c r="F1413" s="1">
        <v>591.0</v>
      </c>
      <c r="G1413" s="1">
        <v>597.0</v>
      </c>
      <c r="H1413" s="1" t="s">
        <v>28</v>
      </c>
      <c r="I1413" s="1" t="s">
        <v>16889</v>
      </c>
      <c r="J1413" s="1" t="s">
        <v>16891</v>
      </c>
      <c r="K1413" s="1"/>
      <c r="L1413" s="1" t="s">
        <v>16892</v>
      </c>
      <c r="M1413" s="1" t="s">
        <v>16893</v>
      </c>
      <c r="N1413" s="1" t="s">
        <v>16894</v>
      </c>
    </row>
    <row r="1414">
      <c r="A1414" s="1" t="s">
        <v>17</v>
      </c>
      <c r="B1414" s="1">
        <v>2005.0</v>
      </c>
      <c r="C1414" s="1" t="s">
        <v>16895</v>
      </c>
      <c r="D1414" s="1" t="s">
        <v>16896</v>
      </c>
      <c r="E1414" s="2" t="s">
        <v>16897</v>
      </c>
      <c r="F1414" s="1">
        <v>599.0</v>
      </c>
      <c r="G1414" s="1">
        <v>606.0</v>
      </c>
      <c r="H1414" s="1" t="s">
        <v>28</v>
      </c>
      <c r="I1414" s="1" t="s">
        <v>16900</v>
      </c>
      <c r="J1414" s="1" t="s">
        <v>16901</v>
      </c>
      <c r="K1414" s="1"/>
      <c r="L1414" s="1" t="s">
        <v>16902</v>
      </c>
      <c r="M1414" s="1" t="s">
        <v>16903</v>
      </c>
      <c r="N1414" s="1" t="s">
        <v>15093</v>
      </c>
    </row>
    <row r="1415">
      <c r="A1415" s="1" t="s">
        <v>17</v>
      </c>
      <c r="B1415" s="1">
        <v>2005.0</v>
      </c>
      <c r="C1415" s="1" t="s">
        <v>16904</v>
      </c>
      <c r="D1415" s="1" t="s">
        <v>16905</v>
      </c>
      <c r="E1415" s="2" t="s">
        <v>16906</v>
      </c>
      <c r="F1415" s="1">
        <v>607.0</v>
      </c>
      <c r="G1415" s="1">
        <v>614.0</v>
      </c>
      <c r="H1415" s="1" t="s">
        <v>28</v>
      </c>
      <c r="I1415" s="1" t="s">
        <v>16910</v>
      </c>
      <c r="J1415" s="1" t="s">
        <v>16911</v>
      </c>
      <c r="K1415" s="1"/>
      <c r="L1415" s="1" t="s">
        <v>16912</v>
      </c>
      <c r="M1415" s="1" t="s">
        <v>16914</v>
      </c>
      <c r="N1415" s="1" t="s">
        <v>16915</v>
      </c>
    </row>
    <row r="1416">
      <c r="A1416" s="1" t="s">
        <v>17</v>
      </c>
      <c r="B1416" s="1">
        <v>2005.0</v>
      </c>
      <c r="C1416" s="1" t="s">
        <v>16916</v>
      </c>
      <c r="D1416" s="1" t="s">
        <v>16917</v>
      </c>
      <c r="E1416" s="2" t="s">
        <v>16918</v>
      </c>
      <c r="F1416" s="1">
        <v>615.0</v>
      </c>
      <c r="G1416" s="1">
        <v>622.0</v>
      </c>
      <c r="H1416" s="1" t="s">
        <v>28</v>
      </c>
      <c r="I1416" s="1" t="s">
        <v>16922</v>
      </c>
      <c r="J1416" s="1" t="s">
        <v>16923</v>
      </c>
      <c r="K1416" s="1"/>
      <c r="L1416" s="1" t="s">
        <v>16924</v>
      </c>
      <c r="M1416" s="1" t="s">
        <v>16925</v>
      </c>
      <c r="N1416" s="1" t="s">
        <v>16926</v>
      </c>
    </row>
    <row r="1417">
      <c r="A1417" s="1" t="s">
        <v>17</v>
      </c>
      <c r="B1417" s="1">
        <v>2005.0</v>
      </c>
      <c r="C1417" s="1" t="s">
        <v>16928</v>
      </c>
      <c r="D1417" s="1" t="s">
        <v>16929</v>
      </c>
      <c r="E1417" s="2" t="s">
        <v>16931</v>
      </c>
      <c r="F1417" s="1">
        <v>623.0</v>
      </c>
      <c r="G1417" s="1">
        <v>630.0</v>
      </c>
      <c r="H1417" s="1" t="s">
        <v>28</v>
      </c>
      <c r="I1417" s="1" t="s">
        <v>16935</v>
      </c>
      <c r="J1417" s="1" t="s">
        <v>16936</v>
      </c>
      <c r="K1417" s="1"/>
      <c r="L1417" s="1" t="s">
        <v>15865</v>
      </c>
      <c r="M1417" s="1" t="s">
        <v>16937</v>
      </c>
      <c r="N1417" s="1" t="s">
        <v>16938</v>
      </c>
    </row>
    <row r="1418">
      <c r="A1418" s="1" t="s">
        <v>17</v>
      </c>
      <c r="B1418" s="1">
        <v>2005.0</v>
      </c>
      <c r="C1418" s="1" t="s">
        <v>16939</v>
      </c>
      <c r="D1418" s="1" t="s">
        <v>16940</v>
      </c>
      <c r="E1418" s="2" t="s">
        <v>16941</v>
      </c>
      <c r="F1418" s="1">
        <v>631.0</v>
      </c>
      <c r="G1418" s="1">
        <v>638.0</v>
      </c>
      <c r="H1418" s="1" t="s">
        <v>28</v>
      </c>
      <c r="I1418" s="1" t="s">
        <v>16943</v>
      </c>
      <c r="J1418" s="1" t="s">
        <v>16944</v>
      </c>
      <c r="K1418" s="1"/>
      <c r="L1418" s="1" t="s">
        <v>16945</v>
      </c>
      <c r="M1418" s="1" t="s">
        <v>16946</v>
      </c>
      <c r="N1418" s="1" t="s">
        <v>16947</v>
      </c>
    </row>
    <row r="1419">
      <c r="A1419" s="1" t="s">
        <v>17</v>
      </c>
      <c r="B1419" s="1">
        <v>2005.0</v>
      </c>
      <c r="C1419" s="1" t="s">
        <v>16948</v>
      </c>
      <c r="D1419" s="1" t="s">
        <v>16949</v>
      </c>
      <c r="E1419" s="2" t="s">
        <v>16952</v>
      </c>
      <c r="F1419" s="1">
        <v>639.0</v>
      </c>
      <c r="G1419" s="1">
        <v>646.0</v>
      </c>
      <c r="H1419" s="1" t="s">
        <v>28</v>
      </c>
      <c r="I1419" s="1" t="s">
        <v>16954</v>
      </c>
      <c r="J1419" s="1" t="s">
        <v>16955</v>
      </c>
      <c r="K1419" s="1"/>
      <c r="L1419" s="1" t="s">
        <v>16956</v>
      </c>
      <c r="M1419" s="1" t="s">
        <v>16957</v>
      </c>
      <c r="N1419" s="1" t="s">
        <v>16958</v>
      </c>
    </row>
    <row r="1420">
      <c r="A1420" s="1" t="s">
        <v>17</v>
      </c>
      <c r="B1420" s="1">
        <v>2005.0</v>
      </c>
      <c r="C1420" s="1" t="s">
        <v>16959</v>
      </c>
      <c r="D1420" s="1" t="s">
        <v>16960</v>
      </c>
      <c r="E1420" s="2" t="s">
        <v>16961</v>
      </c>
      <c r="F1420" s="1">
        <v>647.0</v>
      </c>
      <c r="G1420" s="1">
        <v>654.0</v>
      </c>
      <c r="H1420" s="1" t="s">
        <v>28</v>
      </c>
      <c r="I1420" s="1" t="s">
        <v>16964</v>
      </c>
      <c r="J1420" s="1" t="s">
        <v>16965</v>
      </c>
      <c r="K1420" s="1"/>
      <c r="L1420" s="1" t="s">
        <v>5035</v>
      </c>
      <c r="M1420" s="1" t="s">
        <v>16966</v>
      </c>
      <c r="N1420" s="1" t="s">
        <v>16967</v>
      </c>
    </row>
    <row r="1421">
      <c r="A1421" s="1" t="s">
        <v>17</v>
      </c>
      <c r="B1421" s="1">
        <v>2005.0</v>
      </c>
      <c r="C1421" s="1" t="s">
        <v>16968</v>
      </c>
      <c r="D1421" s="1" t="s">
        <v>16969</v>
      </c>
      <c r="E1421" s="2" t="s">
        <v>16970</v>
      </c>
      <c r="F1421" s="1">
        <v>655.0</v>
      </c>
      <c r="G1421" s="1">
        <v>662.0</v>
      </c>
      <c r="H1421" s="1" t="s">
        <v>28</v>
      </c>
      <c r="I1421" s="1" t="s">
        <v>16974</v>
      </c>
      <c r="J1421" s="1" t="s">
        <v>16975</v>
      </c>
      <c r="K1421" s="1"/>
      <c r="L1421" s="1" t="s">
        <v>4670</v>
      </c>
      <c r="M1421" s="1" t="s">
        <v>16976</v>
      </c>
      <c r="N1421" s="1" t="s">
        <v>16977</v>
      </c>
    </row>
    <row r="1422">
      <c r="A1422" s="1" t="s">
        <v>17</v>
      </c>
      <c r="B1422" s="1">
        <v>2005.0</v>
      </c>
      <c r="C1422" s="1" t="s">
        <v>16978</v>
      </c>
      <c r="D1422" s="1" t="s">
        <v>16979</v>
      </c>
      <c r="E1422" s="2" t="s">
        <v>16981</v>
      </c>
      <c r="F1422" s="1">
        <v>663.0</v>
      </c>
      <c r="G1422" s="1">
        <v>670.0</v>
      </c>
      <c r="H1422" s="1" t="s">
        <v>28</v>
      </c>
      <c r="I1422" s="1" t="s">
        <v>16984</v>
      </c>
      <c r="J1422" s="1" t="s">
        <v>16985</v>
      </c>
      <c r="K1422" s="1"/>
      <c r="L1422" s="1" t="s">
        <v>16986</v>
      </c>
      <c r="M1422" s="1" t="s">
        <v>16987</v>
      </c>
      <c r="N1422" s="1" t="s">
        <v>16988</v>
      </c>
    </row>
    <row r="1423">
      <c r="A1423" s="1" t="s">
        <v>17</v>
      </c>
      <c r="B1423" s="1">
        <v>2005.0</v>
      </c>
      <c r="C1423" s="1" t="s">
        <v>16989</v>
      </c>
      <c r="D1423" s="1" t="s">
        <v>16990</v>
      </c>
      <c r="E1423" s="2" t="s">
        <v>16991</v>
      </c>
      <c r="F1423" s="1">
        <v>671.0</v>
      </c>
      <c r="G1423" s="1">
        <v>678.0</v>
      </c>
      <c r="H1423" s="1" t="s">
        <v>28</v>
      </c>
      <c r="I1423" s="1" t="s">
        <v>16994</v>
      </c>
      <c r="J1423" s="1" t="s">
        <v>16995</v>
      </c>
      <c r="K1423" s="1"/>
      <c r="L1423" s="1" t="s">
        <v>16996</v>
      </c>
      <c r="M1423" s="1" t="s">
        <v>16997</v>
      </c>
      <c r="N1423" s="1" t="s">
        <v>16999</v>
      </c>
    </row>
    <row r="1424">
      <c r="A1424" s="1" t="s">
        <v>17</v>
      </c>
      <c r="B1424" s="1">
        <v>2005.0</v>
      </c>
      <c r="C1424" s="1" t="s">
        <v>17001</v>
      </c>
      <c r="D1424" s="1" t="s">
        <v>17002</v>
      </c>
      <c r="E1424" s="2" t="s">
        <v>17003</v>
      </c>
      <c r="F1424" s="1">
        <v>679.0</v>
      </c>
      <c r="G1424" s="1">
        <v>686.0</v>
      </c>
      <c r="H1424" s="1" t="s">
        <v>28</v>
      </c>
      <c r="I1424" s="1" t="s">
        <v>17005</v>
      </c>
      <c r="J1424" s="1" t="s">
        <v>17006</v>
      </c>
      <c r="K1424" s="1"/>
      <c r="L1424" s="1" t="s">
        <v>5680</v>
      </c>
      <c r="M1424" s="1" t="s">
        <v>17007</v>
      </c>
      <c r="N1424" s="1" t="s">
        <v>17008</v>
      </c>
    </row>
    <row r="1425">
      <c r="A1425" s="1" t="s">
        <v>17</v>
      </c>
      <c r="B1425" s="1">
        <v>2005.0</v>
      </c>
      <c r="C1425" s="1" t="s">
        <v>17009</v>
      </c>
      <c r="D1425" s="1" t="s">
        <v>17010</v>
      </c>
      <c r="E1425" s="2" t="s">
        <v>17011</v>
      </c>
      <c r="F1425" s="1">
        <v>687.0</v>
      </c>
      <c r="G1425" s="1">
        <v>694.0</v>
      </c>
      <c r="H1425" s="1" t="s">
        <v>28</v>
      </c>
      <c r="I1425" s="1" t="s">
        <v>17017</v>
      </c>
      <c r="J1425" s="1" t="s">
        <v>17019</v>
      </c>
      <c r="K1425" s="1"/>
      <c r="L1425" s="1" t="s">
        <v>13516</v>
      </c>
      <c r="M1425" s="1" t="s">
        <v>17020</v>
      </c>
      <c r="N1425" s="1" t="s">
        <v>17021</v>
      </c>
    </row>
    <row r="1426">
      <c r="A1426" s="1" t="s">
        <v>17</v>
      </c>
      <c r="B1426" s="1">
        <v>2005.0</v>
      </c>
      <c r="C1426" s="1" t="s">
        <v>17022</v>
      </c>
      <c r="D1426" s="1" t="s">
        <v>17023</v>
      </c>
      <c r="E1426" s="2" t="s">
        <v>17024</v>
      </c>
      <c r="F1426" s="1">
        <v>695.0</v>
      </c>
      <c r="G1426" s="1">
        <v>702.0</v>
      </c>
      <c r="H1426" s="1" t="s">
        <v>28</v>
      </c>
      <c r="I1426" s="1" t="s">
        <v>17050</v>
      </c>
      <c r="J1426" s="1" t="s">
        <v>17051</v>
      </c>
      <c r="K1426" s="1"/>
      <c r="L1426" s="1" t="s">
        <v>17089</v>
      </c>
      <c r="M1426" s="1" t="s">
        <v>17054</v>
      </c>
      <c r="N1426" s="1" t="s">
        <v>17055</v>
      </c>
    </row>
    <row r="1427">
      <c r="A1427" s="1" t="s">
        <v>17</v>
      </c>
      <c r="B1427" s="1">
        <v>2006.0</v>
      </c>
      <c r="C1427" s="1" t="s">
        <v>17090</v>
      </c>
      <c r="D1427" s="1" t="s">
        <v>17091</v>
      </c>
      <c r="E1427" s="2" t="s">
        <v>17092</v>
      </c>
      <c r="F1427" s="1">
        <v>1345.0</v>
      </c>
      <c r="G1427" s="1">
        <v>1352.0</v>
      </c>
      <c r="H1427" s="1" t="s">
        <v>17059</v>
      </c>
      <c r="I1427" s="1" t="s">
        <v>17093</v>
      </c>
      <c r="J1427" s="1" t="s">
        <v>17094</v>
      </c>
      <c r="K1427" s="1"/>
      <c r="L1427" s="1" t="s">
        <v>17095</v>
      </c>
      <c r="M1427" s="1" t="s">
        <v>17096</v>
      </c>
      <c r="N1427" s="1" t="s">
        <v>17097</v>
      </c>
    </row>
    <row r="1428">
      <c r="A1428" s="1" t="s">
        <v>17</v>
      </c>
      <c r="B1428" s="1">
        <v>2006.0</v>
      </c>
      <c r="C1428" s="1" t="s">
        <v>17098</v>
      </c>
      <c r="D1428" s="1" t="s">
        <v>17099</v>
      </c>
      <c r="E1428" s="2" t="s">
        <v>17100</v>
      </c>
      <c r="F1428" s="1">
        <v>981.0</v>
      </c>
      <c r="G1428" s="1">
        <v>988.0</v>
      </c>
      <c r="H1428" s="1" t="s">
        <v>17059</v>
      </c>
      <c r="I1428" s="1" t="s">
        <v>17101</v>
      </c>
      <c r="J1428" s="1" t="s">
        <v>17102</v>
      </c>
      <c r="K1428" s="1"/>
      <c r="L1428" s="1" t="s">
        <v>17103</v>
      </c>
      <c r="M1428" s="1" t="s">
        <v>17104</v>
      </c>
      <c r="N1428" s="1" t="s">
        <v>17105</v>
      </c>
    </row>
    <row r="1429">
      <c r="A1429" s="1" t="s">
        <v>17</v>
      </c>
      <c r="B1429" s="1">
        <v>2006.0</v>
      </c>
      <c r="C1429" s="1" t="s">
        <v>17106</v>
      </c>
      <c r="D1429" s="1" t="s">
        <v>17107</v>
      </c>
      <c r="E1429" s="2" t="s">
        <v>17108</v>
      </c>
      <c r="F1429" s="1">
        <v>861.0</v>
      </c>
      <c r="G1429" s="1">
        <v>868.0</v>
      </c>
      <c r="H1429" s="1" t="s">
        <v>17059</v>
      </c>
      <c r="I1429" s="1" t="s">
        <v>17109</v>
      </c>
      <c r="J1429" s="1" t="s">
        <v>17110</v>
      </c>
      <c r="K1429" s="1"/>
      <c r="L1429" s="1" t="s">
        <v>17111</v>
      </c>
      <c r="M1429" s="1" t="s">
        <v>17112</v>
      </c>
      <c r="N1429" s="1" t="s">
        <v>17113</v>
      </c>
    </row>
    <row r="1430">
      <c r="A1430" s="1" t="s">
        <v>17</v>
      </c>
      <c r="B1430" s="1">
        <v>2006.0</v>
      </c>
      <c r="C1430" s="1" t="s">
        <v>17114</v>
      </c>
      <c r="D1430" s="1" t="s">
        <v>17115</v>
      </c>
      <c r="E1430" s="2" t="s">
        <v>17116</v>
      </c>
      <c r="F1430" s="1">
        <v>1353.0</v>
      </c>
      <c r="G1430" s="1">
        <v>1360.0</v>
      </c>
      <c r="H1430" s="1" t="s">
        <v>17059</v>
      </c>
      <c r="I1430" s="1" t="s">
        <v>17117</v>
      </c>
      <c r="J1430" s="1" t="s">
        <v>17118</v>
      </c>
      <c r="K1430" s="1"/>
      <c r="L1430" s="1" t="s">
        <v>17119</v>
      </c>
      <c r="M1430" s="1" t="s">
        <v>17120</v>
      </c>
      <c r="N1430" s="1" t="s">
        <v>17121</v>
      </c>
    </row>
    <row r="1431">
      <c r="A1431" s="1" t="s">
        <v>17</v>
      </c>
      <c r="B1431" s="1">
        <v>2006.0</v>
      </c>
      <c r="C1431" s="1" t="s">
        <v>17122</v>
      </c>
      <c r="D1431" s="1" t="s">
        <v>17123</v>
      </c>
      <c r="E1431" s="2" t="s">
        <v>17124</v>
      </c>
      <c r="F1431" s="1">
        <v>989.0</v>
      </c>
      <c r="G1431" s="1">
        <v>996.0</v>
      </c>
      <c r="H1431" s="1" t="s">
        <v>17059</v>
      </c>
      <c r="I1431" s="1" t="s">
        <v>17125</v>
      </c>
      <c r="J1431" s="1" t="s">
        <v>17126</v>
      </c>
      <c r="K1431" s="1"/>
      <c r="L1431" s="1" t="s">
        <v>17127</v>
      </c>
      <c r="M1431" s="1" t="s">
        <v>17128</v>
      </c>
      <c r="N1431" s="1" t="s">
        <v>17129</v>
      </c>
    </row>
    <row r="1432">
      <c r="A1432" s="1" t="s">
        <v>17</v>
      </c>
      <c r="B1432" s="1">
        <v>2006.0</v>
      </c>
      <c r="C1432" s="1" t="s">
        <v>17130</v>
      </c>
      <c r="D1432" s="1" t="s">
        <v>17131</v>
      </c>
      <c r="E1432" s="2" t="s">
        <v>17132</v>
      </c>
      <c r="F1432" s="1">
        <v>1237.0</v>
      </c>
      <c r="G1432" s="1">
        <v>1244.0</v>
      </c>
      <c r="H1432" s="1" t="s">
        <v>17059</v>
      </c>
      <c r="I1432" s="1" t="s">
        <v>17133</v>
      </c>
      <c r="J1432" s="1" t="s">
        <v>17134</v>
      </c>
      <c r="K1432" s="1"/>
      <c r="L1432" s="1" t="s">
        <v>17135</v>
      </c>
      <c r="M1432" s="1" t="s">
        <v>17136</v>
      </c>
    </row>
    <row r="1433">
      <c r="A1433" s="1" t="s">
        <v>17</v>
      </c>
      <c r="B1433" s="1">
        <v>2006.0</v>
      </c>
      <c r="C1433" s="1" t="s">
        <v>17137</v>
      </c>
      <c r="D1433" s="1" t="s">
        <v>17138</v>
      </c>
      <c r="E1433" s="2" t="s">
        <v>17139</v>
      </c>
      <c r="F1433" s="1">
        <v>965.0</v>
      </c>
      <c r="G1433" s="1">
        <v>972.0</v>
      </c>
      <c r="H1433" s="1" t="s">
        <v>17059</v>
      </c>
      <c r="I1433" s="1" t="s">
        <v>17140</v>
      </c>
      <c r="J1433" s="1" t="s">
        <v>17141</v>
      </c>
      <c r="K1433" s="1"/>
      <c r="L1433" s="1" t="s">
        <v>17142</v>
      </c>
      <c r="M1433" s="1" t="s">
        <v>17143</v>
      </c>
      <c r="N1433" s="1" t="s">
        <v>17144</v>
      </c>
    </row>
    <row r="1434">
      <c r="A1434" s="1" t="s">
        <v>17</v>
      </c>
      <c r="B1434" s="1">
        <v>2006.0</v>
      </c>
      <c r="C1434" s="1" t="s">
        <v>17145</v>
      </c>
      <c r="D1434" s="1" t="s">
        <v>17146</v>
      </c>
      <c r="E1434" s="2" t="s">
        <v>17147</v>
      </c>
      <c r="F1434" s="1">
        <v>1157.0</v>
      </c>
      <c r="G1434" s="1">
        <v>1164.0</v>
      </c>
      <c r="H1434" s="1" t="s">
        <v>17059</v>
      </c>
      <c r="I1434" s="1" t="s">
        <v>17148</v>
      </c>
      <c r="J1434" s="1" t="s">
        <v>17149</v>
      </c>
      <c r="K1434" s="1"/>
      <c r="L1434" s="1" t="s">
        <v>17150</v>
      </c>
      <c r="M1434" s="1" t="s">
        <v>17151</v>
      </c>
      <c r="N1434" s="1" t="s">
        <v>17152</v>
      </c>
    </row>
    <row r="1435">
      <c r="A1435" s="1" t="s">
        <v>17</v>
      </c>
      <c r="B1435" s="1">
        <v>2006.0</v>
      </c>
      <c r="C1435" s="1" t="s">
        <v>17153</v>
      </c>
      <c r="D1435" s="1" t="s">
        <v>17154</v>
      </c>
      <c r="E1435" s="2" t="s">
        <v>17155</v>
      </c>
      <c r="F1435" s="1">
        <v>1037.0</v>
      </c>
      <c r="G1435" s="1">
        <v>1044.0</v>
      </c>
      <c r="H1435" s="1" t="s">
        <v>17059</v>
      </c>
      <c r="I1435" s="1" t="s">
        <v>17156</v>
      </c>
      <c r="J1435" s="1" t="s">
        <v>17157</v>
      </c>
      <c r="K1435" s="1"/>
      <c r="L1435" s="1" t="s">
        <v>178</v>
      </c>
      <c r="M1435" s="1" t="s">
        <v>17158</v>
      </c>
      <c r="N1435" s="1" t="s">
        <v>17159</v>
      </c>
    </row>
    <row r="1436">
      <c r="A1436" s="1" t="s">
        <v>17</v>
      </c>
      <c r="B1436" s="1">
        <v>2006.0</v>
      </c>
      <c r="C1436" s="1" t="s">
        <v>17160</v>
      </c>
      <c r="D1436" s="1" t="s">
        <v>17161</v>
      </c>
      <c r="E1436" s="2" t="s">
        <v>17162</v>
      </c>
      <c r="F1436" s="1">
        <v>1189.0</v>
      </c>
      <c r="G1436" s="1">
        <v>1196.0</v>
      </c>
      <c r="H1436" s="1" t="s">
        <v>17059</v>
      </c>
      <c r="I1436" s="1" t="s">
        <v>17163</v>
      </c>
      <c r="J1436" s="1" t="s">
        <v>17164</v>
      </c>
      <c r="K1436" s="1"/>
      <c r="L1436" s="1" t="s">
        <v>17165</v>
      </c>
      <c r="M1436" s="1" t="s">
        <v>17166</v>
      </c>
      <c r="N1436" s="1" t="s">
        <v>17167</v>
      </c>
    </row>
    <row r="1437">
      <c r="A1437" s="1" t="s">
        <v>2137</v>
      </c>
      <c r="B1437" s="1">
        <v>2006.0</v>
      </c>
      <c r="C1437" s="1" t="s">
        <v>17057</v>
      </c>
      <c r="D1437" s="1" t="s">
        <v>17058</v>
      </c>
      <c r="E1437" s="2" t="s">
        <v>17168</v>
      </c>
      <c r="F1437" s="1">
        <v>669.0</v>
      </c>
      <c r="G1437" s="1">
        <v>676.0</v>
      </c>
      <c r="H1437" s="1" t="s">
        <v>17059</v>
      </c>
      <c r="I1437" s="1" t="s">
        <v>17060</v>
      </c>
      <c r="J1437" s="1" t="s">
        <v>17061</v>
      </c>
      <c r="K1437" s="1"/>
      <c r="L1437" s="1" t="s">
        <v>17169</v>
      </c>
      <c r="M1437" s="1" t="s">
        <v>17064</v>
      </c>
      <c r="N1437" s="1" t="s">
        <v>17065</v>
      </c>
    </row>
    <row r="1438">
      <c r="A1438" s="1" t="s">
        <v>17</v>
      </c>
      <c r="B1438" s="1">
        <v>2006.0</v>
      </c>
      <c r="C1438" s="1" t="s">
        <v>17170</v>
      </c>
      <c r="D1438" s="1" t="s">
        <v>17171</v>
      </c>
      <c r="E1438" s="2" t="s">
        <v>17172</v>
      </c>
      <c r="F1438" s="1">
        <v>1101.0</v>
      </c>
      <c r="G1438" s="1">
        <v>1108.0</v>
      </c>
      <c r="H1438" s="1" t="s">
        <v>17059</v>
      </c>
      <c r="I1438" s="1" t="s">
        <v>17173</v>
      </c>
      <c r="J1438" s="1" t="s">
        <v>17174</v>
      </c>
      <c r="K1438" s="1"/>
      <c r="L1438" s="1" t="s">
        <v>17175</v>
      </c>
      <c r="M1438" s="1" t="s">
        <v>17176</v>
      </c>
      <c r="N1438" s="1" t="s">
        <v>17177</v>
      </c>
    </row>
    <row r="1439">
      <c r="A1439" s="1" t="s">
        <v>2137</v>
      </c>
      <c r="B1439" s="1">
        <v>2006.0</v>
      </c>
      <c r="C1439" s="1" t="s">
        <v>17066</v>
      </c>
      <c r="D1439" s="1" t="s">
        <v>17067</v>
      </c>
      <c r="E1439" s="2" t="s">
        <v>17178</v>
      </c>
      <c r="F1439" s="1">
        <v>693.0</v>
      </c>
      <c r="G1439" s="1">
        <v>700.0</v>
      </c>
      <c r="H1439" s="1" t="s">
        <v>17059</v>
      </c>
      <c r="I1439" s="1" t="s">
        <v>17068</v>
      </c>
      <c r="J1439" s="1" t="s">
        <v>17069</v>
      </c>
      <c r="K1439" s="1"/>
      <c r="L1439" s="1" t="s">
        <v>14236</v>
      </c>
      <c r="M1439" s="1" t="s">
        <v>17071</v>
      </c>
      <c r="N1439" s="1" t="s">
        <v>17072</v>
      </c>
    </row>
    <row r="1440">
      <c r="A1440" s="1" t="s">
        <v>17</v>
      </c>
      <c r="B1440" s="1">
        <v>2006.0</v>
      </c>
      <c r="C1440" s="1" t="s">
        <v>17179</v>
      </c>
      <c r="D1440" s="1" t="s">
        <v>17180</v>
      </c>
      <c r="E1440" s="2" t="s">
        <v>17181</v>
      </c>
      <c r="F1440" s="1">
        <v>1085.0</v>
      </c>
      <c r="G1440" s="1">
        <v>1092.0</v>
      </c>
      <c r="H1440" s="1" t="s">
        <v>17059</v>
      </c>
      <c r="I1440" s="1" t="s">
        <v>17182</v>
      </c>
      <c r="J1440" s="1" t="s">
        <v>17183</v>
      </c>
      <c r="K1440" s="1"/>
      <c r="L1440" s="1" t="s">
        <v>17184</v>
      </c>
      <c r="M1440" s="1" t="s">
        <v>17185</v>
      </c>
      <c r="N1440" s="1" t="s">
        <v>17186</v>
      </c>
    </row>
    <row r="1441">
      <c r="A1441" s="1" t="s">
        <v>17</v>
      </c>
      <c r="B1441" s="1">
        <v>2006.0</v>
      </c>
      <c r="C1441" s="1" t="s">
        <v>17187</v>
      </c>
      <c r="D1441" s="1" t="s">
        <v>17188</v>
      </c>
      <c r="E1441" s="2" t="s">
        <v>17189</v>
      </c>
      <c r="F1441" s="1">
        <v>941.0</v>
      </c>
      <c r="G1441" s="1">
        <v>948.0</v>
      </c>
      <c r="H1441" s="1" t="s">
        <v>17059</v>
      </c>
      <c r="I1441" s="1" t="s">
        <v>17190</v>
      </c>
      <c r="J1441" s="1" t="s">
        <v>17191</v>
      </c>
      <c r="K1441" s="1"/>
      <c r="L1441" s="1" t="s">
        <v>17192</v>
      </c>
      <c r="M1441" s="1" t="s">
        <v>17193</v>
      </c>
      <c r="N1441" s="1" t="s">
        <v>17194</v>
      </c>
    </row>
    <row r="1442">
      <c r="A1442" s="1" t="s">
        <v>17</v>
      </c>
      <c r="B1442" s="1">
        <v>2006.0</v>
      </c>
      <c r="C1442" s="1" t="s">
        <v>17195</v>
      </c>
      <c r="D1442" s="1" t="s">
        <v>17196</v>
      </c>
      <c r="E1442" s="2" t="s">
        <v>17197</v>
      </c>
      <c r="F1442" s="1">
        <v>1173.0</v>
      </c>
      <c r="G1442" s="1">
        <v>1180.0</v>
      </c>
      <c r="H1442" s="1" t="s">
        <v>17059</v>
      </c>
      <c r="I1442" s="1" t="s">
        <v>17198</v>
      </c>
      <c r="J1442" s="1" t="s">
        <v>17199</v>
      </c>
      <c r="K1442" s="1"/>
      <c r="L1442" s="1" t="s">
        <v>17200</v>
      </c>
      <c r="M1442" s="1" t="s">
        <v>16400</v>
      </c>
      <c r="N1442" s="1" t="s">
        <v>17201</v>
      </c>
    </row>
    <row r="1443">
      <c r="A1443" s="1" t="s">
        <v>2137</v>
      </c>
      <c r="B1443" s="1">
        <v>2006.0</v>
      </c>
      <c r="C1443" s="1" t="s">
        <v>17073</v>
      </c>
      <c r="D1443" s="1" t="s">
        <v>17074</v>
      </c>
      <c r="E1443" s="2" t="s">
        <v>17202</v>
      </c>
      <c r="F1443" s="1">
        <v>845.0</v>
      </c>
      <c r="G1443" s="1">
        <v>852.0</v>
      </c>
      <c r="H1443" s="1" t="s">
        <v>17059</v>
      </c>
      <c r="I1443" s="1" t="s">
        <v>17075</v>
      </c>
      <c r="J1443" s="1" t="s">
        <v>17203</v>
      </c>
      <c r="K1443" s="1"/>
      <c r="L1443" s="1" t="s">
        <v>17204</v>
      </c>
      <c r="M1443" s="1" t="s">
        <v>17078</v>
      </c>
      <c r="N1443" s="1" t="s">
        <v>17079</v>
      </c>
    </row>
    <row r="1444">
      <c r="A1444" s="1" t="s">
        <v>17</v>
      </c>
      <c r="B1444" s="1">
        <v>2006.0</v>
      </c>
      <c r="C1444" s="1" t="s">
        <v>17205</v>
      </c>
      <c r="D1444" s="1" t="s">
        <v>17206</v>
      </c>
      <c r="E1444" s="2" t="s">
        <v>17207</v>
      </c>
      <c r="F1444" s="1">
        <v>901.0</v>
      </c>
      <c r="G1444" s="1">
        <v>908.0</v>
      </c>
      <c r="H1444" s="1" t="s">
        <v>17059</v>
      </c>
      <c r="I1444" s="1" t="s">
        <v>17208</v>
      </c>
      <c r="J1444" s="1" t="s">
        <v>17209</v>
      </c>
      <c r="K1444" s="1"/>
      <c r="L1444" s="1" t="s">
        <v>17210</v>
      </c>
      <c r="M1444" s="1" t="s">
        <v>17211</v>
      </c>
      <c r="N1444" s="1" t="s">
        <v>17212</v>
      </c>
    </row>
    <row r="1445">
      <c r="A1445" s="1" t="s">
        <v>17</v>
      </c>
      <c r="B1445" s="1">
        <v>2006.0</v>
      </c>
      <c r="C1445" s="1" t="s">
        <v>17213</v>
      </c>
      <c r="D1445" s="1" t="s">
        <v>17214</v>
      </c>
      <c r="E1445" s="2" t="s">
        <v>17215</v>
      </c>
      <c r="F1445" s="1">
        <v>997.0</v>
      </c>
      <c r="G1445" s="1">
        <v>1004.0</v>
      </c>
      <c r="H1445" s="1" t="s">
        <v>17059</v>
      </c>
      <c r="I1445" s="1" t="s">
        <v>17216</v>
      </c>
      <c r="J1445" s="1" t="s">
        <v>17217</v>
      </c>
      <c r="K1445" s="1"/>
      <c r="L1445" s="1" t="s">
        <v>17218</v>
      </c>
      <c r="M1445" s="1" t="s">
        <v>16443</v>
      </c>
      <c r="N1445" s="1" t="s">
        <v>17219</v>
      </c>
    </row>
    <row r="1446">
      <c r="A1446" s="1" t="s">
        <v>17</v>
      </c>
      <c r="B1446" s="1">
        <v>2006.0</v>
      </c>
      <c r="C1446" s="1" t="s">
        <v>17220</v>
      </c>
      <c r="D1446" s="1" t="s">
        <v>17221</v>
      </c>
      <c r="E1446" s="2" t="s">
        <v>17222</v>
      </c>
      <c r="F1446" s="1">
        <v>1045.0</v>
      </c>
      <c r="G1446" s="1">
        <v>1052.0</v>
      </c>
      <c r="H1446" s="1" t="s">
        <v>17059</v>
      </c>
      <c r="I1446" s="1" t="s">
        <v>17223</v>
      </c>
      <c r="J1446" s="1" t="s">
        <v>17224</v>
      </c>
      <c r="K1446" s="1"/>
      <c r="L1446" s="1" t="s">
        <v>17225</v>
      </c>
      <c r="M1446" s="1" t="s">
        <v>17226</v>
      </c>
      <c r="N1446" s="1" t="s">
        <v>17227</v>
      </c>
    </row>
    <row r="1447">
      <c r="A1447" s="1" t="s">
        <v>17</v>
      </c>
      <c r="B1447" s="1">
        <v>2006.0</v>
      </c>
      <c r="C1447" s="1" t="s">
        <v>17228</v>
      </c>
      <c r="D1447" s="1" t="s">
        <v>17229</v>
      </c>
      <c r="E1447" s="2" t="s">
        <v>17230</v>
      </c>
      <c r="F1447" s="1">
        <v>1329.0</v>
      </c>
      <c r="G1447" s="1">
        <v>1336.0</v>
      </c>
      <c r="H1447" s="1" t="s">
        <v>17059</v>
      </c>
      <c r="I1447" s="1" t="s">
        <v>17231</v>
      </c>
      <c r="J1447" s="1" t="s">
        <v>17232</v>
      </c>
      <c r="K1447" s="1"/>
      <c r="L1447" s="1" t="s">
        <v>17233</v>
      </c>
      <c r="M1447" s="1" t="s">
        <v>17234</v>
      </c>
      <c r="N1447" s="1" t="s">
        <v>17235</v>
      </c>
    </row>
    <row r="1448">
      <c r="A1448" s="1" t="s">
        <v>17</v>
      </c>
      <c r="B1448" s="1">
        <v>2006.0</v>
      </c>
      <c r="C1448" s="1" t="s">
        <v>17236</v>
      </c>
      <c r="D1448" s="1" t="s">
        <v>17237</v>
      </c>
      <c r="E1448" s="2" t="s">
        <v>17238</v>
      </c>
      <c r="F1448" s="1">
        <v>1299.0</v>
      </c>
      <c r="G1448" s="1">
        <v>1306.0</v>
      </c>
      <c r="H1448" s="1" t="s">
        <v>17059</v>
      </c>
      <c r="I1448" s="1" t="s">
        <v>17239</v>
      </c>
      <c r="J1448" s="1" t="s">
        <v>17240</v>
      </c>
      <c r="K1448" s="1"/>
      <c r="L1448" s="1" t="s">
        <v>17241</v>
      </c>
      <c r="M1448" s="1" t="s">
        <v>17242</v>
      </c>
      <c r="N1448" s="1" t="s">
        <v>17243</v>
      </c>
    </row>
    <row r="1449">
      <c r="A1449" s="1" t="s">
        <v>2137</v>
      </c>
      <c r="B1449" s="1">
        <v>2006.0</v>
      </c>
      <c r="C1449" s="1" t="s">
        <v>17080</v>
      </c>
      <c r="D1449" s="1" t="s">
        <v>17081</v>
      </c>
      <c r="E1449" s="2" t="s">
        <v>17244</v>
      </c>
      <c r="F1449" s="1">
        <v>773.0</v>
      </c>
      <c r="G1449" s="1">
        <v>780.0</v>
      </c>
      <c r="H1449" s="1" t="s">
        <v>17059</v>
      </c>
      <c r="I1449" s="1" t="s">
        <v>17082</v>
      </c>
      <c r="J1449" s="1" t="s">
        <v>17083</v>
      </c>
      <c r="K1449" s="1"/>
      <c r="L1449" s="1" t="s">
        <v>17245</v>
      </c>
      <c r="M1449" s="1"/>
      <c r="N1449" s="1" t="s">
        <v>17086</v>
      </c>
    </row>
    <row r="1450">
      <c r="A1450" s="1" t="s">
        <v>17</v>
      </c>
      <c r="B1450" s="1">
        <v>2006.0</v>
      </c>
      <c r="C1450" s="1" t="s">
        <v>17246</v>
      </c>
      <c r="D1450" s="1" t="s">
        <v>17247</v>
      </c>
      <c r="E1450" s="2" t="s">
        <v>17248</v>
      </c>
      <c r="F1450" s="1">
        <v>1109.0</v>
      </c>
      <c r="G1450" s="1">
        <v>1116.0</v>
      </c>
      <c r="H1450" s="1" t="s">
        <v>17059</v>
      </c>
      <c r="I1450" s="1" t="s">
        <v>17249</v>
      </c>
      <c r="J1450" s="1" t="s">
        <v>17250</v>
      </c>
      <c r="K1450" s="1"/>
      <c r="L1450" s="1" t="s">
        <v>17251</v>
      </c>
      <c r="M1450" s="1" t="s">
        <v>17252</v>
      </c>
      <c r="N1450" s="1" t="s">
        <v>17253</v>
      </c>
    </row>
    <row r="1451">
      <c r="A1451" s="1" t="s">
        <v>2137</v>
      </c>
      <c r="B1451" s="1">
        <v>2006.0</v>
      </c>
      <c r="C1451" s="1" t="s">
        <v>17087</v>
      </c>
      <c r="D1451" s="1" t="s">
        <v>17088</v>
      </c>
      <c r="E1451" s="2" t="s">
        <v>17254</v>
      </c>
      <c r="F1451" s="1">
        <v>717.0</v>
      </c>
      <c r="G1451" s="1">
        <v>724.0</v>
      </c>
      <c r="H1451" s="1" t="s">
        <v>17059</v>
      </c>
      <c r="I1451" s="1" t="s">
        <v>17255</v>
      </c>
      <c r="J1451" s="1" t="s">
        <v>17256</v>
      </c>
      <c r="K1451" s="1"/>
      <c r="L1451" s="1" t="s">
        <v>17442</v>
      </c>
      <c r="M1451" s="1" t="s">
        <v>17258</v>
      </c>
      <c r="N1451" s="1" t="s">
        <v>17259</v>
      </c>
    </row>
    <row r="1452">
      <c r="A1452" s="1" t="s">
        <v>17</v>
      </c>
      <c r="B1452" s="1">
        <v>2006.0</v>
      </c>
      <c r="C1452" s="1" t="s">
        <v>17444</v>
      </c>
      <c r="D1452" s="1" t="s">
        <v>17446</v>
      </c>
      <c r="E1452" s="2" t="s">
        <v>17447</v>
      </c>
      <c r="F1452" s="1">
        <v>1117.0</v>
      </c>
      <c r="G1452" s="1">
        <v>1124.0</v>
      </c>
      <c r="H1452" s="1" t="s">
        <v>17059</v>
      </c>
      <c r="I1452" s="1" t="s">
        <v>17463</v>
      </c>
      <c r="J1452" s="1" t="s">
        <v>17464</v>
      </c>
      <c r="K1452" s="1"/>
      <c r="L1452" s="1" t="s">
        <v>17465</v>
      </c>
      <c r="M1452" s="1"/>
      <c r="N1452" s="1" t="s">
        <v>17466</v>
      </c>
    </row>
    <row r="1453">
      <c r="A1453" s="1" t="s">
        <v>17</v>
      </c>
      <c r="B1453" s="1">
        <v>2006.0</v>
      </c>
      <c r="C1453" s="1" t="s">
        <v>17468</v>
      </c>
      <c r="D1453" s="1" t="s">
        <v>17470</v>
      </c>
      <c r="E1453" s="2" t="s">
        <v>17474</v>
      </c>
      <c r="F1453" s="1">
        <v>1077.0</v>
      </c>
      <c r="G1453" s="1">
        <v>1084.0</v>
      </c>
      <c r="H1453" s="1" t="s">
        <v>17059</v>
      </c>
      <c r="I1453" s="1" t="s">
        <v>17484</v>
      </c>
      <c r="J1453" s="1" t="s">
        <v>16995</v>
      </c>
      <c r="K1453" s="1"/>
      <c r="L1453" s="1" t="s">
        <v>15894</v>
      </c>
      <c r="M1453" s="1" t="s">
        <v>17485</v>
      </c>
      <c r="N1453" s="1" t="s">
        <v>17486</v>
      </c>
    </row>
    <row r="1454">
      <c r="A1454" s="1" t="s">
        <v>17</v>
      </c>
      <c r="B1454" s="1">
        <v>2006.0</v>
      </c>
      <c r="C1454" s="1" t="s">
        <v>17487</v>
      </c>
      <c r="D1454" s="1" t="s">
        <v>17488</v>
      </c>
      <c r="E1454" s="2" t="s">
        <v>17489</v>
      </c>
      <c r="F1454" s="1">
        <v>1337.0</v>
      </c>
      <c r="G1454" s="1">
        <v>1344.0</v>
      </c>
      <c r="H1454" s="1" t="s">
        <v>17059</v>
      </c>
      <c r="I1454" s="1" t="s">
        <v>17561</v>
      </c>
      <c r="J1454" s="1" t="s">
        <v>17562</v>
      </c>
      <c r="K1454" s="1"/>
      <c r="L1454" s="1" t="s">
        <v>14446</v>
      </c>
      <c r="M1454" s="1" t="s">
        <v>17564</v>
      </c>
      <c r="N1454" s="1" t="s">
        <v>17566</v>
      </c>
    </row>
    <row r="1455">
      <c r="A1455" s="1" t="s">
        <v>2137</v>
      </c>
      <c r="B1455" s="1">
        <v>2006.0</v>
      </c>
      <c r="C1455" s="1" t="s">
        <v>17260</v>
      </c>
      <c r="D1455" s="1" t="s">
        <v>17261</v>
      </c>
      <c r="E1455" s="2" t="s">
        <v>17567</v>
      </c>
      <c r="F1455" s="1">
        <v>797.0</v>
      </c>
      <c r="G1455" s="1">
        <v>804.0</v>
      </c>
      <c r="H1455" s="1" t="s">
        <v>17059</v>
      </c>
      <c r="I1455" s="1" t="s">
        <v>17262</v>
      </c>
      <c r="J1455" s="1" t="s">
        <v>17263</v>
      </c>
      <c r="K1455" s="1"/>
      <c r="L1455" s="1" t="s">
        <v>880</v>
      </c>
      <c r="M1455" s="1" t="s">
        <v>17265</v>
      </c>
      <c r="N1455" s="1" t="s">
        <v>17266</v>
      </c>
    </row>
    <row r="1456">
      <c r="A1456" s="1" t="s">
        <v>17</v>
      </c>
      <c r="B1456" s="1">
        <v>2006.0</v>
      </c>
      <c r="C1456" s="1" t="s">
        <v>17589</v>
      </c>
      <c r="D1456" s="1" t="s">
        <v>17590</v>
      </c>
      <c r="E1456" s="2" t="s">
        <v>17591</v>
      </c>
      <c r="F1456" s="1">
        <v>1245.0</v>
      </c>
      <c r="G1456" s="1">
        <v>1250.0</v>
      </c>
      <c r="H1456" s="1" t="s">
        <v>17059</v>
      </c>
      <c r="I1456" s="1" t="s">
        <v>17610</v>
      </c>
      <c r="J1456" s="1" t="s">
        <v>17611</v>
      </c>
      <c r="K1456" s="1"/>
      <c r="L1456" s="1" t="s">
        <v>17612</v>
      </c>
      <c r="M1456" s="1" t="s">
        <v>17613</v>
      </c>
      <c r="N1456" s="1" t="s">
        <v>17614</v>
      </c>
    </row>
    <row r="1457">
      <c r="A1457" s="1" t="s">
        <v>17</v>
      </c>
      <c r="B1457" s="1">
        <v>2006.0</v>
      </c>
      <c r="C1457" s="1" t="s">
        <v>17615</v>
      </c>
      <c r="D1457" s="1" t="s">
        <v>17616</v>
      </c>
      <c r="E1457" s="2" t="s">
        <v>17617</v>
      </c>
      <c r="F1457" s="1">
        <v>1069.0</v>
      </c>
      <c r="G1457" s="1">
        <v>1076.0</v>
      </c>
      <c r="H1457" s="1" t="s">
        <v>17059</v>
      </c>
      <c r="I1457" s="1" t="s">
        <v>17623</v>
      </c>
      <c r="J1457" s="1" t="s">
        <v>17624</v>
      </c>
      <c r="K1457" s="1"/>
      <c r="L1457" s="1" t="s">
        <v>17625</v>
      </c>
      <c r="M1457" s="1" t="s">
        <v>17626</v>
      </c>
      <c r="N1457" s="1" t="s">
        <v>17627</v>
      </c>
    </row>
    <row r="1458">
      <c r="A1458" s="1" t="s">
        <v>17</v>
      </c>
      <c r="B1458" s="1">
        <v>2006.0</v>
      </c>
      <c r="C1458" s="1" t="s">
        <v>17628</v>
      </c>
      <c r="D1458" s="1" t="s">
        <v>17629</v>
      </c>
      <c r="E1458" s="2" t="s">
        <v>17630</v>
      </c>
      <c r="F1458" s="1">
        <v>973.0</v>
      </c>
      <c r="G1458" s="1">
        <v>980.0</v>
      </c>
      <c r="H1458" s="1" t="s">
        <v>17059</v>
      </c>
      <c r="I1458" s="1" t="s">
        <v>17633</v>
      </c>
      <c r="J1458" s="1" t="s">
        <v>17634</v>
      </c>
      <c r="K1458" s="1"/>
      <c r="L1458" s="1" t="s">
        <v>17635</v>
      </c>
      <c r="M1458" s="1" t="s">
        <v>17636</v>
      </c>
      <c r="N1458" s="1" t="s">
        <v>17637</v>
      </c>
    </row>
    <row r="1459">
      <c r="A1459" s="1" t="s">
        <v>17</v>
      </c>
      <c r="B1459" s="1">
        <v>2006.0</v>
      </c>
      <c r="C1459" s="1" t="s">
        <v>17638</v>
      </c>
      <c r="D1459" s="1" t="s">
        <v>17639</v>
      </c>
      <c r="E1459" s="2" t="s">
        <v>17640</v>
      </c>
      <c r="F1459" s="1">
        <v>869.0</v>
      </c>
      <c r="G1459" s="1">
        <v>876.0</v>
      </c>
      <c r="H1459" s="1" t="s">
        <v>17059</v>
      </c>
      <c r="I1459" s="1" t="s">
        <v>17645</v>
      </c>
      <c r="J1459" s="1" t="s">
        <v>17646</v>
      </c>
      <c r="K1459" s="1"/>
      <c r="L1459" s="1" t="s">
        <v>17647</v>
      </c>
      <c r="M1459" s="1" t="s">
        <v>17648</v>
      </c>
      <c r="N1459" s="1" t="s">
        <v>17649</v>
      </c>
    </row>
    <row r="1460">
      <c r="A1460" s="1" t="s">
        <v>2137</v>
      </c>
      <c r="B1460" s="1">
        <v>2006.0</v>
      </c>
      <c r="C1460" s="1" t="s">
        <v>17267</v>
      </c>
      <c r="D1460" s="1" t="s">
        <v>17268</v>
      </c>
      <c r="E1460" s="2" t="s">
        <v>17650</v>
      </c>
      <c r="F1460" s="1">
        <v>741.0</v>
      </c>
      <c r="G1460" s="1">
        <v>748.0</v>
      </c>
      <c r="H1460" s="1" t="s">
        <v>17059</v>
      </c>
      <c r="I1460" s="1" t="s">
        <v>17269</v>
      </c>
      <c r="J1460" s="1" t="s">
        <v>17270</v>
      </c>
      <c r="K1460" s="1"/>
      <c r="L1460" s="1" t="s">
        <v>17654</v>
      </c>
      <c r="M1460" s="1" t="s">
        <v>17271</v>
      </c>
      <c r="N1460" s="1" t="s">
        <v>17272</v>
      </c>
      <c r="P1460" s="1"/>
      <c r="Q1460" s="1" t="s">
        <v>1264</v>
      </c>
    </row>
    <row r="1461">
      <c r="A1461" s="1" t="s">
        <v>17</v>
      </c>
      <c r="B1461" s="1">
        <v>2006.0</v>
      </c>
      <c r="C1461" s="1" t="s">
        <v>17655</v>
      </c>
      <c r="D1461" s="1" t="s">
        <v>17657</v>
      </c>
      <c r="E1461" s="2" t="s">
        <v>17659</v>
      </c>
      <c r="F1461" s="1">
        <v>1021.0</v>
      </c>
      <c r="G1461" s="1">
        <v>1028.0</v>
      </c>
      <c r="H1461" s="1" t="s">
        <v>17059</v>
      </c>
      <c r="I1461" s="1" t="s">
        <v>17661</v>
      </c>
      <c r="J1461" s="1" t="s">
        <v>17662</v>
      </c>
      <c r="K1461" s="1"/>
      <c r="L1461" s="1" t="s">
        <v>17663</v>
      </c>
      <c r="M1461" s="1" t="s">
        <v>17664</v>
      </c>
      <c r="N1461" s="1" t="s">
        <v>17665</v>
      </c>
    </row>
    <row r="1462">
      <c r="A1462" s="1" t="s">
        <v>17</v>
      </c>
      <c r="B1462" s="1">
        <v>2006.0</v>
      </c>
      <c r="C1462" s="1" t="s">
        <v>17666</v>
      </c>
      <c r="D1462" s="1" t="s">
        <v>17668</v>
      </c>
      <c r="E1462" s="2" t="s">
        <v>17671</v>
      </c>
      <c r="F1462" s="1">
        <v>1205.0</v>
      </c>
      <c r="G1462" s="1">
        <v>1212.0</v>
      </c>
      <c r="H1462" s="1" t="s">
        <v>17059</v>
      </c>
      <c r="I1462" s="1" t="s">
        <v>17674</v>
      </c>
      <c r="J1462" s="1" t="s">
        <v>17675</v>
      </c>
      <c r="K1462" s="1"/>
      <c r="L1462" s="1" t="s">
        <v>17676</v>
      </c>
      <c r="M1462" s="1" t="s">
        <v>17677</v>
      </c>
      <c r="N1462" s="1" t="s">
        <v>17678</v>
      </c>
    </row>
    <row r="1463">
      <c r="A1463" s="1" t="s">
        <v>17</v>
      </c>
      <c r="B1463" s="1">
        <v>2006.0</v>
      </c>
      <c r="C1463" s="1" t="s">
        <v>17680</v>
      </c>
      <c r="D1463" s="1" t="s">
        <v>17681</v>
      </c>
      <c r="E1463" s="2" t="s">
        <v>17682</v>
      </c>
      <c r="F1463" s="1">
        <v>1061.0</v>
      </c>
      <c r="G1463" s="1">
        <v>1068.0</v>
      </c>
      <c r="H1463" s="1" t="s">
        <v>17059</v>
      </c>
      <c r="I1463" s="1" t="s">
        <v>17684</v>
      </c>
      <c r="J1463" s="1" t="s">
        <v>17685</v>
      </c>
      <c r="K1463" s="1"/>
      <c r="L1463" s="1" t="s">
        <v>17686</v>
      </c>
      <c r="M1463" s="1" t="s">
        <v>17687</v>
      </c>
      <c r="N1463" s="1" t="s">
        <v>17688</v>
      </c>
    </row>
    <row r="1464">
      <c r="A1464" s="1" t="s">
        <v>17</v>
      </c>
      <c r="B1464" s="1">
        <v>2006.0</v>
      </c>
      <c r="C1464" s="1" t="s">
        <v>17689</v>
      </c>
      <c r="D1464" s="1" t="s">
        <v>17690</v>
      </c>
      <c r="E1464" s="2" t="s">
        <v>17691</v>
      </c>
      <c r="F1464" s="1">
        <v>1181.0</v>
      </c>
      <c r="G1464" s="1">
        <v>1188.0</v>
      </c>
      <c r="H1464" s="1" t="s">
        <v>17059</v>
      </c>
      <c r="I1464" s="1" t="s">
        <v>17695</v>
      </c>
      <c r="J1464" s="1" t="s">
        <v>17697</v>
      </c>
      <c r="K1464" s="1"/>
      <c r="L1464" s="1" t="s">
        <v>17698</v>
      </c>
      <c r="M1464" s="1" t="s">
        <v>17699</v>
      </c>
      <c r="N1464" s="1" t="s">
        <v>17700</v>
      </c>
    </row>
    <row r="1465">
      <c r="A1465" s="1" t="s">
        <v>17</v>
      </c>
      <c r="B1465" s="1">
        <v>2006.0</v>
      </c>
      <c r="C1465" s="1" t="s">
        <v>17701</v>
      </c>
      <c r="D1465" s="1" t="s">
        <v>17702</v>
      </c>
      <c r="E1465" s="2" t="s">
        <v>17703</v>
      </c>
      <c r="F1465" s="1">
        <v>933.0</v>
      </c>
      <c r="G1465" s="1">
        <v>940.0</v>
      </c>
      <c r="H1465" s="1" t="s">
        <v>17059</v>
      </c>
      <c r="I1465" s="1" t="s">
        <v>17705</v>
      </c>
      <c r="J1465" s="1" t="s">
        <v>17707</v>
      </c>
      <c r="K1465" s="1"/>
      <c r="L1465" s="1" t="s">
        <v>17709</v>
      </c>
      <c r="M1465" s="1" t="s">
        <v>17710</v>
      </c>
      <c r="N1465" s="1" t="s">
        <v>17711</v>
      </c>
    </row>
    <row r="1466">
      <c r="A1466" s="1" t="s">
        <v>17</v>
      </c>
      <c r="B1466" s="1">
        <v>2006.0</v>
      </c>
      <c r="C1466" s="1" t="s">
        <v>17712</v>
      </c>
      <c r="D1466" s="1" t="s">
        <v>17713</v>
      </c>
      <c r="E1466" s="2" t="s">
        <v>17714</v>
      </c>
      <c r="F1466" s="1">
        <v>1267.0</v>
      </c>
      <c r="G1466" s="1">
        <v>1274.0</v>
      </c>
      <c r="H1466" s="1" t="s">
        <v>17059</v>
      </c>
      <c r="I1466" s="1" t="s">
        <v>17716</v>
      </c>
      <c r="J1466" s="1" t="s">
        <v>17717</v>
      </c>
      <c r="K1466" s="1"/>
      <c r="L1466" s="1" t="s">
        <v>17718</v>
      </c>
      <c r="M1466" s="1" t="s">
        <v>17719</v>
      </c>
      <c r="N1466" s="1" t="s">
        <v>17720</v>
      </c>
    </row>
    <row r="1467">
      <c r="A1467" s="1" t="s">
        <v>17</v>
      </c>
      <c r="B1467" s="1">
        <v>2006.0</v>
      </c>
      <c r="C1467" s="1" t="s">
        <v>17721</v>
      </c>
      <c r="D1467" s="1" t="s">
        <v>17722</v>
      </c>
      <c r="E1467" s="2" t="s">
        <v>17723</v>
      </c>
      <c r="F1467" s="1">
        <v>1229.0</v>
      </c>
      <c r="G1467" s="1">
        <v>1236.0</v>
      </c>
      <c r="H1467" s="1" t="s">
        <v>17059</v>
      </c>
      <c r="I1467" s="1" t="s">
        <v>17728</v>
      </c>
      <c r="J1467" s="1" t="s">
        <v>17729</v>
      </c>
      <c r="K1467" s="1"/>
      <c r="L1467" s="1" t="s">
        <v>17731</v>
      </c>
      <c r="M1467" s="1" t="s">
        <v>17734</v>
      </c>
      <c r="N1467" s="1" t="s">
        <v>17736</v>
      </c>
    </row>
    <row r="1468">
      <c r="A1468" s="1" t="s">
        <v>17</v>
      </c>
      <c r="B1468" s="1">
        <v>2006.0</v>
      </c>
      <c r="C1468" s="1" t="s">
        <v>17737</v>
      </c>
      <c r="D1468" s="1" t="s">
        <v>17738</v>
      </c>
      <c r="E1468" s="2" t="s">
        <v>17739</v>
      </c>
      <c r="F1468" s="1">
        <v>1149.0</v>
      </c>
      <c r="G1468" s="1">
        <v>1156.0</v>
      </c>
      <c r="H1468" s="1" t="s">
        <v>17059</v>
      </c>
      <c r="I1468" s="1" t="s">
        <v>17741</v>
      </c>
      <c r="J1468" s="1" t="s">
        <v>17742</v>
      </c>
      <c r="K1468" s="1"/>
      <c r="L1468" s="1" t="s">
        <v>17743</v>
      </c>
      <c r="M1468" s="1" t="s">
        <v>17745</v>
      </c>
      <c r="N1468" s="1" t="s">
        <v>17747</v>
      </c>
    </row>
    <row r="1469">
      <c r="A1469" s="1" t="s">
        <v>2137</v>
      </c>
      <c r="B1469" s="1">
        <v>2006.0</v>
      </c>
      <c r="C1469" s="1" t="s">
        <v>17273</v>
      </c>
      <c r="D1469" s="1" t="s">
        <v>17274</v>
      </c>
      <c r="E1469" s="2" t="s">
        <v>17756</v>
      </c>
      <c r="F1469" s="1">
        <v>821.0</v>
      </c>
      <c r="G1469" s="1">
        <v>828.0</v>
      </c>
      <c r="H1469" s="1" t="s">
        <v>17059</v>
      </c>
      <c r="I1469" s="1" t="s">
        <v>17760</v>
      </c>
      <c r="J1469" s="1" t="s">
        <v>17276</v>
      </c>
      <c r="K1469" s="1"/>
      <c r="L1469" s="1" t="s">
        <v>17762</v>
      </c>
      <c r="M1469" s="1" t="s">
        <v>15955</v>
      </c>
      <c r="N1469" s="1" t="s">
        <v>17278</v>
      </c>
    </row>
    <row r="1470">
      <c r="A1470" s="1" t="s">
        <v>17</v>
      </c>
      <c r="B1470" s="1">
        <v>2006.0</v>
      </c>
      <c r="C1470" s="1" t="s">
        <v>17765</v>
      </c>
      <c r="D1470" s="1" t="s">
        <v>17766</v>
      </c>
      <c r="E1470" s="2" t="s">
        <v>17767</v>
      </c>
      <c r="F1470" s="1">
        <v>1283.0</v>
      </c>
      <c r="G1470" s="1">
        <v>1290.0</v>
      </c>
      <c r="H1470" s="1" t="s">
        <v>17059</v>
      </c>
      <c r="I1470" s="1" t="s">
        <v>17771</v>
      </c>
      <c r="J1470" s="1" t="s">
        <v>17772</v>
      </c>
      <c r="K1470" s="1"/>
      <c r="L1470" s="1" t="s">
        <v>17773</v>
      </c>
      <c r="M1470" s="1" t="s">
        <v>17774</v>
      </c>
      <c r="N1470" s="1" t="s">
        <v>17776</v>
      </c>
    </row>
    <row r="1471">
      <c r="A1471" s="1" t="s">
        <v>17</v>
      </c>
      <c r="B1471" s="1">
        <v>2006.0</v>
      </c>
      <c r="C1471" s="1" t="s">
        <v>17778</v>
      </c>
      <c r="D1471" s="1" t="s">
        <v>17779</v>
      </c>
      <c r="E1471" s="2" t="s">
        <v>17780</v>
      </c>
      <c r="F1471" s="1">
        <v>885.0</v>
      </c>
      <c r="G1471" s="1">
        <v>892.0</v>
      </c>
      <c r="H1471" s="1" t="s">
        <v>17059</v>
      </c>
      <c r="I1471" s="1" t="s">
        <v>17781</v>
      </c>
      <c r="J1471" s="1" t="s">
        <v>17782</v>
      </c>
      <c r="K1471" s="1"/>
      <c r="L1471" s="1" t="s">
        <v>17783</v>
      </c>
      <c r="M1471" s="1" t="s">
        <v>17784</v>
      </c>
      <c r="N1471" s="1" t="s">
        <v>17785</v>
      </c>
    </row>
    <row r="1472">
      <c r="A1472" s="1" t="s">
        <v>17</v>
      </c>
      <c r="B1472" s="1">
        <v>2006.0</v>
      </c>
      <c r="C1472" s="1" t="s">
        <v>17786</v>
      </c>
      <c r="D1472" s="1" t="s">
        <v>17787</v>
      </c>
      <c r="E1472" s="2" t="s">
        <v>17788</v>
      </c>
      <c r="F1472" s="1">
        <v>1029.0</v>
      </c>
      <c r="G1472" s="1">
        <v>1036.0</v>
      </c>
      <c r="H1472" s="1" t="s">
        <v>17059</v>
      </c>
      <c r="I1472" s="1" t="s">
        <v>17792</v>
      </c>
      <c r="J1472" s="1" t="s">
        <v>17793</v>
      </c>
      <c r="K1472" s="1"/>
      <c r="L1472" s="1" t="s">
        <v>17794</v>
      </c>
      <c r="M1472" s="1" t="s">
        <v>17795</v>
      </c>
      <c r="N1472" s="1" t="s">
        <v>17796</v>
      </c>
    </row>
    <row r="1473">
      <c r="A1473" s="1" t="s">
        <v>2137</v>
      </c>
      <c r="B1473" s="1">
        <v>2006.0</v>
      </c>
      <c r="C1473" s="1" t="s">
        <v>17279</v>
      </c>
      <c r="D1473" s="1" t="s">
        <v>17280</v>
      </c>
      <c r="E1473" s="2" t="s">
        <v>17800</v>
      </c>
      <c r="F1473" s="1">
        <v>677.0</v>
      </c>
      <c r="G1473" s="1">
        <v>684.0</v>
      </c>
      <c r="H1473" s="1" t="s">
        <v>17059</v>
      </c>
      <c r="I1473" s="1" t="s">
        <v>17281</v>
      </c>
      <c r="J1473" s="1" t="s">
        <v>17282</v>
      </c>
      <c r="K1473" s="1"/>
      <c r="L1473" s="1" t="s">
        <v>17818</v>
      </c>
      <c r="M1473" s="1" t="s">
        <v>14478</v>
      </c>
      <c r="N1473" s="1" t="s">
        <v>17285</v>
      </c>
    </row>
    <row r="1474">
      <c r="A1474" s="1" t="s">
        <v>2137</v>
      </c>
      <c r="B1474" s="1">
        <v>2006.0</v>
      </c>
      <c r="C1474" s="1" t="s">
        <v>17286</v>
      </c>
      <c r="D1474" s="1" t="s">
        <v>17287</v>
      </c>
      <c r="E1474" s="2" t="s">
        <v>17821</v>
      </c>
      <c r="F1474" s="1">
        <v>709.0</v>
      </c>
      <c r="G1474" s="1">
        <v>716.0</v>
      </c>
      <c r="H1474" s="1" t="s">
        <v>17059</v>
      </c>
      <c r="I1474" s="1" t="s">
        <v>17288</v>
      </c>
      <c r="J1474" s="1" t="s">
        <v>17289</v>
      </c>
      <c r="K1474" s="1"/>
      <c r="L1474" s="1" t="s">
        <v>17836</v>
      </c>
      <c r="M1474" s="1" t="s">
        <v>17292</v>
      </c>
      <c r="N1474" s="1" t="s">
        <v>17293</v>
      </c>
    </row>
    <row r="1475">
      <c r="A1475" s="1" t="s">
        <v>17</v>
      </c>
      <c r="B1475" s="1">
        <v>2006.0</v>
      </c>
      <c r="C1475" s="1" t="s">
        <v>17803</v>
      </c>
      <c r="D1475" s="1" t="s">
        <v>17804</v>
      </c>
      <c r="E1475" s="2" t="s">
        <v>17838</v>
      </c>
      <c r="F1475" s="1">
        <v>1213.0</v>
      </c>
      <c r="G1475" s="1">
        <v>1220.0</v>
      </c>
      <c r="H1475" s="1" t="s">
        <v>17059</v>
      </c>
      <c r="I1475" s="1" t="s">
        <v>17805</v>
      </c>
      <c r="J1475" s="1" t="s">
        <v>17806</v>
      </c>
      <c r="K1475" s="1"/>
      <c r="L1475" s="1" t="s">
        <v>17612</v>
      </c>
      <c r="M1475" s="1" t="s">
        <v>17809</v>
      </c>
      <c r="N1475" s="1" t="s">
        <v>17810</v>
      </c>
    </row>
    <row r="1476">
      <c r="A1476" s="1" t="s">
        <v>2137</v>
      </c>
      <c r="B1476" s="1">
        <v>2006.0</v>
      </c>
      <c r="C1476" s="1" t="s">
        <v>17294</v>
      </c>
      <c r="D1476" s="1" t="s">
        <v>17295</v>
      </c>
      <c r="E1476" s="2" t="s">
        <v>17857</v>
      </c>
      <c r="F1476" s="1">
        <v>701.0</v>
      </c>
      <c r="G1476" s="1">
        <v>708.0</v>
      </c>
      <c r="H1476" s="1" t="s">
        <v>17059</v>
      </c>
      <c r="I1476" s="1" t="s">
        <v>17296</v>
      </c>
      <c r="J1476" s="1" t="s">
        <v>17297</v>
      </c>
      <c r="K1476" s="1"/>
      <c r="L1476" s="1" t="s">
        <v>15923</v>
      </c>
      <c r="M1476" s="1"/>
      <c r="N1476" s="1" t="s">
        <v>17299</v>
      </c>
    </row>
    <row r="1477">
      <c r="A1477" s="1" t="s">
        <v>17</v>
      </c>
      <c r="B1477" s="1">
        <v>2006.0</v>
      </c>
      <c r="C1477" s="1" t="s">
        <v>17811</v>
      </c>
      <c r="D1477" s="1" t="s">
        <v>17812</v>
      </c>
      <c r="E1477" s="2" t="s">
        <v>17869</v>
      </c>
      <c r="F1477" s="1">
        <v>909.0</v>
      </c>
      <c r="G1477" s="1">
        <v>916.0</v>
      </c>
      <c r="H1477" s="1" t="s">
        <v>17059</v>
      </c>
      <c r="I1477" s="1" t="s">
        <v>17813</v>
      </c>
      <c r="J1477" s="1" t="s">
        <v>17814</v>
      </c>
      <c r="K1477" s="1"/>
      <c r="L1477" s="1" t="s">
        <v>17794</v>
      </c>
      <c r="M1477" s="1" t="s">
        <v>17816</v>
      </c>
      <c r="N1477" s="1" t="s">
        <v>17817</v>
      </c>
    </row>
    <row r="1478">
      <c r="A1478" s="1" t="s">
        <v>17</v>
      </c>
      <c r="B1478" s="1">
        <v>2006.0</v>
      </c>
      <c r="C1478" s="1" t="s">
        <v>17819</v>
      </c>
      <c r="D1478" s="1" t="s">
        <v>17820</v>
      </c>
      <c r="E1478" s="2" t="s">
        <v>17882</v>
      </c>
      <c r="F1478" s="1">
        <v>917.0</v>
      </c>
      <c r="G1478" s="1">
        <v>924.0</v>
      </c>
      <c r="H1478" s="1" t="s">
        <v>17059</v>
      </c>
      <c r="I1478" s="1" t="s">
        <v>17822</v>
      </c>
      <c r="J1478" s="1" t="s">
        <v>17823</v>
      </c>
      <c r="K1478" s="1"/>
      <c r="L1478" s="1" t="s">
        <v>17883</v>
      </c>
      <c r="M1478" s="1" t="s">
        <v>17825</v>
      </c>
      <c r="N1478" s="1" t="s">
        <v>17826</v>
      </c>
    </row>
    <row r="1479">
      <c r="A1479" s="1" t="s">
        <v>2137</v>
      </c>
      <c r="B1479" s="1">
        <v>2006.0</v>
      </c>
      <c r="C1479" s="1" t="s">
        <v>17300</v>
      </c>
      <c r="D1479" s="1" t="s">
        <v>17301</v>
      </c>
      <c r="E1479" s="2" t="s">
        <v>17884</v>
      </c>
      <c r="F1479" s="1">
        <v>733.0</v>
      </c>
      <c r="G1479" s="1">
        <v>740.0</v>
      </c>
      <c r="H1479" s="1" t="s">
        <v>17059</v>
      </c>
      <c r="I1479" s="1" t="s">
        <v>17302</v>
      </c>
      <c r="J1479" s="1" t="s">
        <v>17303</v>
      </c>
      <c r="K1479" s="1"/>
      <c r="L1479" s="1" t="s">
        <v>14236</v>
      </c>
      <c r="M1479" s="1" t="s">
        <v>17305</v>
      </c>
      <c r="N1479" s="1" t="s">
        <v>17306</v>
      </c>
    </row>
    <row r="1480">
      <c r="A1480" s="1" t="s">
        <v>17</v>
      </c>
      <c r="B1480" s="1">
        <v>2006.0</v>
      </c>
      <c r="C1480" s="1" t="s">
        <v>17827</v>
      </c>
      <c r="D1480" s="1" t="s">
        <v>17828</v>
      </c>
      <c r="E1480" s="2" t="s">
        <v>17885</v>
      </c>
      <c r="F1480" s="1">
        <v>1141.0</v>
      </c>
      <c r="G1480" s="1">
        <v>1148.0</v>
      </c>
      <c r="H1480" s="1" t="s">
        <v>17059</v>
      </c>
      <c r="I1480" s="1" t="s">
        <v>17829</v>
      </c>
      <c r="J1480" s="1" t="s">
        <v>17830</v>
      </c>
      <c r="K1480" s="1"/>
      <c r="L1480" s="1" t="s">
        <v>17886</v>
      </c>
      <c r="M1480" s="1" t="s">
        <v>17832</v>
      </c>
      <c r="N1480" s="1" t="s">
        <v>17833</v>
      </c>
    </row>
    <row r="1481">
      <c r="A1481" s="1" t="s">
        <v>17</v>
      </c>
      <c r="B1481" s="1">
        <v>2006.0</v>
      </c>
      <c r="C1481" s="1" t="s">
        <v>17834</v>
      </c>
      <c r="D1481" s="1" t="s">
        <v>17835</v>
      </c>
      <c r="E1481" s="2" t="s">
        <v>17887</v>
      </c>
      <c r="F1481" s="1">
        <v>1259.0</v>
      </c>
      <c r="G1481" s="1">
        <v>1266.0</v>
      </c>
      <c r="H1481" s="1" t="s">
        <v>17059</v>
      </c>
      <c r="I1481" s="1" t="s">
        <v>17837</v>
      </c>
      <c r="J1481" s="1" t="s">
        <v>17839</v>
      </c>
      <c r="K1481" s="1"/>
      <c r="L1481" s="1" t="s">
        <v>17888</v>
      </c>
      <c r="M1481" s="1" t="s">
        <v>17842</v>
      </c>
      <c r="N1481" s="1" t="s">
        <v>17843</v>
      </c>
    </row>
    <row r="1482">
      <c r="A1482" s="1" t="s">
        <v>17</v>
      </c>
      <c r="B1482" s="1">
        <v>2006.0</v>
      </c>
      <c r="C1482" s="1" t="s">
        <v>17844</v>
      </c>
      <c r="D1482" s="1" t="s">
        <v>17845</v>
      </c>
      <c r="E1482" s="2" t="s">
        <v>17889</v>
      </c>
      <c r="F1482" s="1">
        <v>1221.0</v>
      </c>
      <c r="G1482" s="1">
        <v>1228.0</v>
      </c>
      <c r="H1482" s="1" t="s">
        <v>17059</v>
      </c>
      <c r="I1482" s="1" t="s">
        <v>17846</v>
      </c>
      <c r="J1482" s="1" t="s">
        <v>17847</v>
      </c>
      <c r="K1482" s="1"/>
      <c r="L1482" s="1" t="s">
        <v>17890</v>
      </c>
      <c r="M1482" s="1" t="s">
        <v>17849</v>
      </c>
      <c r="N1482" s="1" t="s">
        <v>17850</v>
      </c>
    </row>
    <row r="1483">
      <c r="A1483" s="1" t="s">
        <v>17</v>
      </c>
      <c r="B1483" s="1">
        <v>2006.0</v>
      </c>
      <c r="C1483" s="1" t="s">
        <v>17851</v>
      </c>
      <c r="D1483" s="1" t="s">
        <v>17852</v>
      </c>
      <c r="E1483" s="2" t="s">
        <v>17891</v>
      </c>
      <c r="F1483" s="1">
        <v>893.0</v>
      </c>
      <c r="G1483" s="1">
        <v>900.0</v>
      </c>
      <c r="H1483" s="1" t="s">
        <v>17059</v>
      </c>
      <c r="I1483" s="1" t="s">
        <v>17853</v>
      </c>
      <c r="J1483" s="1" t="s">
        <v>17854</v>
      </c>
      <c r="K1483" s="1"/>
      <c r="L1483" s="1" t="s">
        <v>17892</v>
      </c>
      <c r="M1483" s="1" t="s">
        <v>17856</v>
      </c>
      <c r="N1483" s="1" t="s">
        <v>17858</v>
      </c>
    </row>
    <row r="1484">
      <c r="A1484" s="1" t="s">
        <v>17</v>
      </c>
      <c r="B1484" s="1">
        <v>2006.0</v>
      </c>
      <c r="C1484" s="1" t="s">
        <v>17859</v>
      </c>
      <c r="D1484" s="1" t="s">
        <v>17860</v>
      </c>
      <c r="E1484" s="2" t="s">
        <v>17893</v>
      </c>
      <c r="F1484" s="1">
        <v>1307.0</v>
      </c>
      <c r="G1484" s="1">
        <v>1314.0</v>
      </c>
      <c r="H1484" s="1" t="s">
        <v>17059</v>
      </c>
      <c r="I1484" s="1" t="s">
        <v>17861</v>
      </c>
      <c r="J1484" s="1" t="s">
        <v>17894</v>
      </c>
      <c r="K1484" s="1"/>
      <c r="L1484" s="1" t="s">
        <v>17895</v>
      </c>
      <c r="M1484" s="1" t="s">
        <v>17865</v>
      </c>
      <c r="N1484" s="1" t="s">
        <v>17866</v>
      </c>
    </row>
    <row r="1485">
      <c r="A1485" s="1" t="s">
        <v>17</v>
      </c>
      <c r="B1485" s="1">
        <v>2006.0</v>
      </c>
      <c r="C1485" s="1" t="s">
        <v>17867</v>
      </c>
      <c r="D1485" s="1" t="s">
        <v>17868</v>
      </c>
      <c r="E1485" s="2" t="s">
        <v>17896</v>
      </c>
      <c r="F1485" s="1">
        <v>877.0</v>
      </c>
      <c r="G1485" s="1">
        <v>884.0</v>
      </c>
      <c r="H1485" s="1" t="s">
        <v>17059</v>
      </c>
      <c r="I1485" s="1" t="s">
        <v>17870</v>
      </c>
      <c r="J1485" s="1" t="s">
        <v>17871</v>
      </c>
      <c r="K1485" s="1"/>
      <c r="L1485" s="1" t="s">
        <v>17897</v>
      </c>
      <c r="M1485" s="1" t="s">
        <v>17873</v>
      </c>
      <c r="N1485" s="1" t="s">
        <v>17874</v>
      </c>
    </row>
    <row r="1486">
      <c r="A1486" s="1" t="s">
        <v>17</v>
      </c>
      <c r="B1486" s="1">
        <v>2006.0</v>
      </c>
      <c r="C1486" s="1" t="s">
        <v>17875</v>
      </c>
      <c r="D1486" s="1" t="s">
        <v>17876</v>
      </c>
      <c r="E1486" s="2" t="s">
        <v>17898</v>
      </c>
      <c r="F1486" s="1">
        <v>1315.0</v>
      </c>
      <c r="G1486" s="1">
        <v>1322.0</v>
      </c>
      <c r="H1486" s="1" t="s">
        <v>17059</v>
      </c>
      <c r="I1486" s="1" t="s">
        <v>17877</v>
      </c>
      <c r="J1486" s="1" t="s">
        <v>17899</v>
      </c>
      <c r="K1486" s="1"/>
      <c r="L1486" s="1" t="s">
        <v>17900</v>
      </c>
      <c r="M1486" s="1" t="s">
        <v>17880</v>
      </c>
      <c r="N1486" s="1" t="s">
        <v>17881</v>
      </c>
    </row>
    <row r="1487">
      <c r="A1487" s="1" t="s">
        <v>17</v>
      </c>
      <c r="B1487" s="1">
        <v>2006.0</v>
      </c>
      <c r="C1487" s="1" t="s">
        <v>17901</v>
      </c>
      <c r="D1487" s="1" t="s">
        <v>17902</v>
      </c>
      <c r="E1487" s="2" t="s">
        <v>17903</v>
      </c>
      <c r="F1487" s="1">
        <v>925.0</v>
      </c>
      <c r="G1487" s="1">
        <v>932.0</v>
      </c>
      <c r="H1487" s="1" t="s">
        <v>17059</v>
      </c>
      <c r="I1487" s="1" t="s">
        <v>17904</v>
      </c>
      <c r="J1487" s="1" t="s">
        <v>17905</v>
      </c>
      <c r="K1487" s="1"/>
      <c r="L1487" s="1" t="s">
        <v>17906</v>
      </c>
      <c r="M1487" s="1" t="s">
        <v>17907</v>
      </c>
      <c r="N1487" s="1" t="s">
        <v>17908</v>
      </c>
    </row>
    <row r="1488">
      <c r="A1488" s="1" t="s">
        <v>17</v>
      </c>
      <c r="B1488" s="1">
        <v>2006.0</v>
      </c>
      <c r="C1488" s="1" t="s">
        <v>17909</v>
      </c>
      <c r="D1488" s="1" t="s">
        <v>17910</v>
      </c>
      <c r="E1488" s="2" t="s">
        <v>17911</v>
      </c>
      <c r="F1488" s="1">
        <v>1291.0</v>
      </c>
      <c r="G1488" s="1">
        <v>1298.0</v>
      </c>
      <c r="H1488" s="1" t="s">
        <v>17059</v>
      </c>
      <c r="I1488" s="1" t="s">
        <v>17912</v>
      </c>
      <c r="J1488" s="1" t="s">
        <v>17913</v>
      </c>
      <c r="K1488" s="1"/>
      <c r="L1488" s="1" t="s">
        <v>17914</v>
      </c>
      <c r="M1488" s="1" t="s">
        <v>17915</v>
      </c>
      <c r="N1488" s="1" t="s">
        <v>17916</v>
      </c>
    </row>
    <row r="1489">
      <c r="A1489" s="1" t="s">
        <v>17</v>
      </c>
      <c r="B1489" s="1">
        <v>2006.0</v>
      </c>
      <c r="C1489" s="1" t="s">
        <v>17917</v>
      </c>
      <c r="D1489" s="1" t="s">
        <v>17918</v>
      </c>
      <c r="E1489" s="2" t="s">
        <v>17919</v>
      </c>
      <c r="F1489" s="1">
        <v>1005.0</v>
      </c>
      <c r="G1489" s="1">
        <v>1012.0</v>
      </c>
      <c r="H1489" s="1" t="s">
        <v>17059</v>
      </c>
      <c r="I1489" s="1" t="s">
        <v>17920</v>
      </c>
      <c r="J1489" s="1" t="s">
        <v>17921</v>
      </c>
      <c r="K1489" s="1"/>
      <c r="L1489" s="1" t="s">
        <v>17922</v>
      </c>
      <c r="M1489" s="1"/>
      <c r="N1489" s="1" t="s">
        <v>17923</v>
      </c>
    </row>
    <row r="1490">
      <c r="A1490" s="1" t="s">
        <v>2137</v>
      </c>
      <c r="B1490" s="1">
        <v>2006.0</v>
      </c>
      <c r="C1490" s="1" t="s">
        <v>17307</v>
      </c>
      <c r="D1490" s="1" t="s">
        <v>17308</v>
      </c>
      <c r="E1490" s="2" t="s">
        <v>17924</v>
      </c>
      <c r="F1490" s="1">
        <v>813.0</v>
      </c>
      <c r="G1490" s="1">
        <v>820.0</v>
      </c>
      <c r="H1490" s="1" t="s">
        <v>17059</v>
      </c>
      <c r="I1490" s="1" t="s">
        <v>17309</v>
      </c>
      <c r="J1490" s="1" t="s">
        <v>17310</v>
      </c>
      <c r="K1490" s="1"/>
      <c r="L1490" s="1" t="s">
        <v>17925</v>
      </c>
      <c r="M1490" s="1" t="s">
        <v>3293</v>
      </c>
      <c r="N1490" s="1" t="s">
        <v>17313</v>
      </c>
    </row>
    <row r="1491">
      <c r="A1491" s="1" t="s">
        <v>2137</v>
      </c>
      <c r="B1491" s="1">
        <v>2006.0</v>
      </c>
      <c r="C1491" s="1" t="s">
        <v>17314</v>
      </c>
      <c r="D1491" s="1" t="s">
        <v>17315</v>
      </c>
      <c r="E1491" s="2" t="s">
        <v>17926</v>
      </c>
      <c r="F1491" s="1">
        <v>853.0</v>
      </c>
      <c r="G1491" s="1">
        <v>860.0</v>
      </c>
      <c r="H1491" s="1" t="s">
        <v>17059</v>
      </c>
      <c r="I1491" s="1" t="s">
        <v>17316</v>
      </c>
      <c r="J1491" s="1" t="s">
        <v>17297</v>
      </c>
      <c r="K1491" s="1"/>
      <c r="L1491" s="1" t="s">
        <v>15923</v>
      </c>
      <c r="M1491" s="1" t="s">
        <v>17318</v>
      </c>
      <c r="N1491" s="1" t="s">
        <v>17319</v>
      </c>
    </row>
    <row r="1492">
      <c r="A1492" s="1" t="s">
        <v>2137</v>
      </c>
      <c r="B1492" s="1">
        <v>2006.0</v>
      </c>
      <c r="C1492" s="1" t="s">
        <v>17320</v>
      </c>
      <c r="D1492" s="1" t="s">
        <v>17321</v>
      </c>
      <c r="E1492" s="2" t="s">
        <v>17927</v>
      </c>
      <c r="F1492" s="1">
        <v>765.0</v>
      </c>
      <c r="G1492" s="1">
        <v>772.0</v>
      </c>
      <c r="H1492" s="1" t="s">
        <v>17059</v>
      </c>
      <c r="I1492" s="1" t="s">
        <v>17322</v>
      </c>
      <c r="J1492" s="1" t="s">
        <v>17323</v>
      </c>
      <c r="K1492" s="1"/>
      <c r="L1492" s="1" t="s">
        <v>17928</v>
      </c>
      <c r="M1492" s="1"/>
      <c r="N1492" s="1" t="s">
        <v>17325</v>
      </c>
    </row>
    <row r="1493">
      <c r="A1493" s="1" t="s">
        <v>17</v>
      </c>
      <c r="B1493" s="1">
        <v>2006.0</v>
      </c>
      <c r="C1493" s="1" t="s">
        <v>17929</v>
      </c>
      <c r="D1493" s="1" t="s">
        <v>17930</v>
      </c>
      <c r="E1493" s="2" t="s">
        <v>17931</v>
      </c>
      <c r="F1493" s="1">
        <v>1133.0</v>
      </c>
      <c r="G1493" s="1">
        <v>1140.0</v>
      </c>
      <c r="H1493" s="1" t="s">
        <v>17059</v>
      </c>
      <c r="I1493" s="1" t="s">
        <v>17932</v>
      </c>
      <c r="J1493" s="1" t="s">
        <v>17933</v>
      </c>
      <c r="K1493" s="1"/>
      <c r="L1493" s="1" t="s">
        <v>17934</v>
      </c>
      <c r="M1493" s="1" t="s">
        <v>17935</v>
      </c>
      <c r="N1493" s="1" t="s">
        <v>17936</v>
      </c>
    </row>
    <row r="1494">
      <c r="A1494" s="1" t="s">
        <v>17</v>
      </c>
      <c r="B1494" s="1">
        <v>2006.0</v>
      </c>
      <c r="C1494" s="1" t="s">
        <v>17937</v>
      </c>
      <c r="D1494" s="1" t="s">
        <v>17938</v>
      </c>
      <c r="E1494" s="2" t="s">
        <v>17939</v>
      </c>
      <c r="F1494" s="1">
        <v>1197.0</v>
      </c>
      <c r="G1494" s="1">
        <v>1204.0</v>
      </c>
      <c r="H1494" s="1" t="s">
        <v>17059</v>
      </c>
      <c r="I1494" s="1" t="s">
        <v>17940</v>
      </c>
      <c r="J1494" s="1" t="s">
        <v>17941</v>
      </c>
      <c r="K1494" s="1"/>
      <c r="L1494" s="1" t="s">
        <v>17942</v>
      </c>
      <c r="M1494" s="1" t="s">
        <v>17943</v>
      </c>
      <c r="N1494" s="1" t="s">
        <v>17944</v>
      </c>
    </row>
    <row r="1495">
      <c r="A1495" s="1" t="s">
        <v>17</v>
      </c>
      <c r="B1495" s="1">
        <v>2006.0</v>
      </c>
      <c r="C1495" s="1" t="s">
        <v>17945</v>
      </c>
      <c r="D1495" s="1" t="s">
        <v>17946</v>
      </c>
      <c r="E1495" s="2" t="s">
        <v>17947</v>
      </c>
      <c r="F1495" s="1">
        <v>1323.0</v>
      </c>
      <c r="G1495" s="1">
        <v>1328.0</v>
      </c>
      <c r="H1495" s="1" t="s">
        <v>17059</v>
      </c>
      <c r="I1495" s="1" t="s">
        <v>17948</v>
      </c>
      <c r="J1495" s="1" t="s">
        <v>17949</v>
      </c>
      <c r="K1495" s="1"/>
      <c r="L1495" s="1" t="s">
        <v>880</v>
      </c>
      <c r="M1495" s="1" t="s">
        <v>17950</v>
      </c>
      <c r="N1495" s="1" t="s">
        <v>17951</v>
      </c>
    </row>
    <row r="1496">
      <c r="A1496" s="1" t="s">
        <v>17</v>
      </c>
      <c r="B1496" s="1">
        <v>2006.0</v>
      </c>
      <c r="C1496" s="1" t="s">
        <v>17952</v>
      </c>
      <c r="D1496" s="1" t="s">
        <v>17953</v>
      </c>
      <c r="E1496" s="2" t="s">
        <v>17954</v>
      </c>
      <c r="F1496" s="1">
        <v>1125.0</v>
      </c>
      <c r="G1496" s="1">
        <v>1132.0</v>
      </c>
      <c r="H1496" s="1" t="s">
        <v>17059</v>
      </c>
      <c r="I1496" s="1" t="s">
        <v>17955</v>
      </c>
      <c r="J1496" s="1" t="s">
        <v>17956</v>
      </c>
      <c r="K1496" s="1"/>
      <c r="L1496" s="1" t="s">
        <v>17957</v>
      </c>
      <c r="M1496" s="1" t="s">
        <v>17958</v>
      </c>
      <c r="N1496" s="1" t="s">
        <v>17959</v>
      </c>
    </row>
    <row r="1497">
      <c r="A1497" s="1" t="s">
        <v>2137</v>
      </c>
      <c r="B1497" s="1">
        <v>2006.0</v>
      </c>
      <c r="C1497" s="1" t="s">
        <v>17326</v>
      </c>
      <c r="D1497" s="1" t="s">
        <v>17327</v>
      </c>
      <c r="E1497" s="2" t="s">
        <v>17960</v>
      </c>
      <c r="F1497" s="1">
        <v>837.0</v>
      </c>
      <c r="G1497" s="1">
        <v>844.0</v>
      </c>
      <c r="H1497" s="1" t="s">
        <v>17059</v>
      </c>
      <c r="I1497" s="1" t="s">
        <v>17328</v>
      </c>
      <c r="J1497" s="1" t="s">
        <v>17329</v>
      </c>
      <c r="K1497" s="1"/>
      <c r="L1497" s="1" t="s">
        <v>17961</v>
      </c>
      <c r="M1497" s="1" t="s">
        <v>11902</v>
      </c>
      <c r="N1497" s="1" t="s">
        <v>17331</v>
      </c>
    </row>
    <row r="1498">
      <c r="A1498" s="1" t="s">
        <v>2137</v>
      </c>
      <c r="B1498" s="1">
        <v>2006.0</v>
      </c>
      <c r="C1498" s="1" t="s">
        <v>17332</v>
      </c>
      <c r="D1498" s="1" t="s">
        <v>17333</v>
      </c>
      <c r="E1498" s="2" t="s">
        <v>17962</v>
      </c>
      <c r="F1498" s="1">
        <v>725.0</v>
      </c>
      <c r="G1498" s="1">
        <v>732.0</v>
      </c>
      <c r="H1498" s="1" t="s">
        <v>17059</v>
      </c>
      <c r="I1498" s="1" t="s">
        <v>17334</v>
      </c>
      <c r="J1498" s="1" t="s">
        <v>17335</v>
      </c>
      <c r="K1498" s="1"/>
      <c r="L1498" s="1" t="s">
        <v>17963</v>
      </c>
      <c r="M1498" s="1" t="s">
        <v>17336</v>
      </c>
      <c r="N1498" s="1" t="s">
        <v>17337</v>
      </c>
    </row>
    <row r="1499">
      <c r="A1499" s="1" t="s">
        <v>17</v>
      </c>
      <c r="B1499" s="1">
        <v>2006.0</v>
      </c>
      <c r="C1499" s="1" t="s">
        <v>17964</v>
      </c>
      <c r="D1499" s="1" t="s">
        <v>17965</v>
      </c>
      <c r="E1499" s="2" t="s">
        <v>17966</v>
      </c>
      <c r="F1499" s="1">
        <v>1053.0</v>
      </c>
      <c r="G1499" s="1">
        <v>1060.0</v>
      </c>
      <c r="H1499" s="1" t="s">
        <v>17059</v>
      </c>
      <c r="I1499" s="1" t="s">
        <v>17967</v>
      </c>
      <c r="J1499" s="1" t="s">
        <v>17968</v>
      </c>
      <c r="K1499" s="1"/>
      <c r="L1499" s="1" t="s">
        <v>17969</v>
      </c>
      <c r="M1499" s="1" t="s">
        <v>17970</v>
      </c>
      <c r="N1499" s="1" t="s">
        <v>17971</v>
      </c>
    </row>
    <row r="1500">
      <c r="A1500" s="1" t="s">
        <v>2137</v>
      </c>
      <c r="B1500" s="1">
        <v>2006.0</v>
      </c>
      <c r="C1500" s="1" t="s">
        <v>17338</v>
      </c>
      <c r="D1500" s="1" t="s">
        <v>17339</v>
      </c>
      <c r="E1500" s="2" t="s">
        <v>17972</v>
      </c>
      <c r="F1500" s="1">
        <v>829.0</v>
      </c>
      <c r="G1500" s="1">
        <v>836.0</v>
      </c>
      <c r="H1500" s="1" t="s">
        <v>17059</v>
      </c>
      <c r="I1500" s="1" t="s">
        <v>17340</v>
      </c>
      <c r="J1500" s="1" t="s">
        <v>17973</v>
      </c>
      <c r="K1500" s="1"/>
      <c r="L1500" s="1" t="s">
        <v>17974</v>
      </c>
      <c r="M1500" s="1" t="s">
        <v>17344</v>
      </c>
      <c r="N1500" s="1" t="s">
        <v>17345</v>
      </c>
    </row>
    <row r="1501">
      <c r="A1501" s="1" t="s">
        <v>17</v>
      </c>
      <c r="B1501" s="1">
        <v>2006.0</v>
      </c>
      <c r="C1501" s="1" t="s">
        <v>17975</v>
      </c>
      <c r="D1501" s="1" t="s">
        <v>17976</v>
      </c>
      <c r="E1501" s="2" t="s">
        <v>17977</v>
      </c>
      <c r="F1501" s="1">
        <v>1275.0</v>
      </c>
      <c r="G1501" s="1">
        <v>1282.0</v>
      </c>
      <c r="H1501" s="1" t="s">
        <v>17059</v>
      </c>
      <c r="I1501" s="1" t="s">
        <v>17978</v>
      </c>
      <c r="J1501" s="1" t="s">
        <v>17979</v>
      </c>
      <c r="K1501" s="1"/>
      <c r="L1501" s="1" t="s">
        <v>17980</v>
      </c>
      <c r="M1501" s="1" t="s">
        <v>17981</v>
      </c>
      <c r="N1501" s="1" t="s">
        <v>17982</v>
      </c>
    </row>
    <row r="1502">
      <c r="A1502" s="1" t="s">
        <v>17</v>
      </c>
      <c r="B1502" s="1">
        <v>2006.0</v>
      </c>
      <c r="C1502" s="1" t="s">
        <v>17983</v>
      </c>
      <c r="D1502" s="1" t="s">
        <v>17984</v>
      </c>
      <c r="E1502" s="2" t="s">
        <v>17985</v>
      </c>
      <c r="F1502" s="1">
        <v>1013.0</v>
      </c>
      <c r="G1502" s="1">
        <v>1020.0</v>
      </c>
      <c r="H1502" s="1" t="s">
        <v>17059</v>
      </c>
      <c r="I1502" s="1" t="s">
        <v>17986</v>
      </c>
      <c r="J1502" s="1" t="s">
        <v>17987</v>
      </c>
      <c r="K1502" s="1"/>
      <c r="L1502" s="1" t="s">
        <v>17988</v>
      </c>
      <c r="M1502" s="1" t="s">
        <v>17989</v>
      </c>
      <c r="N1502" s="1" t="s">
        <v>17990</v>
      </c>
    </row>
    <row r="1503">
      <c r="A1503" s="1" t="s">
        <v>2137</v>
      </c>
      <c r="B1503" s="1">
        <v>2006.0</v>
      </c>
      <c r="C1503" s="1" t="s">
        <v>17346</v>
      </c>
      <c r="D1503" s="1" t="s">
        <v>17347</v>
      </c>
      <c r="E1503" s="2" t="s">
        <v>17991</v>
      </c>
      <c r="F1503" s="1">
        <v>685.0</v>
      </c>
      <c r="G1503" s="1">
        <v>692.0</v>
      </c>
      <c r="H1503" s="1" t="s">
        <v>17059</v>
      </c>
      <c r="I1503" s="1" t="s">
        <v>17348</v>
      </c>
      <c r="J1503" s="1" t="s">
        <v>17349</v>
      </c>
      <c r="K1503" s="1"/>
      <c r="L1503" s="1" t="s">
        <v>17992</v>
      </c>
      <c r="M1503" s="1" t="s">
        <v>17352</v>
      </c>
      <c r="N1503" s="1" t="s">
        <v>17353</v>
      </c>
    </row>
    <row r="1504">
      <c r="A1504" s="1" t="s">
        <v>2137</v>
      </c>
      <c r="B1504" s="1">
        <v>2006.0</v>
      </c>
      <c r="C1504" s="1" t="s">
        <v>17354</v>
      </c>
      <c r="D1504" s="1" t="s">
        <v>17355</v>
      </c>
      <c r="E1504" s="2" t="s">
        <v>17995</v>
      </c>
      <c r="F1504" s="1">
        <v>805.0</v>
      </c>
      <c r="G1504" s="1">
        <v>812.0</v>
      </c>
      <c r="H1504" s="1" t="s">
        <v>17059</v>
      </c>
      <c r="I1504" s="1" t="s">
        <v>17356</v>
      </c>
      <c r="J1504" s="1" t="s">
        <v>17357</v>
      </c>
      <c r="K1504" s="1"/>
      <c r="L1504" s="1" t="s">
        <v>17999</v>
      </c>
      <c r="M1504" s="1" t="s">
        <v>17360</v>
      </c>
      <c r="N1504" s="1" t="s">
        <v>17361</v>
      </c>
    </row>
    <row r="1505">
      <c r="A1505" s="1" t="s">
        <v>17</v>
      </c>
      <c r="B1505" s="1">
        <v>2006.0</v>
      </c>
      <c r="C1505" s="1" t="s">
        <v>18000</v>
      </c>
      <c r="D1505" s="1" t="s">
        <v>18001</v>
      </c>
      <c r="E1505" s="2" t="s">
        <v>18002</v>
      </c>
      <c r="F1505" s="1">
        <v>1093.0</v>
      </c>
      <c r="G1505" s="1">
        <v>1100.0</v>
      </c>
      <c r="H1505" s="1" t="s">
        <v>17059</v>
      </c>
      <c r="I1505" s="1" t="s">
        <v>18004</v>
      </c>
      <c r="J1505" s="1" t="s">
        <v>18005</v>
      </c>
      <c r="K1505" s="1"/>
      <c r="L1505" s="1" t="s">
        <v>18006</v>
      </c>
      <c r="M1505" s="1" t="s">
        <v>18007</v>
      </c>
      <c r="N1505" s="1" t="s">
        <v>18008</v>
      </c>
    </row>
    <row r="1506">
      <c r="A1506" s="1" t="s">
        <v>17</v>
      </c>
      <c r="B1506" s="1">
        <v>2006.0</v>
      </c>
      <c r="C1506" s="1" t="s">
        <v>18009</v>
      </c>
      <c r="D1506" s="1" t="s">
        <v>18010</v>
      </c>
      <c r="E1506" s="2" t="s">
        <v>18011</v>
      </c>
      <c r="F1506" s="1">
        <v>1251.0</v>
      </c>
      <c r="G1506" s="1">
        <v>1258.0</v>
      </c>
      <c r="H1506" s="1" t="s">
        <v>17059</v>
      </c>
      <c r="I1506" s="1" t="s">
        <v>18014</v>
      </c>
      <c r="J1506" s="1" t="s">
        <v>18015</v>
      </c>
      <c r="K1506" s="1"/>
      <c r="L1506" s="1" t="s">
        <v>18016</v>
      </c>
      <c r="M1506" s="1" t="s">
        <v>18017</v>
      </c>
      <c r="N1506" s="1" t="s">
        <v>18019</v>
      </c>
    </row>
    <row r="1507">
      <c r="A1507" s="1" t="s">
        <v>2137</v>
      </c>
      <c r="B1507" s="1">
        <v>2006.0</v>
      </c>
      <c r="C1507" s="1" t="s">
        <v>17362</v>
      </c>
      <c r="D1507" s="1" t="s">
        <v>17363</v>
      </c>
      <c r="E1507" s="2" t="s">
        <v>18021</v>
      </c>
      <c r="F1507" s="1">
        <v>781.0</v>
      </c>
      <c r="G1507" s="1">
        <v>788.0</v>
      </c>
      <c r="H1507" s="1" t="s">
        <v>17059</v>
      </c>
      <c r="I1507" s="1" t="s">
        <v>17364</v>
      </c>
      <c r="J1507" s="1" t="s">
        <v>17365</v>
      </c>
      <c r="K1507" s="1"/>
      <c r="L1507" s="1" t="s">
        <v>18022</v>
      </c>
      <c r="M1507" s="1" t="s">
        <v>14117</v>
      </c>
      <c r="N1507" s="1" t="s">
        <v>17367</v>
      </c>
    </row>
    <row r="1508">
      <c r="A1508" s="1" t="s">
        <v>17</v>
      </c>
      <c r="B1508" s="1">
        <v>2006.0</v>
      </c>
      <c r="C1508" s="1" t="s">
        <v>18023</v>
      </c>
      <c r="D1508" s="1" t="s">
        <v>18024</v>
      </c>
      <c r="E1508" s="2" t="s">
        <v>18025</v>
      </c>
      <c r="F1508" s="1">
        <v>1165.0</v>
      </c>
      <c r="G1508" s="1">
        <v>1172.0</v>
      </c>
      <c r="H1508" s="1" t="s">
        <v>17059</v>
      </c>
      <c r="I1508" s="1" t="s">
        <v>18026</v>
      </c>
      <c r="J1508" s="1" t="s">
        <v>18027</v>
      </c>
      <c r="K1508" s="1"/>
      <c r="L1508" s="1" t="s">
        <v>18028</v>
      </c>
      <c r="M1508" s="1" t="s">
        <v>18030</v>
      </c>
      <c r="N1508" s="1" t="s">
        <v>18031</v>
      </c>
    </row>
    <row r="1509">
      <c r="A1509" s="1" t="s">
        <v>2137</v>
      </c>
      <c r="B1509" s="1">
        <v>2006.0</v>
      </c>
      <c r="C1509" s="1" t="s">
        <v>17368</v>
      </c>
      <c r="D1509" s="1" t="s">
        <v>17369</v>
      </c>
      <c r="E1509" s="2" t="s">
        <v>18033</v>
      </c>
      <c r="F1509" s="1">
        <v>749.0</v>
      </c>
      <c r="G1509" s="1">
        <v>756.0</v>
      </c>
      <c r="H1509" s="1" t="s">
        <v>17059</v>
      </c>
      <c r="I1509" s="1" t="s">
        <v>17370</v>
      </c>
      <c r="J1509" s="1" t="s">
        <v>17371</v>
      </c>
      <c r="K1509" s="1"/>
      <c r="L1509" s="1" t="s">
        <v>18035</v>
      </c>
      <c r="M1509" s="1" t="s">
        <v>17374</v>
      </c>
      <c r="N1509" s="1" t="s">
        <v>17375</v>
      </c>
    </row>
    <row r="1510">
      <c r="A1510" s="1" t="s">
        <v>17</v>
      </c>
      <c r="B1510" s="1">
        <v>2006.0</v>
      </c>
      <c r="C1510" s="1" t="s">
        <v>18038</v>
      </c>
      <c r="D1510" s="1" t="s">
        <v>18039</v>
      </c>
      <c r="E1510" s="2" t="s">
        <v>18040</v>
      </c>
      <c r="F1510" s="1">
        <v>949.0</v>
      </c>
      <c r="G1510" s="1">
        <v>956.0</v>
      </c>
      <c r="H1510" s="1" t="s">
        <v>17059</v>
      </c>
      <c r="I1510" s="1" t="s">
        <v>18042</v>
      </c>
      <c r="J1510" s="1" t="s">
        <v>18043</v>
      </c>
      <c r="K1510" s="1"/>
      <c r="L1510" s="1" t="s">
        <v>18044</v>
      </c>
      <c r="M1510" s="1" t="s">
        <v>18045</v>
      </c>
      <c r="N1510" s="1" t="s">
        <v>18046</v>
      </c>
    </row>
    <row r="1511">
      <c r="A1511" s="1" t="s">
        <v>2137</v>
      </c>
      <c r="B1511" s="1">
        <v>2006.0</v>
      </c>
      <c r="C1511" s="1" t="s">
        <v>17376</v>
      </c>
      <c r="D1511" s="1" t="s">
        <v>17377</v>
      </c>
      <c r="E1511" s="2" t="s">
        <v>18047</v>
      </c>
      <c r="F1511" s="1">
        <v>789.0</v>
      </c>
      <c r="G1511" s="1">
        <v>796.0</v>
      </c>
      <c r="H1511" s="1" t="s">
        <v>17059</v>
      </c>
      <c r="I1511" s="1" t="s">
        <v>17378</v>
      </c>
      <c r="J1511" s="1" t="s">
        <v>17379</v>
      </c>
      <c r="K1511" s="1"/>
      <c r="L1511" s="1" t="s">
        <v>18051</v>
      </c>
      <c r="M1511" s="1" t="s">
        <v>17381</v>
      </c>
      <c r="N1511" s="1" t="s">
        <v>17382</v>
      </c>
    </row>
    <row r="1512">
      <c r="A1512" s="1" t="s">
        <v>17</v>
      </c>
      <c r="B1512" s="1">
        <v>2006.0</v>
      </c>
      <c r="C1512" s="1" t="s">
        <v>18052</v>
      </c>
      <c r="D1512" s="1" t="s">
        <v>18053</v>
      </c>
      <c r="E1512" s="2" t="s">
        <v>18054</v>
      </c>
      <c r="F1512" s="1">
        <v>957.0</v>
      </c>
      <c r="G1512" s="1">
        <v>964.0</v>
      </c>
      <c r="H1512" s="1" t="s">
        <v>17059</v>
      </c>
      <c r="I1512" s="1" t="s">
        <v>18056</v>
      </c>
      <c r="J1512" s="1" t="s">
        <v>18057</v>
      </c>
      <c r="K1512" s="1"/>
      <c r="L1512" s="1" t="s">
        <v>18058</v>
      </c>
      <c r="M1512" s="1" t="s">
        <v>18060</v>
      </c>
      <c r="N1512" s="1" t="s">
        <v>18061</v>
      </c>
    </row>
    <row r="1513">
      <c r="A1513" s="1" t="s">
        <v>2137</v>
      </c>
      <c r="B1513" s="1">
        <v>2006.0</v>
      </c>
      <c r="C1513" s="1" t="s">
        <v>17383</v>
      </c>
      <c r="D1513" s="1" t="s">
        <v>17384</v>
      </c>
      <c r="E1513" s="2" t="s">
        <v>18063</v>
      </c>
      <c r="F1513" s="1">
        <v>757.0</v>
      </c>
      <c r="G1513" s="1">
        <v>764.0</v>
      </c>
      <c r="H1513" s="1" t="s">
        <v>17059</v>
      </c>
      <c r="I1513" s="1" t="s">
        <v>17385</v>
      </c>
      <c r="J1513" s="1" t="s">
        <v>17386</v>
      </c>
      <c r="K1513" s="1"/>
      <c r="L1513" s="1" t="s">
        <v>18075</v>
      </c>
      <c r="M1513" s="1"/>
      <c r="N1513" s="1" t="s">
        <v>17387</v>
      </c>
    </row>
    <row r="1514">
      <c r="A1514" s="1" t="s">
        <v>120</v>
      </c>
      <c r="B1514" s="1">
        <v>2006.0</v>
      </c>
      <c r="C1514" s="1" t="s">
        <v>17388</v>
      </c>
      <c r="D1514" s="1" t="s">
        <v>17389</v>
      </c>
      <c r="E1514" s="2" t="s">
        <v>18076</v>
      </c>
      <c r="F1514" s="1">
        <v>137.0</v>
      </c>
      <c r="G1514" s="1">
        <v>144.0</v>
      </c>
      <c r="H1514" s="1" t="s">
        <v>28</v>
      </c>
      <c r="I1514" s="1" t="s">
        <v>17390</v>
      </c>
      <c r="J1514" s="1" t="s">
        <v>17391</v>
      </c>
      <c r="K1514" s="1"/>
      <c r="L1514" s="1" t="s">
        <v>18083</v>
      </c>
      <c r="M1514" s="1"/>
      <c r="N1514" s="1" t="s">
        <v>17393</v>
      </c>
    </row>
    <row r="1515">
      <c r="A1515" s="1" t="s">
        <v>120</v>
      </c>
      <c r="B1515" s="1">
        <v>2006.0</v>
      </c>
      <c r="C1515" s="1" t="s">
        <v>17394</v>
      </c>
      <c r="D1515" s="1" t="s">
        <v>17395</v>
      </c>
      <c r="E1515" s="2" t="s">
        <v>18085</v>
      </c>
      <c r="F1515" s="1">
        <v>145.0</v>
      </c>
      <c r="G1515" s="1">
        <v>150.0</v>
      </c>
      <c r="H1515" s="1" t="s">
        <v>28</v>
      </c>
      <c r="I1515" s="1" t="s">
        <v>17396</v>
      </c>
      <c r="J1515" s="1" t="s">
        <v>17397</v>
      </c>
      <c r="K1515" s="1"/>
      <c r="L1515" s="1" t="s">
        <v>18097</v>
      </c>
      <c r="M1515" s="1" t="s">
        <v>17399</v>
      </c>
      <c r="N1515" s="1" t="s">
        <v>17400</v>
      </c>
    </row>
    <row r="1516">
      <c r="A1516" s="1" t="s">
        <v>120</v>
      </c>
      <c r="B1516" s="1">
        <v>2006.0</v>
      </c>
      <c r="C1516" s="1" t="s">
        <v>17401</v>
      </c>
      <c r="D1516" s="1" t="s">
        <v>17402</v>
      </c>
      <c r="E1516" s="2" t="s">
        <v>18098</v>
      </c>
      <c r="F1516" s="1">
        <v>151.0</v>
      </c>
      <c r="G1516" s="1">
        <v>157.0</v>
      </c>
      <c r="H1516" s="1" t="s">
        <v>28</v>
      </c>
      <c r="I1516" s="1" t="s">
        <v>17403</v>
      </c>
      <c r="J1516" s="1" t="s">
        <v>17404</v>
      </c>
      <c r="K1516" s="1"/>
      <c r="L1516" s="1" t="s">
        <v>18108</v>
      </c>
      <c r="M1516" s="1"/>
      <c r="N1516" s="1" t="s">
        <v>17406</v>
      </c>
    </row>
    <row r="1517">
      <c r="A1517" s="1" t="s">
        <v>120</v>
      </c>
      <c r="B1517" s="1">
        <v>2006.0</v>
      </c>
      <c r="C1517" s="1" t="s">
        <v>17407</v>
      </c>
      <c r="D1517" s="1" t="s">
        <v>17408</v>
      </c>
      <c r="E1517" s="2" t="s">
        <v>18109</v>
      </c>
      <c r="F1517" s="1">
        <v>159.0</v>
      </c>
      <c r="G1517" s="1">
        <v>166.0</v>
      </c>
      <c r="H1517" s="1" t="s">
        <v>28</v>
      </c>
      <c r="I1517" s="1" t="s">
        <v>17409</v>
      </c>
      <c r="J1517" s="1" t="s">
        <v>17410</v>
      </c>
      <c r="K1517" s="1"/>
      <c r="L1517" s="1" t="s">
        <v>18121</v>
      </c>
      <c r="M1517" s="1"/>
      <c r="N1517" s="1" t="s">
        <v>17413</v>
      </c>
    </row>
    <row r="1518">
      <c r="A1518" s="1" t="s">
        <v>120</v>
      </c>
      <c r="B1518" s="1">
        <v>2006.0</v>
      </c>
      <c r="C1518" s="1" t="s">
        <v>17414</v>
      </c>
      <c r="D1518" s="1" t="s">
        <v>17415</v>
      </c>
      <c r="E1518" s="2" t="s">
        <v>18123</v>
      </c>
      <c r="F1518" s="1">
        <v>215.0</v>
      </c>
      <c r="G1518" s="1">
        <v>216.0</v>
      </c>
      <c r="H1518" s="1" t="s">
        <v>21</v>
      </c>
      <c r="I1518" s="1" t="s">
        <v>17416</v>
      </c>
      <c r="J1518" s="1" t="s">
        <v>17417</v>
      </c>
      <c r="K1518" s="1"/>
      <c r="L1518" s="1" t="s">
        <v>18124</v>
      </c>
    </row>
    <row r="1519">
      <c r="A1519" s="1" t="s">
        <v>120</v>
      </c>
      <c r="B1519" s="1">
        <v>2006.0</v>
      </c>
      <c r="C1519" s="1" t="s">
        <v>17420</v>
      </c>
      <c r="D1519" s="1" t="s">
        <v>17421</v>
      </c>
      <c r="E1519" s="2" t="s">
        <v>18125</v>
      </c>
      <c r="F1519" s="1">
        <v>167.0</v>
      </c>
      <c r="G1519" s="1">
        <v>174.0</v>
      </c>
      <c r="H1519" s="1" t="s">
        <v>28</v>
      </c>
      <c r="I1519" s="1" t="s">
        <v>17422</v>
      </c>
      <c r="J1519" s="1" t="s">
        <v>17423</v>
      </c>
      <c r="K1519" s="1"/>
      <c r="L1519" s="1" t="s">
        <v>18139</v>
      </c>
      <c r="M1519" s="1" t="s">
        <v>6121</v>
      </c>
      <c r="N1519" s="1" t="s">
        <v>17426</v>
      </c>
      <c r="P1519" s="1"/>
      <c r="Q1519" s="1" t="s">
        <v>1093</v>
      </c>
    </row>
    <row r="1520">
      <c r="A1520" s="1" t="s">
        <v>120</v>
      </c>
      <c r="B1520" s="1">
        <v>2006.0</v>
      </c>
      <c r="C1520" s="1" t="s">
        <v>17427</v>
      </c>
      <c r="D1520" s="1" t="s">
        <v>17428</v>
      </c>
      <c r="E1520" s="2" t="s">
        <v>18141</v>
      </c>
      <c r="F1520" s="1">
        <v>175.0</v>
      </c>
      <c r="G1520" s="1">
        <v>182.0</v>
      </c>
      <c r="H1520" s="1" t="s">
        <v>28</v>
      </c>
      <c r="I1520" s="1" t="s">
        <v>17429</v>
      </c>
      <c r="J1520" s="1" t="s">
        <v>17430</v>
      </c>
      <c r="K1520" s="1"/>
      <c r="L1520" s="1" t="s">
        <v>18156</v>
      </c>
      <c r="M1520" s="1" t="s">
        <v>17432</v>
      </c>
      <c r="N1520" s="1" t="s">
        <v>17433</v>
      </c>
    </row>
    <row r="1521">
      <c r="A1521" s="1" t="s">
        <v>120</v>
      </c>
      <c r="B1521" s="1">
        <v>2006.0</v>
      </c>
      <c r="C1521" s="1" t="s">
        <v>17434</v>
      </c>
      <c r="D1521" s="1" t="s">
        <v>17435</v>
      </c>
      <c r="E1521" s="2" t="s">
        <v>18160</v>
      </c>
      <c r="F1521" s="1">
        <v>199.0</v>
      </c>
      <c r="G1521" s="1">
        <v>206.0</v>
      </c>
      <c r="H1521" s="1" t="s">
        <v>28</v>
      </c>
      <c r="I1521" s="1" t="s">
        <v>17436</v>
      </c>
      <c r="J1521" s="1" t="s">
        <v>18169</v>
      </c>
      <c r="K1521" s="1"/>
      <c r="L1521" s="1" t="s">
        <v>17762</v>
      </c>
      <c r="M1521" s="1" t="s">
        <v>17440</v>
      </c>
      <c r="N1521" s="1" t="s">
        <v>17441</v>
      </c>
    </row>
    <row r="1522">
      <c r="A1522" s="1" t="s">
        <v>120</v>
      </c>
      <c r="B1522" s="1">
        <v>2006.0</v>
      </c>
      <c r="C1522" s="1" t="s">
        <v>17443</v>
      </c>
      <c r="D1522" s="1" t="s">
        <v>17445</v>
      </c>
      <c r="E1522" s="2" t="s">
        <v>18174</v>
      </c>
      <c r="F1522" s="1">
        <v>183.0</v>
      </c>
      <c r="G1522" s="1">
        <v>190.0</v>
      </c>
      <c r="H1522" s="1" t="s">
        <v>28</v>
      </c>
      <c r="I1522" s="1" t="s">
        <v>17448</v>
      </c>
      <c r="J1522" s="1" t="s">
        <v>17449</v>
      </c>
      <c r="K1522" s="1"/>
      <c r="L1522" s="1" t="s">
        <v>18184</v>
      </c>
      <c r="M1522" s="1" t="s">
        <v>17451</v>
      </c>
      <c r="N1522" s="1" t="s">
        <v>17452</v>
      </c>
    </row>
    <row r="1523">
      <c r="A1523" s="1" t="s">
        <v>120</v>
      </c>
      <c r="B1523" s="1">
        <v>2006.0</v>
      </c>
      <c r="C1523" s="1" t="s">
        <v>17453</v>
      </c>
      <c r="D1523" s="1" t="s">
        <v>17454</v>
      </c>
      <c r="E1523" s="2" t="s">
        <v>18188</v>
      </c>
      <c r="F1523" s="1">
        <v>191.0</v>
      </c>
      <c r="G1523" s="1">
        <v>198.0</v>
      </c>
      <c r="H1523" s="1" t="s">
        <v>28</v>
      </c>
      <c r="I1523" s="1" t="s">
        <v>17455</v>
      </c>
      <c r="J1523" s="1" t="s">
        <v>17456</v>
      </c>
      <c r="K1523" s="1"/>
      <c r="L1523" s="1" t="s">
        <v>18199</v>
      </c>
      <c r="M1523" s="1" t="s">
        <v>17459</v>
      </c>
      <c r="N1523" s="1" t="s">
        <v>17460</v>
      </c>
    </row>
    <row r="1524">
      <c r="A1524" s="1" t="s">
        <v>120</v>
      </c>
      <c r="B1524" s="1">
        <v>2006.0</v>
      </c>
      <c r="C1524" s="1" t="s">
        <v>17461</v>
      </c>
      <c r="D1524" s="1" t="s">
        <v>17462</v>
      </c>
      <c r="E1524" s="2" t="s">
        <v>18203</v>
      </c>
      <c r="F1524" s="1">
        <v>91.0</v>
      </c>
      <c r="G1524" s="1">
        <v>98.0</v>
      </c>
      <c r="H1524" s="1" t="s">
        <v>28</v>
      </c>
      <c r="I1524" s="1" t="s">
        <v>17467</v>
      </c>
      <c r="J1524" s="1" t="s">
        <v>17469</v>
      </c>
      <c r="K1524" s="1"/>
      <c r="L1524" s="1" t="s">
        <v>18209</v>
      </c>
      <c r="M1524" s="1" t="s">
        <v>17472</v>
      </c>
      <c r="N1524" s="1" t="s">
        <v>17473</v>
      </c>
    </row>
    <row r="1525">
      <c r="A1525" s="1" t="s">
        <v>120</v>
      </c>
      <c r="B1525" s="1">
        <v>2006.0</v>
      </c>
      <c r="C1525" s="1" t="s">
        <v>17475</v>
      </c>
      <c r="D1525" s="1" t="s">
        <v>17476</v>
      </c>
      <c r="E1525" s="2" t="s">
        <v>18213</v>
      </c>
      <c r="F1525" s="1">
        <v>27.0</v>
      </c>
      <c r="G1525" s="1">
        <v>34.0</v>
      </c>
      <c r="H1525" s="1" t="s">
        <v>28</v>
      </c>
      <c r="I1525" s="1" t="s">
        <v>17477</v>
      </c>
      <c r="J1525" s="1" t="s">
        <v>17478</v>
      </c>
      <c r="K1525" s="1"/>
      <c r="L1525" s="1" t="s">
        <v>18222</v>
      </c>
      <c r="M1525" s="1" t="s">
        <v>14202</v>
      </c>
      <c r="N1525" s="1" t="s">
        <v>17481</v>
      </c>
    </row>
    <row r="1526">
      <c r="A1526" s="1" t="s">
        <v>120</v>
      </c>
      <c r="B1526" s="1">
        <v>2006.0</v>
      </c>
      <c r="C1526" s="1" t="s">
        <v>17482</v>
      </c>
      <c r="D1526" s="1" t="s">
        <v>17483</v>
      </c>
      <c r="E1526" s="2" t="s">
        <v>18225</v>
      </c>
      <c r="F1526" s="1">
        <v>35.0</v>
      </c>
      <c r="G1526" s="1">
        <v>42.0</v>
      </c>
      <c r="H1526" s="1" t="s">
        <v>28</v>
      </c>
      <c r="I1526" s="1" t="s">
        <v>17490</v>
      </c>
      <c r="J1526" s="1" t="s">
        <v>17491</v>
      </c>
      <c r="K1526" s="1"/>
      <c r="L1526" s="1" t="s">
        <v>18305</v>
      </c>
      <c r="M1526" s="1" t="s">
        <v>17494</v>
      </c>
      <c r="N1526" s="1" t="s">
        <v>17495</v>
      </c>
    </row>
    <row r="1527">
      <c r="A1527" s="1" t="s">
        <v>120</v>
      </c>
      <c r="B1527" s="1">
        <v>2006.0</v>
      </c>
      <c r="C1527" s="1" t="s">
        <v>17496</v>
      </c>
      <c r="D1527" s="1" t="s">
        <v>17497</v>
      </c>
      <c r="E1527" s="2" t="s">
        <v>18308</v>
      </c>
      <c r="F1527" s="1">
        <v>43.0</v>
      </c>
      <c r="G1527" s="1">
        <v>50.0</v>
      </c>
      <c r="H1527" s="1" t="s">
        <v>28</v>
      </c>
      <c r="I1527" s="1" t="s">
        <v>17498</v>
      </c>
      <c r="J1527" s="1" t="s">
        <v>17499</v>
      </c>
      <c r="K1527" s="1"/>
      <c r="L1527" s="1" t="s">
        <v>18321</v>
      </c>
      <c r="M1527" s="1"/>
      <c r="N1527" s="1" t="s">
        <v>17502</v>
      </c>
    </row>
    <row r="1528">
      <c r="A1528" s="1" t="s">
        <v>120</v>
      </c>
      <c r="B1528" s="1">
        <v>2006.0</v>
      </c>
      <c r="C1528" s="1" t="s">
        <v>17503</v>
      </c>
      <c r="D1528" s="1" t="s">
        <v>17504</v>
      </c>
      <c r="E1528" s="2" t="s">
        <v>18324</v>
      </c>
      <c r="F1528" s="1">
        <v>51.0</v>
      </c>
      <c r="G1528" s="1">
        <v>58.0</v>
      </c>
      <c r="H1528" s="1" t="s">
        <v>28</v>
      </c>
      <c r="I1528" s="1" t="s">
        <v>17505</v>
      </c>
      <c r="J1528" s="1" t="s">
        <v>17506</v>
      </c>
      <c r="K1528" s="1"/>
      <c r="L1528" s="1" t="s">
        <v>18336</v>
      </c>
      <c r="M1528" s="1" t="s">
        <v>17508</v>
      </c>
      <c r="N1528" s="1" t="s">
        <v>17509</v>
      </c>
    </row>
    <row r="1529">
      <c r="A1529" s="1" t="s">
        <v>120</v>
      </c>
      <c r="B1529" s="1">
        <v>2006.0</v>
      </c>
      <c r="C1529" s="1" t="s">
        <v>17510</v>
      </c>
      <c r="D1529" s="1" t="s">
        <v>17511</v>
      </c>
      <c r="E1529" s="2" t="s">
        <v>18339</v>
      </c>
      <c r="F1529" s="1">
        <v>59.0</v>
      </c>
      <c r="G1529" s="1">
        <v>66.0</v>
      </c>
      <c r="H1529" s="1" t="s">
        <v>28</v>
      </c>
      <c r="I1529" s="1" t="s">
        <v>17512</v>
      </c>
      <c r="J1529" s="1" t="s">
        <v>17513</v>
      </c>
      <c r="K1529" s="1"/>
      <c r="L1529" s="1" t="s">
        <v>18347</v>
      </c>
      <c r="M1529" s="1" t="s">
        <v>11895</v>
      </c>
      <c r="N1529" s="1" t="s">
        <v>17516</v>
      </c>
    </row>
    <row r="1530">
      <c r="A1530" s="1" t="s">
        <v>120</v>
      </c>
      <c r="B1530" s="1">
        <v>2006.0</v>
      </c>
      <c r="C1530" s="1" t="s">
        <v>17517</v>
      </c>
      <c r="D1530" s="1" t="s">
        <v>17518</v>
      </c>
      <c r="E1530" s="2" t="s">
        <v>18352</v>
      </c>
      <c r="F1530" s="1">
        <v>67.0</v>
      </c>
      <c r="G1530" s="1">
        <v>74.0</v>
      </c>
      <c r="H1530" s="1" t="s">
        <v>28</v>
      </c>
      <c r="I1530" s="1" t="s">
        <v>17519</v>
      </c>
      <c r="J1530" s="1" t="s">
        <v>17520</v>
      </c>
      <c r="K1530" s="1"/>
      <c r="L1530" s="1" t="s">
        <v>18363</v>
      </c>
      <c r="M1530" s="1" t="s">
        <v>17523</v>
      </c>
      <c r="N1530" s="1" t="s">
        <v>17524</v>
      </c>
    </row>
    <row r="1531">
      <c r="A1531" s="1" t="s">
        <v>120</v>
      </c>
      <c r="B1531" s="1">
        <v>2006.0</v>
      </c>
      <c r="C1531" s="1" t="s">
        <v>17525</v>
      </c>
      <c r="D1531" s="1" t="s">
        <v>17526</v>
      </c>
      <c r="E1531" s="2" t="s">
        <v>18364</v>
      </c>
      <c r="F1531" s="1">
        <v>75.0</v>
      </c>
      <c r="G1531" s="1">
        <v>82.0</v>
      </c>
      <c r="H1531" s="1" t="s">
        <v>28</v>
      </c>
      <c r="I1531" s="1" t="s">
        <v>17527</v>
      </c>
      <c r="J1531" s="1" t="s">
        <v>17528</v>
      </c>
      <c r="K1531" s="1"/>
      <c r="L1531" s="1" t="s">
        <v>18476</v>
      </c>
      <c r="M1531" s="1" t="s">
        <v>17531</v>
      </c>
      <c r="N1531" s="1" t="s">
        <v>17532</v>
      </c>
    </row>
    <row r="1532">
      <c r="A1532" s="1" t="s">
        <v>120</v>
      </c>
      <c r="B1532" s="1">
        <v>2006.0</v>
      </c>
      <c r="C1532" s="1" t="s">
        <v>17533</v>
      </c>
      <c r="D1532" s="1" t="s">
        <v>17534</v>
      </c>
      <c r="E1532" s="2" t="s">
        <v>18477</v>
      </c>
      <c r="F1532" s="1">
        <v>83.0</v>
      </c>
      <c r="G1532" s="1">
        <v>90.0</v>
      </c>
      <c r="H1532" s="1" t="s">
        <v>28</v>
      </c>
      <c r="I1532" s="1" t="s">
        <v>17535</v>
      </c>
      <c r="J1532" s="1" t="s">
        <v>17536</v>
      </c>
      <c r="K1532" s="1"/>
      <c r="L1532" s="1" t="s">
        <v>18544</v>
      </c>
      <c r="M1532" s="1" t="s">
        <v>17539</v>
      </c>
      <c r="N1532" s="1" t="s">
        <v>17540</v>
      </c>
    </row>
    <row r="1533">
      <c r="A1533" s="1" t="s">
        <v>120</v>
      </c>
      <c r="B1533" s="1">
        <v>2006.0</v>
      </c>
      <c r="C1533" s="1" t="s">
        <v>17541</v>
      </c>
      <c r="D1533" s="1" t="s">
        <v>17542</v>
      </c>
      <c r="E1533" s="2" t="s">
        <v>18547</v>
      </c>
      <c r="F1533" s="1">
        <v>99.0</v>
      </c>
      <c r="G1533" s="1">
        <v>106.0</v>
      </c>
      <c r="H1533" s="1" t="s">
        <v>28</v>
      </c>
      <c r="I1533" s="1" t="s">
        <v>17543</v>
      </c>
      <c r="J1533" s="1" t="s">
        <v>17544</v>
      </c>
      <c r="K1533" s="1"/>
      <c r="L1533" s="1" t="s">
        <v>18559</v>
      </c>
      <c r="M1533" s="1" t="s">
        <v>17546</v>
      </c>
      <c r="N1533" s="1" t="s">
        <v>17547</v>
      </c>
    </row>
    <row r="1534">
      <c r="A1534" s="1" t="s">
        <v>120</v>
      </c>
      <c r="B1534" s="1">
        <v>2006.0</v>
      </c>
      <c r="C1534" s="1" t="s">
        <v>17548</v>
      </c>
      <c r="D1534" s="1" t="s">
        <v>17549</v>
      </c>
      <c r="E1534" s="2" t="s">
        <v>18561</v>
      </c>
      <c r="F1534" s="1">
        <v>107.0</v>
      </c>
      <c r="G1534" s="1">
        <v>114.0</v>
      </c>
      <c r="H1534" s="1" t="s">
        <v>28</v>
      </c>
      <c r="I1534" s="1" t="s">
        <v>17550</v>
      </c>
      <c r="J1534" s="1" t="s">
        <v>17551</v>
      </c>
      <c r="K1534" s="1"/>
      <c r="L1534" s="1" t="s">
        <v>18564</v>
      </c>
      <c r="M1534" s="1" t="s">
        <v>2819</v>
      </c>
      <c r="N1534" s="1" t="s">
        <v>17553</v>
      </c>
    </row>
    <row r="1535">
      <c r="A1535" s="1" t="s">
        <v>120</v>
      </c>
      <c r="B1535" s="1">
        <v>2006.0</v>
      </c>
      <c r="C1535" s="1" t="s">
        <v>17554</v>
      </c>
      <c r="D1535" s="1" t="s">
        <v>17555</v>
      </c>
      <c r="E1535" s="2" t="s">
        <v>18567</v>
      </c>
      <c r="F1535" s="1">
        <v>115.0</v>
      </c>
      <c r="G1535" s="1">
        <v>122.0</v>
      </c>
      <c r="H1535" s="1" t="s">
        <v>28</v>
      </c>
      <c r="I1535" s="1" t="s">
        <v>17556</v>
      </c>
      <c r="J1535" s="1" t="s">
        <v>17557</v>
      </c>
      <c r="K1535" s="1"/>
      <c r="L1535" s="1" t="s">
        <v>18578</v>
      </c>
      <c r="M1535" s="1" t="s">
        <v>17559</v>
      </c>
      <c r="N1535" s="1" t="s">
        <v>17560</v>
      </c>
    </row>
    <row r="1536">
      <c r="A1536" s="1" t="s">
        <v>120</v>
      </c>
      <c r="B1536" s="1">
        <v>2006.0</v>
      </c>
      <c r="C1536" s="1" t="s">
        <v>17563</v>
      </c>
      <c r="D1536" s="1" t="s">
        <v>17565</v>
      </c>
      <c r="E1536" s="2" t="s">
        <v>18581</v>
      </c>
      <c r="F1536" s="1">
        <v>123.0</v>
      </c>
      <c r="G1536" s="1">
        <v>128.0</v>
      </c>
      <c r="H1536" s="1" t="s">
        <v>28</v>
      </c>
      <c r="I1536" s="1" t="s">
        <v>17568</v>
      </c>
      <c r="J1536" s="1" t="s">
        <v>18587</v>
      </c>
      <c r="K1536" s="1"/>
      <c r="L1536" s="1" t="s">
        <v>18588</v>
      </c>
      <c r="M1536" s="1" t="s">
        <v>17572</v>
      </c>
      <c r="N1536" s="1" t="s">
        <v>17573</v>
      </c>
    </row>
    <row r="1537">
      <c r="A1537" s="1" t="s">
        <v>120</v>
      </c>
      <c r="B1537" s="1">
        <v>2006.0</v>
      </c>
      <c r="C1537" s="1" t="s">
        <v>17574</v>
      </c>
      <c r="D1537" s="1" t="s">
        <v>17575</v>
      </c>
      <c r="E1537" s="2" t="s">
        <v>18589</v>
      </c>
      <c r="F1537" s="1">
        <v>129.0</v>
      </c>
      <c r="G1537" s="1">
        <v>136.0</v>
      </c>
      <c r="H1537" s="1" t="s">
        <v>28</v>
      </c>
      <c r="I1537" s="1" t="s">
        <v>17576</v>
      </c>
      <c r="J1537" s="1" t="s">
        <v>17577</v>
      </c>
      <c r="K1537" s="1"/>
      <c r="L1537" s="1" t="s">
        <v>18602</v>
      </c>
      <c r="M1537" s="1"/>
      <c r="N1537" s="1" t="s">
        <v>17580</v>
      </c>
    </row>
    <row r="1538">
      <c r="A1538" s="1" t="s">
        <v>120</v>
      </c>
      <c r="B1538" s="1">
        <v>2006.0</v>
      </c>
      <c r="C1538" s="1" t="s">
        <v>17581</v>
      </c>
      <c r="D1538" s="1" t="s">
        <v>17582</v>
      </c>
      <c r="E1538" s="2" t="s">
        <v>18603</v>
      </c>
      <c r="F1538" s="1">
        <v>3.0</v>
      </c>
      <c r="G1538" s="1">
        <v>10.0</v>
      </c>
      <c r="H1538" s="1" t="s">
        <v>28</v>
      </c>
      <c r="I1538" s="1" t="s">
        <v>17583</v>
      </c>
      <c r="J1538" s="1" t="s">
        <v>17584</v>
      </c>
      <c r="K1538" s="1"/>
      <c r="L1538" s="1" t="s">
        <v>18613</v>
      </c>
      <c r="M1538" s="1" t="s">
        <v>17587</v>
      </c>
      <c r="N1538" s="1" t="s">
        <v>17588</v>
      </c>
    </row>
    <row r="1539">
      <c r="A1539" s="1" t="s">
        <v>120</v>
      </c>
      <c r="B1539" s="1">
        <v>2006.0</v>
      </c>
      <c r="C1539" s="1" t="s">
        <v>17592</v>
      </c>
      <c r="D1539" s="1" t="s">
        <v>17593</v>
      </c>
      <c r="E1539" s="2" t="s">
        <v>18614</v>
      </c>
      <c r="F1539" s="1">
        <v>11.0</v>
      </c>
      <c r="G1539" s="1">
        <v>18.0</v>
      </c>
      <c r="H1539" s="1" t="s">
        <v>28</v>
      </c>
      <c r="I1539" s="1" t="s">
        <v>17594</v>
      </c>
      <c r="J1539" s="1" t="s">
        <v>17595</v>
      </c>
      <c r="K1539" s="1"/>
      <c r="L1539" s="1" t="s">
        <v>18822</v>
      </c>
      <c r="M1539" s="1" t="s">
        <v>12374</v>
      </c>
      <c r="N1539" s="1" t="s">
        <v>17598</v>
      </c>
    </row>
    <row r="1540">
      <c r="A1540" s="1" t="s">
        <v>120</v>
      </c>
      <c r="B1540" s="1">
        <v>2006.0</v>
      </c>
      <c r="C1540" s="1" t="s">
        <v>17599</v>
      </c>
      <c r="D1540" s="1" t="s">
        <v>17600</v>
      </c>
      <c r="E1540" s="2" t="s">
        <v>18823</v>
      </c>
      <c r="F1540" s="1">
        <v>19.0</v>
      </c>
      <c r="G1540" s="1">
        <v>26.0</v>
      </c>
      <c r="H1540" s="1" t="s">
        <v>28</v>
      </c>
      <c r="I1540" s="1" t="s">
        <v>17601</v>
      </c>
      <c r="J1540" s="1" t="s">
        <v>18835</v>
      </c>
      <c r="K1540" s="1"/>
      <c r="L1540" s="1" t="s">
        <v>18836</v>
      </c>
      <c r="M1540" s="1"/>
      <c r="N1540" s="1" t="s">
        <v>17605</v>
      </c>
    </row>
    <row r="1541">
      <c r="A1541" s="1" t="s">
        <v>2137</v>
      </c>
      <c r="B1541" s="1">
        <v>2007.0</v>
      </c>
      <c r="C1541" s="1" t="s">
        <v>18065</v>
      </c>
      <c r="D1541" s="1" t="s">
        <v>18066</v>
      </c>
      <c r="E1541" s="2" t="s">
        <v>18839</v>
      </c>
      <c r="F1541" s="1">
        <v>1224.0</v>
      </c>
      <c r="G1541" s="1">
        <v>1231.0</v>
      </c>
      <c r="H1541" s="1" t="s">
        <v>17059</v>
      </c>
      <c r="I1541" s="1" t="s">
        <v>18067</v>
      </c>
      <c r="J1541" s="1" t="s">
        <v>18068</v>
      </c>
      <c r="K1541" s="1"/>
      <c r="L1541" s="1" t="s">
        <v>18850</v>
      </c>
      <c r="M1541" s="1" t="s">
        <v>18071</v>
      </c>
      <c r="N1541" s="1" t="s">
        <v>18072</v>
      </c>
    </row>
    <row r="1542">
      <c r="A1542" s="1" t="s">
        <v>17</v>
      </c>
      <c r="B1542" s="1">
        <v>2007.0</v>
      </c>
      <c r="C1542" s="1" t="s">
        <v>18585</v>
      </c>
      <c r="D1542" s="1" t="s">
        <v>18586</v>
      </c>
      <c r="E1542" s="2" t="s">
        <v>18855</v>
      </c>
      <c r="F1542" s="1">
        <v>1600.0</v>
      </c>
      <c r="G1542" s="1">
        <v>1607.0</v>
      </c>
      <c r="H1542" s="1" t="s">
        <v>17059</v>
      </c>
      <c r="I1542" s="1" t="s">
        <v>18590</v>
      </c>
      <c r="J1542" s="1" t="s">
        <v>18591</v>
      </c>
      <c r="K1542" s="1"/>
      <c r="L1542" s="1" t="s">
        <v>18869</v>
      </c>
      <c r="M1542" s="1" t="s">
        <v>18593</v>
      </c>
      <c r="N1542" s="1" t="s">
        <v>18594</v>
      </c>
    </row>
    <row r="1543">
      <c r="A1543" s="1" t="s">
        <v>17</v>
      </c>
      <c r="B1543" s="1">
        <v>2007.0</v>
      </c>
      <c r="C1543" s="1" t="s">
        <v>18595</v>
      </c>
      <c r="D1543" s="1" t="s">
        <v>18596</v>
      </c>
      <c r="E1543" s="2" t="s">
        <v>18870</v>
      </c>
      <c r="F1543" s="1">
        <v>1616.0</v>
      </c>
      <c r="G1543" s="1">
        <v>1623.0</v>
      </c>
      <c r="H1543" s="1" t="s">
        <v>17059</v>
      </c>
      <c r="I1543" s="1" t="s">
        <v>18597</v>
      </c>
      <c r="J1543" s="1" t="s">
        <v>18598</v>
      </c>
      <c r="K1543" s="1"/>
      <c r="L1543" s="1" t="s">
        <v>18879</v>
      </c>
      <c r="M1543" s="1" t="s">
        <v>18600</v>
      </c>
      <c r="N1543" s="1" t="s">
        <v>18601</v>
      </c>
    </row>
    <row r="1544">
      <c r="A1544" s="1" t="s">
        <v>17</v>
      </c>
      <c r="B1544" s="1">
        <v>2007.0</v>
      </c>
      <c r="C1544" s="1" t="s">
        <v>18604</v>
      </c>
      <c r="D1544" s="1" t="s">
        <v>18605</v>
      </c>
      <c r="E1544" s="2" t="s">
        <v>18885</v>
      </c>
      <c r="F1544" s="1">
        <v>1648.0</v>
      </c>
      <c r="G1544" s="1">
        <v>1655.0</v>
      </c>
      <c r="H1544" s="1" t="s">
        <v>17059</v>
      </c>
      <c r="I1544" s="1" t="s">
        <v>18606</v>
      </c>
      <c r="J1544" s="1" t="s">
        <v>18894</v>
      </c>
      <c r="K1544" s="1"/>
      <c r="L1544" s="1" t="s">
        <v>18895</v>
      </c>
      <c r="M1544" s="1" t="s">
        <v>18609</v>
      </c>
      <c r="N1544" s="1" t="s">
        <v>18610</v>
      </c>
    </row>
    <row r="1545">
      <c r="A1545" s="1" t="s">
        <v>17</v>
      </c>
      <c r="B1545" s="1">
        <v>2007.0</v>
      </c>
      <c r="C1545" s="1" t="s">
        <v>18611</v>
      </c>
      <c r="D1545" s="1" t="s">
        <v>18612</v>
      </c>
      <c r="E1545" s="2" t="s">
        <v>18896</v>
      </c>
      <c r="F1545" s="1">
        <v>1400.0</v>
      </c>
      <c r="G1545" s="1">
        <v>1407.0</v>
      </c>
      <c r="H1545" s="1" t="s">
        <v>17059</v>
      </c>
      <c r="I1545" s="1" t="s">
        <v>18615</v>
      </c>
      <c r="J1545" s="1" t="s">
        <v>18616</v>
      </c>
      <c r="K1545" s="1"/>
      <c r="L1545" s="1" t="s">
        <v>18909</v>
      </c>
      <c r="M1545" s="1" t="s">
        <v>18619</v>
      </c>
      <c r="N1545" s="1" t="s">
        <v>18620</v>
      </c>
    </row>
    <row r="1546">
      <c r="A1546" s="1" t="s">
        <v>2137</v>
      </c>
      <c r="B1546" s="1">
        <v>2007.0</v>
      </c>
      <c r="C1546" s="1" t="s">
        <v>18073</v>
      </c>
      <c r="D1546" s="1" t="s">
        <v>18074</v>
      </c>
      <c r="E1546" s="2" t="s">
        <v>18912</v>
      </c>
      <c r="F1546" s="1">
        <v>1192.0</v>
      </c>
      <c r="G1546" s="1">
        <v>1199.0</v>
      </c>
      <c r="H1546" s="1" t="s">
        <v>17059</v>
      </c>
      <c r="I1546" s="1" t="s">
        <v>18077</v>
      </c>
      <c r="J1546" s="1" t="s">
        <v>18078</v>
      </c>
      <c r="K1546" s="1"/>
      <c r="L1546" s="1" t="s">
        <v>18920</v>
      </c>
      <c r="M1546" s="1" t="s">
        <v>18080</v>
      </c>
      <c r="N1546" s="1" t="s">
        <v>18081</v>
      </c>
    </row>
    <row r="1547">
      <c r="A1547" s="1" t="s">
        <v>2137</v>
      </c>
      <c r="B1547" s="1">
        <v>2007.0</v>
      </c>
      <c r="C1547" s="1" t="s">
        <v>18082</v>
      </c>
      <c r="D1547" s="1" t="s">
        <v>18084</v>
      </c>
      <c r="E1547" s="2" t="s">
        <v>18926</v>
      </c>
      <c r="F1547" s="1">
        <v>1105.0</v>
      </c>
      <c r="G1547" s="1">
        <v>1112.0</v>
      </c>
      <c r="H1547" s="1" t="s">
        <v>17059</v>
      </c>
      <c r="I1547" s="1" t="s">
        <v>18086</v>
      </c>
      <c r="J1547" s="1" t="s">
        <v>18087</v>
      </c>
      <c r="K1547" s="1"/>
      <c r="L1547" s="1" t="s">
        <v>18942</v>
      </c>
      <c r="M1547" s="1" t="s">
        <v>18088</v>
      </c>
      <c r="N1547" s="1" t="s">
        <v>18089</v>
      </c>
    </row>
    <row r="1548">
      <c r="A1548" s="1" t="s">
        <v>17</v>
      </c>
      <c r="B1548" s="1">
        <v>2007.0</v>
      </c>
      <c r="C1548" s="1" t="s">
        <v>18621</v>
      </c>
      <c r="D1548" s="1" t="s">
        <v>18622</v>
      </c>
      <c r="E1548" s="2" t="s">
        <v>18944</v>
      </c>
      <c r="F1548" s="1">
        <v>1408.0</v>
      </c>
      <c r="G1548" s="1">
        <v>1415.0</v>
      </c>
      <c r="H1548" s="1" t="s">
        <v>17059</v>
      </c>
      <c r="I1548" s="1" t="s">
        <v>18623</v>
      </c>
      <c r="J1548" s="1" t="s">
        <v>18624</v>
      </c>
      <c r="K1548" s="1"/>
      <c r="L1548" s="1" t="s">
        <v>18954</v>
      </c>
      <c r="M1548" s="1" t="s">
        <v>18627</v>
      </c>
      <c r="N1548" s="1" t="s">
        <v>18628</v>
      </c>
    </row>
    <row r="1549">
      <c r="A1549" s="1" t="s">
        <v>17</v>
      </c>
      <c r="B1549" s="1">
        <v>2007.0</v>
      </c>
      <c r="C1549" s="1" t="s">
        <v>18629</v>
      </c>
      <c r="D1549" s="1" t="s">
        <v>18630</v>
      </c>
      <c r="E1549" s="2" t="s">
        <v>18961</v>
      </c>
      <c r="F1549" s="1">
        <v>1712.0</v>
      </c>
      <c r="G1549" s="1">
        <v>1718.0</v>
      </c>
      <c r="H1549" s="1" t="s">
        <v>17059</v>
      </c>
      <c r="I1549" s="1" t="s">
        <v>18631</v>
      </c>
      <c r="J1549" s="1" t="s">
        <v>18970</v>
      </c>
      <c r="K1549" s="1"/>
      <c r="L1549" s="1" t="s">
        <v>18972</v>
      </c>
      <c r="M1549" s="1" t="s">
        <v>18635</v>
      </c>
      <c r="N1549" s="1" t="s">
        <v>18636</v>
      </c>
    </row>
    <row r="1550">
      <c r="A1550" s="1" t="s">
        <v>2137</v>
      </c>
      <c r="B1550" s="1">
        <v>2007.0</v>
      </c>
      <c r="C1550" s="1" t="s">
        <v>18090</v>
      </c>
      <c r="D1550" s="1" t="s">
        <v>18091</v>
      </c>
      <c r="E1550" s="2" t="s">
        <v>18974</v>
      </c>
      <c r="F1550" s="1">
        <v>1254.0</v>
      </c>
      <c r="G1550" s="1">
        <v>1261.0</v>
      </c>
      <c r="H1550" s="1" t="s">
        <v>17059</v>
      </c>
      <c r="I1550" s="1" t="s">
        <v>18092</v>
      </c>
      <c r="J1550" s="1" t="s">
        <v>18093</v>
      </c>
      <c r="K1550" s="1"/>
      <c r="L1550" s="1" t="s">
        <v>18975</v>
      </c>
      <c r="M1550" s="1" t="s">
        <v>13096</v>
      </c>
      <c r="N1550" s="1" t="s">
        <v>18096</v>
      </c>
    </row>
    <row r="1551">
      <c r="A1551" s="1" t="s">
        <v>2137</v>
      </c>
      <c r="B1551" s="1">
        <v>2007.0</v>
      </c>
      <c r="C1551" s="1" t="s">
        <v>18099</v>
      </c>
      <c r="D1551" s="1" t="s">
        <v>18100</v>
      </c>
      <c r="E1551" s="2" t="s">
        <v>19010</v>
      </c>
      <c r="F1551" s="1">
        <v>1286.0</v>
      </c>
      <c r="G1551" s="1">
        <v>1293.0</v>
      </c>
      <c r="H1551" s="1" t="s">
        <v>17059</v>
      </c>
      <c r="I1551" s="1" t="s">
        <v>18101</v>
      </c>
      <c r="J1551" s="1" t="s">
        <v>18102</v>
      </c>
      <c r="K1551" s="1"/>
      <c r="L1551" s="1" t="s">
        <v>19019</v>
      </c>
      <c r="M1551" s="1" t="s">
        <v>18104</v>
      </c>
      <c r="N1551" s="1" t="s">
        <v>18105</v>
      </c>
    </row>
    <row r="1552">
      <c r="A1552" s="1" t="s">
        <v>17</v>
      </c>
      <c r="B1552" s="1">
        <v>2007.0</v>
      </c>
      <c r="C1552" s="1" t="s">
        <v>18637</v>
      </c>
      <c r="D1552" s="1" t="s">
        <v>18638</v>
      </c>
      <c r="E1552" s="2" t="s">
        <v>19022</v>
      </c>
      <c r="F1552" s="1">
        <v>1640.0</v>
      </c>
      <c r="G1552" s="1">
        <v>1647.0</v>
      </c>
      <c r="H1552" s="1" t="s">
        <v>17059</v>
      </c>
      <c r="I1552" s="1" t="s">
        <v>18639</v>
      </c>
      <c r="J1552" s="1" t="s">
        <v>18640</v>
      </c>
      <c r="K1552" s="1"/>
      <c r="L1552" s="1" t="s">
        <v>19034</v>
      </c>
      <c r="M1552" s="1" t="s">
        <v>18643</v>
      </c>
      <c r="N1552" s="1" t="s">
        <v>18644</v>
      </c>
    </row>
    <row r="1553">
      <c r="A1553" s="1" t="s">
        <v>17</v>
      </c>
      <c r="B1553" s="1">
        <v>2007.0</v>
      </c>
      <c r="C1553" s="1" t="s">
        <v>18645</v>
      </c>
      <c r="D1553" s="1" t="s">
        <v>18646</v>
      </c>
      <c r="E1553" s="2" t="s">
        <v>19038</v>
      </c>
      <c r="F1553" s="1">
        <v>1488.0</v>
      </c>
      <c r="G1553" s="1">
        <v>1495.0</v>
      </c>
      <c r="H1553" s="1" t="s">
        <v>17059</v>
      </c>
      <c r="I1553" s="1" t="s">
        <v>18647</v>
      </c>
      <c r="J1553" s="1" t="s">
        <v>18648</v>
      </c>
      <c r="K1553" s="1"/>
      <c r="L1553" s="1" t="s">
        <v>19053</v>
      </c>
      <c r="M1553" s="1" t="s">
        <v>18651</v>
      </c>
      <c r="N1553" s="1" t="s">
        <v>18652</v>
      </c>
    </row>
    <row r="1554">
      <c r="A1554" s="1" t="s">
        <v>17</v>
      </c>
      <c r="B1554" s="1">
        <v>2007.0</v>
      </c>
      <c r="C1554" s="1" t="s">
        <v>18653</v>
      </c>
      <c r="D1554" s="1" t="s">
        <v>18654</v>
      </c>
      <c r="E1554" s="2" t="s">
        <v>19055</v>
      </c>
      <c r="F1554" s="1">
        <v>1584.0</v>
      </c>
      <c r="G1554" s="1">
        <v>1591.0</v>
      </c>
      <c r="H1554" s="1" t="s">
        <v>17059</v>
      </c>
      <c r="I1554" s="1" t="s">
        <v>18655</v>
      </c>
      <c r="J1554" s="1" t="s">
        <v>19056</v>
      </c>
      <c r="K1554" s="1"/>
      <c r="L1554" s="1" t="s">
        <v>19057</v>
      </c>
      <c r="M1554" s="1" t="s">
        <v>18658</v>
      </c>
      <c r="N1554" s="1" t="s">
        <v>18659</v>
      </c>
    </row>
    <row r="1555">
      <c r="A1555" s="1" t="s">
        <v>2137</v>
      </c>
      <c r="B1555" s="1">
        <v>2007.0</v>
      </c>
      <c r="C1555" s="1" t="s">
        <v>18106</v>
      </c>
      <c r="D1555" s="1" t="s">
        <v>18107</v>
      </c>
      <c r="E1555" s="2" t="s">
        <v>19058</v>
      </c>
      <c r="F1555" s="1">
        <v>1216.0</v>
      </c>
      <c r="G1555" s="1">
        <v>1223.0</v>
      </c>
      <c r="H1555" s="1" t="s">
        <v>17059</v>
      </c>
      <c r="I1555" s="1" t="s">
        <v>18110</v>
      </c>
      <c r="J1555" s="1" t="s">
        <v>17256</v>
      </c>
      <c r="K1555" s="1"/>
      <c r="L1555" s="1" t="s">
        <v>19059</v>
      </c>
      <c r="M1555" s="1" t="s">
        <v>18111</v>
      </c>
      <c r="N1555" s="1" t="s">
        <v>18112</v>
      </c>
    </row>
    <row r="1556">
      <c r="A1556" s="1" t="s">
        <v>17</v>
      </c>
      <c r="B1556" s="1">
        <v>2007.0</v>
      </c>
      <c r="C1556" s="1" t="s">
        <v>18660</v>
      </c>
      <c r="D1556" s="1" t="s">
        <v>18661</v>
      </c>
      <c r="E1556" s="2" t="s">
        <v>19060</v>
      </c>
      <c r="F1556" s="1">
        <v>1360.0</v>
      </c>
      <c r="G1556" s="1">
        <v>1367.0</v>
      </c>
      <c r="H1556" s="1" t="s">
        <v>17059</v>
      </c>
      <c r="I1556" s="1" t="s">
        <v>18662</v>
      </c>
      <c r="J1556" s="1" t="s">
        <v>18663</v>
      </c>
      <c r="K1556" s="1"/>
      <c r="L1556" s="1" t="s">
        <v>19062</v>
      </c>
      <c r="M1556" s="1" t="s">
        <v>5057</v>
      </c>
      <c r="N1556" s="1" t="s">
        <v>18666</v>
      </c>
    </row>
    <row r="1557">
      <c r="A1557" s="1" t="s">
        <v>2137</v>
      </c>
      <c r="B1557" s="1">
        <v>2007.0</v>
      </c>
      <c r="C1557" s="1" t="s">
        <v>18113</v>
      </c>
      <c r="D1557" s="1" t="s">
        <v>18114</v>
      </c>
      <c r="E1557" s="2" t="s">
        <v>19069</v>
      </c>
      <c r="F1557" s="1">
        <v>1113.0</v>
      </c>
      <c r="G1557" s="1">
        <v>1120.0</v>
      </c>
      <c r="H1557" s="1" t="s">
        <v>17059</v>
      </c>
      <c r="I1557" s="1" t="s">
        <v>18115</v>
      </c>
      <c r="J1557" s="1" t="s">
        <v>18116</v>
      </c>
      <c r="K1557" s="1"/>
      <c r="L1557" s="1" t="s">
        <v>19078</v>
      </c>
      <c r="M1557" s="1" t="s">
        <v>18118</v>
      </c>
      <c r="N1557" s="1" t="s">
        <v>18119</v>
      </c>
    </row>
    <row r="1558">
      <c r="A1558" s="1" t="s">
        <v>17</v>
      </c>
      <c r="B1558" s="1">
        <v>2007.0</v>
      </c>
      <c r="C1558" s="1" t="s">
        <v>18667</v>
      </c>
      <c r="D1558" s="1" t="s">
        <v>18668</v>
      </c>
      <c r="E1558" s="2" t="s">
        <v>19081</v>
      </c>
      <c r="F1558" s="1">
        <v>1328.0</v>
      </c>
      <c r="G1558" s="1">
        <v>1335.0</v>
      </c>
      <c r="H1558" s="1" t="s">
        <v>17059</v>
      </c>
      <c r="I1558" s="1" t="s">
        <v>18669</v>
      </c>
      <c r="J1558" s="1" t="s">
        <v>18670</v>
      </c>
      <c r="K1558" s="1"/>
      <c r="L1558" s="1" t="s">
        <v>19089</v>
      </c>
      <c r="M1558" s="1" t="s">
        <v>18673</v>
      </c>
      <c r="N1558" s="1" t="s">
        <v>18674</v>
      </c>
    </row>
    <row r="1559">
      <c r="A1559" s="1" t="s">
        <v>2137</v>
      </c>
      <c r="B1559" s="1">
        <v>2007.0</v>
      </c>
      <c r="C1559" s="1" t="s">
        <v>18120</v>
      </c>
      <c r="D1559" s="1" t="s">
        <v>18122</v>
      </c>
      <c r="E1559" s="2" t="s">
        <v>19091</v>
      </c>
      <c r="F1559" s="1">
        <v>1240.0</v>
      </c>
      <c r="G1559" s="1">
        <v>1247.0</v>
      </c>
      <c r="H1559" s="1" t="s">
        <v>17059</v>
      </c>
      <c r="I1559" s="1" t="s">
        <v>19105</v>
      </c>
      <c r="J1559" s="1" t="s">
        <v>18127</v>
      </c>
      <c r="K1559" s="1"/>
      <c r="L1559" s="1" t="s">
        <v>19106</v>
      </c>
      <c r="M1559" s="1" t="s">
        <v>18130</v>
      </c>
      <c r="N1559" s="1" t="s">
        <v>18131</v>
      </c>
    </row>
    <row r="1560">
      <c r="A1560" s="1" t="s">
        <v>2137</v>
      </c>
      <c r="B1560" s="1">
        <v>2007.0</v>
      </c>
      <c r="C1560" s="1" t="s">
        <v>18132</v>
      </c>
      <c r="D1560" s="1" t="s">
        <v>18133</v>
      </c>
      <c r="E1560" s="2" t="s">
        <v>19109</v>
      </c>
      <c r="F1560" s="1">
        <v>1248.0</v>
      </c>
      <c r="G1560" s="1">
        <v>1253.0</v>
      </c>
      <c r="H1560" s="1" t="s">
        <v>17059</v>
      </c>
      <c r="I1560" s="1" t="s">
        <v>18134</v>
      </c>
      <c r="J1560" s="1" t="s">
        <v>18135</v>
      </c>
      <c r="K1560" s="1"/>
      <c r="L1560" s="1" t="s">
        <v>19120</v>
      </c>
      <c r="M1560" s="1" t="s">
        <v>18136</v>
      </c>
      <c r="N1560" s="1" t="s">
        <v>18137</v>
      </c>
    </row>
    <row r="1561">
      <c r="A1561" s="1" t="s">
        <v>2137</v>
      </c>
      <c r="B1561" s="1">
        <v>2007.0</v>
      </c>
      <c r="C1561" s="1" t="s">
        <v>18138</v>
      </c>
      <c r="D1561" s="1" t="s">
        <v>18140</v>
      </c>
      <c r="E1561" s="2" t="s">
        <v>19124</v>
      </c>
      <c r="F1561" s="1">
        <v>1145.0</v>
      </c>
      <c r="G1561" s="1">
        <v>1152.0</v>
      </c>
      <c r="H1561" s="1" t="s">
        <v>17059</v>
      </c>
      <c r="I1561" s="1" t="s">
        <v>18142</v>
      </c>
      <c r="J1561" s="1" t="s">
        <v>18143</v>
      </c>
      <c r="K1561" s="1"/>
      <c r="L1561" s="1" t="s">
        <v>19135</v>
      </c>
      <c r="M1561" s="1" t="s">
        <v>18146</v>
      </c>
      <c r="N1561" s="1" t="s">
        <v>18147</v>
      </c>
    </row>
    <row r="1562">
      <c r="A1562" s="1" t="s">
        <v>17</v>
      </c>
      <c r="B1562" s="1">
        <v>2007.0</v>
      </c>
      <c r="C1562" s="1" t="s">
        <v>18675</v>
      </c>
      <c r="D1562" s="1" t="s">
        <v>18676</v>
      </c>
      <c r="E1562" s="2" t="s">
        <v>19138</v>
      </c>
      <c r="F1562" s="1">
        <v>1664.0</v>
      </c>
      <c r="G1562" s="1">
        <v>1671.0</v>
      </c>
      <c r="H1562" s="1" t="s">
        <v>17059</v>
      </c>
      <c r="I1562" s="1" t="s">
        <v>18677</v>
      </c>
      <c r="J1562" s="1" t="s">
        <v>18678</v>
      </c>
      <c r="K1562" s="1"/>
      <c r="L1562" s="1" t="s">
        <v>19151</v>
      </c>
      <c r="M1562" s="1" t="s">
        <v>18680</v>
      </c>
      <c r="N1562" s="1" t="s">
        <v>18681</v>
      </c>
    </row>
    <row r="1563">
      <c r="A1563" s="1" t="s">
        <v>17</v>
      </c>
      <c r="B1563" s="1">
        <v>2007.0</v>
      </c>
      <c r="C1563" s="1" t="s">
        <v>18682</v>
      </c>
      <c r="D1563" s="1" t="s">
        <v>18683</v>
      </c>
      <c r="E1563" s="2" t="s">
        <v>19155</v>
      </c>
      <c r="F1563" s="1">
        <v>1528.0</v>
      </c>
      <c r="G1563" s="1">
        <v>1535.0</v>
      </c>
      <c r="H1563" s="1" t="s">
        <v>17059</v>
      </c>
      <c r="I1563" s="1" t="s">
        <v>18684</v>
      </c>
      <c r="J1563" s="1" t="s">
        <v>18685</v>
      </c>
      <c r="K1563" s="1"/>
      <c r="L1563" s="1" t="s">
        <v>18909</v>
      </c>
      <c r="M1563" s="1" t="s">
        <v>18688</v>
      </c>
      <c r="N1563" s="1" t="s">
        <v>18689</v>
      </c>
    </row>
    <row r="1564">
      <c r="A1564" s="1" t="s">
        <v>17</v>
      </c>
      <c r="B1564" s="1">
        <v>2007.0</v>
      </c>
      <c r="C1564" s="1" t="s">
        <v>18690</v>
      </c>
      <c r="D1564" s="1" t="s">
        <v>18691</v>
      </c>
      <c r="E1564" s="2" t="s">
        <v>19202</v>
      </c>
      <c r="F1564" s="1">
        <v>1568.0</v>
      </c>
      <c r="G1564" s="1">
        <v>1575.0</v>
      </c>
      <c r="H1564" s="1" t="s">
        <v>17059</v>
      </c>
      <c r="I1564" s="1" t="s">
        <v>18692</v>
      </c>
      <c r="J1564" s="1" t="s">
        <v>18693</v>
      </c>
      <c r="K1564" s="1"/>
      <c r="L1564" s="1" t="s">
        <v>19217</v>
      </c>
      <c r="M1564" s="1" t="s">
        <v>18696</v>
      </c>
      <c r="N1564" s="1" t="s">
        <v>18697</v>
      </c>
    </row>
    <row r="1565">
      <c r="A1565" s="1" t="s">
        <v>17</v>
      </c>
      <c r="B1565" s="1">
        <v>2007.0</v>
      </c>
      <c r="C1565" s="1" t="s">
        <v>18698</v>
      </c>
      <c r="D1565" s="1" t="s">
        <v>18699</v>
      </c>
      <c r="E1565" s="2" t="s">
        <v>19220</v>
      </c>
      <c r="F1565" s="1">
        <v>1759.0</v>
      </c>
      <c r="G1565" s="1">
        <v>1766.0</v>
      </c>
      <c r="H1565" s="1" t="s">
        <v>17059</v>
      </c>
      <c r="I1565" s="1" t="s">
        <v>18700</v>
      </c>
      <c r="J1565" s="1" t="s">
        <v>18701</v>
      </c>
      <c r="K1565" s="1"/>
      <c r="L1565" s="1" t="s">
        <v>19235</v>
      </c>
      <c r="M1565" s="1" t="s">
        <v>18703</v>
      </c>
      <c r="N1565" s="1" t="s">
        <v>18704</v>
      </c>
    </row>
    <row r="1566">
      <c r="A1566" s="1" t="s">
        <v>17</v>
      </c>
      <c r="B1566" s="1">
        <v>2007.0</v>
      </c>
      <c r="C1566" s="1" t="s">
        <v>18705</v>
      </c>
      <c r="D1566" s="1" t="s">
        <v>18706</v>
      </c>
      <c r="E1566" s="2" t="s">
        <v>19241</v>
      </c>
      <c r="F1566" s="1">
        <v>1632.0</v>
      </c>
      <c r="G1566" s="1">
        <v>1639.0</v>
      </c>
      <c r="H1566" s="1" t="s">
        <v>17059</v>
      </c>
      <c r="I1566" s="1" t="s">
        <v>18707</v>
      </c>
      <c r="J1566" s="1" t="s">
        <v>19251</v>
      </c>
      <c r="K1566" s="1"/>
      <c r="L1566" s="1" t="s">
        <v>19367</v>
      </c>
      <c r="M1566" s="1" t="s">
        <v>18711</v>
      </c>
      <c r="N1566" s="1" t="s">
        <v>18712</v>
      </c>
    </row>
    <row r="1567">
      <c r="A1567" s="1" t="s">
        <v>17</v>
      </c>
      <c r="B1567" s="1">
        <v>2007.0</v>
      </c>
      <c r="C1567" s="1" t="s">
        <v>18713</v>
      </c>
      <c r="D1567" s="1" t="s">
        <v>18714</v>
      </c>
      <c r="E1567" s="2" t="s">
        <v>19368</v>
      </c>
      <c r="F1567" s="1">
        <v>1464.0</v>
      </c>
      <c r="G1567" s="1">
        <v>1471.0</v>
      </c>
      <c r="H1567" s="1" t="s">
        <v>17059</v>
      </c>
      <c r="I1567" s="1" t="s">
        <v>18715</v>
      </c>
      <c r="J1567" s="1" t="s">
        <v>18716</v>
      </c>
      <c r="K1567" s="1"/>
      <c r="L1567" s="1" t="s">
        <v>19369</v>
      </c>
      <c r="M1567" s="1" t="s">
        <v>14759</v>
      </c>
      <c r="N1567" s="1" t="s">
        <v>18719</v>
      </c>
    </row>
    <row r="1568">
      <c r="A1568" s="1" t="s">
        <v>17</v>
      </c>
      <c r="B1568" s="1">
        <v>2007.0</v>
      </c>
      <c r="C1568" s="1" t="s">
        <v>18720</v>
      </c>
      <c r="D1568" s="1" t="s">
        <v>18721</v>
      </c>
      <c r="E1568" s="2" t="s">
        <v>19370</v>
      </c>
      <c r="F1568" s="1">
        <v>1440.0</v>
      </c>
      <c r="G1568" s="1">
        <v>1447.0</v>
      </c>
      <c r="H1568" s="1" t="s">
        <v>17059</v>
      </c>
      <c r="I1568" s="1" t="s">
        <v>18722</v>
      </c>
      <c r="J1568" s="1" t="s">
        <v>18723</v>
      </c>
      <c r="K1568" s="1"/>
      <c r="L1568" s="1" t="s">
        <v>18909</v>
      </c>
      <c r="M1568" s="1" t="s">
        <v>18725</v>
      </c>
      <c r="N1568" s="1" t="s">
        <v>16823</v>
      </c>
    </row>
    <row r="1569">
      <c r="A1569" s="1" t="s">
        <v>17</v>
      </c>
      <c r="B1569" s="1">
        <v>2007.0</v>
      </c>
      <c r="C1569" s="1" t="s">
        <v>18726</v>
      </c>
      <c r="D1569" s="1" t="s">
        <v>18727</v>
      </c>
      <c r="E1569" s="2" t="s">
        <v>19371</v>
      </c>
      <c r="F1569" s="1">
        <v>1512.0</v>
      </c>
      <c r="G1569" s="1">
        <v>1519.0</v>
      </c>
      <c r="H1569" s="1" t="s">
        <v>17059</v>
      </c>
      <c r="I1569" s="1" t="s">
        <v>18728</v>
      </c>
      <c r="J1569" s="1" t="s">
        <v>18729</v>
      </c>
      <c r="K1569" s="1"/>
      <c r="L1569" s="1" t="s">
        <v>19372</v>
      </c>
      <c r="M1569" s="1"/>
      <c r="N1569" s="1" t="s">
        <v>18732</v>
      </c>
    </row>
    <row r="1570">
      <c r="A1570" s="1" t="s">
        <v>17</v>
      </c>
      <c r="B1570" s="1">
        <v>2007.0</v>
      </c>
      <c r="C1570" s="1" t="s">
        <v>18733</v>
      </c>
      <c r="D1570" s="1" t="s">
        <v>18734</v>
      </c>
      <c r="E1570" s="2" t="s">
        <v>19373</v>
      </c>
      <c r="F1570" s="1">
        <v>1456.0</v>
      </c>
      <c r="G1570" s="1">
        <v>1463.0</v>
      </c>
      <c r="H1570" s="1" t="s">
        <v>17059</v>
      </c>
      <c r="I1570" s="1" t="s">
        <v>18735</v>
      </c>
      <c r="J1570" s="1" t="s">
        <v>18736</v>
      </c>
      <c r="K1570" s="1"/>
      <c r="L1570" s="1" t="s">
        <v>19374</v>
      </c>
      <c r="M1570" s="1" t="s">
        <v>18738</v>
      </c>
      <c r="N1570" s="1" t="s">
        <v>18739</v>
      </c>
    </row>
    <row r="1571">
      <c r="A1571" s="1" t="s">
        <v>17</v>
      </c>
      <c r="B1571" s="1">
        <v>2007.0</v>
      </c>
      <c r="C1571" s="1" t="s">
        <v>18740</v>
      </c>
      <c r="D1571" s="1" t="s">
        <v>18741</v>
      </c>
      <c r="E1571" s="2" t="s">
        <v>19375</v>
      </c>
      <c r="F1571" s="1">
        <v>1344.0</v>
      </c>
      <c r="G1571" s="1">
        <v>1351.0</v>
      </c>
      <c r="H1571" s="1" t="s">
        <v>17059</v>
      </c>
      <c r="I1571" s="1" t="s">
        <v>18742</v>
      </c>
      <c r="J1571" s="1" t="s">
        <v>16995</v>
      </c>
      <c r="K1571" s="1"/>
      <c r="L1571" s="1" t="s">
        <v>19376</v>
      </c>
      <c r="M1571" s="1" t="s">
        <v>18745</v>
      </c>
      <c r="N1571" s="1" t="s">
        <v>18746</v>
      </c>
    </row>
    <row r="1572">
      <c r="A1572" s="1" t="s">
        <v>2137</v>
      </c>
      <c r="B1572" s="1">
        <v>2007.0</v>
      </c>
      <c r="C1572" s="1" t="s">
        <v>18148</v>
      </c>
      <c r="D1572" s="1" t="s">
        <v>18149</v>
      </c>
      <c r="E1572" s="2" t="s">
        <v>19377</v>
      </c>
      <c r="F1572" s="1">
        <v>1294.0</v>
      </c>
      <c r="G1572" s="1">
        <v>1301.0</v>
      </c>
      <c r="H1572" s="1" t="s">
        <v>17059</v>
      </c>
      <c r="I1572" s="1" t="s">
        <v>18150</v>
      </c>
      <c r="J1572" s="1" t="s">
        <v>18151</v>
      </c>
      <c r="K1572" s="1"/>
      <c r="L1572" s="1" t="s">
        <v>19378</v>
      </c>
      <c r="M1572" s="1" t="s">
        <v>18152</v>
      </c>
      <c r="N1572" s="1" t="s">
        <v>18153</v>
      </c>
    </row>
    <row r="1573">
      <c r="A1573" s="1" t="s">
        <v>17</v>
      </c>
      <c r="B1573" s="1">
        <v>2007.0</v>
      </c>
      <c r="C1573" s="1" t="s">
        <v>18747</v>
      </c>
      <c r="D1573" s="1" t="s">
        <v>18748</v>
      </c>
      <c r="E1573" s="2" t="s">
        <v>19379</v>
      </c>
      <c r="F1573" s="1">
        <v>1735.0</v>
      </c>
      <c r="G1573" s="1">
        <v>1742.0</v>
      </c>
      <c r="H1573" s="1" t="s">
        <v>17059</v>
      </c>
      <c r="I1573" s="1" t="s">
        <v>18749</v>
      </c>
      <c r="J1573" s="1" t="s">
        <v>18750</v>
      </c>
      <c r="K1573" s="1"/>
      <c r="L1573" s="1" t="s">
        <v>19380</v>
      </c>
      <c r="M1573" s="1" t="s">
        <v>18752</v>
      </c>
      <c r="N1573" s="1" t="s">
        <v>18753</v>
      </c>
    </row>
    <row r="1574">
      <c r="A1574" s="1" t="s">
        <v>2137</v>
      </c>
      <c r="B1574" s="1">
        <v>2007.0</v>
      </c>
      <c r="C1574" s="1" t="s">
        <v>18154</v>
      </c>
      <c r="D1574" s="1" t="s">
        <v>18155</v>
      </c>
      <c r="E1574" s="2" t="s">
        <v>19381</v>
      </c>
      <c r="F1574" s="1">
        <v>1161.0</v>
      </c>
      <c r="G1574" s="1">
        <v>1168.0</v>
      </c>
      <c r="H1574" s="1" t="s">
        <v>17059</v>
      </c>
      <c r="I1574" s="1" t="s">
        <v>19382</v>
      </c>
      <c r="J1574" s="1" t="s">
        <v>18158</v>
      </c>
      <c r="K1574" s="1"/>
      <c r="L1574" s="1" t="s">
        <v>19383</v>
      </c>
      <c r="M1574" s="1"/>
      <c r="N1574" s="1" t="s">
        <v>18159</v>
      </c>
    </row>
    <row r="1575">
      <c r="A1575" s="1" t="s">
        <v>17</v>
      </c>
      <c r="B1575" s="1">
        <v>2007.0</v>
      </c>
      <c r="C1575" s="1" t="s">
        <v>18754</v>
      </c>
      <c r="D1575" s="1" t="s">
        <v>18755</v>
      </c>
      <c r="E1575" s="2" t="s">
        <v>19384</v>
      </c>
      <c r="F1575" s="1">
        <v>1656.0</v>
      </c>
      <c r="G1575" s="1">
        <v>1663.0</v>
      </c>
      <c r="H1575" s="1" t="s">
        <v>17059</v>
      </c>
      <c r="I1575" s="1" t="s">
        <v>18756</v>
      </c>
      <c r="J1575" s="1" t="s">
        <v>18757</v>
      </c>
      <c r="K1575" s="1"/>
      <c r="L1575" s="1" t="s">
        <v>19385</v>
      </c>
      <c r="M1575" s="1" t="s">
        <v>18760</v>
      </c>
      <c r="N1575" s="1" t="s">
        <v>18761</v>
      </c>
    </row>
    <row r="1576">
      <c r="A1576" s="1" t="s">
        <v>17</v>
      </c>
      <c r="B1576" s="1">
        <v>2007.0</v>
      </c>
      <c r="C1576" s="1" t="s">
        <v>18762</v>
      </c>
      <c r="D1576" s="1" t="s">
        <v>18763</v>
      </c>
      <c r="E1576" s="2" t="s">
        <v>19386</v>
      </c>
      <c r="F1576" s="1">
        <v>1696.0</v>
      </c>
      <c r="G1576" s="1">
        <v>1703.0</v>
      </c>
      <c r="H1576" s="1" t="s">
        <v>17059</v>
      </c>
      <c r="I1576" s="1" t="s">
        <v>18764</v>
      </c>
      <c r="J1576" s="1" t="s">
        <v>19404</v>
      </c>
      <c r="K1576" s="1"/>
      <c r="L1576" s="1" t="s">
        <v>19405</v>
      </c>
      <c r="M1576" s="1" t="s">
        <v>18766</v>
      </c>
      <c r="N1576" s="1" t="s">
        <v>18767</v>
      </c>
    </row>
    <row r="1577">
      <c r="A1577" s="1" t="s">
        <v>2137</v>
      </c>
      <c r="B1577" s="1">
        <v>2007.0</v>
      </c>
      <c r="C1577" s="1" t="s">
        <v>18161</v>
      </c>
      <c r="D1577" s="1" t="s">
        <v>18162</v>
      </c>
      <c r="E1577" s="2" t="s">
        <v>19406</v>
      </c>
      <c r="F1577" s="1">
        <v>1184.0</v>
      </c>
      <c r="G1577" s="1">
        <v>1191.0</v>
      </c>
      <c r="H1577" s="1" t="s">
        <v>17059</v>
      </c>
      <c r="I1577" s="1" t="s">
        <v>18163</v>
      </c>
      <c r="J1577" s="1" t="s">
        <v>18164</v>
      </c>
      <c r="K1577" s="1"/>
      <c r="L1577" s="1" t="s">
        <v>19414</v>
      </c>
      <c r="M1577" s="1" t="s">
        <v>18165</v>
      </c>
      <c r="N1577" s="1" t="s">
        <v>18166</v>
      </c>
    </row>
    <row r="1578">
      <c r="A1578" s="1" t="s">
        <v>17</v>
      </c>
      <c r="B1578" s="1">
        <v>2007.0</v>
      </c>
      <c r="C1578" s="1" t="s">
        <v>18768</v>
      </c>
      <c r="D1578" s="1" t="s">
        <v>18769</v>
      </c>
      <c r="E1578" s="2" t="s">
        <v>19415</v>
      </c>
      <c r="F1578" s="1">
        <v>1320.0</v>
      </c>
      <c r="G1578" s="1">
        <v>1327.0</v>
      </c>
      <c r="H1578" s="1" t="s">
        <v>17059</v>
      </c>
      <c r="I1578" s="1" t="s">
        <v>18770</v>
      </c>
      <c r="J1578" s="1" t="s">
        <v>18771</v>
      </c>
      <c r="K1578" s="1"/>
      <c r="L1578" s="1" t="s">
        <v>19416</v>
      </c>
      <c r="M1578" s="1" t="s">
        <v>18773</v>
      </c>
      <c r="N1578" s="1" t="s">
        <v>18774</v>
      </c>
    </row>
    <row r="1579">
      <c r="A1579" s="1" t="s">
        <v>17</v>
      </c>
      <c r="B1579" s="1">
        <v>2007.0</v>
      </c>
      <c r="C1579" s="1" t="s">
        <v>18775</v>
      </c>
      <c r="D1579" s="1" t="s">
        <v>18776</v>
      </c>
      <c r="E1579" s="2" t="s">
        <v>19417</v>
      </c>
      <c r="F1579" s="1">
        <v>1727.0</v>
      </c>
      <c r="G1579" s="1">
        <v>1734.0</v>
      </c>
      <c r="H1579" s="1" t="s">
        <v>17059</v>
      </c>
      <c r="I1579" s="1" t="s">
        <v>18777</v>
      </c>
      <c r="J1579" s="1" t="s">
        <v>18778</v>
      </c>
      <c r="K1579" s="1"/>
      <c r="L1579" s="1" t="s">
        <v>19418</v>
      </c>
      <c r="M1579" s="1" t="s">
        <v>18780</v>
      </c>
      <c r="N1579" s="1" t="s">
        <v>18781</v>
      </c>
    </row>
    <row r="1580">
      <c r="A1580" s="1" t="s">
        <v>17</v>
      </c>
      <c r="B1580" s="1">
        <v>2007.0</v>
      </c>
      <c r="C1580" s="1" t="s">
        <v>18782</v>
      </c>
      <c r="D1580" s="1" t="s">
        <v>18783</v>
      </c>
      <c r="E1580" s="2" t="s">
        <v>19419</v>
      </c>
      <c r="F1580" s="1">
        <v>1672.0</v>
      </c>
      <c r="G1580" s="1">
        <v>1679.0</v>
      </c>
      <c r="H1580" s="1" t="s">
        <v>17059</v>
      </c>
      <c r="I1580" s="1" t="s">
        <v>18784</v>
      </c>
      <c r="J1580" s="1" t="s">
        <v>18785</v>
      </c>
      <c r="K1580" s="1"/>
      <c r="L1580" s="1" t="s">
        <v>19469</v>
      </c>
      <c r="M1580" s="1" t="s">
        <v>18787</v>
      </c>
      <c r="N1580" s="1" t="s">
        <v>18788</v>
      </c>
    </row>
    <row r="1581">
      <c r="A1581" s="1" t="s">
        <v>2137</v>
      </c>
      <c r="B1581" s="1">
        <v>2007.0</v>
      </c>
      <c r="C1581" s="1" t="s">
        <v>18167</v>
      </c>
      <c r="D1581" s="1" t="s">
        <v>18168</v>
      </c>
      <c r="E1581" s="2" t="s">
        <v>19470</v>
      </c>
      <c r="F1581" s="1">
        <v>1232.0</v>
      </c>
      <c r="G1581" s="1">
        <v>1239.0</v>
      </c>
      <c r="H1581" s="1" t="s">
        <v>17059</v>
      </c>
      <c r="I1581" s="1" t="s">
        <v>18170</v>
      </c>
      <c r="J1581" s="1" t="s">
        <v>18171</v>
      </c>
      <c r="K1581" s="1"/>
      <c r="L1581" s="1" t="s">
        <v>19471</v>
      </c>
      <c r="M1581" s="1" t="s">
        <v>18172</v>
      </c>
      <c r="N1581" s="1" t="s">
        <v>18173</v>
      </c>
    </row>
    <row r="1582">
      <c r="A1582" s="1" t="s">
        <v>17</v>
      </c>
      <c r="B1582" s="1">
        <v>2007.0</v>
      </c>
      <c r="C1582" s="1" t="s">
        <v>18789</v>
      </c>
      <c r="D1582" s="1" t="s">
        <v>18790</v>
      </c>
      <c r="E1582" s="2" t="s">
        <v>19472</v>
      </c>
      <c r="F1582" s="1">
        <v>1392.0</v>
      </c>
      <c r="G1582" s="1">
        <v>1399.0</v>
      </c>
      <c r="H1582" s="1" t="s">
        <v>17059</v>
      </c>
      <c r="I1582" s="1" t="s">
        <v>18791</v>
      </c>
      <c r="J1582" s="1" t="s">
        <v>18792</v>
      </c>
      <c r="K1582" s="1"/>
      <c r="L1582" s="1" t="s">
        <v>19473</v>
      </c>
      <c r="M1582" s="1" t="s">
        <v>6057</v>
      </c>
      <c r="N1582" s="1" t="s">
        <v>18795</v>
      </c>
    </row>
    <row r="1583">
      <c r="A1583" s="1" t="s">
        <v>2137</v>
      </c>
      <c r="B1583" s="1">
        <v>2007.0</v>
      </c>
      <c r="C1583" s="1" t="s">
        <v>18175</v>
      </c>
      <c r="D1583" s="1" t="s">
        <v>18176</v>
      </c>
      <c r="E1583" s="2" t="s">
        <v>19474</v>
      </c>
      <c r="F1583" s="1">
        <v>1176.0</v>
      </c>
      <c r="G1583" s="1">
        <v>1183.0</v>
      </c>
      <c r="H1583" s="1" t="s">
        <v>17059</v>
      </c>
      <c r="I1583" s="1" t="s">
        <v>18177</v>
      </c>
      <c r="J1583" s="1" t="s">
        <v>18178</v>
      </c>
      <c r="K1583" s="1"/>
      <c r="L1583" s="1" t="s">
        <v>19475</v>
      </c>
      <c r="M1583" s="1" t="s">
        <v>18180</v>
      </c>
      <c r="N1583" s="1" t="s">
        <v>18181</v>
      </c>
    </row>
    <row r="1584">
      <c r="A1584" s="1" t="s">
        <v>17</v>
      </c>
      <c r="B1584" s="1">
        <v>2007.0</v>
      </c>
      <c r="C1584" s="1" t="s">
        <v>18796</v>
      </c>
      <c r="D1584" s="1" t="s">
        <v>18797</v>
      </c>
      <c r="E1584" s="2" t="s">
        <v>19476</v>
      </c>
      <c r="F1584" s="1">
        <v>1480.0</v>
      </c>
      <c r="G1584" s="1">
        <v>1487.0</v>
      </c>
      <c r="H1584" s="1" t="s">
        <v>17059</v>
      </c>
      <c r="I1584" s="1" t="s">
        <v>18798</v>
      </c>
      <c r="J1584" s="1" t="s">
        <v>18799</v>
      </c>
      <c r="K1584" s="1"/>
      <c r="L1584" s="1" t="s">
        <v>19477</v>
      </c>
      <c r="M1584" s="1" t="s">
        <v>18802</v>
      </c>
      <c r="N1584" s="1" t="s">
        <v>18803</v>
      </c>
    </row>
    <row r="1585">
      <c r="A1585" s="1" t="s">
        <v>17</v>
      </c>
      <c r="B1585" s="1">
        <v>2007.0</v>
      </c>
      <c r="C1585" s="1" t="s">
        <v>18804</v>
      </c>
      <c r="D1585" s="1" t="s">
        <v>18805</v>
      </c>
      <c r="E1585" s="2" t="s">
        <v>19478</v>
      </c>
      <c r="F1585" s="1">
        <v>1424.0</v>
      </c>
      <c r="G1585" s="1">
        <v>1431.0</v>
      </c>
      <c r="H1585" s="1" t="s">
        <v>17059</v>
      </c>
      <c r="I1585" s="1" t="s">
        <v>18806</v>
      </c>
      <c r="J1585" s="1" t="s">
        <v>18807</v>
      </c>
      <c r="K1585" s="1"/>
      <c r="L1585" s="1" t="s">
        <v>19500</v>
      </c>
      <c r="M1585" s="1" t="s">
        <v>18810</v>
      </c>
      <c r="N1585" s="1" t="s">
        <v>18811</v>
      </c>
    </row>
    <row r="1586">
      <c r="A1586" s="1" t="s">
        <v>17</v>
      </c>
      <c r="B1586" s="1">
        <v>2007.0</v>
      </c>
      <c r="C1586" s="1" t="s">
        <v>18812</v>
      </c>
      <c r="D1586" s="1" t="s">
        <v>18813</v>
      </c>
      <c r="E1586" s="2" t="s">
        <v>19501</v>
      </c>
      <c r="F1586" s="1">
        <v>1576.0</v>
      </c>
      <c r="G1586" s="1">
        <v>1583.0</v>
      </c>
      <c r="H1586" s="1" t="s">
        <v>17059</v>
      </c>
      <c r="I1586" s="1" t="s">
        <v>18814</v>
      </c>
      <c r="J1586" s="1" t="s">
        <v>18815</v>
      </c>
      <c r="K1586" s="1"/>
      <c r="L1586" s="1" t="s">
        <v>19530</v>
      </c>
      <c r="M1586" s="1" t="s">
        <v>18818</v>
      </c>
      <c r="N1586" s="1" t="s">
        <v>18819</v>
      </c>
    </row>
    <row r="1587">
      <c r="A1587" s="1" t="s">
        <v>2137</v>
      </c>
      <c r="B1587" s="1">
        <v>2007.0</v>
      </c>
      <c r="C1587" s="1" t="s">
        <v>18182</v>
      </c>
      <c r="D1587" s="1" t="s">
        <v>18183</v>
      </c>
      <c r="E1587" s="2" t="s">
        <v>19531</v>
      </c>
      <c r="F1587" s="1">
        <v>1169.0</v>
      </c>
      <c r="G1587" s="1">
        <v>1175.0</v>
      </c>
      <c r="H1587" s="1" t="s">
        <v>17059</v>
      </c>
      <c r="I1587" s="1" t="s">
        <v>18185</v>
      </c>
      <c r="J1587" s="1" t="s">
        <v>18186</v>
      </c>
      <c r="K1587" s="1"/>
      <c r="L1587" s="1" t="s">
        <v>19532</v>
      </c>
      <c r="M1587" s="1" t="s">
        <v>18187</v>
      </c>
      <c r="N1587" s="1" t="s">
        <v>18189</v>
      </c>
    </row>
    <row r="1588">
      <c r="A1588" s="1" t="s">
        <v>17</v>
      </c>
      <c r="B1588" s="1">
        <v>2007.0</v>
      </c>
      <c r="C1588" s="1" t="s">
        <v>18820</v>
      </c>
      <c r="D1588" s="1" t="s">
        <v>18821</v>
      </c>
      <c r="E1588" s="2" t="s">
        <v>19533</v>
      </c>
      <c r="F1588" s="1">
        <v>1680.0</v>
      </c>
      <c r="G1588" s="1">
        <v>1687.0</v>
      </c>
      <c r="H1588" s="1" t="s">
        <v>17059</v>
      </c>
      <c r="I1588" s="1" t="s">
        <v>19534</v>
      </c>
      <c r="J1588" s="1" t="s">
        <v>18825</v>
      </c>
      <c r="K1588" s="1"/>
      <c r="L1588" s="1" t="s">
        <v>19535</v>
      </c>
      <c r="M1588" s="1" t="s">
        <v>18787</v>
      </c>
      <c r="N1588" s="1" t="s">
        <v>18827</v>
      </c>
    </row>
    <row r="1589">
      <c r="A1589" s="1" t="s">
        <v>17</v>
      </c>
      <c r="B1589" s="1">
        <v>2007.0</v>
      </c>
      <c r="C1589" s="1" t="s">
        <v>18828</v>
      </c>
      <c r="D1589" s="1" t="s">
        <v>18829</v>
      </c>
      <c r="E1589" s="2" t="s">
        <v>19536</v>
      </c>
      <c r="F1589" s="1">
        <v>1544.0</v>
      </c>
      <c r="G1589" s="1">
        <v>1551.0</v>
      </c>
      <c r="H1589" s="1" t="s">
        <v>17059</v>
      </c>
      <c r="I1589" s="1" t="s">
        <v>18830</v>
      </c>
      <c r="J1589" s="1" t="s">
        <v>19537</v>
      </c>
      <c r="K1589" s="1"/>
      <c r="L1589" s="1" t="s">
        <v>19538</v>
      </c>
      <c r="M1589" s="1" t="s">
        <v>18833</v>
      </c>
      <c r="N1589" s="1" t="s">
        <v>18834</v>
      </c>
    </row>
    <row r="1590">
      <c r="A1590" s="1" t="s">
        <v>2137</v>
      </c>
      <c r="B1590" s="1">
        <v>2007.0</v>
      </c>
      <c r="C1590" s="1" t="s">
        <v>18190</v>
      </c>
      <c r="D1590" s="1" t="s">
        <v>18191</v>
      </c>
      <c r="E1590" s="2" t="s">
        <v>19539</v>
      </c>
      <c r="F1590" s="1">
        <v>1121.0</v>
      </c>
      <c r="G1590" s="1">
        <v>1128.0</v>
      </c>
      <c r="H1590" s="1" t="s">
        <v>17059</v>
      </c>
      <c r="I1590" s="1" t="s">
        <v>18192</v>
      </c>
      <c r="J1590" s="1" t="s">
        <v>19540</v>
      </c>
      <c r="K1590" s="1"/>
      <c r="L1590" s="1" t="s">
        <v>19541</v>
      </c>
      <c r="M1590" s="1" t="s">
        <v>18195</v>
      </c>
      <c r="N1590" s="1" t="s">
        <v>18196</v>
      </c>
      <c r="P1590" s="1"/>
      <c r="Q1590" s="1" t="s">
        <v>1093</v>
      </c>
    </row>
    <row r="1591">
      <c r="A1591" s="1" t="s">
        <v>17</v>
      </c>
      <c r="B1591" s="1">
        <v>2007.0</v>
      </c>
      <c r="C1591" s="1" t="s">
        <v>18837</v>
      </c>
      <c r="D1591" s="1" t="s">
        <v>18838</v>
      </c>
      <c r="E1591" s="2" t="s">
        <v>19542</v>
      </c>
      <c r="F1591" s="1">
        <v>1608.0</v>
      </c>
      <c r="G1591" s="1">
        <v>1615.0</v>
      </c>
      <c r="H1591" s="1" t="s">
        <v>17059</v>
      </c>
      <c r="I1591" s="1" t="s">
        <v>18840</v>
      </c>
      <c r="J1591" s="1" t="s">
        <v>18841</v>
      </c>
      <c r="K1591" s="1"/>
      <c r="L1591" s="1" t="s">
        <v>19543</v>
      </c>
      <c r="M1591" s="1" t="s">
        <v>18843</v>
      </c>
      <c r="N1591" s="1" t="s">
        <v>18844</v>
      </c>
    </row>
    <row r="1592">
      <c r="A1592" s="1" t="s">
        <v>17</v>
      </c>
      <c r="B1592" s="1">
        <v>2007.0</v>
      </c>
      <c r="C1592" s="1" t="s">
        <v>18845</v>
      </c>
      <c r="D1592" s="1" t="s">
        <v>18846</v>
      </c>
      <c r="E1592" s="2" t="s">
        <v>19544</v>
      </c>
      <c r="F1592" s="1">
        <v>1743.0</v>
      </c>
      <c r="G1592" s="1">
        <v>1750.0</v>
      </c>
      <c r="H1592" s="1" t="s">
        <v>17059</v>
      </c>
      <c r="I1592" s="1" t="s">
        <v>18847</v>
      </c>
      <c r="J1592" s="1" t="s">
        <v>18848</v>
      </c>
      <c r="K1592" s="1"/>
      <c r="L1592" s="1" t="s">
        <v>19545</v>
      </c>
      <c r="M1592" s="1" t="s">
        <v>18851</v>
      </c>
      <c r="N1592" s="1" t="s">
        <v>18852</v>
      </c>
    </row>
    <row r="1593">
      <c r="A1593" s="1" t="s">
        <v>2137</v>
      </c>
      <c r="B1593" s="1">
        <v>2007.0</v>
      </c>
      <c r="C1593" s="1" t="s">
        <v>18197</v>
      </c>
      <c r="D1593" s="1" t="s">
        <v>18198</v>
      </c>
      <c r="E1593" s="2" t="s">
        <v>19546</v>
      </c>
      <c r="F1593" s="1">
        <v>1310.0</v>
      </c>
      <c r="G1593" s="1">
        <v>1319.0</v>
      </c>
      <c r="H1593" s="1" t="s">
        <v>17059</v>
      </c>
      <c r="I1593" s="1" t="s">
        <v>18200</v>
      </c>
      <c r="J1593" s="1" t="s">
        <v>14119</v>
      </c>
      <c r="K1593" s="1"/>
      <c r="L1593" s="1" t="s">
        <v>19547</v>
      </c>
      <c r="M1593" s="1" t="s">
        <v>14502</v>
      </c>
      <c r="N1593" s="1" t="s">
        <v>18202</v>
      </c>
    </row>
    <row r="1594">
      <c r="A1594" s="1" t="s">
        <v>17</v>
      </c>
      <c r="B1594" s="1">
        <v>2007.0</v>
      </c>
      <c r="C1594" s="1" t="s">
        <v>18853</v>
      </c>
      <c r="D1594" s="1" t="s">
        <v>18854</v>
      </c>
      <c r="E1594" s="2" t="s">
        <v>19548</v>
      </c>
      <c r="F1594" s="1">
        <v>1552.0</v>
      </c>
      <c r="G1594" s="1">
        <v>1559.0</v>
      </c>
      <c r="H1594" s="1" t="s">
        <v>17059</v>
      </c>
      <c r="I1594" s="1" t="s">
        <v>18856</v>
      </c>
      <c r="J1594" s="1" t="s">
        <v>19549</v>
      </c>
      <c r="K1594" s="1"/>
      <c r="L1594" s="1" t="s">
        <v>19550</v>
      </c>
      <c r="M1594" s="1"/>
      <c r="N1594" s="1" t="s">
        <v>18860</v>
      </c>
    </row>
    <row r="1595">
      <c r="A1595" s="1" t="s">
        <v>2137</v>
      </c>
      <c r="B1595" s="1">
        <v>2007.0</v>
      </c>
      <c r="C1595" s="1" t="s">
        <v>18204</v>
      </c>
      <c r="D1595" s="1" t="s">
        <v>18205</v>
      </c>
      <c r="E1595" s="2" t="s">
        <v>19551</v>
      </c>
      <c r="F1595" s="1">
        <v>1302.0</v>
      </c>
      <c r="G1595" s="1">
        <v>1309.0</v>
      </c>
      <c r="H1595" s="1" t="s">
        <v>17059</v>
      </c>
      <c r="I1595" s="1" t="s">
        <v>18206</v>
      </c>
      <c r="J1595" s="1" t="s">
        <v>18207</v>
      </c>
      <c r="K1595" s="1"/>
      <c r="L1595" s="1" t="s">
        <v>19552</v>
      </c>
      <c r="M1595" s="1" t="s">
        <v>18211</v>
      </c>
      <c r="N1595" s="1" t="s">
        <v>18212</v>
      </c>
    </row>
    <row r="1596">
      <c r="A1596" s="1" t="s">
        <v>2137</v>
      </c>
      <c r="B1596" s="1">
        <v>2007.0</v>
      </c>
      <c r="C1596" s="1" t="s">
        <v>18214</v>
      </c>
      <c r="D1596" s="1" t="s">
        <v>18215</v>
      </c>
      <c r="E1596" s="2" t="s">
        <v>19553</v>
      </c>
      <c r="F1596" s="1">
        <v>1278.0</v>
      </c>
      <c r="G1596" s="1">
        <v>1285.0</v>
      </c>
      <c r="H1596" s="1" t="s">
        <v>17059</v>
      </c>
      <c r="I1596" s="1" t="s">
        <v>18216</v>
      </c>
      <c r="J1596" s="1" t="s">
        <v>18217</v>
      </c>
      <c r="K1596" s="1"/>
      <c r="L1596" s="1" t="s">
        <v>19554</v>
      </c>
      <c r="M1596" s="1" t="s">
        <v>18218</v>
      </c>
      <c r="N1596" s="1" t="s">
        <v>18219</v>
      </c>
    </row>
    <row r="1597">
      <c r="A1597" s="1" t="s">
        <v>17</v>
      </c>
      <c r="B1597" s="1">
        <v>2007.0</v>
      </c>
      <c r="C1597" s="1" t="s">
        <v>18861</v>
      </c>
      <c r="D1597" s="1" t="s">
        <v>18862</v>
      </c>
      <c r="E1597" s="2" t="s">
        <v>19555</v>
      </c>
      <c r="F1597" s="1">
        <v>1560.0</v>
      </c>
      <c r="G1597" s="1">
        <v>1567.0</v>
      </c>
      <c r="H1597" s="1" t="s">
        <v>17059</v>
      </c>
      <c r="I1597" s="1" t="s">
        <v>18863</v>
      </c>
      <c r="J1597" s="1" t="s">
        <v>19556</v>
      </c>
      <c r="K1597" s="1"/>
      <c r="L1597" s="1" t="s">
        <v>19557</v>
      </c>
      <c r="M1597" s="1" t="s">
        <v>18867</v>
      </c>
      <c r="N1597" s="1" t="s">
        <v>18868</v>
      </c>
    </row>
    <row r="1598">
      <c r="A1598" s="1" t="s">
        <v>17</v>
      </c>
      <c r="B1598" s="1">
        <v>2007.0</v>
      </c>
      <c r="C1598" s="1" t="s">
        <v>18871</v>
      </c>
      <c r="D1598" s="1" t="s">
        <v>18872</v>
      </c>
      <c r="E1598" s="2" t="s">
        <v>19558</v>
      </c>
      <c r="F1598" s="1">
        <v>1536.0</v>
      </c>
      <c r="G1598" s="1">
        <v>1543.0</v>
      </c>
      <c r="H1598" s="1" t="s">
        <v>17059</v>
      </c>
      <c r="I1598" s="1" t="s">
        <v>18873</v>
      </c>
      <c r="J1598" s="1" t="s">
        <v>17806</v>
      </c>
      <c r="K1598" s="1"/>
      <c r="L1598" s="1" t="s">
        <v>19559</v>
      </c>
      <c r="M1598" s="1" t="s">
        <v>18875</v>
      </c>
      <c r="N1598" s="1" t="s">
        <v>18876</v>
      </c>
    </row>
    <row r="1599">
      <c r="A1599" s="1" t="s">
        <v>17</v>
      </c>
      <c r="B1599" s="1">
        <v>2007.0</v>
      </c>
      <c r="C1599" s="1" t="s">
        <v>18877</v>
      </c>
      <c r="D1599" s="1" t="s">
        <v>18878</v>
      </c>
      <c r="E1599" s="2" t="s">
        <v>19560</v>
      </c>
      <c r="F1599" s="1">
        <v>1368.0</v>
      </c>
      <c r="G1599" s="1">
        <v>1375.0</v>
      </c>
      <c r="H1599" s="1" t="s">
        <v>17059</v>
      </c>
      <c r="I1599" s="1" t="s">
        <v>18880</v>
      </c>
      <c r="J1599" s="1" t="s">
        <v>18881</v>
      </c>
      <c r="K1599" s="1"/>
      <c r="L1599" s="1" t="s">
        <v>19561</v>
      </c>
      <c r="M1599" s="1" t="s">
        <v>18884</v>
      </c>
      <c r="N1599" s="1" t="s">
        <v>18886</v>
      </c>
    </row>
    <row r="1600">
      <c r="A1600" s="1" t="s">
        <v>17</v>
      </c>
      <c r="B1600" s="1">
        <v>2007.0</v>
      </c>
      <c r="C1600" s="1" t="s">
        <v>19562</v>
      </c>
      <c r="D1600" s="1" t="s">
        <v>18888</v>
      </c>
      <c r="E1600" s="2" t="s">
        <v>19563</v>
      </c>
      <c r="F1600" s="1">
        <v>1352.0</v>
      </c>
      <c r="G1600" s="1">
        <v>1359.0</v>
      </c>
      <c r="H1600" s="1" t="s">
        <v>17059</v>
      </c>
      <c r="I1600" s="1" t="s">
        <v>18889</v>
      </c>
      <c r="J1600" s="1" t="s">
        <v>18890</v>
      </c>
      <c r="K1600" s="1"/>
      <c r="L1600" s="1" t="s">
        <v>19564</v>
      </c>
      <c r="M1600" s="1" t="s">
        <v>16370</v>
      </c>
      <c r="N1600" s="1" t="s">
        <v>18886</v>
      </c>
    </row>
    <row r="1601">
      <c r="A1601" s="1" t="s">
        <v>17</v>
      </c>
      <c r="B1601" s="1">
        <v>2007.0</v>
      </c>
      <c r="C1601" s="1" t="s">
        <v>18892</v>
      </c>
      <c r="D1601" s="1" t="s">
        <v>18893</v>
      </c>
      <c r="E1601" s="2" t="s">
        <v>19565</v>
      </c>
      <c r="F1601" s="1">
        <v>1592.0</v>
      </c>
      <c r="G1601" s="1">
        <v>1599.0</v>
      </c>
      <c r="H1601" s="1" t="s">
        <v>17059</v>
      </c>
      <c r="I1601" s="1" t="s">
        <v>18897</v>
      </c>
      <c r="J1601" s="1" t="s">
        <v>18898</v>
      </c>
      <c r="K1601" s="1"/>
      <c r="L1601" s="1" t="s">
        <v>19571</v>
      </c>
      <c r="M1601" s="1" t="s">
        <v>18900</v>
      </c>
      <c r="N1601" s="1" t="s">
        <v>18901</v>
      </c>
    </row>
    <row r="1602">
      <c r="A1602" s="1" t="s">
        <v>2137</v>
      </c>
      <c r="B1602" s="1">
        <v>2007.0</v>
      </c>
      <c r="C1602" s="1" t="s">
        <v>18220</v>
      </c>
      <c r="D1602" s="1" t="s">
        <v>18221</v>
      </c>
      <c r="E1602" s="2" t="s">
        <v>19572</v>
      </c>
      <c r="F1602" s="1">
        <v>1129.0</v>
      </c>
      <c r="G1602" s="1">
        <v>1136.0</v>
      </c>
      <c r="H1602" s="1" t="s">
        <v>17059</v>
      </c>
      <c r="I1602" s="1" t="s">
        <v>18223</v>
      </c>
      <c r="J1602" s="1" t="s">
        <v>18224</v>
      </c>
      <c r="K1602" s="1"/>
      <c r="L1602" s="1" t="s">
        <v>19581</v>
      </c>
      <c r="M1602" s="1" t="s">
        <v>4849</v>
      </c>
      <c r="N1602" s="1" t="s">
        <v>18227</v>
      </c>
    </row>
    <row r="1603">
      <c r="A1603" s="1" t="s">
        <v>17</v>
      </c>
      <c r="B1603" s="1">
        <v>2007.0</v>
      </c>
      <c r="C1603" s="1" t="s">
        <v>18902</v>
      </c>
      <c r="D1603" s="1" t="s">
        <v>18903</v>
      </c>
      <c r="E1603" s="2" t="s">
        <v>19585</v>
      </c>
      <c r="F1603" s="1">
        <v>1719.0</v>
      </c>
      <c r="G1603" s="1">
        <v>1726.0</v>
      </c>
      <c r="H1603" s="1" t="s">
        <v>17059</v>
      </c>
      <c r="I1603" s="1" t="s">
        <v>18904</v>
      </c>
      <c r="J1603" s="1" t="s">
        <v>18905</v>
      </c>
      <c r="K1603" s="1"/>
      <c r="L1603" s="1" t="s">
        <v>19596</v>
      </c>
      <c r="M1603" s="1" t="s">
        <v>18907</v>
      </c>
      <c r="N1603" s="1" t="s">
        <v>18908</v>
      </c>
    </row>
    <row r="1604">
      <c r="A1604" s="1" t="s">
        <v>17</v>
      </c>
      <c r="B1604" s="1">
        <v>2007.0</v>
      </c>
      <c r="C1604" s="1" t="s">
        <v>18910</v>
      </c>
      <c r="D1604" s="1" t="s">
        <v>18911</v>
      </c>
      <c r="E1604" s="2" t="s">
        <v>19597</v>
      </c>
      <c r="F1604" s="1">
        <v>1336.0</v>
      </c>
      <c r="G1604" s="1">
        <v>1343.0</v>
      </c>
      <c r="H1604" s="1" t="s">
        <v>17059</v>
      </c>
      <c r="I1604" s="1" t="s">
        <v>18913</v>
      </c>
      <c r="J1604" s="1" t="s">
        <v>19610</v>
      </c>
      <c r="K1604" s="1"/>
      <c r="L1604" s="1" t="s">
        <v>19612</v>
      </c>
      <c r="M1604" s="1" t="s">
        <v>18916</v>
      </c>
      <c r="N1604" s="1" t="s">
        <v>17186</v>
      </c>
    </row>
    <row r="1605">
      <c r="A1605" s="1" t="s">
        <v>2137</v>
      </c>
      <c r="B1605" s="1">
        <v>2007.0</v>
      </c>
      <c r="C1605" s="1" t="s">
        <v>18228</v>
      </c>
      <c r="D1605" s="1" t="s">
        <v>18229</v>
      </c>
      <c r="E1605" s="2" t="s">
        <v>19617</v>
      </c>
      <c r="F1605" s="1">
        <v>1208.0</v>
      </c>
      <c r="G1605" s="1">
        <v>1215.0</v>
      </c>
      <c r="H1605" s="1" t="s">
        <v>17059</v>
      </c>
      <c r="I1605" s="1" t="s">
        <v>18230</v>
      </c>
      <c r="J1605" s="1" t="s">
        <v>18231</v>
      </c>
      <c r="K1605" s="1"/>
      <c r="L1605" s="1" t="s">
        <v>19631</v>
      </c>
      <c r="M1605" s="1" t="s">
        <v>18233</v>
      </c>
      <c r="N1605" s="1" t="s">
        <v>18234</v>
      </c>
    </row>
    <row r="1606">
      <c r="A1606" s="1" t="s">
        <v>17</v>
      </c>
      <c r="B1606" s="1">
        <v>2007.0</v>
      </c>
      <c r="C1606" s="1" t="s">
        <v>18917</v>
      </c>
      <c r="D1606" s="1" t="s">
        <v>18918</v>
      </c>
      <c r="E1606" s="2" t="s">
        <v>19633</v>
      </c>
      <c r="F1606" s="1">
        <v>1688.0</v>
      </c>
      <c r="G1606" s="1">
        <v>1695.0</v>
      </c>
      <c r="H1606" s="1" t="s">
        <v>17059</v>
      </c>
      <c r="I1606" s="1" t="s">
        <v>18919</v>
      </c>
      <c r="J1606" s="1" t="s">
        <v>18921</v>
      </c>
      <c r="K1606" s="1"/>
      <c r="L1606" s="1" t="s">
        <v>19641</v>
      </c>
      <c r="M1606" s="1" t="s">
        <v>18924</v>
      </c>
      <c r="N1606" s="1" t="s">
        <v>18925</v>
      </c>
    </row>
    <row r="1607">
      <c r="A1607" s="1" t="s">
        <v>2137</v>
      </c>
      <c r="B1607" s="1">
        <v>2007.0</v>
      </c>
      <c r="C1607" s="1" t="s">
        <v>18235</v>
      </c>
      <c r="D1607" s="1" t="s">
        <v>18236</v>
      </c>
      <c r="E1607" s="2" t="s">
        <v>19646</v>
      </c>
      <c r="F1607" s="1">
        <v>1137.0</v>
      </c>
      <c r="G1607" s="1">
        <v>1144.0</v>
      </c>
      <c r="H1607" s="1" t="s">
        <v>17059</v>
      </c>
      <c r="I1607" s="1" t="s">
        <v>18237</v>
      </c>
      <c r="J1607" s="1" t="s">
        <v>18238</v>
      </c>
      <c r="K1607" s="1"/>
      <c r="L1607" s="1" t="s">
        <v>19663</v>
      </c>
      <c r="M1607" s="1" t="s">
        <v>5481</v>
      </c>
      <c r="N1607" s="1" t="s">
        <v>18240</v>
      </c>
    </row>
    <row r="1608">
      <c r="A1608" s="1" t="s">
        <v>17</v>
      </c>
      <c r="B1608" s="1">
        <v>2007.0</v>
      </c>
      <c r="C1608" s="1" t="s">
        <v>18927</v>
      </c>
      <c r="D1608" s="1" t="s">
        <v>18928</v>
      </c>
      <c r="E1608" s="2" t="s">
        <v>19666</v>
      </c>
      <c r="F1608" s="1">
        <v>1448.0</v>
      </c>
      <c r="G1608" s="1">
        <v>1455.0</v>
      </c>
      <c r="H1608" s="1" t="s">
        <v>17059</v>
      </c>
      <c r="I1608" s="1" t="s">
        <v>18929</v>
      </c>
      <c r="J1608" s="1" t="s">
        <v>18930</v>
      </c>
      <c r="K1608" s="1"/>
      <c r="L1608" s="1" t="s">
        <v>19679</v>
      </c>
      <c r="M1608" s="1" t="s">
        <v>18933</v>
      </c>
      <c r="N1608" s="1" t="s">
        <v>18934</v>
      </c>
    </row>
    <row r="1609">
      <c r="A1609" s="1" t="s">
        <v>2137</v>
      </c>
      <c r="B1609" s="1">
        <v>2007.0</v>
      </c>
      <c r="C1609" s="1" t="s">
        <v>18241</v>
      </c>
      <c r="D1609" s="1" t="s">
        <v>18242</v>
      </c>
      <c r="E1609" s="2" t="s">
        <v>19680</v>
      </c>
      <c r="F1609" s="1">
        <v>1262.0</v>
      </c>
      <c r="G1609" s="1">
        <v>1269.0</v>
      </c>
      <c r="H1609" s="1" t="s">
        <v>17059</v>
      </c>
      <c r="I1609" s="1" t="s">
        <v>18243</v>
      </c>
      <c r="J1609" s="1" t="s">
        <v>18244</v>
      </c>
      <c r="K1609" s="1"/>
      <c r="L1609" s="1" t="s">
        <v>19686</v>
      </c>
      <c r="M1609" s="1" t="s">
        <v>18247</v>
      </c>
      <c r="N1609" s="1" t="s">
        <v>18248</v>
      </c>
    </row>
    <row r="1610">
      <c r="A1610" s="1" t="s">
        <v>17</v>
      </c>
      <c r="B1610" s="1">
        <v>2007.0</v>
      </c>
      <c r="C1610" s="1" t="s">
        <v>18935</v>
      </c>
      <c r="D1610" s="1" t="s">
        <v>18936</v>
      </c>
      <c r="E1610" s="2" t="s">
        <v>19691</v>
      </c>
      <c r="F1610" s="1">
        <v>1504.0</v>
      </c>
      <c r="G1610" s="1">
        <v>1511.0</v>
      </c>
      <c r="H1610" s="1" t="s">
        <v>17059</v>
      </c>
      <c r="I1610" s="1" t="s">
        <v>18937</v>
      </c>
      <c r="J1610" s="1" t="s">
        <v>18938</v>
      </c>
      <c r="K1610" s="1"/>
      <c r="L1610" s="1" t="s">
        <v>19708</v>
      </c>
      <c r="M1610" s="1" t="s">
        <v>18941</v>
      </c>
      <c r="N1610" s="1" t="s">
        <v>18943</v>
      </c>
    </row>
    <row r="1611">
      <c r="A1611" s="1" t="s">
        <v>17</v>
      </c>
      <c r="B1611" s="1">
        <v>2007.0</v>
      </c>
      <c r="C1611" s="1" t="s">
        <v>18945</v>
      </c>
      <c r="D1611" s="1" t="s">
        <v>18946</v>
      </c>
      <c r="E1611" s="2" t="s">
        <v>19715</v>
      </c>
      <c r="F1611" s="1">
        <v>1520.0</v>
      </c>
      <c r="G1611" s="1">
        <v>1527.0</v>
      </c>
      <c r="H1611" s="1" t="s">
        <v>17059</v>
      </c>
      <c r="I1611" s="1" t="s">
        <v>18947</v>
      </c>
      <c r="J1611" s="1" t="s">
        <v>19730</v>
      </c>
      <c r="K1611" s="1"/>
      <c r="L1611" s="1" t="s">
        <v>19731</v>
      </c>
      <c r="M1611" s="1" t="s">
        <v>18950</v>
      </c>
      <c r="N1611" s="1" t="s">
        <v>18951</v>
      </c>
    </row>
    <row r="1612">
      <c r="A1612" s="1" t="s">
        <v>17</v>
      </c>
      <c r="B1612" s="1">
        <v>2007.0</v>
      </c>
      <c r="C1612" s="1" t="s">
        <v>18952</v>
      </c>
      <c r="D1612" s="1" t="s">
        <v>18953</v>
      </c>
      <c r="E1612" s="2" t="s">
        <v>19739</v>
      </c>
      <c r="F1612" s="1">
        <v>1472.0</v>
      </c>
      <c r="G1612" s="1">
        <v>1479.0</v>
      </c>
      <c r="H1612" s="1" t="s">
        <v>17059</v>
      </c>
      <c r="I1612" s="1" t="s">
        <v>18955</v>
      </c>
      <c r="J1612" s="1" t="s">
        <v>18956</v>
      </c>
      <c r="K1612" s="1"/>
      <c r="L1612" s="1" t="s">
        <v>19752</v>
      </c>
      <c r="M1612" s="1" t="s">
        <v>18959</v>
      </c>
      <c r="N1612" s="1" t="s">
        <v>18960</v>
      </c>
    </row>
    <row r="1613">
      <c r="A1613" s="1" t="s">
        <v>17</v>
      </c>
      <c r="B1613" s="1">
        <v>2007.0</v>
      </c>
      <c r="C1613" s="1" t="s">
        <v>18962</v>
      </c>
      <c r="D1613" s="1" t="s">
        <v>18963</v>
      </c>
      <c r="E1613" s="2" t="s">
        <v>19758</v>
      </c>
      <c r="F1613" s="1">
        <v>1376.0</v>
      </c>
      <c r="G1613" s="1">
        <v>1383.0</v>
      </c>
      <c r="H1613" s="1" t="s">
        <v>17059</v>
      </c>
      <c r="I1613" s="1" t="s">
        <v>18964</v>
      </c>
      <c r="J1613" s="1" t="s">
        <v>18965</v>
      </c>
      <c r="K1613" s="1"/>
      <c r="L1613" s="1" t="s">
        <v>19771</v>
      </c>
      <c r="M1613" s="1" t="s">
        <v>18968</v>
      </c>
      <c r="N1613" s="1" t="s">
        <v>18969</v>
      </c>
    </row>
    <row r="1614">
      <c r="A1614" s="1" t="s">
        <v>17</v>
      </c>
      <c r="B1614" s="1">
        <v>2007.0</v>
      </c>
      <c r="C1614" s="1" t="s">
        <v>18971</v>
      </c>
      <c r="D1614" s="1" t="s">
        <v>18973</v>
      </c>
      <c r="E1614" s="2" t="s">
        <v>19778</v>
      </c>
      <c r="F1614" s="1">
        <v>1416.0</v>
      </c>
      <c r="G1614" s="1">
        <v>1423.0</v>
      </c>
      <c r="H1614" s="1" t="s">
        <v>17059</v>
      </c>
      <c r="I1614" s="1" t="s">
        <v>18976</v>
      </c>
      <c r="J1614" s="1" t="s">
        <v>18977</v>
      </c>
      <c r="K1614" s="1"/>
      <c r="L1614" s="1" t="s">
        <v>19796</v>
      </c>
      <c r="M1614" s="1" t="s">
        <v>18980</v>
      </c>
      <c r="N1614" s="1" t="s">
        <v>18981</v>
      </c>
    </row>
    <row r="1615">
      <c r="A1615" s="1" t="s">
        <v>17</v>
      </c>
      <c r="B1615" s="1">
        <v>2007.0</v>
      </c>
      <c r="C1615" s="1" t="s">
        <v>18982</v>
      </c>
      <c r="D1615" s="1" t="s">
        <v>18983</v>
      </c>
      <c r="E1615" s="2" t="s">
        <v>19800</v>
      </c>
      <c r="F1615" s="1">
        <v>1496.0</v>
      </c>
      <c r="G1615" s="1">
        <v>1503.0</v>
      </c>
      <c r="H1615" s="1" t="s">
        <v>17059</v>
      </c>
      <c r="I1615" s="1" t="s">
        <v>18984</v>
      </c>
      <c r="J1615" s="1" t="s">
        <v>18985</v>
      </c>
      <c r="K1615" s="1"/>
      <c r="L1615" s="1" t="s">
        <v>19817</v>
      </c>
      <c r="M1615" s="1" t="s">
        <v>18987</v>
      </c>
      <c r="N1615" s="1" t="s">
        <v>18988</v>
      </c>
    </row>
    <row r="1616">
      <c r="A1616" s="1" t="s">
        <v>17</v>
      </c>
      <c r="B1616" s="1">
        <v>2007.0</v>
      </c>
      <c r="C1616" s="1" t="s">
        <v>18989</v>
      </c>
      <c r="D1616" s="1" t="s">
        <v>18990</v>
      </c>
      <c r="E1616" s="2" t="s">
        <v>19824</v>
      </c>
      <c r="F1616" s="1">
        <v>1432.0</v>
      </c>
      <c r="G1616" s="1">
        <v>1439.0</v>
      </c>
      <c r="H1616" s="1" t="s">
        <v>17059</v>
      </c>
      <c r="I1616" s="1" t="s">
        <v>18991</v>
      </c>
      <c r="J1616" s="1" t="s">
        <v>18992</v>
      </c>
      <c r="K1616" s="1"/>
      <c r="L1616" s="1" t="s">
        <v>19840</v>
      </c>
      <c r="M1616" s="1" t="s">
        <v>18995</v>
      </c>
      <c r="N1616" s="1" t="s">
        <v>18996</v>
      </c>
    </row>
    <row r="1617">
      <c r="A1617" s="1" t="s">
        <v>17</v>
      </c>
      <c r="B1617" s="1">
        <v>2007.0</v>
      </c>
      <c r="C1617" s="1" t="s">
        <v>18997</v>
      </c>
      <c r="D1617" s="1" t="s">
        <v>18998</v>
      </c>
      <c r="E1617" s="2" t="s">
        <v>19846</v>
      </c>
      <c r="F1617" s="1">
        <v>1704.0</v>
      </c>
      <c r="G1617" s="1">
        <v>1711.0</v>
      </c>
      <c r="H1617" s="1" t="s">
        <v>17059</v>
      </c>
      <c r="I1617" s="1" t="s">
        <v>18999</v>
      </c>
      <c r="J1617" s="1" t="s">
        <v>19000</v>
      </c>
      <c r="K1617" s="1"/>
      <c r="L1617" s="1" t="s">
        <v>19864</v>
      </c>
      <c r="M1617" s="1" t="s">
        <v>19003</v>
      </c>
      <c r="N1617" s="1" t="s">
        <v>19004</v>
      </c>
    </row>
    <row r="1618">
      <c r="A1618" s="1" t="s">
        <v>17</v>
      </c>
      <c r="B1618" s="1">
        <v>2007.0</v>
      </c>
      <c r="C1618" s="1" t="s">
        <v>19005</v>
      </c>
      <c r="D1618" s="1" t="s">
        <v>19006</v>
      </c>
      <c r="E1618" s="2" t="s">
        <v>19866</v>
      </c>
      <c r="F1618" s="1">
        <v>1751.0</v>
      </c>
      <c r="G1618" s="1">
        <v>1758.0</v>
      </c>
      <c r="H1618" s="1" t="s">
        <v>17059</v>
      </c>
      <c r="I1618" s="1" t="s">
        <v>19007</v>
      </c>
      <c r="J1618" s="1" t="s">
        <v>19008</v>
      </c>
      <c r="K1618" s="1"/>
      <c r="L1618" s="1" t="s">
        <v>19877</v>
      </c>
      <c r="M1618" s="1" t="s">
        <v>15033</v>
      </c>
      <c r="N1618" s="1" t="s">
        <v>19012</v>
      </c>
    </row>
    <row r="1619">
      <c r="A1619" s="1" t="s">
        <v>17</v>
      </c>
      <c r="B1619" s="1">
        <v>2007.0</v>
      </c>
      <c r="C1619" s="1" t="s">
        <v>19013</v>
      </c>
      <c r="D1619" s="1" t="s">
        <v>19014</v>
      </c>
      <c r="E1619" s="2" t="s">
        <v>19880</v>
      </c>
      <c r="F1619" s="1">
        <v>1624.0</v>
      </c>
      <c r="G1619" s="1">
        <v>1631.0</v>
      </c>
      <c r="H1619" s="1" t="s">
        <v>17059</v>
      </c>
      <c r="I1619" s="1" t="s">
        <v>19015</v>
      </c>
      <c r="J1619" s="1" t="s">
        <v>19016</v>
      </c>
      <c r="K1619" s="1"/>
      <c r="L1619" s="1" t="s">
        <v>19896</v>
      </c>
      <c r="M1619" s="1" t="s">
        <v>19017</v>
      </c>
      <c r="N1619" s="1" t="s">
        <v>19018</v>
      </c>
    </row>
    <row r="1620">
      <c r="A1620" s="1" t="s">
        <v>17</v>
      </c>
      <c r="B1620" s="1">
        <v>2007.0</v>
      </c>
      <c r="C1620" s="1" t="s">
        <v>19020</v>
      </c>
      <c r="D1620" s="1" t="s">
        <v>19021</v>
      </c>
      <c r="E1620" s="2" t="s">
        <v>19903</v>
      </c>
      <c r="F1620" s="1">
        <v>1384.0</v>
      </c>
      <c r="G1620" s="1">
        <v>1391.0</v>
      </c>
      <c r="H1620" s="1" t="s">
        <v>17059</v>
      </c>
      <c r="I1620" s="1" t="s">
        <v>19023</v>
      </c>
      <c r="J1620" s="1" t="s">
        <v>19024</v>
      </c>
      <c r="K1620" s="1"/>
      <c r="L1620" s="1" t="s">
        <v>19927</v>
      </c>
      <c r="M1620" s="1" t="s">
        <v>19027</v>
      </c>
      <c r="N1620" s="1" t="s">
        <v>19028</v>
      </c>
    </row>
    <row r="1621">
      <c r="A1621" s="1" t="s">
        <v>2137</v>
      </c>
      <c r="B1621" s="1">
        <v>2007.0</v>
      </c>
      <c r="C1621" s="1" t="s">
        <v>18249</v>
      </c>
      <c r="D1621" s="1" t="s">
        <v>18250</v>
      </c>
      <c r="E1621" s="2" t="s">
        <v>19931</v>
      </c>
      <c r="F1621" s="1">
        <v>1200.0</v>
      </c>
      <c r="G1621" s="1">
        <v>1207.0</v>
      </c>
      <c r="H1621" s="1" t="s">
        <v>17059</v>
      </c>
      <c r="I1621" s="1" t="s">
        <v>18251</v>
      </c>
      <c r="J1621" s="1" t="s">
        <v>18252</v>
      </c>
      <c r="K1621" s="1"/>
      <c r="L1621" s="1" t="s">
        <v>19946</v>
      </c>
      <c r="M1621" s="1" t="s">
        <v>18255</v>
      </c>
      <c r="N1621" s="1" t="s">
        <v>18256</v>
      </c>
    </row>
    <row r="1622">
      <c r="A1622" s="1" t="s">
        <v>2137</v>
      </c>
      <c r="B1622" s="1">
        <v>2007.0</v>
      </c>
      <c r="C1622" s="1" t="s">
        <v>18257</v>
      </c>
      <c r="D1622" s="1" t="s">
        <v>18258</v>
      </c>
      <c r="E1622" s="2" t="s">
        <v>19949</v>
      </c>
      <c r="F1622" s="1">
        <v>1153.0</v>
      </c>
      <c r="G1622" s="1">
        <v>1160.0</v>
      </c>
      <c r="H1622" s="1" t="s">
        <v>17059</v>
      </c>
      <c r="I1622" s="1" t="s">
        <v>18259</v>
      </c>
      <c r="J1622" s="1" t="s">
        <v>18260</v>
      </c>
      <c r="K1622" s="1"/>
      <c r="L1622" s="1" t="s">
        <v>19969</v>
      </c>
      <c r="M1622" s="1" t="s">
        <v>18263</v>
      </c>
      <c r="N1622" s="1" t="s">
        <v>18264</v>
      </c>
      <c r="P1622" s="1"/>
      <c r="Q1622" s="1" t="s">
        <v>106</v>
      </c>
    </row>
    <row r="1623">
      <c r="A1623" s="1" t="s">
        <v>2137</v>
      </c>
      <c r="B1623" s="1">
        <v>2007.0</v>
      </c>
      <c r="C1623" s="1" t="s">
        <v>18265</v>
      </c>
      <c r="D1623" s="1" t="s">
        <v>18266</v>
      </c>
      <c r="E1623" s="2" t="s">
        <v>19973</v>
      </c>
      <c r="F1623" s="1">
        <v>1270.0</v>
      </c>
      <c r="G1623" s="1">
        <v>1277.0</v>
      </c>
      <c r="H1623" s="1" t="s">
        <v>17059</v>
      </c>
      <c r="I1623" s="1" t="s">
        <v>19988</v>
      </c>
      <c r="J1623" s="1" t="s">
        <v>18268</v>
      </c>
      <c r="K1623" s="1"/>
      <c r="L1623" s="1" t="s">
        <v>19990</v>
      </c>
      <c r="M1623" s="1" t="s">
        <v>18271</v>
      </c>
      <c r="N1623" s="1" t="s">
        <v>18272</v>
      </c>
    </row>
    <row r="1624">
      <c r="A1624" s="1" t="s">
        <v>120</v>
      </c>
      <c r="B1624" s="1">
        <v>2007.0</v>
      </c>
      <c r="C1624" s="1" t="s">
        <v>18273</v>
      </c>
      <c r="D1624" s="1" t="s">
        <v>18274</v>
      </c>
      <c r="E1624" s="2" t="s">
        <v>19995</v>
      </c>
      <c r="F1624" s="1" t="s">
        <v>18275</v>
      </c>
      <c r="G1624" s="1" t="s">
        <v>18275</v>
      </c>
      <c r="H1624" s="1" t="s">
        <v>21</v>
      </c>
      <c r="I1624" s="1" t="s">
        <v>18276</v>
      </c>
      <c r="J1624" s="1" t="s">
        <v>18277</v>
      </c>
      <c r="K1624" s="1"/>
      <c r="L1624" s="1" t="s">
        <v>20021</v>
      </c>
    </row>
    <row r="1625">
      <c r="A1625" s="1" t="s">
        <v>120</v>
      </c>
      <c r="B1625" s="1">
        <v>2007.0</v>
      </c>
      <c r="C1625" s="1" t="s">
        <v>18279</v>
      </c>
      <c r="D1625" s="1" t="s">
        <v>18280</v>
      </c>
      <c r="E1625" s="2" t="s">
        <v>20025</v>
      </c>
      <c r="F1625" s="1">
        <v>3.0</v>
      </c>
      <c r="G1625" s="1">
        <v>10.0</v>
      </c>
      <c r="H1625" s="1" t="s">
        <v>28</v>
      </c>
      <c r="I1625" s="1" t="s">
        <v>18281</v>
      </c>
      <c r="J1625" s="1" t="s">
        <v>18282</v>
      </c>
      <c r="K1625" s="1"/>
      <c r="L1625" s="1" t="s">
        <v>20046</v>
      </c>
      <c r="M1625" s="1" t="s">
        <v>18001</v>
      </c>
      <c r="N1625" s="1" t="s">
        <v>18285</v>
      </c>
    </row>
    <row r="1626">
      <c r="A1626" s="1" t="s">
        <v>120</v>
      </c>
      <c r="B1626" s="1">
        <v>2007.0</v>
      </c>
      <c r="C1626" s="1" t="s">
        <v>18286</v>
      </c>
      <c r="D1626" s="1" t="s">
        <v>18287</v>
      </c>
      <c r="E1626" s="2" t="s">
        <v>20050</v>
      </c>
      <c r="F1626" s="1">
        <v>11.0</v>
      </c>
      <c r="G1626" s="1">
        <v>18.0</v>
      </c>
      <c r="H1626" s="1" t="s">
        <v>28</v>
      </c>
      <c r="I1626" s="1" t="s">
        <v>18288</v>
      </c>
      <c r="J1626" s="1" t="s">
        <v>18289</v>
      </c>
      <c r="K1626" s="1"/>
      <c r="L1626" s="1" t="s">
        <v>20056</v>
      </c>
      <c r="M1626" s="1"/>
      <c r="N1626" s="1" t="s">
        <v>18291</v>
      </c>
    </row>
    <row r="1627">
      <c r="A1627" s="1" t="s">
        <v>120</v>
      </c>
      <c r="B1627" s="1">
        <v>2007.0</v>
      </c>
      <c r="C1627" s="1" t="s">
        <v>18292</v>
      </c>
      <c r="D1627" s="1" t="s">
        <v>18293</v>
      </c>
      <c r="E1627" s="2" t="s">
        <v>20059</v>
      </c>
      <c r="F1627" s="1">
        <v>19.0</v>
      </c>
      <c r="G1627" s="1">
        <v>26.0</v>
      </c>
      <c r="H1627" s="1" t="s">
        <v>28</v>
      </c>
      <c r="I1627" s="1" t="s">
        <v>18294</v>
      </c>
      <c r="J1627" s="1" t="s">
        <v>18295</v>
      </c>
      <c r="K1627" s="1"/>
      <c r="L1627" s="1" t="s">
        <v>20065</v>
      </c>
      <c r="M1627" s="1" t="s">
        <v>18298</v>
      </c>
      <c r="N1627" s="1" t="s">
        <v>18299</v>
      </c>
    </row>
    <row r="1628">
      <c r="A1628" s="1" t="s">
        <v>120</v>
      </c>
      <c r="B1628" s="1">
        <v>2007.0</v>
      </c>
      <c r="C1628" s="1" t="s">
        <v>18300</v>
      </c>
      <c r="D1628" s="1" t="s">
        <v>18301</v>
      </c>
      <c r="E1628" s="2" t="s">
        <v>20071</v>
      </c>
      <c r="F1628" s="1">
        <v>27.0</v>
      </c>
      <c r="G1628" s="1">
        <v>34.0</v>
      </c>
      <c r="H1628" s="1" t="s">
        <v>28</v>
      </c>
      <c r="I1628" s="1" t="s">
        <v>18302</v>
      </c>
      <c r="J1628" s="1" t="s">
        <v>18303</v>
      </c>
      <c r="K1628" s="1"/>
      <c r="L1628" s="1" t="s">
        <v>20087</v>
      </c>
    </row>
    <row r="1629">
      <c r="A1629" s="1" t="s">
        <v>120</v>
      </c>
      <c r="B1629" s="1">
        <v>2007.0</v>
      </c>
      <c r="C1629" s="1" t="s">
        <v>18306</v>
      </c>
      <c r="D1629" s="1" t="s">
        <v>18307</v>
      </c>
      <c r="E1629" s="2" t="s">
        <v>20090</v>
      </c>
      <c r="F1629" s="1">
        <v>35.0</v>
      </c>
      <c r="G1629" s="1">
        <v>42.0</v>
      </c>
      <c r="H1629" s="1" t="s">
        <v>28</v>
      </c>
      <c r="I1629" s="1" t="s">
        <v>18309</v>
      </c>
      <c r="J1629" s="1" t="s">
        <v>18310</v>
      </c>
      <c r="K1629" s="1"/>
      <c r="L1629" s="1" t="s">
        <v>20102</v>
      </c>
      <c r="M1629" s="1" t="s">
        <v>17534</v>
      </c>
      <c r="N1629" s="1" t="s">
        <v>18313</v>
      </c>
    </row>
    <row r="1630">
      <c r="A1630" s="1" t="s">
        <v>120</v>
      </c>
      <c r="B1630" s="1">
        <v>2007.0</v>
      </c>
      <c r="C1630" s="1" t="s">
        <v>18314</v>
      </c>
      <c r="D1630" s="1" t="s">
        <v>18315</v>
      </c>
      <c r="E1630" s="2" t="s">
        <v>20105</v>
      </c>
      <c r="F1630" s="1">
        <v>43.0</v>
      </c>
      <c r="G1630" s="1">
        <v>50.0</v>
      </c>
      <c r="H1630" s="1" t="s">
        <v>28</v>
      </c>
      <c r="I1630" s="1" t="s">
        <v>18316</v>
      </c>
      <c r="J1630" s="1" t="s">
        <v>18317</v>
      </c>
      <c r="K1630" s="1"/>
      <c r="L1630" s="1" t="s">
        <v>20122</v>
      </c>
      <c r="M1630" s="1"/>
      <c r="N1630" s="1" t="s">
        <v>18320</v>
      </c>
    </row>
    <row r="1631">
      <c r="A1631" s="1" t="s">
        <v>120</v>
      </c>
      <c r="B1631" s="1">
        <v>2007.0</v>
      </c>
      <c r="C1631" s="1" t="s">
        <v>18322</v>
      </c>
      <c r="D1631" s="1" t="s">
        <v>18323</v>
      </c>
      <c r="E1631" s="2" t="s">
        <v>20126</v>
      </c>
      <c r="F1631" s="1">
        <v>51.0</v>
      </c>
      <c r="G1631" s="1">
        <v>58.0</v>
      </c>
      <c r="H1631" s="1" t="s">
        <v>28</v>
      </c>
      <c r="I1631" s="1" t="s">
        <v>18325</v>
      </c>
      <c r="J1631" s="1" t="s">
        <v>18326</v>
      </c>
      <c r="K1631" s="1"/>
      <c r="L1631" s="1" t="s">
        <v>20140</v>
      </c>
      <c r="M1631" s="1"/>
      <c r="N1631" s="1" t="s">
        <v>18328</v>
      </c>
    </row>
    <row r="1632">
      <c r="A1632" s="1" t="s">
        <v>120</v>
      </c>
      <c r="B1632" s="1">
        <v>2007.0</v>
      </c>
      <c r="C1632" s="1" t="s">
        <v>18329</v>
      </c>
      <c r="D1632" s="1" t="s">
        <v>18330</v>
      </c>
      <c r="E1632" s="2" t="s">
        <v>20141</v>
      </c>
      <c r="F1632" s="1">
        <v>59.0</v>
      </c>
      <c r="G1632" s="1">
        <v>66.0</v>
      </c>
      <c r="H1632" s="1" t="s">
        <v>28</v>
      </c>
      <c r="I1632" s="1" t="s">
        <v>18331</v>
      </c>
      <c r="J1632" s="1" t="s">
        <v>18332</v>
      </c>
      <c r="K1632" s="1"/>
      <c r="L1632" s="1" t="s">
        <v>20148</v>
      </c>
      <c r="M1632" s="1"/>
      <c r="N1632" s="1" t="s">
        <v>18335</v>
      </c>
    </row>
    <row r="1633">
      <c r="A1633" s="1" t="s">
        <v>120</v>
      </c>
      <c r="B1633" s="1">
        <v>2007.0</v>
      </c>
      <c r="C1633" s="1" t="s">
        <v>18337</v>
      </c>
      <c r="D1633" s="1" t="s">
        <v>18338</v>
      </c>
      <c r="E1633" s="2" t="s">
        <v>20156</v>
      </c>
      <c r="F1633" s="1">
        <v>67.0</v>
      </c>
      <c r="G1633" s="1">
        <v>74.0</v>
      </c>
      <c r="H1633" s="1" t="s">
        <v>28</v>
      </c>
      <c r="I1633" s="1" t="s">
        <v>18340</v>
      </c>
      <c r="J1633" s="1" t="s">
        <v>18341</v>
      </c>
      <c r="K1633" s="1"/>
      <c r="L1633" s="1" t="s">
        <v>20157</v>
      </c>
      <c r="M1633" s="1" t="s">
        <v>18343</v>
      </c>
      <c r="N1633" s="1" t="s">
        <v>18344</v>
      </c>
    </row>
    <row r="1634">
      <c r="A1634" s="1" t="s">
        <v>120</v>
      </c>
      <c r="B1634" s="1">
        <v>2007.0</v>
      </c>
      <c r="C1634" s="1" t="s">
        <v>18345</v>
      </c>
      <c r="D1634" s="1" t="s">
        <v>18346</v>
      </c>
      <c r="E1634" s="2" t="s">
        <v>20158</v>
      </c>
      <c r="F1634" s="1">
        <v>75.0</v>
      </c>
      <c r="G1634" s="1">
        <v>82.0</v>
      </c>
      <c r="H1634" s="1" t="s">
        <v>28</v>
      </c>
      <c r="I1634" s="1" t="s">
        <v>18348</v>
      </c>
      <c r="J1634" s="1" t="s">
        <v>18349</v>
      </c>
      <c r="K1634" s="1"/>
      <c r="L1634" s="1" t="s">
        <v>20164</v>
      </c>
      <c r="M1634" s="1" t="s">
        <v>18351</v>
      </c>
      <c r="N1634" s="1" t="s">
        <v>18353</v>
      </c>
    </row>
    <row r="1635">
      <c r="A1635" s="1" t="s">
        <v>120</v>
      </c>
      <c r="B1635" s="1">
        <v>2007.0</v>
      </c>
      <c r="C1635" s="1" t="s">
        <v>18354</v>
      </c>
      <c r="D1635" s="1" t="s">
        <v>18355</v>
      </c>
      <c r="E1635" s="2" t="s">
        <v>20167</v>
      </c>
      <c r="F1635" s="1">
        <v>83.0</v>
      </c>
      <c r="G1635" s="1">
        <v>90.0</v>
      </c>
      <c r="H1635" s="1" t="s">
        <v>28</v>
      </c>
      <c r="I1635" s="1" t="s">
        <v>18356</v>
      </c>
      <c r="J1635" s="1" t="s">
        <v>18357</v>
      </c>
      <c r="K1635" s="1"/>
      <c r="L1635" s="1" t="s">
        <v>20179</v>
      </c>
      <c r="M1635" s="1" t="s">
        <v>18359</v>
      </c>
      <c r="N1635" s="1" t="s">
        <v>18360</v>
      </c>
    </row>
    <row r="1636">
      <c r="A1636" s="1" t="s">
        <v>120</v>
      </c>
      <c r="B1636" s="1">
        <v>2007.0</v>
      </c>
      <c r="C1636" s="1" t="s">
        <v>18361</v>
      </c>
      <c r="D1636" s="1" t="s">
        <v>18362</v>
      </c>
      <c r="E1636" s="2" t="s">
        <v>20183</v>
      </c>
      <c r="F1636" s="1">
        <v>91.0</v>
      </c>
      <c r="G1636" s="1">
        <v>98.0</v>
      </c>
      <c r="H1636" s="1" t="s">
        <v>28</v>
      </c>
      <c r="I1636" s="1" t="s">
        <v>18365</v>
      </c>
      <c r="J1636" s="1" t="s">
        <v>20222</v>
      </c>
      <c r="K1636" s="1"/>
      <c r="L1636" s="1" t="s">
        <v>20223</v>
      </c>
      <c r="M1636" s="1" t="s">
        <v>18369</v>
      </c>
      <c r="N1636" s="1" t="s">
        <v>18370</v>
      </c>
    </row>
    <row r="1637">
      <c r="A1637" s="1" t="s">
        <v>120</v>
      </c>
      <c r="B1637" s="1">
        <v>2007.0</v>
      </c>
      <c r="C1637" s="1" t="s">
        <v>18371</v>
      </c>
      <c r="D1637" s="1" t="s">
        <v>18372</v>
      </c>
      <c r="E1637" s="2" t="s">
        <v>20229</v>
      </c>
      <c r="F1637" s="1">
        <v>99.0</v>
      </c>
      <c r="G1637" s="1">
        <v>106.0</v>
      </c>
      <c r="H1637" s="1" t="s">
        <v>28</v>
      </c>
      <c r="I1637" s="1" t="s">
        <v>18373</v>
      </c>
      <c r="J1637" s="1" t="s">
        <v>18374</v>
      </c>
      <c r="K1637" s="1"/>
      <c r="L1637" s="1" t="s">
        <v>20244</v>
      </c>
      <c r="M1637" s="1" t="s">
        <v>18377</v>
      </c>
      <c r="N1637" s="1" t="s">
        <v>18378</v>
      </c>
    </row>
    <row r="1638">
      <c r="A1638" s="1" t="s">
        <v>120</v>
      </c>
      <c r="B1638" s="1">
        <v>2007.0</v>
      </c>
      <c r="C1638" s="1" t="s">
        <v>18379</v>
      </c>
      <c r="D1638" s="1" t="s">
        <v>18380</v>
      </c>
      <c r="E1638" s="2" t="s">
        <v>20247</v>
      </c>
      <c r="F1638" s="1">
        <v>107.0</v>
      </c>
      <c r="G1638" s="1">
        <v>114.0</v>
      </c>
      <c r="H1638" s="1" t="s">
        <v>28</v>
      </c>
      <c r="I1638" s="1" t="s">
        <v>18381</v>
      </c>
      <c r="J1638" s="1" t="s">
        <v>17528</v>
      </c>
      <c r="K1638" s="1"/>
      <c r="L1638" s="1" t="s">
        <v>20294</v>
      </c>
      <c r="M1638" s="1" t="s">
        <v>18383</v>
      </c>
      <c r="N1638" s="1" t="s">
        <v>18384</v>
      </c>
    </row>
    <row r="1639">
      <c r="A1639" s="1" t="s">
        <v>120</v>
      </c>
      <c r="B1639" s="1">
        <v>2007.0</v>
      </c>
      <c r="C1639" s="1" t="s">
        <v>18385</v>
      </c>
      <c r="D1639" s="1" t="s">
        <v>18386</v>
      </c>
      <c r="E1639" s="2" t="s">
        <v>20300</v>
      </c>
      <c r="F1639" s="1">
        <v>115.0</v>
      </c>
      <c r="G1639" s="1">
        <v>122.0</v>
      </c>
      <c r="H1639" s="1" t="s">
        <v>28</v>
      </c>
      <c r="I1639" s="1" t="s">
        <v>18387</v>
      </c>
      <c r="J1639" s="1" t="s">
        <v>18388</v>
      </c>
      <c r="K1639" s="1"/>
      <c r="L1639" s="1" t="s">
        <v>20327</v>
      </c>
      <c r="M1639" s="1"/>
      <c r="N1639" s="1" t="s">
        <v>18390</v>
      </c>
    </row>
    <row r="1640">
      <c r="A1640" s="1" t="s">
        <v>120</v>
      </c>
      <c r="B1640" s="1">
        <v>2007.0</v>
      </c>
      <c r="C1640" s="1" t="s">
        <v>18391</v>
      </c>
      <c r="D1640" s="1" t="s">
        <v>18392</v>
      </c>
      <c r="E1640" s="2" t="s">
        <v>20332</v>
      </c>
      <c r="F1640" s="1">
        <v>123.0</v>
      </c>
      <c r="G1640" s="1">
        <v>130.0</v>
      </c>
      <c r="H1640" s="1" t="s">
        <v>28</v>
      </c>
      <c r="I1640" s="1" t="s">
        <v>18393</v>
      </c>
      <c r="J1640" s="1" t="s">
        <v>18394</v>
      </c>
      <c r="K1640" s="1"/>
      <c r="L1640" s="1" t="s">
        <v>20344</v>
      </c>
      <c r="M1640" s="1" t="s">
        <v>18397</v>
      </c>
      <c r="N1640" s="1" t="s">
        <v>18398</v>
      </c>
    </row>
    <row r="1641">
      <c r="A1641" s="1" t="s">
        <v>120</v>
      </c>
      <c r="B1641" s="1">
        <v>2007.0</v>
      </c>
      <c r="C1641" s="1" t="s">
        <v>18399</v>
      </c>
      <c r="D1641" s="1" t="s">
        <v>18400</v>
      </c>
      <c r="E1641" s="2" t="s">
        <v>20345</v>
      </c>
      <c r="F1641" s="1">
        <v>131.0</v>
      </c>
      <c r="G1641" s="1">
        <v>138.0</v>
      </c>
      <c r="H1641" s="1" t="s">
        <v>28</v>
      </c>
      <c r="I1641" s="1" t="s">
        <v>18401</v>
      </c>
      <c r="J1641" s="1" t="s">
        <v>20346</v>
      </c>
      <c r="K1641" s="1"/>
      <c r="L1641" s="1" t="s">
        <v>18850</v>
      </c>
      <c r="M1641" s="1" t="s">
        <v>18405</v>
      </c>
      <c r="N1641" s="1" t="s">
        <v>18406</v>
      </c>
      <c r="P1641" s="1"/>
      <c r="Q1641" s="1" t="s">
        <v>1093</v>
      </c>
    </row>
    <row r="1642">
      <c r="A1642" s="1" t="s">
        <v>120</v>
      </c>
      <c r="B1642" s="1">
        <v>2007.0</v>
      </c>
      <c r="C1642" s="1" t="s">
        <v>18407</v>
      </c>
      <c r="D1642" s="1" t="s">
        <v>18408</v>
      </c>
      <c r="E1642" s="2" t="s">
        <v>20347</v>
      </c>
      <c r="F1642" s="1">
        <v>139.0</v>
      </c>
      <c r="G1642" s="1">
        <v>146.0</v>
      </c>
      <c r="H1642" s="1" t="s">
        <v>28</v>
      </c>
      <c r="I1642" s="1" t="s">
        <v>18409</v>
      </c>
      <c r="J1642" s="1" t="s">
        <v>18410</v>
      </c>
      <c r="K1642" s="1"/>
      <c r="L1642" s="1" t="s">
        <v>20348</v>
      </c>
      <c r="M1642" s="1" t="s">
        <v>18412</v>
      </c>
      <c r="N1642" s="1" t="s">
        <v>18413</v>
      </c>
    </row>
    <row r="1643">
      <c r="A1643" s="1" t="s">
        <v>120</v>
      </c>
      <c r="B1643" s="1">
        <v>2007.0</v>
      </c>
      <c r="C1643" s="1" t="s">
        <v>18414</v>
      </c>
      <c r="D1643" s="1" t="s">
        <v>18415</v>
      </c>
      <c r="E1643" s="2" t="s">
        <v>20349</v>
      </c>
      <c r="F1643" s="1">
        <v>147.0</v>
      </c>
      <c r="G1643" s="1">
        <v>154.0</v>
      </c>
      <c r="H1643" s="1" t="s">
        <v>28</v>
      </c>
      <c r="I1643" s="1" t="s">
        <v>18416</v>
      </c>
      <c r="J1643" s="1" t="s">
        <v>18417</v>
      </c>
      <c r="K1643" s="1"/>
      <c r="L1643" s="1" t="s">
        <v>20350</v>
      </c>
      <c r="M1643" s="1" t="s">
        <v>18420</v>
      </c>
      <c r="N1643" s="1" t="s">
        <v>18421</v>
      </c>
    </row>
    <row r="1644">
      <c r="A1644" s="1" t="s">
        <v>120</v>
      </c>
      <c r="B1644" s="1">
        <v>2007.0</v>
      </c>
      <c r="C1644" s="1" t="s">
        <v>18422</v>
      </c>
      <c r="D1644" s="1" t="s">
        <v>18423</v>
      </c>
      <c r="E1644" s="2" t="s">
        <v>20351</v>
      </c>
      <c r="F1644" s="1">
        <v>155.0</v>
      </c>
      <c r="G1644" s="1">
        <v>162.0</v>
      </c>
      <c r="H1644" s="1" t="s">
        <v>28</v>
      </c>
      <c r="I1644" s="1" t="s">
        <v>18424</v>
      </c>
      <c r="J1644" s="1" t="s">
        <v>18425</v>
      </c>
      <c r="K1644" s="1"/>
      <c r="L1644" s="1" t="s">
        <v>20358</v>
      </c>
      <c r="M1644" s="1" t="s">
        <v>18428</v>
      </c>
      <c r="N1644" s="1" t="s">
        <v>18429</v>
      </c>
    </row>
    <row r="1645">
      <c r="A1645" s="1" t="s">
        <v>120</v>
      </c>
      <c r="B1645" s="1">
        <v>2007.0</v>
      </c>
      <c r="C1645" s="1" t="s">
        <v>18430</v>
      </c>
      <c r="D1645" s="1" t="s">
        <v>18431</v>
      </c>
      <c r="E1645" s="2" t="s">
        <v>20362</v>
      </c>
      <c r="F1645" s="1">
        <v>163.0</v>
      </c>
      <c r="G1645" s="1">
        <v>170.0</v>
      </c>
      <c r="H1645" s="1" t="s">
        <v>28</v>
      </c>
      <c r="I1645" s="1" t="s">
        <v>18432</v>
      </c>
      <c r="J1645" s="1" t="s">
        <v>18433</v>
      </c>
      <c r="K1645" s="1"/>
      <c r="L1645" s="1" t="s">
        <v>20371</v>
      </c>
      <c r="M1645" s="1" t="s">
        <v>18436</v>
      </c>
      <c r="N1645" s="1" t="s">
        <v>18437</v>
      </c>
    </row>
    <row r="1646">
      <c r="A1646" s="1" t="s">
        <v>120</v>
      </c>
      <c r="B1646" s="1">
        <v>2007.0</v>
      </c>
      <c r="C1646" s="1" t="s">
        <v>18438</v>
      </c>
      <c r="D1646" s="1" t="s">
        <v>18439</v>
      </c>
      <c r="E1646" s="2" t="s">
        <v>20375</v>
      </c>
      <c r="F1646" s="1">
        <v>171.0</v>
      </c>
      <c r="G1646" s="1">
        <v>178.0</v>
      </c>
      <c r="H1646" s="1" t="s">
        <v>28</v>
      </c>
      <c r="I1646" s="1" t="s">
        <v>18440</v>
      </c>
      <c r="J1646" s="1" t="s">
        <v>17297</v>
      </c>
      <c r="K1646" s="1"/>
      <c r="L1646" s="1" t="s">
        <v>20422</v>
      </c>
      <c r="M1646" s="1" t="s">
        <v>18442</v>
      </c>
      <c r="N1646" s="1" t="s">
        <v>18443</v>
      </c>
    </row>
    <row r="1647">
      <c r="A1647" s="1" t="s">
        <v>120</v>
      </c>
      <c r="B1647" s="1">
        <v>2007.0</v>
      </c>
      <c r="C1647" s="1" t="s">
        <v>18444</v>
      </c>
      <c r="D1647" s="1" t="s">
        <v>18445</v>
      </c>
      <c r="E1647" s="2" t="s">
        <v>20425</v>
      </c>
      <c r="F1647" s="1">
        <v>179.0</v>
      </c>
      <c r="G1647" s="1">
        <v>186.0</v>
      </c>
      <c r="H1647" s="1" t="s">
        <v>28</v>
      </c>
      <c r="I1647" s="1" t="s">
        <v>18446</v>
      </c>
      <c r="J1647" s="1" t="s">
        <v>20442</v>
      </c>
      <c r="K1647" s="1"/>
      <c r="L1647" s="1" t="s">
        <v>20327</v>
      </c>
      <c r="M1647" s="1" t="s">
        <v>17511</v>
      </c>
      <c r="N1647" s="1" t="s">
        <v>18450</v>
      </c>
    </row>
    <row r="1648">
      <c r="A1648" s="1" t="s">
        <v>120</v>
      </c>
      <c r="B1648" s="1">
        <v>2007.0</v>
      </c>
      <c r="C1648" s="1" t="s">
        <v>18451</v>
      </c>
      <c r="D1648" s="1" t="s">
        <v>18452</v>
      </c>
      <c r="E1648" s="2" t="s">
        <v>20448</v>
      </c>
      <c r="F1648" s="1">
        <v>187.0</v>
      </c>
      <c r="G1648" s="1">
        <v>194.0</v>
      </c>
      <c r="H1648" s="1" t="s">
        <v>28</v>
      </c>
      <c r="I1648" s="1" t="s">
        <v>18453</v>
      </c>
      <c r="J1648" s="1" t="s">
        <v>18454</v>
      </c>
      <c r="K1648" s="1"/>
      <c r="L1648" s="1" t="s">
        <v>20464</v>
      </c>
      <c r="M1648" s="1" t="s">
        <v>18457</v>
      </c>
      <c r="N1648" s="1" t="s">
        <v>18458</v>
      </c>
    </row>
    <row r="1649">
      <c r="A1649" s="1" t="s">
        <v>120</v>
      </c>
      <c r="B1649" s="1">
        <v>2007.0</v>
      </c>
      <c r="C1649" s="1" t="s">
        <v>18459</v>
      </c>
      <c r="D1649" s="1" t="s">
        <v>18460</v>
      </c>
      <c r="E1649" s="2" t="s">
        <v>20469</v>
      </c>
      <c r="F1649" s="1">
        <v>197.0</v>
      </c>
      <c r="G1649" s="1">
        <v>198.0</v>
      </c>
      <c r="H1649" s="1" t="s">
        <v>21</v>
      </c>
      <c r="I1649" s="1" t="s">
        <v>18461</v>
      </c>
      <c r="J1649" s="1" t="s">
        <v>20484</v>
      </c>
      <c r="K1649" s="1"/>
      <c r="L1649" s="1" t="s">
        <v>20485</v>
      </c>
    </row>
    <row r="1650">
      <c r="A1650" s="1" t="s">
        <v>120</v>
      </c>
      <c r="B1650" s="1">
        <v>2007.0</v>
      </c>
      <c r="C1650" s="1" t="s">
        <v>18465</v>
      </c>
      <c r="D1650" s="1" t="s">
        <v>18466</v>
      </c>
      <c r="E1650" s="2" t="s">
        <v>20488</v>
      </c>
      <c r="F1650" s="1">
        <v>199.0</v>
      </c>
      <c r="G1650" s="1">
        <v>200.0</v>
      </c>
      <c r="H1650" s="1" t="s">
        <v>21</v>
      </c>
      <c r="I1650" s="1" t="s">
        <v>18467</v>
      </c>
      <c r="J1650" s="1" t="s">
        <v>18468</v>
      </c>
      <c r="K1650" s="1"/>
      <c r="L1650" s="1" t="s">
        <v>20511</v>
      </c>
    </row>
    <row r="1651">
      <c r="A1651" s="1" t="s">
        <v>120</v>
      </c>
      <c r="B1651" s="1">
        <v>2007.0</v>
      </c>
      <c r="C1651" s="1" t="s">
        <v>18470</v>
      </c>
      <c r="D1651" s="1" t="s">
        <v>18471</v>
      </c>
      <c r="E1651" s="2" t="s">
        <v>20518</v>
      </c>
      <c r="F1651" s="1">
        <v>201.0</v>
      </c>
      <c r="G1651" s="1">
        <v>202.0</v>
      </c>
      <c r="H1651" s="1" t="s">
        <v>21</v>
      </c>
      <c r="I1651" s="1" t="s">
        <v>18472</v>
      </c>
      <c r="J1651" s="1" t="s">
        <v>20530</v>
      </c>
      <c r="K1651" s="1"/>
      <c r="L1651" s="1" t="s">
        <v>20531</v>
      </c>
    </row>
    <row r="1652">
      <c r="A1652" s="1" t="s">
        <v>120</v>
      </c>
      <c r="B1652" s="1">
        <v>2007.0</v>
      </c>
      <c r="C1652" s="1" t="s">
        <v>18478</v>
      </c>
      <c r="D1652" s="1" t="s">
        <v>18479</v>
      </c>
      <c r="E1652" s="2" t="s">
        <v>20534</v>
      </c>
      <c r="F1652" s="1">
        <v>203.0</v>
      </c>
      <c r="G1652" s="1">
        <v>204.0</v>
      </c>
      <c r="H1652" s="1" t="s">
        <v>21</v>
      </c>
      <c r="I1652" s="1" t="s">
        <v>18480</v>
      </c>
      <c r="J1652" s="1" t="s">
        <v>18481</v>
      </c>
      <c r="K1652" s="1"/>
      <c r="L1652" s="1" t="s">
        <v>494</v>
      </c>
    </row>
    <row r="1653">
      <c r="A1653" s="1" t="s">
        <v>120</v>
      </c>
      <c r="B1653" s="1">
        <v>2007.0</v>
      </c>
      <c r="C1653" s="1" t="s">
        <v>18483</v>
      </c>
      <c r="D1653" s="1" t="s">
        <v>18484</v>
      </c>
      <c r="E1653" s="2" t="s">
        <v>20551</v>
      </c>
      <c r="F1653" s="1">
        <v>205.0</v>
      </c>
      <c r="G1653" s="1">
        <v>206.0</v>
      </c>
      <c r="H1653" s="1" t="s">
        <v>21</v>
      </c>
      <c r="I1653" s="1" t="s">
        <v>18485</v>
      </c>
      <c r="J1653" s="1" t="s">
        <v>18486</v>
      </c>
      <c r="K1653" s="1"/>
      <c r="L1653" s="1" t="s">
        <v>20564</v>
      </c>
    </row>
    <row r="1654">
      <c r="A1654" s="1" t="s">
        <v>120</v>
      </c>
      <c r="B1654" s="1">
        <v>2007.0</v>
      </c>
      <c r="C1654" s="1" t="s">
        <v>18489</v>
      </c>
      <c r="D1654" s="1" t="s">
        <v>18490</v>
      </c>
      <c r="E1654" s="2" t="s">
        <v>20569</v>
      </c>
      <c r="F1654" s="1">
        <v>207.0</v>
      </c>
      <c r="G1654" s="1">
        <v>208.0</v>
      </c>
      <c r="H1654" s="1" t="s">
        <v>21</v>
      </c>
      <c r="I1654" s="1" t="s">
        <v>20579</v>
      </c>
      <c r="J1654" s="1" t="s">
        <v>18492</v>
      </c>
      <c r="K1654" s="1"/>
      <c r="L1654" s="1" t="s">
        <v>20582</v>
      </c>
    </row>
    <row r="1655">
      <c r="A1655" s="1" t="s">
        <v>120</v>
      </c>
      <c r="B1655" s="1">
        <v>2007.0</v>
      </c>
      <c r="C1655" s="1" t="s">
        <v>18495</v>
      </c>
      <c r="D1655" s="1" t="s">
        <v>18496</v>
      </c>
      <c r="E1655" s="2" t="s">
        <v>20586</v>
      </c>
      <c r="F1655" s="1">
        <v>209.0</v>
      </c>
      <c r="G1655" s="1">
        <v>210.0</v>
      </c>
      <c r="H1655" s="1" t="s">
        <v>21</v>
      </c>
      <c r="I1655" s="1" t="s">
        <v>18497</v>
      </c>
      <c r="J1655" s="1" t="s">
        <v>18498</v>
      </c>
      <c r="K1655" s="1"/>
      <c r="L1655" s="1" t="s">
        <v>20596</v>
      </c>
    </row>
    <row r="1656">
      <c r="A1656" s="1" t="s">
        <v>120</v>
      </c>
      <c r="B1656" s="1">
        <v>2007.0</v>
      </c>
      <c r="C1656" s="1" t="s">
        <v>18501</v>
      </c>
      <c r="D1656" s="1" t="s">
        <v>18502</v>
      </c>
      <c r="E1656" s="2" t="s">
        <v>20600</v>
      </c>
      <c r="F1656" s="1">
        <v>211.0</v>
      </c>
      <c r="G1656" s="1">
        <v>212.0</v>
      </c>
      <c r="H1656" s="1" t="s">
        <v>21</v>
      </c>
      <c r="I1656" s="1" t="s">
        <v>18503</v>
      </c>
      <c r="J1656" s="1" t="s">
        <v>18504</v>
      </c>
      <c r="K1656" s="1"/>
      <c r="L1656" s="1" t="s">
        <v>20617</v>
      </c>
    </row>
    <row r="1657">
      <c r="A1657" s="1" t="s">
        <v>120</v>
      </c>
      <c r="B1657" s="1">
        <v>2007.0</v>
      </c>
      <c r="C1657" s="1" t="s">
        <v>18506</v>
      </c>
      <c r="D1657" s="1" t="s">
        <v>18507</v>
      </c>
      <c r="E1657" s="2" t="s">
        <v>20619</v>
      </c>
      <c r="F1657" s="1">
        <v>213.0</v>
      </c>
      <c r="G1657" s="1">
        <v>214.0</v>
      </c>
      <c r="H1657" s="1" t="s">
        <v>21</v>
      </c>
      <c r="I1657" s="1" t="s">
        <v>18508</v>
      </c>
      <c r="J1657" s="1" t="s">
        <v>18509</v>
      </c>
      <c r="K1657" s="1"/>
      <c r="L1657" s="1" t="s">
        <v>20631</v>
      </c>
    </row>
    <row r="1658">
      <c r="A1658" s="1" t="s">
        <v>120</v>
      </c>
      <c r="B1658" s="1">
        <v>2007.0</v>
      </c>
      <c r="C1658" s="1" t="s">
        <v>18511</v>
      </c>
      <c r="D1658" s="1" t="s">
        <v>18512</v>
      </c>
      <c r="E1658" s="2" t="s">
        <v>20634</v>
      </c>
      <c r="F1658" s="1">
        <v>215.0</v>
      </c>
      <c r="G1658" s="1">
        <v>216.0</v>
      </c>
      <c r="H1658" s="1" t="s">
        <v>21</v>
      </c>
      <c r="I1658" s="1" t="s">
        <v>18513</v>
      </c>
      <c r="J1658" s="1" t="s">
        <v>18514</v>
      </c>
      <c r="K1658" s="1"/>
      <c r="L1658" s="1" t="s">
        <v>20648</v>
      </c>
    </row>
    <row r="1659">
      <c r="A1659" s="1" t="s">
        <v>120</v>
      </c>
      <c r="B1659" s="1">
        <v>2007.0</v>
      </c>
      <c r="C1659" s="1" t="s">
        <v>18516</v>
      </c>
      <c r="D1659" s="1" t="s">
        <v>18517</v>
      </c>
      <c r="E1659" s="2" t="s">
        <v>20652</v>
      </c>
      <c r="F1659" s="1">
        <v>217.0</v>
      </c>
      <c r="G1659" s="1">
        <v>218.0</v>
      </c>
      <c r="H1659" s="1" t="s">
        <v>21</v>
      </c>
      <c r="I1659" s="1" t="s">
        <v>18518</v>
      </c>
      <c r="J1659" s="1" t="s">
        <v>7951</v>
      </c>
      <c r="K1659" s="1"/>
      <c r="L1659" s="1" t="s">
        <v>20665</v>
      </c>
    </row>
    <row r="1660">
      <c r="A1660" s="1" t="s">
        <v>120</v>
      </c>
      <c r="B1660" s="1">
        <v>2007.0</v>
      </c>
      <c r="C1660" s="1" t="s">
        <v>18520</v>
      </c>
      <c r="D1660" s="1" t="s">
        <v>18521</v>
      </c>
      <c r="E1660" s="2" t="s">
        <v>20667</v>
      </c>
      <c r="F1660" s="1">
        <v>219.0</v>
      </c>
      <c r="G1660" s="1">
        <v>220.0</v>
      </c>
      <c r="H1660" s="1" t="s">
        <v>21</v>
      </c>
      <c r="I1660" s="1" t="s">
        <v>18522</v>
      </c>
      <c r="J1660" s="1" t="s">
        <v>18523</v>
      </c>
      <c r="K1660" s="1"/>
      <c r="L1660" s="1" t="s">
        <v>20678</v>
      </c>
    </row>
    <row r="1661">
      <c r="A1661" s="1" t="s">
        <v>120</v>
      </c>
      <c r="B1661" s="1">
        <v>2007.0</v>
      </c>
      <c r="C1661" s="1" t="s">
        <v>18526</v>
      </c>
      <c r="D1661" s="1" t="s">
        <v>18527</v>
      </c>
      <c r="E1661" s="2" t="s">
        <v>20681</v>
      </c>
      <c r="F1661" s="1">
        <v>221.0</v>
      </c>
      <c r="G1661" s="1">
        <v>222.0</v>
      </c>
      <c r="H1661" s="1" t="s">
        <v>21</v>
      </c>
      <c r="I1661" s="1" t="s">
        <v>18528</v>
      </c>
      <c r="J1661" s="1" t="s">
        <v>18529</v>
      </c>
      <c r="K1661" s="1"/>
      <c r="L1661" s="1" t="s">
        <v>880</v>
      </c>
    </row>
    <row r="1662">
      <c r="A1662" s="1" t="s">
        <v>120</v>
      </c>
      <c r="B1662" s="1">
        <v>2007.0</v>
      </c>
      <c r="C1662" s="1" t="s">
        <v>18532</v>
      </c>
      <c r="D1662" s="1" t="s">
        <v>18533</v>
      </c>
      <c r="E1662" s="2" t="s">
        <v>20699</v>
      </c>
      <c r="F1662" s="1">
        <v>223.0</v>
      </c>
      <c r="G1662" s="1">
        <v>224.0</v>
      </c>
      <c r="H1662" s="1" t="s">
        <v>21</v>
      </c>
      <c r="I1662" s="1" t="s">
        <v>18534</v>
      </c>
      <c r="J1662" s="1" t="s">
        <v>18535</v>
      </c>
      <c r="K1662" s="1"/>
      <c r="L1662" s="1" t="s">
        <v>20706</v>
      </c>
    </row>
    <row r="1663">
      <c r="A1663" s="1" t="s">
        <v>120</v>
      </c>
      <c r="B1663" s="1">
        <v>2007.0</v>
      </c>
      <c r="C1663" s="1" t="s">
        <v>18538</v>
      </c>
      <c r="D1663" s="1" t="s">
        <v>18539</v>
      </c>
      <c r="E1663" s="2" t="s">
        <v>20707</v>
      </c>
      <c r="F1663" s="1">
        <v>227.0</v>
      </c>
      <c r="G1663" s="1">
        <v>227.0</v>
      </c>
      <c r="H1663" s="1" t="s">
        <v>21</v>
      </c>
      <c r="I1663" s="1" t="s">
        <v>18540</v>
      </c>
      <c r="J1663" s="1" t="s">
        <v>18541</v>
      </c>
      <c r="K1663" s="1"/>
      <c r="L1663" s="1" t="s">
        <v>20708</v>
      </c>
    </row>
    <row r="1664">
      <c r="A1664" s="1" t="s">
        <v>120</v>
      </c>
      <c r="B1664" s="1">
        <v>2007.0</v>
      </c>
      <c r="C1664" s="1" t="s">
        <v>18545</v>
      </c>
      <c r="D1664" s="1" t="s">
        <v>18546</v>
      </c>
      <c r="E1664" s="2" t="s">
        <v>20709</v>
      </c>
      <c r="F1664" s="1">
        <v>231.0</v>
      </c>
      <c r="G1664" s="1">
        <v>232.0</v>
      </c>
      <c r="H1664" s="1" t="s">
        <v>21</v>
      </c>
      <c r="I1664" s="1" t="s">
        <v>18548</v>
      </c>
      <c r="J1664" s="1" t="s">
        <v>18549</v>
      </c>
      <c r="K1664" s="1"/>
      <c r="L1664" s="1" t="s">
        <v>20710</v>
      </c>
    </row>
    <row r="1665">
      <c r="A1665" s="1" t="s">
        <v>120</v>
      </c>
      <c r="B1665" s="1">
        <v>2007.0</v>
      </c>
      <c r="C1665" s="1" t="s">
        <v>18552</v>
      </c>
      <c r="D1665" s="1" t="s">
        <v>18553</v>
      </c>
      <c r="E1665" s="2" t="s">
        <v>20711</v>
      </c>
      <c r="F1665" s="1">
        <v>233.0</v>
      </c>
      <c r="G1665" s="1">
        <v>234.0</v>
      </c>
      <c r="H1665" s="1" t="s">
        <v>21</v>
      </c>
      <c r="I1665" s="1" t="s">
        <v>18554</v>
      </c>
      <c r="J1665" s="1" t="s">
        <v>18555</v>
      </c>
      <c r="K1665" s="1"/>
      <c r="L1665" s="1" t="s">
        <v>20712</v>
      </c>
    </row>
    <row r="1666">
      <c r="A1666" s="1" t="s">
        <v>120</v>
      </c>
      <c r="B1666" s="1">
        <v>2007.0</v>
      </c>
      <c r="C1666" s="1" t="s">
        <v>18557</v>
      </c>
      <c r="D1666" s="1" t="s">
        <v>18558</v>
      </c>
      <c r="E1666" s="2" t="s">
        <v>20713</v>
      </c>
      <c r="F1666" s="1">
        <v>235.0</v>
      </c>
      <c r="G1666" s="1">
        <v>236.0</v>
      </c>
      <c r="H1666" s="1" t="s">
        <v>21</v>
      </c>
      <c r="I1666" s="1" t="s">
        <v>18560</v>
      </c>
      <c r="J1666" s="1" t="s">
        <v>20714</v>
      </c>
      <c r="K1666" s="1"/>
      <c r="L1666" s="1" t="s">
        <v>20531</v>
      </c>
    </row>
    <row r="1667">
      <c r="A1667" s="1" t="s">
        <v>120</v>
      </c>
      <c r="B1667" s="1">
        <v>2007.0</v>
      </c>
      <c r="C1667" s="1" t="s">
        <v>18459</v>
      </c>
      <c r="D1667" s="1" t="s">
        <v>18563</v>
      </c>
      <c r="E1667" s="2" t="s">
        <v>20715</v>
      </c>
      <c r="F1667" s="1">
        <v>237.0</v>
      </c>
      <c r="G1667" s="1">
        <v>238.0</v>
      </c>
      <c r="H1667" s="1" t="s">
        <v>21</v>
      </c>
      <c r="I1667" s="1" t="s">
        <v>18461</v>
      </c>
      <c r="J1667" s="1" t="s">
        <v>20484</v>
      </c>
      <c r="K1667" s="1"/>
      <c r="L1667" s="1" t="s">
        <v>20716</v>
      </c>
    </row>
    <row r="1668">
      <c r="A1668" s="1" t="s">
        <v>120</v>
      </c>
      <c r="B1668" s="1">
        <v>2007.0</v>
      </c>
      <c r="C1668" s="1" t="s">
        <v>18565</v>
      </c>
      <c r="D1668" s="1" t="s">
        <v>18566</v>
      </c>
      <c r="E1668" s="2" t="s">
        <v>20717</v>
      </c>
      <c r="F1668" s="1">
        <v>241.0</v>
      </c>
      <c r="G1668" s="1">
        <v>242.0</v>
      </c>
      <c r="H1668" s="1" t="s">
        <v>21</v>
      </c>
      <c r="I1668" s="1" t="s">
        <v>18568</v>
      </c>
      <c r="J1668" s="1" t="s">
        <v>18569</v>
      </c>
      <c r="K1668" s="1"/>
      <c r="L1668" s="1" t="s">
        <v>20718</v>
      </c>
    </row>
    <row r="1669">
      <c r="A1669" s="1" t="s">
        <v>120</v>
      </c>
      <c r="B1669" s="1">
        <v>2007.0</v>
      </c>
      <c r="C1669" s="1" t="s">
        <v>18572</v>
      </c>
      <c r="D1669" s="1" t="s">
        <v>18573</v>
      </c>
      <c r="E1669" s="2" t="s">
        <v>20719</v>
      </c>
      <c r="F1669" s="1">
        <v>243.0</v>
      </c>
      <c r="G1669" s="1">
        <v>244.0</v>
      </c>
      <c r="H1669" s="1" t="s">
        <v>21</v>
      </c>
      <c r="I1669" s="1" t="s">
        <v>18574</v>
      </c>
      <c r="J1669" s="1" t="s">
        <v>18575</v>
      </c>
      <c r="K1669" s="1"/>
      <c r="L1669" s="1" t="s">
        <v>20720</v>
      </c>
    </row>
    <row r="1670">
      <c r="A1670" s="1" t="s">
        <v>120</v>
      </c>
      <c r="B1670" s="1">
        <v>2007.0</v>
      </c>
      <c r="C1670" s="1" t="s">
        <v>18579</v>
      </c>
      <c r="D1670" s="1" t="s">
        <v>18580</v>
      </c>
      <c r="E1670" s="2" t="s">
        <v>20721</v>
      </c>
      <c r="F1670" s="1">
        <v>245.0</v>
      </c>
      <c r="G1670" s="1">
        <v>246.0</v>
      </c>
      <c r="H1670" s="1" t="s">
        <v>21</v>
      </c>
      <c r="I1670" s="1" t="s">
        <v>18582</v>
      </c>
      <c r="J1670" s="1" t="s">
        <v>18468</v>
      </c>
      <c r="K1670" s="1"/>
      <c r="L1670" s="1" t="s">
        <v>20722</v>
      </c>
    </row>
    <row r="1671">
      <c r="A1671" s="1" t="s">
        <v>120</v>
      </c>
      <c r="B1671" s="1">
        <v>2007.0</v>
      </c>
      <c r="C1671" s="1" t="s">
        <v>18489</v>
      </c>
      <c r="D1671" s="1" t="s">
        <v>18583</v>
      </c>
      <c r="E1671" s="2" t="s">
        <v>20723</v>
      </c>
      <c r="F1671" s="1">
        <v>239.0</v>
      </c>
      <c r="G1671" s="1">
        <v>240.0</v>
      </c>
      <c r="H1671" s="1" t="s">
        <v>21</v>
      </c>
      <c r="I1671" s="1" t="s">
        <v>20579</v>
      </c>
      <c r="J1671" s="1" t="s">
        <v>18584</v>
      </c>
      <c r="K1671" s="1"/>
      <c r="L1671" s="1" t="s">
        <v>1253</v>
      </c>
    </row>
    <row r="1672">
      <c r="A1672" s="1" t="s">
        <v>17</v>
      </c>
      <c r="B1672" s="1">
        <v>2008.0</v>
      </c>
      <c r="C1672" s="1" t="s">
        <v>19623</v>
      </c>
      <c r="D1672" s="1" t="s">
        <v>19624</v>
      </c>
      <c r="E1672" s="2" t="s">
        <v>20724</v>
      </c>
      <c r="F1672" s="1">
        <v>1723.0</v>
      </c>
      <c r="G1672" s="1">
        <v>1730.0</v>
      </c>
      <c r="H1672" s="1" t="s">
        <v>17059</v>
      </c>
      <c r="I1672" s="1" t="s">
        <v>19625</v>
      </c>
      <c r="J1672" s="1" t="s">
        <v>2994</v>
      </c>
      <c r="K1672" s="1"/>
      <c r="L1672" s="1" t="s">
        <v>20725</v>
      </c>
      <c r="M1672" s="1" t="s">
        <v>19628</v>
      </c>
      <c r="N1672" s="1" t="s">
        <v>19629</v>
      </c>
    </row>
    <row r="1673">
      <c r="A1673" s="1" t="s">
        <v>2137</v>
      </c>
      <c r="B1673" s="1">
        <v>2008.0</v>
      </c>
      <c r="C1673" s="1" t="s">
        <v>19030</v>
      </c>
      <c r="D1673" s="1" t="s">
        <v>19031</v>
      </c>
      <c r="E1673" s="2" t="s">
        <v>20726</v>
      </c>
      <c r="F1673" s="1">
        <v>1149.0</v>
      </c>
      <c r="G1673" s="1">
        <v>1156.0</v>
      </c>
      <c r="H1673" s="1" t="s">
        <v>17059</v>
      </c>
      <c r="I1673" s="1" t="s">
        <v>19032</v>
      </c>
      <c r="J1673" s="1" t="s">
        <v>19033</v>
      </c>
      <c r="K1673" s="1"/>
      <c r="L1673" s="1" t="s">
        <v>20727</v>
      </c>
      <c r="M1673" s="1" t="s">
        <v>19035</v>
      </c>
      <c r="N1673" s="1" t="s">
        <v>19036</v>
      </c>
      <c r="P1673" s="1"/>
      <c r="Q1673" s="1" t="s">
        <v>19037</v>
      </c>
    </row>
    <row r="1674">
      <c r="A1674" s="1" t="s">
        <v>17</v>
      </c>
      <c r="B1674" s="1">
        <v>2008.0</v>
      </c>
      <c r="C1674" s="1" t="s">
        <v>19630</v>
      </c>
      <c r="D1674" s="1" t="s">
        <v>19632</v>
      </c>
      <c r="E1674" s="2" t="s">
        <v>20728</v>
      </c>
      <c r="F1674" s="1">
        <v>1619.0</v>
      </c>
      <c r="G1674" s="1">
        <v>1626.0</v>
      </c>
      <c r="H1674" s="1" t="s">
        <v>17059</v>
      </c>
      <c r="I1674" s="1" t="s">
        <v>20729</v>
      </c>
      <c r="J1674" s="1" t="s">
        <v>19635</v>
      </c>
      <c r="K1674" s="1"/>
      <c r="L1674" s="1" t="s">
        <v>20730</v>
      </c>
      <c r="M1674" s="1" t="s">
        <v>19637</v>
      </c>
      <c r="N1674" s="1" t="s">
        <v>19638</v>
      </c>
    </row>
    <row r="1675">
      <c r="A1675" s="1" t="s">
        <v>17</v>
      </c>
      <c r="B1675" s="1">
        <v>2008.0</v>
      </c>
      <c r="C1675" s="1" t="s">
        <v>19639</v>
      </c>
      <c r="D1675" s="1" t="s">
        <v>19640</v>
      </c>
      <c r="E1675" s="2" t="s">
        <v>20731</v>
      </c>
      <c r="F1675" s="1">
        <v>1707.0</v>
      </c>
      <c r="G1675" s="1">
        <v>1722.0</v>
      </c>
      <c r="H1675" s="1" t="s">
        <v>17059</v>
      </c>
      <c r="I1675" s="1" t="s">
        <v>19642</v>
      </c>
      <c r="J1675" s="1" t="s">
        <v>19643</v>
      </c>
      <c r="K1675" s="1"/>
      <c r="L1675" s="1" t="s">
        <v>20732</v>
      </c>
      <c r="M1675" s="1" t="s">
        <v>19647</v>
      </c>
      <c r="N1675" s="1" t="s">
        <v>19648</v>
      </c>
    </row>
    <row r="1676">
      <c r="A1676" s="1" t="s">
        <v>17</v>
      </c>
      <c r="B1676" s="1">
        <v>2008.0</v>
      </c>
      <c r="C1676" s="1" t="s">
        <v>19649</v>
      </c>
      <c r="D1676" s="1" t="s">
        <v>19650</v>
      </c>
      <c r="E1676" s="2" t="s">
        <v>20733</v>
      </c>
      <c r="F1676" s="1">
        <v>1747.0</v>
      </c>
      <c r="G1676" s="1">
        <v>1754.0</v>
      </c>
      <c r="H1676" s="1" t="s">
        <v>17059</v>
      </c>
      <c r="I1676" s="1" t="s">
        <v>19651</v>
      </c>
      <c r="J1676" s="1" t="s">
        <v>19652</v>
      </c>
      <c r="K1676" s="1"/>
      <c r="L1676" s="1" t="s">
        <v>20734</v>
      </c>
      <c r="M1676" s="1"/>
      <c r="N1676" s="1" t="s">
        <v>19654</v>
      </c>
    </row>
    <row r="1677">
      <c r="A1677" s="1" t="s">
        <v>2137</v>
      </c>
      <c r="B1677" s="1">
        <v>2008.0</v>
      </c>
      <c r="C1677" s="1" t="s">
        <v>19039</v>
      </c>
      <c r="D1677" s="1" t="s">
        <v>19040</v>
      </c>
      <c r="E1677" s="2" t="s">
        <v>20735</v>
      </c>
      <c r="F1677" s="1">
        <v>1157.0</v>
      </c>
      <c r="G1677" s="1">
        <v>1164.0</v>
      </c>
      <c r="H1677" s="1" t="s">
        <v>17059</v>
      </c>
      <c r="I1677" s="1" t="s">
        <v>19041</v>
      </c>
      <c r="J1677" s="1" t="s">
        <v>18102</v>
      </c>
      <c r="K1677" s="1"/>
      <c r="L1677" s="1" t="s">
        <v>20736</v>
      </c>
      <c r="M1677" s="1" t="s">
        <v>19043</v>
      </c>
      <c r="N1677" s="1" t="s">
        <v>19044</v>
      </c>
    </row>
    <row r="1678">
      <c r="A1678" s="1" t="s">
        <v>17</v>
      </c>
      <c r="B1678" s="1">
        <v>2008.0</v>
      </c>
      <c r="C1678" s="1" t="s">
        <v>19655</v>
      </c>
      <c r="D1678" s="1" t="s">
        <v>19656</v>
      </c>
      <c r="E1678" s="2" t="s">
        <v>20737</v>
      </c>
      <c r="F1678" s="1">
        <v>1523.0</v>
      </c>
      <c r="G1678" s="1">
        <v>1530.0</v>
      </c>
      <c r="H1678" s="1" t="s">
        <v>17059</v>
      </c>
      <c r="I1678" s="1" t="s">
        <v>19657</v>
      </c>
      <c r="J1678" s="1" t="s">
        <v>20738</v>
      </c>
      <c r="K1678" s="1"/>
      <c r="L1678" s="1" t="s">
        <v>20739</v>
      </c>
      <c r="M1678" s="1" t="s">
        <v>19660</v>
      </c>
      <c r="N1678" s="1" t="s">
        <v>19661</v>
      </c>
    </row>
    <row r="1679">
      <c r="A1679" s="1" t="s">
        <v>17</v>
      </c>
      <c r="B1679" s="1">
        <v>2008.0</v>
      </c>
      <c r="C1679" s="1" t="s">
        <v>19662</v>
      </c>
      <c r="D1679" s="1" t="s">
        <v>19664</v>
      </c>
      <c r="E1679" s="2" t="s">
        <v>20740</v>
      </c>
      <c r="F1679" s="1">
        <v>1459.0</v>
      </c>
      <c r="G1679" s="1">
        <v>1466.0</v>
      </c>
      <c r="H1679" s="1" t="s">
        <v>17059</v>
      </c>
      <c r="I1679" s="1" t="s">
        <v>19665</v>
      </c>
      <c r="J1679" s="1" t="s">
        <v>20741</v>
      </c>
      <c r="K1679" s="1"/>
      <c r="L1679" s="1" t="s">
        <v>20742</v>
      </c>
      <c r="M1679" s="1" t="s">
        <v>19670</v>
      </c>
      <c r="N1679" s="1" t="s">
        <v>19671</v>
      </c>
    </row>
    <row r="1680">
      <c r="A1680" s="1" t="s">
        <v>2137</v>
      </c>
      <c r="B1680" s="1">
        <v>2008.0</v>
      </c>
      <c r="C1680" s="1" t="s">
        <v>19045</v>
      </c>
      <c r="D1680" s="1" t="s">
        <v>19046</v>
      </c>
      <c r="E1680" s="2" t="s">
        <v>20743</v>
      </c>
      <c r="F1680" s="1">
        <v>1253.0</v>
      </c>
      <c r="G1680" s="1">
        <v>1260.0</v>
      </c>
      <c r="H1680" s="1" t="s">
        <v>17059</v>
      </c>
      <c r="I1680" s="1" t="s">
        <v>19047</v>
      </c>
      <c r="J1680" s="1" t="s">
        <v>19048</v>
      </c>
      <c r="K1680" s="1"/>
      <c r="L1680" s="1" t="s">
        <v>20744</v>
      </c>
      <c r="M1680" s="1" t="s">
        <v>19051</v>
      </c>
      <c r="N1680" s="1" t="s">
        <v>19052</v>
      </c>
    </row>
    <row r="1681">
      <c r="A1681" s="1" t="s">
        <v>17</v>
      </c>
      <c r="B1681" s="1">
        <v>2008.0</v>
      </c>
      <c r="C1681" s="1" t="s">
        <v>19672</v>
      </c>
      <c r="D1681" s="1" t="s">
        <v>19673</v>
      </c>
      <c r="E1681" s="2" t="s">
        <v>20745</v>
      </c>
      <c r="F1681" s="1">
        <v>1739.0</v>
      </c>
      <c r="G1681" s="1">
        <v>1754.0</v>
      </c>
      <c r="H1681" s="1" t="s">
        <v>17059</v>
      </c>
      <c r="I1681" s="1" t="s">
        <v>19674</v>
      </c>
      <c r="J1681" s="1" t="s">
        <v>19675</v>
      </c>
      <c r="K1681" s="1"/>
      <c r="L1681" s="1" t="s">
        <v>20746</v>
      </c>
      <c r="M1681" s="1" t="s">
        <v>19677</v>
      </c>
      <c r="N1681" s="1" t="s">
        <v>19678</v>
      </c>
    </row>
    <row r="1682">
      <c r="A1682" s="1" t="s">
        <v>17</v>
      </c>
      <c r="B1682" s="1">
        <v>2008.0</v>
      </c>
      <c r="C1682" s="1" t="s">
        <v>19681</v>
      </c>
      <c r="D1682" s="1" t="s">
        <v>19682</v>
      </c>
      <c r="E1682" s="2" t="s">
        <v>20747</v>
      </c>
      <c r="F1682" s="1">
        <v>1428.0</v>
      </c>
      <c r="G1682" s="1">
        <v>1435.0</v>
      </c>
      <c r="H1682" s="1" t="s">
        <v>17059</v>
      </c>
      <c r="I1682" s="1" t="s">
        <v>19683</v>
      </c>
      <c r="J1682" s="1" t="s">
        <v>19684</v>
      </c>
      <c r="K1682" s="1"/>
      <c r="L1682" s="1" t="s">
        <v>20748</v>
      </c>
      <c r="M1682" s="1" t="s">
        <v>19687</v>
      </c>
      <c r="N1682" s="1" t="s">
        <v>19688</v>
      </c>
    </row>
    <row r="1683">
      <c r="A1683" s="1" t="s">
        <v>17</v>
      </c>
      <c r="B1683" s="1">
        <v>2008.0</v>
      </c>
      <c r="C1683" s="1" t="s">
        <v>19689</v>
      </c>
      <c r="D1683" s="1" t="s">
        <v>19690</v>
      </c>
      <c r="E1683" s="2" t="s">
        <v>20749</v>
      </c>
      <c r="F1683" s="1">
        <v>1388.0</v>
      </c>
      <c r="G1683" s="1">
        <v>1395.0</v>
      </c>
      <c r="H1683" s="1" t="s">
        <v>17059</v>
      </c>
      <c r="I1683" s="1" t="s">
        <v>19692</v>
      </c>
      <c r="J1683" s="1" t="s">
        <v>20750</v>
      </c>
      <c r="K1683" s="1"/>
      <c r="L1683" s="1" t="s">
        <v>20751</v>
      </c>
      <c r="M1683" s="1" t="s">
        <v>19696</v>
      </c>
      <c r="N1683" s="1" t="s">
        <v>19697</v>
      </c>
    </row>
    <row r="1684">
      <c r="A1684" s="1" t="s">
        <v>2137</v>
      </c>
      <c r="B1684" s="1">
        <v>2008.0</v>
      </c>
      <c r="C1684" s="1" t="s">
        <v>19054</v>
      </c>
      <c r="D1684" s="1" t="s">
        <v>19061</v>
      </c>
      <c r="E1684" s="2" t="s">
        <v>20752</v>
      </c>
      <c r="F1684" s="1">
        <v>1173.0</v>
      </c>
      <c r="G1684" s="1">
        <v>1180.0</v>
      </c>
      <c r="H1684" s="1" t="s">
        <v>17059</v>
      </c>
      <c r="I1684" s="1" t="s">
        <v>19063</v>
      </c>
      <c r="J1684" s="1" t="s">
        <v>19064</v>
      </c>
      <c r="K1684" s="1"/>
      <c r="L1684" s="1" t="s">
        <v>20753</v>
      </c>
      <c r="M1684" s="1" t="s">
        <v>19067</v>
      </c>
      <c r="N1684" s="1" t="s">
        <v>19068</v>
      </c>
    </row>
    <row r="1685">
      <c r="A1685" s="1" t="s">
        <v>17</v>
      </c>
      <c r="B1685" s="1">
        <v>2008.0</v>
      </c>
      <c r="C1685" s="1" t="s">
        <v>19698</v>
      </c>
      <c r="D1685" s="1" t="s">
        <v>19699</v>
      </c>
      <c r="E1685" s="2" t="s">
        <v>20754</v>
      </c>
      <c r="F1685" s="1">
        <v>1651.0</v>
      </c>
      <c r="G1685" s="1">
        <v>1666.0</v>
      </c>
      <c r="H1685" s="1" t="s">
        <v>17059</v>
      </c>
      <c r="I1685" s="1" t="s">
        <v>19700</v>
      </c>
      <c r="J1685" s="1" t="s">
        <v>20755</v>
      </c>
      <c r="K1685" s="1"/>
      <c r="L1685" s="1" t="s">
        <v>20756</v>
      </c>
      <c r="M1685" s="1" t="s">
        <v>19704</v>
      </c>
      <c r="N1685" s="1" t="s">
        <v>19705</v>
      </c>
    </row>
    <row r="1686">
      <c r="A1686" s="1" t="s">
        <v>17</v>
      </c>
      <c r="B1686" s="1">
        <v>2008.0</v>
      </c>
      <c r="C1686" s="1" t="s">
        <v>19706</v>
      </c>
      <c r="D1686" s="1" t="s">
        <v>19707</v>
      </c>
      <c r="E1686" s="2" t="s">
        <v>20757</v>
      </c>
      <c r="F1686" s="1">
        <v>1603.0</v>
      </c>
      <c r="G1686" s="1">
        <v>1610.0</v>
      </c>
      <c r="H1686" s="1" t="s">
        <v>17059</v>
      </c>
      <c r="I1686" s="1" t="s">
        <v>19709</v>
      </c>
      <c r="J1686" s="1" t="s">
        <v>19710</v>
      </c>
      <c r="K1686" s="1"/>
      <c r="L1686" s="1" t="s">
        <v>20758</v>
      </c>
      <c r="M1686" s="1" t="s">
        <v>19713</v>
      </c>
      <c r="N1686" s="1" t="s">
        <v>19714</v>
      </c>
    </row>
    <row r="1687">
      <c r="A1687" s="1" t="s">
        <v>17</v>
      </c>
      <c r="B1687" s="1">
        <v>2008.0</v>
      </c>
      <c r="C1687" s="1" t="s">
        <v>19716</v>
      </c>
      <c r="D1687" s="1" t="s">
        <v>19717</v>
      </c>
      <c r="E1687" s="2" t="s">
        <v>20759</v>
      </c>
      <c r="F1687" s="1">
        <v>1452.0</v>
      </c>
      <c r="G1687" s="1">
        <v>1458.0</v>
      </c>
      <c r="H1687" s="1" t="s">
        <v>17059</v>
      </c>
      <c r="I1687" s="1" t="s">
        <v>19718</v>
      </c>
      <c r="J1687" s="1" t="s">
        <v>19719</v>
      </c>
      <c r="K1687" s="1"/>
      <c r="L1687" s="1" t="s">
        <v>20760</v>
      </c>
      <c r="M1687" s="1"/>
      <c r="N1687" s="1" t="s">
        <v>19721</v>
      </c>
    </row>
    <row r="1688">
      <c r="A1688" s="1" t="s">
        <v>2137</v>
      </c>
      <c r="B1688" s="1">
        <v>2008.0</v>
      </c>
      <c r="C1688" s="1" t="s">
        <v>19070</v>
      </c>
      <c r="D1688" s="1" t="s">
        <v>19071</v>
      </c>
      <c r="E1688" s="2" t="s">
        <v>20761</v>
      </c>
      <c r="F1688" s="1">
        <v>1325.0</v>
      </c>
      <c r="G1688" s="1">
        <v>1332.0</v>
      </c>
      <c r="H1688" s="1" t="s">
        <v>17059</v>
      </c>
      <c r="I1688" s="1" t="s">
        <v>19072</v>
      </c>
      <c r="J1688" s="1" t="s">
        <v>19073</v>
      </c>
      <c r="K1688" s="1"/>
      <c r="L1688" s="1" t="s">
        <v>20762</v>
      </c>
      <c r="M1688" s="1" t="s">
        <v>19076</v>
      </c>
      <c r="N1688" s="1" t="s">
        <v>19077</v>
      </c>
      <c r="P1688" s="1"/>
      <c r="Q1688" s="1" t="s">
        <v>1093</v>
      </c>
    </row>
    <row r="1689">
      <c r="A1689" s="1" t="s">
        <v>17</v>
      </c>
      <c r="B1689" s="1">
        <v>2008.0</v>
      </c>
      <c r="C1689" s="1" t="s">
        <v>19722</v>
      </c>
      <c r="D1689" s="1" t="s">
        <v>19723</v>
      </c>
      <c r="E1689" s="2" t="s">
        <v>20763</v>
      </c>
      <c r="F1689" s="1">
        <v>1755.0</v>
      </c>
      <c r="G1689" s="1">
        <v>1762.0</v>
      </c>
      <c r="H1689" s="1" t="s">
        <v>17059</v>
      </c>
      <c r="I1689" s="1" t="s">
        <v>19724</v>
      </c>
      <c r="J1689" s="1" t="s">
        <v>19725</v>
      </c>
      <c r="K1689" s="1"/>
      <c r="L1689" s="1" t="s">
        <v>20764</v>
      </c>
      <c r="M1689" s="1" t="s">
        <v>19728</v>
      </c>
      <c r="N1689" s="1" t="s">
        <v>19729</v>
      </c>
    </row>
    <row r="1690">
      <c r="A1690" s="1" t="s">
        <v>2137</v>
      </c>
      <c r="B1690" s="1">
        <v>2008.0</v>
      </c>
      <c r="C1690" s="1" t="s">
        <v>19079</v>
      </c>
      <c r="D1690" s="1" t="s">
        <v>19080</v>
      </c>
      <c r="E1690" s="2" t="s">
        <v>20765</v>
      </c>
      <c r="F1690" s="1">
        <v>1181.0</v>
      </c>
      <c r="G1690" s="1">
        <v>1188.0</v>
      </c>
      <c r="H1690" s="1" t="s">
        <v>17059</v>
      </c>
      <c r="I1690" s="1" t="s">
        <v>19082</v>
      </c>
      <c r="J1690" s="1" t="s">
        <v>19083</v>
      </c>
      <c r="K1690" s="1"/>
      <c r="L1690" s="1" t="s">
        <v>20766</v>
      </c>
      <c r="M1690" s="1" t="s">
        <v>19085</v>
      </c>
      <c r="N1690" s="1" t="s">
        <v>19086</v>
      </c>
    </row>
    <row r="1691">
      <c r="A1691" s="1" t="s">
        <v>17</v>
      </c>
      <c r="B1691" s="1">
        <v>2008.0</v>
      </c>
      <c r="C1691" s="1" t="s">
        <v>19732</v>
      </c>
      <c r="D1691" s="1" t="s">
        <v>19733</v>
      </c>
      <c r="E1691" s="2" t="s">
        <v>20767</v>
      </c>
      <c r="F1691" s="1">
        <v>1635.0</v>
      </c>
      <c r="G1691" s="1">
        <v>1642.0</v>
      </c>
      <c r="H1691" s="1" t="s">
        <v>17059</v>
      </c>
      <c r="I1691" s="1" t="s">
        <v>19734</v>
      </c>
      <c r="J1691" s="1" t="s">
        <v>19735</v>
      </c>
      <c r="K1691" s="1"/>
      <c r="L1691" s="1" t="s">
        <v>20768</v>
      </c>
      <c r="M1691" s="1" t="s">
        <v>16254</v>
      </c>
      <c r="N1691" s="1" t="s">
        <v>19738</v>
      </c>
    </row>
    <row r="1692">
      <c r="A1692" s="1" t="s">
        <v>2137</v>
      </c>
      <c r="B1692" s="1">
        <v>2008.0</v>
      </c>
      <c r="C1692" s="1" t="s">
        <v>19087</v>
      </c>
      <c r="D1692" s="1" t="s">
        <v>19088</v>
      </c>
      <c r="E1692" s="2" t="s">
        <v>20769</v>
      </c>
      <c r="F1692" s="1">
        <v>1309.0</v>
      </c>
      <c r="G1692" s="1">
        <v>1316.0</v>
      </c>
      <c r="H1692" s="1" t="s">
        <v>17059</v>
      </c>
      <c r="I1692" s="1" t="s">
        <v>19090</v>
      </c>
      <c r="J1692" s="1" t="s">
        <v>19092</v>
      </c>
      <c r="K1692" s="1"/>
      <c r="L1692" s="1" t="s">
        <v>20770</v>
      </c>
      <c r="M1692" s="1" t="s">
        <v>19095</v>
      </c>
      <c r="N1692" s="1" t="s">
        <v>19096</v>
      </c>
    </row>
    <row r="1693">
      <c r="A1693" s="1" t="s">
        <v>2137</v>
      </c>
      <c r="B1693" s="1">
        <v>2008.0</v>
      </c>
      <c r="C1693" s="1" t="s">
        <v>19097</v>
      </c>
      <c r="D1693" s="1" t="s">
        <v>19098</v>
      </c>
      <c r="E1693" s="2" t="s">
        <v>20771</v>
      </c>
      <c r="F1693" s="1">
        <v>1293.0</v>
      </c>
      <c r="G1693" s="1">
        <v>1300.0</v>
      </c>
      <c r="H1693" s="1" t="s">
        <v>17059</v>
      </c>
      <c r="I1693" s="1" t="s">
        <v>19099</v>
      </c>
      <c r="J1693" s="1" t="s">
        <v>19100</v>
      </c>
      <c r="K1693" s="1"/>
      <c r="L1693" s="1" t="s">
        <v>20772</v>
      </c>
      <c r="M1693" s="1" t="s">
        <v>19103</v>
      </c>
      <c r="N1693" s="1" t="s">
        <v>19104</v>
      </c>
    </row>
    <row r="1694">
      <c r="A1694" s="1" t="s">
        <v>17</v>
      </c>
      <c r="B1694" s="1">
        <v>2008.0</v>
      </c>
      <c r="C1694" s="1" t="s">
        <v>19740</v>
      </c>
      <c r="D1694" s="1" t="s">
        <v>19741</v>
      </c>
      <c r="E1694" s="2" t="s">
        <v>20773</v>
      </c>
      <c r="F1694" s="1">
        <v>1436.0</v>
      </c>
      <c r="G1694" s="1">
        <v>1451.0</v>
      </c>
      <c r="H1694" s="1" t="s">
        <v>17059</v>
      </c>
      <c r="I1694" s="1" t="s">
        <v>19742</v>
      </c>
      <c r="J1694" s="1" t="s">
        <v>19743</v>
      </c>
      <c r="K1694" s="1"/>
      <c r="L1694" s="1" t="s">
        <v>20774</v>
      </c>
      <c r="M1694" s="1" t="s">
        <v>19746</v>
      </c>
      <c r="N1694" s="1" t="s">
        <v>19747</v>
      </c>
    </row>
    <row r="1695">
      <c r="A1695" s="1" t="s">
        <v>17</v>
      </c>
      <c r="B1695" s="1">
        <v>2008.0</v>
      </c>
      <c r="C1695" s="1" t="s">
        <v>19748</v>
      </c>
      <c r="D1695" s="1" t="s">
        <v>19749</v>
      </c>
      <c r="E1695" s="2" t="s">
        <v>20775</v>
      </c>
      <c r="F1695" s="1">
        <v>1731.0</v>
      </c>
      <c r="G1695" s="1">
        <v>1738.0</v>
      </c>
      <c r="H1695" s="1" t="s">
        <v>17059</v>
      </c>
      <c r="I1695" s="1" t="s">
        <v>19750</v>
      </c>
      <c r="J1695" s="1" t="s">
        <v>19751</v>
      </c>
      <c r="K1695" s="1"/>
      <c r="L1695" s="1" t="s">
        <v>20776</v>
      </c>
      <c r="M1695" s="1" t="s">
        <v>19754</v>
      </c>
      <c r="N1695" s="1" t="s">
        <v>19755</v>
      </c>
    </row>
    <row r="1696">
      <c r="A1696" s="1" t="s">
        <v>17</v>
      </c>
      <c r="B1696" s="1">
        <v>2008.0</v>
      </c>
      <c r="C1696" s="1" t="s">
        <v>19756</v>
      </c>
      <c r="D1696" s="1" t="s">
        <v>19757</v>
      </c>
      <c r="E1696" s="2" t="s">
        <v>20777</v>
      </c>
      <c r="F1696" s="1">
        <v>1404.0</v>
      </c>
      <c r="G1696" s="1">
        <v>1411.0</v>
      </c>
      <c r="H1696" s="1" t="s">
        <v>17059</v>
      </c>
      <c r="I1696" s="1" t="s">
        <v>19759</v>
      </c>
      <c r="J1696" s="1" t="s">
        <v>19760</v>
      </c>
      <c r="K1696" s="1"/>
      <c r="L1696" s="1" t="s">
        <v>20778</v>
      </c>
      <c r="M1696" s="1" t="s">
        <v>19762</v>
      </c>
      <c r="N1696" s="1" t="s">
        <v>19763</v>
      </c>
    </row>
    <row r="1697">
      <c r="A1697" s="1" t="s">
        <v>17</v>
      </c>
      <c r="B1697" s="1">
        <v>2008.0</v>
      </c>
      <c r="C1697" s="1" t="s">
        <v>19764</v>
      </c>
      <c r="D1697" s="1" t="s">
        <v>19765</v>
      </c>
      <c r="E1697" s="2" t="s">
        <v>20779</v>
      </c>
      <c r="F1697" s="1">
        <v>1643.0</v>
      </c>
      <c r="G1697" s="1">
        <v>1650.0</v>
      </c>
      <c r="H1697" s="1" t="s">
        <v>17059</v>
      </c>
      <c r="I1697" s="1" t="s">
        <v>19766</v>
      </c>
      <c r="J1697" s="1" t="s">
        <v>19767</v>
      </c>
      <c r="K1697" s="1"/>
      <c r="L1697" s="1" t="s">
        <v>20780</v>
      </c>
      <c r="M1697" s="1"/>
      <c r="N1697" s="1" t="s">
        <v>19768</v>
      </c>
    </row>
    <row r="1698">
      <c r="A1698" s="1" t="s">
        <v>2137</v>
      </c>
      <c r="B1698" s="1">
        <v>2008.0</v>
      </c>
      <c r="C1698" s="1" t="s">
        <v>19107</v>
      </c>
      <c r="D1698" s="1" t="s">
        <v>19108</v>
      </c>
      <c r="E1698" s="2" t="s">
        <v>20781</v>
      </c>
      <c r="F1698" s="1">
        <v>1277.0</v>
      </c>
      <c r="G1698" s="1">
        <v>1284.0</v>
      </c>
      <c r="H1698" s="1" t="s">
        <v>17059</v>
      </c>
      <c r="I1698" s="1" t="s">
        <v>19110</v>
      </c>
      <c r="J1698" s="1" t="s">
        <v>19111</v>
      </c>
      <c r="K1698" s="1"/>
      <c r="L1698" s="1" t="s">
        <v>20782</v>
      </c>
      <c r="M1698" s="1" t="s">
        <v>19113</v>
      </c>
      <c r="N1698" s="1" t="s">
        <v>19114</v>
      </c>
    </row>
    <row r="1699">
      <c r="A1699" s="1" t="s">
        <v>17</v>
      </c>
      <c r="B1699" s="1">
        <v>2008.0</v>
      </c>
      <c r="C1699" s="1" t="s">
        <v>19769</v>
      </c>
      <c r="D1699" s="1" t="s">
        <v>19770</v>
      </c>
      <c r="E1699" s="2" t="s">
        <v>20783</v>
      </c>
      <c r="F1699" s="1">
        <v>1499.0</v>
      </c>
      <c r="G1699" s="1">
        <v>1506.0</v>
      </c>
      <c r="H1699" s="1" t="s">
        <v>17059</v>
      </c>
      <c r="I1699" s="1" t="s">
        <v>19772</v>
      </c>
      <c r="J1699" s="1" t="s">
        <v>20784</v>
      </c>
      <c r="K1699" s="1"/>
      <c r="L1699" s="1" t="s">
        <v>20785</v>
      </c>
      <c r="M1699" s="1" t="s">
        <v>19776</v>
      </c>
      <c r="N1699" s="1" t="s">
        <v>19777</v>
      </c>
    </row>
    <row r="1700">
      <c r="A1700" s="1" t="s">
        <v>2137</v>
      </c>
      <c r="B1700" s="1">
        <v>2008.0</v>
      </c>
      <c r="C1700" s="1" t="s">
        <v>19115</v>
      </c>
      <c r="D1700" s="1" t="s">
        <v>19116</v>
      </c>
      <c r="E1700" s="2" t="s">
        <v>20786</v>
      </c>
      <c r="F1700" s="1">
        <v>1189.0</v>
      </c>
      <c r="G1700" s="1">
        <v>1196.0</v>
      </c>
      <c r="H1700" s="1" t="s">
        <v>17059</v>
      </c>
      <c r="I1700" s="1" t="s">
        <v>19117</v>
      </c>
      <c r="J1700" s="1" t="s">
        <v>19118</v>
      </c>
      <c r="K1700" s="1"/>
      <c r="L1700" s="1" t="s">
        <v>20787</v>
      </c>
      <c r="M1700" s="1" t="s">
        <v>19122</v>
      </c>
      <c r="N1700" s="1" t="s">
        <v>19123</v>
      </c>
    </row>
    <row r="1701">
      <c r="A1701" s="1" t="s">
        <v>2137</v>
      </c>
      <c r="B1701" s="1">
        <v>2008.0</v>
      </c>
      <c r="C1701" s="1" t="s">
        <v>19125</v>
      </c>
      <c r="D1701" s="1" t="s">
        <v>19126</v>
      </c>
      <c r="E1701" s="2" t="s">
        <v>20788</v>
      </c>
      <c r="F1701" s="1">
        <v>1229.0</v>
      </c>
      <c r="G1701" s="1">
        <v>1236.0</v>
      </c>
      <c r="H1701" s="1" t="s">
        <v>17059</v>
      </c>
      <c r="I1701" s="1" t="s">
        <v>19127</v>
      </c>
      <c r="J1701" s="1" t="s">
        <v>19128</v>
      </c>
      <c r="K1701" s="1"/>
      <c r="L1701" s="1" t="s">
        <v>20789</v>
      </c>
      <c r="M1701" s="1" t="s">
        <v>19131</v>
      </c>
      <c r="N1701" s="1" t="s">
        <v>19132</v>
      </c>
    </row>
    <row r="1702">
      <c r="A1702" s="1" t="s">
        <v>17</v>
      </c>
      <c r="B1702" s="1">
        <v>2008.0</v>
      </c>
      <c r="C1702" s="1" t="s">
        <v>19779</v>
      </c>
      <c r="D1702" s="1" t="s">
        <v>19780</v>
      </c>
      <c r="E1702" s="2" t="s">
        <v>20790</v>
      </c>
      <c r="F1702" s="1">
        <v>1579.0</v>
      </c>
      <c r="G1702" s="1">
        <v>1586.0</v>
      </c>
      <c r="H1702" s="1" t="s">
        <v>17059</v>
      </c>
      <c r="I1702" s="1" t="s">
        <v>19781</v>
      </c>
      <c r="J1702" s="1" t="s">
        <v>20791</v>
      </c>
      <c r="K1702" s="1"/>
      <c r="L1702" s="1" t="s">
        <v>20792</v>
      </c>
      <c r="M1702" s="1" t="s">
        <v>19785</v>
      </c>
      <c r="N1702" s="1" t="s">
        <v>19786</v>
      </c>
    </row>
    <row r="1703">
      <c r="A1703" s="1" t="s">
        <v>17</v>
      </c>
      <c r="B1703" s="1">
        <v>2008.0</v>
      </c>
      <c r="C1703" s="1" t="s">
        <v>19787</v>
      </c>
      <c r="D1703" s="1" t="s">
        <v>19788</v>
      </c>
      <c r="E1703" s="2" t="s">
        <v>20793</v>
      </c>
      <c r="F1703" s="1">
        <v>1547.0</v>
      </c>
      <c r="G1703" s="1">
        <v>1554.0</v>
      </c>
      <c r="H1703" s="1" t="s">
        <v>17059</v>
      </c>
      <c r="I1703" s="1" t="s">
        <v>19789</v>
      </c>
      <c r="J1703" s="1" t="s">
        <v>19790</v>
      </c>
      <c r="K1703" s="1"/>
      <c r="L1703" s="1" t="s">
        <v>20794</v>
      </c>
      <c r="M1703" s="1" t="s">
        <v>19792</v>
      </c>
      <c r="N1703" s="1" t="s">
        <v>19793</v>
      </c>
    </row>
    <row r="1704">
      <c r="A1704" s="1" t="s">
        <v>2137</v>
      </c>
      <c r="B1704" s="1">
        <v>2008.0</v>
      </c>
      <c r="C1704" s="1" t="s">
        <v>19133</v>
      </c>
      <c r="D1704" s="1" t="s">
        <v>19134</v>
      </c>
      <c r="E1704" s="2" t="s">
        <v>20795</v>
      </c>
      <c r="F1704" s="1">
        <v>1317.0</v>
      </c>
      <c r="G1704" s="1">
        <v>1324.0</v>
      </c>
      <c r="H1704" s="1" t="s">
        <v>17059</v>
      </c>
      <c r="I1704" s="1" t="s">
        <v>19136</v>
      </c>
      <c r="J1704" s="1" t="s">
        <v>19137</v>
      </c>
      <c r="K1704" s="1"/>
      <c r="L1704" s="1" t="s">
        <v>20796</v>
      </c>
      <c r="M1704" s="1" t="s">
        <v>19141</v>
      </c>
      <c r="N1704" s="1" t="s">
        <v>19142</v>
      </c>
    </row>
    <row r="1705">
      <c r="A1705" s="1" t="s">
        <v>17</v>
      </c>
      <c r="B1705" s="1">
        <v>2008.0</v>
      </c>
      <c r="C1705" s="1" t="s">
        <v>19794</v>
      </c>
      <c r="D1705" s="1" t="s">
        <v>19795</v>
      </c>
      <c r="E1705" s="2" t="s">
        <v>20797</v>
      </c>
      <c r="F1705" s="1">
        <v>1515.0</v>
      </c>
      <c r="G1705" s="1">
        <v>1522.0</v>
      </c>
      <c r="H1705" s="1" t="s">
        <v>17059</v>
      </c>
      <c r="I1705" s="1" t="s">
        <v>19797</v>
      </c>
      <c r="J1705" s="1" t="s">
        <v>19798</v>
      </c>
      <c r="K1705" s="1"/>
      <c r="L1705" s="1" t="s">
        <v>20798</v>
      </c>
      <c r="M1705" s="1" t="s">
        <v>19802</v>
      </c>
      <c r="N1705" s="1" t="s">
        <v>19803</v>
      </c>
    </row>
    <row r="1706">
      <c r="A1706" s="1" t="s">
        <v>17</v>
      </c>
      <c r="B1706" s="1">
        <v>2008.0</v>
      </c>
      <c r="C1706" s="1" t="s">
        <v>19804</v>
      </c>
      <c r="D1706" s="1" t="s">
        <v>19805</v>
      </c>
      <c r="E1706" s="2" t="s">
        <v>20799</v>
      </c>
      <c r="F1706" s="1">
        <v>1475.0</v>
      </c>
      <c r="G1706" s="1">
        <v>1482.0</v>
      </c>
      <c r="H1706" s="1" t="s">
        <v>17059</v>
      </c>
      <c r="I1706" s="1" t="s">
        <v>19806</v>
      </c>
      <c r="J1706" s="1" t="s">
        <v>19807</v>
      </c>
      <c r="K1706" s="1"/>
      <c r="L1706" s="1" t="s">
        <v>20800</v>
      </c>
      <c r="M1706" s="1" t="s">
        <v>19810</v>
      </c>
      <c r="N1706" s="1" t="s">
        <v>19811</v>
      </c>
    </row>
    <row r="1707">
      <c r="A1707" s="1" t="s">
        <v>2137</v>
      </c>
      <c r="B1707" s="1">
        <v>2008.0</v>
      </c>
      <c r="C1707" s="1" t="s">
        <v>19143</v>
      </c>
      <c r="D1707" s="1" t="s">
        <v>19144</v>
      </c>
      <c r="E1707" s="2" t="s">
        <v>20801</v>
      </c>
      <c r="F1707" s="1">
        <v>1340.0</v>
      </c>
      <c r="G1707" s="1">
        <v>1347.0</v>
      </c>
      <c r="H1707" s="1" t="s">
        <v>17059</v>
      </c>
      <c r="I1707" s="1" t="s">
        <v>19145</v>
      </c>
      <c r="J1707" s="1" t="s">
        <v>19146</v>
      </c>
      <c r="K1707" s="1"/>
      <c r="L1707" s="1" t="s">
        <v>20802</v>
      </c>
      <c r="M1707" s="1" t="s">
        <v>19148</v>
      </c>
      <c r="N1707" s="1" t="s">
        <v>19149</v>
      </c>
    </row>
    <row r="1708">
      <c r="A1708" s="1" t="s">
        <v>17</v>
      </c>
      <c r="B1708" s="1">
        <v>2008.0</v>
      </c>
      <c r="C1708" s="1" t="s">
        <v>19812</v>
      </c>
      <c r="D1708" s="1" t="s">
        <v>19813</v>
      </c>
      <c r="E1708" s="2" t="s">
        <v>20803</v>
      </c>
      <c r="F1708" s="1">
        <v>1699.0</v>
      </c>
      <c r="G1708" s="1">
        <v>1706.0</v>
      </c>
      <c r="H1708" s="1" t="s">
        <v>17059</v>
      </c>
      <c r="I1708" s="1" t="s">
        <v>19814</v>
      </c>
      <c r="J1708" s="1" t="s">
        <v>19815</v>
      </c>
      <c r="K1708" s="1"/>
      <c r="L1708" s="1" t="s">
        <v>19405</v>
      </c>
      <c r="M1708" s="1" t="s">
        <v>19818</v>
      </c>
      <c r="N1708" s="1" t="s">
        <v>19819</v>
      </c>
    </row>
    <row r="1709">
      <c r="A1709" s="1" t="s">
        <v>17</v>
      </c>
      <c r="B1709" s="1">
        <v>2008.0</v>
      </c>
      <c r="C1709" s="1" t="s">
        <v>19820</v>
      </c>
      <c r="D1709" s="1" t="s">
        <v>19821</v>
      </c>
      <c r="E1709" s="2" t="s">
        <v>20804</v>
      </c>
      <c r="F1709" s="1">
        <v>1420.0</v>
      </c>
      <c r="G1709" s="1">
        <v>1427.0</v>
      </c>
      <c r="H1709" s="1" t="s">
        <v>17059</v>
      </c>
      <c r="I1709" s="1" t="s">
        <v>19822</v>
      </c>
      <c r="J1709" s="1" t="s">
        <v>19823</v>
      </c>
      <c r="K1709" s="1"/>
      <c r="L1709" s="1" t="s">
        <v>20805</v>
      </c>
      <c r="M1709" s="1" t="s">
        <v>19827</v>
      </c>
      <c r="N1709" s="1" t="s">
        <v>19828</v>
      </c>
    </row>
    <row r="1710">
      <c r="A1710" s="1" t="s">
        <v>17</v>
      </c>
      <c r="B1710" s="1">
        <v>2008.0</v>
      </c>
      <c r="C1710" s="1" t="s">
        <v>19829</v>
      </c>
      <c r="D1710" s="1" t="s">
        <v>19830</v>
      </c>
      <c r="E1710" s="2" t="s">
        <v>20806</v>
      </c>
      <c r="F1710" s="1">
        <v>1507.0</v>
      </c>
      <c r="G1710" s="1">
        <v>1514.0</v>
      </c>
      <c r="H1710" s="1" t="s">
        <v>17059</v>
      </c>
      <c r="I1710" s="1" t="s">
        <v>19831</v>
      </c>
      <c r="J1710" s="1" t="s">
        <v>20807</v>
      </c>
      <c r="K1710" s="1"/>
      <c r="L1710" s="1" t="s">
        <v>20808</v>
      </c>
      <c r="M1710" s="1" t="s">
        <v>19835</v>
      </c>
      <c r="N1710" s="1" t="s">
        <v>19836</v>
      </c>
    </row>
    <row r="1711">
      <c r="A1711" s="1" t="s">
        <v>17</v>
      </c>
      <c r="B1711" s="1">
        <v>2008.0</v>
      </c>
      <c r="C1711" s="1" t="s">
        <v>19837</v>
      </c>
      <c r="D1711" s="1" t="s">
        <v>19838</v>
      </c>
      <c r="E1711" s="2" t="s">
        <v>20809</v>
      </c>
      <c r="F1711" s="1">
        <v>1627.0</v>
      </c>
      <c r="G1711" s="1">
        <v>1634.0</v>
      </c>
      <c r="H1711" s="1" t="s">
        <v>17059</v>
      </c>
      <c r="I1711" s="1" t="s">
        <v>19839</v>
      </c>
      <c r="J1711" s="1" t="s">
        <v>19841</v>
      </c>
      <c r="K1711" s="1"/>
      <c r="L1711" s="1" t="s">
        <v>20810</v>
      </c>
      <c r="M1711" s="1" t="s">
        <v>19844</v>
      </c>
      <c r="N1711" s="1" t="s">
        <v>19845</v>
      </c>
    </row>
    <row r="1712">
      <c r="A1712" s="1" t="s">
        <v>2137</v>
      </c>
      <c r="B1712" s="1">
        <v>2008.0</v>
      </c>
      <c r="C1712" s="1" t="s">
        <v>19150</v>
      </c>
      <c r="D1712" s="1" t="s">
        <v>19152</v>
      </c>
      <c r="E1712" s="2" t="s">
        <v>20811</v>
      </c>
      <c r="F1712" s="1">
        <v>1165.0</v>
      </c>
      <c r="G1712" s="1">
        <v>1172.0</v>
      </c>
      <c r="H1712" s="1" t="s">
        <v>17059</v>
      </c>
      <c r="I1712" s="1" t="s">
        <v>19153</v>
      </c>
      <c r="J1712" s="1" t="s">
        <v>19154</v>
      </c>
      <c r="K1712" s="1"/>
      <c r="L1712" s="1" t="s">
        <v>20812</v>
      </c>
      <c r="M1712" s="1" t="s">
        <v>19157</v>
      </c>
      <c r="N1712" s="1" t="s">
        <v>19158</v>
      </c>
    </row>
    <row r="1713">
      <c r="A1713" s="1" t="s">
        <v>17</v>
      </c>
      <c r="B1713" s="1">
        <v>2008.0</v>
      </c>
      <c r="C1713" s="1" t="s">
        <v>19847</v>
      </c>
      <c r="D1713" s="1" t="s">
        <v>19848</v>
      </c>
      <c r="E1713" s="2" t="s">
        <v>20813</v>
      </c>
      <c r="F1713" s="1">
        <v>1587.0</v>
      </c>
      <c r="G1713" s="1">
        <v>1594.0</v>
      </c>
      <c r="H1713" s="1" t="s">
        <v>17059</v>
      </c>
      <c r="I1713" s="1" t="s">
        <v>19849</v>
      </c>
      <c r="J1713" s="1" t="s">
        <v>19850</v>
      </c>
      <c r="K1713" s="1"/>
      <c r="L1713" s="1" t="s">
        <v>20819</v>
      </c>
      <c r="M1713" s="1" t="s">
        <v>19853</v>
      </c>
      <c r="N1713" s="1" t="s">
        <v>19854</v>
      </c>
    </row>
    <row r="1714">
      <c r="A1714" s="1" t="s">
        <v>2137</v>
      </c>
      <c r="B1714" s="1">
        <v>2008.0</v>
      </c>
      <c r="C1714" s="1" t="s">
        <v>19159</v>
      </c>
      <c r="D1714" s="1" t="s">
        <v>19160</v>
      </c>
      <c r="E1714" s="2" t="s">
        <v>20820</v>
      </c>
      <c r="F1714" s="1">
        <v>1285.0</v>
      </c>
      <c r="G1714" s="1">
        <v>1292.0</v>
      </c>
      <c r="H1714" s="1" t="s">
        <v>17059</v>
      </c>
      <c r="I1714" s="1" t="s">
        <v>19161</v>
      </c>
      <c r="J1714" s="1" t="s">
        <v>19162</v>
      </c>
      <c r="K1714" s="1"/>
      <c r="L1714" s="1" t="s">
        <v>20832</v>
      </c>
      <c r="M1714" s="1" t="s">
        <v>19165</v>
      </c>
      <c r="N1714" s="1" t="s">
        <v>19166</v>
      </c>
    </row>
    <row r="1715">
      <c r="A1715" s="1" t="s">
        <v>2137</v>
      </c>
      <c r="B1715" s="1">
        <v>2008.0</v>
      </c>
      <c r="C1715" s="1" t="s">
        <v>19167</v>
      </c>
      <c r="D1715" s="1" t="s">
        <v>19168</v>
      </c>
      <c r="E1715" s="2" t="s">
        <v>20835</v>
      </c>
      <c r="F1715" s="1">
        <v>1237.0</v>
      </c>
      <c r="G1715" s="1">
        <v>1244.0</v>
      </c>
      <c r="H1715" s="1" t="s">
        <v>17059</v>
      </c>
      <c r="I1715" s="1" t="s">
        <v>19169</v>
      </c>
      <c r="J1715" s="1" t="s">
        <v>19170</v>
      </c>
      <c r="K1715" s="1"/>
      <c r="L1715" s="1" t="s">
        <v>20850</v>
      </c>
      <c r="M1715" s="1" t="s">
        <v>19172</v>
      </c>
      <c r="N1715" s="1" t="s">
        <v>19173</v>
      </c>
    </row>
    <row r="1716">
      <c r="A1716" s="1" t="s">
        <v>2137</v>
      </c>
      <c r="B1716" s="1">
        <v>2008.0</v>
      </c>
      <c r="C1716" s="1" t="s">
        <v>19174</v>
      </c>
      <c r="D1716" s="1" t="s">
        <v>19175</v>
      </c>
      <c r="E1716" s="2" t="s">
        <v>20857</v>
      </c>
      <c r="F1716" s="1">
        <v>1141.0</v>
      </c>
      <c r="G1716" s="1">
        <v>1148.0</v>
      </c>
      <c r="H1716" s="1" t="s">
        <v>17059</v>
      </c>
      <c r="I1716" s="1" t="s">
        <v>19176</v>
      </c>
      <c r="J1716" s="1" t="s">
        <v>19177</v>
      </c>
      <c r="K1716" s="1"/>
      <c r="L1716" s="1" t="s">
        <v>20875</v>
      </c>
      <c r="M1716" s="1" t="s">
        <v>19178</v>
      </c>
      <c r="N1716" s="1" t="s">
        <v>19179</v>
      </c>
      <c r="P1716" s="1"/>
      <c r="Q1716" s="1" t="s">
        <v>106</v>
      </c>
    </row>
    <row r="1717">
      <c r="A1717" s="1" t="s">
        <v>17</v>
      </c>
      <c r="B1717" s="1">
        <v>2008.0</v>
      </c>
      <c r="C1717" s="1" t="s">
        <v>19855</v>
      </c>
      <c r="D1717" s="1" t="s">
        <v>19856</v>
      </c>
      <c r="E1717" s="2" t="s">
        <v>20876</v>
      </c>
      <c r="F1717" s="1">
        <v>1539.0</v>
      </c>
      <c r="G1717" s="1">
        <v>1546.0</v>
      </c>
      <c r="H1717" s="1" t="s">
        <v>17059</v>
      </c>
      <c r="I1717" s="1" t="s">
        <v>19857</v>
      </c>
      <c r="J1717" s="1" t="s">
        <v>19858</v>
      </c>
      <c r="K1717" s="1"/>
      <c r="L1717" s="1" t="s">
        <v>20890</v>
      </c>
      <c r="M1717" s="1" t="s">
        <v>19860</v>
      </c>
      <c r="N1717" s="1" t="s">
        <v>19861</v>
      </c>
    </row>
    <row r="1718">
      <c r="A1718" s="1" t="s">
        <v>2137</v>
      </c>
      <c r="B1718" s="1">
        <v>2008.0</v>
      </c>
      <c r="C1718" s="1" t="s">
        <v>19180</v>
      </c>
      <c r="D1718" s="1" t="s">
        <v>19181</v>
      </c>
      <c r="E1718" s="2" t="s">
        <v>20893</v>
      </c>
      <c r="F1718" s="1">
        <v>1333.0</v>
      </c>
      <c r="G1718" s="1">
        <v>1339.0</v>
      </c>
      <c r="H1718" s="1" t="s">
        <v>17059</v>
      </c>
      <c r="I1718" s="1" t="s">
        <v>19182</v>
      </c>
      <c r="J1718" s="1" t="s">
        <v>19183</v>
      </c>
      <c r="K1718" s="1"/>
      <c r="L1718" s="1" t="s">
        <v>20914</v>
      </c>
      <c r="M1718" s="1" t="s">
        <v>19186</v>
      </c>
      <c r="N1718" s="1" t="s">
        <v>19187</v>
      </c>
    </row>
    <row r="1719">
      <c r="A1719" s="1" t="s">
        <v>17</v>
      </c>
      <c r="B1719" s="1">
        <v>2008.0</v>
      </c>
      <c r="C1719" s="1" t="s">
        <v>19862</v>
      </c>
      <c r="D1719" s="1" t="s">
        <v>19863</v>
      </c>
      <c r="E1719" s="2" t="s">
        <v>20917</v>
      </c>
      <c r="F1719" s="1">
        <v>1715.0</v>
      </c>
      <c r="G1719" s="1">
        <v>1722.0</v>
      </c>
      <c r="H1719" s="1" t="s">
        <v>17059</v>
      </c>
      <c r="I1719" s="1" t="s">
        <v>19865</v>
      </c>
      <c r="J1719" s="1" t="s">
        <v>18616</v>
      </c>
      <c r="K1719" s="1"/>
      <c r="L1719" s="1" t="s">
        <v>20932</v>
      </c>
      <c r="M1719" s="1" t="s">
        <v>19868</v>
      </c>
      <c r="N1719" s="1" t="s">
        <v>19869</v>
      </c>
    </row>
    <row r="1720">
      <c r="A1720" s="1" t="s">
        <v>2137</v>
      </c>
      <c r="B1720" s="1">
        <v>2008.0</v>
      </c>
      <c r="C1720" s="1" t="s">
        <v>19188</v>
      </c>
      <c r="D1720" s="1" t="s">
        <v>19189</v>
      </c>
      <c r="E1720" s="2" t="s">
        <v>20935</v>
      </c>
      <c r="F1720" s="1">
        <v>1301.0</v>
      </c>
      <c r="G1720" s="1">
        <v>1308.0</v>
      </c>
      <c r="H1720" s="1" t="s">
        <v>17059</v>
      </c>
      <c r="I1720" s="1" t="s">
        <v>19190</v>
      </c>
      <c r="J1720" s="1" t="s">
        <v>19191</v>
      </c>
      <c r="K1720" s="1"/>
      <c r="L1720" s="1" t="s">
        <v>20944</v>
      </c>
      <c r="M1720" s="1" t="s">
        <v>19193</v>
      </c>
      <c r="N1720" s="1" t="s">
        <v>19194</v>
      </c>
    </row>
    <row r="1721">
      <c r="A1721" s="1" t="s">
        <v>17</v>
      </c>
      <c r="B1721" s="1">
        <v>2008.0</v>
      </c>
      <c r="C1721" s="1" t="s">
        <v>19870</v>
      </c>
      <c r="D1721" s="1" t="s">
        <v>19871</v>
      </c>
      <c r="E1721" s="2" t="s">
        <v>20950</v>
      </c>
      <c r="F1721" s="1">
        <v>1683.0</v>
      </c>
      <c r="G1721" s="1">
        <v>1690.0</v>
      </c>
      <c r="H1721" s="1" t="s">
        <v>17059</v>
      </c>
      <c r="I1721" s="1" t="s">
        <v>19872</v>
      </c>
      <c r="J1721" s="1" t="s">
        <v>19873</v>
      </c>
      <c r="K1721" s="1"/>
      <c r="L1721" s="1" t="s">
        <v>20964</v>
      </c>
      <c r="M1721" s="1" t="s">
        <v>19875</v>
      </c>
      <c r="N1721" s="1" t="s">
        <v>19876</v>
      </c>
    </row>
    <row r="1722">
      <c r="A1722" s="1" t="s">
        <v>17</v>
      </c>
      <c r="B1722" s="1">
        <v>2008.0</v>
      </c>
      <c r="C1722" s="1" t="s">
        <v>19878</v>
      </c>
      <c r="D1722" s="1" t="s">
        <v>19879</v>
      </c>
      <c r="E1722" s="2" t="s">
        <v>20965</v>
      </c>
      <c r="F1722" s="1">
        <v>1659.0</v>
      </c>
      <c r="G1722" s="1">
        <v>1666.0</v>
      </c>
      <c r="H1722" s="1" t="s">
        <v>17059</v>
      </c>
      <c r="I1722" s="1" t="s">
        <v>19881</v>
      </c>
      <c r="J1722" s="1" t="s">
        <v>20966</v>
      </c>
      <c r="K1722" s="1"/>
      <c r="L1722" s="1" t="s">
        <v>20967</v>
      </c>
      <c r="M1722" s="1" t="s">
        <v>19884</v>
      </c>
      <c r="N1722" s="1" t="s">
        <v>19885</v>
      </c>
    </row>
    <row r="1723">
      <c r="A1723" s="1" t="s">
        <v>17</v>
      </c>
      <c r="B1723" s="1">
        <v>2008.0</v>
      </c>
      <c r="C1723" s="1" t="s">
        <v>19886</v>
      </c>
      <c r="D1723" s="1" t="s">
        <v>19887</v>
      </c>
      <c r="E1723" s="2" t="s">
        <v>20970</v>
      </c>
      <c r="F1723" s="1">
        <v>1491.0</v>
      </c>
      <c r="G1723" s="1">
        <v>1498.0</v>
      </c>
      <c r="H1723" s="1" t="s">
        <v>17059</v>
      </c>
      <c r="I1723" s="1" t="s">
        <v>19888</v>
      </c>
      <c r="J1723" s="1" t="s">
        <v>20982</v>
      </c>
      <c r="K1723" s="1"/>
      <c r="L1723" s="1" t="s">
        <v>20983</v>
      </c>
      <c r="M1723" s="1" t="s">
        <v>19892</v>
      </c>
      <c r="N1723" s="1" t="s">
        <v>19893</v>
      </c>
    </row>
    <row r="1724">
      <c r="A1724" s="1" t="s">
        <v>17</v>
      </c>
      <c r="B1724" s="1">
        <v>2008.0</v>
      </c>
      <c r="C1724" s="1" t="s">
        <v>19894</v>
      </c>
      <c r="D1724" s="1" t="s">
        <v>19895</v>
      </c>
      <c r="E1724" s="2" t="s">
        <v>20988</v>
      </c>
      <c r="F1724" s="1">
        <v>1380.0</v>
      </c>
      <c r="G1724" s="1">
        <v>1387.0</v>
      </c>
      <c r="H1724" s="1" t="s">
        <v>17059</v>
      </c>
      <c r="I1724" s="1" t="s">
        <v>19897</v>
      </c>
      <c r="J1724" s="1" t="s">
        <v>19898</v>
      </c>
      <c r="K1724" s="1"/>
      <c r="L1724" s="1" t="s">
        <v>20944</v>
      </c>
      <c r="M1724" s="1" t="s">
        <v>19901</v>
      </c>
      <c r="N1724" s="1" t="s">
        <v>19902</v>
      </c>
    </row>
    <row r="1725">
      <c r="A1725" s="1" t="s">
        <v>17</v>
      </c>
      <c r="B1725" s="1">
        <v>2008.0</v>
      </c>
      <c r="C1725" s="1" t="s">
        <v>19904</v>
      </c>
      <c r="D1725" s="1" t="s">
        <v>19905</v>
      </c>
      <c r="E1725" s="2" t="s">
        <v>21005</v>
      </c>
      <c r="F1725" s="1">
        <v>1396.0</v>
      </c>
      <c r="G1725" s="1">
        <v>1403.0</v>
      </c>
      <c r="H1725" s="1" t="s">
        <v>17059</v>
      </c>
      <c r="I1725" s="1" t="s">
        <v>19906</v>
      </c>
      <c r="J1725" s="1" t="s">
        <v>19907</v>
      </c>
      <c r="K1725" s="1"/>
      <c r="L1725" s="1" t="s">
        <v>21022</v>
      </c>
      <c r="M1725" s="1" t="s">
        <v>19909</v>
      </c>
      <c r="N1725" s="1" t="s">
        <v>19910</v>
      </c>
    </row>
    <row r="1726">
      <c r="A1726" s="1" t="s">
        <v>17</v>
      </c>
      <c r="B1726" s="1">
        <v>2008.0</v>
      </c>
      <c r="C1726" s="1" t="s">
        <v>19911</v>
      </c>
      <c r="D1726" s="1" t="s">
        <v>19912</v>
      </c>
      <c r="E1726" s="2" t="s">
        <v>21029</v>
      </c>
      <c r="F1726" s="1">
        <v>1531.0</v>
      </c>
      <c r="G1726" s="1">
        <v>1546.0</v>
      </c>
      <c r="H1726" s="1" t="s">
        <v>17059</v>
      </c>
      <c r="I1726" s="1" t="s">
        <v>21041</v>
      </c>
      <c r="J1726" s="1" t="s">
        <v>19914</v>
      </c>
      <c r="K1726" s="1"/>
      <c r="L1726" s="1" t="s">
        <v>21044</v>
      </c>
      <c r="M1726" s="1" t="s">
        <v>19916</v>
      </c>
      <c r="N1726" s="1" t="s">
        <v>19917</v>
      </c>
    </row>
    <row r="1727">
      <c r="A1727" s="1" t="s">
        <v>2137</v>
      </c>
      <c r="B1727" s="1">
        <v>2008.0</v>
      </c>
      <c r="C1727" s="1" t="s">
        <v>19195</v>
      </c>
      <c r="D1727" s="1" t="s">
        <v>19196</v>
      </c>
      <c r="E1727" s="2" t="s">
        <v>21049</v>
      </c>
      <c r="F1727" s="1">
        <v>1348.0</v>
      </c>
      <c r="G1727" s="1">
        <v>1355.0</v>
      </c>
      <c r="H1727" s="1" t="s">
        <v>17059</v>
      </c>
      <c r="I1727" s="1" t="s">
        <v>19197</v>
      </c>
      <c r="J1727" s="1" t="s">
        <v>19198</v>
      </c>
      <c r="K1727" s="1"/>
      <c r="L1727" s="1" t="s">
        <v>21059</v>
      </c>
      <c r="M1727" s="1" t="s">
        <v>19200</v>
      </c>
      <c r="N1727" s="1" t="s">
        <v>19201</v>
      </c>
    </row>
    <row r="1728">
      <c r="A1728" s="1" t="s">
        <v>2137</v>
      </c>
      <c r="B1728" s="1">
        <v>2008.0</v>
      </c>
      <c r="C1728" s="1" t="s">
        <v>19203</v>
      </c>
      <c r="D1728" s="1" t="s">
        <v>19204</v>
      </c>
      <c r="E1728" s="2" t="s">
        <v>21063</v>
      </c>
      <c r="F1728" s="1">
        <v>1245.0</v>
      </c>
      <c r="G1728" s="1">
        <v>1252.0</v>
      </c>
      <c r="H1728" s="1" t="s">
        <v>17059</v>
      </c>
      <c r="I1728" s="1" t="s">
        <v>19205</v>
      </c>
      <c r="J1728" s="1" t="s">
        <v>19206</v>
      </c>
      <c r="K1728" s="1"/>
      <c r="L1728" s="1" t="s">
        <v>21077</v>
      </c>
      <c r="M1728" s="1" t="s">
        <v>19208</v>
      </c>
      <c r="N1728" s="1" t="s">
        <v>19209</v>
      </c>
      <c r="P1728" s="1"/>
      <c r="Q1728" s="1" t="s">
        <v>19037</v>
      </c>
    </row>
    <row r="1729">
      <c r="A1729" s="1" t="s">
        <v>17</v>
      </c>
      <c r="B1729" s="1">
        <v>2008.0</v>
      </c>
      <c r="C1729" s="1" t="s">
        <v>19918</v>
      </c>
      <c r="D1729" s="1" t="s">
        <v>19919</v>
      </c>
      <c r="E1729" s="2" t="s">
        <v>21080</v>
      </c>
      <c r="F1729" s="1">
        <v>1483.0</v>
      </c>
      <c r="G1729" s="1">
        <v>1490.0</v>
      </c>
      <c r="H1729" s="1" t="s">
        <v>17059</v>
      </c>
      <c r="I1729" s="1" t="s">
        <v>19920</v>
      </c>
      <c r="J1729" s="1" t="s">
        <v>19921</v>
      </c>
      <c r="K1729" s="1"/>
      <c r="L1729" s="1" t="s">
        <v>21090</v>
      </c>
      <c r="M1729" s="1" t="s">
        <v>19923</v>
      </c>
      <c r="N1729" s="1" t="s">
        <v>19924</v>
      </c>
    </row>
    <row r="1730">
      <c r="A1730" s="1" t="s">
        <v>17</v>
      </c>
      <c r="B1730" s="1">
        <v>2008.0</v>
      </c>
      <c r="C1730" s="1" t="s">
        <v>19925</v>
      </c>
      <c r="D1730" s="1" t="s">
        <v>19926</v>
      </c>
      <c r="E1730" s="2" t="s">
        <v>21095</v>
      </c>
      <c r="F1730" s="1">
        <v>1675.0</v>
      </c>
      <c r="G1730" s="1">
        <v>1682.0</v>
      </c>
      <c r="H1730" s="1" t="s">
        <v>17059</v>
      </c>
      <c r="I1730" s="1" t="s">
        <v>19928</v>
      </c>
      <c r="J1730" s="1" t="s">
        <v>18841</v>
      </c>
      <c r="K1730" s="1"/>
      <c r="L1730" s="1" t="s">
        <v>21110</v>
      </c>
      <c r="M1730" s="1" t="s">
        <v>5832</v>
      </c>
      <c r="N1730" s="1" t="s">
        <v>19930</v>
      </c>
    </row>
    <row r="1731">
      <c r="A1731" s="1" t="s">
        <v>17</v>
      </c>
      <c r="B1731" s="1">
        <v>2008.0</v>
      </c>
      <c r="C1731" s="1" t="s">
        <v>19932</v>
      </c>
      <c r="D1731" s="1" t="s">
        <v>19933</v>
      </c>
      <c r="E1731" s="2" t="s">
        <v>21115</v>
      </c>
      <c r="F1731" s="1">
        <v>1364.0</v>
      </c>
      <c r="G1731" s="1">
        <v>1371.0</v>
      </c>
      <c r="H1731" s="1" t="s">
        <v>17059</v>
      </c>
      <c r="I1731" s="1" t="s">
        <v>19934</v>
      </c>
      <c r="J1731" s="1" t="s">
        <v>19935</v>
      </c>
      <c r="K1731" s="1"/>
      <c r="L1731" s="1" t="s">
        <v>14236</v>
      </c>
      <c r="M1731" s="1" t="s">
        <v>19936</v>
      </c>
      <c r="N1731" s="1" t="s">
        <v>19937</v>
      </c>
    </row>
    <row r="1732">
      <c r="A1732" s="1" t="s">
        <v>17</v>
      </c>
      <c r="B1732" s="1">
        <v>2008.0</v>
      </c>
      <c r="C1732" s="1" t="s">
        <v>19938</v>
      </c>
      <c r="D1732" s="1" t="s">
        <v>19939</v>
      </c>
      <c r="E1732" s="2" t="s">
        <v>21129</v>
      </c>
      <c r="F1732" s="1">
        <v>1571.0</v>
      </c>
      <c r="G1732" s="1">
        <v>1578.0</v>
      </c>
      <c r="H1732" s="1" t="s">
        <v>17059</v>
      </c>
      <c r="I1732" s="1" t="s">
        <v>19940</v>
      </c>
      <c r="J1732" s="1" t="s">
        <v>21146</v>
      </c>
      <c r="K1732" s="1"/>
      <c r="L1732" s="1" t="s">
        <v>21147</v>
      </c>
      <c r="M1732" s="1" t="s">
        <v>19944</v>
      </c>
      <c r="N1732" s="1" t="s">
        <v>19945</v>
      </c>
    </row>
    <row r="1733">
      <c r="A1733" s="1" t="s">
        <v>2137</v>
      </c>
      <c r="B1733" s="1">
        <v>2008.0</v>
      </c>
      <c r="C1733" s="1" t="s">
        <v>19210</v>
      </c>
      <c r="D1733" s="1" t="s">
        <v>19211</v>
      </c>
      <c r="E1733" s="2" t="s">
        <v>21153</v>
      </c>
      <c r="F1733" s="1">
        <v>1269.0</v>
      </c>
      <c r="G1733" s="1">
        <v>1276.0</v>
      </c>
      <c r="H1733" s="1" t="s">
        <v>17059</v>
      </c>
      <c r="I1733" s="1" t="s">
        <v>19212</v>
      </c>
      <c r="J1733" s="1" t="s">
        <v>19213</v>
      </c>
      <c r="K1733" s="1"/>
      <c r="L1733" s="1" t="s">
        <v>21169</v>
      </c>
      <c r="M1733" s="1" t="s">
        <v>19215</v>
      </c>
      <c r="N1733" s="1" t="s">
        <v>19216</v>
      </c>
      <c r="P1733" s="1"/>
      <c r="Q1733" s="1" t="s">
        <v>19037</v>
      </c>
    </row>
    <row r="1734">
      <c r="A1734" s="1" t="s">
        <v>2137</v>
      </c>
      <c r="B1734" s="1">
        <v>2008.0</v>
      </c>
      <c r="C1734" s="1" t="s">
        <v>19218</v>
      </c>
      <c r="D1734" s="1" t="s">
        <v>19219</v>
      </c>
      <c r="E1734" s="2" t="s">
        <v>21173</v>
      </c>
      <c r="F1734" s="1">
        <v>1221.0</v>
      </c>
      <c r="G1734" s="1">
        <v>1228.0</v>
      </c>
      <c r="H1734" s="1" t="s">
        <v>17059</v>
      </c>
      <c r="I1734" s="1" t="s">
        <v>19221</v>
      </c>
      <c r="J1734" s="1" t="s">
        <v>21188</v>
      </c>
      <c r="K1734" s="1"/>
      <c r="L1734" s="1" t="s">
        <v>21190</v>
      </c>
      <c r="M1734" s="1" t="s">
        <v>19223</v>
      </c>
      <c r="N1734" s="1" t="s">
        <v>19224</v>
      </c>
    </row>
    <row r="1735">
      <c r="A1735" s="1" t="s">
        <v>17</v>
      </c>
      <c r="B1735" s="1">
        <v>2008.0</v>
      </c>
      <c r="C1735" s="1" t="s">
        <v>19947</v>
      </c>
      <c r="D1735" s="1" t="s">
        <v>19948</v>
      </c>
      <c r="E1735" s="2" t="s">
        <v>21195</v>
      </c>
      <c r="F1735" s="1">
        <v>1444.0</v>
      </c>
      <c r="G1735" s="1">
        <v>1427.0</v>
      </c>
      <c r="H1735" s="1" t="s">
        <v>17059</v>
      </c>
      <c r="I1735" s="1" t="s">
        <v>19950</v>
      </c>
      <c r="J1735" s="1" t="s">
        <v>19951</v>
      </c>
      <c r="K1735" s="1"/>
      <c r="L1735" s="1" t="s">
        <v>21210</v>
      </c>
      <c r="M1735" s="1" t="s">
        <v>19953</v>
      </c>
      <c r="N1735" s="1" t="s">
        <v>19954</v>
      </c>
    </row>
    <row r="1736">
      <c r="A1736" s="1" t="s">
        <v>17</v>
      </c>
      <c r="B1736" s="1">
        <v>2008.0</v>
      </c>
      <c r="C1736" s="1" t="s">
        <v>19955</v>
      </c>
      <c r="D1736" s="1" t="s">
        <v>19956</v>
      </c>
      <c r="E1736" s="2" t="s">
        <v>21212</v>
      </c>
      <c r="F1736" s="1">
        <v>1691.0</v>
      </c>
      <c r="G1736" s="1">
        <v>1698.0</v>
      </c>
      <c r="H1736" s="1" t="s">
        <v>17059</v>
      </c>
      <c r="I1736" s="1" t="s">
        <v>19957</v>
      </c>
      <c r="J1736" s="1" t="s">
        <v>21227</v>
      </c>
      <c r="K1736" s="1"/>
      <c r="L1736" s="1" t="s">
        <v>21229</v>
      </c>
      <c r="M1736" s="1" t="s">
        <v>19961</v>
      </c>
      <c r="N1736" s="1" t="s">
        <v>19962</v>
      </c>
    </row>
    <row r="1737">
      <c r="A1737" s="1" t="s">
        <v>2137</v>
      </c>
      <c r="B1737" s="1">
        <v>2008.0</v>
      </c>
      <c r="C1737" s="1" t="s">
        <v>19225</v>
      </c>
      <c r="D1737" s="1" t="s">
        <v>19226</v>
      </c>
      <c r="E1737" s="2" t="s">
        <v>21236</v>
      </c>
      <c r="F1737" s="1">
        <v>1205.0</v>
      </c>
      <c r="G1737" s="1">
        <v>1212.0</v>
      </c>
      <c r="H1737" s="1" t="s">
        <v>17059</v>
      </c>
      <c r="I1737" s="1" t="s">
        <v>19227</v>
      </c>
      <c r="J1737" s="1" t="s">
        <v>21253</v>
      </c>
      <c r="K1737" s="1"/>
      <c r="L1737" s="1" t="s">
        <v>21254</v>
      </c>
      <c r="M1737" s="1" t="s">
        <v>19231</v>
      </c>
      <c r="N1737" s="1" t="s">
        <v>19232</v>
      </c>
    </row>
    <row r="1738">
      <c r="A1738" s="1" t="s">
        <v>17</v>
      </c>
      <c r="B1738" s="1">
        <v>2008.0</v>
      </c>
      <c r="C1738" s="1" t="s">
        <v>19963</v>
      </c>
      <c r="D1738" s="1" t="s">
        <v>19964</v>
      </c>
      <c r="E1738" s="2" t="s">
        <v>21266</v>
      </c>
      <c r="F1738" s="1">
        <v>1667.0</v>
      </c>
      <c r="G1738" s="1">
        <v>1674.0</v>
      </c>
      <c r="H1738" s="1" t="s">
        <v>17059</v>
      </c>
      <c r="I1738" s="1" t="s">
        <v>19965</v>
      </c>
      <c r="J1738" s="1" t="s">
        <v>21282</v>
      </c>
      <c r="K1738" s="1"/>
      <c r="L1738" s="1" t="s">
        <v>21284</v>
      </c>
      <c r="M1738" s="1" t="s">
        <v>12326</v>
      </c>
      <c r="N1738" s="1" t="s">
        <v>19970</v>
      </c>
    </row>
    <row r="1739">
      <c r="A1739" s="1" t="s">
        <v>17</v>
      </c>
      <c r="B1739" s="1">
        <v>2008.0</v>
      </c>
      <c r="C1739" s="1" t="s">
        <v>21287</v>
      </c>
      <c r="D1739" s="1" t="s">
        <v>19972</v>
      </c>
      <c r="E1739" s="2" t="s">
        <v>21289</v>
      </c>
      <c r="F1739" s="1">
        <v>1563.0</v>
      </c>
      <c r="G1739" s="1">
        <v>1570.0</v>
      </c>
      <c r="H1739" s="1" t="s">
        <v>17059</v>
      </c>
      <c r="I1739" s="1" t="s">
        <v>19974</v>
      </c>
      <c r="J1739" s="1" t="s">
        <v>19975</v>
      </c>
      <c r="K1739" s="1"/>
      <c r="L1739" s="1" t="s">
        <v>21298</v>
      </c>
      <c r="M1739" s="1" t="s">
        <v>19977</v>
      </c>
      <c r="N1739" s="1" t="s">
        <v>19978</v>
      </c>
    </row>
    <row r="1740">
      <c r="A1740" s="1" t="s">
        <v>2137</v>
      </c>
      <c r="B1740" s="1">
        <v>2008.0</v>
      </c>
      <c r="C1740" s="1" t="s">
        <v>19233</v>
      </c>
      <c r="D1740" s="1" t="s">
        <v>19234</v>
      </c>
      <c r="E1740" s="2" t="s">
        <v>21299</v>
      </c>
      <c r="F1740" s="1">
        <v>1213.0</v>
      </c>
      <c r="G1740" s="1">
        <v>1220.0</v>
      </c>
      <c r="H1740" s="1" t="s">
        <v>17059</v>
      </c>
      <c r="I1740" s="1" t="s">
        <v>19236</v>
      </c>
      <c r="J1740" s="1" t="s">
        <v>19237</v>
      </c>
      <c r="K1740" s="1"/>
      <c r="L1740" s="1" t="s">
        <v>21305</v>
      </c>
      <c r="M1740" s="1" t="s">
        <v>19239</v>
      </c>
      <c r="N1740" s="1" t="s">
        <v>19240</v>
      </c>
    </row>
    <row r="1741">
      <c r="A1741" s="1" t="s">
        <v>17</v>
      </c>
      <c r="B1741" s="1">
        <v>2008.0</v>
      </c>
      <c r="C1741" s="1" t="s">
        <v>19979</v>
      </c>
      <c r="D1741" s="1" t="s">
        <v>19980</v>
      </c>
      <c r="E1741" s="2" t="s">
        <v>21310</v>
      </c>
      <c r="F1741" s="1">
        <v>1611.0</v>
      </c>
      <c r="G1741" s="1">
        <v>1618.0</v>
      </c>
      <c r="H1741" s="1" t="s">
        <v>17059</v>
      </c>
      <c r="I1741" s="1" t="s">
        <v>19981</v>
      </c>
      <c r="J1741" s="1" t="s">
        <v>19982</v>
      </c>
      <c r="K1741" s="1"/>
      <c r="L1741" s="1" t="s">
        <v>21324</v>
      </c>
      <c r="M1741" s="1" t="s">
        <v>19985</v>
      </c>
      <c r="N1741" s="1" t="s">
        <v>19986</v>
      </c>
    </row>
    <row r="1742">
      <c r="A1742" s="1" t="s">
        <v>17</v>
      </c>
      <c r="B1742" s="1">
        <v>2008.0</v>
      </c>
      <c r="C1742" s="1" t="s">
        <v>19987</v>
      </c>
      <c r="D1742" s="1" t="s">
        <v>19989</v>
      </c>
      <c r="E1742" s="2" t="s">
        <v>21329</v>
      </c>
      <c r="F1742" s="1">
        <v>1595.0</v>
      </c>
      <c r="G1742" s="1">
        <v>1602.0</v>
      </c>
      <c r="H1742" s="1" t="s">
        <v>17059</v>
      </c>
      <c r="I1742" s="1" t="s">
        <v>19991</v>
      </c>
      <c r="J1742" s="1" t="s">
        <v>21344</v>
      </c>
      <c r="K1742" s="1"/>
      <c r="L1742" s="1" t="s">
        <v>21346</v>
      </c>
      <c r="M1742" s="1" t="s">
        <v>19996</v>
      </c>
      <c r="N1742" s="1" t="s">
        <v>19997</v>
      </c>
    </row>
    <row r="1743">
      <c r="A1743" s="1" t="s">
        <v>2137</v>
      </c>
      <c r="B1743" s="1">
        <v>2008.0</v>
      </c>
      <c r="C1743" s="1" t="s">
        <v>19242</v>
      </c>
      <c r="D1743" s="1" t="s">
        <v>19243</v>
      </c>
      <c r="E1743" s="2" t="s">
        <v>21351</v>
      </c>
      <c r="F1743" s="1">
        <v>1356.0</v>
      </c>
      <c r="G1743" s="1">
        <v>1363.0</v>
      </c>
      <c r="H1743" s="1" t="s">
        <v>17059</v>
      </c>
      <c r="I1743" s="1" t="s">
        <v>19244</v>
      </c>
      <c r="J1743" s="1" t="s">
        <v>19245</v>
      </c>
      <c r="K1743" s="1"/>
      <c r="L1743" s="1" t="s">
        <v>21366</v>
      </c>
      <c r="M1743" s="1"/>
      <c r="N1743" s="1" t="s">
        <v>19248</v>
      </c>
    </row>
    <row r="1744">
      <c r="A1744" s="1" t="s">
        <v>17</v>
      </c>
      <c r="B1744" s="1">
        <v>2008.0</v>
      </c>
      <c r="C1744" s="1" t="s">
        <v>19998</v>
      </c>
      <c r="D1744" s="1" t="s">
        <v>19999</v>
      </c>
      <c r="E1744" s="2" t="s">
        <v>21367</v>
      </c>
      <c r="F1744" s="1">
        <v>1555.0</v>
      </c>
      <c r="G1744" s="1">
        <v>1562.0</v>
      </c>
      <c r="H1744" s="1" t="s">
        <v>17059</v>
      </c>
      <c r="I1744" s="1" t="s">
        <v>20000</v>
      </c>
      <c r="J1744" s="1" t="s">
        <v>20001</v>
      </c>
      <c r="K1744" s="1"/>
      <c r="L1744" s="1" t="s">
        <v>21373</v>
      </c>
      <c r="M1744" s="1" t="s">
        <v>20004</v>
      </c>
      <c r="N1744" s="1" t="s">
        <v>20005</v>
      </c>
    </row>
    <row r="1745">
      <c r="A1745" s="1" t="s">
        <v>17</v>
      </c>
      <c r="B1745" s="1">
        <v>2008.0</v>
      </c>
      <c r="C1745" s="1" t="s">
        <v>20006</v>
      </c>
      <c r="D1745" s="1" t="s">
        <v>20007</v>
      </c>
      <c r="E1745" s="2" t="s">
        <v>21377</v>
      </c>
      <c r="F1745" s="1">
        <v>1412.0</v>
      </c>
      <c r="G1745" s="1">
        <v>1427.0</v>
      </c>
      <c r="H1745" s="1" t="s">
        <v>17059</v>
      </c>
      <c r="I1745" s="1" t="s">
        <v>20008</v>
      </c>
      <c r="J1745" s="1" t="s">
        <v>20009</v>
      </c>
      <c r="K1745" s="1"/>
      <c r="L1745" s="1" t="s">
        <v>21391</v>
      </c>
      <c r="M1745" s="1" t="s">
        <v>20012</v>
      </c>
      <c r="N1745" s="1" t="s">
        <v>20013</v>
      </c>
    </row>
    <row r="1746">
      <c r="A1746" s="1" t="s">
        <v>17</v>
      </c>
      <c r="B1746" s="1">
        <v>2008.0</v>
      </c>
      <c r="C1746" s="1" t="s">
        <v>20014</v>
      </c>
      <c r="D1746" s="1" t="s">
        <v>20015</v>
      </c>
      <c r="E1746" s="2" t="s">
        <v>21394</v>
      </c>
      <c r="F1746" s="1">
        <v>1467.0</v>
      </c>
      <c r="G1746" s="1">
        <v>1474.0</v>
      </c>
      <c r="H1746" s="1" t="s">
        <v>17059</v>
      </c>
      <c r="I1746" s="1" t="s">
        <v>20016</v>
      </c>
      <c r="J1746" s="1" t="s">
        <v>20017</v>
      </c>
      <c r="K1746" s="1"/>
      <c r="L1746" s="1" t="s">
        <v>21404</v>
      </c>
      <c r="M1746" s="1" t="s">
        <v>20020</v>
      </c>
      <c r="N1746" s="1" t="s">
        <v>20022</v>
      </c>
    </row>
    <row r="1747">
      <c r="A1747" s="1" t="s">
        <v>2137</v>
      </c>
      <c r="B1747" s="1">
        <v>2008.0</v>
      </c>
      <c r="C1747" s="1" t="s">
        <v>19249</v>
      </c>
      <c r="D1747" s="1" t="s">
        <v>19250</v>
      </c>
      <c r="E1747" s="2" t="s">
        <v>21407</v>
      </c>
      <c r="F1747" s="1">
        <v>1261.0</v>
      </c>
      <c r="G1747" s="1">
        <v>1268.0</v>
      </c>
      <c r="H1747" s="1" t="s">
        <v>17059</v>
      </c>
      <c r="I1747" s="1" t="s">
        <v>19252</v>
      </c>
      <c r="J1747" s="1" t="s">
        <v>19253</v>
      </c>
      <c r="K1747" s="1"/>
      <c r="L1747" s="1" t="s">
        <v>21417</v>
      </c>
      <c r="M1747" s="1" t="s">
        <v>19256</v>
      </c>
      <c r="N1747" s="1" t="s">
        <v>19257</v>
      </c>
    </row>
    <row r="1748">
      <c r="A1748" s="1" t="s">
        <v>17</v>
      </c>
      <c r="B1748" s="1">
        <v>2008.0</v>
      </c>
      <c r="C1748" s="1" t="s">
        <v>20023</v>
      </c>
      <c r="D1748" s="1" t="s">
        <v>20024</v>
      </c>
      <c r="E1748" s="2" t="s">
        <v>21424</v>
      </c>
      <c r="F1748" s="1">
        <v>1372.0</v>
      </c>
      <c r="G1748" s="1">
        <v>1379.0</v>
      </c>
      <c r="H1748" s="1" t="s">
        <v>17059</v>
      </c>
      <c r="I1748" s="1" t="s">
        <v>20026</v>
      </c>
      <c r="J1748" s="1" t="s">
        <v>21441</v>
      </c>
      <c r="K1748" s="1"/>
      <c r="L1748" s="1" t="s">
        <v>21442</v>
      </c>
      <c r="M1748" s="1" t="s">
        <v>20030</v>
      </c>
      <c r="N1748" s="1" t="s">
        <v>20031</v>
      </c>
    </row>
    <row r="1749">
      <c r="A1749" s="1" t="s">
        <v>2137</v>
      </c>
      <c r="B1749" s="1">
        <v>2008.0</v>
      </c>
      <c r="C1749" s="1" t="s">
        <v>19258</v>
      </c>
      <c r="D1749" s="1" t="s">
        <v>19259</v>
      </c>
      <c r="E1749" s="2" t="s">
        <v>21443</v>
      </c>
      <c r="F1749" s="1">
        <v>1197.0</v>
      </c>
      <c r="G1749" s="1">
        <v>1204.0</v>
      </c>
      <c r="H1749" s="1" t="s">
        <v>17059</v>
      </c>
      <c r="I1749" s="1" t="s">
        <v>19260</v>
      </c>
      <c r="J1749" s="1" t="s">
        <v>19261</v>
      </c>
      <c r="K1749" s="1"/>
      <c r="L1749" s="1" t="s">
        <v>21444</v>
      </c>
      <c r="M1749" s="1" t="s">
        <v>19264</v>
      </c>
      <c r="N1749" s="1" t="s">
        <v>19265</v>
      </c>
    </row>
    <row r="1750">
      <c r="A1750" s="1" t="s">
        <v>120</v>
      </c>
      <c r="B1750" s="1">
        <v>2008.0</v>
      </c>
      <c r="C1750" s="1" t="s">
        <v>19266</v>
      </c>
      <c r="D1750" s="1" t="s">
        <v>19267</v>
      </c>
      <c r="E1750" s="2" t="s">
        <v>21445</v>
      </c>
      <c r="F1750" s="1">
        <v>3.0</v>
      </c>
      <c r="G1750" s="1">
        <v>10.0</v>
      </c>
      <c r="H1750" s="1" t="s">
        <v>28</v>
      </c>
      <c r="I1750" s="1" t="s">
        <v>19268</v>
      </c>
      <c r="J1750" s="1" t="s">
        <v>21446</v>
      </c>
      <c r="K1750" s="1"/>
      <c r="L1750" s="1" t="s">
        <v>21447</v>
      </c>
      <c r="M1750" s="1" t="s">
        <v>18258</v>
      </c>
    </row>
    <row r="1751">
      <c r="A1751" s="1" t="s">
        <v>120</v>
      </c>
      <c r="B1751" s="1">
        <v>2008.0</v>
      </c>
      <c r="C1751" s="1" t="s">
        <v>19272</v>
      </c>
      <c r="D1751" s="1" t="s">
        <v>19273</v>
      </c>
      <c r="E1751" s="2" t="s">
        <v>21448</v>
      </c>
      <c r="F1751" s="1">
        <v>11.0</v>
      </c>
      <c r="G1751" s="1">
        <v>18.0</v>
      </c>
      <c r="H1751" s="1" t="s">
        <v>28</v>
      </c>
      <c r="I1751" s="1" t="s">
        <v>19274</v>
      </c>
      <c r="J1751" s="1" t="s">
        <v>19275</v>
      </c>
      <c r="K1751" s="1"/>
      <c r="L1751" s="1" t="s">
        <v>21454</v>
      </c>
    </row>
    <row r="1752">
      <c r="A1752" s="1" t="s">
        <v>120</v>
      </c>
      <c r="B1752" s="1">
        <v>2008.0</v>
      </c>
      <c r="C1752" s="1" t="s">
        <v>19277</v>
      </c>
      <c r="D1752" s="1" t="s">
        <v>19278</v>
      </c>
      <c r="E1752" s="2" t="s">
        <v>21457</v>
      </c>
      <c r="F1752" s="1">
        <v>19.0</v>
      </c>
      <c r="G1752" s="1">
        <v>26.0</v>
      </c>
      <c r="H1752" s="1" t="s">
        <v>28</v>
      </c>
      <c r="I1752" s="1" t="s">
        <v>19279</v>
      </c>
      <c r="J1752" s="1" t="s">
        <v>19280</v>
      </c>
      <c r="K1752" s="1"/>
      <c r="L1752" s="1" t="s">
        <v>21486</v>
      </c>
      <c r="M1752" s="1" t="s">
        <v>19283</v>
      </c>
      <c r="N1752" s="1" t="s">
        <v>19284</v>
      </c>
    </row>
    <row r="1753">
      <c r="A1753" s="1" t="s">
        <v>120</v>
      </c>
      <c r="B1753" s="1">
        <v>2008.0</v>
      </c>
      <c r="C1753" s="1" t="s">
        <v>19285</v>
      </c>
      <c r="D1753" s="1" t="s">
        <v>19286</v>
      </c>
      <c r="E1753" s="2" t="s">
        <v>21491</v>
      </c>
      <c r="F1753" s="1">
        <v>27.0</v>
      </c>
      <c r="G1753" s="1">
        <v>34.0</v>
      </c>
      <c r="H1753" s="1" t="s">
        <v>28</v>
      </c>
      <c r="I1753" s="1" t="s">
        <v>19287</v>
      </c>
      <c r="J1753" s="1" t="s">
        <v>19288</v>
      </c>
      <c r="K1753" s="1"/>
      <c r="L1753" s="1" t="s">
        <v>21506</v>
      </c>
      <c r="M1753" s="1" t="s">
        <v>19290</v>
      </c>
      <c r="N1753" s="1" t="s">
        <v>19291</v>
      </c>
    </row>
    <row r="1754">
      <c r="A1754" s="1" t="s">
        <v>120</v>
      </c>
      <c r="B1754" s="1">
        <v>2008.0</v>
      </c>
      <c r="C1754" s="1" t="s">
        <v>19292</v>
      </c>
      <c r="D1754" s="1" t="s">
        <v>19293</v>
      </c>
      <c r="E1754" s="2" t="s">
        <v>21509</v>
      </c>
      <c r="F1754" s="1">
        <v>35.0</v>
      </c>
      <c r="G1754" s="1">
        <v>42.0</v>
      </c>
      <c r="H1754" s="1" t="s">
        <v>28</v>
      </c>
      <c r="I1754" s="1" t="s">
        <v>19294</v>
      </c>
      <c r="J1754" s="1" t="s">
        <v>19295</v>
      </c>
      <c r="K1754" s="1"/>
      <c r="L1754" s="1" t="s">
        <v>10709</v>
      </c>
      <c r="M1754" s="1" t="s">
        <v>19298</v>
      </c>
    </row>
    <row r="1755">
      <c r="A1755" s="1" t="s">
        <v>120</v>
      </c>
      <c r="B1755" s="1">
        <v>2008.0</v>
      </c>
      <c r="C1755" s="1" t="s">
        <v>19299</v>
      </c>
      <c r="D1755" s="1" t="s">
        <v>19300</v>
      </c>
      <c r="E1755" s="2" t="s">
        <v>21529</v>
      </c>
      <c r="F1755" s="1">
        <v>43.0</v>
      </c>
      <c r="G1755" s="1">
        <v>50.0</v>
      </c>
      <c r="H1755" s="1" t="s">
        <v>28</v>
      </c>
      <c r="I1755" s="1" t="s">
        <v>19301</v>
      </c>
      <c r="J1755" s="1" t="s">
        <v>19302</v>
      </c>
      <c r="K1755" s="1"/>
      <c r="L1755" s="1" t="s">
        <v>5349</v>
      </c>
      <c r="M1755" s="1" t="s">
        <v>19305</v>
      </c>
      <c r="N1755" s="1" t="s">
        <v>19306</v>
      </c>
    </row>
    <row r="1756">
      <c r="A1756" s="1" t="s">
        <v>120</v>
      </c>
      <c r="B1756" s="1">
        <v>2008.0</v>
      </c>
      <c r="C1756" s="1" t="s">
        <v>19307</v>
      </c>
      <c r="D1756" s="1" t="s">
        <v>19308</v>
      </c>
      <c r="E1756" s="2" t="s">
        <v>21553</v>
      </c>
      <c r="F1756" s="1">
        <v>51.0</v>
      </c>
      <c r="G1756" s="1">
        <v>58.0</v>
      </c>
      <c r="H1756" s="1" t="s">
        <v>28</v>
      </c>
      <c r="I1756" s="1" t="s">
        <v>19309</v>
      </c>
      <c r="J1756" s="1" t="s">
        <v>19310</v>
      </c>
      <c r="K1756" s="1"/>
      <c r="L1756" s="1" t="s">
        <v>21567</v>
      </c>
      <c r="M1756" s="1"/>
      <c r="N1756" s="1" t="s">
        <v>19313</v>
      </c>
    </row>
    <row r="1757">
      <c r="A1757" s="1" t="s">
        <v>120</v>
      </c>
      <c r="B1757" s="1">
        <v>2008.0</v>
      </c>
      <c r="C1757" s="1" t="s">
        <v>19314</v>
      </c>
      <c r="D1757" s="1" t="s">
        <v>19315</v>
      </c>
      <c r="E1757" s="2" t="s">
        <v>21571</v>
      </c>
      <c r="F1757" s="1">
        <v>59.0</v>
      </c>
      <c r="G1757" s="1">
        <v>66.0</v>
      </c>
      <c r="H1757" s="1" t="s">
        <v>28</v>
      </c>
      <c r="I1757" s="1" t="s">
        <v>21583</v>
      </c>
      <c r="J1757" s="1" t="s">
        <v>19317</v>
      </c>
      <c r="K1757" s="1"/>
      <c r="L1757" s="1" t="s">
        <v>21584</v>
      </c>
      <c r="M1757" s="1" t="s">
        <v>19319</v>
      </c>
    </row>
    <row r="1758">
      <c r="A1758" s="1" t="s">
        <v>120</v>
      </c>
      <c r="B1758" s="1">
        <v>2008.0</v>
      </c>
      <c r="C1758" s="1" t="s">
        <v>19320</v>
      </c>
      <c r="D1758" s="1" t="s">
        <v>19321</v>
      </c>
      <c r="E1758" s="2" t="s">
        <v>21587</v>
      </c>
      <c r="F1758" s="1">
        <v>67.0</v>
      </c>
      <c r="G1758" s="1">
        <v>74.0</v>
      </c>
      <c r="H1758" s="1" t="s">
        <v>28</v>
      </c>
      <c r="I1758" s="1" t="s">
        <v>19322</v>
      </c>
      <c r="J1758" s="1" t="s">
        <v>19323</v>
      </c>
      <c r="K1758" s="1"/>
      <c r="L1758" s="1" t="s">
        <v>21593</v>
      </c>
      <c r="M1758" s="1" t="s">
        <v>19325</v>
      </c>
      <c r="N1758" s="1" t="s">
        <v>19313</v>
      </c>
    </row>
    <row r="1759">
      <c r="A1759" s="1" t="s">
        <v>120</v>
      </c>
      <c r="B1759" s="1">
        <v>2008.0</v>
      </c>
      <c r="C1759" s="1" t="s">
        <v>19326</v>
      </c>
      <c r="D1759" s="1" t="s">
        <v>19327</v>
      </c>
      <c r="E1759" s="2" t="s">
        <v>21594</v>
      </c>
      <c r="F1759" s="1">
        <v>75.0</v>
      </c>
      <c r="G1759" s="1">
        <v>82.0</v>
      </c>
      <c r="H1759" s="1" t="s">
        <v>28</v>
      </c>
      <c r="I1759" s="1" t="s">
        <v>19328</v>
      </c>
      <c r="J1759" s="1" t="s">
        <v>19329</v>
      </c>
      <c r="K1759" s="1"/>
      <c r="L1759" s="1" t="s">
        <v>18942</v>
      </c>
      <c r="M1759" s="1" t="s">
        <v>19331</v>
      </c>
    </row>
    <row r="1760">
      <c r="A1760" s="1" t="s">
        <v>120</v>
      </c>
      <c r="B1760" s="1">
        <v>2008.0</v>
      </c>
      <c r="C1760" s="1" t="s">
        <v>19332</v>
      </c>
      <c r="D1760" s="1" t="s">
        <v>19333</v>
      </c>
      <c r="E1760" s="2" t="s">
        <v>21609</v>
      </c>
      <c r="F1760" s="1">
        <v>83.0</v>
      </c>
      <c r="G1760" s="1">
        <v>90.0</v>
      </c>
      <c r="H1760" s="1" t="s">
        <v>28</v>
      </c>
      <c r="I1760" s="1" t="s">
        <v>19334</v>
      </c>
      <c r="J1760" s="1" t="s">
        <v>19335</v>
      </c>
      <c r="K1760" s="1"/>
      <c r="L1760" s="1" t="s">
        <v>860</v>
      </c>
      <c r="M1760" s="1" t="s">
        <v>18423</v>
      </c>
    </row>
    <row r="1761">
      <c r="A1761" s="1" t="s">
        <v>120</v>
      </c>
      <c r="B1761" s="1">
        <v>2008.0</v>
      </c>
      <c r="C1761" s="1" t="s">
        <v>19338</v>
      </c>
      <c r="D1761" s="1" t="s">
        <v>19339</v>
      </c>
      <c r="E1761" s="2" t="s">
        <v>21623</v>
      </c>
      <c r="F1761" s="1">
        <v>91.0</v>
      </c>
      <c r="G1761" s="1">
        <v>98.0</v>
      </c>
      <c r="H1761" s="1" t="s">
        <v>28</v>
      </c>
      <c r="I1761" s="1" t="s">
        <v>19340</v>
      </c>
      <c r="J1761" s="1" t="s">
        <v>19341</v>
      </c>
      <c r="K1761" s="1"/>
      <c r="L1761" s="1" t="s">
        <v>21643</v>
      </c>
      <c r="M1761" s="1" t="s">
        <v>19344</v>
      </c>
      <c r="N1761" s="1" t="s">
        <v>19345</v>
      </c>
    </row>
    <row r="1762">
      <c r="A1762" s="1" t="s">
        <v>120</v>
      </c>
      <c r="B1762" s="1">
        <v>2008.0</v>
      </c>
      <c r="C1762" s="1" t="s">
        <v>19346</v>
      </c>
      <c r="D1762" s="1" t="s">
        <v>19347</v>
      </c>
      <c r="E1762" s="2" t="s">
        <v>21647</v>
      </c>
      <c r="F1762" s="1">
        <v>99.0</v>
      </c>
      <c r="G1762" s="1">
        <v>106.0</v>
      </c>
      <c r="H1762" s="1" t="s">
        <v>28</v>
      </c>
      <c r="I1762" s="1" t="s">
        <v>19348</v>
      </c>
      <c r="J1762" s="1" t="s">
        <v>19349</v>
      </c>
      <c r="K1762" s="1"/>
      <c r="L1762" s="1" t="s">
        <v>21658</v>
      </c>
      <c r="M1762" s="1" t="s">
        <v>19351</v>
      </c>
      <c r="N1762" s="1" t="s">
        <v>19352</v>
      </c>
      <c r="P1762" s="1"/>
      <c r="Q1762" s="1" t="s">
        <v>106</v>
      </c>
    </row>
    <row r="1763">
      <c r="A1763" s="1" t="s">
        <v>120</v>
      </c>
      <c r="B1763" s="1">
        <v>2008.0</v>
      </c>
      <c r="C1763" s="1" t="s">
        <v>19353</v>
      </c>
      <c r="D1763" s="1" t="s">
        <v>19354</v>
      </c>
      <c r="E1763" s="2" t="s">
        <v>21661</v>
      </c>
      <c r="F1763" s="1">
        <v>107.0</v>
      </c>
      <c r="G1763" s="1">
        <v>114.0</v>
      </c>
      <c r="H1763" s="1" t="s">
        <v>28</v>
      </c>
      <c r="I1763" s="1" t="s">
        <v>19355</v>
      </c>
      <c r="J1763" s="1" t="s">
        <v>19356</v>
      </c>
      <c r="K1763" s="1"/>
      <c r="L1763" s="1" t="s">
        <v>21677</v>
      </c>
    </row>
    <row r="1764">
      <c r="A1764" s="1" t="s">
        <v>120</v>
      </c>
      <c r="B1764" s="1">
        <v>2008.0</v>
      </c>
      <c r="C1764" s="1" t="s">
        <v>19359</v>
      </c>
      <c r="D1764" s="1" t="s">
        <v>19360</v>
      </c>
      <c r="E1764" s="2" t="s">
        <v>21681</v>
      </c>
      <c r="F1764" s="1">
        <v>115.0</v>
      </c>
      <c r="G1764" s="1">
        <v>122.0</v>
      </c>
      <c r="H1764" s="1" t="s">
        <v>28</v>
      </c>
      <c r="I1764" s="1" t="s">
        <v>19361</v>
      </c>
      <c r="J1764" s="1" t="s">
        <v>19362</v>
      </c>
      <c r="K1764" s="1"/>
      <c r="L1764" s="1" t="s">
        <v>5349</v>
      </c>
      <c r="M1764" s="1" t="s">
        <v>19365</v>
      </c>
      <c r="N1764" s="1" t="s">
        <v>19366</v>
      </c>
    </row>
    <row r="1765">
      <c r="A1765" s="1" t="s">
        <v>120</v>
      </c>
      <c r="B1765" s="1">
        <v>2008.0</v>
      </c>
      <c r="C1765" s="1" t="s">
        <v>19387</v>
      </c>
      <c r="D1765" s="1" t="s">
        <v>19388</v>
      </c>
      <c r="E1765" s="2" t="s">
        <v>21700</v>
      </c>
      <c r="F1765" s="1">
        <v>123.0</v>
      </c>
      <c r="G1765" s="1">
        <v>130.0</v>
      </c>
      <c r="H1765" s="1" t="s">
        <v>28</v>
      </c>
      <c r="I1765" s="1" t="s">
        <v>19389</v>
      </c>
      <c r="J1765" s="1" t="s">
        <v>19390</v>
      </c>
      <c r="K1765" s="1"/>
      <c r="L1765" s="1" t="s">
        <v>178</v>
      </c>
      <c r="M1765" s="1" t="s">
        <v>19392</v>
      </c>
      <c r="N1765" s="1" t="s">
        <v>19393</v>
      </c>
    </row>
    <row r="1766">
      <c r="A1766" s="1" t="s">
        <v>120</v>
      </c>
      <c r="B1766" s="1">
        <v>2008.0</v>
      </c>
      <c r="C1766" s="1" t="s">
        <v>19394</v>
      </c>
      <c r="D1766" s="1" t="s">
        <v>19395</v>
      </c>
      <c r="E1766" s="2" t="s">
        <v>21711</v>
      </c>
      <c r="F1766" s="1">
        <v>131.0</v>
      </c>
      <c r="G1766" s="1">
        <v>138.0</v>
      </c>
      <c r="H1766" s="1" t="s">
        <v>28</v>
      </c>
      <c r="I1766" s="1" t="s">
        <v>19396</v>
      </c>
      <c r="J1766" s="1" t="s">
        <v>19397</v>
      </c>
      <c r="K1766" s="1"/>
      <c r="L1766" s="1" t="s">
        <v>13886</v>
      </c>
      <c r="M1766" s="1" t="s">
        <v>19400</v>
      </c>
      <c r="N1766" s="1" t="s">
        <v>19401</v>
      </c>
    </row>
    <row r="1767">
      <c r="A1767" s="1" t="s">
        <v>120</v>
      </c>
      <c r="B1767" s="1">
        <v>2008.0</v>
      </c>
      <c r="C1767" s="1" t="s">
        <v>19402</v>
      </c>
      <c r="D1767" s="1" t="s">
        <v>19403</v>
      </c>
      <c r="E1767" s="2" t="s">
        <v>21724</v>
      </c>
      <c r="F1767" s="1">
        <v>139.0</v>
      </c>
      <c r="G1767" s="1">
        <v>146.0</v>
      </c>
      <c r="H1767" s="1" t="s">
        <v>28</v>
      </c>
      <c r="I1767" s="1" t="s">
        <v>19407</v>
      </c>
      <c r="J1767" s="1" t="s">
        <v>19408</v>
      </c>
      <c r="K1767" s="1"/>
      <c r="L1767" s="1" t="s">
        <v>494</v>
      </c>
      <c r="M1767" s="1" t="s">
        <v>18346</v>
      </c>
    </row>
    <row r="1768">
      <c r="A1768" s="1" t="s">
        <v>120</v>
      </c>
      <c r="B1768" s="1">
        <v>2008.0</v>
      </c>
      <c r="C1768" s="1" t="s">
        <v>19410</v>
      </c>
      <c r="D1768" s="1" t="s">
        <v>19411</v>
      </c>
      <c r="E1768" s="2" t="s">
        <v>21740</v>
      </c>
      <c r="F1768" s="1">
        <v>147.0</v>
      </c>
      <c r="G1768" s="1">
        <v>154.0</v>
      </c>
      <c r="H1768" s="1" t="s">
        <v>28</v>
      </c>
      <c r="I1768" s="1" t="s">
        <v>19412</v>
      </c>
      <c r="J1768" s="1" t="s">
        <v>19413</v>
      </c>
      <c r="K1768" s="1"/>
      <c r="L1768" s="1" t="s">
        <v>21757</v>
      </c>
      <c r="M1768" s="1" t="s">
        <v>19422</v>
      </c>
      <c r="N1768" s="1" t="s">
        <v>19423</v>
      </c>
    </row>
    <row r="1769">
      <c r="A1769" s="1" t="s">
        <v>120</v>
      </c>
      <c r="B1769" s="1">
        <v>2008.0</v>
      </c>
      <c r="C1769" s="1" t="s">
        <v>19424</v>
      </c>
      <c r="D1769" s="1" t="s">
        <v>19425</v>
      </c>
      <c r="E1769" s="2" t="s">
        <v>21760</v>
      </c>
      <c r="F1769" s="1">
        <v>155.0</v>
      </c>
      <c r="G1769" s="1">
        <v>162.0</v>
      </c>
      <c r="H1769" s="1" t="s">
        <v>28</v>
      </c>
      <c r="I1769" s="1" t="s">
        <v>21776</v>
      </c>
      <c r="J1769" s="1" t="s">
        <v>19427</v>
      </c>
      <c r="K1769" s="1"/>
      <c r="L1769" s="1" t="s">
        <v>880</v>
      </c>
      <c r="M1769" s="1" t="s">
        <v>19430</v>
      </c>
      <c r="N1769" s="1" t="s">
        <v>19431</v>
      </c>
    </row>
    <row r="1770">
      <c r="A1770" s="1" t="s">
        <v>120</v>
      </c>
      <c r="B1770" s="1">
        <v>2008.0</v>
      </c>
      <c r="C1770" s="1" t="s">
        <v>19432</v>
      </c>
      <c r="D1770" s="1" t="s">
        <v>19433</v>
      </c>
      <c r="E1770" s="2" t="s">
        <v>21781</v>
      </c>
      <c r="F1770" s="1">
        <v>163.0</v>
      </c>
      <c r="G1770" s="1">
        <v>170.0</v>
      </c>
      <c r="H1770" s="1" t="s">
        <v>28</v>
      </c>
      <c r="I1770" s="1" t="s">
        <v>19434</v>
      </c>
      <c r="J1770" s="1" t="s">
        <v>14085</v>
      </c>
      <c r="K1770" s="1"/>
      <c r="L1770" s="1" t="s">
        <v>21796</v>
      </c>
      <c r="M1770" s="1" t="s">
        <v>19436</v>
      </c>
    </row>
    <row r="1771">
      <c r="A1771" s="1" t="s">
        <v>120</v>
      </c>
      <c r="B1771" s="1">
        <v>2008.0</v>
      </c>
      <c r="C1771" s="1" t="s">
        <v>21797</v>
      </c>
      <c r="D1771" s="1" t="s">
        <v>19438</v>
      </c>
      <c r="E1771" s="2" t="s">
        <v>21798</v>
      </c>
      <c r="F1771" s="1">
        <v>173.0</v>
      </c>
      <c r="G1771" s="1">
        <v>174.0</v>
      </c>
      <c r="H1771" s="1" t="s">
        <v>21</v>
      </c>
      <c r="I1771" s="1" t="s">
        <v>21803</v>
      </c>
      <c r="J1771" s="1" t="s">
        <v>19440</v>
      </c>
      <c r="K1771" s="1"/>
      <c r="L1771" s="1" t="s">
        <v>20810</v>
      </c>
    </row>
    <row r="1772">
      <c r="A1772" s="1" t="s">
        <v>120</v>
      </c>
      <c r="B1772" s="1">
        <v>2008.0</v>
      </c>
      <c r="C1772" s="1" t="s">
        <v>19443</v>
      </c>
      <c r="D1772" s="1" t="s">
        <v>19444</v>
      </c>
      <c r="E1772" s="2" t="s">
        <v>21809</v>
      </c>
      <c r="F1772" s="1">
        <v>175.0</v>
      </c>
      <c r="G1772" s="1">
        <v>176.0</v>
      </c>
      <c r="H1772" s="1" t="s">
        <v>21</v>
      </c>
      <c r="I1772" s="1" t="s">
        <v>19445</v>
      </c>
      <c r="J1772" s="1" t="s">
        <v>19446</v>
      </c>
      <c r="K1772" s="1"/>
      <c r="L1772" s="1" t="s">
        <v>21825</v>
      </c>
    </row>
    <row r="1773">
      <c r="A1773" s="1" t="s">
        <v>120</v>
      </c>
      <c r="B1773" s="1">
        <v>2008.0</v>
      </c>
      <c r="C1773" s="1" t="s">
        <v>19448</v>
      </c>
      <c r="D1773" s="1" t="s">
        <v>19449</v>
      </c>
      <c r="E1773" s="2" t="s">
        <v>21830</v>
      </c>
      <c r="F1773" s="1">
        <v>177.0</v>
      </c>
      <c r="G1773" s="1">
        <v>178.0</v>
      </c>
      <c r="H1773" s="1" t="s">
        <v>21</v>
      </c>
      <c r="I1773" s="1" t="s">
        <v>19450</v>
      </c>
      <c r="J1773" s="1" t="s">
        <v>19451</v>
      </c>
      <c r="K1773" s="1"/>
      <c r="L1773" s="1" t="s">
        <v>21845</v>
      </c>
    </row>
    <row r="1774">
      <c r="A1774" s="1" t="s">
        <v>120</v>
      </c>
      <c r="B1774" s="1">
        <v>2008.0</v>
      </c>
      <c r="C1774" s="1" t="s">
        <v>19453</v>
      </c>
      <c r="D1774" s="1" t="s">
        <v>19454</v>
      </c>
      <c r="E1774" s="2" t="s">
        <v>21847</v>
      </c>
      <c r="F1774" s="1">
        <v>179.0</v>
      </c>
      <c r="G1774" s="1">
        <v>180.0</v>
      </c>
      <c r="H1774" s="1" t="s">
        <v>21</v>
      </c>
      <c r="I1774" s="1" t="s">
        <v>19455</v>
      </c>
      <c r="J1774" s="1" t="s">
        <v>19456</v>
      </c>
      <c r="K1774" s="1"/>
      <c r="L1774" s="1" t="s">
        <v>21860</v>
      </c>
    </row>
    <row r="1775">
      <c r="A1775" s="1" t="s">
        <v>120</v>
      </c>
      <c r="B1775" s="1">
        <v>2008.0</v>
      </c>
      <c r="C1775" s="1" t="s">
        <v>19459</v>
      </c>
      <c r="D1775" s="1" t="s">
        <v>19460</v>
      </c>
      <c r="E1775" s="2" t="s">
        <v>21865</v>
      </c>
      <c r="F1775" s="1">
        <v>181.0</v>
      </c>
      <c r="G1775" s="1">
        <v>182.0</v>
      </c>
      <c r="H1775" s="1" t="s">
        <v>21</v>
      </c>
      <c r="I1775" s="1" t="s">
        <v>19461</v>
      </c>
      <c r="J1775" s="1" t="s">
        <v>19462</v>
      </c>
      <c r="K1775" s="1"/>
      <c r="L1775" s="1" t="s">
        <v>21881</v>
      </c>
    </row>
    <row r="1776">
      <c r="A1776" s="1" t="s">
        <v>120</v>
      </c>
      <c r="B1776" s="1">
        <v>2008.0</v>
      </c>
      <c r="C1776" s="1" t="s">
        <v>19464</v>
      </c>
      <c r="D1776" s="1" t="s">
        <v>19465</v>
      </c>
      <c r="E1776" s="2" t="s">
        <v>21882</v>
      </c>
      <c r="F1776" s="1">
        <v>183.0</v>
      </c>
      <c r="G1776" s="1">
        <v>184.0</v>
      </c>
      <c r="H1776" s="1" t="s">
        <v>21</v>
      </c>
      <c r="I1776" s="1" t="s">
        <v>19466</v>
      </c>
      <c r="J1776" s="1" t="s">
        <v>19467</v>
      </c>
      <c r="K1776" s="1"/>
      <c r="L1776" s="1" t="s">
        <v>21901</v>
      </c>
    </row>
    <row r="1777">
      <c r="A1777" s="1" t="s">
        <v>120</v>
      </c>
      <c r="B1777" s="1">
        <v>2008.0</v>
      </c>
      <c r="C1777" s="1" t="s">
        <v>19479</v>
      </c>
      <c r="D1777" s="1" t="s">
        <v>19480</v>
      </c>
      <c r="E1777" s="2" t="s">
        <v>21903</v>
      </c>
      <c r="F1777" s="1">
        <v>185.0</v>
      </c>
      <c r="G1777" s="1">
        <v>186.0</v>
      </c>
      <c r="H1777" s="1" t="s">
        <v>21</v>
      </c>
      <c r="I1777" s="1" t="s">
        <v>19481</v>
      </c>
      <c r="J1777" s="1" t="s">
        <v>18498</v>
      </c>
      <c r="K1777" s="1"/>
      <c r="L1777" s="1" t="s">
        <v>21919</v>
      </c>
    </row>
    <row r="1778">
      <c r="A1778" s="1" t="s">
        <v>120</v>
      </c>
      <c r="B1778" s="1">
        <v>2008.0</v>
      </c>
      <c r="C1778" s="1" t="s">
        <v>19483</v>
      </c>
      <c r="D1778" s="1" t="s">
        <v>19484</v>
      </c>
      <c r="E1778" s="2" t="s">
        <v>21925</v>
      </c>
      <c r="F1778" s="1">
        <v>187.0</v>
      </c>
      <c r="G1778" s="1">
        <v>188.0</v>
      </c>
      <c r="H1778" s="1" t="s">
        <v>21</v>
      </c>
      <c r="I1778" s="1" t="s">
        <v>19485</v>
      </c>
      <c r="J1778" s="1" t="s">
        <v>19486</v>
      </c>
      <c r="K1778" s="1"/>
      <c r="L1778" s="1" t="s">
        <v>21948</v>
      </c>
    </row>
    <row r="1779">
      <c r="A1779" s="1" t="s">
        <v>120</v>
      </c>
      <c r="B1779" s="1">
        <v>2008.0</v>
      </c>
      <c r="C1779" s="1" t="s">
        <v>19488</v>
      </c>
      <c r="D1779" s="1" t="s">
        <v>19489</v>
      </c>
      <c r="E1779" s="2" t="s">
        <v>21950</v>
      </c>
      <c r="F1779" s="1">
        <v>189.0</v>
      </c>
      <c r="G1779" s="1">
        <v>190.0</v>
      </c>
      <c r="H1779" s="1" t="s">
        <v>21</v>
      </c>
      <c r="I1779" s="1" t="s">
        <v>19490</v>
      </c>
      <c r="J1779" s="1" t="s">
        <v>19491</v>
      </c>
      <c r="K1779" s="1"/>
      <c r="L1779" s="1" t="s">
        <v>21964</v>
      </c>
    </row>
    <row r="1780">
      <c r="A1780" s="1" t="s">
        <v>120</v>
      </c>
      <c r="B1780" s="1">
        <v>2008.0</v>
      </c>
      <c r="C1780" s="1" t="s">
        <v>19493</v>
      </c>
      <c r="D1780" s="1" t="s">
        <v>19494</v>
      </c>
      <c r="E1780" s="2" t="s">
        <v>21969</v>
      </c>
      <c r="F1780" s="1">
        <v>191.0</v>
      </c>
      <c r="G1780" s="1">
        <v>192.0</v>
      </c>
      <c r="H1780" s="1" t="s">
        <v>21</v>
      </c>
      <c r="I1780" s="1" t="s">
        <v>19495</v>
      </c>
      <c r="J1780" s="1" t="s">
        <v>21980</v>
      </c>
      <c r="K1780" s="1"/>
      <c r="L1780" s="1" t="s">
        <v>21981</v>
      </c>
    </row>
    <row r="1781">
      <c r="A1781" s="1" t="s">
        <v>120</v>
      </c>
      <c r="B1781" s="1">
        <v>2008.0</v>
      </c>
      <c r="C1781" s="1" t="s">
        <v>19499</v>
      </c>
      <c r="D1781" s="1" t="s">
        <v>19502</v>
      </c>
      <c r="E1781" s="2" t="s">
        <v>21984</v>
      </c>
      <c r="G1781" s="1"/>
      <c r="H1781" s="1" t="s">
        <v>21</v>
      </c>
      <c r="I1781" s="1" t="s">
        <v>19503</v>
      </c>
      <c r="J1781" s="1" t="s">
        <v>19504</v>
      </c>
      <c r="K1781" s="1"/>
      <c r="L1781" s="1" t="s">
        <v>860</v>
      </c>
    </row>
    <row r="1782">
      <c r="A1782" s="1" t="s">
        <v>120</v>
      </c>
      <c r="B1782" s="1">
        <v>2008.0</v>
      </c>
      <c r="C1782" s="1" t="s">
        <v>19506</v>
      </c>
      <c r="D1782" s="1" t="s">
        <v>19507</v>
      </c>
      <c r="E1782" s="2" t="s">
        <v>21998</v>
      </c>
      <c r="G1782" s="1"/>
      <c r="H1782" s="1" t="s">
        <v>21</v>
      </c>
      <c r="I1782" s="1" t="s">
        <v>19508</v>
      </c>
      <c r="J1782" s="1" t="s">
        <v>19509</v>
      </c>
      <c r="K1782" s="1"/>
      <c r="L1782" s="1" t="s">
        <v>10709</v>
      </c>
    </row>
    <row r="1783">
      <c r="A1783" s="1" t="s">
        <v>120</v>
      </c>
      <c r="B1783" s="1">
        <v>2008.0</v>
      </c>
      <c r="C1783" s="1" t="s">
        <v>19512</v>
      </c>
      <c r="D1783" s="1" t="s">
        <v>19513</v>
      </c>
      <c r="E1783" s="2" t="s">
        <v>22015</v>
      </c>
      <c r="G1783" s="1"/>
      <c r="H1783" s="1" t="s">
        <v>21</v>
      </c>
      <c r="I1783" s="1" t="s">
        <v>19514</v>
      </c>
      <c r="J1783" s="1" t="s">
        <v>19515</v>
      </c>
      <c r="K1783" s="1"/>
      <c r="L1783" s="1" t="s">
        <v>880</v>
      </c>
    </row>
    <row r="1784">
      <c r="A1784" s="1" t="s">
        <v>120</v>
      </c>
      <c r="B1784" s="1">
        <v>2008.0</v>
      </c>
      <c r="C1784" s="1" t="s">
        <v>19517</v>
      </c>
      <c r="D1784" s="1" t="s">
        <v>19518</v>
      </c>
      <c r="E1784" s="2" t="s">
        <v>22029</v>
      </c>
      <c r="G1784" s="1"/>
      <c r="H1784" s="1" t="s">
        <v>21</v>
      </c>
      <c r="I1784" s="1" t="s">
        <v>19519</v>
      </c>
      <c r="J1784" s="1" t="s">
        <v>19520</v>
      </c>
      <c r="K1784" s="1"/>
      <c r="L1784" s="1" t="s">
        <v>5349</v>
      </c>
    </row>
    <row r="1785">
      <c r="A1785" s="1" t="s">
        <v>120</v>
      </c>
      <c r="B1785" s="1">
        <v>2008.0</v>
      </c>
      <c r="C1785" s="1" t="s">
        <v>19522</v>
      </c>
      <c r="D1785" s="1" t="s">
        <v>19523</v>
      </c>
      <c r="E1785" s="2" t="s">
        <v>22042</v>
      </c>
      <c r="G1785" s="1"/>
      <c r="H1785" s="1" t="s">
        <v>21</v>
      </c>
      <c r="I1785" s="1" t="s">
        <v>19524</v>
      </c>
      <c r="J1785" s="1" t="s">
        <v>19525</v>
      </c>
      <c r="K1785" s="1"/>
      <c r="L1785" s="1" t="s">
        <v>22052</v>
      </c>
    </row>
    <row r="1786">
      <c r="A1786" s="1" t="s">
        <v>120</v>
      </c>
      <c r="B1786" s="1">
        <v>2008.0</v>
      </c>
      <c r="C1786" s="1" t="s">
        <v>19528</v>
      </c>
      <c r="D1786" s="1" t="s">
        <v>19529</v>
      </c>
      <c r="E1786" s="2" t="s">
        <v>22053</v>
      </c>
      <c r="G1786" s="1"/>
      <c r="H1786" s="1" t="s">
        <v>21</v>
      </c>
      <c r="I1786" s="1" t="s">
        <v>19566</v>
      </c>
      <c r="J1786" s="1" t="s">
        <v>19567</v>
      </c>
      <c r="K1786" s="1"/>
      <c r="L1786" s="1" t="s">
        <v>21567</v>
      </c>
    </row>
    <row r="1787">
      <c r="A1787" s="1" t="s">
        <v>120</v>
      </c>
      <c r="B1787" s="1">
        <v>2008.0</v>
      </c>
      <c r="C1787" s="1" t="s">
        <v>19569</v>
      </c>
      <c r="D1787" s="1" t="s">
        <v>19570</v>
      </c>
      <c r="E1787" s="2" t="s">
        <v>22054</v>
      </c>
      <c r="G1787" s="1"/>
      <c r="H1787" s="1" t="s">
        <v>21</v>
      </c>
      <c r="I1787" s="1" t="s">
        <v>19573</v>
      </c>
      <c r="J1787" s="1" t="s">
        <v>19574</v>
      </c>
      <c r="K1787" s="1"/>
      <c r="L1787" s="1" t="s">
        <v>22055</v>
      </c>
    </row>
    <row r="1788">
      <c r="A1788" s="1" t="s">
        <v>120</v>
      </c>
      <c r="B1788" s="1">
        <v>2008.0</v>
      </c>
      <c r="C1788" s="1" t="s">
        <v>19577</v>
      </c>
      <c r="D1788" s="1" t="s">
        <v>19578</v>
      </c>
      <c r="E1788" s="2" t="s">
        <v>22056</v>
      </c>
      <c r="G1788" s="1"/>
      <c r="H1788" s="1" t="s">
        <v>21</v>
      </c>
      <c r="I1788" s="1" t="s">
        <v>19579</v>
      </c>
      <c r="J1788" s="1" t="s">
        <v>19580</v>
      </c>
      <c r="K1788" s="1"/>
      <c r="L1788" s="1" t="s">
        <v>22057</v>
      </c>
    </row>
    <row r="1789">
      <c r="A1789" s="1" t="s">
        <v>120</v>
      </c>
      <c r="B1789" s="1">
        <v>2008.0</v>
      </c>
      <c r="C1789" s="1" t="s">
        <v>19584</v>
      </c>
      <c r="D1789" s="1" t="s">
        <v>19586</v>
      </c>
      <c r="E1789" s="2" t="s">
        <v>22058</v>
      </c>
      <c r="G1789" s="1"/>
      <c r="H1789" s="1" t="s">
        <v>21</v>
      </c>
      <c r="I1789" s="1" t="s">
        <v>19587</v>
      </c>
      <c r="J1789" s="1" t="s">
        <v>19588</v>
      </c>
      <c r="K1789" s="1"/>
      <c r="L1789" s="1" t="s">
        <v>22059</v>
      </c>
    </row>
    <row r="1790">
      <c r="A1790" s="1" t="s">
        <v>120</v>
      </c>
      <c r="B1790" s="1">
        <v>2008.0</v>
      </c>
      <c r="C1790" s="1" t="s">
        <v>19591</v>
      </c>
      <c r="D1790" s="1" t="s">
        <v>19592</v>
      </c>
      <c r="E1790" s="2" t="s">
        <v>22060</v>
      </c>
      <c r="G1790" s="1"/>
      <c r="H1790" s="1" t="s">
        <v>21</v>
      </c>
      <c r="I1790" s="1" t="s">
        <v>19593</v>
      </c>
      <c r="J1790" s="1" t="s">
        <v>19594</v>
      </c>
      <c r="K1790" s="1"/>
      <c r="L1790" s="1" t="s">
        <v>22061</v>
      </c>
    </row>
    <row r="1791">
      <c r="A1791" s="1" t="s">
        <v>120</v>
      </c>
      <c r="B1791" s="1">
        <v>2008.0</v>
      </c>
      <c r="C1791" s="1" t="s">
        <v>19598</v>
      </c>
      <c r="D1791" s="1" t="s">
        <v>19599</v>
      </c>
      <c r="E1791" s="2" t="s">
        <v>22062</v>
      </c>
      <c r="G1791" s="1"/>
      <c r="H1791" s="1" t="s">
        <v>21</v>
      </c>
      <c r="I1791" s="1" t="s">
        <v>19600</v>
      </c>
      <c r="J1791" s="1" t="s">
        <v>19601</v>
      </c>
      <c r="K1791" s="1"/>
      <c r="L1791" s="1" t="s">
        <v>22063</v>
      </c>
    </row>
    <row r="1792">
      <c r="A1792" s="1" t="s">
        <v>120</v>
      </c>
      <c r="B1792" s="1">
        <v>2008.0</v>
      </c>
      <c r="C1792" s="1" t="s">
        <v>19604</v>
      </c>
      <c r="D1792" s="1" t="s">
        <v>19605</v>
      </c>
      <c r="E1792" s="2" t="s">
        <v>22064</v>
      </c>
      <c r="G1792" s="1"/>
      <c r="H1792" s="1" t="s">
        <v>21</v>
      </c>
      <c r="I1792" s="1" t="s">
        <v>19606</v>
      </c>
      <c r="J1792" s="1" t="s">
        <v>19607</v>
      </c>
      <c r="K1792" s="1"/>
      <c r="L1792" s="1" t="s">
        <v>494</v>
      </c>
    </row>
    <row r="1793">
      <c r="A1793" s="1" t="s">
        <v>120</v>
      </c>
      <c r="B1793" s="1">
        <v>2008.0</v>
      </c>
      <c r="C1793" s="1" t="s">
        <v>19609</v>
      </c>
      <c r="D1793" s="1" t="s">
        <v>19611</v>
      </c>
      <c r="E1793" s="2" t="s">
        <v>22065</v>
      </c>
      <c r="G1793" s="1"/>
      <c r="H1793" s="1" t="s">
        <v>21</v>
      </c>
      <c r="I1793" s="1" t="s">
        <v>19613</v>
      </c>
      <c r="J1793" s="1" t="s">
        <v>19614</v>
      </c>
      <c r="K1793" s="1"/>
      <c r="L1793" s="1" t="s">
        <v>22066</v>
      </c>
    </row>
    <row r="1794">
      <c r="A1794" s="1" t="s">
        <v>120</v>
      </c>
      <c r="B1794" s="1">
        <v>2008.0</v>
      </c>
      <c r="C1794" s="1" t="s">
        <v>19618</v>
      </c>
      <c r="D1794" s="1" t="s">
        <v>19619</v>
      </c>
      <c r="E1794" s="2" t="s">
        <v>22067</v>
      </c>
      <c r="G1794" s="1"/>
      <c r="H1794" s="1" t="s">
        <v>21</v>
      </c>
      <c r="I1794" s="1" t="s">
        <v>19620</v>
      </c>
      <c r="J1794" s="1" t="s">
        <v>19621</v>
      </c>
    </row>
    <row r="1795">
      <c r="A1795" s="1" t="s">
        <v>2137</v>
      </c>
      <c r="B1795" s="1">
        <v>2009.0</v>
      </c>
      <c r="C1795" s="1" t="s">
        <v>20033</v>
      </c>
      <c r="D1795" s="1" t="s">
        <v>20034</v>
      </c>
      <c r="E1795" s="2" t="s">
        <v>22068</v>
      </c>
      <c r="F1795" s="1">
        <v>953.0</v>
      </c>
      <c r="G1795" s="1">
        <v>960.0</v>
      </c>
      <c r="H1795" s="1" t="s">
        <v>17059</v>
      </c>
      <c r="I1795" s="1" t="s">
        <v>20035</v>
      </c>
      <c r="J1795" s="1" t="s">
        <v>20036</v>
      </c>
      <c r="K1795" s="1"/>
      <c r="L1795" s="1" t="s">
        <v>22069</v>
      </c>
      <c r="M1795" s="1" t="s">
        <v>20038</v>
      </c>
      <c r="N1795" s="1" t="s">
        <v>20039</v>
      </c>
    </row>
    <row r="1796">
      <c r="A1796" s="1" t="s">
        <v>2137</v>
      </c>
      <c r="B1796" s="1">
        <v>2009.0</v>
      </c>
      <c r="C1796" s="1" t="s">
        <v>20040</v>
      </c>
      <c r="D1796" s="1" t="s">
        <v>20041</v>
      </c>
      <c r="E1796" s="2" t="s">
        <v>22070</v>
      </c>
      <c r="F1796" s="1">
        <v>961.0</v>
      </c>
      <c r="G1796" s="1">
        <v>968.0</v>
      </c>
      <c r="H1796" s="1" t="s">
        <v>17059</v>
      </c>
      <c r="I1796" s="1" t="s">
        <v>20042</v>
      </c>
      <c r="J1796" s="1" t="s">
        <v>20043</v>
      </c>
      <c r="K1796" s="1"/>
      <c r="L1796" s="1" t="s">
        <v>1253</v>
      </c>
      <c r="M1796" s="1" t="s">
        <v>19181</v>
      </c>
      <c r="N1796" s="1" t="s">
        <v>20047</v>
      </c>
    </row>
    <row r="1797">
      <c r="A1797" s="1" t="s">
        <v>2137</v>
      </c>
      <c r="B1797" s="1">
        <v>2009.0</v>
      </c>
      <c r="C1797" s="1" t="s">
        <v>20048</v>
      </c>
      <c r="D1797" s="1" t="s">
        <v>20049</v>
      </c>
      <c r="E1797" s="2" t="s">
        <v>22071</v>
      </c>
      <c r="F1797" s="1">
        <v>1113.0</v>
      </c>
      <c r="G1797" s="1">
        <v>1120.0</v>
      </c>
      <c r="H1797" s="1" t="s">
        <v>17059</v>
      </c>
      <c r="I1797" s="1" t="s">
        <v>20051</v>
      </c>
      <c r="J1797" s="1" t="s">
        <v>20052</v>
      </c>
      <c r="K1797" s="1"/>
      <c r="L1797" s="1" t="s">
        <v>11861</v>
      </c>
      <c r="M1797" s="1" t="s">
        <v>20054</v>
      </c>
      <c r="N1797" s="1" t="s">
        <v>20055</v>
      </c>
    </row>
    <row r="1798">
      <c r="A1798" s="1" t="s">
        <v>2137</v>
      </c>
      <c r="B1798" s="1">
        <v>2009.0</v>
      </c>
      <c r="C1798" s="1" t="s">
        <v>20057</v>
      </c>
      <c r="D1798" s="1" t="s">
        <v>20058</v>
      </c>
      <c r="E1798" s="2" t="s">
        <v>22072</v>
      </c>
      <c r="F1798" s="1">
        <v>921.0</v>
      </c>
      <c r="G1798" s="1">
        <v>928.0</v>
      </c>
      <c r="H1798" s="1" t="s">
        <v>17059</v>
      </c>
      <c r="I1798" s="1" t="s">
        <v>20060</v>
      </c>
      <c r="J1798" s="1" t="s">
        <v>3299</v>
      </c>
      <c r="K1798" s="1"/>
      <c r="L1798" s="1" t="s">
        <v>22073</v>
      </c>
      <c r="M1798" s="1" t="s">
        <v>20061</v>
      </c>
      <c r="N1798" s="1" t="s">
        <v>20062</v>
      </c>
    </row>
    <row r="1799">
      <c r="A1799" s="1" t="s">
        <v>17</v>
      </c>
      <c r="B1799" s="1">
        <v>2009.0</v>
      </c>
      <c r="C1799" s="1" t="s">
        <v>20830</v>
      </c>
      <c r="D1799" s="1" t="s">
        <v>20831</v>
      </c>
      <c r="E1799" s="2" t="s">
        <v>22074</v>
      </c>
      <c r="F1799" s="1">
        <v>1433.0</v>
      </c>
      <c r="G1799" s="1">
        <v>1440.0</v>
      </c>
      <c r="H1799" s="1" t="s">
        <v>17059</v>
      </c>
      <c r="I1799" s="1" t="s">
        <v>20833</v>
      </c>
      <c r="J1799" s="1" t="s">
        <v>20834</v>
      </c>
      <c r="K1799" s="1"/>
      <c r="L1799" s="1" t="s">
        <v>22075</v>
      </c>
      <c r="M1799" s="1" t="s">
        <v>20838</v>
      </c>
      <c r="N1799" s="1" t="s">
        <v>20839</v>
      </c>
    </row>
    <row r="1800">
      <c r="A1800" s="1" t="s">
        <v>17</v>
      </c>
      <c r="B1800" s="1">
        <v>2009.0</v>
      </c>
      <c r="C1800" s="1" t="s">
        <v>20840</v>
      </c>
      <c r="D1800" s="1" t="s">
        <v>20841</v>
      </c>
      <c r="E1800" s="2" t="s">
        <v>22076</v>
      </c>
      <c r="F1800" s="1">
        <v>1291.0</v>
      </c>
      <c r="G1800" s="1">
        <v>1298.0</v>
      </c>
      <c r="H1800" s="1" t="s">
        <v>17059</v>
      </c>
      <c r="I1800" s="1" t="s">
        <v>20842</v>
      </c>
      <c r="J1800" s="1" t="s">
        <v>20843</v>
      </c>
      <c r="K1800" s="1"/>
      <c r="L1800" s="1" t="s">
        <v>22077</v>
      </c>
      <c r="M1800" s="1" t="s">
        <v>20846</v>
      </c>
      <c r="N1800" s="1" t="s">
        <v>20847</v>
      </c>
    </row>
    <row r="1801">
      <c r="A1801" s="1" t="s">
        <v>17</v>
      </c>
      <c r="B1801" s="1">
        <v>2009.0</v>
      </c>
      <c r="C1801" s="1" t="s">
        <v>20848</v>
      </c>
      <c r="D1801" s="1" t="s">
        <v>20849</v>
      </c>
      <c r="E1801" s="2" t="s">
        <v>22078</v>
      </c>
      <c r="F1801" s="1">
        <v>1209.0</v>
      </c>
      <c r="G1801" s="1">
        <v>1218.0</v>
      </c>
      <c r="H1801" s="1" t="s">
        <v>17059</v>
      </c>
      <c r="I1801" s="1" t="s">
        <v>22079</v>
      </c>
      <c r="J1801" s="1" t="s">
        <v>20852</v>
      </c>
      <c r="K1801" s="1"/>
      <c r="L1801" s="1" t="s">
        <v>22080</v>
      </c>
      <c r="M1801" s="1" t="s">
        <v>20855</v>
      </c>
      <c r="N1801" s="1" t="s">
        <v>20856</v>
      </c>
    </row>
    <row r="1802">
      <c r="A1802" s="1" t="s">
        <v>17</v>
      </c>
      <c r="B1802" s="1">
        <v>2009.0</v>
      </c>
      <c r="C1802" s="1" t="s">
        <v>20858</v>
      </c>
      <c r="D1802" s="1" t="s">
        <v>20859</v>
      </c>
      <c r="E1802" s="2" t="s">
        <v>22081</v>
      </c>
      <c r="F1802" s="1">
        <v>1343.0</v>
      </c>
      <c r="G1802" s="1">
        <v>1350.0</v>
      </c>
      <c r="H1802" s="1" t="s">
        <v>17059</v>
      </c>
      <c r="I1802" s="1" t="s">
        <v>20860</v>
      </c>
      <c r="J1802" s="1" t="s">
        <v>22082</v>
      </c>
      <c r="K1802" s="1"/>
      <c r="L1802" s="1" t="s">
        <v>16655</v>
      </c>
      <c r="M1802" s="1" t="s">
        <v>20864</v>
      </c>
      <c r="N1802" s="1" t="s">
        <v>20865</v>
      </c>
    </row>
    <row r="1803">
      <c r="A1803" s="1" t="s">
        <v>2137</v>
      </c>
      <c r="B1803" s="1">
        <v>2009.0</v>
      </c>
      <c r="C1803" s="1" t="s">
        <v>20063</v>
      </c>
      <c r="D1803" s="1" t="s">
        <v>20064</v>
      </c>
      <c r="E1803" s="2" t="s">
        <v>22083</v>
      </c>
      <c r="F1803" s="1">
        <v>881.0</v>
      </c>
      <c r="G1803" s="1">
        <v>888.0</v>
      </c>
      <c r="H1803" s="1" t="s">
        <v>17059</v>
      </c>
      <c r="I1803" s="1" t="s">
        <v>20066</v>
      </c>
      <c r="J1803" s="1" t="s">
        <v>22084</v>
      </c>
      <c r="K1803" s="1"/>
      <c r="L1803" s="1" t="s">
        <v>22085</v>
      </c>
      <c r="M1803" s="1" t="s">
        <v>17268</v>
      </c>
      <c r="N1803" s="1" t="s">
        <v>20070</v>
      </c>
      <c r="P1803" s="1"/>
      <c r="Q1803" s="1" t="s">
        <v>106</v>
      </c>
    </row>
    <row r="1804">
      <c r="A1804" s="1" t="s">
        <v>2137</v>
      </c>
      <c r="B1804" s="1">
        <v>2009.0</v>
      </c>
      <c r="C1804" s="1" t="s">
        <v>20072</v>
      </c>
      <c r="D1804" s="1" t="s">
        <v>20073</v>
      </c>
      <c r="E1804" s="2" t="s">
        <v>22086</v>
      </c>
      <c r="F1804" s="1">
        <v>945.0</v>
      </c>
      <c r="G1804" s="1">
        <v>952.0</v>
      </c>
      <c r="H1804" s="1" t="s">
        <v>17059</v>
      </c>
      <c r="I1804" s="1" t="s">
        <v>20074</v>
      </c>
      <c r="J1804" s="1" t="s">
        <v>20075</v>
      </c>
      <c r="K1804" s="1"/>
      <c r="L1804" s="1" t="s">
        <v>22087</v>
      </c>
      <c r="M1804" s="1" t="s">
        <v>20078</v>
      </c>
      <c r="N1804" s="1" t="s">
        <v>20079</v>
      </c>
    </row>
    <row r="1805">
      <c r="A1805" s="1" t="s">
        <v>17</v>
      </c>
      <c r="B1805" s="1">
        <v>2009.0</v>
      </c>
      <c r="C1805" s="1" t="s">
        <v>20866</v>
      </c>
      <c r="D1805" s="1" t="s">
        <v>20867</v>
      </c>
      <c r="E1805" s="2" t="s">
        <v>22088</v>
      </c>
      <c r="F1805" s="1">
        <v>1489.0</v>
      </c>
      <c r="G1805" s="1">
        <v>1496.0</v>
      </c>
      <c r="H1805" s="1" t="s">
        <v>17059</v>
      </c>
      <c r="I1805" s="1" t="s">
        <v>20868</v>
      </c>
      <c r="J1805" s="1" t="s">
        <v>20869</v>
      </c>
      <c r="K1805" s="1"/>
      <c r="L1805" s="1" t="s">
        <v>22089</v>
      </c>
      <c r="M1805" s="1" t="s">
        <v>20872</v>
      </c>
      <c r="N1805" s="1" t="s">
        <v>20873</v>
      </c>
    </row>
    <row r="1806">
      <c r="A1806" s="1" t="s">
        <v>17</v>
      </c>
      <c r="B1806" s="1">
        <v>2009.0</v>
      </c>
      <c r="C1806" s="1" t="s">
        <v>20874</v>
      </c>
      <c r="D1806" s="1" t="s">
        <v>20877</v>
      </c>
      <c r="E1806" s="2" t="s">
        <v>22090</v>
      </c>
      <c r="F1806" s="1">
        <v>1185.0</v>
      </c>
      <c r="G1806" s="1">
        <v>1192.0</v>
      </c>
      <c r="H1806" s="1" t="s">
        <v>17059</v>
      </c>
      <c r="I1806" s="1" t="s">
        <v>20878</v>
      </c>
      <c r="J1806" s="1" t="s">
        <v>20879</v>
      </c>
      <c r="K1806" s="1"/>
      <c r="L1806" s="1" t="s">
        <v>22091</v>
      </c>
      <c r="M1806" s="1" t="s">
        <v>20881</v>
      </c>
      <c r="N1806" s="1" t="s">
        <v>20882</v>
      </c>
    </row>
    <row r="1807">
      <c r="A1807" s="1" t="s">
        <v>17</v>
      </c>
      <c r="B1807" s="1">
        <v>2009.0</v>
      </c>
      <c r="C1807" s="1" t="s">
        <v>20883</v>
      </c>
      <c r="D1807" s="1" t="s">
        <v>20884</v>
      </c>
      <c r="E1807" s="2" t="s">
        <v>22092</v>
      </c>
      <c r="F1807" s="1">
        <v>1481.0</v>
      </c>
      <c r="G1807" s="1">
        <v>1488.0</v>
      </c>
      <c r="H1807" s="1" t="s">
        <v>17059</v>
      </c>
      <c r="I1807" s="1" t="s">
        <v>20885</v>
      </c>
      <c r="J1807" s="1" t="s">
        <v>20886</v>
      </c>
      <c r="K1807" s="1"/>
      <c r="L1807" s="1" t="s">
        <v>22093</v>
      </c>
      <c r="M1807" s="1" t="s">
        <v>20888</v>
      </c>
      <c r="N1807" s="1" t="s">
        <v>20889</v>
      </c>
    </row>
    <row r="1808">
      <c r="A1808" s="1" t="s">
        <v>17</v>
      </c>
      <c r="B1808" s="1">
        <v>2009.0</v>
      </c>
      <c r="C1808" s="1" t="s">
        <v>20891</v>
      </c>
      <c r="D1808" s="1" t="s">
        <v>20892</v>
      </c>
      <c r="E1808" s="2" t="s">
        <v>22094</v>
      </c>
      <c r="F1808" s="1">
        <v>1497.0</v>
      </c>
      <c r="G1808" s="1">
        <v>1504.0</v>
      </c>
      <c r="H1808" s="1" t="s">
        <v>17059</v>
      </c>
      <c r="I1808" s="1" t="s">
        <v>22095</v>
      </c>
      <c r="J1808" s="1" t="s">
        <v>22096</v>
      </c>
      <c r="K1808" s="1"/>
      <c r="L1808" s="1" t="s">
        <v>22097</v>
      </c>
      <c r="M1808" s="1" t="s">
        <v>20898</v>
      </c>
      <c r="N1808" s="1" t="s">
        <v>20899</v>
      </c>
    </row>
    <row r="1809">
      <c r="A1809" s="1" t="s">
        <v>2137</v>
      </c>
      <c r="B1809" s="1">
        <v>2009.0</v>
      </c>
      <c r="C1809" s="1" t="s">
        <v>20080</v>
      </c>
      <c r="D1809" s="1" t="s">
        <v>20081</v>
      </c>
      <c r="E1809" s="2" t="s">
        <v>22098</v>
      </c>
      <c r="F1809" s="1">
        <v>1009.0</v>
      </c>
      <c r="G1809" s="1">
        <v>1016.0</v>
      </c>
      <c r="H1809" s="1" t="s">
        <v>17059</v>
      </c>
      <c r="I1809" s="1" t="s">
        <v>20082</v>
      </c>
      <c r="J1809" s="1" t="s">
        <v>20083</v>
      </c>
      <c r="K1809" s="1"/>
      <c r="L1809" s="1" t="s">
        <v>22099</v>
      </c>
      <c r="M1809" s="1" t="s">
        <v>20085</v>
      </c>
      <c r="N1809" s="1" t="s">
        <v>20086</v>
      </c>
    </row>
    <row r="1810">
      <c r="A1810" s="1" t="s">
        <v>2137</v>
      </c>
      <c r="B1810" s="1">
        <v>2009.0</v>
      </c>
      <c r="C1810" s="1" t="s">
        <v>20088</v>
      </c>
      <c r="D1810" s="1" t="s">
        <v>20089</v>
      </c>
      <c r="E1810" s="2" t="s">
        <v>22100</v>
      </c>
      <c r="F1810" s="1">
        <v>1097.0</v>
      </c>
      <c r="G1810" s="1">
        <v>1104.0</v>
      </c>
      <c r="H1810" s="1" t="s">
        <v>17059</v>
      </c>
      <c r="I1810" s="1" t="s">
        <v>20091</v>
      </c>
      <c r="J1810" s="1" t="s">
        <v>20092</v>
      </c>
      <c r="K1810" s="1"/>
      <c r="L1810" s="1" t="s">
        <v>22101</v>
      </c>
      <c r="M1810" s="1" t="s">
        <v>20093</v>
      </c>
      <c r="N1810" s="1" t="s">
        <v>20094</v>
      </c>
    </row>
    <row r="1811">
      <c r="A1811" s="1" t="s">
        <v>17</v>
      </c>
      <c r="B1811" s="1">
        <v>2009.0</v>
      </c>
      <c r="C1811" s="1" t="s">
        <v>20900</v>
      </c>
      <c r="D1811" s="1" t="s">
        <v>20901</v>
      </c>
      <c r="E1811" s="2" t="s">
        <v>22102</v>
      </c>
      <c r="F1811" s="1">
        <v>1317.0</v>
      </c>
      <c r="G1811" s="1">
        <v>1326.0</v>
      </c>
      <c r="H1811" s="1" t="s">
        <v>17059</v>
      </c>
      <c r="I1811" s="1" t="s">
        <v>20902</v>
      </c>
      <c r="J1811" s="1" t="s">
        <v>20903</v>
      </c>
      <c r="K1811" s="1"/>
      <c r="L1811" s="1" t="s">
        <v>22103</v>
      </c>
      <c r="M1811" s="1" t="s">
        <v>20906</v>
      </c>
      <c r="N1811" s="1" t="s">
        <v>20907</v>
      </c>
    </row>
    <row r="1812">
      <c r="A1812" s="1" t="s">
        <v>17</v>
      </c>
      <c r="B1812" s="1">
        <v>2009.0</v>
      </c>
      <c r="C1812" s="1" t="s">
        <v>20908</v>
      </c>
      <c r="D1812" s="1" t="s">
        <v>20909</v>
      </c>
      <c r="E1812" s="2" t="s">
        <v>22104</v>
      </c>
      <c r="F1812" s="1">
        <v>1457.0</v>
      </c>
      <c r="G1812" s="1">
        <v>1464.0</v>
      </c>
      <c r="H1812" s="1" t="s">
        <v>17059</v>
      </c>
      <c r="I1812" s="1" t="s">
        <v>20910</v>
      </c>
      <c r="J1812" s="1" t="s">
        <v>22105</v>
      </c>
      <c r="K1812" s="1"/>
      <c r="L1812" s="1" t="s">
        <v>22106</v>
      </c>
      <c r="M1812" s="1" t="s">
        <v>20915</v>
      </c>
      <c r="N1812" s="1" t="s">
        <v>20916</v>
      </c>
    </row>
    <row r="1813">
      <c r="A1813" s="1" t="s">
        <v>17</v>
      </c>
      <c r="B1813" s="1">
        <v>2009.0</v>
      </c>
      <c r="C1813" s="1" t="s">
        <v>20918</v>
      </c>
      <c r="D1813" s="1" t="s">
        <v>20919</v>
      </c>
      <c r="E1813" s="2" t="s">
        <v>22107</v>
      </c>
      <c r="F1813" s="1">
        <v>1219.0</v>
      </c>
      <c r="G1813" s="1">
        <v>1226.0</v>
      </c>
      <c r="H1813" s="1" t="s">
        <v>17059</v>
      </c>
      <c r="I1813" s="1" t="s">
        <v>20920</v>
      </c>
      <c r="J1813" s="1" t="s">
        <v>20921</v>
      </c>
      <c r="K1813" s="1"/>
      <c r="L1813" s="1" t="s">
        <v>22108</v>
      </c>
      <c r="M1813" s="1" t="s">
        <v>20923</v>
      </c>
      <c r="N1813" s="1" t="s">
        <v>20924</v>
      </c>
    </row>
    <row r="1814">
      <c r="A1814" s="1" t="s">
        <v>2137</v>
      </c>
      <c r="B1814" s="1">
        <v>2009.0</v>
      </c>
      <c r="C1814" s="1" t="s">
        <v>20095</v>
      </c>
      <c r="D1814" s="1" t="s">
        <v>20096</v>
      </c>
      <c r="E1814" s="2" t="s">
        <v>22109</v>
      </c>
      <c r="F1814" s="1">
        <v>1033.0</v>
      </c>
      <c r="G1814" s="1">
        <v>1040.0</v>
      </c>
      <c r="H1814" s="1" t="s">
        <v>17059</v>
      </c>
      <c r="I1814" s="1" t="s">
        <v>20097</v>
      </c>
      <c r="J1814" s="1" t="s">
        <v>20098</v>
      </c>
      <c r="K1814" s="1"/>
      <c r="L1814" s="1" t="s">
        <v>22110</v>
      </c>
      <c r="M1814" s="1" t="s">
        <v>20100</v>
      </c>
      <c r="N1814" s="1" t="s">
        <v>20101</v>
      </c>
    </row>
    <row r="1815">
      <c r="A1815" s="1" t="s">
        <v>2137</v>
      </c>
      <c r="B1815" s="1">
        <v>2009.0</v>
      </c>
      <c r="C1815" s="1" t="s">
        <v>20103</v>
      </c>
      <c r="D1815" s="1" t="s">
        <v>20104</v>
      </c>
      <c r="E1815" s="2" t="s">
        <v>22111</v>
      </c>
      <c r="F1815" s="1">
        <v>977.0</v>
      </c>
      <c r="G1815" s="1">
        <v>984.0</v>
      </c>
      <c r="H1815" s="1" t="s">
        <v>17059</v>
      </c>
      <c r="I1815" s="1" t="s">
        <v>20106</v>
      </c>
      <c r="J1815" s="1" t="s">
        <v>20107</v>
      </c>
      <c r="K1815" s="1"/>
      <c r="L1815" s="1" t="s">
        <v>22112</v>
      </c>
      <c r="M1815" s="1" t="s">
        <v>20109</v>
      </c>
      <c r="N1815" s="1" t="s">
        <v>20110</v>
      </c>
      <c r="P1815" s="1"/>
      <c r="Q1815" s="1" t="s">
        <v>19037</v>
      </c>
    </row>
    <row r="1816">
      <c r="A1816" s="1" t="s">
        <v>2137</v>
      </c>
      <c r="B1816" s="1">
        <v>2009.0</v>
      </c>
      <c r="C1816" s="1" t="s">
        <v>20111</v>
      </c>
      <c r="D1816" s="1" t="s">
        <v>20112</v>
      </c>
      <c r="E1816" s="2" t="s">
        <v>22113</v>
      </c>
      <c r="F1816" s="1">
        <v>929.0</v>
      </c>
      <c r="G1816" s="1">
        <v>936.0</v>
      </c>
      <c r="H1816" s="1" t="s">
        <v>17059</v>
      </c>
      <c r="I1816" s="1" t="s">
        <v>20113</v>
      </c>
      <c r="J1816" s="1" t="s">
        <v>14085</v>
      </c>
      <c r="K1816" s="1"/>
      <c r="L1816" s="1" t="s">
        <v>22114</v>
      </c>
      <c r="M1816" s="1" t="s">
        <v>20115</v>
      </c>
      <c r="N1816" s="1" t="s">
        <v>20116</v>
      </c>
    </row>
    <row r="1817">
      <c r="A1817" s="1" t="s">
        <v>2137</v>
      </c>
      <c r="B1817" s="1">
        <v>2009.0</v>
      </c>
      <c r="C1817" s="1" t="s">
        <v>20117</v>
      </c>
      <c r="D1817" s="1" t="s">
        <v>20118</v>
      </c>
      <c r="E1817" s="2" t="s">
        <v>22115</v>
      </c>
      <c r="F1817" s="1">
        <v>889.0</v>
      </c>
      <c r="G1817" s="1">
        <v>896.0</v>
      </c>
      <c r="H1817" s="1" t="s">
        <v>17059</v>
      </c>
      <c r="I1817" s="1" t="s">
        <v>20119</v>
      </c>
      <c r="J1817" s="1" t="s">
        <v>20120</v>
      </c>
      <c r="K1817" s="1"/>
      <c r="L1817" s="1" t="s">
        <v>22116</v>
      </c>
      <c r="M1817" s="1" t="s">
        <v>20124</v>
      </c>
      <c r="N1817" s="1" t="s">
        <v>20125</v>
      </c>
    </row>
    <row r="1818">
      <c r="A1818" s="1" t="s">
        <v>17</v>
      </c>
      <c r="B1818" s="1">
        <v>2009.0</v>
      </c>
      <c r="C1818" s="1" t="s">
        <v>20925</v>
      </c>
      <c r="D1818" s="1" t="s">
        <v>20926</v>
      </c>
      <c r="E1818" s="2" t="s">
        <v>22117</v>
      </c>
      <c r="F1818" s="1">
        <v>1531.0</v>
      </c>
      <c r="G1818" s="1">
        <v>1538.0</v>
      </c>
      <c r="H1818" s="1" t="s">
        <v>17059</v>
      </c>
      <c r="I1818" s="1" t="s">
        <v>20927</v>
      </c>
      <c r="J1818" s="1" t="s">
        <v>20928</v>
      </c>
      <c r="K1818" s="1"/>
      <c r="L1818" s="1" t="s">
        <v>22118</v>
      </c>
      <c r="M1818" s="1" t="s">
        <v>20930</v>
      </c>
      <c r="N1818" s="1" t="s">
        <v>20931</v>
      </c>
    </row>
    <row r="1819">
      <c r="A1819" s="1" t="s">
        <v>17</v>
      </c>
      <c r="B1819" s="1">
        <v>2009.0</v>
      </c>
      <c r="C1819" s="1" t="s">
        <v>20933</v>
      </c>
      <c r="D1819" s="1" t="s">
        <v>20934</v>
      </c>
      <c r="E1819" s="2" t="s">
        <v>22119</v>
      </c>
      <c r="F1819" s="1">
        <v>1235.0</v>
      </c>
      <c r="G1819" s="1">
        <v>1242.0</v>
      </c>
      <c r="H1819" s="1" t="s">
        <v>17059</v>
      </c>
      <c r="I1819" s="1" t="s">
        <v>20936</v>
      </c>
      <c r="J1819" s="1" t="s">
        <v>20937</v>
      </c>
      <c r="K1819" s="1"/>
      <c r="L1819" s="1" t="s">
        <v>22120</v>
      </c>
      <c r="M1819" s="1" t="s">
        <v>20940</v>
      </c>
      <c r="N1819" s="1" t="s">
        <v>20941</v>
      </c>
    </row>
    <row r="1820">
      <c r="A1820" s="1" t="s">
        <v>17</v>
      </c>
      <c r="B1820" s="1">
        <v>2009.0</v>
      </c>
      <c r="C1820" s="1" t="s">
        <v>20942</v>
      </c>
      <c r="D1820" s="1" t="s">
        <v>20943</v>
      </c>
      <c r="E1820" s="2" t="s">
        <v>22121</v>
      </c>
      <c r="F1820" s="1">
        <v>1595.0</v>
      </c>
      <c r="G1820" s="1">
        <v>1602.0</v>
      </c>
      <c r="H1820" s="1" t="s">
        <v>17059</v>
      </c>
      <c r="I1820" s="1" t="s">
        <v>20945</v>
      </c>
      <c r="J1820" s="1" t="s">
        <v>20946</v>
      </c>
      <c r="K1820" s="1"/>
      <c r="L1820" s="1" t="s">
        <v>22122</v>
      </c>
      <c r="M1820" s="1" t="s">
        <v>20948</v>
      </c>
      <c r="N1820" s="1" t="s">
        <v>20949</v>
      </c>
    </row>
    <row r="1821">
      <c r="A1821" s="1" t="s">
        <v>17</v>
      </c>
      <c r="B1821" s="1">
        <v>2009.0</v>
      </c>
      <c r="C1821" s="1" t="s">
        <v>20951</v>
      </c>
      <c r="D1821" s="1" t="s">
        <v>20952</v>
      </c>
      <c r="E1821" s="2" t="s">
        <v>22123</v>
      </c>
      <c r="F1821" s="1">
        <v>1299.0</v>
      </c>
      <c r="G1821" s="1">
        <v>1306.0</v>
      </c>
      <c r="H1821" s="1" t="s">
        <v>17059</v>
      </c>
      <c r="I1821" s="1" t="s">
        <v>20953</v>
      </c>
      <c r="J1821" s="1" t="s">
        <v>20954</v>
      </c>
      <c r="K1821" s="1"/>
      <c r="L1821" s="1" t="s">
        <v>22124</v>
      </c>
      <c r="M1821" s="1" t="s">
        <v>20957</v>
      </c>
      <c r="N1821" s="1" t="s">
        <v>20958</v>
      </c>
      <c r="P1821" s="1"/>
      <c r="Q1821" s="1" t="s">
        <v>106</v>
      </c>
    </row>
    <row r="1822">
      <c r="A1822" s="1" t="s">
        <v>2137</v>
      </c>
      <c r="B1822" s="1">
        <v>2009.0</v>
      </c>
      <c r="C1822" s="1" t="s">
        <v>20127</v>
      </c>
      <c r="D1822" s="1" t="s">
        <v>20128</v>
      </c>
      <c r="E1822" s="2" t="s">
        <v>22125</v>
      </c>
      <c r="F1822" s="1">
        <v>1145.0</v>
      </c>
      <c r="G1822" s="1">
        <v>1152.0</v>
      </c>
      <c r="H1822" s="1" t="s">
        <v>17059</v>
      </c>
      <c r="I1822" s="1" t="s">
        <v>20129</v>
      </c>
      <c r="J1822" s="1" t="s">
        <v>20130</v>
      </c>
      <c r="K1822" s="1"/>
      <c r="L1822" s="1" t="s">
        <v>22126</v>
      </c>
      <c r="M1822" s="1"/>
      <c r="N1822" s="1" t="s">
        <v>20132</v>
      </c>
    </row>
    <row r="1823">
      <c r="A1823" s="1" t="s">
        <v>2137</v>
      </c>
      <c r="B1823" s="1">
        <v>2009.0</v>
      </c>
      <c r="C1823" s="1" t="s">
        <v>20133</v>
      </c>
      <c r="D1823" s="1" t="s">
        <v>20134</v>
      </c>
      <c r="E1823" s="2" t="s">
        <v>22127</v>
      </c>
      <c r="F1823" s="1">
        <v>1161.0</v>
      </c>
      <c r="G1823" s="1">
        <v>1168.0</v>
      </c>
      <c r="H1823" s="1" t="s">
        <v>17059</v>
      </c>
      <c r="I1823" s="1" t="s">
        <v>20135</v>
      </c>
      <c r="J1823" s="1" t="s">
        <v>20136</v>
      </c>
      <c r="K1823" s="1"/>
      <c r="L1823" s="1" t="s">
        <v>22128</v>
      </c>
      <c r="M1823" s="1" t="s">
        <v>20138</v>
      </c>
      <c r="N1823" s="1" t="s">
        <v>20139</v>
      </c>
    </row>
    <row r="1824">
      <c r="A1824" s="1" t="s">
        <v>17</v>
      </c>
      <c r="B1824" s="1">
        <v>2009.0</v>
      </c>
      <c r="C1824" s="1" t="s">
        <v>20959</v>
      </c>
      <c r="D1824" s="1" t="s">
        <v>20960</v>
      </c>
      <c r="E1824" s="2" t="s">
        <v>22129</v>
      </c>
      <c r="F1824" s="1">
        <v>1449.0</v>
      </c>
      <c r="G1824" s="1">
        <v>1456.0</v>
      </c>
      <c r="H1824" s="1" t="s">
        <v>17059</v>
      </c>
      <c r="I1824" s="1" t="s">
        <v>20961</v>
      </c>
      <c r="J1824" s="1" t="s">
        <v>22130</v>
      </c>
      <c r="K1824" s="1"/>
      <c r="L1824" s="1" t="s">
        <v>22106</v>
      </c>
      <c r="M1824" s="1" t="s">
        <v>20968</v>
      </c>
      <c r="N1824" s="1" t="s">
        <v>20969</v>
      </c>
    </row>
    <row r="1825">
      <c r="A1825" s="1" t="s">
        <v>17</v>
      </c>
      <c r="B1825" s="1">
        <v>2009.0</v>
      </c>
      <c r="C1825" s="1" t="s">
        <v>20971</v>
      </c>
      <c r="D1825" s="1" t="s">
        <v>20972</v>
      </c>
      <c r="E1825" s="2" t="s">
        <v>22131</v>
      </c>
      <c r="F1825" s="1">
        <v>1251.0</v>
      </c>
      <c r="G1825" s="1">
        <v>1258.0</v>
      </c>
      <c r="H1825" s="1" t="s">
        <v>17059</v>
      </c>
      <c r="I1825" s="1" t="s">
        <v>20973</v>
      </c>
      <c r="J1825" s="1" t="s">
        <v>22132</v>
      </c>
      <c r="K1825" s="1"/>
      <c r="L1825" s="1" t="s">
        <v>22133</v>
      </c>
      <c r="M1825" s="1" t="s">
        <v>20976</v>
      </c>
      <c r="N1825" s="1" t="s">
        <v>20977</v>
      </c>
    </row>
    <row r="1826">
      <c r="A1826" s="1" t="s">
        <v>2137</v>
      </c>
      <c r="B1826" s="1">
        <v>2009.0</v>
      </c>
      <c r="C1826" s="1" t="s">
        <v>20142</v>
      </c>
      <c r="D1826" s="1" t="s">
        <v>20143</v>
      </c>
      <c r="E1826" s="2" t="s">
        <v>22134</v>
      </c>
      <c r="F1826" s="1">
        <v>1041.0</v>
      </c>
      <c r="G1826" s="1">
        <v>1048.0</v>
      </c>
      <c r="H1826" s="1" t="s">
        <v>17059</v>
      </c>
      <c r="I1826" s="1" t="s">
        <v>20144</v>
      </c>
      <c r="J1826" s="1" t="s">
        <v>7228</v>
      </c>
      <c r="K1826" s="1"/>
      <c r="L1826" s="1" t="s">
        <v>22135</v>
      </c>
      <c r="M1826" s="1" t="s">
        <v>20146</v>
      </c>
      <c r="N1826" s="1" t="s">
        <v>20147</v>
      </c>
    </row>
    <row r="1827">
      <c r="A1827" s="1" t="s">
        <v>17</v>
      </c>
      <c r="B1827" s="1">
        <v>2009.0</v>
      </c>
      <c r="C1827" s="1" t="s">
        <v>20978</v>
      </c>
      <c r="D1827" s="1" t="s">
        <v>20979</v>
      </c>
      <c r="E1827" s="2" t="s">
        <v>22136</v>
      </c>
      <c r="F1827" s="1">
        <v>1547.0</v>
      </c>
      <c r="G1827" s="1">
        <v>1554.0</v>
      </c>
      <c r="H1827" s="1" t="s">
        <v>17059</v>
      </c>
      <c r="I1827" s="1" t="s">
        <v>20980</v>
      </c>
      <c r="J1827" s="1" t="s">
        <v>20981</v>
      </c>
      <c r="K1827" s="1"/>
      <c r="L1827" s="1" t="s">
        <v>22137</v>
      </c>
      <c r="M1827" s="1" t="s">
        <v>20985</v>
      </c>
      <c r="N1827" s="1" t="s">
        <v>20986</v>
      </c>
    </row>
    <row r="1828">
      <c r="A1828" s="1" t="s">
        <v>2137</v>
      </c>
      <c r="B1828" s="1">
        <v>2009.0</v>
      </c>
      <c r="C1828" s="1" t="s">
        <v>20149</v>
      </c>
      <c r="D1828" s="1" t="s">
        <v>20150</v>
      </c>
      <c r="E1828" s="2" t="s">
        <v>22138</v>
      </c>
      <c r="F1828" s="1">
        <v>1017.0</v>
      </c>
      <c r="G1828" s="1">
        <v>1024.0</v>
      </c>
      <c r="H1828" s="1" t="s">
        <v>17059</v>
      </c>
      <c r="I1828" s="1" t="s">
        <v>20151</v>
      </c>
      <c r="J1828" s="1" t="s">
        <v>22139</v>
      </c>
      <c r="K1828" s="1"/>
      <c r="L1828" s="1" t="s">
        <v>22140</v>
      </c>
      <c r="M1828" s="1" t="s">
        <v>20154</v>
      </c>
      <c r="N1828" s="1" t="s">
        <v>20155</v>
      </c>
    </row>
    <row r="1829">
      <c r="A1829" s="1" t="s">
        <v>2137</v>
      </c>
      <c r="B1829" s="1">
        <v>2009.0</v>
      </c>
      <c r="C1829" s="1" t="s">
        <v>20159</v>
      </c>
      <c r="D1829" s="1" t="s">
        <v>20160</v>
      </c>
      <c r="E1829" s="2" t="s">
        <v>22141</v>
      </c>
      <c r="F1829" s="1">
        <v>905.0</v>
      </c>
      <c r="G1829" s="1">
        <v>912.0</v>
      </c>
      <c r="H1829" s="1" t="s">
        <v>17059</v>
      </c>
      <c r="I1829" s="1" t="s">
        <v>20161</v>
      </c>
      <c r="J1829" s="1" t="s">
        <v>20162</v>
      </c>
      <c r="K1829" s="1"/>
      <c r="L1829" s="1" t="s">
        <v>22142</v>
      </c>
      <c r="M1829" s="1"/>
      <c r="N1829" s="1" t="s">
        <v>20166</v>
      </c>
    </row>
    <row r="1830">
      <c r="A1830" s="1" t="s">
        <v>17</v>
      </c>
      <c r="B1830" s="1">
        <v>2009.0</v>
      </c>
      <c r="C1830" s="1" t="s">
        <v>20987</v>
      </c>
      <c r="D1830" s="1" t="s">
        <v>20989</v>
      </c>
      <c r="E1830" s="2" t="s">
        <v>22143</v>
      </c>
      <c r="F1830" s="1">
        <v>1587.0</v>
      </c>
      <c r="G1830" s="1">
        <v>1594.0</v>
      </c>
      <c r="H1830" s="1" t="s">
        <v>17059</v>
      </c>
      <c r="I1830" s="1" t="s">
        <v>20990</v>
      </c>
      <c r="J1830" s="1" t="s">
        <v>20991</v>
      </c>
      <c r="K1830" s="1"/>
      <c r="L1830" s="1" t="s">
        <v>22144</v>
      </c>
      <c r="M1830" s="1" t="s">
        <v>20994</v>
      </c>
      <c r="N1830" s="1" t="s">
        <v>20995</v>
      </c>
    </row>
    <row r="1831">
      <c r="A1831" s="1" t="s">
        <v>2137</v>
      </c>
      <c r="B1831" s="1">
        <v>2009.0</v>
      </c>
      <c r="C1831" s="1" t="s">
        <v>20168</v>
      </c>
      <c r="D1831" s="1" t="s">
        <v>20169</v>
      </c>
      <c r="E1831" s="2" t="s">
        <v>22145</v>
      </c>
      <c r="F1831" s="1">
        <v>1081.0</v>
      </c>
      <c r="G1831" s="1">
        <v>1088.0</v>
      </c>
      <c r="H1831" s="1" t="s">
        <v>17059</v>
      </c>
      <c r="I1831" s="1" t="s">
        <v>20170</v>
      </c>
      <c r="J1831" s="1" t="s">
        <v>20171</v>
      </c>
      <c r="K1831" s="1"/>
      <c r="L1831" s="1" t="s">
        <v>22146</v>
      </c>
      <c r="M1831" s="1" t="s">
        <v>20173</v>
      </c>
      <c r="N1831" s="1" t="s">
        <v>20174</v>
      </c>
    </row>
    <row r="1832">
      <c r="A1832" s="1" t="s">
        <v>17</v>
      </c>
      <c r="B1832" s="1">
        <v>2009.0</v>
      </c>
      <c r="C1832" s="1" t="s">
        <v>20996</v>
      </c>
      <c r="D1832" s="1" t="s">
        <v>20997</v>
      </c>
      <c r="E1832" s="2" t="s">
        <v>22147</v>
      </c>
      <c r="F1832" s="1">
        <v>1611.0</v>
      </c>
      <c r="G1832" s="1">
        <v>1618.0</v>
      </c>
      <c r="H1832" s="1" t="s">
        <v>17059</v>
      </c>
      <c r="I1832" s="1" t="s">
        <v>20998</v>
      </c>
      <c r="J1832" s="1" t="s">
        <v>22148</v>
      </c>
      <c r="K1832" s="1"/>
      <c r="L1832" s="1" t="s">
        <v>22149</v>
      </c>
      <c r="M1832" s="1" t="s">
        <v>21001</v>
      </c>
      <c r="N1832" s="1" t="s">
        <v>21002</v>
      </c>
    </row>
    <row r="1833">
      <c r="A1833" s="1" t="s">
        <v>17</v>
      </c>
      <c r="B1833" s="1">
        <v>2009.0</v>
      </c>
      <c r="C1833" s="1" t="s">
        <v>21003</v>
      </c>
      <c r="D1833" s="1" t="s">
        <v>21004</v>
      </c>
      <c r="E1833" s="2" t="s">
        <v>22150</v>
      </c>
      <c r="F1833" s="1">
        <v>1275.0</v>
      </c>
      <c r="G1833" s="1">
        <v>1282.0</v>
      </c>
      <c r="H1833" s="1" t="s">
        <v>17059</v>
      </c>
      <c r="I1833" s="1" t="s">
        <v>21006</v>
      </c>
      <c r="J1833" s="1" t="s">
        <v>22151</v>
      </c>
      <c r="K1833" s="1"/>
      <c r="L1833" s="1" t="s">
        <v>22152</v>
      </c>
      <c r="M1833" s="1" t="s">
        <v>21010</v>
      </c>
      <c r="N1833" s="1" t="s">
        <v>21011</v>
      </c>
    </row>
    <row r="1834">
      <c r="A1834" s="1" t="s">
        <v>2137</v>
      </c>
      <c r="B1834" s="1">
        <v>2009.0</v>
      </c>
      <c r="C1834" s="1" t="s">
        <v>20175</v>
      </c>
      <c r="D1834" s="1" t="s">
        <v>20176</v>
      </c>
      <c r="E1834" s="2" t="s">
        <v>22153</v>
      </c>
      <c r="F1834" s="1">
        <v>937.0</v>
      </c>
      <c r="G1834" s="1">
        <v>944.0</v>
      </c>
      <c r="H1834" s="1" t="s">
        <v>17059</v>
      </c>
      <c r="I1834" s="1" t="s">
        <v>20177</v>
      </c>
      <c r="J1834" s="1" t="s">
        <v>20178</v>
      </c>
      <c r="K1834" s="1"/>
      <c r="L1834" s="1" t="s">
        <v>22154</v>
      </c>
      <c r="M1834" s="1" t="s">
        <v>20181</v>
      </c>
      <c r="N1834" s="1" t="s">
        <v>20182</v>
      </c>
      <c r="P1834" s="1"/>
      <c r="Q1834" s="1" t="s">
        <v>19037</v>
      </c>
    </row>
    <row r="1835">
      <c r="A1835" s="1" t="s">
        <v>17</v>
      </c>
      <c r="B1835" s="1">
        <v>2009.0</v>
      </c>
      <c r="C1835" s="1" t="s">
        <v>21012</v>
      </c>
      <c r="D1835" s="1" t="s">
        <v>21013</v>
      </c>
      <c r="E1835" s="2" t="s">
        <v>22639</v>
      </c>
      <c r="F1835" s="1">
        <v>1383.0</v>
      </c>
      <c r="G1835" s="1">
        <v>1390.0</v>
      </c>
      <c r="H1835" s="1" t="s">
        <v>17059</v>
      </c>
      <c r="I1835" s="1" t="s">
        <v>21014</v>
      </c>
      <c r="J1835" s="1" t="s">
        <v>21015</v>
      </c>
      <c r="K1835" s="1"/>
      <c r="L1835" s="1" t="s">
        <v>22661</v>
      </c>
      <c r="M1835" s="1" t="s">
        <v>21018</v>
      </c>
      <c r="N1835" s="1" t="s">
        <v>21019</v>
      </c>
    </row>
    <row r="1836">
      <c r="A1836" s="1" t="s">
        <v>2137</v>
      </c>
      <c r="B1836" s="1">
        <v>2009.0</v>
      </c>
      <c r="C1836" s="1" t="s">
        <v>20184</v>
      </c>
      <c r="D1836" s="1" t="s">
        <v>20185</v>
      </c>
      <c r="E1836" s="2" t="s">
        <v>22665</v>
      </c>
      <c r="F1836" s="1">
        <v>993.0</v>
      </c>
      <c r="G1836" s="1">
        <v>1000.0</v>
      </c>
      <c r="H1836" s="1" t="s">
        <v>17059</v>
      </c>
      <c r="I1836" s="1" t="s">
        <v>20186</v>
      </c>
      <c r="J1836" s="1" t="s">
        <v>20187</v>
      </c>
      <c r="K1836" s="1"/>
      <c r="L1836" s="1" t="s">
        <v>22684</v>
      </c>
      <c r="M1836" s="1" t="s">
        <v>20188</v>
      </c>
      <c r="N1836" s="1" t="s">
        <v>20189</v>
      </c>
    </row>
    <row r="1837">
      <c r="A1837" s="1" t="s">
        <v>17</v>
      </c>
      <c r="B1837" s="1">
        <v>2009.0</v>
      </c>
      <c r="C1837" s="1" t="s">
        <v>21020</v>
      </c>
      <c r="D1837" s="1" t="s">
        <v>21021</v>
      </c>
      <c r="E1837" s="2" t="s">
        <v>22687</v>
      </c>
      <c r="F1837" s="1">
        <v>1259.0</v>
      </c>
      <c r="G1837" s="1">
        <v>1266.0</v>
      </c>
      <c r="H1837" s="1" t="s">
        <v>17059</v>
      </c>
      <c r="I1837" s="1" t="s">
        <v>21023</v>
      </c>
      <c r="J1837" s="1" t="s">
        <v>22703</v>
      </c>
      <c r="K1837" s="1"/>
      <c r="L1837" s="1" t="s">
        <v>22704</v>
      </c>
      <c r="M1837" s="1" t="s">
        <v>21027</v>
      </c>
      <c r="N1837" s="1" t="s">
        <v>21028</v>
      </c>
    </row>
    <row r="1838">
      <c r="A1838" s="1" t="s">
        <v>17</v>
      </c>
      <c r="B1838" s="1">
        <v>2009.0</v>
      </c>
      <c r="C1838" s="1" t="s">
        <v>21030</v>
      </c>
      <c r="D1838" s="1" t="s">
        <v>21031</v>
      </c>
      <c r="E1838" s="2" t="s">
        <v>22711</v>
      </c>
      <c r="F1838" s="1">
        <v>1351.0</v>
      </c>
      <c r="G1838" s="1">
        <v>1358.0</v>
      </c>
      <c r="H1838" s="1" t="s">
        <v>17059</v>
      </c>
      <c r="I1838" s="1" t="s">
        <v>21032</v>
      </c>
      <c r="J1838" s="1" t="s">
        <v>21033</v>
      </c>
      <c r="K1838" s="1"/>
      <c r="L1838" s="1" t="s">
        <v>11861</v>
      </c>
      <c r="M1838" s="1" t="s">
        <v>21035</v>
      </c>
      <c r="N1838" s="1" t="s">
        <v>21036</v>
      </c>
    </row>
    <row r="1839">
      <c r="A1839" s="1" t="s">
        <v>17</v>
      </c>
      <c r="B1839" s="1">
        <v>2009.0</v>
      </c>
      <c r="C1839" s="1" t="s">
        <v>21037</v>
      </c>
      <c r="D1839" s="1" t="s">
        <v>21038</v>
      </c>
      <c r="E1839" s="2" t="s">
        <v>22727</v>
      </c>
      <c r="F1839" s="1">
        <v>1335.0</v>
      </c>
      <c r="G1839" s="1">
        <v>1342.0</v>
      </c>
      <c r="H1839" s="1" t="s">
        <v>17059</v>
      </c>
      <c r="I1839" s="1" t="s">
        <v>21039</v>
      </c>
      <c r="J1839" s="1" t="s">
        <v>21040</v>
      </c>
      <c r="K1839" s="1"/>
      <c r="L1839" s="1" t="s">
        <v>22742</v>
      </c>
      <c r="M1839" s="1" t="s">
        <v>21045</v>
      </c>
      <c r="N1839" s="1" t="s">
        <v>21046</v>
      </c>
    </row>
    <row r="1840">
      <c r="A1840" s="1" t="s">
        <v>17</v>
      </c>
      <c r="B1840" s="1">
        <v>2009.0</v>
      </c>
      <c r="C1840" s="1" t="s">
        <v>21047</v>
      </c>
      <c r="D1840" s="1" t="s">
        <v>21048</v>
      </c>
      <c r="E1840" s="2" t="s">
        <v>22745</v>
      </c>
      <c r="F1840" s="1">
        <v>1391.0</v>
      </c>
      <c r="G1840" s="1">
        <v>1398.0</v>
      </c>
      <c r="H1840" s="1" t="s">
        <v>17059</v>
      </c>
      <c r="I1840" s="1" t="s">
        <v>21050</v>
      </c>
      <c r="J1840" s="1" t="s">
        <v>21051</v>
      </c>
      <c r="K1840" s="1"/>
      <c r="L1840" s="1" t="s">
        <v>22764</v>
      </c>
      <c r="M1840" s="1" t="s">
        <v>21053</v>
      </c>
      <c r="N1840" s="1" t="s">
        <v>21054</v>
      </c>
      <c r="P1840" s="1"/>
      <c r="Q1840" s="1" t="s">
        <v>19037</v>
      </c>
    </row>
    <row r="1841">
      <c r="A1841" s="1" t="s">
        <v>17</v>
      </c>
      <c r="B1841" s="1">
        <v>2009.0</v>
      </c>
      <c r="C1841" s="1" t="s">
        <v>21055</v>
      </c>
      <c r="D1841" s="1" t="s">
        <v>21056</v>
      </c>
      <c r="E1841" s="2" t="s">
        <v>22768</v>
      </c>
      <c r="F1841" s="1">
        <v>1579.0</v>
      </c>
      <c r="G1841" s="1">
        <v>5186.0</v>
      </c>
      <c r="H1841" s="1" t="s">
        <v>17059</v>
      </c>
      <c r="I1841" s="1" t="s">
        <v>21057</v>
      </c>
      <c r="J1841" s="1" t="s">
        <v>21058</v>
      </c>
      <c r="K1841" s="1"/>
      <c r="L1841" s="1" t="s">
        <v>22784</v>
      </c>
      <c r="M1841" s="1" t="s">
        <v>21061</v>
      </c>
      <c r="N1841" s="1" t="s">
        <v>21062</v>
      </c>
    </row>
    <row r="1842">
      <c r="A1842" s="1" t="s">
        <v>17</v>
      </c>
      <c r="B1842" s="1">
        <v>2009.0</v>
      </c>
      <c r="C1842" s="1" t="s">
        <v>21064</v>
      </c>
      <c r="D1842" s="1" t="s">
        <v>21065</v>
      </c>
      <c r="E1842" s="2" t="s">
        <v>22787</v>
      </c>
      <c r="F1842" s="1">
        <v>1193.0</v>
      </c>
      <c r="G1842" s="1">
        <v>1200.0</v>
      </c>
      <c r="H1842" s="1" t="s">
        <v>17059</v>
      </c>
      <c r="I1842" s="1" t="s">
        <v>21066</v>
      </c>
      <c r="J1842" s="1" t="s">
        <v>21067</v>
      </c>
      <c r="K1842" s="1"/>
      <c r="L1842" s="1" t="s">
        <v>22803</v>
      </c>
      <c r="M1842" s="1" t="s">
        <v>19765</v>
      </c>
      <c r="N1842" s="1" t="s">
        <v>21069</v>
      </c>
    </row>
    <row r="1843">
      <c r="A1843" s="1" t="s">
        <v>17</v>
      </c>
      <c r="B1843" s="1">
        <v>2009.0</v>
      </c>
      <c r="C1843" s="1" t="s">
        <v>21070</v>
      </c>
      <c r="D1843" s="1" t="s">
        <v>21071</v>
      </c>
      <c r="E1843" s="2" t="s">
        <v>22808</v>
      </c>
      <c r="F1843" s="1">
        <v>1367.0</v>
      </c>
      <c r="G1843" s="1">
        <v>1374.0</v>
      </c>
      <c r="H1843" s="1" t="s">
        <v>17059</v>
      </c>
      <c r="I1843" s="1" t="s">
        <v>22825</v>
      </c>
      <c r="J1843" s="1" t="s">
        <v>21073</v>
      </c>
      <c r="K1843" s="1"/>
      <c r="L1843" s="1" t="s">
        <v>22826</v>
      </c>
      <c r="M1843" s="1" t="s">
        <v>21075</v>
      </c>
      <c r="N1843" s="1" t="s">
        <v>21076</v>
      </c>
    </row>
    <row r="1844">
      <c r="A1844" s="1" t="s">
        <v>17</v>
      </c>
      <c r="B1844" s="1">
        <v>2009.0</v>
      </c>
      <c r="C1844" s="1" t="s">
        <v>21078</v>
      </c>
      <c r="D1844" s="1" t="s">
        <v>21079</v>
      </c>
      <c r="E1844" s="2" t="s">
        <v>22839</v>
      </c>
      <c r="F1844" s="1">
        <v>1555.0</v>
      </c>
      <c r="G1844" s="1">
        <v>1562.0</v>
      </c>
      <c r="H1844" s="1" t="s">
        <v>17059</v>
      </c>
      <c r="I1844" s="1" t="s">
        <v>21081</v>
      </c>
      <c r="J1844" s="1" t="s">
        <v>21082</v>
      </c>
      <c r="K1844" s="1"/>
      <c r="L1844" s="1" t="s">
        <v>22856</v>
      </c>
      <c r="M1844" s="1" t="s">
        <v>15028</v>
      </c>
      <c r="N1844" s="1" t="s">
        <v>21085</v>
      </c>
    </row>
    <row r="1845">
      <c r="A1845" s="1" t="s">
        <v>2137</v>
      </c>
      <c r="B1845" s="1">
        <v>2009.0</v>
      </c>
      <c r="C1845" s="1" t="s">
        <v>20190</v>
      </c>
      <c r="D1845" s="1" t="s">
        <v>20191</v>
      </c>
      <c r="E1845" s="2" t="s">
        <v>22862</v>
      </c>
      <c r="F1845" s="1">
        <v>1065.0</v>
      </c>
      <c r="G1845" s="1">
        <v>1072.0</v>
      </c>
      <c r="H1845" s="1" t="s">
        <v>17059</v>
      </c>
      <c r="I1845" s="1" t="s">
        <v>20192</v>
      </c>
      <c r="J1845" s="1" t="s">
        <v>20193</v>
      </c>
      <c r="K1845" s="1"/>
      <c r="L1845" s="1" t="s">
        <v>22877</v>
      </c>
      <c r="M1845" s="1" t="s">
        <v>20195</v>
      </c>
      <c r="N1845" s="1" t="s">
        <v>20196</v>
      </c>
    </row>
    <row r="1846">
      <c r="A1846" s="1" t="s">
        <v>17</v>
      </c>
      <c r="B1846" s="1">
        <v>2009.0</v>
      </c>
      <c r="C1846" s="1" t="s">
        <v>21086</v>
      </c>
      <c r="D1846" s="1" t="s">
        <v>21087</v>
      </c>
      <c r="E1846" s="2" t="s">
        <v>22880</v>
      </c>
      <c r="F1846" s="1">
        <v>1177.0</v>
      </c>
      <c r="G1846" s="1">
        <v>1184.0</v>
      </c>
      <c r="H1846" s="1" t="s">
        <v>17059</v>
      </c>
      <c r="I1846" s="1" t="s">
        <v>22894</v>
      </c>
      <c r="J1846" s="1" t="s">
        <v>21089</v>
      </c>
      <c r="K1846" s="1"/>
      <c r="L1846" s="1" t="s">
        <v>22895</v>
      </c>
      <c r="M1846" s="1" t="s">
        <v>21092</v>
      </c>
      <c r="N1846" s="1" t="s">
        <v>21093</v>
      </c>
    </row>
    <row r="1847">
      <c r="A1847" s="1" t="s">
        <v>17</v>
      </c>
      <c r="B1847" s="1">
        <v>2009.0</v>
      </c>
      <c r="C1847" s="1" t="s">
        <v>21094</v>
      </c>
      <c r="D1847" s="1" t="s">
        <v>21096</v>
      </c>
      <c r="E1847" s="2" t="s">
        <v>22896</v>
      </c>
      <c r="F1847" s="1">
        <v>1563.0</v>
      </c>
      <c r="G1847" s="1">
        <v>1570.0</v>
      </c>
      <c r="H1847" s="1" t="s">
        <v>17059</v>
      </c>
      <c r="I1847" s="1" t="s">
        <v>22900</v>
      </c>
      <c r="J1847" s="1" t="s">
        <v>21098</v>
      </c>
      <c r="K1847" s="1"/>
      <c r="L1847" s="1" t="s">
        <v>22902</v>
      </c>
      <c r="M1847" s="1" t="s">
        <v>21101</v>
      </c>
      <c r="N1847" s="1" t="s">
        <v>21102</v>
      </c>
    </row>
    <row r="1848">
      <c r="A1848" s="1" t="s">
        <v>2137</v>
      </c>
      <c r="B1848" s="1">
        <v>2009.0</v>
      </c>
      <c r="C1848" s="1" t="s">
        <v>20197</v>
      </c>
      <c r="D1848" s="1" t="s">
        <v>20198</v>
      </c>
      <c r="E1848" s="2" t="s">
        <v>22904</v>
      </c>
      <c r="F1848" s="1">
        <v>1169.0</v>
      </c>
      <c r="G1848" s="1">
        <v>1176.0</v>
      </c>
      <c r="H1848" s="1" t="s">
        <v>17059</v>
      </c>
      <c r="I1848" s="1" t="s">
        <v>20199</v>
      </c>
      <c r="J1848" s="1" t="s">
        <v>22915</v>
      </c>
      <c r="K1848" s="1"/>
      <c r="L1848" s="1" t="s">
        <v>494</v>
      </c>
      <c r="M1848" s="1" t="s">
        <v>20203</v>
      </c>
      <c r="N1848" s="1" t="s">
        <v>20204</v>
      </c>
      <c r="P1848" s="1"/>
      <c r="Q1848" s="1" t="s">
        <v>106</v>
      </c>
    </row>
    <row r="1849">
      <c r="A1849" s="1" t="s">
        <v>17</v>
      </c>
      <c r="B1849" s="1">
        <v>2009.0</v>
      </c>
      <c r="C1849" s="1" t="s">
        <v>21103</v>
      </c>
      <c r="D1849" s="1" t="s">
        <v>21104</v>
      </c>
      <c r="E1849" s="2" t="s">
        <v>22919</v>
      </c>
      <c r="F1849" s="1">
        <v>1307.0</v>
      </c>
      <c r="G1849" s="1">
        <v>1316.0</v>
      </c>
      <c r="H1849" s="1" t="s">
        <v>17059</v>
      </c>
      <c r="I1849" s="1" t="s">
        <v>21105</v>
      </c>
      <c r="J1849" s="1" t="s">
        <v>21106</v>
      </c>
      <c r="K1849" s="1"/>
      <c r="L1849" s="1" t="s">
        <v>22920</v>
      </c>
      <c r="M1849" s="1" t="s">
        <v>21108</v>
      </c>
      <c r="N1849" s="1" t="s">
        <v>21109</v>
      </c>
      <c r="P1849" s="1"/>
      <c r="Q1849" s="1" t="s">
        <v>19037</v>
      </c>
    </row>
    <row r="1850">
      <c r="A1850" s="1" t="s">
        <v>2137</v>
      </c>
      <c r="B1850" s="1">
        <v>2009.0</v>
      </c>
      <c r="C1850" s="1" t="s">
        <v>20205</v>
      </c>
      <c r="D1850" s="1" t="s">
        <v>20206</v>
      </c>
      <c r="E1850" s="2" t="s">
        <v>22921</v>
      </c>
      <c r="F1850" s="1">
        <v>897.0</v>
      </c>
      <c r="G1850" s="1">
        <v>904.0</v>
      </c>
      <c r="H1850" s="1" t="s">
        <v>17059</v>
      </c>
      <c r="I1850" s="1" t="s">
        <v>20207</v>
      </c>
      <c r="J1850" s="1" t="s">
        <v>20208</v>
      </c>
      <c r="K1850" s="1"/>
      <c r="L1850" s="1" t="s">
        <v>837</v>
      </c>
      <c r="M1850" s="1" t="s">
        <v>20211</v>
      </c>
      <c r="N1850" s="1" t="s">
        <v>20212</v>
      </c>
      <c r="P1850" s="1"/>
      <c r="Q1850" s="1" t="s">
        <v>19037</v>
      </c>
    </row>
    <row r="1851">
      <c r="A1851" s="1" t="s">
        <v>17</v>
      </c>
      <c r="B1851" s="1">
        <v>2009.0</v>
      </c>
      <c r="C1851" s="1" t="s">
        <v>21111</v>
      </c>
      <c r="D1851" s="1" t="s">
        <v>21112</v>
      </c>
      <c r="E1851" s="2" t="s">
        <v>22922</v>
      </c>
      <c r="F1851" s="1">
        <v>1201.0</v>
      </c>
      <c r="G1851" s="1">
        <v>1208.0</v>
      </c>
      <c r="H1851" s="1" t="s">
        <v>17059</v>
      </c>
      <c r="I1851" s="1" t="s">
        <v>21113</v>
      </c>
      <c r="J1851" s="1" t="s">
        <v>21114</v>
      </c>
      <c r="K1851" s="1"/>
      <c r="L1851" s="1" t="s">
        <v>22923</v>
      </c>
      <c r="M1851" s="1" t="s">
        <v>21117</v>
      </c>
      <c r="N1851" s="1" t="s">
        <v>21118</v>
      </c>
    </row>
    <row r="1852">
      <c r="A1852" s="1" t="s">
        <v>17</v>
      </c>
      <c r="B1852" s="1">
        <v>2009.0</v>
      </c>
      <c r="C1852" s="1" t="s">
        <v>21119</v>
      </c>
      <c r="D1852" s="1" t="s">
        <v>21120</v>
      </c>
      <c r="E1852" s="2" t="s">
        <v>22924</v>
      </c>
      <c r="F1852" s="1">
        <v>1515.0</v>
      </c>
      <c r="G1852" s="1">
        <v>1522.0</v>
      </c>
      <c r="H1852" s="1" t="s">
        <v>17059</v>
      </c>
      <c r="I1852" s="1" t="s">
        <v>21121</v>
      </c>
      <c r="J1852" s="1" t="s">
        <v>22925</v>
      </c>
      <c r="K1852" s="1"/>
      <c r="L1852" s="1" t="s">
        <v>22926</v>
      </c>
      <c r="M1852" s="1" t="s">
        <v>21125</v>
      </c>
      <c r="N1852" s="1" t="s">
        <v>21126</v>
      </c>
    </row>
    <row r="1853">
      <c r="A1853" s="1" t="s">
        <v>17</v>
      </c>
      <c r="B1853" s="1">
        <v>2009.0</v>
      </c>
      <c r="C1853" s="1" t="s">
        <v>21127</v>
      </c>
      <c r="D1853" s="1" t="s">
        <v>21128</v>
      </c>
      <c r="E1853" s="2" t="s">
        <v>22929</v>
      </c>
      <c r="F1853" s="1">
        <v>1441.0</v>
      </c>
      <c r="G1853" s="1">
        <v>1448.0</v>
      </c>
      <c r="H1853" s="1" t="s">
        <v>17059</v>
      </c>
      <c r="I1853" s="1" t="s">
        <v>21130</v>
      </c>
      <c r="J1853" s="1" t="s">
        <v>21131</v>
      </c>
      <c r="K1853" s="1"/>
      <c r="L1853" s="1" t="s">
        <v>22935</v>
      </c>
      <c r="M1853" s="1" t="s">
        <v>21134</v>
      </c>
      <c r="N1853" s="1" t="s">
        <v>21135</v>
      </c>
    </row>
    <row r="1854">
      <c r="A1854" s="1" t="s">
        <v>2137</v>
      </c>
      <c r="B1854" s="1">
        <v>2009.0</v>
      </c>
      <c r="C1854" s="1" t="s">
        <v>20213</v>
      </c>
      <c r="D1854" s="1" t="s">
        <v>20214</v>
      </c>
      <c r="E1854" s="2" t="s">
        <v>22939</v>
      </c>
      <c r="F1854" s="1">
        <v>1137.0</v>
      </c>
      <c r="G1854" s="1">
        <v>1144.0</v>
      </c>
      <c r="H1854" s="1" t="s">
        <v>17059</v>
      </c>
      <c r="I1854" s="1" t="s">
        <v>20215</v>
      </c>
      <c r="J1854" s="1" t="s">
        <v>22948</v>
      </c>
      <c r="K1854" s="1"/>
      <c r="L1854" s="1" t="s">
        <v>22950</v>
      </c>
      <c r="M1854" s="1" t="s">
        <v>20218</v>
      </c>
      <c r="N1854" s="1" t="s">
        <v>20219</v>
      </c>
    </row>
    <row r="1855">
      <c r="A1855" s="1" t="s">
        <v>17</v>
      </c>
      <c r="B1855" s="1">
        <v>2009.0</v>
      </c>
      <c r="C1855" s="1" t="s">
        <v>21136</v>
      </c>
      <c r="D1855" s="1" t="s">
        <v>21137</v>
      </c>
      <c r="E1855" s="2" t="s">
        <v>22953</v>
      </c>
      <c r="F1855" s="1">
        <v>1283.0</v>
      </c>
      <c r="G1855" s="1">
        <v>1290.0</v>
      </c>
      <c r="H1855" s="1" t="s">
        <v>17059</v>
      </c>
      <c r="I1855" s="1" t="s">
        <v>21138</v>
      </c>
      <c r="J1855" s="1" t="s">
        <v>21139</v>
      </c>
      <c r="K1855" s="1"/>
      <c r="L1855" s="1" t="s">
        <v>22968</v>
      </c>
      <c r="M1855" s="1" t="s">
        <v>21142</v>
      </c>
      <c r="N1855" s="1" t="s">
        <v>21143</v>
      </c>
      <c r="P1855" s="1"/>
      <c r="Q1855" s="1" t="s">
        <v>19037</v>
      </c>
    </row>
    <row r="1856">
      <c r="A1856" s="1" t="s">
        <v>17</v>
      </c>
      <c r="B1856" s="1">
        <v>2009.0</v>
      </c>
      <c r="C1856" s="1" t="s">
        <v>21144</v>
      </c>
      <c r="D1856" s="1" t="s">
        <v>21145</v>
      </c>
      <c r="E1856" s="2" t="s">
        <v>22969</v>
      </c>
      <c r="F1856" s="1">
        <v>1243.0</v>
      </c>
      <c r="G1856" s="1">
        <v>1250.0</v>
      </c>
      <c r="H1856" s="1" t="s">
        <v>17059</v>
      </c>
      <c r="I1856" s="1" t="s">
        <v>21148</v>
      </c>
      <c r="J1856" s="1" t="s">
        <v>21149</v>
      </c>
      <c r="K1856" s="1"/>
      <c r="L1856" s="1" t="s">
        <v>22976</v>
      </c>
      <c r="M1856" s="1" t="s">
        <v>21151</v>
      </c>
      <c r="N1856" s="1" t="s">
        <v>21152</v>
      </c>
    </row>
    <row r="1857">
      <c r="A1857" s="1" t="s">
        <v>2137</v>
      </c>
      <c r="B1857" s="1">
        <v>2009.0</v>
      </c>
      <c r="C1857" s="1" t="s">
        <v>20220</v>
      </c>
      <c r="D1857" s="1" t="s">
        <v>20221</v>
      </c>
      <c r="E1857" s="2" t="s">
        <v>22977</v>
      </c>
      <c r="F1857" s="1">
        <v>1121.0</v>
      </c>
      <c r="G1857" s="1">
        <v>1128.0</v>
      </c>
      <c r="H1857" s="1" t="s">
        <v>17059</v>
      </c>
      <c r="I1857" s="1" t="s">
        <v>20224</v>
      </c>
      <c r="J1857" s="1" t="s">
        <v>20225</v>
      </c>
      <c r="K1857" s="1"/>
      <c r="L1857" s="1" t="s">
        <v>22981</v>
      </c>
      <c r="M1857" s="1" t="s">
        <v>20227</v>
      </c>
      <c r="N1857" s="1" t="s">
        <v>20228</v>
      </c>
    </row>
    <row r="1858">
      <c r="A1858" s="1" t="s">
        <v>17</v>
      </c>
      <c r="B1858" s="1">
        <v>2009.0</v>
      </c>
      <c r="C1858" s="1" t="s">
        <v>21154</v>
      </c>
      <c r="D1858" s="1" t="s">
        <v>21155</v>
      </c>
      <c r="E1858" s="2" t="s">
        <v>22985</v>
      </c>
      <c r="F1858" s="1">
        <v>1523.0</v>
      </c>
      <c r="G1858" s="1">
        <v>1530.0</v>
      </c>
      <c r="H1858" s="1" t="s">
        <v>17059</v>
      </c>
      <c r="I1858" s="1" t="s">
        <v>21156</v>
      </c>
      <c r="J1858" s="1" t="s">
        <v>12848</v>
      </c>
      <c r="K1858" s="1"/>
      <c r="L1858" s="1" t="s">
        <v>22991</v>
      </c>
      <c r="M1858" s="1" t="s">
        <v>21158</v>
      </c>
      <c r="N1858" s="1" t="s">
        <v>21159</v>
      </c>
    </row>
    <row r="1859">
      <c r="A1859" s="1" t="s">
        <v>2137</v>
      </c>
      <c r="B1859" s="1">
        <v>2009.0</v>
      </c>
      <c r="C1859" s="1" t="s">
        <v>20230</v>
      </c>
      <c r="D1859" s="1" t="s">
        <v>20231</v>
      </c>
      <c r="E1859" s="2" t="s">
        <v>22992</v>
      </c>
      <c r="F1859" s="1">
        <v>1057.0</v>
      </c>
      <c r="G1859" s="1">
        <v>1064.0</v>
      </c>
      <c r="H1859" s="1" t="s">
        <v>17059</v>
      </c>
      <c r="I1859" s="1" t="s">
        <v>20232</v>
      </c>
      <c r="J1859" s="1" t="s">
        <v>20233</v>
      </c>
      <c r="K1859" s="1"/>
      <c r="L1859" s="1" t="s">
        <v>23000</v>
      </c>
      <c r="M1859" s="1" t="s">
        <v>20236</v>
      </c>
      <c r="N1859" s="1" t="s">
        <v>20237</v>
      </c>
    </row>
    <row r="1860">
      <c r="A1860" s="1" t="s">
        <v>17</v>
      </c>
      <c r="B1860" s="1">
        <v>2009.0</v>
      </c>
      <c r="C1860" s="1" t="s">
        <v>21160</v>
      </c>
      <c r="D1860" s="1" t="s">
        <v>21161</v>
      </c>
      <c r="E1860" s="2" t="s">
        <v>23001</v>
      </c>
      <c r="F1860" s="1">
        <v>1415.0</v>
      </c>
      <c r="G1860" s="1">
        <v>1424.0</v>
      </c>
      <c r="H1860" s="1" t="s">
        <v>17059</v>
      </c>
      <c r="I1860" s="1" t="s">
        <v>21162</v>
      </c>
      <c r="J1860" s="1" t="s">
        <v>23008</v>
      </c>
      <c r="K1860" s="1"/>
      <c r="L1860" s="1" t="s">
        <v>23010</v>
      </c>
      <c r="M1860" s="1" t="s">
        <v>21166</v>
      </c>
      <c r="N1860" s="1" t="s">
        <v>21167</v>
      </c>
    </row>
    <row r="1861">
      <c r="A1861" s="1" t="s">
        <v>17</v>
      </c>
      <c r="B1861" s="1">
        <v>2009.0</v>
      </c>
      <c r="C1861" s="1" t="s">
        <v>21168</v>
      </c>
      <c r="D1861" s="1" t="s">
        <v>21170</v>
      </c>
      <c r="E1861" s="2" t="s">
        <v>23013</v>
      </c>
      <c r="F1861" s="1">
        <v>1505.0</v>
      </c>
      <c r="G1861" s="1">
        <v>1514.0</v>
      </c>
      <c r="H1861" s="1" t="s">
        <v>17059</v>
      </c>
      <c r="I1861" s="1" t="s">
        <v>21171</v>
      </c>
      <c r="J1861" s="1" t="s">
        <v>23019</v>
      </c>
      <c r="K1861" s="1"/>
      <c r="L1861" s="1" t="s">
        <v>23021</v>
      </c>
      <c r="M1861" s="1" t="s">
        <v>21176</v>
      </c>
      <c r="N1861" s="1" t="s">
        <v>21177</v>
      </c>
    </row>
    <row r="1862">
      <c r="A1862" s="1" t="s">
        <v>2137</v>
      </c>
      <c r="B1862" s="1">
        <v>2009.0</v>
      </c>
      <c r="C1862" s="1" t="s">
        <v>20238</v>
      </c>
      <c r="D1862" s="1" t="s">
        <v>20239</v>
      </c>
      <c r="E1862" s="2" t="s">
        <v>23024</v>
      </c>
      <c r="F1862" s="1">
        <v>1001.0</v>
      </c>
      <c r="G1862" s="1">
        <v>1008.0</v>
      </c>
      <c r="H1862" s="1" t="s">
        <v>17059</v>
      </c>
      <c r="I1862" s="1" t="s">
        <v>20240</v>
      </c>
      <c r="J1862" s="1" t="s">
        <v>20241</v>
      </c>
      <c r="K1862" s="1"/>
      <c r="L1862" s="1" t="s">
        <v>23032</v>
      </c>
      <c r="M1862" s="1" t="s">
        <v>20242</v>
      </c>
      <c r="N1862" s="1" t="s">
        <v>20243</v>
      </c>
    </row>
    <row r="1863">
      <c r="A1863" s="1" t="s">
        <v>2137</v>
      </c>
      <c r="B1863" s="1">
        <v>2009.0</v>
      </c>
      <c r="C1863" s="1" t="s">
        <v>20245</v>
      </c>
      <c r="D1863" s="1" t="s">
        <v>20246</v>
      </c>
      <c r="E1863" s="2" t="s">
        <v>23033</v>
      </c>
      <c r="F1863" s="1">
        <v>1025.0</v>
      </c>
      <c r="G1863" s="1">
        <v>1032.0</v>
      </c>
      <c r="H1863" s="1" t="s">
        <v>17059</v>
      </c>
      <c r="I1863" s="1" t="s">
        <v>20248</v>
      </c>
      <c r="J1863" s="1" t="s">
        <v>20249</v>
      </c>
      <c r="K1863" s="1"/>
      <c r="L1863" s="1" t="s">
        <v>23044</v>
      </c>
      <c r="M1863" s="1" t="s">
        <v>20252</v>
      </c>
      <c r="N1863" s="1" t="s">
        <v>20253</v>
      </c>
      <c r="P1863" s="1"/>
      <c r="Q1863" s="1" t="s">
        <v>19037</v>
      </c>
    </row>
    <row r="1864">
      <c r="A1864" s="1" t="s">
        <v>2137</v>
      </c>
      <c r="B1864" s="1">
        <v>2009.0</v>
      </c>
      <c r="C1864" s="1" t="s">
        <v>20254</v>
      </c>
      <c r="D1864" s="1" t="s">
        <v>20255</v>
      </c>
      <c r="E1864" s="2" t="s">
        <v>23048</v>
      </c>
      <c r="F1864" s="1">
        <v>969.0</v>
      </c>
      <c r="G1864" s="1">
        <v>976.0</v>
      </c>
      <c r="H1864" s="1" t="s">
        <v>17059</v>
      </c>
      <c r="I1864" s="1" t="s">
        <v>20256</v>
      </c>
      <c r="J1864" s="1" t="s">
        <v>20257</v>
      </c>
      <c r="K1864" s="1"/>
      <c r="L1864" s="1" t="s">
        <v>23056</v>
      </c>
      <c r="M1864" s="1" t="s">
        <v>20260</v>
      </c>
      <c r="N1864" s="1" t="s">
        <v>20261</v>
      </c>
    </row>
    <row r="1865">
      <c r="A1865" s="1" t="s">
        <v>2137</v>
      </c>
      <c r="B1865" s="1">
        <v>2009.0</v>
      </c>
      <c r="C1865" s="1" t="s">
        <v>20262</v>
      </c>
      <c r="D1865" s="1" t="s">
        <v>20263</v>
      </c>
      <c r="E1865" s="2" t="s">
        <v>23057</v>
      </c>
      <c r="F1865" s="1">
        <v>913.0</v>
      </c>
      <c r="G1865" s="1">
        <v>920.0</v>
      </c>
      <c r="H1865" s="1" t="s">
        <v>17059</v>
      </c>
      <c r="I1865" s="1" t="s">
        <v>20264</v>
      </c>
      <c r="J1865" s="1" t="s">
        <v>23065</v>
      </c>
      <c r="K1865" s="1"/>
      <c r="L1865" s="1" t="s">
        <v>23066</v>
      </c>
      <c r="M1865" s="1" t="s">
        <v>20268</v>
      </c>
      <c r="N1865" s="1" t="s">
        <v>20269</v>
      </c>
    </row>
    <row r="1866">
      <c r="A1866" s="1" t="s">
        <v>2137</v>
      </c>
      <c r="B1866" s="1">
        <v>2009.0</v>
      </c>
      <c r="C1866" s="1" t="s">
        <v>20270</v>
      </c>
      <c r="D1866" s="1" t="s">
        <v>20271</v>
      </c>
      <c r="E1866" s="2" t="s">
        <v>23067</v>
      </c>
      <c r="F1866" s="1">
        <v>1089.0</v>
      </c>
      <c r="G1866" s="1">
        <v>1096.0</v>
      </c>
      <c r="H1866" s="1" t="s">
        <v>17059</v>
      </c>
      <c r="I1866" s="1" t="s">
        <v>20272</v>
      </c>
      <c r="J1866" s="1" t="s">
        <v>20273</v>
      </c>
      <c r="K1866" s="1"/>
      <c r="L1866" s="1" t="s">
        <v>880</v>
      </c>
      <c r="M1866" s="1" t="s">
        <v>20275</v>
      </c>
      <c r="N1866" s="1" t="s">
        <v>20276</v>
      </c>
    </row>
    <row r="1867">
      <c r="A1867" s="1" t="s">
        <v>17</v>
      </c>
      <c r="B1867" s="1">
        <v>2009.0</v>
      </c>
      <c r="C1867" s="1" t="s">
        <v>21178</v>
      </c>
      <c r="D1867" s="1" t="s">
        <v>21179</v>
      </c>
      <c r="E1867" s="2" t="s">
        <v>23077</v>
      </c>
      <c r="F1867" s="1">
        <v>1399.0</v>
      </c>
      <c r="G1867" s="1">
        <v>1406.0</v>
      </c>
      <c r="H1867" s="1" t="s">
        <v>17059</v>
      </c>
      <c r="I1867" s="1" t="s">
        <v>21180</v>
      </c>
      <c r="J1867" s="1" t="s">
        <v>23085</v>
      </c>
      <c r="K1867" s="1"/>
      <c r="L1867" s="1" t="s">
        <v>23086</v>
      </c>
      <c r="M1867" s="1" t="s">
        <v>21183</v>
      </c>
      <c r="N1867" s="1" t="s">
        <v>21184</v>
      </c>
    </row>
    <row r="1868">
      <c r="A1868" s="1" t="s">
        <v>17</v>
      </c>
      <c r="B1868" s="1">
        <v>2009.0</v>
      </c>
      <c r="C1868" s="1" t="s">
        <v>21185</v>
      </c>
      <c r="D1868" s="1" t="s">
        <v>21186</v>
      </c>
      <c r="E1868" s="2" t="s">
        <v>23087</v>
      </c>
      <c r="F1868" s="1">
        <v>1473.0</v>
      </c>
      <c r="G1868" s="1">
        <v>1480.0</v>
      </c>
      <c r="H1868" s="1" t="s">
        <v>17059</v>
      </c>
      <c r="I1868" s="1" t="s">
        <v>23094</v>
      </c>
      <c r="J1868" s="1" t="s">
        <v>21189</v>
      </c>
      <c r="K1868" s="1"/>
      <c r="L1868" s="1" t="s">
        <v>23095</v>
      </c>
      <c r="M1868" s="1" t="s">
        <v>21193</v>
      </c>
      <c r="N1868" s="1" t="s">
        <v>21194</v>
      </c>
    </row>
    <row r="1869">
      <c r="A1869" s="1" t="s">
        <v>17</v>
      </c>
      <c r="B1869" s="1">
        <v>2009.0</v>
      </c>
      <c r="C1869" s="1" t="s">
        <v>21196</v>
      </c>
      <c r="D1869" s="1" t="s">
        <v>21197</v>
      </c>
      <c r="E1869" s="2" t="s">
        <v>23097</v>
      </c>
      <c r="F1869" s="1">
        <v>1603.0</v>
      </c>
      <c r="G1869" s="1">
        <v>1610.0</v>
      </c>
      <c r="H1869" s="1" t="s">
        <v>17059</v>
      </c>
      <c r="I1869" s="1" t="s">
        <v>21198</v>
      </c>
      <c r="J1869" s="1" t="s">
        <v>21199</v>
      </c>
      <c r="K1869" s="1"/>
      <c r="L1869" s="1" t="s">
        <v>23105</v>
      </c>
      <c r="M1869" s="1" t="s">
        <v>21201</v>
      </c>
      <c r="N1869" s="1" t="s">
        <v>21202</v>
      </c>
    </row>
    <row r="1870">
      <c r="A1870" s="1" t="s">
        <v>2137</v>
      </c>
      <c r="B1870" s="1">
        <v>2009.0</v>
      </c>
      <c r="C1870" s="1" t="s">
        <v>20277</v>
      </c>
      <c r="D1870" s="1" t="s">
        <v>20278</v>
      </c>
      <c r="E1870" s="2" t="s">
        <v>23108</v>
      </c>
      <c r="F1870" s="1">
        <v>1049.0</v>
      </c>
      <c r="G1870" s="1">
        <v>1056.0</v>
      </c>
      <c r="H1870" s="1" t="s">
        <v>17059</v>
      </c>
      <c r="I1870" s="1" t="s">
        <v>20279</v>
      </c>
      <c r="J1870" s="1" t="s">
        <v>20280</v>
      </c>
      <c r="K1870" s="1"/>
      <c r="L1870" s="1" t="s">
        <v>23118</v>
      </c>
      <c r="M1870" s="1" t="s">
        <v>20283</v>
      </c>
      <c r="N1870" s="1" t="s">
        <v>20284</v>
      </c>
    </row>
    <row r="1871">
      <c r="A1871" s="1" t="s">
        <v>2137</v>
      </c>
      <c r="B1871" s="1">
        <v>2009.0</v>
      </c>
      <c r="C1871" s="1" t="s">
        <v>20285</v>
      </c>
      <c r="D1871" s="1" t="s">
        <v>20286</v>
      </c>
      <c r="E1871" s="2" t="s">
        <v>23119</v>
      </c>
      <c r="F1871" s="1">
        <v>1073.0</v>
      </c>
      <c r="G1871" s="1">
        <v>1080.0</v>
      </c>
      <c r="H1871" s="1" t="s">
        <v>17059</v>
      </c>
      <c r="I1871" s="1" t="s">
        <v>23135</v>
      </c>
      <c r="J1871" s="1" t="s">
        <v>20288</v>
      </c>
      <c r="K1871" s="1"/>
      <c r="L1871" s="1" t="s">
        <v>23136</v>
      </c>
      <c r="M1871" s="1" t="s">
        <v>20290</v>
      </c>
      <c r="N1871" s="1" t="s">
        <v>20291</v>
      </c>
    </row>
    <row r="1872">
      <c r="A1872" s="1" t="s">
        <v>17</v>
      </c>
      <c r="B1872" s="1">
        <v>2009.0</v>
      </c>
      <c r="C1872" s="1" t="s">
        <v>21203</v>
      </c>
      <c r="D1872" s="1" t="s">
        <v>21204</v>
      </c>
      <c r="E1872" s="2" t="s">
        <v>23143</v>
      </c>
      <c r="F1872" s="1">
        <v>1465.0</v>
      </c>
      <c r="G1872" s="1">
        <v>1472.0</v>
      </c>
      <c r="H1872" s="1" t="s">
        <v>17059</v>
      </c>
      <c r="I1872" s="1" t="s">
        <v>21205</v>
      </c>
      <c r="J1872" s="1" t="s">
        <v>19898</v>
      </c>
      <c r="K1872" s="1"/>
      <c r="L1872" s="1" t="s">
        <v>23155</v>
      </c>
      <c r="M1872" s="1" t="s">
        <v>21206</v>
      </c>
      <c r="N1872" s="1" t="s">
        <v>21207</v>
      </c>
    </row>
    <row r="1873">
      <c r="A1873" s="1" t="s">
        <v>17</v>
      </c>
      <c r="B1873" s="1">
        <v>2009.0</v>
      </c>
      <c r="C1873" s="1" t="s">
        <v>21208</v>
      </c>
      <c r="D1873" s="1" t="s">
        <v>21209</v>
      </c>
      <c r="E1873" s="2" t="s">
        <v>23161</v>
      </c>
      <c r="F1873" s="1">
        <v>1267.0</v>
      </c>
      <c r="G1873" s="1">
        <v>1274.0</v>
      </c>
      <c r="H1873" s="1" t="s">
        <v>17059</v>
      </c>
      <c r="I1873" s="1" t="s">
        <v>21211</v>
      </c>
      <c r="J1873" s="1" t="s">
        <v>21213</v>
      </c>
      <c r="K1873" s="1"/>
      <c r="L1873" s="1" t="s">
        <v>23178</v>
      </c>
      <c r="M1873" s="1" t="s">
        <v>21215</v>
      </c>
      <c r="N1873" s="1" t="s">
        <v>21216</v>
      </c>
    </row>
    <row r="1874">
      <c r="A1874" s="1" t="s">
        <v>2137</v>
      </c>
      <c r="B1874" s="1">
        <v>2009.0</v>
      </c>
      <c r="C1874" s="1" t="s">
        <v>20292</v>
      </c>
      <c r="D1874" s="1" t="s">
        <v>20293</v>
      </c>
      <c r="E1874" s="2" t="s">
        <v>23179</v>
      </c>
      <c r="F1874" s="1">
        <v>1105.0</v>
      </c>
      <c r="G1874" s="1">
        <v>1112.0</v>
      </c>
      <c r="H1874" s="1" t="s">
        <v>17059</v>
      </c>
      <c r="I1874" s="1" t="s">
        <v>20295</v>
      </c>
      <c r="J1874" s="1" t="s">
        <v>20296</v>
      </c>
      <c r="K1874" s="1"/>
      <c r="L1874" s="1" t="s">
        <v>4670</v>
      </c>
      <c r="M1874" s="1" t="s">
        <v>20298</v>
      </c>
      <c r="N1874" s="1" t="s">
        <v>20299</v>
      </c>
    </row>
    <row r="1875">
      <c r="A1875" s="1" t="s">
        <v>17</v>
      </c>
      <c r="B1875" s="1">
        <v>2009.0</v>
      </c>
      <c r="C1875" s="1" t="s">
        <v>21217</v>
      </c>
      <c r="D1875" s="1" t="s">
        <v>21218</v>
      </c>
      <c r="E1875" s="2" t="s">
        <v>23180</v>
      </c>
      <c r="F1875" s="1">
        <v>1227.0</v>
      </c>
      <c r="G1875" s="1">
        <v>1234.0</v>
      </c>
      <c r="H1875" s="1" t="s">
        <v>17059</v>
      </c>
      <c r="I1875" s="1" t="s">
        <v>21219</v>
      </c>
      <c r="J1875" s="1" t="s">
        <v>23181</v>
      </c>
      <c r="K1875" s="1"/>
      <c r="L1875" s="1" t="s">
        <v>23182</v>
      </c>
      <c r="M1875" s="1" t="s">
        <v>21223</v>
      </c>
      <c r="N1875" s="1" t="s">
        <v>21224</v>
      </c>
    </row>
    <row r="1876">
      <c r="A1876" s="1" t="s">
        <v>17</v>
      </c>
      <c r="B1876" s="1">
        <v>2009.0</v>
      </c>
      <c r="C1876" s="1" t="s">
        <v>21225</v>
      </c>
      <c r="D1876" s="1" t="s">
        <v>21226</v>
      </c>
      <c r="E1876" s="2" t="s">
        <v>23183</v>
      </c>
      <c r="F1876" s="1">
        <v>1539.0</v>
      </c>
      <c r="G1876" s="1">
        <v>1546.0</v>
      </c>
      <c r="H1876" s="1" t="s">
        <v>17059</v>
      </c>
      <c r="I1876" s="1" t="s">
        <v>21228</v>
      </c>
      <c r="J1876" s="1" t="s">
        <v>23184</v>
      </c>
      <c r="K1876" s="1"/>
      <c r="L1876" s="1" t="s">
        <v>23185</v>
      </c>
      <c r="M1876" s="1" t="s">
        <v>21233</v>
      </c>
      <c r="N1876" s="1" t="s">
        <v>21234</v>
      </c>
    </row>
    <row r="1877">
      <c r="A1877" s="1" t="s">
        <v>2137</v>
      </c>
      <c r="B1877" s="1">
        <v>2009.0</v>
      </c>
      <c r="C1877" s="1" t="s">
        <v>20301</v>
      </c>
      <c r="D1877" s="1" t="s">
        <v>20302</v>
      </c>
      <c r="E1877" s="2" t="s">
        <v>23186</v>
      </c>
      <c r="F1877" s="1">
        <v>1129.0</v>
      </c>
      <c r="G1877" s="1">
        <v>1136.0</v>
      </c>
      <c r="H1877" s="1" t="s">
        <v>17059</v>
      </c>
      <c r="I1877" s="1" t="s">
        <v>20303</v>
      </c>
      <c r="J1877" s="1" t="s">
        <v>23187</v>
      </c>
      <c r="K1877" s="1"/>
      <c r="L1877" s="1" t="s">
        <v>23188</v>
      </c>
      <c r="M1877" s="1" t="s">
        <v>20306</v>
      </c>
      <c r="N1877" s="1" t="s">
        <v>20307</v>
      </c>
    </row>
    <row r="1878">
      <c r="A1878" s="1" t="s">
        <v>17</v>
      </c>
      <c r="B1878" s="1">
        <v>2009.0</v>
      </c>
      <c r="C1878" s="1" t="s">
        <v>21235</v>
      </c>
      <c r="D1878" s="1" t="s">
        <v>21237</v>
      </c>
      <c r="E1878" s="2" t="s">
        <v>23189</v>
      </c>
      <c r="F1878" s="1">
        <v>1375.0</v>
      </c>
      <c r="G1878" s="1">
        <v>1382.0</v>
      </c>
      <c r="H1878" s="1" t="s">
        <v>17059</v>
      </c>
      <c r="I1878" s="1" t="s">
        <v>21238</v>
      </c>
      <c r="J1878" s="1" t="s">
        <v>23190</v>
      </c>
      <c r="K1878" s="1"/>
      <c r="L1878" s="1" t="s">
        <v>23191</v>
      </c>
      <c r="M1878" s="1" t="s">
        <v>21242</v>
      </c>
      <c r="N1878" s="1" t="s">
        <v>21243</v>
      </c>
    </row>
    <row r="1879">
      <c r="A1879" s="1" t="s">
        <v>17</v>
      </c>
      <c r="B1879" s="1">
        <v>2009.0</v>
      </c>
      <c r="C1879" s="1" t="s">
        <v>21244</v>
      </c>
      <c r="D1879" s="1" t="s">
        <v>21245</v>
      </c>
      <c r="E1879" s="2" t="s">
        <v>23192</v>
      </c>
      <c r="F1879" s="1">
        <v>1407.0</v>
      </c>
      <c r="G1879" s="1">
        <v>1414.0</v>
      </c>
      <c r="H1879" s="1" t="s">
        <v>17059</v>
      </c>
      <c r="I1879" s="1" t="s">
        <v>21246</v>
      </c>
      <c r="J1879" s="1" t="s">
        <v>21247</v>
      </c>
      <c r="K1879" s="1"/>
      <c r="L1879" s="1" t="s">
        <v>23193</v>
      </c>
      <c r="M1879" s="1" t="s">
        <v>21249</v>
      </c>
      <c r="N1879" s="1" t="s">
        <v>21250</v>
      </c>
    </row>
    <row r="1880">
      <c r="A1880" s="1" t="s">
        <v>17</v>
      </c>
      <c r="B1880" s="1">
        <v>2009.0</v>
      </c>
      <c r="C1880" s="1" t="s">
        <v>21251</v>
      </c>
      <c r="D1880" s="1" t="s">
        <v>21252</v>
      </c>
      <c r="E1880" s="2" t="s">
        <v>23194</v>
      </c>
      <c r="F1880" s="1">
        <v>1327.0</v>
      </c>
      <c r="G1880" s="1">
        <v>1334.0</v>
      </c>
      <c r="H1880" s="1" t="s">
        <v>17059</v>
      </c>
      <c r="I1880" s="1" t="s">
        <v>21255</v>
      </c>
      <c r="J1880" s="1" t="s">
        <v>23195</v>
      </c>
      <c r="K1880" s="1"/>
      <c r="L1880" s="1" t="s">
        <v>23196</v>
      </c>
      <c r="M1880" s="1" t="s">
        <v>21259</v>
      </c>
      <c r="N1880" s="1" t="s">
        <v>21260</v>
      </c>
    </row>
    <row r="1881">
      <c r="A1881" s="1" t="s">
        <v>17</v>
      </c>
      <c r="B1881" s="1">
        <v>2009.0</v>
      </c>
      <c r="C1881" s="1" t="s">
        <v>21261</v>
      </c>
      <c r="D1881" s="1" t="s">
        <v>21262</v>
      </c>
      <c r="E1881" s="2" t="s">
        <v>23201</v>
      </c>
      <c r="F1881" s="1">
        <v>1359.0</v>
      </c>
      <c r="G1881" s="1">
        <v>1366.0</v>
      </c>
      <c r="H1881" s="1" t="s">
        <v>17059</v>
      </c>
      <c r="I1881" s="1" t="s">
        <v>21263</v>
      </c>
      <c r="J1881" s="1" t="s">
        <v>21264</v>
      </c>
      <c r="K1881" s="1"/>
      <c r="L1881" s="1" t="s">
        <v>12159</v>
      </c>
      <c r="M1881" s="1" t="s">
        <v>21267</v>
      </c>
      <c r="N1881" s="1" t="s">
        <v>21268</v>
      </c>
    </row>
    <row r="1882">
      <c r="A1882" s="1" t="s">
        <v>2137</v>
      </c>
      <c r="B1882" s="1">
        <v>2009.0</v>
      </c>
      <c r="C1882" s="1" t="s">
        <v>20308</v>
      </c>
      <c r="D1882" s="1" t="s">
        <v>20309</v>
      </c>
      <c r="E1882" s="2" t="s">
        <v>23211</v>
      </c>
      <c r="F1882" s="1">
        <v>985.0</v>
      </c>
      <c r="G1882" s="1">
        <v>992.0</v>
      </c>
      <c r="H1882" s="1" t="s">
        <v>17059</v>
      </c>
      <c r="I1882" s="1" t="s">
        <v>20310</v>
      </c>
      <c r="J1882" s="1" t="s">
        <v>20311</v>
      </c>
      <c r="K1882" s="1"/>
      <c r="L1882" s="1" t="s">
        <v>23221</v>
      </c>
      <c r="M1882" s="1"/>
      <c r="N1882" s="1" t="s">
        <v>20313</v>
      </c>
    </row>
    <row r="1883">
      <c r="A1883" s="1" t="s">
        <v>2137</v>
      </c>
      <c r="B1883" s="1">
        <v>2009.0</v>
      </c>
      <c r="C1883" s="1" t="s">
        <v>20314</v>
      </c>
      <c r="D1883" s="1" t="s">
        <v>20315</v>
      </c>
      <c r="E1883" s="2" t="s">
        <v>23228</v>
      </c>
      <c r="F1883" s="1">
        <v>1153.0</v>
      </c>
      <c r="G1883" s="1">
        <v>1160.0</v>
      </c>
      <c r="H1883" s="1" t="s">
        <v>17059</v>
      </c>
      <c r="I1883" s="1" t="s">
        <v>20316</v>
      </c>
      <c r="J1883" s="1" t="s">
        <v>20317</v>
      </c>
      <c r="K1883" s="1"/>
      <c r="L1883" s="1" t="s">
        <v>23237</v>
      </c>
      <c r="M1883" s="1" t="s">
        <v>20320</v>
      </c>
      <c r="N1883" s="1" t="s">
        <v>20321</v>
      </c>
    </row>
    <row r="1884">
      <c r="A1884" s="1" t="s">
        <v>17</v>
      </c>
      <c r="B1884" s="1">
        <v>2009.0</v>
      </c>
      <c r="C1884" s="1" t="s">
        <v>21269</v>
      </c>
      <c r="D1884" s="1" t="s">
        <v>21270</v>
      </c>
      <c r="E1884" s="2" t="s">
        <v>23239</v>
      </c>
      <c r="F1884" s="1">
        <v>1425.0</v>
      </c>
      <c r="G1884" s="1">
        <v>1432.0</v>
      </c>
      <c r="H1884" s="1" t="s">
        <v>17059</v>
      </c>
      <c r="I1884" s="1" t="s">
        <v>21271</v>
      </c>
      <c r="J1884" s="1" t="s">
        <v>21272</v>
      </c>
      <c r="K1884" s="1"/>
      <c r="L1884" s="1" t="s">
        <v>22075</v>
      </c>
      <c r="M1884" s="1" t="s">
        <v>21275</v>
      </c>
      <c r="N1884" s="1" t="s">
        <v>21276</v>
      </c>
    </row>
    <row r="1885">
      <c r="A1885" s="1" t="s">
        <v>17</v>
      </c>
      <c r="B1885" s="1">
        <v>2009.0</v>
      </c>
      <c r="C1885" s="1" t="s">
        <v>21277</v>
      </c>
      <c r="D1885" s="1" t="s">
        <v>21278</v>
      </c>
      <c r="E1885" s="2" t="s">
        <v>23261</v>
      </c>
      <c r="F1885" s="1">
        <v>1571.0</v>
      </c>
      <c r="G1885" s="1">
        <v>1578.0</v>
      </c>
      <c r="H1885" s="1" t="s">
        <v>17059</v>
      </c>
      <c r="I1885" s="1" t="s">
        <v>23276</v>
      </c>
      <c r="J1885" s="1" t="s">
        <v>21280</v>
      </c>
      <c r="K1885" s="1"/>
      <c r="L1885" s="1" t="s">
        <v>23277</v>
      </c>
      <c r="M1885" s="1" t="s">
        <v>21285</v>
      </c>
      <c r="N1885" s="1" t="s">
        <v>21286</v>
      </c>
    </row>
    <row r="1886">
      <c r="A1886" s="1" t="s">
        <v>120</v>
      </c>
      <c r="B1886" s="1">
        <v>2009.0</v>
      </c>
      <c r="C1886" s="1" t="s">
        <v>20322</v>
      </c>
      <c r="D1886" s="1" t="s">
        <v>20323</v>
      </c>
      <c r="E1886" s="2" t="s">
        <v>23284</v>
      </c>
      <c r="G1886" s="1"/>
      <c r="H1886" s="1" t="s">
        <v>21</v>
      </c>
      <c r="I1886" s="1" t="s">
        <v>20324</v>
      </c>
      <c r="J1886" s="1" t="s">
        <v>19621</v>
      </c>
      <c r="K1886" s="1"/>
      <c r="L1886" s="1" t="s">
        <v>23300</v>
      </c>
    </row>
    <row r="1887">
      <c r="A1887" s="1" t="s">
        <v>120</v>
      </c>
      <c r="B1887" s="1">
        <v>2009.0</v>
      </c>
      <c r="C1887" s="1" t="s">
        <v>20325</v>
      </c>
      <c r="D1887" s="1" t="s">
        <v>20326</v>
      </c>
      <c r="E1887" s="2" t="s">
        <v>23303</v>
      </c>
      <c r="G1887" s="1"/>
      <c r="H1887" s="1" t="s">
        <v>21</v>
      </c>
      <c r="I1887" s="1" t="s">
        <v>20328</v>
      </c>
      <c r="J1887" s="1" t="s">
        <v>20329</v>
      </c>
      <c r="K1887" s="1"/>
      <c r="L1887" s="1" t="s">
        <v>23316</v>
      </c>
    </row>
    <row r="1888">
      <c r="A1888" s="1" t="s">
        <v>120</v>
      </c>
      <c r="B1888" s="1">
        <v>2009.0</v>
      </c>
      <c r="C1888" s="1" t="s">
        <v>20331</v>
      </c>
      <c r="D1888" s="1" t="s">
        <v>20333</v>
      </c>
      <c r="E1888" s="2" t="s">
        <v>23319</v>
      </c>
      <c r="F1888" s="1">
        <v>3.0</v>
      </c>
      <c r="G1888" s="1">
        <v>10.0</v>
      </c>
      <c r="H1888" s="1" t="s">
        <v>28</v>
      </c>
      <c r="I1888" s="1" t="s">
        <v>20334</v>
      </c>
      <c r="J1888" s="1" t="s">
        <v>20335</v>
      </c>
      <c r="K1888" s="1"/>
      <c r="L1888" s="1" t="s">
        <v>23336</v>
      </c>
      <c r="M1888" s="1" t="s">
        <v>20338</v>
      </c>
      <c r="N1888" s="1" t="s">
        <v>20339</v>
      </c>
    </row>
    <row r="1889">
      <c r="A1889" s="1" t="s">
        <v>120</v>
      </c>
      <c r="B1889" s="1">
        <v>2009.0</v>
      </c>
      <c r="C1889" s="1" t="s">
        <v>20340</v>
      </c>
      <c r="D1889" s="1" t="s">
        <v>20341</v>
      </c>
      <c r="E1889" s="2" t="s">
        <v>23339</v>
      </c>
      <c r="F1889" s="1">
        <v>19.0</v>
      </c>
      <c r="G1889" s="1">
        <v>26.0</v>
      </c>
      <c r="H1889" s="1" t="s">
        <v>28</v>
      </c>
      <c r="I1889" s="1" t="s">
        <v>20342</v>
      </c>
      <c r="J1889" s="1" t="s">
        <v>20343</v>
      </c>
      <c r="K1889" s="1"/>
      <c r="L1889" s="1" t="s">
        <v>23354</v>
      </c>
      <c r="M1889" s="1" t="s">
        <v>20354</v>
      </c>
      <c r="N1889" s="1" t="s">
        <v>20355</v>
      </c>
    </row>
    <row r="1890">
      <c r="A1890" s="1" t="s">
        <v>120</v>
      </c>
      <c r="B1890" s="1">
        <v>2009.0</v>
      </c>
      <c r="C1890" s="1" t="s">
        <v>20356</v>
      </c>
      <c r="D1890" s="1" t="s">
        <v>20357</v>
      </c>
      <c r="E1890" s="2" t="s">
        <v>23361</v>
      </c>
      <c r="F1890" s="1">
        <v>11.0</v>
      </c>
      <c r="G1890" s="1">
        <v>18.0</v>
      </c>
      <c r="H1890" s="1" t="s">
        <v>28</v>
      </c>
      <c r="I1890" s="1" t="s">
        <v>20359</v>
      </c>
      <c r="J1890" s="1" t="s">
        <v>20360</v>
      </c>
      <c r="K1890" s="1"/>
      <c r="L1890" s="1" t="s">
        <v>23373</v>
      </c>
      <c r="M1890" s="1" t="s">
        <v>20364</v>
      </c>
      <c r="N1890" s="1" t="s">
        <v>20365</v>
      </c>
    </row>
    <row r="1891">
      <c r="A1891" s="1" t="s">
        <v>120</v>
      </c>
      <c r="B1891" s="1">
        <v>2009.0</v>
      </c>
      <c r="C1891" s="1" t="s">
        <v>20366</v>
      </c>
      <c r="D1891" s="1" t="s">
        <v>20367</v>
      </c>
      <c r="E1891" s="2" t="s">
        <v>23376</v>
      </c>
      <c r="F1891" s="1">
        <v>27.0</v>
      </c>
      <c r="G1891" s="1">
        <v>34.0</v>
      </c>
      <c r="H1891" s="1" t="s">
        <v>28</v>
      </c>
      <c r="I1891" s="1" t="s">
        <v>23393</v>
      </c>
      <c r="J1891" s="1" t="s">
        <v>20369</v>
      </c>
      <c r="K1891" s="1"/>
      <c r="L1891" s="1" t="s">
        <v>23394</v>
      </c>
      <c r="M1891" s="1" t="s">
        <v>17421</v>
      </c>
      <c r="N1891" s="1" t="s">
        <v>20372</v>
      </c>
    </row>
    <row r="1892">
      <c r="A1892" s="1" t="s">
        <v>120</v>
      </c>
      <c r="B1892" s="1">
        <v>2009.0</v>
      </c>
      <c r="C1892" s="1" t="s">
        <v>20373</v>
      </c>
      <c r="D1892" s="1" t="s">
        <v>20374</v>
      </c>
      <c r="E1892" s="2" t="s">
        <v>23400</v>
      </c>
      <c r="F1892" s="1">
        <v>35.0</v>
      </c>
      <c r="G1892" s="1">
        <v>42.0</v>
      </c>
      <c r="H1892" s="1" t="s">
        <v>28</v>
      </c>
      <c r="I1892" s="1" t="s">
        <v>20376</v>
      </c>
      <c r="J1892" s="1" t="s">
        <v>20377</v>
      </c>
      <c r="K1892" s="1"/>
      <c r="L1892" s="1" t="s">
        <v>23416</v>
      </c>
      <c r="M1892" s="1" t="s">
        <v>3421</v>
      </c>
    </row>
    <row r="1893">
      <c r="A1893" s="1" t="s">
        <v>120</v>
      </c>
      <c r="B1893" s="1">
        <v>2009.0</v>
      </c>
      <c r="C1893" s="1" t="s">
        <v>20379</v>
      </c>
      <c r="D1893" s="1" t="s">
        <v>20380</v>
      </c>
      <c r="E1893" s="2" t="s">
        <v>23418</v>
      </c>
      <c r="F1893" s="1">
        <v>43.0</v>
      </c>
      <c r="G1893" s="1">
        <v>50.0</v>
      </c>
      <c r="H1893" s="1" t="s">
        <v>28</v>
      </c>
      <c r="I1893" s="1" t="s">
        <v>20381</v>
      </c>
      <c r="J1893" s="1" t="s">
        <v>23434</v>
      </c>
      <c r="K1893" s="1"/>
      <c r="L1893" s="1" t="s">
        <v>23435</v>
      </c>
      <c r="M1893" s="1" t="s">
        <v>5419</v>
      </c>
      <c r="N1893" s="1" t="s">
        <v>20385</v>
      </c>
    </row>
    <row r="1894">
      <c r="A1894" s="1" t="s">
        <v>120</v>
      </c>
      <c r="B1894" s="1">
        <v>2009.0</v>
      </c>
      <c r="C1894" s="1" t="s">
        <v>20386</v>
      </c>
      <c r="D1894" s="1" t="s">
        <v>20387</v>
      </c>
      <c r="E1894" s="2" t="s">
        <v>23440</v>
      </c>
      <c r="F1894" s="1">
        <v>51.0</v>
      </c>
      <c r="G1894" s="1">
        <v>58.0</v>
      </c>
      <c r="H1894" s="1" t="s">
        <v>28</v>
      </c>
      <c r="I1894" s="1" t="s">
        <v>20388</v>
      </c>
      <c r="J1894" s="1" t="s">
        <v>20389</v>
      </c>
      <c r="K1894" s="1"/>
      <c r="L1894" s="1" t="s">
        <v>23453</v>
      </c>
      <c r="M1894" s="1" t="s">
        <v>20391</v>
      </c>
      <c r="N1894" s="1" t="s">
        <v>20392</v>
      </c>
    </row>
    <row r="1895">
      <c r="A1895" s="1" t="s">
        <v>120</v>
      </c>
      <c r="B1895" s="1">
        <v>2009.0</v>
      </c>
      <c r="C1895" s="1" t="s">
        <v>20393</v>
      </c>
      <c r="D1895" s="1" t="s">
        <v>20394</v>
      </c>
      <c r="E1895" s="2" t="s">
        <v>23459</v>
      </c>
      <c r="F1895" s="1">
        <v>59.0</v>
      </c>
      <c r="G1895" s="1">
        <v>66.0</v>
      </c>
      <c r="H1895" s="1" t="s">
        <v>28</v>
      </c>
      <c r="I1895" s="1" t="s">
        <v>20395</v>
      </c>
      <c r="J1895" s="1" t="s">
        <v>23473</v>
      </c>
      <c r="K1895" s="1"/>
      <c r="L1895" s="1" t="s">
        <v>23476</v>
      </c>
      <c r="M1895" s="1" t="s">
        <v>20399</v>
      </c>
    </row>
    <row r="1896">
      <c r="A1896" s="1" t="s">
        <v>120</v>
      </c>
      <c r="B1896" s="1">
        <v>2009.0</v>
      </c>
      <c r="C1896" s="1" t="s">
        <v>20400</v>
      </c>
      <c r="D1896" s="1" t="s">
        <v>20401</v>
      </c>
      <c r="E1896" s="2" t="s">
        <v>23478</v>
      </c>
      <c r="F1896" s="1">
        <v>67.0</v>
      </c>
      <c r="G1896" s="1">
        <v>74.0</v>
      </c>
      <c r="H1896" s="1" t="s">
        <v>28</v>
      </c>
      <c r="I1896" s="1" t="s">
        <v>20402</v>
      </c>
      <c r="J1896" s="1" t="s">
        <v>20403</v>
      </c>
      <c r="K1896" s="1"/>
      <c r="L1896" s="1" t="s">
        <v>16030</v>
      </c>
      <c r="M1896" s="1" t="s">
        <v>13005</v>
      </c>
      <c r="N1896" s="1" t="s">
        <v>20405</v>
      </c>
    </row>
    <row r="1897">
      <c r="A1897" s="1" t="s">
        <v>120</v>
      </c>
      <c r="B1897" s="1">
        <v>2009.0</v>
      </c>
      <c r="C1897" s="1" t="s">
        <v>20406</v>
      </c>
      <c r="D1897" s="1" t="s">
        <v>20407</v>
      </c>
      <c r="E1897" s="2" t="s">
        <v>23495</v>
      </c>
      <c r="F1897" s="1">
        <v>131.0</v>
      </c>
      <c r="G1897" s="1">
        <v>138.0</v>
      </c>
      <c r="H1897" s="1" t="s">
        <v>28</v>
      </c>
      <c r="I1897" s="1" t="s">
        <v>20408</v>
      </c>
      <c r="J1897" s="1" t="s">
        <v>20409</v>
      </c>
      <c r="K1897" s="1"/>
      <c r="L1897" s="1" t="s">
        <v>23510</v>
      </c>
      <c r="M1897" s="1" t="s">
        <v>20412</v>
      </c>
      <c r="N1897" s="1" t="s">
        <v>20413</v>
      </c>
    </row>
    <row r="1898">
      <c r="A1898" s="1" t="s">
        <v>120</v>
      </c>
      <c r="B1898" s="1">
        <v>2009.0</v>
      </c>
      <c r="C1898" s="1" t="s">
        <v>20414</v>
      </c>
      <c r="D1898" s="1" t="s">
        <v>20415</v>
      </c>
      <c r="E1898" s="2" t="s">
        <v>23513</v>
      </c>
      <c r="F1898" s="1">
        <v>123.0</v>
      </c>
      <c r="G1898" s="1">
        <v>130.0</v>
      </c>
      <c r="H1898" s="1" t="s">
        <v>28</v>
      </c>
      <c r="I1898" s="1" t="s">
        <v>20416</v>
      </c>
      <c r="J1898" s="1" t="s">
        <v>20417</v>
      </c>
      <c r="K1898" s="1"/>
      <c r="L1898" s="1" t="s">
        <v>23514</v>
      </c>
      <c r="M1898" s="1" t="s">
        <v>20420</v>
      </c>
    </row>
    <row r="1899">
      <c r="A1899" s="1" t="s">
        <v>120</v>
      </c>
      <c r="B1899" s="1">
        <v>2009.0</v>
      </c>
      <c r="C1899" s="1" t="s">
        <v>20421</v>
      </c>
      <c r="D1899" s="1" t="s">
        <v>20423</v>
      </c>
      <c r="E1899" s="2" t="s">
        <v>23521</v>
      </c>
      <c r="F1899" s="1">
        <v>237.0</v>
      </c>
      <c r="G1899" s="1">
        <v>238.0</v>
      </c>
      <c r="H1899" s="1" t="s">
        <v>21</v>
      </c>
      <c r="I1899" s="1" t="s">
        <v>20424</v>
      </c>
      <c r="J1899" s="1" t="s">
        <v>20426</v>
      </c>
      <c r="K1899" s="1"/>
      <c r="L1899" s="1" t="s">
        <v>23535</v>
      </c>
    </row>
    <row r="1900">
      <c r="A1900" s="1" t="s">
        <v>120</v>
      </c>
      <c r="B1900" s="1">
        <v>2009.0</v>
      </c>
      <c r="C1900" s="1" t="s">
        <v>20428</v>
      </c>
      <c r="D1900" s="1" t="s">
        <v>20429</v>
      </c>
      <c r="E1900" s="2" t="s">
        <v>23537</v>
      </c>
      <c r="F1900" s="1">
        <v>239.0</v>
      </c>
      <c r="G1900" s="1">
        <v>240.0</v>
      </c>
      <c r="H1900" s="1" t="s">
        <v>21</v>
      </c>
      <c r="I1900" s="1" t="s">
        <v>20430</v>
      </c>
      <c r="J1900" s="1" t="s">
        <v>20431</v>
      </c>
      <c r="K1900" s="1"/>
      <c r="L1900" s="1" t="s">
        <v>23554</v>
      </c>
    </row>
    <row r="1901">
      <c r="A1901" s="1" t="s">
        <v>120</v>
      </c>
      <c r="B1901" s="1">
        <v>2009.0</v>
      </c>
      <c r="C1901" s="1" t="s">
        <v>20434</v>
      </c>
      <c r="D1901" s="1" t="s">
        <v>20435</v>
      </c>
      <c r="E1901" s="2" t="s">
        <v>23557</v>
      </c>
      <c r="F1901" s="1">
        <v>233.0</v>
      </c>
      <c r="G1901" s="1">
        <v>234.0</v>
      </c>
      <c r="H1901" s="1" t="s">
        <v>21</v>
      </c>
      <c r="I1901" s="1" t="s">
        <v>20436</v>
      </c>
      <c r="J1901" s="1" t="s">
        <v>20437</v>
      </c>
      <c r="K1901" s="1"/>
      <c r="L1901" s="1" t="s">
        <v>23574</v>
      </c>
    </row>
    <row r="1902">
      <c r="A1902" s="1" t="s">
        <v>120</v>
      </c>
      <c r="B1902" s="1">
        <v>2009.0</v>
      </c>
      <c r="C1902" s="1" t="s">
        <v>20440</v>
      </c>
      <c r="D1902" s="1" t="s">
        <v>20441</v>
      </c>
      <c r="E1902" s="2" t="s">
        <v>23577</v>
      </c>
      <c r="F1902" s="1">
        <v>115.0</v>
      </c>
      <c r="G1902" s="1">
        <v>122.0</v>
      </c>
      <c r="H1902" s="1" t="s">
        <v>28</v>
      </c>
      <c r="I1902" s="1" t="s">
        <v>20443</v>
      </c>
      <c r="J1902" s="1" t="s">
        <v>20444</v>
      </c>
      <c r="K1902" s="1"/>
      <c r="L1902" s="1" t="s">
        <v>1253</v>
      </c>
      <c r="M1902" s="1" t="s">
        <v>17395</v>
      </c>
      <c r="N1902" s="1" t="s">
        <v>20447</v>
      </c>
    </row>
    <row r="1903">
      <c r="A1903" s="1" t="s">
        <v>120</v>
      </c>
      <c r="B1903" s="1">
        <v>2009.0</v>
      </c>
      <c r="C1903" s="1" t="s">
        <v>20449</v>
      </c>
      <c r="D1903" s="1" t="s">
        <v>20450</v>
      </c>
      <c r="E1903" s="2" t="s">
        <v>23595</v>
      </c>
      <c r="F1903" s="1">
        <v>107.0</v>
      </c>
      <c r="G1903" s="1">
        <v>114.0</v>
      </c>
      <c r="H1903" s="1" t="s">
        <v>28</v>
      </c>
      <c r="I1903" s="1" t="s">
        <v>20451</v>
      </c>
      <c r="J1903" s="1" t="s">
        <v>20452</v>
      </c>
      <c r="K1903" s="1"/>
      <c r="L1903" s="1" t="s">
        <v>23615</v>
      </c>
      <c r="M1903" s="1" t="s">
        <v>20455</v>
      </c>
      <c r="N1903" s="1" t="s">
        <v>20456</v>
      </c>
    </row>
    <row r="1904">
      <c r="A1904" s="1" t="s">
        <v>120</v>
      </c>
      <c r="B1904" s="1">
        <v>2009.0</v>
      </c>
      <c r="C1904" s="1" t="s">
        <v>20457</v>
      </c>
      <c r="D1904" s="1" t="s">
        <v>20458</v>
      </c>
      <c r="E1904" s="2" t="s">
        <v>23619</v>
      </c>
      <c r="F1904" s="1">
        <v>235.0</v>
      </c>
      <c r="G1904" s="1">
        <v>236.0</v>
      </c>
      <c r="H1904" s="1" t="s">
        <v>21</v>
      </c>
      <c r="I1904" s="1" t="s">
        <v>20459</v>
      </c>
      <c r="J1904" s="1" t="s">
        <v>20460</v>
      </c>
      <c r="K1904" s="1"/>
      <c r="L1904" s="1" t="s">
        <v>23633</v>
      </c>
    </row>
    <row r="1905">
      <c r="A1905" s="1" t="s">
        <v>120</v>
      </c>
      <c r="B1905" s="1">
        <v>2009.0</v>
      </c>
      <c r="C1905" s="1" t="s">
        <v>20462</v>
      </c>
      <c r="D1905" s="1" t="s">
        <v>20463</v>
      </c>
      <c r="E1905" s="2" t="s">
        <v>23635</v>
      </c>
      <c r="F1905" s="1">
        <v>229.0</v>
      </c>
      <c r="G1905" s="1">
        <v>230.0</v>
      </c>
      <c r="H1905" s="1" t="s">
        <v>21</v>
      </c>
      <c r="I1905" s="1" t="s">
        <v>20465</v>
      </c>
      <c r="J1905" s="1" t="s">
        <v>23652</v>
      </c>
      <c r="K1905" s="1"/>
      <c r="L1905" s="1" t="s">
        <v>23653</v>
      </c>
    </row>
    <row r="1906">
      <c r="A1906" s="1" t="s">
        <v>120</v>
      </c>
      <c r="B1906" s="1">
        <v>2009.0</v>
      </c>
      <c r="C1906" s="1" t="s">
        <v>20470</v>
      </c>
      <c r="D1906" s="1" t="s">
        <v>20471</v>
      </c>
      <c r="E1906" s="2" t="s">
        <v>23654</v>
      </c>
      <c r="F1906" s="1">
        <v>231.0</v>
      </c>
      <c r="G1906" s="1">
        <v>232.0</v>
      </c>
      <c r="H1906" s="1" t="s">
        <v>21</v>
      </c>
      <c r="I1906" s="1" t="s">
        <v>20472</v>
      </c>
      <c r="J1906" s="1" t="s">
        <v>20473</v>
      </c>
      <c r="K1906" s="1"/>
      <c r="L1906" s="1" t="s">
        <v>23670</v>
      </c>
    </row>
    <row r="1907">
      <c r="A1907" s="1" t="s">
        <v>120</v>
      </c>
      <c r="B1907" s="1">
        <v>2009.0</v>
      </c>
      <c r="C1907" s="1" t="s">
        <v>20476</v>
      </c>
      <c r="D1907" s="1" t="s">
        <v>20477</v>
      </c>
      <c r="E1907" s="2" t="s">
        <v>23678</v>
      </c>
      <c r="F1907" s="1">
        <v>83.0</v>
      </c>
      <c r="G1907" s="1">
        <v>90.0</v>
      </c>
      <c r="H1907" s="1" t="s">
        <v>28</v>
      </c>
      <c r="I1907" s="1" t="s">
        <v>20478</v>
      </c>
      <c r="J1907" s="1" t="s">
        <v>20479</v>
      </c>
      <c r="K1907" s="1"/>
      <c r="L1907" s="1" t="s">
        <v>23693</v>
      </c>
    </row>
    <row r="1908">
      <c r="A1908" s="1" t="s">
        <v>120</v>
      </c>
      <c r="B1908" s="1">
        <v>2009.0</v>
      </c>
      <c r="C1908" s="1" t="s">
        <v>20482</v>
      </c>
      <c r="D1908" s="1" t="s">
        <v>20483</v>
      </c>
      <c r="E1908" s="2" t="s">
        <v>23697</v>
      </c>
      <c r="F1908" s="1">
        <v>75.0</v>
      </c>
      <c r="G1908" s="1">
        <v>82.0</v>
      </c>
      <c r="H1908" s="1" t="s">
        <v>28</v>
      </c>
      <c r="I1908" s="1" t="s">
        <v>20486</v>
      </c>
      <c r="J1908" s="1" t="s">
        <v>20487</v>
      </c>
      <c r="K1908" s="1"/>
      <c r="L1908" s="1" t="s">
        <v>23711</v>
      </c>
      <c r="M1908" s="1" t="s">
        <v>20490</v>
      </c>
      <c r="N1908" s="1" t="s">
        <v>20491</v>
      </c>
    </row>
    <row r="1909">
      <c r="A1909" s="1" t="s">
        <v>120</v>
      </c>
      <c r="B1909" s="1">
        <v>2009.0</v>
      </c>
      <c r="C1909" s="1" t="s">
        <v>20492</v>
      </c>
      <c r="D1909" s="1" t="s">
        <v>20493</v>
      </c>
      <c r="E1909" s="2" t="s">
        <v>23715</v>
      </c>
      <c r="F1909" s="1">
        <v>225.0</v>
      </c>
      <c r="G1909" s="1">
        <v>226.0</v>
      </c>
      <c r="H1909" s="1" t="s">
        <v>21</v>
      </c>
      <c r="I1909" s="1" t="s">
        <v>20494</v>
      </c>
      <c r="J1909" s="1" t="s">
        <v>20495</v>
      </c>
      <c r="K1909" s="1"/>
      <c r="L1909" s="1" t="s">
        <v>23732</v>
      </c>
    </row>
    <row r="1910">
      <c r="A1910" s="1" t="s">
        <v>120</v>
      </c>
      <c r="B1910" s="1">
        <v>2009.0</v>
      </c>
      <c r="C1910" s="1" t="s">
        <v>20497</v>
      </c>
      <c r="D1910" s="1" t="s">
        <v>20498</v>
      </c>
      <c r="E1910" s="2" t="s">
        <v>23736</v>
      </c>
      <c r="F1910" s="1">
        <v>99.0</v>
      </c>
      <c r="G1910" s="1">
        <v>106.0</v>
      </c>
      <c r="H1910" s="1" t="s">
        <v>28</v>
      </c>
      <c r="I1910" s="1" t="s">
        <v>20499</v>
      </c>
      <c r="J1910" s="1" t="s">
        <v>20500</v>
      </c>
      <c r="K1910" s="1"/>
      <c r="L1910" s="1" t="s">
        <v>23754</v>
      </c>
      <c r="M1910" s="1" t="s">
        <v>20503</v>
      </c>
    </row>
    <row r="1911">
      <c r="A1911" s="1" t="s">
        <v>120</v>
      </c>
      <c r="B1911" s="1">
        <v>2009.0</v>
      </c>
      <c r="C1911" s="1" t="s">
        <v>20504</v>
      </c>
      <c r="D1911" s="1" t="s">
        <v>20505</v>
      </c>
      <c r="E1911" s="2" t="s">
        <v>23757</v>
      </c>
      <c r="F1911" s="1">
        <v>227.0</v>
      </c>
      <c r="G1911" s="1">
        <v>228.0</v>
      </c>
      <c r="H1911" s="1" t="s">
        <v>21</v>
      </c>
      <c r="I1911" s="1" t="s">
        <v>20506</v>
      </c>
      <c r="J1911" s="1" t="s">
        <v>20507</v>
      </c>
      <c r="K1911" s="1"/>
      <c r="L1911" s="1" t="s">
        <v>23764</v>
      </c>
    </row>
    <row r="1912">
      <c r="A1912" s="1" t="s">
        <v>120</v>
      </c>
      <c r="B1912" s="1">
        <v>2009.0</v>
      </c>
      <c r="C1912" s="1" t="s">
        <v>20509</v>
      </c>
      <c r="D1912" s="1" t="s">
        <v>20510</v>
      </c>
      <c r="E1912" s="2" t="s">
        <v>23770</v>
      </c>
      <c r="F1912" s="1">
        <v>91.0</v>
      </c>
      <c r="G1912" s="1">
        <v>98.0</v>
      </c>
      <c r="H1912" s="1" t="s">
        <v>28</v>
      </c>
      <c r="I1912" s="1" t="s">
        <v>20512</v>
      </c>
      <c r="J1912" s="1" t="s">
        <v>23785</v>
      </c>
      <c r="K1912" s="1"/>
      <c r="L1912" s="1" t="s">
        <v>22099</v>
      </c>
      <c r="M1912" s="1" t="s">
        <v>20516</v>
      </c>
      <c r="N1912" s="1" t="s">
        <v>20517</v>
      </c>
    </row>
    <row r="1913">
      <c r="A1913" s="1" t="s">
        <v>120</v>
      </c>
      <c r="B1913" s="1">
        <v>2009.0</v>
      </c>
      <c r="C1913" s="1" t="s">
        <v>20519</v>
      </c>
      <c r="D1913" s="1" t="s">
        <v>20520</v>
      </c>
      <c r="E1913" s="2" t="s">
        <v>23790</v>
      </c>
      <c r="F1913" s="1">
        <v>221.0</v>
      </c>
      <c r="G1913" s="1">
        <v>222.0</v>
      </c>
      <c r="H1913" s="1" t="s">
        <v>21</v>
      </c>
      <c r="I1913" s="1" t="s">
        <v>20521</v>
      </c>
      <c r="J1913" s="1" t="s">
        <v>20522</v>
      </c>
      <c r="K1913" s="1"/>
      <c r="L1913" s="1" t="s">
        <v>5349</v>
      </c>
    </row>
    <row r="1914">
      <c r="A1914" s="1" t="s">
        <v>120</v>
      </c>
      <c r="B1914" s="1">
        <v>2009.0</v>
      </c>
      <c r="C1914" s="1" t="s">
        <v>20525</v>
      </c>
      <c r="D1914" s="1" t="s">
        <v>20526</v>
      </c>
      <c r="E1914" s="2" t="s">
        <v>23812</v>
      </c>
      <c r="F1914" s="1">
        <v>223.0</v>
      </c>
      <c r="G1914" s="1">
        <v>224.0</v>
      </c>
      <c r="H1914" s="1" t="s">
        <v>21</v>
      </c>
      <c r="I1914" s="1" t="s">
        <v>20527</v>
      </c>
      <c r="J1914" s="1" t="s">
        <v>20528</v>
      </c>
      <c r="K1914" s="1"/>
      <c r="L1914" s="1" t="s">
        <v>23820</v>
      </c>
    </row>
    <row r="1915">
      <c r="A1915" s="1" t="s">
        <v>120</v>
      </c>
      <c r="B1915" s="1">
        <v>2009.0</v>
      </c>
      <c r="C1915" s="1" t="s">
        <v>20532</v>
      </c>
      <c r="D1915" s="1" t="s">
        <v>20533</v>
      </c>
      <c r="E1915" s="2" t="s">
        <v>23821</v>
      </c>
      <c r="F1915" s="1">
        <v>217.0</v>
      </c>
      <c r="G1915" s="1">
        <v>218.0</v>
      </c>
      <c r="H1915" s="1" t="s">
        <v>21</v>
      </c>
      <c r="I1915" s="1" t="s">
        <v>20535</v>
      </c>
      <c r="J1915" s="1" t="s">
        <v>20536</v>
      </c>
      <c r="K1915" s="1"/>
      <c r="L1915" s="1" t="s">
        <v>14774</v>
      </c>
    </row>
    <row r="1916">
      <c r="A1916" s="1" t="s">
        <v>120</v>
      </c>
      <c r="B1916" s="1">
        <v>2009.0</v>
      </c>
      <c r="C1916" s="1" t="s">
        <v>20538</v>
      </c>
      <c r="D1916" s="1" t="s">
        <v>20539</v>
      </c>
      <c r="E1916" s="2" t="s">
        <v>23853</v>
      </c>
      <c r="F1916" s="1">
        <v>219.0</v>
      </c>
      <c r="G1916" s="1">
        <v>220.0</v>
      </c>
      <c r="H1916" s="1" t="s">
        <v>21</v>
      </c>
      <c r="I1916" s="1" t="s">
        <v>20540</v>
      </c>
      <c r="J1916" s="1" t="s">
        <v>20541</v>
      </c>
      <c r="K1916" s="1"/>
      <c r="L1916" s="1" t="s">
        <v>23866</v>
      </c>
    </row>
    <row r="1917">
      <c r="A1917" s="1" t="s">
        <v>120</v>
      </c>
      <c r="B1917" s="1">
        <v>2009.0</v>
      </c>
      <c r="C1917" s="1" t="s">
        <v>20543</v>
      </c>
      <c r="D1917" s="1" t="s">
        <v>20544</v>
      </c>
      <c r="E1917" s="2" t="s">
        <v>23867</v>
      </c>
      <c r="F1917" s="1">
        <v>213.0</v>
      </c>
      <c r="G1917" s="1">
        <v>214.0</v>
      </c>
      <c r="H1917" s="1" t="s">
        <v>21</v>
      </c>
      <c r="I1917" s="1" t="s">
        <v>20545</v>
      </c>
      <c r="J1917" s="1" t="s">
        <v>20546</v>
      </c>
      <c r="K1917" s="1"/>
      <c r="L1917" s="1" t="s">
        <v>23882</v>
      </c>
    </row>
    <row r="1918">
      <c r="A1918" s="1" t="s">
        <v>120</v>
      </c>
      <c r="B1918" s="1">
        <v>2009.0</v>
      </c>
      <c r="C1918" s="1" t="s">
        <v>20549</v>
      </c>
      <c r="D1918" s="1" t="s">
        <v>20550</v>
      </c>
      <c r="E1918" s="2" t="s">
        <v>23885</v>
      </c>
      <c r="F1918" s="1">
        <v>215.0</v>
      </c>
      <c r="G1918" s="1">
        <v>216.0</v>
      </c>
      <c r="H1918" s="1" t="s">
        <v>21</v>
      </c>
      <c r="I1918" s="1" t="s">
        <v>20552</v>
      </c>
      <c r="J1918" s="1" t="s">
        <v>17397</v>
      </c>
      <c r="K1918" s="1"/>
      <c r="L1918" s="1" t="s">
        <v>23886</v>
      </c>
    </row>
    <row r="1919">
      <c r="A1919" s="1" t="s">
        <v>120</v>
      </c>
      <c r="B1919" s="1">
        <v>2009.0</v>
      </c>
      <c r="C1919" s="1" t="s">
        <v>20554</v>
      </c>
      <c r="D1919" s="1" t="s">
        <v>20555</v>
      </c>
      <c r="E1919" s="2" t="s">
        <v>23887</v>
      </c>
      <c r="F1919" s="1">
        <v>203.0</v>
      </c>
      <c r="G1919" s="1">
        <v>210.0</v>
      </c>
      <c r="H1919" s="1" t="s">
        <v>28</v>
      </c>
      <c r="I1919" s="1" t="s">
        <v>20556</v>
      </c>
      <c r="J1919" s="1" t="s">
        <v>20557</v>
      </c>
      <c r="K1919" s="1"/>
      <c r="L1919" s="1" t="s">
        <v>23888</v>
      </c>
      <c r="M1919" s="1" t="s">
        <v>20559</v>
      </c>
      <c r="N1919" s="1" t="s">
        <v>20560</v>
      </c>
      <c r="P1919" s="1"/>
      <c r="Q1919" s="1" t="s">
        <v>106</v>
      </c>
    </row>
    <row r="1920">
      <c r="A1920" s="1" t="s">
        <v>120</v>
      </c>
      <c r="B1920" s="1">
        <v>2009.0</v>
      </c>
      <c r="C1920" s="1" t="s">
        <v>20561</v>
      </c>
      <c r="D1920" s="1" t="s">
        <v>20562</v>
      </c>
      <c r="E1920" s="2" t="s">
        <v>23889</v>
      </c>
      <c r="F1920" s="1">
        <v>139.0</v>
      </c>
      <c r="G1920" s="1">
        <v>146.0</v>
      </c>
      <c r="H1920" s="1" t="s">
        <v>28</v>
      </c>
      <c r="I1920" s="1" t="s">
        <v>20563</v>
      </c>
      <c r="J1920" s="1" t="s">
        <v>23890</v>
      </c>
      <c r="K1920" s="1"/>
      <c r="L1920" s="1" t="s">
        <v>23891</v>
      </c>
      <c r="M1920" s="1" t="s">
        <v>20568</v>
      </c>
    </row>
    <row r="1921">
      <c r="A1921" s="1" t="s">
        <v>120</v>
      </c>
      <c r="B1921" s="1">
        <v>2009.0</v>
      </c>
      <c r="C1921" s="1" t="s">
        <v>20570</v>
      </c>
      <c r="D1921" s="1" t="s">
        <v>20571</v>
      </c>
      <c r="E1921" s="2" t="s">
        <v>23892</v>
      </c>
      <c r="F1921" s="1">
        <v>147.0</v>
      </c>
      <c r="G1921" s="1">
        <v>154.0</v>
      </c>
      <c r="H1921" s="1" t="s">
        <v>28</v>
      </c>
      <c r="I1921" s="1" t="s">
        <v>20572</v>
      </c>
      <c r="J1921" s="1" t="s">
        <v>20573</v>
      </c>
      <c r="K1921" s="1"/>
      <c r="L1921" s="1" t="s">
        <v>15976</v>
      </c>
      <c r="M1921" s="1" t="s">
        <v>20575</v>
      </c>
      <c r="N1921" s="1" t="s">
        <v>20576</v>
      </c>
    </row>
    <row r="1922">
      <c r="A1922" s="1" t="s">
        <v>120</v>
      </c>
      <c r="B1922" s="1">
        <v>2009.0</v>
      </c>
      <c r="C1922" s="1" t="s">
        <v>20577</v>
      </c>
      <c r="D1922" s="1" t="s">
        <v>20578</v>
      </c>
      <c r="E1922" s="2" t="s">
        <v>23893</v>
      </c>
      <c r="F1922" s="1">
        <v>155.0</v>
      </c>
      <c r="G1922" s="1">
        <v>162.0</v>
      </c>
      <c r="H1922" s="1" t="s">
        <v>28</v>
      </c>
      <c r="I1922" s="1" t="s">
        <v>20580</v>
      </c>
      <c r="J1922" s="1" t="s">
        <v>23894</v>
      </c>
      <c r="K1922" s="1"/>
      <c r="L1922" s="1" t="s">
        <v>23895</v>
      </c>
      <c r="M1922" s="1" t="s">
        <v>20585</v>
      </c>
    </row>
    <row r="1923">
      <c r="A1923" s="1" t="s">
        <v>120</v>
      </c>
      <c r="B1923" s="1">
        <v>2009.0</v>
      </c>
      <c r="C1923" s="1" t="s">
        <v>20587</v>
      </c>
      <c r="D1923" s="1" t="s">
        <v>20588</v>
      </c>
      <c r="E1923" s="2" t="s">
        <v>23896</v>
      </c>
      <c r="F1923" s="1">
        <v>163.0</v>
      </c>
      <c r="G1923" s="1">
        <v>170.0</v>
      </c>
      <c r="H1923" s="1" t="s">
        <v>28</v>
      </c>
      <c r="I1923" s="1" t="s">
        <v>20589</v>
      </c>
      <c r="J1923" s="1" t="s">
        <v>20590</v>
      </c>
      <c r="K1923" s="1"/>
      <c r="L1923" s="1" t="s">
        <v>178</v>
      </c>
      <c r="M1923" s="1" t="s">
        <v>20592</v>
      </c>
      <c r="N1923" s="1" t="s">
        <v>20593</v>
      </c>
    </row>
    <row r="1924">
      <c r="A1924" s="1" t="s">
        <v>120</v>
      </c>
      <c r="B1924" s="1">
        <v>2009.0</v>
      </c>
      <c r="C1924" s="1" t="s">
        <v>20594</v>
      </c>
      <c r="D1924" s="1" t="s">
        <v>20595</v>
      </c>
      <c r="E1924" s="2" t="s">
        <v>23897</v>
      </c>
      <c r="F1924" s="1">
        <v>179.0</v>
      </c>
      <c r="G1924" s="1">
        <v>186.0</v>
      </c>
      <c r="H1924" s="1" t="s">
        <v>28</v>
      </c>
      <c r="I1924" s="1" t="s">
        <v>20597</v>
      </c>
      <c r="J1924" s="1" t="s">
        <v>20598</v>
      </c>
      <c r="K1924" s="1"/>
      <c r="L1924" s="1" t="s">
        <v>23898</v>
      </c>
      <c r="M1924" s="1" t="s">
        <v>20601</v>
      </c>
      <c r="N1924" s="1" t="s">
        <v>20602</v>
      </c>
    </row>
    <row r="1925">
      <c r="A1925" s="1" t="s">
        <v>120</v>
      </c>
      <c r="B1925" s="1">
        <v>2009.0</v>
      </c>
      <c r="C1925" s="1" t="s">
        <v>20603</v>
      </c>
      <c r="D1925" s="1" t="s">
        <v>20604</v>
      </c>
      <c r="E1925" s="2" t="s">
        <v>23899</v>
      </c>
      <c r="F1925" s="1">
        <v>171.0</v>
      </c>
      <c r="G1925" s="1">
        <v>178.0</v>
      </c>
      <c r="H1925" s="1" t="s">
        <v>28</v>
      </c>
      <c r="I1925" s="1" t="s">
        <v>20605</v>
      </c>
      <c r="J1925" s="1" t="s">
        <v>20606</v>
      </c>
      <c r="K1925" s="1"/>
      <c r="L1925" s="1" t="s">
        <v>23900</v>
      </c>
      <c r="M1925" s="1" t="s">
        <v>1437</v>
      </c>
      <c r="N1925" s="1" t="s">
        <v>20609</v>
      </c>
    </row>
    <row r="1926">
      <c r="A1926" s="1" t="s">
        <v>120</v>
      </c>
      <c r="B1926" s="1">
        <v>2009.0</v>
      </c>
      <c r="C1926" s="1" t="s">
        <v>20610</v>
      </c>
      <c r="D1926" s="1" t="s">
        <v>20611</v>
      </c>
      <c r="E1926" s="2" t="s">
        <v>23901</v>
      </c>
      <c r="F1926" s="1">
        <v>187.0</v>
      </c>
      <c r="G1926" s="1">
        <v>194.0</v>
      </c>
      <c r="H1926" s="1" t="s">
        <v>28</v>
      </c>
      <c r="I1926" s="1" t="s">
        <v>20612</v>
      </c>
      <c r="J1926" s="1" t="s">
        <v>23902</v>
      </c>
      <c r="K1926" s="1"/>
      <c r="L1926" s="1" t="s">
        <v>23476</v>
      </c>
      <c r="M1926" s="1"/>
      <c r="N1926" s="1" t="s">
        <v>20616</v>
      </c>
    </row>
    <row r="1927">
      <c r="A1927" s="1" t="s">
        <v>120</v>
      </c>
      <c r="B1927" s="1">
        <v>2009.0</v>
      </c>
      <c r="C1927" s="1" t="s">
        <v>20618</v>
      </c>
      <c r="D1927" s="1" t="s">
        <v>20620</v>
      </c>
      <c r="E1927" s="2" t="s">
        <v>23903</v>
      </c>
      <c r="F1927" s="1">
        <v>195.0</v>
      </c>
      <c r="G1927" s="1">
        <v>202.0</v>
      </c>
      <c r="H1927" s="1" t="s">
        <v>28</v>
      </c>
      <c r="I1927" s="1" t="s">
        <v>20621</v>
      </c>
      <c r="J1927" s="1" t="s">
        <v>20622</v>
      </c>
      <c r="K1927" s="1"/>
      <c r="L1927" s="1" t="s">
        <v>23904</v>
      </c>
      <c r="M1927" s="1" t="s">
        <v>20625</v>
      </c>
      <c r="N1927" s="1" t="s">
        <v>20626</v>
      </c>
    </row>
    <row r="1928">
      <c r="A1928" s="1" t="s">
        <v>120</v>
      </c>
      <c r="B1928" s="1">
        <v>2009.0</v>
      </c>
      <c r="C1928" s="1" t="s">
        <v>20627</v>
      </c>
      <c r="D1928" s="1" t="s">
        <v>20628</v>
      </c>
      <c r="E1928" s="2" t="s">
        <v>23905</v>
      </c>
      <c r="G1928" s="1"/>
      <c r="H1928" s="1" t="s">
        <v>21</v>
      </c>
      <c r="I1928" s="1" t="s">
        <v>20629</v>
      </c>
      <c r="J1928" s="1" t="s">
        <v>20630</v>
      </c>
      <c r="K1928" s="1"/>
      <c r="L1928" s="1" t="s">
        <v>23906</v>
      </c>
    </row>
    <row r="1929">
      <c r="A1929" s="1" t="s">
        <v>120</v>
      </c>
      <c r="B1929" s="1">
        <v>2009.0</v>
      </c>
      <c r="C1929" s="1" t="s">
        <v>20635</v>
      </c>
      <c r="D1929" s="1" t="s">
        <v>20636</v>
      </c>
      <c r="E1929" s="2" t="s">
        <v>23907</v>
      </c>
      <c r="G1929" s="1"/>
      <c r="H1929" s="1" t="s">
        <v>21</v>
      </c>
      <c r="I1929" s="1" t="s">
        <v>20637</v>
      </c>
      <c r="J1929" s="1" t="s">
        <v>20638</v>
      </c>
      <c r="K1929" s="1"/>
      <c r="L1929" s="1" t="s">
        <v>23908</v>
      </c>
    </row>
    <row r="1930">
      <c r="A1930" s="1" t="s">
        <v>120</v>
      </c>
      <c r="B1930" s="1">
        <v>2009.0</v>
      </c>
      <c r="C1930" s="1" t="s">
        <v>20640</v>
      </c>
      <c r="D1930" s="1" t="s">
        <v>20641</v>
      </c>
      <c r="E1930" s="2" t="s">
        <v>23909</v>
      </c>
      <c r="G1930" s="1"/>
      <c r="H1930" s="1" t="s">
        <v>21</v>
      </c>
      <c r="I1930" s="1" t="s">
        <v>20642</v>
      </c>
      <c r="J1930" s="1" t="s">
        <v>20643</v>
      </c>
      <c r="K1930" s="1"/>
      <c r="L1930" s="1" t="s">
        <v>23910</v>
      </c>
    </row>
    <row r="1931">
      <c r="A1931" s="1" t="s">
        <v>120</v>
      </c>
      <c r="B1931" s="1">
        <v>2009.0</v>
      </c>
      <c r="C1931" s="1" t="s">
        <v>20646</v>
      </c>
      <c r="D1931" s="1" t="s">
        <v>20647</v>
      </c>
      <c r="E1931" s="2" t="s">
        <v>23911</v>
      </c>
      <c r="G1931" s="1"/>
      <c r="H1931" s="1" t="s">
        <v>21</v>
      </c>
      <c r="I1931" s="1" t="s">
        <v>20649</v>
      </c>
      <c r="J1931" s="1" t="s">
        <v>20650</v>
      </c>
      <c r="K1931" s="1"/>
      <c r="L1931" s="1" t="s">
        <v>23912</v>
      </c>
    </row>
    <row r="1932">
      <c r="A1932" s="1" t="s">
        <v>120</v>
      </c>
      <c r="B1932" s="1">
        <v>2009.0</v>
      </c>
      <c r="C1932" s="1" t="s">
        <v>20654</v>
      </c>
      <c r="D1932" s="1" t="s">
        <v>20655</v>
      </c>
      <c r="E1932" s="2" t="s">
        <v>23913</v>
      </c>
      <c r="G1932" s="1"/>
      <c r="H1932" s="1" t="s">
        <v>21</v>
      </c>
      <c r="I1932" s="1" t="s">
        <v>20656</v>
      </c>
      <c r="J1932" s="1" t="s">
        <v>20657</v>
      </c>
    </row>
    <row r="1933">
      <c r="A1933" s="1" t="s">
        <v>120</v>
      </c>
      <c r="B1933" s="1">
        <v>2009.0</v>
      </c>
      <c r="C1933" s="1" t="s">
        <v>20659</v>
      </c>
      <c r="D1933" s="1" t="s">
        <v>20660</v>
      </c>
      <c r="E1933" s="2" t="s">
        <v>23914</v>
      </c>
      <c r="G1933" s="1"/>
      <c r="H1933" s="1" t="s">
        <v>21</v>
      </c>
      <c r="I1933" s="1" t="s">
        <v>20661</v>
      </c>
      <c r="J1933" s="1" t="s">
        <v>23915</v>
      </c>
      <c r="K1933" s="1"/>
      <c r="L1933" s="1" t="s">
        <v>23916</v>
      </c>
    </row>
    <row r="1934">
      <c r="A1934" s="1" t="s">
        <v>120</v>
      </c>
      <c r="B1934" s="1">
        <v>2009.0</v>
      </c>
      <c r="C1934" s="1" t="s">
        <v>20666</v>
      </c>
      <c r="D1934" s="1" t="s">
        <v>20668</v>
      </c>
      <c r="E1934" s="2" t="s">
        <v>23917</v>
      </c>
      <c r="G1934" s="1"/>
      <c r="H1934" s="1" t="s">
        <v>21</v>
      </c>
      <c r="I1934" s="1" t="s">
        <v>20669</v>
      </c>
      <c r="J1934" s="1" t="s">
        <v>23918</v>
      </c>
      <c r="K1934" s="1"/>
      <c r="L1934" s="1" t="s">
        <v>23919</v>
      </c>
    </row>
    <row r="1935">
      <c r="A1935" s="1" t="s">
        <v>120</v>
      </c>
      <c r="B1935" s="1">
        <v>2009.0</v>
      </c>
      <c r="C1935" s="1" t="s">
        <v>20673</v>
      </c>
      <c r="D1935" s="1" t="s">
        <v>20674</v>
      </c>
      <c r="E1935" s="2" t="s">
        <v>23920</v>
      </c>
      <c r="G1935" s="1"/>
      <c r="H1935" s="1" t="s">
        <v>21</v>
      </c>
      <c r="I1935" s="1" t="s">
        <v>20675</v>
      </c>
      <c r="J1935" s="1" t="s">
        <v>20676</v>
      </c>
      <c r="K1935" s="1"/>
      <c r="L1935" s="1" t="s">
        <v>23921</v>
      </c>
    </row>
    <row r="1936">
      <c r="A1936" s="1" t="s">
        <v>120</v>
      </c>
      <c r="B1936" s="1">
        <v>2009.0</v>
      </c>
      <c r="C1936" s="1" t="s">
        <v>20679</v>
      </c>
      <c r="D1936" s="1" t="s">
        <v>20680</v>
      </c>
      <c r="E1936" s="2" t="s">
        <v>23922</v>
      </c>
      <c r="G1936" s="1"/>
      <c r="H1936" s="1" t="s">
        <v>21</v>
      </c>
      <c r="I1936" s="1" t="s">
        <v>20682</v>
      </c>
      <c r="J1936" s="1" t="s">
        <v>20683</v>
      </c>
      <c r="K1936" s="1"/>
      <c r="L1936" s="1" t="s">
        <v>494</v>
      </c>
    </row>
    <row r="1937">
      <c r="A1937" s="1" t="s">
        <v>120</v>
      </c>
      <c r="B1937" s="1">
        <v>2009.0</v>
      </c>
      <c r="C1937" s="1" t="s">
        <v>20686</v>
      </c>
      <c r="D1937" s="1" t="s">
        <v>20687</v>
      </c>
      <c r="E1937" s="2" t="s">
        <v>23923</v>
      </c>
      <c r="G1937" s="1"/>
      <c r="H1937" s="1" t="s">
        <v>21</v>
      </c>
      <c r="I1937" s="1" t="s">
        <v>20688</v>
      </c>
      <c r="J1937" s="1" t="s">
        <v>20689</v>
      </c>
      <c r="K1937" s="1"/>
      <c r="L1937" s="1" t="s">
        <v>23924</v>
      </c>
    </row>
    <row r="1938">
      <c r="A1938" s="1" t="s">
        <v>120</v>
      </c>
      <c r="B1938" s="1">
        <v>2009.0</v>
      </c>
      <c r="C1938" s="1" t="s">
        <v>20691</v>
      </c>
      <c r="D1938" s="1" t="s">
        <v>20692</v>
      </c>
      <c r="E1938" s="2" t="s">
        <v>23925</v>
      </c>
      <c r="G1938" s="1"/>
      <c r="H1938" s="1" t="s">
        <v>21</v>
      </c>
      <c r="I1938" s="1" t="s">
        <v>23926</v>
      </c>
      <c r="J1938" s="1" t="s">
        <v>20694</v>
      </c>
      <c r="K1938" s="1"/>
      <c r="L1938" s="1" t="s">
        <v>23927</v>
      </c>
    </row>
    <row r="1939">
      <c r="A1939" s="1" t="s">
        <v>120</v>
      </c>
      <c r="B1939" s="1">
        <v>2009.0</v>
      </c>
      <c r="C1939" s="1" t="s">
        <v>20697</v>
      </c>
      <c r="D1939" s="1" t="s">
        <v>20698</v>
      </c>
      <c r="E1939" s="2" t="s">
        <v>23928</v>
      </c>
      <c r="G1939" s="1"/>
      <c r="H1939" s="1" t="s">
        <v>21</v>
      </c>
      <c r="I1939" s="1" t="s">
        <v>20700</v>
      </c>
      <c r="J1939" s="1" t="s">
        <v>23929</v>
      </c>
      <c r="K1939" s="1"/>
      <c r="L1939" s="1" t="s">
        <v>23930</v>
      </c>
    </row>
    <row r="1940">
      <c r="A1940" s="1" t="s">
        <v>120</v>
      </c>
      <c r="B1940" s="1">
        <v>2009.0</v>
      </c>
      <c r="C1940" s="1" t="s">
        <v>20704</v>
      </c>
      <c r="D1940" s="1" t="s">
        <v>20705</v>
      </c>
      <c r="E1940" s="2" t="s">
        <v>23931</v>
      </c>
      <c r="G1940" s="1"/>
      <c r="H1940" s="1" t="s">
        <v>21</v>
      </c>
      <c r="I1940" s="1" t="s">
        <v>20814</v>
      </c>
      <c r="J1940" s="1" t="s">
        <v>20815</v>
      </c>
      <c r="K1940" s="1"/>
      <c r="L1940" s="1" t="s">
        <v>23932</v>
      </c>
    </row>
    <row r="1941">
      <c r="A1941" s="1" t="s">
        <v>120</v>
      </c>
      <c r="B1941" s="1">
        <v>2009.0</v>
      </c>
      <c r="C1941" s="1" t="s">
        <v>20817</v>
      </c>
      <c r="D1941" s="1" t="s">
        <v>20818</v>
      </c>
      <c r="E1941" s="2" t="s">
        <v>23933</v>
      </c>
      <c r="G1941" s="1"/>
      <c r="H1941" s="1" t="s">
        <v>21</v>
      </c>
      <c r="I1941" s="1" t="s">
        <v>20821</v>
      </c>
      <c r="J1941" s="1" t="s">
        <v>20822</v>
      </c>
      <c r="K1941" s="1"/>
      <c r="L1941" s="1" t="s">
        <v>23934</v>
      </c>
    </row>
    <row r="1942">
      <c r="A1942" s="1" t="s">
        <v>120</v>
      </c>
      <c r="B1942" s="1">
        <v>2009.0</v>
      </c>
      <c r="C1942" s="1" t="s">
        <v>20824</v>
      </c>
      <c r="D1942" s="1" t="s">
        <v>20825</v>
      </c>
      <c r="E1942" s="2" t="s">
        <v>23935</v>
      </c>
      <c r="G1942" s="1"/>
      <c r="H1942" s="1" t="s">
        <v>21</v>
      </c>
      <c r="I1942" s="1" t="s">
        <v>20826</v>
      </c>
      <c r="J1942" s="1" t="s">
        <v>23936</v>
      </c>
      <c r="K1942" s="1"/>
      <c r="L1942" s="1" t="s">
        <v>178</v>
      </c>
    </row>
    <row r="1943">
      <c r="A1943" s="1" t="s">
        <v>2137</v>
      </c>
      <c r="B1943" s="1">
        <v>2010.0</v>
      </c>
      <c r="C1943" s="1" t="s">
        <v>21290</v>
      </c>
      <c r="D1943" s="1" t="s">
        <v>21291</v>
      </c>
      <c r="E1943" s="2" t="s">
        <v>23937</v>
      </c>
      <c r="F1943" s="1">
        <v>1164.0</v>
      </c>
      <c r="G1943" s="1">
        <v>1171.0</v>
      </c>
      <c r="H1943" s="1" t="s">
        <v>17059</v>
      </c>
      <c r="I1943" s="1" t="s">
        <v>21292</v>
      </c>
      <c r="J1943" s="1" t="s">
        <v>23938</v>
      </c>
      <c r="K1943" s="1"/>
      <c r="L1943" s="1" t="s">
        <v>23939</v>
      </c>
      <c r="M1943" s="1" t="s">
        <v>21296</v>
      </c>
      <c r="N1943" s="1" t="s">
        <v>21297</v>
      </c>
    </row>
    <row r="1944">
      <c r="A1944" s="1" t="s">
        <v>17</v>
      </c>
      <c r="B1944" s="1">
        <v>2010.0</v>
      </c>
      <c r="C1944" s="1" t="s">
        <v>21892</v>
      </c>
      <c r="D1944" s="1" t="s">
        <v>21893</v>
      </c>
      <c r="E1944" s="2" t="s">
        <v>23940</v>
      </c>
      <c r="F1944" s="1">
        <v>1235.0</v>
      </c>
      <c r="G1944" s="1">
        <v>1242.0</v>
      </c>
      <c r="H1944" s="1" t="s">
        <v>17059</v>
      </c>
      <c r="I1944" s="1" t="s">
        <v>23941</v>
      </c>
      <c r="J1944" s="1" t="s">
        <v>21895</v>
      </c>
      <c r="K1944" s="1"/>
      <c r="L1944" s="1" t="s">
        <v>5349</v>
      </c>
      <c r="M1944" s="1" t="s">
        <v>21898</v>
      </c>
      <c r="N1944" s="1" t="s">
        <v>21899</v>
      </c>
    </row>
    <row r="1945">
      <c r="A1945" s="1" t="s">
        <v>17</v>
      </c>
      <c r="B1945" s="1">
        <v>2010.0</v>
      </c>
      <c r="C1945" s="1" t="s">
        <v>21900</v>
      </c>
      <c r="D1945" s="1" t="s">
        <v>21902</v>
      </c>
      <c r="E1945" s="2" t="s">
        <v>23942</v>
      </c>
      <c r="F1945" s="1">
        <v>1623.0</v>
      </c>
      <c r="G1945" s="1">
        <v>1632.0</v>
      </c>
      <c r="H1945" s="1" t="s">
        <v>17059</v>
      </c>
      <c r="I1945" s="1" t="s">
        <v>21904</v>
      </c>
      <c r="J1945" s="1" t="s">
        <v>21905</v>
      </c>
      <c r="K1945" s="1"/>
      <c r="L1945" s="1" t="s">
        <v>23943</v>
      </c>
      <c r="M1945" s="1" t="s">
        <v>21907</v>
      </c>
      <c r="N1945" s="1" t="s">
        <v>21908</v>
      </c>
    </row>
    <row r="1946">
      <c r="A1946" s="1" t="s">
        <v>2137</v>
      </c>
      <c r="B1946" s="1">
        <v>2010.0</v>
      </c>
      <c r="C1946" s="1" t="s">
        <v>21300</v>
      </c>
      <c r="D1946" s="1" t="s">
        <v>21301</v>
      </c>
      <c r="E1946" s="2" t="s">
        <v>23944</v>
      </c>
      <c r="F1946" s="1">
        <v>1129.0</v>
      </c>
      <c r="G1946" s="1">
        <v>1138.0</v>
      </c>
      <c r="H1946" s="1" t="s">
        <v>17059</v>
      </c>
      <c r="I1946" s="1" t="s">
        <v>21302</v>
      </c>
      <c r="J1946" s="1" t="s">
        <v>23945</v>
      </c>
      <c r="K1946" s="1"/>
      <c r="L1946" s="1" t="s">
        <v>5349</v>
      </c>
      <c r="M1946" s="1" t="s">
        <v>21306</v>
      </c>
      <c r="N1946" s="1" t="s">
        <v>21307</v>
      </c>
    </row>
    <row r="1947">
      <c r="A1947" s="1" t="s">
        <v>2137</v>
      </c>
      <c r="B1947" s="1">
        <v>2010.0</v>
      </c>
      <c r="C1947" s="1" t="s">
        <v>21308</v>
      </c>
      <c r="D1947" s="1" t="s">
        <v>21309</v>
      </c>
      <c r="E1947" s="2" t="s">
        <v>23946</v>
      </c>
      <c r="F1947" s="1">
        <v>1036.0</v>
      </c>
      <c r="G1947" s="1">
        <v>1043.0</v>
      </c>
      <c r="H1947" s="1" t="s">
        <v>17059</v>
      </c>
      <c r="I1947" s="1" t="s">
        <v>21311</v>
      </c>
      <c r="J1947" s="1" t="s">
        <v>21312</v>
      </c>
      <c r="K1947" s="1"/>
      <c r="L1947" s="1" t="s">
        <v>494</v>
      </c>
      <c r="M1947" s="1"/>
      <c r="N1947" s="1" t="s">
        <v>21314</v>
      </c>
    </row>
    <row r="1948">
      <c r="A1948" s="1" t="s">
        <v>17</v>
      </c>
      <c r="B1948" s="1">
        <v>2010.0</v>
      </c>
      <c r="C1948" s="1" t="s">
        <v>21909</v>
      </c>
      <c r="D1948" s="1" t="s">
        <v>21910</v>
      </c>
      <c r="E1948" s="2" t="s">
        <v>23947</v>
      </c>
      <c r="F1948" s="1">
        <v>1216.0</v>
      </c>
      <c r="G1948" s="1">
        <v>1224.0</v>
      </c>
      <c r="H1948" s="1" t="s">
        <v>17059</v>
      </c>
      <c r="I1948" s="1" t="s">
        <v>21911</v>
      </c>
      <c r="J1948" s="1" t="s">
        <v>21912</v>
      </c>
      <c r="K1948" s="1"/>
      <c r="L1948" s="1" t="s">
        <v>12380</v>
      </c>
      <c r="M1948" s="1" t="s">
        <v>21914</v>
      </c>
      <c r="N1948" s="1" t="s">
        <v>21915</v>
      </c>
    </row>
    <row r="1949">
      <c r="A1949" s="1" t="s">
        <v>17</v>
      </c>
      <c r="B1949" s="1">
        <v>2010.0</v>
      </c>
      <c r="C1949" s="1" t="s">
        <v>21916</v>
      </c>
      <c r="D1949" s="1" t="s">
        <v>21917</v>
      </c>
      <c r="E1949" s="2" t="s">
        <v>23948</v>
      </c>
      <c r="F1949" s="1">
        <v>1206.0</v>
      </c>
      <c r="G1949" s="1">
        <v>1215.0</v>
      </c>
      <c r="H1949" s="1" t="s">
        <v>17059</v>
      </c>
      <c r="I1949" s="1" t="s">
        <v>21918</v>
      </c>
      <c r="J1949" s="1" t="s">
        <v>21920</v>
      </c>
      <c r="K1949" s="1"/>
      <c r="L1949" s="1" t="s">
        <v>178</v>
      </c>
      <c r="M1949" s="1" t="s">
        <v>21923</v>
      </c>
      <c r="N1949" s="1" t="s">
        <v>21924</v>
      </c>
    </row>
    <row r="1950">
      <c r="A1950" s="1" t="s">
        <v>17</v>
      </c>
      <c r="B1950" s="1">
        <v>2010.0</v>
      </c>
      <c r="C1950" s="1" t="s">
        <v>21926</v>
      </c>
      <c r="D1950" s="1" t="s">
        <v>21927</v>
      </c>
      <c r="E1950" s="2" t="s">
        <v>23949</v>
      </c>
      <c r="F1950" s="1">
        <v>1431.0</v>
      </c>
      <c r="G1950" s="1">
        <v>1440.0</v>
      </c>
      <c r="H1950" s="1" t="s">
        <v>17059</v>
      </c>
      <c r="I1950" s="1" t="s">
        <v>23950</v>
      </c>
      <c r="J1950" s="1" t="s">
        <v>21929</v>
      </c>
      <c r="K1950" s="1"/>
      <c r="L1950" s="1" t="s">
        <v>860</v>
      </c>
      <c r="M1950" s="1" t="s">
        <v>21932</v>
      </c>
      <c r="N1950" s="1" t="s">
        <v>21933</v>
      </c>
    </row>
    <row r="1951">
      <c r="A1951" s="1" t="s">
        <v>17</v>
      </c>
      <c r="B1951" s="1">
        <v>2010.0</v>
      </c>
      <c r="C1951" s="1" t="s">
        <v>21934</v>
      </c>
      <c r="D1951" s="1" t="s">
        <v>21935</v>
      </c>
      <c r="E1951" s="2" t="s">
        <v>23951</v>
      </c>
      <c r="F1951" s="1">
        <v>1396.0</v>
      </c>
      <c r="G1951" s="1">
        <v>1404.0</v>
      </c>
      <c r="H1951" s="1" t="s">
        <v>17059</v>
      </c>
      <c r="I1951" s="1" t="s">
        <v>21936</v>
      </c>
      <c r="J1951" s="1" t="s">
        <v>23952</v>
      </c>
      <c r="K1951" s="1"/>
      <c r="L1951" s="1" t="s">
        <v>23953</v>
      </c>
      <c r="M1951" s="1" t="s">
        <v>21939</v>
      </c>
      <c r="N1951" s="1" t="s">
        <v>21940</v>
      </c>
    </row>
    <row r="1952">
      <c r="A1952" s="1" t="s">
        <v>17</v>
      </c>
      <c r="B1952" s="1">
        <v>2010.0</v>
      </c>
      <c r="C1952" s="1" t="s">
        <v>21941</v>
      </c>
      <c r="D1952" s="1" t="s">
        <v>21942</v>
      </c>
      <c r="E1952" s="2" t="s">
        <v>23954</v>
      </c>
      <c r="F1952" s="1">
        <v>1261.0</v>
      </c>
      <c r="G1952" s="1">
        <v>1270.0</v>
      </c>
      <c r="H1952" s="1" t="s">
        <v>17059</v>
      </c>
      <c r="I1952" s="1" t="s">
        <v>21943</v>
      </c>
      <c r="J1952" s="1" t="s">
        <v>21944</v>
      </c>
      <c r="K1952" s="1"/>
      <c r="L1952" s="1" t="s">
        <v>23962</v>
      </c>
      <c r="M1952" s="1"/>
      <c r="N1952" s="1" t="s">
        <v>21945</v>
      </c>
    </row>
    <row r="1953">
      <c r="A1953" s="1" t="s">
        <v>2137</v>
      </c>
      <c r="B1953" s="1">
        <v>2010.0</v>
      </c>
      <c r="C1953" s="1" t="s">
        <v>21315</v>
      </c>
      <c r="D1953" s="1" t="s">
        <v>21316</v>
      </c>
      <c r="E1953" s="2" t="s">
        <v>23966</v>
      </c>
      <c r="F1953" s="1">
        <v>908.0</v>
      </c>
      <c r="G1953" s="1">
        <v>917.0</v>
      </c>
      <c r="H1953" s="1" t="s">
        <v>17059</v>
      </c>
      <c r="I1953" s="1" t="s">
        <v>21317</v>
      </c>
      <c r="J1953" s="1" t="s">
        <v>21318</v>
      </c>
      <c r="K1953" s="1"/>
      <c r="L1953" s="1" t="s">
        <v>5349</v>
      </c>
      <c r="M1953" s="1" t="s">
        <v>21320</v>
      </c>
      <c r="N1953" s="1" t="s">
        <v>21321</v>
      </c>
    </row>
    <row r="1954">
      <c r="A1954" s="1" t="s">
        <v>2137</v>
      </c>
      <c r="B1954" s="1">
        <v>2010.0</v>
      </c>
      <c r="C1954" s="1" t="s">
        <v>21322</v>
      </c>
      <c r="D1954" s="1" t="s">
        <v>21323</v>
      </c>
      <c r="E1954" s="2" t="s">
        <v>24047</v>
      </c>
      <c r="F1954" s="1">
        <v>1027.0</v>
      </c>
      <c r="G1954" s="1">
        <v>1035.0</v>
      </c>
      <c r="H1954" s="1" t="s">
        <v>17059</v>
      </c>
      <c r="I1954" s="1" t="s">
        <v>21325</v>
      </c>
      <c r="J1954" s="1" t="s">
        <v>21326</v>
      </c>
      <c r="K1954" s="1"/>
      <c r="L1954" s="1" t="s">
        <v>880</v>
      </c>
      <c r="M1954" s="1" t="s">
        <v>21327</v>
      </c>
      <c r="N1954" s="1" t="s">
        <v>21328</v>
      </c>
    </row>
    <row r="1955">
      <c r="A1955" s="1" t="s">
        <v>17</v>
      </c>
      <c r="B1955" s="1">
        <v>2010.0</v>
      </c>
      <c r="C1955" s="1" t="s">
        <v>21946</v>
      </c>
      <c r="D1955" s="1" t="s">
        <v>21947</v>
      </c>
      <c r="E1955" s="2" t="s">
        <v>24104</v>
      </c>
      <c r="F1955" s="1">
        <v>1251.0</v>
      </c>
      <c r="G1955" s="1">
        <v>1260.0</v>
      </c>
      <c r="H1955" s="1" t="s">
        <v>17059</v>
      </c>
      <c r="I1955" s="1" t="s">
        <v>24128</v>
      </c>
      <c r="J1955" s="1" t="s">
        <v>21951</v>
      </c>
      <c r="K1955" s="1"/>
      <c r="L1955" s="1" t="s">
        <v>24130</v>
      </c>
      <c r="M1955" s="1" t="s">
        <v>3572</v>
      </c>
      <c r="N1955" s="1" t="s">
        <v>21952</v>
      </c>
    </row>
    <row r="1956">
      <c r="A1956" s="1" t="s">
        <v>2137</v>
      </c>
      <c r="B1956" s="1">
        <v>2010.0</v>
      </c>
      <c r="C1956" s="1" t="s">
        <v>21330</v>
      </c>
      <c r="D1956" s="1" t="s">
        <v>21331</v>
      </c>
      <c r="E1956" s="2" t="s">
        <v>24134</v>
      </c>
      <c r="F1956" s="1">
        <v>1149.0</v>
      </c>
      <c r="G1956" s="1">
        <v>1156.0</v>
      </c>
      <c r="H1956" s="1" t="s">
        <v>17059</v>
      </c>
      <c r="I1956" s="1" t="s">
        <v>21332</v>
      </c>
      <c r="J1956" s="1" t="s">
        <v>21333</v>
      </c>
      <c r="K1956" s="1"/>
      <c r="L1956" s="1" t="s">
        <v>22981</v>
      </c>
      <c r="M1956" s="1" t="s">
        <v>21334</v>
      </c>
      <c r="N1956" s="1" t="s">
        <v>21335</v>
      </c>
      <c r="P1956" s="1"/>
      <c r="Q1956" s="1" t="s">
        <v>19037</v>
      </c>
    </row>
    <row r="1957">
      <c r="A1957" s="1" t="s">
        <v>17</v>
      </c>
      <c r="B1957" s="1">
        <v>2010.0</v>
      </c>
      <c r="C1957" s="1" t="s">
        <v>21953</v>
      </c>
      <c r="D1957" s="1" t="s">
        <v>21954</v>
      </c>
      <c r="E1957" s="2" t="s">
        <v>24155</v>
      </c>
      <c r="F1957" s="1">
        <v>1505.0</v>
      </c>
      <c r="G1957" s="1">
        <v>1514.0</v>
      </c>
      <c r="H1957" s="1" t="s">
        <v>17059</v>
      </c>
      <c r="I1957" s="1" t="s">
        <v>21955</v>
      </c>
      <c r="J1957" s="1" t="s">
        <v>21956</v>
      </c>
      <c r="K1957" s="1"/>
      <c r="L1957" s="1" t="s">
        <v>24180</v>
      </c>
      <c r="M1957" s="1" t="s">
        <v>21959</v>
      </c>
      <c r="N1957" s="1" t="s">
        <v>21960</v>
      </c>
    </row>
    <row r="1958">
      <c r="A1958" s="1" t="s">
        <v>17</v>
      </c>
      <c r="B1958" s="1">
        <v>2010.0</v>
      </c>
      <c r="C1958" s="1" t="s">
        <v>21961</v>
      </c>
      <c r="D1958" s="1" t="s">
        <v>21962</v>
      </c>
      <c r="E1958" s="2" t="s">
        <v>24187</v>
      </c>
      <c r="F1958" s="1">
        <v>1291.0</v>
      </c>
      <c r="G1958" s="1">
        <v>1300.0</v>
      </c>
      <c r="H1958" s="1" t="s">
        <v>17059</v>
      </c>
      <c r="I1958" s="1" t="s">
        <v>24198</v>
      </c>
      <c r="J1958" s="1" t="s">
        <v>21965</v>
      </c>
      <c r="K1958" s="1"/>
      <c r="L1958" s="1" t="s">
        <v>24200</v>
      </c>
      <c r="M1958" s="1" t="s">
        <v>21967</v>
      </c>
      <c r="N1958" s="1" t="s">
        <v>21968</v>
      </c>
    </row>
    <row r="1959">
      <c r="A1959" s="1" t="s">
        <v>17</v>
      </c>
      <c r="B1959" s="1">
        <v>2010.0</v>
      </c>
      <c r="C1959" s="1" t="s">
        <v>21970</v>
      </c>
      <c r="D1959" s="1" t="s">
        <v>21971</v>
      </c>
      <c r="E1959" s="2" t="s">
        <v>24206</v>
      </c>
      <c r="F1959" s="1">
        <v>1376.0</v>
      </c>
      <c r="G1959" s="1">
        <v>1385.0</v>
      </c>
      <c r="H1959" s="1" t="s">
        <v>17059</v>
      </c>
      <c r="I1959" s="1" t="s">
        <v>21972</v>
      </c>
      <c r="J1959" s="1" t="s">
        <v>24226</v>
      </c>
      <c r="K1959" s="1"/>
      <c r="L1959" s="1" t="s">
        <v>24228</v>
      </c>
      <c r="M1959" s="1" t="s">
        <v>21976</v>
      </c>
      <c r="N1959" s="1" t="s">
        <v>21977</v>
      </c>
    </row>
    <row r="1960">
      <c r="A1960" s="1" t="s">
        <v>17</v>
      </c>
      <c r="B1960" s="1">
        <v>2010.0</v>
      </c>
      <c r="C1960" s="1" t="s">
        <v>21978</v>
      </c>
      <c r="D1960" s="1" t="s">
        <v>21979</v>
      </c>
      <c r="E1960" s="2" t="s">
        <v>24233</v>
      </c>
      <c r="F1960" s="1">
        <v>1533.0</v>
      </c>
      <c r="G1960" s="1">
        <v>1540.0</v>
      </c>
      <c r="H1960" s="1" t="s">
        <v>17059</v>
      </c>
      <c r="I1960" s="1" t="s">
        <v>21982</v>
      </c>
      <c r="J1960" s="1" t="s">
        <v>24250</v>
      </c>
      <c r="K1960" s="1"/>
      <c r="L1960" s="1" t="s">
        <v>24252</v>
      </c>
      <c r="M1960" s="1" t="s">
        <v>21986</v>
      </c>
      <c r="N1960" s="1" t="s">
        <v>21987</v>
      </c>
    </row>
    <row r="1961">
      <c r="A1961" s="1" t="s">
        <v>2137</v>
      </c>
      <c r="B1961" s="1">
        <v>2010.0</v>
      </c>
      <c r="C1961" s="1" t="s">
        <v>24258</v>
      </c>
      <c r="D1961" s="1" t="s">
        <v>21337</v>
      </c>
      <c r="E1961" s="2" t="s">
        <v>24259</v>
      </c>
      <c r="F1961" s="1">
        <v>953.0</v>
      </c>
      <c r="G1961" s="1">
        <v>962.0</v>
      </c>
      <c r="H1961" s="1" t="s">
        <v>17059</v>
      </c>
      <c r="I1961" s="1" t="s">
        <v>21338</v>
      </c>
      <c r="J1961" s="1" t="s">
        <v>21339</v>
      </c>
      <c r="K1961" s="1"/>
      <c r="L1961" s="1" t="s">
        <v>494</v>
      </c>
      <c r="M1961" s="1" t="s">
        <v>21341</v>
      </c>
    </row>
    <row r="1962">
      <c r="A1962" s="1" t="s">
        <v>2137</v>
      </c>
      <c r="B1962" s="1">
        <v>2010.0</v>
      </c>
      <c r="C1962" s="1" t="s">
        <v>21342</v>
      </c>
      <c r="D1962" s="1" t="s">
        <v>21343</v>
      </c>
      <c r="E1962" s="2" t="s">
        <v>24273</v>
      </c>
      <c r="F1962" s="1">
        <v>963.0</v>
      </c>
      <c r="G1962" s="1">
        <v>972.0</v>
      </c>
      <c r="H1962" s="1" t="s">
        <v>17059</v>
      </c>
      <c r="I1962" s="1" t="s">
        <v>21345</v>
      </c>
      <c r="J1962" s="1" t="s">
        <v>21347</v>
      </c>
      <c r="K1962" s="1"/>
      <c r="L1962" s="1" t="s">
        <v>24283</v>
      </c>
      <c r="M1962" s="1" t="s">
        <v>2378</v>
      </c>
      <c r="N1962" s="1" t="s">
        <v>21350</v>
      </c>
    </row>
    <row r="1963">
      <c r="A1963" s="1" t="s">
        <v>17</v>
      </c>
      <c r="B1963" s="1">
        <v>2010.0</v>
      </c>
      <c r="C1963" s="1" t="s">
        <v>21988</v>
      </c>
      <c r="D1963" s="1" t="s">
        <v>21989</v>
      </c>
      <c r="E1963" s="2" t="s">
        <v>24285</v>
      </c>
      <c r="F1963" s="1">
        <v>1311.0</v>
      </c>
      <c r="G1963" s="1">
        <v>1318.0</v>
      </c>
      <c r="H1963" s="1" t="s">
        <v>17059</v>
      </c>
      <c r="I1963" s="1" t="s">
        <v>21990</v>
      </c>
      <c r="J1963" s="1" t="s">
        <v>21991</v>
      </c>
      <c r="K1963" s="1"/>
      <c r="L1963" s="1" t="s">
        <v>5349</v>
      </c>
      <c r="M1963" s="1" t="s">
        <v>21994</v>
      </c>
      <c r="N1963" s="1" t="s">
        <v>21995</v>
      </c>
    </row>
    <row r="1964">
      <c r="A1964" s="1" t="s">
        <v>17</v>
      </c>
      <c r="B1964" s="1">
        <v>2010.0</v>
      </c>
      <c r="C1964" s="1" t="s">
        <v>21996</v>
      </c>
      <c r="D1964" s="1" t="s">
        <v>21997</v>
      </c>
      <c r="E1964" s="2" t="s">
        <v>24306</v>
      </c>
      <c r="F1964" s="1">
        <v>1366.0</v>
      </c>
      <c r="G1964" s="1">
        <v>1375.0</v>
      </c>
      <c r="H1964" s="1" t="s">
        <v>17059</v>
      </c>
      <c r="I1964" s="1" t="s">
        <v>21999</v>
      </c>
      <c r="J1964" s="1" t="s">
        <v>24316</v>
      </c>
      <c r="K1964" s="1"/>
      <c r="L1964" s="1" t="s">
        <v>24317</v>
      </c>
      <c r="M1964" s="1" t="s">
        <v>22002</v>
      </c>
      <c r="N1964" s="1" t="s">
        <v>22003</v>
      </c>
    </row>
    <row r="1965">
      <c r="A1965" s="1" t="s">
        <v>17</v>
      </c>
      <c r="B1965" s="1">
        <v>2010.0</v>
      </c>
      <c r="C1965" s="1" t="s">
        <v>22004</v>
      </c>
      <c r="D1965" s="1" t="s">
        <v>22005</v>
      </c>
      <c r="E1965" s="2" t="s">
        <v>24321</v>
      </c>
      <c r="F1965" s="1">
        <v>1339.0</v>
      </c>
      <c r="G1965" s="1">
        <v>1347.0</v>
      </c>
      <c r="H1965" s="1" t="s">
        <v>17059</v>
      </c>
      <c r="I1965" s="1" t="s">
        <v>22006</v>
      </c>
      <c r="J1965" s="1" t="s">
        <v>24337</v>
      </c>
      <c r="K1965" s="1"/>
      <c r="L1965" s="1" t="s">
        <v>24338</v>
      </c>
      <c r="M1965" s="1" t="s">
        <v>22010</v>
      </c>
      <c r="N1965" s="1" t="s">
        <v>22011</v>
      </c>
    </row>
    <row r="1966">
      <c r="A1966" s="1" t="s">
        <v>2137</v>
      </c>
      <c r="B1966" s="1">
        <v>2010.0</v>
      </c>
      <c r="C1966" s="1" t="s">
        <v>21352</v>
      </c>
      <c r="D1966" s="1" t="s">
        <v>21353</v>
      </c>
      <c r="E1966" s="2" t="s">
        <v>24341</v>
      </c>
      <c r="F1966" s="1">
        <v>1172.0</v>
      </c>
      <c r="G1966" s="1">
        <v>1181.0</v>
      </c>
      <c r="H1966" s="1" t="s">
        <v>17059</v>
      </c>
      <c r="I1966" s="1" t="s">
        <v>21354</v>
      </c>
      <c r="J1966" s="1" t="s">
        <v>21355</v>
      </c>
      <c r="K1966" s="1"/>
      <c r="L1966" s="1" t="s">
        <v>24359</v>
      </c>
      <c r="M1966" s="1" t="s">
        <v>21357</v>
      </c>
      <c r="N1966" s="1" t="s">
        <v>21358</v>
      </c>
    </row>
    <row r="1967">
      <c r="A1967" s="1" t="s">
        <v>17</v>
      </c>
      <c r="B1967" s="1">
        <v>2010.0</v>
      </c>
      <c r="C1967" s="1" t="s">
        <v>22012</v>
      </c>
      <c r="D1967" s="1" t="s">
        <v>22013</v>
      </c>
      <c r="E1967" s="2" t="s">
        <v>24365</v>
      </c>
      <c r="F1967" s="1">
        <v>1525.0</v>
      </c>
      <c r="G1967" s="1">
        <v>1532.0</v>
      </c>
      <c r="H1967" s="1" t="s">
        <v>17059</v>
      </c>
      <c r="I1967" s="1" t="s">
        <v>22014</v>
      </c>
      <c r="J1967" s="1" t="s">
        <v>22016</v>
      </c>
      <c r="K1967" s="1"/>
      <c r="L1967" s="1" t="s">
        <v>24381</v>
      </c>
      <c r="M1967" s="1" t="s">
        <v>22019</v>
      </c>
      <c r="N1967" s="1" t="s">
        <v>22020</v>
      </c>
    </row>
    <row r="1968">
      <c r="A1968" s="1" t="s">
        <v>17</v>
      </c>
      <c r="B1968" s="1">
        <v>2010.0</v>
      </c>
      <c r="C1968" s="1" t="s">
        <v>22021</v>
      </c>
      <c r="D1968" s="1" t="s">
        <v>22022</v>
      </c>
      <c r="E1968" s="2" t="s">
        <v>24386</v>
      </c>
      <c r="F1968" s="1">
        <v>1541.0</v>
      </c>
      <c r="G1968" s="1">
        <v>1550.0</v>
      </c>
      <c r="H1968" s="1" t="s">
        <v>17059</v>
      </c>
      <c r="I1968" s="1" t="s">
        <v>22023</v>
      </c>
      <c r="J1968" s="1" t="s">
        <v>22024</v>
      </c>
      <c r="K1968" s="1"/>
      <c r="L1968" s="1" t="s">
        <v>24402</v>
      </c>
      <c r="M1968" s="1" t="s">
        <v>22025</v>
      </c>
      <c r="N1968" s="1" t="s">
        <v>22026</v>
      </c>
    </row>
    <row r="1969">
      <c r="A1969" s="1" t="s">
        <v>17</v>
      </c>
      <c r="B1969" s="1">
        <v>2010.0</v>
      </c>
      <c r="C1969" s="1" t="s">
        <v>22027</v>
      </c>
      <c r="D1969" s="1" t="s">
        <v>22028</v>
      </c>
      <c r="E1969" s="2" t="s">
        <v>24408</v>
      </c>
      <c r="F1969" s="1">
        <v>1613.0</v>
      </c>
      <c r="G1969" s="1">
        <v>1622.0</v>
      </c>
      <c r="H1969" s="1" t="s">
        <v>17059</v>
      </c>
      <c r="I1969" s="1" t="s">
        <v>22030</v>
      </c>
      <c r="J1969" s="1" t="s">
        <v>22031</v>
      </c>
      <c r="K1969" s="1"/>
      <c r="L1969" s="1" t="s">
        <v>24419</v>
      </c>
      <c r="M1969" s="1" t="s">
        <v>22034</v>
      </c>
      <c r="N1969" s="1" t="s">
        <v>22035</v>
      </c>
    </row>
    <row r="1970">
      <c r="A1970" s="1" t="s">
        <v>2137</v>
      </c>
      <c r="B1970" s="1">
        <v>2010.0</v>
      </c>
      <c r="C1970" s="1" t="s">
        <v>21359</v>
      </c>
      <c r="D1970" s="1" t="s">
        <v>21360</v>
      </c>
      <c r="E1970" s="2" t="s">
        <v>24425</v>
      </c>
      <c r="F1970" s="1">
        <v>1073.0</v>
      </c>
      <c r="G1970" s="1">
        <v>1081.0</v>
      </c>
      <c r="H1970" s="1" t="s">
        <v>17059</v>
      </c>
      <c r="I1970" s="1" t="s">
        <v>24439</v>
      </c>
      <c r="J1970" s="1" t="s">
        <v>21362</v>
      </c>
      <c r="K1970" s="1"/>
      <c r="L1970" s="1" t="s">
        <v>880</v>
      </c>
      <c r="M1970" s="1" t="s">
        <v>21364</v>
      </c>
      <c r="N1970" s="1" t="s">
        <v>21365</v>
      </c>
    </row>
    <row r="1971">
      <c r="A1971" s="1" t="s">
        <v>17</v>
      </c>
      <c r="B1971" s="1">
        <v>2010.0</v>
      </c>
      <c r="C1971" s="1" t="s">
        <v>22036</v>
      </c>
      <c r="D1971" s="1" t="s">
        <v>22037</v>
      </c>
      <c r="E1971" s="2" t="s">
        <v>24441</v>
      </c>
      <c r="F1971" s="1">
        <v>1495.0</v>
      </c>
      <c r="G1971" s="1">
        <v>1504.0</v>
      </c>
      <c r="H1971" s="1" t="s">
        <v>17059</v>
      </c>
      <c r="I1971" s="1" t="s">
        <v>22038</v>
      </c>
      <c r="J1971" s="1" t="s">
        <v>24456</v>
      </c>
      <c r="K1971" s="1"/>
      <c r="L1971" s="1" t="s">
        <v>22152</v>
      </c>
      <c r="M1971" s="1" t="s">
        <v>22043</v>
      </c>
      <c r="N1971" s="1" t="s">
        <v>22044</v>
      </c>
    </row>
    <row r="1972">
      <c r="A1972" s="1" t="s">
        <v>2137</v>
      </c>
      <c r="B1972" s="1">
        <v>2010.0</v>
      </c>
      <c r="C1972" s="1" t="s">
        <v>21368</v>
      </c>
      <c r="D1972" s="1" t="s">
        <v>21369</v>
      </c>
      <c r="E1972" s="2" t="s">
        <v>24462</v>
      </c>
      <c r="F1972" s="1">
        <v>973.0</v>
      </c>
      <c r="G1972" s="1">
        <v>979.0</v>
      </c>
      <c r="H1972" s="1" t="s">
        <v>17059</v>
      </c>
      <c r="I1972" s="1" t="s">
        <v>21370</v>
      </c>
      <c r="J1972" s="1" t="s">
        <v>21371</v>
      </c>
      <c r="K1972" s="1"/>
      <c r="L1972" s="1" t="s">
        <v>24474</v>
      </c>
      <c r="M1972" s="1" t="s">
        <v>18191</v>
      </c>
      <c r="N1972" s="1" t="s">
        <v>21374</v>
      </c>
      <c r="P1972" s="1"/>
      <c r="Q1972" s="1" t="s">
        <v>106</v>
      </c>
    </row>
    <row r="1973">
      <c r="A1973" s="1" t="s">
        <v>2137</v>
      </c>
      <c r="B1973" s="1">
        <v>2010.0</v>
      </c>
      <c r="C1973" s="1" t="s">
        <v>21375</v>
      </c>
      <c r="D1973" s="1" t="s">
        <v>21376</v>
      </c>
      <c r="E1973" s="2" t="s">
        <v>24478</v>
      </c>
      <c r="F1973" s="1">
        <v>927.0</v>
      </c>
      <c r="G1973" s="1">
        <v>934.0</v>
      </c>
      <c r="H1973" s="1" t="s">
        <v>17059</v>
      </c>
      <c r="I1973" s="1" t="s">
        <v>21378</v>
      </c>
      <c r="J1973" s="1" t="s">
        <v>21379</v>
      </c>
      <c r="K1973" s="1"/>
      <c r="L1973" s="1" t="s">
        <v>24490</v>
      </c>
      <c r="M1973" s="1" t="s">
        <v>21381</v>
      </c>
      <c r="N1973" s="1" t="s">
        <v>21382</v>
      </c>
    </row>
    <row r="1974">
      <c r="A1974" s="1" t="s">
        <v>2137</v>
      </c>
      <c r="B1974" s="1">
        <v>2010.0</v>
      </c>
      <c r="C1974" s="1" t="s">
        <v>21383</v>
      </c>
      <c r="D1974" s="1" t="s">
        <v>21384</v>
      </c>
      <c r="E1974" s="2" t="s">
        <v>24495</v>
      </c>
      <c r="F1974" s="1">
        <v>918.0</v>
      </c>
      <c r="G1974" s="1">
        <v>926.0</v>
      </c>
      <c r="H1974" s="1" t="s">
        <v>17059</v>
      </c>
      <c r="I1974" s="1" t="s">
        <v>21385</v>
      </c>
      <c r="J1974" s="1" t="s">
        <v>21386</v>
      </c>
      <c r="K1974" s="1"/>
      <c r="L1974" s="1" t="s">
        <v>24507</v>
      </c>
      <c r="M1974" s="1" t="s">
        <v>21389</v>
      </c>
      <c r="N1974" s="1" t="s">
        <v>21390</v>
      </c>
    </row>
    <row r="1975">
      <c r="A1975" s="1" t="s">
        <v>2137</v>
      </c>
      <c r="B1975" s="1">
        <v>2010.0</v>
      </c>
      <c r="C1975" s="1" t="s">
        <v>21392</v>
      </c>
      <c r="D1975" s="1" t="s">
        <v>21393</v>
      </c>
      <c r="E1975" s="2" t="s">
        <v>24511</v>
      </c>
      <c r="F1975" s="1">
        <v>943.0</v>
      </c>
      <c r="G1975" s="1">
        <v>952.0</v>
      </c>
      <c r="H1975" s="1" t="s">
        <v>17059</v>
      </c>
      <c r="I1975" s="1" t="s">
        <v>21395</v>
      </c>
      <c r="J1975" s="1" t="s">
        <v>21396</v>
      </c>
      <c r="K1975" s="1"/>
      <c r="L1975" s="1" t="s">
        <v>22110</v>
      </c>
      <c r="M1975" s="1" t="s">
        <v>21399</v>
      </c>
      <c r="N1975" s="1" t="s">
        <v>21400</v>
      </c>
    </row>
    <row r="1976">
      <c r="A1976" s="1" t="s">
        <v>17</v>
      </c>
      <c r="B1976" s="1">
        <v>2010.0</v>
      </c>
      <c r="C1976" s="1" t="s">
        <v>22045</v>
      </c>
      <c r="D1976" s="1" t="s">
        <v>22046</v>
      </c>
      <c r="E1976" s="2" t="s">
        <v>24529</v>
      </c>
      <c r="F1976" s="1">
        <v>1329.0</v>
      </c>
      <c r="G1976" s="1">
        <v>1338.0</v>
      </c>
      <c r="H1976" s="1" t="s">
        <v>17059</v>
      </c>
      <c r="I1976" s="1" t="s">
        <v>24541</v>
      </c>
      <c r="J1976" s="1" t="s">
        <v>22048</v>
      </c>
      <c r="K1976" s="1"/>
      <c r="L1976" s="1" t="s">
        <v>24543</v>
      </c>
      <c r="M1976" s="1" t="s">
        <v>22050</v>
      </c>
      <c r="N1976" s="1" t="s">
        <v>22051</v>
      </c>
      <c r="P1976" s="1"/>
      <c r="Q1976" s="1" t="s">
        <v>19037</v>
      </c>
    </row>
    <row r="1977">
      <c r="A1977" s="1" t="s">
        <v>17</v>
      </c>
      <c r="B1977" s="1">
        <v>2010.0</v>
      </c>
      <c r="C1977" s="1" t="s">
        <v>22155</v>
      </c>
      <c r="D1977" s="1" t="s">
        <v>22156</v>
      </c>
      <c r="E1977" s="2" t="s">
        <v>24549</v>
      </c>
      <c r="F1977" s="1">
        <v>1386.0</v>
      </c>
      <c r="G1977" s="1">
        <v>1395.0</v>
      </c>
      <c r="H1977" s="1" t="s">
        <v>17059</v>
      </c>
      <c r="I1977" s="1" t="s">
        <v>22157</v>
      </c>
      <c r="J1977" s="1" t="s">
        <v>24563</v>
      </c>
      <c r="K1977" s="1"/>
      <c r="L1977" s="1" t="s">
        <v>13886</v>
      </c>
      <c r="M1977" s="1" t="s">
        <v>22161</v>
      </c>
      <c r="N1977" s="1" t="s">
        <v>22162</v>
      </c>
    </row>
    <row r="1978">
      <c r="A1978" s="1" t="s">
        <v>17</v>
      </c>
      <c r="B1978" s="1">
        <v>2010.0</v>
      </c>
      <c r="C1978" s="1" t="s">
        <v>22163</v>
      </c>
      <c r="D1978" s="1" t="s">
        <v>22164</v>
      </c>
      <c r="E1978" s="2" t="s">
        <v>24569</v>
      </c>
      <c r="F1978" s="1">
        <v>1569.0</v>
      </c>
      <c r="G1978" s="1">
        <v>1577.0</v>
      </c>
      <c r="H1978" s="1" t="s">
        <v>17059</v>
      </c>
      <c r="I1978" s="1" t="s">
        <v>22165</v>
      </c>
      <c r="J1978" s="1" t="s">
        <v>24586</v>
      </c>
      <c r="K1978" s="1"/>
      <c r="L1978" s="1" t="s">
        <v>24587</v>
      </c>
      <c r="M1978" s="1" t="s">
        <v>22168</v>
      </c>
      <c r="N1978" s="1" t="s">
        <v>22169</v>
      </c>
    </row>
    <row r="1979">
      <c r="A1979" s="1" t="s">
        <v>17</v>
      </c>
      <c r="B1979" s="1">
        <v>2010.0</v>
      </c>
      <c r="C1979" s="1" t="s">
        <v>22170</v>
      </c>
      <c r="D1979" s="1" t="s">
        <v>22171</v>
      </c>
      <c r="E1979" s="2" t="s">
        <v>24590</v>
      </c>
      <c r="F1979" s="1">
        <v>1560.0</v>
      </c>
      <c r="G1979" s="1">
        <v>1568.0</v>
      </c>
      <c r="H1979" s="1" t="s">
        <v>17059</v>
      </c>
      <c r="I1979" s="1" t="s">
        <v>22172</v>
      </c>
      <c r="J1979" s="1" t="s">
        <v>24617</v>
      </c>
      <c r="K1979" s="1"/>
      <c r="L1979" s="1" t="s">
        <v>24618</v>
      </c>
      <c r="M1979" s="1" t="s">
        <v>22175</v>
      </c>
      <c r="N1979" s="1" t="s">
        <v>22176</v>
      </c>
    </row>
    <row r="1980">
      <c r="A1980" s="1" t="s">
        <v>17</v>
      </c>
      <c r="B1980" s="1">
        <v>2010.0</v>
      </c>
      <c r="C1980" s="1" t="s">
        <v>22177</v>
      </c>
      <c r="D1980" s="1" t="s">
        <v>22178</v>
      </c>
      <c r="E1980" s="2" t="s">
        <v>24623</v>
      </c>
      <c r="F1980" s="1">
        <v>1449.0</v>
      </c>
      <c r="G1980" s="1">
        <v>1457.0</v>
      </c>
      <c r="H1980" s="1" t="s">
        <v>17059</v>
      </c>
      <c r="I1980" s="1" t="s">
        <v>22179</v>
      </c>
      <c r="J1980" s="1" t="s">
        <v>22180</v>
      </c>
      <c r="K1980" s="1"/>
      <c r="L1980" s="1" t="s">
        <v>15865</v>
      </c>
      <c r="M1980" s="1" t="s">
        <v>22182</v>
      </c>
      <c r="N1980" s="1" t="s">
        <v>22183</v>
      </c>
    </row>
    <row r="1981">
      <c r="A1981" s="1" t="s">
        <v>17</v>
      </c>
      <c r="B1981" s="1">
        <v>2010.0</v>
      </c>
      <c r="C1981" s="1" t="s">
        <v>22184</v>
      </c>
      <c r="D1981" s="1" t="s">
        <v>22185</v>
      </c>
      <c r="E1981" s="2" t="s">
        <v>24642</v>
      </c>
      <c r="F1981" s="1">
        <v>1441.0</v>
      </c>
      <c r="G1981" s="1">
        <v>1448.0</v>
      </c>
      <c r="H1981" s="1" t="s">
        <v>17059</v>
      </c>
      <c r="I1981" s="1" t="s">
        <v>22186</v>
      </c>
      <c r="J1981" s="1" t="s">
        <v>22187</v>
      </c>
      <c r="K1981" s="1"/>
      <c r="L1981" s="1" t="s">
        <v>24663</v>
      </c>
      <c r="M1981" s="1" t="s">
        <v>22190</v>
      </c>
      <c r="N1981" s="1" t="s">
        <v>22191</v>
      </c>
    </row>
    <row r="1982">
      <c r="A1982" s="1" t="s">
        <v>17</v>
      </c>
      <c r="B1982" s="1">
        <v>2010.0</v>
      </c>
      <c r="C1982" s="1" t="s">
        <v>22192</v>
      </c>
      <c r="D1982" s="1" t="s">
        <v>22193</v>
      </c>
      <c r="E1982" s="2" t="s">
        <v>24671</v>
      </c>
      <c r="F1982" s="1">
        <v>1319.0</v>
      </c>
      <c r="G1982" s="1">
        <v>1328.0</v>
      </c>
      <c r="H1982" s="1" t="s">
        <v>17059</v>
      </c>
      <c r="I1982" s="1" t="s">
        <v>22194</v>
      </c>
      <c r="J1982" s="1" t="s">
        <v>22195</v>
      </c>
      <c r="K1982" s="1"/>
      <c r="L1982" s="1" t="s">
        <v>24683</v>
      </c>
      <c r="M1982" s="1" t="s">
        <v>22197</v>
      </c>
      <c r="N1982" s="1" t="s">
        <v>22198</v>
      </c>
    </row>
    <row r="1983">
      <c r="A1983" s="1" t="s">
        <v>2137</v>
      </c>
      <c r="B1983" s="1">
        <v>2010.0</v>
      </c>
      <c r="C1983" s="1" t="s">
        <v>21401</v>
      </c>
      <c r="D1983" s="1" t="s">
        <v>21402</v>
      </c>
      <c r="E1983" s="2" t="s">
        <v>24688</v>
      </c>
      <c r="F1983" s="1">
        <v>1009.0</v>
      </c>
      <c r="G1983" s="1">
        <v>1016.0</v>
      </c>
      <c r="H1983" s="1" t="s">
        <v>17059</v>
      </c>
      <c r="I1983" s="1" t="s">
        <v>21403</v>
      </c>
      <c r="J1983" s="1" t="s">
        <v>19213</v>
      </c>
      <c r="K1983" s="1"/>
      <c r="L1983" s="1" t="s">
        <v>178</v>
      </c>
      <c r="M1983" s="1" t="s">
        <v>19071</v>
      </c>
      <c r="N1983" s="1" t="s">
        <v>21405</v>
      </c>
    </row>
    <row r="1984">
      <c r="A1984" s="1" t="s">
        <v>2137</v>
      </c>
      <c r="B1984" s="1">
        <v>2010.0</v>
      </c>
      <c r="C1984" s="1" t="s">
        <v>21406</v>
      </c>
      <c r="D1984" s="1" t="s">
        <v>21408</v>
      </c>
      <c r="E1984" s="2" t="s">
        <v>24704</v>
      </c>
      <c r="F1984" s="1">
        <v>1190.0</v>
      </c>
      <c r="G1984" s="1">
        <v>1197.0</v>
      </c>
      <c r="H1984" s="1" t="s">
        <v>17059</v>
      </c>
      <c r="I1984" s="1" t="s">
        <v>21409</v>
      </c>
      <c r="J1984" s="1" t="s">
        <v>21410</v>
      </c>
      <c r="K1984" s="1"/>
      <c r="L1984" s="1" t="s">
        <v>24725</v>
      </c>
      <c r="M1984" s="1" t="s">
        <v>21413</v>
      </c>
      <c r="N1984" s="1" t="s">
        <v>21414</v>
      </c>
    </row>
    <row r="1985">
      <c r="A1985" s="1" t="s">
        <v>2137</v>
      </c>
      <c r="B1985" s="1">
        <v>2010.0</v>
      </c>
      <c r="C1985" s="1" t="s">
        <v>21415</v>
      </c>
      <c r="D1985" s="1" t="s">
        <v>21416</v>
      </c>
      <c r="E1985" s="2" t="s">
        <v>24729</v>
      </c>
      <c r="F1985" s="1">
        <v>980.0</v>
      </c>
      <c r="G1985" s="1">
        <v>989.0</v>
      </c>
      <c r="H1985" s="1" t="s">
        <v>17059</v>
      </c>
      <c r="I1985" s="1" t="s">
        <v>21418</v>
      </c>
      <c r="J1985" s="1" t="s">
        <v>21419</v>
      </c>
      <c r="K1985" s="1"/>
      <c r="L1985" s="1" t="s">
        <v>24749</v>
      </c>
      <c r="M1985" s="1" t="s">
        <v>21422</v>
      </c>
      <c r="N1985" s="1" t="s">
        <v>21423</v>
      </c>
    </row>
    <row r="1986">
      <c r="A1986" s="1" t="s">
        <v>2137</v>
      </c>
      <c r="B1986" s="1">
        <v>2010.0</v>
      </c>
      <c r="C1986" s="1" t="s">
        <v>21425</v>
      </c>
      <c r="D1986" s="1" t="s">
        <v>21426</v>
      </c>
      <c r="E1986" s="2" t="s">
        <v>24755</v>
      </c>
      <c r="F1986" s="1">
        <v>999.0</v>
      </c>
      <c r="G1986" s="1">
        <v>1008.0</v>
      </c>
      <c r="H1986" s="1" t="s">
        <v>17059</v>
      </c>
      <c r="I1986" s="1" t="s">
        <v>21427</v>
      </c>
      <c r="J1986" s="1" t="s">
        <v>21428</v>
      </c>
      <c r="K1986" s="1"/>
      <c r="L1986" s="1" t="s">
        <v>24771</v>
      </c>
      <c r="M1986" s="1" t="s">
        <v>21431</v>
      </c>
      <c r="N1986" s="1" t="s">
        <v>21432</v>
      </c>
    </row>
    <row r="1987">
      <c r="A1987" s="1" t="s">
        <v>2137</v>
      </c>
      <c r="B1987" s="1">
        <v>2010.0</v>
      </c>
      <c r="C1987" s="1" t="s">
        <v>21433</v>
      </c>
      <c r="D1987" s="1" t="s">
        <v>21434</v>
      </c>
      <c r="E1987" s="2" t="s">
        <v>24774</v>
      </c>
      <c r="F1987" s="1">
        <v>1139.0</v>
      </c>
      <c r="G1987" s="1">
        <v>1148.0</v>
      </c>
      <c r="H1987" s="1" t="s">
        <v>17059</v>
      </c>
      <c r="I1987" s="1" t="s">
        <v>24790</v>
      </c>
      <c r="J1987" s="1" t="s">
        <v>21436</v>
      </c>
      <c r="K1987" s="1"/>
      <c r="L1987" s="1" t="s">
        <v>24791</v>
      </c>
      <c r="M1987" s="1" t="s">
        <v>21437</v>
      </c>
      <c r="N1987" s="1" t="s">
        <v>21438</v>
      </c>
    </row>
    <row r="1988">
      <c r="A1988" s="1" t="s">
        <v>2137</v>
      </c>
      <c r="B1988" s="1">
        <v>2010.0</v>
      </c>
      <c r="C1988" s="1" t="s">
        <v>21439</v>
      </c>
      <c r="D1988" s="1" t="s">
        <v>21440</v>
      </c>
      <c r="E1988" s="2" t="s">
        <v>24798</v>
      </c>
      <c r="F1988" s="1">
        <v>881.0</v>
      </c>
      <c r="G1988" s="1">
        <v>889.0</v>
      </c>
      <c r="H1988" s="1" t="s">
        <v>17059</v>
      </c>
      <c r="I1988" s="1" t="s">
        <v>21449</v>
      </c>
      <c r="J1988" s="1" t="s">
        <v>21450</v>
      </c>
      <c r="K1988" s="1"/>
      <c r="L1988" s="1" t="s">
        <v>24810</v>
      </c>
      <c r="M1988" s="1" t="s">
        <v>21452</v>
      </c>
      <c r="N1988" s="1" t="s">
        <v>21453</v>
      </c>
      <c r="P1988" s="1"/>
      <c r="Q1988" s="1" t="s">
        <v>19037</v>
      </c>
    </row>
    <row r="1989">
      <c r="A1989" s="1" t="s">
        <v>17</v>
      </c>
      <c r="B1989" s="1">
        <v>2010.0</v>
      </c>
      <c r="C1989" s="1" t="s">
        <v>22199</v>
      </c>
      <c r="D1989" s="1" t="s">
        <v>22200</v>
      </c>
      <c r="E1989" s="2" t="s">
        <v>24816</v>
      </c>
      <c r="F1989" s="1">
        <v>1421.0</v>
      </c>
      <c r="G1989" s="1">
        <v>1430.0</v>
      </c>
      <c r="H1989" s="1" t="s">
        <v>17059</v>
      </c>
      <c r="I1989" s="1" t="s">
        <v>22201</v>
      </c>
      <c r="J1989" s="1" t="s">
        <v>22202</v>
      </c>
      <c r="K1989" s="1"/>
      <c r="L1989" s="1" t="s">
        <v>860</v>
      </c>
      <c r="M1989" s="1" t="s">
        <v>22205</v>
      </c>
      <c r="N1989" s="1" t="s">
        <v>22206</v>
      </c>
    </row>
    <row r="1990">
      <c r="A1990" s="1" t="s">
        <v>17</v>
      </c>
      <c r="B1990" s="1">
        <v>2010.0</v>
      </c>
      <c r="C1990" s="1" t="s">
        <v>22207</v>
      </c>
      <c r="D1990" s="1" t="s">
        <v>22208</v>
      </c>
      <c r="E1990" s="2" t="s">
        <v>24828</v>
      </c>
      <c r="F1990" s="1">
        <v>1198.0</v>
      </c>
      <c r="G1990" s="1">
        <v>1205.0</v>
      </c>
      <c r="H1990" s="1" t="s">
        <v>17059</v>
      </c>
      <c r="I1990" s="1" t="s">
        <v>24844</v>
      </c>
      <c r="J1990" s="1" t="s">
        <v>22210</v>
      </c>
      <c r="K1990" s="1"/>
      <c r="L1990" s="1" t="s">
        <v>24845</v>
      </c>
      <c r="M1990" s="1" t="s">
        <v>22212</v>
      </c>
      <c r="N1990" s="1" t="s">
        <v>22213</v>
      </c>
    </row>
    <row r="1991">
      <c r="A1991" s="1" t="s">
        <v>2137</v>
      </c>
      <c r="B1991" s="1">
        <v>2010.0</v>
      </c>
      <c r="C1991" s="1" t="s">
        <v>21455</v>
      </c>
      <c r="D1991" s="1" t="s">
        <v>21456</v>
      </c>
      <c r="E1991" s="2" t="s">
        <v>24851</v>
      </c>
      <c r="F1991" s="1">
        <v>1109.0</v>
      </c>
      <c r="G1991" s="1">
        <v>1118.0</v>
      </c>
      <c r="H1991" s="1" t="s">
        <v>17059</v>
      </c>
      <c r="I1991" s="1" t="s">
        <v>21458</v>
      </c>
      <c r="J1991" s="1" t="s">
        <v>21459</v>
      </c>
      <c r="K1991" s="1"/>
      <c r="L1991" s="1" t="s">
        <v>24861</v>
      </c>
      <c r="M1991" s="1" t="s">
        <v>21460</v>
      </c>
      <c r="N1991" s="1" t="s">
        <v>21461</v>
      </c>
    </row>
    <row r="1992">
      <c r="A1992" s="1" t="s">
        <v>2137</v>
      </c>
      <c r="B1992" s="1">
        <v>2010.0</v>
      </c>
      <c r="C1992" s="1" t="s">
        <v>21462</v>
      </c>
      <c r="D1992" s="1" t="s">
        <v>21463</v>
      </c>
      <c r="E1992" s="2" t="s">
        <v>24863</v>
      </c>
      <c r="F1992" s="1">
        <v>1017.0</v>
      </c>
      <c r="G1992" s="1">
        <v>1026.0</v>
      </c>
      <c r="H1992" s="1" t="s">
        <v>17059</v>
      </c>
      <c r="I1992" s="1" t="s">
        <v>21464</v>
      </c>
      <c r="J1992" s="1" t="s">
        <v>21465</v>
      </c>
      <c r="K1992" s="1"/>
      <c r="L1992" s="1" t="s">
        <v>24879</v>
      </c>
      <c r="M1992" s="1" t="s">
        <v>21467</v>
      </c>
      <c r="N1992" s="1" t="s">
        <v>21468</v>
      </c>
    </row>
    <row r="1993">
      <c r="A1993" s="1" t="s">
        <v>2137</v>
      </c>
      <c r="B1993" s="1">
        <v>2010.0</v>
      </c>
      <c r="C1993" s="1" t="s">
        <v>21469</v>
      </c>
      <c r="D1993" s="1" t="s">
        <v>21470</v>
      </c>
      <c r="E1993" s="2" t="s">
        <v>24883</v>
      </c>
      <c r="F1993" s="1">
        <v>1063.0</v>
      </c>
      <c r="G1993" s="1">
        <v>1072.0</v>
      </c>
      <c r="H1993" s="1" t="s">
        <v>17059</v>
      </c>
      <c r="I1993" s="1" t="s">
        <v>21471</v>
      </c>
      <c r="J1993" s="1" t="s">
        <v>24897</v>
      </c>
      <c r="K1993" s="1"/>
      <c r="L1993" s="1" t="s">
        <v>24898</v>
      </c>
      <c r="M1993" s="1" t="s">
        <v>21475</v>
      </c>
      <c r="N1993" s="1" t="s">
        <v>21476</v>
      </c>
    </row>
    <row r="1994">
      <c r="A1994" s="1" t="s">
        <v>2137</v>
      </c>
      <c r="B1994" s="1">
        <v>2010.0</v>
      </c>
      <c r="C1994" s="1" t="s">
        <v>21477</v>
      </c>
      <c r="D1994" s="1" t="s">
        <v>21478</v>
      </c>
      <c r="E1994" s="2" t="s">
        <v>24901</v>
      </c>
      <c r="F1994" s="1">
        <v>990.0</v>
      </c>
      <c r="G1994" s="1">
        <v>998.0</v>
      </c>
      <c r="H1994" s="1" t="s">
        <v>17059</v>
      </c>
      <c r="I1994" s="1" t="s">
        <v>21479</v>
      </c>
      <c r="J1994" s="1" t="s">
        <v>21480</v>
      </c>
      <c r="K1994" s="1"/>
      <c r="L1994" s="1" t="s">
        <v>24923</v>
      </c>
      <c r="M1994" s="1" t="s">
        <v>21482</v>
      </c>
      <c r="N1994" s="1" t="s">
        <v>21483</v>
      </c>
      <c r="P1994" s="1"/>
      <c r="Q1994" s="1" t="s">
        <v>19037</v>
      </c>
    </row>
    <row r="1995">
      <c r="A1995" s="1" t="s">
        <v>17</v>
      </c>
      <c r="B1995" s="1">
        <v>2010.0</v>
      </c>
      <c r="C1995" s="1" t="s">
        <v>22214</v>
      </c>
      <c r="D1995" s="1" t="s">
        <v>22215</v>
      </c>
      <c r="E1995" s="2" t="s">
        <v>24927</v>
      </c>
      <c r="F1995" s="1">
        <v>1487.0</v>
      </c>
      <c r="G1995" s="1">
        <v>1494.0</v>
      </c>
      <c r="H1995" s="1" t="s">
        <v>17059</v>
      </c>
      <c r="I1995" s="1" t="s">
        <v>22216</v>
      </c>
      <c r="J1995" s="1" t="s">
        <v>25160</v>
      </c>
      <c r="K1995" s="1"/>
      <c r="L1995" s="1" t="s">
        <v>5349</v>
      </c>
      <c r="M1995" s="1" t="s">
        <v>22220</v>
      </c>
      <c r="N1995" s="1" t="s">
        <v>22221</v>
      </c>
    </row>
    <row r="1996">
      <c r="A1996" s="1" t="s">
        <v>17</v>
      </c>
      <c r="B1996" s="1">
        <v>2010.0</v>
      </c>
      <c r="C1996" s="1" t="s">
        <v>22222</v>
      </c>
      <c r="D1996" s="1" t="s">
        <v>22223</v>
      </c>
      <c r="E1996" s="2" t="s">
        <v>25166</v>
      </c>
      <c r="F1996" s="1">
        <v>1633.0</v>
      </c>
      <c r="G1996" s="1">
        <v>1641.0</v>
      </c>
      <c r="H1996" s="1" t="s">
        <v>17059</v>
      </c>
      <c r="I1996" s="1" t="s">
        <v>22224</v>
      </c>
      <c r="J1996" s="1" t="s">
        <v>22225</v>
      </c>
      <c r="K1996" s="1"/>
      <c r="L1996" s="1" t="s">
        <v>25188</v>
      </c>
      <c r="M1996" s="1" t="s">
        <v>22226</v>
      </c>
      <c r="N1996" s="1" t="s">
        <v>22227</v>
      </c>
    </row>
    <row r="1997">
      <c r="A1997" s="1" t="s">
        <v>17</v>
      </c>
      <c r="B1997" s="1">
        <v>2010.0</v>
      </c>
      <c r="C1997" s="1" t="s">
        <v>22228</v>
      </c>
      <c r="D1997" s="1" t="s">
        <v>22229</v>
      </c>
      <c r="E1997" s="2" t="s">
        <v>25191</v>
      </c>
      <c r="F1997" s="1">
        <v>1468.0</v>
      </c>
      <c r="G1997" s="1">
        <v>1476.0</v>
      </c>
      <c r="H1997" s="1" t="s">
        <v>17059</v>
      </c>
      <c r="I1997" s="1" t="s">
        <v>22230</v>
      </c>
      <c r="J1997" s="1" t="s">
        <v>25205</v>
      </c>
      <c r="K1997" s="1"/>
      <c r="L1997" s="1" t="s">
        <v>25206</v>
      </c>
      <c r="M1997" s="1" t="s">
        <v>22234</v>
      </c>
      <c r="N1997" s="1" t="s">
        <v>22235</v>
      </c>
    </row>
    <row r="1998">
      <c r="A1998" s="1" t="s">
        <v>2137</v>
      </c>
      <c r="B1998" s="1">
        <v>2010.0</v>
      </c>
      <c r="C1998" s="1" t="s">
        <v>21484</v>
      </c>
      <c r="D1998" s="1" t="s">
        <v>21485</v>
      </c>
      <c r="E1998" s="2" t="s">
        <v>25211</v>
      </c>
      <c r="F1998" s="1">
        <v>890.0</v>
      </c>
      <c r="G1998" s="1">
        <v>899.0</v>
      </c>
      <c r="H1998" s="1" t="s">
        <v>17059</v>
      </c>
      <c r="I1998" s="1" t="s">
        <v>21487</v>
      </c>
      <c r="J1998" s="1" t="s">
        <v>21488</v>
      </c>
      <c r="K1998" s="1"/>
      <c r="L1998" s="1" t="s">
        <v>22112</v>
      </c>
      <c r="M1998" s="1" t="s">
        <v>21489</v>
      </c>
      <c r="N1998" s="1" t="s">
        <v>21490</v>
      </c>
      <c r="P1998" s="1"/>
      <c r="Q1998" s="1" t="s">
        <v>19037</v>
      </c>
    </row>
    <row r="1999">
      <c r="A1999" s="1" t="s">
        <v>17</v>
      </c>
      <c r="B1999" s="1">
        <v>2010.0</v>
      </c>
      <c r="C1999" s="1" t="s">
        <v>22236</v>
      </c>
      <c r="D1999" s="1" t="s">
        <v>22237</v>
      </c>
      <c r="E1999" s="2" t="s">
        <v>25228</v>
      </c>
      <c r="F1999" s="1">
        <v>1413.0</v>
      </c>
      <c r="G1999" s="1">
        <v>1420.0</v>
      </c>
      <c r="H1999" s="1" t="s">
        <v>17059</v>
      </c>
      <c r="I1999" s="1" t="s">
        <v>22238</v>
      </c>
      <c r="J1999" s="1" t="s">
        <v>22239</v>
      </c>
      <c r="K1999" s="1"/>
      <c r="L1999" s="1" t="s">
        <v>25242</v>
      </c>
      <c r="M1999" s="1" t="s">
        <v>22242</v>
      </c>
      <c r="N1999" s="1" t="s">
        <v>22243</v>
      </c>
    </row>
    <row r="2000">
      <c r="A2000" s="1" t="s">
        <v>2137</v>
      </c>
      <c r="B2000" s="1">
        <v>2010.0</v>
      </c>
      <c r="C2000" s="1" t="s">
        <v>21492</v>
      </c>
      <c r="D2000" s="1" t="s">
        <v>21493</v>
      </c>
      <c r="E2000" s="2" t="s">
        <v>25249</v>
      </c>
      <c r="F2000" s="1">
        <v>900.0</v>
      </c>
      <c r="G2000" s="1">
        <v>907.0</v>
      </c>
      <c r="H2000" s="1" t="s">
        <v>17059</v>
      </c>
      <c r="I2000" s="1" t="s">
        <v>21494</v>
      </c>
      <c r="J2000" s="1" t="s">
        <v>21495</v>
      </c>
      <c r="K2000" s="1"/>
      <c r="L2000" s="1" t="s">
        <v>25262</v>
      </c>
      <c r="M2000" s="1" t="s">
        <v>20588</v>
      </c>
      <c r="N2000" s="1" t="s">
        <v>21497</v>
      </c>
      <c r="P2000" s="1"/>
      <c r="Q2000" s="1" t="s">
        <v>19037</v>
      </c>
    </row>
    <row r="2001">
      <c r="A2001" s="1" t="s">
        <v>2137</v>
      </c>
      <c r="B2001" s="1">
        <v>2010.0</v>
      </c>
      <c r="C2001" s="1" t="s">
        <v>21498</v>
      </c>
      <c r="D2001" s="1" t="s">
        <v>21499</v>
      </c>
      <c r="E2001" s="2" t="s">
        <v>25266</v>
      </c>
      <c r="F2001" s="1">
        <v>1182.0</v>
      </c>
      <c r="G2001" s="1">
        <v>1189.0</v>
      </c>
      <c r="H2001" s="1" t="s">
        <v>17059</v>
      </c>
      <c r="I2001" s="1" t="s">
        <v>21500</v>
      </c>
      <c r="J2001" s="1" t="s">
        <v>21501</v>
      </c>
      <c r="K2001" s="1"/>
      <c r="L2001" s="1" t="s">
        <v>5349</v>
      </c>
      <c r="M2001" s="1" t="s">
        <v>21504</v>
      </c>
      <c r="N2001" s="1" t="s">
        <v>21505</v>
      </c>
    </row>
    <row r="2002">
      <c r="A2002" s="1" t="s">
        <v>17</v>
      </c>
      <c r="B2002" s="1">
        <v>2010.0</v>
      </c>
      <c r="C2002" s="1" t="s">
        <v>22244</v>
      </c>
      <c r="D2002" s="1" t="s">
        <v>22245</v>
      </c>
      <c r="E2002" s="2" t="s">
        <v>25282</v>
      </c>
      <c r="F2002" s="1">
        <v>1301.0</v>
      </c>
      <c r="G2002" s="1">
        <v>1310.0</v>
      </c>
      <c r="H2002" s="1" t="s">
        <v>17059</v>
      </c>
      <c r="I2002" s="1" t="s">
        <v>22246</v>
      </c>
      <c r="J2002" s="1" t="s">
        <v>25297</v>
      </c>
      <c r="K2002" s="1"/>
      <c r="L2002" s="1" t="s">
        <v>880</v>
      </c>
      <c r="M2002" s="1" t="s">
        <v>22250</v>
      </c>
      <c r="N2002" s="1" t="s">
        <v>22251</v>
      </c>
    </row>
    <row r="2003">
      <c r="A2003" s="1" t="s">
        <v>17</v>
      </c>
      <c r="B2003" s="1">
        <v>2010.0</v>
      </c>
      <c r="C2003" s="1" t="s">
        <v>22252</v>
      </c>
      <c r="D2003" s="1" t="s">
        <v>22253</v>
      </c>
      <c r="E2003" s="2" t="s">
        <v>25300</v>
      </c>
      <c r="F2003" s="1">
        <v>1243.0</v>
      </c>
      <c r="G2003" s="1">
        <v>1250.0</v>
      </c>
      <c r="H2003" s="1" t="s">
        <v>17059</v>
      </c>
      <c r="I2003" s="1" t="s">
        <v>22254</v>
      </c>
      <c r="J2003" s="1" t="s">
        <v>25314</v>
      </c>
      <c r="K2003" s="1"/>
      <c r="L2003" s="1" t="s">
        <v>25315</v>
      </c>
      <c r="M2003" s="1" t="s">
        <v>5858</v>
      </c>
      <c r="N2003" s="1" t="s">
        <v>22258</v>
      </c>
    </row>
    <row r="2004">
      <c r="A2004" s="1" t="s">
        <v>2137</v>
      </c>
      <c r="B2004" s="1">
        <v>2010.0</v>
      </c>
      <c r="C2004" s="1" t="s">
        <v>21507</v>
      </c>
      <c r="D2004" s="1" t="s">
        <v>21508</v>
      </c>
      <c r="E2004" s="2" t="s">
        <v>25320</v>
      </c>
      <c r="F2004" s="1">
        <v>1044.0</v>
      </c>
      <c r="G2004" s="1">
        <v>1052.0</v>
      </c>
      <c r="H2004" s="1" t="s">
        <v>17059</v>
      </c>
      <c r="I2004" s="1" t="s">
        <v>21510</v>
      </c>
      <c r="J2004" s="1" t="s">
        <v>21511</v>
      </c>
      <c r="K2004" s="1"/>
      <c r="L2004" s="1" t="s">
        <v>25331</v>
      </c>
      <c r="M2004" s="1" t="s">
        <v>21513</v>
      </c>
      <c r="N2004" s="1" t="s">
        <v>21514</v>
      </c>
    </row>
    <row r="2005">
      <c r="A2005" s="1" t="s">
        <v>17</v>
      </c>
      <c r="B2005" s="1">
        <v>2010.0</v>
      </c>
      <c r="C2005" s="1" t="s">
        <v>22259</v>
      </c>
      <c r="D2005" s="1" t="s">
        <v>22260</v>
      </c>
      <c r="E2005" s="2" t="s">
        <v>25333</v>
      </c>
      <c r="F2005" s="1">
        <v>1225.0</v>
      </c>
      <c r="G2005" s="1">
        <v>1234.0</v>
      </c>
      <c r="H2005" s="1" t="s">
        <v>17059</v>
      </c>
      <c r="I2005" s="1" t="s">
        <v>22261</v>
      </c>
      <c r="J2005" s="1" t="s">
        <v>22262</v>
      </c>
      <c r="K2005" s="1"/>
      <c r="L2005" s="1" t="s">
        <v>25349</v>
      </c>
      <c r="M2005" s="1" t="s">
        <v>22264</v>
      </c>
      <c r="N2005" s="1" t="s">
        <v>22265</v>
      </c>
      <c r="P2005" s="1"/>
      <c r="Q2005" s="1" t="s">
        <v>106</v>
      </c>
    </row>
    <row r="2006">
      <c r="A2006" s="1" t="s">
        <v>17</v>
      </c>
      <c r="B2006" s="1">
        <v>2010.0</v>
      </c>
      <c r="C2006" s="1" t="s">
        <v>22266</v>
      </c>
      <c r="D2006" s="1" t="s">
        <v>22267</v>
      </c>
      <c r="E2006" s="2" t="s">
        <v>25353</v>
      </c>
      <c r="F2006" s="1">
        <v>1595.0</v>
      </c>
      <c r="G2006" s="1">
        <v>1604.0</v>
      </c>
      <c r="H2006" s="1" t="s">
        <v>17059</v>
      </c>
      <c r="I2006" s="1" t="s">
        <v>22268</v>
      </c>
      <c r="J2006" s="1" t="s">
        <v>22269</v>
      </c>
      <c r="K2006" s="1"/>
      <c r="L2006" s="1" t="s">
        <v>25371</v>
      </c>
      <c r="M2006" s="1" t="s">
        <v>22272</v>
      </c>
      <c r="N2006" s="1" t="s">
        <v>22273</v>
      </c>
    </row>
    <row r="2007">
      <c r="A2007" s="1" t="s">
        <v>17</v>
      </c>
      <c r="B2007" s="1">
        <v>2010.0</v>
      </c>
      <c r="C2007" s="1" t="s">
        <v>22274</v>
      </c>
      <c r="D2007" s="1" t="s">
        <v>22275</v>
      </c>
      <c r="E2007" s="2" t="s">
        <v>25374</v>
      </c>
      <c r="F2007" s="1">
        <v>1348.0</v>
      </c>
      <c r="G2007" s="1">
        <v>1357.0</v>
      </c>
      <c r="H2007" s="1" t="s">
        <v>17059</v>
      </c>
      <c r="I2007" s="1" t="s">
        <v>22276</v>
      </c>
      <c r="J2007" s="1" t="s">
        <v>22277</v>
      </c>
      <c r="K2007" s="1"/>
      <c r="L2007" s="1" t="s">
        <v>25391</v>
      </c>
      <c r="M2007" s="1" t="s">
        <v>22280</v>
      </c>
      <c r="N2007" s="1" t="s">
        <v>22281</v>
      </c>
    </row>
    <row r="2008">
      <c r="A2008" s="1" t="s">
        <v>17</v>
      </c>
      <c r="B2008" s="1">
        <v>2010.0</v>
      </c>
      <c r="C2008" s="1" t="s">
        <v>22282</v>
      </c>
      <c r="D2008" s="1" t="s">
        <v>22283</v>
      </c>
      <c r="E2008" s="2" t="s">
        <v>25396</v>
      </c>
      <c r="F2008" s="1">
        <v>1605.0</v>
      </c>
      <c r="G2008" s="1">
        <v>1612.0</v>
      </c>
      <c r="H2008" s="1" t="s">
        <v>17059</v>
      </c>
      <c r="I2008" s="1" t="s">
        <v>22284</v>
      </c>
      <c r="J2008" s="1" t="s">
        <v>25409</v>
      </c>
      <c r="K2008" s="1"/>
      <c r="L2008" s="1" t="s">
        <v>25411</v>
      </c>
      <c r="M2008" s="1" t="s">
        <v>5110</v>
      </c>
      <c r="N2008" s="1" t="s">
        <v>22288</v>
      </c>
    </row>
    <row r="2009">
      <c r="A2009" s="1" t="s">
        <v>2137</v>
      </c>
      <c r="B2009" s="1">
        <v>2010.0</v>
      </c>
      <c r="C2009" s="1" t="s">
        <v>21515</v>
      </c>
      <c r="D2009" s="1" t="s">
        <v>21516</v>
      </c>
      <c r="E2009" s="2" t="s">
        <v>25415</v>
      </c>
      <c r="F2009" s="1">
        <v>1100.0</v>
      </c>
      <c r="G2009" s="1">
        <v>1108.0</v>
      </c>
      <c r="H2009" s="1" t="s">
        <v>17059</v>
      </c>
      <c r="I2009" s="1" t="s">
        <v>21517</v>
      </c>
      <c r="J2009" s="1" t="s">
        <v>21518</v>
      </c>
      <c r="K2009" s="1"/>
      <c r="L2009" s="1" t="s">
        <v>25430</v>
      </c>
      <c r="M2009" s="1" t="s">
        <v>21520</v>
      </c>
      <c r="N2009" s="1" t="s">
        <v>21521</v>
      </c>
    </row>
    <row r="2010">
      <c r="A2010" s="1" t="s">
        <v>2137</v>
      </c>
      <c r="B2010" s="1">
        <v>2010.0</v>
      </c>
      <c r="C2010" s="1" t="s">
        <v>21522</v>
      </c>
      <c r="D2010" s="1" t="s">
        <v>21523</v>
      </c>
      <c r="E2010" s="2" t="s">
        <v>25434</v>
      </c>
      <c r="F2010" s="1">
        <v>1119.0</v>
      </c>
      <c r="G2010" s="1">
        <v>1128.0</v>
      </c>
      <c r="H2010" s="1" t="s">
        <v>17059</v>
      </c>
      <c r="I2010" s="1" t="s">
        <v>21524</v>
      </c>
      <c r="J2010" s="1" t="s">
        <v>21525</v>
      </c>
      <c r="K2010" s="1"/>
      <c r="L2010" s="1" t="s">
        <v>5349</v>
      </c>
      <c r="M2010" s="1" t="s">
        <v>21527</v>
      </c>
      <c r="N2010" s="1" t="s">
        <v>21528</v>
      </c>
    </row>
    <row r="2011">
      <c r="A2011" s="1" t="s">
        <v>17</v>
      </c>
      <c r="B2011" s="1">
        <v>2010.0</v>
      </c>
      <c r="C2011" s="1" t="s">
        <v>22289</v>
      </c>
      <c r="D2011" s="1" t="s">
        <v>22290</v>
      </c>
      <c r="E2011" s="2" t="s">
        <v>25444</v>
      </c>
      <c r="F2011" s="1">
        <v>1281.0</v>
      </c>
      <c r="G2011" s="1">
        <v>1290.0</v>
      </c>
      <c r="H2011" s="1" t="s">
        <v>17059</v>
      </c>
      <c r="I2011" s="1" t="s">
        <v>22291</v>
      </c>
      <c r="J2011" s="1" t="s">
        <v>25453</v>
      </c>
      <c r="K2011" s="1"/>
      <c r="L2011" s="1" t="s">
        <v>25454</v>
      </c>
      <c r="M2011" s="1" t="s">
        <v>22295</v>
      </c>
      <c r="N2011" s="1" t="s">
        <v>22296</v>
      </c>
    </row>
    <row r="2012">
      <c r="A2012" s="1" t="s">
        <v>17</v>
      </c>
      <c r="B2012" s="1">
        <v>2010.0</v>
      </c>
      <c r="C2012" s="1" t="s">
        <v>22297</v>
      </c>
      <c r="D2012" s="1" t="s">
        <v>22298</v>
      </c>
      <c r="E2012" s="2" t="s">
        <v>25461</v>
      </c>
      <c r="F2012" s="1">
        <v>1358.0</v>
      </c>
      <c r="G2012" s="1">
        <v>1365.0</v>
      </c>
      <c r="H2012" s="1" t="s">
        <v>17059</v>
      </c>
      <c r="I2012" s="1" t="s">
        <v>22299</v>
      </c>
      <c r="J2012" s="1" t="s">
        <v>25465</v>
      </c>
      <c r="K2012" s="1"/>
      <c r="L2012" s="1" t="s">
        <v>25466</v>
      </c>
      <c r="M2012" s="1" t="s">
        <v>22303</v>
      </c>
      <c r="N2012" s="1" t="s">
        <v>22304</v>
      </c>
    </row>
    <row r="2013">
      <c r="A2013" s="1" t="s">
        <v>2137</v>
      </c>
      <c r="B2013" s="1">
        <v>2010.0</v>
      </c>
      <c r="C2013" s="1" t="s">
        <v>21530</v>
      </c>
      <c r="D2013" s="1" t="s">
        <v>21531</v>
      </c>
      <c r="E2013" s="2" t="s">
        <v>25470</v>
      </c>
      <c r="F2013" s="1">
        <v>935.0</v>
      </c>
      <c r="G2013" s="1">
        <v>942.0</v>
      </c>
      <c r="H2013" s="1" t="s">
        <v>17059</v>
      </c>
      <c r="I2013" s="1" t="s">
        <v>21532</v>
      </c>
      <c r="J2013" s="1" t="s">
        <v>21533</v>
      </c>
      <c r="K2013" s="1"/>
      <c r="L2013" s="1" t="s">
        <v>25476</v>
      </c>
      <c r="M2013" s="1" t="s">
        <v>21536</v>
      </c>
      <c r="N2013" s="1" t="s">
        <v>21537</v>
      </c>
    </row>
    <row r="2014">
      <c r="A2014" s="1" t="s">
        <v>2137</v>
      </c>
      <c r="B2014" s="1">
        <v>2010.0</v>
      </c>
      <c r="C2014" s="1" t="s">
        <v>21538</v>
      </c>
      <c r="D2014" s="1" t="s">
        <v>21539</v>
      </c>
      <c r="E2014" s="2" t="s">
        <v>25479</v>
      </c>
      <c r="F2014" s="1">
        <v>1090.0</v>
      </c>
      <c r="G2014" s="1">
        <v>1099.0</v>
      </c>
      <c r="H2014" s="1" t="s">
        <v>17059</v>
      </c>
      <c r="I2014" s="1" t="s">
        <v>21540</v>
      </c>
      <c r="J2014" s="1" t="s">
        <v>21541</v>
      </c>
      <c r="K2014" s="1"/>
      <c r="L2014" s="1" t="s">
        <v>178</v>
      </c>
      <c r="M2014" s="1" t="s">
        <v>21543</v>
      </c>
      <c r="N2014" s="1" t="s">
        <v>21544</v>
      </c>
    </row>
    <row r="2015">
      <c r="A2015" s="1" t="s">
        <v>17</v>
      </c>
      <c r="B2015" s="1">
        <v>2010.0</v>
      </c>
      <c r="C2015" s="1" t="s">
        <v>22305</v>
      </c>
      <c r="D2015" s="1" t="s">
        <v>22306</v>
      </c>
      <c r="E2015" s="2" t="s">
        <v>25492</v>
      </c>
      <c r="F2015" s="1">
        <v>1515.0</v>
      </c>
      <c r="G2015" s="1">
        <v>1524.0</v>
      </c>
      <c r="H2015" s="1" t="s">
        <v>17059</v>
      </c>
      <c r="I2015" s="1" t="s">
        <v>22307</v>
      </c>
      <c r="J2015" s="1" t="s">
        <v>22308</v>
      </c>
      <c r="K2015" s="1"/>
      <c r="L2015" s="1" t="s">
        <v>25500</v>
      </c>
      <c r="M2015" s="1" t="s">
        <v>22310</v>
      </c>
      <c r="N2015" s="1" t="s">
        <v>22311</v>
      </c>
    </row>
    <row r="2016">
      <c r="A2016" s="1" t="s">
        <v>17</v>
      </c>
      <c r="B2016" s="1">
        <v>2010.0</v>
      </c>
      <c r="C2016" s="1" t="s">
        <v>22312</v>
      </c>
      <c r="D2016" s="1" t="s">
        <v>22313</v>
      </c>
      <c r="E2016" s="2" t="s">
        <v>25504</v>
      </c>
      <c r="F2016" s="1">
        <v>1578.0</v>
      </c>
      <c r="G2016" s="1">
        <v>1586.0</v>
      </c>
      <c r="H2016" s="1" t="s">
        <v>17059</v>
      </c>
      <c r="I2016" s="1" t="s">
        <v>22314</v>
      </c>
      <c r="J2016" s="1" t="s">
        <v>25514</v>
      </c>
      <c r="K2016" s="1"/>
      <c r="L2016" s="1" t="s">
        <v>23373</v>
      </c>
      <c r="M2016" s="1" t="s">
        <v>22318</v>
      </c>
      <c r="N2016" s="1" t="s">
        <v>22319</v>
      </c>
    </row>
    <row r="2017">
      <c r="A2017" s="1" t="s">
        <v>17</v>
      </c>
      <c r="B2017" s="1">
        <v>2010.0</v>
      </c>
      <c r="C2017" s="1" t="s">
        <v>22320</v>
      </c>
      <c r="D2017" s="1" t="s">
        <v>22321</v>
      </c>
      <c r="E2017" s="2" t="s">
        <v>25515</v>
      </c>
      <c r="F2017" s="1">
        <v>1271.0</v>
      </c>
      <c r="G2017" s="1">
        <v>1280.0</v>
      </c>
      <c r="H2017" s="1" t="s">
        <v>17059</v>
      </c>
      <c r="I2017" s="1" t="s">
        <v>22322</v>
      </c>
      <c r="J2017" s="1" t="s">
        <v>22323</v>
      </c>
      <c r="K2017" s="1"/>
      <c r="L2017" s="1" t="s">
        <v>22895</v>
      </c>
      <c r="M2017" s="1" t="s">
        <v>22326</v>
      </c>
      <c r="N2017" s="1" t="s">
        <v>22327</v>
      </c>
    </row>
    <row r="2018">
      <c r="A2018" s="1" t="s">
        <v>17</v>
      </c>
      <c r="B2018" s="1">
        <v>2010.0</v>
      </c>
      <c r="C2018" s="1" t="s">
        <v>22328</v>
      </c>
      <c r="D2018" s="1" t="s">
        <v>22329</v>
      </c>
      <c r="E2018" s="2" t="s">
        <v>25524</v>
      </c>
      <c r="F2018" s="1">
        <v>1477.0</v>
      </c>
      <c r="G2018" s="1">
        <v>1486.0</v>
      </c>
      <c r="H2018" s="1" t="s">
        <v>17059</v>
      </c>
      <c r="I2018" s="1" t="s">
        <v>22330</v>
      </c>
      <c r="J2018" s="1" t="s">
        <v>25532</v>
      </c>
      <c r="K2018" s="1"/>
      <c r="L2018" s="1" t="s">
        <v>25533</v>
      </c>
      <c r="M2018" s="1" t="s">
        <v>22334</v>
      </c>
    </row>
    <row r="2019">
      <c r="A2019" s="1" t="s">
        <v>17</v>
      </c>
      <c r="B2019" s="1">
        <v>2010.0</v>
      </c>
      <c r="C2019" s="1" t="s">
        <v>22335</v>
      </c>
      <c r="D2019" s="1" t="s">
        <v>22336</v>
      </c>
      <c r="E2019" s="2" t="s">
        <v>25538</v>
      </c>
      <c r="F2019" s="1">
        <v>1551.0</v>
      </c>
      <c r="G2019" s="1">
        <v>1559.0</v>
      </c>
      <c r="H2019" s="1" t="s">
        <v>17059</v>
      </c>
      <c r="I2019" s="1" t="s">
        <v>22337</v>
      </c>
      <c r="J2019" s="1" t="s">
        <v>22338</v>
      </c>
      <c r="K2019" s="1"/>
      <c r="L2019" s="1" t="s">
        <v>23188</v>
      </c>
      <c r="M2019" s="1" t="s">
        <v>22339</v>
      </c>
      <c r="N2019" s="1" t="s">
        <v>22340</v>
      </c>
    </row>
    <row r="2020">
      <c r="A2020" s="1" t="s">
        <v>2137</v>
      </c>
      <c r="B2020" s="1">
        <v>2010.0</v>
      </c>
      <c r="C2020" s="1" t="s">
        <v>21545</v>
      </c>
      <c r="D2020" s="1" t="s">
        <v>21546</v>
      </c>
      <c r="E2020" s="2" t="s">
        <v>25548</v>
      </c>
      <c r="F2020" s="1">
        <v>1053.0</v>
      </c>
      <c r="G2020" s="1">
        <v>1062.0</v>
      </c>
      <c r="H2020" s="1" t="s">
        <v>17059</v>
      </c>
      <c r="I2020" s="1" t="s">
        <v>21547</v>
      </c>
      <c r="J2020" s="1" t="s">
        <v>21548</v>
      </c>
      <c r="K2020" s="1"/>
      <c r="L2020" s="1" t="s">
        <v>25558</v>
      </c>
      <c r="M2020" s="1" t="s">
        <v>21551</v>
      </c>
      <c r="N2020" s="1" t="s">
        <v>21552</v>
      </c>
    </row>
    <row r="2021">
      <c r="A2021" s="1" t="s">
        <v>2137</v>
      </c>
      <c r="B2021" s="1">
        <v>2010.0</v>
      </c>
      <c r="C2021" s="1" t="s">
        <v>21554</v>
      </c>
      <c r="D2021" s="1" t="s">
        <v>21555</v>
      </c>
      <c r="E2021" s="2" t="s">
        <v>25562</v>
      </c>
      <c r="F2021" s="1">
        <v>1082.0</v>
      </c>
      <c r="G2021" s="1">
        <v>1089.0</v>
      </c>
      <c r="H2021" s="1" t="s">
        <v>17059</v>
      </c>
      <c r="I2021" s="1" t="s">
        <v>21556</v>
      </c>
      <c r="J2021" s="1" t="s">
        <v>25571</v>
      </c>
      <c r="K2021" s="1"/>
      <c r="L2021" s="1" t="s">
        <v>25572</v>
      </c>
      <c r="M2021" s="1" t="s">
        <v>18198</v>
      </c>
      <c r="N2021" s="1" t="s">
        <v>21560</v>
      </c>
    </row>
    <row r="2022">
      <c r="A2022" s="1" t="s">
        <v>17</v>
      </c>
      <c r="B2022" s="1">
        <v>2010.0</v>
      </c>
      <c r="C2022" s="1" t="s">
        <v>22341</v>
      </c>
      <c r="D2022" s="1" t="s">
        <v>22342</v>
      </c>
      <c r="E2022" s="2" t="s">
        <v>25573</v>
      </c>
      <c r="F2022" s="1">
        <v>1587.0</v>
      </c>
      <c r="G2022" s="1">
        <v>1594.0</v>
      </c>
      <c r="H2022" s="1" t="s">
        <v>17059</v>
      </c>
      <c r="I2022" s="1" t="s">
        <v>22343</v>
      </c>
      <c r="J2022" s="1" t="s">
        <v>22344</v>
      </c>
      <c r="K2022" s="1"/>
      <c r="L2022" s="1" t="s">
        <v>25582</v>
      </c>
      <c r="M2022" s="1" t="s">
        <v>22345</v>
      </c>
      <c r="N2022" s="1" t="s">
        <v>22346</v>
      </c>
    </row>
    <row r="2023">
      <c r="A2023" s="1" t="s">
        <v>17</v>
      </c>
      <c r="B2023" s="1">
        <v>2010.0</v>
      </c>
      <c r="C2023" s="1" t="s">
        <v>22347</v>
      </c>
      <c r="D2023" s="1" t="s">
        <v>22348</v>
      </c>
      <c r="E2023" s="2" t="s">
        <v>25589</v>
      </c>
      <c r="F2023" s="1">
        <v>1405.0</v>
      </c>
      <c r="G2023" s="1">
        <v>1412.0</v>
      </c>
      <c r="H2023" s="1" t="s">
        <v>17059</v>
      </c>
      <c r="I2023" s="1" t="s">
        <v>22349</v>
      </c>
      <c r="J2023" s="1" t="s">
        <v>22350</v>
      </c>
      <c r="K2023" s="1"/>
      <c r="L2023" s="1" t="s">
        <v>25594</v>
      </c>
      <c r="M2023" s="1" t="s">
        <v>22353</v>
      </c>
      <c r="N2023" s="1" t="s">
        <v>22354</v>
      </c>
    </row>
    <row r="2024">
      <c r="A2024" s="1" t="s">
        <v>2137</v>
      </c>
      <c r="B2024" s="1">
        <v>2010.0</v>
      </c>
      <c r="C2024" s="1" t="s">
        <v>21561</v>
      </c>
      <c r="D2024" s="1" t="s">
        <v>21562</v>
      </c>
      <c r="E2024" s="2" t="s">
        <v>25596</v>
      </c>
      <c r="F2024" s="1">
        <v>1157.0</v>
      </c>
      <c r="G2024" s="1">
        <v>1163.0</v>
      </c>
      <c r="H2024" s="1" t="s">
        <v>17059</v>
      </c>
      <c r="I2024" s="1" t="s">
        <v>21563</v>
      </c>
      <c r="J2024" s="1" t="s">
        <v>21564</v>
      </c>
      <c r="K2024" s="1"/>
      <c r="L2024" s="1" t="s">
        <v>5349</v>
      </c>
      <c r="M2024" s="1" t="s">
        <v>21568</v>
      </c>
      <c r="N2024" s="1" t="s">
        <v>21569</v>
      </c>
    </row>
    <row r="2025">
      <c r="A2025" s="1" t="s">
        <v>17</v>
      </c>
      <c r="B2025" s="1">
        <v>2010.0</v>
      </c>
      <c r="C2025" s="1" t="s">
        <v>22355</v>
      </c>
      <c r="D2025" s="1" t="s">
        <v>22356</v>
      </c>
      <c r="E2025" s="2" t="s">
        <v>25649</v>
      </c>
      <c r="F2025" s="1">
        <v>1458.0</v>
      </c>
      <c r="G2025" s="1">
        <v>1467.0</v>
      </c>
      <c r="H2025" s="1" t="s">
        <v>17059</v>
      </c>
      <c r="I2025" s="1" t="s">
        <v>22357</v>
      </c>
      <c r="J2025" s="1" t="s">
        <v>25650</v>
      </c>
      <c r="K2025" s="1"/>
      <c r="L2025" s="1" t="s">
        <v>25651</v>
      </c>
      <c r="M2025" s="1" t="s">
        <v>22361</v>
      </c>
      <c r="N2025" s="1" t="s">
        <v>22362</v>
      </c>
      <c r="P2025" s="1"/>
      <c r="Q2025" s="1" t="s">
        <v>19037</v>
      </c>
    </row>
    <row r="2026">
      <c r="A2026" s="1" t="s">
        <v>120</v>
      </c>
      <c r="B2026" s="1">
        <v>2010.0</v>
      </c>
      <c r="C2026" s="1" t="s">
        <v>21570</v>
      </c>
      <c r="D2026" s="1" t="s">
        <v>21572</v>
      </c>
      <c r="E2026" s="2" t="s">
        <v>25652</v>
      </c>
      <c r="F2026" s="1">
        <v>253.0</v>
      </c>
      <c r="G2026" s="1">
        <v>254.0</v>
      </c>
      <c r="H2026" s="1" t="s">
        <v>21</v>
      </c>
      <c r="I2026" s="1" t="s">
        <v>21573</v>
      </c>
      <c r="J2026" s="1" t="s">
        <v>21574</v>
      </c>
      <c r="K2026" s="1"/>
      <c r="L2026" s="1" t="s">
        <v>22981</v>
      </c>
    </row>
    <row r="2027">
      <c r="A2027" s="1" t="s">
        <v>120</v>
      </c>
      <c r="B2027" s="1">
        <v>2010.0</v>
      </c>
      <c r="C2027" s="1" t="s">
        <v>21576</v>
      </c>
      <c r="D2027" s="1" t="s">
        <v>21577</v>
      </c>
      <c r="E2027" s="2" t="s">
        <v>25653</v>
      </c>
      <c r="F2027" s="1">
        <v>235.0</v>
      </c>
      <c r="G2027" s="1">
        <v>236.0</v>
      </c>
      <c r="H2027" s="1" t="s">
        <v>21</v>
      </c>
      <c r="I2027" s="1" t="s">
        <v>21578</v>
      </c>
      <c r="J2027" s="1" t="s">
        <v>21579</v>
      </c>
      <c r="K2027" s="1"/>
      <c r="L2027" s="1" t="s">
        <v>25654</v>
      </c>
      <c r="M2027" s="1"/>
      <c r="N2027" s="1" t="s">
        <v>21582</v>
      </c>
    </row>
    <row r="2028">
      <c r="A2028" s="1" t="s">
        <v>120</v>
      </c>
      <c r="B2028" s="1">
        <v>2010.0</v>
      </c>
      <c r="C2028" s="1" t="s">
        <v>21585</v>
      </c>
      <c r="D2028" s="1" t="s">
        <v>21586</v>
      </c>
      <c r="E2028" s="2" t="s">
        <v>25655</v>
      </c>
      <c r="F2028" s="1">
        <v>251.0</v>
      </c>
      <c r="G2028" s="1">
        <v>252.0</v>
      </c>
      <c r="H2028" s="1" t="s">
        <v>21</v>
      </c>
      <c r="I2028" s="1" t="s">
        <v>21588</v>
      </c>
      <c r="J2028" s="1" t="s">
        <v>25656</v>
      </c>
      <c r="K2028" s="1"/>
      <c r="L2028" s="1" t="s">
        <v>25657</v>
      </c>
    </row>
    <row r="2029">
      <c r="A2029" s="1" t="s">
        <v>120</v>
      </c>
      <c r="B2029" s="1">
        <v>2010.0</v>
      </c>
      <c r="C2029" s="1" t="s">
        <v>21591</v>
      </c>
      <c r="D2029" s="1" t="s">
        <v>21592</v>
      </c>
      <c r="E2029" s="2" t="s">
        <v>25658</v>
      </c>
      <c r="F2029" s="1">
        <v>249.0</v>
      </c>
      <c r="G2029" s="1">
        <v>250.0</v>
      </c>
      <c r="H2029" s="1" t="s">
        <v>21</v>
      </c>
      <c r="I2029" s="1" t="s">
        <v>25659</v>
      </c>
      <c r="J2029" s="1" t="s">
        <v>21596</v>
      </c>
      <c r="K2029" s="1"/>
      <c r="L2029" s="1" t="s">
        <v>25660</v>
      </c>
      <c r="M2029" s="1"/>
      <c r="N2029" s="1" t="s">
        <v>21598</v>
      </c>
    </row>
    <row r="2030">
      <c r="A2030" s="1" t="s">
        <v>120</v>
      </c>
      <c r="B2030" s="1">
        <v>2010.0</v>
      </c>
      <c r="C2030" s="1" t="s">
        <v>21599</v>
      </c>
      <c r="D2030" s="1" t="s">
        <v>21600</v>
      </c>
      <c r="E2030" s="2" t="s">
        <v>25661</v>
      </c>
      <c r="F2030" s="1">
        <v>247.0</v>
      </c>
      <c r="G2030" s="1">
        <v>248.0</v>
      </c>
      <c r="H2030" s="1" t="s">
        <v>21</v>
      </c>
      <c r="I2030" s="1" t="s">
        <v>21601</v>
      </c>
      <c r="J2030" s="1" t="s">
        <v>20528</v>
      </c>
      <c r="K2030" s="1"/>
      <c r="L2030" s="1" t="s">
        <v>23820</v>
      </c>
      <c r="M2030" s="1"/>
      <c r="N2030" s="1" t="s">
        <v>21603</v>
      </c>
    </row>
    <row r="2031">
      <c r="A2031" s="1" t="s">
        <v>120</v>
      </c>
      <c r="B2031" s="1">
        <v>2010.0</v>
      </c>
      <c r="C2031" s="1" t="s">
        <v>21604</v>
      </c>
      <c r="D2031" s="1" t="s">
        <v>21605</v>
      </c>
      <c r="E2031" s="2" t="s">
        <v>25662</v>
      </c>
      <c r="F2031" s="1">
        <v>245.0</v>
      </c>
      <c r="G2031" s="1">
        <v>246.0</v>
      </c>
      <c r="H2031" s="1" t="s">
        <v>21</v>
      </c>
      <c r="I2031" s="1" t="s">
        <v>21606</v>
      </c>
      <c r="J2031" s="1" t="s">
        <v>21607</v>
      </c>
      <c r="K2031" s="1"/>
      <c r="L2031" s="1" t="s">
        <v>25663</v>
      </c>
      <c r="M2031" s="1"/>
      <c r="N2031" s="1" t="s">
        <v>21610</v>
      </c>
    </row>
    <row r="2032">
      <c r="A2032" s="1" t="s">
        <v>120</v>
      </c>
      <c r="B2032" s="1">
        <v>2010.0</v>
      </c>
      <c r="C2032" s="1" t="s">
        <v>21611</v>
      </c>
      <c r="D2032" s="1" t="s">
        <v>21612</v>
      </c>
      <c r="E2032" s="2" t="s">
        <v>25664</v>
      </c>
      <c r="F2032" s="1">
        <v>227.0</v>
      </c>
      <c r="G2032" s="1">
        <v>228.0</v>
      </c>
      <c r="H2032" s="1" t="s">
        <v>21</v>
      </c>
      <c r="I2032" s="1" t="s">
        <v>21613</v>
      </c>
      <c r="J2032" s="1" t="s">
        <v>25665</v>
      </c>
      <c r="K2032" s="1"/>
      <c r="L2032" s="1" t="s">
        <v>23953</v>
      </c>
    </row>
    <row r="2033">
      <c r="A2033" s="1" t="s">
        <v>120</v>
      </c>
      <c r="B2033" s="1">
        <v>2010.0</v>
      </c>
      <c r="C2033" s="1" t="s">
        <v>21617</v>
      </c>
      <c r="D2033" s="1" t="s">
        <v>21618</v>
      </c>
      <c r="E2033" s="2" t="s">
        <v>25666</v>
      </c>
      <c r="F2033" s="1">
        <v>225.0</v>
      </c>
      <c r="G2033" s="1">
        <v>226.0</v>
      </c>
      <c r="H2033" s="1" t="s">
        <v>21</v>
      </c>
      <c r="I2033" s="1" t="s">
        <v>21619</v>
      </c>
      <c r="J2033" s="1" t="s">
        <v>21620</v>
      </c>
      <c r="K2033" s="1"/>
      <c r="L2033" s="1" t="s">
        <v>25667</v>
      </c>
      <c r="M2033" s="1"/>
      <c r="N2033" s="1" t="s">
        <v>21622</v>
      </c>
    </row>
    <row r="2034">
      <c r="A2034" s="1" t="s">
        <v>120</v>
      </c>
      <c r="B2034" s="1">
        <v>2010.0</v>
      </c>
      <c r="C2034" s="1" t="s">
        <v>21624</v>
      </c>
      <c r="D2034" s="1" t="s">
        <v>21625</v>
      </c>
      <c r="E2034" s="2" t="s">
        <v>25668</v>
      </c>
      <c r="F2034" s="1">
        <v>223.0</v>
      </c>
      <c r="G2034" s="1">
        <v>224.0</v>
      </c>
      <c r="H2034" s="1" t="s">
        <v>21</v>
      </c>
      <c r="I2034" s="1" t="s">
        <v>21626</v>
      </c>
      <c r="J2034" s="1" t="s">
        <v>21627</v>
      </c>
      <c r="K2034" s="1"/>
      <c r="L2034" s="1" t="s">
        <v>494</v>
      </c>
      <c r="M2034" s="1"/>
      <c r="N2034" s="1" t="s">
        <v>21629</v>
      </c>
    </row>
    <row r="2035">
      <c r="A2035" s="1" t="s">
        <v>120</v>
      </c>
      <c r="B2035" s="1">
        <v>2010.0</v>
      </c>
      <c r="C2035" s="1" t="s">
        <v>21630</v>
      </c>
      <c r="D2035" s="1" t="s">
        <v>21631</v>
      </c>
      <c r="E2035" s="2" t="s">
        <v>25669</v>
      </c>
      <c r="F2035" s="1">
        <v>221.0</v>
      </c>
      <c r="G2035" s="1">
        <v>222.0</v>
      </c>
      <c r="H2035" s="1" t="s">
        <v>21</v>
      </c>
      <c r="I2035" s="1" t="s">
        <v>21632</v>
      </c>
      <c r="J2035" s="1" t="s">
        <v>21633</v>
      </c>
      <c r="K2035" s="1"/>
      <c r="L2035" s="1" t="s">
        <v>178</v>
      </c>
    </row>
    <row r="2036">
      <c r="A2036" s="1" t="s">
        <v>120</v>
      </c>
      <c r="B2036" s="1">
        <v>2010.0</v>
      </c>
      <c r="C2036" s="1" t="s">
        <v>21635</v>
      </c>
      <c r="D2036" s="1" t="s">
        <v>21636</v>
      </c>
      <c r="E2036" s="2" t="s">
        <v>25670</v>
      </c>
      <c r="F2036" s="1">
        <v>219.0</v>
      </c>
      <c r="G2036" s="1">
        <v>220.0</v>
      </c>
      <c r="H2036" s="1" t="s">
        <v>21</v>
      </c>
      <c r="I2036" s="1" t="s">
        <v>21637</v>
      </c>
      <c r="J2036" s="1" t="s">
        <v>21638</v>
      </c>
      <c r="K2036" s="1"/>
      <c r="L2036" s="1" t="s">
        <v>494</v>
      </c>
      <c r="M2036" s="1"/>
      <c r="N2036" s="1" t="s">
        <v>21640</v>
      </c>
    </row>
    <row r="2037">
      <c r="A2037" s="1" t="s">
        <v>120</v>
      </c>
      <c r="B2037" s="1">
        <v>2010.0</v>
      </c>
      <c r="C2037" s="1" t="s">
        <v>21641</v>
      </c>
      <c r="D2037" s="1" t="s">
        <v>21642</v>
      </c>
      <c r="E2037" s="2" t="s">
        <v>25671</v>
      </c>
      <c r="F2037" s="1">
        <v>217.0</v>
      </c>
      <c r="G2037" s="1">
        <v>218.0</v>
      </c>
      <c r="H2037" s="1" t="s">
        <v>21</v>
      </c>
      <c r="I2037" s="1" t="s">
        <v>21644</v>
      </c>
      <c r="J2037" s="1" t="s">
        <v>25672</v>
      </c>
      <c r="K2037" s="1"/>
      <c r="L2037" s="1" t="s">
        <v>25673</v>
      </c>
    </row>
    <row r="2038">
      <c r="A2038" s="1" t="s">
        <v>120</v>
      </c>
      <c r="B2038" s="1">
        <v>2010.0</v>
      </c>
      <c r="C2038" s="1" t="s">
        <v>21648</v>
      </c>
      <c r="D2038" s="1" t="s">
        <v>21649</v>
      </c>
      <c r="E2038" s="2" t="s">
        <v>25674</v>
      </c>
      <c r="F2038" s="1">
        <v>215.0</v>
      </c>
      <c r="G2038" s="1">
        <v>216.0</v>
      </c>
      <c r="H2038" s="1" t="s">
        <v>21</v>
      </c>
      <c r="I2038" s="1" t="s">
        <v>21650</v>
      </c>
      <c r="J2038" s="1" t="s">
        <v>21651</v>
      </c>
      <c r="K2038" s="1"/>
      <c r="L2038" s="1" t="s">
        <v>25675</v>
      </c>
    </row>
    <row r="2039">
      <c r="A2039" s="1" t="s">
        <v>120</v>
      </c>
      <c r="B2039" s="1">
        <v>2010.0</v>
      </c>
      <c r="C2039" s="1" t="s">
        <v>21652</v>
      </c>
      <c r="D2039" s="1" t="s">
        <v>21653</v>
      </c>
      <c r="E2039" s="2" t="s">
        <v>25676</v>
      </c>
      <c r="F2039" s="1">
        <v>3.0</v>
      </c>
      <c r="G2039" s="1">
        <v>10.0</v>
      </c>
      <c r="H2039" s="1" t="s">
        <v>28</v>
      </c>
      <c r="I2039" s="1" t="s">
        <v>21654</v>
      </c>
      <c r="J2039" s="1" t="s">
        <v>25677</v>
      </c>
      <c r="K2039" s="1"/>
      <c r="L2039" s="1" t="s">
        <v>25678</v>
      </c>
      <c r="M2039" s="1" t="s">
        <v>21657</v>
      </c>
    </row>
    <row r="2040">
      <c r="A2040" s="1" t="s">
        <v>120</v>
      </c>
      <c r="B2040" s="1">
        <v>2010.0</v>
      </c>
      <c r="C2040" s="1" t="s">
        <v>21659</v>
      </c>
      <c r="D2040" s="1" t="s">
        <v>21660</v>
      </c>
      <c r="E2040" s="2" t="s">
        <v>25679</v>
      </c>
      <c r="F2040" s="1">
        <v>11.0</v>
      </c>
      <c r="G2040" s="1">
        <v>18.0</v>
      </c>
      <c r="H2040" s="1" t="s">
        <v>28</v>
      </c>
      <c r="I2040" s="1" t="s">
        <v>21662</v>
      </c>
      <c r="J2040" s="1" t="s">
        <v>21663</v>
      </c>
      <c r="K2040" s="1"/>
      <c r="L2040" s="1" t="s">
        <v>25680</v>
      </c>
      <c r="M2040" s="1" t="s">
        <v>21665</v>
      </c>
      <c r="N2040" s="1" t="s">
        <v>21666</v>
      </c>
    </row>
    <row r="2041">
      <c r="A2041" s="1" t="s">
        <v>120</v>
      </c>
      <c r="B2041" s="1">
        <v>2010.0</v>
      </c>
      <c r="C2041" s="1" t="s">
        <v>21667</v>
      </c>
      <c r="D2041" s="1" t="s">
        <v>21668</v>
      </c>
      <c r="E2041" s="2" t="s">
        <v>25681</v>
      </c>
      <c r="F2041" s="1">
        <v>19.0</v>
      </c>
      <c r="G2041" s="1">
        <v>26.0</v>
      </c>
      <c r="H2041" s="1" t="s">
        <v>28</v>
      </c>
      <c r="I2041" s="1" t="s">
        <v>21669</v>
      </c>
      <c r="J2041" s="1" t="s">
        <v>21670</v>
      </c>
      <c r="K2041" s="1"/>
      <c r="L2041" s="1" t="s">
        <v>25682</v>
      </c>
      <c r="M2041" s="1" t="s">
        <v>21673</v>
      </c>
    </row>
    <row r="2042">
      <c r="A2042" s="1" t="s">
        <v>120</v>
      </c>
      <c r="B2042" s="1">
        <v>2010.0</v>
      </c>
      <c r="C2042" s="1" t="s">
        <v>21674</v>
      </c>
      <c r="D2042" s="1" t="s">
        <v>21675</v>
      </c>
      <c r="E2042" s="2" t="s">
        <v>25683</v>
      </c>
      <c r="F2042" s="1">
        <v>27.0</v>
      </c>
      <c r="G2042" s="1">
        <v>34.0</v>
      </c>
      <c r="H2042" s="1" t="s">
        <v>28</v>
      </c>
      <c r="I2042" s="1" t="s">
        <v>21676</v>
      </c>
      <c r="J2042" s="1" t="s">
        <v>21678</v>
      </c>
      <c r="K2042" s="1"/>
      <c r="L2042" s="1" t="s">
        <v>25684</v>
      </c>
      <c r="M2042" s="1" t="s">
        <v>21680</v>
      </c>
    </row>
    <row r="2043">
      <c r="A2043" s="1" t="s">
        <v>120</v>
      </c>
      <c r="B2043" s="1">
        <v>2010.0</v>
      </c>
      <c r="C2043" s="1" t="s">
        <v>21682</v>
      </c>
      <c r="D2043" s="1" t="s">
        <v>21683</v>
      </c>
      <c r="E2043" s="2" t="s">
        <v>25685</v>
      </c>
      <c r="F2043" s="1">
        <v>35.0</v>
      </c>
      <c r="G2043" s="1">
        <v>42.0</v>
      </c>
      <c r="H2043" s="1" t="s">
        <v>28</v>
      </c>
      <c r="I2043" s="1" t="s">
        <v>25686</v>
      </c>
      <c r="J2043" s="1" t="s">
        <v>21685</v>
      </c>
      <c r="K2043" s="1"/>
      <c r="L2043" s="1" t="s">
        <v>25687</v>
      </c>
      <c r="M2043" s="1"/>
      <c r="N2043" s="1" t="s">
        <v>21688</v>
      </c>
    </row>
    <row r="2044">
      <c r="A2044" s="1" t="s">
        <v>120</v>
      </c>
      <c r="B2044" s="1">
        <v>2010.0</v>
      </c>
      <c r="C2044" s="1" t="s">
        <v>21689</v>
      </c>
      <c r="D2044" s="1" t="s">
        <v>21690</v>
      </c>
      <c r="E2044" s="2" t="s">
        <v>25688</v>
      </c>
      <c r="F2044" s="1">
        <v>43.0</v>
      </c>
      <c r="G2044" s="1">
        <v>50.0</v>
      </c>
      <c r="H2044" s="1" t="s">
        <v>28</v>
      </c>
      <c r="I2044" s="1" t="s">
        <v>21691</v>
      </c>
      <c r="J2044" s="1" t="s">
        <v>21692</v>
      </c>
      <c r="K2044" s="1"/>
      <c r="L2044" s="1" t="s">
        <v>23453</v>
      </c>
      <c r="M2044" s="1" t="s">
        <v>21694</v>
      </c>
      <c r="N2044" s="1" t="s">
        <v>20392</v>
      </c>
    </row>
    <row r="2045">
      <c r="A2045" s="1" t="s">
        <v>120</v>
      </c>
      <c r="B2045" s="1">
        <v>2010.0</v>
      </c>
      <c r="C2045" s="1" t="s">
        <v>21695</v>
      </c>
      <c r="D2045" s="1" t="s">
        <v>21696</v>
      </c>
      <c r="E2045" s="2" t="s">
        <v>25689</v>
      </c>
      <c r="F2045" s="1">
        <v>51.0</v>
      </c>
      <c r="G2045" s="1">
        <v>58.0</v>
      </c>
      <c r="H2045" s="1" t="s">
        <v>28</v>
      </c>
      <c r="I2045" s="1" t="s">
        <v>21697</v>
      </c>
      <c r="J2045" s="1" t="s">
        <v>21698</v>
      </c>
      <c r="K2045" s="1"/>
      <c r="L2045" s="1" t="s">
        <v>25690</v>
      </c>
      <c r="M2045" s="1" t="s">
        <v>20150</v>
      </c>
    </row>
    <row r="2046">
      <c r="A2046" s="1" t="s">
        <v>120</v>
      </c>
      <c r="B2046" s="1">
        <v>2010.0</v>
      </c>
      <c r="C2046" s="1" t="s">
        <v>21701</v>
      </c>
      <c r="D2046" s="1" t="s">
        <v>21702</v>
      </c>
      <c r="E2046" s="2" t="s">
        <v>25691</v>
      </c>
      <c r="F2046" s="1">
        <v>59.0</v>
      </c>
      <c r="G2046" s="1">
        <v>66.0</v>
      </c>
      <c r="H2046" s="1" t="s">
        <v>28</v>
      </c>
      <c r="I2046" s="1" t="s">
        <v>21703</v>
      </c>
      <c r="J2046" s="1" t="s">
        <v>25692</v>
      </c>
      <c r="K2046" s="1"/>
      <c r="L2046" s="1" t="s">
        <v>25693</v>
      </c>
      <c r="M2046" s="1" t="s">
        <v>21707</v>
      </c>
      <c r="N2046" s="1" t="s">
        <v>21708</v>
      </c>
      <c r="P2046" s="1"/>
      <c r="Q2046" s="1" t="s">
        <v>19037</v>
      </c>
    </row>
    <row r="2047">
      <c r="A2047" s="1" t="s">
        <v>120</v>
      </c>
      <c r="B2047" s="1">
        <v>2010.0</v>
      </c>
      <c r="C2047" s="1" t="s">
        <v>21709</v>
      </c>
      <c r="D2047" s="1" t="s">
        <v>21710</v>
      </c>
      <c r="E2047" s="2" t="s">
        <v>25694</v>
      </c>
      <c r="F2047" s="1">
        <v>67.0</v>
      </c>
      <c r="G2047" s="1">
        <v>74.0</v>
      </c>
      <c r="H2047" s="1" t="s">
        <v>28</v>
      </c>
      <c r="I2047" s="1" t="s">
        <v>21712</v>
      </c>
      <c r="J2047" s="1" t="s">
        <v>21713</v>
      </c>
      <c r="K2047" s="1"/>
      <c r="L2047" s="1" t="s">
        <v>25695</v>
      </c>
      <c r="M2047" s="1" t="s">
        <v>21715</v>
      </c>
      <c r="N2047" s="1" t="s">
        <v>21716</v>
      </c>
    </row>
    <row r="2048">
      <c r="A2048" s="1" t="s">
        <v>120</v>
      </c>
      <c r="B2048" s="1">
        <v>2010.0</v>
      </c>
      <c r="C2048" s="1" t="s">
        <v>21717</v>
      </c>
      <c r="D2048" s="1" t="s">
        <v>21718</v>
      </c>
      <c r="E2048" s="2" t="s">
        <v>25696</v>
      </c>
      <c r="F2048" s="1">
        <v>75.0</v>
      </c>
      <c r="G2048" s="1">
        <v>82.0</v>
      </c>
      <c r="H2048" s="1" t="s">
        <v>28</v>
      </c>
      <c r="I2048" s="1" t="s">
        <v>21719</v>
      </c>
      <c r="J2048" s="1" t="s">
        <v>14085</v>
      </c>
      <c r="K2048" s="1"/>
      <c r="L2048" s="1" t="s">
        <v>22114</v>
      </c>
      <c r="M2048" s="1" t="s">
        <v>21721</v>
      </c>
    </row>
    <row r="2049">
      <c r="A2049" s="1" t="s">
        <v>120</v>
      </c>
      <c r="B2049" s="1">
        <v>2010.0</v>
      </c>
      <c r="C2049" s="1" t="s">
        <v>21722</v>
      </c>
      <c r="D2049" s="1" t="s">
        <v>21723</v>
      </c>
      <c r="E2049" s="2" t="s">
        <v>25697</v>
      </c>
      <c r="F2049" s="1">
        <v>83.0</v>
      </c>
      <c r="G2049" s="1">
        <v>90.0</v>
      </c>
      <c r="H2049" s="1" t="s">
        <v>28</v>
      </c>
      <c r="I2049" s="1" t="s">
        <v>21725</v>
      </c>
      <c r="J2049" s="1" t="s">
        <v>21726</v>
      </c>
      <c r="K2049" s="1"/>
      <c r="L2049" s="1" t="s">
        <v>23066</v>
      </c>
      <c r="M2049" s="1" t="s">
        <v>21727</v>
      </c>
      <c r="N2049" s="1" t="s">
        <v>21728</v>
      </c>
    </row>
    <row r="2050">
      <c r="A2050" s="1" t="s">
        <v>120</v>
      </c>
      <c r="B2050" s="1">
        <v>2010.0</v>
      </c>
      <c r="C2050" s="1" t="s">
        <v>21729</v>
      </c>
      <c r="D2050" s="1" t="s">
        <v>21730</v>
      </c>
      <c r="E2050" s="2" t="s">
        <v>25698</v>
      </c>
      <c r="F2050" s="1">
        <v>237.0</v>
      </c>
      <c r="G2050" s="1">
        <v>238.0</v>
      </c>
      <c r="H2050" s="1" t="s">
        <v>21</v>
      </c>
      <c r="I2050" s="1" t="s">
        <v>21731</v>
      </c>
      <c r="J2050" s="1" t="s">
        <v>21732</v>
      </c>
      <c r="K2050" s="1"/>
      <c r="L2050" s="1" t="s">
        <v>25699</v>
      </c>
    </row>
    <row r="2051">
      <c r="A2051" s="1" t="s">
        <v>120</v>
      </c>
      <c r="B2051" s="1">
        <v>2010.0</v>
      </c>
      <c r="C2051" s="1" t="s">
        <v>21735</v>
      </c>
      <c r="D2051" s="1" t="s">
        <v>21736</v>
      </c>
      <c r="E2051" s="2" t="s">
        <v>25700</v>
      </c>
      <c r="F2051" s="1">
        <v>171.0</v>
      </c>
      <c r="G2051" s="1">
        <v>178.0</v>
      </c>
      <c r="H2051" s="1" t="s">
        <v>28</v>
      </c>
      <c r="I2051" s="1" t="s">
        <v>21737</v>
      </c>
      <c r="J2051" s="1" t="s">
        <v>21738</v>
      </c>
      <c r="K2051" s="1"/>
      <c r="L2051" s="1" t="s">
        <v>22110</v>
      </c>
      <c r="M2051" s="1" t="s">
        <v>21739</v>
      </c>
      <c r="N2051" s="1" t="s">
        <v>21741</v>
      </c>
    </row>
    <row r="2052">
      <c r="A2052" s="1" t="s">
        <v>120</v>
      </c>
      <c r="B2052" s="1">
        <v>2010.0</v>
      </c>
      <c r="C2052" s="1" t="s">
        <v>21742</v>
      </c>
      <c r="D2052" s="1" t="s">
        <v>21743</v>
      </c>
      <c r="E2052" s="2" t="s">
        <v>25701</v>
      </c>
      <c r="F2052" s="1">
        <v>179.0</v>
      </c>
      <c r="G2052" s="1">
        <v>186.0</v>
      </c>
      <c r="H2052" s="1" t="s">
        <v>28</v>
      </c>
      <c r="I2052" s="1" t="s">
        <v>21744</v>
      </c>
      <c r="J2052" s="1" t="s">
        <v>21745</v>
      </c>
      <c r="K2052" s="1"/>
      <c r="L2052" s="1" t="s">
        <v>880</v>
      </c>
      <c r="M2052" s="1" t="s">
        <v>21748</v>
      </c>
      <c r="P2052" s="1"/>
      <c r="Q2052" s="1" t="s">
        <v>19037</v>
      </c>
    </row>
    <row r="2053">
      <c r="A2053" s="1" t="s">
        <v>120</v>
      </c>
      <c r="B2053" s="1">
        <v>2010.0</v>
      </c>
      <c r="C2053" s="1" t="s">
        <v>21749</v>
      </c>
      <c r="D2053" s="1" t="s">
        <v>21750</v>
      </c>
      <c r="E2053" s="2" t="s">
        <v>25702</v>
      </c>
      <c r="F2053" s="1">
        <v>155.0</v>
      </c>
      <c r="G2053" s="1">
        <v>162.0</v>
      </c>
      <c r="H2053" s="1" t="s">
        <v>28</v>
      </c>
      <c r="I2053" s="1" t="s">
        <v>21751</v>
      </c>
      <c r="J2053" s="1" t="s">
        <v>21752</v>
      </c>
      <c r="K2053" s="1"/>
      <c r="L2053" s="1" t="s">
        <v>25703</v>
      </c>
      <c r="M2053" s="1" t="s">
        <v>21755</v>
      </c>
      <c r="N2053" s="1" t="s">
        <v>21756</v>
      </c>
    </row>
    <row r="2054">
      <c r="A2054" s="1" t="s">
        <v>120</v>
      </c>
      <c r="B2054" s="1">
        <v>2010.0</v>
      </c>
      <c r="C2054" s="1" t="s">
        <v>21758</v>
      </c>
      <c r="D2054" s="1" t="s">
        <v>21759</v>
      </c>
      <c r="E2054" s="2" t="s">
        <v>25704</v>
      </c>
      <c r="F2054" s="1">
        <v>163.0</v>
      </c>
      <c r="G2054" s="1">
        <v>170.0</v>
      </c>
      <c r="H2054" s="1" t="s">
        <v>28</v>
      </c>
      <c r="I2054" s="1" t="s">
        <v>21761</v>
      </c>
      <c r="J2054" s="1" t="s">
        <v>21762</v>
      </c>
      <c r="K2054" s="1"/>
      <c r="L2054" s="1" t="s">
        <v>25705</v>
      </c>
      <c r="M2054" s="1" t="s">
        <v>21765</v>
      </c>
    </row>
    <row r="2055">
      <c r="A2055" s="1" t="s">
        <v>120</v>
      </c>
      <c r="B2055" s="1">
        <v>2010.0</v>
      </c>
      <c r="C2055" s="1" t="s">
        <v>21766</v>
      </c>
      <c r="D2055" s="1" t="s">
        <v>21767</v>
      </c>
      <c r="E2055" s="2" t="s">
        <v>25706</v>
      </c>
      <c r="F2055" s="1">
        <v>139.0</v>
      </c>
      <c r="G2055" s="1">
        <v>146.0</v>
      </c>
      <c r="H2055" s="1" t="s">
        <v>28</v>
      </c>
      <c r="I2055" s="1" t="s">
        <v>21768</v>
      </c>
      <c r="J2055" s="1" t="s">
        <v>21769</v>
      </c>
      <c r="K2055" s="1"/>
      <c r="L2055" s="1" t="s">
        <v>25707</v>
      </c>
      <c r="M2055" s="1"/>
      <c r="N2055" s="1" t="s">
        <v>21772</v>
      </c>
    </row>
    <row r="2056">
      <c r="A2056" s="1" t="s">
        <v>120</v>
      </c>
      <c r="B2056" s="1">
        <v>2010.0</v>
      </c>
      <c r="C2056" s="1" t="s">
        <v>21773</v>
      </c>
      <c r="D2056" s="1" t="s">
        <v>21774</v>
      </c>
      <c r="E2056" s="2" t="s">
        <v>25708</v>
      </c>
      <c r="F2056" s="1">
        <v>147.0</v>
      </c>
      <c r="G2056" s="1">
        <v>154.0</v>
      </c>
      <c r="H2056" s="1" t="s">
        <v>28</v>
      </c>
      <c r="I2056" s="1" t="s">
        <v>21775</v>
      </c>
      <c r="J2056" s="1" t="s">
        <v>21777</v>
      </c>
      <c r="K2056" s="1"/>
      <c r="L2056" s="1" t="s">
        <v>494</v>
      </c>
    </row>
    <row r="2057">
      <c r="A2057" s="1" t="s">
        <v>120</v>
      </c>
      <c r="B2057" s="1">
        <v>2010.0</v>
      </c>
      <c r="C2057" s="1" t="s">
        <v>21779</v>
      </c>
      <c r="D2057" s="1" t="s">
        <v>21780</v>
      </c>
      <c r="E2057" s="2" t="s">
        <v>25709</v>
      </c>
      <c r="F2057" s="1">
        <v>131.0</v>
      </c>
      <c r="G2057" s="1">
        <v>138.0</v>
      </c>
      <c r="H2057" s="1" t="s">
        <v>28</v>
      </c>
      <c r="I2057" s="1" t="s">
        <v>21782</v>
      </c>
      <c r="J2057" s="1" t="s">
        <v>21783</v>
      </c>
      <c r="K2057" s="1"/>
      <c r="L2057" s="1" t="s">
        <v>5349</v>
      </c>
      <c r="M2057" s="1" t="s">
        <v>21785</v>
      </c>
      <c r="N2057" s="1" t="s">
        <v>21786</v>
      </c>
    </row>
    <row r="2058">
      <c r="A2058" s="1" t="s">
        <v>120</v>
      </c>
      <c r="B2058" s="1">
        <v>2010.0</v>
      </c>
      <c r="C2058" s="1" t="s">
        <v>21787</v>
      </c>
      <c r="D2058" s="1" t="s">
        <v>21788</v>
      </c>
      <c r="E2058" s="2" t="s">
        <v>25710</v>
      </c>
      <c r="F2058" s="1">
        <v>115.0</v>
      </c>
      <c r="G2058" s="1">
        <v>122.0</v>
      </c>
      <c r="H2058" s="1" t="s">
        <v>28</v>
      </c>
      <c r="I2058" s="1" t="s">
        <v>21789</v>
      </c>
      <c r="J2058" s="1" t="s">
        <v>21790</v>
      </c>
      <c r="K2058" s="1"/>
      <c r="L2058" s="1" t="s">
        <v>494</v>
      </c>
      <c r="M2058" s="1" t="s">
        <v>21792</v>
      </c>
      <c r="N2058" s="1" t="s">
        <v>21793</v>
      </c>
    </row>
    <row r="2059">
      <c r="A2059" s="1" t="s">
        <v>120</v>
      </c>
      <c r="B2059" s="1">
        <v>2010.0</v>
      </c>
      <c r="C2059" s="1" t="s">
        <v>21794</v>
      </c>
      <c r="D2059" s="1" t="s">
        <v>21795</v>
      </c>
      <c r="E2059" s="2" t="s">
        <v>25711</v>
      </c>
      <c r="F2059" s="1">
        <v>123.0</v>
      </c>
      <c r="G2059" s="1">
        <v>130.0</v>
      </c>
      <c r="H2059" s="1" t="s">
        <v>28</v>
      </c>
      <c r="I2059" s="1" t="s">
        <v>21799</v>
      </c>
      <c r="J2059" s="1" t="s">
        <v>21800</v>
      </c>
      <c r="K2059" s="1"/>
      <c r="L2059" s="1" t="s">
        <v>23066</v>
      </c>
      <c r="M2059" s="1" t="s">
        <v>18386</v>
      </c>
      <c r="P2059" s="1"/>
      <c r="Q2059" s="1" t="s">
        <v>106</v>
      </c>
    </row>
    <row r="2060">
      <c r="A2060" s="1" t="s">
        <v>120</v>
      </c>
      <c r="B2060" s="1">
        <v>2010.0</v>
      </c>
      <c r="C2060" s="1" t="s">
        <v>21801</v>
      </c>
      <c r="D2060" s="1" t="s">
        <v>21802</v>
      </c>
      <c r="E2060" s="2" t="s">
        <v>25712</v>
      </c>
      <c r="F2060" s="1">
        <v>99.0</v>
      </c>
      <c r="G2060" s="1">
        <v>106.0</v>
      </c>
      <c r="H2060" s="1" t="s">
        <v>28</v>
      </c>
      <c r="I2060" s="1" t="s">
        <v>21804</v>
      </c>
      <c r="J2060" s="1" t="s">
        <v>21805</v>
      </c>
      <c r="K2060" s="1"/>
      <c r="L2060" s="1" t="s">
        <v>25713</v>
      </c>
      <c r="M2060" s="1" t="s">
        <v>21807</v>
      </c>
      <c r="N2060" s="1" t="s">
        <v>21808</v>
      </c>
    </row>
    <row r="2061">
      <c r="A2061" s="1" t="s">
        <v>120</v>
      </c>
      <c r="B2061" s="1">
        <v>2010.0</v>
      </c>
      <c r="C2061" s="1" t="s">
        <v>21810</v>
      </c>
      <c r="D2061" s="1" t="s">
        <v>21811</v>
      </c>
      <c r="E2061" s="2" t="s">
        <v>25714</v>
      </c>
      <c r="F2061" s="1">
        <v>107.0</v>
      </c>
      <c r="G2061" s="1">
        <v>114.0</v>
      </c>
      <c r="H2061" s="1" t="s">
        <v>28</v>
      </c>
      <c r="I2061" s="1" t="s">
        <v>21812</v>
      </c>
      <c r="J2061" s="1" t="s">
        <v>21813</v>
      </c>
      <c r="K2061" s="1"/>
      <c r="L2061" s="1" t="s">
        <v>25715</v>
      </c>
      <c r="M2061" s="1" t="s">
        <v>21815</v>
      </c>
      <c r="N2061" s="1" t="s">
        <v>21816</v>
      </c>
    </row>
    <row r="2062">
      <c r="A2062" s="1" t="s">
        <v>120</v>
      </c>
      <c r="B2062" s="1">
        <v>2010.0</v>
      </c>
      <c r="C2062" s="1" t="s">
        <v>21817</v>
      </c>
      <c r="D2062" s="1" t="s">
        <v>21818</v>
      </c>
      <c r="E2062" s="2" t="s">
        <v>25716</v>
      </c>
      <c r="F2062" s="1">
        <v>91.0</v>
      </c>
      <c r="G2062" s="1">
        <v>98.0</v>
      </c>
      <c r="H2062" s="1" t="s">
        <v>28</v>
      </c>
      <c r="I2062" s="1" t="s">
        <v>21819</v>
      </c>
      <c r="J2062" s="1" t="s">
        <v>21820</v>
      </c>
      <c r="K2062" s="1"/>
      <c r="L2062" s="1" t="s">
        <v>25717</v>
      </c>
      <c r="M2062" s="1" t="s">
        <v>21822</v>
      </c>
    </row>
    <row r="2063">
      <c r="A2063" s="1" t="s">
        <v>120</v>
      </c>
      <c r="B2063" s="1">
        <v>2010.0</v>
      </c>
      <c r="C2063" s="1" t="s">
        <v>21823</v>
      </c>
      <c r="D2063" s="1" t="s">
        <v>21824</v>
      </c>
      <c r="E2063" s="2" t="s">
        <v>25718</v>
      </c>
      <c r="F2063" s="1">
        <v>229.0</v>
      </c>
      <c r="G2063" s="1">
        <v>230.0</v>
      </c>
      <c r="H2063" s="1" t="s">
        <v>21</v>
      </c>
      <c r="I2063" s="1" t="s">
        <v>21826</v>
      </c>
      <c r="J2063" s="1" t="s">
        <v>25719</v>
      </c>
      <c r="K2063" s="1"/>
      <c r="L2063" s="1" t="s">
        <v>880</v>
      </c>
    </row>
    <row r="2064">
      <c r="A2064" s="1" t="s">
        <v>120</v>
      </c>
      <c r="B2064" s="1">
        <v>2010.0</v>
      </c>
      <c r="C2064" s="1" t="s">
        <v>21831</v>
      </c>
      <c r="D2064" s="1" t="s">
        <v>21832</v>
      </c>
      <c r="E2064" s="2" t="s">
        <v>25720</v>
      </c>
      <c r="F2064" s="1">
        <v>231.0</v>
      </c>
      <c r="G2064" s="1">
        <v>232.0</v>
      </c>
      <c r="H2064" s="1" t="s">
        <v>21</v>
      </c>
      <c r="I2064" s="1" t="s">
        <v>21833</v>
      </c>
      <c r="J2064" s="1" t="s">
        <v>21834</v>
      </c>
      <c r="K2064" s="1"/>
      <c r="L2064" s="1" t="s">
        <v>25721</v>
      </c>
    </row>
    <row r="2065">
      <c r="A2065" s="1" t="s">
        <v>120</v>
      </c>
      <c r="B2065" s="1">
        <v>2010.0</v>
      </c>
      <c r="C2065" s="1" t="s">
        <v>21837</v>
      </c>
      <c r="D2065" s="1" t="s">
        <v>21838</v>
      </c>
      <c r="E2065" s="2" t="s">
        <v>25722</v>
      </c>
      <c r="F2065" s="1">
        <v>233.0</v>
      </c>
      <c r="G2065" s="1">
        <v>234.0</v>
      </c>
      <c r="H2065" s="1" t="s">
        <v>21</v>
      </c>
      <c r="I2065" s="1" t="s">
        <v>21839</v>
      </c>
      <c r="J2065" s="1" t="s">
        <v>21840</v>
      </c>
      <c r="K2065" s="1"/>
      <c r="L2065" s="1" t="s">
        <v>494</v>
      </c>
      <c r="M2065" s="1"/>
      <c r="N2065" s="1" t="s">
        <v>21843</v>
      </c>
    </row>
    <row r="2066">
      <c r="A2066" s="1" t="s">
        <v>120</v>
      </c>
      <c r="B2066" s="1">
        <v>2010.0</v>
      </c>
      <c r="C2066" s="1" t="s">
        <v>21844</v>
      </c>
      <c r="D2066" s="1" t="s">
        <v>21846</v>
      </c>
      <c r="E2066" s="2" t="s">
        <v>25723</v>
      </c>
      <c r="F2066" s="1">
        <v>213.0</v>
      </c>
      <c r="G2066" s="1">
        <v>214.0</v>
      </c>
      <c r="H2066" s="1" t="s">
        <v>21</v>
      </c>
      <c r="I2066" s="1" t="s">
        <v>21848</v>
      </c>
      <c r="J2066" s="1" t="s">
        <v>19310</v>
      </c>
      <c r="K2066" s="1"/>
      <c r="L2066" s="1" t="s">
        <v>178</v>
      </c>
    </row>
    <row r="2067">
      <c r="A2067" s="1" t="s">
        <v>120</v>
      </c>
      <c r="B2067" s="1">
        <v>2010.0</v>
      </c>
      <c r="C2067" s="1" t="s">
        <v>21850</v>
      </c>
      <c r="D2067" s="1" t="s">
        <v>21851</v>
      </c>
      <c r="E2067" s="2" t="s">
        <v>25724</v>
      </c>
      <c r="F2067" s="1">
        <v>203.0</v>
      </c>
      <c r="G2067" s="1">
        <v>210.0</v>
      </c>
      <c r="H2067" s="1" t="s">
        <v>28</v>
      </c>
      <c r="I2067" s="1" t="s">
        <v>21852</v>
      </c>
      <c r="J2067" s="1" t="s">
        <v>21853</v>
      </c>
      <c r="K2067" s="1"/>
      <c r="L2067" s="1" t="s">
        <v>25725</v>
      </c>
      <c r="M2067" s="1"/>
      <c r="N2067" s="1" t="s">
        <v>19345</v>
      </c>
    </row>
    <row r="2068">
      <c r="A2068" s="1" t="s">
        <v>120</v>
      </c>
      <c r="B2068" s="1">
        <v>2010.0</v>
      </c>
      <c r="C2068" s="1" t="s">
        <v>21856</v>
      </c>
      <c r="D2068" s="1" t="s">
        <v>21857</v>
      </c>
      <c r="E2068" s="2" t="s">
        <v>25726</v>
      </c>
      <c r="F2068" s="1">
        <v>187.0</v>
      </c>
      <c r="G2068" s="1">
        <v>194.0</v>
      </c>
      <c r="H2068" s="1" t="s">
        <v>28</v>
      </c>
      <c r="I2068" s="1" t="s">
        <v>21858</v>
      </c>
      <c r="J2068" s="1" t="s">
        <v>21859</v>
      </c>
      <c r="K2068" s="1"/>
      <c r="L2068" s="1" t="s">
        <v>25727</v>
      </c>
      <c r="M2068" s="1" t="s">
        <v>21863</v>
      </c>
      <c r="N2068" s="1" t="s">
        <v>21864</v>
      </c>
    </row>
    <row r="2069">
      <c r="A2069" s="1" t="s">
        <v>120</v>
      </c>
      <c r="B2069" s="1">
        <v>2010.0</v>
      </c>
      <c r="C2069" s="1" t="s">
        <v>21866</v>
      </c>
      <c r="D2069" s="1" t="s">
        <v>21867</v>
      </c>
      <c r="E2069" s="2" t="s">
        <v>25728</v>
      </c>
      <c r="F2069" s="1">
        <v>195.0</v>
      </c>
      <c r="G2069" s="1">
        <v>202.0</v>
      </c>
      <c r="H2069" s="1" t="s">
        <v>28</v>
      </c>
      <c r="I2069" s="1" t="s">
        <v>21868</v>
      </c>
      <c r="J2069" s="1" t="s">
        <v>21869</v>
      </c>
      <c r="K2069" s="1"/>
      <c r="L2069" s="1" t="s">
        <v>25729</v>
      </c>
      <c r="M2069" s="1" t="s">
        <v>21871</v>
      </c>
      <c r="N2069" s="1" t="s">
        <v>21872</v>
      </c>
    </row>
    <row r="2070">
      <c r="A2070" s="1" t="s">
        <v>120</v>
      </c>
      <c r="B2070" s="1">
        <v>2010.0</v>
      </c>
      <c r="C2070" s="1" t="s">
        <v>21873</v>
      </c>
      <c r="D2070" s="1" t="s">
        <v>21874</v>
      </c>
      <c r="E2070" s="2" t="s">
        <v>25730</v>
      </c>
      <c r="F2070" s="1">
        <v>243.0</v>
      </c>
      <c r="G2070" s="1">
        <v>244.0</v>
      </c>
      <c r="H2070" s="1" t="s">
        <v>21</v>
      </c>
      <c r="I2070" s="1" t="s">
        <v>21875</v>
      </c>
      <c r="J2070" s="1" t="s">
        <v>21876</v>
      </c>
      <c r="K2070" s="1"/>
      <c r="L2070" s="1" t="s">
        <v>5349</v>
      </c>
    </row>
    <row r="2071">
      <c r="A2071" s="1" t="s">
        <v>120</v>
      </c>
      <c r="B2071" s="1">
        <v>2010.0</v>
      </c>
      <c r="C2071" s="1" t="s">
        <v>21879</v>
      </c>
      <c r="D2071" s="1" t="s">
        <v>21880</v>
      </c>
      <c r="E2071" s="2" t="s">
        <v>25731</v>
      </c>
      <c r="F2071" s="1">
        <v>239.0</v>
      </c>
      <c r="G2071" s="1">
        <v>240.0</v>
      </c>
      <c r="H2071" s="1" t="s">
        <v>21</v>
      </c>
      <c r="I2071" s="1" t="s">
        <v>21883</v>
      </c>
      <c r="J2071" s="1" t="s">
        <v>25732</v>
      </c>
      <c r="K2071" s="1"/>
      <c r="L2071" s="1" t="s">
        <v>25733</v>
      </c>
    </row>
    <row r="2072">
      <c r="A2072" s="1" t="s">
        <v>120</v>
      </c>
      <c r="B2072" s="1">
        <v>2010.0</v>
      </c>
      <c r="C2072" s="1" t="s">
        <v>21886</v>
      </c>
      <c r="D2072" s="1" t="s">
        <v>21887</v>
      </c>
      <c r="E2072" s="2" t="s">
        <v>25734</v>
      </c>
      <c r="F2072" s="1">
        <v>241.0</v>
      </c>
      <c r="G2072" s="1">
        <v>242.0</v>
      </c>
      <c r="H2072" s="1" t="s">
        <v>21</v>
      </c>
      <c r="I2072" s="1" t="s">
        <v>21888</v>
      </c>
      <c r="J2072" s="1" t="s">
        <v>21889</v>
      </c>
      <c r="K2072" s="1"/>
      <c r="L2072" s="1" t="s">
        <v>25735</v>
      </c>
      <c r="M2072" s="1"/>
      <c r="N2072" s="1" t="s">
        <v>21891</v>
      </c>
    </row>
    <row r="2073">
      <c r="A2073" s="1" t="s">
        <v>17</v>
      </c>
      <c r="B2073" s="1">
        <v>2011.0</v>
      </c>
      <c r="C2073" s="1" t="s">
        <v>23116</v>
      </c>
      <c r="D2073" s="1" t="s">
        <v>23117</v>
      </c>
      <c r="E2073" s="2" t="s">
        <v>25736</v>
      </c>
      <c r="F2073" s="1">
        <v>2045.0</v>
      </c>
      <c r="G2073" s="1">
        <v>2052.0</v>
      </c>
      <c r="H2073" s="1" t="s">
        <v>17059</v>
      </c>
      <c r="I2073" s="1" t="s">
        <v>23120</v>
      </c>
      <c r="J2073" s="1" t="s">
        <v>25737</v>
      </c>
      <c r="K2073" s="1"/>
      <c r="L2073" s="1" t="s">
        <v>25738</v>
      </c>
      <c r="M2073" s="1" t="s">
        <v>23124</v>
      </c>
      <c r="N2073" s="1" t="s">
        <v>23125</v>
      </c>
    </row>
    <row r="2074">
      <c r="A2074" s="1" t="s">
        <v>2137</v>
      </c>
      <c r="B2074" s="1">
        <v>2011.0</v>
      </c>
      <c r="C2074" s="1" t="s">
        <v>22364</v>
      </c>
      <c r="D2074" s="1" t="s">
        <v>22365</v>
      </c>
      <c r="E2074" s="2" t="s">
        <v>25739</v>
      </c>
      <c r="F2074" s="1">
        <v>2469.0</v>
      </c>
      <c r="G2074" s="1">
        <v>2478.0</v>
      </c>
      <c r="H2074" s="1" t="s">
        <v>17059</v>
      </c>
      <c r="I2074" s="1" t="s">
        <v>22366</v>
      </c>
      <c r="J2074" s="1" t="s">
        <v>22367</v>
      </c>
      <c r="K2074" s="1"/>
      <c r="L2074" s="1" t="s">
        <v>25740</v>
      </c>
      <c r="M2074" s="1" t="s">
        <v>22369</v>
      </c>
      <c r="N2074" s="1" t="s">
        <v>22370</v>
      </c>
    </row>
    <row r="2075">
      <c r="A2075" s="1" t="s">
        <v>17</v>
      </c>
      <c r="B2075" s="1">
        <v>2011.0</v>
      </c>
      <c r="C2075" s="1" t="s">
        <v>23126</v>
      </c>
      <c r="D2075" s="1" t="s">
        <v>23127</v>
      </c>
      <c r="E2075" s="2" t="s">
        <v>25741</v>
      </c>
      <c r="F2075" s="1">
        <v>1922.0</v>
      </c>
      <c r="G2075" s="1">
        <v>1931.0</v>
      </c>
      <c r="H2075" s="1" t="s">
        <v>17059</v>
      </c>
      <c r="I2075" s="1" t="s">
        <v>23128</v>
      </c>
      <c r="J2075" s="1" t="s">
        <v>23129</v>
      </c>
      <c r="K2075" s="1"/>
      <c r="L2075" s="1" t="s">
        <v>25742</v>
      </c>
      <c r="M2075" s="1" t="s">
        <v>23131</v>
      </c>
      <c r="N2075" s="1" t="s">
        <v>23132</v>
      </c>
    </row>
    <row r="2076">
      <c r="A2076" s="1" t="s">
        <v>17</v>
      </c>
      <c r="B2076" s="1">
        <v>2011.0</v>
      </c>
      <c r="C2076" s="1" t="s">
        <v>23133</v>
      </c>
      <c r="D2076" s="1" t="s">
        <v>23134</v>
      </c>
      <c r="E2076" s="2" t="s">
        <v>25743</v>
      </c>
      <c r="F2076" s="1">
        <v>2088.0</v>
      </c>
      <c r="G2076" s="1">
        <v>2095.0</v>
      </c>
      <c r="H2076" s="1" t="s">
        <v>17059</v>
      </c>
      <c r="I2076" s="1" t="s">
        <v>23137</v>
      </c>
      <c r="J2076" s="1" t="s">
        <v>23138</v>
      </c>
      <c r="K2076" s="1"/>
      <c r="L2076" s="1" t="s">
        <v>25744</v>
      </c>
      <c r="M2076" s="1" t="s">
        <v>23141</v>
      </c>
      <c r="N2076" s="1" t="s">
        <v>23142</v>
      </c>
    </row>
    <row r="2077">
      <c r="A2077" s="1" t="s">
        <v>2137</v>
      </c>
      <c r="B2077" s="1">
        <v>2011.0</v>
      </c>
      <c r="C2077" s="1" t="s">
        <v>22371</v>
      </c>
      <c r="D2077" s="1" t="s">
        <v>22372</v>
      </c>
      <c r="E2077" s="2" t="s">
        <v>25745</v>
      </c>
      <c r="F2077" s="1">
        <v>2241.0</v>
      </c>
      <c r="G2077" s="1">
        <v>2248.0</v>
      </c>
      <c r="H2077" s="1" t="s">
        <v>17059</v>
      </c>
      <c r="I2077" s="1" t="s">
        <v>22373</v>
      </c>
      <c r="J2077" s="1" t="s">
        <v>21465</v>
      </c>
      <c r="K2077" s="1"/>
      <c r="L2077" s="1" t="s">
        <v>178</v>
      </c>
      <c r="M2077" s="1" t="s">
        <v>22375</v>
      </c>
      <c r="N2077" s="1" t="s">
        <v>22376</v>
      </c>
    </row>
    <row r="2078">
      <c r="A2078" s="1" t="s">
        <v>17</v>
      </c>
      <c r="B2078" s="1">
        <v>2011.0</v>
      </c>
      <c r="C2078" s="1" t="s">
        <v>23144</v>
      </c>
      <c r="D2078" s="1" t="s">
        <v>23145</v>
      </c>
      <c r="E2078" s="2" t="s">
        <v>25746</v>
      </c>
      <c r="F2078" s="1">
        <v>2144.0</v>
      </c>
      <c r="G2078" s="1">
        <v>2152.0</v>
      </c>
      <c r="H2078" s="1" t="s">
        <v>17059</v>
      </c>
      <c r="I2078" s="1" t="s">
        <v>23146</v>
      </c>
      <c r="J2078" s="1" t="s">
        <v>23147</v>
      </c>
      <c r="K2078" s="1"/>
      <c r="L2078" s="1" t="s">
        <v>25747</v>
      </c>
      <c r="M2078" s="1" t="s">
        <v>23150</v>
      </c>
      <c r="N2078" s="1" t="s">
        <v>23151</v>
      </c>
    </row>
    <row r="2079">
      <c r="A2079" s="1" t="s">
        <v>17</v>
      </c>
      <c r="B2079" s="1">
        <v>2011.0</v>
      </c>
      <c r="C2079" s="1" t="s">
        <v>23152</v>
      </c>
      <c r="D2079" s="1" t="s">
        <v>23153</v>
      </c>
      <c r="E2079" s="2" t="s">
        <v>25748</v>
      </c>
      <c r="F2079" s="1">
        <v>1989.0</v>
      </c>
      <c r="G2079" s="1">
        <v>1996.0</v>
      </c>
      <c r="H2079" s="1" t="s">
        <v>17059</v>
      </c>
      <c r="I2079" s="1" t="s">
        <v>23154</v>
      </c>
      <c r="J2079" s="1" t="s">
        <v>23156</v>
      </c>
      <c r="K2079" s="1"/>
      <c r="L2079" s="1" t="s">
        <v>25749</v>
      </c>
      <c r="M2079" s="1" t="s">
        <v>15280</v>
      </c>
      <c r="N2079" s="1" t="s">
        <v>23159</v>
      </c>
    </row>
    <row r="2080">
      <c r="A2080" s="1" t="s">
        <v>2137</v>
      </c>
      <c r="B2080" s="1">
        <v>2011.0</v>
      </c>
      <c r="C2080" s="1" t="s">
        <v>22377</v>
      </c>
      <c r="D2080" s="1" t="s">
        <v>22378</v>
      </c>
      <c r="E2080" s="2" t="s">
        <v>25750</v>
      </c>
      <c r="F2080" s="1">
        <v>2572.0</v>
      </c>
      <c r="G2080" s="1">
        <v>2580.0</v>
      </c>
      <c r="H2080" s="1" t="s">
        <v>17059</v>
      </c>
      <c r="I2080" s="1" t="s">
        <v>22379</v>
      </c>
      <c r="J2080" s="1" t="s">
        <v>22380</v>
      </c>
      <c r="K2080" s="1"/>
      <c r="L2080" s="1" t="s">
        <v>25751</v>
      </c>
      <c r="M2080" s="1" t="s">
        <v>22383</v>
      </c>
      <c r="N2080" s="1" t="s">
        <v>22384</v>
      </c>
    </row>
    <row r="2081">
      <c r="A2081" s="1" t="s">
        <v>2137</v>
      </c>
      <c r="B2081" s="1">
        <v>2011.0</v>
      </c>
      <c r="C2081" s="1" t="s">
        <v>22385</v>
      </c>
      <c r="D2081" s="1" t="s">
        <v>22386</v>
      </c>
      <c r="E2081" s="2" t="s">
        <v>25752</v>
      </c>
      <c r="F2081" s="1">
        <v>2276.0</v>
      </c>
      <c r="G2081" s="1">
        <v>2282.0</v>
      </c>
      <c r="H2081" s="1" t="s">
        <v>17059</v>
      </c>
      <c r="I2081" s="1" t="s">
        <v>22387</v>
      </c>
      <c r="J2081" s="1" t="s">
        <v>22388</v>
      </c>
      <c r="K2081" s="1"/>
      <c r="L2081" s="1" t="s">
        <v>494</v>
      </c>
      <c r="M2081" s="1" t="s">
        <v>17295</v>
      </c>
      <c r="N2081" s="1" t="s">
        <v>22389</v>
      </c>
    </row>
    <row r="2082">
      <c r="A2082" s="1" t="s">
        <v>17</v>
      </c>
      <c r="B2082" s="1">
        <v>2011.0</v>
      </c>
      <c r="C2082" s="1" t="s">
        <v>23160</v>
      </c>
      <c r="D2082" s="1" t="s">
        <v>23162</v>
      </c>
      <c r="E2082" s="2" t="s">
        <v>25753</v>
      </c>
      <c r="F2082" s="1">
        <v>1757.0</v>
      </c>
      <c r="G2082" s="1">
        <v>1764.0</v>
      </c>
      <c r="H2082" s="1" t="s">
        <v>17059</v>
      </c>
      <c r="I2082" s="1" t="s">
        <v>23163</v>
      </c>
      <c r="J2082" s="1" t="s">
        <v>23164</v>
      </c>
      <c r="K2082" s="1"/>
      <c r="L2082" s="1" t="s">
        <v>25754</v>
      </c>
      <c r="M2082" s="1" t="s">
        <v>6032</v>
      </c>
      <c r="N2082" s="1" t="s">
        <v>23167</v>
      </c>
      <c r="P2082" s="1"/>
      <c r="Q2082" s="1" t="s">
        <v>19037</v>
      </c>
    </row>
    <row r="2083">
      <c r="A2083" s="1" t="s">
        <v>2137</v>
      </c>
      <c r="B2083" s="1">
        <v>2011.0</v>
      </c>
      <c r="C2083" s="1" t="s">
        <v>22390</v>
      </c>
      <c r="D2083" s="1" t="s">
        <v>22391</v>
      </c>
      <c r="E2083" s="2" t="s">
        <v>25755</v>
      </c>
      <c r="F2083" s="1">
        <v>2283.0</v>
      </c>
      <c r="G2083" s="1">
        <v>2290.0</v>
      </c>
      <c r="H2083" s="1" t="s">
        <v>17059</v>
      </c>
      <c r="I2083" s="1" t="s">
        <v>22392</v>
      </c>
      <c r="J2083" s="1" t="s">
        <v>22393</v>
      </c>
      <c r="K2083" s="1"/>
      <c r="L2083" s="1" t="s">
        <v>25756</v>
      </c>
      <c r="M2083" s="1" t="s">
        <v>22395</v>
      </c>
      <c r="N2083" s="1" t="s">
        <v>22396</v>
      </c>
    </row>
    <row r="2084">
      <c r="A2084" s="1" t="s">
        <v>17</v>
      </c>
      <c r="B2084" s="1">
        <v>2011.0</v>
      </c>
      <c r="C2084" s="1" t="s">
        <v>23168</v>
      </c>
      <c r="D2084" s="1" t="s">
        <v>23169</v>
      </c>
      <c r="E2084" s="2" t="s">
        <v>25757</v>
      </c>
      <c r="F2084" s="1">
        <v>1979.0</v>
      </c>
      <c r="G2084" s="1">
        <v>1988.0</v>
      </c>
      <c r="H2084" s="1" t="s">
        <v>17059</v>
      </c>
      <c r="I2084" s="1" t="s">
        <v>23170</v>
      </c>
      <c r="J2084" s="1" t="s">
        <v>23171</v>
      </c>
      <c r="K2084" s="1"/>
      <c r="L2084" s="1" t="s">
        <v>25758</v>
      </c>
      <c r="M2084" s="1" t="s">
        <v>23174</v>
      </c>
      <c r="N2084" s="1" t="s">
        <v>23175</v>
      </c>
    </row>
    <row r="2085">
      <c r="A2085" s="1" t="s">
        <v>17</v>
      </c>
      <c r="B2085" s="1">
        <v>2011.0</v>
      </c>
      <c r="C2085" s="1" t="s">
        <v>23176</v>
      </c>
      <c r="D2085" s="1" t="s">
        <v>23177</v>
      </c>
      <c r="E2085" s="2" t="s">
        <v>25759</v>
      </c>
      <c r="F2085" s="1">
        <v>2005.0</v>
      </c>
      <c r="G2085" s="1">
        <v>2014.0</v>
      </c>
      <c r="H2085" s="1" t="s">
        <v>17059</v>
      </c>
      <c r="I2085" s="1" t="s">
        <v>23197</v>
      </c>
      <c r="J2085" s="1" t="s">
        <v>23198</v>
      </c>
      <c r="K2085" s="1"/>
      <c r="L2085" s="1" t="s">
        <v>25760</v>
      </c>
      <c r="M2085" s="1" t="s">
        <v>23200</v>
      </c>
      <c r="N2085" s="1" t="s">
        <v>23202</v>
      </c>
    </row>
    <row r="2086">
      <c r="A2086" s="1" t="s">
        <v>17</v>
      </c>
      <c r="B2086" s="1">
        <v>2011.0</v>
      </c>
      <c r="C2086" s="1" t="s">
        <v>23203</v>
      </c>
      <c r="D2086" s="1" t="s">
        <v>23204</v>
      </c>
      <c r="E2086" s="2" t="s">
        <v>25761</v>
      </c>
      <c r="F2086" s="1">
        <v>1932.0</v>
      </c>
      <c r="G2086" s="1">
        <v>1941.0</v>
      </c>
      <c r="H2086" s="1" t="s">
        <v>17059</v>
      </c>
      <c r="I2086" s="1" t="s">
        <v>23205</v>
      </c>
      <c r="J2086" s="1" t="s">
        <v>23206</v>
      </c>
      <c r="K2086" s="1"/>
      <c r="L2086" s="1" t="s">
        <v>860</v>
      </c>
      <c r="M2086" s="1" t="s">
        <v>23209</v>
      </c>
      <c r="N2086" s="1" t="s">
        <v>23210</v>
      </c>
    </row>
    <row r="2087">
      <c r="A2087" s="1" t="s">
        <v>2137</v>
      </c>
      <c r="B2087" s="1">
        <v>2011.0</v>
      </c>
      <c r="C2087" s="1" t="s">
        <v>22397</v>
      </c>
      <c r="D2087" s="1" t="s">
        <v>22398</v>
      </c>
      <c r="E2087" s="2" t="s">
        <v>25762</v>
      </c>
      <c r="F2087" s="1">
        <v>2384.0</v>
      </c>
      <c r="G2087" s="1">
        <v>2391.0</v>
      </c>
      <c r="H2087" s="1" t="s">
        <v>17059</v>
      </c>
      <c r="I2087" s="1" t="s">
        <v>22399</v>
      </c>
      <c r="J2087" s="1" t="s">
        <v>22400</v>
      </c>
      <c r="K2087" s="1"/>
      <c r="L2087" s="1" t="s">
        <v>5349</v>
      </c>
      <c r="M2087" s="1" t="s">
        <v>22402</v>
      </c>
      <c r="N2087" s="1" t="s">
        <v>22403</v>
      </c>
    </row>
    <row r="2088">
      <c r="A2088" s="1" t="s">
        <v>2137</v>
      </c>
      <c r="B2088" s="1">
        <v>2011.0</v>
      </c>
      <c r="C2088" s="1" t="s">
        <v>22404</v>
      </c>
      <c r="D2088" s="1" t="s">
        <v>22405</v>
      </c>
      <c r="E2088" s="2" t="s">
        <v>25763</v>
      </c>
      <c r="F2088" s="1">
        <v>2213.0</v>
      </c>
      <c r="G2088" s="1">
        <v>2222.0</v>
      </c>
      <c r="H2088" s="1" t="s">
        <v>17059</v>
      </c>
      <c r="I2088" s="1" t="s">
        <v>22406</v>
      </c>
      <c r="J2088" s="1" t="s">
        <v>22407</v>
      </c>
      <c r="K2088" s="1"/>
      <c r="L2088" s="1" t="s">
        <v>494</v>
      </c>
      <c r="M2088" s="1" t="s">
        <v>22409</v>
      </c>
      <c r="N2088" s="1" t="s">
        <v>22410</v>
      </c>
      <c r="P2088" s="1"/>
      <c r="Q2088" s="1" t="s">
        <v>19037</v>
      </c>
    </row>
    <row r="2089">
      <c r="A2089" s="1" t="s">
        <v>2137</v>
      </c>
      <c r="B2089" s="1">
        <v>2011.0</v>
      </c>
      <c r="C2089" s="1" t="s">
        <v>22411</v>
      </c>
      <c r="D2089" s="1" t="s">
        <v>22412</v>
      </c>
      <c r="E2089" s="2" t="s">
        <v>25764</v>
      </c>
      <c r="F2089" s="1">
        <v>2374.0</v>
      </c>
      <c r="G2089" s="1">
        <v>2383.0</v>
      </c>
      <c r="H2089" s="1" t="s">
        <v>17059</v>
      </c>
      <c r="I2089" s="1" t="s">
        <v>25765</v>
      </c>
      <c r="J2089" s="1" t="s">
        <v>25766</v>
      </c>
      <c r="K2089" s="1"/>
      <c r="L2089" s="1" t="s">
        <v>1253</v>
      </c>
      <c r="M2089" s="1" t="s">
        <v>22417</v>
      </c>
      <c r="N2089" s="1" t="s">
        <v>22418</v>
      </c>
    </row>
    <row r="2090">
      <c r="A2090" s="1" t="s">
        <v>17</v>
      </c>
      <c r="B2090" s="1">
        <v>2011.0</v>
      </c>
      <c r="C2090" s="1" t="s">
        <v>23212</v>
      </c>
      <c r="D2090" s="1" t="s">
        <v>23213</v>
      </c>
      <c r="E2090" s="2" t="s">
        <v>25767</v>
      </c>
      <c r="F2090" s="1">
        <v>1902.0</v>
      </c>
      <c r="G2090" s="1">
        <v>1911.0</v>
      </c>
      <c r="H2090" s="1" t="s">
        <v>17059</v>
      </c>
      <c r="I2090" s="1" t="s">
        <v>23214</v>
      </c>
      <c r="J2090" s="1" t="s">
        <v>23215</v>
      </c>
      <c r="K2090" s="1"/>
      <c r="L2090" s="1" t="s">
        <v>25768</v>
      </c>
      <c r="M2090" s="1" t="s">
        <v>23217</v>
      </c>
      <c r="N2090" s="1" t="s">
        <v>23218</v>
      </c>
    </row>
    <row r="2091">
      <c r="A2091" s="1" t="s">
        <v>2137</v>
      </c>
      <c r="B2091" s="1">
        <v>2011.0</v>
      </c>
      <c r="C2091" s="1" t="s">
        <v>22419</v>
      </c>
      <c r="D2091" s="1" t="s">
        <v>22420</v>
      </c>
      <c r="E2091" s="2" t="s">
        <v>25769</v>
      </c>
      <c r="F2091" s="1">
        <v>2591.0</v>
      </c>
      <c r="G2091" s="1">
        <v>2599.0</v>
      </c>
      <c r="H2091" s="1" t="s">
        <v>17059</v>
      </c>
      <c r="I2091" s="1" t="s">
        <v>22421</v>
      </c>
      <c r="J2091" s="1" t="s">
        <v>22422</v>
      </c>
      <c r="K2091" s="1"/>
      <c r="L2091" s="1" t="s">
        <v>25770</v>
      </c>
      <c r="M2091" s="1" t="s">
        <v>22424</v>
      </c>
      <c r="N2091" s="1" t="s">
        <v>22425</v>
      </c>
    </row>
    <row r="2092">
      <c r="A2092" s="1" t="s">
        <v>2137</v>
      </c>
      <c r="B2092" s="1">
        <v>2011.0</v>
      </c>
      <c r="C2092" s="1" t="s">
        <v>22426</v>
      </c>
      <c r="D2092" s="1" t="s">
        <v>22427</v>
      </c>
      <c r="E2092" s="2" t="s">
        <v>25771</v>
      </c>
      <c r="F2092" s="1">
        <v>2432.0</v>
      </c>
      <c r="G2092" s="1">
        <v>2439.0</v>
      </c>
      <c r="H2092" s="1" t="s">
        <v>17059</v>
      </c>
      <c r="I2092" s="1" t="s">
        <v>22428</v>
      </c>
      <c r="J2092" s="1" t="s">
        <v>22429</v>
      </c>
      <c r="K2092" s="1"/>
      <c r="L2092" s="1" t="s">
        <v>25772</v>
      </c>
      <c r="M2092" s="1" t="s">
        <v>22431</v>
      </c>
      <c r="N2092" s="1" t="s">
        <v>22432</v>
      </c>
    </row>
    <row r="2093">
      <c r="A2093" s="1" t="s">
        <v>2137</v>
      </c>
      <c r="B2093" s="1">
        <v>2011.0</v>
      </c>
      <c r="C2093" s="1" t="s">
        <v>22433</v>
      </c>
      <c r="D2093" s="1" t="s">
        <v>22434</v>
      </c>
      <c r="E2093" s="2" t="s">
        <v>25773</v>
      </c>
      <c r="F2093" s="1">
        <v>2518.0</v>
      </c>
      <c r="G2093" s="1">
        <v>2527.0</v>
      </c>
      <c r="H2093" s="1" t="s">
        <v>17059</v>
      </c>
      <c r="I2093" s="1" t="s">
        <v>22435</v>
      </c>
      <c r="J2093" s="1" t="s">
        <v>22436</v>
      </c>
      <c r="K2093" s="1"/>
      <c r="L2093" s="1" t="s">
        <v>25774</v>
      </c>
      <c r="M2093" s="1" t="s">
        <v>22439</v>
      </c>
      <c r="N2093" s="1" t="s">
        <v>22440</v>
      </c>
    </row>
    <row r="2094">
      <c r="A2094" s="1" t="s">
        <v>17</v>
      </c>
      <c r="B2094" s="1">
        <v>2011.0</v>
      </c>
      <c r="C2094" s="1" t="s">
        <v>23219</v>
      </c>
      <c r="D2094" s="1" t="s">
        <v>23220</v>
      </c>
      <c r="E2094" s="2" t="s">
        <v>25775</v>
      </c>
      <c r="F2094" s="1">
        <v>1997.0</v>
      </c>
      <c r="G2094" s="1">
        <v>2004.0</v>
      </c>
      <c r="H2094" s="1" t="s">
        <v>17059</v>
      </c>
      <c r="I2094" s="1" t="s">
        <v>23222</v>
      </c>
      <c r="J2094" s="1" t="s">
        <v>23223</v>
      </c>
      <c r="K2094" s="1"/>
      <c r="L2094" s="1" t="s">
        <v>25779</v>
      </c>
      <c r="M2094" s="1" t="s">
        <v>23226</v>
      </c>
      <c r="N2094" s="1" t="s">
        <v>23227</v>
      </c>
    </row>
    <row r="2095">
      <c r="A2095" s="1" t="s">
        <v>2137</v>
      </c>
      <c r="B2095" s="1">
        <v>2011.0</v>
      </c>
      <c r="C2095" s="1" t="s">
        <v>22441</v>
      </c>
      <c r="D2095" s="1" t="s">
        <v>22442</v>
      </c>
      <c r="E2095" s="2" t="s">
        <v>25780</v>
      </c>
      <c r="F2095" s="1">
        <v>2249.0</v>
      </c>
      <c r="G2095" s="1">
        <v>2258.0</v>
      </c>
      <c r="H2095" s="1" t="s">
        <v>17059</v>
      </c>
      <c r="I2095" s="1" t="s">
        <v>22443</v>
      </c>
      <c r="J2095" s="1" t="s">
        <v>22444</v>
      </c>
      <c r="K2095" s="1"/>
      <c r="L2095" s="1" t="s">
        <v>880</v>
      </c>
      <c r="M2095" s="1" t="s">
        <v>22446</v>
      </c>
      <c r="N2095" s="1" t="s">
        <v>22447</v>
      </c>
      <c r="P2095" s="1"/>
      <c r="Q2095" s="1" t="s">
        <v>106</v>
      </c>
    </row>
    <row r="2096">
      <c r="A2096" s="1" t="s">
        <v>17</v>
      </c>
      <c r="B2096" s="1">
        <v>2011.0</v>
      </c>
      <c r="C2096" s="1" t="s">
        <v>23229</v>
      </c>
      <c r="D2096" s="1" t="s">
        <v>23230</v>
      </c>
      <c r="E2096" s="2" t="s">
        <v>25788</v>
      </c>
      <c r="F2096" s="1">
        <v>2163.0</v>
      </c>
      <c r="G2096" s="1">
        <v>2172.0</v>
      </c>
      <c r="H2096" s="1" t="s">
        <v>17059</v>
      </c>
      <c r="I2096" s="1" t="s">
        <v>23231</v>
      </c>
      <c r="J2096" s="1" t="s">
        <v>23232</v>
      </c>
      <c r="K2096" s="1"/>
      <c r="L2096" s="1" t="s">
        <v>25796</v>
      </c>
      <c r="M2096" s="1" t="s">
        <v>18763</v>
      </c>
      <c r="N2096" s="1" t="s">
        <v>23234</v>
      </c>
    </row>
    <row r="2097">
      <c r="A2097" s="1" t="s">
        <v>2137</v>
      </c>
      <c r="B2097" s="1">
        <v>2011.0</v>
      </c>
      <c r="C2097" s="1" t="s">
        <v>25800</v>
      </c>
      <c r="D2097" s="1" t="s">
        <v>22449</v>
      </c>
      <c r="E2097" s="2" t="s">
        <v>25801</v>
      </c>
      <c r="F2097" s="1">
        <v>2301.0</v>
      </c>
      <c r="G2097" s="1">
        <v>2309.0</v>
      </c>
      <c r="H2097" s="1" t="s">
        <v>17059</v>
      </c>
      <c r="I2097" s="1" t="s">
        <v>22450</v>
      </c>
      <c r="J2097" s="1" t="s">
        <v>22451</v>
      </c>
      <c r="K2097" s="1"/>
      <c r="L2097" s="1" t="s">
        <v>25807</v>
      </c>
      <c r="M2097" s="1" t="s">
        <v>22452</v>
      </c>
      <c r="N2097" s="1" t="s">
        <v>20228</v>
      </c>
    </row>
    <row r="2098">
      <c r="A2098" s="1" t="s">
        <v>2137</v>
      </c>
      <c r="B2098" s="1">
        <v>2011.0</v>
      </c>
      <c r="C2098" s="1" t="s">
        <v>22453</v>
      </c>
      <c r="D2098" s="1" t="s">
        <v>22454</v>
      </c>
      <c r="E2098" s="2" t="s">
        <v>25811</v>
      </c>
      <c r="F2098" s="1">
        <v>2259.0</v>
      </c>
      <c r="G2098" s="1">
        <v>2267.0</v>
      </c>
      <c r="H2098" s="1" t="s">
        <v>17059</v>
      </c>
      <c r="I2098" s="1" t="s">
        <v>22455</v>
      </c>
      <c r="J2098" s="1" t="s">
        <v>22456</v>
      </c>
      <c r="K2098" s="1"/>
      <c r="L2098" s="1" t="s">
        <v>5349</v>
      </c>
      <c r="M2098" s="1" t="s">
        <v>22459</v>
      </c>
      <c r="N2098" s="1" t="s">
        <v>22460</v>
      </c>
    </row>
    <row r="2099">
      <c r="A2099" s="1" t="s">
        <v>2137</v>
      </c>
      <c r="B2099" s="1">
        <v>2011.0</v>
      </c>
      <c r="C2099" s="1" t="s">
        <v>22461</v>
      </c>
      <c r="D2099" s="1" t="s">
        <v>22462</v>
      </c>
      <c r="E2099" s="2" t="s">
        <v>25821</v>
      </c>
      <c r="F2099" s="1">
        <v>2268.0</v>
      </c>
      <c r="G2099" s="1">
        <v>2275.0</v>
      </c>
      <c r="H2099" s="1" t="s">
        <v>17059</v>
      </c>
      <c r="I2099" s="1" t="s">
        <v>22463</v>
      </c>
      <c r="J2099" s="1" t="s">
        <v>22464</v>
      </c>
      <c r="K2099" s="1"/>
      <c r="L2099" s="1" t="s">
        <v>178</v>
      </c>
      <c r="M2099" s="1" t="s">
        <v>22466</v>
      </c>
      <c r="N2099" s="1" t="s">
        <v>22467</v>
      </c>
    </row>
    <row r="2100">
      <c r="A2100" s="1" t="s">
        <v>2137</v>
      </c>
      <c r="B2100" s="1">
        <v>2011.0</v>
      </c>
      <c r="C2100" s="1" t="s">
        <v>22468</v>
      </c>
      <c r="D2100" s="1" t="s">
        <v>22469</v>
      </c>
      <c r="E2100" s="2" t="s">
        <v>25830</v>
      </c>
      <c r="F2100" s="1">
        <v>2581.0</v>
      </c>
      <c r="G2100" s="1">
        <v>2590.0</v>
      </c>
      <c r="H2100" s="1" t="s">
        <v>17059</v>
      </c>
      <c r="I2100" s="1" t="s">
        <v>22470</v>
      </c>
      <c r="J2100" s="1" t="s">
        <v>22471</v>
      </c>
      <c r="K2100" s="1"/>
      <c r="L2100" s="1" t="s">
        <v>25839</v>
      </c>
      <c r="M2100" s="1" t="s">
        <v>22473</v>
      </c>
      <c r="N2100" s="1" t="s">
        <v>22474</v>
      </c>
    </row>
    <row r="2101">
      <c r="A2101" s="1" t="s">
        <v>17</v>
      </c>
      <c r="B2101" s="1">
        <v>2011.0</v>
      </c>
      <c r="C2101" s="1" t="s">
        <v>23235</v>
      </c>
      <c r="D2101" s="1" t="s">
        <v>23236</v>
      </c>
      <c r="E2101" s="2" t="s">
        <v>25840</v>
      </c>
      <c r="F2101" s="1">
        <v>2173.0</v>
      </c>
      <c r="G2101" s="1">
        <v>2182.0</v>
      </c>
      <c r="H2101" s="1" t="s">
        <v>17059</v>
      </c>
      <c r="I2101" s="1" t="s">
        <v>23238</v>
      </c>
      <c r="J2101" s="1" t="s">
        <v>25850</v>
      </c>
      <c r="K2101" s="1"/>
      <c r="L2101" s="1" t="s">
        <v>22133</v>
      </c>
      <c r="M2101" s="1" t="s">
        <v>23242</v>
      </c>
      <c r="N2101" s="1" t="s">
        <v>23243</v>
      </c>
    </row>
    <row r="2102">
      <c r="A2102" s="1" t="s">
        <v>2137</v>
      </c>
      <c r="B2102" s="1">
        <v>2011.0</v>
      </c>
      <c r="C2102" s="1" t="s">
        <v>22475</v>
      </c>
      <c r="D2102" s="1" t="s">
        <v>22476</v>
      </c>
      <c r="E2102" s="2" t="s">
        <v>25851</v>
      </c>
      <c r="F2102" s="1">
        <v>2354.0</v>
      </c>
      <c r="G2102" s="1">
        <v>2363.0</v>
      </c>
      <c r="H2102" s="1" t="s">
        <v>17059</v>
      </c>
      <c r="I2102" s="1" t="s">
        <v>25861</v>
      </c>
      <c r="J2102" s="1" t="s">
        <v>22478</v>
      </c>
      <c r="K2102" s="1"/>
      <c r="L2102" s="1" t="s">
        <v>25807</v>
      </c>
      <c r="M2102" s="1" t="s">
        <v>22479</v>
      </c>
      <c r="N2102" s="1" t="s">
        <v>22480</v>
      </c>
    </row>
    <row r="2103">
      <c r="A2103" s="1" t="s">
        <v>2137</v>
      </c>
      <c r="B2103" s="1">
        <v>2011.0</v>
      </c>
      <c r="C2103" s="1" t="s">
        <v>22481</v>
      </c>
      <c r="D2103" s="1" t="s">
        <v>22482</v>
      </c>
      <c r="E2103" s="2" t="s">
        <v>25864</v>
      </c>
      <c r="F2103" s="1">
        <v>2555.0</v>
      </c>
      <c r="G2103" s="1">
        <v>2562.0</v>
      </c>
      <c r="H2103" s="1" t="s">
        <v>17059</v>
      </c>
      <c r="I2103" s="1" t="s">
        <v>22483</v>
      </c>
      <c r="J2103" s="1" t="s">
        <v>22484</v>
      </c>
      <c r="K2103" s="1"/>
      <c r="L2103" s="1" t="s">
        <v>25868</v>
      </c>
      <c r="M2103" s="1" t="s">
        <v>22486</v>
      </c>
      <c r="N2103" s="1" t="s">
        <v>22487</v>
      </c>
    </row>
    <row r="2104">
      <c r="A2104" s="1" t="s">
        <v>2137</v>
      </c>
      <c r="B2104" s="1">
        <v>2011.0</v>
      </c>
      <c r="C2104" s="1" t="s">
        <v>22488</v>
      </c>
      <c r="D2104" s="1" t="s">
        <v>22489</v>
      </c>
      <c r="E2104" s="2" t="s">
        <v>25869</v>
      </c>
      <c r="F2104" s="1">
        <v>2479.0</v>
      </c>
      <c r="G2104" s="1">
        <v>2488.0</v>
      </c>
      <c r="H2104" s="1" t="s">
        <v>17059</v>
      </c>
      <c r="I2104" s="1" t="s">
        <v>22490</v>
      </c>
      <c r="J2104" s="1" t="s">
        <v>22491</v>
      </c>
      <c r="K2104" s="1"/>
      <c r="L2104" s="1" t="s">
        <v>23953</v>
      </c>
      <c r="M2104" s="1" t="s">
        <v>22494</v>
      </c>
      <c r="N2104" s="1" t="s">
        <v>22495</v>
      </c>
    </row>
    <row r="2105">
      <c r="A2105" s="1" t="s">
        <v>2137</v>
      </c>
      <c r="B2105" s="1">
        <v>2011.0</v>
      </c>
      <c r="C2105" s="1" t="s">
        <v>22496</v>
      </c>
      <c r="D2105" s="1" t="s">
        <v>22497</v>
      </c>
      <c r="E2105" s="2" t="s">
        <v>25877</v>
      </c>
      <c r="F2105" s="1">
        <v>2440.0</v>
      </c>
      <c r="G2105" s="1">
        <v>2448.0</v>
      </c>
      <c r="H2105" s="1" t="s">
        <v>17059</v>
      </c>
      <c r="I2105" s="1" t="s">
        <v>22498</v>
      </c>
      <c r="J2105" s="1" t="s">
        <v>25887</v>
      </c>
      <c r="K2105" s="1"/>
      <c r="L2105" s="1" t="s">
        <v>25888</v>
      </c>
      <c r="M2105" s="1" t="s">
        <v>22502</v>
      </c>
      <c r="N2105" s="1" t="s">
        <v>22503</v>
      </c>
    </row>
    <row r="2106">
      <c r="A2106" s="1" t="s">
        <v>17</v>
      </c>
      <c r="B2106" s="1">
        <v>2011.0</v>
      </c>
      <c r="C2106" s="1" t="s">
        <v>23244</v>
      </c>
      <c r="D2106" s="1" t="s">
        <v>23245</v>
      </c>
      <c r="E2106" s="2" t="s">
        <v>25894</v>
      </c>
      <c r="F2106" s="1">
        <v>2053.0</v>
      </c>
      <c r="G2106" s="1">
        <v>2062.0</v>
      </c>
      <c r="H2106" s="1" t="s">
        <v>17059</v>
      </c>
      <c r="I2106" s="1" t="s">
        <v>23246</v>
      </c>
      <c r="J2106" s="1" t="s">
        <v>23247</v>
      </c>
      <c r="K2106" s="1"/>
      <c r="L2106" s="1" t="s">
        <v>178</v>
      </c>
      <c r="M2106" s="1" t="s">
        <v>23250</v>
      </c>
      <c r="N2106" s="1" t="s">
        <v>23251</v>
      </c>
    </row>
    <row r="2107">
      <c r="A2107" s="1" t="s">
        <v>2137</v>
      </c>
      <c r="B2107" s="1">
        <v>2011.0</v>
      </c>
      <c r="C2107" s="1" t="s">
        <v>22504</v>
      </c>
      <c r="D2107" s="1" t="s">
        <v>22505</v>
      </c>
      <c r="E2107" s="2" t="s">
        <v>25902</v>
      </c>
      <c r="F2107" s="1">
        <v>2422.0</v>
      </c>
      <c r="G2107" s="1">
        <v>2431.0</v>
      </c>
      <c r="H2107" s="1" t="s">
        <v>17059</v>
      </c>
      <c r="I2107" s="1" t="s">
        <v>22506</v>
      </c>
      <c r="J2107" s="1" t="s">
        <v>22507</v>
      </c>
      <c r="K2107" s="1"/>
      <c r="L2107" s="1" t="s">
        <v>25912</v>
      </c>
      <c r="M2107" s="1" t="s">
        <v>22509</v>
      </c>
      <c r="N2107" s="1" t="s">
        <v>22510</v>
      </c>
    </row>
    <row r="2108">
      <c r="A2108" s="1" t="s">
        <v>2137</v>
      </c>
      <c r="B2108" s="1">
        <v>2011.0</v>
      </c>
      <c r="C2108" s="1" t="s">
        <v>22511</v>
      </c>
      <c r="D2108" s="1" t="s">
        <v>22512</v>
      </c>
      <c r="E2108" s="2" t="s">
        <v>25916</v>
      </c>
      <c r="F2108" s="1">
        <v>2489.0</v>
      </c>
      <c r="G2108" s="1">
        <v>2497.0</v>
      </c>
      <c r="H2108" s="1" t="s">
        <v>17059</v>
      </c>
      <c r="I2108" s="1" t="s">
        <v>22513</v>
      </c>
      <c r="J2108" s="1" t="s">
        <v>22514</v>
      </c>
      <c r="K2108" s="1"/>
      <c r="L2108" s="1" t="s">
        <v>178</v>
      </c>
      <c r="M2108" s="1" t="s">
        <v>22516</v>
      </c>
      <c r="N2108" s="1" t="s">
        <v>22517</v>
      </c>
    </row>
    <row r="2109">
      <c r="A2109" s="1" t="s">
        <v>2137</v>
      </c>
      <c r="B2109" s="1">
        <v>2011.0</v>
      </c>
      <c r="C2109" s="1" t="s">
        <v>22518</v>
      </c>
      <c r="D2109" s="1" t="s">
        <v>22519</v>
      </c>
      <c r="E2109" s="2" t="s">
        <v>25926</v>
      </c>
      <c r="F2109" s="1">
        <v>2545.0</v>
      </c>
      <c r="G2109" s="1">
        <v>2554.0</v>
      </c>
      <c r="H2109" s="1" t="s">
        <v>17059</v>
      </c>
      <c r="I2109" s="1" t="s">
        <v>22520</v>
      </c>
      <c r="J2109" s="1" t="s">
        <v>20107</v>
      </c>
      <c r="K2109" s="1"/>
      <c r="L2109" s="1" t="s">
        <v>494</v>
      </c>
      <c r="M2109" s="1" t="s">
        <v>22522</v>
      </c>
      <c r="N2109" s="1" t="s">
        <v>22523</v>
      </c>
    </row>
    <row r="2110">
      <c r="A2110" s="1" t="s">
        <v>17</v>
      </c>
      <c r="B2110" s="1">
        <v>2011.0</v>
      </c>
      <c r="C2110" s="1" t="s">
        <v>23252</v>
      </c>
      <c r="D2110" s="1" t="s">
        <v>23253</v>
      </c>
      <c r="E2110" s="2" t="s">
        <v>25936</v>
      </c>
      <c r="F2110" s="1">
        <v>1795.0</v>
      </c>
      <c r="G2110" s="1">
        <v>1802.0</v>
      </c>
      <c r="H2110" s="1" t="s">
        <v>17059</v>
      </c>
      <c r="I2110" s="1" t="s">
        <v>23254</v>
      </c>
      <c r="J2110" s="1" t="s">
        <v>23255</v>
      </c>
      <c r="K2110" s="1"/>
      <c r="L2110" s="1" t="s">
        <v>25945</v>
      </c>
      <c r="M2110" s="1" t="s">
        <v>23257</v>
      </c>
      <c r="N2110" s="1" t="s">
        <v>23258</v>
      </c>
    </row>
    <row r="2111">
      <c r="A2111" s="1" t="s">
        <v>17</v>
      </c>
      <c r="B2111" s="1">
        <v>2011.0</v>
      </c>
      <c r="C2111" s="1" t="s">
        <v>23259</v>
      </c>
      <c r="D2111" s="1" t="s">
        <v>23260</v>
      </c>
      <c r="E2111" s="2" t="s">
        <v>25946</v>
      </c>
      <c r="F2111" s="1">
        <v>1822.0</v>
      </c>
      <c r="G2111" s="1">
        <v>1831.0</v>
      </c>
      <c r="H2111" s="1" t="s">
        <v>17059</v>
      </c>
      <c r="I2111" s="1" t="s">
        <v>25959</v>
      </c>
      <c r="J2111" s="1" t="s">
        <v>23263</v>
      </c>
      <c r="K2111" s="1"/>
      <c r="L2111" s="1" t="s">
        <v>25961</v>
      </c>
      <c r="M2111" s="1" t="s">
        <v>23266</v>
      </c>
      <c r="N2111" s="1" t="s">
        <v>23267</v>
      </c>
    </row>
    <row r="2112">
      <c r="A2112" s="1" t="s">
        <v>17</v>
      </c>
      <c r="B2112" s="1">
        <v>2011.0</v>
      </c>
      <c r="C2112" s="1" t="s">
        <v>23268</v>
      </c>
      <c r="D2112" s="1" t="s">
        <v>23269</v>
      </c>
      <c r="E2112" s="2" t="s">
        <v>25965</v>
      </c>
      <c r="F2112" s="1">
        <v>1912.0</v>
      </c>
      <c r="G2112" s="1">
        <v>1921.0</v>
      </c>
      <c r="H2112" s="1" t="s">
        <v>17059</v>
      </c>
      <c r="I2112" s="1" t="s">
        <v>23270</v>
      </c>
      <c r="J2112" s="1" t="s">
        <v>21965</v>
      </c>
      <c r="K2112" s="1"/>
      <c r="L2112" s="1" t="s">
        <v>24200</v>
      </c>
      <c r="M2112" s="1" t="s">
        <v>23272</v>
      </c>
      <c r="N2112" s="1" t="s">
        <v>23273</v>
      </c>
    </row>
    <row r="2113">
      <c r="A2113" s="1" t="s">
        <v>2137</v>
      </c>
      <c r="B2113" s="1">
        <v>2011.0</v>
      </c>
      <c r="C2113" s="1" t="s">
        <v>22524</v>
      </c>
      <c r="D2113" s="1" t="s">
        <v>22525</v>
      </c>
      <c r="E2113" s="2" t="s">
        <v>25972</v>
      </c>
      <c r="F2113" s="1">
        <v>2310.0</v>
      </c>
      <c r="G2113" s="1">
        <v>2316.0</v>
      </c>
      <c r="H2113" s="1" t="s">
        <v>17059</v>
      </c>
      <c r="I2113" s="1" t="s">
        <v>22526</v>
      </c>
      <c r="J2113" s="1" t="s">
        <v>22527</v>
      </c>
      <c r="K2113" s="1"/>
      <c r="L2113" s="1" t="s">
        <v>25981</v>
      </c>
      <c r="M2113" s="1" t="s">
        <v>22530</v>
      </c>
      <c r="N2113" s="1" t="s">
        <v>22531</v>
      </c>
    </row>
    <row r="2114">
      <c r="A2114" s="1" t="s">
        <v>2137</v>
      </c>
      <c r="B2114" s="1">
        <v>2011.0</v>
      </c>
      <c r="C2114" s="1" t="s">
        <v>22532</v>
      </c>
      <c r="D2114" s="1" t="s">
        <v>22533</v>
      </c>
      <c r="E2114" s="2" t="s">
        <v>25990</v>
      </c>
      <c r="F2114" s="1">
        <v>2536.0</v>
      </c>
      <c r="G2114" s="1">
        <v>2544.0</v>
      </c>
      <c r="H2114" s="1" t="s">
        <v>17059</v>
      </c>
      <c r="I2114" s="1" t="s">
        <v>22534</v>
      </c>
      <c r="J2114" s="1" t="s">
        <v>22535</v>
      </c>
      <c r="K2114" s="1"/>
      <c r="L2114" s="1" t="s">
        <v>25999</v>
      </c>
      <c r="M2114" s="1" t="s">
        <v>22537</v>
      </c>
      <c r="N2114" s="1" t="s">
        <v>22538</v>
      </c>
    </row>
    <row r="2115">
      <c r="A2115" s="1" t="s">
        <v>17</v>
      </c>
      <c r="B2115" s="1">
        <v>2011.0</v>
      </c>
      <c r="C2115" s="1" t="s">
        <v>26000</v>
      </c>
      <c r="D2115" s="1" t="s">
        <v>23275</v>
      </c>
      <c r="E2115" s="2" t="s">
        <v>26001</v>
      </c>
      <c r="F2115" s="1">
        <v>1949.0</v>
      </c>
      <c r="G2115" s="1">
        <v>1958.0</v>
      </c>
      <c r="H2115" s="1" t="s">
        <v>17059</v>
      </c>
      <c r="I2115" s="1" t="s">
        <v>23278</v>
      </c>
      <c r="J2115" s="1" t="s">
        <v>23279</v>
      </c>
      <c r="K2115" s="1"/>
      <c r="L2115" s="1" t="s">
        <v>26010</v>
      </c>
      <c r="M2115" s="1" t="s">
        <v>23282</v>
      </c>
      <c r="N2115" s="1" t="s">
        <v>23283</v>
      </c>
    </row>
    <row r="2116">
      <c r="A2116" s="1" t="s">
        <v>17</v>
      </c>
      <c r="B2116" s="1">
        <v>2011.0</v>
      </c>
      <c r="C2116" s="1" t="s">
        <v>23285</v>
      </c>
      <c r="D2116" s="1" t="s">
        <v>23286</v>
      </c>
      <c r="E2116" s="2" t="s">
        <v>26015</v>
      </c>
      <c r="F2116" s="1">
        <v>2096.0</v>
      </c>
      <c r="G2116" s="1">
        <v>2105.0</v>
      </c>
      <c r="H2116" s="1" t="s">
        <v>17059</v>
      </c>
      <c r="I2116" s="1" t="s">
        <v>23287</v>
      </c>
      <c r="J2116" s="1" t="s">
        <v>23288</v>
      </c>
      <c r="K2116" s="1"/>
      <c r="L2116" s="1" t="s">
        <v>26025</v>
      </c>
      <c r="M2116" s="1" t="s">
        <v>23291</v>
      </c>
      <c r="N2116" s="1" t="s">
        <v>23292</v>
      </c>
    </row>
    <row r="2117">
      <c r="A2117" s="1" t="s">
        <v>2137</v>
      </c>
      <c r="B2117" s="1">
        <v>2011.0</v>
      </c>
      <c r="C2117" s="1" t="s">
        <v>22539</v>
      </c>
      <c r="D2117" s="1" t="s">
        <v>22540</v>
      </c>
      <c r="E2117" s="2" t="s">
        <v>26029</v>
      </c>
      <c r="F2117" s="1">
        <v>2528.0</v>
      </c>
      <c r="G2117" s="1">
        <v>2535.0</v>
      </c>
      <c r="H2117" s="1" t="s">
        <v>17059</v>
      </c>
      <c r="I2117" s="1" t="s">
        <v>22541</v>
      </c>
      <c r="J2117" s="1" t="s">
        <v>22542</v>
      </c>
      <c r="K2117" s="1"/>
      <c r="L2117" s="1" t="s">
        <v>178</v>
      </c>
      <c r="M2117" s="1" t="s">
        <v>22544</v>
      </c>
      <c r="N2117" s="1" t="s">
        <v>22545</v>
      </c>
    </row>
    <row r="2118">
      <c r="A2118" s="1" t="s">
        <v>17</v>
      </c>
      <c r="B2118" s="1">
        <v>2011.0</v>
      </c>
      <c r="C2118" s="1" t="s">
        <v>23293</v>
      </c>
      <c r="D2118" s="1" t="s">
        <v>23294</v>
      </c>
      <c r="E2118" s="2" t="s">
        <v>26037</v>
      </c>
      <c r="F2118" s="1">
        <v>1803.0</v>
      </c>
      <c r="G2118" s="1">
        <v>1811.0</v>
      </c>
      <c r="H2118" s="1" t="s">
        <v>17059</v>
      </c>
      <c r="I2118" s="1" t="s">
        <v>23295</v>
      </c>
      <c r="J2118" s="1" t="s">
        <v>23296</v>
      </c>
      <c r="K2118" s="1"/>
      <c r="L2118" s="1" t="s">
        <v>26046</v>
      </c>
      <c r="M2118" s="1" t="s">
        <v>23299</v>
      </c>
      <c r="N2118" s="1" t="s">
        <v>21598</v>
      </c>
    </row>
    <row r="2119">
      <c r="A2119" s="1" t="s">
        <v>17</v>
      </c>
      <c r="B2119" s="1">
        <v>2011.0</v>
      </c>
      <c r="C2119" s="1" t="s">
        <v>23301</v>
      </c>
      <c r="D2119" s="1" t="s">
        <v>23302</v>
      </c>
      <c r="E2119" s="2" t="s">
        <v>26053</v>
      </c>
      <c r="F2119" s="1">
        <v>1812.0</v>
      </c>
      <c r="G2119" s="1">
        <v>1821.0</v>
      </c>
      <c r="H2119" s="1" t="s">
        <v>17059</v>
      </c>
      <c r="I2119" s="1" t="s">
        <v>23304</v>
      </c>
      <c r="J2119" s="1" t="s">
        <v>26062</v>
      </c>
      <c r="K2119" s="1"/>
      <c r="L2119" s="1" t="s">
        <v>5349</v>
      </c>
      <c r="M2119" s="1" t="s">
        <v>23308</v>
      </c>
      <c r="N2119" s="1" t="s">
        <v>23309</v>
      </c>
    </row>
    <row r="2120">
      <c r="A2120" s="1" t="s">
        <v>17</v>
      </c>
      <c r="B2120" s="1">
        <v>2011.0</v>
      </c>
      <c r="C2120" s="1" t="s">
        <v>23310</v>
      </c>
      <c r="D2120" s="1" t="s">
        <v>23311</v>
      </c>
      <c r="E2120" s="2" t="s">
        <v>26066</v>
      </c>
      <c r="F2120" s="1">
        <v>1747.0</v>
      </c>
      <c r="G2120" s="1">
        <v>1756.0</v>
      </c>
      <c r="H2120" s="1" t="s">
        <v>17059</v>
      </c>
      <c r="I2120" s="1" t="s">
        <v>23312</v>
      </c>
      <c r="J2120" s="1" t="s">
        <v>23313</v>
      </c>
      <c r="K2120" s="1"/>
      <c r="L2120" s="1" t="s">
        <v>26076</v>
      </c>
      <c r="M2120" s="1" t="s">
        <v>23317</v>
      </c>
      <c r="N2120" s="1" t="s">
        <v>23318</v>
      </c>
    </row>
    <row r="2121">
      <c r="A2121" s="1" t="s">
        <v>2137</v>
      </c>
      <c r="B2121" s="1">
        <v>2011.0</v>
      </c>
      <c r="C2121" s="1" t="s">
        <v>22546</v>
      </c>
      <c r="D2121" s="1" t="s">
        <v>22547</v>
      </c>
      <c r="E2121" s="2" t="s">
        <v>26077</v>
      </c>
      <c r="F2121" s="1">
        <v>2498.0</v>
      </c>
      <c r="G2121" s="1">
        <v>2507.0</v>
      </c>
      <c r="H2121" s="1" t="s">
        <v>17059</v>
      </c>
      <c r="I2121" s="1" t="s">
        <v>22548</v>
      </c>
      <c r="J2121" s="1" t="s">
        <v>22549</v>
      </c>
      <c r="K2121" s="1"/>
      <c r="L2121" s="1" t="s">
        <v>26087</v>
      </c>
      <c r="M2121" s="1" t="s">
        <v>22550</v>
      </c>
      <c r="N2121" s="1" t="s">
        <v>22551</v>
      </c>
    </row>
    <row r="2122">
      <c r="A2122" s="1" t="s">
        <v>17</v>
      </c>
      <c r="B2122" s="1">
        <v>2011.0</v>
      </c>
      <c r="C2122" s="1" t="s">
        <v>23320</v>
      </c>
      <c r="D2122" s="1" t="s">
        <v>23321</v>
      </c>
      <c r="E2122" s="2" t="s">
        <v>26088</v>
      </c>
      <c r="F2122" s="1">
        <v>2125.0</v>
      </c>
      <c r="G2122" s="1">
        <v>2134.0</v>
      </c>
      <c r="H2122" s="1" t="s">
        <v>17059</v>
      </c>
      <c r="I2122" s="1" t="s">
        <v>23322</v>
      </c>
      <c r="J2122" s="1" t="s">
        <v>26096</v>
      </c>
      <c r="K2122" s="1"/>
      <c r="L2122" s="1" t="s">
        <v>26097</v>
      </c>
      <c r="M2122" s="1" t="s">
        <v>23326</v>
      </c>
      <c r="N2122" s="1" t="s">
        <v>23327</v>
      </c>
    </row>
    <row r="2123">
      <c r="A2123" s="1" t="s">
        <v>2137</v>
      </c>
      <c r="B2123" s="1">
        <v>2011.0</v>
      </c>
      <c r="C2123" s="1" t="s">
        <v>22552</v>
      </c>
      <c r="D2123" s="1" t="s">
        <v>22553</v>
      </c>
      <c r="E2123" s="2" t="s">
        <v>26104</v>
      </c>
      <c r="F2123" s="1">
        <v>2459.0</v>
      </c>
      <c r="G2123" s="1">
        <v>2468.0</v>
      </c>
      <c r="H2123" s="1" t="s">
        <v>17059</v>
      </c>
      <c r="I2123" s="1" t="s">
        <v>22554</v>
      </c>
      <c r="J2123" s="1" t="s">
        <v>26111</v>
      </c>
      <c r="K2123" s="1"/>
      <c r="L2123" s="1" t="s">
        <v>26114</v>
      </c>
      <c r="M2123" s="1" t="s">
        <v>22558</v>
      </c>
      <c r="N2123" s="1" t="s">
        <v>22559</v>
      </c>
    </row>
    <row r="2124">
      <c r="A2124" s="1" t="s">
        <v>2137</v>
      </c>
      <c r="B2124" s="1">
        <v>2011.0</v>
      </c>
      <c r="C2124" s="1" t="s">
        <v>22560</v>
      </c>
      <c r="D2124" s="1" t="s">
        <v>22561</v>
      </c>
      <c r="E2124" s="2" t="s">
        <v>26118</v>
      </c>
      <c r="F2124" s="1">
        <v>2334.0</v>
      </c>
      <c r="G2124" s="1">
        <v>2343.0</v>
      </c>
      <c r="H2124" s="1" t="s">
        <v>17059</v>
      </c>
      <c r="I2124" s="1" t="s">
        <v>22562</v>
      </c>
      <c r="J2124" s="1" t="s">
        <v>26124</v>
      </c>
      <c r="K2124" s="1"/>
      <c r="L2124" s="1" t="s">
        <v>494</v>
      </c>
      <c r="M2124" s="1" t="s">
        <v>22566</v>
      </c>
      <c r="N2124" s="1" t="s">
        <v>22567</v>
      </c>
    </row>
    <row r="2125">
      <c r="A2125" s="1" t="s">
        <v>17</v>
      </c>
      <c r="B2125" s="1">
        <v>2011.0</v>
      </c>
      <c r="C2125" s="1" t="s">
        <v>23328</v>
      </c>
      <c r="D2125" s="1" t="s">
        <v>23329</v>
      </c>
      <c r="E2125" s="2" t="s">
        <v>26128</v>
      </c>
      <c r="F2125" s="1">
        <v>2135.0</v>
      </c>
      <c r="G2125" s="1">
        <v>2143.0</v>
      </c>
      <c r="H2125" s="1" t="s">
        <v>17059</v>
      </c>
      <c r="I2125" s="1" t="s">
        <v>23330</v>
      </c>
      <c r="J2125" s="1" t="s">
        <v>26155</v>
      </c>
      <c r="K2125" s="1"/>
      <c r="L2125" s="1" t="s">
        <v>26157</v>
      </c>
      <c r="M2125" s="1" t="s">
        <v>23334</v>
      </c>
      <c r="N2125" s="1" t="s">
        <v>23335</v>
      </c>
    </row>
    <row r="2126">
      <c r="A2126" s="1" t="s">
        <v>17</v>
      </c>
      <c r="B2126" s="1">
        <v>2011.0</v>
      </c>
      <c r="C2126" s="1" t="s">
        <v>23337</v>
      </c>
      <c r="D2126" s="1" t="s">
        <v>23338</v>
      </c>
      <c r="E2126" s="2" t="s">
        <v>26162</v>
      </c>
      <c r="F2126" s="1">
        <v>2153.0</v>
      </c>
      <c r="G2126" s="1">
        <v>2162.0</v>
      </c>
      <c r="H2126" s="1" t="s">
        <v>17059</v>
      </c>
      <c r="I2126" s="1" t="s">
        <v>23340</v>
      </c>
      <c r="J2126" s="1" t="s">
        <v>24337</v>
      </c>
      <c r="K2126" s="1"/>
      <c r="L2126" s="1" t="s">
        <v>24338</v>
      </c>
      <c r="M2126" s="1" t="s">
        <v>23342</v>
      </c>
      <c r="N2126" s="1" t="s">
        <v>23343</v>
      </c>
    </row>
    <row r="2127">
      <c r="A2127" s="1" t="s">
        <v>17</v>
      </c>
      <c r="B2127" s="1">
        <v>2011.0</v>
      </c>
      <c r="C2127" s="1" t="s">
        <v>23344</v>
      </c>
      <c r="D2127" s="1" t="s">
        <v>23345</v>
      </c>
      <c r="E2127" s="2" t="s">
        <v>26173</v>
      </c>
      <c r="F2127" s="1">
        <v>2115.0</v>
      </c>
      <c r="G2127" s="1">
        <v>2124.0</v>
      </c>
      <c r="H2127" s="1" t="s">
        <v>17059</v>
      </c>
      <c r="I2127" s="1" t="s">
        <v>23346</v>
      </c>
      <c r="J2127" s="1" t="s">
        <v>26183</v>
      </c>
      <c r="K2127" s="1"/>
      <c r="L2127" s="1" t="s">
        <v>26184</v>
      </c>
      <c r="M2127" s="1" t="s">
        <v>23350</v>
      </c>
      <c r="N2127" s="1" t="s">
        <v>23351</v>
      </c>
    </row>
    <row r="2128">
      <c r="A2128" s="1" t="s">
        <v>17</v>
      </c>
      <c r="B2128" s="1">
        <v>2011.0</v>
      </c>
      <c r="C2128" s="1" t="s">
        <v>23352</v>
      </c>
      <c r="D2128" s="1" t="s">
        <v>23353</v>
      </c>
      <c r="E2128" s="2" t="s">
        <v>26185</v>
      </c>
      <c r="F2128" s="1">
        <v>1882.0</v>
      </c>
      <c r="G2128" s="1">
        <v>1891.0</v>
      </c>
      <c r="H2128" s="1" t="s">
        <v>17059</v>
      </c>
      <c r="I2128" s="1" t="s">
        <v>23355</v>
      </c>
      <c r="J2128" s="1" t="s">
        <v>26194</v>
      </c>
      <c r="K2128" s="1"/>
      <c r="L2128" s="1" t="s">
        <v>26195</v>
      </c>
      <c r="M2128" s="1" t="s">
        <v>23359</v>
      </c>
      <c r="N2128" s="1" t="s">
        <v>23360</v>
      </c>
    </row>
    <row r="2129">
      <c r="A2129" s="1" t="s">
        <v>17</v>
      </c>
      <c r="B2129" s="1">
        <v>2011.0</v>
      </c>
      <c r="C2129" s="1" t="s">
        <v>23362</v>
      </c>
      <c r="D2129" s="1" t="s">
        <v>23363</v>
      </c>
      <c r="E2129" s="2" t="s">
        <v>26196</v>
      </c>
      <c r="F2129" s="1">
        <v>1959.0</v>
      </c>
      <c r="G2129" s="1">
        <v>1968.0</v>
      </c>
      <c r="H2129" s="1" t="s">
        <v>17059</v>
      </c>
      <c r="I2129" s="1" t="s">
        <v>23364</v>
      </c>
      <c r="J2129" s="1" t="s">
        <v>23365</v>
      </c>
      <c r="K2129" s="1"/>
      <c r="L2129" s="1" t="s">
        <v>25695</v>
      </c>
      <c r="M2129" s="1" t="s">
        <v>23366</v>
      </c>
      <c r="N2129" s="1" t="s">
        <v>23367</v>
      </c>
    </row>
    <row r="2130">
      <c r="A2130" s="1" t="s">
        <v>17</v>
      </c>
      <c r="B2130" s="1">
        <v>2011.0</v>
      </c>
      <c r="C2130" s="1" t="s">
        <v>23368</v>
      </c>
      <c r="D2130" s="1" t="s">
        <v>23369</v>
      </c>
      <c r="E2130" s="2" t="s">
        <v>26205</v>
      </c>
      <c r="F2130" s="1">
        <v>1785.0</v>
      </c>
      <c r="G2130" s="1">
        <v>1794.0</v>
      </c>
      <c r="H2130" s="1" t="s">
        <v>17059</v>
      </c>
      <c r="I2130" s="1" t="s">
        <v>23370</v>
      </c>
      <c r="J2130" s="1" t="s">
        <v>23371</v>
      </c>
      <c r="K2130" s="1"/>
      <c r="L2130" s="1" t="s">
        <v>12380</v>
      </c>
      <c r="M2130" s="1"/>
      <c r="N2130" s="1" t="s">
        <v>23372</v>
      </c>
    </row>
    <row r="2131">
      <c r="A2131" s="1" t="s">
        <v>2137</v>
      </c>
      <c r="B2131" s="1">
        <v>2011.0</v>
      </c>
      <c r="C2131" s="1" t="s">
        <v>22568</v>
      </c>
      <c r="D2131" s="1" t="s">
        <v>22569</v>
      </c>
      <c r="E2131" s="2" t="s">
        <v>26215</v>
      </c>
      <c r="F2131" s="1">
        <v>2563.0</v>
      </c>
      <c r="G2131" s="1">
        <v>2571.0</v>
      </c>
      <c r="H2131" s="1" t="s">
        <v>17059</v>
      </c>
      <c r="I2131" s="1" t="s">
        <v>22570</v>
      </c>
      <c r="J2131" s="1" t="s">
        <v>26220</v>
      </c>
      <c r="K2131" s="1"/>
      <c r="L2131" s="1" t="s">
        <v>26221</v>
      </c>
      <c r="M2131" s="1" t="s">
        <v>22574</v>
      </c>
      <c r="N2131" s="1" t="s">
        <v>22575</v>
      </c>
      <c r="P2131" s="1"/>
      <c r="Q2131" s="1" t="s">
        <v>19037</v>
      </c>
    </row>
    <row r="2132">
      <c r="A2132" s="1" t="s">
        <v>2137</v>
      </c>
      <c r="B2132" s="1">
        <v>2011.0</v>
      </c>
      <c r="C2132" s="1" t="s">
        <v>22576</v>
      </c>
      <c r="D2132" s="1" t="s">
        <v>22577</v>
      </c>
      <c r="E2132" s="2" t="s">
        <v>26222</v>
      </c>
      <c r="F2132" s="1">
        <v>2600.0</v>
      </c>
      <c r="G2132" s="1">
        <v>2609.0</v>
      </c>
      <c r="H2132" s="1" t="s">
        <v>17059</v>
      </c>
      <c r="I2132" s="1" t="s">
        <v>22578</v>
      </c>
      <c r="J2132" s="1" t="s">
        <v>22579</v>
      </c>
      <c r="K2132" s="1"/>
      <c r="L2132" s="1" t="s">
        <v>26226</v>
      </c>
      <c r="M2132" s="1" t="s">
        <v>22581</v>
      </c>
      <c r="N2132" s="1" t="s">
        <v>22582</v>
      </c>
    </row>
    <row r="2133">
      <c r="A2133" s="1" t="s">
        <v>17</v>
      </c>
      <c r="B2133" s="1">
        <v>2011.0</v>
      </c>
      <c r="C2133" s="1" t="s">
        <v>23374</v>
      </c>
      <c r="D2133" s="1" t="s">
        <v>23375</v>
      </c>
      <c r="E2133" s="2" t="s">
        <v>26227</v>
      </c>
      <c r="F2133" s="1">
        <v>1775.0</v>
      </c>
      <c r="G2133" s="1">
        <v>1784.0</v>
      </c>
      <c r="H2133" s="1" t="s">
        <v>17059</v>
      </c>
      <c r="I2133" s="1" t="s">
        <v>23377</v>
      </c>
      <c r="J2133" s="1" t="s">
        <v>26237</v>
      </c>
      <c r="K2133" s="1"/>
      <c r="L2133" s="1" t="s">
        <v>26238</v>
      </c>
      <c r="M2133" s="1" t="s">
        <v>23381</v>
      </c>
      <c r="N2133" s="1" t="s">
        <v>23382</v>
      </c>
    </row>
    <row r="2134">
      <c r="A2134" s="1" t="s">
        <v>17</v>
      </c>
      <c r="B2134" s="1">
        <v>2011.0</v>
      </c>
      <c r="C2134" s="1" t="s">
        <v>23383</v>
      </c>
      <c r="D2134" s="1" t="s">
        <v>23384</v>
      </c>
      <c r="E2134" s="2" t="s">
        <v>26239</v>
      </c>
      <c r="F2134" s="1">
        <v>1872.0</v>
      </c>
      <c r="G2134" s="1">
        <v>1881.0</v>
      </c>
      <c r="H2134" s="1" t="s">
        <v>17059</v>
      </c>
      <c r="I2134" s="1" t="s">
        <v>23385</v>
      </c>
      <c r="J2134" s="1" t="s">
        <v>26248</v>
      </c>
      <c r="K2134" s="1"/>
      <c r="L2134" s="1" t="s">
        <v>26249</v>
      </c>
      <c r="M2134" s="1" t="s">
        <v>23389</v>
      </c>
      <c r="N2134" s="1" t="s">
        <v>23390</v>
      </c>
    </row>
    <row r="2135">
      <c r="A2135" s="1" t="s">
        <v>2137</v>
      </c>
      <c r="B2135" s="1">
        <v>2011.0</v>
      </c>
      <c r="C2135" s="1" t="s">
        <v>22583</v>
      </c>
      <c r="D2135" s="1" t="s">
        <v>22584</v>
      </c>
      <c r="E2135" s="2" t="s">
        <v>26250</v>
      </c>
      <c r="F2135" s="1">
        <v>2344.0</v>
      </c>
      <c r="G2135" s="1">
        <v>2353.0</v>
      </c>
      <c r="H2135" s="1" t="s">
        <v>17059</v>
      </c>
      <c r="I2135" s="1" t="s">
        <v>22585</v>
      </c>
      <c r="J2135" s="1" t="s">
        <v>22586</v>
      </c>
      <c r="K2135" s="1"/>
      <c r="L2135" s="1" t="s">
        <v>26258</v>
      </c>
      <c r="M2135" s="1" t="s">
        <v>22589</v>
      </c>
      <c r="N2135" s="1" t="s">
        <v>22590</v>
      </c>
    </row>
    <row r="2136">
      <c r="A2136" s="1" t="s">
        <v>2137</v>
      </c>
      <c r="B2136" s="1">
        <v>2011.0</v>
      </c>
      <c r="C2136" s="1" t="s">
        <v>22591</v>
      </c>
      <c r="D2136" s="1" t="s">
        <v>22592</v>
      </c>
      <c r="E2136" s="2" t="s">
        <v>26288</v>
      </c>
      <c r="F2136" s="1">
        <v>2223.0</v>
      </c>
      <c r="G2136" s="1">
        <v>2230.0</v>
      </c>
      <c r="H2136" s="1" t="s">
        <v>17059</v>
      </c>
      <c r="I2136" s="1" t="s">
        <v>22593</v>
      </c>
      <c r="J2136" s="1" t="s">
        <v>22594</v>
      </c>
      <c r="K2136" s="1"/>
      <c r="L2136" s="1" t="s">
        <v>178</v>
      </c>
      <c r="M2136" s="1" t="s">
        <v>22596</v>
      </c>
      <c r="N2136" s="1" t="s">
        <v>22597</v>
      </c>
    </row>
    <row r="2137">
      <c r="A2137" s="1" t="s">
        <v>17</v>
      </c>
      <c r="B2137" s="1">
        <v>2011.0</v>
      </c>
      <c r="C2137" s="1" t="s">
        <v>23391</v>
      </c>
      <c r="D2137" s="1" t="s">
        <v>23392</v>
      </c>
      <c r="E2137" s="2" t="s">
        <v>26303</v>
      </c>
      <c r="F2137" s="1">
        <v>2193.0</v>
      </c>
      <c r="G2137" s="1">
        <v>2202.0</v>
      </c>
      <c r="H2137" s="1" t="s">
        <v>17059</v>
      </c>
      <c r="I2137" s="1" t="s">
        <v>23395</v>
      </c>
      <c r="J2137" s="1" t="s">
        <v>26309</v>
      </c>
      <c r="K2137" s="1"/>
      <c r="L2137" s="1" t="s">
        <v>26310</v>
      </c>
      <c r="M2137" s="1" t="s">
        <v>23399</v>
      </c>
      <c r="N2137" s="1" t="s">
        <v>23401</v>
      </c>
    </row>
    <row r="2138">
      <c r="A2138" s="1" t="s">
        <v>2137</v>
      </c>
      <c r="B2138" s="1">
        <v>2011.0</v>
      </c>
      <c r="C2138" s="1" t="s">
        <v>22598</v>
      </c>
      <c r="D2138" s="1" t="s">
        <v>22599</v>
      </c>
      <c r="E2138" s="2" t="s">
        <v>26311</v>
      </c>
      <c r="F2138" s="1">
        <v>2203.0</v>
      </c>
      <c r="G2138" s="1">
        <v>2212.0</v>
      </c>
      <c r="H2138" s="1" t="s">
        <v>17059</v>
      </c>
      <c r="I2138" s="1" t="s">
        <v>22600</v>
      </c>
      <c r="J2138" s="1" t="s">
        <v>22601</v>
      </c>
      <c r="K2138" s="1"/>
      <c r="L2138" s="1" t="s">
        <v>25772</v>
      </c>
      <c r="M2138" s="1" t="s">
        <v>22603</v>
      </c>
      <c r="N2138" s="1" t="s">
        <v>22604</v>
      </c>
    </row>
    <row r="2139">
      <c r="A2139" s="1" t="s">
        <v>17</v>
      </c>
      <c r="B2139" s="1">
        <v>2011.0</v>
      </c>
      <c r="C2139" s="1" t="s">
        <v>23402</v>
      </c>
      <c r="D2139" s="1" t="s">
        <v>23403</v>
      </c>
      <c r="E2139" s="2" t="s">
        <v>26326</v>
      </c>
      <c r="F2139" s="1">
        <v>1832.0</v>
      </c>
      <c r="G2139" s="1">
        <v>1841.0</v>
      </c>
      <c r="H2139" s="1" t="s">
        <v>17059</v>
      </c>
      <c r="I2139" s="1" t="s">
        <v>23404</v>
      </c>
      <c r="J2139" s="1" t="s">
        <v>23405</v>
      </c>
      <c r="K2139" s="1"/>
      <c r="L2139" s="1" t="s">
        <v>178</v>
      </c>
      <c r="M2139" s="1" t="s">
        <v>23407</v>
      </c>
      <c r="N2139" s="1" t="s">
        <v>23408</v>
      </c>
    </row>
    <row r="2140">
      <c r="A2140" s="1" t="s">
        <v>17</v>
      </c>
      <c r="B2140" s="1">
        <v>2011.0</v>
      </c>
      <c r="C2140" s="1" t="s">
        <v>23409</v>
      </c>
      <c r="D2140" s="1" t="s">
        <v>23410</v>
      </c>
      <c r="E2140" s="2" t="s">
        <v>26339</v>
      </c>
      <c r="F2140" s="1">
        <v>1737.0</v>
      </c>
      <c r="G2140" s="1">
        <v>1746.0</v>
      </c>
      <c r="H2140" s="1" t="s">
        <v>17059</v>
      </c>
      <c r="I2140" s="1" t="s">
        <v>23411</v>
      </c>
      <c r="J2140" s="1" t="s">
        <v>23412</v>
      </c>
      <c r="K2140" s="1"/>
      <c r="L2140" s="1" t="s">
        <v>23105</v>
      </c>
      <c r="M2140" s="1" t="s">
        <v>23414</v>
      </c>
      <c r="N2140" s="1" t="s">
        <v>23415</v>
      </c>
      <c r="P2140" s="1"/>
      <c r="Q2140" s="1" t="s">
        <v>19037</v>
      </c>
    </row>
    <row r="2141">
      <c r="A2141" s="1" t="s">
        <v>2137</v>
      </c>
      <c r="B2141" s="1">
        <v>2011.0</v>
      </c>
      <c r="C2141" s="1" t="s">
        <v>22605</v>
      </c>
      <c r="D2141" s="1" t="s">
        <v>22606</v>
      </c>
      <c r="E2141" s="2" t="s">
        <v>26350</v>
      </c>
      <c r="F2141" s="1">
        <v>2392.0</v>
      </c>
      <c r="G2141" s="1">
        <v>2401.0</v>
      </c>
      <c r="H2141" s="1" t="s">
        <v>17059</v>
      </c>
      <c r="I2141" s="1" t="s">
        <v>22607</v>
      </c>
      <c r="J2141" s="1" t="s">
        <v>22608</v>
      </c>
      <c r="K2141" s="1"/>
      <c r="L2141" s="1" t="s">
        <v>26366</v>
      </c>
      <c r="M2141" s="1" t="s">
        <v>22611</v>
      </c>
      <c r="N2141" s="1" t="s">
        <v>22612</v>
      </c>
    </row>
    <row r="2142">
      <c r="A2142" s="1" t="s">
        <v>2137</v>
      </c>
      <c r="B2142" s="1">
        <v>2011.0</v>
      </c>
      <c r="C2142" s="1" t="s">
        <v>22613</v>
      </c>
      <c r="D2142" s="1" t="s">
        <v>22614</v>
      </c>
      <c r="E2142" s="2" t="s">
        <v>26367</v>
      </c>
      <c r="F2142" s="1">
        <v>2364.0</v>
      </c>
      <c r="G2142" s="1">
        <v>2373.0</v>
      </c>
      <c r="H2142" s="1" t="s">
        <v>17059</v>
      </c>
      <c r="I2142" s="1" t="s">
        <v>22615</v>
      </c>
      <c r="J2142" s="1" t="s">
        <v>22616</v>
      </c>
      <c r="K2142" s="1"/>
      <c r="L2142" s="1" t="s">
        <v>24419</v>
      </c>
      <c r="M2142" s="1" t="s">
        <v>22619</v>
      </c>
      <c r="N2142" s="1" t="s">
        <v>22620</v>
      </c>
    </row>
    <row r="2143">
      <c r="A2143" s="1" t="s">
        <v>2137</v>
      </c>
      <c r="B2143" s="1">
        <v>2011.0</v>
      </c>
      <c r="C2143" s="1" t="s">
        <v>22621</v>
      </c>
      <c r="D2143" s="1" t="s">
        <v>22622</v>
      </c>
      <c r="E2143" s="2" t="s">
        <v>26382</v>
      </c>
      <c r="F2143" s="1">
        <v>2325.0</v>
      </c>
      <c r="G2143" s="1">
        <v>2333.0</v>
      </c>
      <c r="H2143" s="1" t="s">
        <v>17059</v>
      </c>
      <c r="I2143" s="1" t="s">
        <v>22623</v>
      </c>
      <c r="J2143" s="1" t="s">
        <v>26394</v>
      </c>
      <c r="K2143" s="1"/>
      <c r="L2143" s="1" t="s">
        <v>26395</v>
      </c>
      <c r="M2143" s="1" t="s">
        <v>22627</v>
      </c>
      <c r="N2143" s="1" t="s">
        <v>22628</v>
      </c>
    </row>
    <row r="2144">
      <c r="A2144" s="1" t="s">
        <v>17</v>
      </c>
      <c r="B2144" s="1">
        <v>2011.0</v>
      </c>
      <c r="C2144" s="1" t="s">
        <v>23417</v>
      </c>
      <c r="D2144" s="1" t="s">
        <v>23419</v>
      </c>
      <c r="E2144" s="2" t="s">
        <v>26396</v>
      </c>
      <c r="F2144" s="1">
        <v>2063.0</v>
      </c>
      <c r="G2144" s="1">
        <v>2070.0</v>
      </c>
      <c r="H2144" s="1" t="s">
        <v>17059</v>
      </c>
      <c r="I2144" s="1" t="s">
        <v>23420</v>
      </c>
      <c r="J2144" s="1" t="s">
        <v>23421</v>
      </c>
      <c r="K2144" s="1"/>
      <c r="L2144" s="1" t="s">
        <v>178</v>
      </c>
      <c r="M2144" s="1" t="s">
        <v>23423</v>
      </c>
      <c r="N2144" s="1" t="s">
        <v>23424</v>
      </c>
    </row>
    <row r="2145">
      <c r="A2145" s="1" t="s">
        <v>17</v>
      </c>
      <c r="B2145" s="1">
        <v>2011.0</v>
      </c>
      <c r="C2145" s="1" t="s">
        <v>23425</v>
      </c>
      <c r="D2145" s="1" t="s">
        <v>23426</v>
      </c>
      <c r="E2145" s="2" t="s">
        <v>26410</v>
      </c>
      <c r="F2145" s="1">
        <v>2035.0</v>
      </c>
      <c r="G2145" s="1">
        <v>2044.0</v>
      </c>
      <c r="H2145" s="1" t="s">
        <v>17059</v>
      </c>
      <c r="I2145" s="1" t="s">
        <v>23427</v>
      </c>
      <c r="J2145" s="1" t="s">
        <v>23428</v>
      </c>
      <c r="K2145" s="1"/>
      <c r="L2145" s="1" t="s">
        <v>26421</v>
      </c>
      <c r="M2145" s="1" t="s">
        <v>23430</v>
      </c>
      <c r="N2145" s="1" t="s">
        <v>23431</v>
      </c>
    </row>
    <row r="2146">
      <c r="A2146" s="1" t="s">
        <v>2137</v>
      </c>
      <c r="B2146" s="1">
        <v>2011.0</v>
      </c>
      <c r="C2146" s="1" t="s">
        <v>22629</v>
      </c>
      <c r="D2146" s="1" t="s">
        <v>22630</v>
      </c>
      <c r="E2146" s="2" t="s">
        <v>26423</v>
      </c>
      <c r="F2146" s="1">
        <v>2317.0</v>
      </c>
      <c r="G2146" s="1">
        <v>2324.0</v>
      </c>
      <c r="H2146" s="1" t="s">
        <v>17059</v>
      </c>
      <c r="I2146" s="1" t="s">
        <v>22631</v>
      </c>
      <c r="J2146" s="1" t="s">
        <v>26433</v>
      </c>
      <c r="K2146" s="1"/>
      <c r="L2146" s="1" t="s">
        <v>26434</v>
      </c>
      <c r="M2146" s="1" t="s">
        <v>22635</v>
      </c>
      <c r="N2146" s="1" t="s">
        <v>22636</v>
      </c>
    </row>
    <row r="2147">
      <c r="A2147" s="1" t="s">
        <v>2137</v>
      </c>
      <c r="B2147" s="1">
        <v>2011.0</v>
      </c>
      <c r="C2147" s="1" t="s">
        <v>22637</v>
      </c>
      <c r="D2147" s="1" t="s">
        <v>22638</v>
      </c>
      <c r="E2147" s="2" t="s">
        <v>26435</v>
      </c>
      <c r="F2147" s="1">
        <v>2412.0</v>
      </c>
      <c r="G2147" s="1">
        <v>2421.0</v>
      </c>
      <c r="H2147" s="1" t="s">
        <v>17059</v>
      </c>
      <c r="I2147" s="1" t="s">
        <v>22640</v>
      </c>
      <c r="J2147" s="1" t="s">
        <v>22641</v>
      </c>
      <c r="K2147" s="1"/>
      <c r="L2147" s="1" t="s">
        <v>26448</v>
      </c>
      <c r="M2147" s="1" t="s">
        <v>22643</v>
      </c>
      <c r="N2147" s="1" t="s">
        <v>22644</v>
      </c>
    </row>
    <row r="2148">
      <c r="A2148" s="1" t="s">
        <v>17</v>
      </c>
      <c r="B2148" s="1">
        <v>2011.0</v>
      </c>
      <c r="C2148" s="1" t="s">
        <v>23432</v>
      </c>
      <c r="D2148" s="1" t="s">
        <v>23433</v>
      </c>
      <c r="E2148" s="2" t="s">
        <v>26454</v>
      </c>
      <c r="F2148" s="1">
        <v>1942.0</v>
      </c>
      <c r="G2148" s="1">
        <v>1948.0</v>
      </c>
      <c r="H2148" s="1" t="s">
        <v>17059</v>
      </c>
      <c r="I2148" s="1" t="s">
        <v>23436</v>
      </c>
      <c r="J2148" s="1" t="s">
        <v>23437</v>
      </c>
      <c r="K2148" s="1"/>
      <c r="L2148" s="1" t="s">
        <v>494</v>
      </c>
      <c r="M2148" s="1" t="s">
        <v>23441</v>
      </c>
      <c r="N2148" s="1" t="s">
        <v>23442</v>
      </c>
    </row>
    <row r="2149">
      <c r="A2149" s="1" t="s">
        <v>17</v>
      </c>
      <c r="B2149" s="1">
        <v>2011.0</v>
      </c>
      <c r="C2149" s="1" t="s">
        <v>23443</v>
      </c>
      <c r="D2149" s="1" t="s">
        <v>23444</v>
      </c>
      <c r="E2149" s="2" t="s">
        <v>26464</v>
      </c>
      <c r="F2149" s="1">
        <v>2183.0</v>
      </c>
      <c r="G2149" s="1">
        <v>2192.0</v>
      </c>
      <c r="H2149" s="1" t="s">
        <v>17059</v>
      </c>
      <c r="I2149" s="1" t="s">
        <v>23445</v>
      </c>
      <c r="J2149" s="1" t="s">
        <v>23446</v>
      </c>
      <c r="K2149" s="1"/>
      <c r="L2149" s="1" t="s">
        <v>26473</v>
      </c>
      <c r="M2149" s="1" t="s">
        <v>23448</v>
      </c>
      <c r="N2149" s="1" t="s">
        <v>23449</v>
      </c>
    </row>
    <row r="2150">
      <c r="A2150" s="1" t="s">
        <v>17</v>
      </c>
      <c r="B2150" s="1">
        <v>2011.0</v>
      </c>
      <c r="C2150" s="1" t="s">
        <v>23450</v>
      </c>
      <c r="D2150" s="1" t="s">
        <v>23451</v>
      </c>
      <c r="E2150" s="2" t="s">
        <v>26480</v>
      </c>
      <c r="F2150" s="1">
        <v>1842.0</v>
      </c>
      <c r="G2150" s="1">
        <v>1851.0</v>
      </c>
      <c r="H2150" s="1" t="s">
        <v>17059</v>
      </c>
      <c r="I2150" s="1" t="s">
        <v>23452</v>
      </c>
      <c r="J2150" s="1" t="s">
        <v>23454</v>
      </c>
      <c r="K2150" s="1"/>
      <c r="L2150" s="1" t="s">
        <v>26485</v>
      </c>
      <c r="M2150" s="1" t="s">
        <v>23457</v>
      </c>
      <c r="N2150" s="1" t="s">
        <v>23458</v>
      </c>
    </row>
    <row r="2151">
      <c r="A2151" s="1" t="s">
        <v>17</v>
      </c>
      <c r="B2151" s="1">
        <v>2011.0</v>
      </c>
      <c r="C2151" s="1" t="s">
        <v>23460</v>
      </c>
      <c r="D2151" s="1" t="s">
        <v>23461</v>
      </c>
      <c r="E2151" s="2" t="s">
        <v>26490</v>
      </c>
      <c r="F2151" s="1">
        <v>1852.0</v>
      </c>
      <c r="G2151" s="1">
        <v>1861.0</v>
      </c>
      <c r="H2151" s="1" t="s">
        <v>17059</v>
      </c>
      <c r="I2151" s="1" t="s">
        <v>23462</v>
      </c>
      <c r="J2151" s="1" t="s">
        <v>23463</v>
      </c>
      <c r="K2151" s="1"/>
      <c r="L2151" s="1" t="s">
        <v>26503</v>
      </c>
      <c r="M2151" s="1" t="s">
        <v>23466</v>
      </c>
      <c r="N2151" s="1" t="s">
        <v>23467</v>
      </c>
      <c r="P2151" s="1"/>
      <c r="Q2151" s="1" t="s">
        <v>106</v>
      </c>
    </row>
    <row r="2152">
      <c r="A2152" s="1" t="s">
        <v>17</v>
      </c>
      <c r="B2152" s="1">
        <v>2011.0</v>
      </c>
      <c r="C2152" s="1" t="s">
        <v>23468</v>
      </c>
      <c r="D2152" s="1" t="s">
        <v>23469</v>
      </c>
      <c r="E2152" s="2" t="s">
        <v>26504</v>
      </c>
      <c r="F2152" s="1">
        <v>2015.0</v>
      </c>
      <c r="G2152" s="1">
        <v>2024.0</v>
      </c>
      <c r="H2152" s="1" t="s">
        <v>17059</v>
      </c>
      <c r="I2152" s="1" t="s">
        <v>23470</v>
      </c>
      <c r="J2152" s="1" t="s">
        <v>23471</v>
      </c>
      <c r="K2152" s="1"/>
      <c r="L2152" s="1" t="s">
        <v>26514</v>
      </c>
      <c r="M2152" s="1" t="s">
        <v>23474</v>
      </c>
      <c r="N2152" s="1" t="s">
        <v>23475</v>
      </c>
    </row>
    <row r="2153">
      <c r="A2153" s="1" t="s">
        <v>2137</v>
      </c>
      <c r="B2153" s="1">
        <v>2011.0</v>
      </c>
      <c r="C2153" s="1" t="s">
        <v>22645</v>
      </c>
      <c r="D2153" s="1" t="s">
        <v>22646</v>
      </c>
      <c r="E2153" s="2" t="s">
        <v>26522</v>
      </c>
      <c r="F2153" s="1">
        <v>2449.0</v>
      </c>
      <c r="G2153" s="1">
        <v>2458.0</v>
      </c>
      <c r="H2153" s="1" t="s">
        <v>17059</v>
      </c>
      <c r="I2153" s="1" t="s">
        <v>22647</v>
      </c>
      <c r="J2153" s="1" t="s">
        <v>22648</v>
      </c>
      <c r="K2153" s="1"/>
      <c r="L2153" s="1" t="s">
        <v>26533</v>
      </c>
      <c r="M2153" s="1" t="s">
        <v>22651</v>
      </c>
      <c r="N2153" s="1" t="s">
        <v>22652</v>
      </c>
    </row>
    <row r="2154">
      <c r="A2154" s="1" t="s">
        <v>17</v>
      </c>
      <c r="B2154" s="1">
        <v>2011.0</v>
      </c>
      <c r="C2154" s="1" t="s">
        <v>23477</v>
      </c>
      <c r="D2154" s="1" t="s">
        <v>23479</v>
      </c>
      <c r="E2154" s="2" t="s">
        <v>26535</v>
      </c>
      <c r="F2154" s="1">
        <v>1892.0</v>
      </c>
      <c r="G2154" s="1">
        <v>1901.0</v>
      </c>
      <c r="H2154" s="1" t="s">
        <v>17059</v>
      </c>
      <c r="I2154" s="1" t="s">
        <v>23480</v>
      </c>
      <c r="J2154" s="1" t="s">
        <v>26544</v>
      </c>
      <c r="K2154" s="1"/>
      <c r="L2154" s="1" t="s">
        <v>26545</v>
      </c>
      <c r="M2154" s="1" t="s">
        <v>23484</v>
      </c>
      <c r="N2154" s="1" t="s">
        <v>23485</v>
      </c>
    </row>
    <row r="2155">
      <c r="A2155" s="1" t="s">
        <v>17</v>
      </c>
      <c r="B2155" s="1">
        <v>2011.0</v>
      </c>
      <c r="C2155" s="1" t="s">
        <v>23486</v>
      </c>
      <c r="D2155" s="1" t="s">
        <v>23487</v>
      </c>
      <c r="E2155" s="2" t="s">
        <v>26546</v>
      </c>
      <c r="F2155" s="1">
        <v>2080.0</v>
      </c>
      <c r="G2155" s="1">
        <v>2087.0</v>
      </c>
      <c r="H2155" s="1" t="s">
        <v>17059</v>
      </c>
      <c r="I2155" s="1" t="s">
        <v>23488</v>
      </c>
      <c r="J2155" s="1" t="s">
        <v>23489</v>
      </c>
      <c r="K2155" s="1"/>
      <c r="L2155" s="1" t="s">
        <v>26556</v>
      </c>
      <c r="M2155" s="1" t="s">
        <v>23491</v>
      </c>
      <c r="N2155" s="1" t="s">
        <v>23492</v>
      </c>
    </row>
    <row r="2156">
      <c r="A2156" s="1" t="s">
        <v>2137</v>
      </c>
      <c r="B2156" s="1">
        <v>2011.0</v>
      </c>
      <c r="C2156" s="1" t="s">
        <v>22653</v>
      </c>
      <c r="D2156" s="1" t="s">
        <v>22654</v>
      </c>
      <c r="E2156" s="2" t="s">
        <v>26561</v>
      </c>
      <c r="F2156" s="1">
        <v>2291.0</v>
      </c>
      <c r="G2156" s="1">
        <v>2300.0</v>
      </c>
      <c r="H2156" s="1" t="s">
        <v>17059</v>
      </c>
      <c r="I2156" s="1" t="s">
        <v>22655</v>
      </c>
      <c r="J2156" s="1" t="s">
        <v>26569</v>
      </c>
      <c r="K2156" s="1"/>
      <c r="L2156" s="1" t="s">
        <v>26571</v>
      </c>
      <c r="M2156" s="1" t="s">
        <v>22658</v>
      </c>
      <c r="N2156" s="1" t="s">
        <v>22659</v>
      </c>
    </row>
    <row r="2157">
      <c r="A2157" s="1" t="s">
        <v>2137</v>
      </c>
      <c r="B2157" s="1">
        <v>2011.0</v>
      </c>
      <c r="C2157" s="1" t="s">
        <v>22660</v>
      </c>
      <c r="D2157" s="1" t="s">
        <v>22662</v>
      </c>
      <c r="E2157" s="2" t="s">
        <v>26576</v>
      </c>
      <c r="F2157" s="1">
        <v>2508.0</v>
      </c>
      <c r="G2157" s="1">
        <v>2517.0</v>
      </c>
      <c r="H2157" s="1" t="s">
        <v>17059</v>
      </c>
      <c r="I2157" s="1" t="s">
        <v>22663</v>
      </c>
      <c r="J2157" s="1" t="s">
        <v>22664</v>
      </c>
      <c r="K2157" s="1"/>
      <c r="L2157" s="1" t="s">
        <v>26585</v>
      </c>
      <c r="M2157" s="1" t="s">
        <v>22667</v>
      </c>
      <c r="N2157" s="1" t="s">
        <v>22668</v>
      </c>
    </row>
    <row r="2158">
      <c r="A2158" s="1" t="s">
        <v>17</v>
      </c>
      <c r="B2158" s="1">
        <v>2011.0</v>
      </c>
      <c r="C2158" s="1" t="s">
        <v>23493</v>
      </c>
      <c r="D2158" s="1" t="s">
        <v>23494</v>
      </c>
      <c r="E2158" s="2" t="s">
        <v>26588</v>
      </c>
      <c r="F2158" s="1">
        <v>1862.0</v>
      </c>
      <c r="G2158" s="1">
        <v>1871.0</v>
      </c>
      <c r="H2158" s="1" t="s">
        <v>17059</v>
      </c>
      <c r="I2158" s="1" t="s">
        <v>26597</v>
      </c>
      <c r="J2158" s="1" t="s">
        <v>23497</v>
      </c>
      <c r="K2158" s="1"/>
      <c r="L2158" s="1" t="s">
        <v>26598</v>
      </c>
      <c r="M2158" s="1" t="s">
        <v>23500</v>
      </c>
      <c r="N2158" s="1" t="s">
        <v>23501</v>
      </c>
    </row>
    <row r="2159">
      <c r="A2159" s="1" t="s">
        <v>2137</v>
      </c>
      <c r="B2159" s="1">
        <v>2011.0</v>
      </c>
      <c r="C2159" s="1" t="s">
        <v>22669</v>
      </c>
      <c r="D2159" s="1" t="s">
        <v>22670</v>
      </c>
      <c r="E2159" s="2" t="s">
        <v>26600</v>
      </c>
      <c r="F2159" s="1">
        <v>2402.0</v>
      </c>
      <c r="G2159" s="1">
        <v>2411.0</v>
      </c>
      <c r="H2159" s="1" t="s">
        <v>17059</v>
      </c>
      <c r="I2159" s="1" t="s">
        <v>22671</v>
      </c>
      <c r="J2159" s="1" t="s">
        <v>22672</v>
      </c>
      <c r="K2159" s="1"/>
      <c r="L2159" s="1" t="s">
        <v>26613</v>
      </c>
      <c r="M2159" s="1" t="s">
        <v>22674</v>
      </c>
      <c r="N2159" s="1" t="s">
        <v>22675</v>
      </c>
    </row>
    <row r="2160">
      <c r="A2160" s="1" t="s">
        <v>17</v>
      </c>
      <c r="B2160" s="1">
        <v>2011.0</v>
      </c>
      <c r="C2160" s="1" t="s">
        <v>23502</v>
      </c>
      <c r="D2160" s="1" t="s">
        <v>23503</v>
      </c>
      <c r="E2160" s="2" t="s">
        <v>26617</v>
      </c>
      <c r="F2160" s="1">
        <v>1765.0</v>
      </c>
      <c r="G2160" s="1">
        <v>1774.0</v>
      </c>
      <c r="H2160" s="1" t="s">
        <v>17059</v>
      </c>
      <c r="I2160" s="1" t="s">
        <v>23504</v>
      </c>
      <c r="J2160" s="1" t="s">
        <v>23505</v>
      </c>
      <c r="K2160" s="1"/>
      <c r="L2160" s="1" t="s">
        <v>15776</v>
      </c>
      <c r="M2160" s="1" t="s">
        <v>23508</v>
      </c>
      <c r="N2160" s="1" t="s">
        <v>23509</v>
      </c>
    </row>
    <row r="2161">
      <c r="A2161" s="1" t="s">
        <v>2137</v>
      </c>
      <c r="B2161" s="1">
        <v>2011.0</v>
      </c>
      <c r="C2161" s="1" t="s">
        <v>22676</v>
      </c>
      <c r="D2161" s="1" t="s">
        <v>22677</v>
      </c>
      <c r="E2161" s="2" t="s">
        <v>26626</v>
      </c>
      <c r="F2161" s="1">
        <v>2231.0</v>
      </c>
      <c r="G2161" s="1">
        <v>2240.0</v>
      </c>
      <c r="H2161" s="1" t="s">
        <v>17059</v>
      </c>
      <c r="I2161" s="1" t="s">
        <v>22678</v>
      </c>
      <c r="J2161" s="1" t="s">
        <v>22679</v>
      </c>
      <c r="K2161" s="1"/>
      <c r="L2161" s="1" t="s">
        <v>178</v>
      </c>
      <c r="M2161" s="1" t="s">
        <v>22682</v>
      </c>
      <c r="N2161" s="1" t="s">
        <v>22683</v>
      </c>
    </row>
    <row r="2162">
      <c r="A2162" s="1" t="s">
        <v>17</v>
      </c>
      <c r="B2162" s="1">
        <v>2011.0</v>
      </c>
      <c r="C2162" s="1" t="s">
        <v>23511</v>
      </c>
      <c r="D2162" s="1" t="s">
        <v>23512</v>
      </c>
      <c r="E2162" s="2" t="s">
        <v>26636</v>
      </c>
      <c r="F2162" s="1">
        <v>1969.0</v>
      </c>
      <c r="G2162" s="1">
        <v>1978.0</v>
      </c>
      <c r="H2162" s="1" t="s">
        <v>17059</v>
      </c>
      <c r="I2162" s="1" t="s">
        <v>23515</v>
      </c>
      <c r="J2162" s="1" t="s">
        <v>26645</v>
      </c>
      <c r="K2162" s="1"/>
      <c r="L2162" s="1" t="s">
        <v>26646</v>
      </c>
      <c r="M2162" s="1" t="s">
        <v>23519</v>
      </c>
      <c r="N2162" s="1" t="s">
        <v>23520</v>
      </c>
    </row>
    <row r="2163">
      <c r="A2163" s="1" t="s">
        <v>17</v>
      </c>
      <c r="B2163" s="1">
        <v>2011.0</v>
      </c>
      <c r="C2163" s="1" t="s">
        <v>23522</v>
      </c>
      <c r="D2163" s="1" t="s">
        <v>23523</v>
      </c>
      <c r="E2163" s="2" t="s">
        <v>26647</v>
      </c>
      <c r="F2163" s="1">
        <v>2025.0</v>
      </c>
      <c r="G2163" s="1">
        <v>2034.0</v>
      </c>
      <c r="H2163" s="1" t="s">
        <v>17059</v>
      </c>
      <c r="I2163" s="1" t="s">
        <v>23524</v>
      </c>
      <c r="J2163" s="1" t="s">
        <v>23525</v>
      </c>
      <c r="K2163" s="1"/>
      <c r="L2163" s="1" t="s">
        <v>26656</v>
      </c>
      <c r="M2163" s="1" t="s">
        <v>23527</v>
      </c>
      <c r="N2163" s="1" t="s">
        <v>23528</v>
      </c>
      <c r="P2163" s="1"/>
      <c r="Q2163" s="1" t="s">
        <v>19037</v>
      </c>
    </row>
    <row r="2164">
      <c r="A2164" s="1" t="s">
        <v>17</v>
      </c>
      <c r="B2164" s="1">
        <v>2011.0</v>
      </c>
      <c r="C2164" s="1" t="s">
        <v>23529</v>
      </c>
      <c r="D2164" s="1" t="s">
        <v>23530</v>
      </c>
      <c r="E2164" s="2" t="s">
        <v>26657</v>
      </c>
      <c r="F2164" s="1">
        <v>2071.0</v>
      </c>
      <c r="G2164" s="1">
        <v>2079.0</v>
      </c>
      <c r="H2164" s="1" t="s">
        <v>17059</v>
      </c>
      <c r="I2164" s="1" t="s">
        <v>26667</v>
      </c>
      <c r="J2164" s="1" t="s">
        <v>23532</v>
      </c>
      <c r="K2164" s="1"/>
      <c r="L2164" s="1" t="s">
        <v>26669</v>
      </c>
      <c r="M2164" s="1" t="s">
        <v>23534</v>
      </c>
      <c r="N2164" s="1" t="s">
        <v>23536</v>
      </c>
    </row>
    <row r="2165">
      <c r="A2165" s="1" t="s">
        <v>17</v>
      </c>
      <c r="B2165" s="1">
        <v>2011.0</v>
      </c>
      <c r="C2165" s="1" t="s">
        <v>23538</v>
      </c>
      <c r="D2165" s="1" t="s">
        <v>23539</v>
      </c>
      <c r="E2165" s="2" t="s">
        <v>26675</v>
      </c>
      <c r="F2165" s="1">
        <v>2106.0</v>
      </c>
      <c r="G2165" s="1">
        <v>2114.0</v>
      </c>
      <c r="H2165" s="1" t="s">
        <v>17059</v>
      </c>
      <c r="I2165" s="1" t="s">
        <v>23540</v>
      </c>
      <c r="J2165" s="1" t="s">
        <v>23541</v>
      </c>
      <c r="K2165" s="1"/>
      <c r="L2165" s="1" t="s">
        <v>26683</v>
      </c>
      <c r="M2165" s="1" t="s">
        <v>23543</v>
      </c>
      <c r="N2165" s="1" t="s">
        <v>23544</v>
      </c>
    </row>
    <row r="2166">
      <c r="A2166" s="1" t="s">
        <v>120</v>
      </c>
      <c r="B2166" s="1">
        <v>2011.0</v>
      </c>
      <c r="C2166" s="1" t="s">
        <v>22685</v>
      </c>
      <c r="D2166" s="1" t="s">
        <v>22686</v>
      </c>
      <c r="E2166" s="2" t="s">
        <v>26687</v>
      </c>
      <c r="F2166" s="1">
        <v>3.0</v>
      </c>
      <c r="G2166" s="1">
        <v>11.0</v>
      </c>
      <c r="H2166" s="1" t="s">
        <v>28</v>
      </c>
      <c r="I2166" s="1" t="s">
        <v>26697</v>
      </c>
      <c r="J2166" s="1" t="s">
        <v>22689</v>
      </c>
      <c r="K2166" s="1"/>
      <c r="L2166" s="1" t="s">
        <v>15776</v>
      </c>
      <c r="M2166" s="1" t="s">
        <v>22692</v>
      </c>
      <c r="N2166" s="1" t="s">
        <v>22693</v>
      </c>
    </row>
    <row r="2167">
      <c r="A2167" s="1" t="s">
        <v>120</v>
      </c>
      <c r="B2167" s="1">
        <v>2011.0</v>
      </c>
      <c r="C2167" s="1" t="s">
        <v>22694</v>
      </c>
      <c r="D2167" s="1" t="s">
        <v>22695</v>
      </c>
      <c r="E2167" s="2" t="s">
        <v>26703</v>
      </c>
      <c r="F2167" s="1">
        <v>13.0</v>
      </c>
      <c r="G2167" s="1">
        <v>20.0</v>
      </c>
      <c r="H2167" s="1" t="s">
        <v>28</v>
      </c>
      <c r="I2167" s="1" t="s">
        <v>22696</v>
      </c>
      <c r="J2167" s="1" t="s">
        <v>22697</v>
      </c>
      <c r="K2167" s="1"/>
      <c r="L2167" s="1" t="s">
        <v>26706</v>
      </c>
      <c r="M2167" s="1" t="s">
        <v>22700</v>
      </c>
    </row>
    <row r="2168">
      <c r="A2168" s="1" t="s">
        <v>120</v>
      </c>
      <c r="B2168" s="1">
        <v>2011.0</v>
      </c>
      <c r="C2168" s="1" t="s">
        <v>22701</v>
      </c>
      <c r="D2168" s="1" t="s">
        <v>22702</v>
      </c>
      <c r="E2168" s="2" t="s">
        <v>26709</v>
      </c>
      <c r="F2168" s="1">
        <v>21.0</v>
      </c>
      <c r="G2168" s="1">
        <v>30.0</v>
      </c>
      <c r="H2168" s="1" t="s">
        <v>28</v>
      </c>
      <c r="I2168" s="1" t="s">
        <v>22705</v>
      </c>
      <c r="J2168" s="1" t="s">
        <v>22706</v>
      </c>
      <c r="K2168" s="1"/>
      <c r="L2168" s="1" t="s">
        <v>4435</v>
      </c>
      <c r="M2168" s="1" t="s">
        <v>22709</v>
      </c>
      <c r="N2168" s="1" t="s">
        <v>22710</v>
      </c>
    </row>
    <row r="2169">
      <c r="A2169" s="1" t="s">
        <v>120</v>
      </c>
      <c r="B2169" s="1">
        <v>2011.0</v>
      </c>
      <c r="C2169" s="1" t="s">
        <v>22712</v>
      </c>
      <c r="D2169" s="1" t="s">
        <v>22713</v>
      </c>
      <c r="E2169" s="2" t="s">
        <v>26716</v>
      </c>
      <c r="F2169" s="1">
        <v>31.0</v>
      </c>
      <c r="G2169" s="1">
        <v>40.0</v>
      </c>
      <c r="H2169" s="1" t="s">
        <v>28</v>
      </c>
      <c r="I2169" s="1" t="s">
        <v>22714</v>
      </c>
      <c r="J2169" s="1" t="s">
        <v>22715</v>
      </c>
      <c r="K2169" s="1"/>
      <c r="L2169" s="1" t="s">
        <v>26725</v>
      </c>
      <c r="M2169" s="1" t="s">
        <v>22718</v>
      </c>
    </row>
    <row r="2170">
      <c r="A2170" s="1" t="s">
        <v>120</v>
      </c>
      <c r="B2170" s="1">
        <v>2011.0</v>
      </c>
      <c r="C2170" s="1" t="s">
        <v>22719</v>
      </c>
      <c r="D2170" s="1" t="s">
        <v>22720</v>
      </c>
      <c r="E2170" s="2" t="s">
        <v>26728</v>
      </c>
      <c r="F2170" s="1">
        <v>41.0</v>
      </c>
      <c r="G2170" s="1">
        <v>50.0</v>
      </c>
      <c r="H2170" s="1" t="s">
        <v>28</v>
      </c>
      <c r="I2170" s="1" t="s">
        <v>22721</v>
      </c>
      <c r="J2170" s="1" t="s">
        <v>22722</v>
      </c>
      <c r="K2170" s="1"/>
      <c r="L2170" s="1" t="s">
        <v>26735</v>
      </c>
      <c r="M2170" s="1" t="s">
        <v>22724</v>
      </c>
      <c r="P2170" s="1"/>
      <c r="Q2170" s="1" t="s">
        <v>19037</v>
      </c>
    </row>
    <row r="2171">
      <c r="A2171" s="1" t="s">
        <v>120</v>
      </c>
      <c r="B2171" s="1">
        <v>2011.0</v>
      </c>
      <c r="C2171" s="1" t="s">
        <v>22725</v>
      </c>
      <c r="D2171" s="1" t="s">
        <v>22726</v>
      </c>
      <c r="E2171" s="2" t="s">
        <v>26737</v>
      </c>
      <c r="F2171" s="1">
        <v>51.0</v>
      </c>
      <c r="G2171" s="1">
        <v>60.0</v>
      </c>
      <c r="H2171" s="1" t="s">
        <v>28</v>
      </c>
      <c r="I2171" s="1" t="s">
        <v>22728</v>
      </c>
      <c r="J2171" s="1" t="s">
        <v>22729</v>
      </c>
      <c r="K2171" s="1"/>
      <c r="L2171" s="1" t="s">
        <v>24791</v>
      </c>
      <c r="M2171" s="1" t="s">
        <v>22731</v>
      </c>
      <c r="N2171" s="1" t="s">
        <v>22732</v>
      </c>
    </row>
    <row r="2172">
      <c r="A2172" s="1" t="s">
        <v>120</v>
      </c>
      <c r="B2172" s="1">
        <v>2011.0</v>
      </c>
      <c r="C2172" s="1" t="s">
        <v>22733</v>
      </c>
      <c r="D2172" s="1" t="s">
        <v>22734</v>
      </c>
      <c r="E2172" s="2" t="s">
        <v>26751</v>
      </c>
      <c r="F2172" s="1">
        <v>61.0</v>
      </c>
      <c r="G2172" s="1">
        <v>70.0</v>
      </c>
      <c r="H2172" s="1" t="s">
        <v>28</v>
      </c>
      <c r="I2172" s="1" t="s">
        <v>22735</v>
      </c>
      <c r="J2172" s="1" t="s">
        <v>22736</v>
      </c>
      <c r="K2172" s="1"/>
      <c r="L2172" s="1" t="s">
        <v>26760</v>
      </c>
      <c r="M2172" s="1" t="s">
        <v>22738</v>
      </c>
      <c r="N2172" s="1" t="s">
        <v>22739</v>
      </c>
    </row>
    <row r="2173">
      <c r="A2173" s="1" t="s">
        <v>120</v>
      </c>
      <c r="B2173" s="1">
        <v>2011.0</v>
      </c>
      <c r="C2173" s="1" t="s">
        <v>22740</v>
      </c>
      <c r="D2173" s="1" t="s">
        <v>22741</v>
      </c>
      <c r="E2173" s="2" t="s">
        <v>26764</v>
      </c>
      <c r="F2173" s="1">
        <v>71.0</v>
      </c>
      <c r="G2173" s="1">
        <v>79.0</v>
      </c>
      <c r="H2173" s="1" t="s">
        <v>28</v>
      </c>
      <c r="I2173" s="1" t="s">
        <v>22743</v>
      </c>
      <c r="J2173" s="1" t="s">
        <v>22744</v>
      </c>
      <c r="K2173" s="1"/>
      <c r="L2173" s="1" t="s">
        <v>26772</v>
      </c>
      <c r="M2173" s="1" t="s">
        <v>22747</v>
      </c>
      <c r="N2173" s="1" t="s">
        <v>22748</v>
      </c>
      <c r="P2173" s="1"/>
      <c r="Q2173" s="1" t="s">
        <v>19037</v>
      </c>
    </row>
    <row r="2174">
      <c r="A2174" s="1" t="s">
        <v>120</v>
      </c>
      <c r="B2174" s="1">
        <v>2011.0</v>
      </c>
      <c r="C2174" s="1" t="s">
        <v>22749</v>
      </c>
      <c r="D2174" s="1" t="s">
        <v>22750</v>
      </c>
      <c r="E2174" s="2" t="s">
        <v>26775</v>
      </c>
      <c r="F2174" s="1">
        <v>81.0</v>
      </c>
      <c r="G2174" s="1">
        <v>90.0</v>
      </c>
      <c r="H2174" s="1" t="s">
        <v>28</v>
      </c>
      <c r="I2174" s="1" t="s">
        <v>26785</v>
      </c>
      <c r="J2174" s="1" t="s">
        <v>22752</v>
      </c>
      <c r="K2174" s="1"/>
      <c r="L2174" s="1" t="s">
        <v>26786</v>
      </c>
      <c r="M2174" s="1" t="s">
        <v>22754</v>
      </c>
      <c r="P2174" s="1"/>
      <c r="Q2174" s="1" t="s">
        <v>19037</v>
      </c>
    </row>
    <row r="2175">
      <c r="A2175" s="1" t="s">
        <v>120</v>
      </c>
      <c r="B2175" s="1">
        <v>2011.0</v>
      </c>
      <c r="C2175" s="1" t="s">
        <v>22755</v>
      </c>
      <c r="D2175" s="1" t="s">
        <v>22756</v>
      </c>
      <c r="E2175" s="2" t="s">
        <v>26787</v>
      </c>
      <c r="F2175" s="1">
        <v>91.0</v>
      </c>
      <c r="G2175" s="1">
        <v>100.0</v>
      </c>
      <c r="H2175" s="1" t="s">
        <v>28</v>
      </c>
      <c r="I2175" s="1" t="s">
        <v>26796</v>
      </c>
      <c r="J2175" s="1" t="s">
        <v>22758</v>
      </c>
      <c r="K2175" s="1"/>
      <c r="L2175" s="1" t="s">
        <v>26797</v>
      </c>
      <c r="M2175" s="1" t="s">
        <v>22761</v>
      </c>
    </row>
    <row r="2176">
      <c r="A2176" s="1" t="s">
        <v>120</v>
      </c>
      <c r="B2176" s="1">
        <v>2011.0</v>
      </c>
      <c r="C2176" s="1" t="s">
        <v>22762</v>
      </c>
      <c r="D2176" s="1" t="s">
        <v>22763</v>
      </c>
      <c r="E2176" s="2" t="s">
        <v>26798</v>
      </c>
      <c r="F2176" s="1">
        <v>101.0</v>
      </c>
      <c r="G2176" s="1">
        <v>110.0</v>
      </c>
      <c r="H2176" s="1" t="s">
        <v>28</v>
      </c>
      <c r="I2176" s="1" t="s">
        <v>22765</v>
      </c>
      <c r="J2176" s="1" t="s">
        <v>22766</v>
      </c>
      <c r="K2176" s="1"/>
      <c r="L2176" s="1" t="s">
        <v>25727</v>
      </c>
      <c r="M2176" s="1" t="s">
        <v>22770</v>
      </c>
      <c r="N2176" s="1" t="s">
        <v>22771</v>
      </c>
    </row>
    <row r="2177">
      <c r="A2177" s="1" t="s">
        <v>120</v>
      </c>
      <c r="B2177" s="1">
        <v>2011.0</v>
      </c>
      <c r="C2177" s="1" t="s">
        <v>22772</v>
      </c>
      <c r="D2177" s="1" t="s">
        <v>22773</v>
      </c>
      <c r="E2177" s="2" t="s">
        <v>26810</v>
      </c>
      <c r="F2177" s="1">
        <v>111.0</v>
      </c>
      <c r="G2177" s="1">
        <v>120.0</v>
      </c>
      <c r="H2177" s="1" t="s">
        <v>28</v>
      </c>
      <c r="I2177" s="1" t="s">
        <v>22774</v>
      </c>
      <c r="J2177" s="1" t="s">
        <v>26819</v>
      </c>
      <c r="K2177" s="1"/>
      <c r="L2177" s="1" t="s">
        <v>26821</v>
      </c>
      <c r="M2177" s="1" t="s">
        <v>22777</v>
      </c>
    </row>
    <row r="2178">
      <c r="A2178" s="1" t="s">
        <v>120</v>
      </c>
      <c r="B2178" s="1">
        <v>2011.0</v>
      </c>
      <c r="C2178" s="1" t="s">
        <v>22778</v>
      </c>
      <c r="D2178" s="1" t="s">
        <v>22779</v>
      </c>
      <c r="E2178" s="2" t="s">
        <v>26824</v>
      </c>
      <c r="F2178" s="1">
        <v>121.0</v>
      </c>
      <c r="G2178" s="1">
        <v>130.0</v>
      </c>
      <c r="H2178" s="1" t="s">
        <v>28</v>
      </c>
      <c r="I2178" s="1" t="s">
        <v>26837</v>
      </c>
      <c r="J2178" s="1" t="s">
        <v>22781</v>
      </c>
      <c r="K2178" s="1"/>
      <c r="L2178" s="1" t="s">
        <v>25715</v>
      </c>
      <c r="M2178" s="1"/>
      <c r="N2178" s="1" t="s">
        <v>22783</v>
      </c>
    </row>
    <row r="2179">
      <c r="A2179" s="1" t="s">
        <v>120</v>
      </c>
      <c r="B2179" s="1">
        <v>2011.0</v>
      </c>
      <c r="C2179" s="1" t="s">
        <v>22785</v>
      </c>
      <c r="D2179" s="1" t="s">
        <v>22786</v>
      </c>
      <c r="E2179" s="2" t="s">
        <v>26838</v>
      </c>
      <c r="F2179" s="1">
        <v>131.0</v>
      </c>
      <c r="G2179" s="1">
        <v>140.0</v>
      </c>
      <c r="H2179" s="1" t="s">
        <v>28</v>
      </c>
      <c r="I2179" s="1" t="s">
        <v>22788</v>
      </c>
      <c r="J2179" s="1" t="s">
        <v>22789</v>
      </c>
      <c r="K2179" s="1"/>
      <c r="L2179" s="1" t="s">
        <v>26846</v>
      </c>
      <c r="M2179" s="1" t="s">
        <v>22791</v>
      </c>
      <c r="N2179" s="1" t="s">
        <v>22792</v>
      </c>
    </row>
    <row r="2180">
      <c r="A2180" s="1" t="s">
        <v>120</v>
      </c>
      <c r="B2180" s="1">
        <v>2011.0</v>
      </c>
      <c r="C2180" s="1" t="s">
        <v>22793</v>
      </c>
      <c r="D2180" s="1" t="s">
        <v>22794</v>
      </c>
      <c r="E2180" s="2" t="s">
        <v>26847</v>
      </c>
      <c r="F2180" s="1">
        <v>141.0</v>
      </c>
      <c r="G2180" s="1">
        <v>149.0</v>
      </c>
      <c r="H2180" s="1" t="s">
        <v>28</v>
      </c>
      <c r="I2180" s="1" t="s">
        <v>22795</v>
      </c>
      <c r="J2180" s="1" t="s">
        <v>22796</v>
      </c>
      <c r="K2180" s="1"/>
      <c r="L2180" s="1" t="s">
        <v>26851</v>
      </c>
      <c r="M2180" s="1" t="s">
        <v>22799</v>
      </c>
      <c r="N2180" s="1" t="s">
        <v>22800</v>
      </c>
    </row>
    <row r="2181">
      <c r="A2181" s="1" t="s">
        <v>120</v>
      </c>
      <c r="B2181" s="1">
        <v>2011.0</v>
      </c>
      <c r="C2181" s="1" t="s">
        <v>22801</v>
      </c>
      <c r="D2181" s="1" t="s">
        <v>22802</v>
      </c>
      <c r="E2181" s="2" t="s">
        <v>26852</v>
      </c>
      <c r="F2181" s="1">
        <v>151.0</v>
      </c>
      <c r="G2181" s="1">
        <v>160.0</v>
      </c>
      <c r="H2181" s="1" t="s">
        <v>28</v>
      </c>
      <c r="I2181" s="1" t="s">
        <v>22804</v>
      </c>
      <c r="J2181" s="1" t="s">
        <v>22805</v>
      </c>
      <c r="K2181" s="1"/>
      <c r="L2181" s="1" t="s">
        <v>25981</v>
      </c>
      <c r="M2181" s="1" t="s">
        <v>22807</v>
      </c>
    </row>
    <row r="2182">
      <c r="A2182" s="1" t="s">
        <v>120</v>
      </c>
      <c r="B2182" s="1">
        <v>2011.0</v>
      </c>
      <c r="C2182" s="1" t="s">
        <v>22809</v>
      </c>
      <c r="D2182" s="1" t="s">
        <v>22810</v>
      </c>
      <c r="E2182" s="2" t="s">
        <v>26861</v>
      </c>
      <c r="F2182" s="1">
        <v>161.0</v>
      </c>
      <c r="G2182" s="1">
        <v>170.0</v>
      </c>
      <c r="H2182" s="1" t="s">
        <v>28</v>
      </c>
      <c r="I2182" s="1" t="s">
        <v>22811</v>
      </c>
      <c r="J2182" s="1" t="s">
        <v>22812</v>
      </c>
      <c r="K2182" s="1"/>
      <c r="L2182" s="1" t="s">
        <v>26870</v>
      </c>
      <c r="M2182" s="1" t="s">
        <v>22815</v>
      </c>
      <c r="N2182" s="1" t="s">
        <v>22816</v>
      </c>
      <c r="P2182" s="1"/>
      <c r="Q2182" s="1" t="s">
        <v>106</v>
      </c>
    </row>
    <row r="2183">
      <c r="A2183" s="1" t="s">
        <v>120</v>
      </c>
      <c r="B2183" s="1">
        <v>2011.0</v>
      </c>
      <c r="C2183" s="1" t="s">
        <v>22817</v>
      </c>
      <c r="D2183" s="1" t="s">
        <v>22818</v>
      </c>
      <c r="E2183" s="2" t="s">
        <v>26871</v>
      </c>
      <c r="F2183" s="1">
        <v>171.0</v>
      </c>
      <c r="G2183" s="1">
        <v>180.0</v>
      </c>
      <c r="H2183" s="1" t="s">
        <v>28</v>
      </c>
      <c r="I2183" s="1" t="s">
        <v>22819</v>
      </c>
      <c r="J2183" s="1" t="s">
        <v>22820</v>
      </c>
      <c r="K2183" s="1"/>
      <c r="L2183" s="1" t="s">
        <v>26881</v>
      </c>
      <c r="M2183" s="1" t="s">
        <v>22822</v>
      </c>
    </row>
    <row r="2184">
      <c r="A2184" s="1" t="s">
        <v>120</v>
      </c>
      <c r="B2184" s="1">
        <v>2011.0</v>
      </c>
      <c r="C2184" s="1" t="s">
        <v>22823</v>
      </c>
      <c r="D2184" s="1" t="s">
        <v>22824</v>
      </c>
      <c r="E2184" s="2" t="s">
        <v>26882</v>
      </c>
      <c r="F2184" s="1">
        <v>181.0</v>
      </c>
      <c r="G2184" s="1">
        <v>190.0</v>
      </c>
      <c r="H2184" s="1" t="s">
        <v>28</v>
      </c>
      <c r="I2184" s="1" t="s">
        <v>22827</v>
      </c>
      <c r="J2184" s="1" t="s">
        <v>22828</v>
      </c>
      <c r="K2184" s="1"/>
      <c r="L2184" s="1" t="s">
        <v>26892</v>
      </c>
      <c r="M2184" s="1" t="s">
        <v>22831</v>
      </c>
      <c r="N2184" s="1" t="s">
        <v>22832</v>
      </c>
    </row>
    <row r="2185">
      <c r="A2185" s="1" t="s">
        <v>120</v>
      </c>
      <c r="B2185" s="1">
        <v>2011.0</v>
      </c>
      <c r="C2185" s="1" t="s">
        <v>22833</v>
      </c>
      <c r="D2185" s="1" t="s">
        <v>22834</v>
      </c>
      <c r="E2185" s="2" t="s">
        <v>26895</v>
      </c>
      <c r="F2185" s="1">
        <v>191.0</v>
      </c>
      <c r="G2185" s="1">
        <v>200.0</v>
      </c>
      <c r="H2185" s="1" t="s">
        <v>28</v>
      </c>
      <c r="I2185" s="1" t="s">
        <v>22835</v>
      </c>
      <c r="J2185" s="1" t="s">
        <v>22836</v>
      </c>
      <c r="K2185" s="1"/>
      <c r="L2185" s="1" t="s">
        <v>26908</v>
      </c>
      <c r="M2185" s="1" t="s">
        <v>22838</v>
      </c>
    </row>
    <row r="2186">
      <c r="A2186" s="1" t="s">
        <v>120</v>
      </c>
      <c r="B2186" s="1">
        <v>2011.0</v>
      </c>
      <c r="C2186" s="1" t="s">
        <v>22840</v>
      </c>
      <c r="D2186" s="1" t="s">
        <v>22841</v>
      </c>
      <c r="E2186" s="2" t="s">
        <v>26909</v>
      </c>
      <c r="F2186" s="1">
        <v>201.0</v>
      </c>
      <c r="G2186" s="1">
        <v>210.0</v>
      </c>
      <c r="H2186" s="1" t="s">
        <v>28</v>
      </c>
      <c r="I2186" s="1" t="s">
        <v>22842</v>
      </c>
      <c r="J2186" s="1" t="s">
        <v>22843</v>
      </c>
      <c r="K2186" s="1"/>
      <c r="L2186" s="1" t="s">
        <v>26919</v>
      </c>
      <c r="M2186" s="1" t="s">
        <v>22845</v>
      </c>
    </row>
    <row r="2187">
      <c r="A2187" s="1" t="s">
        <v>120</v>
      </c>
      <c r="B2187" s="1">
        <v>2011.0</v>
      </c>
      <c r="C2187" s="1" t="s">
        <v>22846</v>
      </c>
      <c r="D2187" s="1" t="s">
        <v>22847</v>
      </c>
      <c r="E2187" s="2" t="s">
        <v>26920</v>
      </c>
      <c r="F2187" s="1">
        <v>211.0</v>
      </c>
      <c r="G2187" s="1">
        <v>220.0</v>
      </c>
      <c r="H2187" s="1" t="s">
        <v>28</v>
      </c>
      <c r="I2187" s="1" t="s">
        <v>22848</v>
      </c>
      <c r="J2187" s="1" t="s">
        <v>22849</v>
      </c>
      <c r="K2187" s="1"/>
      <c r="L2187" s="1" t="s">
        <v>26930</v>
      </c>
      <c r="M2187" s="1" t="s">
        <v>22852</v>
      </c>
      <c r="N2187" s="1" t="s">
        <v>22853</v>
      </c>
    </row>
    <row r="2188">
      <c r="A2188" s="1" t="s">
        <v>120</v>
      </c>
      <c r="B2188" s="1">
        <v>2011.0</v>
      </c>
      <c r="C2188" s="1" t="s">
        <v>22854</v>
      </c>
      <c r="D2188" s="1" t="s">
        <v>22855</v>
      </c>
      <c r="E2188" s="2" t="s">
        <v>26931</v>
      </c>
      <c r="F2188" s="1">
        <v>221.0</v>
      </c>
      <c r="G2188" s="1">
        <v>230.0</v>
      </c>
      <c r="H2188" s="1" t="s">
        <v>28</v>
      </c>
      <c r="I2188" s="1" t="s">
        <v>22857</v>
      </c>
      <c r="J2188" s="1" t="s">
        <v>22858</v>
      </c>
      <c r="K2188" s="1"/>
      <c r="L2188" s="1" t="s">
        <v>26941</v>
      </c>
      <c r="M2188" s="1" t="s">
        <v>22860</v>
      </c>
      <c r="N2188" s="1" t="s">
        <v>22861</v>
      </c>
    </row>
    <row r="2189">
      <c r="A2189" s="1" t="s">
        <v>120</v>
      </c>
      <c r="B2189" s="1">
        <v>2011.0</v>
      </c>
      <c r="C2189" s="1" t="s">
        <v>22863</v>
      </c>
      <c r="D2189" s="1" t="s">
        <v>22864</v>
      </c>
      <c r="E2189" s="2" t="s">
        <v>26943</v>
      </c>
      <c r="F2189" s="1">
        <v>231.0</v>
      </c>
      <c r="G2189" s="1">
        <v>240.0</v>
      </c>
      <c r="H2189" s="1" t="s">
        <v>28</v>
      </c>
      <c r="I2189" s="1" t="s">
        <v>22865</v>
      </c>
      <c r="J2189" s="1" t="s">
        <v>22866</v>
      </c>
      <c r="K2189" s="1"/>
      <c r="L2189" s="1" t="s">
        <v>26960</v>
      </c>
      <c r="M2189" s="1" t="s">
        <v>22868</v>
      </c>
    </row>
    <row r="2190">
      <c r="A2190" s="1" t="s">
        <v>120</v>
      </c>
      <c r="B2190" s="1">
        <v>2011.0</v>
      </c>
      <c r="C2190" s="1" t="s">
        <v>22869</v>
      </c>
      <c r="D2190" s="1" t="s">
        <v>22870</v>
      </c>
      <c r="E2190" s="2" t="s">
        <v>26961</v>
      </c>
      <c r="F2190" s="1">
        <v>241.0</v>
      </c>
      <c r="G2190" s="1">
        <v>250.0</v>
      </c>
      <c r="H2190" s="1" t="s">
        <v>28</v>
      </c>
      <c r="I2190" s="1" t="s">
        <v>22871</v>
      </c>
      <c r="J2190" s="1" t="s">
        <v>22872</v>
      </c>
      <c r="K2190" s="1"/>
      <c r="L2190" s="1" t="s">
        <v>26963</v>
      </c>
      <c r="M2190" s="1" t="s">
        <v>22875</v>
      </c>
      <c r="N2190" s="1" t="s">
        <v>22876</v>
      </c>
    </row>
    <row r="2191">
      <c r="A2191" s="1" t="s">
        <v>120</v>
      </c>
      <c r="B2191" s="1">
        <v>2011.0</v>
      </c>
      <c r="C2191" s="1" t="s">
        <v>22878</v>
      </c>
      <c r="D2191" s="1" t="s">
        <v>22879</v>
      </c>
      <c r="E2191" s="2" t="s">
        <v>26964</v>
      </c>
      <c r="F2191" s="1">
        <v>251.0</v>
      </c>
      <c r="G2191" s="1">
        <v>260.0</v>
      </c>
      <c r="H2191" s="1" t="s">
        <v>28</v>
      </c>
      <c r="I2191" s="1" t="s">
        <v>22881</v>
      </c>
      <c r="J2191" s="1" t="s">
        <v>22882</v>
      </c>
      <c r="K2191" s="1"/>
      <c r="L2191" s="1" t="s">
        <v>26965</v>
      </c>
      <c r="M2191" s="1" t="s">
        <v>22884</v>
      </c>
      <c r="N2191" s="1" t="s">
        <v>22885</v>
      </c>
    </row>
    <row r="2192">
      <c r="A2192" s="1" t="s">
        <v>120</v>
      </c>
      <c r="B2192" s="1">
        <v>2011.0</v>
      </c>
      <c r="C2192" s="1" t="s">
        <v>22886</v>
      </c>
      <c r="D2192" s="1" t="s">
        <v>22887</v>
      </c>
      <c r="E2192" s="2" t="s">
        <v>26966</v>
      </c>
      <c r="F2192" s="1">
        <v>263.0</v>
      </c>
      <c r="G2192" s="1">
        <v>264.0</v>
      </c>
      <c r="H2192" s="1" t="s">
        <v>21</v>
      </c>
      <c r="I2192" s="1" t="s">
        <v>22888</v>
      </c>
      <c r="J2192" s="1" t="s">
        <v>22889</v>
      </c>
      <c r="K2192" s="1"/>
      <c r="L2192" s="1" t="s">
        <v>25331</v>
      </c>
    </row>
    <row r="2193">
      <c r="A2193" s="1" t="s">
        <v>120</v>
      </c>
      <c r="B2193" s="1">
        <v>2011.0</v>
      </c>
      <c r="C2193" s="1" t="s">
        <v>22892</v>
      </c>
      <c r="D2193" s="1" t="s">
        <v>22893</v>
      </c>
      <c r="E2193" s="2" t="s">
        <v>26967</v>
      </c>
      <c r="F2193" s="1">
        <v>265.0</v>
      </c>
      <c r="G2193" s="1">
        <v>266.0</v>
      </c>
      <c r="H2193" s="1" t="s">
        <v>21</v>
      </c>
      <c r="I2193" s="1" t="s">
        <v>26968</v>
      </c>
      <c r="J2193" s="1" t="s">
        <v>22898</v>
      </c>
      <c r="K2193" s="1"/>
      <c r="L2193" s="1" t="s">
        <v>26969</v>
      </c>
    </row>
    <row r="2194">
      <c r="A2194" s="1" t="s">
        <v>120</v>
      </c>
      <c r="B2194" s="1">
        <v>2011.0</v>
      </c>
      <c r="C2194" s="1" t="s">
        <v>22901</v>
      </c>
      <c r="D2194" s="1" t="s">
        <v>22903</v>
      </c>
      <c r="E2194" s="2" t="s">
        <v>26970</v>
      </c>
      <c r="F2194" s="1">
        <v>267.0</v>
      </c>
      <c r="G2194" s="1">
        <v>268.0</v>
      </c>
      <c r="H2194" s="1" t="s">
        <v>21</v>
      </c>
      <c r="I2194" s="1" t="s">
        <v>22905</v>
      </c>
      <c r="J2194" s="1" t="s">
        <v>22906</v>
      </c>
      <c r="K2194" s="1"/>
      <c r="L2194" s="1" t="s">
        <v>26971</v>
      </c>
    </row>
    <row r="2195">
      <c r="A2195" s="1" t="s">
        <v>120</v>
      </c>
      <c r="B2195" s="1">
        <v>2011.0</v>
      </c>
      <c r="C2195" s="1" t="s">
        <v>22909</v>
      </c>
      <c r="D2195" s="1" t="s">
        <v>22910</v>
      </c>
      <c r="E2195" s="2" t="s">
        <v>26972</v>
      </c>
      <c r="F2195" s="1">
        <v>269.0</v>
      </c>
      <c r="G2195" s="1">
        <v>270.0</v>
      </c>
      <c r="H2195" s="1" t="s">
        <v>21</v>
      </c>
      <c r="I2195" s="1" t="s">
        <v>22911</v>
      </c>
      <c r="J2195" s="1" t="s">
        <v>22912</v>
      </c>
      <c r="K2195" s="1"/>
      <c r="L2195" s="1" t="s">
        <v>178</v>
      </c>
    </row>
    <row r="2196">
      <c r="A2196" s="1" t="s">
        <v>120</v>
      </c>
      <c r="B2196" s="1">
        <v>2011.0</v>
      </c>
      <c r="C2196" s="1" t="s">
        <v>22913</v>
      </c>
      <c r="D2196" s="1" t="s">
        <v>22914</v>
      </c>
      <c r="E2196" s="2" t="s">
        <v>26973</v>
      </c>
      <c r="F2196" s="1">
        <v>271.0</v>
      </c>
      <c r="G2196" s="1">
        <v>272.0</v>
      </c>
      <c r="H2196" s="1" t="s">
        <v>21</v>
      </c>
      <c r="I2196" s="1" t="s">
        <v>22916</v>
      </c>
      <c r="J2196" s="1" t="s">
        <v>22917</v>
      </c>
      <c r="K2196" s="1"/>
      <c r="L2196" s="1" t="s">
        <v>26974</v>
      </c>
    </row>
    <row r="2197">
      <c r="A2197" s="1" t="s">
        <v>120</v>
      </c>
      <c r="B2197" s="1">
        <v>2011.0</v>
      </c>
      <c r="C2197" s="1" t="s">
        <v>22927</v>
      </c>
      <c r="D2197" s="1" t="s">
        <v>22928</v>
      </c>
      <c r="E2197" s="2" t="s">
        <v>26975</v>
      </c>
      <c r="F2197" s="1">
        <v>273.0</v>
      </c>
      <c r="G2197" s="1">
        <v>274.0</v>
      </c>
      <c r="H2197" s="1" t="s">
        <v>21</v>
      </c>
      <c r="I2197" s="1" t="s">
        <v>22930</v>
      </c>
      <c r="J2197" s="1" t="s">
        <v>22931</v>
      </c>
      <c r="K2197" s="1"/>
      <c r="L2197" s="1" t="s">
        <v>26976</v>
      </c>
    </row>
    <row r="2198">
      <c r="A2198" s="1" t="s">
        <v>120</v>
      </c>
      <c r="B2198" s="1">
        <v>2011.0</v>
      </c>
      <c r="C2198" s="1" t="s">
        <v>22933</v>
      </c>
      <c r="D2198" s="1" t="s">
        <v>22934</v>
      </c>
      <c r="E2198" s="2" t="s">
        <v>26977</v>
      </c>
      <c r="F2198" s="1">
        <v>275.0</v>
      </c>
      <c r="G2198" s="1">
        <v>276.0</v>
      </c>
      <c r="H2198" s="1" t="s">
        <v>21</v>
      </c>
      <c r="I2198" s="1" t="s">
        <v>22936</v>
      </c>
      <c r="J2198" s="1" t="s">
        <v>26978</v>
      </c>
      <c r="K2198" s="1"/>
      <c r="L2198" s="1" t="s">
        <v>26979</v>
      </c>
    </row>
    <row r="2199">
      <c r="A2199" s="1" t="s">
        <v>120</v>
      </c>
      <c r="B2199" s="1">
        <v>2011.0</v>
      </c>
      <c r="C2199" s="1" t="s">
        <v>22940</v>
      </c>
      <c r="D2199" s="1" t="s">
        <v>22941</v>
      </c>
      <c r="E2199" s="2" t="s">
        <v>26980</v>
      </c>
      <c r="F2199" s="1">
        <v>277.0</v>
      </c>
      <c r="G2199" s="1">
        <v>278.0</v>
      </c>
      <c r="H2199" s="1" t="s">
        <v>21</v>
      </c>
      <c r="I2199" s="1" t="s">
        <v>22942</v>
      </c>
      <c r="J2199" s="1" t="s">
        <v>26981</v>
      </c>
      <c r="K2199" s="1"/>
      <c r="L2199" s="1" t="s">
        <v>26982</v>
      </c>
    </row>
    <row r="2200">
      <c r="A2200" s="1" t="s">
        <v>120</v>
      </c>
      <c r="B2200" s="1">
        <v>2011.0</v>
      </c>
      <c r="C2200" s="1" t="s">
        <v>22946</v>
      </c>
      <c r="D2200" s="1" t="s">
        <v>22947</v>
      </c>
      <c r="E2200" s="2" t="s">
        <v>26983</v>
      </c>
      <c r="F2200" s="1">
        <v>279.0</v>
      </c>
      <c r="G2200" s="1">
        <v>280.0</v>
      </c>
      <c r="H2200" s="1" t="s">
        <v>21</v>
      </c>
      <c r="I2200" s="1" t="s">
        <v>22949</v>
      </c>
      <c r="J2200" s="1" t="s">
        <v>22951</v>
      </c>
      <c r="K2200" s="1"/>
      <c r="L2200" s="1" t="s">
        <v>26984</v>
      </c>
    </row>
    <row r="2201">
      <c r="A2201" s="1" t="s">
        <v>120</v>
      </c>
      <c r="B2201" s="1">
        <v>2011.0</v>
      </c>
      <c r="C2201" s="1" t="s">
        <v>22954</v>
      </c>
      <c r="D2201" s="1" t="s">
        <v>22955</v>
      </c>
      <c r="E2201" s="2" t="s">
        <v>26985</v>
      </c>
      <c r="F2201" s="1">
        <v>281.0</v>
      </c>
      <c r="G2201" s="1">
        <v>282.0</v>
      </c>
      <c r="H2201" s="1" t="s">
        <v>21</v>
      </c>
      <c r="I2201" s="1" t="s">
        <v>26986</v>
      </c>
      <c r="J2201" s="1" t="s">
        <v>22957</v>
      </c>
      <c r="K2201" s="1"/>
      <c r="L2201" s="1" t="s">
        <v>26987</v>
      </c>
    </row>
    <row r="2202">
      <c r="A2202" s="1" t="s">
        <v>120</v>
      </c>
      <c r="B2202" s="1">
        <v>2011.0</v>
      </c>
      <c r="C2202" s="1" t="s">
        <v>22959</v>
      </c>
      <c r="D2202" s="1" t="s">
        <v>22960</v>
      </c>
      <c r="E2202" s="2" t="s">
        <v>26988</v>
      </c>
      <c r="F2202" s="1">
        <v>283.0</v>
      </c>
      <c r="G2202" s="1">
        <v>284.0</v>
      </c>
      <c r="H2202" s="1" t="s">
        <v>21</v>
      </c>
      <c r="I2202" s="1" t="s">
        <v>22961</v>
      </c>
      <c r="J2202" s="1" t="s">
        <v>22962</v>
      </c>
      <c r="K2202" s="1"/>
      <c r="L2202" s="1" t="s">
        <v>26989</v>
      </c>
    </row>
    <row r="2203">
      <c r="A2203" s="1" t="s">
        <v>120</v>
      </c>
      <c r="B2203" s="1">
        <v>2011.0</v>
      </c>
      <c r="C2203" s="1" t="s">
        <v>22965</v>
      </c>
      <c r="D2203" s="1" t="s">
        <v>22966</v>
      </c>
      <c r="E2203" s="2" t="s">
        <v>22967</v>
      </c>
      <c r="F2203" s="1">
        <v>285.0</v>
      </c>
      <c r="G2203" s="1">
        <v>286.0</v>
      </c>
      <c r="H2203" s="1" t="s">
        <v>21</v>
      </c>
      <c r="I2203" s="1" t="s">
        <v>22970</v>
      </c>
      <c r="J2203" s="1" t="s">
        <v>22971</v>
      </c>
      <c r="K2203" s="1"/>
      <c r="L2203" s="1" t="s">
        <v>26990</v>
      </c>
    </row>
    <row r="2204">
      <c r="A2204" s="1" t="s">
        <v>120</v>
      </c>
      <c r="B2204" s="1">
        <v>2011.0</v>
      </c>
      <c r="C2204" s="1" t="s">
        <v>22973</v>
      </c>
      <c r="D2204" s="1" t="s">
        <v>22974</v>
      </c>
      <c r="E2204" s="2" t="s">
        <v>22975</v>
      </c>
      <c r="F2204" s="1">
        <v>287.0</v>
      </c>
      <c r="G2204" s="1">
        <v>288.0</v>
      </c>
      <c r="H2204" s="1" t="s">
        <v>21</v>
      </c>
      <c r="I2204" s="1" t="s">
        <v>22978</v>
      </c>
      <c r="J2204" s="1" t="s">
        <v>22979</v>
      </c>
      <c r="K2204" s="1"/>
      <c r="L2204" s="1" t="s">
        <v>880</v>
      </c>
    </row>
    <row r="2205">
      <c r="A2205" s="1" t="s">
        <v>120</v>
      </c>
      <c r="B2205" s="1">
        <v>2011.0</v>
      </c>
      <c r="C2205" s="1" t="s">
        <v>22982</v>
      </c>
      <c r="D2205" s="1" t="s">
        <v>22983</v>
      </c>
      <c r="E2205" s="2" t="s">
        <v>22984</v>
      </c>
      <c r="F2205" s="1">
        <v>289.0</v>
      </c>
      <c r="G2205" s="1">
        <v>290.0</v>
      </c>
      <c r="H2205" s="1" t="s">
        <v>21</v>
      </c>
      <c r="I2205" s="1" t="s">
        <v>22986</v>
      </c>
      <c r="J2205" s="1" t="s">
        <v>22987</v>
      </c>
      <c r="K2205" s="1"/>
      <c r="L2205" s="1" t="s">
        <v>26974</v>
      </c>
    </row>
    <row r="2206">
      <c r="A2206" s="1" t="s">
        <v>120</v>
      </c>
      <c r="B2206" s="1">
        <v>2011.0</v>
      </c>
      <c r="C2206" s="1" t="s">
        <v>22988</v>
      </c>
      <c r="D2206" s="1" t="s">
        <v>22989</v>
      </c>
      <c r="E2206" s="2" t="s">
        <v>22990</v>
      </c>
      <c r="F2206" s="1">
        <v>291.0</v>
      </c>
      <c r="G2206" s="1">
        <v>292.0</v>
      </c>
      <c r="H2206" s="1" t="s">
        <v>21</v>
      </c>
      <c r="I2206" s="1" t="s">
        <v>22993</v>
      </c>
      <c r="J2206" s="1" t="s">
        <v>22994</v>
      </c>
      <c r="K2206" s="1"/>
      <c r="L2206" s="1" t="s">
        <v>26991</v>
      </c>
    </row>
    <row r="2207">
      <c r="A2207" s="1" t="s">
        <v>120</v>
      </c>
      <c r="B2207" s="1">
        <v>2011.0</v>
      </c>
      <c r="C2207" s="1" t="s">
        <v>22997</v>
      </c>
      <c r="D2207" s="1" t="s">
        <v>22998</v>
      </c>
      <c r="E2207" s="2" t="s">
        <v>22999</v>
      </c>
      <c r="F2207" s="1">
        <v>293.0</v>
      </c>
      <c r="G2207" s="1">
        <v>294.0</v>
      </c>
      <c r="H2207" s="1" t="s">
        <v>21</v>
      </c>
      <c r="I2207" s="1" t="s">
        <v>23002</v>
      </c>
      <c r="J2207" s="1" t="s">
        <v>26992</v>
      </c>
      <c r="K2207" s="1"/>
      <c r="L2207" s="1" t="s">
        <v>26993</v>
      </c>
    </row>
    <row r="2208">
      <c r="A2208" s="1" t="s">
        <v>120</v>
      </c>
      <c r="B2208" s="1">
        <v>2011.0</v>
      </c>
      <c r="C2208" s="1" t="s">
        <v>23005</v>
      </c>
      <c r="D2208" s="1" t="s">
        <v>23006</v>
      </c>
      <c r="E2208" s="2" t="s">
        <v>23007</v>
      </c>
      <c r="F2208" s="1">
        <v>295.0</v>
      </c>
      <c r="G2208" s="1">
        <v>296.0</v>
      </c>
      <c r="H2208" s="1" t="s">
        <v>21</v>
      </c>
      <c r="I2208" s="1" t="s">
        <v>23009</v>
      </c>
      <c r="J2208" s="1" t="s">
        <v>23011</v>
      </c>
      <c r="K2208" s="1"/>
      <c r="L2208" s="1" t="s">
        <v>25675</v>
      </c>
    </row>
    <row r="2209">
      <c r="A2209" s="1" t="s">
        <v>120</v>
      </c>
      <c r="B2209" s="1">
        <v>2011.0</v>
      </c>
      <c r="C2209" s="1" t="s">
        <v>23012</v>
      </c>
      <c r="D2209" s="1" t="s">
        <v>23014</v>
      </c>
      <c r="E2209" s="2" t="s">
        <v>23015</v>
      </c>
      <c r="F2209" s="1">
        <v>297.0</v>
      </c>
      <c r="G2209" s="1">
        <v>298.0</v>
      </c>
      <c r="H2209" s="1" t="s">
        <v>21</v>
      </c>
      <c r="I2209" s="1" t="s">
        <v>23016</v>
      </c>
      <c r="J2209" s="1" t="s">
        <v>23017</v>
      </c>
      <c r="K2209" s="1"/>
      <c r="L2209" s="1" t="s">
        <v>26994</v>
      </c>
    </row>
    <row r="2210">
      <c r="A2210" s="1" t="s">
        <v>120</v>
      </c>
      <c r="B2210" s="1">
        <v>2011.0</v>
      </c>
      <c r="C2210" s="1" t="s">
        <v>23020</v>
      </c>
      <c r="D2210" s="1" t="s">
        <v>23022</v>
      </c>
      <c r="E2210" s="2" t="s">
        <v>23023</v>
      </c>
      <c r="F2210" s="1">
        <v>305.0</v>
      </c>
      <c r="G2210" s="1">
        <v>306.0</v>
      </c>
      <c r="H2210" s="1" t="s">
        <v>21</v>
      </c>
      <c r="I2210" s="1" t="s">
        <v>23025</v>
      </c>
      <c r="J2210" s="1" t="s">
        <v>26995</v>
      </c>
      <c r="K2210" s="1"/>
      <c r="L2210" s="1" t="s">
        <v>26996</v>
      </c>
    </row>
    <row r="2211">
      <c r="A2211" s="1" t="s">
        <v>120</v>
      </c>
      <c r="B2211" s="1">
        <v>2011.0</v>
      </c>
      <c r="C2211" s="1" t="s">
        <v>23029</v>
      </c>
      <c r="D2211" s="1" t="s">
        <v>23030</v>
      </c>
      <c r="E2211" s="2" t="s">
        <v>23031</v>
      </c>
      <c r="F2211" s="1">
        <v>307.0</v>
      </c>
      <c r="G2211" s="1">
        <v>308.0</v>
      </c>
      <c r="H2211" s="1" t="s">
        <v>21</v>
      </c>
      <c r="I2211" s="1" t="s">
        <v>23034</v>
      </c>
      <c r="J2211" s="1" t="s">
        <v>23035</v>
      </c>
      <c r="K2211" s="1"/>
      <c r="L2211" s="1" t="s">
        <v>178</v>
      </c>
    </row>
    <row r="2212">
      <c r="A2212" s="1" t="s">
        <v>120</v>
      </c>
      <c r="B2212" s="1">
        <v>2011.0</v>
      </c>
      <c r="C2212" s="1" t="s">
        <v>23037</v>
      </c>
      <c r="D2212" s="1" t="s">
        <v>23038</v>
      </c>
      <c r="E2212" s="2" t="s">
        <v>23039</v>
      </c>
      <c r="F2212" s="1">
        <v>309.0</v>
      </c>
      <c r="G2212" s="1">
        <v>310.0</v>
      </c>
      <c r="H2212" s="1" t="s">
        <v>21</v>
      </c>
      <c r="I2212" s="1" t="s">
        <v>23040</v>
      </c>
      <c r="J2212" s="1" t="s">
        <v>26997</v>
      </c>
      <c r="K2212" s="1"/>
      <c r="L2212" s="1" t="s">
        <v>26998</v>
      </c>
    </row>
    <row r="2213">
      <c r="A2213" s="1" t="s">
        <v>120</v>
      </c>
      <c r="B2213" s="1">
        <v>2011.0</v>
      </c>
      <c r="C2213" s="1" t="s">
        <v>23045</v>
      </c>
      <c r="D2213" s="1" t="s">
        <v>23046</v>
      </c>
      <c r="E2213" s="2" t="s">
        <v>23047</v>
      </c>
      <c r="F2213" s="1">
        <v>311.0</v>
      </c>
      <c r="G2213" s="1">
        <v>312.0</v>
      </c>
      <c r="H2213" s="1" t="s">
        <v>21</v>
      </c>
      <c r="I2213" s="1" t="s">
        <v>23049</v>
      </c>
      <c r="J2213" s="1" t="s">
        <v>23050</v>
      </c>
      <c r="K2213" s="1"/>
      <c r="L2213" s="1" t="s">
        <v>26999</v>
      </c>
    </row>
    <row r="2214">
      <c r="A2214" s="1" t="s">
        <v>120</v>
      </c>
      <c r="B2214" s="1">
        <v>2011.0</v>
      </c>
      <c r="C2214" s="1" t="s">
        <v>23053</v>
      </c>
      <c r="D2214" s="1" t="s">
        <v>23054</v>
      </c>
      <c r="E2214" s="2" t="s">
        <v>23055</v>
      </c>
      <c r="F2214" s="1">
        <v>313.0</v>
      </c>
      <c r="G2214" s="1">
        <v>314.0</v>
      </c>
      <c r="H2214" s="1" t="s">
        <v>21</v>
      </c>
      <c r="I2214" s="1" t="s">
        <v>23058</v>
      </c>
      <c r="J2214" s="1" t="s">
        <v>23059</v>
      </c>
      <c r="K2214" s="1"/>
      <c r="L2214" s="1" t="s">
        <v>27000</v>
      </c>
    </row>
    <row r="2215">
      <c r="A2215" s="1" t="s">
        <v>120</v>
      </c>
      <c r="B2215" s="1">
        <v>2011.0</v>
      </c>
      <c r="C2215" s="1" t="s">
        <v>23062</v>
      </c>
      <c r="D2215" s="1" t="s">
        <v>23063</v>
      </c>
      <c r="E2215" s="2" t="s">
        <v>23064</v>
      </c>
      <c r="F2215" s="1">
        <v>315.0</v>
      </c>
      <c r="G2215" s="1">
        <v>316.0</v>
      </c>
      <c r="H2215" s="1" t="s">
        <v>21</v>
      </c>
      <c r="I2215" s="1" t="s">
        <v>27001</v>
      </c>
      <c r="J2215" s="1" t="s">
        <v>23069</v>
      </c>
      <c r="K2215" s="1"/>
      <c r="L2215" s="1" t="s">
        <v>26533</v>
      </c>
    </row>
    <row r="2216">
      <c r="A2216" s="1" t="s">
        <v>120</v>
      </c>
      <c r="B2216" s="1">
        <v>2011.0</v>
      </c>
      <c r="C2216" s="1" t="s">
        <v>23071</v>
      </c>
      <c r="D2216" s="1" t="s">
        <v>23072</v>
      </c>
      <c r="E2216" s="2" t="s">
        <v>23073</v>
      </c>
      <c r="F2216" s="1">
        <v>317.0</v>
      </c>
      <c r="G2216" s="1">
        <v>318.0</v>
      </c>
      <c r="H2216" s="1" t="s">
        <v>21</v>
      </c>
      <c r="I2216" s="1" t="s">
        <v>23074</v>
      </c>
      <c r="J2216" s="1" t="s">
        <v>22951</v>
      </c>
      <c r="K2216" s="1"/>
      <c r="L2216" s="1" t="s">
        <v>26984</v>
      </c>
    </row>
    <row r="2217">
      <c r="A2217" s="1" t="s">
        <v>120</v>
      </c>
      <c r="B2217" s="1">
        <v>2011.0</v>
      </c>
      <c r="C2217" s="1" t="s">
        <v>23075</v>
      </c>
      <c r="D2217" s="1" t="s">
        <v>23076</v>
      </c>
      <c r="E2217" s="2" t="s">
        <v>23078</v>
      </c>
      <c r="F2217" s="1">
        <v>319.0</v>
      </c>
      <c r="G2217" s="1">
        <v>321.0</v>
      </c>
      <c r="H2217" s="1" t="s">
        <v>21</v>
      </c>
      <c r="I2217" s="1" t="s">
        <v>23079</v>
      </c>
      <c r="J2217" s="1" t="s">
        <v>23080</v>
      </c>
      <c r="K2217" s="1"/>
      <c r="L2217" s="1" t="s">
        <v>27002</v>
      </c>
    </row>
    <row r="2218">
      <c r="A2218" s="1" t="s">
        <v>120</v>
      </c>
      <c r="B2218" s="1">
        <v>2011.0</v>
      </c>
      <c r="C2218" s="1" t="s">
        <v>23082</v>
      </c>
      <c r="D2218" s="1" t="s">
        <v>23083</v>
      </c>
      <c r="E2218" s="2" t="s">
        <v>23084</v>
      </c>
      <c r="F2218" s="1">
        <v>323.0</v>
      </c>
      <c r="G2218" s="1">
        <v>324.0</v>
      </c>
      <c r="H2218" s="1" t="s">
        <v>21</v>
      </c>
      <c r="I2218" s="1" t="s">
        <v>23088</v>
      </c>
      <c r="J2218" s="1" t="s">
        <v>23089</v>
      </c>
      <c r="K2218" s="1"/>
      <c r="L2218" s="1" t="s">
        <v>880</v>
      </c>
    </row>
    <row r="2219">
      <c r="A2219" s="1" t="s">
        <v>120</v>
      </c>
      <c r="B2219" s="1">
        <v>2011.0</v>
      </c>
      <c r="C2219" s="1" t="s">
        <v>23091</v>
      </c>
      <c r="D2219" s="1" t="s">
        <v>23092</v>
      </c>
      <c r="E2219" s="2" t="s">
        <v>23093</v>
      </c>
      <c r="F2219" s="1">
        <v>325.0</v>
      </c>
      <c r="G2219" s="1">
        <v>326.0</v>
      </c>
      <c r="H2219" s="1" t="s">
        <v>21</v>
      </c>
      <c r="I2219" s="1" t="s">
        <v>23096</v>
      </c>
      <c r="J2219" s="1" t="s">
        <v>27003</v>
      </c>
      <c r="K2219" s="1"/>
      <c r="L2219" s="1" t="s">
        <v>27004</v>
      </c>
    </row>
    <row r="2220">
      <c r="A2220" s="1" t="s">
        <v>120</v>
      </c>
      <c r="B2220" s="1">
        <v>2011.0</v>
      </c>
      <c r="C2220" s="1" t="s">
        <v>23101</v>
      </c>
      <c r="D2220" s="1" t="s">
        <v>23102</v>
      </c>
      <c r="E2220" s="2" t="s">
        <v>23103</v>
      </c>
      <c r="F2220" s="1">
        <v>327.0</v>
      </c>
      <c r="G2220" s="1">
        <v>328.0</v>
      </c>
      <c r="H2220" s="1" t="s">
        <v>21</v>
      </c>
      <c r="I2220" s="1" t="s">
        <v>23104</v>
      </c>
      <c r="J2220" s="1" t="s">
        <v>23106</v>
      </c>
      <c r="K2220" s="1"/>
      <c r="L2220" s="1" t="s">
        <v>178</v>
      </c>
    </row>
    <row r="2221">
      <c r="A2221" s="1" t="s">
        <v>120</v>
      </c>
      <c r="B2221" s="1">
        <v>2011.0</v>
      </c>
      <c r="C2221" s="1" t="s">
        <v>23109</v>
      </c>
      <c r="D2221" s="1" t="s">
        <v>23110</v>
      </c>
      <c r="E2221" s="2" t="s">
        <v>23111</v>
      </c>
      <c r="F2221" s="1">
        <v>329.0</v>
      </c>
      <c r="G2221" s="1">
        <v>330.0</v>
      </c>
      <c r="H2221" s="1" t="s">
        <v>21</v>
      </c>
      <c r="I2221" s="1" t="s">
        <v>23112</v>
      </c>
      <c r="J2221" s="1" t="s">
        <v>27005</v>
      </c>
      <c r="K2221" s="1"/>
      <c r="L2221" s="1" t="s">
        <v>27006</v>
      </c>
    </row>
    <row r="2222">
      <c r="A2222" s="1" t="s">
        <v>4153</v>
      </c>
      <c r="B2222" s="1">
        <v>2012.0</v>
      </c>
      <c r="C2222" s="1" t="s">
        <v>23969</v>
      </c>
      <c r="D2222" s="1" t="s">
        <v>23970</v>
      </c>
      <c r="E2222" s="2" t="s">
        <v>27007</v>
      </c>
      <c r="F2222" s="1">
        <v>2122.0</v>
      </c>
      <c r="G2222" s="1">
        <v>2129.0</v>
      </c>
      <c r="H2222" s="1" t="s">
        <v>17059</v>
      </c>
      <c r="I2222" s="1" t="s">
        <v>23971</v>
      </c>
      <c r="J2222" s="1" t="s">
        <v>23972</v>
      </c>
      <c r="K2222" s="1"/>
      <c r="L2222" s="1" t="s">
        <v>880</v>
      </c>
      <c r="M2222" s="1" t="s">
        <v>23975</v>
      </c>
      <c r="N2222" s="1" t="s">
        <v>23976</v>
      </c>
    </row>
    <row r="2223">
      <c r="A2223" s="1" t="s">
        <v>4153</v>
      </c>
      <c r="B2223" s="1">
        <v>2012.0</v>
      </c>
      <c r="C2223" s="1" t="s">
        <v>23977</v>
      </c>
      <c r="D2223" s="1" t="s">
        <v>23978</v>
      </c>
      <c r="E2223" s="2" t="s">
        <v>27008</v>
      </c>
      <c r="F2223" s="1">
        <v>2078.0</v>
      </c>
      <c r="G2223" s="1">
        <v>2087.0</v>
      </c>
      <c r="H2223" s="1" t="s">
        <v>17059</v>
      </c>
      <c r="I2223" s="1" t="s">
        <v>23979</v>
      </c>
      <c r="J2223" s="1" t="s">
        <v>27009</v>
      </c>
      <c r="K2223" s="1"/>
      <c r="L2223" s="1" t="s">
        <v>494</v>
      </c>
      <c r="M2223" s="1" t="s">
        <v>23983</v>
      </c>
      <c r="N2223" s="1" t="s">
        <v>23984</v>
      </c>
    </row>
    <row r="2224">
      <c r="A2224" s="1" t="s">
        <v>4153</v>
      </c>
      <c r="B2224" s="1">
        <v>2012.0</v>
      </c>
      <c r="C2224" s="1" t="s">
        <v>23985</v>
      </c>
      <c r="D2224" s="1" t="s">
        <v>23986</v>
      </c>
      <c r="E2224" s="2" t="s">
        <v>27010</v>
      </c>
      <c r="F2224" s="1">
        <v>2265.0</v>
      </c>
      <c r="G2224" s="1">
        <v>2274.0</v>
      </c>
      <c r="H2224" s="1" t="s">
        <v>17059</v>
      </c>
      <c r="I2224" s="1" t="s">
        <v>23987</v>
      </c>
      <c r="J2224" s="1" t="s">
        <v>27011</v>
      </c>
      <c r="K2224" s="1"/>
      <c r="L2224" s="1" t="s">
        <v>27012</v>
      </c>
      <c r="M2224" s="1" t="s">
        <v>23127</v>
      </c>
      <c r="N2224" s="1" t="s">
        <v>23991</v>
      </c>
    </row>
    <row r="2225">
      <c r="A2225" s="1" t="s">
        <v>2137</v>
      </c>
      <c r="B2225" s="1">
        <v>2012.0</v>
      </c>
      <c r="C2225" s="1" t="s">
        <v>23546</v>
      </c>
      <c r="D2225" s="1" t="s">
        <v>23547</v>
      </c>
      <c r="E2225" s="2" t="s">
        <v>27013</v>
      </c>
      <c r="F2225" s="1">
        <v>2449.0</v>
      </c>
      <c r="G2225" s="1">
        <v>2456.0</v>
      </c>
      <c r="H2225" s="1" t="s">
        <v>17059</v>
      </c>
      <c r="I2225" s="1" t="s">
        <v>23548</v>
      </c>
      <c r="J2225" s="1" t="s">
        <v>23549</v>
      </c>
      <c r="K2225" s="1"/>
      <c r="L2225" s="1" t="s">
        <v>27014</v>
      </c>
      <c r="M2225" s="1" t="s">
        <v>23552</v>
      </c>
      <c r="N2225" s="1" t="s">
        <v>23553</v>
      </c>
    </row>
    <row r="2226">
      <c r="A2226" s="1" t="s">
        <v>4153</v>
      </c>
      <c r="B2226" s="1">
        <v>2012.0</v>
      </c>
      <c r="C2226" s="1" t="s">
        <v>23992</v>
      </c>
      <c r="D2226" s="1" t="s">
        <v>23993</v>
      </c>
      <c r="E2226" s="2" t="s">
        <v>27015</v>
      </c>
      <c r="F2226" s="1">
        <v>2216.0</v>
      </c>
      <c r="G2226" s="1">
        <v>2225.0</v>
      </c>
      <c r="H2226" s="1" t="s">
        <v>17059</v>
      </c>
      <c r="I2226" s="1" t="s">
        <v>23994</v>
      </c>
      <c r="J2226" s="1" t="s">
        <v>23995</v>
      </c>
      <c r="K2226" s="1"/>
      <c r="L2226" s="1" t="s">
        <v>27016</v>
      </c>
      <c r="M2226" s="1" t="s">
        <v>23997</v>
      </c>
      <c r="N2226" s="1" t="s">
        <v>23998</v>
      </c>
    </row>
    <row r="2227">
      <c r="A2227" s="1" t="s">
        <v>120</v>
      </c>
      <c r="B2227" s="1">
        <v>2012.0</v>
      </c>
      <c r="C2227" s="1" t="s">
        <v>24291</v>
      </c>
      <c r="D2227" s="1" t="s">
        <v>24292</v>
      </c>
      <c r="E2227" s="2" t="s">
        <v>27017</v>
      </c>
      <c r="F2227" s="1">
        <v>2899.0</v>
      </c>
      <c r="G2227" s="1">
        <v>2907.0</v>
      </c>
      <c r="H2227" s="1" t="s">
        <v>17059</v>
      </c>
      <c r="I2227" s="1" t="s">
        <v>24293</v>
      </c>
      <c r="J2227" s="1" t="s">
        <v>27018</v>
      </c>
      <c r="K2227" s="1"/>
      <c r="L2227" s="1" t="s">
        <v>27019</v>
      </c>
      <c r="M2227" s="1" t="s">
        <v>24296</v>
      </c>
      <c r="N2227" s="1" t="s">
        <v>24297</v>
      </c>
    </row>
    <row r="2228">
      <c r="A2228" s="1" t="s">
        <v>2137</v>
      </c>
      <c r="B2228" s="1">
        <v>2012.0</v>
      </c>
      <c r="C2228" s="1" t="s">
        <v>23555</v>
      </c>
      <c r="D2228" s="1" t="s">
        <v>23556</v>
      </c>
      <c r="E2228" s="2" t="s">
        <v>27020</v>
      </c>
      <c r="F2228" s="1">
        <v>2575.0</v>
      </c>
      <c r="G2228" s="1">
        <v>2582.0</v>
      </c>
      <c r="H2228" s="1" t="s">
        <v>17059</v>
      </c>
      <c r="I2228" s="1" t="s">
        <v>23558</v>
      </c>
      <c r="J2228" s="1" t="s">
        <v>23559</v>
      </c>
      <c r="K2228" s="1"/>
      <c r="L2228" s="1" t="s">
        <v>27021</v>
      </c>
      <c r="M2228" s="1" t="s">
        <v>23561</v>
      </c>
      <c r="N2228" s="1" t="s">
        <v>23562</v>
      </c>
    </row>
    <row r="2229">
      <c r="A2229" s="1" t="s">
        <v>2137</v>
      </c>
      <c r="B2229" s="1">
        <v>2012.0</v>
      </c>
      <c r="C2229" s="1" t="s">
        <v>23563</v>
      </c>
      <c r="D2229" s="1" t="s">
        <v>23564</v>
      </c>
      <c r="E2229" s="2" t="s">
        <v>27022</v>
      </c>
      <c r="F2229" s="1">
        <v>2583.0</v>
      </c>
      <c r="G2229" s="1">
        <v>2592.0</v>
      </c>
      <c r="H2229" s="1" t="s">
        <v>17059</v>
      </c>
      <c r="I2229" s="1" t="s">
        <v>23565</v>
      </c>
      <c r="J2229" s="1" t="s">
        <v>27023</v>
      </c>
      <c r="K2229" s="1"/>
      <c r="L2229" s="1" t="s">
        <v>27024</v>
      </c>
      <c r="M2229" s="1" t="s">
        <v>23569</v>
      </c>
      <c r="N2229" s="1" t="s">
        <v>23570</v>
      </c>
    </row>
    <row r="2230">
      <c r="A2230" s="1" t="s">
        <v>4153</v>
      </c>
      <c r="B2230" s="1">
        <v>2012.0</v>
      </c>
      <c r="C2230" s="1" t="s">
        <v>23999</v>
      </c>
      <c r="D2230" s="1" t="s">
        <v>24000</v>
      </c>
      <c r="E2230" s="2" t="s">
        <v>27025</v>
      </c>
      <c r="F2230" s="1">
        <v>2295.0</v>
      </c>
      <c r="G2230" s="1">
        <v>2304.0</v>
      </c>
      <c r="H2230" s="1" t="s">
        <v>17059</v>
      </c>
      <c r="I2230" s="1" t="s">
        <v>24001</v>
      </c>
      <c r="J2230" s="1" t="s">
        <v>18591</v>
      </c>
      <c r="K2230" s="1"/>
      <c r="L2230" s="1" t="s">
        <v>27026</v>
      </c>
      <c r="M2230" s="1" t="s">
        <v>24002</v>
      </c>
      <c r="N2230" s="1" t="s">
        <v>24003</v>
      </c>
    </row>
    <row r="2231">
      <c r="A2231" s="1" t="s">
        <v>120</v>
      </c>
      <c r="B2231" s="1">
        <v>2012.0</v>
      </c>
      <c r="C2231" s="1" t="s">
        <v>24298</v>
      </c>
      <c r="D2231" s="1" t="s">
        <v>24299</v>
      </c>
      <c r="E2231" s="2" t="s">
        <v>27027</v>
      </c>
      <c r="F2231" s="1">
        <v>2859.0</v>
      </c>
      <c r="G2231" s="1">
        <v>2868.0</v>
      </c>
      <c r="H2231" s="1" t="s">
        <v>17059</v>
      </c>
      <c r="I2231" s="1" t="s">
        <v>27028</v>
      </c>
      <c r="J2231" s="1" t="s">
        <v>24301</v>
      </c>
      <c r="K2231" s="1"/>
      <c r="L2231" s="1" t="s">
        <v>178</v>
      </c>
      <c r="M2231" s="1" t="s">
        <v>24304</v>
      </c>
      <c r="N2231" s="1" t="s">
        <v>24305</v>
      </c>
    </row>
    <row r="2232">
      <c r="A2232" s="1" t="s">
        <v>2137</v>
      </c>
      <c r="B2232" s="1">
        <v>2012.0</v>
      </c>
      <c r="C2232" s="1" t="s">
        <v>23571</v>
      </c>
      <c r="D2232" s="1" t="s">
        <v>23572</v>
      </c>
      <c r="E2232" s="2" t="s">
        <v>27029</v>
      </c>
      <c r="F2232" s="1">
        <v>2613.0</v>
      </c>
      <c r="G2232" s="1">
        <v>2620.0</v>
      </c>
      <c r="H2232" s="1" t="s">
        <v>17059</v>
      </c>
      <c r="I2232" s="1" t="s">
        <v>27030</v>
      </c>
      <c r="J2232" s="1" t="s">
        <v>22388</v>
      </c>
      <c r="K2232" s="1"/>
      <c r="L2232" s="1" t="s">
        <v>494</v>
      </c>
      <c r="M2232" s="1" t="s">
        <v>23575</v>
      </c>
      <c r="N2232" s="1" t="s">
        <v>23576</v>
      </c>
    </row>
    <row r="2233">
      <c r="A2233" s="1" t="s">
        <v>2137</v>
      </c>
      <c r="B2233" s="1">
        <v>2012.0</v>
      </c>
      <c r="C2233" s="1" t="s">
        <v>23578</v>
      </c>
      <c r="D2233" s="1" t="s">
        <v>23579</v>
      </c>
      <c r="E2233" s="2" t="s">
        <v>27031</v>
      </c>
      <c r="F2233" s="1">
        <v>2759.0</v>
      </c>
      <c r="G2233" s="1">
        <v>2768.0</v>
      </c>
      <c r="H2233" s="1" t="s">
        <v>17059</v>
      </c>
      <c r="I2233" s="1" t="s">
        <v>27032</v>
      </c>
      <c r="J2233" s="1" t="s">
        <v>23581</v>
      </c>
      <c r="K2233" s="1"/>
      <c r="L2233" s="1" t="s">
        <v>27033</v>
      </c>
      <c r="M2233" s="1" t="s">
        <v>23584</v>
      </c>
      <c r="N2233" s="1" t="s">
        <v>23585</v>
      </c>
    </row>
    <row r="2234">
      <c r="A2234" s="1" t="s">
        <v>4153</v>
      </c>
      <c r="B2234" s="1">
        <v>2012.0</v>
      </c>
      <c r="C2234" s="1" t="s">
        <v>24004</v>
      </c>
      <c r="D2234" s="1" t="s">
        <v>24005</v>
      </c>
      <c r="E2234" s="2" t="s">
        <v>27034</v>
      </c>
      <c r="F2234" s="1">
        <v>2140.0</v>
      </c>
      <c r="G2234" s="1">
        <v>2148.0</v>
      </c>
      <c r="H2234" s="1" t="s">
        <v>17059</v>
      </c>
      <c r="I2234" s="1" t="s">
        <v>24006</v>
      </c>
      <c r="J2234" s="1" t="s">
        <v>24007</v>
      </c>
      <c r="K2234" s="1"/>
      <c r="L2234" s="1" t="s">
        <v>27035</v>
      </c>
      <c r="M2234" s="1" t="s">
        <v>5162</v>
      </c>
      <c r="N2234" s="1" t="s">
        <v>24009</v>
      </c>
    </row>
    <row r="2235">
      <c r="A2235" s="1" t="s">
        <v>2137</v>
      </c>
      <c r="B2235" s="1">
        <v>2012.0</v>
      </c>
      <c r="C2235" s="1" t="s">
        <v>23586</v>
      </c>
      <c r="D2235" s="1" t="s">
        <v>23587</v>
      </c>
      <c r="E2235" s="2" t="s">
        <v>27036</v>
      </c>
      <c r="F2235" s="1">
        <v>2536.0</v>
      </c>
      <c r="G2235" s="1">
        <v>2545.0</v>
      </c>
      <c r="H2235" s="1" t="s">
        <v>17059</v>
      </c>
      <c r="I2235" s="1" t="s">
        <v>23588</v>
      </c>
      <c r="J2235" s="1" t="s">
        <v>23589</v>
      </c>
      <c r="K2235" s="1"/>
      <c r="L2235" s="1" t="s">
        <v>27037</v>
      </c>
      <c r="M2235" s="1" t="s">
        <v>23591</v>
      </c>
      <c r="N2235" s="1" t="s">
        <v>23592</v>
      </c>
      <c r="P2235" s="1"/>
      <c r="Q2235" s="1" t="s">
        <v>19037</v>
      </c>
    </row>
    <row r="2236">
      <c r="A2236" s="1" t="s">
        <v>4153</v>
      </c>
      <c r="B2236" s="1">
        <v>2012.0</v>
      </c>
      <c r="C2236" s="1" t="s">
        <v>24010</v>
      </c>
      <c r="D2236" s="1" t="s">
        <v>24011</v>
      </c>
      <c r="E2236" s="2" t="s">
        <v>27038</v>
      </c>
      <c r="F2236" s="1">
        <v>2041.0</v>
      </c>
      <c r="G2236" s="1">
        <v>2050.0</v>
      </c>
      <c r="H2236" s="1" t="s">
        <v>17059</v>
      </c>
      <c r="I2236" s="1" t="s">
        <v>27039</v>
      </c>
      <c r="J2236" s="1" t="s">
        <v>24013</v>
      </c>
      <c r="K2236" s="1"/>
      <c r="L2236" s="1" t="s">
        <v>27040</v>
      </c>
      <c r="M2236" s="1" t="s">
        <v>24016</v>
      </c>
      <c r="N2236" s="1" t="s">
        <v>24017</v>
      </c>
    </row>
    <row r="2237">
      <c r="A2237" s="1" t="s">
        <v>4153</v>
      </c>
      <c r="B2237" s="1">
        <v>2012.0</v>
      </c>
      <c r="C2237" s="1" t="s">
        <v>24018</v>
      </c>
      <c r="D2237" s="1" t="s">
        <v>24019</v>
      </c>
      <c r="E2237" s="2" t="s">
        <v>27041</v>
      </c>
      <c r="F2237" s="1">
        <v>2178.0</v>
      </c>
      <c r="G2237" s="1">
        <v>2187.0</v>
      </c>
      <c r="H2237" s="1" t="s">
        <v>17059</v>
      </c>
      <c r="I2237" s="1" t="s">
        <v>24020</v>
      </c>
      <c r="J2237" s="1" t="s">
        <v>27047</v>
      </c>
      <c r="K2237" s="1"/>
      <c r="L2237" s="1" t="s">
        <v>27050</v>
      </c>
      <c r="M2237" s="1" t="s">
        <v>24023</v>
      </c>
      <c r="N2237" s="1" t="s">
        <v>24024</v>
      </c>
    </row>
    <row r="2238">
      <c r="A2238" s="1" t="s">
        <v>4153</v>
      </c>
      <c r="B2238" s="1">
        <v>2012.0</v>
      </c>
      <c r="C2238" s="1" t="s">
        <v>24025</v>
      </c>
      <c r="D2238" s="1" t="s">
        <v>24026</v>
      </c>
      <c r="E2238" s="2" t="s">
        <v>27052</v>
      </c>
      <c r="F2238" s="1">
        <v>2345.0</v>
      </c>
      <c r="G2238" s="1">
        <v>2354.0</v>
      </c>
      <c r="H2238" s="1" t="s">
        <v>17059</v>
      </c>
      <c r="I2238" s="1" t="s">
        <v>24027</v>
      </c>
      <c r="J2238" s="1" t="s">
        <v>27059</v>
      </c>
      <c r="K2238" s="1"/>
      <c r="L2238" s="1" t="s">
        <v>27060</v>
      </c>
      <c r="M2238" s="1" t="s">
        <v>24030</v>
      </c>
      <c r="N2238" s="1" t="s">
        <v>24031</v>
      </c>
    </row>
    <row r="2239">
      <c r="A2239" s="1" t="s">
        <v>2137</v>
      </c>
      <c r="B2239" s="1">
        <v>2012.0</v>
      </c>
      <c r="C2239" s="1" t="s">
        <v>23593</v>
      </c>
      <c r="D2239" s="1" t="s">
        <v>23594</v>
      </c>
      <c r="E2239" s="2" t="s">
        <v>27064</v>
      </c>
      <c r="F2239" s="1">
        <v>2689.0</v>
      </c>
      <c r="G2239" s="1">
        <v>2698.0</v>
      </c>
      <c r="H2239" s="1" t="s">
        <v>17059</v>
      </c>
      <c r="I2239" s="1" t="s">
        <v>27073</v>
      </c>
      <c r="J2239" s="1" t="s">
        <v>23597</v>
      </c>
      <c r="K2239" s="1"/>
      <c r="L2239" s="1" t="s">
        <v>5349</v>
      </c>
      <c r="M2239" s="1" t="s">
        <v>23599</v>
      </c>
      <c r="N2239" s="1" t="s">
        <v>23600</v>
      </c>
    </row>
    <row r="2240">
      <c r="A2240" s="1" t="s">
        <v>2137</v>
      </c>
      <c r="B2240" s="1">
        <v>2012.0</v>
      </c>
      <c r="C2240" s="1" t="s">
        <v>23601</v>
      </c>
      <c r="D2240" s="1" t="s">
        <v>23602</v>
      </c>
      <c r="E2240" s="2" t="s">
        <v>27074</v>
      </c>
      <c r="F2240" s="1">
        <v>2593.0</v>
      </c>
      <c r="G2240" s="1">
        <v>2602.0</v>
      </c>
      <c r="H2240" s="1" t="s">
        <v>17059</v>
      </c>
      <c r="I2240" s="1" t="s">
        <v>23603</v>
      </c>
      <c r="J2240" s="1" t="s">
        <v>23604</v>
      </c>
      <c r="K2240" s="1"/>
      <c r="L2240" s="1" t="s">
        <v>178</v>
      </c>
      <c r="M2240" s="1" t="s">
        <v>23606</v>
      </c>
      <c r="N2240" s="1" t="s">
        <v>23607</v>
      </c>
    </row>
    <row r="2241">
      <c r="A2241" s="1" t="s">
        <v>4153</v>
      </c>
      <c r="B2241" s="1">
        <v>2012.0</v>
      </c>
      <c r="C2241" s="1" t="s">
        <v>24032</v>
      </c>
      <c r="D2241" s="1" t="s">
        <v>24033</v>
      </c>
      <c r="E2241" s="2" t="s">
        <v>27083</v>
      </c>
      <c r="F2241" s="1">
        <v>2315.0</v>
      </c>
      <c r="G2241" s="1">
        <v>2324.0</v>
      </c>
      <c r="H2241" s="1" t="s">
        <v>17059</v>
      </c>
      <c r="I2241" s="1" t="s">
        <v>24034</v>
      </c>
      <c r="J2241" s="1" t="s">
        <v>27098</v>
      </c>
      <c r="K2241" s="1"/>
      <c r="L2241" s="1" t="s">
        <v>27099</v>
      </c>
      <c r="M2241" s="1" t="s">
        <v>24037</v>
      </c>
      <c r="N2241" s="1" t="s">
        <v>24038</v>
      </c>
    </row>
    <row r="2242">
      <c r="A2242" s="1" t="s">
        <v>2137</v>
      </c>
      <c r="B2242" s="1">
        <v>2012.0</v>
      </c>
      <c r="C2242" s="1" t="s">
        <v>23608</v>
      </c>
      <c r="D2242" s="1" t="s">
        <v>23609</v>
      </c>
      <c r="E2242" s="2" t="s">
        <v>27103</v>
      </c>
      <c r="F2242" s="1">
        <v>2506.0</v>
      </c>
      <c r="G2242" s="1">
        <v>2515.0</v>
      </c>
      <c r="H2242" s="1" t="s">
        <v>17059</v>
      </c>
      <c r="I2242" s="1" t="s">
        <v>27117</v>
      </c>
      <c r="J2242" s="1" t="s">
        <v>23611</v>
      </c>
      <c r="K2242" s="1"/>
      <c r="L2242" s="1" t="s">
        <v>27120</v>
      </c>
      <c r="M2242" s="1" t="s">
        <v>23614</v>
      </c>
      <c r="N2242" s="1" t="s">
        <v>23616</v>
      </c>
    </row>
    <row r="2243">
      <c r="A2243" s="1" t="s">
        <v>2137</v>
      </c>
      <c r="B2243" s="1">
        <v>2012.0</v>
      </c>
      <c r="C2243" s="1" t="s">
        <v>23617</v>
      </c>
      <c r="D2243" s="1" t="s">
        <v>23618</v>
      </c>
      <c r="E2243" s="2" t="s">
        <v>27122</v>
      </c>
      <c r="F2243" s="1">
        <v>2457.0</v>
      </c>
      <c r="G2243" s="1">
        <v>2466.0</v>
      </c>
      <c r="H2243" s="1" t="s">
        <v>17059</v>
      </c>
      <c r="I2243" s="1" t="s">
        <v>23620</v>
      </c>
      <c r="J2243" s="1" t="s">
        <v>23621</v>
      </c>
      <c r="K2243" s="1"/>
      <c r="L2243" s="1" t="s">
        <v>494</v>
      </c>
      <c r="M2243" s="1" t="s">
        <v>23623</v>
      </c>
      <c r="N2243" s="1" t="s">
        <v>23624</v>
      </c>
    </row>
    <row r="2244">
      <c r="A2244" s="1" t="s">
        <v>4153</v>
      </c>
      <c r="B2244" s="1">
        <v>2012.0</v>
      </c>
      <c r="C2244" s="1" t="s">
        <v>24039</v>
      </c>
      <c r="D2244" s="1" t="s">
        <v>24040</v>
      </c>
      <c r="E2244" s="2" t="s">
        <v>27134</v>
      </c>
      <c r="F2244" s="1">
        <v>2014.0</v>
      </c>
      <c r="G2244" s="1">
        <v>2022.0</v>
      </c>
      <c r="H2244" s="1" t="s">
        <v>17059</v>
      </c>
      <c r="I2244" s="1" t="s">
        <v>24041</v>
      </c>
      <c r="J2244" s="1" t="s">
        <v>24042</v>
      </c>
      <c r="K2244" s="1"/>
      <c r="L2244" s="1" t="s">
        <v>27145</v>
      </c>
      <c r="M2244" s="1" t="s">
        <v>24044</v>
      </c>
      <c r="N2244" s="1" t="s">
        <v>24045</v>
      </c>
    </row>
    <row r="2245">
      <c r="A2245" s="1" t="s">
        <v>4153</v>
      </c>
      <c r="B2245" s="1">
        <v>2012.0</v>
      </c>
      <c r="C2245" s="1" t="s">
        <v>24046</v>
      </c>
      <c r="D2245" s="1" t="s">
        <v>24048</v>
      </c>
      <c r="E2245" s="2" t="s">
        <v>27146</v>
      </c>
      <c r="F2245" s="1">
        <v>2069.0</v>
      </c>
      <c r="G2245" s="1">
        <v>2077.0</v>
      </c>
      <c r="H2245" s="1" t="s">
        <v>17059</v>
      </c>
      <c r="I2245" s="1" t="s">
        <v>24049</v>
      </c>
      <c r="J2245" s="1" t="s">
        <v>24050</v>
      </c>
      <c r="K2245" s="1"/>
      <c r="L2245" s="1" t="s">
        <v>27156</v>
      </c>
      <c r="M2245" s="1" t="s">
        <v>24052</v>
      </c>
      <c r="N2245" s="1" t="s">
        <v>24053</v>
      </c>
    </row>
    <row r="2246">
      <c r="A2246" s="1" t="s">
        <v>4153</v>
      </c>
      <c r="B2246" s="1">
        <v>2012.0</v>
      </c>
      <c r="C2246" s="1" t="s">
        <v>24054</v>
      </c>
      <c r="D2246" s="1" t="s">
        <v>24055</v>
      </c>
      <c r="E2246" s="2" t="s">
        <v>27157</v>
      </c>
      <c r="F2246" s="1">
        <v>2149.0</v>
      </c>
      <c r="G2246" s="1">
        <v>2158.0</v>
      </c>
      <c r="H2246" s="1" t="s">
        <v>17059</v>
      </c>
      <c r="I2246" s="1" t="s">
        <v>24056</v>
      </c>
      <c r="J2246" s="1" t="s">
        <v>24057</v>
      </c>
      <c r="K2246" s="1"/>
      <c r="L2246" s="1" t="s">
        <v>27169</v>
      </c>
      <c r="M2246" s="1" t="s">
        <v>24058</v>
      </c>
      <c r="N2246" s="1" t="s">
        <v>24059</v>
      </c>
    </row>
    <row r="2247">
      <c r="A2247" s="1" t="s">
        <v>2137</v>
      </c>
      <c r="B2247" s="1">
        <v>2012.0</v>
      </c>
      <c r="C2247" s="1" t="s">
        <v>23625</v>
      </c>
      <c r="D2247" s="1" t="s">
        <v>23626</v>
      </c>
      <c r="E2247" s="2" t="s">
        <v>27173</v>
      </c>
      <c r="F2247" s="1">
        <v>2679.0</v>
      </c>
      <c r="G2247" s="1">
        <v>2688.0</v>
      </c>
      <c r="H2247" s="1" t="s">
        <v>17059</v>
      </c>
      <c r="I2247" s="1" t="s">
        <v>27177</v>
      </c>
      <c r="J2247" s="1" t="s">
        <v>23628</v>
      </c>
      <c r="K2247" s="1"/>
      <c r="L2247" s="1" t="s">
        <v>27178</v>
      </c>
      <c r="M2247" s="1" t="s">
        <v>23630</v>
      </c>
      <c r="N2247" s="1" t="s">
        <v>23631</v>
      </c>
    </row>
    <row r="2248">
      <c r="A2248" s="1" t="s">
        <v>2137</v>
      </c>
      <c r="B2248" s="1">
        <v>2012.0</v>
      </c>
      <c r="C2248" s="1" t="s">
        <v>23632</v>
      </c>
      <c r="D2248" s="1" t="s">
        <v>23634</v>
      </c>
      <c r="E2248" s="2" t="s">
        <v>27179</v>
      </c>
      <c r="F2248" s="1">
        <v>2431.0</v>
      </c>
      <c r="G2248" s="1">
        <v>2440.0</v>
      </c>
      <c r="H2248" s="1" t="s">
        <v>17059</v>
      </c>
      <c r="I2248" s="1" t="s">
        <v>23636</v>
      </c>
      <c r="J2248" s="1" t="s">
        <v>23637</v>
      </c>
      <c r="K2248" s="1"/>
      <c r="L2248" s="1" t="s">
        <v>494</v>
      </c>
      <c r="M2248" s="1" t="s">
        <v>23640</v>
      </c>
      <c r="N2248" s="1" t="s">
        <v>23641</v>
      </c>
      <c r="P2248" s="1"/>
      <c r="Q2248" s="1" t="s">
        <v>19037</v>
      </c>
    </row>
    <row r="2249">
      <c r="A2249" s="1" t="s">
        <v>2137</v>
      </c>
      <c r="B2249" s="1">
        <v>2012.0</v>
      </c>
      <c r="C2249" s="1" t="s">
        <v>23642</v>
      </c>
      <c r="D2249" s="1" t="s">
        <v>23643</v>
      </c>
      <c r="E2249" s="2" t="s">
        <v>27196</v>
      </c>
      <c r="F2249" s="1">
        <v>2411.0</v>
      </c>
      <c r="G2249" s="1">
        <v>2420.0</v>
      </c>
      <c r="H2249" s="1" t="s">
        <v>17059</v>
      </c>
      <c r="I2249" s="1" t="s">
        <v>27214</v>
      </c>
      <c r="J2249" s="1" t="s">
        <v>23645</v>
      </c>
      <c r="K2249" s="1"/>
      <c r="L2249" s="1" t="s">
        <v>27215</v>
      </c>
      <c r="M2249" s="1" t="s">
        <v>23648</v>
      </c>
      <c r="N2249" s="1" t="s">
        <v>23649</v>
      </c>
    </row>
    <row r="2250">
      <c r="A2250" s="1" t="s">
        <v>2137</v>
      </c>
      <c r="B2250" s="1">
        <v>2012.0</v>
      </c>
      <c r="C2250" s="1" t="s">
        <v>23650</v>
      </c>
      <c r="D2250" s="1" t="s">
        <v>23651</v>
      </c>
      <c r="E2250" s="2" t="s">
        <v>27218</v>
      </c>
      <c r="F2250" s="1">
        <v>2421.0</v>
      </c>
      <c r="G2250" s="1">
        <v>2430.0</v>
      </c>
      <c r="H2250" s="1" t="s">
        <v>17059</v>
      </c>
      <c r="I2250" s="1" t="s">
        <v>23655</v>
      </c>
      <c r="J2250" s="1" t="s">
        <v>23656</v>
      </c>
      <c r="K2250" s="1"/>
      <c r="L2250" s="1" t="s">
        <v>27231</v>
      </c>
      <c r="M2250" s="1" t="s">
        <v>23657</v>
      </c>
      <c r="N2250" s="1" t="s">
        <v>23658</v>
      </c>
    </row>
    <row r="2251">
      <c r="A2251" s="1" t="s">
        <v>4153</v>
      </c>
      <c r="B2251" s="1">
        <v>2012.0</v>
      </c>
      <c r="C2251" s="1" t="s">
        <v>24060</v>
      </c>
      <c r="D2251" s="1" t="s">
        <v>24061</v>
      </c>
      <c r="E2251" s="2" t="s">
        <v>27235</v>
      </c>
      <c r="F2251" s="1">
        <v>2130.0</v>
      </c>
      <c r="G2251" s="1">
        <v>2139.0</v>
      </c>
      <c r="H2251" s="1" t="s">
        <v>17059</v>
      </c>
      <c r="I2251" s="1" t="s">
        <v>24062</v>
      </c>
      <c r="J2251" s="1" t="s">
        <v>24063</v>
      </c>
      <c r="K2251" s="1"/>
      <c r="L2251" s="1" t="s">
        <v>5349</v>
      </c>
      <c r="M2251" s="1" t="s">
        <v>24065</v>
      </c>
      <c r="N2251" s="1" t="s">
        <v>24066</v>
      </c>
    </row>
    <row r="2252">
      <c r="A2252" s="1" t="s">
        <v>4153</v>
      </c>
      <c r="B2252" s="1">
        <v>2012.0</v>
      </c>
      <c r="C2252" s="1" t="s">
        <v>24067</v>
      </c>
      <c r="D2252" s="1" t="s">
        <v>24068</v>
      </c>
      <c r="E2252" s="2" t="s">
        <v>27244</v>
      </c>
      <c r="F2252" s="1">
        <v>2245.0</v>
      </c>
      <c r="G2252" s="1">
        <v>2254.0</v>
      </c>
      <c r="H2252" s="1" t="s">
        <v>17059</v>
      </c>
      <c r="I2252" s="1" t="s">
        <v>24069</v>
      </c>
      <c r="J2252" s="1" t="s">
        <v>24070</v>
      </c>
      <c r="K2252" s="1"/>
      <c r="L2252" s="1" t="s">
        <v>22124</v>
      </c>
      <c r="M2252" s="1" t="s">
        <v>24073</v>
      </c>
      <c r="N2252" s="1" t="s">
        <v>24074</v>
      </c>
      <c r="P2252" s="1"/>
      <c r="Q2252" s="1" t="s">
        <v>19037</v>
      </c>
    </row>
    <row r="2253">
      <c r="A2253" s="1" t="s">
        <v>4153</v>
      </c>
      <c r="B2253" s="1">
        <v>2012.0</v>
      </c>
      <c r="C2253" s="1" t="s">
        <v>24075</v>
      </c>
      <c r="D2253" s="1" t="s">
        <v>24076</v>
      </c>
      <c r="E2253" s="2" t="s">
        <v>27257</v>
      </c>
      <c r="F2253" s="1">
        <v>2325.0</v>
      </c>
      <c r="G2253" s="1">
        <v>2334.0</v>
      </c>
      <c r="H2253" s="1" t="s">
        <v>17059</v>
      </c>
      <c r="I2253" s="1" t="s">
        <v>27272</v>
      </c>
      <c r="J2253" s="1" t="s">
        <v>24078</v>
      </c>
      <c r="K2253" s="1"/>
      <c r="L2253" s="1" t="s">
        <v>27273</v>
      </c>
      <c r="M2253" s="1" t="s">
        <v>24081</v>
      </c>
      <c r="N2253" s="1" t="s">
        <v>24082</v>
      </c>
    </row>
    <row r="2254">
      <c r="A2254" s="1" t="s">
        <v>120</v>
      </c>
      <c r="B2254" s="1">
        <v>2012.0</v>
      </c>
      <c r="C2254" s="1" t="s">
        <v>24307</v>
      </c>
      <c r="D2254" s="1" t="s">
        <v>24308</v>
      </c>
      <c r="E2254" s="2" t="s">
        <v>27274</v>
      </c>
      <c r="F2254" s="1">
        <v>2917.0</v>
      </c>
      <c r="G2254" s="1">
        <v>2926.0</v>
      </c>
      <c r="H2254" s="1" t="s">
        <v>17059</v>
      </c>
      <c r="I2254" s="1" t="s">
        <v>24309</v>
      </c>
      <c r="J2254" s="1" t="s">
        <v>24310</v>
      </c>
      <c r="K2254" s="1"/>
      <c r="L2254" s="1" t="s">
        <v>27283</v>
      </c>
      <c r="M2254" s="1" t="s">
        <v>24312</v>
      </c>
      <c r="N2254" s="1" t="s">
        <v>24313</v>
      </c>
      <c r="P2254" s="1"/>
      <c r="Q2254" s="1" t="s">
        <v>19037</v>
      </c>
    </row>
    <row r="2255">
      <c r="A2255" s="1" t="s">
        <v>2137</v>
      </c>
      <c r="B2255" s="1">
        <v>2012.0</v>
      </c>
      <c r="C2255" s="1" t="s">
        <v>23659</v>
      </c>
      <c r="D2255" s="1" t="s">
        <v>23660</v>
      </c>
      <c r="E2255" s="2" t="s">
        <v>27291</v>
      </c>
      <c r="F2255" s="1">
        <v>2769.0</v>
      </c>
      <c r="G2255" s="1">
        <v>2778.0</v>
      </c>
      <c r="H2255" s="1" t="s">
        <v>17059</v>
      </c>
      <c r="I2255" s="1" t="s">
        <v>23661</v>
      </c>
      <c r="J2255" s="1" t="s">
        <v>23662</v>
      </c>
      <c r="K2255" s="1"/>
      <c r="L2255" s="1" t="s">
        <v>26797</v>
      </c>
      <c r="M2255" s="1" t="s">
        <v>23665</v>
      </c>
      <c r="N2255" s="1" t="s">
        <v>23666</v>
      </c>
    </row>
    <row r="2256">
      <c r="A2256" s="1" t="s">
        <v>2137</v>
      </c>
      <c r="B2256" s="1">
        <v>2012.0</v>
      </c>
      <c r="C2256" s="1" t="s">
        <v>23667</v>
      </c>
      <c r="D2256" s="1" t="s">
        <v>23668</v>
      </c>
      <c r="E2256" s="2" t="s">
        <v>27300</v>
      </c>
      <c r="F2256" s="1">
        <v>2739.0</v>
      </c>
      <c r="G2256" s="1">
        <v>2748.0</v>
      </c>
      <c r="H2256" s="1" t="s">
        <v>17059</v>
      </c>
      <c r="I2256" s="1" t="s">
        <v>23669</v>
      </c>
      <c r="J2256" s="1" t="s">
        <v>27302</v>
      </c>
      <c r="K2256" s="1"/>
      <c r="L2256" s="1" t="s">
        <v>880</v>
      </c>
      <c r="M2256" s="1" t="s">
        <v>23674</v>
      </c>
      <c r="N2256" s="1" t="s">
        <v>23675</v>
      </c>
    </row>
    <row r="2257">
      <c r="A2257" s="1" t="s">
        <v>4153</v>
      </c>
      <c r="B2257" s="1">
        <v>2012.0</v>
      </c>
      <c r="C2257" s="1" t="s">
        <v>24083</v>
      </c>
      <c r="D2257" s="1" t="s">
        <v>24084</v>
      </c>
      <c r="E2257" s="2" t="s">
        <v>27303</v>
      </c>
      <c r="F2257" s="1">
        <v>2095.0</v>
      </c>
      <c r="G2257" s="1">
        <v>2103.0</v>
      </c>
      <c r="H2257" s="1" t="s">
        <v>17059</v>
      </c>
      <c r="I2257" s="1" t="s">
        <v>24085</v>
      </c>
      <c r="J2257" s="1" t="s">
        <v>27312</v>
      </c>
      <c r="K2257" s="1"/>
      <c r="L2257" s="1" t="s">
        <v>880</v>
      </c>
      <c r="M2257" s="1" t="s">
        <v>24088</v>
      </c>
      <c r="N2257" s="1" t="s">
        <v>24089</v>
      </c>
    </row>
    <row r="2258">
      <c r="A2258" s="1" t="s">
        <v>4153</v>
      </c>
      <c r="B2258" s="1">
        <v>2012.0</v>
      </c>
      <c r="C2258" s="1" t="s">
        <v>24090</v>
      </c>
      <c r="D2258" s="1" t="s">
        <v>24091</v>
      </c>
      <c r="E2258" s="2" t="s">
        <v>27313</v>
      </c>
      <c r="F2258" s="1">
        <v>2114.0</v>
      </c>
      <c r="G2258" s="1">
        <v>2121.0</v>
      </c>
      <c r="H2258" s="1" t="s">
        <v>17059</v>
      </c>
      <c r="I2258" s="1" t="s">
        <v>24092</v>
      </c>
      <c r="J2258" s="1" t="s">
        <v>24093</v>
      </c>
      <c r="K2258" s="1"/>
      <c r="L2258" s="1" t="s">
        <v>494</v>
      </c>
      <c r="M2258" s="1" t="s">
        <v>24095</v>
      </c>
      <c r="N2258" s="1" t="s">
        <v>24096</v>
      </c>
    </row>
    <row r="2259">
      <c r="A2259" s="1" t="s">
        <v>120</v>
      </c>
      <c r="B2259" s="1">
        <v>2012.0</v>
      </c>
      <c r="C2259" s="1" t="s">
        <v>24314</v>
      </c>
      <c r="D2259" s="1" t="s">
        <v>24315</v>
      </c>
      <c r="E2259" s="2" t="s">
        <v>27323</v>
      </c>
      <c r="F2259" s="1">
        <v>2869.0</v>
      </c>
      <c r="G2259" s="1">
        <v>2878.0</v>
      </c>
      <c r="H2259" s="1" t="s">
        <v>17059</v>
      </c>
      <c r="I2259" s="1" t="s">
        <v>24318</v>
      </c>
      <c r="J2259" s="1" t="s">
        <v>22706</v>
      </c>
      <c r="K2259" s="1"/>
      <c r="L2259" s="1" t="s">
        <v>178</v>
      </c>
      <c r="M2259" s="1" t="s">
        <v>24320</v>
      </c>
      <c r="N2259" s="1" t="s">
        <v>24322</v>
      </c>
    </row>
    <row r="2260">
      <c r="A2260" s="1" t="s">
        <v>2137</v>
      </c>
      <c r="B2260" s="1">
        <v>2012.0</v>
      </c>
      <c r="C2260" s="1" t="s">
        <v>23676</v>
      </c>
      <c r="D2260" s="1" t="s">
        <v>23677</v>
      </c>
      <c r="E2260" s="2" t="s">
        <v>27341</v>
      </c>
      <c r="F2260" s="1">
        <v>2659.0</v>
      </c>
      <c r="G2260" s="1">
        <v>2668.0</v>
      </c>
      <c r="H2260" s="1" t="s">
        <v>17059</v>
      </c>
      <c r="I2260" s="1" t="s">
        <v>23679</v>
      </c>
      <c r="J2260" s="1" t="s">
        <v>23680</v>
      </c>
      <c r="K2260" s="1"/>
      <c r="L2260" s="1" t="s">
        <v>27350</v>
      </c>
      <c r="M2260" s="1" t="s">
        <v>23682</v>
      </c>
      <c r="N2260" s="1" t="s">
        <v>23683</v>
      </c>
    </row>
    <row r="2261">
      <c r="A2261" s="1" t="s">
        <v>2137</v>
      </c>
      <c r="B2261" s="1">
        <v>2012.0</v>
      </c>
      <c r="C2261" s="1" t="s">
        <v>23684</v>
      </c>
      <c r="D2261" s="1" t="s">
        <v>23685</v>
      </c>
      <c r="E2261" s="2" t="s">
        <v>27351</v>
      </c>
      <c r="F2261" s="1">
        <v>2639.0</v>
      </c>
      <c r="G2261" s="1">
        <v>2648.0</v>
      </c>
      <c r="H2261" s="1" t="s">
        <v>17059</v>
      </c>
      <c r="I2261" s="1" t="s">
        <v>23686</v>
      </c>
      <c r="J2261" s="1" t="s">
        <v>23687</v>
      </c>
      <c r="K2261" s="1"/>
      <c r="L2261" s="1" t="s">
        <v>27366</v>
      </c>
      <c r="M2261" s="1" t="s">
        <v>23689</v>
      </c>
      <c r="N2261" s="1" t="s">
        <v>23690</v>
      </c>
    </row>
    <row r="2262">
      <c r="A2262" s="1" t="s">
        <v>4153</v>
      </c>
      <c r="B2262" s="1">
        <v>2012.0</v>
      </c>
      <c r="C2262" s="1" t="s">
        <v>24097</v>
      </c>
      <c r="D2262" s="1" t="s">
        <v>24098</v>
      </c>
      <c r="E2262" s="2" t="s">
        <v>27370</v>
      </c>
      <c r="F2262" s="1">
        <v>2335.0</v>
      </c>
      <c r="G2262" s="1">
        <v>2344.0</v>
      </c>
      <c r="H2262" s="1" t="s">
        <v>17059</v>
      </c>
      <c r="I2262" s="1" t="s">
        <v>24099</v>
      </c>
      <c r="J2262" s="1" t="s">
        <v>18591</v>
      </c>
      <c r="K2262" s="1"/>
      <c r="L2262" s="1" t="s">
        <v>178</v>
      </c>
      <c r="M2262" s="1" t="s">
        <v>24100</v>
      </c>
      <c r="N2262" s="1" t="s">
        <v>24101</v>
      </c>
    </row>
    <row r="2263">
      <c r="A2263" s="1" t="s">
        <v>4153</v>
      </c>
      <c r="B2263" s="1">
        <v>2012.0</v>
      </c>
      <c r="C2263" s="1" t="s">
        <v>24102</v>
      </c>
      <c r="D2263" s="1" t="s">
        <v>24103</v>
      </c>
      <c r="E2263" s="2" t="s">
        <v>27380</v>
      </c>
      <c r="F2263" s="1">
        <v>2005.0</v>
      </c>
      <c r="G2263" s="1">
        <v>2013.0</v>
      </c>
      <c r="H2263" s="1" t="s">
        <v>17059</v>
      </c>
      <c r="I2263" s="1" t="s">
        <v>27388</v>
      </c>
      <c r="J2263" s="1" t="s">
        <v>24106</v>
      </c>
      <c r="K2263" s="1"/>
      <c r="L2263" s="1" t="s">
        <v>27391</v>
      </c>
      <c r="M2263" s="1" t="s">
        <v>24108</v>
      </c>
      <c r="N2263" s="1" t="s">
        <v>24109</v>
      </c>
    </row>
    <row r="2264">
      <c r="A2264" s="1" t="s">
        <v>2137</v>
      </c>
      <c r="B2264" s="1">
        <v>2012.0</v>
      </c>
      <c r="C2264" s="1" t="s">
        <v>23691</v>
      </c>
      <c r="D2264" s="1" t="s">
        <v>23692</v>
      </c>
      <c r="E2264" s="2" t="s">
        <v>27395</v>
      </c>
      <c r="F2264" s="1">
        <v>2631.0</v>
      </c>
      <c r="G2264" s="1">
        <v>2638.0</v>
      </c>
      <c r="H2264" s="1" t="s">
        <v>17059</v>
      </c>
      <c r="I2264" s="1" t="s">
        <v>23694</v>
      </c>
      <c r="J2264" s="1" t="s">
        <v>23695</v>
      </c>
      <c r="K2264" s="1"/>
      <c r="L2264" s="1" t="s">
        <v>27402</v>
      </c>
      <c r="M2264" s="1" t="s">
        <v>23698</v>
      </c>
      <c r="N2264" s="1" t="s">
        <v>23699</v>
      </c>
    </row>
    <row r="2265">
      <c r="A2265" s="1" t="s">
        <v>2137</v>
      </c>
      <c r="B2265" s="1">
        <v>2012.0</v>
      </c>
      <c r="C2265" s="1" t="s">
        <v>23700</v>
      </c>
      <c r="D2265" s="1" t="s">
        <v>23701</v>
      </c>
      <c r="E2265" s="2" t="s">
        <v>27403</v>
      </c>
      <c r="F2265" s="1">
        <v>2441.0</v>
      </c>
      <c r="G2265" s="1">
        <v>2448.0</v>
      </c>
      <c r="H2265" s="1" t="s">
        <v>17059</v>
      </c>
      <c r="I2265" s="1" t="s">
        <v>23702</v>
      </c>
      <c r="J2265" s="1" t="s">
        <v>23703</v>
      </c>
      <c r="K2265" s="1"/>
      <c r="L2265" s="1" t="s">
        <v>27410</v>
      </c>
      <c r="M2265" s="1" t="s">
        <v>23705</v>
      </c>
      <c r="N2265" s="1" t="s">
        <v>23706</v>
      </c>
    </row>
    <row r="2266">
      <c r="A2266" s="1" t="s">
        <v>4153</v>
      </c>
      <c r="B2266" s="1">
        <v>2012.0</v>
      </c>
      <c r="C2266" s="1" t="s">
        <v>24110</v>
      </c>
      <c r="D2266" s="1" t="s">
        <v>24111</v>
      </c>
      <c r="E2266" s="2" t="s">
        <v>27411</v>
      </c>
      <c r="F2266" s="1">
        <v>2355.0</v>
      </c>
      <c r="G2266" s="1">
        <v>2363.0</v>
      </c>
      <c r="H2266" s="1" t="s">
        <v>17059</v>
      </c>
      <c r="I2266" s="1" t="s">
        <v>24112</v>
      </c>
      <c r="J2266" s="1" t="s">
        <v>27419</v>
      </c>
      <c r="K2266" s="1"/>
      <c r="L2266" s="1" t="s">
        <v>27420</v>
      </c>
      <c r="M2266" s="1" t="s">
        <v>24116</v>
      </c>
      <c r="N2266" s="1" t="s">
        <v>24117</v>
      </c>
      <c r="P2266" s="1"/>
      <c r="Q2266" s="1" t="s">
        <v>106</v>
      </c>
    </row>
    <row r="2267">
      <c r="A2267" s="1" t="s">
        <v>4153</v>
      </c>
      <c r="B2267" s="1">
        <v>2012.0</v>
      </c>
      <c r="C2267" s="1" t="s">
        <v>24118</v>
      </c>
      <c r="D2267" s="1" t="s">
        <v>24119</v>
      </c>
      <c r="E2267" s="2" t="s">
        <v>27424</v>
      </c>
      <c r="F2267" s="1">
        <v>2364.0</v>
      </c>
      <c r="G2267" s="1">
        <v>2371.0</v>
      </c>
      <c r="H2267" s="1" t="s">
        <v>17059</v>
      </c>
      <c r="I2267" s="1" t="s">
        <v>24120</v>
      </c>
      <c r="J2267" s="1" t="s">
        <v>27430</v>
      </c>
      <c r="K2267" s="1"/>
      <c r="L2267" s="1" t="s">
        <v>27431</v>
      </c>
      <c r="M2267" s="1" t="s">
        <v>23321</v>
      </c>
      <c r="N2267" s="1" t="s">
        <v>24123</v>
      </c>
    </row>
    <row r="2268">
      <c r="A2268" s="1" t="s">
        <v>2137</v>
      </c>
      <c r="B2268" s="1">
        <v>2012.0</v>
      </c>
      <c r="C2268" s="1" t="s">
        <v>23707</v>
      </c>
      <c r="D2268" s="1" t="s">
        <v>23708</v>
      </c>
      <c r="E2268" s="2" t="s">
        <v>27435</v>
      </c>
      <c r="F2268" s="1">
        <v>2402.0</v>
      </c>
      <c r="G2268" s="1">
        <v>2410.0</v>
      </c>
      <c r="H2268" s="1" t="s">
        <v>17059</v>
      </c>
      <c r="I2268" s="1" t="s">
        <v>23709</v>
      </c>
      <c r="J2268" s="1" t="s">
        <v>23710</v>
      </c>
      <c r="K2268" s="1"/>
      <c r="L2268" s="1" t="s">
        <v>25582</v>
      </c>
      <c r="M2268" s="1" t="s">
        <v>23713</v>
      </c>
      <c r="N2268" s="1" t="s">
        <v>23714</v>
      </c>
      <c r="P2268" s="1"/>
      <c r="Q2268" s="1" t="s">
        <v>106</v>
      </c>
    </row>
    <row r="2269">
      <c r="A2269" s="1" t="s">
        <v>4153</v>
      </c>
      <c r="B2269" s="1">
        <v>2012.0</v>
      </c>
      <c r="C2269" s="1" t="s">
        <v>24124</v>
      </c>
      <c r="D2269" s="1" t="s">
        <v>24125</v>
      </c>
      <c r="E2269" s="2" t="s">
        <v>27472</v>
      </c>
      <c r="F2269" s="1">
        <v>2104.0</v>
      </c>
      <c r="G2269" s="1">
        <v>2113.0</v>
      </c>
      <c r="H2269" s="1" t="s">
        <v>17059</v>
      </c>
      <c r="I2269" s="1" t="s">
        <v>27518</v>
      </c>
      <c r="J2269" s="1" t="s">
        <v>24127</v>
      </c>
      <c r="K2269" s="1"/>
      <c r="L2269" s="1" t="s">
        <v>25695</v>
      </c>
      <c r="M2269" s="1" t="s">
        <v>24129</v>
      </c>
      <c r="N2269" s="1" t="s">
        <v>24131</v>
      </c>
    </row>
    <row r="2270">
      <c r="A2270" s="1" t="s">
        <v>2137</v>
      </c>
      <c r="B2270" s="1">
        <v>2012.0</v>
      </c>
      <c r="C2270" s="1" t="s">
        <v>23716</v>
      </c>
      <c r="D2270" s="1" t="s">
        <v>23717</v>
      </c>
      <c r="E2270" s="2" t="s">
        <v>27525</v>
      </c>
      <c r="F2270" s="1">
        <v>2699.0</v>
      </c>
      <c r="G2270" s="1">
        <v>2708.0</v>
      </c>
      <c r="H2270" s="1" t="s">
        <v>17059</v>
      </c>
      <c r="I2270" s="1" t="s">
        <v>23718</v>
      </c>
      <c r="J2270" s="1" t="s">
        <v>23719</v>
      </c>
      <c r="K2270" s="1"/>
      <c r="L2270" s="1" t="s">
        <v>27536</v>
      </c>
      <c r="M2270" s="1" t="s">
        <v>23721</v>
      </c>
      <c r="N2270" s="1" t="s">
        <v>23722</v>
      </c>
    </row>
    <row r="2271">
      <c r="A2271" s="1" t="s">
        <v>2137</v>
      </c>
      <c r="B2271" s="1">
        <v>2012.0</v>
      </c>
      <c r="C2271" s="1" t="s">
        <v>23723</v>
      </c>
      <c r="D2271" s="1" t="s">
        <v>23724</v>
      </c>
      <c r="E2271" s="2" t="s">
        <v>27538</v>
      </c>
      <c r="F2271" s="1">
        <v>2719.0</v>
      </c>
      <c r="G2271" s="1">
        <v>2728.0</v>
      </c>
      <c r="H2271" s="1" t="s">
        <v>17059</v>
      </c>
      <c r="I2271" s="1" t="s">
        <v>23725</v>
      </c>
      <c r="J2271" s="1" t="s">
        <v>23726</v>
      </c>
      <c r="K2271" s="1"/>
      <c r="L2271" s="1" t="s">
        <v>27546</v>
      </c>
      <c r="M2271" s="1" t="s">
        <v>23728</v>
      </c>
      <c r="N2271" s="1" t="s">
        <v>23729</v>
      </c>
    </row>
    <row r="2272">
      <c r="A2272" s="1" t="s">
        <v>2137</v>
      </c>
      <c r="B2272" s="1">
        <v>2012.0</v>
      </c>
      <c r="C2272" s="1" t="s">
        <v>23730</v>
      </c>
      <c r="D2272" s="1" t="s">
        <v>23731</v>
      </c>
      <c r="E2272" s="2" t="s">
        <v>27547</v>
      </c>
      <c r="F2272" s="1">
        <v>2486.0</v>
      </c>
      <c r="G2272" s="1">
        <v>2495.0</v>
      </c>
      <c r="H2272" s="1" t="s">
        <v>17059</v>
      </c>
      <c r="I2272" s="1" t="s">
        <v>23733</v>
      </c>
      <c r="J2272" s="1" t="s">
        <v>23734</v>
      </c>
      <c r="K2272" s="1"/>
      <c r="L2272" s="1" t="s">
        <v>5349</v>
      </c>
      <c r="M2272" s="1" t="s">
        <v>23737</v>
      </c>
      <c r="N2272" s="1" t="s">
        <v>23738</v>
      </c>
    </row>
    <row r="2273">
      <c r="A2273" s="1" t="s">
        <v>4153</v>
      </c>
      <c r="B2273" s="1">
        <v>2012.0</v>
      </c>
      <c r="C2273" s="1" t="s">
        <v>24132</v>
      </c>
      <c r="D2273" s="1" t="s">
        <v>24133</v>
      </c>
      <c r="E2273" s="2" t="s">
        <v>27587</v>
      </c>
      <c r="F2273" s="1">
        <v>2208.0</v>
      </c>
      <c r="G2273" s="1">
        <v>2215.0</v>
      </c>
      <c r="H2273" s="1" t="s">
        <v>17059</v>
      </c>
      <c r="I2273" s="1" t="s">
        <v>24135</v>
      </c>
      <c r="J2273" s="1" t="s">
        <v>24136</v>
      </c>
      <c r="K2273" s="1"/>
      <c r="L2273" s="1" t="s">
        <v>27599</v>
      </c>
      <c r="M2273" s="1"/>
      <c r="N2273" s="1" t="s">
        <v>24139</v>
      </c>
    </row>
    <row r="2274">
      <c r="A2274" s="1" t="s">
        <v>4153</v>
      </c>
      <c r="B2274" s="1">
        <v>2012.0</v>
      </c>
      <c r="C2274" s="1" t="s">
        <v>24140</v>
      </c>
      <c r="D2274" s="1" t="s">
        <v>24141</v>
      </c>
      <c r="E2274" s="2" t="s">
        <v>27600</v>
      </c>
      <c r="F2274" s="1">
        <v>2285.0</v>
      </c>
      <c r="G2274" s="1">
        <v>2294.0</v>
      </c>
      <c r="H2274" s="1" t="s">
        <v>17059</v>
      </c>
      <c r="I2274" s="1" t="s">
        <v>24142</v>
      </c>
      <c r="J2274" s="1" t="s">
        <v>24143</v>
      </c>
      <c r="K2274" s="1"/>
      <c r="L2274" s="1" t="s">
        <v>5349</v>
      </c>
      <c r="M2274" s="1" t="s">
        <v>24145</v>
      </c>
      <c r="N2274" s="1" t="s">
        <v>24146</v>
      </c>
      <c r="P2274" s="1"/>
      <c r="Q2274" s="1" t="s">
        <v>19037</v>
      </c>
    </row>
    <row r="2275">
      <c r="A2275" s="1" t="s">
        <v>4153</v>
      </c>
      <c r="B2275" s="1">
        <v>2012.0</v>
      </c>
      <c r="C2275" s="1" t="s">
        <v>24147</v>
      </c>
      <c r="D2275" s="1" t="s">
        <v>24148</v>
      </c>
      <c r="E2275" s="2" t="s">
        <v>27618</v>
      </c>
      <c r="F2275" s="1">
        <v>2051.0</v>
      </c>
      <c r="G2275" s="1">
        <v>2060.0</v>
      </c>
      <c r="H2275" s="1" t="s">
        <v>17059</v>
      </c>
      <c r="I2275" s="1" t="s">
        <v>24149</v>
      </c>
      <c r="J2275" s="1" t="s">
        <v>24150</v>
      </c>
      <c r="K2275" s="1"/>
      <c r="L2275" s="1" t="s">
        <v>27626</v>
      </c>
      <c r="M2275" s="1" t="s">
        <v>24153</v>
      </c>
      <c r="N2275" s="1" t="s">
        <v>24154</v>
      </c>
    </row>
    <row r="2276">
      <c r="A2276" s="1" t="s">
        <v>4153</v>
      </c>
      <c r="B2276" s="1">
        <v>2012.0</v>
      </c>
      <c r="C2276" s="1" t="s">
        <v>24156</v>
      </c>
      <c r="D2276" s="1" t="s">
        <v>24157</v>
      </c>
      <c r="E2276" s="2" t="s">
        <v>27628</v>
      </c>
      <c r="F2276" s="1">
        <v>2159.0</v>
      </c>
      <c r="G2276" s="1">
        <v>2168.0</v>
      </c>
      <c r="H2276" s="1" t="s">
        <v>17059</v>
      </c>
      <c r="I2276" s="1" t="s">
        <v>24158</v>
      </c>
      <c r="J2276" s="1" t="s">
        <v>27634</v>
      </c>
      <c r="K2276" s="1"/>
      <c r="L2276" s="1" t="s">
        <v>27637</v>
      </c>
      <c r="M2276" s="1" t="s">
        <v>24162</v>
      </c>
      <c r="N2276" s="1" t="s">
        <v>24163</v>
      </c>
    </row>
    <row r="2277">
      <c r="A2277" s="1" t="s">
        <v>2137</v>
      </c>
      <c r="B2277" s="1">
        <v>2012.0</v>
      </c>
      <c r="C2277" s="1" t="s">
        <v>23739</v>
      </c>
      <c r="D2277" s="1" t="s">
        <v>23740</v>
      </c>
      <c r="E2277" s="2" t="s">
        <v>27639</v>
      </c>
      <c r="F2277" s="1">
        <v>2799.0</v>
      </c>
      <c r="G2277" s="1">
        <v>2808.0</v>
      </c>
      <c r="H2277" s="1" t="s">
        <v>17059</v>
      </c>
      <c r="I2277" s="1" t="s">
        <v>23741</v>
      </c>
      <c r="J2277" s="1" t="s">
        <v>23742</v>
      </c>
      <c r="K2277" s="1"/>
      <c r="L2277" s="1" t="s">
        <v>27673</v>
      </c>
      <c r="M2277" s="1" t="s">
        <v>23744</v>
      </c>
      <c r="N2277" s="1" t="s">
        <v>23745</v>
      </c>
    </row>
    <row r="2278">
      <c r="A2278" s="1" t="s">
        <v>2137</v>
      </c>
      <c r="B2278" s="1">
        <v>2012.0</v>
      </c>
      <c r="C2278" s="1" t="s">
        <v>23746</v>
      </c>
      <c r="D2278" s="1" t="s">
        <v>23747</v>
      </c>
      <c r="E2278" s="2" t="s">
        <v>27674</v>
      </c>
      <c r="F2278" s="1">
        <v>2477.0</v>
      </c>
      <c r="G2278" s="1">
        <v>2485.0</v>
      </c>
      <c r="H2278" s="1" t="s">
        <v>17059</v>
      </c>
      <c r="I2278" s="1" t="s">
        <v>23748</v>
      </c>
      <c r="J2278" s="1" t="s">
        <v>23749</v>
      </c>
      <c r="K2278" s="1"/>
      <c r="L2278" s="1" t="s">
        <v>27685</v>
      </c>
      <c r="M2278" s="1" t="s">
        <v>23752</v>
      </c>
      <c r="N2278" s="1" t="s">
        <v>23753</v>
      </c>
    </row>
    <row r="2279">
      <c r="A2279" s="1" t="s">
        <v>4153</v>
      </c>
      <c r="B2279" s="1">
        <v>2012.0</v>
      </c>
      <c r="C2279" s="1" t="s">
        <v>24164</v>
      </c>
      <c r="D2279" s="1" t="s">
        <v>24165</v>
      </c>
      <c r="E2279" s="2" t="s">
        <v>27690</v>
      </c>
      <c r="F2279" s="1">
        <v>2382.0</v>
      </c>
      <c r="G2279" s="1">
        <v>2391.0</v>
      </c>
      <c r="H2279" s="1" t="s">
        <v>17059</v>
      </c>
      <c r="I2279" s="1" t="s">
        <v>24166</v>
      </c>
      <c r="J2279" s="1" t="s">
        <v>24167</v>
      </c>
      <c r="K2279" s="1"/>
      <c r="L2279" s="1" t="s">
        <v>27694</v>
      </c>
      <c r="M2279" s="1" t="s">
        <v>24169</v>
      </c>
      <c r="N2279" s="1" t="s">
        <v>24170</v>
      </c>
    </row>
    <row r="2280">
      <c r="A2280" s="1" t="s">
        <v>4153</v>
      </c>
      <c r="B2280" s="1">
        <v>2012.0</v>
      </c>
      <c r="C2280" s="1" t="s">
        <v>24171</v>
      </c>
      <c r="D2280" s="1" t="s">
        <v>24172</v>
      </c>
      <c r="E2280" s="2" t="s">
        <v>27699</v>
      </c>
      <c r="F2280" s="1">
        <v>2305.0</v>
      </c>
      <c r="G2280" s="1">
        <v>2314.0</v>
      </c>
      <c r="H2280" s="1" t="s">
        <v>17059</v>
      </c>
      <c r="I2280" s="1" t="s">
        <v>24173</v>
      </c>
      <c r="J2280" s="1" t="s">
        <v>24174</v>
      </c>
      <c r="K2280" s="1"/>
      <c r="L2280" s="1" t="s">
        <v>27705</v>
      </c>
      <c r="M2280" s="1" t="s">
        <v>24176</v>
      </c>
      <c r="N2280" s="1" t="s">
        <v>24177</v>
      </c>
    </row>
    <row r="2281">
      <c r="A2281" s="1" t="s">
        <v>2137</v>
      </c>
      <c r="B2281" s="1">
        <v>2012.0</v>
      </c>
      <c r="C2281" s="1" t="s">
        <v>23755</v>
      </c>
      <c r="D2281" s="1" t="s">
        <v>23756</v>
      </c>
      <c r="E2281" s="2" t="s">
        <v>27706</v>
      </c>
      <c r="F2281" s="1">
        <v>2546.0</v>
      </c>
      <c r="G2281" s="1">
        <v>2555.0</v>
      </c>
      <c r="H2281" s="1" t="s">
        <v>17059</v>
      </c>
      <c r="I2281" s="1" t="s">
        <v>23758</v>
      </c>
      <c r="J2281" s="1" t="s">
        <v>23759</v>
      </c>
      <c r="K2281" s="1"/>
      <c r="L2281" s="1" t="s">
        <v>178</v>
      </c>
      <c r="M2281" s="1" t="s">
        <v>23760</v>
      </c>
      <c r="N2281" s="1" t="s">
        <v>23761</v>
      </c>
    </row>
    <row r="2282">
      <c r="A2282" s="1" t="s">
        <v>2137</v>
      </c>
      <c r="B2282" s="1">
        <v>2012.0</v>
      </c>
      <c r="C2282" s="1" t="s">
        <v>23762</v>
      </c>
      <c r="D2282" s="1" t="s">
        <v>23763</v>
      </c>
      <c r="E2282" s="2" t="s">
        <v>27724</v>
      </c>
      <c r="F2282" s="1">
        <v>2516.0</v>
      </c>
      <c r="G2282" s="1">
        <v>2525.0</v>
      </c>
      <c r="H2282" s="1" t="s">
        <v>17059</v>
      </c>
      <c r="I2282" s="1" t="s">
        <v>23765</v>
      </c>
      <c r="J2282" s="1" t="s">
        <v>23766</v>
      </c>
      <c r="K2282" s="1"/>
      <c r="L2282" s="1" t="s">
        <v>178</v>
      </c>
      <c r="M2282" s="1" t="s">
        <v>23768</v>
      </c>
      <c r="N2282" s="1" t="s">
        <v>23769</v>
      </c>
    </row>
    <row r="2283">
      <c r="A2283" s="1" t="s">
        <v>2137</v>
      </c>
      <c r="B2283" s="1">
        <v>2012.0</v>
      </c>
      <c r="C2283" s="1" t="s">
        <v>23771</v>
      </c>
      <c r="D2283" s="1" t="s">
        <v>23772</v>
      </c>
      <c r="E2283" s="2" t="s">
        <v>27734</v>
      </c>
      <c r="F2283" s="1">
        <v>2709.0</v>
      </c>
      <c r="G2283" s="1">
        <v>2718.0</v>
      </c>
      <c r="H2283" s="1" t="s">
        <v>17059</v>
      </c>
      <c r="I2283" s="1" t="s">
        <v>23773</v>
      </c>
      <c r="J2283" s="1" t="s">
        <v>27750</v>
      </c>
      <c r="K2283" s="1"/>
      <c r="L2283" s="1" t="s">
        <v>5349</v>
      </c>
      <c r="M2283" s="1" t="s">
        <v>23777</v>
      </c>
      <c r="N2283" s="1" t="s">
        <v>23778</v>
      </c>
    </row>
    <row r="2284">
      <c r="A2284" s="1" t="s">
        <v>2137</v>
      </c>
      <c r="B2284" s="1">
        <v>2012.0</v>
      </c>
      <c r="C2284" s="1" t="s">
        <v>23779</v>
      </c>
      <c r="D2284" s="1" t="s">
        <v>23780</v>
      </c>
      <c r="E2284" s="2" t="s">
        <v>27751</v>
      </c>
      <c r="F2284" s="1">
        <v>2669.0</v>
      </c>
      <c r="G2284" s="1">
        <v>2678.0</v>
      </c>
      <c r="H2284" s="1" t="s">
        <v>17059</v>
      </c>
      <c r="I2284" s="1" t="s">
        <v>23781</v>
      </c>
      <c r="J2284" s="1" t="s">
        <v>23782</v>
      </c>
      <c r="K2284" s="1"/>
      <c r="L2284" s="1" t="s">
        <v>26881</v>
      </c>
      <c r="M2284" s="1" t="s">
        <v>23786</v>
      </c>
      <c r="N2284" s="1" t="s">
        <v>23787</v>
      </c>
    </row>
    <row r="2285">
      <c r="A2285" s="1" t="s">
        <v>120</v>
      </c>
      <c r="B2285" s="1">
        <v>2012.0</v>
      </c>
      <c r="C2285" s="1" t="s">
        <v>24323</v>
      </c>
      <c r="D2285" s="1" t="s">
        <v>24324</v>
      </c>
      <c r="E2285" s="2" t="s">
        <v>27752</v>
      </c>
      <c r="F2285" s="1">
        <v>2849.0</v>
      </c>
      <c r="G2285" s="1">
        <v>2858.0</v>
      </c>
      <c r="H2285" s="1" t="s">
        <v>17059</v>
      </c>
      <c r="I2285" s="1" t="s">
        <v>24325</v>
      </c>
      <c r="J2285" s="1" t="s">
        <v>27753</v>
      </c>
      <c r="K2285" s="1"/>
      <c r="L2285" s="1" t="s">
        <v>5349</v>
      </c>
      <c r="M2285" s="1" t="s">
        <v>24328</v>
      </c>
      <c r="N2285" s="1" t="s">
        <v>24329</v>
      </c>
      <c r="P2285" s="1"/>
      <c r="Q2285" s="1" t="s">
        <v>19037</v>
      </c>
    </row>
    <row r="2286">
      <c r="A2286" s="1" t="s">
        <v>2137</v>
      </c>
      <c r="B2286" s="1">
        <v>2012.0</v>
      </c>
      <c r="C2286" s="1" t="s">
        <v>23788</v>
      </c>
      <c r="D2286" s="1" t="s">
        <v>23789</v>
      </c>
      <c r="E2286" s="2" t="s">
        <v>27754</v>
      </c>
      <c r="F2286" s="1">
        <v>2729.0</v>
      </c>
      <c r="G2286" s="1">
        <v>2738.0</v>
      </c>
      <c r="H2286" s="1" t="s">
        <v>17059</v>
      </c>
      <c r="I2286" s="1" t="s">
        <v>23791</v>
      </c>
      <c r="J2286" s="1" t="s">
        <v>23792</v>
      </c>
      <c r="K2286" s="1"/>
      <c r="L2286" s="1" t="s">
        <v>27755</v>
      </c>
      <c r="M2286" s="1" t="s">
        <v>23794</v>
      </c>
      <c r="N2286" s="1" t="s">
        <v>23795</v>
      </c>
    </row>
    <row r="2287">
      <c r="A2287" s="1" t="s">
        <v>2137</v>
      </c>
      <c r="B2287" s="1">
        <v>2012.0</v>
      </c>
      <c r="C2287" s="1" t="s">
        <v>23796</v>
      </c>
      <c r="D2287" s="1" t="s">
        <v>23797</v>
      </c>
      <c r="E2287" s="2" t="s">
        <v>27756</v>
      </c>
      <c r="F2287" s="1">
        <v>2621.0</v>
      </c>
      <c r="G2287" s="1">
        <v>2630.0</v>
      </c>
      <c r="H2287" s="1" t="s">
        <v>17059</v>
      </c>
      <c r="I2287" s="1" t="s">
        <v>23798</v>
      </c>
      <c r="J2287" s="1" t="s">
        <v>23799</v>
      </c>
      <c r="K2287" s="1"/>
      <c r="L2287" s="1" t="s">
        <v>27012</v>
      </c>
      <c r="M2287" s="1" t="s">
        <v>23802</v>
      </c>
      <c r="N2287" s="1" t="s">
        <v>23803</v>
      </c>
    </row>
    <row r="2288">
      <c r="A2288" s="1" t="s">
        <v>120</v>
      </c>
      <c r="B2288" s="1">
        <v>2012.0</v>
      </c>
      <c r="C2288" s="1" t="s">
        <v>24330</v>
      </c>
      <c r="D2288" s="1" t="s">
        <v>24331</v>
      </c>
      <c r="E2288" s="2" t="s">
        <v>27757</v>
      </c>
      <c r="F2288" s="1">
        <v>2829.0</v>
      </c>
      <c r="G2288" s="1">
        <v>2838.0</v>
      </c>
      <c r="H2288" s="1" t="s">
        <v>17059</v>
      </c>
      <c r="I2288" s="1" t="s">
        <v>24332</v>
      </c>
      <c r="J2288" s="1" t="s">
        <v>24333</v>
      </c>
      <c r="K2288" s="1"/>
      <c r="L2288" s="1" t="s">
        <v>25715</v>
      </c>
      <c r="M2288" s="1" t="s">
        <v>24335</v>
      </c>
      <c r="N2288" s="1" t="s">
        <v>24336</v>
      </c>
    </row>
    <row r="2289">
      <c r="A2289" s="1" t="s">
        <v>4153</v>
      </c>
      <c r="B2289" s="1">
        <v>2012.0</v>
      </c>
      <c r="C2289" s="1" t="s">
        <v>24178</v>
      </c>
      <c r="D2289" s="1" t="s">
        <v>24179</v>
      </c>
      <c r="E2289" s="2" t="s">
        <v>27758</v>
      </c>
      <c r="F2289" s="1">
        <v>2226.0</v>
      </c>
      <c r="G2289" s="1">
        <v>2235.0</v>
      </c>
      <c r="H2289" s="1" t="s">
        <v>17059</v>
      </c>
      <c r="I2289" s="1" t="s">
        <v>24181</v>
      </c>
      <c r="J2289" s="1" t="s">
        <v>27759</v>
      </c>
      <c r="K2289" s="1"/>
      <c r="L2289" s="1" t="s">
        <v>27760</v>
      </c>
      <c r="M2289" s="1" t="s">
        <v>24185</v>
      </c>
      <c r="N2289" s="1" t="s">
        <v>24186</v>
      </c>
    </row>
    <row r="2290">
      <c r="A2290" s="1" t="s">
        <v>120</v>
      </c>
      <c r="B2290" s="1">
        <v>2012.0</v>
      </c>
      <c r="C2290" s="1" t="s">
        <v>24339</v>
      </c>
      <c r="D2290" s="1" t="s">
        <v>24340</v>
      </c>
      <c r="E2290" s="2" t="s">
        <v>27761</v>
      </c>
      <c r="F2290" s="1">
        <v>2879.0</v>
      </c>
      <c r="G2290" s="1">
        <v>2888.0</v>
      </c>
      <c r="H2290" s="1" t="s">
        <v>17059</v>
      </c>
      <c r="I2290" s="1" t="s">
        <v>24342</v>
      </c>
      <c r="J2290" s="1" t="s">
        <v>24343</v>
      </c>
      <c r="K2290" s="1"/>
      <c r="L2290" s="1" t="s">
        <v>494</v>
      </c>
      <c r="M2290" s="1" t="s">
        <v>24345</v>
      </c>
      <c r="N2290" s="1" t="s">
        <v>24346</v>
      </c>
    </row>
    <row r="2291">
      <c r="A2291" s="1" t="s">
        <v>4153</v>
      </c>
      <c r="B2291" s="1">
        <v>2012.0</v>
      </c>
      <c r="C2291" s="1" t="s">
        <v>24188</v>
      </c>
      <c r="D2291" s="1" t="s">
        <v>24189</v>
      </c>
      <c r="E2291" s="2" t="s">
        <v>27762</v>
      </c>
      <c r="F2291" s="1">
        <v>2255.0</v>
      </c>
      <c r="G2291" s="1">
        <v>2264.0</v>
      </c>
      <c r="H2291" s="1" t="s">
        <v>17059</v>
      </c>
      <c r="I2291" s="1" t="s">
        <v>24190</v>
      </c>
      <c r="J2291" s="1" t="s">
        <v>27763</v>
      </c>
      <c r="K2291" s="1"/>
      <c r="L2291" s="1" t="s">
        <v>27764</v>
      </c>
      <c r="M2291" s="1" t="s">
        <v>24194</v>
      </c>
      <c r="N2291" s="1" t="s">
        <v>24195</v>
      </c>
    </row>
    <row r="2292">
      <c r="A2292" s="1" t="s">
        <v>2137</v>
      </c>
      <c r="B2292" s="1">
        <v>2012.0</v>
      </c>
      <c r="C2292" s="1" t="s">
        <v>23804</v>
      </c>
      <c r="D2292" s="1" t="s">
        <v>23805</v>
      </c>
      <c r="E2292" s="2" t="s">
        <v>27765</v>
      </c>
      <c r="F2292" s="1">
        <v>2749.0</v>
      </c>
      <c r="G2292" s="1">
        <v>2758.0</v>
      </c>
      <c r="H2292" s="1" t="s">
        <v>17059</v>
      </c>
      <c r="I2292" s="1" t="s">
        <v>23806</v>
      </c>
      <c r="J2292" s="1" t="s">
        <v>23807</v>
      </c>
      <c r="K2292" s="1"/>
      <c r="L2292" s="1" t="s">
        <v>27766</v>
      </c>
      <c r="M2292" s="1" t="s">
        <v>23810</v>
      </c>
      <c r="N2292" s="1" t="s">
        <v>23811</v>
      </c>
    </row>
    <row r="2293">
      <c r="A2293" s="1" t="s">
        <v>2137</v>
      </c>
      <c r="B2293" s="1">
        <v>2012.0</v>
      </c>
      <c r="C2293" s="1" t="s">
        <v>23813</v>
      </c>
      <c r="D2293" s="1" t="s">
        <v>23814</v>
      </c>
      <c r="E2293" s="2" t="s">
        <v>27767</v>
      </c>
      <c r="F2293" s="1">
        <v>2819.0</v>
      </c>
      <c r="G2293" s="1">
        <v>2828.0</v>
      </c>
      <c r="H2293" s="1" t="s">
        <v>17059</v>
      </c>
      <c r="I2293" s="1" t="s">
        <v>23815</v>
      </c>
      <c r="J2293" s="1" t="s">
        <v>23816</v>
      </c>
      <c r="K2293" s="1"/>
      <c r="L2293" s="1" t="s">
        <v>5349</v>
      </c>
      <c r="M2293" s="1" t="s">
        <v>23818</v>
      </c>
      <c r="N2293" s="1" t="s">
        <v>23819</v>
      </c>
    </row>
    <row r="2294">
      <c r="A2294" s="1" t="s">
        <v>2137</v>
      </c>
      <c r="B2294" s="1">
        <v>2012.0</v>
      </c>
      <c r="C2294" s="1" t="s">
        <v>23822</v>
      </c>
      <c r="D2294" s="1" t="s">
        <v>23823</v>
      </c>
      <c r="E2294" s="2" t="s">
        <v>27768</v>
      </c>
      <c r="F2294" s="1">
        <v>2556.0</v>
      </c>
      <c r="G2294" s="1">
        <v>2564.0</v>
      </c>
      <c r="H2294" s="1" t="s">
        <v>17059</v>
      </c>
      <c r="I2294" s="1" t="s">
        <v>23824</v>
      </c>
      <c r="J2294" s="1" t="s">
        <v>23825</v>
      </c>
      <c r="K2294" s="1"/>
      <c r="L2294" s="1" t="s">
        <v>27769</v>
      </c>
      <c r="M2294" s="1" t="s">
        <v>23827</v>
      </c>
      <c r="N2294" s="1" t="s">
        <v>23828</v>
      </c>
    </row>
    <row r="2295">
      <c r="A2295" s="1" t="s">
        <v>2137</v>
      </c>
      <c r="B2295" s="1">
        <v>2012.0</v>
      </c>
      <c r="C2295" s="1" t="s">
        <v>23829</v>
      </c>
      <c r="D2295" s="1" t="s">
        <v>23830</v>
      </c>
      <c r="E2295" s="2" t="s">
        <v>27770</v>
      </c>
      <c r="F2295" s="1">
        <v>2565.0</v>
      </c>
      <c r="G2295" s="1">
        <v>2574.0</v>
      </c>
      <c r="H2295" s="1" t="s">
        <v>17059</v>
      </c>
      <c r="I2295" s="1" t="s">
        <v>23831</v>
      </c>
      <c r="J2295" s="1" t="s">
        <v>23832</v>
      </c>
      <c r="K2295" s="1"/>
      <c r="L2295" s="1" t="s">
        <v>5349</v>
      </c>
      <c r="M2295" s="1" t="s">
        <v>23835</v>
      </c>
      <c r="N2295" s="1" t="s">
        <v>23836</v>
      </c>
    </row>
    <row r="2296">
      <c r="A2296" s="1" t="s">
        <v>4153</v>
      </c>
      <c r="B2296" s="1">
        <v>2012.0</v>
      </c>
      <c r="C2296" s="1" t="s">
        <v>24196</v>
      </c>
      <c r="D2296" s="1" t="s">
        <v>24197</v>
      </c>
      <c r="E2296" s="2" t="s">
        <v>27771</v>
      </c>
      <c r="F2296" s="1">
        <v>2372.0</v>
      </c>
      <c r="G2296" s="1">
        <v>2381.0</v>
      </c>
      <c r="H2296" s="1" t="s">
        <v>17059</v>
      </c>
      <c r="I2296" s="1" t="s">
        <v>24199</v>
      </c>
      <c r="J2296" s="1" t="s">
        <v>24201</v>
      </c>
      <c r="K2296" s="1"/>
      <c r="L2296" s="1" t="s">
        <v>27772</v>
      </c>
      <c r="M2296" s="1" t="s">
        <v>24204</v>
      </c>
      <c r="N2296" s="1" t="s">
        <v>24205</v>
      </c>
    </row>
    <row r="2297">
      <c r="A2297" s="1" t="s">
        <v>4153</v>
      </c>
      <c r="B2297" s="1">
        <v>2012.0</v>
      </c>
      <c r="C2297" s="1" t="s">
        <v>24207</v>
      </c>
      <c r="D2297" s="1" t="s">
        <v>24208</v>
      </c>
      <c r="E2297" s="2" t="s">
        <v>27773</v>
      </c>
      <c r="F2297" s="1">
        <v>2392.0</v>
      </c>
      <c r="G2297" s="1">
        <v>2401.0</v>
      </c>
      <c r="H2297" s="1" t="s">
        <v>17059</v>
      </c>
      <c r="I2297" s="1" t="s">
        <v>24209</v>
      </c>
      <c r="J2297" s="1" t="s">
        <v>27774</v>
      </c>
      <c r="K2297" s="1"/>
      <c r="L2297" s="1" t="s">
        <v>494</v>
      </c>
      <c r="M2297" s="1" t="s">
        <v>24212</v>
      </c>
      <c r="N2297" s="1" t="s">
        <v>24213</v>
      </c>
    </row>
    <row r="2298">
      <c r="A2298" s="1" t="s">
        <v>2137</v>
      </c>
      <c r="B2298" s="1">
        <v>2012.0</v>
      </c>
      <c r="C2298" s="1" t="s">
        <v>23837</v>
      </c>
      <c r="D2298" s="1" t="s">
        <v>23838</v>
      </c>
      <c r="E2298" s="2" t="s">
        <v>27775</v>
      </c>
      <c r="F2298" s="1">
        <v>2603.0</v>
      </c>
      <c r="G2298" s="1">
        <v>2612.0</v>
      </c>
      <c r="H2298" s="1" t="s">
        <v>17059</v>
      </c>
      <c r="I2298" s="1" t="s">
        <v>23839</v>
      </c>
      <c r="J2298" s="1" t="s">
        <v>23840</v>
      </c>
      <c r="K2298" s="1"/>
      <c r="L2298" s="1" t="s">
        <v>27776</v>
      </c>
      <c r="M2298" s="1" t="s">
        <v>23842</v>
      </c>
      <c r="N2298" s="1" t="s">
        <v>23843</v>
      </c>
    </row>
    <row r="2299">
      <c r="A2299" s="1" t="s">
        <v>2137</v>
      </c>
      <c r="B2299" s="1">
        <v>2012.0</v>
      </c>
      <c r="C2299" s="1" t="s">
        <v>23844</v>
      </c>
      <c r="D2299" s="1" t="s">
        <v>23845</v>
      </c>
      <c r="E2299" s="2" t="s">
        <v>27777</v>
      </c>
      <c r="F2299" s="1">
        <v>2789.0</v>
      </c>
      <c r="G2299" s="1">
        <v>2798.0</v>
      </c>
      <c r="H2299" s="1" t="s">
        <v>17059</v>
      </c>
      <c r="I2299" s="1" t="s">
        <v>23846</v>
      </c>
      <c r="J2299" s="1" t="s">
        <v>23847</v>
      </c>
      <c r="K2299" s="1"/>
      <c r="L2299" s="1" t="s">
        <v>860</v>
      </c>
      <c r="M2299" s="1" t="s">
        <v>23849</v>
      </c>
      <c r="N2299" s="1" t="s">
        <v>23850</v>
      </c>
    </row>
    <row r="2300">
      <c r="A2300" s="1" t="s">
        <v>120</v>
      </c>
      <c r="B2300" s="1">
        <v>2012.0</v>
      </c>
      <c r="C2300" s="1" t="s">
        <v>24347</v>
      </c>
      <c r="D2300" s="1" t="s">
        <v>24348</v>
      </c>
      <c r="E2300" s="2" t="s">
        <v>27778</v>
      </c>
      <c r="F2300" s="1">
        <v>2908.0</v>
      </c>
      <c r="G2300" s="1">
        <v>2916.0</v>
      </c>
      <c r="H2300" s="1" t="s">
        <v>17059</v>
      </c>
      <c r="I2300" s="1" t="s">
        <v>24349</v>
      </c>
      <c r="J2300" s="1" t="s">
        <v>24350</v>
      </c>
      <c r="K2300" s="1"/>
      <c r="L2300" s="1" t="s">
        <v>27779</v>
      </c>
      <c r="M2300" s="1" t="s">
        <v>24352</v>
      </c>
      <c r="N2300" s="1" t="s">
        <v>24353</v>
      </c>
    </row>
    <row r="2301">
      <c r="A2301" s="1" t="s">
        <v>4153</v>
      </c>
      <c r="B2301" s="1">
        <v>2012.0</v>
      </c>
      <c r="C2301" s="1" t="s">
        <v>24214</v>
      </c>
      <c r="D2301" s="1" t="s">
        <v>24215</v>
      </c>
      <c r="E2301" s="2" t="s">
        <v>27780</v>
      </c>
      <c r="F2301" s="1">
        <v>2169.0</v>
      </c>
      <c r="G2301" s="1">
        <v>2177.0</v>
      </c>
      <c r="H2301" s="1" t="s">
        <v>17059</v>
      </c>
      <c r="I2301" s="1" t="s">
        <v>24216</v>
      </c>
      <c r="J2301" s="1" t="s">
        <v>27781</v>
      </c>
      <c r="K2301" s="1"/>
      <c r="L2301" s="1" t="s">
        <v>27782</v>
      </c>
      <c r="M2301" s="1" t="s">
        <v>24220</v>
      </c>
      <c r="N2301" s="1" t="s">
        <v>24221</v>
      </c>
    </row>
    <row r="2302">
      <c r="A2302" s="1" t="s">
        <v>2137</v>
      </c>
      <c r="B2302" s="1">
        <v>2012.0</v>
      </c>
      <c r="C2302" s="1" t="s">
        <v>23851</v>
      </c>
      <c r="D2302" s="1" t="s">
        <v>23852</v>
      </c>
      <c r="E2302" s="2" t="s">
        <v>27783</v>
      </c>
      <c r="F2302" s="1">
        <v>2779.0</v>
      </c>
      <c r="G2302" s="1">
        <v>2788.0</v>
      </c>
      <c r="H2302" s="1" t="s">
        <v>17059</v>
      </c>
      <c r="I2302" s="1" t="s">
        <v>23854</v>
      </c>
      <c r="J2302" s="1" t="s">
        <v>23855</v>
      </c>
      <c r="K2302" s="1"/>
      <c r="L2302" s="1" t="s">
        <v>880</v>
      </c>
      <c r="M2302" s="1" t="s">
        <v>23857</v>
      </c>
      <c r="N2302" s="1" t="s">
        <v>23858</v>
      </c>
    </row>
    <row r="2303">
      <c r="A2303" s="1" t="s">
        <v>120</v>
      </c>
      <c r="B2303" s="1">
        <v>2012.0</v>
      </c>
      <c r="C2303" s="1" t="s">
        <v>24354</v>
      </c>
      <c r="D2303" s="1" t="s">
        <v>24355</v>
      </c>
      <c r="E2303" s="2" t="s">
        <v>27784</v>
      </c>
      <c r="F2303" s="1">
        <v>2889.0</v>
      </c>
      <c r="G2303" s="1">
        <v>2898.0</v>
      </c>
      <c r="H2303" s="1" t="s">
        <v>17059</v>
      </c>
      <c r="I2303" s="1" t="s">
        <v>24356</v>
      </c>
      <c r="J2303" s="1" t="s">
        <v>24357</v>
      </c>
      <c r="K2303" s="1"/>
      <c r="L2303" s="1" t="s">
        <v>5349</v>
      </c>
      <c r="M2303" s="1" t="s">
        <v>24361</v>
      </c>
      <c r="N2303" s="1" t="s">
        <v>24362</v>
      </c>
      <c r="P2303" s="1"/>
      <c r="Q2303" s="1" t="s">
        <v>106</v>
      </c>
    </row>
    <row r="2304">
      <c r="A2304" s="1" t="s">
        <v>120</v>
      </c>
      <c r="B2304" s="1">
        <v>2012.0</v>
      </c>
      <c r="C2304" s="1" t="s">
        <v>24363</v>
      </c>
      <c r="D2304" s="1" t="s">
        <v>24364</v>
      </c>
      <c r="E2304" s="2" t="s">
        <v>27785</v>
      </c>
      <c r="F2304" s="1">
        <v>2839.0</v>
      </c>
      <c r="G2304" s="1">
        <v>2848.0</v>
      </c>
      <c r="H2304" s="1" t="s">
        <v>17059</v>
      </c>
      <c r="I2304" s="1" t="s">
        <v>24366</v>
      </c>
      <c r="J2304" s="1" t="s">
        <v>24367</v>
      </c>
      <c r="K2304" s="1"/>
      <c r="L2304" s="1" t="s">
        <v>27786</v>
      </c>
      <c r="M2304" s="1" t="s">
        <v>24369</v>
      </c>
      <c r="N2304" s="1" t="s">
        <v>24370</v>
      </c>
    </row>
    <row r="2305">
      <c r="A2305" s="1" t="s">
        <v>4153</v>
      </c>
      <c r="B2305" s="1">
        <v>2012.0</v>
      </c>
      <c r="C2305" s="1" t="s">
        <v>24222</v>
      </c>
      <c r="D2305" s="1" t="s">
        <v>24223</v>
      </c>
      <c r="E2305" s="2" t="s">
        <v>27787</v>
      </c>
      <c r="F2305" s="1">
        <v>2088.0</v>
      </c>
      <c r="G2305" s="1">
        <v>2094.0</v>
      </c>
      <c r="H2305" s="1" t="s">
        <v>17059</v>
      </c>
      <c r="I2305" s="1" t="s">
        <v>24224</v>
      </c>
      <c r="J2305" s="1" t="s">
        <v>24225</v>
      </c>
      <c r="K2305" s="1"/>
      <c r="L2305" s="1" t="s">
        <v>27788</v>
      </c>
      <c r="M2305" s="1"/>
      <c r="N2305" s="1" t="s">
        <v>24230</v>
      </c>
    </row>
    <row r="2306">
      <c r="A2306" s="1" t="s">
        <v>2137</v>
      </c>
      <c r="B2306" s="1">
        <v>2012.0</v>
      </c>
      <c r="C2306" s="1" t="s">
        <v>23859</v>
      </c>
      <c r="D2306" s="1" t="s">
        <v>23860</v>
      </c>
      <c r="E2306" s="2" t="s">
        <v>27789</v>
      </c>
      <c r="F2306" s="1">
        <v>2496.0</v>
      </c>
      <c r="G2306" s="1">
        <v>2505.0</v>
      </c>
      <c r="H2306" s="1" t="s">
        <v>17059</v>
      </c>
      <c r="I2306" s="1" t="s">
        <v>23861</v>
      </c>
      <c r="J2306" s="1" t="s">
        <v>23862</v>
      </c>
      <c r="K2306" s="1"/>
      <c r="L2306" s="1" t="s">
        <v>860</v>
      </c>
      <c r="M2306" s="1" t="s">
        <v>23864</v>
      </c>
      <c r="N2306" s="1" t="s">
        <v>23865</v>
      </c>
      <c r="P2306" s="1"/>
      <c r="Q2306" s="1" t="s">
        <v>19037</v>
      </c>
    </row>
    <row r="2307">
      <c r="A2307" s="1" t="s">
        <v>4153</v>
      </c>
      <c r="B2307" s="1">
        <v>2012.0</v>
      </c>
      <c r="C2307" s="1" t="s">
        <v>24231</v>
      </c>
      <c r="D2307" s="1" t="s">
        <v>24232</v>
      </c>
      <c r="E2307" s="2" t="s">
        <v>27790</v>
      </c>
      <c r="F2307" s="1">
        <v>2275.0</v>
      </c>
      <c r="G2307" s="1">
        <v>2284.0</v>
      </c>
      <c r="H2307" s="1" t="s">
        <v>17059</v>
      </c>
      <c r="I2307" s="1" t="s">
        <v>24234</v>
      </c>
      <c r="J2307" s="1" t="s">
        <v>24235</v>
      </c>
      <c r="K2307" s="1"/>
      <c r="L2307" s="1" t="s">
        <v>27791</v>
      </c>
      <c r="M2307" s="1" t="s">
        <v>24238</v>
      </c>
      <c r="N2307" s="1" t="s">
        <v>24239</v>
      </c>
    </row>
    <row r="2308">
      <c r="A2308" s="1" t="s">
        <v>4153</v>
      </c>
      <c r="B2308" s="1">
        <v>2012.0</v>
      </c>
      <c r="C2308" s="1" t="s">
        <v>24240</v>
      </c>
      <c r="D2308" s="1" t="s">
        <v>24241</v>
      </c>
      <c r="E2308" s="2" t="s">
        <v>27792</v>
      </c>
      <c r="F2308" s="1">
        <v>2188.0</v>
      </c>
      <c r="G2308" s="1">
        <v>2197.0</v>
      </c>
      <c r="H2308" s="1" t="s">
        <v>17059</v>
      </c>
      <c r="I2308" s="1" t="s">
        <v>24242</v>
      </c>
      <c r="J2308" s="1" t="s">
        <v>24243</v>
      </c>
      <c r="K2308" s="1"/>
      <c r="L2308" s="1" t="s">
        <v>27793</v>
      </c>
      <c r="M2308" s="1" t="s">
        <v>24246</v>
      </c>
      <c r="N2308" s="1" t="s">
        <v>24247</v>
      </c>
    </row>
    <row r="2309">
      <c r="A2309" s="1" t="s">
        <v>4153</v>
      </c>
      <c r="B2309" s="1">
        <v>2012.0</v>
      </c>
      <c r="C2309" s="1" t="s">
        <v>24248</v>
      </c>
      <c r="D2309" s="1" t="s">
        <v>24249</v>
      </c>
      <c r="E2309" s="2" t="s">
        <v>27794</v>
      </c>
      <c r="F2309" s="1">
        <v>2061.0</v>
      </c>
      <c r="G2309" s="1">
        <v>2068.0</v>
      </c>
      <c r="H2309" s="1" t="s">
        <v>17059</v>
      </c>
      <c r="I2309" s="1" t="s">
        <v>24251</v>
      </c>
      <c r="J2309" s="1" t="s">
        <v>27795</v>
      </c>
      <c r="K2309" s="1"/>
      <c r="L2309" s="1" t="s">
        <v>1253</v>
      </c>
      <c r="M2309" s="1" t="s">
        <v>24256</v>
      </c>
      <c r="N2309" s="1" t="s">
        <v>24257</v>
      </c>
    </row>
    <row r="2310">
      <c r="A2310" s="1" t="s">
        <v>4153</v>
      </c>
      <c r="B2310" s="1">
        <v>2012.0</v>
      </c>
      <c r="C2310" s="1" t="s">
        <v>24260</v>
      </c>
      <c r="D2310" s="1" t="s">
        <v>24261</v>
      </c>
      <c r="E2310" s="2" t="s">
        <v>27796</v>
      </c>
      <c r="F2310" s="1">
        <v>2198.0</v>
      </c>
      <c r="G2310" s="1">
        <v>2207.0</v>
      </c>
      <c r="H2310" s="1" t="s">
        <v>17059</v>
      </c>
      <c r="I2310" s="1" t="s">
        <v>24262</v>
      </c>
      <c r="J2310" s="1" t="s">
        <v>27797</v>
      </c>
      <c r="K2310" s="1"/>
      <c r="L2310" s="1" t="s">
        <v>27798</v>
      </c>
      <c r="M2310" s="1" t="s">
        <v>22022</v>
      </c>
      <c r="N2310" s="1" t="s">
        <v>24265</v>
      </c>
    </row>
    <row r="2311">
      <c r="A2311" s="1" t="s">
        <v>4153</v>
      </c>
      <c r="B2311" s="1">
        <v>2012.0</v>
      </c>
      <c r="C2311" s="1" t="s">
        <v>24266</v>
      </c>
      <c r="D2311" s="1" t="s">
        <v>24267</v>
      </c>
      <c r="E2311" s="2" t="s">
        <v>27799</v>
      </c>
      <c r="F2311" s="1">
        <v>2023.0</v>
      </c>
      <c r="G2311" s="1">
        <v>2032.0</v>
      </c>
      <c r="H2311" s="1" t="s">
        <v>17059</v>
      </c>
      <c r="I2311" s="1" t="s">
        <v>24268</v>
      </c>
      <c r="J2311" s="1" t="s">
        <v>24269</v>
      </c>
      <c r="K2311" s="1"/>
      <c r="L2311" s="1" t="s">
        <v>25315</v>
      </c>
      <c r="M2311" s="1" t="s">
        <v>24271</v>
      </c>
      <c r="N2311" s="1" t="s">
        <v>24272</v>
      </c>
    </row>
    <row r="2312">
      <c r="A2312" s="1" t="s">
        <v>2137</v>
      </c>
      <c r="B2312" s="1">
        <v>2012.0</v>
      </c>
      <c r="C2312" s="1" t="s">
        <v>23868</v>
      </c>
      <c r="D2312" s="1" t="s">
        <v>23869</v>
      </c>
      <c r="E2312" s="2" t="s">
        <v>27800</v>
      </c>
      <c r="F2312" s="1">
        <v>2526.0</v>
      </c>
      <c r="G2312" s="1">
        <v>2535.0</v>
      </c>
      <c r="H2312" s="1" t="s">
        <v>17059</v>
      </c>
      <c r="I2312" s="1" t="s">
        <v>23870</v>
      </c>
      <c r="J2312" s="1" t="s">
        <v>23871</v>
      </c>
      <c r="K2312" s="1"/>
      <c r="L2312" s="1" t="s">
        <v>23188</v>
      </c>
      <c r="M2312" s="1" t="s">
        <v>23872</v>
      </c>
      <c r="N2312" s="1" t="s">
        <v>23873</v>
      </c>
    </row>
    <row r="2313">
      <c r="A2313" s="1" t="s">
        <v>2137</v>
      </c>
      <c r="B2313" s="1">
        <v>2012.0</v>
      </c>
      <c r="C2313" s="1" t="s">
        <v>23874</v>
      </c>
      <c r="D2313" s="1" t="s">
        <v>23875</v>
      </c>
      <c r="E2313" s="2" t="s">
        <v>27801</v>
      </c>
      <c r="F2313" s="1">
        <v>2467.0</v>
      </c>
      <c r="G2313" s="1">
        <v>2476.0</v>
      </c>
      <c r="H2313" s="1" t="s">
        <v>17059</v>
      </c>
      <c r="I2313" s="1" t="s">
        <v>23876</v>
      </c>
      <c r="J2313" s="1" t="s">
        <v>23877</v>
      </c>
      <c r="K2313" s="1"/>
      <c r="L2313" s="1" t="s">
        <v>13886</v>
      </c>
      <c r="M2313" s="1" t="s">
        <v>23880</v>
      </c>
      <c r="N2313" s="1" t="s">
        <v>23881</v>
      </c>
    </row>
    <row r="2314">
      <c r="A2314" s="1" t="s">
        <v>4153</v>
      </c>
      <c r="B2314" s="1">
        <v>2012.0</v>
      </c>
      <c r="C2314" s="1" t="s">
        <v>24274</v>
      </c>
      <c r="D2314" s="1" t="s">
        <v>24275</v>
      </c>
      <c r="E2314" s="2" t="s">
        <v>27802</v>
      </c>
      <c r="F2314" s="1">
        <v>2033.0</v>
      </c>
      <c r="G2314" s="1">
        <v>2040.0</v>
      </c>
      <c r="H2314" s="1" t="s">
        <v>17059</v>
      </c>
      <c r="I2314" s="1" t="s">
        <v>24276</v>
      </c>
      <c r="J2314" s="1" t="s">
        <v>24277</v>
      </c>
      <c r="K2314" s="1"/>
      <c r="L2314" s="1" t="s">
        <v>27803</v>
      </c>
      <c r="M2314" s="1" t="s">
        <v>19805</v>
      </c>
      <c r="N2314" s="1" t="s">
        <v>24280</v>
      </c>
    </row>
    <row r="2315">
      <c r="A2315" s="1" t="s">
        <v>2137</v>
      </c>
      <c r="B2315" s="1">
        <v>2012.0</v>
      </c>
      <c r="C2315" s="1" t="s">
        <v>23883</v>
      </c>
      <c r="D2315" s="1" t="s">
        <v>23884</v>
      </c>
      <c r="E2315" s="2" t="s">
        <v>27804</v>
      </c>
      <c r="F2315" s="1">
        <v>2809.0</v>
      </c>
      <c r="G2315" s="1">
        <v>2818.0</v>
      </c>
      <c r="H2315" s="1" t="s">
        <v>17059</v>
      </c>
      <c r="I2315" s="1" t="s">
        <v>23955</v>
      </c>
      <c r="J2315" s="1" t="s">
        <v>23956</v>
      </c>
      <c r="K2315" s="1"/>
      <c r="L2315" s="1" t="s">
        <v>27805</v>
      </c>
      <c r="M2315" s="1" t="s">
        <v>23958</v>
      </c>
      <c r="N2315" s="1" t="s">
        <v>23959</v>
      </c>
    </row>
    <row r="2316">
      <c r="A2316" s="1" t="s">
        <v>2137</v>
      </c>
      <c r="B2316" s="1">
        <v>2012.0</v>
      </c>
      <c r="C2316" s="1" t="s">
        <v>23960</v>
      </c>
      <c r="D2316" s="1" t="s">
        <v>23961</v>
      </c>
      <c r="E2316" s="2" t="s">
        <v>27806</v>
      </c>
      <c r="F2316" s="1">
        <v>2649.0</v>
      </c>
      <c r="G2316" s="1">
        <v>2658.0</v>
      </c>
      <c r="H2316" s="1" t="s">
        <v>17059</v>
      </c>
      <c r="I2316" s="1" t="s">
        <v>27807</v>
      </c>
      <c r="J2316" s="1" t="s">
        <v>23964</v>
      </c>
      <c r="K2316" s="1"/>
      <c r="L2316" s="1" t="s">
        <v>26881</v>
      </c>
      <c r="M2316" s="1" t="s">
        <v>23967</v>
      </c>
      <c r="N2316" s="1" t="s">
        <v>23968</v>
      </c>
    </row>
    <row r="2317">
      <c r="A2317" s="1" t="s">
        <v>4153</v>
      </c>
      <c r="B2317" s="1">
        <v>2012.0</v>
      </c>
      <c r="C2317" s="1" t="s">
        <v>24281</v>
      </c>
      <c r="D2317" s="1" t="s">
        <v>24282</v>
      </c>
      <c r="E2317" s="2" t="s">
        <v>27808</v>
      </c>
      <c r="F2317" s="1">
        <v>2236.0</v>
      </c>
      <c r="G2317" s="1">
        <v>2244.0</v>
      </c>
      <c r="H2317" s="1" t="s">
        <v>17059</v>
      </c>
      <c r="I2317" s="1" t="s">
        <v>27809</v>
      </c>
      <c r="J2317" s="1" t="s">
        <v>24286</v>
      </c>
      <c r="K2317" s="1"/>
      <c r="L2317" s="1" t="s">
        <v>27810</v>
      </c>
      <c r="M2317" s="1" t="s">
        <v>24289</v>
      </c>
      <c r="N2317" s="1" t="s">
        <v>24290</v>
      </c>
    </row>
    <row r="2318">
      <c r="A2318" s="1" t="s">
        <v>120</v>
      </c>
      <c r="B2318" s="1">
        <v>2012.0</v>
      </c>
      <c r="C2318" s="1" t="s">
        <v>24371</v>
      </c>
      <c r="D2318" s="1" t="s">
        <v>24372</v>
      </c>
      <c r="E2318" s="2" t="s">
        <v>27811</v>
      </c>
      <c r="F2318" s="1">
        <v>103.0</v>
      </c>
      <c r="G2318" s="1">
        <v>112.0</v>
      </c>
      <c r="H2318" s="1" t="s">
        <v>28</v>
      </c>
      <c r="I2318" s="1" t="s">
        <v>24373</v>
      </c>
      <c r="J2318" s="1" t="s">
        <v>24374</v>
      </c>
      <c r="K2318" s="1"/>
      <c r="L2318" s="1" t="s">
        <v>494</v>
      </c>
      <c r="M2318" s="1" t="s">
        <v>24377</v>
      </c>
      <c r="N2318" s="1" t="s">
        <v>24378</v>
      </c>
    </row>
    <row r="2319">
      <c r="A2319" s="1" t="s">
        <v>120</v>
      </c>
      <c r="B2319" s="1">
        <v>2012.0</v>
      </c>
      <c r="C2319" s="1" t="s">
        <v>24379</v>
      </c>
      <c r="D2319" s="1" t="s">
        <v>24380</v>
      </c>
      <c r="E2319" s="2" t="s">
        <v>27812</v>
      </c>
      <c r="F2319" s="1">
        <v>93.0</v>
      </c>
      <c r="G2319" s="1">
        <v>102.0</v>
      </c>
      <c r="H2319" s="1" t="s">
        <v>28</v>
      </c>
      <c r="I2319" s="1" t="s">
        <v>24382</v>
      </c>
      <c r="J2319" s="1" t="s">
        <v>24383</v>
      </c>
      <c r="K2319" s="1"/>
      <c r="L2319" s="1" t="s">
        <v>25727</v>
      </c>
      <c r="M2319" s="1" t="s">
        <v>24385</v>
      </c>
    </row>
    <row r="2320">
      <c r="A2320" s="1" t="s">
        <v>120</v>
      </c>
      <c r="B2320" s="1">
        <v>2012.0</v>
      </c>
      <c r="C2320" s="1" t="s">
        <v>24387</v>
      </c>
      <c r="D2320" s="1" t="s">
        <v>24388</v>
      </c>
      <c r="E2320" s="2" t="s">
        <v>27813</v>
      </c>
      <c r="F2320" s="1">
        <v>83.0</v>
      </c>
      <c r="G2320" s="1">
        <v>92.0</v>
      </c>
      <c r="H2320" s="1" t="s">
        <v>28</v>
      </c>
      <c r="I2320" s="1" t="s">
        <v>24389</v>
      </c>
      <c r="J2320" s="1" t="s">
        <v>24390</v>
      </c>
      <c r="K2320" s="1"/>
      <c r="L2320" s="1" t="s">
        <v>27814</v>
      </c>
      <c r="M2320" s="1" t="s">
        <v>24392</v>
      </c>
    </row>
    <row r="2321">
      <c r="A2321" s="1" t="s">
        <v>120</v>
      </c>
      <c r="B2321" s="1">
        <v>2012.0</v>
      </c>
      <c r="C2321" s="1" t="s">
        <v>24393</v>
      </c>
      <c r="D2321" s="1" t="s">
        <v>24394</v>
      </c>
      <c r="E2321" s="2" t="s">
        <v>27815</v>
      </c>
      <c r="F2321" s="1">
        <v>73.0</v>
      </c>
      <c r="G2321" s="1">
        <v>82.0</v>
      </c>
      <c r="H2321" s="1" t="s">
        <v>28</v>
      </c>
      <c r="I2321" s="1" t="s">
        <v>24395</v>
      </c>
      <c r="J2321" s="1" t="s">
        <v>24396</v>
      </c>
      <c r="L2321" s="1"/>
      <c r="M2321" s="1" t="s">
        <v>24398</v>
      </c>
      <c r="N2321" s="1" t="s">
        <v>24399</v>
      </c>
    </row>
    <row r="2322">
      <c r="A2322" s="1" t="s">
        <v>120</v>
      </c>
      <c r="B2322" s="1">
        <v>2012.0</v>
      </c>
      <c r="C2322" s="1" t="s">
        <v>24400</v>
      </c>
      <c r="D2322" s="1" t="s">
        <v>24401</v>
      </c>
      <c r="E2322" s="2" t="s">
        <v>27816</v>
      </c>
      <c r="F2322" s="1">
        <v>63.0</v>
      </c>
      <c r="G2322" s="1">
        <v>72.0</v>
      </c>
      <c r="H2322" s="1" t="s">
        <v>28</v>
      </c>
      <c r="I2322" s="1" t="s">
        <v>24403</v>
      </c>
      <c r="J2322" s="1" t="s">
        <v>27817</v>
      </c>
      <c r="K2322" s="1"/>
      <c r="L2322" s="1" t="s">
        <v>23476</v>
      </c>
      <c r="M2322" s="1" t="s">
        <v>24407</v>
      </c>
    </row>
    <row r="2323">
      <c r="A2323" s="1" t="s">
        <v>120</v>
      </c>
      <c r="B2323" s="1">
        <v>2012.0</v>
      </c>
      <c r="C2323" s="1" t="s">
        <v>24409</v>
      </c>
      <c r="D2323" s="1" t="s">
        <v>24410</v>
      </c>
      <c r="E2323" s="2" t="s">
        <v>27818</v>
      </c>
      <c r="F2323" s="1">
        <v>53.0</v>
      </c>
      <c r="G2323" s="1">
        <v>62.0</v>
      </c>
      <c r="H2323" s="1" t="s">
        <v>28</v>
      </c>
      <c r="I2323" s="1" t="s">
        <v>24411</v>
      </c>
      <c r="J2323" s="1" t="s">
        <v>24412</v>
      </c>
      <c r="K2323" s="1"/>
      <c r="L2323" s="1" t="s">
        <v>860</v>
      </c>
      <c r="M2323" s="1" t="s">
        <v>24415</v>
      </c>
    </row>
    <row r="2324">
      <c r="A2324" s="1" t="s">
        <v>120</v>
      </c>
      <c r="B2324" s="1">
        <v>2012.0</v>
      </c>
      <c r="C2324" s="1" t="s">
        <v>24416</v>
      </c>
      <c r="D2324" s="1" t="s">
        <v>24417</v>
      </c>
      <c r="E2324" s="2" t="s">
        <v>27819</v>
      </c>
      <c r="F2324" s="1">
        <v>43.0</v>
      </c>
      <c r="G2324" s="1">
        <v>52.0</v>
      </c>
      <c r="H2324" s="1" t="s">
        <v>28</v>
      </c>
      <c r="I2324" s="1" t="s">
        <v>24418</v>
      </c>
      <c r="J2324" s="1" t="s">
        <v>22889</v>
      </c>
      <c r="K2324" s="1"/>
      <c r="L2324" s="1" t="s">
        <v>25331</v>
      </c>
      <c r="M2324" s="1" t="s">
        <v>24421</v>
      </c>
      <c r="N2324" s="1" t="s">
        <v>24422</v>
      </c>
    </row>
    <row r="2325">
      <c r="A2325" s="1" t="s">
        <v>120</v>
      </c>
      <c r="B2325" s="1">
        <v>2012.0</v>
      </c>
      <c r="C2325" s="1" t="s">
        <v>24423</v>
      </c>
      <c r="D2325" s="1" t="s">
        <v>24424</v>
      </c>
      <c r="E2325" s="2" t="s">
        <v>27820</v>
      </c>
      <c r="F2325" s="1">
        <v>33.0</v>
      </c>
      <c r="G2325" s="1">
        <v>42.0</v>
      </c>
      <c r="H2325" s="1" t="s">
        <v>28</v>
      </c>
      <c r="I2325" s="1" t="s">
        <v>24426</v>
      </c>
      <c r="J2325" s="1" t="s">
        <v>24427</v>
      </c>
      <c r="K2325" s="1"/>
      <c r="L2325" s="1" t="s">
        <v>27821</v>
      </c>
      <c r="M2325" s="1" t="s">
        <v>24429</v>
      </c>
      <c r="N2325" s="1" t="s">
        <v>24430</v>
      </c>
    </row>
    <row r="2326">
      <c r="A2326" s="1" t="s">
        <v>120</v>
      </c>
      <c r="B2326" s="1">
        <v>2012.0</v>
      </c>
      <c r="C2326" s="1" t="s">
        <v>24431</v>
      </c>
      <c r="D2326" s="1" t="s">
        <v>24432</v>
      </c>
      <c r="E2326" s="2" t="s">
        <v>27822</v>
      </c>
      <c r="F2326" s="1">
        <v>23.0</v>
      </c>
      <c r="G2326" s="1">
        <v>32.0</v>
      </c>
      <c r="H2326" s="1" t="s">
        <v>28</v>
      </c>
      <c r="I2326" s="1" t="s">
        <v>24433</v>
      </c>
      <c r="J2326" s="1" t="s">
        <v>27823</v>
      </c>
      <c r="K2326" s="1"/>
      <c r="L2326" s="1" t="s">
        <v>880</v>
      </c>
      <c r="M2326" s="1" t="s">
        <v>24436</v>
      </c>
    </row>
    <row r="2327">
      <c r="A2327" s="1" t="s">
        <v>120</v>
      </c>
      <c r="B2327" s="1">
        <v>2012.0</v>
      </c>
      <c r="C2327" s="1" t="s">
        <v>24437</v>
      </c>
      <c r="D2327" s="1" t="s">
        <v>24438</v>
      </c>
      <c r="E2327" s="2" t="s">
        <v>27824</v>
      </c>
      <c r="F2327" s="1">
        <v>13.0</v>
      </c>
      <c r="G2327" s="1">
        <v>22.0</v>
      </c>
      <c r="H2327" s="1" t="s">
        <v>28</v>
      </c>
      <c r="I2327" s="1" t="s">
        <v>24440</v>
      </c>
      <c r="J2327" s="1" t="s">
        <v>24442</v>
      </c>
      <c r="K2327" s="1"/>
      <c r="L2327" s="1" t="s">
        <v>27825</v>
      </c>
      <c r="M2327" s="1" t="s">
        <v>24443</v>
      </c>
    </row>
    <row r="2328">
      <c r="A2328" s="1" t="s">
        <v>120</v>
      </c>
      <c r="B2328" s="1">
        <v>2012.0</v>
      </c>
      <c r="C2328" s="1" t="s">
        <v>24444</v>
      </c>
      <c r="D2328" s="1" t="s">
        <v>24445</v>
      </c>
      <c r="E2328" s="2" t="s">
        <v>27826</v>
      </c>
      <c r="F2328" s="1">
        <v>3.0</v>
      </c>
      <c r="G2328" s="1">
        <v>12.0</v>
      </c>
      <c r="H2328" s="1" t="s">
        <v>28</v>
      </c>
      <c r="I2328" s="1" t="s">
        <v>24446</v>
      </c>
      <c r="J2328" s="1" t="s">
        <v>24447</v>
      </c>
      <c r="K2328" s="1"/>
      <c r="L2328" s="1" t="s">
        <v>5349</v>
      </c>
      <c r="M2328" s="1" t="s">
        <v>24449</v>
      </c>
    </row>
    <row r="2329">
      <c r="A2329" s="1" t="s">
        <v>120</v>
      </c>
      <c r="B2329" s="1">
        <v>2012.0</v>
      </c>
      <c r="C2329" s="1" t="s">
        <v>24450</v>
      </c>
      <c r="D2329" s="1" t="s">
        <v>24451</v>
      </c>
      <c r="E2329" s="2" t="s">
        <v>27827</v>
      </c>
      <c r="F2329" s="1">
        <v>247.0</v>
      </c>
      <c r="G2329" s="1">
        <v>248.0</v>
      </c>
      <c r="H2329" s="1" t="s">
        <v>21</v>
      </c>
      <c r="I2329" s="1" t="s">
        <v>24452</v>
      </c>
      <c r="J2329" s="1" t="s">
        <v>24453</v>
      </c>
      <c r="K2329" s="1"/>
      <c r="L2329" s="1" t="s">
        <v>5349</v>
      </c>
    </row>
    <row r="2330">
      <c r="A2330" s="1" t="s">
        <v>120</v>
      </c>
      <c r="B2330" s="1">
        <v>2012.0</v>
      </c>
      <c r="C2330" s="1" t="s">
        <v>24454</v>
      </c>
      <c r="D2330" s="1" t="s">
        <v>24455</v>
      </c>
      <c r="E2330" s="2" t="s">
        <v>27828</v>
      </c>
      <c r="F2330" s="1">
        <v>245.0</v>
      </c>
      <c r="G2330" s="1">
        <v>246.0</v>
      </c>
      <c r="H2330" s="1" t="s">
        <v>21</v>
      </c>
      <c r="I2330" s="1" t="s">
        <v>24457</v>
      </c>
      <c r="J2330" s="1" t="s">
        <v>24458</v>
      </c>
      <c r="K2330" s="1"/>
      <c r="L2330" s="1" t="s">
        <v>27829</v>
      </c>
    </row>
    <row r="2331">
      <c r="A2331" s="1" t="s">
        <v>120</v>
      </c>
      <c r="B2331" s="1">
        <v>2012.0</v>
      </c>
      <c r="C2331" s="1" t="s">
        <v>24461</v>
      </c>
      <c r="D2331" s="1" t="s">
        <v>24463</v>
      </c>
      <c r="E2331" s="2" t="s">
        <v>27830</v>
      </c>
      <c r="F2331" s="1">
        <v>243.0</v>
      </c>
      <c r="G2331" s="1">
        <v>244.0</v>
      </c>
      <c r="H2331" s="1" t="s">
        <v>21</v>
      </c>
      <c r="I2331" s="1" t="s">
        <v>24464</v>
      </c>
      <c r="J2331" s="1" t="s">
        <v>24465</v>
      </c>
      <c r="K2331" s="1"/>
      <c r="L2331" s="1" t="s">
        <v>27831</v>
      </c>
    </row>
    <row r="2332">
      <c r="A2332" s="1" t="s">
        <v>120</v>
      </c>
      <c r="B2332" s="1">
        <v>2012.0</v>
      </c>
      <c r="C2332" s="1" t="s">
        <v>24467</v>
      </c>
      <c r="D2332" s="1" t="s">
        <v>24468</v>
      </c>
      <c r="E2332" s="2" t="s">
        <v>27832</v>
      </c>
      <c r="F2332" s="1">
        <v>241.0</v>
      </c>
      <c r="G2332" s="1">
        <v>242.0</v>
      </c>
      <c r="H2332" s="1" t="s">
        <v>21</v>
      </c>
      <c r="I2332" s="1" t="s">
        <v>24469</v>
      </c>
      <c r="J2332" s="1" t="s">
        <v>24470</v>
      </c>
    </row>
    <row r="2333">
      <c r="A2333" s="1" t="s">
        <v>120</v>
      </c>
      <c r="B2333" s="1">
        <v>2012.0</v>
      </c>
      <c r="C2333" s="1" t="s">
        <v>24472</v>
      </c>
      <c r="D2333" s="1" t="s">
        <v>24473</v>
      </c>
      <c r="E2333" s="2" t="s">
        <v>27833</v>
      </c>
      <c r="F2333" s="1">
        <v>239.0</v>
      </c>
      <c r="G2333" s="1">
        <v>240.0</v>
      </c>
      <c r="H2333" s="1" t="s">
        <v>21</v>
      </c>
      <c r="I2333" s="1" t="s">
        <v>24475</v>
      </c>
      <c r="J2333" s="1" t="s">
        <v>27834</v>
      </c>
      <c r="K2333" s="1"/>
      <c r="L2333" s="1" t="s">
        <v>23476</v>
      </c>
    </row>
    <row r="2334">
      <c r="A2334" s="1" t="s">
        <v>120</v>
      </c>
      <c r="B2334" s="1">
        <v>2012.0</v>
      </c>
      <c r="C2334" s="1" t="s">
        <v>24479</v>
      </c>
      <c r="D2334" s="1" t="s">
        <v>24480</v>
      </c>
      <c r="E2334" s="2" t="s">
        <v>27835</v>
      </c>
      <c r="F2334" s="1">
        <v>237.0</v>
      </c>
      <c r="G2334" s="1">
        <v>238.0</v>
      </c>
      <c r="H2334" s="1" t="s">
        <v>21</v>
      </c>
      <c r="I2334" s="1" t="s">
        <v>24481</v>
      </c>
      <c r="J2334" s="1" t="s">
        <v>24482</v>
      </c>
      <c r="K2334" s="1"/>
      <c r="L2334" s="1" t="s">
        <v>5349</v>
      </c>
    </row>
    <row r="2335">
      <c r="A2335" s="1" t="s">
        <v>120</v>
      </c>
      <c r="B2335" s="1">
        <v>2012.0</v>
      </c>
      <c r="C2335" s="1" t="s">
        <v>24484</v>
      </c>
      <c r="D2335" s="1" t="s">
        <v>24485</v>
      </c>
      <c r="E2335" s="2" t="s">
        <v>27836</v>
      </c>
      <c r="F2335" s="1">
        <v>235.0</v>
      </c>
      <c r="G2335" s="1">
        <v>236.0</v>
      </c>
      <c r="H2335" s="1" t="s">
        <v>21</v>
      </c>
      <c r="I2335" s="1" t="s">
        <v>24486</v>
      </c>
      <c r="J2335" s="1" t="s">
        <v>24487</v>
      </c>
      <c r="K2335" s="1"/>
      <c r="L2335" s="1" t="s">
        <v>25680</v>
      </c>
    </row>
    <row r="2336">
      <c r="A2336" s="1" t="s">
        <v>120</v>
      </c>
      <c r="B2336" s="1">
        <v>2012.0</v>
      </c>
      <c r="C2336" s="1" t="s">
        <v>24489</v>
      </c>
      <c r="D2336" s="1" t="s">
        <v>24491</v>
      </c>
      <c r="E2336" s="2" t="s">
        <v>27837</v>
      </c>
      <c r="F2336" s="1">
        <v>233.0</v>
      </c>
      <c r="G2336" s="1">
        <v>234.0</v>
      </c>
      <c r="H2336" s="1" t="s">
        <v>21</v>
      </c>
      <c r="I2336" s="1" t="s">
        <v>24492</v>
      </c>
      <c r="J2336" s="1" t="s">
        <v>24493</v>
      </c>
      <c r="K2336" s="1"/>
      <c r="L2336" s="1" t="s">
        <v>11861</v>
      </c>
    </row>
    <row r="2337">
      <c r="A2337" s="1" t="s">
        <v>120</v>
      </c>
      <c r="B2337" s="1">
        <v>2012.0</v>
      </c>
      <c r="C2337" s="1" t="s">
        <v>24496</v>
      </c>
      <c r="D2337" s="1" t="s">
        <v>24497</v>
      </c>
      <c r="E2337" s="2" t="s">
        <v>27838</v>
      </c>
      <c r="F2337" s="1">
        <v>231.0</v>
      </c>
      <c r="G2337" s="1">
        <v>232.0</v>
      </c>
      <c r="H2337" s="1" t="s">
        <v>21</v>
      </c>
      <c r="I2337" s="1" t="s">
        <v>24498</v>
      </c>
      <c r="J2337" s="1" t="s">
        <v>24499</v>
      </c>
      <c r="K2337" s="1"/>
      <c r="L2337" s="1" t="s">
        <v>26087</v>
      </c>
    </row>
    <row r="2338">
      <c r="A2338" s="1" t="s">
        <v>120</v>
      </c>
      <c r="B2338" s="1">
        <v>2012.0</v>
      </c>
      <c r="C2338" s="1" t="s">
        <v>24500</v>
      </c>
      <c r="D2338" s="1" t="s">
        <v>24501</v>
      </c>
      <c r="E2338" s="2" t="s">
        <v>27839</v>
      </c>
      <c r="F2338" s="1">
        <v>229.0</v>
      </c>
      <c r="G2338" s="1">
        <v>230.0</v>
      </c>
      <c r="H2338" s="1" t="s">
        <v>21</v>
      </c>
      <c r="I2338" s="1" t="s">
        <v>24502</v>
      </c>
      <c r="J2338" s="1" t="s">
        <v>24503</v>
      </c>
      <c r="K2338" s="1"/>
      <c r="L2338" s="1" t="s">
        <v>5349</v>
      </c>
    </row>
    <row r="2339">
      <c r="A2339" s="1" t="s">
        <v>120</v>
      </c>
      <c r="B2339" s="1">
        <v>2012.0</v>
      </c>
      <c r="C2339" s="1" t="s">
        <v>24505</v>
      </c>
      <c r="D2339" s="1" t="s">
        <v>24506</v>
      </c>
      <c r="E2339" s="2" t="s">
        <v>27840</v>
      </c>
      <c r="F2339" s="1">
        <v>227.0</v>
      </c>
      <c r="G2339" s="1">
        <v>228.0</v>
      </c>
      <c r="H2339" s="1" t="s">
        <v>21</v>
      </c>
      <c r="I2339" s="1" t="s">
        <v>24508</v>
      </c>
      <c r="J2339" s="1" t="s">
        <v>24509</v>
      </c>
      <c r="K2339" s="1"/>
      <c r="L2339" s="1" t="s">
        <v>27841</v>
      </c>
    </row>
    <row r="2340">
      <c r="A2340" s="1" t="s">
        <v>120</v>
      </c>
      <c r="B2340" s="1">
        <v>2012.0</v>
      </c>
      <c r="C2340" s="1" t="s">
        <v>24512</v>
      </c>
      <c r="D2340" s="1" t="s">
        <v>24513</v>
      </c>
      <c r="E2340" s="2" t="s">
        <v>27842</v>
      </c>
      <c r="F2340" s="1">
        <v>225.0</v>
      </c>
      <c r="G2340" s="1">
        <v>226.0</v>
      </c>
      <c r="H2340" s="1" t="s">
        <v>21</v>
      </c>
      <c r="I2340" s="1" t="s">
        <v>24514</v>
      </c>
      <c r="J2340" s="1" t="s">
        <v>27843</v>
      </c>
      <c r="K2340" s="1"/>
      <c r="L2340" s="1" t="s">
        <v>27844</v>
      </c>
    </row>
    <row r="2341">
      <c r="A2341" s="1" t="s">
        <v>120</v>
      </c>
      <c r="B2341" s="1">
        <v>2012.0</v>
      </c>
      <c r="C2341" s="1" t="s">
        <v>24518</v>
      </c>
      <c r="D2341" s="1" t="s">
        <v>24519</v>
      </c>
      <c r="E2341" s="2" t="s">
        <v>27845</v>
      </c>
      <c r="F2341" s="1">
        <v>223.0</v>
      </c>
      <c r="G2341" s="1">
        <v>224.0</v>
      </c>
      <c r="H2341" s="1" t="s">
        <v>21</v>
      </c>
      <c r="I2341" s="1" t="s">
        <v>24520</v>
      </c>
      <c r="J2341" s="1" t="s">
        <v>24521</v>
      </c>
      <c r="K2341" s="1"/>
      <c r="L2341" s="1" t="s">
        <v>27846</v>
      </c>
    </row>
    <row r="2342">
      <c r="A2342" s="1" t="s">
        <v>120</v>
      </c>
      <c r="B2342" s="1">
        <v>2012.0</v>
      </c>
      <c r="C2342" s="1" t="s">
        <v>24523</v>
      </c>
      <c r="D2342" s="1" t="s">
        <v>24524</v>
      </c>
      <c r="E2342" s="2" t="s">
        <v>27847</v>
      </c>
      <c r="F2342" s="1">
        <v>221.0</v>
      </c>
      <c r="G2342" s="1">
        <v>222.0</v>
      </c>
      <c r="H2342" s="1" t="s">
        <v>21</v>
      </c>
      <c r="I2342" s="1" t="s">
        <v>27848</v>
      </c>
      <c r="J2342" s="1" t="s">
        <v>21853</v>
      </c>
      <c r="K2342" s="1"/>
      <c r="L2342" s="1" t="s">
        <v>27849</v>
      </c>
    </row>
    <row r="2343">
      <c r="A2343" s="1" t="s">
        <v>120</v>
      </c>
      <c r="B2343" s="1">
        <v>2012.0</v>
      </c>
      <c r="C2343" s="1" t="s">
        <v>24528</v>
      </c>
      <c r="D2343" s="1" t="s">
        <v>24530</v>
      </c>
      <c r="E2343" s="2" t="s">
        <v>27850</v>
      </c>
      <c r="F2343" s="1">
        <v>219.0</v>
      </c>
      <c r="G2343" s="1">
        <v>220.0</v>
      </c>
      <c r="H2343" s="1" t="s">
        <v>21</v>
      </c>
      <c r="I2343" s="1" t="s">
        <v>24531</v>
      </c>
      <c r="J2343" s="1" t="s">
        <v>24532</v>
      </c>
      <c r="K2343" s="1"/>
      <c r="L2343" s="1" t="s">
        <v>178</v>
      </c>
    </row>
    <row r="2344">
      <c r="A2344" s="1" t="s">
        <v>120</v>
      </c>
      <c r="B2344" s="1">
        <v>2012.0</v>
      </c>
      <c r="C2344" s="1" t="s">
        <v>24534</v>
      </c>
      <c r="D2344" s="1" t="s">
        <v>24535</v>
      </c>
      <c r="E2344" s="2" t="s">
        <v>27851</v>
      </c>
      <c r="F2344" s="1">
        <v>217.0</v>
      </c>
      <c r="G2344" s="1">
        <v>218.0</v>
      </c>
      <c r="H2344" s="1" t="s">
        <v>21</v>
      </c>
      <c r="I2344" s="1" t="s">
        <v>24536</v>
      </c>
      <c r="J2344" s="1" t="s">
        <v>24537</v>
      </c>
      <c r="K2344" s="1"/>
      <c r="L2344" s="1" t="s">
        <v>26087</v>
      </c>
    </row>
    <row r="2345">
      <c r="A2345" s="1" t="s">
        <v>120</v>
      </c>
      <c r="B2345" s="1">
        <v>2012.0</v>
      </c>
      <c r="C2345" s="1" t="s">
        <v>24539</v>
      </c>
      <c r="D2345" s="1" t="s">
        <v>24540</v>
      </c>
      <c r="E2345" s="2" t="s">
        <v>27852</v>
      </c>
      <c r="F2345" s="1">
        <v>215.0</v>
      </c>
      <c r="G2345" s="1">
        <v>216.0</v>
      </c>
      <c r="H2345" s="1" t="s">
        <v>21</v>
      </c>
      <c r="I2345" s="1" t="s">
        <v>24542</v>
      </c>
      <c r="J2345" s="1" t="s">
        <v>27853</v>
      </c>
      <c r="K2345" s="1"/>
      <c r="L2345" s="1" t="s">
        <v>27854</v>
      </c>
    </row>
    <row r="2346">
      <c r="A2346" s="1" t="s">
        <v>120</v>
      </c>
      <c r="B2346" s="1">
        <v>2012.0</v>
      </c>
      <c r="C2346" s="1" t="s">
        <v>24547</v>
      </c>
      <c r="D2346" s="1" t="s">
        <v>24548</v>
      </c>
      <c r="E2346" s="2" t="s">
        <v>27855</v>
      </c>
      <c r="F2346" s="1">
        <v>213.0</v>
      </c>
      <c r="G2346" s="1">
        <v>214.0</v>
      </c>
      <c r="H2346" s="1" t="s">
        <v>21</v>
      </c>
      <c r="I2346" s="1" t="s">
        <v>24550</v>
      </c>
      <c r="J2346" s="1" t="s">
        <v>27864</v>
      </c>
      <c r="K2346" s="1"/>
      <c r="L2346" s="1" t="s">
        <v>494</v>
      </c>
    </row>
    <row r="2347">
      <c r="A2347" s="1" t="s">
        <v>120</v>
      </c>
      <c r="B2347" s="1">
        <v>2012.0</v>
      </c>
      <c r="C2347" s="1" t="s">
        <v>24554</v>
      </c>
      <c r="D2347" s="1" t="s">
        <v>24555</v>
      </c>
      <c r="E2347" s="2" t="s">
        <v>27865</v>
      </c>
      <c r="F2347" s="1">
        <v>211.0</v>
      </c>
      <c r="G2347" s="1">
        <v>212.0</v>
      </c>
      <c r="H2347" s="1" t="s">
        <v>21</v>
      </c>
      <c r="I2347" s="1" t="s">
        <v>24556</v>
      </c>
      <c r="J2347" s="1" t="s">
        <v>24557</v>
      </c>
      <c r="K2347" s="1"/>
      <c r="L2347" s="1" t="s">
        <v>27877</v>
      </c>
    </row>
    <row r="2348">
      <c r="A2348" s="1" t="s">
        <v>120</v>
      </c>
      <c r="B2348" s="1">
        <v>2012.0</v>
      </c>
      <c r="C2348" s="1" t="s">
        <v>24560</v>
      </c>
      <c r="D2348" s="1" t="s">
        <v>24561</v>
      </c>
      <c r="E2348" s="2" t="s">
        <v>27880</v>
      </c>
      <c r="F2348" s="1">
        <v>209.0</v>
      </c>
      <c r="G2348" s="1">
        <v>210.0</v>
      </c>
      <c r="H2348" s="1" t="s">
        <v>21</v>
      </c>
      <c r="I2348" s="1" t="s">
        <v>24562</v>
      </c>
      <c r="J2348" s="1" t="s">
        <v>27891</v>
      </c>
      <c r="K2348" s="1"/>
      <c r="L2348" s="1" t="s">
        <v>880</v>
      </c>
    </row>
    <row r="2349">
      <c r="A2349" s="1" t="s">
        <v>120</v>
      </c>
      <c r="B2349" s="1">
        <v>2012.0</v>
      </c>
      <c r="C2349" s="1" t="s">
        <v>24567</v>
      </c>
      <c r="D2349" s="1" t="s">
        <v>24568</v>
      </c>
      <c r="E2349" s="2" t="s">
        <v>27893</v>
      </c>
      <c r="F2349" s="1">
        <v>207.0</v>
      </c>
      <c r="G2349" s="1">
        <v>208.0</v>
      </c>
      <c r="H2349" s="1" t="s">
        <v>21</v>
      </c>
      <c r="I2349" s="1" t="s">
        <v>27903</v>
      </c>
      <c r="J2349" s="1" t="s">
        <v>24571</v>
      </c>
      <c r="K2349" s="1"/>
      <c r="L2349" s="1" t="s">
        <v>27904</v>
      </c>
    </row>
    <row r="2350">
      <c r="A2350" s="1" t="s">
        <v>120</v>
      </c>
      <c r="B2350" s="1">
        <v>2012.0</v>
      </c>
      <c r="C2350" s="1" t="s">
        <v>24573</v>
      </c>
      <c r="D2350" s="1" t="s">
        <v>24574</v>
      </c>
      <c r="E2350" s="2" t="s">
        <v>27905</v>
      </c>
      <c r="F2350" s="1">
        <v>204.0</v>
      </c>
      <c r="G2350" s="1">
        <v>206.0</v>
      </c>
      <c r="H2350" s="1" t="s">
        <v>21</v>
      </c>
      <c r="I2350" s="1" t="s">
        <v>27915</v>
      </c>
      <c r="J2350" s="1" t="s">
        <v>24576</v>
      </c>
      <c r="K2350" s="1"/>
      <c r="L2350" s="1" t="s">
        <v>27916</v>
      </c>
    </row>
    <row r="2351">
      <c r="A2351" s="1" t="s">
        <v>120</v>
      </c>
      <c r="B2351" s="1">
        <v>2012.0</v>
      </c>
      <c r="C2351" s="1" t="s">
        <v>24579</v>
      </c>
      <c r="D2351" s="1" t="s">
        <v>24580</v>
      </c>
      <c r="E2351" s="2" t="s">
        <v>27918</v>
      </c>
      <c r="F2351" s="1">
        <v>193.0</v>
      </c>
      <c r="G2351" s="1">
        <v>202.0</v>
      </c>
      <c r="H2351" s="1" t="s">
        <v>28</v>
      </c>
      <c r="I2351" s="1" t="s">
        <v>24581</v>
      </c>
      <c r="J2351" s="1" t="s">
        <v>24582</v>
      </c>
      <c r="K2351" s="1"/>
      <c r="L2351" s="1" t="s">
        <v>95</v>
      </c>
      <c r="M2351" s="1" t="s">
        <v>24584</v>
      </c>
      <c r="N2351" s="1" t="s">
        <v>24585</v>
      </c>
    </row>
    <row r="2352">
      <c r="A2352" s="1" t="s">
        <v>120</v>
      </c>
      <c r="B2352" s="1">
        <v>2012.0</v>
      </c>
      <c r="C2352" s="1" t="s">
        <v>24588</v>
      </c>
      <c r="D2352" s="1" t="s">
        <v>24589</v>
      </c>
      <c r="E2352" s="2" t="s">
        <v>27934</v>
      </c>
      <c r="F2352" s="1">
        <v>183.0</v>
      </c>
      <c r="G2352" s="1">
        <v>192.0</v>
      </c>
      <c r="H2352" s="1" t="s">
        <v>28</v>
      </c>
      <c r="I2352" s="1" t="s">
        <v>24591</v>
      </c>
      <c r="J2352" s="1" t="s">
        <v>24592</v>
      </c>
      <c r="K2352" s="1"/>
      <c r="L2352" s="1" t="s">
        <v>27944</v>
      </c>
      <c r="M2352" s="1" t="s">
        <v>24595</v>
      </c>
    </row>
    <row r="2353">
      <c r="A2353" s="1" t="s">
        <v>120</v>
      </c>
      <c r="B2353" s="1">
        <v>2012.0</v>
      </c>
      <c r="C2353" s="1" t="s">
        <v>24596</v>
      </c>
      <c r="D2353" s="1" t="s">
        <v>24597</v>
      </c>
      <c r="E2353" s="2" t="s">
        <v>27945</v>
      </c>
      <c r="F2353" s="1">
        <v>173.0</v>
      </c>
      <c r="G2353" s="1">
        <v>182.0</v>
      </c>
      <c r="H2353" s="1" t="s">
        <v>28</v>
      </c>
      <c r="I2353" s="1" t="s">
        <v>24598</v>
      </c>
      <c r="J2353" s="1" t="s">
        <v>27954</v>
      </c>
      <c r="K2353" s="1"/>
      <c r="L2353" s="1" t="s">
        <v>27955</v>
      </c>
      <c r="M2353" s="1" t="s">
        <v>24602</v>
      </c>
    </row>
    <row r="2354">
      <c r="A2354" s="1" t="s">
        <v>120</v>
      </c>
      <c r="B2354" s="1">
        <v>2012.0</v>
      </c>
      <c r="C2354" s="1" t="s">
        <v>24603</v>
      </c>
      <c r="D2354" s="1" t="s">
        <v>24604</v>
      </c>
      <c r="E2354" s="2" t="s">
        <v>27956</v>
      </c>
      <c r="F2354" s="1">
        <v>163.0</v>
      </c>
      <c r="G2354" s="1">
        <v>172.0</v>
      </c>
      <c r="H2354" s="1" t="s">
        <v>28</v>
      </c>
      <c r="I2354" s="1" t="s">
        <v>24605</v>
      </c>
      <c r="J2354" s="1" t="s">
        <v>27965</v>
      </c>
      <c r="K2354" s="1"/>
      <c r="L2354" s="1" t="s">
        <v>27966</v>
      </c>
      <c r="M2354" s="1" t="s">
        <v>24609</v>
      </c>
      <c r="N2354" s="1" t="s">
        <v>24610</v>
      </c>
    </row>
    <row r="2355">
      <c r="A2355" s="1" t="s">
        <v>120</v>
      </c>
      <c r="B2355" s="1">
        <v>2012.0</v>
      </c>
      <c r="C2355" s="1" t="s">
        <v>24611</v>
      </c>
      <c r="D2355" s="1" t="s">
        <v>24612</v>
      </c>
      <c r="E2355" s="2" t="s">
        <v>27971</v>
      </c>
      <c r="F2355" s="1">
        <v>153.0</v>
      </c>
      <c r="G2355" s="1">
        <v>162.0</v>
      </c>
      <c r="H2355" s="1" t="s">
        <v>28</v>
      </c>
      <c r="I2355" s="1" t="s">
        <v>24613</v>
      </c>
      <c r="J2355" s="1" t="s">
        <v>24614</v>
      </c>
      <c r="K2355" s="1"/>
      <c r="L2355" s="1" t="s">
        <v>494</v>
      </c>
      <c r="M2355" s="1" t="s">
        <v>24616</v>
      </c>
    </row>
    <row r="2356">
      <c r="A2356" s="1" t="s">
        <v>120</v>
      </c>
      <c r="B2356" s="1">
        <v>2012.0</v>
      </c>
      <c r="C2356" s="1" t="s">
        <v>24619</v>
      </c>
      <c r="D2356" s="1" t="s">
        <v>24620</v>
      </c>
      <c r="E2356" s="2" t="s">
        <v>27972</v>
      </c>
      <c r="F2356" s="1">
        <v>143.0</v>
      </c>
      <c r="G2356" s="1">
        <v>152.0</v>
      </c>
      <c r="H2356" s="1" t="s">
        <v>28</v>
      </c>
      <c r="I2356" s="1" t="s">
        <v>24621</v>
      </c>
      <c r="J2356" s="1" t="s">
        <v>24622</v>
      </c>
      <c r="K2356" s="1"/>
      <c r="L2356" s="1" t="s">
        <v>1253</v>
      </c>
      <c r="M2356" s="1" t="s">
        <v>24625</v>
      </c>
    </row>
    <row r="2357">
      <c r="A2357" s="1" t="s">
        <v>120</v>
      </c>
      <c r="B2357" s="1">
        <v>2012.0</v>
      </c>
      <c r="C2357" s="1" t="s">
        <v>24626</v>
      </c>
      <c r="D2357" s="1" t="s">
        <v>24627</v>
      </c>
      <c r="E2357" s="2" t="s">
        <v>27973</v>
      </c>
      <c r="F2357" s="1">
        <v>133.0</v>
      </c>
      <c r="G2357" s="1">
        <v>142.0</v>
      </c>
      <c r="H2357" s="1" t="s">
        <v>28</v>
      </c>
      <c r="I2357" s="1" t="s">
        <v>24628</v>
      </c>
      <c r="J2357" s="1" t="s">
        <v>24629</v>
      </c>
      <c r="K2357" s="1"/>
      <c r="L2357" s="1" t="s">
        <v>27974</v>
      </c>
      <c r="M2357" s="1" t="s">
        <v>24632</v>
      </c>
      <c r="N2357" s="1" t="s">
        <v>24633</v>
      </c>
    </row>
    <row r="2358">
      <c r="A2358" s="1" t="s">
        <v>120</v>
      </c>
      <c r="B2358" s="1">
        <v>2012.0</v>
      </c>
      <c r="C2358" s="1" t="s">
        <v>24634</v>
      </c>
      <c r="D2358" s="1" t="s">
        <v>24635</v>
      </c>
      <c r="E2358" s="2" t="s">
        <v>27975</v>
      </c>
      <c r="F2358" s="1">
        <v>123.0</v>
      </c>
      <c r="G2358" s="1">
        <v>131.0</v>
      </c>
      <c r="H2358" s="1" t="s">
        <v>28</v>
      </c>
      <c r="I2358" s="1" t="s">
        <v>24636</v>
      </c>
      <c r="J2358" s="1" t="s">
        <v>24637</v>
      </c>
      <c r="K2358" s="1"/>
      <c r="L2358" s="1" t="s">
        <v>27976</v>
      </c>
      <c r="M2358" s="1" t="s">
        <v>24638</v>
      </c>
      <c r="N2358" s="1" t="s">
        <v>24639</v>
      </c>
    </row>
    <row r="2359">
      <c r="A2359" s="1" t="s">
        <v>120</v>
      </c>
      <c r="B2359" s="1">
        <v>2012.0</v>
      </c>
      <c r="C2359" s="1" t="s">
        <v>24640</v>
      </c>
      <c r="D2359" s="1" t="s">
        <v>24641</v>
      </c>
      <c r="E2359" s="2" t="s">
        <v>27977</v>
      </c>
      <c r="F2359" s="1">
        <v>113.0</v>
      </c>
      <c r="G2359" s="1">
        <v>122.0</v>
      </c>
      <c r="H2359" s="1" t="s">
        <v>28</v>
      </c>
      <c r="I2359" s="1" t="s">
        <v>24643</v>
      </c>
      <c r="J2359" s="1" t="s">
        <v>24644</v>
      </c>
      <c r="K2359" s="1"/>
      <c r="L2359" s="1" t="s">
        <v>27978</v>
      </c>
    </row>
    <row r="2360">
      <c r="A2360" s="1" t="s">
        <v>2137</v>
      </c>
      <c r="B2360" s="1">
        <v>2013.0</v>
      </c>
      <c r="C2360" s="1" t="s">
        <v>24648</v>
      </c>
      <c r="D2360" s="1" t="s">
        <v>24649</v>
      </c>
      <c r="E2360" s="2" t="s">
        <v>27979</v>
      </c>
      <c r="F2360" s="1">
        <v>2406.0</v>
      </c>
      <c r="G2360" s="1">
        <v>2415.0</v>
      </c>
      <c r="H2360" s="1" t="s">
        <v>17059</v>
      </c>
      <c r="I2360" s="1" t="s">
        <v>24650</v>
      </c>
      <c r="J2360" s="1" t="s">
        <v>24651</v>
      </c>
      <c r="K2360" s="1"/>
      <c r="L2360" s="1" t="s">
        <v>860</v>
      </c>
      <c r="M2360" s="1" t="s">
        <v>24654</v>
      </c>
      <c r="N2360" s="1" t="s">
        <v>24655</v>
      </c>
    </row>
    <row r="2361">
      <c r="A2361" s="1" t="s">
        <v>2137</v>
      </c>
      <c r="B2361" s="1">
        <v>2013.0</v>
      </c>
      <c r="C2361" s="1" t="s">
        <v>24656</v>
      </c>
      <c r="D2361" s="1" t="s">
        <v>24657</v>
      </c>
      <c r="E2361" s="2" t="s">
        <v>27980</v>
      </c>
      <c r="F2361" s="1">
        <v>2366.0</v>
      </c>
      <c r="G2361" s="1">
        <v>2375.0</v>
      </c>
      <c r="H2361" s="1" t="s">
        <v>17059</v>
      </c>
      <c r="I2361" s="1" t="s">
        <v>24658</v>
      </c>
      <c r="J2361" s="1" t="s">
        <v>27981</v>
      </c>
      <c r="K2361" s="1"/>
      <c r="L2361" s="1" t="s">
        <v>27982</v>
      </c>
      <c r="M2361" s="1" t="s">
        <v>24661</v>
      </c>
      <c r="N2361" s="1" t="s">
        <v>24662</v>
      </c>
    </row>
    <row r="2362">
      <c r="A2362" s="1" t="s">
        <v>4153</v>
      </c>
      <c r="B2362" s="1">
        <v>2013.0</v>
      </c>
      <c r="C2362" s="1" t="s">
        <v>24945</v>
      </c>
      <c r="D2362" s="1" t="s">
        <v>24946</v>
      </c>
      <c r="E2362" s="2" t="s">
        <v>27983</v>
      </c>
      <c r="F2362" s="1">
        <v>2802.0</v>
      </c>
      <c r="G2362" s="1">
        <v>2809.0</v>
      </c>
      <c r="H2362" s="1" t="s">
        <v>17059</v>
      </c>
      <c r="I2362" s="1" t="s">
        <v>24947</v>
      </c>
      <c r="J2362" s="1" t="s">
        <v>24948</v>
      </c>
      <c r="K2362" s="1"/>
      <c r="L2362" s="1" t="s">
        <v>27984</v>
      </c>
      <c r="M2362" s="1" t="s">
        <v>24950</v>
      </c>
      <c r="N2362" s="1" t="s">
        <v>24951</v>
      </c>
    </row>
    <row r="2363">
      <c r="A2363" s="1" t="s">
        <v>2137</v>
      </c>
      <c r="B2363" s="1">
        <v>2013.0</v>
      </c>
      <c r="C2363" s="1" t="s">
        <v>24664</v>
      </c>
      <c r="D2363" s="1" t="s">
        <v>24665</v>
      </c>
      <c r="E2363" s="2" t="s">
        <v>27985</v>
      </c>
      <c r="F2363" s="1">
        <v>2287.0</v>
      </c>
      <c r="G2363" s="1">
        <v>2296.0</v>
      </c>
      <c r="H2363" s="1" t="s">
        <v>17059</v>
      </c>
      <c r="I2363" s="1" t="s">
        <v>24666</v>
      </c>
      <c r="J2363" s="1" t="s">
        <v>27986</v>
      </c>
      <c r="K2363" s="1"/>
      <c r="L2363" s="1" t="s">
        <v>11861</v>
      </c>
      <c r="M2363" s="1" t="s">
        <v>24669</v>
      </c>
      <c r="N2363" s="1" t="s">
        <v>24670</v>
      </c>
    </row>
    <row r="2364">
      <c r="A2364" s="1" t="s">
        <v>4153</v>
      </c>
      <c r="B2364" s="1">
        <v>2013.0</v>
      </c>
      <c r="C2364" s="1" t="s">
        <v>24952</v>
      </c>
      <c r="D2364" s="1" t="s">
        <v>24953</v>
      </c>
      <c r="E2364" s="2" t="s">
        <v>27987</v>
      </c>
      <c r="F2364" s="1">
        <v>2792.0</v>
      </c>
      <c r="G2364" s="1">
        <v>2801.0</v>
      </c>
      <c r="H2364" s="1" t="s">
        <v>17059</v>
      </c>
      <c r="I2364" s="1" t="s">
        <v>24954</v>
      </c>
      <c r="J2364" s="1" t="s">
        <v>24955</v>
      </c>
      <c r="K2364" s="1"/>
      <c r="L2364" s="1" t="s">
        <v>27988</v>
      </c>
      <c r="M2364" s="1" t="s">
        <v>24956</v>
      </c>
      <c r="N2364" s="1" t="s">
        <v>24957</v>
      </c>
    </row>
    <row r="2365">
      <c r="A2365" s="1" t="s">
        <v>2137</v>
      </c>
      <c r="B2365" s="1">
        <v>2013.0</v>
      </c>
      <c r="C2365" s="1" t="s">
        <v>24672</v>
      </c>
      <c r="D2365" s="1" t="s">
        <v>24673</v>
      </c>
      <c r="E2365" s="2" t="s">
        <v>27989</v>
      </c>
      <c r="F2365" s="1">
        <v>2376.0</v>
      </c>
      <c r="G2365" s="1">
        <v>2385.0</v>
      </c>
      <c r="H2365" s="1" t="s">
        <v>17059</v>
      </c>
      <c r="I2365" s="1" t="s">
        <v>24674</v>
      </c>
      <c r="J2365" s="1" t="s">
        <v>24675</v>
      </c>
      <c r="K2365" s="1"/>
      <c r="L2365" s="1" t="s">
        <v>178</v>
      </c>
      <c r="M2365" s="1" t="s">
        <v>24677</v>
      </c>
      <c r="N2365" s="1" t="s">
        <v>24678</v>
      </c>
    </row>
    <row r="2366">
      <c r="A2366" s="1" t="s">
        <v>120</v>
      </c>
      <c r="B2366" s="1">
        <v>2013.0</v>
      </c>
      <c r="C2366" s="1" t="s">
        <v>25164</v>
      </c>
      <c r="D2366" s="1" t="s">
        <v>25165</v>
      </c>
      <c r="E2366" s="2" t="s">
        <v>27990</v>
      </c>
      <c r="F2366" s="1">
        <v>1962.0</v>
      </c>
      <c r="G2366" s="1">
        <v>1971.0</v>
      </c>
      <c r="H2366" s="1" t="s">
        <v>17059</v>
      </c>
      <c r="I2366" s="1" t="s">
        <v>25167</v>
      </c>
      <c r="J2366" s="1" t="s">
        <v>27991</v>
      </c>
      <c r="K2366" s="1"/>
      <c r="L2366" s="1" t="s">
        <v>178</v>
      </c>
      <c r="M2366" s="1" t="s">
        <v>25170</v>
      </c>
      <c r="N2366" s="1" t="s">
        <v>25171</v>
      </c>
      <c r="P2366" s="1"/>
      <c r="Q2366" s="1" t="s">
        <v>106</v>
      </c>
    </row>
    <row r="2367">
      <c r="A2367" s="1" t="s">
        <v>4153</v>
      </c>
      <c r="B2367" s="1">
        <v>2013.0</v>
      </c>
      <c r="C2367" s="1" t="s">
        <v>24958</v>
      </c>
      <c r="D2367" s="1" t="s">
        <v>24959</v>
      </c>
      <c r="E2367" s="2" t="s">
        <v>27992</v>
      </c>
      <c r="F2367" s="1">
        <v>2818.0</v>
      </c>
      <c r="G2367" s="1">
        <v>2827.0</v>
      </c>
      <c r="H2367" s="1" t="s">
        <v>17059</v>
      </c>
      <c r="I2367" s="1" t="s">
        <v>24960</v>
      </c>
      <c r="J2367" s="1" t="s">
        <v>27993</v>
      </c>
      <c r="K2367" s="1"/>
      <c r="L2367" s="1" t="s">
        <v>27994</v>
      </c>
      <c r="M2367" s="1" t="s">
        <v>24964</v>
      </c>
      <c r="N2367" s="1" t="s">
        <v>24965</v>
      </c>
    </row>
    <row r="2368">
      <c r="A2368" s="1" t="s">
        <v>4153</v>
      </c>
      <c r="B2368" s="1">
        <v>2013.0</v>
      </c>
      <c r="C2368" s="1" t="s">
        <v>24966</v>
      </c>
      <c r="D2368" s="1" t="s">
        <v>24967</v>
      </c>
      <c r="E2368" s="2" t="s">
        <v>27995</v>
      </c>
      <c r="F2368" s="1">
        <v>2886.0</v>
      </c>
      <c r="G2368" s="1">
        <v>2895.0</v>
      </c>
      <c r="H2368" s="1" t="s">
        <v>17059</v>
      </c>
      <c r="I2368" s="1" t="s">
        <v>24968</v>
      </c>
      <c r="J2368" s="1" t="s">
        <v>24969</v>
      </c>
      <c r="K2368" s="1"/>
      <c r="L2368" s="1" t="s">
        <v>27996</v>
      </c>
      <c r="M2368" s="1" t="s">
        <v>24970</v>
      </c>
      <c r="N2368" s="1" t="s">
        <v>24971</v>
      </c>
    </row>
    <row r="2369">
      <c r="A2369" s="1" t="s">
        <v>4153</v>
      </c>
      <c r="B2369" s="1">
        <v>2013.0</v>
      </c>
      <c r="C2369" s="1" t="s">
        <v>24972</v>
      </c>
      <c r="D2369" s="1" t="s">
        <v>24973</v>
      </c>
      <c r="E2369" s="2" t="s">
        <v>27997</v>
      </c>
      <c r="F2369" s="1">
        <v>2753.0</v>
      </c>
      <c r="G2369" s="1">
        <v>2762.0</v>
      </c>
      <c r="H2369" s="1" t="s">
        <v>17059</v>
      </c>
      <c r="I2369" s="1" t="s">
        <v>24974</v>
      </c>
      <c r="J2369" s="1" t="s">
        <v>24975</v>
      </c>
      <c r="K2369" s="1"/>
      <c r="L2369" s="1" t="s">
        <v>27998</v>
      </c>
      <c r="M2369" s="1" t="s">
        <v>24977</v>
      </c>
      <c r="N2369" s="1" t="s">
        <v>24978</v>
      </c>
      <c r="P2369" s="1"/>
      <c r="Q2369" s="1" t="s">
        <v>19037</v>
      </c>
    </row>
    <row r="2370">
      <c r="A2370" s="1" t="s">
        <v>4153</v>
      </c>
      <c r="B2370" s="1">
        <v>2013.0</v>
      </c>
      <c r="C2370" s="1" t="s">
        <v>24979</v>
      </c>
      <c r="D2370" s="1" t="s">
        <v>24980</v>
      </c>
      <c r="E2370" s="2" t="s">
        <v>27999</v>
      </c>
      <c r="F2370" s="1">
        <v>2936.0</v>
      </c>
      <c r="G2370" s="1">
        <v>2945.0</v>
      </c>
      <c r="H2370" s="1" t="s">
        <v>17059</v>
      </c>
      <c r="I2370" s="1" t="s">
        <v>24981</v>
      </c>
      <c r="J2370" s="1" t="s">
        <v>24982</v>
      </c>
      <c r="K2370" s="1"/>
      <c r="L2370" s="1" t="s">
        <v>28000</v>
      </c>
      <c r="M2370" s="1" t="s">
        <v>24984</v>
      </c>
      <c r="N2370" s="1" t="s">
        <v>24985</v>
      </c>
      <c r="P2370" s="1"/>
      <c r="Q2370" s="1" t="s">
        <v>19037</v>
      </c>
    </row>
    <row r="2371">
      <c r="A2371" s="1" t="s">
        <v>2137</v>
      </c>
      <c r="B2371" s="1">
        <v>2013.0</v>
      </c>
      <c r="C2371" s="1" t="s">
        <v>24679</v>
      </c>
      <c r="D2371" s="1" t="s">
        <v>24680</v>
      </c>
      <c r="E2371" s="2" t="s">
        <v>28001</v>
      </c>
      <c r="F2371" s="1">
        <v>2356.0</v>
      </c>
      <c r="G2371" s="1">
        <v>2365.0</v>
      </c>
      <c r="H2371" s="1" t="s">
        <v>17059</v>
      </c>
      <c r="I2371" s="1" t="s">
        <v>28002</v>
      </c>
      <c r="J2371" s="1" t="s">
        <v>24682</v>
      </c>
      <c r="K2371" s="1"/>
      <c r="L2371" s="1" t="s">
        <v>28003</v>
      </c>
      <c r="M2371" s="1" t="s">
        <v>24684</v>
      </c>
      <c r="N2371" s="1" t="s">
        <v>24685</v>
      </c>
    </row>
    <row r="2372">
      <c r="A2372" s="1" t="s">
        <v>4153</v>
      </c>
      <c r="B2372" s="1">
        <v>2013.0</v>
      </c>
      <c r="C2372" s="1" t="s">
        <v>24986</v>
      </c>
      <c r="D2372" s="1" t="s">
        <v>24987</v>
      </c>
      <c r="E2372" s="2" t="s">
        <v>28004</v>
      </c>
      <c r="F2372" s="1">
        <v>2896.0</v>
      </c>
      <c r="G2372" s="1">
        <v>2905.0</v>
      </c>
      <c r="H2372" s="1" t="s">
        <v>17059</v>
      </c>
      <c r="I2372" s="1" t="s">
        <v>24988</v>
      </c>
      <c r="J2372" s="1" t="s">
        <v>24989</v>
      </c>
      <c r="K2372" s="1"/>
      <c r="L2372" s="1" t="s">
        <v>28005</v>
      </c>
      <c r="M2372" s="1" t="s">
        <v>24991</v>
      </c>
      <c r="N2372" s="1" t="s">
        <v>24992</v>
      </c>
    </row>
    <row r="2373">
      <c r="A2373" s="1" t="s">
        <v>120</v>
      </c>
      <c r="B2373" s="1">
        <v>2013.0</v>
      </c>
      <c r="C2373" s="1" t="s">
        <v>25172</v>
      </c>
      <c r="D2373" s="1" t="s">
        <v>25173</v>
      </c>
      <c r="E2373" s="2" t="s">
        <v>28006</v>
      </c>
      <c r="F2373" s="1">
        <v>2139.0</v>
      </c>
      <c r="G2373" s="1">
        <v>2148.0</v>
      </c>
      <c r="H2373" s="1" t="s">
        <v>17059</v>
      </c>
      <c r="I2373" s="1" t="s">
        <v>25174</v>
      </c>
      <c r="J2373" s="1" t="s">
        <v>25175</v>
      </c>
      <c r="K2373" s="1"/>
      <c r="L2373" s="1" t="s">
        <v>28007</v>
      </c>
      <c r="M2373" s="1" t="s">
        <v>25178</v>
      </c>
      <c r="N2373" s="1" t="s">
        <v>25179</v>
      </c>
    </row>
    <row r="2374">
      <c r="A2374" s="1" t="s">
        <v>4153</v>
      </c>
      <c r="B2374" s="1">
        <v>2013.0</v>
      </c>
      <c r="C2374" s="1" t="s">
        <v>24993</v>
      </c>
      <c r="D2374" s="1" t="s">
        <v>24994</v>
      </c>
      <c r="E2374" s="2" t="s">
        <v>28008</v>
      </c>
      <c r="F2374" s="1">
        <v>2683.0</v>
      </c>
      <c r="G2374" s="1">
        <v>2692.0</v>
      </c>
      <c r="H2374" s="1" t="s">
        <v>17059</v>
      </c>
      <c r="I2374" s="1" t="s">
        <v>24995</v>
      </c>
      <c r="J2374" s="1" t="s">
        <v>24996</v>
      </c>
      <c r="K2374" s="1"/>
      <c r="L2374" s="1" t="s">
        <v>28009</v>
      </c>
      <c r="M2374" s="1" t="s">
        <v>24998</v>
      </c>
      <c r="N2374" s="1" t="s">
        <v>24999</v>
      </c>
    </row>
    <row r="2375">
      <c r="A2375" s="1" t="s">
        <v>2137</v>
      </c>
      <c r="B2375" s="1">
        <v>2013.0</v>
      </c>
      <c r="C2375" s="1" t="s">
        <v>24686</v>
      </c>
      <c r="D2375" s="1" t="s">
        <v>24687</v>
      </c>
      <c r="E2375" s="2" t="s">
        <v>28010</v>
      </c>
      <c r="F2375" s="1">
        <v>2396.0</v>
      </c>
      <c r="G2375" s="1">
        <v>2405.0</v>
      </c>
      <c r="H2375" s="1" t="s">
        <v>17059</v>
      </c>
      <c r="I2375" s="1" t="s">
        <v>24689</v>
      </c>
      <c r="J2375" s="1" t="s">
        <v>24690</v>
      </c>
      <c r="K2375" s="1"/>
      <c r="L2375" s="1" t="s">
        <v>28011</v>
      </c>
      <c r="M2375" s="1" t="s">
        <v>24692</v>
      </c>
      <c r="N2375" s="1" t="s">
        <v>24693</v>
      </c>
    </row>
    <row r="2376">
      <c r="A2376" s="1" t="s">
        <v>4153</v>
      </c>
      <c r="B2376" s="1">
        <v>2013.0</v>
      </c>
      <c r="C2376" s="1" t="s">
        <v>25000</v>
      </c>
      <c r="D2376" s="1" t="s">
        <v>25001</v>
      </c>
      <c r="E2376" s="2" t="s">
        <v>28012</v>
      </c>
      <c r="F2376" s="1">
        <v>2838.0</v>
      </c>
      <c r="G2376" s="1">
        <v>2847.0</v>
      </c>
      <c r="H2376" s="1" t="s">
        <v>17059</v>
      </c>
      <c r="I2376" s="1" t="s">
        <v>28013</v>
      </c>
      <c r="J2376" s="1" t="s">
        <v>25003</v>
      </c>
      <c r="K2376" s="1"/>
      <c r="L2376" s="1" t="s">
        <v>1253</v>
      </c>
      <c r="M2376" s="1" t="s">
        <v>23177</v>
      </c>
      <c r="N2376" s="1" t="s">
        <v>25006</v>
      </c>
    </row>
    <row r="2377">
      <c r="A2377" s="1" t="s">
        <v>2137</v>
      </c>
      <c r="B2377" s="1">
        <v>2013.0</v>
      </c>
      <c r="C2377" s="1" t="s">
        <v>24694</v>
      </c>
      <c r="D2377" s="1" t="s">
        <v>24695</v>
      </c>
      <c r="E2377" s="2" t="s">
        <v>28014</v>
      </c>
      <c r="F2377" s="1">
        <v>2586.0</v>
      </c>
      <c r="G2377" s="1">
        <v>2595.0</v>
      </c>
      <c r="H2377" s="1" t="s">
        <v>17059</v>
      </c>
      <c r="I2377" s="1" t="s">
        <v>24696</v>
      </c>
      <c r="J2377" s="1" t="s">
        <v>24697</v>
      </c>
      <c r="K2377" s="1"/>
      <c r="L2377" s="1" t="s">
        <v>28015</v>
      </c>
      <c r="M2377" s="1" t="s">
        <v>24700</v>
      </c>
      <c r="N2377" s="1" t="s">
        <v>24701</v>
      </c>
    </row>
    <row r="2378">
      <c r="A2378" s="1" t="s">
        <v>4153</v>
      </c>
      <c r="B2378" s="1">
        <v>2013.0</v>
      </c>
      <c r="C2378" s="1" t="s">
        <v>25007</v>
      </c>
      <c r="D2378" s="1" t="s">
        <v>25008</v>
      </c>
      <c r="E2378" s="2" t="s">
        <v>28016</v>
      </c>
      <c r="F2378" s="1">
        <v>2703.0</v>
      </c>
      <c r="G2378" s="1">
        <v>2712.0</v>
      </c>
      <c r="H2378" s="1" t="s">
        <v>17059</v>
      </c>
      <c r="I2378" s="1" t="s">
        <v>25009</v>
      </c>
      <c r="J2378" s="1" t="s">
        <v>25010</v>
      </c>
      <c r="K2378" s="1"/>
      <c r="L2378" s="1" t="s">
        <v>1253</v>
      </c>
      <c r="M2378" s="1" t="s">
        <v>25013</v>
      </c>
      <c r="N2378" s="1" t="s">
        <v>25014</v>
      </c>
    </row>
    <row r="2379">
      <c r="A2379" s="1" t="s">
        <v>4153</v>
      </c>
      <c r="B2379" s="1">
        <v>2013.0</v>
      </c>
      <c r="C2379" s="1" t="s">
        <v>25015</v>
      </c>
      <c r="D2379" s="1" t="s">
        <v>25016</v>
      </c>
      <c r="E2379" s="2" t="s">
        <v>28017</v>
      </c>
      <c r="F2379" s="1">
        <v>2848.0</v>
      </c>
      <c r="G2379" s="1">
        <v>2857.0</v>
      </c>
      <c r="H2379" s="1" t="s">
        <v>17059</v>
      </c>
      <c r="I2379" s="1" t="s">
        <v>25017</v>
      </c>
      <c r="J2379" s="1" t="s">
        <v>25018</v>
      </c>
      <c r="K2379" s="1"/>
      <c r="L2379" s="1" t="s">
        <v>28018</v>
      </c>
      <c r="M2379" s="1" t="s">
        <v>25021</v>
      </c>
      <c r="N2379" s="1" t="s">
        <v>25022</v>
      </c>
    </row>
    <row r="2380">
      <c r="A2380" s="1" t="s">
        <v>2137</v>
      </c>
      <c r="B2380" s="1">
        <v>2013.0</v>
      </c>
      <c r="C2380" s="1" t="s">
        <v>24702</v>
      </c>
      <c r="D2380" s="1" t="s">
        <v>24703</v>
      </c>
      <c r="E2380" s="2" t="s">
        <v>28019</v>
      </c>
      <c r="F2380" s="1">
        <v>2297.0</v>
      </c>
      <c r="G2380" s="1">
        <v>2305.0</v>
      </c>
      <c r="H2380" s="1" t="s">
        <v>17059</v>
      </c>
      <c r="I2380" s="1" t="s">
        <v>24705</v>
      </c>
      <c r="J2380" s="1" t="s">
        <v>24706</v>
      </c>
      <c r="K2380" s="1"/>
      <c r="L2380" s="1" t="s">
        <v>178</v>
      </c>
      <c r="M2380" s="1" t="s">
        <v>24708</v>
      </c>
      <c r="N2380" s="1" t="s">
        <v>24709</v>
      </c>
    </row>
    <row r="2381">
      <c r="A2381" s="1" t="s">
        <v>4153</v>
      </c>
      <c r="B2381" s="1">
        <v>2013.0</v>
      </c>
      <c r="C2381" s="1" t="s">
        <v>25023</v>
      </c>
      <c r="D2381" s="1" t="s">
        <v>25024</v>
      </c>
      <c r="E2381" s="2" t="s">
        <v>28020</v>
      </c>
      <c r="F2381" s="1">
        <v>2743.0</v>
      </c>
      <c r="G2381" s="1">
        <v>2752.0</v>
      </c>
      <c r="H2381" s="1" t="s">
        <v>17059</v>
      </c>
      <c r="I2381" s="1" t="s">
        <v>25025</v>
      </c>
      <c r="J2381" s="1" t="s">
        <v>25026</v>
      </c>
      <c r="K2381" s="1"/>
      <c r="L2381" s="1" t="s">
        <v>28021</v>
      </c>
      <c r="M2381" s="1" t="s">
        <v>25028</v>
      </c>
      <c r="N2381" s="1" t="s">
        <v>25029</v>
      </c>
      <c r="P2381" s="1"/>
      <c r="Q2381" s="1" t="s">
        <v>106</v>
      </c>
    </row>
    <row r="2382">
      <c r="A2382" s="1" t="s">
        <v>4153</v>
      </c>
      <c r="B2382" s="1">
        <v>2013.0</v>
      </c>
      <c r="C2382" s="1" t="s">
        <v>25030</v>
      </c>
      <c r="D2382" s="1" t="s">
        <v>25031</v>
      </c>
      <c r="E2382" s="2" t="s">
        <v>28022</v>
      </c>
      <c r="F2382" s="1">
        <v>2868.0</v>
      </c>
      <c r="G2382" s="1">
        <v>2877.0</v>
      </c>
      <c r="H2382" s="1" t="s">
        <v>17059</v>
      </c>
      <c r="I2382" s="1" t="s">
        <v>25032</v>
      </c>
      <c r="J2382" s="1" t="s">
        <v>25033</v>
      </c>
      <c r="K2382" s="1"/>
      <c r="L2382" s="1" t="s">
        <v>28023</v>
      </c>
      <c r="M2382" s="1" t="s">
        <v>25036</v>
      </c>
      <c r="N2382" s="1" t="s">
        <v>25037</v>
      </c>
    </row>
    <row r="2383">
      <c r="A2383" s="1" t="s">
        <v>4153</v>
      </c>
      <c r="B2383" s="1">
        <v>2013.0</v>
      </c>
      <c r="C2383" s="1" t="s">
        <v>25038</v>
      </c>
      <c r="D2383" s="1" t="s">
        <v>25039</v>
      </c>
      <c r="E2383" s="2" t="s">
        <v>28024</v>
      </c>
      <c r="F2383" s="1">
        <v>2713.0</v>
      </c>
      <c r="G2383" s="1">
        <v>2722.0</v>
      </c>
      <c r="H2383" s="1" t="s">
        <v>17059</v>
      </c>
      <c r="I2383" s="1" t="s">
        <v>25040</v>
      </c>
      <c r="J2383" s="1" t="s">
        <v>25041</v>
      </c>
      <c r="K2383" s="1"/>
      <c r="L2383" s="1" t="s">
        <v>26046</v>
      </c>
      <c r="M2383" s="1" t="s">
        <v>25044</v>
      </c>
      <c r="N2383" s="1" t="s">
        <v>25045</v>
      </c>
    </row>
    <row r="2384">
      <c r="A2384" s="1" t="s">
        <v>4153</v>
      </c>
      <c r="B2384" s="1">
        <v>2013.0</v>
      </c>
      <c r="C2384" s="1" t="s">
        <v>25046</v>
      </c>
      <c r="D2384" s="1" t="s">
        <v>25047</v>
      </c>
      <c r="E2384" s="2" t="s">
        <v>28025</v>
      </c>
      <c r="F2384" s="1">
        <v>2733.0</v>
      </c>
      <c r="G2384" s="1">
        <v>2742.0</v>
      </c>
      <c r="H2384" s="1" t="s">
        <v>17059</v>
      </c>
      <c r="I2384" s="1" t="s">
        <v>25048</v>
      </c>
      <c r="J2384" s="1" t="s">
        <v>25049</v>
      </c>
      <c r="K2384" s="1"/>
      <c r="L2384" s="1" t="s">
        <v>28026</v>
      </c>
      <c r="M2384" s="1" t="s">
        <v>25052</v>
      </c>
      <c r="N2384" s="1" t="s">
        <v>25053</v>
      </c>
    </row>
    <row r="2385">
      <c r="A2385" s="1" t="s">
        <v>2137</v>
      </c>
      <c r="B2385" s="1">
        <v>2013.0</v>
      </c>
      <c r="C2385" s="1" t="s">
        <v>24710</v>
      </c>
      <c r="D2385" s="1" t="s">
        <v>24711</v>
      </c>
      <c r="E2385" s="2" t="s">
        <v>28027</v>
      </c>
      <c r="F2385" s="1">
        <v>2516.0</v>
      </c>
      <c r="G2385" s="1">
        <v>2525.0</v>
      </c>
      <c r="H2385" s="1" t="s">
        <v>17059</v>
      </c>
      <c r="I2385" s="1" t="s">
        <v>24712</v>
      </c>
      <c r="J2385" s="1" t="s">
        <v>24713</v>
      </c>
      <c r="K2385" s="1"/>
      <c r="L2385" s="1" t="s">
        <v>28028</v>
      </c>
      <c r="M2385" s="1" t="s">
        <v>24715</v>
      </c>
      <c r="N2385" s="1" t="s">
        <v>24716</v>
      </c>
    </row>
    <row r="2386">
      <c r="A2386" s="1" t="s">
        <v>120</v>
      </c>
      <c r="B2386" s="1">
        <v>2013.0</v>
      </c>
      <c r="C2386" s="1" t="s">
        <v>25180</v>
      </c>
      <c r="D2386" s="1" t="s">
        <v>25181</v>
      </c>
      <c r="E2386" s="2" t="s">
        <v>28029</v>
      </c>
      <c r="F2386" s="1">
        <v>1972.0</v>
      </c>
      <c r="G2386" s="1">
        <v>1981.0</v>
      </c>
      <c r="H2386" s="1" t="s">
        <v>17059</v>
      </c>
      <c r="I2386" s="1" t="s">
        <v>25182</v>
      </c>
      <c r="J2386" s="1" t="s">
        <v>25183</v>
      </c>
      <c r="K2386" s="1"/>
      <c r="L2386" s="1" t="s">
        <v>28030</v>
      </c>
      <c r="M2386" s="1" t="s">
        <v>25186</v>
      </c>
      <c r="N2386" s="1" t="s">
        <v>25187</v>
      </c>
    </row>
    <row r="2387">
      <c r="A2387" s="1" t="s">
        <v>4153</v>
      </c>
      <c r="B2387" s="1">
        <v>2013.0</v>
      </c>
      <c r="C2387" s="1" t="s">
        <v>25054</v>
      </c>
      <c r="D2387" s="1" t="s">
        <v>25055</v>
      </c>
      <c r="E2387" s="2" t="s">
        <v>28031</v>
      </c>
      <c r="F2387" s="1">
        <v>2783.0</v>
      </c>
      <c r="G2387" s="1">
        <v>2791.0</v>
      </c>
      <c r="H2387" s="1" t="s">
        <v>17059</v>
      </c>
      <c r="I2387" s="1" t="s">
        <v>25056</v>
      </c>
      <c r="J2387" s="1" t="s">
        <v>25057</v>
      </c>
      <c r="K2387" s="1"/>
      <c r="L2387" s="1" t="s">
        <v>28032</v>
      </c>
      <c r="M2387" s="1" t="s">
        <v>25059</v>
      </c>
      <c r="N2387" s="1" t="s">
        <v>25060</v>
      </c>
      <c r="P2387" s="1"/>
      <c r="Q2387" s="1" t="s">
        <v>19037</v>
      </c>
    </row>
    <row r="2388">
      <c r="A2388" s="1" t="s">
        <v>4153</v>
      </c>
      <c r="B2388" s="1">
        <v>2013.0</v>
      </c>
      <c r="C2388" s="1" t="s">
        <v>25061</v>
      </c>
      <c r="D2388" s="1" t="s">
        <v>25062</v>
      </c>
      <c r="E2388" s="2" t="s">
        <v>28033</v>
      </c>
      <c r="F2388" s="1">
        <v>2663.0</v>
      </c>
      <c r="G2388" s="1">
        <v>2672.0</v>
      </c>
      <c r="H2388" s="1" t="s">
        <v>17059</v>
      </c>
      <c r="I2388" s="1" t="s">
        <v>25063</v>
      </c>
      <c r="J2388" s="1" t="s">
        <v>23428</v>
      </c>
      <c r="K2388" s="1"/>
      <c r="L2388" s="1" t="s">
        <v>26421</v>
      </c>
      <c r="M2388" s="1" t="s">
        <v>25065</v>
      </c>
      <c r="N2388" s="1" t="s">
        <v>25066</v>
      </c>
    </row>
    <row r="2389">
      <c r="A2389" s="1" t="s">
        <v>2137</v>
      </c>
      <c r="B2389" s="1">
        <v>2013.0</v>
      </c>
      <c r="C2389" s="1" t="s">
        <v>24717</v>
      </c>
      <c r="D2389" s="1" t="s">
        <v>24718</v>
      </c>
      <c r="E2389" s="2" t="s">
        <v>28034</v>
      </c>
      <c r="F2389" s="1">
        <v>2556.0</v>
      </c>
      <c r="G2389" s="1">
        <v>2565.0</v>
      </c>
      <c r="H2389" s="1" t="s">
        <v>17059</v>
      </c>
      <c r="I2389" s="1" t="s">
        <v>24719</v>
      </c>
      <c r="J2389" s="1" t="s">
        <v>28035</v>
      </c>
      <c r="K2389" s="1"/>
      <c r="L2389" s="1" t="s">
        <v>22154</v>
      </c>
      <c r="M2389" s="1" t="s">
        <v>24722</v>
      </c>
      <c r="N2389" s="1" t="s">
        <v>24723</v>
      </c>
    </row>
    <row r="2390">
      <c r="A2390" s="1" t="s">
        <v>2137</v>
      </c>
      <c r="B2390" s="1">
        <v>2013.0</v>
      </c>
      <c r="C2390" s="1" t="s">
        <v>24724</v>
      </c>
      <c r="D2390" s="1" t="s">
        <v>24726</v>
      </c>
      <c r="E2390" s="2" t="s">
        <v>28036</v>
      </c>
      <c r="F2390" s="1">
        <v>2625.0</v>
      </c>
      <c r="G2390" s="1">
        <v>2633.0</v>
      </c>
      <c r="H2390" s="1" t="s">
        <v>17059</v>
      </c>
      <c r="I2390" s="1" t="s">
        <v>24727</v>
      </c>
      <c r="J2390" s="1" t="s">
        <v>24728</v>
      </c>
      <c r="K2390" s="1"/>
      <c r="L2390" s="1" t="s">
        <v>28037</v>
      </c>
      <c r="M2390" s="1" t="s">
        <v>24731</v>
      </c>
      <c r="N2390" s="1" t="s">
        <v>24732</v>
      </c>
    </row>
    <row r="2391">
      <c r="A2391" s="1" t="s">
        <v>2137</v>
      </c>
      <c r="B2391" s="1">
        <v>2013.0</v>
      </c>
      <c r="C2391" s="1" t="s">
        <v>24733</v>
      </c>
      <c r="D2391" s="1" t="s">
        <v>24734</v>
      </c>
      <c r="E2391" s="2" t="s">
        <v>28038</v>
      </c>
      <c r="F2391" s="1">
        <v>2596.0</v>
      </c>
      <c r="G2391" s="1">
        <v>2605.0</v>
      </c>
      <c r="H2391" s="1" t="s">
        <v>17059</v>
      </c>
      <c r="I2391" s="1" t="s">
        <v>24735</v>
      </c>
      <c r="J2391" s="1" t="s">
        <v>24736</v>
      </c>
      <c r="K2391" s="1"/>
      <c r="L2391" s="1" t="s">
        <v>5349</v>
      </c>
      <c r="M2391" s="1" t="s">
        <v>24738</v>
      </c>
      <c r="N2391" s="1" t="s">
        <v>24739</v>
      </c>
    </row>
    <row r="2392">
      <c r="A2392" s="1" t="s">
        <v>4153</v>
      </c>
      <c r="B2392" s="1">
        <v>2013.0</v>
      </c>
      <c r="C2392" s="1" t="s">
        <v>25067</v>
      </c>
      <c r="D2392" s="1" t="s">
        <v>25068</v>
      </c>
      <c r="E2392" s="2" t="s">
        <v>28044</v>
      </c>
      <c r="F2392" s="1">
        <v>2693.0</v>
      </c>
      <c r="G2392" s="1">
        <v>2702.0</v>
      </c>
      <c r="H2392" s="1" t="s">
        <v>17059</v>
      </c>
      <c r="I2392" s="1" t="s">
        <v>25069</v>
      </c>
      <c r="J2392" s="1" t="s">
        <v>21264</v>
      </c>
      <c r="K2392" s="1"/>
      <c r="L2392" s="1" t="s">
        <v>12159</v>
      </c>
      <c r="M2392" s="1" t="s">
        <v>25070</v>
      </c>
      <c r="N2392" s="1" t="s">
        <v>25071</v>
      </c>
    </row>
    <row r="2393">
      <c r="A2393" s="1" t="s">
        <v>2137</v>
      </c>
      <c r="B2393" s="1">
        <v>2013.0</v>
      </c>
      <c r="C2393" s="1" t="s">
        <v>24740</v>
      </c>
      <c r="D2393" s="1" t="s">
        <v>24741</v>
      </c>
      <c r="E2393" s="2" t="s">
        <v>28050</v>
      </c>
      <c r="F2393" s="1">
        <v>2634.0</v>
      </c>
      <c r="G2393" s="1">
        <v>2643.0</v>
      </c>
      <c r="H2393" s="1" t="s">
        <v>17059</v>
      </c>
      <c r="I2393" s="1" t="s">
        <v>24742</v>
      </c>
      <c r="J2393" s="1" t="s">
        <v>24743</v>
      </c>
      <c r="K2393" s="1"/>
      <c r="L2393" s="1" t="s">
        <v>28054</v>
      </c>
      <c r="M2393" s="1" t="s">
        <v>24745</v>
      </c>
      <c r="N2393" s="1" t="s">
        <v>24746</v>
      </c>
    </row>
    <row r="2394">
      <c r="A2394" s="1" t="s">
        <v>2137</v>
      </c>
      <c r="B2394" s="1">
        <v>2013.0</v>
      </c>
      <c r="C2394" s="1" t="s">
        <v>24747</v>
      </c>
      <c r="D2394" s="1" t="s">
        <v>24748</v>
      </c>
      <c r="E2394" s="2" t="s">
        <v>28055</v>
      </c>
      <c r="F2394" s="1">
        <v>2536.0</v>
      </c>
      <c r="G2394" s="1">
        <v>2545.0</v>
      </c>
      <c r="H2394" s="1" t="s">
        <v>17059</v>
      </c>
      <c r="I2394" s="1" t="s">
        <v>24750</v>
      </c>
      <c r="J2394" s="1" t="s">
        <v>24751</v>
      </c>
      <c r="K2394" s="1"/>
      <c r="L2394" s="1" t="s">
        <v>28056</v>
      </c>
      <c r="M2394" s="1" t="s">
        <v>24753</v>
      </c>
      <c r="N2394" s="1" t="s">
        <v>24754</v>
      </c>
    </row>
    <row r="2395">
      <c r="A2395" s="1" t="s">
        <v>2137</v>
      </c>
      <c r="B2395" s="1">
        <v>2013.0</v>
      </c>
      <c r="C2395" s="1" t="s">
        <v>24756</v>
      </c>
      <c r="D2395" s="1" t="s">
        <v>24757</v>
      </c>
      <c r="E2395" s="2" t="s">
        <v>28057</v>
      </c>
      <c r="F2395" s="1">
        <v>2476.0</v>
      </c>
      <c r="G2395" s="1">
        <v>2485.0</v>
      </c>
      <c r="H2395" s="1" t="s">
        <v>17059</v>
      </c>
      <c r="I2395" s="1" t="s">
        <v>24758</v>
      </c>
      <c r="J2395" s="1" t="s">
        <v>24759</v>
      </c>
      <c r="K2395" s="1"/>
      <c r="L2395" s="1" t="s">
        <v>28064</v>
      </c>
      <c r="M2395" s="1" t="s">
        <v>24762</v>
      </c>
      <c r="N2395" s="1" t="s">
        <v>24763</v>
      </c>
    </row>
    <row r="2396">
      <c r="A2396" s="1" t="s">
        <v>4153</v>
      </c>
      <c r="B2396" s="1">
        <v>2013.0</v>
      </c>
      <c r="C2396" s="1" t="s">
        <v>25072</v>
      </c>
      <c r="D2396" s="1" t="s">
        <v>25073</v>
      </c>
      <c r="E2396" s="2" t="s">
        <v>28068</v>
      </c>
      <c r="F2396" s="1">
        <v>2810.0</v>
      </c>
      <c r="G2396" s="1">
        <v>2817.0</v>
      </c>
      <c r="H2396" s="1" t="s">
        <v>17059</v>
      </c>
      <c r="I2396" s="1" t="s">
        <v>25074</v>
      </c>
      <c r="J2396" s="1" t="s">
        <v>25075</v>
      </c>
      <c r="K2396" s="1"/>
      <c r="L2396" s="1" t="s">
        <v>5349</v>
      </c>
      <c r="M2396" s="1" t="s">
        <v>25077</v>
      </c>
      <c r="N2396" s="1" t="s">
        <v>25078</v>
      </c>
    </row>
    <row r="2397">
      <c r="A2397" s="1" t="s">
        <v>120</v>
      </c>
      <c r="B2397" s="1">
        <v>2013.0</v>
      </c>
      <c r="C2397" s="1" t="s">
        <v>25189</v>
      </c>
      <c r="D2397" s="1" t="s">
        <v>25190</v>
      </c>
      <c r="E2397" s="2" t="s">
        <v>28073</v>
      </c>
      <c r="F2397" s="1">
        <v>2042.0</v>
      </c>
      <c r="G2397" s="1">
        <v>2051.0</v>
      </c>
      <c r="H2397" s="1" t="s">
        <v>17059</v>
      </c>
      <c r="I2397" s="1" t="s">
        <v>25192</v>
      </c>
      <c r="J2397" s="1" t="s">
        <v>25193</v>
      </c>
      <c r="K2397" s="1"/>
      <c r="L2397" s="1" t="s">
        <v>28078</v>
      </c>
      <c r="M2397" s="1" t="s">
        <v>25195</v>
      </c>
      <c r="N2397" s="1" t="s">
        <v>25196</v>
      </c>
      <c r="P2397" s="1"/>
      <c r="Q2397" s="1" t="s">
        <v>19037</v>
      </c>
    </row>
    <row r="2398">
      <c r="A2398" s="1" t="s">
        <v>4153</v>
      </c>
      <c r="B2398" s="1">
        <v>2013.0</v>
      </c>
      <c r="C2398" s="1" t="s">
        <v>25079</v>
      </c>
      <c r="D2398" s="1" t="s">
        <v>25080</v>
      </c>
      <c r="E2398" s="2" t="s">
        <v>28079</v>
      </c>
      <c r="F2398" s="1">
        <v>2653.0</v>
      </c>
      <c r="G2398" s="1">
        <v>2662.0</v>
      </c>
      <c r="H2398" s="1" t="s">
        <v>17059</v>
      </c>
      <c r="I2398" s="1" t="s">
        <v>25081</v>
      </c>
      <c r="J2398" s="1" t="s">
        <v>28088</v>
      </c>
      <c r="K2398" s="1"/>
      <c r="L2398" s="1" t="s">
        <v>28089</v>
      </c>
      <c r="M2398" s="1" t="s">
        <v>25084</v>
      </c>
      <c r="N2398" s="1" t="s">
        <v>25085</v>
      </c>
    </row>
    <row r="2399">
      <c r="A2399" s="1" t="s">
        <v>4153</v>
      </c>
      <c r="B2399" s="1">
        <v>2013.0</v>
      </c>
      <c r="C2399" s="1" t="s">
        <v>25086</v>
      </c>
      <c r="D2399" s="1" t="s">
        <v>25087</v>
      </c>
      <c r="E2399" s="2" t="s">
        <v>28090</v>
      </c>
      <c r="F2399" s="1">
        <v>2673.0</v>
      </c>
      <c r="G2399" s="1">
        <v>2682.0</v>
      </c>
      <c r="H2399" s="1" t="s">
        <v>17059</v>
      </c>
      <c r="I2399" s="1" t="s">
        <v>25088</v>
      </c>
      <c r="J2399" s="1" t="s">
        <v>25089</v>
      </c>
      <c r="K2399" s="1"/>
      <c r="L2399" s="1" t="s">
        <v>28096</v>
      </c>
      <c r="M2399" s="1" t="s">
        <v>25091</v>
      </c>
      <c r="N2399" s="1" t="s">
        <v>25092</v>
      </c>
    </row>
    <row r="2400">
      <c r="A2400" s="1" t="s">
        <v>2137</v>
      </c>
      <c r="B2400" s="1">
        <v>2013.0</v>
      </c>
      <c r="C2400" s="1" t="s">
        <v>24764</v>
      </c>
      <c r="D2400" s="1" t="s">
        <v>24765</v>
      </c>
      <c r="E2400" s="2" t="s">
        <v>28100</v>
      </c>
      <c r="F2400" s="1">
        <v>2606.0</v>
      </c>
      <c r="G2400" s="1">
        <v>2614.0</v>
      </c>
      <c r="H2400" s="1" t="s">
        <v>17059</v>
      </c>
      <c r="I2400" s="1" t="s">
        <v>24766</v>
      </c>
      <c r="J2400" s="1" t="s">
        <v>28101</v>
      </c>
      <c r="K2400" s="1"/>
      <c r="L2400" s="1" t="s">
        <v>28102</v>
      </c>
      <c r="M2400" s="1" t="s">
        <v>24769</v>
      </c>
      <c r="N2400" s="1" t="s">
        <v>24770</v>
      </c>
    </row>
    <row r="2401">
      <c r="A2401" s="1" t="s">
        <v>4153</v>
      </c>
      <c r="B2401" s="1">
        <v>2013.0</v>
      </c>
      <c r="C2401" s="1" t="s">
        <v>25093</v>
      </c>
      <c r="D2401" s="1" t="s">
        <v>25094</v>
      </c>
      <c r="E2401" s="2" t="s">
        <v>28107</v>
      </c>
      <c r="F2401" s="1">
        <v>2916.0</v>
      </c>
      <c r="G2401" s="1">
        <v>2925.0</v>
      </c>
      <c r="H2401" s="1" t="s">
        <v>17059</v>
      </c>
      <c r="I2401" s="1" t="s">
        <v>25095</v>
      </c>
      <c r="J2401" s="1" t="s">
        <v>25096</v>
      </c>
      <c r="K2401" s="1"/>
      <c r="L2401" s="1" t="s">
        <v>28111</v>
      </c>
      <c r="M2401" s="1" t="s">
        <v>25099</v>
      </c>
      <c r="N2401" s="1" t="s">
        <v>25100</v>
      </c>
    </row>
    <row r="2402">
      <c r="A2402" s="1" t="s">
        <v>120</v>
      </c>
      <c r="B2402" s="1">
        <v>2013.0</v>
      </c>
      <c r="C2402" s="1" t="s">
        <v>25197</v>
      </c>
      <c r="D2402" s="1" t="s">
        <v>25198</v>
      </c>
      <c r="E2402" s="2" t="s">
        <v>28112</v>
      </c>
      <c r="F2402" s="1">
        <v>2002.0</v>
      </c>
      <c r="G2402" s="1">
        <v>2011.0</v>
      </c>
      <c r="H2402" s="1" t="s">
        <v>17059</v>
      </c>
      <c r="I2402" s="1" t="s">
        <v>25199</v>
      </c>
      <c r="J2402" s="1" t="s">
        <v>25200</v>
      </c>
      <c r="K2402" s="1"/>
      <c r="L2402" s="1" t="s">
        <v>25727</v>
      </c>
      <c r="M2402" s="1" t="s">
        <v>25201</v>
      </c>
      <c r="N2402" s="1" t="s">
        <v>25202</v>
      </c>
    </row>
    <row r="2403">
      <c r="A2403" s="1" t="s">
        <v>2137</v>
      </c>
      <c r="B2403" s="1">
        <v>2013.0</v>
      </c>
      <c r="C2403" s="1" t="s">
        <v>24772</v>
      </c>
      <c r="D2403" s="1" t="s">
        <v>24773</v>
      </c>
      <c r="E2403" s="2" t="s">
        <v>28122</v>
      </c>
      <c r="F2403" s="1">
        <v>2346.0</v>
      </c>
      <c r="G2403" s="1">
        <v>2355.0</v>
      </c>
      <c r="H2403" s="1" t="s">
        <v>17059</v>
      </c>
      <c r="I2403" s="1" t="s">
        <v>24775</v>
      </c>
      <c r="J2403" s="1" t="s">
        <v>24776</v>
      </c>
      <c r="K2403" s="1"/>
      <c r="L2403" s="1" t="s">
        <v>28131</v>
      </c>
      <c r="M2403" s="1" t="s">
        <v>24778</v>
      </c>
      <c r="N2403" s="1" t="s">
        <v>24779</v>
      </c>
    </row>
    <row r="2404">
      <c r="A2404" s="1" t="s">
        <v>120</v>
      </c>
      <c r="B2404" s="1">
        <v>2013.0</v>
      </c>
      <c r="C2404" s="1" t="s">
        <v>25203</v>
      </c>
      <c r="D2404" s="1" t="s">
        <v>25204</v>
      </c>
      <c r="E2404" s="2" t="s">
        <v>28132</v>
      </c>
      <c r="F2404" s="1">
        <v>2198.0</v>
      </c>
      <c r="G2404" s="1">
        <v>2206.0</v>
      </c>
      <c r="H2404" s="1" t="s">
        <v>17059</v>
      </c>
      <c r="I2404" s="1" t="s">
        <v>25207</v>
      </c>
      <c r="J2404" s="1" t="s">
        <v>28141</v>
      </c>
      <c r="K2404" s="1"/>
      <c r="L2404" s="1" t="s">
        <v>28142</v>
      </c>
      <c r="M2404" s="1" t="s">
        <v>18191</v>
      </c>
      <c r="N2404" s="1" t="s">
        <v>25210</v>
      </c>
    </row>
    <row r="2405">
      <c r="A2405" s="1" t="s">
        <v>2137</v>
      </c>
      <c r="B2405" s="1">
        <v>2013.0</v>
      </c>
      <c r="C2405" s="1" t="s">
        <v>24780</v>
      </c>
      <c r="D2405" s="1" t="s">
        <v>24781</v>
      </c>
      <c r="E2405" s="2" t="s">
        <v>28143</v>
      </c>
      <c r="F2405" s="1">
        <v>2386.0</v>
      </c>
      <c r="G2405" s="1">
        <v>2395.0</v>
      </c>
      <c r="H2405" s="1" t="s">
        <v>17059</v>
      </c>
      <c r="I2405" s="1" t="s">
        <v>24782</v>
      </c>
      <c r="J2405" s="1" t="s">
        <v>28149</v>
      </c>
      <c r="K2405" s="1"/>
      <c r="L2405" s="1" t="s">
        <v>28150</v>
      </c>
      <c r="M2405" s="1" t="s">
        <v>24786</v>
      </c>
      <c r="N2405" s="1" t="s">
        <v>24787</v>
      </c>
    </row>
    <row r="2406">
      <c r="A2406" s="1" t="s">
        <v>120</v>
      </c>
      <c r="B2406" s="1">
        <v>2013.0</v>
      </c>
      <c r="C2406" s="1" t="s">
        <v>25212</v>
      </c>
      <c r="D2406" s="1" t="s">
        <v>25213</v>
      </c>
      <c r="E2406" s="2" t="s">
        <v>28151</v>
      </c>
      <c r="F2406" s="1">
        <v>2080.0</v>
      </c>
      <c r="G2406" s="1">
        <v>2089.0</v>
      </c>
      <c r="H2406" s="1" t="s">
        <v>17059</v>
      </c>
      <c r="I2406" s="1" t="s">
        <v>25214</v>
      </c>
      <c r="J2406" s="1" t="s">
        <v>25215</v>
      </c>
      <c r="K2406" s="1"/>
      <c r="L2406" s="1" t="s">
        <v>27366</v>
      </c>
      <c r="M2406" s="1" t="s">
        <v>25217</v>
      </c>
      <c r="N2406" s="1" t="s">
        <v>25218</v>
      </c>
    </row>
    <row r="2407">
      <c r="A2407" s="1" t="s">
        <v>120</v>
      </c>
      <c r="B2407" s="1">
        <v>2013.0</v>
      </c>
      <c r="C2407" s="1" t="s">
        <v>25219</v>
      </c>
      <c r="D2407" s="1" t="s">
        <v>25220</v>
      </c>
      <c r="E2407" s="2" t="s">
        <v>28155</v>
      </c>
      <c r="F2407" s="1">
        <v>2119.0</v>
      </c>
      <c r="G2407" s="1">
        <v>2128.0</v>
      </c>
      <c r="H2407" s="1" t="s">
        <v>17059</v>
      </c>
      <c r="I2407" s="1" t="s">
        <v>25221</v>
      </c>
      <c r="J2407" s="1" t="s">
        <v>25222</v>
      </c>
      <c r="K2407" s="1"/>
      <c r="L2407" s="1" t="s">
        <v>28165</v>
      </c>
      <c r="M2407" s="1" t="s">
        <v>25224</v>
      </c>
      <c r="N2407" s="1" t="s">
        <v>25225</v>
      </c>
    </row>
    <row r="2408">
      <c r="A2408" s="1" t="s">
        <v>4153</v>
      </c>
      <c r="B2408" s="1">
        <v>2013.0</v>
      </c>
      <c r="C2408" s="1" t="s">
        <v>25101</v>
      </c>
      <c r="D2408" s="1" t="s">
        <v>25102</v>
      </c>
      <c r="E2408" s="2" t="s">
        <v>28166</v>
      </c>
      <c r="F2408" s="1">
        <v>2828.0</v>
      </c>
      <c r="G2408" s="1">
        <v>2837.0</v>
      </c>
      <c r="H2408" s="1" t="s">
        <v>17059</v>
      </c>
      <c r="I2408" s="1" t="s">
        <v>25103</v>
      </c>
      <c r="J2408" s="1" t="s">
        <v>25104</v>
      </c>
      <c r="K2408" s="1"/>
      <c r="L2408" s="1" t="s">
        <v>28176</v>
      </c>
      <c r="M2408" s="1" t="s">
        <v>25106</v>
      </c>
      <c r="N2408" s="1" t="s">
        <v>25107</v>
      </c>
    </row>
    <row r="2409">
      <c r="A2409" s="1" t="s">
        <v>2137</v>
      </c>
      <c r="B2409" s="1">
        <v>2013.0</v>
      </c>
      <c r="C2409" s="1" t="s">
        <v>24788</v>
      </c>
      <c r="D2409" s="1" t="s">
        <v>24789</v>
      </c>
      <c r="E2409" s="2" t="s">
        <v>28177</v>
      </c>
      <c r="F2409" s="1">
        <v>2336.0</v>
      </c>
      <c r="G2409" s="1">
        <v>2345.0</v>
      </c>
      <c r="H2409" s="1" t="s">
        <v>17059</v>
      </c>
      <c r="I2409" s="1" t="s">
        <v>28183</v>
      </c>
      <c r="J2409" s="1" t="s">
        <v>28184</v>
      </c>
      <c r="K2409" s="1"/>
      <c r="L2409" s="1" t="s">
        <v>28186</v>
      </c>
      <c r="M2409" s="1" t="s">
        <v>24796</v>
      </c>
      <c r="N2409" s="1" t="s">
        <v>24797</v>
      </c>
    </row>
    <row r="2410">
      <c r="A2410" s="1" t="s">
        <v>4153</v>
      </c>
      <c r="B2410" s="1">
        <v>2013.0</v>
      </c>
      <c r="C2410" s="1" t="s">
        <v>25108</v>
      </c>
      <c r="D2410" s="1" t="s">
        <v>25109</v>
      </c>
      <c r="E2410" s="2" t="s">
        <v>28189</v>
      </c>
      <c r="F2410" s="1">
        <v>2946.0</v>
      </c>
      <c r="G2410" s="1">
        <v>2955.0</v>
      </c>
      <c r="H2410" s="1" t="s">
        <v>17059</v>
      </c>
      <c r="I2410" s="1" t="s">
        <v>25110</v>
      </c>
      <c r="J2410" s="1" t="s">
        <v>25111</v>
      </c>
      <c r="K2410" s="1"/>
      <c r="L2410" s="1" t="s">
        <v>28195</v>
      </c>
      <c r="M2410" s="1" t="s">
        <v>25112</v>
      </c>
      <c r="N2410" s="1" t="s">
        <v>25113</v>
      </c>
    </row>
    <row r="2411">
      <c r="A2411" s="1" t="s">
        <v>2137</v>
      </c>
      <c r="B2411" s="1">
        <v>2013.0</v>
      </c>
      <c r="C2411" s="1" t="s">
        <v>24799</v>
      </c>
      <c r="D2411" s="1" t="s">
        <v>24800</v>
      </c>
      <c r="E2411" s="2" t="s">
        <v>28198</v>
      </c>
      <c r="F2411" s="1">
        <v>2277.0</v>
      </c>
      <c r="G2411" s="1">
        <v>2286.0</v>
      </c>
      <c r="H2411" s="1" t="s">
        <v>17059</v>
      </c>
      <c r="I2411" s="1" t="s">
        <v>24801</v>
      </c>
      <c r="J2411" s="1" t="s">
        <v>24802</v>
      </c>
      <c r="K2411" s="1"/>
      <c r="L2411" s="1" t="s">
        <v>28200</v>
      </c>
      <c r="M2411" s="1" t="s">
        <v>24804</v>
      </c>
      <c r="N2411" s="1" t="s">
        <v>24805</v>
      </c>
      <c r="P2411" s="1"/>
      <c r="Q2411" s="1" t="s">
        <v>106</v>
      </c>
    </row>
    <row r="2412">
      <c r="A2412" s="1" t="s">
        <v>4153</v>
      </c>
      <c r="B2412" s="1">
        <v>2013.0</v>
      </c>
      <c r="C2412" s="1" t="s">
        <v>25114</v>
      </c>
      <c r="D2412" s="1" t="s">
        <v>25115</v>
      </c>
      <c r="E2412" s="2" t="s">
        <v>28206</v>
      </c>
      <c r="F2412" s="1">
        <v>2878.0</v>
      </c>
      <c r="G2412" s="1">
        <v>2885.0</v>
      </c>
      <c r="H2412" s="1" t="s">
        <v>17059</v>
      </c>
      <c r="I2412" s="1" t="s">
        <v>25116</v>
      </c>
      <c r="J2412" s="1" t="s">
        <v>25117</v>
      </c>
      <c r="K2412" s="1"/>
      <c r="L2412" s="1" t="s">
        <v>28210</v>
      </c>
      <c r="M2412" s="1" t="s">
        <v>18721</v>
      </c>
      <c r="N2412" s="1" t="s">
        <v>25119</v>
      </c>
    </row>
    <row r="2413">
      <c r="A2413" s="1" t="s">
        <v>4153</v>
      </c>
      <c r="B2413" s="1">
        <v>2013.0</v>
      </c>
      <c r="C2413" s="1" t="s">
        <v>25120</v>
      </c>
      <c r="D2413" s="1" t="s">
        <v>25121</v>
      </c>
      <c r="E2413" s="2" t="s">
        <v>28212</v>
      </c>
      <c r="F2413" s="1">
        <v>2906.0</v>
      </c>
      <c r="G2413" s="1">
        <v>2915.0</v>
      </c>
      <c r="H2413" s="1" t="s">
        <v>17059</v>
      </c>
      <c r="I2413" s="1" t="s">
        <v>25122</v>
      </c>
      <c r="J2413" s="1" t="s">
        <v>28220</v>
      </c>
      <c r="K2413" s="1"/>
      <c r="L2413" s="1" t="s">
        <v>28221</v>
      </c>
      <c r="M2413" s="1" t="s">
        <v>25125</v>
      </c>
      <c r="N2413" s="1" t="s">
        <v>25126</v>
      </c>
    </row>
    <row r="2414">
      <c r="A2414" s="1" t="s">
        <v>120</v>
      </c>
      <c r="B2414" s="1">
        <v>2013.0</v>
      </c>
      <c r="C2414" s="1" t="s">
        <v>25226</v>
      </c>
      <c r="D2414" s="1" t="s">
        <v>25227</v>
      </c>
      <c r="E2414" s="2" t="s">
        <v>28222</v>
      </c>
      <c r="F2414" s="1">
        <v>2257.0</v>
      </c>
      <c r="G2414" s="1">
        <v>2266.0</v>
      </c>
      <c r="H2414" s="1" t="s">
        <v>17059</v>
      </c>
      <c r="I2414" s="1" t="s">
        <v>25229</v>
      </c>
      <c r="J2414" s="1" t="s">
        <v>28232</v>
      </c>
      <c r="K2414" s="1"/>
      <c r="L2414" s="1" t="s">
        <v>28233</v>
      </c>
      <c r="M2414" s="1" t="s">
        <v>25232</v>
      </c>
      <c r="N2414" s="1" t="s">
        <v>25233</v>
      </c>
    </row>
    <row r="2415">
      <c r="A2415" s="1" t="s">
        <v>2137</v>
      </c>
      <c r="B2415" s="1">
        <v>2013.0</v>
      </c>
      <c r="C2415" s="1" t="s">
        <v>24806</v>
      </c>
      <c r="D2415" s="1" t="s">
        <v>24807</v>
      </c>
      <c r="E2415" s="2" t="s">
        <v>28234</v>
      </c>
      <c r="F2415" s="1">
        <v>2456.0</v>
      </c>
      <c r="G2415" s="1">
        <v>2465.0</v>
      </c>
      <c r="H2415" s="1" t="s">
        <v>17059</v>
      </c>
      <c r="I2415" s="1" t="s">
        <v>24808</v>
      </c>
      <c r="J2415" s="1" t="s">
        <v>24809</v>
      </c>
      <c r="K2415" s="1"/>
      <c r="L2415" s="1" t="s">
        <v>494</v>
      </c>
      <c r="M2415" s="1" t="s">
        <v>24813</v>
      </c>
      <c r="N2415" s="1" t="s">
        <v>24814</v>
      </c>
      <c r="P2415" s="1"/>
      <c r="Q2415" s="1" t="s">
        <v>19037</v>
      </c>
    </row>
    <row r="2416">
      <c r="A2416" s="1" t="s">
        <v>4153</v>
      </c>
      <c r="B2416" s="1">
        <v>2013.0</v>
      </c>
      <c r="C2416" s="1" t="s">
        <v>25127</v>
      </c>
      <c r="D2416" s="1" t="s">
        <v>25128</v>
      </c>
      <c r="E2416" s="2" t="s">
        <v>28243</v>
      </c>
      <c r="F2416" s="1">
        <v>2926.0</v>
      </c>
      <c r="G2416" s="1">
        <v>2935.0</v>
      </c>
      <c r="H2416" s="1" t="s">
        <v>17059</v>
      </c>
      <c r="I2416" s="1" t="s">
        <v>25129</v>
      </c>
      <c r="J2416" s="1" t="s">
        <v>25130</v>
      </c>
      <c r="K2416" s="1"/>
      <c r="L2416" s="1" t="s">
        <v>25796</v>
      </c>
      <c r="M2416" s="1" t="s">
        <v>25132</v>
      </c>
      <c r="N2416" s="1" t="s">
        <v>25133</v>
      </c>
    </row>
    <row r="2417">
      <c r="A2417" s="1" t="s">
        <v>120</v>
      </c>
      <c r="B2417" s="1">
        <v>2013.0</v>
      </c>
      <c r="C2417" s="1" t="s">
        <v>25234</v>
      </c>
      <c r="D2417" s="1" t="s">
        <v>25235</v>
      </c>
      <c r="E2417" s="2" t="s">
        <v>28257</v>
      </c>
      <c r="F2417" s="1">
        <v>2100.0</v>
      </c>
      <c r="G2417" s="1">
        <v>2108.0</v>
      </c>
      <c r="H2417" s="1" t="s">
        <v>17059</v>
      </c>
      <c r="I2417" s="1" t="s">
        <v>25236</v>
      </c>
      <c r="J2417" s="1" t="s">
        <v>22269</v>
      </c>
      <c r="K2417" s="1"/>
      <c r="L2417" s="1" t="s">
        <v>28268</v>
      </c>
      <c r="M2417" s="1" t="s">
        <v>25238</v>
      </c>
      <c r="N2417" s="1" t="s">
        <v>25239</v>
      </c>
    </row>
    <row r="2418">
      <c r="A2418" s="1" t="s">
        <v>2137</v>
      </c>
      <c r="B2418" s="1">
        <v>2013.0</v>
      </c>
      <c r="C2418" s="1" t="s">
        <v>24815</v>
      </c>
      <c r="D2418" s="1" t="s">
        <v>24817</v>
      </c>
      <c r="E2418" s="2" t="s">
        <v>28271</v>
      </c>
      <c r="F2418" s="1">
        <v>2615.0</v>
      </c>
      <c r="G2418" s="1">
        <v>2624.0</v>
      </c>
      <c r="H2418" s="1" t="s">
        <v>17059</v>
      </c>
      <c r="I2418" s="1" t="s">
        <v>24818</v>
      </c>
      <c r="J2418" s="1" t="s">
        <v>21965</v>
      </c>
      <c r="K2418" s="1"/>
      <c r="L2418" s="1" t="s">
        <v>24200</v>
      </c>
      <c r="M2418" s="1" t="s">
        <v>3776</v>
      </c>
      <c r="N2418" s="1" t="s">
        <v>24819</v>
      </c>
    </row>
    <row r="2419">
      <c r="A2419" s="1" t="s">
        <v>2137</v>
      </c>
      <c r="B2419" s="1">
        <v>2013.0</v>
      </c>
      <c r="C2419" s="1" t="s">
        <v>24820</v>
      </c>
      <c r="D2419" s="1" t="s">
        <v>24821</v>
      </c>
      <c r="E2419" s="2" t="s">
        <v>28287</v>
      </c>
      <c r="F2419" s="1">
        <v>2316.0</v>
      </c>
      <c r="G2419" s="1">
        <v>2325.0</v>
      </c>
      <c r="H2419" s="1" t="s">
        <v>17059</v>
      </c>
      <c r="I2419" s="1" t="s">
        <v>24822</v>
      </c>
      <c r="J2419" s="1" t="s">
        <v>24823</v>
      </c>
      <c r="K2419" s="1"/>
      <c r="L2419" s="1" t="s">
        <v>28297</v>
      </c>
      <c r="M2419" s="1" t="s">
        <v>23708</v>
      </c>
      <c r="N2419" s="1" t="s">
        <v>24825</v>
      </c>
    </row>
    <row r="2420">
      <c r="A2420" s="1" t="s">
        <v>2137</v>
      </c>
      <c r="B2420" s="1">
        <v>2013.0</v>
      </c>
      <c r="C2420" s="1" t="s">
        <v>24826</v>
      </c>
      <c r="D2420" s="1" t="s">
        <v>24827</v>
      </c>
      <c r="E2420" s="2" t="s">
        <v>28298</v>
      </c>
      <c r="F2420" s="1">
        <v>2496.0</v>
      </c>
      <c r="G2420" s="1">
        <v>2505.0</v>
      </c>
      <c r="H2420" s="1" t="s">
        <v>17059</v>
      </c>
      <c r="I2420" s="1" t="s">
        <v>24829</v>
      </c>
      <c r="J2420" s="1" t="s">
        <v>24830</v>
      </c>
      <c r="K2420" s="1"/>
      <c r="L2420" s="1" t="s">
        <v>26184</v>
      </c>
      <c r="M2420" s="1" t="s">
        <v>24832</v>
      </c>
      <c r="N2420" s="1" t="s">
        <v>24833</v>
      </c>
    </row>
    <row r="2421">
      <c r="A2421" s="1" t="s">
        <v>120</v>
      </c>
      <c r="B2421" s="1">
        <v>2013.0</v>
      </c>
      <c r="C2421" s="1" t="s">
        <v>25240</v>
      </c>
      <c r="D2421" s="1" t="s">
        <v>25241</v>
      </c>
      <c r="E2421" s="2" t="s">
        <v>28307</v>
      </c>
      <c r="F2421" s="1">
        <v>2022.0</v>
      </c>
      <c r="G2421" s="1">
        <v>2031.0</v>
      </c>
      <c r="H2421" s="1" t="s">
        <v>17059</v>
      </c>
      <c r="I2421" s="1" t="s">
        <v>25243</v>
      </c>
      <c r="J2421" s="1" t="s">
        <v>28310</v>
      </c>
      <c r="K2421" s="1"/>
      <c r="L2421" s="1" t="s">
        <v>28311</v>
      </c>
      <c r="M2421" s="1" t="s">
        <v>25247</v>
      </c>
      <c r="N2421" s="1" t="s">
        <v>25248</v>
      </c>
    </row>
    <row r="2422">
      <c r="A2422" s="1" t="s">
        <v>2137</v>
      </c>
      <c r="B2422" s="1">
        <v>2013.0</v>
      </c>
      <c r="C2422" s="1" t="s">
        <v>24834</v>
      </c>
      <c r="D2422" s="1" t="s">
        <v>24835</v>
      </c>
      <c r="E2422" s="2" t="s">
        <v>28313</v>
      </c>
      <c r="F2422" s="1">
        <v>2326.0</v>
      </c>
      <c r="G2422" s="1">
        <v>2335.0</v>
      </c>
      <c r="H2422" s="1" t="s">
        <v>17059</v>
      </c>
      <c r="I2422" s="1" t="s">
        <v>24836</v>
      </c>
      <c r="J2422" s="1" t="s">
        <v>24837</v>
      </c>
      <c r="K2422" s="1"/>
      <c r="L2422" s="1" t="s">
        <v>28324</v>
      </c>
      <c r="M2422" s="1" t="s">
        <v>24840</v>
      </c>
      <c r="N2422" s="1" t="s">
        <v>24841</v>
      </c>
    </row>
    <row r="2423">
      <c r="A2423" s="1" t="s">
        <v>120</v>
      </c>
      <c r="B2423" s="1">
        <v>2013.0</v>
      </c>
      <c r="C2423" s="1" t="s">
        <v>25250</v>
      </c>
      <c r="D2423" s="1" t="s">
        <v>25251</v>
      </c>
      <c r="E2423" s="2" t="s">
        <v>28326</v>
      </c>
      <c r="F2423" s="1">
        <v>2052.0</v>
      </c>
      <c r="G2423" s="1">
        <v>2059.0</v>
      </c>
      <c r="H2423" s="1" t="s">
        <v>17059</v>
      </c>
      <c r="I2423" s="1" t="s">
        <v>25252</v>
      </c>
      <c r="J2423" s="1" t="s">
        <v>25253</v>
      </c>
      <c r="K2423" s="1"/>
      <c r="L2423" s="1" t="s">
        <v>860</v>
      </c>
      <c r="M2423" s="1" t="s">
        <v>25255</v>
      </c>
      <c r="N2423" s="1" t="s">
        <v>25256</v>
      </c>
    </row>
    <row r="2424">
      <c r="A2424" s="1" t="s">
        <v>4153</v>
      </c>
      <c r="B2424" s="1">
        <v>2013.0</v>
      </c>
      <c r="C2424" s="1" t="s">
        <v>25134</v>
      </c>
      <c r="D2424" s="1" t="s">
        <v>25135</v>
      </c>
      <c r="E2424" s="2" t="s">
        <v>28337</v>
      </c>
      <c r="F2424" s="1">
        <v>2773.0</v>
      </c>
      <c r="G2424" s="1">
        <v>2782.0</v>
      </c>
      <c r="H2424" s="1" t="s">
        <v>17059</v>
      </c>
      <c r="I2424" s="1" t="s">
        <v>25136</v>
      </c>
      <c r="J2424" s="1" t="s">
        <v>28339</v>
      </c>
      <c r="K2424" s="1"/>
      <c r="L2424" s="1" t="s">
        <v>860</v>
      </c>
      <c r="M2424" s="1" t="s">
        <v>25140</v>
      </c>
      <c r="N2424" s="1" t="s">
        <v>25141</v>
      </c>
    </row>
    <row r="2425">
      <c r="A2425" s="1" t="s">
        <v>120</v>
      </c>
      <c r="B2425" s="1">
        <v>2013.0</v>
      </c>
      <c r="C2425" s="1" t="s">
        <v>25257</v>
      </c>
      <c r="D2425" s="1" t="s">
        <v>25258</v>
      </c>
      <c r="E2425" s="2" t="s">
        <v>28342</v>
      </c>
      <c r="F2425" s="1">
        <v>2060.0</v>
      </c>
      <c r="G2425" s="1">
        <v>2069.0</v>
      </c>
      <c r="H2425" s="1" t="s">
        <v>17059</v>
      </c>
      <c r="I2425" s="1" t="s">
        <v>28352</v>
      </c>
      <c r="J2425" s="1" t="s">
        <v>25260</v>
      </c>
      <c r="K2425" s="1"/>
      <c r="L2425" s="1" t="s">
        <v>25695</v>
      </c>
      <c r="M2425" s="1" t="s">
        <v>25264</v>
      </c>
      <c r="N2425" s="1" t="s">
        <v>25265</v>
      </c>
    </row>
    <row r="2426">
      <c r="A2426" s="1" t="s">
        <v>2137</v>
      </c>
      <c r="B2426" s="1">
        <v>2013.0</v>
      </c>
      <c r="C2426" s="1" t="s">
        <v>24842</v>
      </c>
      <c r="D2426" s="1" t="s">
        <v>24843</v>
      </c>
      <c r="E2426" s="2" t="s">
        <v>28356</v>
      </c>
      <c r="F2426" s="1">
        <v>2416.0</v>
      </c>
      <c r="G2426" s="1">
        <v>2425.0</v>
      </c>
      <c r="H2426" s="1" t="s">
        <v>17059</v>
      </c>
      <c r="I2426" s="1" t="s">
        <v>24846</v>
      </c>
      <c r="J2426" s="1" t="s">
        <v>24847</v>
      </c>
      <c r="K2426" s="1"/>
      <c r="L2426" s="1" t="s">
        <v>494</v>
      </c>
      <c r="M2426" s="1" t="s">
        <v>24849</v>
      </c>
      <c r="N2426" s="1" t="s">
        <v>24850</v>
      </c>
    </row>
    <row r="2427">
      <c r="A2427" s="1" t="s">
        <v>2137</v>
      </c>
      <c r="B2427" s="1">
        <v>2013.0</v>
      </c>
      <c r="C2427" s="1" t="s">
        <v>24852</v>
      </c>
      <c r="D2427" s="1" t="s">
        <v>24853</v>
      </c>
      <c r="E2427" s="2" t="s">
        <v>28365</v>
      </c>
      <c r="F2427" s="1">
        <v>2506.0</v>
      </c>
      <c r="G2427" s="1">
        <v>2515.0</v>
      </c>
      <c r="H2427" s="1" t="s">
        <v>17059</v>
      </c>
      <c r="I2427" s="1" t="s">
        <v>24854</v>
      </c>
      <c r="J2427" s="1" t="s">
        <v>24855</v>
      </c>
      <c r="K2427" s="1"/>
      <c r="L2427" s="1" t="s">
        <v>28371</v>
      </c>
      <c r="M2427" s="1" t="s">
        <v>24857</v>
      </c>
      <c r="N2427" s="1" t="s">
        <v>24858</v>
      </c>
      <c r="P2427" s="1"/>
      <c r="Q2427" s="1" t="s">
        <v>19037</v>
      </c>
    </row>
    <row r="2428">
      <c r="A2428" s="1" t="s">
        <v>120</v>
      </c>
      <c r="B2428" s="1">
        <v>2013.0</v>
      </c>
      <c r="C2428" s="1" t="s">
        <v>25267</v>
      </c>
      <c r="D2428" s="1" t="s">
        <v>25268</v>
      </c>
      <c r="E2428" s="2" t="s">
        <v>28374</v>
      </c>
      <c r="F2428" s="1">
        <v>2169.0</v>
      </c>
      <c r="G2428" s="1">
        <v>2178.0</v>
      </c>
      <c r="H2428" s="1" t="s">
        <v>17059</v>
      </c>
      <c r="I2428" s="1" t="s">
        <v>25269</v>
      </c>
      <c r="J2428" s="1" t="s">
        <v>25270</v>
      </c>
      <c r="K2428" s="1"/>
      <c r="L2428" s="1" t="s">
        <v>880</v>
      </c>
      <c r="M2428" s="1" t="s">
        <v>25273</v>
      </c>
      <c r="N2428" s="1" t="s">
        <v>25274</v>
      </c>
    </row>
    <row r="2429">
      <c r="A2429" s="1" t="s">
        <v>120</v>
      </c>
      <c r="B2429" s="1">
        <v>2013.0</v>
      </c>
      <c r="C2429" s="1" t="s">
        <v>25275</v>
      </c>
      <c r="D2429" s="1" t="s">
        <v>25276</v>
      </c>
      <c r="E2429" s="2" t="s">
        <v>28386</v>
      </c>
      <c r="F2429" s="1">
        <v>2129.0</v>
      </c>
      <c r="G2429" s="1">
        <v>2138.0</v>
      </c>
      <c r="H2429" s="1" t="s">
        <v>17059</v>
      </c>
      <c r="I2429" s="1" t="s">
        <v>25277</v>
      </c>
      <c r="J2429" s="1" t="s">
        <v>25278</v>
      </c>
      <c r="K2429" s="1"/>
      <c r="L2429" s="1" t="s">
        <v>28395</v>
      </c>
      <c r="M2429" s="1" t="s">
        <v>25280</v>
      </c>
      <c r="N2429" s="1" t="s">
        <v>25281</v>
      </c>
    </row>
    <row r="2430">
      <c r="A2430" s="1" t="s">
        <v>2137</v>
      </c>
      <c r="B2430" s="1">
        <v>2013.0</v>
      </c>
      <c r="C2430" s="1" t="s">
        <v>24859</v>
      </c>
      <c r="D2430" s="1" t="s">
        <v>24860</v>
      </c>
      <c r="E2430" s="2" t="s">
        <v>28396</v>
      </c>
      <c r="F2430" s="1">
        <v>2436.0</v>
      </c>
      <c r="G2430" s="1">
        <v>2445.0</v>
      </c>
      <c r="H2430" s="1" t="s">
        <v>17059</v>
      </c>
      <c r="I2430" s="1" t="s">
        <v>24862</v>
      </c>
      <c r="J2430" s="1" t="s">
        <v>24864</v>
      </c>
      <c r="K2430" s="1"/>
      <c r="L2430" s="1" t="s">
        <v>880</v>
      </c>
      <c r="M2430" s="1" t="s">
        <v>24867</v>
      </c>
      <c r="N2430" s="1" t="s">
        <v>24868</v>
      </c>
    </row>
    <row r="2431">
      <c r="A2431" s="1" t="s">
        <v>120</v>
      </c>
      <c r="B2431" s="1">
        <v>2013.0</v>
      </c>
      <c r="C2431" s="1" t="s">
        <v>25283</v>
      </c>
      <c r="D2431" s="1" t="s">
        <v>25284</v>
      </c>
      <c r="E2431" s="2" t="s">
        <v>28400</v>
      </c>
      <c r="F2431" s="1">
        <v>2189.0</v>
      </c>
      <c r="G2431" s="1">
        <v>2197.0</v>
      </c>
      <c r="H2431" s="1" t="s">
        <v>17059</v>
      </c>
      <c r="I2431" s="1" t="s">
        <v>28403</v>
      </c>
      <c r="J2431" s="1" t="s">
        <v>25286</v>
      </c>
      <c r="K2431" s="1"/>
      <c r="L2431" s="1" t="s">
        <v>22110</v>
      </c>
      <c r="M2431" s="1" t="s">
        <v>25288</v>
      </c>
      <c r="N2431" s="1" t="s">
        <v>25289</v>
      </c>
    </row>
    <row r="2432">
      <c r="A2432" s="1" t="s">
        <v>120</v>
      </c>
      <c r="B2432" s="1">
        <v>2013.0</v>
      </c>
      <c r="C2432" s="1" t="s">
        <v>25290</v>
      </c>
      <c r="D2432" s="1" t="s">
        <v>25291</v>
      </c>
      <c r="E2432" s="2" t="s">
        <v>28404</v>
      </c>
      <c r="F2432" s="1">
        <v>2267.0</v>
      </c>
      <c r="G2432" s="1">
        <v>2276.0</v>
      </c>
      <c r="H2432" s="1" t="s">
        <v>17059</v>
      </c>
      <c r="I2432" s="1" t="s">
        <v>25292</v>
      </c>
      <c r="J2432" s="1" t="s">
        <v>25293</v>
      </c>
      <c r="K2432" s="1"/>
      <c r="L2432" s="1" t="s">
        <v>27982</v>
      </c>
      <c r="M2432" s="1" t="s">
        <v>25295</v>
      </c>
      <c r="N2432" s="1" t="s">
        <v>25296</v>
      </c>
    </row>
    <row r="2433">
      <c r="A2433" s="1" t="s">
        <v>120</v>
      </c>
      <c r="B2433" s="1">
        <v>2013.0</v>
      </c>
      <c r="C2433" s="1" t="s">
        <v>25298</v>
      </c>
      <c r="D2433" s="1" t="s">
        <v>25299</v>
      </c>
      <c r="E2433" s="2" t="s">
        <v>28410</v>
      </c>
      <c r="F2433" s="1">
        <v>2227.0</v>
      </c>
      <c r="G2433" s="1">
        <v>2236.0</v>
      </c>
      <c r="H2433" s="1" t="s">
        <v>17059</v>
      </c>
      <c r="I2433" s="1" t="s">
        <v>25301</v>
      </c>
      <c r="J2433" s="1" t="s">
        <v>25302</v>
      </c>
      <c r="K2433" s="1"/>
      <c r="L2433" s="1" t="s">
        <v>28414</v>
      </c>
      <c r="M2433" s="1" t="s">
        <v>25304</v>
      </c>
      <c r="N2433" s="1" t="s">
        <v>25305</v>
      </c>
      <c r="P2433" s="1"/>
      <c r="Q2433" s="1" t="s">
        <v>19037</v>
      </c>
    </row>
    <row r="2434">
      <c r="A2434" s="1" t="s">
        <v>120</v>
      </c>
      <c r="B2434" s="1">
        <v>2013.0</v>
      </c>
      <c r="C2434" s="1" t="s">
        <v>25306</v>
      </c>
      <c r="D2434" s="1" t="s">
        <v>25307</v>
      </c>
      <c r="E2434" s="2" t="s">
        <v>28416</v>
      </c>
      <c r="F2434" s="1">
        <v>2207.0</v>
      </c>
      <c r="G2434" s="1">
        <v>2216.0</v>
      </c>
      <c r="H2434" s="1" t="s">
        <v>17059</v>
      </c>
      <c r="I2434" s="1" t="s">
        <v>25308</v>
      </c>
      <c r="J2434" s="1" t="s">
        <v>24637</v>
      </c>
      <c r="K2434" s="1"/>
      <c r="L2434" s="1" t="s">
        <v>28425</v>
      </c>
      <c r="M2434" s="1" t="s">
        <v>25310</v>
      </c>
      <c r="N2434" s="1" t="s">
        <v>25311</v>
      </c>
    </row>
    <row r="2435">
      <c r="A2435" s="1" t="s">
        <v>120</v>
      </c>
      <c r="B2435" s="1">
        <v>2013.0</v>
      </c>
      <c r="C2435" s="1" t="s">
        <v>25312</v>
      </c>
      <c r="D2435" s="1" t="s">
        <v>25313</v>
      </c>
      <c r="E2435" s="2" t="s">
        <v>28426</v>
      </c>
      <c r="F2435" s="1">
        <v>2247.0</v>
      </c>
      <c r="G2435" s="1">
        <v>2256.0</v>
      </c>
      <c r="H2435" s="1" t="s">
        <v>17059</v>
      </c>
      <c r="I2435" s="1" t="s">
        <v>25316</v>
      </c>
      <c r="J2435" s="1" t="s">
        <v>25317</v>
      </c>
      <c r="K2435" s="1"/>
      <c r="L2435" s="1" t="s">
        <v>28430</v>
      </c>
      <c r="M2435" s="1" t="s">
        <v>25319</v>
      </c>
      <c r="N2435" s="1" t="s">
        <v>25321</v>
      </c>
    </row>
    <row r="2436">
      <c r="A2436" s="1" t="s">
        <v>120</v>
      </c>
      <c r="B2436" s="1">
        <v>2013.0</v>
      </c>
      <c r="C2436" s="1" t="s">
        <v>25322</v>
      </c>
      <c r="D2436" s="1" t="s">
        <v>25323</v>
      </c>
      <c r="E2436" s="2" t="s">
        <v>28431</v>
      </c>
      <c r="F2436" s="1">
        <v>2109.0</v>
      </c>
      <c r="G2436" s="1">
        <v>2118.0</v>
      </c>
      <c r="H2436" s="1" t="s">
        <v>17059</v>
      </c>
      <c r="I2436" s="1" t="s">
        <v>25324</v>
      </c>
      <c r="J2436" s="1" t="s">
        <v>25325</v>
      </c>
      <c r="K2436" s="1"/>
      <c r="L2436" s="1" t="s">
        <v>28434</v>
      </c>
      <c r="M2436" s="1" t="s">
        <v>25328</v>
      </c>
      <c r="N2436" s="1" t="s">
        <v>25329</v>
      </c>
    </row>
    <row r="2437">
      <c r="A2437" s="1" t="s">
        <v>4153</v>
      </c>
      <c r="B2437" s="1">
        <v>2013.0</v>
      </c>
      <c r="C2437" s="1" t="s">
        <v>25142</v>
      </c>
      <c r="D2437" s="1" t="s">
        <v>25143</v>
      </c>
      <c r="E2437" s="2" t="s">
        <v>28435</v>
      </c>
      <c r="F2437" s="1">
        <v>2723.0</v>
      </c>
      <c r="G2437" s="1">
        <v>2732.0</v>
      </c>
      <c r="H2437" s="1" t="s">
        <v>17059</v>
      </c>
      <c r="I2437" s="1" t="s">
        <v>25144</v>
      </c>
      <c r="J2437" s="1" t="s">
        <v>25145</v>
      </c>
      <c r="K2437" s="1"/>
      <c r="L2437" s="1" t="s">
        <v>28440</v>
      </c>
      <c r="M2437" s="1" t="s">
        <v>25147</v>
      </c>
      <c r="N2437" s="1" t="s">
        <v>25148</v>
      </c>
    </row>
    <row r="2438">
      <c r="A2438" s="1" t="s">
        <v>2137</v>
      </c>
      <c r="B2438" s="1">
        <v>2013.0</v>
      </c>
      <c r="C2438" s="1" t="s">
        <v>24869</v>
      </c>
      <c r="D2438" s="1" t="s">
        <v>24870</v>
      </c>
      <c r="E2438" s="2" t="s">
        <v>28441</v>
      </c>
      <c r="F2438" s="1">
        <v>2526.0</v>
      </c>
      <c r="G2438" s="1">
        <v>2535.0</v>
      </c>
      <c r="H2438" s="1" t="s">
        <v>17059</v>
      </c>
      <c r="I2438" s="1" t="s">
        <v>24871</v>
      </c>
      <c r="J2438" s="1" t="s">
        <v>24872</v>
      </c>
      <c r="K2438" s="1"/>
      <c r="L2438" s="1" t="s">
        <v>880</v>
      </c>
      <c r="M2438" s="1" t="s">
        <v>24875</v>
      </c>
      <c r="N2438" s="1" t="s">
        <v>24876</v>
      </c>
    </row>
    <row r="2439">
      <c r="A2439" s="1" t="s">
        <v>2137</v>
      </c>
      <c r="B2439" s="1">
        <v>2013.0</v>
      </c>
      <c r="C2439" s="1" t="s">
        <v>24877</v>
      </c>
      <c r="D2439" s="1" t="s">
        <v>24878</v>
      </c>
      <c r="E2439" s="2" t="s">
        <v>28444</v>
      </c>
      <c r="F2439" s="1">
        <v>2426.0</v>
      </c>
      <c r="G2439" s="1">
        <v>2435.0</v>
      </c>
      <c r="H2439" s="1" t="s">
        <v>17059</v>
      </c>
      <c r="I2439" s="1" t="s">
        <v>24880</v>
      </c>
      <c r="J2439" s="1" t="s">
        <v>24881</v>
      </c>
      <c r="K2439" s="1"/>
      <c r="L2439" s="1" t="s">
        <v>28450</v>
      </c>
      <c r="M2439" s="1" t="s">
        <v>23587</v>
      </c>
      <c r="N2439" s="1" t="s">
        <v>24884</v>
      </c>
    </row>
    <row r="2440">
      <c r="A2440" s="1" t="s">
        <v>120</v>
      </c>
      <c r="B2440" s="1">
        <v>2013.0</v>
      </c>
      <c r="C2440" s="1" t="s">
        <v>25330</v>
      </c>
      <c r="D2440" s="1" t="s">
        <v>25332</v>
      </c>
      <c r="E2440" s="2" t="s">
        <v>28453</v>
      </c>
      <c r="F2440" s="1">
        <v>2217.0</v>
      </c>
      <c r="G2440" s="1">
        <v>2226.0</v>
      </c>
      <c r="H2440" s="1" t="s">
        <v>17059</v>
      </c>
      <c r="I2440" s="1" t="s">
        <v>25334</v>
      </c>
      <c r="J2440" s="1" t="s">
        <v>25335</v>
      </c>
      <c r="K2440" s="1"/>
      <c r="L2440" s="1" t="s">
        <v>27014</v>
      </c>
      <c r="M2440" s="1" t="s">
        <v>25338</v>
      </c>
      <c r="N2440" s="1" t="s">
        <v>25339</v>
      </c>
    </row>
    <row r="2441">
      <c r="A2441" s="1" t="s">
        <v>120</v>
      </c>
      <c r="B2441" s="1">
        <v>2013.0</v>
      </c>
      <c r="C2441" s="1" t="s">
        <v>25340</v>
      </c>
      <c r="D2441" s="1" t="s">
        <v>25341</v>
      </c>
      <c r="E2441" s="2" t="s">
        <v>28462</v>
      </c>
      <c r="F2441" s="1">
        <v>1992.0</v>
      </c>
      <c r="G2441" s="1">
        <v>2001.0</v>
      </c>
      <c r="H2441" s="1" t="s">
        <v>17059</v>
      </c>
      <c r="I2441" s="1" t="s">
        <v>25342</v>
      </c>
      <c r="J2441" s="1" t="s">
        <v>25343</v>
      </c>
      <c r="K2441" s="1"/>
      <c r="L2441" s="1" t="s">
        <v>23932</v>
      </c>
      <c r="M2441" s="1" t="s">
        <v>25345</v>
      </c>
      <c r="N2441" s="1" t="s">
        <v>25346</v>
      </c>
    </row>
    <row r="2442">
      <c r="A2442" s="1" t="s">
        <v>120</v>
      </c>
      <c r="B2442" s="1">
        <v>2013.0</v>
      </c>
      <c r="C2442" s="1" t="s">
        <v>25347</v>
      </c>
      <c r="D2442" s="1" t="s">
        <v>25348</v>
      </c>
      <c r="E2442" s="2" t="s">
        <v>28474</v>
      </c>
      <c r="F2442" s="1">
        <v>2090.0</v>
      </c>
      <c r="G2442" s="1">
        <v>2099.0</v>
      </c>
      <c r="H2442" s="1" t="s">
        <v>17059</v>
      </c>
      <c r="I2442" s="1" t="s">
        <v>25350</v>
      </c>
      <c r="J2442" s="1" t="s">
        <v>28478</v>
      </c>
      <c r="K2442" s="1"/>
      <c r="L2442" s="1" t="s">
        <v>27779</v>
      </c>
      <c r="M2442" s="1" t="s">
        <v>25354</v>
      </c>
      <c r="N2442" s="1" t="s">
        <v>25355</v>
      </c>
    </row>
    <row r="2443">
      <c r="A2443" s="1" t="s">
        <v>2137</v>
      </c>
      <c r="B2443" s="1">
        <v>2013.0</v>
      </c>
      <c r="C2443" s="1" t="s">
        <v>24885</v>
      </c>
      <c r="D2443" s="1" t="s">
        <v>24886</v>
      </c>
      <c r="E2443" s="2" t="s">
        <v>28484</v>
      </c>
      <c r="F2443" s="1">
        <v>2546.0</v>
      </c>
      <c r="G2443" s="1">
        <v>2555.0</v>
      </c>
      <c r="H2443" s="1" t="s">
        <v>17059</v>
      </c>
      <c r="I2443" s="1" t="s">
        <v>24887</v>
      </c>
      <c r="J2443" s="1" t="s">
        <v>24888</v>
      </c>
      <c r="K2443" s="1"/>
      <c r="L2443" s="1" t="s">
        <v>494</v>
      </c>
      <c r="M2443" s="1" t="s">
        <v>24890</v>
      </c>
      <c r="N2443" s="1" t="s">
        <v>24891</v>
      </c>
    </row>
    <row r="2444">
      <c r="A2444" s="1" t="s">
        <v>4153</v>
      </c>
      <c r="B2444" s="1">
        <v>2013.0</v>
      </c>
      <c r="C2444" s="1" t="s">
        <v>25149</v>
      </c>
      <c r="D2444" s="1" t="s">
        <v>25150</v>
      </c>
      <c r="E2444" s="2" t="s">
        <v>28493</v>
      </c>
      <c r="F2444" s="1">
        <v>2858.0</v>
      </c>
      <c r="G2444" s="1">
        <v>2867.0</v>
      </c>
      <c r="H2444" s="1" t="s">
        <v>17059</v>
      </c>
      <c r="I2444" s="1" t="s">
        <v>25151</v>
      </c>
      <c r="J2444" s="1" t="s">
        <v>28502</v>
      </c>
      <c r="K2444" s="1"/>
      <c r="L2444" s="1" t="s">
        <v>27966</v>
      </c>
      <c r="M2444" s="1" t="s">
        <v>25154</v>
      </c>
      <c r="N2444" s="1" t="s">
        <v>25155</v>
      </c>
    </row>
    <row r="2445">
      <c r="A2445" s="1" t="s">
        <v>120</v>
      </c>
      <c r="B2445" s="1">
        <v>2013.0</v>
      </c>
      <c r="C2445" s="1" t="s">
        <v>25356</v>
      </c>
      <c r="D2445" s="1" t="s">
        <v>25357</v>
      </c>
      <c r="E2445" s="2" t="s">
        <v>28506</v>
      </c>
      <c r="F2445" s="1">
        <v>1982.0</v>
      </c>
      <c r="G2445" s="1">
        <v>1991.0</v>
      </c>
      <c r="H2445" s="1" t="s">
        <v>17059</v>
      </c>
      <c r="I2445" s="1" t="s">
        <v>25358</v>
      </c>
      <c r="J2445" s="1" t="s">
        <v>25359</v>
      </c>
      <c r="K2445" s="1"/>
      <c r="L2445" s="1" t="s">
        <v>28516</v>
      </c>
      <c r="M2445" s="1" t="s">
        <v>25362</v>
      </c>
      <c r="N2445" s="1" t="s">
        <v>25363</v>
      </c>
    </row>
    <row r="2446">
      <c r="A2446" s="1" t="s">
        <v>120</v>
      </c>
      <c r="B2446" s="1">
        <v>2013.0</v>
      </c>
      <c r="C2446" s="1" t="s">
        <v>25364</v>
      </c>
      <c r="D2446" s="1" t="s">
        <v>25365</v>
      </c>
      <c r="E2446" s="2" t="s">
        <v>28518</v>
      </c>
      <c r="F2446" s="1">
        <v>2070.0</v>
      </c>
      <c r="G2446" s="1">
        <v>2079.0</v>
      </c>
      <c r="H2446" s="1" t="s">
        <v>17059</v>
      </c>
      <c r="I2446" s="1" t="s">
        <v>25366</v>
      </c>
      <c r="J2446" s="1" t="s">
        <v>25367</v>
      </c>
      <c r="K2446" s="1"/>
      <c r="L2446" s="1" t="s">
        <v>28529</v>
      </c>
      <c r="M2446" s="1" t="s">
        <v>25369</v>
      </c>
      <c r="N2446" s="1" t="s">
        <v>25370</v>
      </c>
    </row>
    <row r="2447">
      <c r="A2447" s="1" t="s">
        <v>120</v>
      </c>
      <c r="B2447" s="1">
        <v>2013.0</v>
      </c>
      <c r="C2447" s="1" t="s">
        <v>25372</v>
      </c>
      <c r="D2447" s="1" t="s">
        <v>25373</v>
      </c>
      <c r="E2447" s="2" t="s">
        <v>28530</v>
      </c>
      <c r="F2447" s="1">
        <v>2012.0</v>
      </c>
      <c r="G2447" s="1">
        <v>2021.0</v>
      </c>
      <c r="H2447" s="1" t="s">
        <v>17059</v>
      </c>
      <c r="I2447" s="1" t="s">
        <v>25375</v>
      </c>
      <c r="J2447" s="1" t="s">
        <v>25376</v>
      </c>
      <c r="K2447" s="1"/>
      <c r="L2447" s="1" t="s">
        <v>28539</v>
      </c>
      <c r="M2447" s="1" t="s">
        <v>25379</v>
      </c>
      <c r="N2447" s="1" t="s">
        <v>25380</v>
      </c>
    </row>
    <row r="2448">
      <c r="A2448" s="1" t="s">
        <v>120</v>
      </c>
      <c r="B2448" s="1">
        <v>2013.0</v>
      </c>
      <c r="C2448" s="1" t="s">
        <v>25381</v>
      </c>
      <c r="D2448" s="1" t="s">
        <v>25382</v>
      </c>
      <c r="E2448" s="2" t="s">
        <v>28542</v>
      </c>
      <c r="F2448" s="1">
        <v>2237.0</v>
      </c>
      <c r="G2448" s="1">
        <v>2246.0</v>
      </c>
      <c r="H2448" s="1" t="s">
        <v>17059</v>
      </c>
      <c r="I2448" s="1" t="s">
        <v>25383</v>
      </c>
      <c r="J2448" s="1" t="s">
        <v>28546</v>
      </c>
      <c r="K2448" s="1"/>
      <c r="L2448" s="1" t="s">
        <v>28547</v>
      </c>
      <c r="M2448" s="1" t="s">
        <v>25386</v>
      </c>
      <c r="N2448" s="1" t="s">
        <v>25387</v>
      </c>
    </row>
    <row r="2449">
      <c r="A2449" s="1" t="s">
        <v>120</v>
      </c>
      <c r="B2449" s="1">
        <v>2013.0</v>
      </c>
      <c r="C2449" s="1" t="s">
        <v>25388</v>
      </c>
      <c r="D2449" s="1" t="s">
        <v>25389</v>
      </c>
      <c r="E2449" s="2" t="s">
        <v>28554</v>
      </c>
      <c r="F2449" s="1">
        <v>2032.0</v>
      </c>
      <c r="G2449" s="1">
        <v>2041.0</v>
      </c>
      <c r="H2449" s="1" t="s">
        <v>17059</v>
      </c>
      <c r="I2449" s="1" t="s">
        <v>25390</v>
      </c>
      <c r="J2449" s="1" t="s">
        <v>25392</v>
      </c>
      <c r="K2449" s="1"/>
      <c r="L2449" s="1" t="s">
        <v>28560</v>
      </c>
      <c r="M2449" s="1" t="s">
        <v>25394</v>
      </c>
      <c r="N2449" s="1" t="s">
        <v>25395</v>
      </c>
    </row>
    <row r="2450">
      <c r="A2450" s="1" t="s">
        <v>120</v>
      </c>
      <c r="B2450" s="1">
        <v>2013.0</v>
      </c>
      <c r="C2450" s="1" t="s">
        <v>25397</v>
      </c>
      <c r="D2450" s="1" t="s">
        <v>25398</v>
      </c>
      <c r="E2450" s="2" t="s">
        <v>28566</v>
      </c>
      <c r="F2450" s="1">
        <v>2179.0</v>
      </c>
      <c r="G2450" s="1">
        <v>2188.0</v>
      </c>
      <c r="H2450" s="1" t="s">
        <v>17059</v>
      </c>
      <c r="I2450" s="1" t="s">
        <v>25399</v>
      </c>
      <c r="J2450" s="1" t="s">
        <v>28573</v>
      </c>
      <c r="K2450" s="1"/>
      <c r="L2450" s="1" t="s">
        <v>28575</v>
      </c>
      <c r="M2450" s="1" t="s">
        <v>25402</v>
      </c>
      <c r="N2450" s="1" t="s">
        <v>25403</v>
      </c>
    </row>
    <row r="2451">
      <c r="A2451" s="1" t="s">
        <v>2137</v>
      </c>
      <c r="B2451" s="1">
        <v>2013.0</v>
      </c>
      <c r="C2451" s="1" t="s">
        <v>24892</v>
      </c>
      <c r="D2451" s="1" t="s">
        <v>24893</v>
      </c>
      <c r="E2451" s="2" t="s">
        <v>28576</v>
      </c>
      <c r="F2451" s="1">
        <v>2576.0</v>
      </c>
      <c r="G2451" s="1">
        <v>2585.0</v>
      </c>
      <c r="H2451" s="1" t="s">
        <v>17059</v>
      </c>
      <c r="I2451" s="1" t="s">
        <v>24894</v>
      </c>
      <c r="J2451" s="1" t="s">
        <v>23840</v>
      </c>
      <c r="K2451" s="1"/>
      <c r="L2451" s="1" t="s">
        <v>27776</v>
      </c>
      <c r="M2451" s="1" t="s">
        <v>24895</v>
      </c>
      <c r="N2451" s="1" t="s">
        <v>24896</v>
      </c>
    </row>
    <row r="2452">
      <c r="A2452" s="1" t="s">
        <v>120</v>
      </c>
      <c r="B2452" s="1">
        <v>2013.0</v>
      </c>
      <c r="C2452" s="1" t="s">
        <v>25404</v>
      </c>
      <c r="D2452" s="1" t="s">
        <v>25405</v>
      </c>
      <c r="E2452" s="2" t="s">
        <v>28577</v>
      </c>
      <c r="F2452" s="1">
        <v>2149.0</v>
      </c>
      <c r="G2452" s="1">
        <v>2158.0</v>
      </c>
      <c r="H2452" s="1" t="s">
        <v>17059</v>
      </c>
      <c r="I2452" s="1" t="s">
        <v>25406</v>
      </c>
      <c r="J2452" s="1" t="s">
        <v>28581</v>
      </c>
      <c r="K2452" s="1"/>
      <c r="L2452" s="1" t="s">
        <v>880</v>
      </c>
      <c r="M2452" s="1" t="s">
        <v>25410</v>
      </c>
      <c r="N2452" s="1" t="s">
        <v>25412</v>
      </c>
    </row>
    <row r="2453">
      <c r="A2453" s="1" t="s">
        <v>2137</v>
      </c>
      <c r="B2453" s="1">
        <v>2013.0</v>
      </c>
      <c r="C2453" s="1" t="s">
        <v>24899</v>
      </c>
      <c r="D2453" s="1" t="s">
        <v>24900</v>
      </c>
      <c r="E2453" s="2" t="s">
        <v>28582</v>
      </c>
      <c r="F2453" s="1">
        <v>2446.0</v>
      </c>
      <c r="G2453" s="1">
        <v>2455.0</v>
      </c>
      <c r="H2453" s="1" t="s">
        <v>17059</v>
      </c>
      <c r="I2453" s="1" t="s">
        <v>24902</v>
      </c>
      <c r="J2453" s="1" t="s">
        <v>24903</v>
      </c>
      <c r="K2453" s="1"/>
      <c r="L2453" s="1" t="s">
        <v>494</v>
      </c>
      <c r="M2453" s="1" t="s">
        <v>24904</v>
      </c>
      <c r="N2453" s="1" t="s">
        <v>24905</v>
      </c>
    </row>
    <row r="2454">
      <c r="A2454" s="1" t="s">
        <v>120</v>
      </c>
      <c r="B2454" s="1">
        <v>2013.0</v>
      </c>
      <c r="C2454" s="1" t="s">
        <v>25413</v>
      </c>
      <c r="D2454" s="1" t="s">
        <v>25414</v>
      </c>
      <c r="E2454" s="2" t="s">
        <v>28596</v>
      </c>
      <c r="F2454" s="1">
        <v>2159.0</v>
      </c>
      <c r="G2454" s="1">
        <v>2168.0</v>
      </c>
      <c r="H2454" s="1" t="s">
        <v>17059</v>
      </c>
      <c r="I2454" s="1" t="s">
        <v>25416</v>
      </c>
      <c r="J2454" s="1" t="s">
        <v>25417</v>
      </c>
      <c r="K2454" s="1"/>
      <c r="L2454" s="1" t="s">
        <v>28606</v>
      </c>
      <c r="M2454" s="1" t="s">
        <v>25419</v>
      </c>
      <c r="N2454" s="1" t="s">
        <v>25420</v>
      </c>
    </row>
    <row r="2455">
      <c r="A2455" s="1" t="s">
        <v>4153</v>
      </c>
      <c r="B2455" s="1">
        <v>2013.0</v>
      </c>
      <c r="C2455" s="1" t="s">
        <v>25156</v>
      </c>
      <c r="D2455" s="1" t="s">
        <v>25157</v>
      </c>
      <c r="E2455" s="2" t="s">
        <v>28608</v>
      </c>
      <c r="F2455" s="1">
        <v>2763.0</v>
      </c>
      <c r="G2455" s="1">
        <v>2772.0</v>
      </c>
      <c r="H2455" s="1" t="s">
        <v>17059</v>
      </c>
      <c r="I2455" s="1" t="s">
        <v>25158</v>
      </c>
      <c r="J2455" s="1" t="s">
        <v>28617</v>
      </c>
      <c r="K2455" s="1"/>
      <c r="L2455" s="1" t="s">
        <v>28618</v>
      </c>
      <c r="M2455" s="1" t="s">
        <v>25162</v>
      </c>
      <c r="N2455" s="1" t="s">
        <v>25163</v>
      </c>
    </row>
    <row r="2456">
      <c r="A2456" s="1" t="s">
        <v>2137</v>
      </c>
      <c r="B2456" s="1">
        <v>2013.0</v>
      </c>
      <c r="C2456" s="1" t="s">
        <v>24906</v>
      </c>
      <c r="D2456" s="1" t="s">
        <v>24907</v>
      </c>
      <c r="E2456" s="2" t="s">
        <v>28641</v>
      </c>
      <c r="F2456" s="1">
        <v>2644.0</v>
      </c>
      <c r="G2456" s="1">
        <v>2652.0</v>
      </c>
      <c r="H2456" s="1" t="s">
        <v>17059</v>
      </c>
      <c r="I2456" s="1" t="s">
        <v>24908</v>
      </c>
      <c r="J2456" s="1" t="s">
        <v>24909</v>
      </c>
      <c r="K2456" s="1"/>
      <c r="L2456" s="1" t="s">
        <v>28649</v>
      </c>
      <c r="M2456" s="1" t="s">
        <v>24911</v>
      </c>
      <c r="N2456" s="1" t="s">
        <v>24912</v>
      </c>
    </row>
    <row r="2457">
      <c r="A2457" s="1" t="s">
        <v>2137</v>
      </c>
      <c r="B2457" s="1">
        <v>2013.0</v>
      </c>
      <c r="C2457" s="1" t="s">
        <v>24913</v>
      </c>
      <c r="D2457" s="1" t="s">
        <v>24914</v>
      </c>
      <c r="E2457" s="2" t="s">
        <v>28650</v>
      </c>
      <c r="F2457" s="1">
        <v>2566.0</v>
      </c>
      <c r="G2457" s="1">
        <v>2575.0</v>
      </c>
      <c r="H2457" s="1" t="s">
        <v>17059</v>
      </c>
      <c r="I2457" s="1" t="s">
        <v>24915</v>
      </c>
      <c r="J2457" s="1" t="s">
        <v>28657</v>
      </c>
      <c r="K2457" s="1"/>
      <c r="L2457" s="1" t="s">
        <v>28658</v>
      </c>
      <c r="M2457" s="1" t="s">
        <v>24919</v>
      </c>
      <c r="N2457" s="1" t="s">
        <v>24920</v>
      </c>
    </row>
    <row r="2458">
      <c r="A2458" s="1" t="s">
        <v>2137</v>
      </c>
      <c r="B2458" s="1">
        <v>2013.0</v>
      </c>
      <c r="C2458" s="1" t="s">
        <v>24921</v>
      </c>
      <c r="D2458" s="1" t="s">
        <v>24922</v>
      </c>
      <c r="E2458" s="2" t="s">
        <v>28662</v>
      </c>
      <c r="F2458" s="1">
        <v>2486.0</v>
      </c>
      <c r="G2458" s="1">
        <v>2495.0</v>
      </c>
      <c r="H2458" s="1" t="s">
        <v>17059</v>
      </c>
      <c r="I2458" s="1" t="s">
        <v>24924</v>
      </c>
      <c r="J2458" s="1" t="s">
        <v>24925</v>
      </c>
      <c r="K2458" s="1"/>
      <c r="L2458" s="1" t="s">
        <v>28666</v>
      </c>
      <c r="M2458" s="1" t="s">
        <v>24928</v>
      </c>
      <c r="N2458" s="1" t="s">
        <v>24929</v>
      </c>
    </row>
    <row r="2459">
      <c r="A2459" s="1" t="s">
        <v>2137</v>
      </c>
      <c r="B2459" s="1">
        <v>2013.0</v>
      </c>
      <c r="C2459" s="1" t="s">
        <v>24930</v>
      </c>
      <c r="D2459" s="1" t="s">
        <v>24931</v>
      </c>
      <c r="E2459" s="2" t="s">
        <v>28670</v>
      </c>
      <c r="F2459" s="1">
        <v>2466.0</v>
      </c>
      <c r="G2459" s="1">
        <v>2475.0</v>
      </c>
      <c r="H2459" s="1" t="s">
        <v>17059</v>
      </c>
      <c r="I2459" s="1" t="s">
        <v>24932</v>
      </c>
      <c r="J2459" s="1" t="s">
        <v>24933</v>
      </c>
      <c r="K2459" s="1"/>
      <c r="L2459" s="1" t="s">
        <v>5349</v>
      </c>
      <c r="M2459" s="1" t="s">
        <v>24935</v>
      </c>
      <c r="N2459" s="1" t="s">
        <v>24936</v>
      </c>
    </row>
    <row r="2460">
      <c r="A2460" s="1" t="s">
        <v>2137</v>
      </c>
      <c r="B2460" s="1">
        <v>2013.0</v>
      </c>
      <c r="C2460" s="1" t="s">
        <v>24937</v>
      </c>
      <c r="D2460" s="1" t="s">
        <v>24938</v>
      </c>
      <c r="E2460" s="2" t="s">
        <v>28683</v>
      </c>
      <c r="F2460" s="1">
        <v>2306.0</v>
      </c>
      <c r="G2460" s="1">
        <v>2315.0</v>
      </c>
      <c r="H2460" s="1" t="s">
        <v>17059</v>
      </c>
      <c r="I2460" s="1" t="s">
        <v>24939</v>
      </c>
      <c r="J2460" s="1" t="s">
        <v>24940</v>
      </c>
      <c r="K2460" s="1"/>
      <c r="L2460" s="1" t="s">
        <v>28064</v>
      </c>
      <c r="M2460" s="1" t="s">
        <v>24943</v>
      </c>
      <c r="N2460" s="1" t="s">
        <v>24944</v>
      </c>
    </row>
    <row r="2461">
      <c r="A2461" s="1" t="s">
        <v>2137</v>
      </c>
      <c r="B2461" s="1">
        <v>2014.0</v>
      </c>
      <c r="C2461" s="1" t="s">
        <v>25422</v>
      </c>
      <c r="D2461" s="1" t="s">
        <v>25423</v>
      </c>
      <c r="E2461" s="2" t="s">
        <v>25424</v>
      </c>
      <c r="F2461" s="1">
        <v>1983.0</v>
      </c>
      <c r="G2461" s="1">
        <v>1992.0</v>
      </c>
      <c r="H2461" s="1" t="s">
        <v>17059</v>
      </c>
      <c r="I2461" s="1" t="s">
        <v>25425</v>
      </c>
      <c r="J2461" s="1" t="s">
        <v>25426</v>
      </c>
      <c r="K2461" s="1"/>
      <c r="L2461" s="1" t="s">
        <v>28703</v>
      </c>
      <c r="M2461" s="1" t="s">
        <v>25428</v>
      </c>
      <c r="N2461" s="1" t="s">
        <v>25429</v>
      </c>
    </row>
    <row r="2462">
      <c r="A2462" s="1" t="s">
        <v>2137</v>
      </c>
      <c r="B2462" s="1">
        <v>2014.0</v>
      </c>
      <c r="C2462" s="1" t="s">
        <v>25431</v>
      </c>
      <c r="D2462" s="1" t="s">
        <v>25432</v>
      </c>
      <c r="E2462" s="2" t="s">
        <v>25433</v>
      </c>
      <c r="F2462" s="1">
        <v>1993.0</v>
      </c>
      <c r="G2462" s="1">
        <v>2002.0</v>
      </c>
      <c r="H2462" s="1" t="s">
        <v>17059</v>
      </c>
      <c r="I2462" s="1" t="s">
        <v>25435</v>
      </c>
      <c r="J2462" s="1" t="s">
        <v>25436</v>
      </c>
      <c r="K2462" s="1"/>
      <c r="L2462" s="1" t="s">
        <v>28718</v>
      </c>
      <c r="M2462" s="1" t="s">
        <v>25439</v>
      </c>
      <c r="N2462" s="1" t="s">
        <v>25440</v>
      </c>
    </row>
    <row r="2463">
      <c r="A2463" s="1" t="s">
        <v>2137</v>
      </c>
      <c r="B2463" s="1">
        <v>2014.0</v>
      </c>
      <c r="C2463" s="1" t="s">
        <v>25441</v>
      </c>
      <c r="D2463" s="1" t="s">
        <v>25442</v>
      </c>
      <c r="E2463" s="2" t="s">
        <v>25443</v>
      </c>
      <c r="F2463" s="1">
        <v>2003.0</v>
      </c>
      <c r="G2463" s="1">
        <v>2012.0</v>
      </c>
      <c r="H2463" s="1" t="s">
        <v>17059</v>
      </c>
      <c r="I2463" s="1" t="s">
        <v>25445</v>
      </c>
      <c r="J2463" s="1" t="s">
        <v>25446</v>
      </c>
      <c r="K2463" s="1"/>
      <c r="L2463" s="1" t="s">
        <v>28726</v>
      </c>
      <c r="M2463" s="1" t="s">
        <v>25448</v>
      </c>
      <c r="N2463" s="1" t="s">
        <v>25449</v>
      </c>
    </row>
    <row r="2464">
      <c r="A2464" s="1" t="s">
        <v>2137</v>
      </c>
      <c r="B2464" s="1">
        <v>2014.0</v>
      </c>
      <c r="C2464" s="1" t="s">
        <v>25450</v>
      </c>
      <c r="D2464" s="1" t="s">
        <v>25451</v>
      </c>
      <c r="E2464" s="2" t="s">
        <v>25452</v>
      </c>
      <c r="F2464" s="1">
        <v>2013.0</v>
      </c>
      <c r="G2464" s="1">
        <v>2022.0</v>
      </c>
      <c r="H2464" s="1" t="s">
        <v>17059</v>
      </c>
      <c r="I2464" s="1" t="s">
        <v>25455</v>
      </c>
      <c r="J2464" s="1" t="s">
        <v>28740</v>
      </c>
      <c r="K2464" s="1"/>
      <c r="L2464" s="1" t="s">
        <v>28741</v>
      </c>
      <c r="M2464" s="1" t="s">
        <v>25459</v>
      </c>
      <c r="N2464" s="1" t="s">
        <v>25460</v>
      </c>
    </row>
    <row r="2465">
      <c r="A2465" s="1" t="s">
        <v>2137</v>
      </c>
      <c r="B2465" s="1">
        <v>2014.0</v>
      </c>
      <c r="C2465" s="1" t="s">
        <v>25462</v>
      </c>
      <c r="D2465" s="1" t="s">
        <v>25463</v>
      </c>
      <c r="E2465" s="2" t="s">
        <v>25464</v>
      </c>
      <c r="F2465" s="1">
        <v>2023.0</v>
      </c>
      <c r="G2465" s="1">
        <v>2032.0</v>
      </c>
      <c r="H2465" s="1" t="s">
        <v>17059</v>
      </c>
      <c r="I2465" s="1" t="s">
        <v>25467</v>
      </c>
      <c r="J2465" s="1" t="s">
        <v>25468</v>
      </c>
      <c r="K2465" s="1"/>
      <c r="L2465" s="1" t="s">
        <v>28200</v>
      </c>
      <c r="M2465" s="1" t="s">
        <v>25471</v>
      </c>
      <c r="N2465" s="1" t="s">
        <v>25472</v>
      </c>
      <c r="P2465" s="1"/>
      <c r="Q2465" s="1" t="s">
        <v>19037</v>
      </c>
    </row>
    <row r="2466">
      <c r="A2466" s="1" t="s">
        <v>2137</v>
      </c>
      <c r="B2466" s="1">
        <v>2014.0</v>
      </c>
      <c r="C2466" s="1" t="s">
        <v>25473</v>
      </c>
      <c r="D2466" s="1" t="s">
        <v>25474</v>
      </c>
      <c r="E2466" s="2" t="s">
        <v>25475</v>
      </c>
      <c r="F2466" s="1">
        <v>2033.0</v>
      </c>
      <c r="G2466" s="1">
        <v>2042.0</v>
      </c>
      <c r="H2466" s="1" t="s">
        <v>17059</v>
      </c>
      <c r="I2466" s="1" t="s">
        <v>25477</v>
      </c>
      <c r="J2466" s="1" t="s">
        <v>25478</v>
      </c>
      <c r="K2466" s="1"/>
      <c r="L2466" s="1" t="s">
        <v>29148</v>
      </c>
      <c r="M2466" s="1" t="s">
        <v>25481</v>
      </c>
      <c r="N2466" s="1" t="s">
        <v>25482</v>
      </c>
    </row>
    <row r="2467">
      <c r="A2467" s="1" t="s">
        <v>2137</v>
      </c>
      <c r="B2467" s="1">
        <v>2014.0</v>
      </c>
      <c r="C2467" s="1" t="s">
        <v>25483</v>
      </c>
      <c r="D2467" s="1" t="s">
        <v>25484</v>
      </c>
      <c r="E2467" s="2" t="s">
        <v>25485</v>
      </c>
      <c r="F2467" s="1">
        <v>2043.0</v>
      </c>
      <c r="G2467" s="1">
        <v>2052.0</v>
      </c>
      <c r="H2467" s="1" t="s">
        <v>17059</v>
      </c>
      <c r="I2467" s="1" t="s">
        <v>25486</v>
      </c>
      <c r="J2467" s="1" t="s">
        <v>25487</v>
      </c>
      <c r="K2467" s="1"/>
      <c r="L2467" s="1" t="s">
        <v>29153</v>
      </c>
      <c r="M2467" s="1" t="s">
        <v>25490</v>
      </c>
      <c r="N2467" s="1" t="s">
        <v>25491</v>
      </c>
    </row>
    <row r="2468">
      <c r="A2468" s="1" t="s">
        <v>2137</v>
      </c>
      <c r="B2468" s="1">
        <v>2014.0</v>
      </c>
      <c r="C2468" s="1" t="s">
        <v>25493</v>
      </c>
      <c r="D2468" s="1" t="s">
        <v>25494</v>
      </c>
      <c r="E2468" s="2" t="s">
        <v>25495</v>
      </c>
      <c r="F2468" s="1">
        <v>2053.0</v>
      </c>
      <c r="G2468" s="1">
        <v>2062.0</v>
      </c>
      <c r="H2468" s="1" t="s">
        <v>17059</v>
      </c>
      <c r="I2468" s="1" t="s">
        <v>29154</v>
      </c>
      <c r="J2468" s="1" t="s">
        <v>25497</v>
      </c>
      <c r="K2468" s="1"/>
      <c r="L2468" s="1" t="s">
        <v>22935</v>
      </c>
      <c r="M2468" s="1" t="s">
        <v>16117</v>
      </c>
      <c r="N2468" s="1" t="s">
        <v>25499</v>
      </c>
    </row>
    <row r="2469">
      <c r="A2469" s="1" t="s">
        <v>2137</v>
      </c>
      <c r="B2469" s="1">
        <v>2014.0</v>
      </c>
      <c r="C2469" s="1" t="s">
        <v>25501</v>
      </c>
      <c r="D2469" s="1" t="s">
        <v>25502</v>
      </c>
      <c r="E2469" s="2" t="s">
        <v>25503</v>
      </c>
      <c r="F2469" s="1">
        <v>2063.0</v>
      </c>
      <c r="G2469" s="1">
        <v>2071.0</v>
      </c>
      <c r="H2469" s="1" t="s">
        <v>17059</v>
      </c>
      <c r="I2469" s="1" t="s">
        <v>25505</v>
      </c>
      <c r="J2469" s="1" t="s">
        <v>25506</v>
      </c>
      <c r="K2469" s="1"/>
      <c r="L2469" s="1" t="s">
        <v>29159</v>
      </c>
      <c r="M2469" s="1" t="s">
        <v>25509</v>
      </c>
      <c r="N2469" s="1" t="s">
        <v>25510</v>
      </c>
    </row>
    <row r="2470">
      <c r="A2470" s="1" t="s">
        <v>2137</v>
      </c>
      <c r="B2470" s="1">
        <v>2014.0</v>
      </c>
      <c r="C2470" s="1" t="s">
        <v>25511</v>
      </c>
      <c r="D2470" s="1" t="s">
        <v>25512</v>
      </c>
      <c r="E2470" s="2" t="s">
        <v>25513</v>
      </c>
      <c r="F2470" s="1">
        <v>2072.0</v>
      </c>
      <c r="G2470" s="1">
        <v>2081.0</v>
      </c>
      <c r="H2470" s="1" t="s">
        <v>17059</v>
      </c>
      <c r="I2470" s="1" t="s">
        <v>25516</v>
      </c>
      <c r="J2470" s="1" t="s">
        <v>25517</v>
      </c>
      <c r="K2470" s="1"/>
      <c r="L2470" s="1" t="s">
        <v>178</v>
      </c>
      <c r="M2470" s="1" t="s">
        <v>25519</v>
      </c>
      <c r="N2470" s="1" t="s">
        <v>25520</v>
      </c>
    </row>
    <row r="2471">
      <c r="A2471" s="1" t="s">
        <v>2137</v>
      </c>
      <c r="B2471" s="1">
        <v>2014.0</v>
      </c>
      <c r="C2471" s="1" t="s">
        <v>25521</v>
      </c>
      <c r="D2471" s="1" t="s">
        <v>25522</v>
      </c>
      <c r="E2471" s="2" t="s">
        <v>25523</v>
      </c>
      <c r="F2471" s="1">
        <v>2082.0</v>
      </c>
      <c r="G2471" s="1">
        <v>2091.0</v>
      </c>
      <c r="H2471" s="1" t="s">
        <v>17059</v>
      </c>
      <c r="I2471" s="1" t="s">
        <v>29170</v>
      </c>
      <c r="J2471" s="1" t="s">
        <v>25526</v>
      </c>
      <c r="K2471" s="1"/>
      <c r="L2471" s="1" t="s">
        <v>29171</v>
      </c>
      <c r="M2471" s="1" t="s">
        <v>25527</v>
      </c>
      <c r="N2471" s="1" t="s">
        <v>25528</v>
      </c>
    </row>
    <row r="2472">
      <c r="A2472" s="1" t="s">
        <v>2137</v>
      </c>
      <c r="B2472" s="1">
        <v>2014.0</v>
      </c>
      <c r="C2472" s="1" t="s">
        <v>25529</v>
      </c>
      <c r="D2472" s="1" t="s">
        <v>25530</v>
      </c>
      <c r="E2472" s="2" t="s">
        <v>25531</v>
      </c>
      <c r="F2472" s="1">
        <v>2092.0</v>
      </c>
      <c r="G2472" s="1">
        <v>2101.0</v>
      </c>
      <c r="H2472" s="1" t="s">
        <v>17059</v>
      </c>
      <c r="I2472" s="1" t="s">
        <v>25534</v>
      </c>
      <c r="J2472" s="1" t="s">
        <v>29174</v>
      </c>
      <c r="K2472" s="1"/>
      <c r="L2472" s="1" t="s">
        <v>29175</v>
      </c>
      <c r="M2472" s="1" t="s">
        <v>25537</v>
      </c>
      <c r="N2472" s="1" t="s">
        <v>25539</v>
      </c>
    </row>
    <row r="2473">
      <c r="A2473" s="1" t="s">
        <v>2137</v>
      </c>
      <c r="B2473" s="1">
        <v>2014.0</v>
      </c>
      <c r="C2473" s="1" t="s">
        <v>25540</v>
      </c>
      <c r="D2473" s="1" t="s">
        <v>25541</v>
      </c>
      <c r="E2473" s="2" t="s">
        <v>25542</v>
      </c>
      <c r="F2473" s="1">
        <v>2102.0</v>
      </c>
      <c r="G2473" s="1">
        <v>2111.0</v>
      </c>
      <c r="H2473" s="1" t="s">
        <v>17059</v>
      </c>
      <c r="I2473" s="1" t="s">
        <v>25543</v>
      </c>
      <c r="J2473" s="1" t="s">
        <v>25544</v>
      </c>
      <c r="K2473" s="1"/>
      <c r="L2473" s="1" t="s">
        <v>29178</v>
      </c>
      <c r="M2473" s="1" t="s">
        <v>25546</v>
      </c>
      <c r="N2473" s="1" t="s">
        <v>25547</v>
      </c>
    </row>
    <row r="2474">
      <c r="A2474" s="1" t="s">
        <v>2137</v>
      </c>
      <c r="B2474" s="1">
        <v>2014.0</v>
      </c>
      <c r="C2474" s="1" t="s">
        <v>25549</v>
      </c>
      <c r="D2474" s="1" t="s">
        <v>25550</v>
      </c>
      <c r="E2474" s="2" t="s">
        <v>25551</v>
      </c>
      <c r="F2474" s="1">
        <v>2112.0</v>
      </c>
      <c r="G2474" s="1">
        <v>2121.0</v>
      </c>
      <c r="H2474" s="1" t="s">
        <v>17059</v>
      </c>
      <c r="I2474" s="1" t="s">
        <v>25552</v>
      </c>
      <c r="J2474" s="1" t="s">
        <v>25553</v>
      </c>
      <c r="K2474" s="1"/>
      <c r="L2474" s="1" t="s">
        <v>494</v>
      </c>
      <c r="M2474" s="1" t="s">
        <v>25556</v>
      </c>
      <c r="N2474" s="1" t="s">
        <v>25557</v>
      </c>
    </row>
    <row r="2475">
      <c r="A2475" s="1" t="s">
        <v>2137</v>
      </c>
      <c r="B2475" s="1">
        <v>2014.0</v>
      </c>
      <c r="C2475" s="1" t="s">
        <v>25559</v>
      </c>
      <c r="D2475" s="1" t="s">
        <v>25560</v>
      </c>
      <c r="E2475" s="2" t="s">
        <v>25561</v>
      </c>
      <c r="F2475" s="1">
        <v>2132.0</v>
      </c>
      <c r="G2475" s="1">
        <v>2141.0</v>
      </c>
      <c r="H2475" s="1" t="s">
        <v>17059</v>
      </c>
      <c r="I2475" s="1" t="s">
        <v>29503</v>
      </c>
      <c r="J2475" s="1" t="s">
        <v>25564</v>
      </c>
      <c r="K2475" s="1"/>
      <c r="L2475" s="1" t="s">
        <v>178</v>
      </c>
      <c r="M2475" s="1" t="s">
        <v>25566</v>
      </c>
      <c r="N2475" s="1" t="s">
        <v>25567</v>
      </c>
    </row>
    <row r="2476">
      <c r="A2476" s="1" t="s">
        <v>2137</v>
      </c>
      <c r="B2476" s="1">
        <v>2014.0</v>
      </c>
      <c r="C2476" s="1" t="s">
        <v>25568</v>
      </c>
      <c r="D2476" s="1" t="s">
        <v>25569</v>
      </c>
      <c r="E2476" s="2" t="s">
        <v>25570</v>
      </c>
      <c r="F2476" s="1">
        <v>2142.0</v>
      </c>
      <c r="G2476" s="1">
        <v>2151.0</v>
      </c>
      <c r="H2476" s="1" t="s">
        <v>17059</v>
      </c>
      <c r="I2476" s="1" t="s">
        <v>25574</v>
      </c>
      <c r="J2476" s="1" t="s">
        <v>25575</v>
      </c>
      <c r="K2476" s="1"/>
      <c r="L2476" s="1" t="s">
        <v>29504</v>
      </c>
      <c r="M2476" s="1" t="s">
        <v>25577</v>
      </c>
      <c r="N2476" s="1" t="s">
        <v>25578</v>
      </c>
    </row>
    <row r="2477">
      <c r="A2477" s="1" t="s">
        <v>2137</v>
      </c>
      <c r="B2477" s="1">
        <v>2014.0</v>
      </c>
      <c r="C2477" s="1" t="s">
        <v>25579</v>
      </c>
      <c r="D2477" s="1" t="s">
        <v>25580</v>
      </c>
      <c r="E2477" s="2" t="s">
        <v>25581</v>
      </c>
      <c r="F2477" s="1">
        <v>2359.0</v>
      </c>
      <c r="G2477" s="1">
        <v>2368.0</v>
      </c>
      <c r="H2477" s="1" t="s">
        <v>17059</v>
      </c>
      <c r="I2477" s="1" t="s">
        <v>25583</v>
      </c>
      <c r="J2477" s="1" t="s">
        <v>25584</v>
      </c>
      <c r="K2477" s="1"/>
      <c r="L2477" s="1" t="s">
        <v>29505</v>
      </c>
      <c r="M2477" s="1" t="s">
        <v>25587</v>
      </c>
      <c r="N2477" s="1" t="s">
        <v>25588</v>
      </c>
    </row>
    <row r="2478">
      <c r="A2478" s="1" t="s">
        <v>2137</v>
      </c>
      <c r="B2478" s="1">
        <v>2014.0</v>
      </c>
      <c r="C2478" s="1" t="s">
        <v>25590</v>
      </c>
      <c r="D2478" s="1" t="s">
        <v>25591</v>
      </c>
      <c r="E2478" s="2" t="s">
        <v>25592</v>
      </c>
      <c r="F2478" s="1">
        <v>2369.0</v>
      </c>
      <c r="G2478" s="1">
        <v>2378.0</v>
      </c>
      <c r="H2478" s="1" t="s">
        <v>17059</v>
      </c>
      <c r="I2478" s="1" t="s">
        <v>25593</v>
      </c>
      <c r="J2478" s="1" t="s">
        <v>25595</v>
      </c>
      <c r="K2478" s="1"/>
      <c r="L2478" s="1" t="s">
        <v>29578</v>
      </c>
      <c r="M2478" s="1" t="s">
        <v>25599</v>
      </c>
      <c r="N2478" s="1" t="s">
        <v>25600</v>
      </c>
      <c r="P2478" s="1"/>
      <c r="Q2478" s="1" t="s">
        <v>19037</v>
      </c>
    </row>
    <row r="2479">
      <c r="A2479" s="1" t="s">
        <v>4153</v>
      </c>
      <c r="B2479" s="1">
        <v>2014.0</v>
      </c>
      <c r="C2479" s="1" t="s">
        <v>25978</v>
      </c>
      <c r="D2479" s="1" t="s">
        <v>25979</v>
      </c>
      <c r="E2479" s="2" t="s">
        <v>25980</v>
      </c>
      <c r="F2479" s="1">
        <v>2379.0</v>
      </c>
      <c r="G2479" s="1">
        <v>2387.0</v>
      </c>
      <c r="H2479" s="1" t="s">
        <v>17059</v>
      </c>
      <c r="I2479" s="1" t="s">
        <v>25982</v>
      </c>
      <c r="J2479" s="1" t="s">
        <v>25983</v>
      </c>
      <c r="K2479" s="1"/>
      <c r="L2479" s="1" t="s">
        <v>29585</v>
      </c>
      <c r="M2479" s="1" t="s">
        <v>25985</v>
      </c>
      <c r="N2479" s="1" t="s">
        <v>25986</v>
      </c>
    </row>
    <row r="2480">
      <c r="A2480" s="1" t="s">
        <v>4153</v>
      </c>
      <c r="B2480" s="1">
        <v>2014.0</v>
      </c>
      <c r="C2480" s="1" t="s">
        <v>25987</v>
      </c>
      <c r="D2480" s="1" t="s">
        <v>25988</v>
      </c>
      <c r="E2480" s="2" t="s">
        <v>25989</v>
      </c>
      <c r="F2480" s="1">
        <v>2388.0</v>
      </c>
      <c r="G2480" s="1">
        <v>2396.0</v>
      </c>
      <c r="H2480" s="1" t="s">
        <v>17059</v>
      </c>
      <c r="I2480" s="1" t="s">
        <v>25991</v>
      </c>
      <c r="J2480" s="1" t="s">
        <v>29588</v>
      </c>
      <c r="K2480" s="1"/>
      <c r="L2480" s="1" t="s">
        <v>29589</v>
      </c>
      <c r="M2480" s="1" t="s">
        <v>25994</v>
      </c>
      <c r="N2480" s="1" t="s">
        <v>25995</v>
      </c>
    </row>
    <row r="2481">
      <c r="A2481" s="1" t="s">
        <v>4153</v>
      </c>
      <c r="B2481" s="1">
        <v>2014.0</v>
      </c>
      <c r="C2481" s="1" t="s">
        <v>25996</v>
      </c>
      <c r="D2481" s="1" t="s">
        <v>25997</v>
      </c>
      <c r="E2481" s="2" t="s">
        <v>25998</v>
      </c>
      <c r="F2481" s="1">
        <v>2397.0</v>
      </c>
      <c r="G2481" s="1">
        <v>2406.0</v>
      </c>
      <c r="H2481" s="1" t="s">
        <v>17059</v>
      </c>
      <c r="I2481" s="1" t="s">
        <v>26002</v>
      </c>
      <c r="J2481" s="1" t="s">
        <v>26003</v>
      </c>
      <c r="K2481" s="1"/>
      <c r="L2481" s="1" t="s">
        <v>29594</v>
      </c>
      <c r="M2481" s="1" t="s">
        <v>26005</v>
      </c>
      <c r="N2481" s="1" t="s">
        <v>26006</v>
      </c>
    </row>
    <row r="2482">
      <c r="A2482" s="1" t="s">
        <v>2137</v>
      </c>
      <c r="B2482" s="1">
        <v>2014.0</v>
      </c>
      <c r="C2482" s="1" t="s">
        <v>25601</v>
      </c>
      <c r="D2482" s="1" t="s">
        <v>25602</v>
      </c>
      <c r="E2482" s="2" t="s">
        <v>25603</v>
      </c>
      <c r="F2482" s="1">
        <v>2152.0</v>
      </c>
      <c r="G2482" s="1">
        <v>2160.0</v>
      </c>
      <c r="H2482" s="1" t="s">
        <v>17059</v>
      </c>
      <c r="I2482" s="1" t="s">
        <v>29560</v>
      </c>
      <c r="J2482" s="1" t="s">
        <v>25605</v>
      </c>
      <c r="K2482" s="1"/>
      <c r="L2482" s="1" t="s">
        <v>29562</v>
      </c>
      <c r="M2482" s="1" t="s">
        <v>23724</v>
      </c>
      <c r="N2482" s="1" t="s">
        <v>25607</v>
      </c>
    </row>
    <row r="2483">
      <c r="A2483" s="1" t="s">
        <v>2137</v>
      </c>
      <c r="B2483" s="1">
        <v>2014.0</v>
      </c>
      <c r="C2483" s="1" t="s">
        <v>25608</v>
      </c>
      <c r="D2483" s="1" t="s">
        <v>25609</v>
      </c>
      <c r="E2483" s="2" t="s">
        <v>25610</v>
      </c>
      <c r="F2483" s="1">
        <v>2161.0</v>
      </c>
      <c r="G2483" s="1">
        <v>2170.0</v>
      </c>
      <c r="H2483" s="1" t="s">
        <v>17059</v>
      </c>
      <c r="I2483" s="1" t="s">
        <v>25611</v>
      </c>
      <c r="J2483" s="1" t="s">
        <v>29605</v>
      </c>
      <c r="K2483" s="1"/>
      <c r="L2483" s="1" t="s">
        <v>29606</v>
      </c>
      <c r="M2483" s="1" t="s">
        <v>25614</v>
      </c>
      <c r="N2483" s="1" t="s">
        <v>25615</v>
      </c>
    </row>
    <row r="2484">
      <c r="A2484" s="1" t="s">
        <v>4153</v>
      </c>
      <c r="B2484" s="1">
        <v>2014.0</v>
      </c>
      <c r="C2484" s="1" t="s">
        <v>26007</v>
      </c>
      <c r="D2484" s="1" t="s">
        <v>26008</v>
      </c>
      <c r="E2484" s="2" t="s">
        <v>26009</v>
      </c>
      <c r="F2484" s="1">
        <v>2407.0</v>
      </c>
      <c r="G2484" s="1">
        <v>2416.0</v>
      </c>
      <c r="H2484" s="1" t="s">
        <v>17059</v>
      </c>
      <c r="I2484" s="1" t="s">
        <v>26011</v>
      </c>
      <c r="J2484" s="1" t="s">
        <v>26012</v>
      </c>
      <c r="K2484" s="1"/>
      <c r="L2484" s="1" t="s">
        <v>860</v>
      </c>
      <c r="M2484" s="1" t="s">
        <v>15838</v>
      </c>
      <c r="N2484" s="1" t="s">
        <v>26014</v>
      </c>
    </row>
    <row r="2485">
      <c r="A2485" s="1" t="s">
        <v>2137</v>
      </c>
      <c r="B2485" s="1">
        <v>2014.0</v>
      </c>
      <c r="C2485" s="1" t="s">
        <v>25616</v>
      </c>
      <c r="D2485" s="1" t="s">
        <v>25617</v>
      </c>
      <c r="E2485" s="2" t="s">
        <v>25618</v>
      </c>
      <c r="F2485" s="1">
        <v>2171.0</v>
      </c>
      <c r="G2485" s="1">
        <v>2180.0</v>
      </c>
      <c r="H2485" s="1" t="s">
        <v>17059</v>
      </c>
      <c r="I2485" s="1" t="s">
        <v>25619</v>
      </c>
      <c r="J2485" s="1" t="s">
        <v>25620</v>
      </c>
      <c r="K2485" s="1"/>
      <c r="L2485" s="1" t="s">
        <v>26976</v>
      </c>
      <c r="M2485" s="1" t="s">
        <v>25621</v>
      </c>
      <c r="N2485" s="1" t="s">
        <v>25622</v>
      </c>
    </row>
    <row r="2486">
      <c r="A2486" s="1" t="s">
        <v>4153</v>
      </c>
      <c r="B2486" s="1">
        <v>2014.0</v>
      </c>
      <c r="C2486" s="1" t="s">
        <v>26016</v>
      </c>
      <c r="D2486" s="1" t="s">
        <v>26017</v>
      </c>
      <c r="E2486" s="2" t="s">
        <v>26018</v>
      </c>
      <c r="F2486" s="1">
        <v>2417.0</v>
      </c>
      <c r="G2486" s="1">
        <v>2426.0</v>
      </c>
      <c r="H2486" s="1" t="s">
        <v>17059</v>
      </c>
      <c r="I2486" s="1" t="s">
        <v>26019</v>
      </c>
      <c r="J2486" s="1" t="s">
        <v>29616</v>
      </c>
      <c r="K2486" s="1"/>
      <c r="L2486" s="1" t="s">
        <v>29618</v>
      </c>
      <c r="M2486" s="1" t="s">
        <v>26023</v>
      </c>
      <c r="N2486" s="1" t="s">
        <v>26024</v>
      </c>
    </row>
    <row r="2487">
      <c r="A2487" s="1" t="s">
        <v>2137</v>
      </c>
      <c r="B2487" s="1">
        <v>2014.0</v>
      </c>
      <c r="C2487" s="1" t="s">
        <v>25623</v>
      </c>
      <c r="D2487" s="1" t="s">
        <v>25624</v>
      </c>
      <c r="E2487" s="2" t="s">
        <v>25625</v>
      </c>
      <c r="F2487" s="1">
        <v>2181.0</v>
      </c>
      <c r="G2487" s="1">
        <v>2190.0</v>
      </c>
      <c r="H2487" s="1" t="s">
        <v>17059</v>
      </c>
      <c r="I2487" s="1" t="s">
        <v>25626</v>
      </c>
      <c r="J2487" s="1" t="s">
        <v>25627</v>
      </c>
      <c r="K2487" s="1"/>
      <c r="L2487" s="1" t="s">
        <v>29534</v>
      </c>
      <c r="M2487" s="1" t="s">
        <v>25630</v>
      </c>
      <c r="N2487" s="1" t="s">
        <v>25631</v>
      </c>
      <c r="P2487" s="1"/>
      <c r="Q2487" s="1" t="s">
        <v>19037</v>
      </c>
    </row>
    <row r="2488">
      <c r="A2488" s="1" t="s">
        <v>2137</v>
      </c>
      <c r="B2488" s="1">
        <v>2014.0</v>
      </c>
      <c r="C2488" s="1" t="s">
        <v>25632</v>
      </c>
      <c r="D2488" s="1" t="s">
        <v>25633</v>
      </c>
      <c r="E2488" s="2" t="s">
        <v>25634</v>
      </c>
      <c r="F2488" s="1">
        <v>2191.0</v>
      </c>
      <c r="G2488" s="1">
        <v>2200.0</v>
      </c>
      <c r="H2488" s="1" t="s">
        <v>17059</v>
      </c>
      <c r="I2488" s="1" t="s">
        <v>25635</v>
      </c>
      <c r="J2488" s="1" t="s">
        <v>25636</v>
      </c>
      <c r="K2488" s="1"/>
      <c r="L2488" s="1" t="s">
        <v>27273</v>
      </c>
      <c r="M2488" s="1" t="s">
        <v>25639</v>
      </c>
      <c r="N2488" s="1" t="s">
        <v>25640</v>
      </c>
    </row>
    <row r="2489">
      <c r="A2489" s="1" t="s">
        <v>4153</v>
      </c>
      <c r="B2489" s="1">
        <v>2014.0</v>
      </c>
      <c r="C2489" s="1" t="s">
        <v>26026</v>
      </c>
      <c r="D2489" s="1" t="s">
        <v>26027</v>
      </c>
      <c r="E2489" s="2" t="s">
        <v>26028</v>
      </c>
      <c r="F2489" s="1">
        <v>2427.0</v>
      </c>
      <c r="G2489" s="1">
        <v>2436.0</v>
      </c>
      <c r="H2489" s="1" t="s">
        <v>17059</v>
      </c>
      <c r="I2489" s="1" t="s">
        <v>26030</v>
      </c>
      <c r="J2489" s="1" t="s">
        <v>23428</v>
      </c>
      <c r="K2489" s="1"/>
      <c r="L2489" s="1" t="s">
        <v>26421</v>
      </c>
      <c r="M2489" s="1" t="s">
        <v>26032</v>
      </c>
      <c r="N2489" s="1" t="s">
        <v>26033</v>
      </c>
    </row>
    <row r="2490">
      <c r="A2490" s="1" t="s">
        <v>4153</v>
      </c>
      <c r="B2490" s="1">
        <v>2014.0</v>
      </c>
      <c r="C2490" s="1" t="s">
        <v>26034</v>
      </c>
      <c r="D2490" s="1" t="s">
        <v>26035</v>
      </c>
      <c r="E2490" s="2" t="s">
        <v>26036</v>
      </c>
      <c r="F2490" s="1">
        <v>2437.0</v>
      </c>
      <c r="G2490" s="1">
        <v>2446.0</v>
      </c>
      <c r="H2490" s="1" t="s">
        <v>17059</v>
      </c>
      <c r="I2490" s="1" t="s">
        <v>26038</v>
      </c>
      <c r="J2490" s="1" t="s">
        <v>26039</v>
      </c>
      <c r="K2490" s="1"/>
      <c r="L2490" s="1" t="s">
        <v>29651</v>
      </c>
      <c r="M2490" s="1" t="s">
        <v>26041</v>
      </c>
      <c r="N2490" s="1" t="s">
        <v>26042</v>
      </c>
    </row>
    <row r="2491">
      <c r="A2491" s="1" t="s">
        <v>4153</v>
      </c>
      <c r="B2491" s="1">
        <v>2014.0</v>
      </c>
      <c r="C2491" s="1" t="s">
        <v>26043</v>
      </c>
      <c r="D2491" s="1" t="s">
        <v>26044</v>
      </c>
      <c r="E2491" s="2" t="s">
        <v>26045</v>
      </c>
      <c r="F2491" s="1">
        <v>2447.0</v>
      </c>
      <c r="G2491" s="1">
        <v>2455.0</v>
      </c>
      <c r="H2491" s="1" t="s">
        <v>17059</v>
      </c>
      <c r="I2491" s="1" t="s">
        <v>26047</v>
      </c>
      <c r="J2491" s="1" t="s">
        <v>29656</v>
      </c>
      <c r="K2491" s="1"/>
      <c r="L2491" s="1" t="s">
        <v>29657</v>
      </c>
      <c r="M2491" s="1" t="s">
        <v>26051</v>
      </c>
      <c r="N2491" s="1" t="s">
        <v>26052</v>
      </c>
    </row>
    <row r="2492">
      <c r="A2492" s="1" t="s">
        <v>4153</v>
      </c>
      <c r="B2492" s="1">
        <v>2014.0</v>
      </c>
      <c r="C2492" s="1" t="s">
        <v>26054</v>
      </c>
      <c r="D2492" s="1" t="s">
        <v>26055</v>
      </c>
      <c r="E2492" s="2" t="s">
        <v>26056</v>
      </c>
      <c r="F2492" s="1">
        <v>2456.0</v>
      </c>
      <c r="G2492" s="1">
        <v>2465.0</v>
      </c>
      <c r="H2492" s="1" t="s">
        <v>17059</v>
      </c>
      <c r="I2492" s="1" t="s">
        <v>29661</v>
      </c>
      <c r="J2492" s="1" t="s">
        <v>26058</v>
      </c>
      <c r="K2492" s="1"/>
      <c r="L2492" s="1" t="s">
        <v>880</v>
      </c>
      <c r="M2492" s="1" t="s">
        <v>26060</v>
      </c>
      <c r="N2492" s="1" t="s">
        <v>26061</v>
      </c>
    </row>
    <row r="2493">
      <c r="A2493" s="1" t="s">
        <v>4153</v>
      </c>
      <c r="B2493" s="1">
        <v>2014.0</v>
      </c>
      <c r="C2493" s="1" t="s">
        <v>26063</v>
      </c>
      <c r="D2493" s="1" t="s">
        <v>26064</v>
      </c>
      <c r="E2493" s="2" t="s">
        <v>26065</v>
      </c>
      <c r="F2493" s="1">
        <v>2466.0</v>
      </c>
      <c r="G2493" s="1">
        <v>2475.0</v>
      </c>
      <c r="H2493" s="1" t="s">
        <v>17059</v>
      </c>
      <c r="I2493" s="1" t="s">
        <v>26067</v>
      </c>
      <c r="J2493" s="1" t="s">
        <v>26068</v>
      </c>
      <c r="K2493" s="1"/>
      <c r="L2493" s="1" t="s">
        <v>28064</v>
      </c>
      <c r="M2493" s="1" t="s">
        <v>26071</v>
      </c>
      <c r="N2493" s="1" t="s">
        <v>26072</v>
      </c>
    </row>
    <row r="2494">
      <c r="A2494" s="1" t="s">
        <v>4153</v>
      </c>
      <c r="B2494" s="1">
        <v>2014.0</v>
      </c>
      <c r="C2494" s="1" t="s">
        <v>26073</v>
      </c>
      <c r="D2494" s="1" t="s">
        <v>26074</v>
      </c>
      <c r="E2494" s="2" t="s">
        <v>26075</v>
      </c>
      <c r="F2494" s="1">
        <v>2476.0</v>
      </c>
      <c r="G2494" s="1">
        <v>2485.0</v>
      </c>
      <c r="H2494" s="1" t="s">
        <v>17059</v>
      </c>
      <c r="I2494" s="1" t="s">
        <v>26078</v>
      </c>
      <c r="J2494" s="1" t="s">
        <v>29669</v>
      </c>
      <c r="K2494" s="1"/>
      <c r="L2494" s="1" t="s">
        <v>29662</v>
      </c>
      <c r="M2494" s="1" t="s">
        <v>26082</v>
      </c>
      <c r="N2494" s="1" t="s">
        <v>26083</v>
      </c>
    </row>
    <row r="2495">
      <c r="A2495" s="1" t="s">
        <v>4153</v>
      </c>
      <c r="B2495" s="1">
        <v>2014.0</v>
      </c>
      <c r="C2495" s="1" t="s">
        <v>26084</v>
      </c>
      <c r="D2495" s="1" t="s">
        <v>26085</v>
      </c>
      <c r="E2495" s="2" t="s">
        <v>26086</v>
      </c>
      <c r="F2495" s="1">
        <v>2486.0</v>
      </c>
      <c r="G2495" s="1">
        <v>2495.0</v>
      </c>
      <c r="H2495" s="1" t="s">
        <v>17059</v>
      </c>
      <c r="I2495" s="1" t="s">
        <v>26089</v>
      </c>
      <c r="J2495" s="1" t="s">
        <v>23525</v>
      </c>
      <c r="K2495" s="1"/>
      <c r="L2495" s="1" t="s">
        <v>26656</v>
      </c>
      <c r="M2495" s="1" t="s">
        <v>26091</v>
      </c>
      <c r="N2495" s="1" t="s">
        <v>26092</v>
      </c>
    </row>
    <row r="2496">
      <c r="A2496" s="1" t="s">
        <v>4153</v>
      </c>
      <c r="B2496" s="1">
        <v>2014.0</v>
      </c>
      <c r="C2496" s="1" t="s">
        <v>26093</v>
      </c>
      <c r="D2496" s="1" t="s">
        <v>26094</v>
      </c>
      <c r="E2496" s="2" t="s">
        <v>26095</v>
      </c>
      <c r="F2496" s="1">
        <v>2496.0</v>
      </c>
      <c r="G2496" s="1">
        <v>2505.0</v>
      </c>
      <c r="H2496" s="1" t="s">
        <v>17059</v>
      </c>
      <c r="I2496" s="1" t="s">
        <v>26098</v>
      </c>
      <c r="J2496" s="1" t="s">
        <v>29677</v>
      </c>
      <c r="K2496" s="1"/>
      <c r="L2496" s="1" t="s">
        <v>29649</v>
      </c>
      <c r="M2496" s="1" t="s">
        <v>26102</v>
      </c>
      <c r="N2496" s="1" t="s">
        <v>26103</v>
      </c>
    </row>
    <row r="2497">
      <c r="A2497" s="1" t="s">
        <v>4153</v>
      </c>
      <c r="B2497" s="1">
        <v>2014.0</v>
      </c>
      <c r="C2497" s="1" t="s">
        <v>26105</v>
      </c>
      <c r="D2497" s="1" t="s">
        <v>26106</v>
      </c>
      <c r="E2497" s="2" t="s">
        <v>26107</v>
      </c>
      <c r="F2497" s="1">
        <v>2506.0</v>
      </c>
      <c r="G2497" s="1">
        <v>2515.0</v>
      </c>
      <c r="H2497" s="1" t="s">
        <v>17059</v>
      </c>
      <c r="I2497" s="1" t="s">
        <v>26108</v>
      </c>
      <c r="J2497" s="1" t="s">
        <v>29683</v>
      </c>
      <c r="K2497" s="1"/>
      <c r="L2497" s="1" t="s">
        <v>29667</v>
      </c>
      <c r="M2497" s="1" t="s">
        <v>26112</v>
      </c>
      <c r="N2497" s="1" t="s">
        <v>26113</v>
      </c>
    </row>
    <row r="2498">
      <c r="A2498" s="1" t="s">
        <v>4153</v>
      </c>
      <c r="B2498" s="1">
        <v>2014.0</v>
      </c>
      <c r="C2498" s="1" t="s">
        <v>26115</v>
      </c>
      <c r="D2498" s="1" t="s">
        <v>26116</v>
      </c>
      <c r="E2498" s="2" t="s">
        <v>26117</v>
      </c>
      <c r="F2498" s="1">
        <v>2516.0</v>
      </c>
      <c r="G2498" s="1">
        <v>2525.0</v>
      </c>
      <c r="H2498" s="1" t="s">
        <v>17059</v>
      </c>
      <c r="I2498" s="1" t="s">
        <v>26119</v>
      </c>
      <c r="J2498" s="1" t="s">
        <v>26120</v>
      </c>
      <c r="K2498" s="1"/>
      <c r="L2498" s="1" t="s">
        <v>29809</v>
      </c>
      <c r="M2498" s="1" t="s">
        <v>26122</v>
      </c>
      <c r="N2498" s="1" t="s">
        <v>26123</v>
      </c>
      <c r="P2498" s="1"/>
      <c r="Q2498" s="1" t="s">
        <v>106</v>
      </c>
    </row>
    <row r="2499">
      <c r="A2499" s="1" t="s">
        <v>4153</v>
      </c>
      <c r="B2499" s="1">
        <v>2014.0</v>
      </c>
      <c r="C2499" s="1" t="s">
        <v>26125</v>
      </c>
      <c r="D2499" s="1" t="s">
        <v>26126</v>
      </c>
      <c r="E2499" s="2" t="s">
        <v>26127</v>
      </c>
      <c r="F2499" s="1">
        <v>2526.0</v>
      </c>
      <c r="G2499" s="1">
        <v>2534.0</v>
      </c>
      <c r="H2499" s="1" t="s">
        <v>17059</v>
      </c>
      <c r="I2499" s="1" t="s">
        <v>26129</v>
      </c>
      <c r="J2499" s="1" t="s">
        <v>26130</v>
      </c>
      <c r="K2499" s="1"/>
      <c r="L2499" s="1" t="s">
        <v>29646</v>
      </c>
      <c r="M2499" s="1" t="s">
        <v>26132</v>
      </c>
      <c r="N2499" s="1" t="s">
        <v>26133</v>
      </c>
      <c r="P2499" s="1"/>
      <c r="Q2499" s="1" t="s">
        <v>19037</v>
      </c>
    </row>
    <row r="2500">
      <c r="A2500" s="1" t="s">
        <v>4153</v>
      </c>
      <c r="B2500" s="1">
        <v>2014.0</v>
      </c>
      <c r="C2500" s="1" t="s">
        <v>26134</v>
      </c>
      <c r="D2500" s="1" t="s">
        <v>26135</v>
      </c>
      <c r="E2500" s="2" t="s">
        <v>26136</v>
      </c>
      <c r="F2500" s="1">
        <v>2535.0</v>
      </c>
      <c r="G2500" s="1">
        <v>2544.0</v>
      </c>
      <c r="H2500" s="1" t="s">
        <v>17059</v>
      </c>
      <c r="I2500" s="1" t="s">
        <v>26137</v>
      </c>
      <c r="J2500" s="1" t="s">
        <v>29892</v>
      </c>
      <c r="K2500" s="1"/>
      <c r="L2500" s="1" t="s">
        <v>178</v>
      </c>
      <c r="M2500" s="1" t="s">
        <v>26140</v>
      </c>
      <c r="N2500" s="1" t="s">
        <v>26141</v>
      </c>
    </row>
    <row r="2501">
      <c r="A2501" s="1" t="s">
        <v>4153</v>
      </c>
      <c r="B2501" s="1">
        <v>2014.0</v>
      </c>
      <c r="C2501" s="1" t="s">
        <v>26142</v>
      </c>
      <c r="D2501" s="1" t="s">
        <v>26143</v>
      </c>
      <c r="E2501" s="2" t="s">
        <v>26144</v>
      </c>
      <c r="F2501" s="1">
        <v>2545.0</v>
      </c>
      <c r="G2501" s="1">
        <v>2554.0</v>
      </c>
      <c r="H2501" s="1" t="s">
        <v>17059</v>
      </c>
      <c r="I2501" s="1" t="s">
        <v>26145</v>
      </c>
      <c r="J2501" s="1" t="s">
        <v>26146</v>
      </c>
      <c r="K2501" s="1"/>
      <c r="L2501" s="1" t="s">
        <v>29705</v>
      </c>
      <c r="M2501" s="1" t="s">
        <v>26148</v>
      </c>
      <c r="N2501" s="1" t="s">
        <v>26149</v>
      </c>
    </row>
    <row r="2502">
      <c r="A2502" s="1" t="s">
        <v>4153</v>
      </c>
      <c r="B2502" s="1">
        <v>2014.0</v>
      </c>
      <c r="C2502" s="1" t="s">
        <v>26150</v>
      </c>
      <c r="D2502" s="1" t="s">
        <v>26151</v>
      </c>
      <c r="E2502" s="2" t="s">
        <v>26152</v>
      </c>
      <c r="F2502" s="1">
        <v>2555.0</v>
      </c>
      <c r="G2502" s="1">
        <v>2564.0</v>
      </c>
      <c r="H2502" s="1" t="s">
        <v>17059</v>
      </c>
      <c r="I2502" s="1" t="s">
        <v>26153</v>
      </c>
      <c r="J2502" s="1" t="s">
        <v>26154</v>
      </c>
      <c r="K2502" s="1"/>
      <c r="L2502" s="1" t="s">
        <v>23953</v>
      </c>
      <c r="M2502" s="1" t="s">
        <v>26159</v>
      </c>
      <c r="N2502" s="1" t="s">
        <v>26160</v>
      </c>
    </row>
    <row r="2503">
      <c r="A2503" s="1" t="s">
        <v>2137</v>
      </c>
      <c r="B2503" s="1">
        <v>2014.0</v>
      </c>
      <c r="C2503" s="1" t="s">
        <v>25641</v>
      </c>
      <c r="D2503" s="1" t="s">
        <v>25642</v>
      </c>
      <c r="E2503" s="2" t="s">
        <v>25643</v>
      </c>
      <c r="F2503" s="1">
        <v>2211.0</v>
      </c>
      <c r="G2503" s="1">
        <v>2220.0</v>
      </c>
      <c r="H2503" s="1" t="s">
        <v>17059</v>
      </c>
      <c r="I2503" s="1" t="s">
        <v>25644</v>
      </c>
      <c r="J2503" s="1" t="s">
        <v>25645</v>
      </c>
      <c r="K2503" s="1"/>
      <c r="L2503" s="1" t="s">
        <v>29631</v>
      </c>
      <c r="M2503" s="1" t="s">
        <v>25647</v>
      </c>
      <c r="N2503" s="1" t="s">
        <v>25648</v>
      </c>
    </row>
    <row r="2504">
      <c r="A2504" s="1" t="s">
        <v>2137</v>
      </c>
      <c r="B2504" s="1">
        <v>2014.0</v>
      </c>
      <c r="C2504" s="1" t="s">
        <v>25776</v>
      </c>
      <c r="D2504" s="1" t="s">
        <v>25777</v>
      </c>
      <c r="E2504" s="2" t="s">
        <v>25778</v>
      </c>
      <c r="F2504" s="1">
        <v>2221.0</v>
      </c>
      <c r="G2504" s="1">
        <v>2230.0</v>
      </c>
      <c r="H2504" s="1" t="s">
        <v>17059</v>
      </c>
      <c r="I2504" s="1" t="s">
        <v>25781</v>
      </c>
      <c r="J2504" s="1" t="s">
        <v>25782</v>
      </c>
      <c r="K2504" s="1"/>
      <c r="L2504" s="1" t="s">
        <v>494</v>
      </c>
      <c r="M2504" s="1" t="s">
        <v>25784</v>
      </c>
      <c r="N2504" s="1" t="s">
        <v>25785</v>
      </c>
    </row>
    <row r="2505">
      <c r="A2505" s="1" t="s">
        <v>2137</v>
      </c>
      <c r="B2505" s="1">
        <v>2014.0</v>
      </c>
      <c r="C2505" s="1" t="s">
        <v>25786</v>
      </c>
      <c r="D2505" s="1" t="s">
        <v>25787</v>
      </c>
      <c r="E2505" s="2" t="s">
        <v>25789</v>
      </c>
      <c r="F2505" s="1">
        <v>2231.0</v>
      </c>
      <c r="G2505" s="1">
        <v>2240.0</v>
      </c>
      <c r="H2505" s="1" t="s">
        <v>17059</v>
      </c>
      <c r="I2505" s="1" t="s">
        <v>25790</v>
      </c>
      <c r="J2505" s="1" t="s">
        <v>29988</v>
      </c>
      <c r="K2505" s="1"/>
      <c r="L2505" s="1" t="s">
        <v>29591</v>
      </c>
      <c r="M2505" s="1" t="s">
        <v>25794</v>
      </c>
      <c r="N2505" s="1" t="s">
        <v>25795</v>
      </c>
    </row>
    <row r="2506">
      <c r="A2506" s="1" t="s">
        <v>4153</v>
      </c>
      <c r="B2506" s="1">
        <v>2014.0</v>
      </c>
      <c r="C2506" s="1" t="s">
        <v>26161</v>
      </c>
      <c r="D2506" s="1" t="s">
        <v>26163</v>
      </c>
      <c r="E2506" s="2" t="s">
        <v>26164</v>
      </c>
      <c r="F2506" s="1">
        <v>2565.0</v>
      </c>
      <c r="G2506" s="1">
        <v>2574.0</v>
      </c>
      <c r="H2506" s="1" t="s">
        <v>17059</v>
      </c>
      <c r="I2506" s="1" t="s">
        <v>26165</v>
      </c>
      <c r="J2506" s="1" t="s">
        <v>26166</v>
      </c>
      <c r="K2506" s="1"/>
      <c r="L2506" s="1" t="s">
        <v>27988</v>
      </c>
      <c r="M2506" s="1" t="s">
        <v>26168</v>
      </c>
      <c r="N2506" s="1" t="s">
        <v>26169</v>
      </c>
    </row>
    <row r="2507">
      <c r="A2507" s="1" t="s">
        <v>2137</v>
      </c>
      <c r="B2507" s="1">
        <v>2014.0</v>
      </c>
      <c r="C2507" s="1" t="s">
        <v>25797</v>
      </c>
      <c r="D2507" s="1" t="s">
        <v>25798</v>
      </c>
      <c r="E2507" s="2" t="s">
        <v>25799</v>
      </c>
      <c r="F2507" s="1">
        <v>2241.0</v>
      </c>
      <c r="G2507" s="1">
        <v>2250.0</v>
      </c>
      <c r="H2507" s="1" t="s">
        <v>17059</v>
      </c>
      <c r="I2507" s="1" t="s">
        <v>25802</v>
      </c>
      <c r="J2507" s="1" t="s">
        <v>25803</v>
      </c>
      <c r="K2507" s="1"/>
      <c r="L2507" s="1" t="s">
        <v>29628</v>
      </c>
      <c r="M2507" s="1" t="s">
        <v>25805</v>
      </c>
      <c r="N2507" s="1" t="s">
        <v>25806</v>
      </c>
    </row>
    <row r="2508">
      <c r="A2508" s="1" t="s">
        <v>4153</v>
      </c>
      <c r="B2508" s="1">
        <v>2014.0</v>
      </c>
      <c r="C2508" s="1" t="s">
        <v>26170</v>
      </c>
      <c r="D2508" s="1" t="s">
        <v>26171</v>
      </c>
      <c r="E2508" s="2" t="s">
        <v>26172</v>
      </c>
      <c r="F2508" s="1">
        <v>2575.0</v>
      </c>
      <c r="G2508" s="1">
        <v>2584.0</v>
      </c>
      <c r="H2508" s="1" t="s">
        <v>17059</v>
      </c>
      <c r="I2508" s="1" t="s">
        <v>26174</v>
      </c>
      <c r="J2508" s="1" t="s">
        <v>26175</v>
      </c>
      <c r="K2508" s="1"/>
      <c r="L2508" s="1" t="s">
        <v>29823</v>
      </c>
      <c r="M2508" s="1" t="s">
        <v>26178</v>
      </c>
      <c r="N2508" s="1" t="s">
        <v>26179</v>
      </c>
    </row>
    <row r="2509">
      <c r="A2509" s="1" t="s">
        <v>2137</v>
      </c>
      <c r="B2509" s="1">
        <v>2014.0</v>
      </c>
      <c r="C2509" s="1" t="s">
        <v>25808</v>
      </c>
      <c r="D2509" s="1" t="s">
        <v>25809</v>
      </c>
      <c r="E2509" s="2" t="s">
        <v>25810</v>
      </c>
      <c r="F2509" s="1">
        <v>2251.0</v>
      </c>
      <c r="G2509" s="1">
        <v>2260.0</v>
      </c>
      <c r="H2509" s="1" t="s">
        <v>17059</v>
      </c>
      <c r="I2509" s="1" t="s">
        <v>29623</v>
      </c>
      <c r="J2509" s="1" t="s">
        <v>25813</v>
      </c>
      <c r="K2509" s="1"/>
      <c r="L2509" s="1" t="s">
        <v>29625</v>
      </c>
      <c r="M2509" s="1" t="s">
        <v>25816</v>
      </c>
      <c r="N2509" s="1" t="s">
        <v>25817</v>
      </c>
    </row>
    <row r="2510">
      <c r="A2510" s="1" t="s">
        <v>2137</v>
      </c>
      <c r="B2510" s="1">
        <v>2014.0</v>
      </c>
      <c r="C2510" s="1" t="s">
        <v>25818</v>
      </c>
      <c r="D2510" s="1" t="s">
        <v>25819</v>
      </c>
      <c r="E2510" s="2" t="s">
        <v>25820</v>
      </c>
      <c r="F2510" s="1">
        <v>2261.0</v>
      </c>
      <c r="G2510" s="1">
        <v>2270.0</v>
      </c>
      <c r="H2510" s="1" t="s">
        <v>17059</v>
      </c>
      <c r="I2510" s="1" t="s">
        <v>25822</v>
      </c>
      <c r="J2510" s="1" t="s">
        <v>25823</v>
      </c>
      <c r="K2510" s="1"/>
      <c r="L2510" s="1" t="s">
        <v>494</v>
      </c>
      <c r="M2510" s="1" t="s">
        <v>25825</v>
      </c>
      <c r="N2510" s="1" t="s">
        <v>25826</v>
      </c>
    </row>
    <row r="2511">
      <c r="A2511" s="1" t="s">
        <v>2137</v>
      </c>
      <c r="B2511" s="1">
        <v>2014.0</v>
      </c>
      <c r="C2511" s="1" t="s">
        <v>25827</v>
      </c>
      <c r="D2511" s="1" t="s">
        <v>25828</v>
      </c>
      <c r="E2511" s="2" t="s">
        <v>25829</v>
      </c>
      <c r="F2511" s="1">
        <v>2271.0</v>
      </c>
      <c r="G2511" s="1">
        <v>2280.0</v>
      </c>
      <c r="H2511" s="1" t="s">
        <v>17059</v>
      </c>
      <c r="I2511" s="1" t="s">
        <v>30460</v>
      </c>
      <c r="J2511" s="1" t="s">
        <v>25832</v>
      </c>
      <c r="K2511" s="1"/>
      <c r="L2511" s="1" t="s">
        <v>27755</v>
      </c>
      <c r="M2511" s="1" t="s">
        <v>25834</v>
      </c>
      <c r="N2511" s="1" t="s">
        <v>25835</v>
      </c>
    </row>
    <row r="2512">
      <c r="A2512" s="1" t="s">
        <v>4153</v>
      </c>
      <c r="B2512" s="1">
        <v>2014.0</v>
      </c>
      <c r="C2512" s="1" t="s">
        <v>26180</v>
      </c>
      <c r="D2512" s="1" t="s">
        <v>26181</v>
      </c>
      <c r="E2512" s="2" t="s">
        <v>26182</v>
      </c>
      <c r="F2512" s="1">
        <v>2585.0</v>
      </c>
      <c r="G2512" s="1">
        <v>2594.0</v>
      </c>
      <c r="H2512" s="1" t="s">
        <v>17059</v>
      </c>
      <c r="I2512" s="1" t="s">
        <v>26186</v>
      </c>
      <c r="J2512" s="1" t="s">
        <v>30466</v>
      </c>
      <c r="K2512" s="1"/>
      <c r="L2512" s="1" t="s">
        <v>29685</v>
      </c>
      <c r="M2512" s="1" t="s">
        <v>26189</v>
      </c>
      <c r="N2512" s="1" t="s">
        <v>26190</v>
      </c>
    </row>
    <row r="2513">
      <c r="A2513" s="1" t="s">
        <v>2137</v>
      </c>
      <c r="B2513" s="1">
        <v>2014.0</v>
      </c>
      <c r="C2513" s="1" t="s">
        <v>25836</v>
      </c>
      <c r="D2513" s="1" t="s">
        <v>25837</v>
      </c>
      <c r="E2513" s="2" t="s">
        <v>25838</v>
      </c>
      <c r="F2513" s="1">
        <v>2281.0</v>
      </c>
      <c r="G2513" s="1">
        <v>2290.0</v>
      </c>
      <c r="H2513" s="1" t="s">
        <v>17059</v>
      </c>
      <c r="I2513" s="1" t="s">
        <v>25841</v>
      </c>
      <c r="J2513" s="1" t="s">
        <v>25842</v>
      </c>
      <c r="K2513" s="1"/>
      <c r="L2513" s="1" t="s">
        <v>29565</v>
      </c>
      <c r="M2513" s="1" t="s">
        <v>25845</v>
      </c>
      <c r="N2513" s="1" t="s">
        <v>25846</v>
      </c>
    </row>
    <row r="2514">
      <c r="A2514" s="1" t="s">
        <v>4153</v>
      </c>
      <c r="B2514" s="1">
        <v>2014.0</v>
      </c>
      <c r="C2514" s="1" t="s">
        <v>26191</v>
      </c>
      <c r="D2514" s="1" t="s">
        <v>26192</v>
      </c>
      <c r="E2514" s="2" t="s">
        <v>26193</v>
      </c>
      <c r="F2514" s="1">
        <v>2595.0</v>
      </c>
      <c r="G2514" s="1">
        <v>2603.0</v>
      </c>
      <c r="H2514" s="1" t="s">
        <v>17059</v>
      </c>
      <c r="I2514" s="1" t="s">
        <v>26197</v>
      </c>
      <c r="J2514" s="1" t="s">
        <v>30475</v>
      </c>
      <c r="K2514" s="1"/>
      <c r="L2514" s="1" t="s">
        <v>28210</v>
      </c>
      <c r="M2514" s="1" t="s">
        <v>26200</v>
      </c>
      <c r="N2514" s="1" t="s">
        <v>26201</v>
      </c>
    </row>
    <row r="2515">
      <c r="A2515" s="1" t="s">
        <v>2137</v>
      </c>
      <c r="B2515" s="1">
        <v>2014.0</v>
      </c>
      <c r="C2515" s="1" t="s">
        <v>25847</v>
      </c>
      <c r="D2515" s="1" t="s">
        <v>25848</v>
      </c>
      <c r="E2515" s="2" t="s">
        <v>25849</v>
      </c>
      <c r="F2515" s="1">
        <v>2291.0</v>
      </c>
      <c r="G2515" s="1">
        <v>2300.0</v>
      </c>
      <c r="H2515" s="1" t="s">
        <v>17059</v>
      </c>
      <c r="I2515" s="1" t="s">
        <v>25852</v>
      </c>
      <c r="J2515" s="1" t="s">
        <v>25853</v>
      </c>
      <c r="K2515" s="1"/>
      <c r="L2515" s="1" t="s">
        <v>5349</v>
      </c>
      <c r="M2515" s="1" t="s">
        <v>25855</v>
      </c>
      <c r="N2515" s="1" t="s">
        <v>25856</v>
      </c>
    </row>
    <row r="2516">
      <c r="A2516" s="1" t="s">
        <v>2137</v>
      </c>
      <c r="B2516" s="1">
        <v>2014.0</v>
      </c>
      <c r="C2516" s="1" t="s">
        <v>25857</v>
      </c>
      <c r="D2516" s="1" t="s">
        <v>25858</v>
      </c>
      <c r="E2516" s="2" t="s">
        <v>25859</v>
      </c>
      <c r="F2516" s="1">
        <v>2301.0</v>
      </c>
      <c r="G2516" s="1">
        <v>2309.0</v>
      </c>
      <c r="H2516" s="1" t="s">
        <v>17059</v>
      </c>
      <c r="I2516" s="1" t="s">
        <v>25860</v>
      </c>
      <c r="J2516" s="1" t="s">
        <v>25862</v>
      </c>
      <c r="K2516" s="1"/>
      <c r="L2516" s="1" t="s">
        <v>178</v>
      </c>
      <c r="M2516" s="1"/>
      <c r="N2516" s="1" t="s">
        <v>25863</v>
      </c>
    </row>
    <row r="2517">
      <c r="A2517" s="1" t="s">
        <v>2137</v>
      </c>
      <c r="B2517" s="1">
        <v>2014.0</v>
      </c>
      <c r="C2517" s="1" t="s">
        <v>25865</v>
      </c>
      <c r="D2517" s="1" t="s">
        <v>25866</v>
      </c>
      <c r="E2517" s="2" t="s">
        <v>25867</v>
      </c>
      <c r="F2517" s="1">
        <v>2310.0</v>
      </c>
      <c r="G2517" s="1">
        <v>2319.0</v>
      </c>
      <c r="H2517" s="1" t="s">
        <v>17059</v>
      </c>
      <c r="I2517" s="1" t="s">
        <v>25870</v>
      </c>
      <c r="J2517" s="1" t="s">
        <v>22805</v>
      </c>
      <c r="K2517" s="1"/>
      <c r="L2517" s="1" t="s">
        <v>29580</v>
      </c>
      <c r="M2517" s="1" t="s">
        <v>25872</v>
      </c>
      <c r="N2517" s="1" t="s">
        <v>25873</v>
      </c>
      <c r="P2517" s="1"/>
      <c r="Q2517" s="1" t="s">
        <v>106</v>
      </c>
    </row>
    <row r="2518">
      <c r="A2518" s="1" t="s">
        <v>4153</v>
      </c>
      <c r="B2518" s="1">
        <v>2014.0</v>
      </c>
      <c r="C2518" s="1" t="s">
        <v>26202</v>
      </c>
      <c r="D2518" s="1" t="s">
        <v>26203</v>
      </c>
      <c r="E2518" s="2" t="s">
        <v>26204</v>
      </c>
      <c r="F2518" s="1">
        <v>2604.0</v>
      </c>
      <c r="G2518" s="1">
        <v>2613.0</v>
      </c>
      <c r="H2518" s="1" t="s">
        <v>17059</v>
      </c>
      <c r="I2518" s="1" t="s">
        <v>26206</v>
      </c>
      <c r="J2518" s="1" t="s">
        <v>30497</v>
      </c>
      <c r="K2518" s="1"/>
      <c r="L2518" s="1" t="s">
        <v>29594</v>
      </c>
      <c r="M2518" s="1" t="s">
        <v>26210</v>
      </c>
      <c r="N2518" s="1" t="s">
        <v>26211</v>
      </c>
    </row>
    <row r="2519">
      <c r="A2519" s="1" t="s">
        <v>2137</v>
      </c>
      <c r="B2519" s="1">
        <v>2014.0</v>
      </c>
      <c r="C2519" s="1" t="s">
        <v>25874</v>
      </c>
      <c r="D2519" s="1" t="s">
        <v>25875</v>
      </c>
      <c r="E2519" s="2" t="s">
        <v>25876</v>
      </c>
      <c r="F2519" s="1">
        <v>2320.0</v>
      </c>
      <c r="G2519" s="1">
        <v>2328.0</v>
      </c>
      <c r="H2519" s="1" t="s">
        <v>17059</v>
      </c>
      <c r="I2519" s="1" t="s">
        <v>25878</v>
      </c>
      <c r="J2519" s="1" t="s">
        <v>25879</v>
      </c>
      <c r="K2519" s="1"/>
      <c r="L2519" s="1" t="s">
        <v>2704</v>
      </c>
      <c r="M2519" s="1" t="s">
        <v>25882</v>
      </c>
      <c r="N2519" s="1" t="s">
        <v>25883</v>
      </c>
    </row>
    <row r="2520">
      <c r="A2520" s="1" t="s">
        <v>2137</v>
      </c>
      <c r="B2520" s="1">
        <v>2014.0</v>
      </c>
      <c r="C2520" s="1" t="s">
        <v>25884</v>
      </c>
      <c r="D2520" s="1" t="s">
        <v>25885</v>
      </c>
      <c r="E2520" s="2" t="s">
        <v>25886</v>
      </c>
      <c r="F2520" s="1">
        <v>2339.0</v>
      </c>
      <c r="G2520" s="1">
        <v>2348.0</v>
      </c>
      <c r="H2520" s="1" t="s">
        <v>17059</v>
      </c>
      <c r="I2520" s="1" t="s">
        <v>25889</v>
      </c>
      <c r="J2520" s="1" t="s">
        <v>25890</v>
      </c>
      <c r="K2520" s="1"/>
      <c r="L2520" s="1" t="s">
        <v>29620</v>
      </c>
      <c r="M2520" s="1" t="s">
        <v>25892</v>
      </c>
      <c r="N2520" s="1" t="s">
        <v>25893</v>
      </c>
    </row>
    <row r="2521">
      <c r="A2521" s="1" t="s">
        <v>4153</v>
      </c>
      <c r="B2521" s="1">
        <v>2014.0</v>
      </c>
      <c r="C2521" s="1" t="s">
        <v>26212</v>
      </c>
      <c r="D2521" s="1" t="s">
        <v>26213</v>
      </c>
      <c r="E2521" s="2" t="s">
        <v>26214</v>
      </c>
      <c r="F2521" s="1">
        <v>2624.0</v>
      </c>
      <c r="G2521" s="1">
        <v>2633.0</v>
      </c>
      <c r="H2521" s="1" t="s">
        <v>17059</v>
      </c>
      <c r="I2521" s="1" t="s">
        <v>26216</v>
      </c>
      <c r="J2521" s="1" t="s">
        <v>26217</v>
      </c>
      <c r="K2521" s="1"/>
      <c r="L2521" s="1" t="s">
        <v>29665</v>
      </c>
      <c r="M2521" s="1"/>
      <c r="N2521" s="1" t="s">
        <v>26219</v>
      </c>
      <c r="P2521" s="1"/>
      <c r="Q2521" s="1" t="s">
        <v>19037</v>
      </c>
    </row>
    <row r="2522">
      <c r="A2522" s="1" t="s">
        <v>4153</v>
      </c>
      <c r="B2522" s="1">
        <v>2014.0</v>
      </c>
      <c r="C2522" s="1" t="s">
        <v>26223</v>
      </c>
      <c r="D2522" s="1" t="s">
        <v>26224</v>
      </c>
      <c r="E2522" s="2" t="s">
        <v>26225</v>
      </c>
      <c r="F2522" s="1">
        <v>2684.0</v>
      </c>
      <c r="G2522" s="1">
        <v>2693.0</v>
      </c>
      <c r="H2522" s="1" t="s">
        <v>17059</v>
      </c>
      <c r="I2522" s="1" t="s">
        <v>26228</v>
      </c>
      <c r="J2522" s="1" t="s">
        <v>26229</v>
      </c>
      <c r="K2522" s="1"/>
      <c r="L2522" s="1" t="s">
        <v>29675</v>
      </c>
      <c r="M2522" s="1" t="s">
        <v>26232</v>
      </c>
      <c r="N2522" s="1" t="s">
        <v>26233</v>
      </c>
    </row>
    <row r="2523">
      <c r="A2523" s="1" t="s">
        <v>4153</v>
      </c>
      <c r="B2523" s="1">
        <v>2014.0</v>
      </c>
      <c r="C2523" s="1" t="s">
        <v>26234</v>
      </c>
      <c r="D2523" s="1" t="s">
        <v>26235</v>
      </c>
      <c r="E2523" s="2" t="s">
        <v>26236</v>
      </c>
      <c r="F2523" s="1">
        <v>2694.0</v>
      </c>
      <c r="G2523" s="1">
        <v>2703.0</v>
      </c>
      <c r="H2523" s="1" t="s">
        <v>17059</v>
      </c>
      <c r="I2523" s="1" t="s">
        <v>26240</v>
      </c>
      <c r="J2523" s="1" t="s">
        <v>30524</v>
      </c>
      <c r="K2523" s="1"/>
      <c r="L2523" s="1" t="s">
        <v>29735</v>
      </c>
      <c r="M2523" s="1" t="s">
        <v>26243</v>
      </c>
      <c r="N2523" s="1" t="s">
        <v>26244</v>
      </c>
    </row>
    <row r="2524">
      <c r="A2524" s="1" t="s">
        <v>4153</v>
      </c>
      <c r="B2524" s="1">
        <v>2014.0</v>
      </c>
      <c r="C2524" s="1" t="s">
        <v>26245</v>
      </c>
      <c r="D2524" s="1" t="s">
        <v>26246</v>
      </c>
      <c r="E2524" s="2" t="s">
        <v>26247</v>
      </c>
      <c r="F2524" s="1">
        <v>2634.0</v>
      </c>
      <c r="G2524" s="1">
        <v>2643.0</v>
      </c>
      <c r="H2524" s="1" t="s">
        <v>17059</v>
      </c>
      <c r="I2524" s="1" t="s">
        <v>26251</v>
      </c>
      <c r="J2524" s="1" t="s">
        <v>30532</v>
      </c>
      <c r="K2524" s="1"/>
      <c r="L2524" s="1" t="s">
        <v>29631</v>
      </c>
      <c r="M2524" s="1" t="s">
        <v>26253</v>
      </c>
      <c r="N2524" s="1" t="s">
        <v>26254</v>
      </c>
    </row>
    <row r="2525">
      <c r="A2525" s="1" t="s">
        <v>4153</v>
      </c>
      <c r="B2525" s="1">
        <v>2014.0</v>
      </c>
      <c r="C2525" s="1" t="s">
        <v>26255</v>
      </c>
      <c r="D2525" s="1" t="s">
        <v>26256</v>
      </c>
      <c r="E2525" s="2" t="s">
        <v>26257</v>
      </c>
      <c r="F2525" s="1">
        <v>2644.0</v>
      </c>
      <c r="G2525" s="1">
        <v>2653.0</v>
      </c>
      <c r="H2525" s="1" t="s">
        <v>17059</v>
      </c>
      <c r="I2525" s="1" t="s">
        <v>26259</v>
      </c>
      <c r="J2525" s="1" t="s">
        <v>26260</v>
      </c>
      <c r="K2525" s="1"/>
      <c r="L2525" s="1" t="s">
        <v>29783</v>
      </c>
      <c r="M2525" s="1" t="s">
        <v>26263</v>
      </c>
      <c r="N2525" s="1" t="s">
        <v>26264</v>
      </c>
    </row>
    <row r="2526">
      <c r="A2526" s="1" t="s">
        <v>2137</v>
      </c>
      <c r="B2526" s="1">
        <v>2014.0</v>
      </c>
      <c r="C2526" s="1" t="s">
        <v>25895</v>
      </c>
      <c r="D2526" s="1" t="s">
        <v>25896</v>
      </c>
      <c r="E2526" s="2" t="s">
        <v>25897</v>
      </c>
      <c r="F2526" s="1">
        <v>2122.0</v>
      </c>
      <c r="G2526" s="1">
        <v>2131.0</v>
      </c>
      <c r="H2526" s="1" t="s">
        <v>17059</v>
      </c>
      <c r="I2526" s="1" t="s">
        <v>25898</v>
      </c>
      <c r="J2526" s="1" t="s">
        <v>25899</v>
      </c>
      <c r="K2526" s="1"/>
      <c r="L2526" s="1" t="s">
        <v>178</v>
      </c>
      <c r="M2526" s="1" t="s">
        <v>21426</v>
      </c>
      <c r="N2526" s="1" t="s">
        <v>25901</v>
      </c>
    </row>
    <row r="2527">
      <c r="A2527" s="1" t="s">
        <v>2137</v>
      </c>
      <c r="B2527" s="1">
        <v>2014.0</v>
      </c>
      <c r="C2527" s="1" t="s">
        <v>25903</v>
      </c>
      <c r="D2527" s="1" t="s">
        <v>25904</v>
      </c>
      <c r="E2527" s="2" t="s">
        <v>25905</v>
      </c>
      <c r="F2527" s="1">
        <v>2329.0</v>
      </c>
      <c r="G2527" s="1">
        <v>2338.0</v>
      </c>
      <c r="H2527" s="1" t="s">
        <v>17059</v>
      </c>
      <c r="I2527" s="1" t="s">
        <v>25906</v>
      </c>
      <c r="J2527" s="1" t="s">
        <v>25907</v>
      </c>
      <c r="K2527" s="1"/>
      <c r="L2527" s="1" t="s">
        <v>22142</v>
      </c>
      <c r="M2527" s="1" t="s">
        <v>25910</v>
      </c>
      <c r="N2527" s="1" t="s">
        <v>25911</v>
      </c>
    </row>
    <row r="2528">
      <c r="A2528" s="1" t="s">
        <v>4153</v>
      </c>
      <c r="B2528" s="1">
        <v>2014.0</v>
      </c>
      <c r="C2528" s="1" t="s">
        <v>26265</v>
      </c>
      <c r="D2528" s="1" t="s">
        <v>26266</v>
      </c>
      <c r="E2528" s="2" t="s">
        <v>26267</v>
      </c>
      <c r="F2528" s="1">
        <v>2654.0</v>
      </c>
      <c r="G2528" s="1">
        <v>2663.0</v>
      </c>
      <c r="H2528" s="1" t="s">
        <v>17059</v>
      </c>
      <c r="I2528" s="1" t="s">
        <v>26268</v>
      </c>
      <c r="J2528" s="1" t="s">
        <v>26269</v>
      </c>
      <c r="K2528" s="1"/>
      <c r="L2528" s="1" t="s">
        <v>26046</v>
      </c>
      <c r="M2528" s="1" t="s">
        <v>26272</v>
      </c>
      <c r="N2528" s="1" t="s">
        <v>26273</v>
      </c>
    </row>
    <row r="2529">
      <c r="A2529" s="1" t="s">
        <v>2137</v>
      </c>
      <c r="B2529" s="1">
        <v>2014.0</v>
      </c>
      <c r="C2529" s="1" t="s">
        <v>25913</v>
      </c>
      <c r="D2529" s="1" t="s">
        <v>25914</v>
      </c>
      <c r="E2529" s="2" t="s">
        <v>25915</v>
      </c>
      <c r="F2529" s="1">
        <v>2349.0</v>
      </c>
      <c r="G2529" s="1">
        <v>2358.0</v>
      </c>
      <c r="H2529" s="1" t="s">
        <v>17059</v>
      </c>
      <c r="I2529" s="1" t="s">
        <v>25917</v>
      </c>
      <c r="J2529" s="1" t="s">
        <v>25918</v>
      </c>
      <c r="K2529" s="1"/>
      <c r="L2529" s="1" t="s">
        <v>29542</v>
      </c>
      <c r="M2529" s="1" t="s">
        <v>25921</v>
      </c>
      <c r="N2529" s="1" t="s">
        <v>25922</v>
      </c>
    </row>
    <row r="2530">
      <c r="A2530" s="1" t="s">
        <v>4153</v>
      </c>
      <c r="B2530" s="1">
        <v>2014.0</v>
      </c>
      <c r="C2530" s="1" t="s">
        <v>26274</v>
      </c>
      <c r="D2530" s="1" t="s">
        <v>26275</v>
      </c>
      <c r="E2530" s="2" t="s">
        <v>26276</v>
      </c>
      <c r="F2530" s="1">
        <v>2664.0</v>
      </c>
      <c r="G2530" s="1">
        <v>2673.0</v>
      </c>
      <c r="H2530" s="1" t="s">
        <v>17059</v>
      </c>
      <c r="I2530" s="1" t="s">
        <v>26277</v>
      </c>
      <c r="J2530" s="1" t="s">
        <v>26278</v>
      </c>
      <c r="K2530" s="1"/>
      <c r="L2530" s="1" t="s">
        <v>29833</v>
      </c>
      <c r="M2530" s="1" t="s">
        <v>26281</v>
      </c>
      <c r="N2530" s="1" t="s">
        <v>26282</v>
      </c>
    </row>
    <row r="2531">
      <c r="A2531" s="1" t="s">
        <v>4153</v>
      </c>
      <c r="B2531" s="1">
        <v>2014.0</v>
      </c>
      <c r="C2531" s="1" t="s">
        <v>26283</v>
      </c>
      <c r="D2531" s="1" t="s">
        <v>26284</v>
      </c>
      <c r="E2531" s="2" t="s">
        <v>26285</v>
      </c>
      <c r="F2531" s="1">
        <v>2674.0</v>
      </c>
      <c r="G2531" s="1">
        <v>2683.0</v>
      </c>
      <c r="H2531" s="1" t="s">
        <v>17059</v>
      </c>
      <c r="I2531" s="1" t="s">
        <v>29696</v>
      </c>
      <c r="J2531" s="1" t="s">
        <v>26287</v>
      </c>
      <c r="K2531" s="1"/>
      <c r="L2531" s="1" t="s">
        <v>29697</v>
      </c>
      <c r="M2531" s="1" t="s">
        <v>26290</v>
      </c>
      <c r="N2531" s="1" t="s">
        <v>26291</v>
      </c>
    </row>
    <row r="2532">
      <c r="A2532" s="1" t="s">
        <v>4153</v>
      </c>
      <c r="B2532" s="1">
        <v>2014.0</v>
      </c>
      <c r="C2532" s="1" t="s">
        <v>26292</v>
      </c>
      <c r="D2532" s="1" t="s">
        <v>26293</v>
      </c>
      <c r="E2532" s="2" t="s">
        <v>26294</v>
      </c>
      <c r="F2532" s="1">
        <v>2704.0</v>
      </c>
      <c r="G2532" s="1">
        <v>2713.0</v>
      </c>
      <c r="H2532" s="1" t="s">
        <v>17059</v>
      </c>
      <c r="I2532" s="1" t="s">
        <v>29763</v>
      </c>
      <c r="J2532" s="1" t="s">
        <v>30600</v>
      </c>
      <c r="K2532" s="1"/>
      <c r="L2532" s="1" t="s">
        <v>29765</v>
      </c>
      <c r="M2532" s="1" t="s">
        <v>26298</v>
      </c>
      <c r="N2532" s="1" t="s">
        <v>26299</v>
      </c>
    </row>
    <row r="2533">
      <c r="A2533" s="1" t="s">
        <v>120</v>
      </c>
      <c r="B2533" s="1">
        <v>2014.0</v>
      </c>
      <c r="C2533" s="1" t="s">
        <v>26306</v>
      </c>
      <c r="D2533" s="1" t="s">
        <v>26307</v>
      </c>
      <c r="E2533" s="2" t="s">
        <v>26308</v>
      </c>
      <c r="F2533" s="1">
        <v>1604.0</v>
      </c>
      <c r="G2533" s="1">
        <v>1613.0</v>
      </c>
      <c r="H2533" s="1" t="s">
        <v>17059</v>
      </c>
      <c r="I2533" s="1" t="s">
        <v>26312</v>
      </c>
      <c r="J2533" s="1" t="s">
        <v>26313</v>
      </c>
      <c r="K2533" s="1"/>
      <c r="L2533" s="1" t="s">
        <v>29916</v>
      </c>
      <c r="M2533" s="1" t="s">
        <v>26316</v>
      </c>
      <c r="N2533" s="1" t="s">
        <v>26317</v>
      </c>
    </row>
    <row r="2534">
      <c r="A2534" s="1" t="s">
        <v>120</v>
      </c>
      <c r="B2534" s="1">
        <v>2014.0</v>
      </c>
      <c r="C2534" s="1" t="s">
        <v>26318</v>
      </c>
      <c r="D2534" s="1" t="s">
        <v>26319</v>
      </c>
      <c r="E2534" s="2" t="s">
        <v>26320</v>
      </c>
      <c r="F2534" s="1">
        <v>1614.0</v>
      </c>
      <c r="G2534" s="1">
        <v>1623.0</v>
      </c>
      <c r="H2534" s="1" t="s">
        <v>17059</v>
      </c>
      <c r="I2534" s="1" t="s">
        <v>26321</v>
      </c>
      <c r="J2534" s="1" t="s">
        <v>26322</v>
      </c>
      <c r="K2534" s="1"/>
      <c r="L2534" s="1" t="s">
        <v>494</v>
      </c>
      <c r="M2534" s="1" t="s">
        <v>26324</v>
      </c>
      <c r="N2534" s="1" t="s">
        <v>26325</v>
      </c>
    </row>
    <row r="2535">
      <c r="A2535" s="1" t="s">
        <v>120</v>
      </c>
      <c r="B2535" s="1">
        <v>2014.0</v>
      </c>
      <c r="C2535" s="1" t="s">
        <v>26327</v>
      </c>
      <c r="D2535" s="1" t="s">
        <v>26328</v>
      </c>
      <c r="E2535" s="2" t="s">
        <v>26329</v>
      </c>
      <c r="F2535" s="1">
        <v>1624.0</v>
      </c>
      <c r="G2535" s="1">
        <v>1632.0</v>
      </c>
      <c r="H2535" s="1" t="s">
        <v>17059</v>
      </c>
      <c r="I2535" s="1" t="s">
        <v>26330</v>
      </c>
      <c r="J2535" s="1" t="s">
        <v>26331</v>
      </c>
      <c r="K2535" s="1"/>
      <c r="L2535" s="1" t="s">
        <v>30001</v>
      </c>
      <c r="M2535" s="1" t="s">
        <v>26334</v>
      </c>
      <c r="N2535" s="1" t="s">
        <v>26335</v>
      </c>
    </row>
    <row r="2536">
      <c r="A2536" s="1" t="s">
        <v>120</v>
      </c>
      <c r="B2536" s="1">
        <v>2014.0</v>
      </c>
      <c r="C2536" s="1" t="s">
        <v>26336</v>
      </c>
      <c r="D2536" s="1" t="s">
        <v>26337</v>
      </c>
      <c r="E2536" s="2" t="s">
        <v>26338</v>
      </c>
      <c r="F2536" s="1">
        <v>1633.0</v>
      </c>
      <c r="G2536" s="1">
        <v>1642.0</v>
      </c>
      <c r="H2536" s="1" t="s">
        <v>17059</v>
      </c>
      <c r="I2536" s="1" t="s">
        <v>26340</v>
      </c>
      <c r="J2536" s="1" t="s">
        <v>26341</v>
      </c>
      <c r="K2536" s="1"/>
      <c r="L2536" s="1" t="s">
        <v>29987</v>
      </c>
      <c r="M2536" s="1" t="s">
        <v>26343</v>
      </c>
      <c r="N2536" s="1" t="s">
        <v>26344</v>
      </c>
      <c r="P2536" s="1"/>
      <c r="Q2536" s="1" t="s">
        <v>106</v>
      </c>
    </row>
    <row r="2537">
      <c r="A2537" s="1" t="s">
        <v>120</v>
      </c>
      <c r="B2537" s="1">
        <v>2014.0</v>
      </c>
      <c r="C2537" s="1" t="s">
        <v>26345</v>
      </c>
      <c r="D2537" s="1" t="s">
        <v>26346</v>
      </c>
      <c r="E2537" s="2" t="s">
        <v>26347</v>
      </c>
      <c r="F2537" s="1">
        <v>1653.0</v>
      </c>
      <c r="G2537" s="1">
        <v>1662.0</v>
      </c>
      <c r="H2537" s="1" t="s">
        <v>17059</v>
      </c>
      <c r="I2537" s="1" t="s">
        <v>26348</v>
      </c>
      <c r="J2537" s="1" t="s">
        <v>26349</v>
      </c>
      <c r="K2537" s="1"/>
      <c r="L2537" s="1" t="s">
        <v>23044</v>
      </c>
      <c r="M2537" s="1" t="s">
        <v>26352</v>
      </c>
      <c r="N2537" s="1" t="s">
        <v>26353</v>
      </c>
    </row>
    <row r="2538">
      <c r="A2538" s="1" t="s">
        <v>120</v>
      </c>
      <c r="B2538" s="1">
        <v>2014.0</v>
      </c>
      <c r="C2538" s="1" t="s">
        <v>26354</v>
      </c>
      <c r="D2538" s="1" t="s">
        <v>26355</v>
      </c>
      <c r="E2538" s="2" t="s">
        <v>26356</v>
      </c>
      <c r="F2538" s="1">
        <v>1663.0</v>
      </c>
      <c r="G2538" s="1">
        <v>1672.0</v>
      </c>
      <c r="H2538" s="1" t="s">
        <v>17059</v>
      </c>
      <c r="I2538" s="1" t="s">
        <v>26357</v>
      </c>
      <c r="J2538" s="1" t="s">
        <v>26358</v>
      </c>
      <c r="K2538" s="1"/>
      <c r="L2538" s="1" t="s">
        <v>29888</v>
      </c>
      <c r="M2538" s="1" t="s">
        <v>26361</v>
      </c>
      <c r="N2538" s="1" t="s">
        <v>26362</v>
      </c>
    </row>
    <row r="2539">
      <c r="A2539" s="1" t="s">
        <v>120</v>
      </c>
      <c r="B2539" s="1">
        <v>2014.0</v>
      </c>
      <c r="C2539" s="1" t="s">
        <v>26363</v>
      </c>
      <c r="D2539" s="1" t="s">
        <v>26364</v>
      </c>
      <c r="E2539" s="2" t="s">
        <v>26365</v>
      </c>
      <c r="F2539" s="1">
        <v>1643.0</v>
      </c>
      <c r="G2539" s="1">
        <v>1652.0</v>
      </c>
      <c r="H2539" s="1" t="s">
        <v>17059</v>
      </c>
      <c r="I2539" s="1" t="s">
        <v>26368</v>
      </c>
      <c r="J2539" s="1" t="s">
        <v>30653</v>
      </c>
      <c r="K2539" s="1"/>
      <c r="L2539" s="1" t="s">
        <v>16655</v>
      </c>
      <c r="M2539" s="1" t="s">
        <v>26371</v>
      </c>
      <c r="N2539" s="1" t="s">
        <v>26372</v>
      </c>
    </row>
    <row r="2540">
      <c r="A2540" s="1" t="s">
        <v>120</v>
      </c>
      <c r="B2540" s="1">
        <v>2014.0</v>
      </c>
      <c r="C2540" s="1" t="s">
        <v>26373</v>
      </c>
      <c r="D2540" s="1" t="s">
        <v>26374</v>
      </c>
      <c r="E2540" s="2" t="s">
        <v>26375</v>
      </c>
      <c r="F2540" s="1">
        <v>1673.0</v>
      </c>
      <c r="G2540" s="1">
        <v>1682.0</v>
      </c>
      <c r="H2540" s="1" t="s">
        <v>17059</v>
      </c>
      <c r="I2540" s="1" t="s">
        <v>26376</v>
      </c>
      <c r="J2540" s="1" t="s">
        <v>30736</v>
      </c>
      <c r="K2540" s="1"/>
      <c r="L2540" s="1" t="s">
        <v>29911</v>
      </c>
      <c r="M2540" s="1" t="s">
        <v>26379</v>
      </c>
      <c r="N2540" s="1" t="s">
        <v>26380</v>
      </c>
    </row>
    <row r="2541">
      <c r="A2541" s="1" t="s">
        <v>120</v>
      </c>
      <c r="B2541" s="1">
        <v>2014.0</v>
      </c>
      <c r="C2541" s="1" t="s">
        <v>26381</v>
      </c>
      <c r="D2541" s="1" t="s">
        <v>26383</v>
      </c>
      <c r="E2541" s="2" t="s">
        <v>26384</v>
      </c>
      <c r="F2541" s="1">
        <v>1683.0</v>
      </c>
      <c r="G2541" s="1">
        <v>1692.0</v>
      </c>
      <c r="H2541" s="1" t="s">
        <v>17059</v>
      </c>
      <c r="I2541" s="1" t="s">
        <v>26385</v>
      </c>
      <c r="J2541" s="1" t="s">
        <v>26386</v>
      </c>
      <c r="K2541" s="1"/>
      <c r="L2541" s="1" t="s">
        <v>30026</v>
      </c>
      <c r="M2541" s="1" t="s">
        <v>26389</v>
      </c>
      <c r="N2541" s="1" t="s">
        <v>26390</v>
      </c>
    </row>
    <row r="2542">
      <c r="A2542" s="1" t="s">
        <v>120</v>
      </c>
      <c r="B2542" s="1">
        <v>2014.0</v>
      </c>
      <c r="C2542" s="1" t="s">
        <v>26391</v>
      </c>
      <c r="D2542" s="1" t="s">
        <v>26392</v>
      </c>
      <c r="E2542" s="2" t="s">
        <v>26393</v>
      </c>
      <c r="F2542" s="1">
        <v>1693.0</v>
      </c>
      <c r="G2542" s="1">
        <v>1702.0</v>
      </c>
      <c r="H2542" s="1" t="s">
        <v>17059</v>
      </c>
      <c r="I2542" s="1" t="s">
        <v>26397</v>
      </c>
      <c r="J2542" s="1" t="s">
        <v>30743</v>
      </c>
      <c r="K2542" s="1"/>
      <c r="L2542" s="1" t="s">
        <v>29868</v>
      </c>
      <c r="M2542" s="1" t="s">
        <v>26400</v>
      </c>
      <c r="N2542" s="1" t="s">
        <v>26401</v>
      </c>
    </row>
    <row r="2543">
      <c r="A2543" s="1" t="s">
        <v>120</v>
      </c>
      <c r="B2543" s="1">
        <v>2014.0</v>
      </c>
      <c r="C2543" s="1" t="s">
        <v>26402</v>
      </c>
      <c r="D2543" s="1" t="s">
        <v>26403</v>
      </c>
      <c r="E2543" s="2" t="s">
        <v>26404</v>
      </c>
      <c r="F2543" s="1">
        <v>1703.0</v>
      </c>
      <c r="G2543" s="1">
        <v>1712.0</v>
      </c>
      <c r="H2543" s="1" t="s">
        <v>17059</v>
      </c>
      <c r="I2543" s="1" t="s">
        <v>26405</v>
      </c>
      <c r="J2543" s="1" t="s">
        <v>26406</v>
      </c>
      <c r="K2543" s="1"/>
      <c r="L2543" s="1" t="s">
        <v>29513</v>
      </c>
      <c r="M2543" s="1" t="s">
        <v>26408</v>
      </c>
      <c r="N2543" s="1" t="s">
        <v>26409</v>
      </c>
    </row>
    <row r="2544">
      <c r="A2544" s="1" t="s">
        <v>120</v>
      </c>
      <c r="B2544" s="1">
        <v>2014.0</v>
      </c>
      <c r="C2544" s="1" t="s">
        <v>26411</v>
      </c>
      <c r="D2544" s="1" t="s">
        <v>26412</v>
      </c>
      <c r="E2544" s="2" t="s">
        <v>26413</v>
      </c>
      <c r="F2544" s="1">
        <v>1713.0</v>
      </c>
      <c r="G2544" s="1">
        <v>1722.0</v>
      </c>
      <c r="H2544" s="1" t="s">
        <v>17059</v>
      </c>
      <c r="I2544" s="1" t="s">
        <v>26414</v>
      </c>
      <c r="J2544" s="1" t="s">
        <v>26415</v>
      </c>
      <c r="K2544" s="1"/>
      <c r="L2544" s="1" t="s">
        <v>27978</v>
      </c>
      <c r="M2544" s="1" t="s">
        <v>26417</v>
      </c>
      <c r="N2544" s="1" t="s">
        <v>26418</v>
      </c>
    </row>
    <row r="2545">
      <c r="A2545" s="1" t="s">
        <v>120</v>
      </c>
      <c r="B2545" s="1">
        <v>2014.0</v>
      </c>
      <c r="C2545" s="1" t="s">
        <v>26419</v>
      </c>
      <c r="D2545" s="1" t="s">
        <v>26420</v>
      </c>
      <c r="E2545" s="2" t="s">
        <v>26422</v>
      </c>
      <c r="F2545" s="1">
        <v>1723.0</v>
      </c>
      <c r="G2545" s="1">
        <v>1732.0</v>
      </c>
      <c r="H2545" s="1" t="s">
        <v>17059</v>
      </c>
      <c r="I2545" s="1" t="s">
        <v>26424</v>
      </c>
      <c r="J2545" s="1" t="s">
        <v>30759</v>
      </c>
      <c r="K2545" s="1"/>
      <c r="L2545" s="1" t="s">
        <v>30010</v>
      </c>
      <c r="M2545" s="1" t="s">
        <v>26428</v>
      </c>
      <c r="N2545" s="1" t="s">
        <v>26429</v>
      </c>
    </row>
    <row r="2546">
      <c r="A2546" s="1" t="s">
        <v>120</v>
      </c>
      <c r="B2546" s="1">
        <v>2014.0</v>
      </c>
      <c r="C2546" s="1" t="s">
        <v>26430</v>
      </c>
      <c r="D2546" s="1" t="s">
        <v>26431</v>
      </c>
      <c r="E2546" s="2" t="s">
        <v>26432</v>
      </c>
      <c r="F2546" s="1">
        <v>1783.0</v>
      </c>
      <c r="G2546" s="1">
        <v>1792.0</v>
      </c>
      <c r="H2546" s="1" t="s">
        <v>17059</v>
      </c>
      <c r="I2546" s="1" t="s">
        <v>26436</v>
      </c>
      <c r="J2546" s="1" t="s">
        <v>26437</v>
      </c>
      <c r="K2546" s="1"/>
      <c r="L2546" s="1" t="s">
        <v>29872</v>
      </c>
      <c r="M2546" s="1" t="s">
        <v>26439</v>
      </c>
      <c r="N2546" s="1" t="s">
        <v>26440</v>
      </c>
    </row>
    <row r="2547">
      <c r="A2547" s="1" t="s">
        <v>120</v>
      </c>
      <c r="B2547" s="1">
        <v>2014.0</v>
      </c>
      <c r="C2547" s="1" t="s">
        <v>26441</v>
      </c>
      <c r="D2547" s="1" t="s">
        <v>26442</v>
      </c>
      <c r="E2547" s="2" t="s">
        <v>26443</v>
      </c>
      <c r="F2547" s="1">
        <v>1793.0</v>
      </c>
      <c r="G2547" s="1">
        <v>1802.0</v>
      </c>
      <c r="H2547" s="1" t="s">
        <v>17059</v>
      </c>
      <c r="I2547" s="1" t="s">
        <v>30771</v>
      </c>
      <c r="J2547" s="1" t="s">
        <v>26445</v>
      </c>
      <c r="K2547" s="1"/>
      <c r="L2547" s="1" t="s">
        <v>880</v>
      </c>
      <c r="M2547" s="1" t="s">
        <v>26449</v>
      </c>
      <c r="N2547" s="1" t="s">
        <v>26450</v>
      </c>
    </row>
    <row r="2548">
      <c r="A2548" s="1" t="s">
        <v>120</v>
      </c>
      <c r="B2548" s="1">
        <v>2014.0</v>
      </c>
      <c r="C2548" s="1" t="s">
        <v>26451</v>
      </c>
      <c r="D2548" s="1" t="s">
        <v>26452</v>
      </c>
      <c r="E2548" s="2" t="s">
        <v>26453</v>
      </c>
      <c r="F2548" s="1">
        <v>1803.0</v>
      </c>
      <c r="G2548" s="1">
        <v>1812.0</v>
      </c>
      <c r="H2548" s="1" t="s">
        <v>17059</v>
      </c>
      <c r="I2548" s="1" t="s">
        <v>30846</v>
      </c>
      <c r="J2548" s="1" t="s">
        <v>26456</v>
      </c>
      <c r="K2548" s="1"/>
      <c r="L2548" s="1" t="s">
        <v>30064</v>
      </c>
      <c r="M2548" s="1" t="s">
        <v>26459</v>
      </c>
      <c r="N2548" s="1" t="s">
        <v>26460</v>
      </c>
    </row>
    <row r="2549">
      <c r="A2549" s="1" t="s">
        <v>120</v>
      </c>
      <c r="B2549" s="1">
        <v>2014.0</v>
      </c>
      <c r="C2549" s="1" t="s">
        <v>26461</v>
      </c>
      <c r="D2549" s="1" t="s">
        <v>26462</v>
      </c>
      <c r="E2549" s="2" t="s">
        <v>26463</v>
      </c>
      <c r="F2549" s="1">
        <v>1813.0</v>
      </c>
      <c r="G2549" s="1">
        <v>1822.0</v>
      </c>
      <c r="H2549" s="1" t="s">
        <v>17059</v>
      </c>
      <c r="I2549" s="1" t="s">
        <v>26465</v>
      </c>
      <c r="J2549" s="1" t="s">
        <v>26466</v>
      </c>
      <c r="K2549" s="1"/>
      <c r="L2549" s="1" t="s">
        <v>30073</v>
      </c>
      <c r="M2549" s="1" t="s">
        <v>26468</v>
      </c>
      <c r="N2549" s="1" t="s">
        <v>26469</v>
      </c>
    </row>
    <row r="2550">
      <c r="A2550" s="1" t="s">
        <v>120</v>
      </c>
      <c r="B2550" s="1">
        <v>2014.0</v>
      </c>
      <c r="C2550" s="1" t="s">
        <v>26470</v>
      </c>
      <c r="D2550" s="1" t="s">
        <v>26471</v>
      </c>
      <c r="E2550" s="2" t="s">
        <v>26472</v>
      </c>
      <c r="F2550" s="1">
        <v>1823.0</v>
      </c>
      <c r="G2550" s="1">
        <v>1832.0</v>
      </c>
      <c r="H2550" s="1" t="s">
        <v>17059</v>
      </c>
      <c r="I2550" s="1" t="s">
        <v>26474</v>
      </c>
      <c r="J2550" s="1" t="s">
        <v>26475</v>
      </c>
      <c r="K2550" s="1"/>
      <c r="L2550" s="1" t="s">
        <v>29875</v>
      </c>
      <c r="M2550" s="1" t="s">
        <v>26478</v>
      </c>
      <c r="N2550" s="1" t="s">
        <v>26479</v>
      </c>
    </row>
    <row r="2551">
      <c r="A2551" s="1" t="s">
        <v>120</v>
      </c>
      <c r="B2551" s="1">
        <v>2014.0</v>
      </c>
      <c r="C2551" s="1" t="s">
        <v>26481</v>
      </c>
      <c r="D2551" s="1" t="s">
        <v>26482</v>
      </c>
      <c r="E2551" s="2" t="s">
        <v>26483</v>
      </c>
      <c r="F2551" s="1">
        <v>1893.0</v>
      </c>
      <c r="G2551" s="1">
        <v>1902.0</v>
      </c>
      <c r="H2551" s="1" t="s">
        <v>17059</v>
      </c>
      <c r="I2551" s="1" t="s">
        <v>26484</v>
      </c>
      <c r="J2551" s="1" t="s">
        <v>30867</v>
      </c>
      <c r="K2551" s="1"/>
      <c r="L2551" s="1" t="s">
        <v>30052</v>
      </c>
      <c r="M2551" s="1" t="s">
        <v>26488</v>
      </c>
      <c r="N2551" s="1" t="s">
        <v>26489</v>
      </c>
    </row>
    <row r="2552">
      <c r="A2552" s="1" t="s">
        <v>120</v>
      </c>
      <c r="B2552" s="1">
        <v>2014.0</v>
      </c>
      <c r="C2552" s="1" t="s">
        <v>26491</v>
      </c>
      <c r="D2552" s="1" t="s">
        <v>26492</v>
      </c>
      <c r="E2552" s="2" t="s">
        <v>26493</v>
      </c>
      <c r="F2552" s="1">
        <v>1883.0</v>
      </c>
      <c r="G2552" s="1">
        <v>1892.0</v>
      </c>
      <c r="H2552" s="1" t="s">
        <v>17059</v>
      </c>
      <c r="I2552" s="1" t="s">
        <v>26494</v>
      </c>
      <c r="J2552" s="1" t="s">
        <v>26495</v>
      </c>
      <c r="K2552" s="1"/>
      <c r="L2552" s="1" t="s">
        <v>29864</v>
      </c>
      <c r="M2552" s="1" t="s">
        <v>26498</v>
      </c>
      <c r="N2552" s="1" t="s">
        <v>26499</v>
      </c>
    </row>
    <row r="2553">
      <c r="A2553" s="1" t="s">
        <v>120</v>
      </c>
      <c r="B2553" s="1">
        <v>2014.0</v>
      </c>
      <c r="C2553" s="1" t="s">
        <v>26500</v>
      </c>
      <c r="D2553" s="1" t="s">
        <v>26501</v>
      </c>
      <c r="E2553" s="2" t="s">
        <v>26502</v>
      </c>
      <c r="F2553" s="1">
        <v>1903.0</v>
      </c>
      <c r="G2553" s="1">
        <v>1912.0</v>
      </c>
      <c r="H2553" s="1" t="s">
        <v>17059</v>
      </c>
      <c r="I2553" s="1" t="s">
        <v>26505</v>
      </c>
      <c r="J2553" s="1" t="s">
        <v>30879</v>
      </c>
      <c r="K2553" s="1"/>
      <c r="L2553" s="1" t="s">
        <v>29895</v>
      </c>
      <c r="M2553" s="1" t="s">
        <v>26509</v>
      </c>
      <c r="N2553" s="1" t="s">
        <v>26510</v>
      </c>
    </row>
    <row r="2554">
      <c r="A2554" s="1" t="s">
        <v>120</v>
      </c>
      <c r="B2554" s="1">
        <v>2014.0</v>
      </c>
      <c r="C2554" s="1" t="s">
        <v>26511</v>
      </c>
      <c r="D2554" s="1" t="s">
        <v>26512</v>
      </c>
      <c r="E2554" s="2" t="s">
        <v>26513</v>
      </c>
      <c r="F2554" s="1">
        <v>1913.0</v>
      </c>
      <c r="G2554" s="1">
        <v>1922.0</v>
      </c>
      <c r="H2554" s="1" t="s">
        <v>17059</v>
      </c>
      <c r="I2554" s="1" t="s">
        <v>29990</v>
      </c>
      <c r="J2554" s="1" t="s">
        <v>30884</v>
      </c>
      <c r="K2554" s="1"/>
      <c r="L2554" s="1" t="s">
        <v>29992</v>
      </c>
      <c r="M2554" s="1" t="s">
        <v>26519</v>
      </c>
      <c r="N2554" s="1" t="s">
        <v>26520</v>
      </c>
    </row>
    <row r="2555">
      <c r="A2555" s="1" t="s">
        <v>120</v>
      </c>
      <c r="B2555" s="1">
        <v>2014.0</v>
      </c>
      <c r="C2555" s="1" t="s">
        <v>26521</v>
      </c>
      <c r="D2555" s="1" t="s">
        <v>26523</v>
      </c>
      <c r="E2555" s="2" t="s">
        <v>26524</v>
      </c>
      <c r="F2555" s="1">
        <v>1923.0</v>
      </c>
      <c r="G2555" s="1">
        <v>1932.0</v>
      </c>
      <c r="H2555" s="1" t="s">
        <v>17059</v>
      </c>
      <c r="I2555" s="1" t="s">
        <v>26525</v>
      </c>
      <c r="J2555" s="1" t="s">
        <v>31086</v>
      </c>
      <c r="K2555" s="1"/>
      <c r="L2555" s="1" t="s">
        <v>30089</v>
      </c>
      <c r="M2555" s="1" t="s">
        <v>26529</v>
      </c>
      <c r="N2555" s="1" t="s">
        <v>26530</v>
      </c>
    </row>
    <row r="2556">
      <c r="A2556" s="1" t="s">
        <v>120</v>
      </c>
      <c r="B2556" s="1">
        <v>2014.0</v>
      </c>
      <c r="C2556" s="1" t="s">
        <v>26531</v>
      </c>
      <c r="D2556" s="1" t="s">
        <v>26532</v>
      </c>
      <c r="E2556" s="2" t="s">
        <v>26534</v>
      </c>
      <c r="F2556" s="1">
        <v>1833.0</v>
      </c>
      <c r="G2556" s="1">
        <v>1842.0</v>
      </c>
      <c r="H2556" s="1" t="s">
        <v>17059</v>
      </c>
      <c r="I2556" s="1" t="s">
        <v>26536</v>
      </c>
      <c r="J2556" s="1" t="s">
        <v>31093</v>
      </c>
      <c r="K2556" s="1"/>
      <c r="L2556" s="1" t="s">
        <v>30098</v>
      </c>
      <c r="M2556" s="1" t="s">
        <v>26539</v>
      </c>
      <c r="N2556" s="1" t="s">
        <v>26540</v>
      </c>
    </row>
    <row r="2557">
      <c r="A2557" s="1" t="s">
        <v>120</v>
      </c>
      <c r="B2557" s="1">
        <v>2014.0</v>
      </c>
      <c r="C2557" s="1" t="s">
        <v>26541</v>
      </c>
      <c r="D2557" s="1" t="s">
        <v>26542</v>
      </c>
      <c r="E2557" s="2" t="s">
        <v>26543</v>
      </c>
      <c r="F2557" s="1">
        <v>1843.0</v>
      </c>
      <c r="G2557" s="1">
        <v>1852.0</v>
      </c>
      <c r="H2557" s="1" t="s">
        <v>17059</v>
      </c>
      <c r="I2557" s="1" t="s">
        <v>26547</v>
      </c>
      <c r="J2557" s="1" t="s">
        <v>26548</v>
      </c>
      <c r="K2557" s="1"/>
      <c r="L2557" s="1" t="s">
        <v>30048</v>
      </c>
      <c r="M2557" s="1" t="s">
        <v>26551</v>
      </c>
      <c r="N2557" s="1" t="s">
        <v>26552</v>
      </c>
    </row>
    <row r="2558">
      <c r="A2558" s="1" t="s">
        <v>120</v>
      </c>
      <c r="B2558" s="1">
        <v>2014.0</v>
      </c>
      <c r="C2558" s="1" t="s">
        <v>26553</v>
      </c>
      <c r="D2558" s="1" t="s">
        <v>26554</v>
      </c>
      <c r="E2558" s="2" t="s">
        <v>26555</v>
      </c>
      <c r="F2558" s="1">
        <v>1853.0</v>
      </c>
      <c r="G2558" s="1">
        <v>1862.0</v>
      </c>
      <c r="H2558" s="1" t="s">
        <v>17059</v>
      </c>
      <c r="I2558" s="1" t="s">
        <v>26557</v>
      </c>
      <c r="J2558" s="1" t="s">
        <v>26558</v>
      </c>
      <c r="K2558" s="1"/>
      <c r="L2558" s="1" t="s">
        <v>30014</v>
      </c>
      <c r="M2558" s="1" t="s">
        <v>26562</v>
      </c>
      <c r="N2558" s="1" t="s">
        <v>26563</v>
      </c>
    </row>
    <row r="2559">
      <c r="A2559" s="1" t="s">
        <v>120</v>
      </c>
      <c r="B2559" s="1">
        <v>2014.0</v>
      </c>
      <c r="C2559" s="1" t="s">
        <v>26564</v>
      </c>
      <c r="D2559" s="1" t="s">
        <v>26565</v>
      </c>
      <c r="E2559" s="2" t="s">
        <v>26566</v>
      </c>
      <c r="F2559" s="1">
        <v>1733.0</v>
      </c>
      <c r="G2559" s="1">
        <v>1742.0</v>
      </c>
      <c r="H2559" s="1" t="s">
        <v>17059</v>
      </c>
      <c r="I2559" s="1" t="s">
        <v>26567</v>
      </c>
      <c r="J2559" s="1" t="s">
        <v>26568</v>
      </c>
      <c r="K2559" s="1"/>
      <c r="L2559" s="1" t="s">
        <v>22137</v>
      </c>
      <c r="M2559" s="1" t="s">
        <v>26572</v>
      </c>
      <c r="N2559" s="1" t="s">
        <v>26573</v>
      </c>
      <c r="P2559" s="1"/>
      <c r="Q2559" s="1" t="s">
        <v>19037</v>
      </c>
    </row>
    <row r="2560">
      <c r="A2560" s="1" t="s">
        <v>120</v>
      </c>
      <c r="B2560" s="1">
        <v>2014.0</v>
      </c>
      <c r="C2560" s="1" t="s">
        <v>26574</v>
      </c>
      <c r="D2560" s="1" t="s">
        <v>26575</v>
      </c>
      <c r="E2560" s="2" t="s">
        <v>26577</v>
      </c>
      <c r="F2560" s="1">
        <v>1743.0</v>
      </c>
      <c r="G2560" s="1">
        <v>1752.0</v>
      </c>
      <c r="H2560" s="1" t="s">
        <v>17059</v>
      </c>
      <c r="I2560" s="1" t="s">
        <v>26578</v>
      </c>
      <c r="J2560" s="1" t="s">
        <v>26579</v>
      </c>
      <c r="K2560" s="1"/>
      <c r="L2560" s="1" t="s">
        <v>30007</v>
      </c>
      <c r="M2560" s="1" t="s">
        <v>26582</v>
      </c>
      <c r="N2560" s="1" t="s">
        <v>26583</v>
      </c>
    </row>
    <row r="2561">
      <c r="A2561" s="1" t="s">
        <v>120</v>
      </c>
      <c r="B2561" s="1">
        <v>2014.0</v>
      </c>
      <c r="C2561" s="1" t="s">
        <v>26584</v>
      </c>
      <c r="D2561" s="1" t="s">
        <v>26586</v>
      </c>
      <c r="E2561" s="2" t="s">
        <v>26587</v>
      </c>
      <c r="F2561" s="1">
        <v>1753.0</v>
      </c>
      <c r="G2561" s="1">
        <v>1762.0</v>
      </c>
      <c r="H2561" s="1" t="s">
        <v>17059</v>
      </c>
      <c r="I2561" s="1" t="s">
        <v>31146</v>
      </c>
      <c r="J2561" s="1" t="s">
        <v>26590</v>
      </c>
      <c r="K2561" s="1"/>
      <c r="L2561" s="1" t="s">
        <v>860</v>
      </c>
      <c r="M2561" s="1" t="s">
        <v>26592</v>
      </c>
      <c r="N2561" s="1" t="s">
        <v>26593</v>
      </c>
    </row>
    <row r="2562">
      <c r="A2562" s="1" t="s">
        <v>120</v>
      </c>
      <c r="B2562" s="1">
        <v>2014.0</v>
      </c>
      <c r="C2562" s="1" t="s">
        <v>26594</v>
      </c>
      <c r="D2562" s="1" t="s">
        <v>26595</v>
      </c>
      <c r="E2562" s="2" t="s">
        <v>26596</v>
      </c>
      <c r="F2562" s="1">
        <v>1763.0</v>
      </c>
      <c r="G2562" s="1">
        <v>1772.0</v>
      </c>
      <c r="H2562" s="1" t="s">
        <v>17059</v>
      </c>
      <c r="I2562" s="1" t="s">
        <v>26599</v>
      </c>
      <c r="J2562" s="1" t="s">
        <v>26601</v>
      </c>
      <c r="K2562" s="1"/>
      <c r="L2562" s="1" t="s">
        <v>29946</v>
      </c>
      <c r="M2562" s="1" t="s">
        <v>26603</v>
      </c>
      <c r="N2562" s="1" t="s">
        <v>26604</v>
      </c>
    </row>
    <row r="2563">
      <c r="A2563" s="1" t="s">
        <v>120</v>
      </c>
      <c r="B2563" s="1">
        <v>2014.0</v>
      </c>
      <c r="C2563" s="1" t="s">
        <v>26605</v>
      </c>
      <c r="D2563" s="1" t="s">
        <v>26606</v>
      </c>
      <c r="E2563" s="2" t="s">
        <v>26607</v>
      </c>
      <c r="F2563" s="1">
        <v>1773.0</v>
      </c>
      <c r="G2563" s="1">
        <v>1782.0</v>
      </c>
      <c r="H2563" s="1" t="s">
        <v>17059</v>
      </c>
      <c r="I2563" s="1" t="s">
        <v>26608</v>
      </c>
      <c r="J2563" s="1" t="s">
        <v>26609</v>
      </c>
      <c r="K2563" s="1"/>
      <c r="L2563" s="1" t="s">
        <v>29838</v>
      </c>
      <c r="M2563" s="1" t="s">
        <v>26611</v>
      </c>
      <c r="N2563" s="1" t="s">
        <v>26612</v>
      </c>
      <c r="P2563" s="1"/>
      <c r="Q2563" s="1" t="s">
        <v>19037</v>
      </c>
    </row>
    <row r="2564">
      <c r="A2564" s="1" t="s">
        <v>120</v>
      </c>
      <c r="B2564" s="1">
        <v>2014.0</v>
      </c>
      <c r="C2564" s="1" t="s">
        <v>26614</v>
      </c>
      <c r="D2564" s="1" t="s">
        <v>26615</v>
      </c>
      <c r="E2564" s="2" t="s">
        <v>26616</v>
      </c>
      <c r="F2564" s="1">
        <v>1863.0</v>
      </c>
      <c r="G2564" s="1">
        <v>1872.0</v>
      </c>
      <c r="H2564" s="1" t="s">
        <v>17059</v>
      </c>
      <c r="I2564" s="1" t="s">
        <v>26618</v>
      </c>
      <c r="J2564" s="1" t="s">
        <v>26619</v>
      </c>
      <c r="K2564" s="1"/>
      <c r="L2564" s="1" t="s">
        <v>12225</v>
      </c>
      <c r="M2564" s="1" t="s">
        <v>26621</v>
      </c>
      <c r="N2564" s="1" t="s">
        <v>26622</v>
      </c>
    </row>
    <row r="2565">
      <c r="A2565" s="1" t="s">
        <v>120</v>
      </c>
      <c r="B2565" s="1">
        <v>2014.0</v>
      </c>
      <c r="C2565" s="1" t="s">
        <v>26623</v>
      </c>
      <c r="D2565" s="1" t="s">
        <v>26624</v>
      </c>
      <c r="E2565" s="2" t="s">
        <v>26625</v>
      </c>
      <c r="F2565" s="1">
        <v>1873.0</v>
      </c>
      <c r="G2565" s="1">
        <v>1882.0</v>
      </c>
      <c r="H2565" s="1" t="s">
        <v>17059</v>
      </c>
      <c r="I2565" s="1" t="s">
        <v>26627</v>
      </c>
      <c r="J2565" s="1" t="s">
        <v>31166</v>
      </c>
      <c r="K2565" s="1"/>
      <c r="L2565" s="1" t="s">
        <v>26249</v>
      </c>
      <c r="M2565" s="1" t="s">
        <v>26631</v>
      </c>
      <c r="N2565" s="1" t="s">
        <v>26632</v>
      </c>
    </row>
    <row r="2566">
      <c r="A2566" s="1" t="s">
        <v>2137</v>
      </c>
      <c r="B2566" s="1">
        <v>2014.0</v>
      </c>
      <c r="C2566" s="1" t="s">
        <v>25923</v>
      </c>
      <c r="D2566" s="1" t="s">
        <v>25924</v>
      </c>
      <c r="E2566" s="2" t="s">
        <v>25925</v>
      </c>
      <c r="F2566" s="1">
        <v>1933.0</v>
      </c>
      <c r="G2566" s="1">
        <v>1942.0</v>
      </c>
      <c r="H2566" s="1" t="s">
        <v>17059</v>
      </c>
      <c r="I2566" s="1" t="s">
        <v>25927</v>
      </c>
      <c r="J2566" s="1" t="s">
        <v>31172</v>
      </c>
      <c r="K2566" s="1"/>
      <c r="L2566" s="1" t="s">
        <v>29570</v>
      </c>
      <c r="M2566" s="1" t="s">
        <v>25931</v>
      </c>
      <c r="N2566" s="1" t="s">
        <v>25932</v>
      </c>
    </row>
    <row r="2567">
      <c r="A2567" s="1" t="s">
        <v>2137</v>
      </c>
      <c r="B2567" s="1">
        <v>2014.0</v>
      </c>
      <c r="C2567" s="1" t="s">
        <v>25933</v>
      </c>
      <c r="D2567" s="1" t="s">
        <v>25934</v>
      </c>
      <c r="E2567" s="2" t="s">
        <v>25935</v>
      </c>
      <c r="F2567" s="1">
        <v>1943.0</v>
      </c>
      <c r="G2567" s="1">
        <v>1952.0</v>
      </c>
      <c r="H2567" s="1" t="s">
        <v>17059</v>
      </c>
      <c r="I2567" s="1" t="s">
        <v>25937</v>
      </c>
      <c r="J2567" s="1" t="s">
        <v>25938</v>
      </c>
      <c r="K2567" s="1"/>
      <c r="L2567" s="1" t="s">
        <v>29608</v>
      </c>
      <c r="M2567" s="1" t="s">
        <v>25940</v>
      </c>
      <c r="N2567" s="1" t="s">
        <v>25941</v>
      </c>
    </row>
    <row r="2568">
      <c r="A2568" s="1" t="s">
        <v>2137</v>
      </c>
      <c r="B2568" s="1">
        <v>2014.0</v>
      </c>
      <c r="C2568" s="1" t="s">
        <v>25942</v>
      </c>
      <c r="D2568" s="1" t="s">
        <v>25943</v>
      </c>
      <c r="E2568" s="2" t="s">
        <v>25944</v>
      </c>
      <c r="F2568" s="1">
        <v>1953.0</v>
      </c>
      <c r="G2568" s="1">
        <v>1962.0</v>
      </c>
      <c r="H2568" s="1" t="s">
        <v>17059</v>
      </c>
      <c r="I2568" s="1" t="s">
        <v>31185</v>
      </c>
      <c r="J2568" s="1" t="s">
        <v>25948</v>
      </c>
      <c r="K2568" s="1"/>
      <c r="L2568" s="1" t="s">
        <v>27846</v>
      </c>
      <c r="M2568" s="1" t="s">
        <v>25951</v>
      </c>
      <c r="N2568" s="1" t="s">
        <v>25952</v>
      </c>
    </row>
    <row r="2569">
      <c r="A2569" s="1" t="s">
        <v>2137</v>
      </c>
      <c r="B2569" s="1">
        <v>2014.0</v>
      </c>
      <c r="C2569" s="1" t="s">
        <v>25953</v>
      </c>
      <c r="D2569" s="1" t="s">
        <v>25954</v>
      </c>
      <c r="E2569" s="2" t="s">
        <v>25955</v>
      </c>
      <c r="F2569" s="1">
        <v>1963.0</v>
      </c>
      <c r="G2569" s="1">
        <v>1972.0</v>
      </c>
      <c r="H2569" s="1" t="s">
        <v>17059</v>
      </c>
      <c r="I2569" s="1" t="s">
        <v>25956</v>
      </c>
      <c r="J2569" s="1" t="s">
        <v>25957</v>
      </c>
      <c r="K2569" s="1"/>
      <c r="L2569" s="1" t="s">
        <v>29528</v>
      </c>
      <c r="M2569" s="1" t="s">
        <v>22365</v>
      </c>
      <c r="N2569" s="1" t="s">
        <v>25960</v>
      </c>
    </row>
    <row r="2570">
      <c r="A2570" s="1" t="s">
        <v>2137</v>
      </c>
      <c r="B2570" s="1">
        <v>2014.0</v>
      </c>
      <c r="C2570" s="1" t="s">
        <v>25962</v>
      </c>
      <c r="D2570" s="1" t="s">
        <v>25963</v>
      </c>
      <c r="E2570" s="2" t="s">
        <v>25964</v>
      </c>
      <c r="F2570" s="1">
        <v>1973.0</v>
      </c>
      <c r="G2570" s="1">
        <v>1982.0</v>
      </c>
      <c r="H2570" s="1" t="s">
        <v>17059</v>
      </c>
      <c r="I2570" s="1" t="s">
        <v>25966</v>
      </c>
      <c r="J2570" s="1" t="s">
        <v>22464</v>
      </c>
      <c r="K2570" s="1"/>
      <c r="L2570" s="1" t="s">
        <v>4242</v>
      </c>
      <c r="M2570" s="1" t="s">
        <v>25967</v>
      </c>
      <c r="N2570" s="1" t="s">
        <v>25968</v>
      </c>
    </row>
    <row r="2571">
      <c r="A2571" s="1" t="s">
        <v>4153</v>
      </c>
      <c r="B2571" s="1">
        <v>2014.0</v>
      </c>
      <c r="C2571" s="1" t="s">
        <v>26300</v>
      </c>
      <c r="D2571" s="1" t="s">
        <v>26301</v>
      </c>
      <c r="E2571" s="2" t="s">
        <v>26302</v>
      </c>
      <c r="F2571" s="1">
        <v>2614.0</v>
      </c>
      <c r="G2571" s="1">
        <v>2623.0</v>
      </c>
      <c r="H2571" s="1" t="s">
        <v>17059</v>
      </c>
      <c r="I2571" s="1" t="s">
        <v>26304</v>
      </c>
      <c r="J2571" s="1" t="s">
        <v>1304</v>
      </c>
      <c r="K2571" s="1"/>
      <c r="L2571" s="1" t="s">
        <v>29813</v>
      </c>
      <c r="M2571" s="1"/>
      <c r="N2571" s="1" t="s">
        <v>26305</v>
      </c>
    </row>
    <row r="2572">
      <c r="A2572" s="1" t="s">
        <v>2137</v>
      </c>
      <c r="B2572" s="1">
        <v>2014.0</v>
      </c>
      <c r="C2572" s="1" t="s">
        <v>25969</v>
      </c>
      <c r="D2572" s="1" t="s">
        <v>25970</v>
      </c>
      <c r="E2572" s="2" t="s">
        <v>25971</v>
      </c>
      <c r="F2572" s="1">
        <v>2201.0</v>
      </c>
      <c r="G2572" s="1">
        <v>2210.0</v>
      </c>
      <c r="H2572" s="1" t="s">
        <v>17059</v>
      </c>
      <c r="I2572" s="1" t="s">
        <v>25973</v>
      </c>
      <c r="J2572" s="1" t="s">
        <v>31370</v>
      </c>
      <c r="K2572" s="1"/>
      <c r="L2572" s="1" t="s">
        <v>29531</v>
      </c>
      <c r="M2572" s="1" t="s">
        <v>25976</v>
      </c>
      <c r="N2572" s="1" t="s">
        <v>25977</v>
      </c>
    </row>
    <row r="2573">
      <c r="A2573" s="1" t="s">
        <v>120</v>
      </c>
      <c r="B2573" s="1">
        <v>2014.0</v>
      </c>
      <c r="C2573" s="1" t="s">
        <v>26633</v>
      </c>
      <c r="D2573" s="1" t="s">
        <v>26634</v>
      </c>
      <c r="E2573" s="2" t="s">
        <v>26635</v>
      </c>
      <c r="F2573" s="1">
        <v>3.0</v>
      </c>
      <c r="G2573" s="1">
        <v>12.0</v>
      </c>
      <c r="H2573" s="1" t="s">
        <v>28</v>
      </c>
      <c r="I2573" s="1" t="s">
        <v>26637</v>
      </c>
      <c r="J2573" s="1" t="s">
        <v>31371</v>
      </c>
      <c r="K2573" s="1"/>
      <c r="L2573" s="1" t="s">
        <v>29998</v>
      </c>
      <c r="M2573" s="1" t="s">
        <v>26640</v>
      </c>
      <c r="N2573" s="1" t="s">
        <v>26641</v>
      </c>
    </row>
    <row r="2574">
      <c r="A2574" s="1" t="s">
        <v>120</v>
      </c>
      <c r="B2574" s="1">
        <v>2014.0</v>
      </c>
      <c r="C2574" s="1" t="s">
        <v>26642</v>
      </c>
      <c r="D2574" s="1" t="s">
        <v>26643</v>
      </c>
      <c r="E2574" s="2" t="s">
        <v>26644</v>
      </c>
      <c r="F2574" s="1">
        <v>13.0</v>
      </c>
      <c r="G2574" s="1">
        <v>22.0</v>
      </c>
      <c r="H2574" s="1" t="s">
        <v>28</v>
      </c>
      <c r="I2574" s="1" t="s">
        <v>26648</v>
      </c>
      <c r="J2574" s="1" t="s">
        <v>31387</v>
      </c>
      <c r="K2574" s="1"/>
      <c r="L2574" s="1" t="s">
        <v>29881</v>
      </c>
      <c r="M2574" s="1" t="s">
        <v>26651</v>
      </c>
      <c r="N2574" s="1" t="s">
        <v>26652</v>
      </c>
    </row>
    <row r="2575">
      <c r="A2575" s="1" t="s">
        <v>120</v>
      </c>
      <c r="B2575" s="1">
        <v>2014.0</v>
      </c>
      <c r="C2575" s="1" t="s">
        <v>26653</v>
      </c>
      <c r="D2575" s="1" t="s">
        <v>26654</v>
      </c>
      <c r="E2575" s="2" t="s">
        <v>26655</v>
      </c>
      <c r="F2575" s="1">
        <v>23.0</v>
      </c>
      <c r="G2575" s="1">
        <v>32.0</v>
      </c>
      <c r="H2575" s="1" t="s">
        <v>28</v>
      </c>
      <c r="I2575" s="1" t="s">
        <v>26658</v>
      </c>
      <c r="J2575" s="1" t="s">
        <v>31390</v>
      </c>
      <c r="K2575" s="1"/>
      <c r="L2575" s="1" t="s">
        <v>5349</v>
      </c>
      <c r="M2575" s="1" t="s">
        <v>26662</v>
      </c>
      <c r="N2575" s="1" t="s">
        <v>26663</v>
      </c>
    </row>
    <row r="2576">
      <c r="A2576" s="1" t="s">
        <v>120</v>
      </c>
      <c r="B2576" s="1">
        <v>2014.0</v>
      </c>
      <c r="C2576" s="1" t="s">
        <v>26664</v>
      </c>
      <c r="D2576" s="1" t="s">
        <v>26665</v>
      </c>
      <c r="E2576" s="2" t="s">
        <v>26666</v>
      </c>
      <c r="F2576" s="1">
        <v>33.0</v>
      </c>
      <c r="G2576" s="1">
        <v>42.0</v>
      </c>
      <c r="H2576" s="1" t="s">
        <v>28</v>
      </c>
      <c r="I2576" s="1" t="s">
        <v>26668</v>
      </c>
      <c r="J2576" s="1" t="s">
        <v>26670</v>
      </c>
      <c r="K2576" s="1"/>
      <c r="L2576" s="1" t="s">
        <v>29843</v>
      </c>
      <c r="M2576" s="1" t="s">
        <v>26672</v>
      </c>
      <c r="N2576" s="1" t="s">
        <v>26673</v>
      </c>
    </row>
    <row r="2577">
      <c r="A2577" s="1" t="s">
        <v>120</v>
      </c>
      <c r="B2577" s="1">
        <v>2014.0</v>
      </c>
      <c r="C2577" s="1" t="s">
        <v>26674</v>
      </c>
      <c r="D2577" s="1" t="s">
        <v>26676</v>
      </c>
      <c r="E2577" s="2" t="s">
        <v>26677</v>
      </c>
      <c r="F2577" s="1">
        <v>43.0</v>
      </c>
      <c r="G2577" s="1">
        <v>52.0</v>
      </c>
      <c r="H2577" s="1" t="s">
        <v>28</v>
      </c>
      <c r="I2577" s="1" t="s">
        <v>26678</v>
      </c>
      <c r="J2577" s="1" t="s">
        <v>26679</v>
      </c>
      <c r="K2577" s="1"/>
      <c r="L2577" s="1" t="s">
        <v>29885</v>
      </c>
      <c r="M2577" s="1" t="s">
        <v>26681</v>
      </c>
      <c r="N2577" s="1" t="s">
        <v>26682</v>
      </c>
    </row>
    <row r="2578">
      <c r="A2578" s="1" t="s">
        <v>120</v>
      </c>
      <c r="B2578" s="1">
        <v>2014.0</v>
      </c>
      <c r="C2578" s="1" t="s">
        <v>26684</v>
      </c>
      <c r="D2578" s="1" t="s">
        <v>26685</v>
      </c>
      <c r="E2578" s="2" t="s">
        <v>26686</v>
      </c>
      <c r="F2578" s="1">
        <v>53.0</v>
      </c>
      <c r="G2578" s="1">
        <v>62.0</v>
      </c>
      <c r="H2578" s="1" t="s">
        <v>28</v>
      </c>
      <c r="I2578" s="1" t="s">
        <v>29850</v>
      </c>
      <c r="J2578" s="1" t="s">
        <v>31402</v>
      </c>
      <c r="K2578" s="1"/>
      <c r="L2578" s="1" t="s">
        <v>29852</v>
      </c>
      <c r="M2578" s="1" t="s">
        <v>26691</v>
      </c>
      <c r="N2578" s="1" t="s">
        <v>26692</v>
      </c>
    </row>
    <row r="2579">
      <c r="A2579" s="1" t="s">
        <v>120</v>
      </c>
      <c r="B2579" s="1">
        <v>2014.0</v>
      </c>
      <c r="C2579" s="1" t="s">
        <v>26693</v>
      </c>
      <c r="D2579" s="1" t="s">
        <v>26694</v>
      </c>
      <c r="E2579" s="2" t="s">
        <v>26695</v>
      </c>
      <c r="F2579" s="1">
        <v>63.0</v>
      </c>
      <c r="G2579" s="1">
        <v>72.0</v>
      </c>
      <c r="H2579" s="1" t="s">
        <v>28</v>
      </c>
      <c r="I2579" s="1" t="s">
        <v>26696</v>
      </c>
      <c r="J2579" s="1" t="s">
        <v>26698</v>
      </c>
      <c r="K2579" s="1"/>
      <c r="L2579" s="1" t="s">
        <v>15137</v>
      </c>
      <c r="M2579" s="1" t="s">
        <v>26700</v>
      </c>
      <c r="N2579" s="1" t="s">
        <v>26701</v>
      </c>
    </row>
    <row r="2580">
      <c r="A2580" s="1" t="s">
        <v>120</v>
      </c>
      <c r="B2580" s="1">
        <v>2014.0</v>
      </c>
      <c r="C2580" s="1" t="s">
        <v>26702</v>
      </c>
      <c r="D2580" s="1" t="s">
        <v>26704</v>
      </c>
      <c r="E2580" s="2" t="s">
        <v>26705</v>
      </c>
      <c r="F2580" s="1">
        <v>73.0</v>
      </c>
      <c r="G2580" s="1">
        <v>82.0</v>
      </c>
      <c r="H2580" s="1" t="s">
        <v>28</v>
      </c>
      <c r="I2580" s="1" t="s">
        <v>30103</v>
      </c>
      <c r="J2580" s="1" t="s">
        <v>31482</v>
      </c>
      <c r="K2580" s="1"/>
      <c r="L2580" s="1" t="s">
        <v>30105</v>
      </c>
      <c r="M2580" s="1" t="s">
        <v>26711</v>
      </c>
      <c r="N2580" s="1" t="s">
        <v>26712</v>
      </c>
    </row>
    <row r="2581">
      <c r="A2581" s="1" t="s">
        <v>120</v>
      </c>
      <c r="B2581" s="1">
        <v>2014.0</v>
      </c>
      <c r="C2581" s="1" t="s">
        <v>26713</v>
      </c>
      <c r="D2581" s="1" t="s">
        <v>26714</v>
      </c>
      <c r="E2581" s="2" t="s">
        <v>26715</v>
      </c>
      <c r="F2581" s="1">
        <v>83.0</v>
      </c>
      <c r="G2581" s="1">
        <v>92.0</v>
      </c>
      <c r="H2581" s="1" t="s">
        <v>28</v>
      </c>
      <c r="I2581" s="1" t="s">
        <v>26717</v>
      </c>
      <c r="J2581" s="1" t="s">
        <v>26718</v>
      </c>
      <c r="K2581" s="1"/>
      <c r="L2581" s="1" t="s">
        <v>29855</v>
      </c>
      <c r="M2581" s="1" t="s">
        <v>26721</v>
      </c>
    </row>
    <row r="2582">
      <c r="A2582" s="1" t="s">
        <v>120</v>
      </c>
      <c r="B2582" s="1">
        <v>2014.0</v>
      </c>
      <c r="C2582" s="1" t="s">
        <v>26722</v>
      </c>
      <c r="D2582" s="1" t="s">
        <v>26723</v>
      </c>
      <c r="E2582" s="2" t="s">
        <v>26724</v>
      </c>
      <c r="F2582" s="1">
        <v>93.0</v>
      </c>
      <c r="G2582" s="1">
        <v>102.0</v>
      </c>
      <c r="H2582" s="1" t="s">
        <v>28</v>
      </c>
      <c r="I2582" s="1" t="s">
        <v>26726</v>
      </c>
      <c r="J2582" s="1" t="s">
        <v>26727</v>
      </c>
      <c r="K2582" s="1"/>
      <c r="L2582" s="1" t="s">
        <v>30037</v>
      </c>
      <c r="M2582" s="1" t="s">
        <v>26730</v>
      </c>
      <c r="N2582" s="1" t="s">
        <v>26731</v>
      </c>
    </row>
    <row r="2583">
      <c r="A2583" s="1" t="s">
        <v>120</v>
      </c>
      <c r="B2583" s="1">
        <v>2014.0</v>
      </c>
      <c r="C2583" s="1" t="s">
        <v>26732</v>
      </c>
      <c r="D2583" s="1" t="s">
        <v>26733</v>
      </c>
      <c r="E2583" s="2" t="s">
        <v>26734</v>
      </c>
      <c r="F2583" s="1">
        <v>103.0</v>
      </c>
      <c r="G2583" s="1">
        <v>112.0</v>
      </c>
      <c r="H2583" s="1" t="s">
        <v>28</v>
      </c>
      <c r="I2583" s="1" t="s">
        <v>29845</v>
      </c>
      <c r="J2583" s="1" t="s">
        <v>26738</v>
      </c>
      <c r="K2583" s="1"/>
      <c r="L2583" s="1" t="s">
        <v>29846</v>
      </c>
      <c r="M2583" s="1" t="s">
        <v>26741</v>
      </c>
      <c r="N2583" s="1" t="s">
        <v>26742</v>
      </c>
    </row>
    <row r="2584">
      <c r="A2584" s="1" t="s">
        <v>120</v>
      </c>
      <c r="B2584" s="1">
        <v>2014.0</v>
      </c>
      <c r="C2584" s="1" t="s">
        <v>26743</v>
      </c>
      <c r="D2584" s="1" t="s">
        <v>26744</v>
      </c>
      <c r="E2584" s="2" t="s">
        <v>26745</v>
      </c>
      <c r="F2584" s="1">
        <v>113.0</v>
      </c>
      <c r="G2584" s="1">
        <v>122.0</v>
      </c>
      <c r="H2584" s="1" t="s">
        <v>28</v>
      </c>
      <c r="I2584" s="1" t="s">
        <v>26746</v>
      </c>
      <c r="J2584" s="1" t="s">
        <v>26747</v>
      </c>
      <c r="K2584" s="1"/>
      <c r="L2584" s="1" t="s">
        <v>30004</v>
      </c>
      <c r="M2584" s="1" t="s">
        <v>26749</v>
      </c>
      <c r="N2584" s="1" t="s">
        <v>26750</v>
      </c>
    </row>
    <row r="2585">
      <c r="A2585" s="1" t="s">
        <v>120</v>
      </c>
      <c r="B2585" s="1">
        <v>2014.0</v>
      </c>
      <c r="C2585" s="1" t="s">
        <v>26752</v>
      </c>
      <c r="D2585" s="1" t="s">
        <v>26753</v>
      </c>
      <c r="E2585" s="2" t="s">
        <v>26754</v>
      </c>
      <c r="F2585" s="1">
        <v>123.0</v>
      </c>
      <c r="G2585" s="1">
        <v>132.0</v>
      </c>
      <c r="H2585" s="1" t="s">
        <v>28</v>
      </c>
      <c r="I2585" s="1" t="s">
        <v>29897</v>
      </c>
      <c r="J2585" s="1" t="s">
        <v>31593</v>
      </c>
      <c r="K2585" s="1"/>
      <c r="L2585" s="1" t="s">
        <v>29899</v>
      </c>
      <c r="M2585" s="1" t="s">
        <v>26759</v>
      </c>
      <c r="N2585" s="1" t="s">
        <v>26761</v>
      </c>
    </row>
    <row r="2586">
      <c r="A2586" s="1" t="s">
        <v>120</v>
      </c>
      <c r="B2586" s="1">
        <v>2014.0</v>
      </c>
      <c r="C2586" s="1" t="s">
        <v>26762</v>
      </c>
      <c r="D2586" s="1" t="s">
        <v>26763</v>
      </c>
      <c r="E2586" s="2" t="s">
        <v>26765</v>
      </c>
      <c r="F2586" s="1">
        <v>133.0</v>
      </c>
      <c r="G2586" s="1">
        <v>142.0</v>
      </c>
      <c r="H2586" s="1" t="s">
        <v>28</v>
      </c>
      <c r="I2586" s="1" t="s">
        <v>26766</v>
      </c>
      <c r="J2586" s="1" t="s">
        <v>26767</v>
      </c>
      <c r="K2586" s="1"/>
      <c r="L2586" s="1" t="s">
        <v>30024</v>
      </c>
      <c r="M2586" s="1" t="s">
        <v>26769</v>
      </c>
      <c r="N2586" s="1" t="s">
        <v>26770</v>
      </c>
    </row>
    <row r="2587">
      <c r="A2587" s="1" t="s">
        <v>120</v>
      </c>
      <c r="B2587" s="1">
        <v>2014.0</v>
      </c>
      <c r="C2587" s="1" t="s">
        <v>26771</v>
      </c>
      <c r="D2587" s="1" t="s">
        <v>26773</v>
      </c>
      <c r="E2587" s="2" t="s">
        <v>26774</v>
      </c>
      <c r="F2587" s="1">
        <v>143.0</v>
      </c>
      <c r="G2587" s="1">
        <v>152.0</v>
      </c>
      <c r="H2587" s="1" t="s">
        <v>28</v>
      </c>
      <c r="I2587" s="1" t="s">
        <v>26776</v>
      </c>
      <c r="J2587" s="1" t="s">
        <v>31602</v>
      </c>
      <c r="K2587" s="1"/>
      <c r="L2587" s="1" t="s">
        <v>26881</v>
      </c>
      <c r="M2587" s="1" t="s">
        <v>26780</v>
      </c>
      <c r="N2587" s="1" t="s">
        <v>26781</v>
      </c>
    </row>
    <row r="2588">
      <c r="A2588" s="1" t="s">
        <v>120</v>
      </c>
      <c r="B2588" s="1">
        <v>2014.0</v>
      </c>
      <c r="C2588" s="1" t="s">
        <v>26782</v>
      </c>
      <c r="D2588" s="1" t="s">
        <v>26783</v>
      </c>
      <c r="E2588" s="2" t="s">
        <v>26784</v>
      </c>
      <c r="F2588" s="1">
        <v>153.0</v>
      </c>
      <c r="G2588" s="1">
        <v>162.0</v>
      </c>
      <c r="H2588" s="1" t="s">
        <v>28</v>
      </c>
      <c r="I2588" s="1" t="s">
        <v>26788</v>
      </c>
      <c r="J2588" s="1" t="s">
        <v>31603</v>
      </c>
      <c r="K2588" s="1"/>
      <c r="L2588" s="1" t="s">
        <v>28547</v>
      </c>
      <c r="M2588" s="1" t="s">
        <v>26791</v>
      </c>
      <c r="N2588" s="1" t="s">
        <v>26792</v>
      </c>
    </row>
    <row r="2589">
      <c r="A2589" s="1" t="s">
        <v>120</v>
      </c>
      <c r="B2589" s="1">
        <v>2014.0</v>
      </c>
      <c r="C2589" s="1" t="s">
        <v>26793</v>
      </c>
      <c r="D2589" s="1" t="s">
        <v>26794</v>
      </c>
      <c r="E2589" s="2" t="s">
        <v>26795</v>
      </c>
      <c r="F2589" s="1">
        <v>163.0</v>
      </c>
      <c r="G2589" s="1">
        <v>172.0</v>
      </c>
      <c r="H2589" s="1" t="s">
        <v>28</v>
      </c>
      <c r="I2589" s="1" t="s">
        <v>26799</v>
      </c>
      <c r="J2589" s="1" t="s">
        <v>26800</v>
      </c>
      <c r="K2589" s="1"/>
      <c r="L2589" s="1" t="s">
        <v>5349</v>
      </c>
      <c r="M2589" s="1" t="s">
        <v>26802</v>
      </c>
      <c r="N2589" s="1" t="s">
        <v>26803</v>
      </c>
    </row>
    <row r="2590">
      <c r="A2590" s="1" t="s">
        <v>120</v>
      </c>
      <c r="B2590" s="1">
        <v>2014.0</v>
      </c>
      <c r="C2590" s="1" t="s">
        <v>26804</v>
      </c>
      <c r="D2590" s="1" t="s">
        <v>26805</v>
      </c>
      <c r="E2590" s="2" t="s">
        <v>26806</v>
      </c>
      <c r="F2590" s="1">
        <v>173.0</v>
      </c>
      <c r="G2590" s="1">
        <v>182.0</v>
      </c>
      <c r="H2590" s="1" t="s">
        <v>28</v>
      </c>
      <c r="I2590" s="1" t="s">
        <v>26807</v>
      </c>
      <c r="J2590" s="1" t="s">
        <v>26808</v>
      </c>
      <c r="K2590" s="1"/>
      <c r="L2590" s="1" t="s">
        <v>29984</v>
      </c>
      <c r="M2590" s="1" t="s">
        <v>26812</v>
      </c>
      <c r="N2590" s="1" t="s">
        <v>26813</v>
      </c>
    </row>
    <row r="2591">
      <c r="A2591" s="1" t="s">
        <v>120</v>
      </c>
      <c r="B2591" s="1">
        <v>2014.0</v>
      </c>
      <c r="C2591" s="1" t="s">
        <v>26814</v>
      </c>
      <c r="D2591" s="1" t="s">
        <v>26815</v>
      </c>
      <c r="E2591" s="2" t="s">
        <v>26816</v>
      </c>
      <c r="F2591" s="1">
        <v>183.0</v>
      </c>
      <c r="G2591" s="1">
        <v>192.0</v>
      </c>
      <c r="H2591" s="1" t="s">
        <v>28</v>
      </c>
      <c r="I2591" s="1" t="s">
        <v>26817</v>
      </c>
      <c r="J2591" s="1" t="s">
        <v>26818</v>
      </c>
      <c r="K2591" s="1"/>
      <c r="L2591" s="1" t="s">
        <v>880</v>
      </c>
      <c r="M2591" s="1" t="s">
        <v>26822</v>
      </c>
      <c r="N2591" s="1" t="s">
        <v>26823</v>
      </c>
    </row>
    <row r="2592">
      <c r="A2592" s="1" t="s">
        <v>120</v>
      </c>
      <c r="B2592" s="1">
        <v>2014.0</v>
      </c>
      <c r="C2592" s="1" t="s">
        <v>26825</v>
      </c>
      <c r="D2592" s="1" t="s">
        <v>26826</v>
      </c>
      <c r="E2592" s="2" t="s">
        <v>26827</v>
      </c>
      <c r="F2592" s="1">
        <v>193.0</v>
      </c>
      <c r="G2592" s="1">
        <v>202.0</v>
      </c>
      <c r="H2592" s="1" t="s">
        <v>28</v>
      </c>
      <c r="I2592" s="1" t="s">
        <v>26828</v>
      </c>
      <c r="J2592" s="1" t="s">
        <v>31606</v>
      </c>
      <c r="K2592" s="1"/>
      <c r="L2592" s="1" t="s">
        <v>29904</v>
      </c>
      <c r="M2592" s="1" t="s">
        <v>26832</v>
      </c>
      <c r="N2592" s="1" t="s">
        <v>26833</v>
      </c>
    </row>
    <row r="2593">
      <c r="A2593" s="1" t="s">
        <v>120</v>
      </c>
      <c r="B2593" s="1">
        <v>2014.0</v>
      </c>
      <c r="C2593" s="1" t="s">
        <v>26834</v>
      </c>
      <c r="D2593" s="1" t="s">
        <v>26835</v>
      </c>
      <c r="E2593" s="2" t="s">
        <v>26836</v>
      </c>
      <c r="F2593" s="1">
        <v>203.0</v>
      </c>
      <c r="G2593" s="1">
        <v>212.0</v>
      </c>
      <c r="H2593" s="1" t="s">
        <v>28</v>
      </c>
      <c r="I2593" s="1" t="s">
        <v>26839</v>
      </c>
      <c r="J2593" s="1" t="s">
        <v>26840</v>
      </c>
      <c r="K2593" s="1"/>
      <c r="L2593" s="1" t="s">
        <v>5349</v>
      </c>
      <c r="M2593" s="1" t="s">
        <v>26843</v>
      </c>
      <c r="N2593" s="1" t="s">
        <v>26844</v>
      </c>
    </row>
    <row r="2594">
      <c r="A2594" s="1" t="s">
        <v>4153</v>
      </c>
      <c r="B2594" s="1">
        <v>2015.0</v>
      </c>
      <c r="C2594" s="1" t="s">
        <v>27298</v>
      </c>
      <c r="D2594" s="1" t="s">
        <v>27299</v>
      </c>
      <c r="E2594" s="2" t="s">
        <v>27301</v>
      </c>
      <c r="F2594" s="1">
        <v>1.0</v>
      </c>
      <c r="G2594" s="1">
        <v>8.0</v>
      </c>
      <c r="H2594" s="1" t="s">
        <v>28</v>
      </c>
      <c r="I2594" s="1" t="s">
        <v>27304</v>
      </c>
      <c r="J2594" s="1" t="s">
        <v>27305</v>
      </c>
      <c r="K2594" s="1"/>
      <c r="L2594" s="1" t="s">
        <v>28594</v>
      </c>
      <c r="M2594" s="1" t="s">
        <v>27307</v>
      </c>
      <c r="N2594" s="1" t="s">
        <v>27308</v>
      </c>
    </row>
    <row r="2595">
      <c r="A2595" s="1" t="s">
        <v>4153</v>
      </c>
      <c r="B2595" s="1">
        <v>2015.0</v>
      </c>
      <c r="C2595" s="1" t="s">
        <v>27309</v>
      </c>
      <c r="D2595" s="1" t="s">
        <v>27310</v>
      </c>
      <c r="E2595" s="2" t="s">
        <v>27311</v>
      </c>
      <c r="F2595" s="1">
        <v>9.0</v>
      </c>
      <c r="G2595" s="1">
        <v>16.0</v>
      </c>
      <c r="H2595" s="1" t="s">
        <v>28</v>
      </c>
      <c r="I2595" s="1" t="s">
        <v>27314</v>
      </c>
      <c r="J2595" s="1" t="s">
        <v>31621</v>
      </c>
      <c r="K2595" s="1"/>
      <c r="L2595" s="1" t="s">
        <v>29050</v>
      </c>
      <c r="M2595" s="1" t="s">
        <v>27318</v>
      </c>
      <c r="N2595" s="1" t="s">
        <v>27319</v>
      </c>
    </row>
    <row r="2596">
      <c r="A2596" s="1" t="s">
        <v>4153</v>
      </c>
      <c r="B2596" s="1">
        <v>2015.0</v>
      </c>
      <c r="C2596" s="1" t="s">
        <v>27320</v>
      </c>
      <c r="D2596" s="1" t="s">
        <v>27321</v>
      </c>
      <c r="E2596" s="2" t="s">
        <v>27322</v>
      </c>
      <c r="F2596" s="1">
        <v>17.0</v>
      </c>
      <c r="G2596" s="1">
        <v>24.0</v>
      </c>
      <c r="H2596" s="1" t="s">
        <v>28</v>
      </c>
      <c r="I2596" s="1" t="s">
        <v>27324</v>
      </c>
      <c r="J2596" s="1" t="s">
        <v>27325</v>
      </c>
      <c r="K2596" s="1"/>
      <c r="L2596" s="1" t="s">
        <v>29061</v>
      </c>
      <c r="M2596" s="1" t="s">
        <v>27327</v>
      </c>
      <c r="N2596" s="1" t="s">
        <v>27328</v>
      </c>
    </row>
    <row r="2597">
      <c r="A2597" s="1" t="s">
        <v>4153</v>
      </c>
      <c r="B2597" s="1">
        <v>2015.0</v>
      </c>
      <c r="C2597" s="1" t="s">
        <v>27329</v>
      </c>
      <c r="D2597" s="1" t="s">
        <v>27330</v>
      </c>
      <c r="E2597" s="2" t="s">
        <v>27331</v>
      </c>
      <c r="F2597" s="1">
        <v>25.0</v>
      </c>
      <c r="G2597" s="1">
        <v>32.0</v>
      </c>
      <c r="H2597" s="1" t="s">
        <v>28</v>
      </c>
      <c r="I2597" s="1" t="s">
        <v>27332</v>
      </c>
      <c r="J2597" s="1" t="s">
        <v>27333</v>
      </c>
      <c r="K2597" s="1"/>
      <c r="L2597" s="1" t="s">
        <v>28610</v>
      </c>
      <c r="M2597" s="1" t="s">
        <v>27336</v>
      </c>
      <c r="N2597" s="1" t="s">
        <v>27337</v>
      </c>
    </row>
    <row r="2598">
      <c r="A2598" s="1" t="s">
        <v>4153</v>
      </c>
      <c r="B2598" s="1">
        <v>2015.0</v>
      </c>
      <c r="C2598" s="1" t="s">
        <v>27338</v>
      </c>
      <c r="D2598" s="1" t="s">
        <v>27339</v>
      </c>
      <c r="E2598" s="2" t="s">
        <v>27340</v>
      </c>
      <c r="F2598" s="1">
        <v>33.0</v>
      </c>
      <c r="G2598" s="1">
        <v>40.0</v>
      </c>
      <c r="H2598" s="1" t="s">
        <v>28</v>
      </c>
      <c r="I2598" s="1" t="s">
        <v>27342</v>
      </c>
      <c r="J2598" s="1" t="s">
        <v>27343</v>
      </c>
      <c r="K2598" s="1"/>
      <c r="L2598" s="1" t="s">
        <v>880</v>
      </c>
      <c r="M2598" s="1" t="s">
        <v>27345</v>
      </c>
      <c r="N2598" s="1" t="s">
        <v>27346</v>
      </c>
    </row>
    <row r="2599">
      <c r="A2599" s="1" t="s">
        <v>4153</v>
      </c>
      <c r="B2599" s="1">
        <v>2015.0</v>
      </c>
      <c r="C2599" s="1" t="s">
        <v>27347</v>
      </c>
      <c r="D2599" s="1" t="s">
        <v>27348</v>
      </c>
      <c r="E2599" s="2" t="s">
        <v>27349</v>
      </c>
      <c r="F2599" s="1">
        <v>41.0</v>
      </c>
      <c r="G2599" s="1">
        <v>48.0</v>
      </c>
      <c r="H2599" s="1" t="s">
        <v>28</v>
      </c>
      <c r="I2599" s="1" t="s">
        <v>27352</v>
      </c>
      <c r="J2599" s="1" t="s">
        <v>31645</v>
      </c>
      <c r="K2599" s="1"/>
      <c r="L2599" s="1" t="s">
        <v>28816</v>
      </c>
      <c r="M2599" s="1" t="s">
        <v>27356</v>
      </c>
      <c r="N2599" s="1" t="s">
        <v>27357</v>
      </c>
    </row>
    <row r="2600">
      <c r="A2600" s="1" t="s">
        <v>4153</v>
      </c>
      <c r="B2600" s="1">
        <v>2015.0</v>
      </c>
      <c r="C2600" s="1" t="s">
        <v>27358</v>
      </c>
      <c r="D2600" s="1" t="s">
        <v>27359</v>
      </c>
      <c r="E2600" s="2" t="s">
        <v>27360</v>
      </c>
      <c r="F2600" s="1">
        <v>49.0</v>
      </c>
      <c r="G2600" s="1">
        <v>56.0</v>
      </c>
      <c r="H2600" s="1" t="s">
        <v>28</v>
      </c>
      <c r="I2600" s="1" t="s">
        <v>27361</v>
      </c>
      <c r="J2600" s="1" t="s">
        <v>27362</v>
      </c>
      <c r="K2600" s="1"/>
      <c r="L2600" s="1" t="s">
        <v>28832</v>
      </c>
      <c r="M2600" s="1" t="s">
        <v>27364</v>
      </c>
      <c r="N2600" s="1" t="s">
        <v>27365</v>
      </c>
    </row>
    <row r="2601">
      <c r="A2601" s="1" t="s">
        <v>4153</v>
      </c>
      <c r="B2601" s="1">
        <v>2015.0</v>
      </c>
      <c r="C2601" s="1" t="s">
        <v>27367</v>
      </c>
      <c r="D2601" s="1" t="s">
        <v>27368</v>
      </c>
      <c r="E2601" s="2" t="s">
        <v>27369</v>
      </c>
      <c r="F2601" s="1">
        <v>57.0</v>
      </c>
      <c r="G2601" s="1">
        <v>64.0</v>
      </c>
      <c r="H2601" s="1" t="s">
        <v>28</v>
      </c>
      <c r="I2601" s="1" t="s">
        <v>27371</v>
      </c>
      <c r="J2601" s="1" t="s">
        <v>27372</v>
      </c>
      <c r="K2601" s="1"/>
      <c r="L2601" s="1" t="s">
        <v>28779</v>
      </c>
      <c r="M2601" s="1" t="s">
        <v>27374</v>
      </c>
      <c r="N2601" s="1" t="s">
        <v>27375</v>
      </c>
    </row>
    <row r="2602">
      <c r="A2602" s="1" t="s">
        <v>4153</v>
      </c>
      <c r="B2602" s="1">
        <v>2015.0</v>
      </c>
      <c r="C2602" s="1" t="s">
        <v>27376</v>
      </c>
      <c r="D2602" s="1" t="s">
        <v>27377</v>
      </c>
      <c r="E2602" s="2" t="s">
        <v>27378</v>
      </c>
      <c r="F2602" s="1">
        <v>65.0</v>
      </c>
      <c r="G2602" s="1">
        <v>72.0</v>
      </c>
      <c r="H2602" s="1" t="s">
        <v>28</v>
      </c>
      <c r="I2602" s="1" t="s">
        <v>27379</v>
      </c>
      <c r="J2602" s="1" t="s">
        <v>27381</v>
      </c>
      <c r="K2602" s="1"/>
      <c r="L2602" s="1" t="s">
        <v>28728</v>
      </c>
      <c r="M2602" s="1" t="s">
        <v>27384</v>
      </c>
    </row>
    <row r="2603">
      <c r="A2603" s="1" t="s">
        <v>4153</v>
      </c>
      <c r="B2603" s="1">
        <v>2015.0</v>
      </c>
      <c r="C2603" s="1" t="s">
        <v>27385</v>
      </c>
      <c r="D2603" s="1" t="s">
        <v>27386</v>
      </c>
      <c r="E2603" s="2" t="s">
        <v>27387</v>
      </c>
      <c r="F2603" s="1">
        <v>139.0</v>
      </c>
      <c r="G2603" s="1">
        <v>140.0</v>
      </c>
      <c r="H2603" s="1" t="s">
        <v>21</v>
      </c>
      <c r="I2603" s="1" t="s">
        <v>27389</v>
      </c>
      <c r="J2603" s="1" t="s">
        <v>27390</v>
      </c>
      <c r="K2603" s="1"/>
      <c r="L2603" s="1" t="s">
        <v>28777</v>
      </c>
    </row>
    <row r="2604">
      <c r="A2604" s="1" t="s">
        <v>4153</v>
      </c>
      <c r="B2604" s="1">
        <v>2015.0</v>
      </c>
      <c r="C2604" s="1" t="s">
        <v>27392</v>
      </c>
      <c r="D2604" s="1" t="s">
        <v>27393</v>
      </c>
      <c r="E2604" s="2" t="s">
        <v>27394</v>
      </c>
      <c r="F2604" s="1">
        <v>141.0</v>
      </c>
      <c r="G2604" s="1">
        <v>142.0</v>
      </c>
      <c r="H2604" s="1" t="s">
        <v>21</v>
      </c>
      <c r="I2604" s="1" t="s">
        <v>27396</v>
      </c>
      <c r="J2604" s="1" t="s">
        <v>27397</v>
      </c>
      <c r="K2604" s="1"/>
      <c r="L2604" s="1" t="s">
        <v>28969</v>
      </c>
    </row>
    <row r="2605">
      <c r="A2605" s="1" t="s">
        <v>4153</v>
      </c>
      <c r="B2605" s="1">
        <v>2015.0</v>
      </c>
      <c r="C2605" s="1" t="s">
        <v>27399</v>
      </c>
      <c r="D2605" s="1" t="s">
        <v>27400</v>
      </c>
      <c r="E2605" s="2" t="s">
        <v>27401</v>
      </c>
      <c r="F2605" s="1">
        <v>143.0</v>
      </c>
      <c r="G2605" s="1">
        <v>144.0</v>
      </c>
      <c r="H2605" s="1" t="s">
        <v>21</v>
      </c>
      <c r="I2605" s="1" t="s">
        <v>27404</v>
      </c>
      <c r="J2605" s="1" t="s">
        <v>27405</v>
      </c>
      <c r="K2605" s="1"/>
      <c r="L2605" s="1" t="s">
        <v>28579</v>
      </c>
    </row>
    <row r="2606">
      <c r="A2606" s="1" t="s">
        <v>4153</v>
      </c>
      <c r="B2606" s="1">
        <v>2015.0</v>
      </c>
      <c r="C2606" s="1" t="s">
        <v>27407</v>
      </c>
      <c r="D2606" s="1" t="s">
        <v>27408</v>
      </c>
      <c r="E2606" s="2" t="s">
        <v>27409</v>
      </c>
      <c r="F2606" s="1">
        <v>145.0</v>
      </c>
      <c r="G2606" s="1">
        <v>146.0</v>
      </c>
      <c r="H2606" s="1" t="s">
        <v>21</v>
      </c>
      <c r="I2606" s="1" t="s">
        <v>27412</v>
      </c>
      <c r="J2606" s="1" t="s">
        <v>27413</v>
      </c>
      <c r="K2606" s="1"/>
      <c r="L2606" s="1" t="s">
        <v>28994</v>
      </c>
    </row>
    <row r="2607">
      <c r="A2607" s="1" t="s">
        <v>4153</v>
      </c>
      <c r="B2607" s="1">
        <v>2015.0</v>
      </c>
      <c r="C2607" s="1" t="s">
        <v>27416</v>
      </c>
      <c r="D2607" s="1" t="s">
        <v>27417</v>
      </c>
      <c r="E2607" s="2" t="s">
        <v>27418</v>
      </c>
      <c r="F2607" s="1">
        <v>147.0</v>
      </c>
      <c r="G2607" s="1">
        <v>148.0</v>
      </c>
      <c r="H2607" s="1" t="s">
        <v>21</v>
      </c>
      <c r="I2607" s="1" t="s">
        <v>27421</v>
      </c>
      <c r="J2607" s="1" t="s">
        <v>31677</v>
      </c>
      <c r="K2607" s="1"/>
      <c r="L2607" s="1" t="s">
        <v>28832</v>
      </c>
    </row>
    <row r="2608">
      <c r="A2608" s="1" t="s">
        <v>4153</v>
      </c>
      <c r="B2608" s="1">
        <v>2015.0</v>
      </c>
      <c r="C2608" s="1" t="s">
        <v>27425</v>
      </c>
      <c r="D2608" s="1" t="s">
        <v>27426</v>
      </c>
      <c r="E2608" s="2" t="s">
        <v>27427</v>
      </c>
      <c r="F2608" s="1">
        <v>149.0</v>
      </c>
      <c r="G2608" s="1">
        <v>150.0</v>
      </c>
      <c r="H2608" s="1" t="s">
        <v>21</v>
      </c>
      <c r="I2608" s="1" t="s">
        <v>27428</v>
      </c>
      <c r="J2608" s="1" t="s">
        <v>27429</v>
      </c>
      <c r="K2608" s="1"/>
      <c r="L2608" s="1" t="s">
        <v>28696</v>
      </c>
    </row>
    <row r="2609">
      <c r="A2609" s="1" t="s">
        <v>4153</v>
      </c>
      <c r="B2609" s="1">
        <v>2015.0</v>
      </c>
      <c r="C2609" s="1" t="s">
        <v>27432</v>
      </c>
      <c r="D2609" s="1" t="s">
        <v>27433</v>
      </c>
      <c r="E2609" s="2" t="s">
        <v>27434</v>
      </c>
      <c r="F2609" s="1">
        <v>151.0</v>
      </c>
      <c r="G2609" s="1">
        <v>152.0</v>
      </c>
      <c r="H2609" s="1" t="s">
        <v>21</v>
      </c>
      <c r="I2609" s="1" t="s">
        <v>27436</v>
      </c>
      <c r="J2609" s="1" t="s">
        <v>31678</v>
      </c>
      <c r="K2609" s="1"/>
      <c r="L2609" s="1" t="s">
        <v>28939</v>
      </c>
    </row>
    <row r="2610">
      <c r="A2610" s="1" t="s">
        <v>4153</v>
      </c>
      <c r="B2610" s="1">
        <v>2015.0</v>
      </c>
      <c r="C2610" s="1" t="s">
        <v>27440</v>
      </c>
      <c r="D2610" s="1" t="s">
        <v>27441</v>
      </c>
      <c r="E2610" s="2" t="s">
        <v>27442</v>
      </c>
      <c r="F2610" s="1">
        <v>153.0</v>
      </c>
      <c r="G2610" s="1">
        <v>154.0</v>
      </c>
      <c r="H2610" s="1" t="s">
        <v>21</v>
      </c>
      <c r="I2610" s="1" t="s">
        <v>27443</v>
      </c>
      <c r="J2610" s="1" t="s">
        <v>27444</v>
      </c>
      <c r="K2610" s="1"/>
      <c r="L2610" s="1" t="s">
        <v>28738</v>
      </c>
    </row>
    <row r="2611">
      <c r="A2611" s="1" t="s">
        <v>4153</v>
      </c>
      <c r="B2611" s="1">
        <v>2015.0</v>
      </c>
      <c r="C2611" s="1" t="s">
        <v>27447</v>
      </c>
      <c r="D2611" s="1" t="s">
        <v>27448</v>
      </c>
      <c r="E2611" s="2" t="s">
        <v>27449</v>
      </c>
      <c r="F2611" s="1">
        <v>155.0</v>
      </c>
      <c r="G2611" s="1">
        <v>156.0</v>
      </c>
      <c r="H2611" s="1" t="s">
        <v>21</v>
      </c>
      <c r="I2611" s="1" t="s">
        <v>27450</v>
      </c>
      <c r="J2611" s="1" t="s">
        <v>27451</v>
      </c>
      <c r="K2611" s="1"/>
      <c r="L2611" s="1" t="s">
        <v>28584</v>
      </c>
    </row>
    <row r="2612">
      <c r="A2612" s="1" t="s">
        <v>4153</v>
      </c>
      <c r="B2612" s="1">
        <v>2015.0</v>
      </c>
      <c r="C2612" s="1" t="s">
        <v>27453</v>
      </c>
      <c r="D2612" s="1" t="s">
        <v>27454</v>
      </c>
      <c r="E2612" s="2" t="s">
        <v>27455</v>
      </c>
      <c r="F2612" s="1">
        <v>157.0</v>
      </c>
      <c r="G2612" s="1">
        <v>158.0</v>
      </c>
      <c r="H2612" s="1" t="s">
        <v>21</v>
      </c>
      <c r="I2612" s="1" t="s">
        <v>27456</v>
      </c>
      <c r="J2612" s="1" t="s">
        <v>24093</v>
      </c>
      <c r="K2612" s="1"/>
      <c r="L2612" s="1" t="s">
        <v>494</v>
      </c>
    </row>
    <row r="2613">
      <c r="A2613" s="1" t="s">
        <v>4153</v>
      </c>
      <c r="B2613" s="1">
        <v>2015.0</v>
      </c>
      <c r="C2613" s="1" t="s">
        <v>27457</v>
      </c>
      <c r="D2613" s="1" t="s">
        <v>27458</v>
      </c>
      <c r="E2613" s="2" t="s">
        <v>27459</v>
      </c>
      <c r="F2613" s="1">
        <v>159.0</v>
      </c>
      <c r="G2613" s="1">
        <v>160.0</v>
      </c>
      <c r="H2613" s="1" t="s">
        <v>21</v>
      </c>
      <c r="I2613" s="1" t="s">
        <v>27460</v>
      </c>
      <c r="J2613" s="1" t="s">
        <v>27461</v>
      </c>
      <c r="K2613" s="1"/>
      <c r="L2613" s="1" t="s">
        <v>28975</v>
      </c>
    </row>
    <row r="2614">
      <c r="A2614" s="1" t="s">
        <v>4153</v>
      </c>
      <c r="B2614" s="1">
        <v>2015.0</v>
      </c>
      <c r="C2614" s="1" t="s">
        <v>27463</v>
      </c>
      <c r="D2614" s="1" t="s">
        <v>27464</v>
      </c>
      <c r="E2614" s="2" t="s">
        <v>27465</v>
      </c>
      <c r="F2614" s="1">
        <v>161.0</v>
      </c>
      <c r="G2614" s="1">
        <v>162.0</v>
      </c>
      <c r="H2614" s="1" t="s">
        <v>21</v>
      </c>
      <c r="I2614" s="1" t="s">
        <v>27466</v>
      </c>
      <c r="J2614" s="1" t="s">
        <v>27467</v>
      </c>
      <c r="K2614" s="1"/>
      <c r="L2614" s="1" t="s">
        <v>29089</v>
      </c>
    </row>
    <row r="2615">
      <c r="A2615" s="1" t="s">
        <v>4153</v>
      </c>
      <c r="B2615" s="1">
        <v>2015.0</v>
      </c>
      <c r="C2615" s="1" t="s">
        <v>27469</v>
      </c>
      <c r="D2615" s="1" t="s">
        <v>27470</v>
      </c>
      <c r="E2615" s="2" t="s">
        <v>27471</v>
      </c>
      <c r="F2615" s="1">
        <v>163.0</v>
      </c>
      <c r="G2615" s="1">
        <v>164.0</v>
      </c>
      <c r="H2615" s="1" t="s">
        <v>21</v>
      </c>
      <c r="I2615" s="1" t="s">
        <v>27473</v>
      </c>
      <c r="J2615" s="1" t="s">
        <v>31688</v>
      </c>
      <c r="K2615" s="1"/>
      <c r="L2615" s="1" t="s">
        <v>28898</v>
      </c>
    </row>
    <row r="2616">
      <c r="A2616" s="1" t="s">
        <v>4153</v>
      </c>
      <c r="B2616" s="1">
        <v>2015.0</v>
      </c>
      <c r="C2616" s="1" t="s">
        <v>27477</v>
      </c>
      <c r="D2616" s="1" t="s">
        <v>27478</v>
      </c>
      <c r="E2616" s="2" t="s">
        <v>27479</v>
      </c>
      <c r="F2616" s="1">
        <v>165.0</v>
      </c>
      <c r="G2616" s="1">
        <v>166.0</v>
      </c>
      <c r="H2616" s="1" t="s">
        <v>21</v>
      </c>
      <c r="I2616" s="1" t="s">
        <v>27480</v>
      </c>
      <c r="J2616" s="1" t="s">
        <v>27481</v>
      </c>
      <c r="K2616" s="1"/>
      <c r="L2616" s="1" t="s">
        <v>28584</v>
      </c>
    </row>
    <row r="2617">
      <c r="A2617" s="1" t="s">
        <v>4153</v>
      </c>
      <c r="B2617" s="1">
        <v>2015.0</v>
      </c>
      <c r="C2617" s="1" t="s">
        <v>27482</v>
      </c>
      <c r="D2617" s="1" t="s">
        <v>27483</v>
      </c>
      <c r="E2617" s="2" t="s">
        <v>27484</v>
      </c>
      <c r="F2617" s="1">
        <v>827.0</v>
      </c>
      <c r="G2617" s="1">
        <v>836.0</v>
      </c>
      <c r="H2617" s="1" t="s">
        <v>17059</v>
      </c>
      <c r="I2617" s="1" t="s">
        <v>27485</v>
      </c>
      <c r="J2617" s="1" t="s">
        <v>27486</v>
      </c>
      <c r="K2617" s="1"/>
      <c r="L2617" s="1" t="s">
        <v>28824</v>
      </c>
      <c r="M2617" s="1" t="s">
        <v>27489</v>
      </c>
      <c r="N2617" s="1" t="s">
        <v>27490</v>
      </c>
    </row>
    <row r="2618">
      <c r="A2618" s="1" t="s">
        <v>2137</v>
      </c>
      <c r="B2618" s="1">
        <v>2015.0</v>
      </c>
      <c r="C2618" s="1" t="s">
        <v>26848</v>
      </c>
      <c r="D2618" s="1" t="s">
        <v>26849</v>
      </c>
      <c r="E2618" s="2" t="s">
        <v>26850</v>
      </c>
      <c r="F2618" s="1">
        <v>449.0</v>
      </c>
      <c r="G2618" s="1">
        <v>458.0</v>
      </c>
      <c r="H2618" s="1" t="s">
        <v>17059</v>
      </c>
      <c r="I2618" s="1" t="s">
        <v>26853</v>
      </c>
      <c r="J2618" s="1" t="s">
        <v>26854</v>
      </c>
      <c r="K2618" s="1"/>
      <c r="L2618" s="1" t="s">
        <v>5349</v>
      </c>
      <c r="M2618" s="1" t="s">
        <v>26856</v>
      </c>
      <c r="N2618" s="1" t="s">
        <v>26857</v>
      </c>
    </row>
    <row r="2619">
      <c r="A2619" s="1" t="s">
        <v>2137</v>
      </c>
      <c r="B2619" s="1">
        <v>2015.0</v>
      </c>
      <c r="C2619" s="1" t="s">
        <v>26858</v>
      </c>
      <c r="D2619" s="1" t="s">
        <v>26859</v>
      </c>
      <c r="E2619" s="2" t="s">
        <v>26860</v>
      </c>
      <c r="F2619" s="1">
        <v>579.0</v>
      </c>
      <c r="G2619" s="1">
        <v>588.0</v>
      </c>
      <c r="H2619" s="1" t="s">
        <v>17059</v>
      </c>
      <c r="I2619" s="1" t="s">
        <v>26862</v>
      </c>
      <c r="J2619" s="1" t="s">
        <v>26863</v>
      </c>
      <c r="K2619" s="1"/>
      <c r="L2619" s="1" t="s">
        <v>28398</v>
      </c>
      <c r="M2619" s="1" t="s">
        <v>26865</v>
      </c>
      <c r="N2619" s="1" t="s">
        <v>26866</v>
      </c>
    </row>
    <row r="2620">
      <c r="A2620" s="1" t="s">
        <v>4153</v>
      </c>
      <c r="B2620" s="1">
        <v>2015.0</v>
      </c>
      <c r="C2620" s="1" t="s">
        <v>27491</v>
      </c>
      <c r="D2620" s="1" t="s">
        <v>27492</v>
      </c>
      <c r="E2620" s="2" t="s">
        <v>27493</v>
      </c>
      <c r="F2620" s="1">
        <v>975.0</v>
      </c>
      <c r="G2620" s="1">
        <v>984.0</v>
      </c>
      <c r="H2620" s="1" t="s">
        <v>17059</v>
      </c>
      <c r="I2620" s="1" t="s">
        <v>27494</v>
      </c>
      <c r="J2620" s="1" t="s">
        <v>27495</v>
      </c>
      <c r="K2620" s="1"/>
      <c r="L2620" s="1" t="s">
        <v>29102</v>
      </c>
      <c r="M2620" s="1" t="s">
        <v>27497</v>
      </c>
      <c r="N2620" s="1" t="s">
        <v>27498</v>
      </c>
    </row>
    <row r="2621">
      <c r="A2621" s="1" t="s">
        <v>2137</v>
      </c>
      <c r="B2621" s="1">
        <v>2015.0</v>
      </c>
      <c r="C2621" s="1" t="s">
        <v>26867</v>
      </c>
      <c r="D2621" s="1" t="s">
        <v>26868</v>
      </c>
      <c r="E2621" s="2" t="s">
        <v>26869</v>
      </c>
      <c r="F2621" s="1">
        <v>330.0</v>
      </c>
      <c r="G2621" s="1">
        <v>338.0</v>
      </c>
      <c r="H2621" s="1" t="s">
        <v>17059</v>
      </c>
      <c r="I2621" s="1" t="s">
        <v>26872</v>
      </c>
      <c r="J2621" s="1" t="s">
        <v>31725</v>
      </c>
      <c r="K2621" s="1"/>
      <c r="L2621" s="1" t="s">
        <v>880</v>
      </c>
      <c r="M2621" s="1" t="s">
        <v>26876</v>
      </c>
      <c r="N2621" s="1" t="s">
        <v>26877</v>
      </c>
    </row>
    <row r="2622">
      <c r="A2622" s="1" t="s">
        <v>2137</v>
      </c>
      <c r="B2622" s="1">
        <v>2015.0</v>
      </c>
      <c r="C2622" s="1" t="s">
        <v>26878</v>
      </c>
      <c r="D2622" s="1" t="s">
        <v>26879</v>
      </c>
      <c r="E2622" s="2" t="s">
        <v>26880</v>
      </c>
      <c r="F2622" s="1">
        <v>688.0</v>
      </c>
      <c r="G2622" s="1">
        <v>697.0</v>
      </c>
      <c r="H2622" s="1" t="s">
        <v>17059</v>
      </c>
      <c r="I2622" s="1" t="s">
        <v>26883</v>
      </c>
      <c r="J2622" s="1" t="s">
        <v>31731</v>
      </c>
      <c r="K2622" s="1"/>
      <c r="L2622" s="1" t="s">
        <v>28350</v>
      </c>
      <c r="M2622" s="1" t="s">
        <v>26887</v>
      </c>
      <c r="N2622" s="1" t="s">
        <v>26888</v>
      </c>
    </row>
    <row r="2623">
      <c r="A2623" s="1" t="s">
        <v>2137</v>
      </c>
      <c r="B2623" s="1">
        <v>2015.0</v>
      </c>
      <c r="C2623" s="1" t="s">
        <v>26889</v>
      </c>
      <c r="D2623" s="1" t="s">
        <v>26890</v>
      </c>
      <c r="E2623" s="2" t="s">
        <v>26891</v>
      </c>
      <c r="F2623" s="1">
        <v>659.0</v>
      </c>
      <c r="G2623" s="1">
        <v>668.0</v>
      </c>
      <c r="H2623" s="1" t="s">
        <v>17059</v>
      </c>
      <c r="I2623" s="1" t="s">
        <v>26893</v>
      </c>
      <c r="J2623" s="1" t="s">
        <v>26894</v>
      </c>
      <c r="K2623" s="1"/>
      <c r="L2623" s="1" t="s">
        <v>5349</v>
      </c>
      <c r="M2623" s="1" t="s">
        <v>26897</v>
      </c>
      <c r="N2623" s="1" t="s">
        <v>26898</v>
      </c>
    </row>
    <row r="2624">
      <c r="A2624" s="1" t="s">
        <v>2137</v>
      </c>
      <c r="B2624" s="1">
        <v>2015.0</v>
      </c>
      <c r="C2624" s="1" t="s">
        <v>26899</v>
      </c>
      <c r="D2624" s="1" t="s">
        <v>26900</v>
      </c>
      <c r="E2624" s="2" t="s">
        <v>26901</v>
      </c>
      <c r="F2624" s="1">
        <v>379.0</v>
      </c>
      <c r="G2624" s="1">
        <v>388.0</v>
      </c>
      <c r="H2624" s="1" t="s">
        <v>17059</v>
      </c>
      <c r="I2624" s="1" t="s">
        <v>26902</v>
      </c>
      <c r="J2624" s="1" t="s">
        <v>26903</v>
      </c>
      <c r="K2624" s="1"/>
      <c r="L2624" s="1" t="s">
        <v>28544</v>
      </c>
      <c r="M2624" s="1" t="s">
        <v>26906</v>
      </c>
      <c r="N2624" s="1" t="s">
        <v>26907</v>
      </c>
    </row>
    <row r="2625">
      <c r="A2625" s="1" t="s">
        <v>2137</v>
      </c>
      <c r="B2625" s="1">
        <v>2015.0</v>
      </c>
      <c r="C2625" s="1" t="s">
        <v>26910</v>
      </c>
      <c r="D2625" s="1" t="s">
        <v>26911</v>
      </c>
      <c r="E2625" s="2" t="s">
        <v>26912</v>
      </c>
      <c r="F2625" s="1">
        <v>609.0</v>
      </c>
      <c r="G2625" s="1">
        <v>618.0</v>
      </c>
      <c r="H2625" s="1" t="s">
        <v>17059</v>
      </c>
      <c r="I2625" s="1" t="s">
        <v>26913</v>
      </c>
      <c r="J2625" s="1" t="s">
        <v>21965</v>
      </c>
      <c r="K2625" s="1"/>
      <c r="L2625" s="1" t="s">
        <v>28428</v>
      </c>
      <c r="M2625" s="1" t="s">
        <v>26914</v>
      </c>
      <c r="N2625" s="1" t="s">
        <v>26915</v>
      </c>
    </row>
    <row r="2626">
      <c r="A2626" s="1" t="s">
        <v>4153</v>
      </c>
      <c r="B2626" s="1">
        <v>2015.0</v>
      </c>
      <c r="C2626" s="1" t="s">
        <v>27499</v>
      </c>
      <c r="D2626" s="1" t="s">
        <v>27500</v>
      </c>
      <c r="E2626" s="2" t="s">
        <v>27501</v>
      </c>
      <c r="F2626" s="1">
        <v>877.0</v>
      </c>
      <c r="G2626" s="1">
        <v>885.0</v>
      </c>
      <c r="H2626" s="1" t="s">
        <v>17059</v>
      </c>
      <c r="I2626" s="1" t="s">
        <v>31756</v>
      </c>
      <c r="J2626" s="1" t="s">
        <v>27503</v>
      </c>
      <c r="K2626" s="1"/>
      <c r="L2626" s="1" t="s">
        <v>178</v>
      </c>
      <c r="M2626" s="1" t="s">
        <v>27505</v>
      </c>
      <c r="N2626" s="1" t="s">
        <v>27506</v>
      </c>
      <c r="P2626" s="1"/>
      <c r="Q2626" s="1" t="s">
        <v>106</v>
      </c>
    </row>
    <row r="2627">
      <c r="A2627" s="1" t="s">
        <v>2137</v>
      </c>
      <c r="B2627" s="1">
        <v>2015.0</v>
      </c>
      <c r="C2627" s="1" t="s">
        <v>26916</v>
      </c>
      <c r="D2627" s="1" t="s">
        <v>26917</v>
      </c>
      <c r="E2627" s="2" t="s">
        <v>26918</v>
      </c>
      <c r="F2627" s="1">
        <v>649.0</v>
      </c>
      <c r="G2627" s="1">
        <v>658.0</v>
      </c>
      <c r="H2627" s="1" t="s">
        <v>17059</v>
      </c>
      <c r="I2627" s="1" t="s">
        <v>26921</v>
      </c>
      <c r="J2627" s="1" t="s">
        <v>26922</v>
      </c>
      <c r="K2627" s="1"/>
      <c r="L2627" s="1" t="s">
        <v>860</v>
      </c>
      <c r="M2627" s="1" t="s">
        <v>26925</v>
      </c>
      <c r="N2627" s="1" t="s">
        <v>26926</v>
      </c>
    </row>
    <row r="2628">
      <c r="A2628" s="1" t="s">
        <v>4153</v>
      </c>
      <c r="B2628" s="1">
        <v>2015.0</v>
      </c>
      <c r="C2628" s="1" t="s">
        <v>27507</v>
      </c>
      <c r="D2628" s="1" t="s">
        <v>27508</v>
      </c>
      <c r="E2628" s="2" t="s">
        <v>27509</v>
      </c>
      <c r="F2628" s="1">
        <v>935.0</v>
      </c>
      <c r="G2628" s="1">
        <v>944.0</v>
      </c>
      <c r="H2628" s="1" t="s">
        <v>17059</v>
      </c>
      <c r="I2628" s="1" t="s">
        <v>27510</v>
      </c>
      <c r="J2628" s="1" t="s">
        <v>27511</v>
      </c>
      <c r="K2628" s="1"/>
      <c r="L2628" s="1" t="s">
        <v>23953</v>
      </c>
      <c r="M2628" s="1" t="s">
        <v>27513</v>
      </c>
      <c r="N2628" s="1" t="s">
        <v>27514</v>
      </c>
    </row>
    <row r="2629">
      <c r="A2629" s="1" t="s">
        <v>2137</v>
      </c>
      <c r="B2629" s="1">
        <v>2015.0</v>
      </c>
      <c r="C2629" s="1" t="s">
        <v>26927</v>
      </c>
      <c r="D2629" s="1" t="s">
        <v>26928</v>
      </c>
      <c r="E2629" s="2" t="s">
        <v>26929</v>
      </c>
      <c r="F2629" s="1">
        <v>499.0</v>
      </c>
      <c r="G2629" s="1">
        <v>508.0</v>
      </c>
      <c r="H2629" s="1" t="s">
        <v>17059</v>
      </c>
      <c r="I2629" s="1" t="s">
        <v>26932</v>
      </c>
      <c r="J2629" s="1" t="s">
        <v>26933</v>
      </c>
      <c r="K2629" s="1"/>
      <c r="L2629" s="1" t="s">
        <v>28413</v>
      </c>
      <c r="M2629" s="1" t="s">
        <v>26936</v>
      </c>
      <c r="N2629" s="1" t="s">
        <v>26937</v>
      </c>
    </row>
    <row r="2630">
      <c r="A2630" s="1" t="s">
        <v>120</v>
      </c>
      <c r="B2630" s="1">
        <v>2015.0</v>
      </c>
      <c r="C2630" s="1" t="s">
        <v>27889</v>
      </c>
      <c r="D2630" s="1" t="s">
        <v>27890</v>
      </c>
      <c r="E2630" s="2" t="s">
        <v>27892</v>
      </c>
      <c r="F2630" s="1">
        <v>280.0</v>
      </c>
      <c r="G2630" s="1">
        <v>289.0</v>
      </c>
      <c r="H2630" s="1" t="s">
        <v>17059</v>
      </c>
      <c r="I2630" s="1" t="s">
        <v>27894</v>
      </c>
      <c r="J2630" s="1" t="s">
        <v>27895</v>
      </c>
      <c r="K2630" s="1"/>
      <c r="L2630" s="1" t="s">
        <v>860</v>
      </c>
      <c r="M2630" s="1" t="s">
        <v>27898</v>
      </c>
      <c r="N2630" s="1" t="s">
        <v>27899</v>
      </c>
    </row>
    <row r="2631">
      <c r="A2631" s="1" t="s">
        <v>4153</v>
      </c>
      <c r="B2631" s="1">
        <v>2015.0</v>
      </c>
      <c r="C2631" s="1" t="s">
        <v>27515</v>
      </c>
      <c r="D2631" s="1" t="s">
        <v>27516</v>
      </c>
      <c r="E2631" s="2" t="s">
        <v>27517</v>
      </c>
      <c r="F2631" s="1">
        <v>708.0</v>
      </c>
      <c r="G2631" s="1">
        <v>717.0</v>
      </c>
      <c r="H2631" s="1" t="s">
        <v>17059</v>
      </c>
      <c r="I2631" s="1" t="s">
        <v>27519</v>
      </c>
      <c r="J2631" s="1" t="s">
        <v>27520</v>
      </c>
      <c r="K2631" s="1"/>
      <c r="L2631" s="1" t="s">
        <v>28681</v>
      </c>
      <c r="M2631" s="1" t="s">
        <v>27523</v>
      </c>
      <c r="N2631" s="1" t="s">
        <v>27524</v>
      </c>
    </row>
    <row r="2632">
      <c r="A2632" s="1" t="s">
        <v>2137</v>
      </c>
      <c r="B2632" s="1">
        <v>2015.0</v>
      </c>
      <c r="C2632" s="1" t="s">
        <v>26938</v>
      </c>
      <c r="D2632" s="1" t="s">
        <v>26939</v>
      </c>
      <c r="E2632" s="2" t="s">
        <v>26940</v>
      </c>
      <c r="F2632" s="1">
        <v>599.0</v>
      </c>
      <c r="G2632" s="1">
        <v>608.0</v>
      </c>
      <c r="H2632" s="1" t="s">
        <v>17059</v>
      </c>
      <c r="I2632" s="1" t="s">
        <v>26942</v>
      </c>
      <c r="J2632" s="1" t="s">
        <v>26944</v>
      </c>
      <c r="K2632" s="1"/>
      <c r="L2632" s="1" t="s">
        <v>5349</v>
      </c>
      <c r="M2632" s="1" t="s">
        <v>26946</v>
      </c>
      <c r="N2632" s="1" t="s">
        <v>26947</v>
      </c>
    </row>
    <row r="2633">
      <c r="A2633" s="1" t="s">
        <v>4153</v>
      </c>
      <c r="B2633" s="1">
        <v>2015.0</v>
      </c>
      <c r="C2633" s="1" t="s">
        <v>27526</v>
      </c>
      <c r="D2633" s="1" t="s">
        <v>27527</v>
      </c>
      <c r="E2633" s="2" t="s">
        <v>27528</v>
      </c>
      <c r="F2633" s="1">
        <v>817.0</v>
      </c>
      <c r="G2633" s="1">
        <v>826.0</v>
      </c>
      <c r="H2633" s="1" t="s">
        <v>17059</v>
      </c>
      <c r="I2633" s="1" t="s">
        <v>27529</v>
      </c>
      <c r="J2633" s="1" t="s">
        <v>31821</v>
      </c>
      <c r="K2633" s="1"/>
      <c r="L2633" s="1" t="s">
        <v>494</v>
      </c>
      <c r="M2633" s="1" t="s">
        <v>27532</v>
      </c>
      <c r="N2633" s="1" t="s">
        <v>27533</v>
      </c>
      <c r="P2633" s="1"/>
      <c r="Q2633" s="1" t="s">
        <v>19037</v>
      </c>
    </row>
    <row r="2634">
      <c r="A2634" s="1" t="s">
        <v>2137</v>
      </c>
      <c r="B2634" s="1">
        <v>2015.0</v>
      </c>
      <c r="C2634" s="1" t="s">
        <v>26948</v>
      </c>
      <c r="D2634" s="1" t="s">
        <v>26949</v>
      </c>
      <c r="E2634" s="2" t="s">
        <v>26950</v>
      </c>
      <c r="F2634" s="1">
        <v>639.0</v>
      </c>
      <c r="G2634" s="1">
        <v>648.0</v>
      </c>
      <c r="H2634" s="1" t="s">
        <v>17059</v>
      </c>
      <c r="I2634" s="1" t="s">
        <v>26951</v>
      </c>
      <c r="J2634" s="1" t="s">
        <v>31832</v>
      </c>
      <c r="K2634" s="1"/>
      <c r="L2634" s="1" t="s">
        <v>5349</v>
      </c>
      <c r="M2634" s="1" t="s">
        <v>26955</v>
      </c>
      <c r="N2634" s="1" t="s">
        <v>26956</v>
      </c>
    </row>
    <row r="2635">
      <c r="A2635" s="1" t="s">
        <v>4153</v>
      </c>
      <c r="B2635" s="1">
        <v>2015.0</v>
      </c>
      <c r="C2635" s="1" t="s">
        <v>27534</v>
      </c>
      <c r="D2635" s="1" t="s">
        <v>27535</v>
      </c>
      <c r="E2635" s="2" t="s">
        <v>27537</v>
      </c>
      <c r="F2635" s="1">
        <v>886.0</v>
      </c>
      <c r="G2635" s="1">
        <v>895.0</v>
      </c>
      <c r="H2635" s="1" t="s">
        <v>17059</v>
      </c>
      <c r="I2635" s="1" t="s">
        <v>27539</v>
      </c>
      <c r="J2635" s="1" t="s">
        <v>24070</v>
      </c>
      <c r="K2635" s="1"/>
      <c r="L2635" s="1" t="s">
        <v>28750</v>
      </c>
      <c r="M2635" s="1" t="s">
        <v>27541</v>
      </c>
      <c r="N2635" s="1" t="s">
        <v>27542</v>
      </c>
    </row>
    <row r="2636">
      <c r="A2636" s="1" t="s">
        <v>4153</v>
      </c>
      <c r="B2636" s="1">
        <v>2015.0</v>
      </c>
      <c r="C2636" s="1" t="s">
        <v>27543</v>
      </c>
      <c r="D2636" s="1" t="s">
        <v>27544</v>
      </c>
      <c r="E2636" s="2" t="s">
        <v>27545</v>
      </c>
      <c r="F2636" s="1">
        <v>757.0</v>
      </c>
      <c r="G2636" s="1">
        <v>766.0</v>
      </c>
      <c r="H2636" s="1" t="s">
        <v>17059</v>
      </c>
      <c r="I2636" s="1" t="s">
        <v>27548</v>
      </c>
      <c r="J2636" s="1" t="s">
        <v>31917</v>
      </c>
      <c r="K2636" s="1"/>
      <c r="L2636" s="1" t="s">
        <v>26473</v>
      </c>
      <c r="M2636" s="1" t="s">
        <v>27551</v>
      </c>
      <c r="N2636" s="1" t="s">
        <v>27552</v>
      </c>
    </row>
    <row r="2637">
      <c r="A2637" s="1" t="s">
        <v>4153</v>
      </c>
      <c r="B2637" s="1">
        <v>2015.0</v>
      </c>
      <c r="C2637" s="1" t="s">
        <v>27553</v>
      </c>
      <c r="D2637" s="1" t="s">
        <v>27554</v>
      </c>
      <c r="E2637" s="2" t="s">
        <v>27555</v>
      </c>
      <c r="F2637" s="1">
        <v>767.0</v>
      </c>
      <c r="G2637" s="1">
        <v>776.0</v>
      </c>
      <c r="H2637" s="1" t="s">
        <v>17059</v>
      </c>
      <c r="I2637" s="1" t="s">
        <v>27556</v>
      </c>
      <c r="J2637" s="1" t="s">
        <v>31938</v>
      </c>
      <c r="K2637" s="1"/>
      <c r="L2637" s="1" t="s">
        <v>22133</v>
      </c>
      <c r="M2637" s="1" t="s">
        <v>27559</v>
      </c>
      <c r="N2637" s="1" t="s">
        <v>27560</v>
      </c>
    </row>
    <row r="2638">
      <c r="A2638" s="1" t="s">
        <v>2137</v>
      </c>
      <c r="B2638" s="1">
        <v>2015.0</v>
      </c>
      <c r="C2638" s="1" t="s">
        <v>26957</v>
      </c>
      <c r="D2638" s="1" t="s">
        <v>26958</v>
      </c>
      <c r="E2638" s="2" t="s">
        <v>26959</v>
      </c>
      <c r="F2638" s="1">
        <v>339.0</v>
      </c>
      <c r="G2638" s="1">
        <v>348.0</v>
      </c>
      <c r="H2638" s="1" t="s">
        <v>17059</v>
      </c>
      <c r="I2638" s="1" t="s">
        <v>26962</v>
      </c>
      <c r="J2638" s="1" t="s">
        <v>27042</v>
      </c>
      <c r="K2638" s="1"/>
      <c r="L2638" s="1" t="s">
        <v>860</v>
      </c>
      <c r="M2638" s="1" t="s">
        <v>27045</v>
      </c>
      <c r="N2638" s="1" t="s">
        <v>27046</v>
      </c>
    </row>
    <row r="2639">
      <c r="A2639" s="1" t="s">
        <v>2137</v>
      </c>
      <c r="B2639" s="1">
        <v>2015.0</v>
      </c>
      <c r="C2639" s="1" t="s">
        <v>27048</v>
      </c>
      <c r="D2639" s="1" t="s">
        <v>27049</v>
      </c>
      <c r="E2639" s="2" t="s">
        <v>27051</v>
      </c>
      <c r="F2639" s="1">
        <v>419.0</v>
      </c>
      <c r="G2639" s="1">
        <v>428.0</v>
      </c>
      <c r="H2639" s="1" t="s">
        <v>17059</v>
      </c>
      <c r="I2639" s="1" t="s">
        <v>27053</v>
      </c>
      <c r="J2639" s="1" t="s">
        <v>27054</v>
      </c>
      <c r="K2639" s="1"/>
      <c r="L2639" s="1" t="s">
        <v>494</v>
      </c>
      <c r="M2639" s="1" t="s">
        <v>27057</v>
      </c>
      <c r="N2639" s="1" t="s">
        <v>27058</v>
      </c>
    </row>
    <row r="2640">
      <c r="A2640" s="1" t="s">
        <v>4153</v>
      </c>
      <c r="B2640" s="1">
        <v>2015.0</v>
      </c>
      <c r="C2640" s="1" t="s">
        <v>27561</v>
      </c>
      <c r="D2640" s="1" t="s">
        <v>27562</v>
      </c>
      <c r="E2640" s="2" t="s">
        <v>27563</v>
      </c>
      <c r="F2640" s="1">
        <v>995.0</v>
      </c>
      <c r="G2640" s="1">
        <v>1004.0</v>
      </c>
      <c r="H2640" s="1" t="s">
        <v>17059</v>
      </c>
      <c r="I2640" s="1" t="s">
        <v>27564</v>
      </c>
      <c r="J2640" s="1" t="s">
        <v>27565</v>
      </c>
      <c r="K2640" s="1"/>
      <c r="L2640" s="1" t="s">
        <v>29020</v>
      </c>
      <c r="M2640" s="1" t="s">
        <v>27568</v>
      </c>
      <c r="N2640" s="1" t="s">
        <v>27569</v>
      </c>
    </row>
    <row r="2641">
      <c r="A2641" s="1" t="s">
        <v>4153</v>
      </c>
      <c r="B2641" s="1">
        <v>2015.0</v>
      </c>
      <c r="C2641" s="1" t="s">
        <v>27570</v>
      </c>
      <c r="D2641" s="1" t="s">
        <v>27571</v>
      </c>
      <c r="E2641" s="2" t="s">
        <v>27572</v>
      </c>
      <c r="F2641" s="1">
        <v>807.0</v>
      </c>
      <c r="G2641" s="1">
        <v>816.0</v>
      </c>
      <c r="H2641" s="1" t="s">
        <v>17059</v>
      </c>
      <c r="I2641" s="1" t="s">
        <v>27573</v>
      </c>
      <c r="J2641" s="1" t="s">
        <v>27574</v>
      </c>
      <c r="K2641" s="1"/>
      <c r="L2641" s="1" t="s">
        <v>28928</v>
      </c>
      <c r="M2641" s="1" t="s">
        <v>27576</v>
      </c>
      <c r="N2641" s="1" t="s">
        <v>27577</v>
      </c>
    </row>
    <row r="2642">
      <c r="A2642" s="1" t="s">
        <v>4153</v>
      </c>
      <c r="B2642" s="1">
        <v>2015.0</v>
      </c>
      <c r="C2642" s="1" t="s">
        <v>27578</v>
      </c>
      <c r="D2642" s="1" t="s">
        <v>27579</v>
      </c>
      <c r="E2642" s="2" t="s">
        <v>27580</v>
      </c>
      <c r="F2642" s="1">
        <v>718.0</v>
      </c>
      <c r="G2642" s="1">
        <v>727.0</v>
      </c>
      <c r="H2642" s="1" t="s">
        <v>17059</v>
      </c>
      <c r="I2642" s="1" t="s">
        <v>27581</v>
      </c>
      <c r="J2642" s="1" t="s">
        <v>32011</v>
      </c>
      <c r="K2642" s="1"/>
      <c r="L2642" s="1" t="s">
        <v>5349</v>
      </c>
      <c r="M2642" s="1" t="s">
        <v>27585</v>
      </c>
      <c r="N2642" s="1" t="s">
        <v>27586</v>
      </c>
    </row>
    <row r="2643">
      <c r="A2643" s="1" t="s">
        <v>4153</v>
      </c>
      <c r="B2643" s="1">
        <v>2015.0</v>
      </c>
      <c r="C2643" s="1" t="s">
        <v>27588</v>
      </c>
      <c r="D2643" s="1" t="s">
        <v>27589</v>
      </c>
      <c r="E2643" s="2" t="s">
        <v>27590</v>
      </c>
      <c r="F2643" s="1">
        <v>896.0</v>
      </c>
      <c r="G2643" s="1">
        <v>905.0</v>
      </c>
      <c r="H2643" s="1" t="s">
        <v>17059</v>
      </c>
      <c r="I2643" s="1" t="s">
        <v>27591</v>
      </c>
      <c r="J2643" s="1" t="s">
        <v>32031</v>
      </c>
      <c r="K2643" s="1"/>
      <c r="L2643" s="1" t="s">
        <v>22087</v>
      </c>
      <c r="M2643" s="1" t="s">
        <v>27594</v>
      </c>
      <c r="N2643" s="1" t="s">
        <v>27595</v>
      </c>
    </row>
    <row r="2644">
      <c r="A2644" s="1" t="s">
        <v>2137</v>
      </c>
      <c r="B2644" s="1">
        <v>2015.0</v>
      </c>
      <c r="C2644" s="1" t="s">
        <v>27061</v>
      </c>
      <c r="D2644" s="1" t="s">
        <v>27062</v>
      </c>
      <c r="E2644" s="2" t="s">
        <v>27063</v>
      </c>
      <c r="F2644" s="1">
        <v>509.0</v>
      </c>
      <c r="G2644" s="1">
        <v>518.0</v>
      </c>
      <c r="H2644" s="1" t="s">
        <v>17059</v>
      </c>
      <c r="I2644" s="1" t="s">
        <v>27065</v>
      </c>
      <c r="J2644" s="1" t="s">
        <v>27066</v>
      </c>
      <c r="K2644" s="1"/>
      <c r="L2644" s="1" t="s">
        <v>494</v>
      </c>
      <c r="M2644" s="1" t="s">
        <v>27068</v>
      </c>
      <c r="N2644" s="1" t="s">
        <v>27069</v>
      </c>
    </row>
    <row r="2645">
      <c r="A2645" s="1" t="s">
        <v>2137</v>
      </c>
      <c r="B2645" s="1">
        <v>2015.0</v>
      </c>
      <c r="C2645" s="1" t="s">
        <v>27070</v>
      </c>
      <c r="D2645" s="1" t="s">
        <v>27071</v>
      </c>
      <c r="E2645" s="2" t="s">
        <v>27072</v>
      </c>
      <c r="F2645" s="1">
        <v>569.0</v>
      </c>
      <c r="G2645" s="1">
        <v>578.0</v>
      </c>
      <c r="H2645" s="1" t="s">
        <v>17059</v>
      </c>
      <c r="I2645" s="1" t="s">
        <v>27075</v>
      </c>
      <c r="J2645" s="1" t="s">
        <v>27076</v>
      </c>
      <c r="K2645" s="1"/>
      <c r="L2645" s="1" t="s">
        <v>28423</v>
      </c>
      <c r="M2645" s="1" t="s">
        <v>27078</v>
      </c>
      <c r="N2645" s="1" t="s">
        <v>27079</v>
      </c>
    </row>
    <row r="2646">
      <c r="A2646" s="1" t="s">
        <v>2137</v>
      </c>
      <c r="B2646" s="1">
        <v>2015.0</v>
      </c>
      <c r="C2646" s="1" t="s">
        <v>27080</v>
      </c>
      <c r="D2646" s="1" t="s">
        <v>27081</v>
      </c>
      <c r="E2646" s="2" t="s">
        <v>27082</v>
      </c>
      <c r="F2646" s="1">
        <v>669.0</v>
      </c>
      <c r="G2646" s="1">
        <v>677.0</v>
      </c>
      <c r="H2646" s="1" t="s">
        <v>17059</v>
      </c>
      <c r="I2646" s="1" t="s">
        <v>27084</v>
      </c>
      <c r="J2646" s="1" t="s">
        <v>27085</v>
      </c>
      <c r="K2646" s="1"/>
      <c r="L2646" s="1" t="s">
        <v>178</v>
      </c>
      <c r="M2646" s="1" t="s">
        <v>27087</v>
      </c>
      <c r="N2646" s="1" t="s">
        <v>27088</v>
      </c>
    </row>
    <row r="2647">
      <c r="A2647" s="1" t="s">
        <v>2137</v>
      </c>
      <c r="B2647" s="1">
        <v>2015.0</v>
      </c>
      <c r="C2647" s="1" t="s">
        <v>27089</v>
      </c>
      <c r="D2647" s="1" t="s">
        <v>27090</v>
      </c>
      <c r="E2647" s="2" t="s">
        <v>27091</v>
      </c>
      <c r="F2647" s="1">
        <v>619.0</v>
      </c>
      <c r="G2647" s="1">
        <v>628.0</v>
      </c>
      <c r="H2647" s="1" t="s">
        <v>17059</v>
      </c>
      <c r="I2647" s="1" t="s">
        <v>27092</v>
      </c>
      <c r="J2647" s="1" t="s">
        <v>32063</v>
      </c>
      <c r="K2647" s="1"/>
      <c r="L2647" s="1" t="s">
        <v>5349</v>
      </c>
      <c r="M2647" s="1" t="s">
        <v>27096</v>
      </c>
      <c r="N2647" s="1" t="s">
        <v>27097</v>
      </c>
    </row>
    <row r="2648">
      <c r="A2648" s="1" t="s">
        <v>2137</v>
      </c>
      <c r="B2648" s="1">
        <v>2015.0</v>
      </c>
      <c r="C2648" s="1" t="s">
        <v>27100</v>
      </c>
      <c r="D2648" s="1" t="s">
        <v>27101</v>
      </c>
      <c r="E2648" s="2" t="s">
        <v>27102</v>
      </c>
      <c r="F2648" s="1">
        <v>409.0</v>
      </c>
      <c r="G2648" s="1">
        <v>418.0</v>
      </c>
      <c r="H2648" s="1" t="s">
        <v>17059</v>
      </c>
      <c r="I2648" s="1" t="s">
        <v>27104</v>
      </c>
      <c r="J2648" s="1" t="s">
        <v>27105</v>
      </c>
      <c r="K2648" s="1"/>
      <c r="L2648" s="1" t="s">
        <v>28504</v>
      </c>
      <c r="M2648" s="1" t="s">
        <v>27107</v>
      </c>
      <c r="N2648" s="1" t="s">
        <v>27108</v>
      </c>
    </row>
    <row r="2649">
      <c r="A2649" s="1" t="s">
        <v>4153</v>
      </c>
      <c r="B2649" s="1">
        <v>2015.0</v>
      </c>
      <c r="C2649" s="1" t="s">
        <v>27596</v>
      </c>
      <c r="D2649" s="1" t="s">
        <v>27597</v>
      </c>
      <c r="E2649" s="2" t="s">
        <v>27598</v>
      </c>
      <c r="F2649" s="1">
        <v>1025.0</v>
      </c>
      <c r="G2649" s="1">
        <v>1034.0</v>
      </c>
      <c r="H2649" s="1" t="s">
        <v>17059</v>
      </c>
      <c r="I2649" s="1" t="s">
        <v>27601</v>
      </c>
      <c r="J2649" s="1" t="s">
        <v>32071</v>
      </c>
      <c r="K2649" s="1"/>
      <c r="L2649" s="1" t="s">
        <v>880</v>
      </c>
      <c r="M2649" s="1" t="s">
        <v>24141</v>
      </c>
      <c r="N2649" s="1" t="s">
        <v>27605</v>
      </c>
    </row>
    <row r="2650">
      <c r="A2650" s="1" t="s">
        <v>4153</v>
      </c>
      <c r="B2650" s="1">
        <v>2015.0</v>
      </c>
      <c r="C2650" s="1" t="s">
        <v>27606</v>
      </c>
      <c r="D2650" s="1" t="s">
        <v>27607</v>
      </c>
      <c r="E2650" s="2" t="s">
        <v>27608</v>
      </c>
      <c r="F2650" s="1">
        <v>857.0</v>
      </c>
      <c r="G2650" s="1">
        <v>866.0</v>
      </c>
      <c r="H2650" s="1" t="s">
        <v>17059</v>
      </c>
      <c r="I2650" s="1" t="s">
        <v>27609</v>
      </c>
      <c r="J2650" s="1" t="s">
        <v>32080</v>
      </c>
      <c r="K2650" s="1"/>
      <c r="L2650" s="1" t="s">
        <v>28865</v>
      </c>
      <c r="M2650" s="1" t="s">
        <v>27613</v>
      </c>
      <c r="N2650" s="1" t="s">
        <v>27614</v>
      </c>
    </row>
    <row r="2651">
      <c r="A2651" s="1" t="s">
        <v>4153</v>
      </c>
      <c r="B2651" s="1">
        <v>2015.0</v>
      </c>
      <c r="C2651" s="1" t="s">
        <v>27615</v>
      </c>
      <c r="D2651" s="1" t="s">
        <v>27616</v>
      </c>
      <c r="E2651" s="2" t="s">
        <v>27617</v>
      </c>
      <c r="F2651" s="1">
        <v>985.0</v>
      </c>
      <c r="G2651" s="1">
        <v>994.0</v>
      </c>
      <c r="H2651" s="1" t="s">
        <v>17059</v>
      </c>
      <c r="I2651" s="1" t="s">
        <v>27619</v>
      </c>
      <c r="J2651" s="1" t="s">
        <v>27620</v>
      </c>
      <c r="K2651" s="1"/>
      <c r="L2651" s="1" t="s">
        <v>1561</v>
      </c>
      <c r="M2651" s="1" t="s">
        <v>27621</v>
      </c>
      <c r="N2651" s="1" t="s">
        <v>27622</v>
      </c>
    </row>
    <row r="2652">
      <c r="A2652" s="1" t="s">
        <v>4153</v>
      </c>
      <c r="B2652" s="1">
        <v>2015.0</v>
      </c>
      <c r="C2652" s="1" t="s">
        <v>27623</v>
      </c>
      <c r="D2652" s="1" t="s">
        <v>27624</v>
      </c>
      <c r="E2652" s="2" t="s">
        <v>27625</v>
      </c>
      <c r="F2652" s="1">
        <v>906.0</v>
      </c>
      <c r="G2652" s="1">
        <v>915.0</v>
      </c>
      <c r="H2652" s="1" t="s">
        <v>17059</v>
      </c>
      <c r="I2652" s="1" t="s">
        <v>27627</v>
      </c>
      <c r="J2652" s="1" t="s">
        <v>27629</v>
      </c>
      <c r="K2652" s="1"/>
      <c r="L2652" s="1" t="s">
        <v>178</v>
      </c>
      <c r="M2652" s="1" t="s">
        <v>27632</v>
      </c>
      <c r="N2652" s="1" t="s">
        <v>27633</v>
      </c>
    </row>
    <row r="2653">
      <c r="A2653" s="1" t="s">
        <v>4153</v>
      </c>
      <c r="B2653" s="1">
        <v>2015.0</v>
      </c>
      <c r="C2653" s="1" t="s">
        <v>27635</v>
      </c>
      <c r="D2653" s="1" t="s">
        <v>27636</v>
      </c>
      <c r="E2653" s="2" t="s">
        <v>27638</v>
      </c>
      <c r="F2653" s="1">
        <v>955.0</v>
      </c>
      <c r="G2653" s="1">
        <v>964.0</v>
      </c>
      <c r="H2653" s="1" t="s">
        <v>17059</v>
      </c>
      <c r="I2653" s="1" t="s">
        <v>27640</v>
      </c>
      <c r="J2653" s="1" t="s">
        <v>27641</v>
      </c>
      <c r="K2653" s="1"/>
      <c r="L2653" s="1" t="s">
        <v>178</v>
      </c>
      <c r="M2653" s="1" t="s">
        <v>27642</v>
      </c>
      <c r="N2653" s="1" t="s">
        <v>27643</v>
      </c>
    </row>
    <row r="2654">
      <c r="A2654" s="1" t="s">
        <v>4153</v>
      </c>
      <c r="B2654" s="1">
        <v>2015.0</v>
      </c>
      <c r="C2654" s="1" t="s">
        <v>27644</v>
      </c>
      <c r="D2654" s="1" t="s">
        <v>27645</v>
      </c>
      <c r="E2654" s="2" t="s">
        <v>27646</v>
      </c>
      <c r="F2654" s="1">
        <v>916.0</v>
      </c>
      <c r="G2654" s="1">
        <v>925.0</v>
      </c>
      <c r="H2654" s="1" t="s">
        <v>17059</v>
      </c>
      <c r="I2654" s="1" t="s">
        <v>27647</v>
      </c>
      <c r="J2654" s="1" t="s">
        <v>27648</v>
      </c>
      <c r="K2654" s="1"/>
      <c r="L2654" s="1" t="s">
        <v>5349</v>
      </c>
      <c r="M2654" s="1" t="s">
        <v>27650</v>
      </c>
      <c r="N2654" s="1" t="s">
        <v>27651</v>
      </c>
    </row>
    <row r="2655">
      <c r="A2655" s="1" t="s">
        <v>4153</v>
      </c>
      <c r="B2655" s="1">
        <v>2015.0</v>
      </c>
      <c r="C2655" s="1" t="s">
        <v>27652</v>
      </c>
      <c r="D2655" s="1" t="s">
        <v>27653</v>
      </c>
      <c r="E2655" s="2" t="s">
        <v>27654</v>
      </c>
      <c r="F2655" s="1">
        <v>945.0</v>
      </c>
      <c r="G2655" s="1">
        <v>954.0</v>
      </c>
      <c r="H2655" s="1" t="s">
        <v>17059</v>
      </c>
      <c r="I2655" s="1" t="s">
        <v>28874</v>
      </c>
      <c r="J2655" s="1" t="s">
        <v>27656</v>
      </c>
      <c r="K2655" s="1"/>
      <c r="L2655" s="1" t="s">
        <v>28877</v>
      </c>
      <c r="M2655" s="1" t="s">
        <v>27659</v>
      </c>
      <c r="N2655" s="1" t="s">
        <v>27660</v>
      </c>
    </row>
    <row r="2656">
      <c r="A2656" s="1" t="s">
        <v>4153</v>
      </c>
      <c r="B2656" s="1">
        <v>2015.0</v>
      </c>
      <c r="C2656" s="1" t="s">
        <v>27661</v>
      </c>
      <c r="D2656" s="1" t="s">
        <v>27662</v>
      </c>
      <c r="E2656" s="2" t="s">
        <v>27663</v>
      </c>
      <c r="F2656" s="1">
        <v>747.0</v>
      </c>
      <c r="G2656" s="1">
        <v>756.0</v>
      </c>
      <c r="H2656" s="1" t="s">
        <v>17059</v>
      </c>
      <c r="I2656" s="1" t="s">
        <v>27664</v>
      </c>
      <c r="J2656" s="1" t="s">
        <v>32117</v>
      </c>
      <c r="K2656" s="1"/>
      <c r="L2656" s="1" t="s">
        <v>28705</v>
      </c>
      <c r="M2656" s="1" t="s">
        <v>27668</v>
      </c>
      <c r="N2656" s="1" t="s">
        <v>27669</v>
      </c>
    </row>
    <row r="2657">
      <c r="A2657" s="1" t="s">
        <v>4153</v>
      </c>
      <c r="B2657" s="1">
        <v>2015.0</v>
      </c>
      <c r="C2657" s="1" t="s">
        <v>27670</v>
      </c>
      <c r="D2657" s="1" t="s">
        <v>27671</v>
      </c>
      <c r="E2657" s="2" t="s">
        <v>27672</v>
      </c>
      <c r="F2657" s="1">
        <v>797.0</v>
      </c>
      <c r="G2657" s="1">
        <v>806.0</v>
      </c>
      <c r="H2657" s="1" t="s">
        <v>17059</v>
      </c>
      <c r="I2657" s="1" t="s">
        <v>27675</v>
      </c>
      <c r="J2657" s="1" t="s">
        <v>27676</v>
      </c>
      <c r="K2657" s="1"/>
      <c r="L2657" s="1" t="s">
        <v>880</v>
      </c>
      <c r="M2657" s="1" t="s">
        <v>27679</v>
      </c>
      <c r="N2657" s="1" t="s">
        <v>27680</v>
      </c>
    </row>
    <row r="2658">
      <c r="A2658" s="1" t="s">
        <v>4153</v>
      </c>
      <c r="B2658" s="1">
        <v>2015.0</v>
      </c>
      <c r="C2658" s="1" t="s">
        <v>27681</v>
      </c>
      <c r="D2658" s="1" t="s">
        <v>27682</v>
      </c>
      <c r="E2658" s="2" t="s">
        <v>27683</v>
      </c>
      <c r="F2658" s="1">
        <v>837.0</v>
      </c>
      <c r="G2658" s="1">
        <v>846.0</v>
      </c>
      <c r="H2658" s="1" t="s">
        <v>17059</v>
      </c>
      <c r="I2658" s="1" t="s">
        <v>27684</v>
      </c>
      <c r="J2658" s="1" t="s">
        <v>27686</v>
      </c>
      <c r="K2658" s="1"/>
      <c r="L2658" s="1" t="s">
        <v>178</v>
      </c>
      <c r="M2658" s="1" t="s">
        <v>27688</v>
      </c>
      <c r="N2658" s="1" t="s">
        <v>27689</v>
      </c>
    </row>
    <row r="2659">
      <c r="A2659" s="1" t="s">
        <v>4153</v>
      </c>
      <c r="B2659" s="1">
        <v>2015.0</v>
      </c>
      <c r="C2659" s="1" t="s">
        <v>27691</v>
      </c>
      <c r="D2659" s="1" t="s">
        <v>27692</v>
      </c>
      <c r="E2659" s="2" t="s">
        <v>27693</v>
      </c>
      <c r="F2659" s="1">
        <v>738.0</v>
      </c>
      <c r="G2659" s="1">
        <v>746.0</v>
      </c>
      <c r="H2659" s="1" t="s">
        <v>17059</v>
      </c>
      <c r="I2659" s="1" t="s">
        <v>27695</v>
      </c>
      <c r="J2659" s="1" t="s">
        <v>27696</v>
      </c>
      <c r="K2659" s="1"/>
      <c r="L2659" s="1" t="s">
        <v>1253</v>
      </c>
      <c r="M2659" s="1" t="s">
        <v>27700</v>
      </c>
      <c r="N2659" s="1" t="s">
        <v>27701</v>
      </c>
    </row>
    <row r="2660">
      <c r="A2660" s="1" t="s">
        <v>4153</v>
      </c>
      <c r="B2660" s="1">
        <v>2015.0</v>
      </c>
      <c r="C2660" s="1" t="s">
        <v>27702</v>
      </c>
      <c r="D2660" s="1" t="s">
        <v>27703</v>
      </c>
      <c r="E2660" s="2" t="s">
        <v>27704</v>
      </c>
      <c r="F2660" s="1">
        <v>867.0</v>
      </c>
      <c r="G2660" s="1">
        <v>876.0</v>
      </c>
      <c r="H2660" s="1" t="s">
        <v>17059</v>
      </c>
      <c r="I2660" s="1" t="s">
        <v>27707</v>
      </c>
      <c r="J2660" s="1" t="s">
        <v>27708</v>
      </c>
      <c r="K2660" s="1"/>
      <c r="L2660" s="1" t="s">
        <v>880</v>
      </c>
      <c r="M2660" s="1" t="s">
        <v>27711</v>
      </c>
      <c r="N2660" s="1" t="s">
        <v>27712</v>
      </c>
    </row>
    <row r="2661">
      <c r="A2661" s="1" t="s">
        <v>2137</v>
      </c>
      <c r="B2661" s="1">
        <v>2015.0</v>
      </c>
      <c r="C2661" s="1" t="s">
        <v>27109</v>
      </c>
      <c r="D2661" s="1" t="s">
        <v>27110</v>
      </c>
      <c r="E2661" s="2" t="s">
        <v>27111</v>
      </c>
      <c r="F2661" s="1">
        <v>349.0</v>
      </c>
      <c r="G2661" s="1">
        <v>358.0</v>
      </c>
      <c r="H2661" s="1" t="s">
        <v>17059</v>
      </c>
      <c r="I2661" s="1" t="s">
        <v>32128</v>
      </c>
      <c r="J2661" s="1" t="s">
        <v>27113</v>
      </c>
      <c r="K2661" s="1"/>
      <c r="L2661" s="1" t="s">
        <v>5349</v>
      </c>
      <c r="M2661" s="1" t="s">
        <v>27115</v>
      </c>
      <c r="N2661" s="1" t="s">
        <v>27116</v>
      </c>
      <c r="P2661" s="1"/>
      <c r="Q2661" s="1" t="s">
        <v>106</v>
      </c>
    </row>
    <row r="2662">
      <c r="A2662" s="1" t="s">
        <v>2137</v>
      </c>
      <c r="B2662" s="1">
        <v>2015.0</v>
      </c>
      <c r="C2662" s="1" t="s">
        <v>27118</v>
      </c>
      <c r="D2662" s="1" t="s">
        <v>27119</v>
      </c>
      <c r="E2662" s="2" t="s">
        <v>27121</v>
      </c>
      <c r="F2662" s="1">
        <v>429.0</v>
      </c>
      <c r="G2662" s="1">
        <v>438.0</v>
      </c>
      <c r="H2662" s="1" t="s">
        <v>17059</v>
      </c>
      <c r="I2662" s="1" t="s">
        <v>27123</v>
      </c>
      <c r="J2662" s="1" t="s">
        <v>27124</v>
      </c>
      <c r="K2662" s="1"/>
      <c r="L2662" s="1" t="s">
        <v>28464</v>
      </c>
      <c r="M2662" s="1" t="s">
        <v>27126</v>
      </c>
      <c r="N2662" s="1" t="s">
        <v>27127</v>
      </c>
    </row>
    <row r="2663">
      <c r="A2663" s="1" t="s">
        <v>2137</v>
      </c>
      <c r="B2663" s="1">
        <v>2015.0</v>
      </c>
      <c r="C2663" s="1" t="s">
        <v>27128</v>
      </c>
      <c r="D2663" s="1" t="s">
        <v>27129</v>
      </c>
      <c r="E2663" s="2" t="s">
        <v>27130</v>
      </c>
      <c r="F2663" s="1">
        <v>698.0</v>
      </c>
      <c r="G2663" s="1">
        <v>707.0</v>
      </c>
      <c r="H2663" s="1" t="s">
        <v>17059</v>
      </c>
      <c r="I2663" s="1" t="s">
        <v>27131</v>
      </c>
      <c r="J2663" s="1" t="s">
        <v>27132</v>
      </c>
      <c r="K2663" s="1"/>
      <c r="L2663" s="1" t="s">
        <v>178</v>
      </c>
      <c r="M2663" s="1"/>
      <c r="N2663" s="1" t="s">
        <v>27133</v>
      </c>
    </row>
    <row r="2664">
      <c r="A2664" s="1" t="s">
        <v>120</v>
      </c>
      <c r="B2664" s="1">
        <v>2015.0</v>
      </c>
      <c r="C2664" s="1" t="s">
        <v>27900</v>
      </c>
      <c r="D2664" s="1" t="s">
        <v>27901</v>
      </c>
      <c r="E2664" s="2" t="s">
        <v>27902</v>
      </c>
      <c r="F2664" s="1">
        <v>300.0</v>
      </c>
      <c r="G2664" s="1">
        <v>309.0</v>
      </c>
      <c r="H2664" s="1" t="s">
        <v>17059</v>
      </c>
      <c r="I2664" s="1" t="s">
        <v>27906</v>
      </c>
      <c r="J2664" s="1" t="s">
        <v>27907</v>
      </c>
      <c r="K2664" s="1"/>
      <c r="L2664" s="1" t="s">
        <v>494</v>
      </c>
      <c r="M2664" s="1" t="s">
        <v>27910</v>
      </c>
      <c r="N2664" s="1" t="s">
        <v>27911</v>
      </c>
    </row>
    <row r="2665">
      <c r="A2665" s="1" t="s">
        <v>120</v>
      </c>
      <c r="B2665" s="1">
        <v>2015.0</v>
      </c>
      <c r="C2665" s="1" t="s">
        <v>27912</v>
      </c>
      <c r="D2665" s="1" t="s">
        <v>27913</v>
      </c>
      <c r="E2665" s="2" t="s">
        <v>27914</v>
      </c>
      <c r="F2665" s="1">
        <v>31.0</v>
      </c>
      <c r="G2665" s="1">
        <v>40.0</v>
      </c>
      <c r="H2665" s="1" t="s">
        <v>17059</v>
      </c>
      <c r="I2665" s="1" t="s">
        <v>27917</v>
      </c>
      <c r="J2665" s="1" t="s">
        <v>27919</v>
      </c>
      <c r="K2665" s="1"/>
      <c r="L2665" s="1" t="s">
        <v>5349</v>
      </c>
      <c r="M2665" s="1" t="s">
        <v>27921</v>
      </c>
      <c r="N2665" s="1" t="s">
        <v>27922</v>
      </c>
    </row>
    <row r="2666">
      <c r="A2666" s="1" t="s">
        <v>120</v>
      </c>
      <c r="B2666" s="1">
        <v>2015.0</v>
      </c>
      <c r="C2666" s="1" t="s">
        <v>27923</v>
      </c>
      <c r="D2666" s="1" t="s">
        <v>27924</v>
      </c>
      <c r="E2666" s="2" t="s">
        <v>27925</v>
      </c>
      <c r="F2666" s="1">
        <v>121.0</v>
      </c>
      <c r="G2666" s="1">
        <v>130.0</v>
      </c>
      <c r="H2666" s="1" t="s">
        <v>17059</v>
      </c>
      <c r="I2666" s="1" t="s">
        <v>27926</v>
      </c>
      <c r="J2666" s="1" t="s">
        <v>27927</v>
      </c>
      <c r="K2666" s="1"/>
      <c r="L2666" s="1" t="s">
        <v>178</v>
      </c>
      <c r="M2666" s="1" t="s">
        <v>27929</v>
      </c>
      <c r="N2666" s="1" t="s">
        <v>27930</v>
      </c>
    </row>
    <row r="2667">
      <c r="A2667" s="1" t="s">
        <v>120</v>
      </c>
      <c r="B2667" s="1">
        <v>2015.0</v>
      </c>
      <c r="C2667" s="1" t="s">
        <v>27931</v>
      </c>
      <c r="D2667" s="1" t="s">
        <v>27932</v>
      </c>
      <c r="E2667" s="2" t="s">
        <v>27933</v>
      </c>
      <c r="F2667" s="1">
        <v>141.0</v>
      </c>
      <c r="G2667" s="1">
        <v>150.0</v>
      </c>
      <c r="H2667" s="1" t="s">
        <v>17059</v>
      </c>
      <c r="I2667" s="1" t="s">
        <v>27935</v>
      </c>
      <c r="J2667" s="1" t="s">
        <v>32223</v>
      </c>
      <c r="K2667" s="1"/>
      <c r="L2667" s="1" t="s">
        <v>23066</v>
      </c>
      <c r="M2667" s="1" t="s">
        <v>27939</v>
      </c>
      <c r="N2667" s="1" t="s">
        <v>27940</v>
      </c>
    </row>
    <row r="2668">
      <c r="A2668" s="1" t="s">
        <v>120</v>
      </c>
      <c r="B2668" s="1">
        <v>2015.0</v>
      </c>
      <c r="C2668" s="1" t="s">
        <v>27941</v>
      </c>
      <c r="D2668" s="1" t="s">
        <v>27942</v>
      </c>
      <c r="E2668" s="2" t="s">
        <v>27943</v>
      </c>
      <c r="F2668" s="1">
        <v>250.0</v>
      </c>
      <c r="G2668" s="1">
        <v>259.0</v>
      </c>
      <c r="H2668" s="1" t="s">
        <v>17059</v>
      </c>
      <c r="I2668" s="1" t="s">
        <v>27946</v>
      </c>
      <c r="J2668" s="1" t="s">
        <v>27947</v>
      </c>
      <c r="K2668" s="1"/>
      <c r="L2668" s="1" t="s">
        <v>860</v>
      </c>
      <c r="M2668" s="1" t="s">
        <v>27949</v>
      </c>
      <c r="N2668" s="1" t="s">
        <v>27950</v>
      </c>
    </row>
    <row r="2669">
      <c r="A2669" s="1" t="s">
        <v>120</v>
      </c>
      <c r="B2669" s="1">
        <v>2015.0</v>
      </c>
      <c r="C2669" s="1" t="s">
        <v>27951</v>
      </c>
      <c r="D2669" s="1" t="s">
        <v>27952</v>
      </c>
      <c r="E2669" s="2" t="s">
        <v>27953</v>
      </c>
      <c r="F2669" s="1">
        <v>71.0</v>
      </c>
      <c r="G2669" s="1">
        <v>80.0</v>
      </c>
      <c r="H2669" s="1" t="s">
        <v>17059</v>
      </c>
      <c r="I2669" s="1" t="s">
        <v>27957</v>
      </c>
      <c r="J2669" s="1" t="s">
        <v>27958</v>
      </c>
      <c r="K2669" s="1"/>
      <c r="L2669" s="1" t="s">
        <v>860</v>
      </c>
      <c r="M2669" s="1" t="s">
        <v>27960</v>
      </c>
      <c r="N2669" s="1" t="s">
        <v>27961</v>
      </c>
    </row>
    <row r="2670">
      <c r="A2670" s="1" t="s">
        <v>120</v>
      </c>
      <c r="B2670" s="1">
        <v>2015.0</v>
      </c>
      <c r="C2670" s="1" t="s">
        <v>27962</v>
      </c>
      <c r="D2670" s="1" t="s">
        <v>27963</v>
      </c>
      <c r="E2670" s="2" t="s">
        <v>27964</v>
      </c>
      <c r="F2670" s="1">
        <v>240.0</v>
      </c>
      <c r="G2670" s="1">
        <v>249.0</v>
      </c>
      <c r="H2670" s="1" t="s">
        <v>17059</v>
      </c>
      <c r="I2670" s="1" t="s">
        <v>27967</v>
      </c>
      <c r="J2670" s="1" t="s">
        <v>27968</v>
      </c>
      <c r="K2670" s="1"/>
      <c r="L2670" s="1" t="s">
        <v>880</v>
      </c>
      <c r="M2670" s="1" t="s">
        <v>28039</v>
      </c>
      <c r="N2670" s="1" t="s">
        <v>28040</v>
      </c>
    </row>
    <row r="2671">
      <c r="A2671" s="1" t="s">
        <v>120</v>
      </c>
      <c r="B2671" s="1">
        <v>2015.0</v>
      </c>
      <c r="C2671" s="1" t="s">
        <v>28041</v>
      </c>
      <c r="D2671" s="1" t="s">
        <v>28042</v>
      </c>
      <c r="E2671" s="2" t="s">
        <v>28043</v>
      </c>
      <c r="F2671" s="1">
        <v>170.0</v>
      </c>
      <c r="G2671" s="1">
        <v>179.0</v>
      </c>
      <c r="H2671" s="1" t="s">
        <v>17059</v>
      </c>
      <c r="I2671" s="1" t="s">
        <v>28045</v>
      </c>
      <c r="J2671" s="1" t="s">
        <v>32329</v>
      </c>
      <c r="K2671" s="1"/>
      <c r="L2671" s="1" t="s">
        <v>5349</v>
      </c>
      <c r="M2671" s="1" t="s">
        <v>28048</v>
      </c>
      <c r="N2671" s="1" t="s">
        <v>28049</v>
      </c>
    </row>
    <row r="2672">
      <c r="A2672" s="1" t="s">
        <v>120</v>
      </c>
      <c r="B2672" s="1">
        <v>2015.0</v>
      </c>
      <c r="C2672" s="1" t="s">
        <v>28051</v>
      </c>
      <c r="D2672" s="1" t="s">
        <v>28052</v>
      </c>
      <c r="E2672" s="2" t="s">
        <v>28053</v>
      </c>
      <c r="F2672" s="1">
        <v>41.0</v>
      </c>
      <c r="G2672" s="1">
        <v>50.0</v>
      </c>
      <c r="H2672" s="1" t="s">
        <v>17059</v>
      </c>
      <c r="I2672" s="1" t="s">
        <v>28058</v>
      </c>
      <c r="J2672" s="1" t="s">
        <v>28059</v>
      </c>
      <c r="K2672" s="1"/>
      <c r="L2672" s="1" t="s">
        <v>860</v>
      </c>
      <c r="M2672" s="1" t="s">
        <v>28062</v>
      </c>
      <c r="N2672" s="1" t="s">
        <v>28063</v>
      </c>
    </row>
    <row r="2673">
      <c r="A2673" s="1" t="s">
        <v>120</v>
      </c>
      <c r="B2673" s="1">
        <v>2015.0</v>
      </c>
      <c r="C2673" s="1" t="s">
        <v>28065</v>
      </c>
      <c r="D2673" s="1" t="s">
        <v>28066</v>
      </c>
      <c r="E2673" s="2" t="s">
        <v>28067</v>
      </c>
      <c r="F2673" s="1">
        <v>151.0</v>
      </c>
      <c r="G2673" s="1">
        <v>159.0</v>
      </c>
      <c r="H2673" s="1" t="s">
        <v>17059</v>
      </c>
      <c r="I2673" s="1" t="s">
        <v>28069</v>
      </c>
      <c r="J2673" s="1" t="s">
        <v>32341</v>
      </c>
      <c r="K2673" s="1"/>
      <c r="L2673" s="1" t="s">
        <v>29511</v>
      </c>
      <c r="M2673" s="1" t="s">
        <v>25382</v>
      </c>
      <c r="N2673" s="1" t="s">
        <v>28074</v>
      </c>
    </row>
    <row r="2674">
      <c r="A2674" s="1" t="s">
        <v>120</v>
      </c>
      <c r="B2674" s="1">
        <v>2015.0</v>
      </c>
      <c r="C2674" s="1" t="s">
        <v>28075</v>
      </c>
      <c r="D2674" s="1" t="s">
        <v>28076</v>
      </c>
      <c r="E2674" s="2" t="s">
        <v>28077</v>
      </c>
      <c r="F2674" s="1">
        <v>51.0</v>
      </c>
      <c r="G2674" s="1">
        <v>60.0</v>
      </c>
      <c r="H2674" s="1" t="s">
        <v>17059</v>
      </c>
      <c r="I2674" s="1" t="s">
        <v>28080</v>
      </c>
      <c r="J2674" s="1" t="s">
        <v>28081</v>
      </c>
      <c r="K2674" s="1"/>
      <c r="L2674" s="1" t="s">
        <v>5349</v>
      </c>
      <c r="M2674" s="1" t="s">
        <v>28083</v>
      </c>
      <c r="N2674" s="1" t="s">
        <v>28084</v>
      </c>
      <c r="P2674" s="1"/>
      <c r="Q2674" s="1" t="s">
        <v>19037</v>
      </c>
    </row>
    <row r="2675">
      <c r="A2675" s="1" t="s">
        <v>120</v>
      </c>
      <c r="B2675" s="1">
        <v>2015.0</v>
      </c>
      <c r="C2675" s="1" t="s">
        <v>28085</v>
      </c>
      <c r="D2675" s="1" t="s">
        <v>28086</v>
      </c>
      <c r="E2675" s="2" t="s">
        <v>28087</v>
      </c>
      <c r="F2675" s="1">
        <v>131.0</v>
      </c>
      <c r="G2675" s="1">
        <v>140.0</v>
      </c>
      <c r="H2675" s="1" t="s">
        <v>17059</v>
      </c>
      <c r="I2675" s="1" t="s">
        <v>28091</v>
      </c>
      <c r="J2675" s="1" t="s">
        <v>28092</v>
      </c>
      <c r="K2675" s="1"/>
      <c r="L2675" s="1" t="s">
        <v>5349</v>
      </c>
      <c r="M2675" s="1" t="s">
        <v>28094</v>
      </c>
      <c r="N2675" s="1" t="s">
        <v>28095</v>
      </c>
    </row>
    <row r="2676">
      <c r="A2676" s="1" t="s">
        <v>120</v>
      </c>
      <c r="B2676" s="1">
        <v>2015.0</v>
      </c>
      <c r="C2676" s="1" t="s">
        <v>28097</v>
      </c>
      <c r="D2676" s="1" t="s">
        <v>28098</v>
      </c>
      <c r="E2676" s="2" t="s">
        <v>28099</v>
      </c>
      <c r="F2676" s="1">
        <v>320.0</v>
      </c>
      <c r="G2676" s="1">
        <v>329.0</v>
      </c>
      <c r="H2676" s="1" t="s">
        <v>17059</v>
      </c>
      <c r="I2676" s="1" t="s">
        <v>28103</v>
      </c>
      <c r="J2676" s="1" t="s">
        <v>28104</v>
      </c>
      <c r="K2676" s="1"/>
      <c r="L2676" s="1" t="s">
        <v>29370</v>
      </c>
      <c r="M2676" s="1" t="s">
        <v>28106</v>
      </c>
      <c r="N2676" s="1" t="s">
        <v>26813</v>
      </c>
    </row>
    <row r="2677">
      <c r="A2677" s="1" t="s">
        <v>120</v>
      </c>
      <c r="B2677" s="1">
        <v>2015.0</v>
      </c>
      <c r="C2677" s="1" t="s">
        <v>28108</v>
      </c>
      <c r="D2677" s="1" t="s">
        <v>28109</v>
      </c>
      <c r="E2677" s="2" t="s">
        <v>28110</v>
      </c>
      <c r="F2677" s="1">
        <v>270.0</v>
      </c>
      <c r="G2677" s="1">
        <v>279.0</v>
      </c>
      <c r="H2677" s="1" t="s">
        <v>17059</v>
      </c>
      <c r="I2677" s="1" t="s">
        <v>28113</v>
      </c>
      <c r="J2677" s="1" t="s">
        <v>28114</v>
      </c>
      <c r="K2677" s="1"/>
      <c r="L2677" s="1" t="s">
        <v>23953</v>
      </c>
      <c r="M2677" s="1" t="s">
        <v>28117</v>
      </c>
      <c r="N2677" s="1" t="s">
        <v>28118</v>
      </c>
    </row>
    <row r="2678">
      <c r="A2678" s="1" t="s">
        <v>120</v>
      </c>
      <c r="B2678" s="1">
        <v>2015.0</v>
      </c>
      <c r="C2678" s="1" t="s">
        <v>28119</v>
      </c>
      <c r="D2678" s="1" t="s">
        <v>28120</v>
      </c>
      <c r="E2678" s="2" t="s">
        <v>28121</v>
      </c>
      <c r="F2678" s="1">
        <v>200.0</v>
      </c>
      <c r="G2678" s="1">
        <v>209.0</v>
      </c>
      <c r="H2678" s="1" t="s">
        <v>17059</v>
      </c>
      <c r="I2678" s="1" t="s">
        <v>28123</v>
      </c>
      <c r="J2678" s="1" t="s">
        <v>32384</v>
      </c>
      <c r="K2678" s="1"/>
      <c r="L2678" s="1" t="s">
        <v>29239</v>
      </c>
      <c r="M2678" s="1" t="s">
        <v>28126</v>
      </c>
      <c r="N2678" s="1" t="s">
        <v>28127</v>
      </c>
    </row>
    <row r="2679">
      <c r="A2679" s="1" t="s">
        <v>120</v>
      </c>
      <c r="B2679" s="1">
        <v>2015.0</v>
      </c>
      <c r="C2679" s="1" t="s">
        <v>28128</v>
      </c>
      <c r="D2679" s="1" t="s">
        <v>28129</v>
      </c>
      <c r="E2679" s="2" t="s">
        <v>28130</v>
      </c>
      <c r="F2679" s="1">
        <v>190.0</v>
      </c>
      <c r="G2679" s="1">
        <v>199.0</v>
      </c>
      <c r="H2679" s="1" t="s">
        <v>17059</v>
      </c>
      <c r="I2679" s="1" t="s">
        <v>28133</v>
      </c>
      <c r="J2679" s="1" t="s">
        <v>28134</v>
      </c>
      <c r="K2679" s="1"/>
      <c r="L2679" s="1" t="s">
        <v>494</v>
      </c>
      <c r="M2679" s="1" t="s">
        <v>28136</v>
      </c>
      <c r="N2679" s="1" t="s">
        <v>28137</v>
      </c>
    </row>
    <row r="2680">
      <c r="A2680" s="1" t="s">
        <v>120</v>
      </c>
      <c r="B2680" s="1">
        <v>2015.0</v>
      </c>
      <c r="C2680" s="1" t="s">
        <v>28138</v>
      </c>
      <c r="D2680" s="1" t="s">
        <v>28139</v>
      </c>
      <c r="E2680" s="2" t="s">
        <v>28140</v>
      </c>
      <c r="F2680" s="1">
        <v>91.0</v>
      </c>
      <c r="G2680" s="1">
        <v>100.0</v>
      </c>
      <c r="H2680" s="1" t="s">
        <v>17059</v>
      </c>
      <c r="I2680" s="1" t="s">
        <v>28144</v>
      </c>
      <c r="J2680" s="1" t="s">
        <v>28145</v>
      </c>
      <c r="K2680" s="1"/>
      <c r="L2680" s="1" t="s">
        <v>494</v>
      </c>
      <c r="M2680" s="1" t="s">
        <v>28147</v>
      </c>
      <c r="N2680" s="1" t="s">
        <v>28148</v>
      </c>
    </row>
    <row r="2681">
      <c r="A2681" s="1" t="s">
        <v>2137</v>
      </c>
      <c r="B2681" s="1">
        <v>2015.0</v>
      </c>
      <c r="C2681" s="1" t="s">
        <v>27135</v>
      </c>
      <c r="D2681" s="1" t="s">
        <v>27136</v>
      </c>
      <c r="E2681" s="2" t="s">
        <v>27137</v>
      </c>
      <c r="F2681" s="1">
        <v>469.0</v>
      </c>
      <c r="G2681" s="1">
        <v>478.0</v>
      </c>
      <c r="H2681" s="1" t="s">
        <v>17059</v>
      </c>
      <c r="I2681" s="1" t="s">
        <v>32427</v>
      </c>
      <c r="J2681" s="1" t="s">
        <v>27139</v>
      </c>
      <c r="K2681" s="1"/>
      <c r="L2681" s="1" t="s">
        <v>178</v>
      </c>
      <c r="M2681" s="1" t="s">
        <v>25934</v>
      </c>
      <c r="N2681" s="1" t="s">
        <v>27141</v>
      </c>
      <c r="P2681" s="1"/>
      <c r="Q2681" s="1" t="s">
        <v>19037</v>
      </c>
    </row>
    <row r="2682">
      <c r="A2682" s="1" t="s">
        <v>2137</v>
      </c>
      <c r="B2682" s="1">
        <v>2015.0</v>
      </c>
      <c r="C2682" s="1" t="s">
        <v>27142</v>
      </c>
      <c r="D2682" s="1" t="s">
        <v>27143</v>
      </c>
      <c r="E2682" s="2" t="s">
        <v>27144</v>
      </c>
      <c r="F2682" s="1">
        <v>359.0</v>
      </c>
      <c r="G2682" s="1">
        <v>368.0</v>
      </c>
      <c r="H2682" s="1" t="s">
        <v>17059</v>
      </c>
      <c r="I2682" s="1" t="s">
        <v>27147</v>
      </c>
      <c r="J2682" s="1" t="s">
        <v>27148</v>
      </c>
      <c r="K2682" s="1"/>
      <c r="L2682" s="1" t="s">
        <v>1253</v>
      </c>
      <c r="M2682" s="1" t="s">
        <v>27151</v>
      </c>
      <c r="N2682" s="1" t="s">
        <v>27152</v>
      </c>
    </row>
    <row r="2683">
      <c r="A2683" s="1" t="s">
        <v>2137</v>
      </c>
      <c r="B2683" s="1">
        <v>2015.0</v>
      </c>
      <c r="C2683" s="1" t="s">
        <v>27153</v>
      </c>
      <c r="D2683" s="1" t="s">
        <v>27154</v>
      </c>
      <c r="E2683" s="2" t="s">
        <v>27155</v>
      </c>
      <c r="F2683" s="1">
        <v>629.0</v>
      </c>
      <c r="G2683" s="1">
        <v>638.0</v>
      </c>
      <c r="H2683" s="1" t="s">
        <v>17059</v>
      </c>
      <c r="I2683" s="1" t="s">
        <v>27158</v>
      </c>
      <c r="J2683" s="1" t="s">
        <v>32449</v>
      </c>
      <c r="K2683" s="1"/>
      <c r="L2683" s="1" t="s">
        <v>5349</v>
      </c>
      <c r="M2683" s="1" t="s">
        <v>27161</v>
      </c>
      <c r="N2683" s="1" t="s">
        <v>27162</v>
      </c>
    </row>
    <row r="2684">
      <c r="A2684" s="1" t="s">
        <v>2137</v>
      </c>
      <c r="B2684" s="1">
        <v>2015.0</v>
      </c>
      <c r="C2684" s="1" t="s">
        <v>27163</v>
      </c>
      <c r="D2684" s="1" t="s">
        <v>27164</v>
      </c>
      <c r="E2684" s="2" t="s">
        <v>27165</v>
      </c>
      <c r="F2684" s="1">
        <v>519.0</v>
      </c>
      <c r="G2684" s="1">
        <v>528.0</v>
      </c>
      <c r="H2684" s="1" t="s">
        <v>17059</v>
      </c>
      <c r="I2684" s="1" t="s">
        <v>32450</v>
      </c>
      <c r="J2684" s="1" t="s">
        <v>27167</v>
      </c>
      <c r="K2684" s="1"/>
      <c r="L2684" s="1" t="s">
        <v>23953</v>
      </c>
      <c r="M2684" s="1" t="s">
        <v>27171</v>
      </c>
      <c r="N2684" s="1" t="s">
        <v>27172</v>
      </c>
    </row>
    <row r="2685">
      <c r="A2685" s="1" t="s">
        <v>120</v>
      </c>
      <c r="B2685" s="1">
        <v>2015.0</v>
      </c>
      <c r="C2685" s="1" t="s">
        <v>28152</v>
      </c>
      <c r="D2685" s="1" t="s">
        <v>28153</v>
      </c>
      <c r="E2685" s="2" t="s">
        <v>28154</v>
      </c>
      <c r="F2685" s="1">
        <v>101.0</v>
      </c>
      <c r="G2685" s="1">
        <v>110.0</v>
      </c>
      <c r="H2685" s="1" t="s">
        <v>17059</v>
      </c>
      <c r="I2685" s="1" t="s">
        <v>28156</v>
      </c>
      <c r="J2685" s="1" t="s">
        <v>28157</v>
      </c>
      <c r="K2685" s="1"/>
      <c r="L2685" s="1" t="s">
        <v>1253</v>
      </c>
      <c r="M2685" s="1" t="s">
        <v>28160</v>
      </c>
      <c r="N2685" s="1" t="s">
        <v>28161</v>
      </c>
    </row>
    <row r="2686">
      <c r="A2686" s="1" t="s">
        <v>2137</v>
      </c>
      <c r="B2686" s="1">
        <v>2015.0</v>
      </c>
      <c r="C2686" s="1" t="s">
        <v>27174</v>
      </c>
      <c r="D2686" s="1" t="s">
        <v>27175</v>
      </c>
      <c r="E2686" s="2" t="s">
        <v>27176</v>
      </c>
      <c r="F2686" s="1">
        <v>549.0</v>
      </c>
      <c r="G2686" s="1">
        <v>558.0</v>
      </c>
      <c r="H2686" s="1" t="s">
        <v>17059</v>
      </c>
      <c r="I2686" s="1" t="s">
        <v>27180</v>
      </c>
      <c r="J2686" s="1" t="s">
        <v>27181</v>
      </c>
      <c r="K2686" s="1"/>
      <c r="L2686" s="1" t="s">
        <v>494</v>
      </c>
      <c r="M2686" s="1" t="s">
        <v>27183</v>
      </c>
      <c r="N2686" s="1" t="s">
        <v>27184</v>
      </c>
    </row>
    <row r="2687">
      <c r="A2687" s="1" t="s">
        <v>2137</v>
      </c>
      <c r="B2687" s="1">
        <v>2015.0</v>
      </c>
      <c r="C2687" s="1" t="s">
        <v>27185</v>
      </c>
      <c r="D2687" s="1" t="s">
        <v>27186</v>
      </c>
      <c r="E2687" s="2" t="s">
        <v>27187</v>
      </c>
      <c r="F2687" s="1">
        <v>539.0</v>
      </c>
      <c r="G2687" s="1">
        <v>548.0</v>
      </c>
      <c r="H2687" s="1" t="s">
        <v>17059</v>
      </c>
      <c r="I2687" s="1" t="s">
        <v>27188</v>
      </c>
      <c r="J2687" s="1" t="s">
        <v>32451</v>
      </c>
      <c r="K2687" s="1"/>
      <c r="L2687" s="1" t="s">
        <v>5349</v>
      </c>
      <c r="M2687" s="1" t="s">
        <v>27191</v>
      </c>
      <c r="N2687" s="1" t="s">
        <v>27192</v>
      </c>
    </row>
    <row r="2688">
      <c r="A2688" s="1" t="s">
        <v>2137</v>
      </c>
      <c r="B2688" s="1">
        <v>2015.0</v>
      </c>
      <c r="C2688" s="1" t="s">
        <v>27193</v>
      </c>
      <c r="D2688" s="1" t="s">
        <v>27194</v>
      </c>
      <c r="E2688" s="2" t="s">
        <v>27195</v>
      </c>
      <c r="F2688" s="1">
        <v>389.0</v>
      </c>
      <c r="G2688" s="1">
        <v>398.0</v>
      </c>
      <c r="H2688" s="1" t="s">
        <v>17059</v>
      </c>
      <c r="I2688" s="1" t="s">
        <v>27197</v>
      </c>
      <c r="J2688" s="1" t="s">
        <v>27198</v>
      </c>
      <c r="K2688" s="1"/>
      <c r="L2688" s="1" t="s">
        <v>178</v>
      </c>
      <c r="M2688" s="1" t="s">
        <v>27200</v>
      </c>
      <c r="N2688" s="1" t="s">
        <v>27201</v>
      </c>
    </row>
    <row r="2689">
      <c r="A2689" s="1" t="s">
        <v>120</v>
      </c>
      <c r="B2689" s="1">
        <v>2015.0</v>
      </c>
      <c r="C2689" s="1" t="s">
        <v>28162</v>
      </c>
      <c r="D2689" s="1" t="s">
        <v>28163</v>
      </c>
      <c r="E2689" s="2" t="s">
        <v>28164</v>
      </c>
      <c r="F2689" s="1">
        <v>180.0</v>
      </c>
      <c r="G2689" s="1">
        <v>189.0</v>
      </c>
      <c r="H2689" s="1" t="s">
        <v>17059</v>
      </c>
      <c r="I2689" s="1" t="s">
        <v>28167</v>
      </c>
      <c r="J2689" s="1" t="s">
        <v>28168</v>
      </c>
      <c r="K2689" s="1"/>
      <c r="L2689" s="1" t="s">
        <v>28666</v>
      </c>
      <c r="M2689" s="1" t="s">
        <v>28171</v>
      </c>
      <c r="N2689" s="1" t="s">
        <v>28172</v>
      </c>
    </row>
    <row r="2690">
      <c r="A2690" s="1" t="s">
        <v>2137</v>
      </c>
      <c r="B2690" s="1">
        <v>2015.0</v>
      </c>
      <c r="C2690" s="1" t="s">
        <v>27202</v>
      </c>
      <c r="D2690" s="1" t="s">
        <v>27203</v>
      </c>
      <c r="E2690" s="2" t="s">
        <v>27204</v>
      </c>
      <c r="F2690" s="1">
        <v>529.0</v>
      </c>
      <c r="G2690" s="1">
        <v>538.0</v>
      </c>
      <c r="H2690" s="1" t="s">
        <v>17059</v>
      </c>
      <c r="I2690" s="1" t="s">
        <v>27205</v>
      </c>
      <c r="J2690" s="1" t="s">
        <v>27206</v>
      </c>
      <c r="K2690" s="1"/>
      <c r="L2690" s="1" t="s">
        <v>23953</v>
      </c>
      <c r="M2690" s="1" t="s">
        <v>27209</v>
      </c>
      <c r="N2690" s="1" t="s">
        <v>27210</v>
      </c>
    </row>
    <row r="2691">
      <c r="A2691" s="1" t="s">
        <v>2137</v>
      </c>
      <c r="B2691" s="1">
        <v>2015.0</v>
      </c>
      <c r="C2691" s="1" t="s">
        <v>27211</v>
      </c>
      <c r="D2691" s="1" t="s">
        <v>27212</v>
      </c>
      <c r="E2691" s="2" t="s">
        <v>27213</v>
      </c>
      <c r="F2691" s="1">
        <v>489.0</v>
      </c>
      <c r="G2691" s="1">
        <v>498.0</v>
      </c>
      <c r="H2691" s="1" t="s">
        <v>17059</v>
      </c>
      <c r="I2691" s="1" t="s">
        <v>27216</v>
      </c>
      <c r="J2691" s="1" t="s">
        <v>27217</v>
      </c>
      <c r="K2691" s="1"/>
      <c r="L2691" s="1" t="s">
        <v>880</v>
      </c>
      <c r="M2691" s="1" t="s">
        <v>27220</v>
      </c>
      <c r="N2691" s="1" t="s">
        <v>27221</v>
      </c>
    </row>
    <row r="2692">
      <c r="A2692" s="1" t="s">
        <v>120</v>
      </c>
      <c r="B2692" s="1">
        <v>2015.0</v>
      </c>
      <c r="C2692" s="1" t="s">
        <v>28173</v>
      </c>
      <c r="D2692" s="1" t="s">
        <v>28174</v>
      </c>
      <c r="E2692" s="2" t="s">
        <v>28175</v>
      </c>
      <c r="F2692" s="1">
        <v>160.0</v>
      </c>
      <c r="G2692" s="1">
        <v>169.0</v>
      </c>
      <c r="H2692" s="1" t="s">
        <v>17059</v>
      </c>
      <c r="I2692" s="1" t="s">
        <v>28178</v>
      </c>
      <c r="J2692" s="1" t="s">
        <v>28179</v>
      </c>
      <c r="K2692" s="1"/>
      <c r="L2692" s="1" t="s">
        <v>860</v>
      </c>
      <c r="M2692" s="1" t="s">
        <v>28181</v>
      </c>
      <c r="N2692" s="1" t="s">
        <v>28182</v>
      </c>
    </row>
    <row r="2693">
      <c r="A2693" s="1" t="s">
        <v>2137</v>
      </c>
      <c r="B2693" s="1">
        <v>2015.0</v>
      </c>
      <c r="C2693" s="1" t="s">
        <v>27222</v>
      </c>
      <c r="D2693" s="1" t="s">
        <v>27223</v>
      </c>
      <c r="E2693" s="2" t="s">
        <v>27224</v>
      </c>
      <c r="F2693" s="1">
        <v>439.0</v>
      </c>
      <c r="G2693" s="1">
        <v>448.0</v>
      </c>
      <c r="H2693" s="1" t="s">
        <v>17059</v>
      </c>
      <c r="I2693" s="1" t="s">
        <v>27225</v>
      </c>
      <c r="J2693" s="1" t="s">
        <v>27226</v>
      </c>
      <c r="K2693" s="1"/>
      <c r="L2693" s="1" t="s">
        <v>5349</v>
      </c>
      <c r="M2693" s="1" t="s">
        <v>27229</v>
      </c>
      <c r="N2693" s="1" t="s">
        <v>27230</v>
      </c>
    </row>
    <row r="2694">
      <c r="A2694" s="1" t="s">
        <v>120</v>
      </c>
      <c r="B2694" s="1">
        <v>2015.0</v>
      </c>
      <c r="C2694" s="1" t="s">
        <v>28185</v>
      </c>
      <c r="D2694" s="1" t="s">
        <v>28187</v>
      </c>
      <c r="E2694" s="2" t="s">
        <v>28188</v>
      </c>
      <c r="F2694" s="1">
        <v>310.0</v>
      </c>
      <c r="G2694" s="1">
        <v>319.0</v>
      </c>
      <c r="H2694" s="1" t="s">
        <v>17059</v>
      </c>
      <c r="I2694" s="1" t="s">
        <v>32452</v>
      </c>
      <c r="J2694" s="1" t="s">
        <v>28191</v>
      </c>
      <c r="K2694" s="1"/>
      <c r="L2694" s="1" t="s">
        <v>5349</v>
      </c>
      <c r="M2694" s="1" t="s">
        <v>28193</v>
      </c>
      <c r="N2694" s="1" t="s">
        <v>28194</v>
      </c>
    </row>
    <row r="2695">
      <c r="A2695" s="1" t="s">
        <v>2137</v>
      </c>
      <c r="B2695" s="1">
        <v>2015.0</v>
      </c>
      <c r="C2695" s="1" t="s">
        <v>27232</v>
      </c>
      <c r="D2695" s="1" t="s">
        <v>27233</v>
      </c>
      <c r="E2695" s="2" t="s">
        <v>27234</v>
      </c>
      <c r="F2695" s="1">
        <v>369.0</v>
      </c>
      <c r="G2695" s="1">
        <v>378.0</v>
      </c>
      <c r="H2695" s="1" t="s">
        <v>17059</v>
      </c>
      <c r="I2695" s="1" t="s">
        <v>27236</v>
      </c>
      <c r="J2695" s="1" t="s">
        <v>27237</v>
      </c>
      <c r="K2695" s="1"/>
      <c r="L2695" s="1" t="s">
        <v>5349</v>
      </c>
      <c r="M2695" s="1" t="s">
        <v>27239</v>
      </c>
      <c r="N2695" s="1" t="s">
        <v>27240</v>
      </c>
    </row>
    <row r="2696">
      <c r="A2696" s="1" t="s">
        <v>2137</v>
      </c>
      <c r="B2696" s="1">
        <v>2015.0</v>
      </c>
      <c r="C2696" s="1" t="s">
        <v>27241</v>
      </c>
      <c r="D2696" s="1" t="s">
        <v>27242</v>
      </c>
      <c r="E2696" s="2" t="s">
        <v>27243</v>
      </c>
      <c r="F2696" s="1">
        <v>559.0</v>
      </c>
      <c r="G2696" s="1">
        <v>568.0</v>
      </c>
      <c r="H2696" s="1" t="s">
        <v>17059</v>
      </c>
      <c r="I2696" s="1" t="s">
        <v>27245</v>
      </c>
      <c r="J2696" s="1" t="s">
        <v>27246</v>
      </c>
      <c r="K2696" s="1"/>
      <c r="L2696" s="1" t="s">
        <v>28489</v>
      </c>
      <c r="M2696" s="1" t="s">
        <v>27249</v>
      </c>
      <c r="N2696" s="1" t="s">
        <v>27250</v>
      </c>
    </row>
    <row r="2697">
      <c r="A2697" s="1" t="s">
        <v>120</v>
      </c>
      <c r="B2697" s="1">
        <v>2015.0</v>
      </c>
      <c r="C2697" s="1" t="s">
        <v>28196</v>
      </c>
      <c r="D2697" s="1" t="s">
        <v>28197</v>
      </c>
      <c r="E2697" s="2" t="s">
        <v>28199</v>
      </c>
      <c r="F2697" s="1">
        <v>61.0</v>
      </c>
      <c r="G2697" s="1">
        <v>70.0</v>
      </c>
      <c r="H2697" s="1" t="s">
        <v>17059</v>
      </c>
      <c r="I2697" s="1" t="s">
        <v>28201</v>
      </c>
      <c r="J2697" s="1" t="s">
        <v>28202</v>
      </c>
      <c r="K2697" s="1"/>
      <c r="L2697" s="1" t="s">
        <v>29480</v>
      </c>
      <c r="M2697" s="1" t="s">
        <v>28204</v>
      </c>
      <c r="N2697" s="1" t="s">
        <v>28205</v>
      </c>
      <c r="P2697" s="1"/>
      <c r="Q2697" s="1" t="s">
        <v>19037</v>
      </c>
    </row>
    <row r="2698">
      <c r="A2698" s="1" t="s">
        <v>2137</v>
      </c>
      <c r="B2698" s="1">
        <v>2015.0</v>
      </c>
      <c r="C2698" s="1" t="s">
        <v>27251</v>
      </c>
      <c r="D2698" s="1" t="s">
        <v>27252</v>
      </c>
      <c r="E2698" s="2" t="s">
        <v>27253</v>
      </c>
      <c r="F2698" s="1">
        <v>589.0</v>
      </c>
      <c r="G2698" s="1">
        <v>598.0</v>
      </c>
      <c r="H2698" s="1" t="s">
        <v>17059</v>
      </c>
      <c r="I2698" s="1" t="s">
        <v>27254</v>
      </c>
      <c r="J2698" s="1" t="s">
        <v>27255</v>
      </c>
      <c r="K2698" s="1"/>
      <c r="L2698" s="1" t="s">
        <v>880</v>
      </c>
      <c r="M2698" s="1" t="s">
        <v>27259</v>
      </c>
      <c r="N2698" s="1" t="s">
        <v>27260</v>
      </c>
    </row>
    <row r="2699">
      <c r="A2699" s="1" t="s">
        <v>2137</v>
      </c>
      <c r="B2699" s="1">
        <v>2015.0</v>
      </c>
      <c r="C2699" s="1" t="s">
        <v>27261</v>
      </c>
      <c r="D2699" s="1" t="s">
        <v>27262</v>
      </c>
      <c r="E2699" s="2" t="s">
        <v>27263</v>
      </c>
      <c r="F2699" s="1">
        <v>399.0</v>
      </c>
      <c r="G2699" s="1">
        <v>408.0</v>
      </c>
      <c r="H2699" s="1" t="s">
        <v>17059</v>
      </c>
      <c r="I2699" s="1" t="s">
        <v>27264</v>
      </c>
      <c r="J2699" s="1" t="s">
        <v>27265</v>
      </c>
      <c r="K2699" s="1"/>
      <c r="L2699" s="1" t="s">
        <v>1253</v>
      </c>
      <c r="M2699" s="1" t="s">
        <v>27267</v>
      </c>
      <c r="N2699" s="1" t="s">
        <v>27268</v>
      </c>
    </row>
    <row r="2700">
      <c r="A2700" s="1" t="s">
        <v>120</v>
      </c>
      <c r="B2700" s="1">
        <v>2015.0</v>
      </c>
      <c r="C2700" s="1" t="s">
        <v>28207</v>
      </c>
      <c r="D2700" s="1" t="s">
        <v>28208</v>
      </c>
      <c r="E2700" s="2" t="s">
        <v>28209</v>
      </c>
      <c r="F2700" s="1">
        <v>230.0</v>
      </c>
      <c r="G2700" s="1">
        <v>239.0</v>
      </c>
      <c r="H2700" s="1" t="s">
        <v>17059</v>
      </c>
      <c r="I2700" s="1" t="s">
        <v>28211</v>
      </c>
      <c r="J2700" s="1" t="s">
        <v>28213</v>
      </c>
      <c r="K2700" s="1"/>
      <c r="L2700" s="1" t="s">
        <v>29407</v>
      </c>
      <c r="M2700" s="1" t="s">
        <v>28215</v>
      </c>
      <c r="N2700" s="1" t="s">
        <v>28216</v>
      </c>
    </row>
    <row r="2701">
      <c r="A2701" s="1" t="s">
        <v>2137</v>
      </c>
      <c r="B2701" s="1">
        <v>2015.0</v>
      </c>
      <c r="C2701" s="1" t="s">
        <v>27269</v>
      </c>
      <c r="D2701" s="1" t="s">
        <v>27270</v>
      </c>
      <c r="E2701" s="2" t="s">
        <v>27271</v>
      </c>
      <c r="F2701" s="1">
        <v>479.0</v>
      </c>
      <c r="G2701" s="1">
        <v>488.0</v>
      </c>
      <c r="H2701" s="1" t="s">
        <v>17059</v>
      </c>
      <c r="I2701" s="1" t="s">
        <v>32453</v>
      </c>
      <c r="J2701" s="1" t="s">
        <v>32454</v>
      </c>
      <c r="K2701" s="1"/>
      <c r="L2701" s="1" t="s">
        <v>28186</v>
      </c>
      <c r="M2701" s="1" t="s">
        <v>27277</v>
      </c>
      <c r="N2701" s="1" t="s">
        <v>27278</v>
      </c>
    </row>
    <row r="2702">
      <c r="A2702" s="1" t="s">
        <v>4153</v>
      </c>
      <c r="B2702" s="1">
        <v>2015.0</v>
      </c>
      <c r="C2702" s="1" t="s">
        <v>27713</v>
      </c>
      <c r="D2702" s="1" t="s">
        <v>27714</v>
      </c>
      <c r="E2702" s="2" t="s">
        <v>27715</v>
      </c>
      <c r="F2702" s="1">
        <v>847.0</v>
      </c>
      <c r="G2702" s="1">
        <v>856.0</v>
      </c>
      <c r="H2702" s="1" t="s">
        <v>17059</v>
      </c>
      <c r="I2702" s="1" t="s">
        <v>27716</v>
      </c>
      <c r="J2702" s="1" t="s">
        <v>27717</v>
      </c>
      <c r="K2702" s="1"/>
      <c r="L2702" s="1" t="s">
        <v>29073</v>
      </c>
      <c r="M2702" s="1" t="s">
        <v>27719</v>
      </c>
      <c r="N2702" s="1" t="s">
        <v>27720</v>
      </c>
    </row>
    <row r="2703">
      <c r="A2703" s="1" t="s">
        <v>120</v>
      </c>
      <c r="B2703" s="1">
        <v>2015.0</v>
      </c>
      <c r="C2703" s="1" t="s">
        <v>28217</v>
      </c>
      <c r="D2703" s="1" t="s">
        <v>28218</v>
      </c>
      <c r="E2703" s="2" t="s">
        <v>28219</v>
      </c>
      <c r="F2703" s="1">
        <v>111.0</v>
      </c>
      <c r="G2703" s="1">
        <v>120.0</v>
      </c>
      <c r="H2703" s="1" t="s">
        <v>17059</v>
      </c>
      <c r="I2703" s="1" t="s">
        <v>28223</v>
      </c>
      <c r="J2703" s="1" t="s">
        <v>28224</v>
      </c>
      <c r="K2703" s="1"/>
      <c r="L2703" s="1" t="s">
        <v>29493</v>
      </c>
      <c r="M2703" s="1" t="s">
        <v>28227</v>
      </c>
      <c r="N2703" s="1" t="s">
        <v>28228</v>
      </c>
    </row>
    <row r="2704">
      <c r="A2704" s="1" t="s">
        <v>4153</v>
      </c>
      <c r="B2704" s="1">
        <v>2015.0</v>
      </c>
      <c r="C2704" s="1" t="s">
        <v>27721</v>
      </c>
      <c r="D2704" s="1" t="s">
        <v>27722</v>
      </c>
      <c r="E2704" s="2" t="s">
        <v>27723</v>
      </c>
      <c r="F2704" s="1">
        <v>777.0</v>
      </c>
      <c r="G2704" s="1">
        <v>786.0</v>
      </c>
      <c r="H2704" s="1" t="s">
        <v>17059</v>
      </c>
      <c r="I2704" s="1" t="s">
        <v>27725</v>
      </c>
      <c r="J2704" s="1" t="s">
        <v>27726</v>
      </c>
      <c r="K2704" s="1"/>
      <c r="L2704" s="1" t="s">
        <v>28904</v>
      </c>
      <c r="M2704" s="1" t="s">
        <v>27728</v>
      </c>
      <c r="N2704" s="1" t="s">
        <v>27729</v>
      </c>
    </row>
    <row r="2705">
      <c r="A2705" s="1" t="s">
        <v>4153</v>
      </c>
      <c r="B2705" s="1">
        <v>2015.0</v>
      </c>
      <c r="C2705" s="1" t="s">
        <v>27730</v>
      </c>
      <c r="D2705" s="1" t="s">
        <v>27731</v>
      </c>
      <c r="E2705" s="2" t="s">
        <v>27732</v>
      </c>
      <c r="F2705" s="1">
        <v>728.0</v>
      </c>
      <c r="G2705" s="1">
        <v>737.0</v>
      </c>
      <c r="H2705" s="1" t="s">
        <v>17059</v>
      </c>
      <c r="I2705" s="1" t="s">
        <v>27733</v>
      </c>
      <c r="J2705" s="1" t="s">
        <v>32455</v>
      </c>
      <c r="K2705" s="1"/>
      <c r="L2705" s="1" t="s">
        <v>28962</v>
      </c>
      <c r="M2705" s="1" t="s">
        <v>27738</v>
      </c>
      <c r="N2705" s="1" t="s">
        <v>27739</v>
      </c>
    </row>
    <row r="2706">
      <c r="A2706" s="1" t="s">
        <v>4153</v>
      </c>
      <c r="B2706" s="1">
        <v>2015.0</v>
      </c>
      <c r="C2706" s="1" t="s">
        <v>27740</v>
      </c>
      <c r="D2706" s="1" t="s">
        <v>27741</v>
      </c>
      <c r="E2706" s="2" t="s">
        <v>27742</v>
      </c>
      <c r="F2706" s="1">
        <v>926.0</v>
      </c>
      <c r="G2706" s="1">
        <v>934.0</v>
      </c>
      <c r="H2706" s="1" t="s">
        <v>17059</v>
      </c>
      <c r="I2706" s="1" t="s">
        <v>27743</v>
      </c>
      <c r="J2706" s="1" t="s">
        <v>27744</v>
      </c>
      <c r="K2706" s="1"/>
      <c r="L2706" s="1" t="s">
        <v>28806</v>
      </c>
      <c r="M2706" s="1"/>
      <c r="N2706" s="1" t="s">
        <v>27746</v>
      </c>
    </row>
    <row r="2707">
      <c r="A2707" s="1" t="s">
        <v>4153</v>
      </c>
      <c r="B2707" s="1">
        <v>2015.0</v>
      </c>
      <c r="C2707" s="1" t="s">
        <v>27747</v>
      </c>
      <c r="D2707" s="1" t="s">
        <v>27748</v>
      </c>
      <c r="E2707" s="2" t="s">
        <v>27749</v>
      </c>
      <c r="F2707" s="1">
        <v>1015.0</v>
      </c>
      <c r="G2707" s="1">
        <v>1024.0</v>
      </c>
      <c r="H2707" s="1" t="s">
        <v>17059</v>
      </c>
      <c r="I2707" s="1" t="s">
        <v>27856</v>
      </c>
      <c r="J2707" s="1" t="s">
        <v>27857</v>
      </c>
      <c r="K2707" s="1"/>
      <c r="L2707" s="1" t="s">
        <v>28716</v>
      </c>
      <c r="M2707" s="1" t="s">
        <v>27859</v>
      </c>
      <c r="N2707" s="1" t="s">
        <v>27860</v>
      </c>
    </row>
    <row r="2708">
      <c r="A2708" s="1" t="s">
        <v>120</v>
      </c>
      <c r="B2708" s="1">
        <v>2015.0</v>
      </c>
      <c r="C2708" s="1" t="s">
        <v>28229</v>
      </c>
      <c r="D2708" s="1" t="s">
        <v>28230</v>
      </c>
      <c r="E2708" s="2" t="s">
        <v>28231</v>
      </c>
      <c r="F2708" s="1">
        <v>210.0</v>
      </c>
      <c r="G2708" s="1">
        <v>219.0</v>
      </c>
      <c r="H2708" s="1" t="s">
        <v>17059</v>
      </c>
      <c r="I2708" s="1" t="s">
        <v>28235</v>
      </c>
      <c r="J2708" s="1" t="s">
        <v>28236</v>
      </c>
      <c r="K2708" s="1"/>
      <c r="L2708" s="1" t="s">
        <v>880</v>
      </c>
      <c r="M2708" s="1" t="s">
        <v>28238</v>
      </c>
      <c r="N2708" s="1" t="s">
        <v>28239</v>
      </c>
    </row>
    <row r="2709">
      <c r="A2709" s="1" t="s">
        <v>120</v>
      </c>
      <c r="B2709" s="1">
        <v>2015.0</v>
      </c>
      <c r="C2709" s="1" t="s">
        <v>28240</v>
      </c>
      <c r="D2709" s="1" t="s">
        <v>28241</v>
      </c>
      <c r="E2709" s="2" t="s">
        <v>28242</v>
      </c>
      <c r="F2709" s="1">
        <v>220.0</v>
      </c>
      <c r="G2709" s="1">
        <v>229.0</v>
      </c>
      <c r="H2709" s="1" t="s">
        <v>17059</v>
      </c>
      <c r="I2709" s="1" t="s">
        <v>28244</v>
      </c>
      <c r="J2709" s="1" t="s">
        <v>28245</v>
      </c>
      <c r="K2709" s="1"/>
      <c r="L2709" s="1" t="s">
        <v>13886</v>
      </c>
      <c r="M2709" s="1" t="s">
        <v>28247</v>
      </c>
      <c r="N2709" s="1" t="s">
        <v>28248</v>
      </c>
    </row>
    <row r="2710">
      <c r="A2710" s="1" t="s">
        <v>2137</v>
      </c>
      <c r="B2710" s="1">
        <v>2015.0</v>
      </c>
      <c r="C2710" s="1" t="s">
        <v>27279</v>
      </c>
      <c r="D2710" s="1" t="s">
        <v>27280</v>
      </c>
      <c r="E2710" s="2" t="s">
        <v>27281</v>
      </c>
      <c r="F2710" s="1">
        <v>678.0</v>
      </c>
      <c r="G2710" s="1">
        <v>687.0</v>
      </c>
      <c r="H2710" s="1" t="s">
        <v>17059</v>
      </c>
      <c r="I2710" s="1" t="s">
        <v>27282</v>
      </c>
      <c r="J2710" s="1" t="s">
        <v>27284</v>
      </c>
      <c r="K2710" s="1"/>
      <c r="L2710" s="1" t="s">
        <v>494</v>
      </c>
      <c r="M2710" s="1" t="s">
        <v>27287</v>
      </c>
      <c r="N2710" s="1" t="s">
        <v>27288</v>
      </c>
    </row>
    <row r="2711">
      <c r="A2711" s="1" t="s">
        <v>120</v>
      </c>
      <c r="B2711" s="1">
        <v>2015.0</v>
      </c>
      <c r="C2711" s="1" t="s">
        <v>28249</v>
      </c>
      <c r="D2711" s="1" t="s">
        <v>28250</v>
      </c>
      <c r="E2711" s="2" t="s">
        <v>28251</v>
      </c>
      <c r="F2711" s="1">
        <v>290.0</v>
      </c>
      <c r="G2711" s="1">
        <v>299.0</v>
      </c>
      <c r="H2711" s="1" t="s">
        <v>17059</v>
      </c>
      <c r="I2711" s="1" t="s">
        <v>28258</v>
      </c>
      <c r="J2711" s="1" t="s">
        <v>32499</v>
      </c>
      <c r="K2711" s="1"/>
      <c r="L2711" s="1" t="s">
        <v>860</v>
      </c>
      <c r="M2711" s="1" t="s">
        <v>28262</v>
      </c>
      <c r="N2711" s="1" t="s">
        <v>28263</v>
      </c>
    </row>
    <row r="2712">
      <c r="A2712" s="1" t="s">
        <v>4153</v>
      </c>
      <c r="B2712" s="1">
        <v>2015.0</v>
      </c>
      <c r="C2712" s="1" t="s">
        <v>27861</v>
      </c>
      <c r="D2712" s="1" t="s">
        <v>27862</v>
      </c>
      <c r="E2712" s="2" t="s">
        <v>27863</v>
      </c>
      <c r="F2712" s="1">
        <v>965.0</v>
      </c>
      <c r="G2712" s="1">
        <v>974.0</v>
      </c>
      <c r="H2712" s="1" t="s">
        <v>17059</v>
      </c>
      <c r="I2712" s="1" t="s">
        <v>27866</v>
      </c>
      <c r="J2712" s="1" t="s">
        <v>27867</v>
      </c>
      <c r="K2712" s="1"/>
      <c r="L2712" s="1" t="s">
        <v>28920</v>
      </c>
      <c r="M2712" s="1" t="s">
        <v>27869</v>
      </c>
      <c r="N2712" s="1" t="s">
        <v>27870</v>
      </c>
    </row>
    <row r="2713">
      <c r="A2713" s="1" t="s">
        <v>120</v>
      </c>
      <c r="B2713" s="1">
        <v>2015.0</v>
      </c>
      <c r="C2713" s="1" t="s">
        <v>28264</v>
      </c>
      <c r="D2713" s="1" t="s">
        <v>28265</v>
      </c>
      <c r="E2713" s="2" t="s">
        <v>28266</v>
      </c>
      <c r="F2713" s="1">
        <v>1.0</v>
      </c>
      <c r="G2713" s="1">
        <v>10.0</v>
      </c>
      <c r="H2713" s="1" t="s">
        <v>17059</v>
      </c>
      <c r="I2713" s="1" t="s">
        <v>28272</v>
      </c>
      <c r="J2713" s="1" t="s">
        <v>28273</v>
      </c>
      <c r="K2713" s="1"/>
      <c r="L2713" s="1" t="s">
        <v>5349</v>
      </c>
      <c r="M2713" s="1" t="s">
        <v>28278</v>
      </c>
      <c r="N2713" s="1" t="s">
        <v>28279</v>
      </c>
      <c r="P2713" s="1"/>
      <c r="Q2713" s="1" t="s">
        <v>106</v>
      </c>
    </row>
    <row r="2714">
      <c r="A2714" s="1" t="s">
        <v>4153</v>
      </c>
      <c r="B2714" s="1">
        <v>2015.0</v>
      </c>
      <c r="C2714" s="1" t="s">
        <v>27871</v>
      </c>
      <c r="D2714" s="1" t="s">
        <v>27872</v>
      </c>
      <c r="E2714" s="2" t="s">
        <v>27873</v>
      </c>
      <c r="F2714" s="1">
        <v>1005.0</v>
      </c>
      <c r="G2714" s="1">
        <v>1014.0</v>
      </c>
      <c r="H2714" s="1" t="s">
        <v>17059</v>
      </c>
      <c r="I2714" s="1" t="s">
        <v>27874</v>
      </c>
      <c r="J2714" s="1" t="s">
        <v>27875</v>
      </c>
      <c r="K2714" s="1"/>
      <c r="L2714" s="1" t="s">
        <v>860</v>
      </c>
      <c r="M2714" s="1" t="s">
        <v>27878</v>
      </c>
      <c r="N2714" s="1" t="s">
        <v>27879</v>
      </c>
    </row>
    <row r="2715">
      <c r="A2715" s="1" t="s">
        <v>4153</v>
      </c>
      <c r="B2715" s="1">
        <v>2015.0</v>
      </c>
      <c r="C2715" s="1" t="s">
        <v>27881</v>
      </c>
      <c r="D2715" s="1" t="s">
        <v>27882</v>
      </c>
      <c r="E2715" s="2" t="s">
        <v>27883</v>
      </c>
      <c r="F2715" s="1">
        <v>787.0</v>
      </c>
      <c r="G2715" s="1">
        <v>796.0</v>
      </c>
      <c r="H2715" s="1" t="s">
        <v>17059</v>
      </c>
      <c r="I2715" s="1" t="s">
        <v>27884</v>
      </c>
      <c r="J2715" s="1" t="s">
        <v>27885</v>
      </c>
      <c r="K2715" s="1"/>
      <c r="L2715" s="1" t="s">
        <v>494</v>
      </c>
      <c r="M2715" s="1" t="s">
        <v>27887</v>
      </c>
      <c r="N2715" s="1" t="s">
        <v>27888</v>
      </c>
    </row>
    <row r="2716">
      <c r="A2716" s="1" t="s">
        <v>120</v>
      </c>
      <c r="B2716" s="1">
        <v>2015.0</v>
      </c>
      <c r="C2716" s="1" t="s">
        <v>28280</v>
      </c>
      <c r="D2716" s="1" t="s">
        <v>28281</v>
      </c>
      <c r="E2716" s="2" t="s">
        <v>28282</v>
      </c>
      <c r="F2716" s="1">
        <v>11.0</v>
      </c>
      <c r="G2716" s="1">
        <v>20.0</v>
      </c>
      <c r="H2716" s="1" t="s">
        <v>17059</v>
      </c>
      <c r="I2716" s="1" t="s">
        <v>28288</v>
      </c>
      <c r="J2716" s="1" t="s">
        <v>28289</v>
      </c>
      <c r="K2716" s="1"/>
      <c r="L2716" s="1" t="s">
        <v>29290</v>
      </c>
      <c r="M2716" s="1" t="s">
        <v>28292</v>
      </c>
      <c r="N2716" s="1" t="s">
        <v>28293</v>
      </c>
    </row>
    <row r="2717">
      <c r="A2717" s="1" t="s">
        <v>120</v>
      </c>
      <c r="B2717" s="1">
        <v>2015.0</v>
      </c>
      <c r="C2717" s="1" t="s">
        <v>28294</v>
      </c>
      <c r="D2717" s="1" t="s">
        <v>28295</v>
      </c>
      <c r="E2717" s="2" t="s">
        <v>28296</v>
      </c>
      <c r="F2717" s="1">
        <v>260.0</v>
      </c>
      <c r="G2717" s="1">
        <v>269.0</v>
      </c>
      <c r="H2717" s="1" t="s">
        <v>17059</v>
      </c>
      <c r="I2717" s="1" t="s">
        <v>28299</v>
      </c>
      <c r="J2717" s="1" t="s">
        <v>28301</v>
      </c>
      <c r="K2717" s="1"/>
      <c r="L2717" s="1" t="s">
        <v>26881</v>
      </c>
      <c r="M2717" s="1" t="s">
        <v>28303</v>
      </c>
      <c r="N2717" s="1" t="s">
        <v>28304</v>
      </c>
    </row>
    <row r="2718">
      <c r="A2718" s="1" t="s">
        <v>120</v>
      </c>
      <c r="B2718" s="1">
        <v>2015.0</v>
      </c>
      <c r="C2718" s="1" t="s">
        <v>28306</v>
      </c>
      <c r="D2718" s="1" t="s">
        <v>28308</v>
      </c>
      <c r="E2718" s="2" t="s">
        <v>28309</v>
      </c>
      <c r="F2718" s="1">
        <v>81.0</v>
      </c>
      <c r="G2718" s="1">
        <v>90.0</v>
      </c>
      <c r="H2718" s="1" t="s">
        <v>17059</v>
      </c>
      <c r="I2718" s="1" t="s">
        <v>28314</v>
      </c>
      <c r="J2718" s="1" t="s">
        <v>32688</v>
      </c>
      <c r="K2718" s="1"/>
      <c r="L2718" s="1" t="s">
        <v>29113</v>
      </c>
      <c r="M2718" s="1" t="s">
        <v>28317</v>
      </c>
      <c r="N2718" s="1" t="s">
        <v>28318</v>
      </c>
    </row>
    <row r="2719">
      <c r="A2719" s="1" t="s">
        <v>120</v>
      </c>
      <c r="B2719" s="1">
        <v>2015.0</v>
      </c>
      <c r="C2719" s="1" t="s">
        <v>28319</v>
      </c>
      <c r="D2719" s="1" t="s">
        <v>28320</v>
      </c>
      <c r="E2719" s="2" t="s">
        <v>28321</v>
      </c>
      <c r="F2719" s="1">
        <v>21.0</v>
      </c>
      <c r="G2719" s="1">
        <v>30.0</v>
      </c>
      <c r="H2719" s="1" t="s">
        <v>17059</v>
      </c>
      <c r="I2719" s="1" t="s">
        <v>28327</v>
      </c>
      <c r="J2719" s="1" t="s">
        <v>28328</v>
      </c>
      <c r="K2719" s="1"/>
      <c r="L2719" s="1" t="s">
        <v>29302</v>
      </c>
      <c r="M2719" s="1" t="s">
        <v>28330</v>
      </c>
      <c r="N2719" s="1" t="s">
        <v>28331</v>
      </c>
    </row>
    <row r="2720">
      <c r="A2720" s="1" t="s">
        <v>2137</v>
      </c>
      <c r="B2720" s="1">
        <v>2015.0</v>
      </c>
      <c r="C2720" s="1" t="s">
        <v>27289</v>
      </c>
      <c r="D2720" s="1" t="s">
        <v>27290</v>
      </c>
      <c r="E2720" s="2" t="s">
        <v>27292</v>
      </c>
      <c r="F2720" s="1">
        <v>459.0</v>
      </c>
      <c r="G2720" s="1">
        <v>468.0</v>
      </c>
      <c r="H2720" s="1" t="s">
        <v>17059</v>
      </c>
      <c r="I2720" s="1" t="s">
        <v>27293</v>
      </c>
      <c r="J2720" s="1" t="s">
        <v>27294</v>
      </c>
      <c r="K2720" s="1"/>
      <c r="L2720" s="1" t="s">
        <v>178</v>
      </c>
      <c r="M2720" s="1" t="s">
        <v>27296</v>
      </c>
      <c r="N2720" s="1" t="s">
        <v>27297</v>
      </c>
    </row>
    <row r="2721">
      <c r="A2721" s="1" t="s">
        <v>120</v>
      </c>
      <c r="B2721" s="1">
        <v>2015.0</v>
      </c>
      <c r="C2721" s="1" t="s">
        <v>28332</v>
      </c>
      <c r="D2721" s="1" t="s">
        <v>28333</v>
      </c>
      <c r="E2721" s="2" t="s">
        <v>28334</v>
      </c>
      <c r="F2721" s="1">
        <v>1.0</v>
      </c>
      <c r="G2721" s="1">
        <v>8.0</v>
      </c>
      <c r="H2721" s="1" t="s">
        <v>28</v>
      </c>
      <c r="I2721" s="1" t="s">
        <v>28343</v>
      </c>
      <c r="J2721" s="1" t="s">
        <v>32722</v>
      </c>
      <c r="K2721" s="1"/>
      <c r="L2721" s="1" t="s">
        <v>880</v>
      </c>
      <c r="M2721" s="1" t="s">
        <v>28347</v>
      </c>
      <c r="N2721" s="1" t="s">
        <v>28349</v>
      </c>
    </row>
    <row r="2722">
      <c r="A2722" s="1" t="s">
        <v>120</v>
      </c>
      <c r="B2722" s="1">
        <v>2015.0</v>
      </c>
      <c r="C2722" s="1" t="s">
        <v>28353</v>
      </c>
      <c r="D2722" s="1" t="s">
        <v>28354</v>
      </c>
      <c r="E2722" s="2" t="s">
        <v>28355</v>
      </c>
      <c r="F2722" s="1">
        <v>9.0</v>
      </c>
      <c r="G2722" s="1">
        <v>16.0</v>
      </c>
      <c r="H2722" s="1" t="s">
        <v>28</v>
      </c>
      <c r="I2722" s="1" t="s">
        <v>28359</v>
      </c>
      <c r="J2722" s="1" t="s">
        <v>28360</v>
      </c>
      <c r="K2722" s="1"/>
      <c r="L2722" s="1" t="s">
        <v>29284</v>
      </c>
      <c r="M2722" s="1" t="s">
        <v>28363</v>
      </c>
      <c r="N2722" s="1" t="s">
        <v>28364</v>
      </c>
    </row>
    <row r="2723">
      <c r="A2723" s="1" t="s">
        <v>120</v>
      </c>
      <c r="B2723" s="1">
        <v>2015.0</v>
      </c>
      <c r="C2723" s="1" t="s">
        <v>28366</v>
      </c>
      <c r="D2723" s="1" t="s">
        <v>28368</v>
      </c>
      <c r="E2723" s="2" t="s">
        <v>28369</v>
      </c>
      <c r="F2723" s="1">
        <v>17.0</v>
      </c>
      <c r="G2723" s="1">
        <v>24.0</v>
      </c>
      <c r="H2723" s="1" t="s">
        <v>28</v>
      </c>
      <c r="I2723" s="1" t="s">
        <v>28375</v>
      </c>
      <c r="J2723" s="1" t="s">
        <v>28377</v>
      </c>
      <c r="K2723" s="1"/>
      <c r="L2723" s="1" t="s">
        <v>29209</v>
      </c>
      <c r="M2723" s="1" t="s">
        <v>28381</v>
      </c>
      <c r="N2723" s="1" t="s">
        <v>28382</v>
      </c>
    </row>
    <row r="2724">
      <c r="A2724" s="1" t="s">
        <v>120</v>
      </c>
      <c r="B2724" s="1">
        <v>2015.0</v>
      </c>
      <c r="C2724" s="1" t="s">
        <v>28383</v>
      </c>
      <c r="D2724" s="1" t="s">
        <v>28384</v>
      </c>
      <c r="E2724" s="2" t="s">
        <v>28385</v>
      </c>
      <c r="F2724" s="1">
        <v>25.0</v>
      </c>
      <c r="G2724" s="1">
        <v>32.0</v>
      </c>
      <c r="H2724" s="1" t="s">
        <v>28</v>
      </c>
      <c r="I2724" s="1" t="s">
        <v>28388</v>
      </c>
      <c r="J2724" s="1" t="s">
        <v>28390</v>
      </c>
      <c r="K2724" s="1"/>
      <c r="L2724" s="1" t="s">
        <v>29156</v>
      </c>
      <c r="M2724" s="1" t="s">
        <v>28393</v>
      </c>
      <c r="N2724" s="1" t="s">
        <v>28394</v>
      </c>
    </row>
    <row r="2725">
      <c r="A2725" s="1" t="s">
        <v>120</v>
      </c>
      <c r="B2725" s="1">
        <v>2015.0</v>
      </c>
      <c r="C2725" s="1" t="s">
        <v>28447</v>
      </c>
      <c r="D2725" s="1" t="s">
        <v>28448</v>
      </c>
      <c r="E2725" s="2" t="s">
        <v>28449</v>
      </c>
      <c r="F2725" s="1">
        <v>33.0</v>
      </c>
      <c r="G2725" s="1">
        <v>40.0</v>
      </c>
      <c r="H2725" s="1" t="s">
        <v>28</v>
      </c>
      <c r="I2725" s="1" t="s">
        <v>28456</v>
      </c>
      <c r="J2725" s="1" t="s">
        <v>28457</v>
      </c>
      <c r="K2725" s="1"/>
      <c r="L2725" s="1" t="s">
        <v>29183</v>
      </c>
      <c r="M2725" s="1" t="s">
        <v>19321</v>
      </c>
    </row>
    <row r="2726">
      <c r="A2726" s="1" t="s">
        <v>120</v>
      </c>
      <c r="B2726" s="1">
        <v>2015.0</v>
      </c>
      <c r="C2726" s="1" t="s">
        <v>28459</v>
      </c>
      <c r="D2726" s="1" t="s">
        <v>28460</v>
      </c>
      <c r="E2726" s="2" t="s">
        <v>28461</v>
      </c>
      <c r="F2726" s="1">
        <v>41.0</v>
      </c>
      <c r="G2726" s="1">
        <v>48.0</v>
      </c>
      <c r="H2726" s="1" t="s">
        <v>28</v>
      </c>
      <c r="I2726" s="1" t="s">
        <v>28465</v>
      </c>
      <c r="J2726" s="1" t="s">
        <v>32869</v>
      </c>
      <c r="K2726" s="1"/>
      <c r="L2726" s="1" t="s">
        <v>29341</v>
      </c>
      <c r="M2726" s="1" t="s">
        <v>28470</v>
      </c>
    </row>
    <row r="2727">
      <c r="A2727" s="1" t="s">
        <v>120</v>
      </c>
      <c r="B2727" s="1">
        <v>2015.0</v>
      </c>
      <c r="C2727" s="1" t="s">
        <v>28471</v>
      </c>
      <c r="D2727" s="1" t="s">
        <v>28472</v>
      </c>
      <c r="E2727" s="2" t="s">
        <v>28473</v>
      </c>
      <c r="F2727" s="1">
        <v>49.0</v>
      </c>
      <c r="G2727" s="1">
        <v>56.0</v>
      </c>
      <c r="H2727" s="1" t="s">
        <v>28</v>
      </c>
      <c r="I2727" s="1" t="s">
        <v>28479</v>
      </c>
      <c r="J2727" s="1" t="s">
        <v>28480</v>
      </c>
      <c r="K2727" s="1"/>
      <c r="L2727" s="1" t="s">
        <v>29264</v>
      </c>
      <c r="M2727" s="1" t="s">
        <v>28482</v>
      </c>
      <c r="N2727" s="1" t="s">
        <v>28483</v>
      </c>
    </row>
    <row r="2728">
      <c r="A2728" s="1" t="s">
        <v>120</v>
      </c>
      <c r="B2728" s="1">
        <v>2015.0</v>
      </c>
      <c r="C2728" s="1" t="s">
        <v>28485</v>
      </c>
      <c r="D2728" s="1" t="s">
        <v>28486</v>
      </c>
      <c r="E2728" s="2" t="s">
        <v>28487</v>
      </c>
      <c r="F2728" s="1">
        <v>57.0</v>
      </c>
      <c r="G2728" s="1">
        <v>64.0</v>
      </c>
      <c r="H2728" s="1" t="s">
        <v>28</v>
      </c>
      <c r="I2728" s="1" t="s">
        <v>28491</v>
      </c>
      <c r="J2728" s="1" t="s">
        <v>28492</v>
      </c>
      <c r="K2728" s="1"/>
      <c r="L2728" s="1" t="s">
        <v>29164</v>
      </c>
      <c r="M2728" s="1" t="s">
        <v>28496</v>
      </c>
      <c r="N2728" s="1" t="s">
        <v>28497</v>
      </c>
    </row>
    <row r="2729">
      <c r="A2729" s="1" t="s">
        <v>120</v>
      </c>
      <c r="B2729" s="1">
        <v>2015.0</v>
      </c>
      <c r="C2729" s="1" t="s">
        <v>28499</v>
      </c>
      <c r="D2729" s="1" t="s">
        <v>28500</v>
      </c>
      <c r="E2729" s="2" t="s">
        <v>28501</v>
      </c>
      <c r="F2729" s="1">
        <v>65.0</v>
      </c>
      <c r="G2729" s="1">
        <v>72.0</v>
      </c>
      <c r="H2729" s="1" t="s">
        <v>28</v>
      </c>
      <c r="I2729" s="1" t="s">
        <v>28507</v>
      </c>
      <c r="J2729" s="1" t="s">
        <v>28508</v>
      </c>
      <c r="K2729" s="1"/>
      <c r="L2729" s="1" t="s">
        <v>29166</v>
      </c>
      <c r="M2729" s="1" t="s">
        <v>28511</v>
      </c>
    </row>
    <row r="2730">
      <c r="A2730" s="1" t="s">
        <v>120</v>
      </c>
      <c r="B2730" s="1">
        <v>2015.0</v>
      </c>
      <c r="C2730" s="1" t="s">
        <v>28512</v>
      </c>
      <c r="D2730" s="1" t="s">
        <v>28513</v>
      </c>
      <c r="E2730" s="2" t="s">
        <v>28514</v>
      </c>
      <c r="F2730" s="1">
        <v>73.0</v>
      </c>
      <c r="G2730" s="1">
        <v>80.0</v>
      </c>
      <c r="H2730" s="1" t="s">
        <v>28</v>
      </c>
      <c r="I2730" s="1" t="s">
        <v>28519</v>
      </c>
      <c r="J2730" s="1" t="s">
        <v>28520</v>
      </c>
      <c r="K2730" s="1"/>
      <c r="L2730" s="1" t="s">
        <v>29189</v>
      </c>
      <c r="M2730" s="1" t="s">
        <v>28522</v>
      </c>
      <c r="N2730" s="1" t="s">
        <v>28523</v>
      </c>
    </row>
    <row r="2731">
      <c r="A2731" s="1" t="s">
        <v>120</v>
      </c>
      <c r="B2731" s="1">
        <v>2015.0</v>
      </c>
      <c r="C2731" s="1" t="s">
        <v>28526</v>
      </c>
      <c r="D2731" s="1" t="s">
        <v>28527</v>
      </c>
      <c r="E2731" s="2" t="s">
        <v>28528</v>
      </c>
      <c r="F2731" s="1">
        <v>81.0</v>
      </c>
      <c r="G2731" s="1">
        <v>88.0</v>
      </c>
      <c r="H2731" s="1" t="s">
        <v>28</v>
      </c>
      <c r="I2731" s="1" t="s">
        <v>28533</v>
      </c>
      <c r="J2731" s="1" t="s">
        <v>32944</v>
      </c>
      <c r="K2731" s="1"/>
      <c r="L2731" s="1" t="s">
        <v>29161</v>
      </c>
      <c r="M2731" s="1" t="s">
        <v>28536</v>
      </c>
      <c r="N2731" s="1" t="s">
        <v>28537</v>
      </c>
    </row>
    <row r="2732">
      <c r="A2732" s="1" t="s">
        <v>120</v>
      </c>
      <c r="B2732" s="1">
        <v>2015.0</v>
      </c>
      <c r="C2732" s="1" t="s">
        <v>28538</v>
      </c>
      <c r="D2732" s="1" t="s">
        <v>28540</v>
      </c>
      <c r="E2732" s="2" t="s">
        <v>28541</v>
      </c>
      <c r="F2732" s="1">
        <v>89.0</v>
      </c>
      <c r="G2732" s="1">
        <v>96.0</v>
      </c>
      <c r="H2732" s="1" t="s">
        <v>28</v>
      </c>
      <c r="I2732" s="1" t="s">
        <v>28548</v>
      </c>
      <c r="J2732" s="1" t="s">
        <v>28549</v>
      </c>
      <c r="K2732" s="1"/>
      <c r="L2732" s="1" t="s">
        <v>29251</v>
      </c>
      <c r="M2732" s="1" t="s">
        <v>28552</v>
      </c>
      <c r="N2732" s="1" t="s">
        <v>28553</v>
      </c>
    </row>
    <row r="2733">
      <c r="A2733" s="1" t="s">
        <v>120</v>
      </c>
      <c r="B2733" s="1">
        <v>2015.0</v>
      </c>
      <c r="C2733" s="1" t="s">
        <v>28556</v>
      </c>
      <c r="D2733" s="1" t="s">
        <v>28557</v>
      </c>
      <c r="E2733" s="2" t="s">
        <v>28559</v>
      </c>
      <c r="F2733" s="1">
        <v>97.0</v>
      </c>
      <c r="G2733" s="1">
        <v>104.0</v>
      </c>
      <c r="H2733" s="1" t="s">
        <v>28</v>
      </c>
      <c r="I2733" s="1" t="s">
        <v>28562</v>
      </c>
      <c r="J2733" s="1" t="s">
        <v>32992</v>
      </c>
      <c r="K2733" s="1"/>
      <c r="L2733" s="1" t="s">
        <v>29460</v>
      </c>
      <c r="M2733" s="1" t="s">
        <v>28568</v>
      </c>
    </row>
    <row r="2734">
      <c r="A2734" s="1" t="s">
        <v>120</v>
      </c>
      <c r="B2734" s="1">
        <v>2015.0</v>
      </c>
      <c r="C2734" s="1" t="s">
        <v>28569</v>
      </c>
      <c r="D2734" s="1" t="s">
        <v>28570</v>
      </c>
      <c r="E2734" s="2" t="s">
        <v>28571</v>
      </c>
      <c r="F2734" s="1">
        <v>105.0</v>
      </c>
      <c r="G2734" s="1">
        <v>112.0</v>
      </c>
      <c r="H2734" s="1" t="s">
        <v>28</v>
      </c>
      <c r="I2734" s="1" t="s">
        <v>28586</v>
      </c>
      <c r="J2734" s="1" t="s">
        <v>28587</v>
      </c>
      <c r="K2734" s="1"/>
      <c r="L2734" s="1" t="s">
        <v>29180</v>
      </c>
      <c r="M2734" s="1" t="s">
        <v>21675</v>
      </c>
    </row>
    <row r="2735">
      <c r="A2735" s="1" t="s">
        <v>120</v>
      </c>
      <c r="B2735" s="1">
        <v>2015.0</v>
      </c>
      <c r="C2735" s="1" t="s">
        <v>28590</v>
      </c>
      <c r="D2735" s="1" t="s">
        <v>28591</v>
      </c>
      <c r="E2735" s="2" t="s">
        <v>28592</v>
      </c>
      <c r="F2735" s="1">
        <v>187.0</v>
      </c>
      <c r="G2735" s="1">
        <v>188.0</v>
      </c>
      <c r="H2735" s="1" t="s">
        <v>21</v>
      </c>
      <c r="I2735" s="1" t="s">
        <v>28598</v>
      </c>
      <c r="J2735" s="1" t="s">
        <v>28599</v>
      </c>
      <c r="K2735" s="1"/>
      <c r="L2735" s="1" t="s">
        <v>29520</v>
      </c>
    </row>
    <row r="2736">
      <c r="A2736" s="1" t="s">
        <v>120</v>
      </c>
      <c r="B2736" s="1">
        <v>2015.0</v>
      </c>
      <c r="C2736" s="1" t="s">
        <v>28604</v>
      </c>
      <c r="D2736" s="1" t="s">
        <v>28605</v>
      </c>
      <c r="E2736" s="2" t="s">
        <v>28607</v>
      </c>
      <c r="F2736" s="1">
        <v>189.0</v>
      </c>
      <c r="G2736" s="1">
        <v>190.0</v>
      </c>
      <c r="H2736" s="1" t="s">
        <v>21</v>
      </c>
      <c r="I2736" s="1" t="s">
        <v>28613</v>
      </c>
      <c r="J2736" s="1" t="s">
        <v>33020</v>
      </c>
      <c r="K2736" s="1"/>
      <c r="L2736" s="1" t="s">
        <v>29522</v>
      </c>
    </row>
    <row r="2737">
      <c r="A2737" s="1" t="s">
        <v>120</v>
      </c>
      <c r="B2737" s="1">
        <v>2015.0</v>
      </c>
      <c r="C2737" s="1" t="s">
        <v>28619</v>
      </c>
      <c r="D2737" s="1" t="s">
        <v>28620</v>
      </c>
      <c r="E2737" s="2" t="s">
        <v>28621</v>
      </c>
      <c r="F2737" s="1">
        <v>191.0</v>
      </c>
      <c r="G2737" s="1">
        <v>192.0</v>
      </c>
      <c r="H2737" s="1" t="s">
        <v>21</v>
      </c>
      <c r="I2737" s="1"/>
      <c r="J2737" s="1" t="s">
        <v>28623</v>
      </c>
      <c r="K2737" s="1"/>
      <c r="L2737" s="1" t="s">
        <v>880</v>
      </c>
    </row>
    <row r="2738">
      <c r="A2738" s="1" t="s">
        <v>120</v>
      </c>
      <c r="B2738" s="1">
        <v>2015.0</v>
      </c>
      <c r="C2738" s="1" t="s">
        <v>28625</v>
      </c>
      <c r="D2738" s="1" t="s">
        <v>28626</v>
      </c>
      <c r="E2738" s="2" t="s">
        <v>28627</v>
      </c>
      <c r="F2738" s="1">
        <v>193.0</v>
      </c>
      <c r="G2738" s="1">
        <v>194.0</v>
      </c>
      <c r="H2738" s="1" t="s">
        <v>21</v>
      </c>
      <c r="I2738" s="1" t="s">
        <v>28628</v>
      </c>
      <c r="J2738" s="1" t="s">
        <v>28629</v>
      </c>
      <c r="K2738" s="1"/>
      <c r="L2738" s="1" t="s">
        <v>494</v>
      </c>
    </row>
    <row r="2739">
      <c r="A2739" s="1" t="s">
        <v>120</v>
      </c>
      <c r="B2739" s="1">
        <v>2015.0</v>
      </c>
      <c r="C2739" s="1" t="s">
        <v>28631</v>
      </c>
      <c r="D2739" s="1" t="s">
        <v>28632</v>
      </c>
      <c r="E2739" s="2" t="s">
        <v>28633</v>
      </c>
      <c r="F2739" s="1">
        <v>195.0</v>
      </c>
      <c r="G2739" s="1">
        <v>196.0</v>
      </c>
      <c r="H2739" s="1" t="s">
        <v>21</v>
      </c>
      <c r="I2739" s="1" t="s">
        <v>28634</v>
      </c>
      <c r="J2739" s="1" t="s">
        <v>28635</v>
      </c>
      <c r="K2739" s="1"/>
      <c r="L2739" s="1" t="s">
        <v>29198</v>
      </c>
    </row>
    <row r="2740">
      <c r="A2740" s="1" t="s">
        <v>120</v>
      </c>
      <c r="B2740" s="1">
        <v>2015.0</v>
      </c>
      <c r="C2740" s="1" t="s">
        <v>28638</v>
      </c>
      <c r="D2740" s="1" t="s">
        <v>28639</v>
      </c>
      <c r="E2740" s="2" t="s">
        <v>28640</v>
      </c>
      <c r="F2740" s="1">
        <v>197.0</v>
      </c>
      <c r="G2740" s="1">
        <v>198.0</v>
      </c>
      <c r="H2740" s="1" t="s">
        <v>21</v>
      </c>
      <c r="I2740" s="1" t="s">
        <v>28642</v>
      </c>
      <c r="J2740" s="1" t="s">
        <v>33038</v>
      </c>
      <c r="K2740" s="1"/>
      <c r="L2740" s="1" t="s">
        <v>29218</v>
      </c>
    </row>
    <row r="2741">
      <c r="A2741" s="1" t="s">
        <v>120</v>
      </c>
      <c r="B2741" s="1">
        <v>2015.0</v>
      </c>
      <c r="C2741" s="1" t="s">
        <v>28646</v>
      </c>
      <c r="D2741" s="1" t="s">
        <v>28647</v>
      </c>
      <c r="E2741" s="2" t="s">
        <v>28648</v>
      </c>
      <c r="F2741" s="1">
        <v>199.0</v>
      </c>
      <c r="G2741" s="1">
        <v>200.0</v>
      </c>
      <c r="H2741" s="1" t="s">
        <v>21</v>
      </c>
      <c r="I2741" s="1" t="s">
        <v>28651</v>
      </c>
      <c r="J2741" s="1" t="s">
        <v>28652</v>
      </c>
      <c r="K2741" s="1"/>
      <c r="L2741" s="1" t="s">
        <v>5349</v>
      </c>
    </row>
    <row r="2742">
      <c r="A2742" s="1" t="s">
        <v>120</v>
      </c>
      <c r="B2742" s="1">
        <v>2015.0</v>
      </c>
      <c r="C2742" s="1" t="s">
        <v>28654</v>
      </c>
      <c r="D2742" s="1" t="s">
        <v>28655</v>
      </c>
      <c r="E2742" s="2" t="s">
        <v>28656</v>
      </c>
      <c r="F2742" s="1">
        <v>201.0</v>
      </c>
      <c r="G2742" s="1">
        <v>202.0</v>
      </c>
      <c r="H2742" s="1" t="s">
        <v>21</v>
      </c>
      <c r="I2742" s="1" t="s">
        <v>28659</v>
      </c>
      <c r="J2742" s="1" t="s">
        <v>28660</v>
      </c>
      <c r="K2742" s="1"/>
      <c r="L2742" s="1" t="s">
        <v>29513</v>
      </c>
    </row>
    <row r="2743">
      <c r="A2743" s="1" t="s">
        <v>120</v>
      </c>
      <c r="B2743" s="1">
        <v>2015.0</v>
      </c>
      <c r="C2743" s="1" t="s">
        <v>28663</v>
      </c>
      <c r="D2743" s="1" t="s">
        <v>28664</v>
      </c>
      <c r="E2743" s="2" t="s">
        <v>28665</v>
      </c>
      <c r="F2743" s="1">
        <v>203.0</v>
      </c>
      <c r="G2743" s="1">
        <v>204.0</v>
      </c>
      <c r="H2743" s="1" t="s">
        <v>21</v>
      </c>
      <c r="I2743" s="1" t="s">
        <v>28667</v>
      </c>
      <c r="J2743" s="1" t="s">
        <v>28668</v>
      </c>
      <c r="K2743" s="1"/>
      <c r="L2743" s="1" t="s">
        <v>28606</v>
      </c>
    </row>
    <row r="2744">
      <c r="A2744" s="1" t="s">
        <v>120</v>
      </c>
      <c r="B2744" s="1">
        <v>2015.0</v>
      </c>
      <c r="C2744" s="1" t="s">
        <v>28671</v>
      </c>
      <c r="D2744" s="1" t="s">
        <v>28672</v>
      </c>
      <c r="E2744" s="2" t="s">
        <v>28673</v>
      </c>
      <c r="F2744" s="1">
        <v>205.0</v>
      </c>
      <c r="G2744" s="1">
        <v>206.0</v>
      </c>
      <c r="H2744" s="1" t="s">
        <v>21</v>
      </c>
      <c r="I2744" s="1" t="s">
        <v>28674</v>
      </c>
      <c r="J2744" s="1" t="s">
        <v>28675</v>
      </c>
      <c r="K2744" s="1"/>
      <c r="L2744" s="1" t="s">
        <v>29470</v>
      </c>
    </row>
    <row r="2745">
      <c r="A2745" s="1" t="s">
        <v>120</v>
      </c>
      <c r="B2745" s="1">
        <v>2015.0</v>
      </c>
      <c r="C2745" s="1" t="s">
        <v>28677</v>
      </c>
      <c r="D2745" s="1" t="s">
        <v>28678</v>
      </c>
      <c r="E2745" s="2" t="s">
        <v>28679</v>
      </c>
      <c r="F2745" s="1">
        <v>207.0</v>
      </c>
      <c r="G2745" s="1">
        <v>208.0</v>
      </c>
      <c r="H2745" s="1" t="s">
        <v>21</v>
      </c>
      <c r="I2745" s="1" t="s">
        <v>28684</v>
      </c>
      <c r="J2745" s="1" t="s">
        <v>28685</v>
      </c>
      <c r="K2745" s="1"/>
      <c r="L2745" s="1" t="s">
        <v>29432</v>
      </c>
    </row>
    <row r="2746">
      <c r="A2746" s="1" t="s">
        <v>120</v>
      </c>
      <c r="B2746" s="1">
        <v>2015.0</v>
      </c>
      <c r="C2746" s="1" t="s">
        <v>28688</v>
      </c>
      <c r="D2746" s="1" t="s">
        <v>28689</v>
      </c>
      <c r="E2746" s="2" t="s">
        <v>28690</v>
      </c>
      <c r="F2746" s="1">
        <v>209.0</v>
      </c>
      <c r="G2746" s="1">
        <v>210.0</v>
      </c>
      <c r="H2746" s="1" t="s">
        <v>21</v>
      </c>
      <c r="I2746" s="1" t="s">
        <v>28693</v>
      </c>
      <c r="J2746" s="1" t="s">
        <v>28694</v>
      </c>
      <c r="K2746" s="1"/>
      <c r="L2746" s="1" t="s">
        <v>880</v>
      </c>
    </row>
    <row r="2747">
      <c r="A2747" s="1" t="s">
        <v>120</v>
      </c>
      <c r="B2747" s="1">
        <v>2015.0</v>
      </c>
      <c r="C2747" s="1" t="s">
        <v>28700</v>
      </c>
      <c r="D2747" s="1" t="s">
        <v>28701</v>
      </c>
      <c r="E2747" s="2" t="s">
        <v>28702</v>
      </c>
      <c r="F2747" s="1">
        <v>211.0</v>
      </c>
      <c r="G2747" s="1">
        <v>212.0</v>
      </c>
      <c r="H2747" s="1" t="s">
        <v>21</v>
      </c>
      <c r="I2747" s="1" t="s">
        <v>28708</v>
      </c>
      <c r="J2747" s="1" t="s">
        <v>28709</v>
      </c>
      <c r="K2747" s="1"/>
      <c r="L2747" s="1" t="s">
        <v>29379</v>
      </c>
    </row>
    <row r="2748">
      <c r="A2748" s="1" t="s">
        <v>120</v>
      </c>
      <c r="B2748" s="1">
        <v>2015.0</v>
      </c>
      <c r="C2748" s="1" t="s">
        <v>28712</v>
      </c>
      <c r="D2748" s="1" t="s">
        <v>28713</v>
      </c>
      <c r="E2748" s="2" t="s">
        <v>28714</v>
      </c>
      <c r="F2748" s="1">
        <v>213.0</v>
      </c>
      <c r="G2748" s="1">
        <v>214.0</v>
      </c>
      <c r="H2748" s="1" t="s">
        <v>21</v>
      </c>
      <c r="I2748" s="1" t="s">
        <v>28719</v>
      </c>
      <c r="J2748" s="1" t="s">
        <v>33097</v>
      </c>
      <c r="K2748" s="1"/>
      <c r="L2748" s="1" t="s">
        <v>27982</v>
      </c>
    </row>
    <row r="2749">
      <c r="A2749" s="1" t="s">
        <v>120</v>
      </c>
      <c r="B2749" s="1">
        <v>2015.0</v>
      </c>
      <c r="C2749" s="1" t="s">
        <v>28722</v>
      </c>
      <c r="D2749" s="1" t="s">
        <v>28723</v>
      </c>
      <c r="E2749" s="2" t="s">
        <v>28725</v>
      </c>
      <c r="F2749" s="1">
        <v>215.0</v>
      </c>
      <c r="G2749" s="1">
        <v>216.0</v>
      </c>
      <c r="H2749" s="1" t="s">
        <v>21</v>
      </c>
      <c r="I2749" s="1" t="s">
        <v>33103</v>
      </c>
      <c r="J2749" s="1" t="s">
        <v>28732</v>
      </c>
      <c r="K2749" s="1"/>
      <c r="L2749" s="1" t="s">
        <v>29518</v>
      </c>
    </row>
    <row r="2750">
      <c r="A2750" s="1" t="s">
        <v>120</v>
      </c>
      <c r="B2750" s="1">
        <v>2015.0</v>
      </c>
      <c r="C2750" s="1" t="s">
        <v>28734</v>
      </c>
      <c r="D2750" s="1" t="s">
        <v>28735</v>
      </c>
      <c r="E2750" s="2" t="s">
        <v>28736</v>
      </c>
      <c r="F2750" s="1">
        <v>217.0</v>
      </c>
      <c r="G2750" s="1">
        <v>218.0</v>
      </c>
      <c r="H2750" s="1" t="s">
        <v>21</v>
      </c>
      <c r="I2750" s="1" t="s">
        <v>28742</v>
      </c>
      <c r="J2750" s="1" t="s">
        <v>28743</v>
      </c>
      <c r="K2750" s="1"/>
      <c r="L2750" s="1" t="s">
        <v>29453</v>
      </c>
    </row>
    <row r="2751">
      <c r="A2751" s="1" t="s">
        <v>120</v>
      </c>
      <c r="B2751" s="1">
        <v>2015.0</v>
      </c>
      <c r="C2751" s="1" t="s">
        <v>28746</v>
      </c>
      <c r="D2751" s="1" t="s">
        <v>28747</v>
      </c>
      <c r="E2751" s="2" t="s">
        <v>28748</v>
      </c>
      <c r="F2751" s="1">
        <v>219.0</v>
      </c>
      <c r="G2751" s="1">
        <v>220.0</v>
      </c>
      <c r="H2751" s="1" t="s">
        <v>21</v>
      </c>
      <c r="I2751" s="1" t="s">
        <v>28753</v>
      </c>
      <c r="J2751" s="1" t="s">
        <v>33113</v>
      </c>
      <c r="K2751" s="1"/>
      <c r="L2751" s="1" t="s">
        <v>29173</v>
      </c>
    </row>
    <row r="2752">
      <c r="A2752" s="1" t="s">
        <v>120</v>
      </c>
      <c r="B2752" s="1">
        <v>2015.0</v>
      </c>
      <c r="C2752" s="1" t="s">
        <v>28757</v>
      </c>
      <c r="D2752" s="1" t="s">
        <v>28758</v>
      </c>
      <c r="E2752" s="2" t="s">
        <v>28759</v>
      </c>
      <c r="F2752" s="1">
        <v>221.0</v>
      </c>
      <c r="G2752" s="1">
        <v>222.0</v>
      </c>
      <c r="H2752" s="1" t="s">
        <v>21</v>
      </c>
      <c r="I2752" s="1" t="s">
        <v>33127</v>
      </c>
      <c r="J2752" s="1" t="s">
        <v>28761</v>
      </c>
      <c r="K2752" s="1"/>
      <c r="L2752" s="1" t="s">
        <v>29446</v>
      </c>
    </row>
    <row r="2753">
      <c r="A2753" s="1" t="s">
        <v>120</v>
      </c>
      <c r="B2753" s="1">
        <v>2015.0</v>
      </c>
      <c r="C2753" s="1" t="s">
        <v>28764</v>
      </c>
      <c r="D2753" s="1" t="s">
        <v>28765</v>
      </c>
      <c r="E2753" s="2" t="s">
        <v>28766</v>
      </c>
      <c r="F2753" s="1">
        <v>223.0</v>
      </c>
      <c r="G2753" s="1">
        <v>224.0</v>
      </c>
      <c r="H2753" s="1" t="s">
        <v>21</v>
      </c>
      <c r="I2753" s="1" t="s">
        <v>28767</v>
      </c>
      <c r="J2753" s="1" t="s">
        <v>28768</v>
      </c>
      <c r="K2753" s="1"/>
      <c r="L2753" s="1" t="s">
        <v>29515</v>
      </c>
    </row>
    <row r="2754">
      <c r="A2754" s="1" t="s">
        <v>120</v>
      </c>
      <c r="B2754" s="1">
        <v>2016.0</v>
      </c>
      <c r="C2754" s="1" t="s">
        <v>29796</v>
      </c>
      <c r="D2754" s="1" t="s">
        <v>29797</v>
      </c>
      <c r="E2754" s="2" t="s">
        <v>29798</v>
      </c>
      <c r="F2754" s="1">
        <v>211.0</v>
      </c>
      <c r="G2754" s="1">
        <v>220.0</v>
      </c>
      <c r="H2754" s="1" t="s">
        <v>17059</v>
      </c>
      <c r="I2754" s="1" t="s">
        <v>29801</v>
      </c>
      <c r="J2754" s="1" t="s">
        <v>29802</v>
      </c>
      <c r="K2754" s="1"/>
      <c r="L2754" s="1" t="s">
        <v>29804</v>
      </c>
      <c r="M2754" s="1" t="s">
        <v>29805</v>
      </c>
      <c r="N2754" s="1" t="s">
        <v>29806</v>
      </c>
    </row>
    <row r="2755">
      <c r="A2755" s="1" t="s">
        <v>120</v>
      </c>
      <c r="B2755" s="1">
        <v>2016.0</v>
      </c>
      <c r="C2755" s="1" t="s">
        <v>29808</v>
      </c>
      <c r="D2755" s="1" t="s">
        <v>29810</v>
      </c>
      <c r="E2755" s="2" t="s">
        <v>29811</v>
      </c>
      <c r="F2755" s="1">
        <v>11.0</v>
      </c>
      <c r="G2755" s="1">
        <v>20.0</v>
      </c>
      <c r="H2755" s="1" t="s">
        <v>17059</v>
      </c>
      <c r="I2755" s="1" t="s">
        <v>33165</v>
      </c>
      <c r="J2755" s="1" t="s">
        <v>29815</v>
      </c>
      <c r="K2755" s="1"/>
      <c r="L2755" s="1" t="s">
        <v>29817</v>
      </c>
      <c r="M2755" s="1" t="s">
        <v>29818</v>
      </c>
      <c r="N2755" s="1" t="s">
        <v>29819</v>
      </c>
    </row>
    <row r="2756">
      <c r="A2756" s="1" t="s">
        <v>4153</v>
      </c>
      <c r="B2756" s="1">
        <v>2016.0</v>
      </c>
      <c r="C2756" s="1" t="s">
        <v>29260</v>
      </c>
      <c r="D2756" s="1" t="s">
        <v>29261</v>
      </c>
      <c r="E2756" s="2" t="s">
        <v>29262</v>
      </c>
      <c r="F2756" s="1">
        <v>901.0</v>
      </c>
      <c r="G2756" s="1">
        <v>910.0</v>
      </c>
      <c r="H2756" s="1" t="s">
        <v>17059</v>
      </c>
      <c r="I2756" s="1" t="s">
        <v>29266</v>
      </c>
      <c r="J2756" s="1" t="s">
        <v>33179</v>
      </c>
      <c r="K2756" s="1"/>
      <c r="L2756" s="1" t="s">
        <v>33181</v>
      </c>
      <c r="M2756" s="1" t="s">
        <v>29269</v>
      </c>
      <c r="N2756" s="1" t="s">
        <v>29270</v>
      </c>
      <c r="P2756" s="1"/>
      <c r="Q2756" s="1" t="s">
        <v>19037</v>
      </c>
    </row>
    <row r="2757">
      <c r="A2757" s="1" t="s">
        <v>120</v>
      </c>
      <c r="B2757" s="1">
        <v>2016.0</v>
      </c>
      <c r="C2757" s="1" t="s">
        <v>29820</v>
      </c>
      <c r="D2757" s="1" t="s">
        <v>29821</v>
      </c>
      <c r="E2757" s="2" t="s">
        <v>29822</v>
      </c>
      <c r="F2757" s="1">
        <v>1.0</v>
      </c>
      <c r="G2757" s="1">
        <v>10.0</v>
      </c>
      <c r="H2757" s="1" t="s">
        <v>17059</v>
      </c>
      <c r="I2757" s="1" t="s">
        <v>29825</v>
      </c>
      <c r="J2757" s="1" t="s">
        <v>29826</v>
      </c>
      <c r="K2757" s="1"/>
      <c r="L2757" s="1" t="s">
        <v>29828</v>
      </c>
      <c r="M2757" s="1" t="s">
        <v>29829</v>
      </c>
      <c r="N2757" s="1" t="s">
        <v>29830</v>
      </c>
    </row>
    <row r="2758">
      <c r="A2758" s="1" t="s">
        <v>120</v>
      </c>
      <c r="B2758" s="1">
        <v>2016.0</v>
      </c>
      <c r="C2758" s="1" t="s">
        <v>29907</v>
      </c>
      <c r="D2758" s="1" t="s">
        <v>29908</v>
      </c>
      <c r="E2758" s="2" t="s">
        <v>29909</v>
      </c>
      <c r="F2758" s="1">
        <v>201.0</v>
      </c>
      <c r="G2758" s="1">
        <v>210.0</v>
      </c>
      <c r="H2758" s="1" t="s">
        <v>17059</v>
      </c>
      <c r="I2758" s="1" t="s">
        <v>29913</v>
      </c>
      <c r="J2758" s="1" t="s">
        <v>29914</v>
      </c>
      <c r="K2758" s="1"/>
      <c r="L2758" s="1" t="s">
        <v>29918</v>
      </c>
      <c r="M2758" s="1" t="s">
        <v>29919</v>
      </c>
      <c r="N2758" s="1" t="s">
        <v>29920</v>
      </c>
    </row>
    <row r="2759">
      <c r="A2759" s="1" t="s">
        <v>120</v>
      </c>
      <c r="B2759" s="1">
        <v>2016.0</v>
      </c>
      <c r="C2759" s="1" t="s">
        <v>29921</v>
      </c>
      <c r="D2759" s="1" t="s">
        <v>29922</v>
      </c>
      <c r="E2759" s="2" t="s">
        <v>29923</v>
      </c>
      <c r="F2759" s="1">
        <v>151.0</v>
      </c>
      <c r="G2759" s="1">
        <v>160.0</v>
      </c>
      <c r="H2759" s="1" t="s">
        <v>17059</v>
      </c>
      <c r="I2759" s="1" t="s">
        <v>29925</v>
      </c>
      <c r="J2759" s="1" t="s">
        <v>29926</v>
      </c>
      <c r="K2759" s="1"/>
      <c r="L2759" s="1" t="s">
        <v>29928</v>
      </c>
      <c r="M2759" s="1" t="s">
        <v>29929</v>
      </c>
      <c r="N2759" s="1" t="s">
        <v>29930</v>
      </c>
    </row>
    <row r="2760">
      <c r="A2760" s="1" t="s">
        <v>120</v>
      </c>
      <c r="B2760" s="1">
        <v>2016.0</v>
      </c>
      <c r="C2760" s="1" t="s">
        <v>29931</v>
      </c>
      <c r="D2760" s="1" t="s">
        <v>29932</v>
      </c>
      <c r="E2760" s="2" t="s">
        <v>29934</v>
      </c>
      <c r="F2760" s="1">
        <v>221.0</v>
      </c>
      <c r="G2760" s="1">
        <v>230.0</v>
      </c>
      <c r="H2760" s="1" t="s">
        <v>17059</v>
      </c>
      <c r="I2760" s="1" t="s">
        <v>29936</v>
      </c>
      <c r="J2760" s="1" t="s">
        <v>29938</v>
      </c>
      <c r="K2760" s="1"/>
      <c r="L2760" s="1" t="s">
        <v>29939</v>
      </c>
      <c r="M2760" s="1" t="s">
        <v>29940</v>
      </c>
      <c r="N2760" s="1" t="s">
        <v>29942</v>
      </c>
    </row>
    <row r="2761">
      <c r="A2761" s="1" t="s">
        <v>120</v>
      </c>
      <c r="B2761" s="1">
        <v>2016.0</v>
      </c>
      <c r="C2761" s="1" t="s">
        <v>29943</v>
      </c>
      <c r="D2761" s="1" t="s">
        <v>29944</v>
      </c>
      <c r="E2761" s="2" t="s">
        <v>29945</v>
      </c>
      <c r="F2761" s="1">
        <v>161.0</v>
      </c>
      <c r="G2761" s="1">
        <v>170.0</v>
      </c>
      <c r="H2761" s="1" t="s">
        <v>17059</v>
      </c>
      <c r="I2761" s="1" t="s">
        <v>29948</v>
      </c>
      <c r="J2761" s="1" t="s">
        <v>29949</v>
      </c>
      <c r="K2761" s="1"/>
      <c r="L2761" s="1" t="s">
        <v>29950</v>
      </c>
      <c r="M2761" s="1" t="s">
        <v>29951</v>
      </c>
      <c r="N2761" s="1" t="s">
        <v>29952</v>
      </c>
    </row>
    <row r="2762">
      <c r="A2762" s="1" t="s">
        <v>4153</v>
      </c>
      <c r="B2762" s="1">
        <v>2016.0</v>
      </c>
      <c r="C2762" s="1" t="s">
        <v>29271</v>
      </c>
      <c r="D2762" s="1" t="s">
        <v>29272</v>
      </c>
      <c r="E2762" s="2" t="s">
        <v>29273</v>
      </c>
      <c r="F2762" s="1">
        <v>990.0</v>
      </c>
      <c r="G2762" s="1">
        <v>999.0</v>
      </c>
      <c r="H2762" s="1" t="s">
        <v>17059</v>
      </c>
      <c r="I2762" s="1" t="s">
        <v>29277</v>
      </c>
      <c r="J2762" s="1" t="s">
        <v>29278</v>
      </c>
      <c r="K2762" s="1"/>
      <c r="L2762" s="1" t="s">
        <v>29279</v>
      </c>
      <c r="M2762" s="1" t="s">
        <v>29280</v>
      </c>
      <c r="N2762" s="1" t="s">
        <v>29281</v>
      </c>
    </row>
    <row r="2763">
      <c r="A2763" s="1" t="s">
        <v>120</v>
      </c>
      <c r="B2763" s="1">
        <v>2016.0</v>
      </c>
      <c r="C2763" s="1" t="s">
        <v>29953</v>
      </c>
      <c r="D2763" s="1" t="s">
        <v>29954</v>
      </c>
      <c r="E2763" s="2" t="s">
        <v>29955</v>
      </c>
      <c r="F2763" s="1">
        <v>121.0</v>
      </c>
      <c r="G2763" s="1">
        <v>130.0</v>
      </c>
      <c r="H2763" s="1" t="s">
        <v>17059</v>
      </c>
      <c r="I2763" s="1" t="s">
        <v>29958</v>
      </c>
      <c r="J2763" s="1" t="s">
        <v>29959</v>
      </c>
      <c r="K2763" s="1"/>
      <c r="L2763" s="1" t="s">
        <v>29962</v>
      </c>
      <c r="M2763" s="1" t="s">
        <v>29963</v>
      </c>
      <c r="N2763" s="1" t="s">
        <v>29964</v>
      </c>
    </row>
    <row r="2764">
      <c r="A2764" s="1" t="s">
        <v>120</v>
      </c>
      <c r="B2764" s="1">
        <v>2016.0</v>
      </c>
      <c r="C2764" s="1" t="s">
        <v>29966</v>
      </c>
      <c r="D2764" s="1" t="s">
        <v>29967</v>
      </c>
      <c r="E2764" s="2" t="s">
        <v>29968</v>
      </c>
      <c r="F2764" s="1">
        <v>171.0</v>
      </c>
      <c r="G2764" s="1">
        <v>180.0</v>
      </c>
      <c r="H2764" s="1" t="s">
        <v>17059</v>
      </c>
      <c r="I2764" s="1" t="s">
        <v>29969</v>
      </c>
      <c r="J2764" s="1" t="s">
        <v>29971</v>
      </c>
      <c r="K2764" s="1"/>
      <c r="L2764" s="1" t="s">
        <v>29973</v>
      </c>
      <c r="M2764" s="1" t="s">
        <v>29974</v>
      </c>
      <c r="N2764" s="1" t="s">
        <v>29975</v>
      </c>
    </row>
    <row r="2765">
      <c r="A2765" s="1" t="s">
        <v>120</v>
      </c>
      <c r="B2765" s="1">
        <v>2016.0</v>
      </c>
      <c r="C2765" s="1" t="s">
        <v>29977</v>
      </c>
      <c r="D2765" s="1" t="s">
        <v>29978</v>
      </c>
      <c r="E2765" s="2" t="s">
        <v>29979</v>
      </c>
      <c r="F2765" s="1">
        <v>141.0</v>
      </c>
      <c r="G2765" s="1">
        <v>150.0</v>
      </c>
      <c r="H2765" s="1" t="s">
        <v>17059</v>
      </c>
      <c r="I2765" s="1" t="s">
        <v>30012</v>
      </c>
      <c r="J2765" s="1" t="s">
        <v>30016</v>
      </c>
      <c r="K2765" s="1"/>
      <c r="L2765" s="1" t="s">
        <v>30018</v>
      </c>
      <c r="M2765" s="1" t="s">
        <v>30019</v>
      </c>
      <c r="N2765" s="1" t="s">
        <v>30020</v>
      </c>
    </row>
    <row r="2766">
      <c r="A2766" s="1" t="s">
        <v>120</v>
      </c>
      <c r="B2766" s="1">
        <v>2016.0</v>
      </c>
      <c r="C2766" s="1" t="s">
        <v>30021</v>
      </c>
      <c r="D2766" s="1" t="s">
        <v>30022</v>
      </c>
      <c r="E2766" s="2" t="s">
        <v>30023</v>
      </c>
      <c r="F2766" s="1">
        <v>21.0</v>
      </c>
      <c r="G2766" s="1">
        <v>30.0</v>
      </c>
      <c r="H2766" s="1" t="s">
        <v>17059</v>
      </c>
      <c r="I2766" s="1" t="s">
        <v>30027</v>
      </c>
      <c r="J2766" s="1" t="s">
        <v>30028</v>
      </c>
      <c r="K2766" s="1"/>
      <c r="L2766" s="1" t="s">
        <v>30030</v>
      </c>
      <c r="M2766" s="1" t="s">
        <v>30031</v>
      </c>
      <c r="N2766" s="1" t="s">
        <v>30032</v>
      </c>
    </row>
    <row r="2767">
      <c r="A2767" s="1" t="s">
        <v>120</v>
      </c>
      <c r="B2767" s="1">
        <v>2016.0</v>
      </c>
      <c r="C2767" s="1" t="s">
        <v>30033</v>
      </c>
      <c r="D2767" s="1" t="s">
        <v>30034</v>
      </c>
      <c r="E2767" s="2" t="s">
        <v>30035</v>
      </c>
      <c r="F2767" s="1">
        <v>31.0</v>
      </c>
      <c r="G2767" s="1">
        <v>40.0</v>
      </c>
      <c r="H2767" s="1" t="s">
        <v>17059</v>
      </c>
      <c r="I2767" s="1" t="s">
        <v>30039</v>
      </c>
      <c r="J2767" s="1" t="s">
        <v>33326</v>
      </c>
      <c r="K2767" s="1"/>
      <c r="L2767" s="1" t="s">
        <v>30042</v>
      </c>
      <c r="M2767" s="1" t="s">
        <v>30043</v>
      </c>
      <c r="N2767" s="1" t="s">
        <v>30044</v>
      </c>
    </row>
    <row r="2768">
      <c r="A2768" s="1" t="s">
        <v>120</v>
      </c>
      <c r="B2768" s="1">
        <v>2016.0</v>
      </c>
      <c r="C2768" s="1" t="s">
        <v>30045</v>
      </c>
      <c r="D2768" s="1" t="s">
        <v>30046</v>
      </c>
      <c r="E2768" s="2" t="s">
        <v>30049</v>
      </c>
      <c r="F2768" s="1">
        <v>111.0</v>
      </c>
      <c r="G2768" s="1">
        <v>120.0</v>
      </c>
      <c r="H2768" s="1" t="s">
        <v>17059</v>
      </c>
      <c r="I2768" s="1" t="s">
        <v>30053</v>
      </c>
      <c r="J2768" s="1" t="s">
        <v>33350</v>
      </c>
      <c r="K2768" s="1"/>
      <c r="L2768" s="1" t="s">
        <v>30055</v>
      </c>
      <c r="M2768" s="1" t="s">
        <v>30057</v>
      </c>
      <c r="N2768" s="1" t="s">
        <v>30058</v>
      </c>
    </row>
    <row r="2769">
      <c r="A2769" s="1" t="s">
        <v>120</v>
      </c>
      <c r="B2769" s="1">
        <v>2016.0</v>
      </c>
      <c r="C2769" s="1" t="s">
        <v>30059</v>
      </c>
      <c r="D2769" s="1" t="s">
        <v>30060</v>
      </c>
      <c r="E2769" s="2" t="s">
        <v>30061</v>
      </c>
      <c r="F2769" s="1">
        <v>191.0</v>
      </c>
      <c r="G2769" s="1">
        <v>200.0</v>
      </c>
      <c r="H2769" s="1" t="s">
        <v>17059</v>
      </c>
      <c r="I2769" s="1" t="s">
        <v>30066</v>
      </c>
      <c r="J2769" s="1" t="s">
        <v>30067</v>
      </c>
      <c r="K2769" s="1"/>
      <c r="L2769" s="1" t="s">
        <v>30069</v>
      </c>
      <c r="M2769" s="1" t="s">
        <v>30070</v>
      </c>
      <c r="N2769" s="1" t="s">
        <v>30071</v>
      </c>
    </row>
    <row r="2770">
      <c r="A2770" s="1" t="s">
        <v>120</v>
      </c>
      <c r="B2770" s="1">
        <v>2016.0</v>
      </c>
      <c r="C2770" s="1" t="s">
        <v>30075</v>
      </c>
      <c r="D2770" s="1" t="s">
        <v>30076</v>
      </c>
      <c r="E2770" s="2" t="s">
        <v>30077</v>
      </c>
      <c r="F2770" s="1">
        <v>131.0</v>
      </c>
      <c r="G2770" s="1">
        <v>140.0</v>
      </c>
      <c r="H2770" s="1" t="s">
        <v>17059</v>
      </c>
      <c r="I2770" s="1" t="s">
        <v>30080</v>
      </c>
      <c r="J2770" s="1" t="s">
        <v>30081</v>
      </c>
      <c r="K2770" s="1"/>
      <c r="L2770" s="1" t="s">
        <v>30082</v>
      </c>
      <c r="M2770" s="1" t="s">
        <v>30083</v>
      </c>
      <c r="N2770" s="1" t="s">
        <v>30084</v>
      </c>
    </row>
    <row r="2771">
      <c r="A2771" s="1" t="s">
        <v>120</v>
      </c>
      <c r="B2771" s="1">
        <v>2016.0</v>
      </c>
      <c r="C2771" s="1" t="s">
        <v>30085</v>
      </c>
      <c r="D2771" s="1" t="s">
        <v>30086</v>
      </c>
      <c r="E2771" s="2" t="s">
        <v>30087</v>
      </c>
      <c r="F2771" s="1">
        <v>41.0</v>
      </c>
      <c r="G2771" s="1">
        <v>50.0</v>
      </c>
      <c r="H2771" s="1" t="s">
        <v>17059</v>
      </c>
      <c r="I2771" s="1" t="s">
        <v>30091</v>
      </c>
      <c r="J2771" s="1" t="s">
        <v>30092</v>
      </c>
      <c r="K2771" s="1"/>
      <c r="L2771" s="1" t="s">
        <v>30094</v>
      </c>
      <c r="M2771" s="1" t="s">
        <v>30095</v>
      </c>
      <c r="N2771" s="1" t="s">
        <v>30097</v>
      </c>
    </row>
    <row r="2772">
      <c r="A2772" s="1" t="s">
        <v>120</v>
      </c>
      <c r="B2772" s="1">
        <v>2016.0</v>
      </c>
      <c r="C2772" s="1" t="s">
        <v>30100</v>
      </c>
      <c r="D2772" s="1" t="s">
        <v>30101</v>
      </c>
      <c r="E2772" s="2" t="s">
        <v>30102</v>
      </c>
      <c r="F2772" s="1">
        <v>181.0</v>
      </c>
      <c r="G2772" s="1">
        <v>190.0</v>
      </c>
      <c r="H2772" s="1" t="s">
        <v>17059</v>
      </c>
      <c r="I2772" s="1" t="s">
        <v>30107</v>
      </c>
      <c r="J2772" s="1" t="s">
        <v>30108</v>
      </c>
      <c r="K2772" s="1"/>
      <c r="L2772" s="1" t="s">
        <v>33386</v>
      </c>
      <c r="M2772" s="1" t="s">
        <v>30111</v>
      </c>
      <c r="N2772" s="1" t="s">
        <v>30112</v>
      </c>
    </row>
    <row r="2773">
      <c r="A2773" s="1" t="s">
        <v>120</v>
      </c>
      <c r="B2773" s="1">
        <v>2016.0</v>
      </c>
      <c r="C2773" s="1" t="s">
        <v>30113</v>
      </c>
      <c r="D2773" s="1" t="s">
        <v>30114</v>
      </c>
      <c r="E2773" s="2" t="s">
        <v>30115</v>
      </c>
      <c r="F2773" s="1">
        <v>51.0</v>
      </c>
      <c r="G2773" s="1">
        <v>60.0</v>
      </c>
      <c r="H2773" s="1" t="s">
        <v>17059</v>
      </c>
      <c r="I2773" s="1" t="s">
        <v>30119</v>
      </c>
      <c r="J2773" s="1" t="s">
        <v>30120</v>
      </c>
      <c r="K2773" s="1"/>
      <c r="L2773" s="1" t="s">
        <v>21714</v>
      </c>
      <c r="M2773" s="1" t="s">
        <v>30121</v>
      </c>
      <c r="N2773" s="1" t="s">
        <v>30122</v>
      </c>
      <c r="P2773" s="1"/>
      <c r="Q2773" s="1" t="s">
        <v>19037</v>
      </c>
    </row>
    <row r="2774">
      <c r="A2774" s="1" t="s">
        <v>120</v>
      </c>
      <c r="B2774" s="1">
        <v>2016.0</v>
      </c>
      <c r="C2774" s="1" t="s">
        <v>30124</v>
      </c>
      <c r="D2774" s="1" t="s">
        <v>30125</v>
      </c>
      <c r="E2774" s="2" t="s">
        <v>30126</v>
      </c>
      <c r="F2774" s="1">
        <v>241.0</v>
      </c>
      <c r="G2774" s="1">
        <v>250.0</v>
      </c>
      <c r="H2774" s="1" t="s">
        <v>17059</v>
      </c>
      <c r="I2774" s="1" t="s">
        <v>33387</v>
      </c>
      <c r="J2774" s="1" t="s">
        <v>30132</v>
      </c>
      <c r="K2774" s="1"/>
      <c r="L2774" s="1" t="s">
        <v>33388</v>
      </c>
      <c r="M2774" s="1" t="s">
        <v>30134</v>
      </c>
      <c r="N2774" s="1" t="s">
        <v>30135</v>
      </c>
    </row>
    <row r="2775">
      <c r="A2775" s="1" t="s">
        <v>2137</v>
      </c>
      <c r="B2775" s="1">
        <v>2016.0</v>
      </c>
      <c r="C2775" s="1" t="s">
        <v>28772</v>
      </c>
      <c r="D2775" s="1" t="s">
        <v>28773</v>
      </c>
      <c r="E2775" s="2" t="s">
        <v>28774</v>
      </c>
      <c r="F2775" s="1">
        <v>361.0</v>
      </c>
      <c r="G2775" s="1">
        <v>370.0</v>
      </c>
      <c r="H2775" s="1" t="s">
        <v>17059</v>
      </c>
      <c r="I2775" s="1" t="s">
        <v>28782</v>
      </c>
      <c r="J2775" s="1" t="s">
        <v>28784</v>
      </c>
      <c r="K2775" s="1"/>
      <c r="L2775" s="1" t="s">
        <v>28785</v>
      </c>
      <c r="M2775" s="1" t="s">
        <v>28786</v>
      </c>
      <c r="N2775" s="1" t="s">
        <v>28787</v>
      </c>
    </row>
    <row r="2776">
      <c r="A2776" s="1" t="s">
        <v>120</v>
      </c>
      <c r="B2776" s="1">
        <v>2016.0</v>
      </c>
      <c r="C2776" s="1" t="s">
        <v>30137</v>
      </c>
      <c r="D2776" s="1" t="s">
        <v>30138</v>
      </c>
      <c r="E2776" s="2" t="s">
        <v>30139</v>
      </c>
      <c r="F2776" s="1">
        <v>251.0</v>
      </c>
      <c r="G2776" s="1">
        <v>260.0</v>
      </c>
      <c r="H2776" s="1" t="s">
        <v>17059</v>
      </c>
      <c r="I2776" s="1" t="s">
        <v>30143</v>
      </c>
      <c r="J2776" s="1" t="s">
        <v>33389</v>
      </c>
      <c r="K2776" s="1"/>
      <c r="L2776" s="1" t="s">
        <v>30145</v>
      </c>
      <c r="M2776" s="1" t="s">
        <v>30146</v>
      </c>
      <c r="N2776" s="1" t="s">
        <v>30147</v>
      </c>
    </row>
    <row r="2777">
      <c r="A2777" s="1" t="s">
        <v>2137</v>
      </c>
      <c r="B2777" s="1">
        <v>2016.0</v>
      </c>
      <c r="C2777" s="1" t="s">
        <v>28789</v>
      </c>
      <c r="D2777" s="1" t="s">
        <v>28790</v>
      </c>
      <c r="E2777" s="2" t="s">
        <v>28791</v>
      </c>
      <c r="F2777" s="1">
        <v>451.0</v>
      </c>
      <c r="G2777" s="1">
        <v>460.0</v>
      </c>
      <c r="H2777" s="1" t="s">
        <v>17059</v>
      </c>
      <c r="I2777" s="1" t="s">
        <v>33390</v>
      </c>
      <c r="J2777" s="1" t="s">
        <v>33391</v>
      </c>
      <c r="K2777" s="1"/>
      <c r="L2777" s="1" t="s">
        <v>28796</v>
      </c>
      <c r="M2777" s="1" t="s">
        <v>28797</v>
      </c>
      <c r="N2777" s="1" t="s">
        <v>28798</v>
      </c>
    </row>
    <row r="2778">
      <c r="A2778" s="1" t="s">
        <v>2137</v>
      </c>
      <c r="B2778" s="1">
        <v>2016.0</v>
      </c>
      <c r="C2778" s="1" t="s">
        <v>28801</v>
      </c>
      <c r="D2778" s="1" t="s">
        <v>28802</v>
      </c>
      <c r="E2778" s="2" t="s">
        <v>28804</v>
      </c>
      <c r="F2778" s="1">
        <v>571.0</v>
      </c>
      <c r="G2778" s="1">
        <v>580.0</v>
      </c>
      <c r="H2778" s="1" t="s">
        <v>17059</v>
      </c>
      <c r="I2778" s="1" t="s">
        <v>28807</v>
      </c>
      <c r="J2778" s="1" t="s">
        <v>28808</v>
      </c>
      <c r="K2778" s="1"/>
      <c r="L2778" s="1" t="s">
        <v>28809</v>
      </c>
      <c r="M2778" s="1" t="s">
        <v>28810</v>
      </c>
      <c r="N2778" s="1" t="s">
        <v>28811</v>
      </c>
    </row>
    <row r="2779">
      <c r="A2779" s="1" t="s">
        <v>2137</v>
      </c>
      <c r="B2779" s="1">
        <v>2016.0</v>
      </c>
      <c r="C2779" s="1" t="s">
        <v>28812</v>
      </c>
      <c r="D2779" s="1" t="s">
        <v>28813</v>
      </c>
      <c r="E2779" s="2" t="s">
        <v>28814</v>
      </c>
      <c r="F2779" s="1">
        <v>371.0</v>
      </c>
      <c r="G2779" s="1">
        <v>380.0</v>
      </c>
      <c r="H2779" s="1" t="s">
        <v>17059</v>
      </c>
      <c r="I2779" s="1" t="s">
        <v>28819</v>
      </c>
      <c r="J2779" s="1" t="s">
        <v>28820</v>
      </c>
      <c r="K2779" s="1"/>
      <c r="L2779" s="1" t="s">
        <v>28821</v>
      </c>
      <c r="M2779" s="1" t="s">
        <v>28823</v>
      </c>
      <c r="N2779" s="1" t="s">
        <v>28825</v>
      </c>
    </row>
    <row r="2780">
      <c r="A2780" s="1" t="s">
        <v>2137</v>
      </c>
      <c r="B2780" s="1">
        <v>2016.0</v>
      </c>
      <c r="C2780" s="1" t="s">
        <v>28827</v>
      </c>
      <c r="D2780" s="1" t="s">
        <v>28828</v>
      </c>
      <c r="E2780" s="2" t="s">
        <v>28829</v>
      </c>
      <c r="F2780" s="1">
        <v>381.0</v>
      </c>
      <c r="G2780" s="1">
        <v>390.0</v>
      </c>
      <c r="H2780" s="1" t="s">
        <v>17059</v>
      </c>
      <c r="I2780" s="1" t="s">
        <v>28831</v>
      </c>
      <c r="J2780" s="1" t="s">
        <v>28833</v>
      </c>
      <c r="K2780" s="1"/>
      <c r="L2780" s="1" t="s">
        <v>28835</v>
      </c>
      <c r="M2780" s="1" t="s">
        <v>28836</v>
      </c>
      <c r="N2780" s="1" t="s">
        <v>28838</v>
      </c>
    </row>
    <row r="2781">
      <c r="A2781" s="1" t="s">
        <v>120</v>
      </c>
      <c r="B2781" s="1">
        <v>2016.0</v>
      </c>
      <c r="C2781" s="1" t="s">
        <v>30148</v>
      </c>
      <c r="D2781" s="1" t="s">
        <v>30149</v>
      </c>
      <c r="E2781" s="2" t="s">
        <v>30151</v>
      </c>
      <c r="F2781" s="1">
        <v>261.0</v>
      </c>
      <c r="G2781" s="1">
        <v>270.0</v>
      </c>
      <c r="H2781" s="1" t="s">
        <v>17059</v>
      </c>
      <c r="I2781" s="1" t="s">
        <v>30156</v>
      </c>
      <c r="J2781" s="1" t="s">
        <v>30157</v>
      </c>
      <c r="K2781" s="1"/>
      <c r="L2781" s="1" t="s">
        <v>30158</v>
      </c>
      <c r="M2781" s="1" t="s">
        <v>30159</v>
      </c>
      <c r="N2781" s="1" t="s">
        <v>30160</v>
      </c>
    </row>
    <row r="2782">
      <c r="A2782" s="1" t="s">
        <v>120</v>
      </c>
      <c r="B2782" s="1">
        <v>2016.0</v>
      </c>
      <c r="C2782" s="1" t="s">
        <v>30163</v>
      </c>
      <c r="D2782" s="1" t="s">
        <v>30164</v>
      </c>
      <c r="E2782" s="2" t="s">
        <v>30165</v>
      </c>
      <c r="F2782" s="1">
        <v>271.0</v>
      </c>
      <c r="G2782" s="1">
        <v>280.0</v>
      </c>
      <c r="H2782" s="1" t="s">
        <v>17059</v>
      </c>
      <c r="I2782" s="1" t="s">
        <v>30170</v>
      </c>
      <c r="J2782" s="1" t="s">
        <v>30171</v>
      </c>
      <c r="K2782" s="1"/>
      <c r="L2782" s="1" t="s">
        <v>30173</v>
      </c>
      <c r="M2782" s="1" t="s">
        <v>30174</v>
      </c>
      <c r="N2782" s="1" t="s">
        <v>30175</v>
      </c>
    </row>
    <row r="2783">
      <c r="A2783" s="1" t="s">
        <v>120</v>
      </c>
      <c r="B2783" s="1">
        <v>2016.0</v>
      </c>
      <c r="C2783" s="1" t="s">
        <v>30176</v>
      </c>
      <c r="D2783" s="1" t="s">
        <v>30177</v>
      </c>
      <c r="E2783" s="2" t="s">
        <v>30178</v>
      </c>
      <c r="F2783" s="1">
        <v>281.0</v>
      </c>
      <c r="G2783" s="1">
        <v>290.0</v>
      </c>
      <c r="H2783" s="1" t="s">
        <v>17059</v>
      </c>
      <c r="I2783" s="1" t="s">
        <v>30184</v>
      </c>
      <c r="J2783" s="1" t="s">
        <v>30185</v>
      </c>
      <c r="K2783" s="1"/>
      <c r="L2783" s="1" t="s">
        <v>30187</v>
      </c>
      <c r="M2783" s="1" t="s">
        <v>30188</v>
      </c>
      <c r="N2783" s="1" t="s">
        <v>30189</v>
      </c>
    </row>
    <row r="2784">
      <c r="A2784" s="1" t="s">
        <v>4153</v>
      </c>
      <c r="B2784" s="1">
        <v>2016.0</v>
      </c>
      <c r="C2784" s="1" t="s">
        <v>29283</v>
      </c>
      <c r="D2784" s="1" t="s">
        <v>29285</v>
      </c>
      <c r="E2784" s="2" t="s">
        <v>29287</v>
      </c>
      <c r="F2784" s="1">
        <v>791.0</v>
      </c>
      <c r="G2784" s="1">
        <v>800.0</v>
      </c>
      <c r="H2784" s="1" t="s">
        <v>17059</v>
      </c>
      <c r="I2784" s="1" t="s">
        <v>33432</v>
      </c>
      <c r="J2784" s="1" t="s">
        <v>33434</v>
      </c>
      <c r="K2784" s="1"/>
      <c r="L2784" s="1" t="s">
        <v>29295</v>
      </c>
      <c r="M2784" s="1" t="s">
        <v>29296</v>
      </c>
      <c r="N2784" s="1" t="s">
        <v>29297</v>
      </c>
    </row>
    <row r="2785">
      <c r="A2785" s="1" t="s">
        <v>2137</v>
      </c>
      <c r="B2785" s="1">
        <v>2016.0</v>
      </c>
      <c r="C2785" s="1" t="s">
        <v>28839</v>
      </c>
      <c r="D2785" s="1" t="s">
        <v>28840</v>
      </c>
      <c r="E2785" s="2" t="s">
        <v>28841</v>
      </c>
      <c r="F2785" s="1">
        <v>581.0</v>
      </c>
      <c r="G2785" s="1">
        <v>590.0</v>
      </c>
      <c r="H2785" s="1" t="s">
        <v>17059</v>
      </c>
      <c r="I2785" s="1" t="s">
        <v>28842</v>
      </c>
      <c r="J2785" s="1" t="s">
        <v>28844</v>
      </c>
      <c r="K2785" s="1"/>
      <c r="L2785" s="1" t="s">
        <v>28845</v>
      </c>
      <c r="M2785" s="1" t="s">
        <v>28846</v>
      </c>
      <c r="N2785" s="1" t="s">
        <v>28848</v>
      </c>
    </row>
    <row r="2786">
      <c r="A2786" s="1" t="s">
        <v>2137</v>
      </c>
      <c r="B2786" s="1">
        <v>2016.0</v>
      </c>
      <c r="C2786" s="1" t="s">
        <v>28849</v>
      </c>
      <c r="D2786" s="1" t="s">
        <v>28850</v>
      </c>
      <c r="E2786" s="2" t="s">
        <v>28851</v>
      </c>
      <c r="F2786" s="1">
        <v>591.0</v>
      </c>
      <c r="G2786" s="1">
        <v>600.0</v>
      </c>
      <c r="H2786" s="1" t="s">
        <v>17059</v>
      </c>
      <c r="I2786" s="1" t="s">
        <v>28854</v>
      </c>
      <c r="J2786" s="1" t="s">
        <v>28855</v>
      </c>
      <c r="K2786" s="1"/>
      <c r="L2786" s="1" t="s">
        <v>28856</v>
      </c>
      <c r="M2786" s="1" t="s">
        <v>28857</v>
      </c>
      <c r="N2786" s="1" t="s">
        <v>28858</v>
      </c>
    </row>
    <row r="2787">
      <c r="A2787" s="1" t="s">
        <v>2137</v>
      </c>
      <c r="B2787" s="1">
        <v>2016.0</v>
      </c>
      <c r="C2787" s="1" t="s">
        <v>28859</v>
      </c>
      <c r="D2787" s="1" t="s">
        <v>28860</v>
      </c>
      <c r="E2787" s="2" t="s">
        <v>28861</v>
      </c>
      <c r="F2787" s="1">
        <v>601.0</v>
      </c>
      <c r="G2787" s="1">
        <v>610.0</v>
      </c>
      <c r="H2787" s="1" t="s">
        <v>17059</v>
      </c>
      <c r="I2787" s="1" t="s">
        <v>28867</v>
      </c>
      <c r="J2787" s="1" t="s">
        <v>28868</v>
      </c>
      <c r="K2787" s="1"/>
      <c r="L2787" s="1" t="s">
        <v>28869</v>
      </c>
      <c r="M2787" s="1" t="s">
        <v>28870</v>
      </c>
      <c r="N2787" s="1" t="s">
        <v>28871</v>
      </c>
    </row>
    <row r="2788">
      <c r="A2788" s="1" t="s">
        <v>2137</v>
      </c>
      <c r="B2788" s="1">
        <v>2016.0</v>
      </c>
      <c r="C2788" s="1" t="s">
        <v>28872</v>
      </c>
      <c r="D2788" s="1" t="s">
        <v>28873</v>
      </c>
      <c r="E2788" s="2" t="s">
        <v>28875</v>
      </c>
      <c r="F2788" s="1">
        <v>611.0</v>
      </c>
      <c r="G2788" s="1">
        <v>620.0</v>
      </c>
      <c r="H2788" s="1" t="s">
        <v>17059</v>
      </c>
      <c r="I2788" s="1" t="s">
        <v>28879</v>
      </c>
      <c r="J2788" s="1" t="s">
        <v>33449</v>
      </c>
      <c r="K2788" s="1"/>
      <c r="L2788" s="1" t="s">
        <v>28882</v>
      </c>
      <c r="M2788" s="1" t="s">
        <v>28883</v>
      </c>
      <c r="N2788" s="1" t="s">
        <v>28885</v>
      </c>
    </row>
    <row r="2789">
      <c r="A2789" s="1" t="s">
        <v>2137</v>
      </c>
      <c r="B2789" s="1">
        <v>2016.0</v>
      </c>
      <c r="C2789" s="1" t="s">
        <v>28886</v>
      </c>
      <c r="D2789" s="1" t="s">
        <v>28887</v>
      </c>
      <c r="E2789" s="2" t="s">
        <v>28888</v>
      </c>
      <c r="F2789" s="1">
        <v>621.0</v>
      </c>
      <c r="G2789" s="1">
        <v>630.0</v>
      </c>
      <c r="H2789" s="1" t="s">
        <v>17059</v>
      </c>
      <c r="I2789" s="1" t="s">
        <v>28891</v>
      </c>
      <c r="J2789" s="1" t="s">
        <v>28892</v>
      </c>
      <c r="K2789" s="1"/>
      <c r="L2789" s="1" t="s">
        <v>28894</v>
      </c>
      <c r="M2789" s="1" t="s">
        <v>28895</v>
      </c>
      <c r="N2789" s="1" t="s">
        <v>28896</v>
      </c>
    </row>
    <row r="2790">
      <c r="A2790" s="1" t="s">
        <v>2137</v>
      </c>
      <c r="B2790" s="1">
        <v>2016.0</v>
      </c>
      <c r="C2790" s="1" t="s">
        <v>28900</v>
      </c>
      <c r="D2790" s="1" t="s">
        <v>28901</v>
      </c>
      <c r="E2790" s="2" t="s">
        <v>28902</v>
      </c>
      <c r="F2790" s="1">
        <v>631.0</v>
      </c>
      <c r="G2790" s="1">
        <v>640.0</v>
      </c>
      <c r="H2790" s="1" t="s">
        <v>17059</v>
      </c>
      <c r="I2790" s="1" t="s">
        <v>28906</v>
      </c>
      <c r="J2790" s="1" t="s">
        <v>28907</v>
      </c>
      <c r="K2790" s="1"/>
      <c r="L2790" s="1" t="s">
        <v>28908</v>
      </c>
      <c r="M2790" s="1" t="s">
        <v>28909</v>
      </c>
      <c r="N2790" s="1" t="s">
        <v>28910</v>
      </c>
    </row>
    <row r="2791">
      <c r="A2791" s="1" t="s">
        <v>2137</v>
      </c>
      <c r="B2791" s="1">
        <v>2016.0</v>
      </c>
      <c r="C2791" s="1" t="s">
        <v>28911</v>
      </c>
      <c r="D2791" s="1" t="s">
        <v>28912</v>
      </c>
      <c r="E2791" s="2" t="s">
        <v>28913</v>
      </c>
      <c r="F2791" s="1">
        <v>641.0</v>
      </c>
      <c r="G2791" s="1">
        <v>650.0</v>
      </c>
      <c r="H2791" s="1" t="s">
        <v>17059</v>
      </c>
      <c r="I2791" s="1" t="s">
        <v>28916</v>
      </c>
      <c r="J2791" s="1" t="s">
        <v>33481</v>
      </c>
      <c r="K2791" s="1"/>
      <c r="L2791" s="1" t="s">
        <v>28919</v>
      </c>
      <c r="M2791" s="1" t="s">
        <v>28921</v>
      </c>
      <c r="N2791" s="1" t="s">
        <v>28922</v>
      </c>
    </row>
    <row r="2792">
      <c r="A2792" s="1" t="s">
        <v>2137</v>
      </c>
      <c r="B2792" s="1">
        <v>2016.0</v>
      </c>
      <c r="C2792" s="1" t="s">
        <v>28924</v>
      </c>
      <c r="D2792" s="1" t="s">
        <v>28925</v>
      </c>
      <c r="E2792" s="2" t="s">
        <v>28926</v>
      </c>
      <c r="F2792" s="1">
        <v>471.0</v>
      </c>
      <c r="G2792" s="1">
        <v>480.0</v>
      </c>
      <c r="H2792" s="1" t="s">
        <v>17059</v>
      </c>
      <c r="I2792" s="1" t="s">
        <v>28930</v>
      </c>
      <c r="J2792" s="1" t="s">
        <v>28931</v>
      </c>
      <c r="K2792" s="1"/>
      <c r="L2792" s="1" t="s">
        <v>33493</v>
      </c>
      <c r="M2792" s="1" t="s">
        <v>28933</v>
      </c>
      <c r="N2792" s="1" t="s">
        <v>28934</v>
      </c>
      <c r="P2792" s="1"/>
      <c r="Q2792" s="1" t="s">
        <v>19037</v>
      </c>
    </row>
    <row r="2793">
      <c r="A2793" s="1" t="s">
        <v>4153</v>
      </c>
      <c r="B2793" s="1">
        <v>2016.0</v>
      </c>
      <c r="C2793" s="1" t="s">
        <v>29298</v>
      </c>
      <c r="D2793" s="1" t="s">
        <v>29299</v>
      </c>
      <c r="E2793" s="2" t="s">
        <v>29300</v>
      </c>
      <c r="F2793" s="1">
        <v>781.0</v>
      </c>
      <c r="G2793" s="1">
        <v>790.0</v>
      </c>
      <c r="H2793" s="1" t="s">
        <v>17059</v>
      </c>
      <c r="I2793" s="1" t="s">
        <v>29304</v>
      </c>
      <c r="J2793" s="1" t="s">
        <v>29305</v>
      </c>
      <c r="K2793" s="1"/>
      <c r="L2793" s="1" t="s">
        <v>29306</v>
      </c>
      <c r="M2793" s="1" t="s">
        <v>29307</v>
      </c>
      <c r="N2793" s="1" t="s">
        <v>29308</v>
      </c>
    </row>
    <row r="2794">
      <c r="A2794" s="1" t="s">
        <v>4153</v>
      </c>
      <c r="B2794" s="1">
        <v>2016.0</v>
      </c>
      <c r="C2794" s="1" t="s">
        <v>29311</v>
      </c>
      <c r="D2794" s="1" t="s">
        <v>29312</v>
      </c>
      <c r="E2794" s="2" t="s">
        <v>29313</v>
      </c>
      <c r="F2794" s="1">
        <v>801.0</v>
      </c>
      <c r="G2794" s="1">
        <v>810.0</v>
      </c>
      <c r="H2794" s="1" t="s">
        <v>17059</v>
      </c>
      <c r="I2794" s="1" t="s">
        <v>29316</v>
      </c>
      <c r="J2794" s="1" t="s">
        <v>29317</v>
      </c>
      <c r="K2794" s="1"/>
      <c r="L2794" s="1" t="s">
        <v>29318</v>
      </c>
      <c r="M2794" s="1" t="s">
        <v>29319</v>
      </c>
      <c r="N2794" s="1" t="s">
        <v>29320</v>
      </c>
    </row>
    <row r="2795">
      <c r="A2795" s="1" t="s">
        <v>4153</v>
      </c>
      <c r="B2795" s="1">
        <v>2016.0</v>
      </c>
      <c r="C2795" s="1" t="s">
        <v>29322</v>
      </c>
      <c r="D2795" s="1" t="s">
        <v>29323</v>
      </c>
      <c r="E2795" s="2" t="s">
        <v>29324</v>
      </c>
      <c r="F2795" s="1">
        <v>811.0</v>
      </c>
      <c r="G2795" s="1">
        <v>820.0</v>
      </c>
      <c r="H2795" s="1" t="s">
        <v>17059</v>
      </c>
      <c r="I2795" s="1" t="s">
        <v>29327</v>
      </c>
      <c r="J2795" s="1" t="s">
        <v>29328</v>
      </c>
      <c r="K2795" s="1"/>
      <c r="L2795" s="1" t="s">
        <v>29329</v>
      </c>
      <c r="M2795" s="1" t="s">
        <v>29330</v>
      </c>
      <c r="N2795" s="1" t="s">
        <v>29331</v>
      </c>
      <c r="P2795" s="1"/>
      <c r="Q2795" s="1" t="s">
        <v>19037</v>
      </c>
    </row>
    <row r="2796">
      <c r="A2796" s="1" t="s">
        <v>2137</v>
      </c>
      <c r="B2796" s="1">
        <v>2016.0</v>
      </c>
      <c r="C2796" s="1" t="s">
        <v>28935</v>
      </c>
      <c r="D2796" s="1" t="s">
        <v>28936</v>
      </c>
      <c r="E2796" s="2" t="s">
        <v>28937</v>
      </c>
      <c r="F2796" s="1">
        <v>461.0</v>
      </c>
      <c r="G2796" s="1">
        <v>470.0</v>
      </c>
      <c r="H2796" s="1" t="s">
        <v>17059</v>
      </c>
      <c r="I2796" s="1" t="s">
        <v>28941</v>
      </c>
      <c r="J2796" s="1" t="s">
        <v>28942</v>
      </c>
      <c r="K2796" s="1"/>
      <c r="L2796" s="1" t="s">
        <v>28943</v>
      </c>
      <c r="M2796" s="1" t="s">
        <v>28944</v>
      </c>
      <c r="N2796" s="1" t="s">
        <v>28945</v>
      </c>
    </row>
    <row r="2797">
      <c r="A2797" s="1" t="s">
        <v>2137</v>
      </c>
      <c r="B2797" s="1">
        <v>2016.0</v>
      </c>
      <c r="C2797" s="1" t="s">
        <v>28946</v>
      </c>
      <c r="D2797" s="1" t="s">
        <v>28947</v>
      </c>
      <c r="E2797" s="2" t="s">
        <v>28948</v>
      </c>
      <c r="F2797" s="1">
        <v>481.0</v>
      </c>
      <c r="G2797" s="1">
        <v>490.0</v>
      </c>
      <c r="H2797" s="1" t="s">
        <v>17059</v>
      </c>
      <c r="I2797" s="1" t="s">
        <v>28952</v>
      </c>
      <c r="J2797" s="1" t="s">
        <v>28953</v>
      </c>
      <c r="K2797" s="1"/>
      <c r="L2797" s="1" t="s">
        <v>28955</v>
      </c>
      <c r="M2797" s="1" t="s">
        <v>28956</v>
      </c>
      <c r="N2797" s="1" t="s">
        <v>28957</v>
      </c>
    </row>
    <row r="2798">
      <c r="A2798" s="1" t="s">
        <v>2137</v>
      </c>
      <c r="B2798" s="1">
        <v>2016.0</v>
      </c>
      <c r="C2798" s="1" t="s">
        <v>28958</v>
      </c>
      <c r="D2798" s="1" t="s">
        <v>28959</v>
      </c>
      <c r="E2798" s="2" t="s">
        <v>28960</v>
      </c>
      <c r="F2798" s="1">
        <v>651.0</v>
      </c>
      <c r="G2798" s="1">
        <v>660.0</v>
      </c>
      <c r="H2798" s="1" t="s">
        <v>17059</v>
      </c>
      <c r="I2798" s="1" t="s">
        <v>28964</v>
      </c>
      <c r="J2798" s="1" t="s">
        <v>28965</v>
      </c>
      <c r="K2798" s="1"/>
      <c r="L2798" s="1" t="s">
        <v>27140</v>
      </c>
      <c r="M2798" s="1" t="s">
        <v>28966</v>
      </c>
      <c r="N2798" s="1" t="s">
        <v>28967</v>
      </c>
    </row>
    <row r="2799">
      <c r="A2799" s="1" t="s">
        <v>2137</v>
      </c>
      <c r="B2799" s="1">
        <v>2016.0</v>
      </c>
      <c r="C2799" s="1" t="s">
        <v>28971</v>
      </c>
      <c r="D2799" s="1" t="s">
        <v>28972</v>
      </c>
      <c r="E2799" s="2" t="s">
        <v>28973</v>
      </c>
      <c r="F2799" s="1">
        <v>661.0</v>
      </c>
      <c r="G2799" s="1">
        <v>670.0</v>
      </c>
      <c r="H2799" s="1" t="s">
        <v>17059</v>
      </c>
      <c r="I2799" s="1" t="s">
        <v>28977</v>
      </c>
      <c r="J2799" s="1" t="s">
        <v>33559</v>
      </c>
      <c r="K2799" s="1"/>
      <c r="L2799" s="1" t="s">
        <v>28980</v>
      </c>
      <c r="M2799" s="1" t="s">
        <v>28981</v>
      </c>
      <c r="N2799" s="1" t="s">
        <v>28982</v>
      </c>
    </row>
    <row r="2800">
      <c r="A2800" s="1" t="s">
        <v>2137</v>
      </c>
      <c r="B2800" s="1">
        <v>2016.0</v>
      </c>
      <c r="C2800" s="1" t="s">
        <v>28983</v>
      </c>
      <c r="D2800" s="1" t="s">
        <v>28984</v>
      </c>
      <c r="E2800" s="2" t="s">
        <v>28985</v>
      </c>
      <c r="F2800" s="1">
        <v>491.0</v>
      </c>
      <c r="G2800" s="1">
        <v>500.0</v>
      </c>
      <c r="H2800" s="1" t="s">
        <v>17059</v>
      </c>
      <c r="I2800" s="1" t="s">
        <v>28988</v>
      </c>
      <c r="J2800" s="1" t="s">
        <v>28989</v>
      </c>
      <c r="K2800" s="1"/>
      <c r="L2800" s="1" t="s">
        <v>28990</v>
      </c>
      <c r="M2800" s="1" t="s">
        <v>28991</v>
      </c>
      <c r="N2800" s="1" t="s">
        <v>28992</v>
      </c>
    </row>
    <row r="2801">
      <c r="A2801" s="1" t="s">
        <v>2137</v>
      </c>
      <c r="B2801" s="1">
        <v>2016.0</v>
      </c>
      <c r="C2801" s="1" t="s">
        <v>28996</v>
      </c>
      <c r="D2801" s="1" t="s">
        <v>28997</v>
      </c>
      <c r="E2801" s="2" t="s">
        <v>28998</v>
      </c>
      <c r="F2801" s="1">
        <v>671.0</v>
      </c>
      <c r="G2801" s="1">
        <v>680.0</v>
      </c>
      <c r="H2801" s="1" t="s">
        <v>17059</v>
      </c>
      <c r="I2801" s="1" t="s">
        <v>29001</v>
      </c>
      <c r="J2801" s="1" t="s">
        <v>33574</v>
      </c>
      <c r="K2801" s="1"/>
      <c r="L2801" s="1" t="s">
        <v>33576</v>
      </c>
      <c r="M2801" s="1" t="s">
        <v>29005</v>
      </c>
      <c r="N2801" s="1" t="s">
        <v>29006</v>
      </c>
    </row>
    <row r="2802">
      <c r="A2802" s="1" t="s">
        <v>2137</v>
      </c>
      <c r="B2802" s="1">
        <v>2016.0</v>
      </c>
      <c r="C2802" s="1" t="s">
        <v>29007</v>
      </c>
      <c r="D2802" s="1" t="s">
        <v>29008</v>
      </c>
      <c r="E2802" s="2" t="s">
        <v>29009</v>
      </c>
      <c r="F2802" s="1">
        <v>501.0</v>
      </c>
      <c r="G2802" s="1">
        <v>510.0</v>
      </c>
      <c r="H2802" s="1" t="s">
        <v>17059</v>
      </c>
      <c r="I2802" s="1" t="s">
        <v>33607</v>
      </c>
      <c r="J2802" s="1" t="s">
        <v>33608</v>
      </c>
      <c r="K2802" s="1"/>
      <c r="L2802" s="1" t="s">
        <v>29016</v>
      </c>
      <c r="M2802" s="1" t="s">
        <v>29017</v>
      </c>
      <c r="N2802" s="1" t="s">
        <v>29018</v>
      </c>
    </row>
    <row r="2803">
      <c r="A2803" s="1" t="s">
        <v>120</v>
      </c>
      <c r="B2803" s="1">
        <v>2016.0</v>
      </c>
      <c r="C2803" s="1" t="s">
        <v>30190</v>
      </c>
      <c r="D2803" s="1" t="s">
        <v>30191</v>
      </c>
      <c r="E2803" s="2" t="s">
        <v>30192</v>
      </c>
      <c r="F2803" s="1">
        <v>291.0</v>
      </c>
      <c r="G2803" s="1">
        <v>300.0</v>
      </c>
      <c r="H2803" s="1" t="s">
        <v>17059</v>
      </c>
      <c r="I2803" s="1" t="s">
        <v>30193</v>
      </c>
      <c r="J2803" s="1" t="s">
        <v>30194</v>
      </c>
      <c r="K2803" s="1"/>
      <c r="L2803" s="1" t="s">
        <v>30196</v>
      </c>
      <c r="M2803" s="1" t="s">
        <v>30198</v>
      </c>
      <c r="N2803" s="1" t="s">
        <v>30199</v>
      </c>
      <c r="P2803" s="1"/>
      <c r="Q2803" s="1" t="s">
        <v>19037</v>
      </c>
    </row>
    <row r="2804">
      <c r="A2804" s="1" t="s">
        <v>2137</v>
      </c>
      <c r="B2804" s="1">
        <v>2016.0</v>
      </c>
      <c r="C2804" s="1" t="s">
        <v>29021</v>
      </c>
      <c r="D2804" s="1" t="s">
        <v>29022</v>
      </c>
      <c r="E2804" s="2" t="s">
        <v>29023</v>
      </c>
      <c r="F2804" s="1">
        <v>691.0</v>
      </c>
      <c r="G2804" s="1">
        <v>700.0</v>
      </c>
      <c r="H2804" s="1" t="s">
        <v>17059</v>
      </c>
      <c r="I2804" s="1" t="s">
        <v>29027</v>
      </c>
      <c r="J2804" s="1" t="s">
        <v>29028</v>
      </c>
      <c r="K2804" s="1"/>
      <c r="L2804" s="1" t="s">
        <v>29029</v>
      </c>
      <c r="M2804" s="1" t="s">
        <v>29030</v>
      </c>
      <c r="N2804" s="1" t="s">
        <v>29031</v>
      </c>
    </row>
    <row r="2805">
      <c r="A2805" s="1" t="s">
        <v>2137</v>
      </c>
      <c r="B2805" s="1">
        <v>2016.0</v>
      </c>
      <c r="C2805" s="1" t="s">
        <v>29032</v>
      </c>
      <c r="D2805" s="1" t="s">
        <v>29033</v>
      </c>
      <c r="E2805" s="2" t="s">
        <v>29034</v>
      </c>
      <c r="F2805" s="1">
        <v>681.0</v>
      </c>
      <c r="G2805" s="1">
        <v>690.0</v>
      </c>
      <c r="H2805" s="1" t="s">
        <v>17059</v>
      </c>
      <c r="I2805" s="1" t="s">
        <v>29037</v>
      </c>
      <c r="J2805" s="1" t="s">
        <v>29038</v>
      </c>
      <c r="K2805" s="1"/>
      <c r="L2805" s="1" t="s">
        <v>29040</v>
      </c>
      <c r="M2805" s="1" t="s">
        <v>29041</v>
      </c>
      <c r="N2805" s="1" t="s">
        <v>29042</v>
      </c>
    </row>
    <row r="2806">
      <c r="A2806" s="1" t="s">
        <v>120</v>
      </c>
      <c r="B2806" s="1">
        <v>2016.0</v>
      </c>
      <c r="C2806" s="1" t="s">
        <v>30201</v>
      </c>
      <c r="D2806" s="1" t="s">
        <v>30202</v>
      </c>
      <c r="E2806" s="2" t="s">
        <v>30203</v>
      </c>
      <c r="F2806" s="1">
        <v>301.0</v>
      </c>
      <c r="G2806" s="1">
        <v>310.0</v>
      </c>
      <c r="H2806" s="1" t="s">
        <v>17059</v>
      </c>
      <c r="I2806" s="1" t="s">
        <v>30209</v>
      </c>
      <c r="J2806" s="1" t="s">
        <v>30210</v>
      </c>
      <c r="K2806" s="1"/>
      <c r="L2806" s="1" t="s">
        <v>30211</v>
      </c>
      <c r="M2806" s="1" t="s">
        <v>30212</v>
      </c>
      <c r="N2806" s="1" t="s">
        <v>30213</v>
      </c>
    </row>
    <row r="2807">
      <c r="A2807" s="1" t="s">
        <v>4153</v>
      </c>
      <c r="B2807" s="1">
        <v>2016.0</v>
      </c>
      <c r="C2807" s="1" t="s">
        <v>29332</v>
      </c>
      <c r="D2807" s="1" t="s">
        <v>29333</v>
      </c>
      <c r="E2807" s="2" t="s">
        <v>29334</v>
      </c>
      <c r="F2807" s="1">
        <v>711.0</v>
      </c>
      <c r="G2807" s="1">
        <v>720.0</v>
      </c>
      <c r="H2807" s="1" t="s">
        <v>17059</v>
      </c>
      <c r="I2807" s="1" t="s">
        <v>29336</v>
      </c>
      <c r="J2807" s="1" t="s">
        <v>29337</v>
      </c>
      <c r="K2807" s="1"/>
      <c r="L2807" s="1" t="s">
        <v>29339</v>
      </c>
      <c r="M2807" s="1" t="s">
        <v>29342</v>
      </c>
      <c r="N2807" s="1" t="s">
        <v>29343</v>
      </c>
    </row>
    <row r="2808">
      <c r="A2808" s="1" t="s">
        <v>4153</v>
      </c>
      <c r="B2808" s="1">
        <v>2016.0</v>
      </c>
      <c r="C2808" s="1" t="s">
        <v>29344</v>
      </c>
      <c r="D2808" s="1" t="s">
        <v>29346</v>
      </c>
      <c r="E2808" s="2" t="s">
        <v>29347</v>
      </c>
      <c r="F2808" s="1">
        <v>721.0</v>
      </c>
      <c r="G2808" s="1">
        <v>730.0</v>
      </c>
      <c r="H2808" s="1" t="s">
        <v>17059</v>
      </c>
      <c r="I2808" s="1" t="s">
        <v>29349</v>
      </c>
      <c r="J2808" s="1" t="s">
        <v>29350</v>
      </c>
      <c r="K2808" s="1"/>
      <c r="L2808" s="1" t="s">
        <v>29351</v>
      </c>
      <c r="M2808" s="1" t="s">
        <v>29352</v>
      </c>
      <c r="N2808" s="1" t="s">
        <v>29353</v>
      </c>
    </row>
    <row r="2809">
      <c r="A2809" s="1" t="s">
        <v>4153</v>
      </c>
      <c r="B2809" s="1">
        <v>2016.0</v>
      </c>
      <c r="C2809" s="1" t="s">
        <v>29355</v>
      </c>
      <c r="D2809" s="1" t="s">
        <v>29356</v>
      </c>
      <c r="E2809" s="2" t="s">
        <v>29357</v>
      </c>
      <c r="F2809" s="1">
        <v>751.0</v>
      </c>
      <c r="G2809" s="1">
        <v>760.0</v>
      </c>
      <c r="H2809" s="1" t="s">
        <v>17059</v>
      </c>
      <c r="I2809" s="1" t="s">
        <v>29360</v>
      </c>
      <c r="J2809" s="1" t="s">
        <v>29361</v>
      </c>
      <c r="K2809" s="1"/>
      <c r="L2809" s="1" t="s">
        <v>29363</v>
      </c>
      <c r="M2809" s="1" t="s">
        <v>29364</v>
      </c>
      <c r="N2809" s="1" t="s">
        <v>29365</v>
      </c>
    </row>
    <row r="2810">
      <c r="A2810" s="1" t="s">
        <v>4153</v>
      </c>
      <c r="B2810" s="1">
        <v>2016.0</v>
      </c>
      <c r="C2810" s="1" t="s">
        <v>29366</v>
      </c>
      <c r="D2810" s="1" t="s">
        <v>29367</v>
      </c>
      <c r="E2810" s="2" t="s">
        <v>29368</v>
      </c>
      <c r="F2810" s="1">
        <v>761.0</v>
      </c>
      <c r="G2810" s="1">
        <v>770.0</v>
      </c>
      <c r="H2810" s="1" t="s">
        <v>17059</v>
      </c>
      <c r="I2810" s="1" t="s">
        <v>29372</v>
      </c>
      <c r="J2810" s="1" t="s">
        <v>33730</v>
      </c>
      <c r="K2810" s="1"/>
      <c r="L2810" s="1" t="s">
        <v>29375</v>
      </c>
      <c r="M2810" s="1" t="s">
        <v>29376</v>
      </c>
      <c r="N2810" s="1" t="s">
        <v>29377</v>
      </c>
    </row>
    <row r="2811">
      <c r="A2811" s="1" t="s">
        <v>120</v>
      </c>
      <c r="B2811" s="1">
        <v>2016.0</v>
      </c>
      <c r="C2811" s="1" t="s">
        <v>30215</v>
      </c>
      <c r="D2811" s="1" t="s">
        <v>30218</v>
      </c>
      <c r="E2811" s="2" t="s">
        <v>30219</v>
      </c>
      <c r="F2811" s="1">
        <v>311.0</v>
      </c>
      <c r="G2811" s="1">
        <v>320.0</v>
      </c>
      <c r="H2811" s="1" t="s">
        <v>17059</v>
      </c>
      <c r="I2811" s="1" t="s">
        <v>30224</v>
      </c>
      <c r="J2811" s="1" t="s">
        <v>30225</v>
      </c>
      <c r="K2811" s="1"/>
      <c r="L2811" s="1" t="s">
        <v>30227</v>
      </c>
      <c r="M2811" s="1" t="s">
        <v>30228</v>
      </c>
      <c r="N2811" s="1" t="s">
        <v>30229</v>
      </c>
    </row>
    <row r="2812">
      <c r="A2812" s="1" t="s">
        <v>120</v>
      </c>
      <c r="B2812" s="1">
        <v>2016.0</v>
      </c>
      <c r="C2812" s="1" t="s">
        <v>30231</v>
      </c>
      <c r="D2812" s="1" t="s">
        <v>30232</v>
      </c>
      <c r="E2812" s="2" t="s">
        <v>30233</v>
      </c>
      <c r="F2812" s="1">
        <v>321.0</v>
      </c>
      <c r="G2812" s="1">
        <v>330.0</v>
      </c>
      <c r="H2812" s="1" t="s">
        <v>17059</v>
      </c>
      <c r="I2812" s="1" t="s">
        <v>30238</v>
      </c>
      <c r="J2812" s="1" t="s">
        <v>30239</v>
      </c>
      <c r="K2812" s="1"/>
      <c r="L2812" s="1" t="s">
        <v>30241</v>
      </c>
      <c r="M2812" s="1" t="s">
        <v>30242</v>
      </c>
      <c r="N2812" s="1" t="s">
        <v>30243</v>
      </c>
    </row>
    <row r="2813">
      <c r="A2813" s="1" t="s">
        <v>4153</v>
      </c>
      <c r="B2813" s="1">
        <v>2016.0</v>
      </c>
      <c r="C2813" s="1" t="s">
        <v>29380</v>
      </c>
      <c r="D2813" s="1" t="s">
        <v>29381</v>
      </c>
      <c r="E2813" s="2" t="s">
        <v>29382</v>
      </c>
      <c r="F2813" s="1">
        <v>701.0</v>
      </c>
      <c r="G2813" s="1">
        <v>710.0</v>
      </c>
      <c r="H2813" s="1" t="s">
        <v>17059</v>
      </c>
      <c r="I2813" s="1" t="s">
        <v>29385</v>
      </c>
      <c r="J2813" s="1" t="s">
        <v>33770</v>
      </c>
      <c r="K2813" s="1"/>
      <c r="L2813" s="1" t="s">
        <v>29388</v>
      </c>
      <c r="M2813" s="1" t="s">
        <v>29389</v>
      </c>
      <c r="N2813" s="1" t="s">
        <v>29391</v>
      </c>
    </row>
    <row r="2814">
      <c r="A2814" s="1" t="s">
        <v>4153</v>
      </c>
      <c r="B2814" s="1">
        <v>2016.0</v>
      </c>
      <c r="C2814" s="1" t="s">
        <v>29393</v>
      </c>
      <c r="D2814" s="1" t="s">
        <v>29394</v>
      </c>
      <c r="E2814" s="2" t="s">
        <v>29395</v>
      </c>
      <c r="F2814" s="1">
        <v>731.0</v>
      </c>
      <c r="G2814" s="1">
        <v>740.0</v>
      </c>
      <c r="H2814" s="1" t="s">
        <v>17059</v>
      </c>
      <c r="I2814" s="1" t="s">
        <v>29398</v>
      </c>
      <c r="J2814" s="1" t="s">
        <v>33778</v>
      </c>
      <c r="K2814" s="1"/>
      <c r="L2814" s="1" t="s">
        <v>29401</v>
      </c>
      <c r="M2814" s="1" t="s">
        <v>29402</v>
      </c>
      <c r="N2814" s="1" t="s">
        <v>29403</v>
      </c>
    </row>
    <row r="2815">
      <c r="A2815" s="1" t="s">
        <v>4153</v>
      </c>
      <c r="B2815" s="1">
        <v>2016.0</v>
      </c>
      <c r="C2815" s="1" t="s">
        <v>29404</v>
      </c>
      <c r="D2815" s="1" t="s">
        <v>29405</v>
      </c>
      <c r="E2815" s="2" t="s">
        <v>29408</v>
      </c>
      <c r="F2815" s="1">
        <v>741.0</v>
      </c>
      <c r="G2815" s="1">
        <v>750.0</v>
      </c>
      <c r="H2815" s="1" t="s">
        <v>17059</v>
      </c>
      <c r="I2815" s="1" t="s">
        <v>29411</v>
      </c>
      <c r="J2815" s="1" t="s">
        <v>29412</v>
      </c>
      <c r="K2815" s="1"/>
      <c r="L2815" s="1" t="s">
        <v>29414</v>
      </c>
      <c r="M2815" s="1" t="s">
        <v>29415</v>
      </c>
      <c r="N2815" s="1" t="s">
        <v>29417</v>
      </c>
    </row>
    <row r="2816">
      <c r="A2816" s="1" t="s">
        <v>4153</v>
      </c>
      <c r="B2816" s="1">
        <v>2016.0</v>
      </c>
      <c r="C2816" s="1" t="s">
        <v>29418</v>
      </c>
      <c r="D2816" s="1" t="s">
        <v>29419</v>
      </c>
      <c r="E2816" s="2" t="s">
        <v>29420</v>
      </c>
      <c r="F2816" s="1">
        <v>771.0</v>
      </c>
      <c r="G2816" s="1">
        <v>780.0</v>
      </c>
      <c r="H2816" s="1" t="s">
        <v>17059</v>
      </c>
      <c r="I2816" s="1" t="s">
        <v>29422</v>
      </c>
      <c r="J2816" s="1" t="s">
        <v>33787</v>
      </c>
      <c r="K2816" s="1"/>
      <c r="L2816" s="1" t="s">
        <v>29425</v>
      </c>
      <c r="M2816" s="1" t="s">
        <v>29426</v>
      </c>
      <c r="N2816" s="1" t="s">
        <v>29427</v>
      </c>
    </row>
    <row r="2817">
      <c r="A2817" s="1" t="s">
        <v>120</v>
      </c>
      <c r="B2817" s="1">
        <v>2016.0</v>
      </c>
      <c r="C2817" s="1" t="s">
        <v>30244</v>
      </c>
      <c r="D2817" s="1" t="s">
        <v>30245</v>
      </c>
      <c r="E2817" s="2" t="s">
        <v>30247</v>
      </c>
      <c r="F2817" s="1">
        <v>61.0</v>
      </c>
      <c r="G2817" s="1">
        <v>70.0</v>
      </c>
      <c r="H2817" s="1" t="s">
        <v>17059</v>
      </c>
      <c r="I2817" s="1" t="s">
        <v>30250</v>
      </c>
      <c r="J2817" s="1" t="s">
        <v>30251</v>
      </c>
      <c r="K2817" s="1"/>
      <c r="L2817" s="1" t="s">
        <v>30253</v>
      </c>
      <c r="M2817" s="1" t="s">
        <v>30254</v>
      </c>
      <c r="N2817" s="1" t="s">
        <v>30255</v>
      </c>
    </row>
    <row r="2818">
      <c r="A2818" s="1" t="s">
        <v>120</v>
      </c>
      <c r="B2818" s="1">
        <v>2016.0</v>
      </c>
      <c r="C2818" s="1" t="s">
        <v>30257</v>
      </c>
      <c r="D2818" s="1" t="s">
        <v>30258</v>
      </c>
      <c r="E2818" s="2" t="s">
        <v>30259</v>
      </c>
      <c r="F2818" s="1">
        <v>71.0</v>
      </c>
      <c r="G2818" s="1">
        <v>80.0</v>
      </c>
      <c r="H2818" s="1" t="s">
        <v>17059</v>
      </c>
      <c r="I2818" s="1" t="s">
        <v>33809</v>
      </c>
      <c r="J2818" s="1" t="s">
        <v>30266</v>
      </c>
      <c r="K2818" s="1"/>
      <c r="L2818" s="1" t="s">
        <v>30267</v>
      </c>
      <c r="M2818" s="1" t="s">
        <v>30268</v>
      </c>
      <c r="N2818" s="1" t="s">
        <v>30269</v>
      </c>
      <c r="P2818" s="1"/>
      <c r="Q2818" s="1" t="s">
        <v>106</v>
      </c>
    </row>
    <row r="2819">
      <c r="A2819" s="1" t="s">
        <v>120</v>
      </c>
      <c r="B2819" s="1">
        <v>2016.0</v>
      </c>
      <c r="C2819" s="1" t="s">
        <v>30271</v>
      </c>
      <c r="D2819" s="1" t="s">
        <v>30272</v>
      </c>
      <c r="E2819" s="2" t="s">
        <v>30273</v>
      </c>
      <c r="F2819" s="1">
        <v>81.0</v>
      </c>
      <c r="G2819" s="1">
        <v>90.0</v>
      </c>
      <c r="H2819" s="1" t="s">
        <v>17059</v>
      </c>
      <c r="I2819" s="1" t="s">
        <v>30276</v>
      </c>
      <c r="J2819" s="1" t="s">
        <v>30277</v>
      </c>
      <c r="K2819" s="1"/>
      <c r="L2819" s="1" t="s">
        <v>30278</v>
      </c>
      <c r="M2819" s="1" t="s">
        <v>30279</v>
      </c>
      <c r="N2819" s="1" t="s">
        <v>30280</v>
      </c>
    </row>
    <row r="2820">
      <c r="A2820" s="1" t="s">
        <v>120</v>
      </c>
      <c r="B2820" s="1">
        <v>2016.0</v>
      </c>
      <c r="C2820" s="1" t="s">
        <v>30281</v>
      </c>
      <c r="D2820" s="1" t="s">
        <v>30282</v>
      </c>
      <c r="E2820" s="2" t="s">
        <v>30283</v>
      </c>
      <c r="F2820" s="1">
        <v>91.0</v>
      </c>
      <c r="G2820" s="1">
        <v>100.0</v>
      </c>
      <c r="H2820" s="1" t="s">
        <v>17059</v>
      </c>
      <c r="I2820" s="1" t="s">
        <v>30287</v>
      </c>
      <c r="J2820" s="1" t="s">
        <v>30288</v>
      </c>
      <c r="K2820" s="1"/>
      <c r="L2820" s="1" t="s">
        <v>33837</v>
      </c>
      <c r="M2820" s="1" t="s">
        <v>30291</v>
      </c>
      <c r="N2820" s="1" t="s">
        <v>30292</v>
      </c>
    </row>
    <row r="2821">
      <c r="A2821" s="1" t="s">
        <v>120</v>
      </c>
      <c r="B2821" s="1">
        <v>2016.0</v>
      </c>
      <c r="C2821" s="1" t="s">
        <v>30295</v>
      </c>
      <c r="D2821" s="1" t="s">
        <v>30297</v>
      </c>
      <c r="E2821" s="2" t="s">
        <v>30298</v>
      </c>
      <c r="F2821" s="1">
        <v>101.0</v>
      </c>
      <c r="G2821" s="1">
        <v>110.0</v>
      </c>
      <c r="H2821" s="1" t="s">
        <v>17059</v>
      </c>
      <c r="I2821" s="1" t="s">
        <v>30304</v>
      </c>
      <c r="J2821" s="1" t="s">
        <v>33852</v>
      </c>
      <c r="K2821" s="1"/>
      <c r="L2821" s="1" t="s">
        <v>33853</v>
      </c>
      <c r="M2821" s="1" t="s">
        <v>30308</v>
      </c>
      <c r="N2821" s="1" t="s">
        <v>30309</v>
      </c>
    </row>
    <row r="2822">
      <c r="A2822" s="1" t="s">
        <v>2137</v>
      </c>
      <c r="B2822" s="1">
        <v>2016.0</v>
      </c>
      <c r="C2822" s="1" t="s">
        <v>29043</v>
      </c>
      <c r="D2822" s="1" t="s">
        <v>29044</v>
      </c>
      <c r="E2822" s="2" t="s">
        <v>29045</v>
      </c>
      <c r="F2822" s="1">
        <v>331.0</v>
      </c>
      <c r="G2822" s="1">
        <v>340.0</v>
      </c>
      <c r="H2822" s="1" t="s">
        <v>17059</v>
      </c>
      <c r="I2822" s="1" t="s">
        <v>29048</v>
      </c>
      <c r="J2822" s="1" t="s">
        <v>29051</v>
      </c>
      <c r="K2822" s="1"/>
      <c r="L2822" s="1" t="s">
        <v>29053</v>
      </c>
      <c r="M2822" s="1" t="s">
        <v>29054</v>
      </c>
      <c r="N2822" s="1" t="s">
        <v>29055</v>
      </c>
    </row>
    <row r="2823">
      <c r="A2823" s="1" t="s">
        <v>2137</v>
      </c>
      <c r="B2823" s="1">
        <v>2016.0</v>
      </c>
      <c r="C2823" s="1" t="s">
        <v>29057</v>
      </c>
      <c r="D2823" s="1" t="s">
        <v>29058</v>
      </c>
      <c r="E2823" s="2" t="s">
        <v>29059</v>
      </c>
      <c r="F2823" s="1">
        <v>391.0</v>
      </c>
      <c r="G2823" s="1">
        <v>400.0</v>
      </c>
      <c r="H2823" s="1" t="s">
        <v>17059</v>
      </c>
      <c r="I2823" s="1" t="s">
        <v>33880</v>
      </c>
      <c r="J2823" s="1" t="s">
        <v>29065</v>
      </c>
      <c r="K2823" s="1"/>
      <c r="L2823" s="1" t="s">
        <v>29066</v>
      </c>
      <c r="M2823" s="1" t="s">
        <v>29067</v>
      </c>
      <c r="N2823" s="1" t="s">
        <v>29068</v>
      </c>
      <c r="P2823" s="1"/>
      <c r="Q2823" s="1" t="s">
        <v>19037</v>
      </c>
    </row>
    <row r="2824">
      <c r="A2824" s="1" t="s">
        <v>4153</v>
      </c>
      <c r="B2824" s="1">
        <v>2016.0</v>
      </c>
      <c r="C2824" s="1" t="s">
        <v>29428</v>
      </c>
      <c r="D2824" s="1" t="s">
        <v>29429</v>
      </c>
      <c r="E2824" s="2" t="s">
        <v>29430</v>
      </c>
      <c r="F2824" s="1">
        <v>821.0</v>
      </c>
      <c r="G2824" s="1">
        <v>830.0</v>
      </c>
      <c r="H2824" s="1" t="s">
        <v>17059</v>
      </c>
      <c r="I2824" s="1" t="s">
        <v>29434</v>
      </c>
      <c r="J2824" s="1" t="s">
        <v>29435</v>
      </c>
      <c r="K2824" s="1"/>
      <c r="L2824" s="1" t="s">
        <v>29438</v>
      </c>
      <c r="M2824" s="1" t="s">
        <v>29439</v>
      </c>
      <c r="N2824" s="1" t="s">
        <v>29440</v>
      </c>
    </row>
    <row r="2825">
      <c r="A2825" s="1" t="s">
        <v>2137</v>
      </c>
      <c r="B2825" s="1">
        <v>2016.0</v>
      </c>
      <c r="C2825" s="1" t="s">
        <v>29069</v>
      </c>
      <c r="D2825" s="1" t="s">
        <v>29070</v>
      </c>
      <c r="E2825" s="2" t="s">
        <v>29072</v>
      </c>
      <c r="F2825" s="1">
        <v>401.0</v>
      </c>
      <c r="G2825" s="1">
        <v>410.0</v>
      </c>
      <c r="H2825" s="1" t="s">
        <v>17059</v>
      </c>
      <c r="I2825" s="1" t="s">
        <v>29078</v>
      </c>
      <c r="J2825" s="1" t="s">
        <v>29079</v>
      </c>
      <c r="K2825" s="1"/>
      <c r="L2825" s="1" t="s">
        <v>29082</v>
      </c>
      <c r="M2825" s="1" t="s">
        <v>29083</v>
      </c>
      <c r="N2825" s="1" t="s">
        <v>29084</v>
      </c>
    </row>
    <row r="2826">
      <c r="A2826" s="1" t="s">
        <v>4153</v>
      </c>
      <c r="B2826" s="1">
        <v>2016.0</v>
      </c>
      <c r="C2826" s="1" t="s">
        <v>29441</v>
      </c>
      <c r="D2826" s="1" t="s">
        <v>29442</v>
      </c>
      <c r="E2826" s="2" t="s">
        <v>29443</v>
      </c>
      <c r="F2826" s="1">
        <v>831.0</v>
      </c>
      <c r="G2826" s="1">
        <v>840.0</v>
      </c>
      <c r="H2826" s="1" t="s">
        <v>17059</v>
      </c>
      <c r="I2826" s="1" t="s">
        <v>29447</v>
      </c>
      <c r="J2826" s="1" t="s">
        <v>33931</v>
      </c>
      <c r="K2826" s="1"/>
      <c r="L2826" s="1" t="s">
        <v>29449</v>
      </c>
      <c r="M2826" s="1" t="s">
        <v>29450</v>
      </c>
      <c r="N2826" s="1" t="s">
        <v>29451</v>
      </c>
    </row>
    <row r="2827">
      <c r="A2827" s="1" t="s">
        <v>4153</v>
      </c>
      <c r="B2827" s="1">
        <v>2016.0</v>
      </c>
      <c r="C2827" s="1" t="s">
        <v>29454</v>
      </c>
      <c r="D2827" s="1" t="s">
        <v>29455</v>
      </c>
      <c r="E2827" s="2" t="s">
        <v>29456</v>
      </c>
      <c r="F2827" s="1">
        <v>841.0</v>
      </c>
      <c r="G2827" s="1">
        <v>850.0</v>
      </c>
      <c r="H2827" s="1" t="s">
        <v>17059</v>
      </c>
      <c r="I2827" s="1" t="s">
        <v>29457</v>
      </c>
      <c r="J2827" s="1" t="s">
        <v>29459</v>
      </c>
      <c r="K2827" s="1"/>
      <c r="L2827" s="1" t="s">
        <v>29462</v>
      </c>
      <c r="M2827" s="1" t="s">
        <v>29463</v>
      </c>
      <c r="N2827" s="1" t="s">
        <v>29465</v>
      </c>
    </row>
    <row r="2828">
      <c r="A2828" s="1" t="s">
        <v>4153</v>
      </c>
      <c r="B2828" s="1">
        <v>2016.0</v>
      </c>
      <c r="C2828" s="1" t="s">
        <v>29466</v>
      </c>
      <c r="D2828" s="1" t="s">
        <v>29467</v>
      </c>
      <c r="E2828" s="2" t="s">
        <v>29468</v>
      </c>
      <c r="F2828" s="1">
        <v>851.0</v>
      </c>
      <c r="G2828" s="1">
        <v>860.0</v>
      </c>
      <c r="H2828" s="1" t="s">
        <v>17059</v>
      </c>
      <c r="I2828" s="1" t="s">
        <v>29471</v>
      </c>
      <c r="J2828" s="1" t="s">
        <v>33960</v>
      </c>
      <c r="K2828" s="1"/>
      <c r="L2828" s="1" t="s">
        <v>29473</v>
      </c>
      <c r="M2828" s="1" t="s">
        <v>29474</v>
      </c>
      <c r="N2828" s="1" t="s">
        <v>29475</v>
      </c>
    </row>
    <row r="2829">
      <c r="A2829" s="1" t="s">
        <v>2137</v>
      </c>
      <c r="B2829" s="1">
        <v>2016.0</v>
      </c>
      <c r="C2829" s="1" t="s">
        <v>29085</v>
      </c>
      <c r="D2829" s="1" t="s">
        <v>29086</v>
      </c>
      <c r="E2829" s="2" t="s">
        <v>29087</v>
      </c>
      <c r="F2829" s="1">
        <v>511.0</v>
      </c>
      <c r="G2829" s="1">
        <v>520.0</v>
      </c>
      <c r="H2829" s="1" t="s">
        <v>17059</v>
      </c>
      <c r="I2829" s="1" t="s">
        <v>29091</v>
      </c>
      <c r="J2829" s="1" t="s">
        <v>29092</v>
      </c>
      <c r="K2829" s="1"/>
      <c r="L2829" s="1" t="s">
        <v>29093</v>
      </c>
      <c r="M2829" s="1" t="s">
        <v>29094</v>
      </c>
      <c r="N2829" s="1" t="s">
        <v>29095</v>
      </c>
    </row>
    <row r="2830">
      <c r="A2830" s="1" t="s">
        <v>2137</v>
      </c>
      <c r="B2830" s="1">
        <v>2016.0</v>
      </c>
      <c r="C2830" s="1" t="s">
        <v>29096</v>
      </c>
      <c r="D2830" s="1" t="s">
        <v>29097</v>
      </c>
      <c r="E2830" s="2" t="s">
        <v>29098</v>
      </c>
      <c r="F2830" s="1">
        <v>411.0</v>
      </c>
      <c r="G2830" s="1">
        <v>420.0</v>
      </c>
      <c r="H2830" s="1" t="s">
        <v>17059</v>
      </c>
      <c r="I2830" s="1" t="s">
        <v>29104</v>
      </c>
      <c r="J2830" s="1" t="s">
        <v>29105</v>
      </c>
      <c r="K2830" s="1"/>
      <c r="L2830" s="1" t="s">
        <v>29106</v>
      </c>
      <c r="M2830" s="1" t="s">
        <v>29107</v>
      </c>
      <c r="N2830" s="1" t="s">
        <v>29108</v>
      </c>
      <c r="P2830" s="1"/>
      <c r="Q2830" s="1" t="s">
        <v>19037</v>
      </c>
    </row>
    <row r="2831">
      <c r="A2831" s="1" t="s">
        <v>2137</v>
      </c>
      <c r="B2831" s="1">
        <v>2016.0</v>
      </c>
      <c r="C2831" s="1" t="s">
        <v>29109</v>
      </c>
      <c r="D2831" s="1" t="s">
        <v>29110</v>
      </c>
      <c r="E2831" s="2" t="s">
        <v>29111</v>
      </c>
      <c r="F2831" s="1">
        <v>421.0</v>
      </c>
      <c r="G2831" s="1">
        <v>430.0</v>
      </c>
      <c r="H2831" s="1" t="s">
        <v>17059</v>
      </c>
      <c r="I2831" s="1" t="s">
        <v>29116</v>
      </c>
      <c r="J2831" s="1" t="s">
        <v>34000</v>
      </c>
      <c r="K2831" s="1"/>
      <c r="L2831" s="1" t="s">
        <v>29118</v>
      </c>
      <c r="M2831" s="1" t="s">
        <v>29119</v>
      </c>
      <c r="N2831" s="1" t="s">
        <v>29120</v>
      </c>
    </row>
    <row r="2832">
      <c r="A2832" s="1" t="s">
        <v>2137</v>
      </c>
      <c r="B2832" s="1">
        <v>2016.0</v>
      </c>
      <c r="C2832" s="1" t="s">
        <v>29122</v>
      </c>
      <c r="D2832" s="1" t="s">
        <v>29123</v>
      </c>
      <c r="E2832" s="2" t="s">
        <v>29125</v>
      </c>
      <c r="F2832" s="1">
        <v>521.0</v>
      </c>
      <c r="G2832" s="1">
        <v>530.0</v>
      </c>
      <c r="H2832" s="1" t="s">
        <v>17059</v>
      </c>
      <c r="I2832" s="1" t="s">
        <v>29126</v>
      </c>
      <c r="J2832" s="1" t="s">
        <v>29127</v>
      </c>
      <c r="K2832" s="1"/>
      <c r="L2832" s="1" t="s">
        <v>29129</v>
      </c>
      <c r="M2832" s="1" t="s">
        <v>29130</v>
      </c>
      <c r="N2832" s="1" t="s">
        <v>29131</v>
      </c>
    </row>
    <row r="2833">
      <c r="A2833" s="1" t="s">
        <v>2137</v>
      </c>
      <c r="B2833" s="1">
        <v>2016.0</v>
      </c>
      <c r="C2833" s="1" t="s">
        <v>29132</v>
      </c>
      <c r="D2833" s="1" t="s">
        <v>29133</v>
      </c>
      <c r="E2833" s="2" t="s">
        <v>29134</v>
      </c>
      <c r="F2833" s="1">
        <v>531.0</v>
      </c>
      <c r="G2833" s="1">
        <v>540.0</v>
      </c>
      <c r="H2833" s="1" t="s">
        <v>17059</v>
      </c>
      <c r="I2833" s="1" t="s">
        <v>29135</v>
      </c>
      <c r="J2833" s="1" t="s">
        <v>34035</v>
      </c>
      <c r="K2833" s="1"/>
      <c r="L2833" s="1" t="s">
        <v>29138</v>
      </c>
      <c r="M2833" s="1" t="s">
        <v>29139</v>
      </c>
      <c r="N2833" s="1" t="s">
        <v>29140</v>
      </c>
    </row>
    <row r="2834">
      <c r="A2834" s="1" t="s">
        <v>2137</v>
      </c>
      <c r="B2834" s="1">
        <v>2016.0</v>
      </c>
      <c r="C2834" s="1" t="s">
        <v>29185</v>
      </c>
      <c r="D2834" s="1" t="s">
        <v>29186</v>
      </c>
      <c r="E2834" s="2" t="s">
        <v>29187</v>
      </c>
      <c r="F2834" s="1">
        <v>551.0</v>
      </c>
      <c r="G2834" s="1">
        <v>560.0</v>
      </c>
      <c r="H2834" s="1" t="s">
        <v>17059</v>
      </c>
      <c r="I2834" s="1" t="s">
        <v>29188</v>
      </c>
      <c r="J2834" s="1" t="s">
        <v>29190</v>
      </c>
      <c r="K2834" s="1"/>
      <c r="L2834" s="1" t="s">
        <v>29191</v>
      </c>
      <c r="M2834" s="1" t="s">
        <v>29193</v>
      </c>
      <c r="N2834" s="1" t="s">
        <v>29194</v>
      </c>
    </row>
    <row r="2835">
      <c r="A2835" s="1" t="s">
        <v>2137</v>
      </c>
      <c r="B2835" s="1">
        <v>2016.0</v>
      </c>
      <c r="C2835" s="1" t="s">
        <v>29195</v>
      </c>
      <c r="D2835" s="1" t="s">
        <v>29196</v>
      </c>
      <c r="E2835" s="2" t="s">
        <v>29197</v>
      </c>
      <c r="F2835" s="1">
        <v>541.0</v>
      </c>
      <c r="G2835" s="1">
        <v>550.0</v>
      </c>
      <c r="H2835" s="1" t="s">
        <v>17059</v>
      </c>
      <c r="I2835" s="1" t="s">
        <v>29199</v>
      </c>
      <c r="J2835" s="1" t="s">
        <v>29200</v>
      </c>
      <c r="K2835" s="1"/>
      <c r="L2835" s="1" t="s">
        <v>29201</v>
      </c>
      <c r="M2835" s="1" t="s">
        <v>29202</v>
      </c>
      <c r="N2835" s="1" t="s">
        <v>29203</v>
      </c>
    </row>
    <row r="2836">
      <c r="A2836" s="1" t="s">
        <v>4153</v>
      </c>
      <c r="B2836" s="1">
        <v>2016.0</v>
      </c>
      <c r="C2836" s="1" t="s">
        <v>29476</v>
      </c>
      <c r="D2836" s="1" t="s">
        <v>29477</v>
      </c>
      <c r="E2836" s="2" t="s">
        <v>29478</v>
      </c>
      <c r="F2836" s="1">
        <v>980.0</v>
      </c>
      <c r="G2836" s="1">
        <v>989.0</v>
      </c>
      <c r="H2836" s="1" t="s">
        <v>17059</v>
      </c>
      <c r="I2836" s="1" t="s">
        <v>29482</v>
      </c>
      <c r="J2836" s="1" t="s">
        <v>34076</v>
      </c>
      <c r="K2836" s="1"/>
      <c r="L2836" s="1" t="s">
        <v>29484</v>
      </c>
      <c r="M2836" s="1" t="s">
        <v>29485</v>
      </c>
      <c r="N2836" s="1" t="s">
        <v>29486</v>
      </c>
    </row>
    <row r="2837">
      <c r="A2837" s="1" t="s">
        <v>4153</v>
      </c>
      <c r="B2837" s="1">
        <v>2016.0</v>
      </c>
      <c r="C2837" s="1" t="s">
        <v>29487</v>
      </c>
      <c r="D2837" s="1" t="s">
        <v>29488</v>
      </c>
      <c r="E2837" s="2" t="s">
        <v>29489</v>
      </c>
      <c r="F2837" s="1">
        <v>970.0</v>
      </c>
      <c r="G2837" s="1">
        <v>979.0</v>
      </c>
      <c r="H2837" s="1" t="s">
        <v>17059</v>
      </c>
      <c r="I2837" s="1" t="s">
        <v>29496</v>
      </c>
      <c r="J2837" s="1" t="s">
        <v>29892</v>
      </c>
      <c r="K2837" s="1"/>
      <c r="L2837" s="1" t="s">
        <v>29497</v>
      </c>
      <c r="M2837" s="1" t="s">
        <v>29498</v>
      </c>
      <c r="N2837" s="1" t="s">
        <v>29499</v>
      </c>
    </row>
    <row r="2838">
      <c r="A2838" s="1" t="s">
        <v>4153</v>
      </c>
      <c r="B2838" s="1">
        <v>2016.0</v>
      </c>
      <c r="C2838" s="1" t="s">
        <v>29500</v>
      </c>
      <c r="D2838" s="1" t="s">
        <v>29501</v>
      </c>
      <c r="E2838" s="2" t="s">
        <v>29502</v>
      </c>
      <c r="F2838" s="1">
        <v>960.0</v>
      </c>
      <c r="G2838" s="1">
        <v>969.0</v>
      </c>
      <c r="H2838" s="1" t="s">
        <v>17059</v>
      </c>
      <c r="I2838" s="1" t="s">
        <v>29687</v>
      </c>
      <c r="J2838" s="1" t="s">
        <v>29688</v>
      </c>
      <c r="K2838" s="1"/>
      <c r="L2838" s="1" t="s">
        <v>29690</v>
      </c>
      <c r="M2838" s="1" t="s">
        <v>29691</v>
      </c>
      <c r="N2838" s="1" t="s">
        <v>29692</v>
      </c>
      <c r="P2838" s="1"/>
      <c r="Q2838" s="1" t="s">
        <v>106</v>
      </c>
    </row>
    <row r="2839">
      <c r="A2839" s="1" t="s">
        <v>4153</v>
      </c>
      <c r="B2839" s="1">
        <v>2016.0</v>
      </c>
      <c r="C2839" s="1" t="s">
        <v>29693</v>
      </c>
      <c r="D2839" s="1" t="s">
        <v>29694</v>
      </c>
      <c r="E2839" s="2" t="s">
        <v>29695</v>
      </c>
      <c r="F2839" s="1">
        <v>950.0</v>
      </c>
      <c r="G2839" s="1">
        <v>959.0</v>
      </c>
      <c r="H2839" s="1" t="s">
        <v>17059</v>
      </c>
      <c r="I2839" s="1" t="s">
        <v>29699</v>
      </c>
      <c r="J2839" s="1" t="s">
        <v>34103</v>
      </c>
      <c r="K2839" s="1"/>
      <c r="L2839" s="1" t="s">
        <v>34104</v>
      </c>
      <c r="M2839" s="1" t="s">
        <v>29702</v>
      </c>
      <c r="N2839" s="1" t="s">
        <v>29703</v>
      </c>
    </row>
    <row r="2840">
      <c r="A2840" s="1" t="s">
        <v>2137</v>
      </c>
      <c r="B2840" s="1">
        <v>2016.0</v>
      </c>
      <c r="C2840" s="1" t="s">
        <v>29204</v>
      </c>
      <c r="D2840" s="1" t="s">
        <v>29205</v>
      </c>
      <c r="E2840" s="2" t="s">
        <v>29206</v>
      </c>
      <c r="F2840" s="1">
        <v>341.0</v>
      </c>
      <c r="G2840" s="1">
        <v>350.0</v>
      </c>
      <c r="H2840" s="1" t="s">
        <v>17059</v>
      </c>
      <c r="I2840" s="1" t="s">
        <v>29207</v>
      </c>
      <c r="J2840" s="1" t="s">
        <v>29210</v>
      </c>
      <c r="K2840" s="1"/>
      <c r="L2840" s="1" t="s">
        <v>26896</v>
      </c>
      <c r="M2840" s="1" t="s">
        <v>29211</v>
      </c>
      <c r="N2840" s="1" t="s">
        <v>29213</v>
      </c>
      <c r="P2840" s="1"/>
      <c r="Q2840" s="1" t="s">
        <v>106</v>
      </c>
    </row>
    <row r="2841">
      <c r="A2841" s="1" t="s">
        <v>4153</v>
      </c>
      <c r="B2841" s="1">
        <v>2016.0</v>
      </c>
      <c r="C2841" s="1" t="s">
        <v>29704</v>
      </c>
      <c r="D2841" s="1" t="s">
        <v>29706</v>
      </c>
      <c r="E2841" s="2" t="s">
        <v>29707</v>
      </c>
      <c r="F2841" s="1">
        <v>941.0</v>
      </c>
      <c r="G2841" s="1">
        <v>949.0</v>
      </c>
      <c r="H2841" s="1" t="s">
        <v>17059</v>
      </c>
      <c r="I2841" s="1" t="s">
        <v>29709</v>
      </c>
      <c r="J2841" s="1" t="s">
        <v>29711</v>
      </c>
      <c r="K2841" s="1"/>
      <c r="L2841" s="1" t="s">
        <v>29713</v>
      </c>
      <c r="M2841" s="1" t="s">
        <v>29714</v>
      </c>
      <c r="N2841" s="1" t="s">
        <v>29716</v>
      </c>
    </row>
    <row r="2842">
      <c r="A2842" s="1" t="s">
        <v>4153</v>
      </c>
      <c r="B2842" s="1">
        <v>2016.0</v>
      </c>
      <c r="C2842" s="1" t="s">
        <v>29717</v>
      </c>
      <c r="D2842" s="1" t="s">
        <v>29718</v>
      </c>
      <c r="E2842" s="2" t="s">
        <v>29719</v>
      </c>
      <c r="F2842" s="1">
        <v>931.0</v>
      </c>
      <c r="G2842" s="1">
        <v>940.0</v>
      </c>
      <c r="H2842" s="1" t="s">
        <v>17059</v>
      </c>
      <c r="I2842" s="1" t="s">
        <v>29722</v>
      </c>
      <c r="J2842" s="1" t="s">
        <v>34139</v>
      </c>
      <c r="K2842" s="1"/>
      <c r="L2842" s="1" t="s">
        <v>29725</v>
      </c>
      <c r="M2842" s="1" t="s">
        <v>29726</v>
      </c>
    </row>
    <row r="2843">
      <c r="A2843" s="1" t="s">
        <v>4153</v>
      </c>
      <c r="B2843" s="1">
        <v>2016.0</v>
      </c>
      <c r="C2843" s="1" t="s">
        <v>29727</v>
      </c>
      <c r="D2843" s="1" t="s">
        <v>29728</v>
      </c>
      <c r="E2843" s="2" t="s">
        <v>29729</v>
      </c>
      <c r="F2843" s="1">
        <v>921.0</v>
      </c>
      <c r="G2843" s="1">
        <v>930.0</v>
      </c>
      <c r="H2843" s="1" t="s">
        <v>17059</v>
      </c>
      <c r="I2843" s="1" t="s">
        <v>29732</v>
      </c>
      <c r="J2843" s="1" t="s">
        <v>29734</v>
      </c>
      <c r="K2843" s="1"/>
      <c r="L2843" s="1" t="s">
        <v>29736</v>
      </c>
      <c r="M2843" s="1" t="s">
        <v>29737</v>
      </c>
      <c r="N2843" s="1" t="s">
        <v>29738</v>
      </c>
    </row>
    <row r="2844">
      <c r="A2844" s="1" t="s">
        <v>4153</v>
      </c>
      <c r="B2844" s="1">
        <v>2016.0</v>
      </c>
      <c r="C2844" s="1" t="s">
        <v>29740</v>
      </c>
      <c r="D2844" s="1" t="s">
        <v>29741</v>
      </c>
      <c r="E2844" s="2" t="s">
        <v>29742</v>
      </c>
      <c r="F2844" s="1">
        <v>911.0</v>
      </c>
      <c r="G2844" s="1">
        <v>920.0</v>
      </c>
      <c r="H2844" s="1" t="s">
        <v>17059</v>
      </c>
      <c r="I2844" s="1" t="s">
        <v>29745</v>
      </c>
      <c r="J2844" s="1" t="s">
        <v>29746</v>
      </c>
      <c r="K2844" s="1"/>
      <c r="L2844" s="1" t="s">
        <v>29747</v>
      </c>
      <c r="M2844" s="1" t="s">
        <v>27597</v>
      </c>
      <c r="N2844" s="1" t="s">
        <v>29748</v>
      </c>
    </row>
    <row r="2845">
      <c r="A2845" s="1" t="s">
        <v>4153</v>
      </c>
      <c r="B2845" s="1">
        <v>2016.0</v>
      </c>
      <c r="C2845" s="1" t="s">
        <v>29749</v>
      </c>
      <c r="D2845" s="1" t="s">
        <v>29750</v>
      </c>
      <c r="E2845" s="2" t="s">
        <v>29751</v>
      </c>
      <c r="F2845" s="1">
        <v>891.0</v>
      </c>
      <c r="G2845" s="1">
        <v>900.0</v>
      </c>
      <c r="H2845" s="1" t="s">
        <v>17059</v>
      </c>
      <c r="I2845" s="1" t="s">
        <v>29754</v>
      </c>
      <c r="J2845" s="1" t="s">
        <v>29755</v>
      </c>
      <c r="K2845" s="1"/>
      <c r="L2845" s="1" t="s">
        <v>21913</v>
      </c>
      <c r="M2845" s="1" t="s">
        <v>29756</v>
      </c>
      <c r="N2845" s="1" t="s">
        <v>29757</v>
      </c>
    </row>
    <row r="2846">
      <c r="A2846" s="1" t="s">
        <v>2137</v>
      </c>
      <c r="B2846" s="1">
        <v>2016.0</v>
      </c>
      <c r="C2846" s="1" t="s">
        <v>29214</v>
      </c>
      <c r="D2846" s="1" t="s">
        <v>29215</v>
      </c>
      <c r="E2846" s="2" t="s">
        <v>29216</v>
      </c>
      <c r="F2846" s="1">
        <v>351.0</v>
      </c>
      <c r="G2846" s="1">
        <v>360.0</v>
      </c>
      <c r="H2846" s="1" t="s">
        <v>17059</v>
      </c>
      <c r="I2846" s="1" t="s">
        <v>34168</v>
      </c>
      <c r="J2846" s="1" t="s">
        <v>29220</v>
      </c>
      <c r="K2846" s="1"/>
      <c r="L2846" s="1" t="s">
        <v>29221</v>
      </c>
      <c r="M2846" s="1" t="s">
        <v>29222</v>
      </c>
      <c r="N2846" s="1" t="s">
        <v>29223</v>
      </c>
    </row>
    <row r="2847">
      <c r="A2847" s="1" t="s">
        <v>2137</v>
      </c>
      <c r="B2847" s="1">
        <v>2016.0</v>
      </c>
      <c r="C2847" s="1" t="s">
        <v>29224</v>
      </c>
      <c r="D2847" s="1" t="s">
        <v>29225</v>
      </c>
      <c r="E2847" s="2" t="s">
        <v>29226</v>
      </c>
      <c r="F2847" s="1">
        <v>431.0</v>
      </c>
      <c r="G2847" s="1">
        <v>440.0</v>
      </c>
      <c r="H2847" s="1" t="s">
        <v>17059</v>
      </c>
      <c r="I2847" s="1" t="s">
        <v>29228</v>
      </c>
      <c r="J2847" s="1" t="s">
        <v>29229</v>
      </c>
      <c r="K2847" s="1"/>
      <c r="L2847" s="1" t="s">
        <v>29231</v>
      </c>
      <c r="M2847" s="1" t="s">
        <v>29233</v>
      </c>
      <c r="N2847" s="1" t="s">
        <v>29234</v>
      </c>
    </row>
    <row r="2848">
      <c r="A2848" s="1" t="s">
        <v>2137</v>
      </c>
      <c r="B2848" s="1">
        <v>2016.0</v>
      </c>
      <c r="C2848" s="1" t="s">
        <v>29235</v>
      </c>
      <c r="D2848" s="1" t="s">
        <v>29236</v>
      </c>
      <c r="E2848" s="2" t="s">
        <v>29237</v>
      </c>
      <c r="F2848" s="1">
        <v>441.0</v>
      </c>
      <c r="G2848" s="1">
        <v>450.0</v>
      </c>
      <c r="H2848" s="1" t="s">
        <v>17059</v>
      </c>
      <c r="I2848" s="1" t="s">
        <v>29241</v>
      </c>
      <c r="J2848" s="1" t="s">
        <v>29242</v>
      </c>
      <c r="K2848" s="1"/>
      <c r="L2848" s="1" t="s">
        <v>29244</v>
      </c>
      <c r="M2848" s="1" t="s">
        <v>29245</v>
      </c>
      <c r="N2848" s="1" t="s">
        <v>29246</v>
      </c>
    </row>
    <row r="2849">
      <c r="A2849" s="1" t="s">
        <v>4153</v>
      </c>
      <c r="B2849" s="1">
        <v>2016.0</v>
      </c>
      <c r="C2849" s="1" t="s">
        <v>34200</v>
      </c>
      <c r="D2849" s="1" t="s">
        <v>29761</v>
      </c>
      <c r="E2849" s="2" t="s">
        <v>29762</v>
      </c>
      <c r="F2849" s="1">
        <v>861.0</v>
      </c>
      <c r="G2849" s="1">
        <v>870.0</v>
      </c>
      <c r="H2849" s="1" t="s">
        <v>17059</v>
      </c>
      <c r="I2849" s="1" t="s">
        <v>29767</v>
      </c>
      <c r="J2849" s="1" t="s">
        <v>29768</v>
      </c>
      <c r="K2849" s="1"/>
      <c r="L2849" s="1" t="s">
        <v>23422</v>
      </c>
      <c r="M2849" s="1" t="s">
        <v>29769</v>
      </c>
      <c r="N2849" s="1" t="s">
        <v>29770</v>
      </c>
    </row>
    <row r="2850">
      <c r="A2850" s="1" t="s">
        <v>4153</v>
      </c>
      <c r="B2850" s="1">
        <v>2016.0</v>
      </c>
      <c r="C2850" s="1" t="s">
        <v>29771</v>
      </c>
      <c r="D2850" s="1" t="s">
        <v>29772</v>
      </c>
      <c r="E2850" s="2" t="s">
        <v>29773</v>
      </c>
      <c r="F2850" s="1">
        <v>871.0</v>
      </c>
      <c r="G2850" s="1">
        <v>880.0</v>
      </c>
      <c r="H2850" s="1" t="s">
        <v>17059</v>
      </c>
      <c r="I2850" s="1" t="s">
        <v>29776</v>
      </c>
      <c r="J2850" s="1" t="s">
        <v>29777</v>
      </c>
      <c r="K2850" s="1"/>
      <c r="L2850" s="1" t="s">
        <v>29779</v>
      </c>
      <c r="M2850" s="1" t="s">
        <v>29780</v>
      </c>
      <c r="N2850" s="1" t="s">
        <v>29781</v>
      </c>
    </row>
    <row r="2851">
      <c r="A2851" s="1" t="s">
        <v>4153</v>
      </c>
      <c r="B2851" s="1">
        <v>2016.0</v>
      </c>
      <c r="C2851" s="1" t="s">
        <v>29785</v>
      </c>
      <c r="D2851" s="1" t="s">
        <v>29786</v>
      </c>
      <c r="E2851" s="2" t="s">
        <v>29787</v>
      </c>
      <c r="F2851" s="1">
        <v>881.0</v>
      </c>
      <c r="G2851" s="1">
        <v>890.0</v>
      </c>
      <c r="H2851" s="1" t="s">
        <v>17059</v>
      </c>
      <c r="I2851" s="1" t="s">
        <v>29790</v>
      </c>
      <c r="J2851" s="1" t="s">
        <v>34235</v>
      </c>
      <c r="K2851" s="1"/>
      <c r="L2851" s="1" t="s">
        <v>29793</v>
      </c>
      <c r="M2851" s="1" t="s">
        <v>29794</v>
      </c>
      <c r="N2851" s="1" t="s">
        <v>29795</v>
      </c>
    </row>
    <row r="2852">
      <c r="A2852" s="1" t="s">
        <v>2137</v>
      </c>
      <c r="B2852" s="1">
        <v>2016.0</v>
      </c>
      <c r="C2852" s="1" t="s">
        <v>29247</v>
      </c>
      <c r="D2852" s="1" t="s">
        <v>29248</v>
      </c>
      <c r="E2852" s="2" t="s">
        <v>29249</v>
      </c>
      <c r="F2852" s="1">
        <v>561.0</v>
      </c>
      <c r="G2852" s="1">
        <v>570.0</v>
      </c>
      <c r="H2852" s="1" t="s">
        <v>17059</v>
      </c>
      <c r="I2852" s="1" t="s">
        <v>29253</v>
      </c>
      <c r="J2852" s="1" t="s">
        <v>29254</v>
      </c>
      <c r="K2852" s="1"/>
      <c r="L2852" s="1" t="s">
        <v>29255</v>
      </c>
      <c r="M2852" s="1" t="s">
        <v>29256</v>
      </c>
      <c r="N2852" s="1" t="s">
        <v>29257</v>
      </c>
    </row>
    <row r="2853">
      <c r="A2853" s="1" t="s">
        <v>120</v>
      </c>
      <c r="B2853" s="1">
        <v>2016.0</v>
      </c>
      <c r="C2853" s="1" t="s">
        <v>30311</v>
      </c>
      <c r="D2853" s="1" t="s">
        <v>30312</v>
      </c>
      <c r="E2853" s="2" t="s">
        <v>30313</v>
      </c>
      <c r="F2853" s="1">
        <v>231.0</v>
      </c>
      <c r="G2853" s="1">
        <v>240.0</v>
      </c>
      <c r="H2853" s="1" t="s">
        <v>17059</v>
      </c>
      <c r="I2853" s="1" t="s">
        <v>30317</v>
      </c>
      <c r="J2853" s="1" t="s">
        <v>30318</v>
      </c>
      <c r="K2853" s="1"/>
      <c r="L2853" s="1" t="s">
        <v>30319</v>
      </c>
      <c r="M2853" s="1" t="s">
        <v>30320</v>
      </c>
      <c r="N2853" s="1" t="s">
        <v>30321</v>
      </c>
    </row>
    <row r="2854">
      <c r="A2854" s="1" t="s">
        <v>120</v>
      </c>
      <c r="B2854" s="1">
        <v>2016.0</v>
      </c>
      <c r="C2854" s="1" t="s">
        <v>30324</v>
      </c>
      <c r="D2854" s="1" t="s">
        <v>30325</v>
      </c>
      <c r="E2854" s="2" t="s">
        <v>30326</v>
      </c>
      <c r="F2854" s="1">
        <v>1.0</v>
      </c>
      <c r="G2854" s="1">
        <v>10.0</v>
      </c>
      <c r="H2854" s="1" t="s">
        <v>28</v>
      </c>
      <c r="I2854" s="1" t="s">
        <v>30331</v>
      </c>
      <c r="J2854" s="1" t="s">
        <v>30332</v>
      </c>
      <c r="K2854" s="1"/>
      <c r="L2854" s="1" t="s">
        <v>30334</v>
      </c>
      <c r="M2854" s="1" t="s">
        <v>30335</v>
      </c>
    </row>
    <row r="2855">
      <c r="A2855" s="1" t="s">
        <v>120</v>
      </c>
      <c r="B2855" s="1">
        <v>2016.0</v>
      </c>
      <c r="C2855" s="1" t="s">
        <v>30336</v>
      </c>
      <c r="D2855" s="1" t="s">
        <v>30337</v>
      </c>
      <c r="E2855" s="2" t="s">
        <v>30338</v>
      </c>
      <c r="F2855" s="1">
        <v>11.0</v>
      </c>
      <c r="G2855" s="1">
        <v>20.0</v>
      </c>
      <c r="H2855" s="1" t="s">
        <v>28</v>
      </c>
      <c r="I2855" s="1" t="s">
        <v>30343</v>
      </c>
      <c r="J2855" s="1" t="s">
        <v>30344</v>
      </c>
      <c r="K2855" s="1"/>
      <c r="L2855" s="1" t="s">
        <v>880</v>
      </c>
      <c r="M2855" s="1" t="s">
        <v>30346</v>
      </c>
    </row>
    <row r="2856">
      <c r="A2856" s="1" t="s">
        <v>120</v>
      </c>
      <c r="B2856" s="1">
        <v>2016.0</v>
      </c>
      <c r="C2856" s="1" t="s">
        <v>30348</v>
      </c>
      <c r="D2856" s="1" t="s">
        <v>30349</v>
      </c>
      <c r="E2856" s="2" t="s">
        <v>30350</v>
      </c>
      <c r="F2856" s="1">
        <v>21.0</v>
      </c>
      <c r="G2856" s="1">
        <v>30.0</v>
      </c>
      <c r="H2856" s="1" t="s">
        <v>28</v>
      </c>
      <c r="I2856" s="1" t="s">
        <v>30355</v>
      </c>
      <c r="J2856" s="1" t="s">
        <v>30356</v>
      </c>
      <c r="K2856" s="1"/>
      <c r="L2856" s="1" t="s">
        <v>30359</v>
      </c>
      <c r="M2856" s="1" t="s">
        <v>30360</v>
      </c>
    </row>
    <row r="2857">
      <c r="A2857" s="1" t="s">
        <v>120</v>
      </c>
      <c r="B2857" s="1">
        <v>2016.0</v>
      </c>
      <c r="C2857" s="1" t="s">
        <v>30362</v>
      </c>
      <c r="D2857" s="1" t="s">
        <v>30363</v>
      </c>
      <c r="E2857" s="2" t="s">
        <v>30364</v>
      </c>
      <c r="F2857" s="1">
        <v>31.0</v>
      </c>
      <c r="G2857" s="1">
        <v>40.0</v>
      </c>
      <c r="H2857" s="1" t="s">
        <v>28</v>
      </c>
      <c r="I2857" s="1" t="s">
        <v>30365</v>
      </c>
      <c r="J2857" s="1" t="s">
        <v>30366</v>
      </c>
      <c r="K2857" s="1"/>
      <c r="L2857" s="1" t="s">
        <v>30367</v>
      </c>
    </row>
    <row r="2858">
      <c r="A2858" s="1" t="s">
        <v>120</v>
      </c>
      <c r="B2858" s="1">
        <v>2016.0</v>
      </c>
      <c r="C2858" s="1" t="s">
        <v>30368</v>
      </c>
      <c r="D2858" s="1" t="s">
        <v>30369</v>
      </c>
      <c r="E2858" s="2" t="s">
        <v>30370</v>
      </c>
      <c r="F2858" s="1">
        <v>41.0</v>
      </c>
      <c r="G2858" s="1">
        <v>50.0</v>
      </c>
      <c r="H2858" s="1" t="s">
        <v>28</v>
      </c>
      <c r="I2858" s="1" t="s">
        <v>30375</v>
      </c>
      <c r="J2858" s="1" t="s">
        <v>30376</v>
      </c>
      <c r="K2858" s="1"/>
      <c r="L2858" s="1" t="s">
        <v>30377</v>
      </c>
      <c r="M2858" s="1" t="s">
        <v>30378</v>
      </c>
    </row>
    <row r="2859">
      <c r="A2859" s="1" t="s">
        <v>120</v>
      </c>
      <c r="B2859" s="1">
        <v>2016.0</v>
      </c>
      <c r="C2859" s="1" t="s">
        <v>30380</v>
      </c>
      <c r="D2859" s="1" t="s">
        <v>30381</v>
      </c>
      <c r="E2859" s="2" t="s">
        <v>30383</v>
      </c>
      <c r="F2859" s="1">
        <v>51.0</v>
      </c>
      <c r="G2859" s="1">
        <v>60.0</v>
      </c>
      <c r="H2859" s="1" t="s">
        <v>28</v>
      </c>
      <c r="I2859" s="1" t="s">
        <v>30386</v>
      </c>
      <c r="J2859" s="1" t="s">
        <v>30387</v>
      </c>
      <c r="K2859" s="1"/>
      <c r="L2859" s="1" t="s">
        <v>30388</v>
      </c>
      <c r="M2859" s="1" t="s">
        <v>30389</v>
      </c>
    </row>
    <row r="2860">
      <c r="A2860" s="1" t="s">
        <v>120</v>
      </c>
      <c r="B2860" s="1">
        <v>2016.0</v>
      </c>
      <c r="C2860" s="1" t="s">
        <v>30390</v>
      </c>
      <c r="D2860" s="1" t="s">
        <v>30391</v>
      </c>
      <c r="E2860" s="2" t="s">
        <v>30392</v>
      </c>
      <c r="F2860" s="1">
        <v>61.0</v>
      </c>
      <c r="G2860" s="1">
        <v>70.0</v>
      </c>
      <c r="H2860" s="1" t="s">
        <v>28</v>
      </c>
      <c r="I2860" s="1" t="s">
        <v>30393</v>
      </c>
      <c r="J2860" s="1" t="s">
        <v>30394</v>
      </c>
      <c r="K2860" s="1"/>
      <c r="L2860" s="1" t="s">
        <v>30395</v>
      </c>
      <c r="M2860" s="1" t="s">
        <v>30396</v>
      </c>
    </row>
    <row r="2861">
      <c r="A2861" s="1" t="s">
        <v>120</v>
      </c>
      <c r="B2861" s="1">
        <v>2016.0</v>
      </c>
      <c r="C2861" s="1" t="s">
        <v>30397</v>
      </c>
      <c r="D2861" s="1" t="s">
        <v>30398</v>
      </c>
      <c r="E2861" s="2" t="s">
        <v>30399</v>
      </c>
      <c r="F2861" s="1">
        <v>71.0</v>
      </c>
      <c r="G2861" s="1">
        <v>80.0</v>
      </c>
      <c r="H2861" s="1" t="s">
        <v>28</v>
      </c>
      <c r="I2861" s="1" t="s">
        <v>30403</v>
      </c>
      <c r="J2861" s="1" t="s">
        <v>30405</v>
      </c>
      <c r="K2861" s="1"/>
      <c r="L2861" s="1" t="s">
        <v>30407</v>
      </c>
      <c r="M2861" s="1" t="s">
        <v>30408</v>
      </c>
    </row>
    <row r="2862">
      <c r="A2862" s="1" t="s">
        <v>120</v>
      </c>
      <c r="B2862" s="1">
        <v>2016.0</v>
      </c>
      <c r="C2862" s="1" t="s">
        <v>30410</v>
      </c>
      <c r="D2862" s="1" t="s">
        <v>30411</v>
      </c>
      <c r="E2862" s="2" t="s">
        <v>30412</v>
      </c>
      <c r="F2862" s="1">
        <v>81.0</v>
      </c>
      <c r="G2862" s="1">
        <v>90.0</v>
      </c>
      <c r="H2862" s="1" t="s">
        <v>28</v>
      </c>
      <c r="I2862" s="1" t="s">
        <v>30416</v>
      </c>
      <c r="J2862" s="1" t="s">
        <v>30417</v>
      </c>
      <c r="K2862" s="1"/>
      <c r="L2862" s="1" t="s">
        <v>34355</v>
      </c>
      <c r="M2862" s="1" t="s">
        <v>30421</v>
      </c>
    </row>
    <row r="2863">
      <c r="A2863" s="1" t="s">
        <v>120</v>
      </c>
      <c r="B2863" s="1">
        <v>2016.0</v>
      </c>
      <c r="C2863" s="1" t="s">
        <v>30664</v>
      </c>
      <c r="D2863" s="1" t="s">
        <v>30665</v>
      </c>
      <c r="E2863" s="2" t="s">
        <v>30667</v>
      </c>
      <c r="F2863" s="1">
        <v>91.0</v>
      </c>
      <c r="G2863" s="1">
        <v>100.0</v>
      </c>
      <c r="H2863" s="1" t="s">
        <v>28</v>
      </c>
      <c r="I2863" s="1" t="s">
        <v>30673</v>
      </c>
      <c r="J2863" s="1" t="s">
        <v>30674</v>
      </c>
      <c r="K2863" s="1"/>
      <c r="L2863" s="1" t="s">
        <v>30676</v>
      </c>
      <c r="M2863" s="1" t="s">
        <v>30677</v>
      </c>
    </row>
    <row r="2864">
      <c r="A2864" s="1" t="s">
        <v>120</v>
      </c>
      <c r="B2864" s="1">
        <v>2016.0</v>
      </c>
      <c r="C2864" s="1" t="s">
        <v>30678</v>
      </c>
      <c r="D2864" s="1" t="s">
        <v>30679</v>
      </c>
      <c r="E2864" s="2" t="s">
        <v>30680</v>
      </c>
      <c r="F2864" s="1">
        <v>101.0</v>
      </c>
      <c r="G2864" s="1">
        <v>110.0</v>
      </c>
      <c r="H2864" s="1" t="s">
        <v>28</v>
      </c>
      <c r="I2864" s="1" t="s">
        <v>30687</v>
      </c>
      <c r="J2864" s="1" t="s">
        <v>34367</v>
      </c>
      <c r="K2864" s="1"/>
      <c r="L2864" s="1" t="s">
        <v>30690</v>
      </c>
      <c r="M2864" s="1" t="s">
        <v>30691</v>
      </c>
    </row>
    <row r="2865">
      <c r="A2865" s="1" t="s">
        <v>120</v>
      </c>
      <c r="B2865" s="1">
        <v>2016.0</v>
      </c>
      <c r="C2865" s="1" t="s">
        <v>30692</v>
      </c>
      <c r="D2865" s="1" t="s">
        <v>30693</v>
      </c>
      <c r="E2865" s="2" t="s">
        <v>30694</v>
      </c>
      <c r="F2865" s="1">
        <v>111.0</v>
      </c>
      <c r="G2865" s="1">
        <v>120.0</v>
      </c>
      <c r="H2865" s="1" t="s">
        <v>28</v>
      </c>
      <c r="I2865" s="1" t="s">
        <v>30698</v>
      </c>
      <c r="J2865" s="1" t="s">
        <v>30699</v>
      </c>
      <c r="K2865" s="1"/>
      <c r="L2865" s="1" t="s">
        <v>30701</v>
      </c>
      <c r="M2865" s="1" t="s">
        <v>30702</v>
      </c>
    </row>
    <row r="2866">
      <c r="A2866" s="1" t="s">
        <v>120</v>
      </c>
      <c r="B2866" s="1">
        <v>2016.0</v>
      </c>
      <c r="C2866" s="1" t="s">
        <v>30703</v>
      </c>
      <c r="D2866" s="1" t="s">
        <v>30704</v>
      </c>
      <c r="E2866" s="2" t="s">
        <v>30705</v>
      </c>
      <c r="F2866" s="1">
        <v>121.0</v>
      </c>
      <c r="G2866" s="1">
        <v>130.0</v>
      </c>
      <c r="H2866" s="1" t="s">
        <v>28</v>
      </c>
      <c r="I2866" s="1" t="s">
        <v>30712</v>
      </c>
      <c r="J2866" s="1" t="s">
        <v>30715</v>
      </c>
      <c r="K2866" s="1"/>
      <c r="L2866" s="1" t="s">
        <v>34380</v>
      </c>
      <c r="M2866" s="1" t="s">
        <v>30718</v>
      </c>
    </row>
    <row r="2867">
      <c r="A2867" s="1" t="s">
        <v>120</v>
      </c>
      <c r="B2867" s="1">
        <v>2016.0</v>
      </c>
      <c r="C2867" s="1" t="s">
        <v>30719</v>
      </c>
      <c r="D2867" s="1" t="s">
        <v>30720</v>
      </c>
      <c r="E2867" s="2" t="s">
        <v>30721</v>
      </c>
      <c r="F2867" s="1">
        <v>131.0</v>
      </c>
      <c r="G2867" s="1">
        <v>140.0</v>
      </c>
      <c r="H2867" s="1" t="s">
        <v>28</v>
      </c>
      <c r="I2867" s="1" t="s">
        <v>34385</v>
      </c>
      <c r="J2867" s="1" t="s">
        <v>25575</v>
      </c>
      <c r="K2867" s="1"/>
      <c r="L2867" s="1" t="s">
        <v>30726</v>
      </c>
      <c r="M2867" s="1" t="s">
        <v>30727</v>
      </c>
    </row>
    <row r="2868">
      <c r="A2868" s="1" t="s">
        <v>120</v>
      </c>
      <c r="B2868" s="1">
        <v>2016.0</v>
      </c>
      <c r="C2868" s="1" t="s">
        <v>30729</v>
      </c>
      <c r="D2868" s="1" t="s">
        <v>30730</v>
      </c>
      <c r="E2868" s="2" t="s">
        <v>30731</v>
      </c>
      <c r="F2868" s="1">
        <v>141.0</v>
      </c>
      <c r="G2868" s="1">
        <v>150.0</v>
      </c>
      <c r="H2868" s="1" t="s">
        <v>28</v>
      </c>
      <c r="I2868" s="1" t="s">
        <v>30797</v>
      </c>
      <c r="J2868" s="1" t="s">
        <v>30798</v>
      </c>
      <c r="K2868" s="1"/>
      <c r="L2868" s="1" t="s">
        <v>30800</v>
      </c>
      <c r="M2868" s="1" t="s">
        <v>30801</v>
      </c>
    </row>
    <row r="2869">
      <c r="A2869" s="1" t="s">
        <v>2137</v>
      </c>
      <c r="B2869" s="1">
        <v>2017.0</v>
      </c>
      <c r="C2869" s="1" t="s">
        <v>30805</v>
      </c>
      <c r="D2869" s="1" t="s">
        <v>30806</v>
      </c>
      <c r="E2869" s="2" t="s">
        <v>30807</v>
      </c>
      <c r="F2869" s="1">
        <v>478.0</v>
      </c>
      <c r="G2869" s="1">
        <v>488.0</v>
      </c>
      <c r="H2869" s="1" t="s">
        <v>17059</v>
      </c>
      <c r="I2869" s="1" t="s">
        <v>34395</v>
      </c>
      <c r="J2869" s="1" t="s">
        <v>30816</v>
      </c>
      <c r="K2869" s="1" t="s">
        <v>30816</v>
      </c>
      <c r="L2869" s="1" t="s">
        <v>19791</v>
      </c>
      <c r="M2869" s="1" t="s">
        <v>30817</v>
      </c>
      <c r="N2869" s="1" t="s">
        <v>30818</v>
      </c>
      <c r="O2869" s="1">
        <v>0.0</v>
      </c>
      <c r="P2869" s="1">
        <v>0.0</v>
      </c>
    </row>
    <row r="2870">
      <c r="A2870" s="1" t="s">
        <v>2137</v>
      </c>
      <c r="B2870" s="1">
        <v>2017.0</v>
      </c>
      <c r="C2870" s="1" t="s">
        <v>30822</v>
      </c>
      <c r="D2870" s="1" t="s">
        <v>30823</v>
      </c>
      <c r="E2870" s="2" t="s">
        <v>30824</v>
      </c>
      <c r="F2870" s="1">
        <v>605.0</v>
      </c>
      <c r="G2870" s="1">
        <v>615.0</v>
      </c>
      <c r="H2870" s="1" t="s">
        <v>17059</v>
      </c>
      <c r="I2870" s="1" t="s">
        <v>30832</v>
      </c>
      <c r="J2870" s="1" t="s">
        <v>34399</v>
      </c>
      <c r="K2870" s="1" t="s">
        <v>34399</v>
      </c>
      <c r="L2870" s="1" t="s">
        <v>30834</v>
      </c>
      <c r="M2870" s="1" t="s">
        <v>30835</v>
      </c>
      <c r="N2870" s="1" t="s">
        <v>30836</v>
      </c>
      <c r="O2870" s="1">
        <v>0.0</v>
      </c>
      <c r="P2870" s="1">
        <v>0.0</v>
      </c>
    </row>
    <row r="2871">
      <c r="A2871" s="1" t="s">
        <v>2137</v>
      </c>
      <c r="B2871" s="1">
        <v>2017.0</v>
      </c>
      <c r="C2871" s="1" t="s">
        <v>30838</v>
      </c>
      <c r="D2871" s="1" t="s">
        <v>30840</v>
      </c>
      <c r="E2871" s="2" t="s">
        <v>30892</v>
      </c>
      <c r="F2871" s="1">
        <v>446.0</v>
      </c>
      <c r="G2871" s="1">
        <v>456.0</v>
      </c>
      <c r="H2871" s="1" t="s">
        <v>17059</v>
      </c>
      <c r="I2871" s="1" t="s">
        <v>30899</v>
      </c>
      <c r="J2871" s="1" t="s">
        <v>30901</v>
      </c>
      <c r="K2871" s="1" t="s">
        <v>30901</v>
      </c>
      <c r="L2871" s="1" t="s">
        <v>30902</v>
      </c>
      <c r="M2871" s="1" t="s">
        <v>23587</v>
      </c>
      <c r="N2871" s="1" t="s">
        <v>30904</v>
      </c>
      <c r="O2871" s="1">
        <v>0.0</v>
      </c>
      <c r="P2871" s="1">
        <v>0.0</v>
      </c>
    </row>
    <row r="2872">
      <c r="A2872" s="1" t="s">
        <v>2137</v>
      </c>
      <c r="B2872" s="1">
        <v>2017.0</v>
      </c>
      <c r="C2872" s="1" t="s">
        <v>30905</v>
      </c>
      <c r="D2872" s="1" t="s">
        <v>30906</v>
      </c>
      <c r="E2872" s="2" t="s">
        <v>30907</v>
      </c>
      <c r="F2872" s="1">
        <v>698.0</v>
      </c>
      <c r="G2872" s="1">
        <v>708.0</v>
      </c>
      <c r="H2872" s="1" t="s">
        <v>17059</v>
      </c>
      <c r="I2872" s="1" t="s">
        <v>30912</v>
      </c>
      <c r="J2872" s="1" t="s">
        <v>30914</v>
      </c>
      <c r="K2872" s="1" t="s">
        <v>30914</v>
      </c>
      <c r="L2872" s="1" t="s">
        <v>30916</v>
      </c>
      <c r="M2872" s="1" t="s">
        <v>30917</v>
      </c>
      <c r="N2872" s="1" t="s">
        <v>30919</v>
      </c>
      <c r="O2872" s="1">
        <v>0.0</v>
      </c>
      <c r="P2872" s="1">
        <v>0.0</v>
      </c>
    </row>
    <row r="2873">
      <c r="A2873" s="1" t="s">
        <v>4153</v>
      </c>
      <c r="B2873" s="1">
        <v>2017.0</v>
      </c>
      <c r="C2873" s="1" t="s">
        <v>31818</v>
      </c>
      <c r="D2873" s="1" t="s">
        <v>31819</v>
      </c>
      <c r="E2873" s="2" t="s">
        <v>31820</v>
      </c>
      <c r="F2873" s="1">
        <v>832.0</v>
      </c>
      <c r="G2873" s="1">
        <v>842.0</v>
      </c>
      <c r="H2873" s="1" t="s">
        <v>17059</v>
      </c>
      <c r="I2873" s="1" t="s">
        <v>31824</v>
      </c>
      <c r="J2873" s="1" t="s">
        <v>31825</v>
      </c>
      <c r="K2873" s="1" t="s">
        <v>31825</v>
      </c>
      <c r="L2873" s="1" t="s">
        <v>31826</v>
      </c>
      <c r="M2873" s="1" t="s">
        <v>31827</v>
      </c>
      <c r="N2873" s="1" t="s">
        <v>31828</v>
      </c>
      <c r="O2873" s="1">
        <v>0.0</v>
      </c>
      <c r="P2873" s="1">
        <v>0.0</v>
      </c>
      <c r="Q2873" s="1" t="s">
        <v>19037</v>
      </c>
    </row>
    <row r="2874">
      <c r="A2874" s="1" t="s">
        <v>2137</v>
      </c>
      <c r="B2874" s="1">
        <v>2017.0</v>
      </c>
      <c r="C2874" s="1" t="s">
        <v>30920</v>
      </c>
      <c r="D2874" s="1" t="s">
        <v>30921</v>
      </c>
      <c r="E2874" s="2" t="s">
        <v>30922</v>
      </c>
      <c r="F2874" s="1">
        <v>563.0</v>
      </c>
      <c r="G2874" s="1">
        <v>573.0</v>
      </c>
      <c r="H2874" s="1" t="s">
        <v>17059</v>
      </c>
      <c r="I2874" s="1" t="s">
        <v>30930</v>
      </c>
      <c r="J2874" s="1" t="s">
        <v>30931</v>
      </c>
      <c r="K2874" s="1" t="s">
        <v>30932</v>
      </c>
      <c r="L2874" s="1" t="s">
        <v>30933</v>
      </c>
      <c r="M2874" s="1" t="s">
        <v>27164</v>
      </c>
      <c r="N2874" s="1" t="s">
        <v>30934</v>
      </c>
      <c r="O2874" s="1">
        <v>0.0</v>
      </c>
      <c r="P2874" s="1">
        <v>0.0</v>
      </c>
    </row>
    <row r="2875">
      <c r="A2875" s="1" t="s">
        <v>4153</v>
      </c>
      <c r="B2875" s="1">
        <v>2017.0</v>
      </c>
      <c r="C2875" s="1" t="s">
        <v>31829</v>
      </c>
      <c r="D2875" s="1" t="s">
        <v>31830</v>
      </c>
      <c r="E2875" s="2" t="s">
        <v>31831</v>
      </c>
      <c r="F2875" s="1">
        <v>802.0</v>
      </c>
      <c r="G2875" s="1">
        <v>811.0</v>
      </c>
      <c r="H2875" s="1" t="s">
        <v>17059</v>
      </c>
      <c r="I2875" s="1" t="s">
        <v>31835</v>
      </c>
      <c r="J2875" s="1" t="s">
        <v>31836</v>
      </c>
      <c r="K2875" s="1" t="s">
        <v>31836</v>
      </c>
      <c r="L2875" s="1" t="s">
        <v>31837</v>
      </c>
      <c r="M2875" s="1" t="s">
        <v>31838</v>
      </c>
      <c r="N2875" s="1" t="s">
        <v>31839</v>
      </c>
      <c r="O2875" s="1">
        <v>1.0</v>
      </c>
      <c r="P2875" s="1">
        <v>0.0</v>
      </c>
      <c r="Q2875" s="1" t="s">
        <v>106</v>
      </c>
    </row>
    <row r="2876">
      <c r="A2876" s="1" t="s">
        <v>2137</v>
      </c>
      <c r="B2876" s="1">
        <v>2017.0</v>
      </c>
      <c r="C2876" s="1" t="s">
        <v>30935</v>
      </c>
      <c r="D2876" s="1" t="s">
        <v>30936</v>
      </c>
      <c r="E2876" s="2" t="s">
        <v>30937</v>
      </c>
      <c r="F2876" s="1">
        <v>719.0</v>
      </c>
      <c r="G2876" s="1">
        <v>728.0</v>
      </c>
      <c r="H2876" s="1" t="s">
        <v>17059</v>
      </c>
      <c r="I2876" s="1" t="s">
        <v>30979</v>
      </c>
      <c r="J2876" s="1" t="s">
        <v>34419</v>
      </c>
      <c r="K2876" s="1" t="s">
        <v>34419</v>
      </c>
      <c r="L2876" s="1" t="s">
        <v>30981</v>
      </c>
      <c r="M2876" s="1" t="s">
        <v>30982</v>
      </c>
      <c r="N2876" s="1" t="s">
        <v>30983</v>
      </c>
      <c r="O2876" s="1">
        <v>0.0</v>
      </c>
      <c r="P2876" s="1">
        <v>0.0</v>
      </c>
    </row>
    <row r="2877">
      <c r="A2877" s="1" t="s">
        <v>4153</v>
      </c>
      <c r="B2877" s="1">
        <v>2017.0</v>
      </c>
      <c r="C2877" s="1" t="s">
        <v>31840</v>
      </c>
      <c r="D2877" s="1" t="s">
        <v>31841</v>
      </c>
      <c r="E2877" s="2" t="s">
        <v>31842</v>
      </c>
      <c r="F2877" s="1">
        <v>923.0</v>
      </c>
      <c r="G2877" s="1">
        <v>933.0</v>
      </c>
      <c r="H2877" s="1" t="s">
        <v>17059</v>
      </c>
      <c r="I2877" s="1" t="s">
        <v>34420</v>
      </c>
      <c r="J2877" s="1" t="s">
        <v>31846</v>
      </c>
      <c r="K2877" s="1" t="s">
        <v>31847</v>
      </c>
      <c r="L2877" s="1" t="s">
        <v>31848</v>
      </c>
      <c r="M2877" s="1" t="s">
        <v>31849</v>
      </c>
      <c r="N2877" s="1" t="s">
        <v>31850</v>
      </c>
      <c r="O2877" s="1">
        <v>0.0</v>
      </c>
      <c r="P2877" s="1">
        <v>0.0</v>
      </c>
    </row>
    <row r="2878">
      <c r="A2878" s="1" t="s">
        <v>4153</v>
      </c>
      <c r="B2878" s="1">
        <v>2017.0</v>
      </c>
      <c r="C2878" s="1" t="s">
        <v>31851</v>
      </c>
      <c r="D2878" s="1" t="s">
        <v>31852</v>
      </c>
      <c r="E2878" s="2" t="s">
        <v>31853</v>
      </c>
      <c r="F2878" s="1">
        <v>944.0</v>
      </c>
      <c r="G2878" s="1">
        <v>953.0</v>
      </c>
      <c r="H2878" s="1" t="s">
        <v>17059</v>
      </c>
      <c r="I2878" s="1" t="s">
        <v>31856</v>
      </c>
      <c r="J2878" s="1" t="s">
        <v>31857</v>
      </c>
      <c r="K2878" s="1" t="s">
        <v>34425</v>
      </c>
      <c r="L2878" s="1" t="s">
        <v>31859</v>
      </c>
      <c r="M2878" s="1" t="s">
        <v>31860</v>
      </c>
      <c r="N2878" s="1" t="s">
        <v>31861</v>
      </c>
      <c r="O2878" s="1">
        <v>0.0</v>
      </c>
      <c r="P2878" s="1">
        <v>0.0</v>
      </c>
    </row>
    <row r="2879">
      <c r="A2879" s="1" t="s">
        <v>4153</v>
      </c>
      <c r="B2879" s="1">
        <v>2017.0</v>
      </c>
      <c r="C2879" s="1" t="s">
        <v>31862</v>
      </c>
      <c r="D2879" s="1" t="s">
        <v>31863</v>
      </c>
      <c r="E2879" s="2" t="s">
        <v>31864</v>
      </c>
      <c r="F2879" s="1">
        <v>812.0</v>
      </c>
      <c r="G2879" s="1">
        <v>821.0</v>
      </c>
      <c r="H2879" s="1" t="s">
        <v>17059</v>
      </c>
      <c r="I2879" s="1" t="s">
        <v>31867</v>
      </c>
      <c r="J2879" s="1" t="s">
        <v>34427</v>
      </c>
      <c r="K2879" s="1" t="s">
        <v>34429</v>
      </c>
      <c r="L2879" s="1" t="s">
        <v>31870</v>
      </c>
      <c r="M2879" s="1" t="s">
        <v>31871</v>
      </c>
      <c r="N2879" s="1" t="s">
        <v>31872</v>
      </c>
      <c r="O2879" s="1">
        <v>1.0</v>
      </c>
      <c r="P2879" s="1">
        <v>0.0</v>
      </c>
    </row>
    <row r="2880">
      <c r="A2880" s="1" t="s">
        <v>4153</v>
      </c>
      <c r="B2880" s="1">
        <v>2017.0</v>
      </c>
      <c r="C2880" s="1" t="s">
        <v>31873</v>
      </c>
      <c r="D2880" s="1" t="s">
        <v>31874</v>
      </c>
      <c r="E2880" s="2" t="s">
        <v>31875</v>
      </c>
      <c r="F2880" s="1">
        <v>1014.0</v>
      </c>
      <c r="G2880" s="1">
        <v>1024.0</v>
      </c>
      <c r="H2880" s="1" t="s">
        <v>17059</v>
      </c>
      <c r="I2880" s="1" t="s">
        <v>31878</v>
      </c>
      <c r="J2880" s="1" t="s">
        <v>34433</v>
      </c>
      <c r="K2880" s="1" t="s">
        <v>34434</v>
      </c>
      <c r="L2880" s="1" t="s">
        <v>34435</v>
      </c>
      <c r="M2880" s="1" t="s">
        <v>31882</v>
      </c>
      <c r="N2880" s="1" t="s">
        <v>31883</v>
      </c>
      <c r="O2880" s="1">
        <v>1.0</v>
      </c>
      <c r="P2880" s="1">
        <v>0.0</v>
      </c>
    </row>
    <row r="2881">
      <c r="A2881" s="1" t="s">
        <v>4153</v>
      </c>
      <c r="B2881" s="1">
        <v>2017.0</v>
      </c>
      <c r="C2881" s="1" t="s">
        <v>31884</v>
      </c>
      <c r="D2881" s="1" t="s">
        <v>31885</v>
      </c>
      <c r="E2881" s="2" t="s">
        <v>31886</v>
      </c>
      <c r="F2881" s="1">
        <v>893.0</v>
      </c>
      <c r="G2881" s="1">
        <v>902.0</v>
      </c>
      <c r="H2881" s="1" t="s">
        <v>17059</v>
      </c>
      <c r="I2881" s="1" t="s">
        <v>31889</v>
      </c>
      <c r="J2881" s="1" t="s">
        <v>34436</v>
      </c>
      <c r="K2881" s="1" t="s">
        <v>34436</v>
      </c>
      <c r="L2881" s="1" t="s">
        <v>34437</v>
      </c>
      <c r="M2881" s="1" t="s">
        <v>18734</v>
      </c>
      <c r="N2881" s="1" t="s">
        <v>31892</v>
      </c>
      <c r="O2881" s="1">
        <v>1.0</v>
      </c>
      <c r="P2881" s="1">
        <v>0.0</v>
      </c>
    </row>
    <row r="2882">
      <c r="A2882" s="1" t="s">
        <v>120</v>
      </c>
      <c r="B2882" s="1">
        <v>2017.0</v>
      </c>
      <c r="C2882" s="1" t="s">
        <v>32137</v>
      </c>
      <c r="D2882" s="1" t="s">
        <v>32138</v>
      </c>
      <c r="E2882" s="2" t="s">
        <v>32139</v>
      </c>
      <c r="F2882" s="1">
        <v>278.0</v>
      </c>
      <c r="G2882" s="1">
        <v>287.0</v>
      </c>
      <c r="H2882" s="1" t="s">
        <v>17059</v>
      </c>
      <c r="I2882" s="1" t="s">
        <v>34438</v>
      </c>
      <c r="J2882" s="1" t="s">
        <v>32143</v>
      </c>
      <c r="K2882" s="1" t="s">
        <v>32143</v>
      </c>
      <c r="L2882" s="1" t="s">
        <v>32144</v>
      </c>
      <c r="M2882" s="1" t="s">
        <v>32145</v>
      </c>
      <c r="N2882" s="1" t="s">
        <v>32146</v>
      </c>
      <c r="O2882" s="1">
        <v>0.0</v>
      </c>
      <c r="P2882" s="1">
        <v>0.0</v>
      </c>
    </row>
    <row r="2883">
      <c r="A2883" s="1" t="s">
        <v>2137</v>
      </c>
      <c r="B2883" s="1">
        <v>2017.0</v>
      </c>
      <c r="C2883" s="1" t="s">
        <v>30984</v>
      </c>
      <c r="D2883" s="1" t="s">
        <v>30985</v>
      </c>
      <c r="E2883" s="2" t="s">
        <v>30986</v>
      </c>
      <c r="F2883" s="1">
        <v>424.0</v>
      </c>
      <c r="G2883" s="1">
        <v>434.0</v>
      </c>
      <c r="H2883" s="1" t="s">
        <v>17059</v>
      </c>
      <c r="I2883" s="1" t="s">
        <v>30995</v>
      </c>
      <c r="J2883" s="1" t="s">
        <v>30996</v>
      </c>
      <c r="K2883" s="1" t="s">
        <v>30996</v>
      </c>
      <c r="L2883" s="1" t="s">
        <v>30997</v>
      </c>
      <c r="M2883" s="1" t="s">
        <v>30999</v>
      </c>
      <c r="N2883" s="1" t="s">
        <v>31000</v>
      </c>
      <c r="O2883" s="1">
        <v>0.0</v>
      </c>
      <c r="P2883" s="1">
        <v>0.0</v>
      </c>
    </row>
    <row r="2884">
      <c r="A2884" s="1" t="s">
        <v>2137</v>
      </c>
      <c r="B2884" s="1">
        <v>2017.0</v>
      </c>
      <c r="C2884" s="1" t="s">
        <v>31001</v>
      </c>
      <c r="D2884" s="1" t="s">
        <v>31002</v>
      </c>
      <c r="E2884" s="2" t="s">
        <v>31003</v>
      </c>
      <c r="F2884" s="1">
        <v>616.0</v>
      </c>
      <c r="G2884" s="1">
        <v>625.0</v>
      </c>
      <c r="H2884" s="1" t="s">
        <v>17059</v>
      </c>
      <c r="I2884" s="1" t="s">
        <v>31020</v>
      </c>
      <c r="J2884" s="1" t="s">
        <v>31022</v>
      </c>
      <c r="K2884" s="1" t="s">
        <v>31022</v>
      </c>
      <c r="L2884" s="1" t="s">
        <v>31023</v>
      </c>
      <c r="M2884" s="1" t="s">
        <v>31024</v>
      </c>
      <c r="N2884" s="1" t="s">
        <v>31025</v>
      </c>
      <c r="O2884" s="1">
        <v>0.0</v>
      </c>
      <c r="P2884" s="1">
        <v>0.0</v>
      </c>
    </row>
    <row r="2885">
      <c r="A2885" s="1" t="s">
        <v>2137</v>
      </c>
      <c r="B2885" s="1">
        <v>2017.0</v>
      </c>
      <c r="C2885" s="1" t="s">
        <v>31026</v>
      </c>
      <c r="D2885" s="1" t="s">
        <v>31027</v>
      </c>
      <c r="E2885" s="2" t="s">
        <v>31028</v>
      </c>
      <c r="F2885" s="1">
        <v>626.0</v>
      </c>
      <c r="G2885" s="1">
        <v>636.0</v>
      </c>
      <c r="H2885" s="1" t="s">
        <v>17059</v>
      </c>
      <c r="I2885" s="1" t="s">
        <v>31039</v>
      </c>
      <c r="J2885" s="1" t="s">
        <v>31040</v>
      </c>
      <c r="K2885" s="1" t="s">
        <v>31040</v>
      </c>
      <c r="L2885" s="1" t="s">
        <v>34450</v>
      </c>
      <c r="M2885" s="1" t="s">
        <v>31042</v>
      </c>
      <c r="N2885" s="1" t="s">
        <v>31043</v>
      </c>
      <c r="O2885" s="1">
        <v>0.0</v>
      </c>
      <c r="P2885" s="1">
        <v>0.0</v>
      </c>
    </row>
    <row r="2886">
      <c r="A2886" s="1" t="s">
        <v>4153</v>
      </c>
      <c r="B2886" s="1">
        <v>2017.0</v>
      </c>
      <c r="C2886" s="1" t="s">
        <v>31893</v>
      </c>
      <c r="D2886" s="1" t="s">
        <v>31894</v>
      </c>
      <c r="E2886" s="2" t="s">
        <v>31895</v>
      </c>
      <c r="F2886" s="1">
        <v>843.0</v>
      </c>
      <c r="G2886" s="1">
        <v>852.0</v>
      </c>
      <c r="H2886" s="1" t="s">
        <v>17059</v>
      </c>
      <c r="I2886" s="1" t="s">
        <v>31898</v>
      </c>
      <c r="J2886" s="1" t="s">
        <v>31899</v>
      </c>
      <c r="K2886" s="1" t="s">
        <v>31900</v>
      </c>
      <c r="L2886" s="1" t="s">
        <v>31901</v>
      </c>
      <c r="M2886" s="1"/>
      <c r="N2886" s="1" t="s">
        <v>31902</v>
      </c>
      <c r="O2886" s="1">
        <v>0.0</v>
      </c>
      <c r="P2886" s="1">
        <v>0.0</v>
      </c>
    </row>
    <row r="2887">
      <c r="A2887" s="1" t="s">
        <v>4153</v>
      </c>
      <c r="B2887" s="1">
        <v>2017.0</v>
      </c>
      <c r="C2887" s="1" t="s">
        <v>31903</v>
      </c>
      <c r="D2887" s="1" t="s">
        <v>31904</v>
      </c>
      <c r="E2887" s="2" t="s">
        <v>31905</v>
      </c>
      <c r="F2887" s="1">
        <v>903.0</v>
      </c>
      <c r="G2887" s="1">
        <v>912.0</v>
      </c>
      <c r="H2887" s="1" t="s">
        <v>17059</v>
      </c>
      <c r="I2887" s="1" t="s">
        <v>31908</v>
      </c>
      <c r="J2887" s="1" t="s">
        <v>34451</v>
      </c>
      <c r="K2887" s="1" t="s">
        <v>34452</v>
      </c>
      <c r="L2887" s="1" t="s">
        <v>31911</v>
      </c>
      <c r="M2887" s="1" t="s">
        <v>31912</v>
      </c>
      <c r="N2887" s="1" t="s">
        <v>31913</v>
      </c>
      <c r="O2887" s="1">
        <v>1.0</v>
      </c>
      <c r="P2887" s="1">
        <v>0.0</v>
      </c>
    </row>
    <row r="2888">
      <c r="A2888" s="1" t="s">
        <v>4153</v>
      </c>
      <c r="B2888" s="1">
        <v>2017.0</v>
      </c>
      <c r="C2888" s="1" t="s">
        <v>31914</v>
      </c>
      <c r="D2888" s="1" t="s">
        <v>31915</v>
      </c>
      <c r="E2888" s="2" t="s">
        <v>31916</v>
      </c>
      <c r="F2888" s="1">
        <v>954.0</v>
      </c>
      <c r="G2888" s="1">
        <v>963.0</v>
      </c>
      <c r="H2888" s="1" t="s">
        <v>17059</v>
      </c>
      <c r="I2888" s="1" t="s">
        <v>31920</v>
      </c>
      <c r="J2888" s="1" t="s">
        <v>31921</v>
      </c>
      <c r="K2888" s="1" t="s">
        <v>31921</v>
      </c>
      <c r="L2888" s="1" t="s">
        <v>31922</v>
      </c>
      <c r="M2888" s="1" t="s">
        <v>31923</v>
      </c>
      <c r="N2888" s="1" t="s">
        <v>31924</v>
      </c>
      <c r="O2888" s="1">
        <v>0.0</v>
      </c>
      <c r="P2888" s="1">
        <v>0.0</v>
      </c>
    </row>
    <row r="2889">
      <c r="A2889" s="1" t="s">
        <v>4153</v>
      </c>
      <c r="B2889" s="1">
        <v>2017.0</v>
      </c>
      <c r="C2889" s="1" t="s">
        <v>31925</v>
      </c>
      <c r="D2889" s="1" t="s">
        <v>31926</v>
      </c>
      <c r="E2889" s="2" t="s">
        <v>31927</v>
      </c>
      <c r="F2889" s="1">
        <v>964.0</v>
      </c>
      <c r="G2889" s="1">
        <v>973.0</v>
      </c>
      <c r="H2889" s="1" t="s">
        <v>17059</v>
      </c>
      <c r="I2889" s="1" t="s">
        <v>31930</v>
      </c>
      <c r="J2889" s="1" t="s">
        <v>31931</v>
      </c>
      <c r="K2889" s="1" t="s">
        <v>31931</v>
      </c>
      <c r="L2889" s="1" t="s">
        <v>31932</v>
      </c>
      <c r="M2889" s="1" t="s">
        <v>31933</v>
      </c>
      <c r="N2889" s="1" t="s">
        <v>31934</v>
      </c>
      <c r="O2889" s="1">
        <v>0.0</v>
      </c>
      <c r="P2889" s="1">
        <v>0.0</v>
      </c>
    </row>
    <row r="2890">
      <c r="A2890" s="1" t="s">
        <v>4153</v>
      </c>
      <c r="B2890" s="1">
        <v>2017.0</v>
      </c>
      <c r="C2890" s="1" t="s">
        <v>31935</v>
      </c>
      <c r="D2890" s="1" t="s">
        <v>31936</v>
      </c>
      <c r="E2890" s="2" t="s">
        <v>31937</v>
      </c>
      <c r="F2890" s="1">
        <v>994.0</v>
      </c>
      <c r="G2890" s="1">
        <v>1003.0</v>
      </c>
      <c r="H2890" s="1" t="s">
        <v>17059</v>
      </c>
      <c r="I2890" s="1" t="s">
        <v>31941</v>
      </c>
      <c r="J2890" s="1" t="s">
        <v>31942</v>
      </c>
      <c r="K2890" s="1" t="s">
        <v>31942</v>
      </c>
      <c r="L2890" s="1" t="s">
        <v>31943</v>
      </c>
      <c r="M2890" s="1" t="s">
        <v>31944</v>
      </c>
      <c r="N2890" s="1" t="s">
        <v>31945</v>
      </c>
      <c r="O2890" s="1">
        <v>0.0</v>
      </c>
      <c r="P2890" s="1">
        <v>0.0</v>
      </c>
    </row>
    <row r="2891">
      <c r="A2891" s="1" t="s">
        <v>120</v>
      </c>
      <c r="B2891" s="1">
        <v>2017.0</v>
      </c>
      <c r="C2891" s="1" t="s">
        <v>32147</v>
      </c>
      <c r="D2891" s="1" t="s">
        <v>32148</v>
      </c>
      <c r="E2891" s="2" t="s">
        <v>32149</v>
      </c>
      <c r="F2891" s="1">
        <v>205.0</v>
      </c>
      <c r="G2891" s="1">
        <v>214.0</v>
      </c>
      <c r="H2891" s="1" t="s">
        <v>17059</v>
      </c>
      <c r="I2891" s="1" t="s">
        <v>32152</v>
      </c>
      <c r="J2891" s="1" t="s">
        <v>32153</v>
      </c>
      <c r="K2891" s="1" t="s">
        <v>32153</v>
      </c>
      <c r="L2891" s="1" t="s">
        <v>32154</v>
      </c>
      <c r="M2891" s="1" t="s">
        <v>32155</v>
      </c>
      <c r="N2891" s="1" t="s">
        <v>32156</v>
      </c>
      <c r="O2891" s="1">
        <v>0.0</v>
      </c>
      <c r="P2891" s="1">
        <v>0.0</v>
      </c>
    </row>
    <row r="2892">
      <c r="A2892" s="1" t="s">
        <v>120</v>
      </c>
      <c r="B2892" s="1">
        <v>2017.0</v>
      </c>
      <c r="C2892" s="1" t="s">
        <v>32157</v>
      </c>
      <c r="D2892" s="1" t="s">
        <v>32158</v>
      </c>
      <c r="E2892" s="2" t="s">
        <v>32159</v>
      </c>
      <c r="F2892" s="1">
        <v>236.0</v>
      </c>
      <c r="G2892" s="1">
        <v>245.0</v>
      </c>
      <c r="H2892" s="1" t="s">
        <v>17059</v>
      </c>
      <c r="I2892" s="1" t="s">
        <v>32162</v>
      </c>
      <c r="J2892" s="1" t="s">
        <v>32163</v>
      </c>
      <c r="K2892" s="1" t="s">
        <v>32164</v>
      </c>
      <c r="L2892" s="1" t="s">
        <v>32165</v>
      </c>
      <c r="M2892" s="1" t="s">
        <v>32166</v>
      </c>
      <c r="N2892" s="1" t="s">
        <v>32167</v>
      </c>
      <c r="O2892" s="1">
        <v>0.0</v>
      </c>
      <c r="P2892" s="1">
        <v>0.0</v>
      </c>
    </row>
    <row r="2893">
      <c r="A2893" s="1" t="s">
        <v>4153</v>
      </c>
      <c r="B2893" s="1">
        <v>2017.0</v>
      </c>
      <c r="C2893" s="1" t="s">
        <v>31946</v>
      </c>
      <c r="D2893" s="1" t="s">
        <v>31947</v>
      </c>
      <c r="E2893" s="2" t="s">
        <v>31948</v>
      </c>
      <c r="F2893" s="1">
        <v>934.0</v>
      </c>
      <c r="G2893" s="1">
        <v>943.0</v>
      </c>
      <c r="H2893" s="1" t="s">
        <v>17059</v>
      </c>
      <c r="I2893" s="1" t="s">
        <v>31951</v>
      </c>
      <c r="J2893" s="1" t="s">
        <v>31952</v>
      </c>
      <c r="K2893" s="1" t="s">
        <v>31952</v>
      </c>
      <c r="L2893" s="1" t="s">
        <v>31953</v>
      </c>
      <c r="M2893" s="1" t="s">
        <v>31954</v>
      </c>
      <c r="N2893" s="1" t="s">
        <v>31955</v>
      </c>
      <c r="O2893" s="1">
        <v>0.0</v>
      </c>
      <c r="P2893" s="1">
        <v>0.0</v>
      </c>
    </row>
    <row r="2894">
      <c r="A2894" s="1" t="s">
        <v>2137</v>
      </c>
      <c r="B2894" s="1">
        <v>2017.0</v>
      </c>
      <c r="C2894" s="1" t="s">
        <v>31044</v>
      </c>
      <c r="D2894" s="1" t="s">
        <v>31045</v>
      </c>
      <c r="E2894" s="2" t="s">
        <v>31046</v>
      </c>
      <c r="F2894" s="1">
        <v>595.0</v>
      </c>
      <c r="G2894" s="1">
        <v>604.0</v>
      </c>
      <c r="H2894" s="1" t="s">
        <v>17059</v>
      </c>
      <c r="I2894" s="1" t="s">
        <v>31055</v>
      </c>
      <c r="J2894" s="1" t="s">
        <v>31056</v>
      </c>
      <c r="K2894" s="1" t="s">
        <v>31057</v>
      </c>
      <c r="L2894" s="1" t="s">
        <v>31058</v>
      </c>
      <c r="M2894" s="1" t="s">
        <v>31059</v>
      </c>
      <c r="N2894" s="1" t="s">
        <v>31060</v>
      </c>
      <c r="O2894" s="1">
        <v>0.0</v>
      </c>
      <c r="P2894" s="1">
        <v>0.0</v>
      </c>
    </row>
    <row r="2895">
      <c r="A2895" s="1" t="s">
        <v>2137</v>
      </c>
      <c r="B2895" s="1">
        <v>2017.0</v>
      </c>
      <c r="C2895" s="1" t="s">
        <v>31063</v>
      </c>
      <c r="D2895" s="1" t="s">
        <v>31064</v>
      </c>
      <c r="E2895" s="2" t="s">
        <v>31065</v>
      </c>
      <c r="F2895" s="1">
        <v>584.0</v>
      </c>
      <c r="G2895" s="1">
        <v>594.0</v>
      </c>
      <c r="H2895" s="1" t="s">
        <v>17059</v>
      </c>
      <c r="I2895" s="1" t="s">
        <v>31077</v>
      </c>
      <c r="J2895" s="1" t="s">
        <v>34474</v>
      </c>
      <c r="K2895" s="1" t="s">
        <v>34474</v>
      </c>
      <c r="L2895" s="1" t="s">
        <v>31080</v>
      </c>
      <c r="M2895" s="1" t="s">
        <v>31081</v>
      </c>
      <c r="N2895" s="1" t="s">
        <v>31082</v>
      </c>
      <c r="O2895" s="1">
        <v>0.0</v>
      </c>
      <c r="P2895" s="1">
        <v>0.0</v>
      </c>
    </row>
    <row r="2896">
      <c r="A2896" s="1" t="s">
        <v>2137</v>
      </c>
      <c r="B2896" s="1">
        <v>2017.0</v>
      </c>
      <c r="C2896" s="1" t="s">
        <v>31119</v>
      </c>
      <c r="D2896" s="1" t="s">
        <v>31120</v>
      </c>
      <c r="E2896" s="2" t="s">
        <v>31122</v>
      </c>
      <c r="F2896" s="1">
        <v>667.0</v>
      </c>
      <c r="G2896" s="1">
        <v>676.0</v>
      </c>
      <c r="H2896" s="1" t="s">
        <v>17059</v>
      </c>
      <c r="I2896" s="1" t="s">
        <v>31135</v>
      </c>
      <c r="J2896" s="1" t="s">
        <v>31136</v>
      </c>
      <c r="K2896" s="1" t="s">
        <v>31136</v>
      </c>
      <c r="L2896" s="1" t="s">
        <v>31191</v>
      </c>
      <c r="M2896" s="1" t="s">
        <v>31192</v>
      </c>
      <c r="N2896" s="1" t="s">
        <v>31193</v>
      </c>
      <c r="O2896" s="1">
        <v>2.0</v>
      </c>
      <c r="P2896" s="1">
        <v>0.0</v>
      </c>
    </row>
    <row r="2897">
      <c r="A2897" s="1" t="s">
        <v>4153</v>
      </c>
      <c r="B2897" s="1">
        <v>2017.0</v>
      </c>
      <c r="C2897" s="1" t="s">
        <v>31956</v>
      </c>
      <c r="D2897" s="1" t="s">
        <v>31957</v>
      </c>
      <c r="E2897" s="2" t="s">
        <v>31958</v>
      </c>
      <c r="F2897" s="1">
        <v>1004.0</v>
      </c>
      <c r="G2897" s="1">
        <v>1013.0</v>
      </c>
      <c r="H2897" s="1" t="s">
        <v>17059</v>
      </c>
      <c r="I2897" s="1" t="s">
        <v>31961</v>
      </c>
      <c r="J2897" s="1" t="s">
        <v>34483</v>
      </c>
      <c r="K2897" s="1" t="s">
        <v>34484</v>
      </c>
      <c r="L2897" s="1" t="s">
        <v>31964</v>
      </c>
      <c r="M2897" s="1" t="s">
        <v>31965</v>
      </c>
      <c r="N2897" s="1" t="s">
        <v>31966</v>
      </c>
      <c r="O2897" s="1">
        <v>1.0</v>
      </c>
      <c r="P2897" s="1">
        <v>0.0</v>
      </c>
    </row>
    <row r="2898">
      <c r="A2898" s="1" t="s">
        <v>2137</v>
      </c>
      <c r="B2898" s="1">
        <v>2017.0</v>
      </c>
      <c r="C2898" s="1" t="s">
        <v>31194</v>
      </c>
      <c r="D2898" s="1" t="s">
        <v>31195</v>
      </c>
      <c r="E2898" s="2" t="s">
        <v>31196</v>
      </c>
      <c r="F2898" s="1">
        <v>402.0</v>
      </c>
      <c r="G2898" s="1">
        <v>412.0</v>
      </c>
      <c r="H2898" s="1" t="s">
        <v>17059</v>
      </c>
      <c r="I2898" s="1" t="s">
        <v>31202</v>
      </c>
      <c r="J2898" s="1" t="s">
        <v>31204</v>
      </c>
      <c r="K2898" s="1" t="s">
        <v>31204</v>
      </c>
      <c r="L2898" s="1" t="s">
        <v>31205</v>
      </c>
      <c r="M2898" s="1" t="s">
        <v>31206</v>
      </c>
      <c r="N2898" s="1" t="s">
        <v>31207</v>
      </c>
      <c r="O2898" s="1">
        <v>0.0</v>
      </c>
      <c r="P2898" s="1">
        <v>0.0</v>
      </c>
    </row>
    <row r="2899">
      <c r="A2899" s="1" t="s">
        <v>2137</v>
      </c>
      <c r="B2899" s="1">
        <v>2017.0</v>
      </c>
      <c r="C2899" s="1" t="s">
        <v>31208</v>
      </c>
      <c r="D2899" s="1" t="s">
        <v>31209</v>
      </c>
      <c r="E2899" s="2" t="s">
        <v>31210</v>
      </c>
      <c r="F2899" s="1">
        <v>468.0</v>
      </c>
      <c r="G2899" s="1">
        <v>477.0</v>
      </c>
      <c r="H2899" s="1" t="s">
        <v>17059</v>
      </c>
      <c r="I2899" s="1" t="s">
        <v>31220</v>
      </c>
      <c r="J2899" s="1" t="s">
        <v>31221</v>
      </c>
      <c r="K2899" s="1" t="s">
        <v>31221</v>
      </c>
      <c r="L2899" s="1" t="s">
        <v>27140</v>
      </c>
      <c r="M2899" s="1" t="s">
        <v>31222</v>
      </c>
      <c r="N2899" s="1" t="s">
        <v>31223</v>
      </c>
      <c r="O2899" s="1">
        <v>1.0</v>
      </c>
      <c r="P2899" s="1">
        <v>0.0</v>
      </c>
      <c r="Q2899" s="1" t="s">
        <v>19037</v>
      </c>
    </row>
    <row r="2900">
      <c r="A2900" s="1" t="s">
        <v>2137</v>
      </c>
      <c r="B2900" s="1">
        <v>2017.0</v>
      </c>
      <c r="C2900" s="1" t="s">
        <v>31224</v>
      </c>
      <c r="D2900" s="1" t="s">
        <v>31225</v>
      </c>
      <c r="E2900" s="2" t="s">
        <v>31226</v>
      </c>
      <c r="F2900" s="1">
        <v>413.0</v>
      </c>
      <c r="G2900" s="1">
        <v>423.0</v>
      </c>
      <c r="H2900" s="1" t="s">
        <v>17059</v>
      </c>
      <c r="I2900" s="1" t="s">
        <v>31229</v>
      </c>
      <c r="J2900" s="1" t="s">
        <v>25193</v>
      </c>
      <c r="K2900" s="1" t="s">
        <v>25193</v>
      </c>
      <c r="L2900" s="1" t="s">
        <v>15411</v>
      </c>
      <c r="M2900" s="1" t="s">
        <v>31230</v>
      </c>
      <c r="N2900" s="1" t="s">
        <v>31231</v>
      </c>
      <c r="O2900" s="1">
        <v>0.0</v>
      </c>
      <c r="P2900" s="1">
        <v>0.0</v>
      </c>
    </row>
    <row r="2901">
      <c r="A2901" s="1" t="s">
        <v>2137</v>
      </c>
      <c r="B2901" s="1">
        <v>2017.0</v>
      </c>
      <c r="C2901" s="1" t="s">
        <v>31232</v>
      </c>
      <c r="D2901" s="1" t="s">
        <v>31233</v>
      </c>
      <c r="E2901" s="2" t="s">
        <v>31234</v>
      </c>
      <c r="F2901" s="1">
        <v>709.0</v>
      </c>
      <c r="G2901" s="1">
        <v>718.0</v>
      </c>
      <c r="H2901" s="1" t="s">
        <v>17059</v>
      </c>
      <c r="I2901" s="1" t="s">
        <v>31241</v>
      </c>
      <c r="J2901" s="1" t="s">
        <v>31242</v>
      </c>
      <c r="K2901" s="1" t="s">
        <v>31242</v>
      </c>
      <c r="L2901" s="1" t="s">
        <v>31243</v>
      </c>
      <c r="M2901" s="1" t="s">
        <v>31244</v>
      </c>
      <c r="N2901" s="1" t="s">
        <v>31245</v>
      </c>
      <c r="O2901" s="1">
        <v>0.0</v>
      </c>
      <c r="P2901" s="1">
        <v>0.0</v>
      </c>
    </row>
    <row r="2902">
      <c r="A2902" s="1" t="s">
        <v>4153</v>
      </c>
      <c r="B2902" s="1">
        <v>2017.0</v>
      </c>
      <c r="C2902" s="1" t="s">
        <v>31967</v>
      </c>
      <c r="D2902" s="1" t="s">
        <v>31968</v>
      </c>
      <c r="E2902" s="2" t="s">
        <v>31969</v>
      </c>
      <c r="F2902" s="1">
        <v>974.0</v>
      </c>
      <c r="G2902" s="1">
        <v>983.0</v>
      </c>
      <c r="H2902" s="1" t="s">
        <v>17059</v>
      </c>
      <c r="I2902" s="1" t="s">
        <v>31972</v>
      </c>
      <c r="J2902" s="1" t="s">
        <v>31973</v>
      </c>
      <c r="K2902" s="1" t="s">
        <v>31973</v>
      </c>
      <c r="L2902" s="1" t="s">
        <v>31974</v>
      </c>
      <c r="M2902" s="1" t="s">
        <v>31975</v>
      </c>
      <c r="N2902" s="1" t="s">
        <v>31976</v>
      </c>
      <c r="O2902" s="1">
        <v>0.0</v>
      </c>
      <c r="P2902" s="1">
        <v>0.0</v>
      </c>
    </row>
    <row r="2903">
      <c r="A2903" s="1" t="s">
        <v>4153</v>
      </c>
      <c r="B2903" s="1">
        <v>2017.0</v>
      </c>
      <c r="C2903" s="1" t="s">
        <v>31977</v>
      </c>
      <c r="D2903" s="1" t="s">
        <v>31978</v>
      </c>
      <c r="E2903" s="2" t="s">
        <v>31979</v>
      </c>
      <c r="F2903" s="1">
        <v>862.0</v>
      </c>
      <c r="G2903" s="1">
        <v>872.0</v>
      </c>
      <c r="H2903" s="1" t="s">
        <v>17059</v>
      </c>
      <c r="I2903" s="1" t="s">
        <v>31982</v>
      </c>
      <c r="J2903" s="1" t="s">
        <v>34534</v>
      </c>
      <c r="K2903" s="1" t="s">
        <v>34535</v>
      </c>
      <c r="L2903" s="1" t="s">
        <v>31985</v>
      </c>
      <c r="M2903" s="1"/>
      <c r="N2903" s="1" t="s">
        <v>31986</v>
      </c>
      <c r="O2903" s="1">
        <v>0.0</v>
      </c>
      <c r="P2903" s="1">
        <v>0.0</v>
      </c>
      <c r="Q2903" s="1" t="s">
        <v>19037</v>
      </c>
    </row>
    <row r="2904">
      <c r="A2904" s="1" t="s">
        <v>4153</v>
      </c>
      <c r="B2904" s="1">
        <v>2017.0</v>
      </c>
      <c r="C2904" s="1" t="s">
        <v>31987</v>
      </c>
      <c r="D2904" s="1" t="s">
        <v>31988</v>
      </c>
      <c r="E2904" s="2" t="s">
        <v>31989</v>
      </c>
      <c r="F2904" s="1">
        <v>853.0</v>
      </c>
      <c r="G2904" s="1">
        <v>861.0</v>
      </c>
      <c r="H2904" s="1" t="s">
        <v>17059</v>
      </c>
      <c r="I2904" s="1" t="s">
        <v>31992</v>
      </c>
      <c r="J2904" s="1" t="s">
        <v>34536</v>
      </c>
      <c r="K2904" s="1" t="s">
        <v>31994</v>
      </c>
      <c r="L2904" s="1" t="s">
        <v>31995</v>
      </c>
      <c r="M2904" s="1" t="s">
        <v>31996</v>
      </c>
      <c r="N2904" s="1" t="s">
        <v>31997</v>
      </c>
      <c r="O2904" s="1">
        <v>0.0</v>
      </c>
      <c r="P2904" s="1">
        <v>0.0</v>
      </c>
    </row>
    <row r="2905">
      <c r="A2905" s="1" t="s">
        <v>2137</v>
      </c>
      <c r="B2905" s="1">
        <v>2017.0</v>
      </c>
      <c r="C2905" s="1" t="s">
        <v>31247</v>
      </c>
      <c r="D2905" s="1" t="s">
        <v>31248</v>
      </c>
      <c r="E2905" s="2" t="s">
        <v>31250</v>
      </c>
      <c r="F2905" s="1">
        <v>781.0</v>
      </c>
      <c r="G2905" s="1">
        <v>790.0</v>
      </c>
      <c r="H2905" s="1" t="s">
        <v>17059</v>
      </c>
      <c r="I2905" s="1" t="s">
        <v>34539</v>
      </c>
      <c r="J2905" s="1" t="s">
        <v>31256</v>
      </c>
      <c r="K2905" s="1" t="s">
        <v>31256</v>
      </c>
      <c r="L2905" s="1" t="s">
        <v>34542</v>
      </c>
      <c r="M2905" s="1" t="s">
        <v>31258</v>
      </c>
      <c r="N2905" s="1" t="s">
        <v>31259</v>
      </c>
      <c r="O2905" s="1">
        <v>0.0</v>
      </c>
      <c r="P2905" s="1">
        <v>0.0</v>
      </c>
    </row>
    <row r="2906">
      <c r="A2906" s="1" t="s">
        <v>4153</v>
      </c>
      <c r="B2906" s="1">
        <v>2017.0</v>
      </c>
      <c r="C2906" s="1" t="s">
        <v>31998</v>
      </c>
      <c r="D2906" s="1" t="s">
        <v>31999</v>
      </c>
      <c r="E2906" s="2" t="s">
        <v>32000</v>
      </c>
      <c r="F2906" s="1">
        <v>873.0</v>
      </c>
      <c r="G2906" s="1">
        <v>882.0</v>
      </c>
      <c r="H2906" s="1" t="s">
        <v>17059</v>
      </c>
      <c r="I2906" s="1" t="s">
        <v>32003</v>
      </c>
      <c r="J2906" s="1" t="s">
        <v>32004</v>
      </c>
      <c r="K2906" s="1" t="s">
        <v>32004</v>
      </c>
      <c r="L2906" s="1" t="s">
        <v>32005</v>
      </c>
      <c r="M2906" s="1" t="s">
        <v>32006</v>
      </c>
      <c r="N2906" s="1" t="s">
        <v>32007</v>
      </c>
      <c r="O2906" s="1">
        <v>0.0</v>
      </c>
      <c r="P2906" s="1">
        <v>0.0</v>
      </c>
    </row>
    <row r="2907">
      <c r="A2907" s="1" t="s">
        <v>2137</v>
      </c>
      <c r="B2907" s="1">
        <v>2017.0</v>
      </c>
      <c r="C2907" s="1" t="s">
        <v>31260</v>
      </c>
      <c r="D2907" s="1" t="s">
        <v>31261</v>
      </c>
      <c r="E2907" s="2" t="s">
        <v>31262</v>
      </c>
      <c r="F2907" s="1">
        <v>739.0</v>
      </c>
      <c r="G2907" s="1">
        <v>748.0</v>
      </c>
      <c r="H2907" s="1" t="s">
        <v>17059</v>
      </c>
      <c r="I2907" s="1" t="s">
        <v>31269</v>
      </c>
      <c r="J2907" s="1" t="s">
        <v>34554</v>
      </c>
      <c r="K2907" s="1" t="s">
        <v>34556</v>
      </c>
      <c r="L2907" s="1" t="s">
        <v>31272</v>
      </c>
      <c r="M2907" s="1" t="s">
        <v>31273</v>
      </c>
      <c r="N2907" s="1" t="s">
        <v>31274</v>
      </c>
      <c r="O2907" s="1">
        <v>0.0</v>
      </c>
      <c r="P2907" s="1">
        <v>0.0</v>
      </c>
    </row>
    <row r="2908">
      <c r="A2908" s="1" t="s">
        <v>2137</v>
      </c>
      <c r="B2908" s="1">
        <v>2017.0</v>
      </c>
      <c r="C2908" s="1" t="s">
        <v>31275</v>
      </c>
      <c r="D2908" s="1" t="s">
        <v>31276</v>
      </c>
      <c r="E2908" s="2" t="s">
        <v>31277</v>
      </c>
      <c r="F2908" s="1">
        <v>435.0</v>
      </c>
      <c r="G2908" s="1">
        <v>445.0</v>
      </c>
      <c r="H2908" s="1" t="s">
        <v>17059</v>
      </c>
      <c r="I2908" s="1" t="s">
        <v>31284</v>
      </c>
      <c r="J2908" s="1" t="s">
        <v>31285</v>
      </c>
      <c r="K2908" s="1" t="s">
        <v>31285</v>
      </c>
      <c r="L2908" s="1" t="s">
        <v>31286</v>
      </c>
      <c r="M2908" s="1" t="s">
        <v>31287</v>
      </c>
      <c r="N2908" s="1" t="s">
        <v>31288</v>
      </c>
      <c r="O2908" s="1">
        <v>0.0</v>
      </c>
      <c r="P2908" s="1">
        <v>0.0</v>
      </c>
      <c r="Q2908" s="1" t="s">
        <v>19037</v>
      </c>
    </row>
    <row r="2909">
      <c r="A2909" s="1" t="s">
        <v>2137</v>
      </c>
      <c r="B2909" s="1">
        <v>2017.0</v>
      </c>
      <c r="C2909" s="1" t="s">
        <v>31290</v>
      </c>
      <c r="D2909" s="1" t="s">
        <v>31292</v>
      </c>
      <c r="E2909" s="2" t="s">
        <v>31293</v>
      </c>
      <c r="F2909" s="1">
        <v>637.0</v>
      </c>
      <c r="G2909" s="1">
        <v>646.0</v>
      </c>
      <c r="H2909" s="1" t="s">
        <v>17059</v>
      </c>
      <c r="I2909" s="1" t="s">
        <v>34569</v>
      </c>
      <c r="J2909" s="1" t="s">
        <v>31299</v>
      </c>
      <c r="K2909" s="1" t="s">
        <v>31299</v>
      </c>
      <c r="L2909" s="1" t="s">
        <v>34571</v>
      </c>
      <c r="M2909" s="1" t="s">
        <v>31301</v>
      </c>
      <c r="N2909" s="1" t="s">
        <v>31302</v>
      </c>
      <c r="O2909" s="1">
        <v>0.0</v>
      </c>
      <c r="P2909" s="1">
        <v>0.0</v>
      </c>
    </row>
    <row r="2910">
      <c r="A2910" s="1" t="s">
        <v>4153</v>
      </c>
      <c r="B2910" s="1">
        <v>2017.0</v>
      </c>
      <c r="C2910" s="1" t="s">
        <v>32008</v>
      </c>
      <c r="D2910" s="1" t="s">
        <v>32009</v>
      </c>
      <c r="E2910" s="2" t="s">
        <v>32010</v>
      </c>
      <c r="F2910" s="1">
        <v>822.0</v>
      </c>
      <c r="G2910" s="1">
        <v>831.0</v>
      </c>
      <c r="H2910" s="1" t="s">
        <v>17059</v>
      </c>
      <c r="I2910" s="1" t="s">
        <v>32014</v>
      </c>
      <c r="J2910" s="1" t="s">
        <v>32015</v>
      </c>
      <c r="K2910" s="1" t="s">
        <v>32015</v>
      </c>
      <c r="L2910" s="1" t="s">
        <v>32016</v>
      </c>
      <c r="M2910" s="1" t="s">
        <v>32017</v>
      </c>
      <c r="N2910" s="1" t="s">
        <v>32018</v>
      </c>
      <c r="O2910" s="1">
        <v>0.0</v>
      </c>
      <c r="P2910" s="1">
        <v>0.0</v>
      </c>
    </row>
    <row r="2911">
      <c r="A2911" s="1" t="s">
        <v>120</v>
      </c>
      <c r="B2911" s="1">
        <v>2017.0</v>
      </c>
      <c r="C2911" s="1" t="s">
        <v>32168</v>
      </c>
      <c r="D2911" s="1" t="s">
        <v>32169</v>
      </c>
      <c r="E2911" s="2" t="s">
        <v>32170</v>
      </c>
      <c r="F2911" s="1">
        <v>34.0</v>
      </c>
      <c r="G2911" s="1">
        <v>44.0</v>
      </c>
      <c r="H2911" s="1" t="s">
        <v>17059</v>
      </c>
      <c r="I2911" s="1" t="s">
        <v>32172</v>
      </c>
      <c r="J2911" s="1" t="s">
        <v>32173</v>
      </c>
      <c r="K2911" s="1" t="s">
        <v>32174</v>
      </c>
      <c r="L2911" s="1" t="s">
        <v>32175</v>
      </c>
      <c r="M2911" s="1" t="s">
        <v>32176</v>
      </c>
      <c r="N2911" s="1" t="s">
        <v>32177</v>
      </c>
      <c r="O2911" s="1">
        <v>0.0</v>
      </c>
      <c r="P2911" s="1">
        <v>0.0</v>
      </c>
    </row>
    <row r="2912">
      <c r="A2912" s="1" t="s">
        <v>2137</v>
      </c>
      <c r="B2912" s="1">
        <v>2017.0</v>
      </c>
      <c r="C2912" s="1" t="s">
        <v>31303</v>
      </c>
      <c r="D2912" s="1" t="s">
        <v>31304</v>
      </c>
      <c r="E2912" s="2" t="s">
        <v>31305</v>
      </c>
      <c r="F2912" s="1">
        <v>500.0</v>
      </c>
      <c r="G2912" s="1">
        <v>510.0</v>
      </c>
      <c r="H2912" s="1" t="s">
        <v>17059</v>
      </c>
      <c r="I2912" s="1" t="s">
        <v>31311</v>
      </c>
      <c r="J2912" s="1" t="s">
        <v>34575</v>
      </c>
      <c r="K2912" s="1" t="s">
        <v>34575</v>
      </c>
      <c r="L2912" s="1" t="s">
        <v>31317</v>
      </c>
      <c r="M2912" s="1" t="s">
        <v>31318</v>
      </c>
      <c r="N2912" s="1" t="s">
        <v>31319</v>
      </c>
      <c r="O2912" s="1">
        <v>0.0</v>
      </c>
      <c r="P2912" s="1">
        <v>0.0</v>
      </c>
    </row>
    <row r="2913">
      <c r="A2913" s="1" t="s">
        <v>2137</v>
      </c>
      <c r="B2913" s="1">
        <v>2017.0</v>
      </c>
      <c r="C2913" s="1" t="s">
        <v>31320</v>
      </c>
      <c r="D2913" s="1" t="s">
        <v>31321</v>
      </c>
      <c r="E2913" s="2" t="s">
        <v>31322</v>
      </c>
      <c r="F2913" s="1">
        <v>542.0</v>
      </c>
      <c r="G2913" s="1">
        <v>552.0</v>
      </c>
      <c r="H2913" s="1" t="s">
        <v>17059</v>
      </c>
      <c r="I2913" s="1" t="s">
        <v>31327</v>
      </c>
      <c r="J2913" s="1" t="s">
        <v>34576</v>
      </c>
      <c r="K2913" s="1" t="s">
        <v>34577</v>
      </c>
      <c r="L2913" s="1" t="s">
        <v>34578</v>
      </c>
      <c r="M2913" s="1" t="s">
        <v>31331</v>
      </c>
      <c r="N2913" s="1" t="s">
        <v>31332</v>
      </c>
      <c r="O2913" s="1">
        <v>0.0</v>
      </c>
      <c r="P2913" s="1">
        <v>0.0</v>
      </c>
    </row>
    <row r="2914">
      <c r="A2914" s="1" t="s">
        <v>120</v>
      </c>
      <c r="B2914" s="1">
        <v>2017.0</v>
      </c>
      <c r="C2914" s="1" t="s">
        <v>32178</v>
      </c>
      <c r="D2914" s="1" t="s">
        <v>32179</v>
      </c>
      <c r="E2914" s="2" t="s">
        <v>32180</v>
      </c>
      <c r="F2914" s="1">
        <v>98.0</v>
      </c>
      <c r="G2914" s="1">
        <v>108.0</v>
      </c>
      <c r="H2914" s="1" t="s">
        <v>17059</v>
      </c>
      <c r="I2914" s="1" t="s">
        <v>32183</v>
      </c>
      <c r="J2914" s="1" t="s">
        <v>34583</v>
      </c>
      <c r="K2914" s="1" t="s">
        <v>34584</v>
      </c>
      <c r="L2914" s="1" t="s">
        <v>32186</v>
      </c>
      <c r="M2914" s="1" t="s">
        <v>32187</v>
      </c>
      <c r="N2914" s="1" t="s">
        <v>32188</v>
      </c>
      <c r="O2914" s="1">
        <v>1.0</v>
      </c>
      <c r="P2914" s="1">
        <v>0.0</v>
      </c>
    </row>
    <row r="2915">
      <c r="A2915" s="1" t="s">
        <v>2137</v>
      </c>
      <c r="B2915" s="1">
        <v>2017.0</v>
      </c>
      <c r="C2915" s="1" t="s">
        <v>31333</v>
      </c>
      <c r="D2915" s="1" t="s">
        <v>31334</v>
      </c>
      <c r="E2915" s="2" t="s">
        <v>31335</v>
      </c>
      <c r="F2915" s="1">
        <v>392.0</v>
      </c>
      <c r="G2915" s="1">
        <v>401.0</v>
      </c>
      <c r="H2915" s="1" t="s">
        <v>17059</v>
      </c>
      <c r="I2915" s="1" t="s">
        <v>31342</v>
      </c>
      <c r="J2915" s="1" t="s">
        <v>31343</v>
      </c>
      <c r="K2915" s="1" t="s">
        <v>31343</v>
      </c>
      <c r="L2915" s="1" t="s">
        <v>31344</v>
      </c>
      <c r="M2915" s="1" t="s">
        <v>31345</v>
      </c>
      <c r="N2915" s="1" t="s">
        <v>31346</v>
      </c>
      <c r="O2915" s="1">
        <v>0.0</v>
      </c>
      <c r="P2915" s="1">
        <v>0.0</v>
      </c>
      <c r="Q2915" s="1" t="s">
        <v>106</v>
      </c>
    </row>
    <row r="2916">
      <c r="A2916" s="1" t="s">
        <v>120</v>
      </c>
      <c r="B2916" s="1">
        <v>2017.0</v>
      </c>
      <c r="C2916" s="1" t="s">
        <v>32189</v>
      </c>
      <c r="D2916" s="1" t="s">
        <v>32190</v>
      </c>
      <c r="E2916" s="2" t="s">
        <v>32191</v>
      </c>
      <c r="F2916" s="1">
        <v>163.0</v>
      </c>
      <c r="G2916" s="1">
        <v>173.0</v>
      </c>
      <c r="H2916" s="1" t="s">
        <v>17059</v>
      </c>
      <c r="I2916" s="1" t="s">
        <v>32194</v>
      </c>
      <c r="J2916" s="1" t="s">
        <v>32195</v>
      </c>
      <c r="K2916" s="1" t="s">
        <v>32196</v>
      </c>
      <c r="L2916" s="1" t="s">
        <v>32197</v>
      </c>
      <c r="M2916" s="1" t="s">
        <v>32198</v>
      </c>
      <c r="N2916" s="1" t="s">
        <v>32199</v>
      </c>
      <c r="O2916" s="1">
        <v>0.0</v>
      </c>
      <c r="P2916" s="1">
        <v>0.0</v>
      </c>
    </row>
    <row r="2917">
      <c r="A2917" s="1" t="s">
        <v>120</v>
      </c>
      <c r="B2917" s="1">
        <v>2017.0</v>
      </c>
      <c r="C2917" s="1" t="s">
        <v>32200</v>
      </c>
      <c r="D2917" s="1" t="s">
        <v>32201</v>
      </c>
      <c r="E2917" s="2" t="s">
        <v>32202</v>
      </c>
      <c r="F2917" s="1">
        <v>319.0</v>
      </c>
      <c r="G2917" s="1">
        <v>329.0</v>
      </c>
      <c r="H2917" s="1" t="s">
        <v>17059</v>
      </c>
      <c r="I2917" s="1" t="s">
        <v>34595</v>
      </c>
      <c r="J2917" s="1" t="s">
        <v>32206</v>
      </c>
      <c r="K2917" s="1" t="s">
        <v>32206</v>
      </c>
      <c r="L2917" s="1" t="s">
        <v>32207</v>
      </c>
      <c r="M2917" s="1" t="s">
        <v>32208</v>
      </c>
      <c r="N2917" s="1" t="s">
        <v>32209</v>
      </c>
      <c r="O2917" s="1">
        <v>0.0</v>
      </c>
      <c r="P2917" s="1">
        <v>0.0</v>
      </c>
    </row>
    <row r="2918">
      <c r="A2918" s="1" t="s">
        <v>120</v>
      </c>
      <c r="B2918" s="1">
        <v>2017.0</v>
      </c>
      <c r="C2918" s="1" t="s">
        <v>32210</v>
      </c>
      <c r="D2918" s="1" t="s">
        <v>32211</v>
      </c>
      <c r="E2918" s="2" t="s">
        <v>32212</v>
      </c>
      <c r="F2918" s="1">
        <v>23.0</v>
      </c>
      <c r="G2918" s="1">
        <v>33.0</v>
      </c>
      <c r="H2918" s="1" t="s">
        <v>17059</v>
      </c>
      <c r="I2918" s="1" t="s">
        <v>34599</v>
      </c>
      <c r="J2918" s="1" t="s">
        <v>32216</v>
      </c>
      <c r="K2918" s="1" t="s">
        <v>32216</v>
      </c>
      <c r="L2918" s="1" t="s">
        <v>32217</v>
      </c>
      <c r="M2918" s="1" t="s">
        <v>32218</v>
      </c>
      <c r="N2918" s="1" t="s">
        <v>32219</v>
      </c>
      <c r="O2918" s="1">
        <v>0.0</v>
      </c>
      <c r="P2918" s="1">
        <v>0.0</v>
      </c>
    </row>
    <row r="2919">
      <c r="A2919" s="1" t="s">
        <v>4153</v>
      </c>
      <c r="B2919" s="1">
        <v>2017.0</v>
      </c>
      <c r="C2919" s="1" t="s">
        <v>32019</v>
      </c>
      <c r="D2919" s="1" t="s">
        <v>32020</v>
      </c>
      <c r="E2919" s="2" t="s">
        <v>32021</v>
      </c>
      <c r="F2919" s="1">
        <v>984.0</v>
      </c>
      <c r="G2919" s="1">
        <v>993.0</v>
      </c>
      <c r="H2919" s="1" t="s">
        <v>17059</v>
      </c>
      <c r="I2919" s="1" t="s">
        <v>32024</v>
      </c>
      <c r="J2919" s="1" t="s">
        <v>32025</v>
      </c>
      <c r="K2919" s="1" t="s">
        <v>32025</v>
      </c>
      <c r="L2919" s="1" t="s">
        <v>29306</v>
      </c>
      <c r="M2919" s="1" t="s">
        <v>32026</v>
      </c>
      <c r="N2919" s="1" t="s">
        <v>32027</v>
      </c>
      <c r="O2919" s="1">
        <v>0.0</v>
      </c>
      <c r="P2919" s="1">
        <v>0.0</v>
      </c>
    </row>
    <row r="2920">
      <c r="A2920" s="1" t="s">
        <v>120</v>
      </c>
      <c r="B2920" s="1">
        <v>2017.0</v>
      </c>
      <c r="C2920" s="1" t="s">
        <v>32220</v>
      </c>
      <c r="D2920" s="1" t="s">
        <v>32221</v>
      </c>
      <c r="E2920" s="2" t="s">
        <v>32222</v>
      </c>
      <c r="F2920" s="1">
        <v>195.0</v>
      </c>
      <c r="G2920" s="1">
        <v>204.0</v>
      </c>
      <c r="H2920" s="1" t="s">
        <v>17059</v>
      </c>
      <c r="I2920" s="1" t="s">
        <v>32226</v>
      </c>
      <c r="J2920" s="1" t="s">
        <v>32227</v>
      </c>
      <c r="K2920" s="1" t="s">
        <v>32227</v>
      </c>
      <c r="L2920" s="1" t="s">
        <v>32228</v>
      </c>
      <c r="M2920" s="1" t="s">
        <v>32229</v>
      </c>
      <c r="N2920" s="1" t="s">
        <v>32230</v>
      </c>
      <c r="O2920" s="1">
        <v>0.0</v>
      </c>
      <c r="P2920" s="1">
        <v>0.0</v>
      </c>
    </row>
    <row r="2921">
      <c r="A2921" s="1" t="s">
        <v>4153</v>
      </c>
      <c r="B2921" s="1">
        <v>2017.0</v>
      </c>
      <c r="C2921" s="1" t="s">
        <v>32028</v>
      </c>
      <c r="D2921" s="1" t="s">
        <v>32029</v>
      </c>
      <c r="E2921" s="2" t="s">
        <v>32030</v>
      </c>
      <c r="F2921" s="1">
        <v>913.0</v>
      </c>
      <c r="G2921" s="1">
        <v>922.0</v>
      </c>
      <c r="H2921" s="1" t="s">
        <v>17059</v>
      </c>
      <c r="I2921" s="1" t="s">
        <v>32034</v>
      </c>
      <c r="J2921" s="1" t="s">
        <v>32035</v>
      </c>
      <c r="K2921" s="1" t="s">
        <v>32035</v>
      </c>
      <c r="L2921" s="1" t="s">
        <v>32036</v>
      </c>
      <c r="M2921" s="1" t="s">
        <v>32037</v>
      </c>
      <c r="N2921" s="1" t="s">
        <v>32038</v>
      </c>
      <c r="O2921" s="1">
        <v>0.0</v>
      </c>
      <c r="P2921" s="1">
        <v>0.0</v>
      </c>
    </row>
    <row r="2922">
      <c r="A2922" s="1" t="s">
        <v>120</v>
      </c>
      <c r="B2922" s="1">
        <v>2017.0</v>
      </c>
      <c r="C2922" s="1" t="s">
        <v>32231</v>
      </c>
      <c r="D2922" s="1" t="s">
        <v>32232</v>
      </c>
      <c r="E2922" s="2" t="s">
        <v>32233</v>
      </c>
      <c r="F2922" s="1">
        <v>361.0</v>
      </c>
      <c r="G2922" s="1">
        <v>370.0</v>
      </c>
      <c r="H2922" s="1" t="s">
        <v>17059</v>
      </c>
      <c r="I2922" s="1" t="s">
        <v>32236</v>
      </c>
      <c r="J2922" s="1" t="s">
        <v>32237</v>
      </c>
      <c r="K2922" s="1" t="s">
        <v>32238</v>
      </c>
      <c r="L2922" s="1" t="s">
        <v>32239</v>
      </c>
      <c r="M2922" s="1" t="s">
        <v>32240</v>
      </c>
      <c r="N2922" s="1" t="s">
        <v>32241</v>
      </c>
      <c r="O2922" s="1">
        <v>0.0</v>
      </c>
      <c r="P2922" s="1">
        <v>0.0</v>
      </c>
    </row>
    <row r="2923">
      <c r="A2923" s="1" t="s">
        <v>4153</v>
      </c>
      <c r="B2923" s="1">
        <v>2017.0</v>
      </c>
      <c r="C2923" s="1" t="s">
        <v>32039</v>
      </c>
      <c r="D2923" s="1" t="s">
        <v>32040</v>
      </c>
      <c r="E2923" s="2" t="s">
        <v>32041</v>
      </c>
      <c r="F2923" s="1">
        <v>1025.0</v>
      </c>
      <c r="G2923" s="1">
        <v>1035.0</v>
      </c>
      <c r="H2923" s="1" t="s">
        <v>17059</v>
      </c>
      <c r="I2923" s="1" t="s">
        <v>32044</v>
      </c>
      <c r="J2923" s="1" t="s">
        <v>34619</v>
      </c>
      <c r="K2923" s="1" t="s">
        <v>34619</v>
      </c>
      <c r="L2923" s="1" t="s">
        <v>32046</v>
      </c>
      <c r="M2923" s="1" t="s">
        <v>32047</v>
      </c>
      <c r="N2923" s="1" t="s">
        <v>32048</v>
      </c>
      <c r="O2923" s="1">
        <v>0.0</v>
      </c>
      <c r="P2923" s="1">
        <v>0.0</v>
      </c>
    </row>
    <row r="2924">
      <c r="A2924" s="1" t="s">
        <v>4153</v>
      </c>
      <c r="B2924" s="1">
        <v>2017.0</v>
      </c>
      <c r="C2924" s="1" t="s">
        <v>32049</v>
      </c>
      <c r="D2924" s="1" t="s">
        <v>32050</v>
      </c>
      <c r="E2924" s="2" t="s">
        <v>32051</v>
      </c>
      <c r="F2924" s="1">
        <v>883.0</v>
      </c>
      <c r="G2924" s="1">
        <v>892.0</v>
      </c>
      <c r="H2924" s="1" t="s">
        <v>17059</v>
      </c>
      <c r="I2924" s="1" t="s">
        <v>32131</v>
      </c>
      <c r="J2924" s="1" t="s">
        <v>34620</v>
      </c>
      <c r="K2924" s="1" t="s">
        <v>34621</v>
      </c>
      <c r="L2924" s="1" t="s">
        <v>32134</v>
      </c>
      <c r="M2924" s="1" t="s">
        <v>32135</v>
      </c>
      <c r="N2924" s="1" t="s">
        <v>32136</v>
      </c>
      <c r="O2924" s="1">
        <v>0.0</v>
      </c>
      <c r="P2924" s="1">
        <v>0.0</v>
      </c>
    </row>
    <row r="2925">
      <c r="A2925" s="1" t="s">
        <v>120</v>
      </c>
      <c r="B2925" s="1">
        <v>2017.0</v>
      </c>
      <c r="C2925" s="1" t="s">
        <v>32242</v>
      </c>
      <c r="D2925" s="1" t="s">
        <v>32243</v>
      </c>
      <c r="E2925" s="2" t="s">
        <v>32244</v>
      </c>
      <c r="F2925" s="1">
        <v>152.0</v>
      </c>
      <c r="G2925" s="1">
        <v>162.0</v>
      </c>
      <c r="H2925" s="1" t="s">
        <v>17059</v>
      </c>
      <c r="I2925" s="1" t="s">
        <v>32247</v>
      </c>
      <c r="J2925" s="1" t="s">
        <v>32248</v>
      </c>
      <c r="K2925" s="1" t="s">
        <v>32249</v>
      </c>
      <c r="L2925" s="1" t="s">
        <v>32250</v>
      </c>
      <c r="M2925" s="1" t="s">
        <v>32251</v>
      </c>
      <c r="N2925" s="1" t="s">
        <v>32252</v>
      </c>
      <c r="O2925" s="1">
        <v>0.0</v>
      </c>
      <c r="P2925" s="1">
        <v>0.0</v>
      </c>
    </row>
    <row r="2926">
      <c r="A2926" s="1" t="s">
        <v>120</v>
      </c>
      <c r="B2926" s="1">
        <v>2017.0</v>
      </c>
      <c r="C2926" s="1" t="s">
        <v>32253</v>
      </c>
      <c r="D2926" s="1" t="s">
        <v>32254</v>
      </c>
      <c r="E2926" s="2" t="s">
        <v>32255</v>
      </c>
      <c r="F2926" s="1">
        <v>309.0</v>
      </c>
      <c r="G2926" s="1">
        <v>318.0</v>
      </c>
      <c r="H2926" s="1" t="s">
        <v>17059</v>
      </c>
      <c r="I2926" s="1" t="s">
        <v>32258</v>
      </c>
      <c r="J2926" s="1" t="s">
        <v>32259</v>
      </c>
      <c r="K2926" s="1" t="s">
        <v>32259</v>
      </c>
      <c r="L2926" s="1" t="s">
        <v>32260</v>
      </c>
      <c r="M2926" s="1" t="s">
        <v>32261</v>
      </c>
      <c r="N2926" s="1" t="s">
        <v>32262</v>
      </c>
      <c r="O2926" s="1">
        <v>0.0</v>
      </c>
      <c r="P2926" s="1">
        <v>0.0</v>
      </c>
    </row>
    <row r="2927">
      <c r="A2927" s="1" t="s">
        <v>120</v>
      </c>
      <c r="B2927" s="1">
        <v>2017.0</v>
      </c>
      <c r="C2927" s="1" t="s">
        <v>32263</v>
      </c>
      <c r="D2927" s="1" t="s">
        <v>32264</v>
      </c>
      <c r="E2927" s="2" t="s">
        <v>32265</v>
      </c>
      <c r="F2927" s="1">
        <v>256.0</v>
      </c>
      <c r="G2927" s="1">
        <v>266.0</v>
      </c>
      <c r="H2927" s="1" t="s">
        <v>17059</v>
      </c>
      <c r="I2927" s="1" t="s">
        <v>32268</v>
      </c>
      <c r="J2927" s="1" t="s">
        <v>32269</v>
      </c>
      <c r="K2927" s="1" t="s">
        <v>32269</v>
      </c>
      <c r="L2927" s="1" t="s">
        <v>32270</v>
      </c>
      <c r="M2927" s="1" t="s">
        <v>32271</v>
      </c>
      <c r="N2927" s="1" t="s">
        <v>32272</v>
      </c>
      <c r="O2927" s="1">
        <v>0.0</v>
      </c>
      <c r="P2927" s="1">
        <v>0.0</v>
      </c>
    </row>
    <row r="2928">
      <c r="A2928" s="1" t="s">
        <v>120</v>
      </c>
      <c r="B2928" s="1">
        <v>2017.0</v>
      </c>
      <c r="C2928" s="1" t="s">
        <v>32273</v>
      </c>
      <c r="D2928" s="1" t="s">
        <v>32274</v>
      </c>
      <c r="E2928" s="2" t="s">
        <v>32275</v>
      </c>
      <c r="F2928" s="1">
        <v>66.0</v>
      </c>
      <c r="G2928" s="1">
        <v>76.0</v>
      </c>
      <c r="H2928" s="1" t="s">
        <v>17059</v>
      </c>
      <c r="I2928" s="1" t="s">
        <v>32278</v>
      </c>
      <c r="J2928" s="1" t="s">
        <v>32279</v>
      </c>
      <c r="K2928" s="1" t="s">
        <v>34634</v>
      </c>
      <c r="L2928" s="1" t="s">
        <v>32281</v>
      </c>
      <c r="M2928" s="1" t="s">
        <v>32282</v>
      </c>
      <c r="N2928" s="1" t="s">
        <v>32283</v>
      </c>
      <c r="O2928" s="1">
        <v>0.0</v>
      </c>
      <c r="P2928" s="1">
        <v>0.0</v>
      </c>
    </row>
    <row r="2929">
      <c r="A2929" s="1" t="s">
        <v>120</v>
      </c>
      <c r="B2929" s="1">
        <v>2017.0</v>
      </c>
      <c r="C2929" s="1" t="s">
        <v>32284</v>
      </c>
      <c r="D2929" s="1" t="s">
        <v>32285</v>
      </c>
      <c r="E2929" s="2" t="s">
        <v>32286</v>
      </c>
      <c r="F2929" s="1">
        <v>88.0</v>
      </c>
      <c r="G2929" s="1">
        <v>97.0</v>
      </c>
      <c r="H2929" s="1" t="s">
        <v>17059</v>
      </c>
      <c r="I2929" s="1" t="s">
        <v>32289</v>
      </c>
      <c r="J2929" s="1" t="s">
        <v>32290</v>
      </c>
      <c r="K2929" s="1" t="s">
        <v>32291</v>
      </c>
      <c r="L2929" s="1" t="s">
        <v>32292</v>
      </c>
      <c r="M2929" s="1" t="s">
        <v>32293</v>
      </c>
      <c r="N2929" s="1" t="s">
        <v>32294</v>
      </c>
      <c r="O2929" s="1">
        <v>2.0</v>
      </c>
      <c r="P2929" s="1">
        <v>0.0</v>
      </c>
    </row>
    <row r="2930">
      <c r="A2930" s="1" t="s">
        <v>120</v>
      </c>
      <c r="B2930" s="1">
        <v>2017.0</v>
      </c>
      <c r="C2930" s="1" t="s">
        <v>32295</v>
      </c>
      <c r="D2930" s="1" t="s">
        <v>32296</v>
      </c>
      <c r="E2930" s="2" t="s">
        <v>32297</v>
      </c>
      <c r="F2930" s="1">
        <v>246.0</v>
      </c>
      <c r="G2930" s="1">
        <v>255.0</v>
      </c>
      <c r="H2930" s="1" t="s">
        <v>17059</v>
      </c>
      <c r="I2930" s="1" t="s">
        <v>32300</v>
      </c>
      <c r="J2930" s="1" t="s">
        <v>32301</v>
      </c>
      <c r="K2930" s="1" t="s">
        <v>32302</v>
      </c>
      <c r="L2930" s="1" t="s">
        <v>32303</v>
      </c>
      <c r="M2930" s="1" t="s">
        <v>32304</v>
      </c>
      <c r="N2930" s="1" t="s">
        <v>32305</v>
      </c>
      <c r="O2930" s="1">
        <v>0.0</v>
      </c>
      <c r="P2930" s="1">
        <v>0.0</v>
      </c>
    </row>
    <row r="2931">
      <c r="A2931" s="1" t="s">
        <v>120</v>
      </c>
      <c r="B2931" s="1">
        <v>2017.0</v>
      </c>
      <c r="C2931" s="1" t="s">
        <v>32306</v>
      </c>
      <c r="D2931" s="1" t="s">
        <v>32307</v>
      </c>
      <c r="E2931" s="2" t="s">
        <v>32308</v>
      </c>
      <c r="F2931" s="1">
        <v>330.0</v>
      </c>
      <c r="G2931" s="1">
        <v>339.0</v>
      </c>
      <c r="H2931" s="1" t="s">
        <v>17059</v>
      </c>
      <c r="I2931" s="1" t="s">
        <v>32311</v>
      </c>
      <c r="J2931" s="1" t="s">
        <v>32312</v>
      </c>
      <c r="K2931" s="1" t="s">
        <v>32312</v>
      </c>
      <c r="L2931" s="1" t="s">
        <v>32313</v>
      </c>
      <c r="M2931" s="1" t="s">
        <v>32314</v>
      </c>
      <c r="N2931" s="1" t="s">
        <v>32315</v>
      </c>
      <c r="O2931" s="1">
        <v>0.0</v>
      </c>
      <c r="P2931" s="1">
        <v>0.0</v>
      </c>
    </row>
    <row r="2932">
      <c r="A2932" s="1" t="s">
        <v>120</v>
      </c>
      <c r="B2932" s="1">
        <v>2017.0</v>
      </c>
      <c r="C2932" s="1" t="s">
        <v>32316</v>
      </c>
      <c r="D2932" s="1" t="s">
        <v>32317</v>
      </c>
      <c r="E2932" s="2" t="s">
        <v>32318</v>
      </c>
      <c r="F2932" s="1">
        <v>120.0</v>
      </c>
      <c r="G2932" s="1">
        <v>130.0</v>
      </c>
      <c r="H2932" s="1" t="s">
        <v>17059</v>
      </c>
      <c r="I2932" s="1" t="s">
        <v>32321</v>
      </c>
      <c r="J2932" s="1" t="s">
        <v>34640</v>
      </c>
      <c r="K2932" s="1" t="s">
        <v>34640</v>
      </c>
      <c r="L2932" s="1" t="s">
        <v>34641</v>
      </c>
      <c r="M2932" s="1" t="s">
        <v>32324</v>
      </c>
      <c r="N2932" s="1" t="s">
        <v>32325</v>
      </c>
      <c r="O2932" s="1">
        <v>0.0</v>
      </c>
      <c r="P2932" s="1">
        <v>0.0</v>
      </c>
    </row>
    <row r="2933">
      <c r="A2933" s="1" t="s">
        <v>120</v>
      </c>
      <c r="B2933" s="1">
        <v>2017.0</v>
      </c>
      <c r="C2933" s="1" t="s">
        <v>32326</v>
      </c>
      <c r="D2933" s="1" t="s">
        <v>32327</v>
      </c>
      <c r="E2933" s="2" t="s">
        <v>32328</v>
      </c>
      <c r="F2933" s="1">
        <v>298.0</v>
      </c>
      <c r="G2933" s="1">
        <v>308.0</v>
      </c>
      <c r="H2933" s="1" t="s">
        <v>17059</v>
      </c>
      <c r="I2933" s="1" t="s">
        <v>32387</v>
      </c>
      <c r="J2933" s="1" t="s">
        <v>34642</v>
      </c>
      <c r="K2933" s="1" t="s">
        <v>34643</v>
      </c>
      <c r="L2933" s="1" t="s">
        <v>34644</v>
      </c>
      <c r="M2933" s="1" t="s">
        <v>32391</v>
      </c>
      <c r="N2933" s="1" t="s">
        <v>32392</v>
      </c>
      <c r="O2933" s="1">
        <v>0.0</v>
      </c>
      <c r="P2933" s="1">
        <v>0.0</v>
      </c>
    </row>
    <row r="2934">
      <c r="A2934" s="1" t="s">
        <v>120</v>
      </c>
      <c r="B2934" s="1">
        <v>2017.0</v>
      </c>
      <c r="C2934" s="1" t="s">
        <v>32393</v>
      </c>
      <c r="D2934" s="1" t="s">
        <v>32394</v>
      </c>
      <c r="E2934" s="2" t="s">
        <v>32395</v>
      </c>
      <c r="F2934" s="1">
        <v>226.0</v>
      </c>
      <c r="G2934" s="1">
        <v>235.0</v>
      </c>
      <c r="H2934" s="1" t="s">
        <v>17059</v>
      </c>
      <c r="I2934" s="1" t="s">
        <v>32398</v>
      </c>
      <c r="J2934" s="1" t="s">
        <v>32399</v>
      </c>
      <c r="K2934" s="1" t="s">
        <v>32399</v>
      </c>
      <c r="L2934" s="1" t="s">
        <v>32400</v>
      </c>
      <c r="M2934" s="1" t="s">
        <v>32401</v>
      </c>
      <c r="N2934" s="1" t="s">
        <v>32402</v>
      </c>
      <c r="O2934" s="1">
        <v>0.0</v>
      </c>
      <c r="P2934" s="1">
        <v>0.0</v>
      </c>
    </row>
    <row r="2935">
      <c r="A2935" s="1" t="s">
        <v>120</v>
      </c>
      <c r="B2935" s="1">
        <v>2017.0</v>
      </c>
      <c r="C2935" s="1" t="s">
        <v>32403</v>
      </c>
      <c r="D2935" s="1" t="s">
        <v>32404</v>
      </c>
      <c r="E2935" s="2" t="s">
        <v>32405</v>
      </c>
      <c r="F2935" s="1">
        <v>1.0</v>
      </c>
      <c r="G2935" s="1">
        <v>12.0</v>
      </c>
      <c r="H2935" s="1" t="s">
        <v>17059</v>
      </c>
      <c r="I2935" s="1" t="s">
        <v>32408</v>
      </c>
      <c r="J2935" s="1" t="s">
        <v>34646</v>
      </c>
      <c r="K2935" s="1" t="s">
        <v>34647</v>
      </c>
      <c r="L2935" s="1" t="s">
        <v>32411</v>
      </c>
      <c r="M2935" s="1" t="s">
        <v>32412</v>
      </c>
      <c r="N2935" s="1" t="s">
        <v>32413</v>
      </c>
      <c r="O2935" s="1">
        <v>3.0</v>
      </c>
      <c r="P2935" s="1">
        <v>0.0</v>
      </c>
      <c r="Q2935" s="1" t="s">
        <v>106</v>
      </c>
    </row>
    <row r="2936">
      <c r="A2936" s="1" t="s">
        <v>120</v>
      </c>
      <c r="B2936" s="1">
        <v>2017.0</v>
      </c>
      <c r="C2936" s="1" t="s">
        <v>32414</v>
      </c>
      <c r="D2936" s="1" t="s">
        <v>32415</v>
      </c>
      <c r="E2936" s="2" t="s">
        <v>32416</v>
      </c>
      <c r="F2936" s="1">
        <v>215.0</v>
      </c>
      <c r="G2936" s="1">
        <v>225.0</v>
      </c>
      <c r="H2936" s="1" t="s">
        <v>17059</v>
      </c>
      <c r="I2936" s="1" t="s">
        <v>32419</v>
      </c>
      <c r="J2936" s="1" t="s">
        <v>32420</v>
      </c>
      <c r="K2936" s="1" t="s">
        <v>32421</v>
      </c>
      <c r="L2936" s="1"/>
      <c r="M2936" s="1" t="s">
        <v>32422</v>
      </c>
      <c r="N2936" s="1" t="s">
        <v>32423</v>
      </c>
      <c r="O2936" s="1">
        <v>0.0</v>
      </c>
      <c r="P2936" s="1">
        <v>0.0</v>
      </c>
    </row>
    <row r="2937">
      <c r="A2937" s="1" t="s">
        <v>120</v>
      </c>
      <c r="B2937" s="1">
        <v>2017.0</v>
      </c>
      <c r="C2937" s="1" t="s">
        <v>32424</v>
      </c>
      <c r="D2937" s="1" t="s">
        <v>32425</v>
      </c>
      <c r="E2937" s="2" t="s">
        <v>32426</v>
      </c>
      <c r="F2937" s="1">
        <v>77.0</v>
      </c>
      <c r="G2937" s="1">
        <v>87.0</v>
      </c>
      <c r="H2937" s="1" t="s">
        <v>17059</v>
      </c>
      <c r="I2937" s="1" t="s">
        <v>32430</v>
      </c>
      <c r="J2937" s="1" t="s">
        <v>32431</v>
      </c>
      <c r="K2937" s="1" t="s">
        <v>32432</v>
      </c>
      <c r="L2937" s="1" t="s">
        <v>32433</v>
      </c>
      <c r="M2937" s="1" t="s">
        <v>32434</v>
      </c>
      <c r="N2937" s="1" t="s">
        <v>32435</v>
      </c>
      <c r="O2937" s="1">
        <v>3.0</v>
      </c>
      <c r="P2937" s="1">
        <v>0.0</v>
      </c>
    </row>
    <row r="2938">
      <c r="A2938" s="1" t="s">
        <v>120</v>
      </c>
      <c r="B2938" s="1">
        <v>2017.0</v>
      </c>
      <c r="C2938" s="1" t="s">
        <v>32436</v>
      </c>
      <c r="D2938" s="1" t="s">
        <v>32437</v>
      </c>
      <c r="E2938" s="2" t="s">
        <v>32438</v>
      </c>
      <c r="F2938" s="1">
        <v>288.0</v>
      </c>
      <c r="G2938" s="1">
        <v>297.0</v>
      </c>
      <c r="H2938" s="1" t="s">
        <v>17059</v>
      </c>
      <c r="I2938" s="1" t="s">
        <v>32441</v>
      </c>
      <c r="J2938" s="1" t="s">
        <v>32442</v>
      </c>
      <c r="K2938" s="1" t="s">
        <v>32442</v>
      </c>
      <c r="L2938" s="1" t="s">
        <v>32443</v>
      </c>
      <c r="M2938" s="1" t="s">
        <v>32444</v>
      </c>
      <c r="N2938" s="1" t="s">
        <v>32445</v>
      </c>
      <c r="O2938" s="1">
        <v>0.0</v>
      </c>
      <c r="P2938" s="1">
        <v>0.0</v>
      </c>
    </row>
    <row r="2939">
      <c r="A2939" s="1" t="s">
        <v>120</v>
      </c>
      <c r="B2939" s="1">
        <v>2017.0</v>
      </c>
      <c r="C2939" s="1" t="s">
        <v>32446</v>
      </c>
      <c r="D2939" s="1" t="s">
        <v>32447</v>
      </c>
      <c r="E2939" s="2" t="s">
        <v>32448</v>
      </c>
      <c r="F2939" s="1">
        <v>382.0</v>
      </c>
      <c r="G2939" s="1">
        <v>391.0</v>
      </c>
      <c r="H2939" s="1" t="s">
        <v>17059</v>
      </c>
      <c r="I2939" s="1" t="s">
        <v>32458</v>
      </c>
      <c r="J2939" s="1" t="s">
        <v>32459</v>
      </c>
      <c r="K2939" s="1" t="s">
        <v>32460</v>
      </c>
      <c r="L2939" s="1" t="s">
        <v>32461</v>
      </c>
      <c r="M2939" s="1" t="s">
        <v>32462</v>
      </c>
      <c r="N2939" s="1" t="s">
        <v>32463</v>
      </c>
      <c r="O2939" s="1">
        <v>0.0</v>
      </c>
      <c r="P2939" s="1">
        <v>0.0</v>
      </c>
      <c r="Q2939" s="1" t="s">
        <v>19037</v>
      </c>
    </row>
    <row r="2940">
      <c r="A2940" s="1" t="s">
        <v>120</v>
      </c>
      <c r="B2940" s="1">
        <v>2017.0</v>
      </c>
      <c r="C2940" s="1" t="s">
        <v>32464</v>
      </c>
      <c r="D2940" s="1" t="s">
        <v>32465</v>
      </c>
      <c r="E2940" s="2" t="s">
        <v>32466</v>
      </c>
      <c r="F2940" s="1">
        <v>45.0</v>
      </c>
      <c r="G2940" s="1">
        <v>55.0</v>
      </c>
      <c r="H2940" s="1" t="s">
        <v>17059</v>
      </c>
      <c r="I2940" s="1" t="s">
        <v>32469</v>
      </c>
      <c r="J2940" s="1" t="s">
        <v>32470</v>
      </c>
      <c r="K2940" s="1" t="s">
        <v>32470</v>
      </c>
      <c r="L2940" s="1" t="s">
        <v>32471</v>
      </c>
      <c r="M2940" s="1" t="s">
        <v>32472</v>
      </c>
      <c r="N2940" s="1" t="s">
        <v>32473</v>
      </c>
      <c r="O2940" s="1">
        <v>0.0</v>
      </c>
      <c r="P2940" s="1">
        <v>0.0</v>
      </c>
    </row>
    <row r="2941">
      <c r="A2941" s="1" t="s">
        <v>120</v>
      </c>
      <c r="B2941" s="1">
        <v>2017.0</v>
      </c>
      <c r="C2941" s="1" t="s">
        <v>32474</v>
      </c>
      <c r="D2941" s="1" t="s">
        <v>32475</v>
      </c>
      <c r="E2941" s="2" t="s">
        <v>32476</v>
      </c>
      <c r="F2941" s="1">
        <v>142.0</v>
      </c>
      <c r="G2941" s="1">
        <v>151.0</v>
      </c>
      <c r="H2941" s="1" t="s">
        <v>17059</v>
      </c>
      <c r="I2941" s="1" t="s">
        <v>32479</v>
      </c>
      <c r="J2941" s="1" t="s">
        <v>32480</v>
      </c>
      <c r="K2941" s="1" t="s">
        <v>32481</v>
      </c>
      <c r="L2941" s="1" t="s">
        <v>32482</v>
      </c>
      <c r="M2941" s="1" t="s">
        <v>32483</v>
      </c>
      <c r="N2941" s="1" t="s">
        <v>32484</v>
      </c>
      <c r="O2941" s="1">
        <v>0.0</v>
      </c>
      <c r="P2941" s="1">
        <v>0.0</v>
      </c>
    </row>
    <row r="2942">
      <c r="A2942" s="1" t="s">
        <v>2137</v>
      </c>
      <c r="B2942" s="1">
        <v>2017.0</v>
      </c>
      <c r="C2942" s="1" t="s">
        <v>31347</v>
      </c>
      <c r="D2942" s="1" t="s">
        <v>31348</v>
      </c>
      <c r="E2942" s="2" t="s">
        <v>31349</v>
      </c>
      <c r="F2942" s="1">
        <v>574.0</v>
      </c>
      <c r="G2942" s="1">
        <v>583.0</v>
      </c>
      <c r="H2942" s="1" t="s">
        <v>17059</v>
      </c>
      <c r="I2942" s="1" t="s">
        <v>31355</v>
      </c>
      <c r="J2942" s="1" t="s">
        <v>31356</v>
      </c>
      <c r="K2942" s="1" t="s">
        <v>31357</v>
      </c>
      <c r="L2942" s="1" t="s">
        <v>31358</v>
      </c>
      <c r="M2942" s="1" t="s">
        <v>31359</v>
      </c>
      <c r="N2942" s="1" t="s">
        <v>31360</v>
      </c>
      <c r="O2942" s="1">
        <v>0.0</v>
      </c>
      <c r="P2942" s="1">
        <v>0.0</v>
      </c>
    </row>
    <row r="2943">
      <c r="A2943" s="1" t="s">
        <v>2137</v>
      </c>
      <c r="B2943" s="1">
        <v>2017.0</v>
      </c>
      <c r="C2943" s="1" t="s">
        <v>31361</v>
      </c>
      <c r="D2943" s="1" t="s">
        <v>31362</v>
      </c>
      <c r="E2943" s="2" t="s">
        <v>31363</v>
      </c>
      <c r="F2943" s="1">
        <v>687.0</v>
      </c>
      <c r="G2943" s="1">
        <v>697.0</v>
      </c>
      <c r="H2943" s="1" t="s">
        <v>17059</v>
      </c>
      <c r="I2943" s="1" t="s">
        <v>31424</v>
      </c>
      <c r="J2943" s="1" t="s">
        <v>31425</v>
      </c>
      <c r="K2943" s="1" t="s">
        <v>31426</v>
      </c>
      <c r="L2943" s="1" t="s">
        <v>31427</v>
      </c>
      <c r="M2943" s="1" t="s">
        <v>31428</v>
      </c>
      <c r="N2943" s="1" t="s">
        <v>31429</v>
      </c>
      <c r="O2943" s="1">
        <v>0.0</v>
      </c>
      <c r="P2943" s="1">
        <v>0.0</v>
      </c>
    </row>
    <row r="2944">
      <c r="A2944" s="1" t="s">
        <v>120</v>
      </c>
      <c r="B2944" s="1">
        <v>2017.0</v>
      </c>
      <c r="C2944" s="1" t="s">
        <v>32485</v>
      </c>
      <c r="D2944" s="1" t="s">
        <v>32486</v>
      </c>
      <c r="E2944" s="2" t="s">
        <v>32487</v>
      </c>
      <c r="F2944" s="1">
        <v>371.0</v>
      </c>
      <c r="G2944" s="1">
        <v>381.0</v>
      </c>
      <c r="H2944" s="1" t="s">
        <v>17059</v>
      </c>
      <c r="I2944" s="1" t="s">
        <v>32490</v>
      </c>
      <c r="J2944" s="1" t="s">
        <v>32491</v>
      </c>
      <c r="K2944" s="1" t="s">
        <v>32492</v>
      </c>
      <c r="L2944" s="1" t="s">
        <v>32493</v>
      </c>
      <c r="M2944" s="1" t="s">
        <v>32494</v>
      </c>
      <c r="N2944" s="1" t="s">
        <v>32495</v>
      </c>
      <c r="O2944" s="1">
        <v>0.0</v>
      </c>
      <c r="P2944" s="1">
        <v>0.0</v>
      </c>
    </row>
    <row r="2945">
      <c r="A2945" s="1" t="s">
        <v>2137</v>
      </c>
      <c r="B2945" s="1">
        <v>2017.0</v>
      </c>
      <c r="C2945" s="1" t="s">
        <v>31433</v>
      </c>
      <c r="D2945" s="1" t="s">
        <v>31434</v>
      </c>
      <c r="E2945" s="2" t="s">
        <v>31435</v>
      </c>
      <c r="F2945" s="1">
        <v>749.0</v>
      </c>
      <c r="G2945" s="1">
        <v>759.0</v>
      </c>
      <c r="H2945" s="1" t="s">
        <v>17059</v>
      </c>
      <c r="I2945" s="1" t="s">
        <v>31438</v>
      </c>
      <c r="J2945" s="1" t="s">
        <v>28931</v>
      </c>
      <c r="K2945" s="1" t="s">
        <v>28931</v>
      </c>
      <c r="L2945" s="1" t="s">
        <v>31441</v>
      </c>
      <c r="M2945" s="1" t="s">
        <v>31442</v>
      </c>
      <c r="N2945" s="1" t="s">
        <v>31443</v>
      </c>
      <c r="O2945" s="1">
        <v>0.0</v>
      </c>
      <c r="P2945" s="1">
        <v>0.0</v>
      </c>
    </row>
    <row r="2946">
      <c r="A2946" s="1" t="s">
        <v>120</v>
      </c>
      <c r="B2946" s="1">
        <v>2017.0</v>
      </c>
      <c r="C2946" s="1" t="s">
        <v>32496</v>
      </c>
      <c r="D2946" s="1" t="s">
        <v>32497</v>
      </c>
      <c r="E2946" s="2" t="s">
        <v>32498</v>
      </c>
      <c r="F2946" s="1">
        <v>351.0</v>
      </c>
      <c r="G2946" s="1">
        <v>360.0</v>
      </c>
      <c r="H2946" s="1" t="s">
        <v>17059</v>
      </c>
      <c r="I2946" s="1" t="s">
        <v>32502</v>
      </c>
      <c r="J2946" s="1" t="s">
        <v>32503</v>
      </c>
      <c r="K2946" s="1" t="s">
        <v>32504</v>
      </c>
      <c r="L2946" s="1" t="s">
        <v>32505</v>
      </c>
      <c r="M2946" s="1" t="s">
        <v>32506</v>
      </c>
      <c r="N2946" s="1" t="s">
        <v>32507</v>
      </c>
      <c r="O2946" s="1">
        <v>0.0</v>
      </c>
      <c r="P2946" s="1">
        <v>0.0</v>
      </c>
    </row>
    <row r="2947">
      <c r="A2947" s="1" t="s">
        <v>2137</v>
      </c>
      <c r="B2947" s="1">
        <v>2017.0</v>
      </c>
      <c r="C2947" s="1" t="s">
        <v>31446</v>
      </c>
      <c r="D2947" s="1" t="s">
        <v>31447</v>
      </c>
      <c r="E2947" s="2" t="s">
        <v>31448</v>
      </c>
      <c r="F2947" s="1">
        <v>729.0</v>
      </c>
      <c r="G2947" s="1">
        <v>738.0</v>
      </c>
      <c r="H2947" s="1" t="s">
        <v>17059</v>
      </c>
      <c r="I2947" s="1" t="s">
        <v>31459</v>
      </c>
      <c r="J2947" s="1" t="s">
        <v>31461</v>
      </c>
      <c r="K2947" s="1" t="s">
        <v>31461</v>
      </c>
      <c r="L2947" s="1" t="s">
        <v>22536</v>
      </c>
      <c r="M2947" s="1" t="s">
        <v>31463</v>
      </c>
      <c r="N2947" s="1" t="s">
        <v>31464</v>
      </c>
      <c r="O2947" s="1">
        <v>0.0</v>
      </c>
      <c r="P2947" s="1">
        <v>0.0</v>
      </c>
    </row>
    <row r="2948">
      <c r="A2948" s="1" t="s">
        <v>2137</v>
      </c>
      <c r="B2948" s="1">
        <v>2017.0</v>
      </c>
      <c r="C2948" s="1" t="s">
        <v>31466</v>
      </c>
      <c r="D2948" s="1" t="s">
        <v>31467</v>
      </c>
      <c r="E2948" s="2" t="s">
        <v>31468</v>
      </c>
      <c r="F2948" s="1">
        <v>553.0</v>
      </c>
      <c r="G2948" s="1">
        <v>562.0</v>
      </c>
      <c r="H2948" s="1" t="s">
        <v>17059</v>
      </c>
      <c r="I2948" s="1" t="s">
        <v>31474</v>
      </c>
      <c r="J2948" s="1" t="s">
        <v>31475</v>
      </c>
      <c r="K2948" s="1" t="s">
        <v>31475</v>
      </c>
      <c r="L2948" s="1" t="s">
        <v>31476</v>
      </c>
      <c r="M2948" s="1" t="s">
        <v>31477</v>
      </c>
      <c r="N2948" s="1" t="s">
        <v>31478</v>
      </c>
      <c r="O2948" s="1">
        <v>1.0</v>
      </c>
      <c r="P2948" s="1">
        <v>0.0</v>
      </c>
    </row>
    <row r="2949">
      <c r="A2949" s="1" t="s">
        <v>120</v>
      </c>
      <c r="B2949" s="1">
        <v>2017.0</v>
      </c>
      <c r="C2949" s="1" t="s">
        <v>32508</v>
      </c>
      <c r="D2949" s="1" t="s">
        <v>32509</v>
      </c>
      <c r="E2949" s="2" t="s">
        <v>32510</v>
      </c>
      <c r="F2949" s="1">
        <v>174.0</v>
      </c>
      <c r="G2949" s="1">
        <v>183.0</v>
      </c>
      <c r="H2949" s="1" t="s">
        <v>17059</v>
      </c>
      <c r="I2949" s="1" t="s">
        <v>32513</v>
      </c>
      <c r="J2949" s="1" t="s">
        <v>34756</v>
      </c>
      <c r="K2949" s="1" t="s">
        <v>34756</v>
      </c>
      <c r="L2949" s="1" t="s">
        <v>32515</v>
      </c>
      <c r="M2949" s="1" t="s">
        <v>32516</v>
      </c>
      <c r="N2949" s="1" t="s">
        <v>32517</v>
      </c>
      <c r="O2949" s="1">
        <v>0.0</v>
      </c>
      <c r="P2949" s="1">
        <v>0.0</v>
      </c>
    </row>
    <row r="2950">
      <c r="A2950" s="1" t="s">
        <v>120</v>
      </c>
      <c r="B2950" s="1">
        <v>2017.0</v>
      </c>
      <c r="C2950" s="1" t="s">
        <v>32518</v>
      </c>
      <c r="D2950" s="1" t="s">
        <v>32519</v>
      </c>
      <c r="E2950" s="2" t="s">
        <v>32520</v>
      </c>
      <c r="F2950" s="1">
        <v>109.0</v>
      </c>
      <c r="G2950" s="1">
        <v>119.0</v>
      </c>
      <c r="H2950" s="1" t="s">
        <v>17059</v>
      </c>
      <c r="I2950" s="1" t="s">
        <v>34764</v>
      </c>
      <c r="J2950" s="1" t="s">
        <v>34766</v>
      </c>
      <c r="K2950" s="1" t="s">
        <v>34766</v>
      </c>
      <c r="L2950" s="1" t="s">
        <v>34767</v>
      </c>
      <c r="M2950" s="1" t="s">
        <v>32526</v>
      </c>
      <c r="N2950" s="1" t="s">
        <v>32527</v>
      </c>
      <c r="O2950" s="1">
        <v>2.0</v>
      </c>
      <c r="P2950" s="1">
        <v>0.0</v>
      </c>
    </row>
    <row r="2951">
      <c r="A2951" s="1" t="s">
        <v>120</v>
      </c>
      <c r="B2951" s="1">
        <v>2017.0</v>
      </c>
      <c r="C2951" s="1" t="s">
        <v>32528</v>
      </c>
      <c r="D2951" s="1" t="s">
        <v>32529</v>
      </c>
      <c r="E2951" s="2" t="s">
        <v>32530</v>
      </c>
      <c r="F2951" s="1">
        <v>267.0</v>
      </c>
      <c r="G2951" s="1">
        <v>277.0</v>
      </c>
      <c r="H2951" s="1" t="s">
        <v>17059</v>
      </c>
      <c r="I2951" s="1" t="s">
        <v>32533</v>
      </c>
      <c r="J2951" s="1" t="s">
        <v>32534</v>
      </c>
      <c r="K2951" s="1" t="s">
        <v>32534</v>
      </c>
      <c r="L2951" s="1" t="s">
        <v>32535</v>
      </c>
      <c r="M2951" s="1" t="s">
        <v>32536</v>
      </c>
      <c r="N2951" s="1" t="s">
        <v>32537</v>
      </c>
      <c r="O2951" s="1">
        <v>0.0</v>
      </c>
      <c r="P2951" s="1">
        <v>0.0</v>
      </c>
    </row>
    <row r="2952">
      <c r="A2952" s="1" t="s">
        <v>120</v>
      </c>
      <c r="B2952" s="1">
        <v>2017.0</v>
      </c>
      <c r="C2952" s="1" t="s">
        <v>32538</v>
      </c>
      <c r="D2952" s="1" t="s">
        <v>32539</v>
      </c>
      <c r="E2952" s="2" t="s">
        <v>32540</v>
      </c>
      <c r="F2952" s="1">
        <v>13.0</v>
      </c>
      <c r="G2952" s="1">
        <v>22.0</v>
      </c>
      <c r="H2952" s="1" t="s">
        <v>17059</v>
      </c>
      <c r="I2952" s="1" t="s">
        <v>32543</v>
      </c>
      <c r="J2952" s="1" t="s">
        <v>34779</v>
      </c>
      <c r="K2952" s="1" t="s">
        <v>34780</v>
      </c>
      <c r="L2952" s="1" t="s">
        <v>34781</v>
      </c>
      <c r="M2952" s="1" t="s">
        <v>32547</v>
      </c>
      <c r="N2952" s="1" t="s">
        <v>32548</v>
      </c>
      <c r="O2952" s="1">
        <v>0.0</v>
      </c>
      <c r="P2952" s="1">
        <v>0.0</v>
      </c>
    </row>
    <row r="2953">
      <c r="A2953" s="1" t="s">
        <v>2137</v>
      </c>
      <c r="B2953" s="1">
        <v>2017.0</v>
      </c>
      <c r="C2953" s="1" t="s">
        <v>31479</v>
      </c>
      <c r="D2953" s="1" t="s">
        <v>31480</v>
      </c>
      <c r="E2953" s="2" t="s">
        <v>31481</v>
      </c>
      <c r="F2953" s="1">
        <v>511.0</v>
      </c>
      <c r="G2953" s="1">
        <v>521.0</v>
      </c>
      <c r="H2953" s="1" t="s">
        <v>17059</v>
      </c>
      <c r="I2953" s="1" t="s">
        <v>31485</v>
      </c>
      <c r="J2953" s="1" t="s">
        <v>31486</v>
      </c>
      <c r="K2953" s="1" t="s">
        <v>31487</v>
      </c>
      <c r="L2953" s="1" t="s">
        <v>21430</v>
      </c>
      <c r="M2953" s="1" t="s">
        <v>31488</v>
      </c>
      <c r="N2953" s="1" t="s">
        <v>31489</v>
      </c>
      <c r="O2953" s="1">
        <v>0.0</v>
      </c>
      <c r="P2953" s="1">
        <v>0.0</v>
      </c>
    </row>
    <row r="2954">
      <c r="A2954" s="1" t="s">
        <v>2137</v>
      </c>
      <c r="B2954" s="1">
        <v>2017.0</v>
      </c>
      <c r="C2954" s="1" t="s">
        <v>31490</v>
      </c>
      <c r="D2954" s="1" t="s">
        <v>31491</v>
      </c>
      <c r="E2954" s="2" t="s">
        <v>31492</v>
      </c>
      <c r="F2954" s="1">
        <v>760.0</v>
      </c>
      <c r="G2954" s="1">
        <v>769.0</v>
      </c>
      <c r="H2954" s="1" t="s">
        <v>17059</v>
      </c>
      <c r="I2954" s="1" t="s">
        <v>31500</v>
      </c>
      <c r="J2954" s="1" t="s">
        <v>31502</v>
      </c>
      <c r="K2954" s="1" t="s">
        <v>31502</v>
      </c>
      <c r="L2954" s="1" t="s">
        <v>31503</v>
      </c>
      <c r="M2954" s="1" t="s">
        <v>31504</v>
      </c>
      <c r="N2954" s="1" t="s">
        <v>31505</v>
      </c>
      <c r="O2954" s="1">
        <v>0.0</v>
      </c>
      <c r="P2954" s="1">
        <v>0.0</v>
      </c>
    </row>
    <row r="2955">
      <c r="A2955" s="1" t="s">
        <v>120</v>
      </c>
      <c r="B2955" s="1">
        <v>2017.0</v>
      </c>
      <c r="C2955" s="1" t="s">
        <v>32549</v>
      </c>
      <c r="D2955" s="1" t="s">
        <v>32550</v>
      </c>
      <c r="E2955" s="2" t="s">
        <v>32551</v>
      </c>
      <c r="F2955" s="1">
        <v>131.0</v>
      </c>
      <c r="G2955" s="1">
        <v>141.0</v>
      </c>
      <c r="H2955" s="1" t="s">
        <v>17059</v>
      </c>
      <c r="I2955" s="1" t="s">
        <v>32554</v>
      </c>
      <c r="J2955" s="1" t="s">
        <v>32555</v>
      </c>
      <c r="K2955" s="1" t="s">
        <v>32556</v>
      </c>
      <c r="L2955" s="1" t="s">
        <v>32557</v>
      </c>
      <c r="M2955" s="1" t="s">
        <v>32558</v>
      </c>
      <c r="N2955" s="1" t="s">
        <v>32559</v>
      </c>
      <c r="O2955" s="1">
        <v>0.0</v>
      </c>
      <c r="P2955" s="1">
        <v>0.0</v>
      </c>
    </row>
    <row r="2956">
      <c r="A2956" s="1" t="s">
        <v>2137</v>
      </c>
      <c r="B2956" s="1">
        <v>2017.0</v>
      </c>
      <c r="C2956" s="1" t="s">
        <v>31506</v>
      </c>
      <c r="D2956" s="1" t="s">
        <v>31507</v>
      </c>
      <c r="E2956" s="2" t="s">
        <v>31508</v>
      </c>
      <c r="F2956" s="1">
        <v>532.0</v>
      </c>
      <c r="G2956" s="1">
        <v>541.0</v>
      </c>
      <c r="H2956" s="1" t="s">
        <v>17059</v>
      </c>
      <c r="I2956" s="1" t="s">
        <v>31517</v>
      </c>
      <c r="J2956" s="1" t="s">
        <v>31518</v>
      </c>
      <c r="K2956" s="1" t="s">
        <v>31519</v>
      </c>
      <c r="L2956" s="1" t="s">
        <v>22529</v>
      </c>
      <c r="M2956" s="1" t="s">
        <v>31520</v>
      </c>
      <c r="N2956" s="1" t="s">
        <v>31521</v>
      </c>
      <c r="O2956" s="1">
        <v>0.0</v>
      </c>
      <c r="P2956" s="1">
        <v>0.0</v>
      </c>
    </row>
    <row r="2957">
      <c r="A2957" s="1" t="s">
        <v>120</v>
      </c>
      <c r="B2957" s="1">
        <v>2017.0</v>
      </c>
      <c r="C2957" s="1" t="s">
        <v>32560</v>
      </c>
      <c r="D2957" s="1" t="s">
        <v>32561</v>
      </c>
      <c r="E2957" s="2" t="s">
        <v>32562</v>
      </c>
      <c r="F2957" s="1">
        <v>340.0</v>
      </c>
      <c r="G2957" s="1">
        <v>350.0</v>
      </c>
      <c r="H2957" s="1" t="s">
        <v>17059</v>
      </c>
      <c r="I2957" s="1" t="s">
        <v>32565</v>
      </c>
      <c r="J2957" s="1" t="s">
        <v>32566</v>
      </c>
      <c r="K2957" s="1" t="s">
        <v>32566</v>
      </c>
      <c r="L2957" s="1" t="s">
        <v>32567</v>
      </c>
      <c r="M2957" s="1" t="s">
        <v>32568</v>
      </c>
      <c r="N2957" s="1" t="s">
        <v>32569</v>
      </c>
      <c r="O2957" s="1">
        <v>0.0</v>
      </c>
      <c r="P2957" s="1">
        <v>0.0</v>
      </c>
      <c r="Q2957" s="1" t="s">
        <v>19037</v>
      </c>
    </row>
    <row r="2958">
      <c r="A2958" s="1" t="s">
        <v>120</v>
      </c>
      <c r="B2958" s="1">
        <v>2017.0</v>
      </c>
      <c r="C2958" s="1" t="s">
        <v>32570</v>
      </c>
      <c r="D2958" s="1" t="s">
        <v>32571</v>
      </c>
      <c r="E2958" s="2" t="s">
        <v>32572</v>
      </c>
      <c r="F2958" s="1">
        <v>184.0</v>
      </c>
      <c r="G2958" s="1">
        <v>194.0</v>
      </c>
      <c r="H2958" s="1" t="s">
        <v>17059</v>
      </c>
      <c r="I2958" s="1" t="s">
        <v>32577</v>
      </c>
      <c r="J2958" s="1" t="s">
        <v>32578</v>
      </c>
      <c r="K2958" s="1" t="s">
        <v>32579</v>
      </c>
      <c r="L2958" s="1" t="s">
        <v>32580</v>
      </c>
      <c r="M2958" s="1" t="s">
        <v>32581</v>
      </c>
      <c r="N2958" s="1" t="s">
        <v>32582</v>
      </c>
      <c r="O2958" s="1">
        <v>0.0</v>
      </c>
      <c r="P2958" s="1">
        <v>0.0</v>
      </c>
    </row>
    <row r="2959">
      <c r="A2959" s="1" t="s">
        <v>2137</v>
      </c>
      <c r="B2959" s="1">
        <v>2017.0</v>
      </c>
      <c r="C2959" s="1" t="s">
        <v>31524</v>
      </c>
      <c r="D2959" s="1" t="s">
        <v>31525</v>
      </c>
      <c r="E2959" s="2" t="s">
        <v>31526</v>
      </c>
      <c r="F2959" s="1">
        <v>677.0</v>
      </c>
      <c r="G2959" s="1">
        <v>686.0</v>
      </c>
      <c r="H2959" s="1" t="s">
        <v>17059</v>
      </c>
      <c r="I2959" s="1" t="s">
        <v>34826</v>
      </c>
      <c r="J2959" s="1" t="s">
        <v>31533</v>
      </c>
      <c r="K2959" s="1" t="s">
        <v>31534</v>
      </c>
      <c r="L2959" s="1" t="s">
        <v>34827</v>
      </c>
      <c r="M2959" s="1" t="s">
        <v>31536</v>
      </c>
      <c r="N2959" s="1" t="s">
        <v>31537</v>
      </c>
      <c r="O2959" s="1">
        <v>0.0</v>
      </c>
      <c r="P2959" s="1">
        <v>0.0</v>
      </c>
    </row>
    <row r="2960">
      <c r="A2960" s="1" t="s">
        <v>120</v>
      </c>
      <c r="B2960" s="1">
        <v>2017.0</v>
      </c>
      <c r="C2960" s="1" t="s">
        <v>32584</v>
      </c>
      <c r="D2960" s="1" t="s">
        <v>32585</v>
      </c>
      <c r="E2960" s="2" t="s">
        <v>32586</v>
      </c>
      <c r="F2960" s="1">
        <v>56.0</v>
      </c>
      <c r="G2960" s="1">
        <v>65.0</v>
      </c>
      <c r="H2960" s="1" t="s">
        <v>17059</v>
      </c>
      <c r="I2960" s="1" t="s">
        <v>32591</v>
      </c>
      <c r="J2960" s="1" t="s">
        <v>32592</v>
      </c>
      <c r="K2960" s="1" t="s">
        <v>32592</v>
      </c>
      <c r="L2960" s="1" t="s">
        <v>32593</v>
      </c>
      <c r="M2960" s="1" t="s">
        <v>32594</v>
      </c>
      <c r="N2960" s="1" t="s">
        <v>32596</v>
      </c>
      <c r="O2960" s="1">
        <v>0.0</v>
      </c>
      <c r="P2960" s="1">
        <v>0.0</v>
      </c>
    </row>
    <row r="2961">
      <c r="A2961" s="1" t="s">
        <v>2137</v>
      </c>
      <c r="B2961" s="1">
        <v>2017.0</v>
      </c>
      <c r="C2961" s="1" t="s">
        <v>31538</v>
      </c>
      <c r="D2961" s="1" t="s">
        <v>31539</v>
      </c>
      <c r="E2961" s="2" t="s">
        <v>31540</v>
      </c>
      <c r="F2961" s="1">
        <v>647.0</v>
      </c>
      <c r="G2961" s="1">
        <v>656.0</v>
      </c>
      <c r="H2961" s="1" t="s">
        <v>17059</v>
      </c>
      <c r="I2961" s="1" t="s">
        <v>31545</v>
      </c>
      <c r="J2961" s="1" t="s">
        <v>31546</v>
      </c>
      <c r="K2961" s="1" t="s">
        <v>31546</v>
      </c>
      <c r="L2961" s="1" t="s">
        <v>31547</v>
      </c>
      <c r="M2961" s="1" t="s">
        <v>31548</v>
      </c>
      <c r="N2961" s="1" t="s">
        <v>31549</v>
      </c>
      <c r="O2961" s="1">
        <v>0.0</v>
      </c>
      <c r="P2961" s="1">
        <v>0.0</v>
      </c>
    </row>
    <row r="2962">
      <c r="A2962" s="1" t="s">
        <v>2137</v>
      </c>
      <c r="B2962" s="1">
        <v>2017.0</v>
      </c>
      <c r="C2962" s="1" t="s">
        <v>31550</v>
      </c>
      <c r="D2962" s="1" t="s">
        <v>31551</v>
      </c>
      <c r="E2962" s="2" t="s">
        <v>31552</v>
      </c>
      <c r="F2962" s="1">
        <v>791.0</v>
      </c>
      <c r="G2962" s="1">
        <v>801.0</v>
      </c>
      <c r="H2962" s="1" t="s">
        <v>17059</v>
      </c>
      <c r="I2962" s="1" t="s">
        <v>31557</v>
      </c>
      <c r="J2962" s="1" t="s">
        <v>31558</v>
      </c>
      <c r="K2962" s="1" t="s">
        <v>31559</v>
      </c>
      <c r="L2962" s="1" t="s">
        <v>31560</v>
      </c>
      <c r="M2962" s="1" t="s">
        <v>31562</v>
      </c>
      <c r="N2962" s="1" t="s">
        <v>31564</v>
      </c>
      <c r="O2962" s="1">
        <v>0.0</v>
      </c>
      <c r="P2962" s="1">
        <v>0.0</v>
      </c>
    </row>
    <row r="2963">
      <c r="A2963" s="1" t="s">
        <v>2137</v>
      </c>
      <c r="B2963" s="1">
        <v>2017.0</v>
      </c>
      <c r="C2963" s="1" t="s">
        <v>31567</v>
      </c>
      <c r="D2963" s="1" t="s">
        <v>31568</v>
      </c>
      <c r="E2963" s="2" t="s">
        <v>31569</v>
      </c>
      <c r="F2963" s="1">
        <v>489.0</v>
      </c>
      <c r="G2963" s="1">
        <v>499.0</v>
      </c>
      <c r="H2963" s="1" t="s">
        <v>17059</v>
      </c>
      <c r="I2963" s="1" t="s">
        <v>31574</v>
      </c>
      <c r="J2963" s="1" t="s">
        <v>31575</v>
      </c>
      <c r="K2963" s="1" t="s">
        <v>31575</v>
      </c>
      <c r="L2963" s="1" t="s">
        <v>31576</v>
      </c>
      <c r="M2963" s="1" t="s">
        <v>31577</v>
      </c>
      <c r="N2963" s="1" t="s">
        <v>31578</v>
      </c>
      <c r="O2963" s="1">
        <v>0.0</v>
      </c>
      <c r="P2963" s="1">
        <v>0.0</v>
      </c>
    </row>
    <row r="2964">
      <c r="A2964" s="1" t="s">
        <v>2137</v>
      </c>
      <c r="B2964" s="1">
        <v>2017.0</v>
      </c>
      <c r="C2964" s="1" t="s">
        <v>31579</v>
      </c>
      <c r="D2964" s="1" t="s">
        <v>31580</v>
      </c>
      <c r="E2964" s="2" t="s">
        <v>31581</v>
      </c>
      <c r="F2964" s="1">
        <v>457.0</v>
      </c>
      <c r="G2964" s="1">
        <v>467.0</v>
      </c>
      <c r="H2964" s="1" t="s">
        <v>17059</v>
      </c>
      <c r="I2964" s="1" t="s">
        <v>31783</v>
      </c>
      <c r="J2964" s="1" t="s">
        <v>31784</v>
      </c>
      <c r="K2964" s="1" t="s">
        <v>31784</v>
      </c>
      <c r="L2964" s="1" t="s">
        <v>31785</v>
      </c>
      <c r="M2964" s="1" t="s">
        <v>31786</v>
      </c>
      <c r="N2964" s="1" t="s">
        <v>31787</v>
      </c>
      <c r="O2964" s="1">
        <v>3.0</v>
      </c>
      <c r="P2964" s="1">
        <v>0.0</v>
      </c>
    </row>
    <row r="2965">
      <c r="A2965" s="1" t="s">
        <v>2137</v>
      </c>
      <c r="B2965" s="1">
        <v>2017.0</v>
      </c>
      <c r="C2965" s="1" t="s">
        <v>31788</v>
      </c>
      <c r="D2965" s="1" t="s">
        <v>31789</v>
      </c>
      <c r="E2965" s="2" t="s">
        <v>31790</v>
      </c>
      <c r="F2965" s="1">
        <v>770.0</v>
      </c>
      <c r="G2965" s="1">
        <v>780.0</v>
      </c>
      <c r="H2965" s="1" t="s">
        <v>17059</v>
      </c>
      <c r="I2965" s="1" t="s">
        <v>31793</v>
      </c>
      <c r="J2965" s="1" t="s">
        <v>31794</v>
      </c>
      <c r="K2965" s="1" t="s">
        <v>31794</v>
      </c>
      <c r="L2965" s="1" t="s">
        <v>31795</v>
      </c>
      <c r="M2965" s="1" t="s">
        <v>31796</v>
      </c>
      <c r="N2965" s="1" t="s">
        <v>31797</v>
      </c>
      <c r="O2965" s="1">
        <v>1.0</v>
      </c>
      <c r="P2965" s="1">
        <v>0.0</v>
      </c>
    </row>
    <row r="2966">
      <c r="A2966" s="1" t="s">
        <v>2137</v>
      </c>
      <c r="B2966" s="1">
        <v>2017.0</v>
      </c>
      <c r="C2966" s="1" t="s">
        <v>31798</v>
      </c>
      <c r="D2966" s="1" t="s">
        <v>31799</v>
      </c>
      <c r="E2966" s="2" t="s">
        <v>31800</v>
      </c>
      <c r="F2966" s="1">
        <v>522.0</v>
      </c>
      <c r="G2966" s="1">
        <v>531.0</v>
      </c>
      <c r="H2966" s="1" t="s">
        <v>17059</v>
      </c>
      <c r="I2966" s="1" t="s">
        <v>34838</v>
      </c>
      <c r="J2966" s="1" t="s">
        <v>31804</v>
      </c>
      <c r="K2966" s="1" t="s">
        <v>31804</v>
      </c>
      <c r="L2966" s="1" t="s">
        <v>31805</v>
      </c>
      <c r="M2966" s="1" t="s">
        <v>31806</v>
      </c>
      <c r="N2966" s="1" t="s">
        <v>31807</v>
      </c>
      <c r="O2966" s="1">
        <v>0.0</v>
      </c>
      <c r="P2966" s="1">
        <v>0.0</v>
      </c>
    </row>
    <row r="2967">
      <c r="A2967" s="1" t="s">
        <v>2137</v>
      </c>
      <c r="B2967" s="1">
        <v>2017.0</v>
      </c>
      <c r="C2967" s="1" t="s">
        <v>31808</v>
      </c>
      <c r="D2967" s="1" t="s">
        <v>31809</v>
      </c>
      <c r="E2967" s="2" t="s">
        <v>31810</v>
      </c>
      <c r="F2967" s="1">
        <v>657.0</v>
      </c>
      <c r="G2967" s="1">
        <v>666.0</v>
      </c>
      <c r="H2967" s="1" t="s">
        <v>17059</v>
      </c>
      <c r="I2967" s="1" t="s">
        <v>31813</v>
      </c>
      <c r="J2967" s="1" t="s">
        <v>31814</v>
      </c>
      <c r="K2967" s="1" t="s">
        <v>31814</v>
      </c>
      <c r="L2967" s="1" t="s">
        <v>31815</v>
      </c>
      <c r="M2967" s="1" t="s">
        <v>31816</v>
      </c>
      <c r="N2967" s="1" t="s">
        <v>31817</v>
      </c>
      <c r="O2967" s="1">
        <v>0.0</v>
      </c>
      <c r="P2967" s="1">
        <v>0.0</v>
      </c>
    </row>
    <row r="2968">
      <c r="A2968" s="1" t="s">
        <v>120</v>
      </c>
      <c r="B2968" s="1">
        <v>2017.0</v>
      </c>
      <c r="C2968" s="1" t="s">
        <v>32599</v>
      </c>
      <c r="D2968" s="1" t="s">
        <v>32600</v>
      </c>
      <c r="E2968" s="2" t="s">
        <v>32602</v>
      </c>
      <c r="F2968" s="1">
        <v>139.0</v>
      </c>
      <c r="G2968" s="1">
        <v>150.0</v>
      </c>
      <c r="H2968" s="1" t="s">
        <v>28</v>
      </c>
      <c r="I2968" s="1" t="s">
        <v>34846</v>
      </c>
      <c r="J2968" s="1" t="s">
        <v>32606</v>
      </c>
      <c r="K2968" s="1" t="s">
        <v>32606</v>
      </c>
      <c r="L2968" s="1" t="s">
        <v>32607</v>
      </c>
      <c r="M2968" s="1" t="s">
        <v>32608</v>
      </c>
      <c r="N2968" s="1" t="s">
        <v>32609</v>
      </c>
      <c r="O2968" s="1">
        <v>0.0</v>
      </c>
      <c r="P2968" s="1">
        <v>0.0</v>
      </c>
    </row>
    <row r="2969">
      <c r="A2969" s="1" t="s">
        <v>120</v>
      </c>
      <c r="B2969" s="1">
        <v>2017.0</v>
      </c>
      <c r="C2969" s="1" t="s">
        <v>32611</v>
      </c>
      <c r="D2969" s="1" t="s">
        <v>32613</v>
      </c>
      <c r="E2969" s="2" t="s">
        <v>32614</v>
      </c>
      <c r="F2969" s="1">
        <v>81.0</v>
      </c>
      <c r="G2969" s="1">
        <v>91.0</v>
      </c>
      <c r="H2969" s="1" t="s">
        <v>28</v>
      </c>
      <c r="I2969" s="1" t="s">
        <v>34853</v>
      </c>
      <c r="J2969" s="1" t="s">
        <v>32618</v>
      </c>
      <c r="K2969" s="1" t="s">
        <v>32618</v>
      </c>
      <c r="L2969" s="1" t="s">
        <v>32619</v>
      </c>
      <c r="M2969" s="1" t="s">
        <v>32620</v>
      </c>
      <c r="N2969" s="1" t="s">
        <v>32621</v>
      </c>
      <c r="O2969" s="1">
        <v>0.0</v>
      </c>
      <c r="P2969" s="1">
        <v>0.0</v>
      </c>
    </row>
    <row r="2970">
      <c r="A2970" s="1" t="s">
        <v>120</v>
      </c>
      <c r="B2970" s="1">
        <v>2017.0</v>
      </c>
      <c r="C2970" s="1" t="s">
        <v>32622</v>
      </c>
      <c r="D2970" s="1" t="s">
        <v>32623</v>
      </c>
      <c r="E2970" s="2" t="s">
        <v>32624</v>
      </c>
      <c r="F2970" s="1">
        <v>92.0</v>
      </c>
      <c r="G2970" s="1">
        <v>103.0</v>
      </c>
      <c r="H2970" s="1" t="s">
        <v>28</v>
      </c>
      <c r="I2970" s="1" t="s">
        <v>34859</v>
      </c>
      <c r="J2970" s="1" t="s">
        <v>32627</v>
      </c>
      <c r="K2970" s="1" t="s">
        <v>34860</v>
      </c>
      <c r="L2970" s="1" t="s">
        <v>32629</v>
      </c>
      <c r="M2970" s="1" t="s">
        <v>32630</v>
      </c>
      <c r="N2970" s="1" t="s">
        <v>32631</v>
      </c>
      <c r="O2970" s="1">
        <v>0.0</v>
      </c>
      <c r="P2970" s="1">
        <v>0.0</v>
      </c>
    </row>
    <row r="2971">
      <c r="A2971" s="1" t="s">
        <v>120</v>
      </c>
      <c r="B2971" s="1">
        <v>2017.0</v>
      </c>
      <c r="C2971" s="1" t="s">
        <v>32632</v>
      </c>
      <c r="D2971" s="1" t="s">
        <v>32633</v>
      </c>
      <c r="E2971" s="2" t="s">
        <v>32634</v>
      </c>
      <c r="F2971" s="1">
        <v>127.0</v>
      </c>
      <c r="G2971" s="1">
        <v>138.0</v>
      </c>
      <c r="H2971" s="1" t="s">
        <v>28</v>
      </c>
      <c r="I2971" s="1" t="s">
        <v>32635</v>
      </c>
      <c r="J2971" s="1" t="s">
        <v>34869</v>
      </c>
      <c r="K2971" s="1" t="s">
        <v>34869</v>
      </c>
      <c r="L2971" s="1" t="s">
        <v>32637</v>
      </c>
      <c r="M2971" s="1" t="s">
        <v>32638</v>
      </c>
      <c r="N2971" s="1"/>
      <c r="O2971" s="1">
        <v>0.0</v>
      </c>
      <c r="P2971" s="1">
        <v>0.0</v>
      </c>
    </row>
    <row r="2972">
      <c r="A2972" s="1" t="s">
        <v>120</v>
      </c>
      <c r="B2972" s="1">
        <v>2017.0</v>
      </c>
      <c r="C2972" s="1" t="s">
        <v>32639</v>
      </c>
      <c r="D2972" s="1" t="s">
        <v>32640</v>
      </c>
      <c r="E2972" s="2" t="s">
        <v>32641</v>
      </c>
      <c r="F2972" s="1">
        <v>71.0</v>
      </c>
      <c r="G2972" s="1">
        <v>80.0</v>
      </c>
      <c r="H2972" s="1" t="s">
        <v>28</v>
      </c>
      <c r="I2972" s="1" t="s">
        <v>34871</v>
      </c>
      <c r="J2972" s="1" t="s">
        <v>32643</v>
      </c>
      <c r="K2972" s="1" t="s">
        <v>32643</v>
      </c>
      <c r="L2972" s="1" t="s">
        <v>32644</v>
      </c>
      <c r="M2972" s="1" t="s">
        <v>5578</v>
      </c>
      <c r="N2972" s="1" t="s">
        <v>32645</v>
      </c>
      <c r="O2972" s="1">
        <v>0.0</v>
      </c>
      <c r="P2972" s="1">
        <v>0.0</v>
      </c>
    </row>
    <row r="2973">
      <c r="A2973" s="1" t="s">
        <v>120</v>
      </c>
      <c r="B2973" s="1">
        <v>2017.0</v>
      </c>
      <c r="C2973" s="1" t="s">
        <v>32646</v>
      </c>
      <c r="D2973" s="1" t="s">
        <v>32647</v>
      </c>
      <c r="E2973" s="2" t="s">
        <v>32648</v>
      </c>
      <c r="F2973" s="1">
        <v>1.0</v>
      </c>
      <c r="G2973" s="1">
        <v>12.0</v>
      </c>
      <c r="H2973" s="1" t="s">
        <v>28</v>
      </c>
      <c r="I2973" s="1" t="s">
        <v>32649</v>
      </c>
      <c r="J2973" s="1" t="s">
        <v>34873</v>
      </c>
      <c r="K2973" s="1" t="s">
        <v>34874</v>
      </c>
      <c r="L2973" s="1" t="s">
        <v>32652</v>
      </c>
      <c r="M2973" s="1" t="s">
        <v>32653</v>
      </c>
      <c r="N2973" s="1"/>
      <c r="O2973" s="1">
        <v>0.0</v>
      </c>
      <c r="P2973" s="1">
        <v>0.0</v>
      </c>
    </row>
    <row r="2974">
      <c r="A2974" s="1" t="s">
        <v>120</v>
      </c>
      <c r="B2974" s="1">
        <v>2017.0</v>
      </c>
      <c r="C2974" s="1" t="s">
        <v>32654</v>
      </c>
      <c r="D2974" s="1" t="s">
        <v>32655</v>
      </c>
      <c r="E2974" s="2" t="s">
        <v>32656</v>
      </c>
      <c r="F2974" s="1">
        <v>36.0</v>
      </c>
      <c r="G2974" s="1">
        <v>47.0</v>
      </c>
      <c r="H2974" s="1" t="s">
        <v>28</v>
      </c>
      <c r="I2974" s="1" t="s">
        <v>32657</v>
      </c>
      <c r="J2974" s="1" t="s">
        <v>32658</v>
      </c>
      <c r="K2974" s="1" t="s">
        <v>32659</v>
      </c>
      <c r="L2974" s="1" t="s">
        <v>32660</v>
      </c>
      <c r="M2974" s="1" t="s">
        <v>32661</v>
      </c>
      <c r="N2974" s="1" t="s">
        <v>32662</v>
      </c>
      <c r="O2974" s="1">
        <v>0.0</v>
      </c>
      <c r="P2974" s="1">
        <v>0.0</v>
      </c>
    </row>
    <row r="2975">
      <c r="A2975" s="1" t="s">
        <v>120</v>
      </c>
      <c r="B2975" s="1">
        <v>2017.0</v>
      </c>
      <c r="C2975" s="1" t="s">
        <v>32663</v>
      </c>
      <c r="D2975" s="1" t="s">
        <v>32664</v>
      </c>
      <c r="E2975" s="2" t="s">
        <v>32665</v>
      </c>
      <c r="F2975" s="1">
        <v>59.0</v>
      </c>
      <c r="G2975" s="1">
        <v>70.0</v>
      </c>
      <c r="H2975" s="1" t="s">
        <v>28</v>
      </c>
      <c r="I2975" s="1" t="s">
        <v>32666</v>
      </c>
      <c r="J2975" s="1" t="s">
        <v>32667</v>
      </c>
      <c r="K2975" s="1" t="s">
        <v>32667</v>
      </c>
      <c r="L2975" s="1" t="s">
        <v>32668</v>
      </c>
      <c r="M2975" s="1" t="s">
        <v>32669</v>
      </c>
      <c r="N2975" s="1" t="s">
        <v>32670</v>
      </c>
      <c r="O2975" s="1">
        <v>0.0</v>
      </c>
      <c r="P2975" s="1">
        <v>0.0</v>
      </c>
    </row>
    <row r="2976">
      <c r="A2976" s="1" t="s">
        <v>120</v>
      </c>
      <c r="B2976" s="1">
        <v>2017.0</v>
      </c>
      <c r="C2976" s="1" t="s">
        <v>32671</v>
      </c>
      <c r="D2976" s="1" t="s">
        <v>32672</v>
      </c>
      <c r="E2976" s="2" t="s">
        <v>32673</v>
      </c>
      <c r="F2976" s="1">
        <v>151.0</v>
      </c>
      <c r="G2976" s="1">
        <v>161.0</v>
      </c>
      <c r="H2976" s="1" t="s">
        <v>28</v>
      </c>
      <c r="I2976" s="1" t="s">
        <v>34893</v>
      </c>
      <c r="J2976" s="1" t="s">
        <v>28213</v>
      </c>
      <c r="K2976" s="1" t="s">
        <v>28213</v>
      </c>
      <c r="L2976" s="1" t="s">
        <v>32675</v>
      </c>
      <c r="M2976" s="1" t="s">
        <v>32676</v>
      </c>
      <c r="N2976" s="1" t="s">
        <v>32677</v>
      </c>
      <c r="O2976" s="1">
        <v>0.0</v>
      </c>
      <c r="P2976" s="1">
        <v>0.0</v>
      </c>
    </row>
    <row r="2977">
      <c r="A2977" s="1" t="s">
        <v>120</v>
      </c>
      <c r="B2977" s="1">
        <v>2017.0</v>
      </c>
      <c r="C2977" s="1" t="s">
        <v>32678</v>
      </c>
      <c r="D2977" s="1" t="s">
        <v>32679</v>
      </c>
      <c r="E2977" s="2" t="s">
        <v>32680</v>
      </c>
      <c r="F2977" s="1">
        <v>25.0</v>
      </c>
      <c r="G2977" s="1">
        <v>35.0</v>
      </c>
      <c r="H2977" s="1" t="s">
        <v>28</v>
      </c>
      <c r="I2977" s="1" t="s">
        <v>32681</v>
      </c>
      <c r="J2977" s="1" t="s">
        <v>32682</v>
      </c>
      <c r="K2977" s="1" t="s">
        <v>32682</v>
      </c>
      <c r="L2977" s="1" t="s">
        <v>32683</v>
      </c>
      <c r="M2977" s="1" t="s">
        <v>24380</v>
      </c>
      <c r="N2977" s="1" t="s">
        <v>32684</v>
      </c>
      <c r="O2977" s="1">
        <v>1.0</v>
      </c>
      <c r="P2977" s="1">
        <v>0.0</v>
      </c>
    </row>
    <row r="2978">
      <c r="A2978" s="1" t="s">
        <v>120</v>
      </c>
      <c r="B2978" s="1">
        <v>2017.0</v>
      </c>
      <c r="C2978" s="1" t="s">
        <v>32685</v>
      </c>
      <c r="D2978" s="1" t="s">
        <v>32686</v>
      </c>
      <c r="E2978" s="2" t="s">
        <v>32687</v>
      </c>
      <c r="F2978" s="1">
        <v>116.0</v>
      </c>
      <c r="G2978" s="1">
        <v>126.0</v>
      </c>
      <c r="H2978" s="1" t="s">
        <v>28</v>
      </c>
      <c r="I2978" s="1" t="s">
        <v>34904</v>
      </c>
      <c r="J2978" s="1" t="s">
        <v>32690</v>
      </c>
      <c r="K2978" s="1" t="s">
        <v>32690</v>
      </c>
      <c r="L2978" s="1" t="s">
        <v>32691</v>
      </c>
      <c r="M2978" s="1" t="s">
        <v>32692</v>
      </c>
      <c r="N2978" s="1" t="s">
        <v>32693</v>
      </c>
      <c r="O2978" s="1">
        <v>0.0</v>
      </c>
      <c r="P2978" s="1">
        <v>0.0</v>
      </c>
    </row>
    <row r="2979">
      <c r="A2979" s="1" t="s">
        <v>120</v>
      </c>
      <c r="B2979" s="1">
        <v>2017.0</v>
      </c>
      <c r="C2979" s="1" t="s">
        <v>32694</v>
      </c>
      <c r="D2979" s="1" t="s">
        <v>32695</v>
      </c>
      <c r="E2979" s="2" t="s">
        <v>32696</v>
      </c>
      <c r="F2979" s="1">
        <v>104.0</v>
      </c>
      <c r="G2979" s="1">
        <v>115.0</v>
      </c>
      <c r="H2979" s="1" t="s">
        <v>28</v>
      </c>
      <c r="I2979" s="1" t="s">
        <v>32697</v>
      </c>
      <c r="J2979" s="1" t="s">
        <v>32698</v>
      </c>
      <c r="K2979" s="1" t="s">
        <v>32698</v>
      </c>
      <c r="L2979" s="1" t="s">
        <v>32699</v>
      </c>
      <c r="M2979" s="1" t="s">
        <v>32700</v>
      </c>
      <c r="N2979" s="1" t="s">
        <v>32701</v>
      </c>
      <c r="O2979" s="1">
        <v>0.0</v>
      </c>
      <c r="P2979" s="1">
        <v>0.0</v>
      </c>
    </row>
    <row r="2980">
      <c r="A2980" s="1" t="s">
        <v>120</v>
      </c>
      <c r="B2980" s="1">
        <v>2017.0</v>
      </c>
      <c r="C2980" s="1" t="s">
        <v>32702</v>
      </c>
      <c r="D2980" s="1" t="s">
        <v>32703</v>
      </c>
      <c r="E2980" s="2" t="s">
        <v>32704</v>
      </c>
      <c r="F2980" s="1">
        <v>162.0</v>
      </c>
      <c r="G2980" s="1">
        <v>172.0</v>
      </c>
      <c r="H2980" s="1" t="s">
        <v>28</v>
      </c>
      <c r="I2980" s="1" t="s">
        <v>34918</v>
      </c>
      <c r="J2980" s="1" t="s">
        <v>32706</v>
      </c>
      <c r="K2980" s="1" t="s">
        <v>32707</v>
      </c>
      <c r="L2980" s="1" t="s">
        <v>32708</v>
      </c>
      <c r="M2980" s="1" t="s">
        <v>32709</v>
      </c>
      <c r="N2980" s="1" t="s">
        <v>32710</v>
      </c>
      <c r="O2980" s="1">
        <v>0.0</v>
      </c>
      <c r="P2980" s="1">
        <v>0.0</v>
      </c>
    </row>
    <row r="2981">
      <c r="A2981" s="1" t="s">
        <v>120</v>
      </c>
      <c r="B2981" s="1">
        <v>2017.0</v>
      </c>
      <c r="C2981" s="1" t="s">
        <v>32711</v>
      </c>
      <c r="D2981" s="1" t="s">
        <v>32712</v>
      </c>
      <c r="E2981" s="2" t="s">
        <v>32713</v>
      </c>
      <c r="F2981" s="1">
        <v>13.0</v>
      </c>
      <c r="G2981" s="1">
        <v>24.0</v>
      </c>
      <c r="H2981" s="1" t="s">
        <v>28</v>
      </c>
      <c r="I2981" s="1" t="s">
        <v>34922</v>
      </c>
      <c r="J2981" s="1" t="s">
        <v>32715</v>
      </c>
      <c r="K2981" s="1" t="s">
        <v>32715</v>
      </c>
      <c r="L2981" s="1" t="s">
        <v>32716</v>
      </c>
      <c r="M2981" s="1" t="s">
        <v>32717</v>
      </c>
      <c r="N2981" s="1" t="s">
        <v>32718</v>
      </c>
      <c r="O2981" s="1">
        <v>0.0</v>
      </c>
      <c r="P2981" s="1">
        <v>0.0</v>
      </c>
    </row>
    <row r="2982">
      <c r="A2982" s="1" t="s">
        <v>120</v>
      </c>
      <c r="B2982" s="1">
        <v>2017.0</v>
      </c>
      <c r="C2982" s="1" t="s">
        <v>32719</v>
      </c>
      <c r="D2982" s="1" t="s">
        <v>32720</v>
      </c>
      <c r="E2982" s="2" t="s">
        <v>32721</v>
      </c>
      <c r="F2982" s="1">
        <v>48.0</v>
      </c>
      <c r="G2982" s="1">
        <v>58.0</v>
      </c>
      <c r="H2982" s="1" t="s">
        <v>28</v>
      </c>
      <c r="I2982" s="1" t="s">
        <v>34926</v>
      </c>
      <c r="J2982" s="1" t="s">
        <v>32724</v>
      </c>
      <c r="K2982" s="1" t="s">
        <v>32724</v>
      </c>
      <c r="L2982" s="1" t="s">
        <v>32725</v>
      </c>
      <c r="M2982" s="1" t="s">
        <v>32726</v>
      </c>
      <c r="N2982" s="1" t="s">
        <v>34927</v>
      </c>
      <c r="O2982" s="1">
        <v>0.0</v>
      </c>
      <c r="P2982" s="1">
        <v>0.0</v>
      </c>
    </row>
    <row r="2983">
      <c r="A2983" s="1" t="s">
        <v>4153</v>
      </c>
      <c r="B2983" s="1">
        <v>2018.0</v>
      </c>
      <c r="C2983" s="1" t="s">
        <v>33478</v>
      </c>
      <c r="D2983" s="1" t="s">
        <v>33479</v>
      </c>
      <c r="E2983" s="2" t="s">
        <v>33480</v>
      </c>
      <c r="F2983" s="1">
        <v>1152.0</v>
      </c>
      <c r="G2983" s="1">
        <v>1162.0</v>
      </c>
      <c r="H2983" s="1" t="s">
        <v>17059</v>
      </c>
      <c r="I2983" s="1" t="s">
        <v>34932</v>
      </c>
      <c r="J2983" s="1" t="s">
        <v>33484</v>
      </c>
      <c r="K2983" s="1" t="s">
        <v>33484</v>
      </c>
      <c r="L2983" s="1" t="s">
        <v>34936</v>
      </c>
      <c r="M2983" s="1" t="s">
        <v>33486</v>
      </c>
      <c r="N2983" s="1" t="s">
        <v>33487</v>
      </c>
      <c r="O2983" s="1">
        <v>0.0</v>
      </c>
      <c r="P2983" s="1">
        <v>0.0</v>
      </c>
    </row>
    <row r="2984">
      <c r="A2984" s="1" t="s">
        <v>120</v>
      </c>
      <c r="B2984" s="1">
        <v>2018.0</v>
      </c>
      <c r="C2984" s="1" t="s">
        <v>33863</v>
      </c>
      <c r="D2984" s="1" t="s">
        <v>33864</v>
      </c>
      <c r="E2984" s="2" t="s">
        <v>33865</v>
      </c>
      <c r="F2984" s="1">
        <v>407.0</v>
      </c>
      <c r="G2984" s="1">
        <v>416.0</v>
      </c>
      <c r="H2984" s="1" t="s">
        <v>17059</v>
      </c>
      <c r="I2984" s="1" t="s">
        <v>33869</v>
      </c>
      <c r="J2984" s="1" t="s">
        <v>33870</v>
      </c>
      <c r="K2984" s="1" t="s">
        <v>33870</v>
      </c>
      <c r="L2984" s="1" t="s">
        <v>33871</v>
      </c>
      <c r="M2984" s="1" t="s">
        <v>33872</v>
      </c>
      <c r="N2984" s="1" t="s">
        <v>33873</v>
      </c>
      <c r="O2984" s="1">
        <v>0.0</v>
      </c>
      <c r="P2984" s="1">
        <v>0.0</v>
      </c>
    </row>
    <row r="2985">
      <c r="A2985" s="1" t="s">
        <v>120</v>
      </c>
      <c r="B2985" s="1">
        <v>2018.0</v>
      </c>
      <c r="C2985" s="1" t="s">
        <v>33874</v>
      </c>
      <c r="D2985" s="1" t="s">
        <v>33875</v>
      </c>
      <c r="E2985" s="2" t="s">
        <v>33876</v>
      </c>
      <c r="F2985" s="1">
        <v>267.0</v>
      </c>
      <c r="G2985" s="1">
        <v>276.0</v>
      </c>
      <c r="H2985" s="1" t="s">
        <v>17059</v>
      </c>
      <c r="I2985" s="1" t="s">
        <v>33881</v>
      </c>
      <c r="J2985" s="1" t="s">
        <v>34948</v>
      </c>
      <c r="K2985" s="1" t="s">
        <v>34949</v>
      </c>
      <c r="L2985" s="1" t="s">
        <v>33884</v>
      </c>
      <c r="M2985" s="1" t="s">
        <v>33885</v>
      </c>
      <c r="N2985" s="1" t="s">
        <v>33886</v>
      </c>
      <c r="O2985" s="1">
        <v>0.0</v>
      </c>
      <c r="P2985" s="1">
        <v>0.0</v>
      </c>
    </row>
    <row r="2986">
      <c r="A2986" s="1" t="s">
        <v>4153</v>
      </c>
      <c r="B2986" s="1">
        <v>2018.0</v>
      </c>
      <c r="C2986" s="1" t="s">
        <v>33490</v>
      </c>
      <c r="D2986" s="1" t="s">
        <v>33491</v>
      </c>
      <c r="E2986" s="2" t="s">
        <v>33492</v>
      </c>
      <c r="F2986" s="1">
        <v>977.0</v>
      </c>
      <c r="G2986" s="1">
        <v>986.0</v>
      </c>
      <c r="H2986" s="1" t="s">
        <v>17059</v>
      </c>
      <c r="I2986" s="1" t="s">
        <v>33498</v>
      </c>
      <c r="J2986" s="1" t="s">
        <v>34956</v>
      </c>
      <c r="K2986" s="1" t="s">
        <v>34957</v>
      </c>
      <c r="L2986" s="1" t="s">
        <v>33501</v>
      </c>
      <c r="M2986" s="1" t="s">
        <v>33502</v>
      </c>
      <c r="N2986" s="1" t="s">
        <v>33503</v>
      </c>
      <c r="O2986" s="1">
        <v>0.0</v>
      </c>
      <c r="P2986" s="1">
        <v>0.0</v>
      </c>
      <c r="Q2986" s="1" t="s">
        <v>19037</v>
      </c>
    </row>
    <row r="2987">
      <c r="A2987" s="1" t="s">
        <v>4153</v>
      </c>
      <c r="B2987" s="1">
        <v>2018.0</v>
      </c>
      <c r="C2987" s="1" t="s">
        <v>33504</v>
      </c>
      <c r="D2987" s="1" t="s">
        <v>33505</v>
      </c>
      <c r="E2987" s="2" t="s">
        <v>33506</v>
      </c>
      <c r="F2987" s="1">
        <v>936.0</v>
      </c>
      <c r="G2987" s="1">
        <v>945.0</v>
      </c>
      <c r="H2987" s="1" t="s">
        <v>17059</v>
      </c>
      <c r="I2987" s="1" t="s">
        <v>33510</v>
      </c>
      <c r="J2987" s="1" t="s">
        <v>34962</v>
      </c>
      <c r="K2987" s="1" t="s">
        <v>34963</v>
      </c>
      <c r="L2987" s="1" t="s">
        <v>33513</v>
      </c>
      <c r="M2987" s="1" t="s">
        <v>33514</v>
      </c>
      <c r="N2987" s="1" t="s">
        <v>33515</v>
      </c>
      <c r="O2987" s="1">
        <v>0.0</v>
      </c>
      <c r="P2987" s="1">
        <v>0.0</v>
      </c>
      <c r="Q2987" s="1" t="s">
        <v>106</v>
      </c>
    </row>
    <row r="2988">
      <c r="A2988" s="1" t="s">
        <v>120</v>
      </c>
      <c r="B2988" s="1">
        <v>2018.0</v>
      </c>
      <c r="C2988" s="1" t="s">
        <v>33888</v>
      </c>
      <c r="D2988" s="1" t="s">
        <v>33890</v>
      </c>
      <c r="E2988" s="2" t="s">
        <v>33891</v>
      </c>
      <c r="F2988" s="1">
        <v>364.0</v>
      </c>
      <c r="G2988" s="1">
        <v>373.0</v>
      </c>
      <c r="H2988" s="1" t="s">
        <v>17059</v>
      </c>
      <c r="I2988" s="1" t="s">
        <v>33895</v>
      </c>
      <c r="J2988" s="1" t="s">
        <v>33896</v>
      </c>
      <c r="K2988" s="1" t="s">
        <v>33896</v>
      </c>
      <c r="L2988" s="1" t="s">
        <v>33897</v>
      </c>
      <c r="M2988" s="1" t="s">
        <v>33898</v>
      </c>
      <c r="N2988" s="1" t="s">
        <v>33899</v>
      </c>
      <c r="O2988" s="1">
        <v>0.0</v>
      </c>
      <c r="P2988" s="1">
        <v>0.0</v>
      </c>
    </row>
    <row r="2989">
      <c r="A2989" s="1" t="s">
        <v>120</v>
      </c>
      <c r="B2989" s="1">
        <v>2018.0</v>
      </c>
      <c r="C2989" s="1" t="s">
        <v>33900</v>
      </c>
      <c r="D2989" s="1" t="s">
        <v>33901</v>
      </c>
      <c r="E2989" s="2" t="s">
        <v>33902</v>
      </c>
      <c r="F2989" s="1">
        <v>310.0</v>
      </c>
      <c r="G2989" s="1">
        <v>320.0</v>
      </c>
      <c r="H2989" s="1" t="s">
        <v>17059</v>
      </c>
      <c r="I2989" s="1" t="s">
        <v>33908</v>
      </c>
      <c r="J2989" s="1" t="s">
        <v>34976</v>
      </c>
      <c r="K2989" s="1" t="s">
        <v>34977</v>
      </c>
      <c r="L2989" s="1" t="s">
        <v>33912</v>
      </c>
      <c r="M2989" s="1" t="s">
        <v>33913</v>
      </c>
      <c r="N2989" s="1" t="s">
        <v>33914</v>
      </c>
      <c r="O2989" s="1">
        <v>0.0</v>
      </c>
      <c r="P2989" s="1">
        <v>0.0</v>
      </c>
    </row>
    <row r="2990">
      <c r="A2990" s="1" t="s">
        <v>120</v>
      </c>
      <c r="B2990" s="1">
        <v>2018.0</v>
      </c>
      <c r="C2990" s="1" t="s">
        <v>33915</v>
      </c>
      <c r="D2990" s="1" t="s">
        <v>33916</v>
      </c>
      <c r="E2990" s="2" t="s">
        <v>33917</v>
      </c>
      <c r="F2990" s="1">
        <v>43.0</v>
      </c>
      <c r="G2990" s="1">
        <v>53.0</v>
      </c>
      <c r="H2990" s="1" t="s">
        <v>17059</v>
      </c>
      <c r="I2990" s="1" t="s">
        <v>33922</v>
      </c>
      <c r="J2990" s="1" t="s">
        <v>33923</v>
      </c>
      <c r="K2990" s="1" t="s">
        <v>33924</v>
      </c>
      <c r="L2990" s="1" t="s">
        <v>33925</v>
      </c>
      <c r="M2990" s="1" t="s">
        <v>33926</v>
      </c>
      <c r="N2990" s="1" t="s">
        <v>33928</v>
      </c>
      <c r="O2990" s="1">
        <v>0.0</v>
      </c>
      <c r="P2990" s="1">
        <v>0.0</v>
      </c>
    </row>
    <row r="2991">
      <c r="A2991" s="1" t="s">
        <v>120</v>
      </c>
      <c r="B2991" s="1">
        <v>2018.0</v>
      </c>
      <c r="C2991" s="1" t="s">
        <v>33930</v>
      </c>
      <c r="D2991" s="1" t="s">
        <v>33932</v>
      </c>
      <c r="E2991" s="2" t="s">
        <v>33934</v>
      </c>
      <c r="F2991" s="1">
        <v>288.0</v>
      </c>
      <c r="G2991" s="1">
        <v>298.0</v>
      </c>
      <c r="H2991" s="1" t="s">
        <v>17059</v>
      </c>
      <c r="I2991" s="1" t="s">
        <v>33938</v>
      </c>
      <c r="J2991" s="1" t="s">
        <v>33939</v>
      </c>
      <c r="K2991" s="1" t="s">
        <v>33939</v>
      </c>
      <c r="L2991" s="1" t="s">
        <v>33940</v>
      </c>
      <c r="M2991" s="1" t="s">
        <v>33941</v>
      </c>
      <c r="N2991" s="1" t="s">
        <v>33942</v>
      </c>
      <c r="O2991" s="1">
        <v>0.0</v>
      </c>
      <c r="P2991" s="1">
        <v>0.0</v>
      </c>
      <c r="Q2991" s="1" t="s">
        <v>19037</v>
      </c>
    </row>
    <row r="2992">
      <c r="A2992" s="1" t="s">
        <v>4153</v>
      </c>
      <c r="B2992" s="1">
        <v>2018.0</v>
      </c>
      <c r="C2992" s="1" t="s">
        <v>33516</v>
      </c>
      <c r="D2992" s="1" t="s">
        <v>33517</v>
      </c>
      <c r="E2992" s="2" t="s">
        <v>33518</v>
      </c>
      <c r="F2992" s="1">
        <v>1163.0</v>
      </c>
      <c r="G2992" s="1">
        <v>1172.0</v>
      </c>
      <c r="H2992" s="1" t="s">
        <v>17059</v>
      </c>
      <c r="I2992" s="1" t="s">
        <v>33519</v>
      </c>
      <c r="J2992" s="1" t="s">
        <v>33520</v>
      </c>
      <c r="K2992" s="1" t="s">
        <v>33521</v>
      </c>
      <c r="L2992" s="1" t="s">
        <v>33522</v>
      </c>
      <c r="M2992" s="1" t="s">
        <v>33523</v>
      </c>
      <c r="N2992" s="1" t="s">
        <v>33524</v>
      </c>
      <c r="O2992" s="1">
        <v>0.0</v>
      </c>
      <c r="P2992" s="1">
        <v>0.0</v>
      </c>
    </row>
    <row r="2993">
      <c r="A2993" s="1" t="s">
        <v>4153</v>
      </c>
      <c r="B2993" s="1">
        <v>2018.0</v>
      </c>
      <c r="C2993" s="1" t="s">
        <v>33525</v>
      </c>
      <c r="D2993" s="1" t="s">
        <v>33526</v>
      </c>
      <c r="E2993" s="2" t="s">
        <v>33527</v>
      </c>
      <c r="F2993" s="1">
        <v>1060.0</v>
      </c>
      <c r="G2993" s="1">
        <v>1069.0</v>
      </c>
      <c r="H2993" s="1" t="s">
        <v>17059</v>
      </c>
      <c r="I2993" s="1" t="s">
        <v>33528</v>
      </c>
      <c r="J2993" s="1" t="s">
        <v>33529</v>
      </c>
      <c r="K2993" s="1" t="s">
        <v>33530</v>
      </c>
      <c r="L2993" s="1" t="s">
        <v>33531</v>
      </c>
      <c r="M2993" s="1" t="s">
        <v>33532</v>
      </c>
      <c r="N2993" s="1" t="s">
        <v>33533</v>
      </c>
      <c r="O2993" s="1">
        <v>0.0</v>
      </c>
      <c r="P2993" s="1">
        <v>0.0</v>
      </c>
    </row>
    <row r="2994">
      <c r="A2994" s="1" t="s">
        <v>4153</v>
      </c>
      <c r="B2994" s="1">
        <v>2018.0</v>
      </c>
      <c r="C2994" s="1" t="s">
        <v>33534</v>
      </c>
      <c r="D2994" s="1" t="s">
        <v>33535</v>
      </c>
      <c r="E2994" s="2" t="s">
        <v>33536</v>
      </c>
      <c r="F2994" s="1">
        <v>967.0</v>
      </c>
      <c r="G2994" s="1">
        <v>976.0</v>
      </c>
      <c r="H2994" s="1" t="s">
        <v>17059</v>
      </c>
      <c r="I2994" s="1" t="s">
        <v>33540</v>
      </c>
      <c r="J2994" s="1" t="s">
        <v>33541</v>
      </c>
      <c r="K2994" s="1" t="s">
        <v>33541</v>
      </c>
      <c r="L2994" s="1" t="s">
        <v>33542</v>
      </c>
      <c r="M2994" s="1"/>
      <c r="N2994" s="1" t="s">
        <v>33543</v>
      </c>
      <c r="O2994" s="1">
        <v>0.0</v>
      </c>
      <c r="P2994" s="1">
        <v>0.0</v>
      </c>
    </row>
    <row r="2995">
      <c r="A2995" s="1" t="s">
        <v>4153</v>
      </c>
      <c r="B2995" s="1">
        <v>2018.0</v>
      </c>
      <c r="C2995" s="1" t="s">
        <v>33545</v>
      </c>
      <c r="D2995" s="1" t="s">
        <v>33546</v>
      </c>
      <c r="E2995" s="2" t="s">
        <v>33547</v>
      </c>
      <c r="F2995" s="1">
        <v>1070.0</v>
      </c>
      <c r="G2995" s="1">
        <v>1079.0</v>
      </c>
      <c r="H2995" s="1" t="s">
        <v>17059</v>
      </c>
      <c r="I2995" s="1" t="s">
        <v>33549</v>
      </c>
      <c r="J2995" s="1" t="s">
        <v>35019</v>
      </c>
      <c r="K2995" s="1" t="s">
        <v>35021</v>
      </c>
      <c r="L2995" s="1" t="s">
        <v>33552</v>
      </c>
      <c r="M2995" s="1" t="s">
        <v>17918</v>
      </c>
      <c r="N2995" s="1" t="s">
        <v>33553</v>
      </c>
      <c r="O2995" s="1">
        <v>0.0</v>
      </c>
      <c r="P2995" s="1">
        <v>0.0</v>
      </c>
    </row>
    <row r="2996">
      <c r="A2996" s="1" t="s">
        <v>4153</v>
      </c>
      <c r="B2996" s="1">
        <v>2018.0</v>
      </c>
      <c r="C2996" s="1" t="s">
        <v>33554</v>
      </c>
      <c r="D2996" s="1" t="s">
        <v>33555</v>
      </c>
      <c r="E2996" s="2" t="s">
        <v>33556</v>
      </c>
      <c r="F2996" s="1">
        <v>997.0</v>
      </c>
      <c r="G2996" s="1">
        <v>1007.0</v>
      </c>
      <c r="H2996" s="1" t="s">
        <v>17059</v>
      </c>
      <c r="I2996" s="1" t="s">
        <v>33561</v>
      </c>
      <c r="J2996" s="1" t="s">
        <v>35038</v>
      </c>
      <c r="K2996" s="1" t="s">
        <v>35039</v>
      </c>
      <c r="L2996" s="1" t="s">
        <v>35040</v>
      </c>
      <c r="M2996" s="1" t="s">
        <v>33565</v>
      </c>
      <c r="N2996" s="1" t="s">
        <v>33566</v>
      </c>
      <c r="O2996" s="1">
        <v>0.0</v>
      </c>
      <c r="P2996" s="1">
        <v>0.0</v>
      </c>
    </row>
    <row r="2997">
      <c r="A2997" s="1" t="s">
        <v>4153</v>
      </c>
      <c r="B2997" s="1">
        <v>2018.0</v>
      </c>
      <c r="C2997" s="1" t="s">
        <v>33567</v>
      </c>
      <c r="D2997" s="1" t="s">
        <v>33568</v>
      </c>
      <c r="E2997" s="2" t="s">
        <v>33569</v>
      </c>
      <c r="F2997" s="1">
        <v>1040.0</v>
      </c>
      <c r="G2997" s="1">
        <v>1049.0</v>
      </c>
      <c r="H2997" s="1" t="s">
        <v>17059</v>
      </c>
      <c r="I2997" s="1" t="s">
        <v>33571</v>
      </c>
      <c r="J2997" s="1" t="s">
        <v>35047</v>
      </c>
      <c r="K2997" s="1" t="s">
        <v>35048</v>
      </c>
      <c r="L2997" s="1" t="s">
        <v>33577</v>
      </c>
      <c r="M2997" s="1" t="s">
        <v>33578</v>
      </c>
      <c r="N2997" s="1" t="s">
        <v>33579</v>
      </c>
      <c r="O2997" s="1">
        <v>0.0</v>
      </c>
      <c r="P2997" s="1">
        <v>0.0</v>
      </c>
    </row>
    <row r="2998">
      <c r="A2998" s="1" t="s">
        <v>120</v>
      </c>
      <c r="B2998" s="1">
        <v>2018.0</v>
      </c>
      <c r="C2998" s="1" t="s">
        <v>33943</v>
      </c>
      <c r="D2998" s="1" t="s">
        <v>33944</v>
      </c>
      <c r="E2998" s="2" t="s">
        <v>33945</v>
      </c>
      <c r="F2998" s="1">
        <v>427.0</v>
      </c>
      <c r="G2998" s="1">
        <v>437.0</v>
      </c>
      <c r="H2998" s="1" t="s">
        <v>17059</v>
      </c>
      <c r="I2998" s="1" t="s">
        <v>33950</v>
      </c>
      <c r="J2998" s="1" t="s">
        <v>33951</v>
      </c>
      <c r="K2998" s="1" t="s">
        <v>33951</v>
      </c>
      <c r="L2998" s="1" t="s">
        <v>33953</v>
      </c>
      <c r="M2998" s="1" t="s">
        <v>33954</v>
      </c>
      <c r="N2998" s="1" t="s">
        <v>33955</v>
      </c>
      <c r="O2998" s="1">
        <v>0.0</v>
      </c>
      <c r="P2998" s="1">
        <v>0.0</v>
      </c>
    </row>
    <row r="2999">
      <c r="A2999" s="1" t="s">
        <v>4153</v>
      </c>
      <c r="B2999" s="1">
        <v>2018.0</v>
      </c>
      <c r="C2999" s="1" t="s">
        <v>33596</v>
      </c>
      <c r="D2999" s="1" t="s">
        <v>33597</v>
      </c>
      <c r="E2999" s="2" t="s">
        <v>33598</v>
      </c>
      <c r="F2999" s="1">
        <v>1204.0</v>
      </c>
      <c r="G2999" s="1">
        <v>1213.0</v>
      </c>
      <c r="H2999" s="1" t="s">
        <v>17059</v>
      </c>
      <c r="I2999" s="1" t="s">
        <v>33602</v>
      </c>
      <c r="J2999" s="1" t="s">
        <v>33603</v>
      </c>
      <c r="K2999" s="1" t="s">
        <v>33603</v>
      </c>
      <c r="L2999" s="1" t="s">
        <v>33604</v>
      </c>
      <c r="M2999" s="1" t="s">
        <v>33605</v>
      </c>
      <c r="N2999" s="1" t="s">
        <v>33606</v>
      </c>
      <c r="O2999" s="1">
        <v>0.0</v>
      </c>
      <c r="P2999" s="1">
        <v>0.0</v>
      </c>
      <c r="Q2999" s="1" t="s">
        <v>19037</v>
      </c>
    </row>
    <row r="3000">
      <c r="A3000" s="1" t="s">
        <v>4153</v>
      </c>
      <c r="B3000" s="1">
        <v>2018.0</v>
      </c>
      <c r="C3000" s="1" t="s">
        <v>33609</v>
      </c>
      <c r="D3000" s="1" t="s">
        <v>33610</v>
      </c>
      <c r="E3000" s="2" t="s">
        <v>33611</v>
      </c>
      <c r="F3000" s="1">
        <v>1029.0</v>
      </c>
      <c r="G3000" s="1">
        <v>1039.0</v>
      </c>
      <c r="H3000" s="1" t="s">
        <v>17059</v>
      </c>
      <c r="I3000" s="1" t="s">
        <v>33613</v>
      </c>
      <c r="J3000" s="1" t="s">
        <v>35065</v>
      </c>
      <c r="K3000" s="1" t="s">
        <v>35065</v>
      </c>
      <c r="L3000" s="1" t="s">
        <v>33616</v>
      </c>
      <c r="M3000" s="1" t="s">
        <v>33618</v>
      </c>
      <c r="N3000" s="1" t="s">
        <v>33620</v>
      </c>
      <c r="O3000" s="1">
        <v>0.0</v>
      </c>
      <c r="P3000" s="1">
        <v>0.0</v>
      </c>
    </row>
    <row r="3001">
      <c r="A3001" s="1" t="s">
        <v>4153</v>
      </c>
      <c r="B3001" s="1">
        <v>2018.0</v>
      </c>
      <c r="C3001" s="1" t="s">
        <v>33621</v>
      </c>
      <c r="D3001" s="1" t="s">
        <v>33622</v>
      </c>
      <c r="E3001" s="2" t="s">
        <v>33623</v>
      </c>
      <c r="F3001" s="1">
        <v>1102.0</v>
      </c>
      <c r="G3001" s="1">
        <v>1111.0</v>
      </c>
      <c r="H3001" s="1" t="s">
        <v>17059</v>
      </c>
      <c r="I3001" s="1" t="s">
        <v>33626</v>
      </c>
      <c r="J3001" s="1" t="s">
        <v>33627</v>
      </c>
      <c r="K3001" s="1" t="s">
        <v>33628</v>
      </c>
      <c r="L3001" s="1" t="s">
        <v>33629</v>
      </c>
      <c r="M3001" s="1" t="s">
        <v>33631</v>
      </c>
      <c r="N3001" s="1" t="s">
        <v>33632</v>
      </c>
      <c r="O3001" s="1">
        <v>0.0</v>
      </c>
      <c r="P3001" s="1">
        <v>0.0</v>
      </c>
    </row>
    <row r="3002">
      <c r="A3002" s="1" t="s">
        <v>120</v>
      </c>
      <c r="B3002" s="1">
        <v>2018.0</v>
      </c>
      <c r="C3002" s="1" t="s">
        <v>33956</v>
      </c>
      <c r="D3002" s="1" t="s">
        <v>33957</v>
      </c>
      <c r="E3002" s="2" t="s">
        <v>33958</v>
      </c>
      <c r="F3002" s="1">
        <v>374.0</v>
      </c>
      <c r="G3002" s="1">
        <v>384.0</v>
      </c>
      <c r="H3002" s="1" t="s">
        <v>17059</v>
      </c>
      <c r="I3002" s="1" t="s">
        <v>33964</v>
      </c>
      <c r="J3002" s="1" t="s">
        <v>33965</v>
      </c>
      <c r="K3002" s="1" t="s">
        <v>33966</v>
      </c>
      <c r="L3002" s="1" t="s">
        <v>32461</v>
      </c>
      <c r="M3002" s="1" t="s">
        <v>33967</v>
      </c>
      <c r="N3002" s="1" t="s">
        <v>33968</v>
      </c>
      <c r="O3002" s="1">
        <v>1.0</v>
      </c>
      <c r="P3002" s="1">
        <v>0.0</v>
      </c>
    </row>
    <row r="3003">
      <c r="A3003" s="1" t="s">
        <v>4153</v>
      </c>
      <c r="B3003" s="1">
        <v>2018.0</v>
      </c>
      <c r="C3003" s="1" t="s">
        <v>33633</v>
      </c>
      <c r="D3003" s="1" t="s">
        <v>33634</v>
      </c>
      <c r="E3003" s="2" t="s">
        <v>33635</v>
      </c>
      <c r="F3003" s="1">
        <v>1214.0</v>
      </c>
      <c r="G3003" s="1">
        <v>1224.0</v>
      </c>
      <c r="H3003" s="1" t="s">
        <v>17059</v>
      </c>
      <c r="I3003" s="1" t="s">
        <v>33639</v>
      </c>
      <c r="J3003" s="1" t="s">
        <v>33640</v>
      </c>
      <c r="K3003" s="1" t="s">
        <v>33640</v>
      </c>
      <c r="L3003" s="1" t="s">
        <v>33641</v>
      </c>
      <c r="M3003" s="1" t="s">
        <v>33643</v>
      </c>
      <c r="N3003" s="1" t="s">
        <v>33645</v>
      </c>
      <c r="O3003" s="1">
        <v>0.0</v>
      </c>
      <c r="P3003" s="1">
        <v>0.0</v>
      </c>
    </row>
    <row r="3004">
      <c r="A3004" s="1" t="s">
        <v>4153</v>
      </c>
      <c r="B3004" s="1">
        <v>2018.0</v>
      </c>
      <c r="C3004" s="1" t="s">
        <v>33646</v>
      </c>
      <c r="D3004" s="1" t="s">
        <v>33647</v>
      </c>
      <c r="E3004" s="2" t="s">
        <v>33648</v>
      </c>
      <c r="F3004" s="1">
        <v>1080.0</v>
      </c>
      <c r="G3004" s="1">
        <v>1090.0</v>
      </c>
      <c r="H3004" s="1" t="s">
        <v>17059</v>
      </c>
      <c r="I3004" s="1" t="s">
        <v>33651</v>
      </c>
      <c r="J3004" s="1" t="s">
        <v>35090</v>
      </c>
      <c r="K3004" s="1" t="s">
        <v>35091</v>
      </c>
      <c r="L3004" s="1" t="s">
        <v>35092</v>
      </c>
      <c r="M3004" s="1" t="s">
        <v>33655</v>
      </c>
      <c r="N3004" s="1" t="s">
        <v>33656</v>
      </c>
      <c r="O3004" s="1">
        <v>0.0</v>
      </c>
      <c r="P3004" s="1">
        <v>0.0</v>
      </c>
    </row>
    <row r="3005">
      <c r="A3005" s="1" t="s">
        <v>4153</v>
      </c>
      <c r="B3005" s="1">
        <v>2018.0</v>
      </c>
      <c r="C3005" s="1" t="s">
        <v>33658</v>
      </c>
      <c r="D3005" s="1" t="s">
        <v>33659</v>
      </c>
      <c r="E3005" s="2" t="s">
        <v>33660</v>
      </c>
      <c r="F3005" s="1">
        <v>1236.0</v>
      </c>
      <c r="G3005" s="1">
        <v>1245.0</v>
      </c>
      <c r="H3005" s="1" t="s">
        <v>17059</v>
      </c>
      <c r="I3005" s="1" t="s">
        <v>33662</v>
      </c>
      <c r="J3005" s="1" t="s">
        <v>33663</v>
      </c>
      <c r="K3005" s="1" t="s">
        <v>35100</v>
      </c>
      <c r="L3005" s="1" t="s">
        <v>33665</v>
      </c>
      <c r="M3005" s="1" t="s">
        <v>33666</v>
      </c>
      <c r="N3005" s="1" t="s">
        <v>33667</v>
      </c>
      <c r="O3005" s="1">
        <v>0.0</v>
      </c>
      <c r="P3005" s="1">
        <v>0.0</v>
      </c>
    </row>
    <row r="3006">
      <c r="A3006" s="1" t="s">
        <v>120</v>
      </c>
      <c r="B3006" s="1">
        <v>2018.0</v>
      </c>
      <c r="C3006" s="1" t="s">
        <v>33969</v>
      </c>
      <c r="D3006" s="1" t="s">
        <v>33970</v>
      </c>
      <c r="E3006" s="2" t="s">
        <v>33971</v>
      </c>
      <c r="F3006" s="1">
        <v>54.0</v>
      </c>
      <c r="G3006" s="1">
        <v>64.0</v>
      </c>
      <c r="H3006" s="1" t="s">
        <v>17059</v>
      </c>
      <c r="I3006" s="1" t="s">
        <v>33973</v>
      </c>
      <c r="J3006" s="1" t="s">
        <v>33974</v>
      </c>
      <c r="K3006" s="1" t="s">
        <v>33975</v>
      </c>
      <c r="L3006" s="1" t="s">
        <v>33976</v>
      </c>
      <c r="M3006" s="1" t="s">
        <v>33977</v>
      </c>
      <c r="N3006" s="1" t="s">
        <v>33978</v>
      </c>
      <c r="O3006" s="1">
        <v>0.0</v>
      </c>
      <c r="P3006" s="1">
        <v>0.0</v>
      </c>
    </row>
    <row r="3007">
      <c r="A3007" s="1" t="s">
        <v>120</v>
      </c>
      <c r="B3007" s="1">
        <v>2018.0</v>
      </c>
      <c r="C3007" s="1" t="s">
        <v>33979</v>
      </c>
      <c r="D3007" s="1" t="s">
        <v>33981</v>
      </c>
      <c r="E3007" s="2" t="s">
        <v>33982</v>
      </c>
      <c r="F3007" s="1">
        <v>342.0</v>
      </c>
      <c r="G3007" s="1">
        <v>352.0</v>
      </c>
      <c r="H3007" s="1" t="s">
        <v>17059</v>
      </c>
      <c r="I3007" s="1" t="s">
        <v>33986</v>
      </c>
      <c r="J3007" s="1" t="s">
        <v>33987</v>
      </c>
      <c r="K3007" s="1" t="s">
        <v>33987</v>
      </c>
      <c r="L3007" s="1" t="s">
        <v>33988</v>
      </c>
      <c r="M3007" s="1" t="s">
        <v>33989</v>
      </c>
      <c r="N3007" s="1" t="s">
        <v>33990</v>
      </c>
      <c r="O3007" s="1">
        <v>0.0</v>
      </c>
      <c r="P3007" s="1">
        <v>0.0</v>
      </c>
    </row>
    <row r="3008">
      <c r="A3008" s="1" t="s">
        <v>4153</v>
      </c>
      <c r="B3008" s="1">
        <v>2018.0</v>
      </c>
      <c r="C3008" s="1" t="s">
        <v>33670</v>
      </c>
      <c r="D3008" s="1" t="s">
        <v>33671</v>
      </c>
      <c r="E3008" s="2" t="s">
        <v>33672</v>
      </c>
      <c r="F3008" s="1">
        <v>946.0</v>
      </c>
      <c r="G3008" s="1">
        <v>955.0</v>
      </c>
      <c r="H3008" s="1" t="s">
        <v>17059</v>
      </c>
      <c r="I3008" s="1" t="s">
        <v>33676</v>
      </c>
      <c r="J3008" s="1" t="s">
        <v>33677</v>
      </c>
      <c r="K3008" s="1" t="s">
        <v>35120</v>
      </c>
      <c r="L3008" s="1" t="s">
        <v>33679</v>
      </c>
      <c r="M3008" s="1" t="s">
        <v>33680</v>
      </c>
      <c r="N3008" s="1" t="s">
        <v>33681</v>
      </c>
      <c r="O3008" s="1">
        <v>0.0</v>
      </c>
      <c r="P3008" s="1">
        <v>0.0</v>
      </c>
    </row>
    <row r="3009">
      <c r="A3009" s="1" t="s">
        <v>120</v>
      </c>
      <c r="B3009" s="1">
        <v>2018.0</v>
      </c>
      <c r="C3009" s="1" t="s">
        <v>33992</v>
      </c>
      <c r="D3009" s="1" t="s">
        <v>33994</v>
      </c>
      <c r="E3009" s="2" t="s">
        <v>33995</v>
      </c>
      <c r="F3009" s="1">
        <v>162.0</v>
      </c>
      <c r="G3009" s="1">
        <v>171.0</v>
      </c>
      <c r="H3009" s="1" t="s">
        <v>17059</v>
      </c>
      <c r="I3009" s="1" t="s">
        <v>34001</v>
      </c>
      <c r="J3009" s="1" t="s">
        <v>34002</v>
      </c>
      <c r="K3009" s="1" t="s">
        <v>34002</v>
      </c>
      <c r="L3009" s="1" t="s">
        <v>34003</v>
      </c>
      <c r="M3009" s="1" t="s">
        <v>34004</v>
      </c>
      <c r="N3009" s="1" t="s">
        <v>34005</v>
      </c>
      <c r="O3009" s="1">
        <v>0.0</v>
      </c>
      <c r="P3009" s="1">
        <v>0.0</v>
      </c>
    </row>
    <row r="3010">
      <c r="A3010" s="1" t="s">
        <v>4153</v>
      </c>
      <c r="B3010" s="1">
        <v>2018.0</v>
      </c>
      <c r="C3010" s="1" t="s">
        <v>33682</v>
      </c>
      <c r="D3010" s="1" t="s">
        <v>33683</v>
      </c>
      <c r="E3010" s="2" t="s">
        <v>33684</v>
      </c>
      <c r="F3010" s="1">
        <v>1091.0</v>
      </c>
      <c r="G3010" s="1">
        <v>1101.0</v>
      </c>
      <c r="H3010" s="1" t="s">
        <v>17059</v>
      </c>
      <c r="I3010" s="1" t="s">
        <v>33688</v>
      </c>
      <c r="J3010" s="1" t="s">
        <v>33689</v>
      </c>
      <c r="K3010" s="1" t="s">
        <v>33690</v>
      </c>
      <c r="L3010" s="1" t="s">
        <v>25146</v>
      </c>
      <c r="M3010" s="1" t="s">
        <v>33692</v>
      </c>
      <c r="N3010" s="1" t="s">
        <v>33693</v>
      </c>
      <c r="O3010" s="1">
        <v>0.0</v>
      </c>
      <c r="P3010" s="1">
        <v>0.0</v>
      </c>
    </row>
    <row r="3011">
      <c r="A3011" s="1" t="s">
        <v>4153</v>
      </c>
      <c r="B3011" s="1">
        <v>2018.0</v>
      </c>
      <c r="C3011" s="1" t="s">
        <v>33696</v>
      </c>
      <c r="D3011" s="1" t="s">
        <v>33698</v>
      </c>
      <c r="E3011" s="2" t="s">
        <v>33699</v>
      </c>
      <c r="F3011" s="1">
        <v>1008.0</v>
      </c>
      <c r="G3011" s="1">
        <v>1017.0</v>
      </c>
      <c r="H3011" s="1" t="s">
        <v>17059</v>
      </c>
      <c r="I3011" s="1" t="s">
        <v>35142</v>
      </c>
      <c r="J3011" s="1" t="s">
        <v>35143</v>
      </c>
      <c r="K3011" s="1" t="s">
        <v>35143</v>
      </c>
      <c r="L3011" s="1" t="s">
        <v>35145</v>
      </c>
      <c r="M3011" s="1" t="s">
        <v>33706</v>
      </c>
      <c r="N3011" s="1" t="s">
        <v>33707</v>
      </c>
      <c r="O3011" s="1">
        <v>0.0</v>
      </c>
      <c r="P3011" s="1">
        <v>0.0</v>
      </c>
    </row>
    <row r="3012">
      <c r="A3012" s="1" t="s">
        <v>4153</v>
      </c>
      <c r="B3012" s="1">
        <v>2018.0</v>
      </c>
      <c r="C3012" s="1" t="s">
        <v>33708</v>
      </c>
      <c r="D3012" s="1" t="s">
        <v>33709</v>
      </c>
      <c r="E3012" s="2" t="s">
        <v>33710</v>
      </c>
      <c r="F3012" s="1">
        <v>1246.0</v>
      </c>
      <c r="G3012" s="1">
        <v>1256.0</v>
      </c>
      <c r="H3012" s="1" t="s">
        <v>17059</v>
      </c>
      <c r="I3012" s="1" t="s">
        <v>33714</v>
      </c>
      <c r="J3012" s="1" t="s">
        <v>33715</v>
      </c>
      <c r="K3012" s="1" t="s">
        <v>33715</v>
      </c>
      <c r="L3012" s="1" t="s">
        <v>33717</v>
      </c>
      <c r="M3012" s="1" t="s">
        <v>33719</v>
      </c>
      <c r="N3012" s="1" t="s">
        <v>33720</v>
      </c>
      <c r="O3012" s="1">
        <v>0.0</v>
      </c>
      <c r="P3012" s="1">
        <v>0.0</v>
      </c>
    </row>
    <row r="3013">
      <c r="A3013" s="1" t="s">
        <v>120</v>
      </c>
      <c r="B3013" s="1">
        <v>2018.0</v>
      </c>
      <c r="C3013" s="1" t="s">
        <v>34008</v>
      </c>
      <c r="D3013" s="1" t="s">
        <v>34009</v>
      </c>
      <c r="E3013" s="2" t="s">
        <v>34010</v>
      </c>
      <c r="F3013" s="1">
        <v>109.0</v>
      </c>
      <c r="G3013" s="1">
        <v>119.0</v>
      </c>
      <c r="H3013" s="1" t="s">
        <v>17059</v>
      </c>
      <c r="I3013" s="1" t="s">
        <v>34015</v>
      </c>
      <c r="J3013" s="1" t="s">
        <v>34016</v>
      </c>
      <c r="K3013" s="1" t="s">
        <v>34016</v>
      </c>
      <c r="L3013" s="1" t="s">
        <v>34017</v>
      </c>
      <c r="M3013" s="1" t="s">
        <v>34018</v>
      </c>
      <c r="N3013" s="1" t="s">
        <v>34019</v>
      </c>
      <c r="O3013" s="1">
        <v>0.0</v>
      </c>
      <c r="P3013" s="1">
        <v>0.0</v>
      </c>
    </row>
    <row r="3014">
      <c r="A3014" s="1" t="s">
        <v>120</v>
      </c>
      <c r="B3014" s="1">
        <v>2018.0</v>
      </c>
      <c r="C3014" s="1" t="s">
        <v>34020</v>
      </c>
      <c r="D3014" s="1" t="s">
        <v>34021</v>
      </c>
      <c r="E3014" s="2" t="s">
        <v>34022</v>
      </c>
      <c r="F3014" s="1">
        <v>321.0</v>
      </c>
      <c r="G3014" s="1">
        <v>330.0</v>
      </c>
      <c r="H3014" s="1" t="s">
        <v>17059</v>
      </c>
      <c r="I3014" s="1" t="s">
        <v>34028</v>
      </c>
      <c r="J3014" s="1" t="s">
        <v>34030</v>
      </c>
      <c r="K3014" s="1" t="s">
        <v>34030</v>
      </c>
      <c r="L3014" s="1" t="s">
        <v>34031</v>
      </c>
      <c r="M3014" s="1" t="s">
        <v>34033</v>
      </c>
      <c r="N3014" s="1" t="s">
        <v>34034</v>
      </c>
      <c r="O3014" s="1">
        <v>1.0</v>
      </c>
      <c r="P3014" s="1">
        <v>0.0</v>
      </c>
    </row>
    <row r="3015">
      <c r="A3015" s="1" t="s">
        <v>4153</v>
      </c>
      <c r="B3015" s="1">
        <v>2018.0</v>
      </c>
      <c r="C3015" s="1" t="s">
        <v>33722</v>
      </c>
      <c r="D3015" s="1" t="s">
        <v>33723</v>
      </c>
      <c r="E3015" s="2" t="s">
        <v>33724</v>
      </c>
      <c r="F3015" s="1">
        <v>1173.0</v>
      </c>
      <c r="G3015" s="1">
        <v>1182.0</v>
      </c>
      <c r="H3015" s="1" t="s">
        <v>17059</v>
      </c>
      <c r="I3015" s="1" t="s">
        <v>33728</v>
      </c>
      <c r="J3015" s="1" t="s">
        <v>33729</v>
      </c>
      <c r="K3015" s="1" t="s">
        <v>33729</v>
      </c>
      <c r="L3015" s="1" t="s">
        <v>33731</v>
      </c>
      <c r="M3015" s="1"/>
      <c r="N3015" s="1" t="s">
        <v>33732</v>
      </c>
      <c r="O3015" s="1">
        <v>0.0</v>
      </c>
      <c r="P3015" s="1">
        <v>0.0</v>
      </c>
    </row>
    <row r="3016">
      <c r="A3016" s="1" t="s">
        <v>4153</v>
      </c>
      <c r="B3016" s="1">
        <v>2018.0</v>
      </c>
      <c r="C3016" s="1" t="s">
        <v>33733</v>
      </c>
      <c r="D3016" s="1" t="s">
        <v>33734</v>
      </c>
      <c r="E3016" s="2" t="s">
        <v>33735</v>
      </c>
      <c r="F3016" s="1">
        <v>956.0</v>
      </c>
      <c r="G3016" s="1">
        <v>966.0</v>
      </c>
      <c r="H3016" s="1" t="s">
        <v>17059</v>
      </c>
      <c r="I3016" s="1" t="s">
        <v>33739</v>
      </c>
      <c r="J3016" s="1" t="s">
        <v>29892</v>
      </c>
      <c r="K3016" s="1" t="s">
        <v>29892</v>
      </c>
      <c r="L3016" s="1" t="s">
        <v>35174</v>
      </c>
      <c r="M3016" s="1" t="s">
        <v>33741</v>
      </c>
      <c r="N3016" s="1" t="s">
        <v>33742</v>
      </c>
      <c r="O3016" s="1">
        <v>0.0</v>
      </c>
      <c r="P3016" s="1">
        <v>0.0</v>
      </c>
    </row>
    <row r="3017">
      <c r="A3017" s="1" t="s">
        <v>2137</v>
      </c>
      <c r="B3017" s="1">
        <v>2018.0</v>
      </c>
      <c r="C3017" s="1" t="s">
        <v>32728</v>
      </c>
      <c r="D3017" s="1" t="s">
        <v>32729</v>
      </c>
      <c r="E3017" s="2" t="s">
        <v>32730</v>
      </c>
      <c r="F3017" s="1">
        <v>759.0</v>
      </c>
      <c r="G3017" s="1">
        <v>768.0</v>
      </c>
      <c r="H3017" s="1" t="s">
        <v>17059</v>
      </c>
      <c r="I3017" s="1" t="s">
        <v>32731</v>
      </c>
      <c r="J3017" s="1" t="s">
        <v>32732</v>
      </c>
      <c r="K3017" s="1" t="s">
        <v>32732</v>
      </c>
      <c r="L3017" s="1" t="s">
        <v>32733</v>
      </c>
      <c r="M3017" s="1" t="s">
        <v>32734</v>
      </c>
      <c r="N3017" s="1" t="s">
        <v>32735</v>
      </c>
      <c r="O3017" s="1">
        <v>0.0</v>
      </c>
      <c r="P3017" s="1">
        <v>0.0</v>
      </c>
      <c r="Q3017" s="1" t="s">
        <v>19037</v>
      </c>
    </row>
    <row r="3018">
      <c r="A3018" s="1" t="s">
        <v>120</v>
      </c>
      <c r="B3018" s="1">
        <v>2018.0</v>
      </c>
      <c r="C3018" s="1" t="s">
        <v>34036</v>
      </c>
      <c r="D3018" s="1" t="s">
        <v>34037</v>
      </c>
      <c r="E3018" s="2" t="s">
        <v>34038</v>
      </c>
      <c r="F3018" s="1">
        <v>385.0</v>
      </c>
      <c r="G3018" s="1">
        <v>395.0</v>
      </c>
      <c r="H3018" s="1" t="s">
        <v>17059</v>
      </c>
      <c r="I3018" s="1" t="s">
        <v>35185</v>
      </c>
      <c r="J3018" s="1" t="s">
        <v>34042</v>
      </c>
      <c r="K3018" s="1" t="s">
        <v>34042</v>
      </c>
      <c r="L3018" s="1" t="s">
        <v>34043</v>
      </c>
      <c r="M3018" s="1" t="s">
        <v>34044</v>
      </c>
      <c r="N3018" s="1" t="s">
        <v>34045</v>
      </c>
      <c r="O3018" s="1">
        <v>0.0</v>
      </c>
      <c r="P3018" s="1">
        <v>0.0</v>
      </c>
    </row>
    <row r="3019">
      <c r="A3019" s="1" t="s">
        <v>4153</v>
      </c>
      <c r="B3019" s="1">
        <v>2018.0</v>
      </c>
      <c r="C3019" s="1" t="s">
        <v>33743</v>
      </c>
      <c r="D3019" s="1" t="s">
        <v>33744</v>
      </c>
      <c r="E3019" s="2" t="s">
        <v>33745</v>
      </c>
      <c r="F3019" s="1">
        <v>1257.0</v>
      </c>
      <c r="G3019" s="1">
        <v>1266.0</v>
      </c>
      <c r="H3019" s="1" t="s">
        <v>17059</v>
      </c>
      <c r="I3019" s="1" t="s">
        <v>33746</v>
      </c>
      <c r="J3019" s="1" t="s">
        <v>35194</v>
      </c>
      <c r="K3019" s="1" t="s">
        <v>35194</v>
      </c>
      <c r="L3019" s="1" t="s">
        <v>33748</v>
      </c>
      <c r="M3019" s="1" t="s">
        <v>33749</v>
      </c>
      <c r="N3019" s="1" t="s">
        <v>33750</v>
      </c>
      <c r="O3019" s="1">
        <v>0.0</v>
      </c>
      <c r="P3019" s="1">
        <v>0.0</v>
      </c>
    </row>
    <row r="3020">
      <c r="A3020" s="1" t="s">
        <v>4153</v>
      </c>
      <c r="B3020" s="1">
        <v>2018.0</v>
      </c>
      <c r="C3020" s="1" t="s">
        <v>33751</v>
      </c>
      <c r="D3020" s="1" t="s">
        <v>33752</v>
      </c>
      <c r="E3020" s="2" t="s">
        <v>33753</v>
      </c>
      <c r="F3020" s="1">
        <v>1050.0</v>
      </c>
      <c r="G3020" s="1">
        <v>1059.0</v>
      </c>
      <c r="H3020" s="1" t="s">
        <v>17059</v>
      </c>
      <c r="I3020" s="1" t="s">
        <v>33754</v>
      </c>
      <c r="J3020" s="1" t="s">
        <v>33755</v>
      </c>
      <c r="K3020" s="1" t="s">
        <v>33755</v>
      </c>
      <c r="L3020" s="1" t="s">
        <v>19791</v>
      </c>
      <c r="M3020" s="1" t="s">
        <v>33756</v>
      </c>
      <c r="N3020" s="1" t="s">
        <v>33757</v>
      </c>
      <c r="O3020" s="1">
        <v>0.0</v>
      </c>
      <c r="P3020" s="1">
        <v>0.0</v>
      </c>
    </row>
    <row r="3021">
      <c r="A3021" s="1" t="s">
        <v>120</v>
      </c>
      <c r="B3021" s="1">
        <v>2018.0</v>
      </c>
      <c r="C3021" s="1" t="s">
        <v>34047</v>
      </c>
      <c r="D3021" s="1" t="s">
        <v>34048</v>
      </c>
      <c r="E3021" s="2" t="s">
        <v>34050</v>
      </c>
      <c r="F3021" s="1">
        <v>235.0</v>
      </c>
      <c r="G3021" s="1">
        <v>245.0</v>
      </c>
      <c r="H3021" s="1" t="s">
        <v>17059</v>
      </c>
      <c r="I3021" s="1" t="s">
        <v>34052</v>
      </c>
      <c r="J3021" s="1" t="s">
        <v>34053</v>
      </c>
      <c r="K3021" s="1" t="s">
        <v>34054</v>
      </c>
      <c r="L3021" s="1" t="s">
        <v>34055</v>
      </c>
      <c r="M3021" s="1" t="s">
        <v>34056</v>
      </c>
      <c r="N3021" s="1" t="s">
        <v>34057</v>
      </c>
      <c r="O3021" s="1">
        <v>0.0</v>
      </c>
      <c r="P3021" s="1">
        <v>0.0</v>
      </c>
    </row>
    <row r="3022">
      <c r="A3022" s="1" t="s">
        <v>120</v>
      </c>
      <c r="B3022" s="1">
        <v>2018.0</v>
      </c>
      <c r="C3022" s="1" t="s">
        <v>34058</v>
      </c>
      <c r="D3022" s="1" t="s">
        <v>34060</v>
      </c>
      <c r="E3022" s="2" t="s">
        <v>34061</v>
      </c>
      <c r="F3022" s="1">
        <v>331.0</v>
      </c>
      <c r="G3022" s="1">
        <v>341.0</v>
      </c>
      <c r="H3022" s="1" t="s">
        <v>17059</v>
      </c>
      <c r="I3022" s="1" t="s">
        <v>34066</v>
      </c>
      <c r="J3022" s="1" t="s">
        <v>34067</v>
      </c>
      <c r="K3022" s="1" t="s">
        <v>34068</v>
      </c>
      <c r="L3022" s="1" t="s">
        <v>34069</v>
      </c>
      <c r="M3022" s="1" t="s">
        <v>34070</v>
      </c>
      <c r="N3022" s="1" t="s">
        <v>34071</v>
      </c>
      <c r="O3022" s="1">
        <v>0.0</v>
      </c>
      <c r="P3022" s="1">
        <v>0.0</v>
      </c>
    </row>
    <row r="3023">
      <c r="A3023" s="1" t="s">
        <v>4153</v>
      </c>
      <c r="B3023" s="1">
        <v>2018.0</v>
      </c>
      <c r="C3023" s="1" t="s">
        <v>33758</v>
      </c>
      <c r="D3023" s="1" t="s">
        <v>33759</v>
      </c>
      <c r="E3023" s="2" t="s">
        <v>33760</v>
      </c>
      <c r="F3023" s="1">
        <v>1112.0</v>
      </c>
      <c r="G3023" s="1">
        <v>1121.0</v>
      </c>
      <c r="H3023" s="1" t="s">
        <v>17059</v>
      </c>
      <c r="I3023" s="1" t="s">
        <v>33761</v>
      </c>
      <c r="J3023" s="1" t="s">
        <v>33762</v>
      </c>
      <c r="K3023" s="1" t="s">
        <v>33763</v>
      </c>
      <c r="L3023" s="1" t="s">
        <v>33764</v>
      </c>
      <c r="M3023" s="1" t="s">
        <v>33765</v>
      </c>
      <c r="N3023" s="1" t="s">
        <v>33766</v>
      </c>
      <c r="O3023" s="1">
        <v>0.0</v>
      </c>
      <c r="P3023" s="1">
        <v>0.0</v>
      </c>
    </row>
    <row r="3024">
      <c r="A3024" s="1" t="s">
        <v>4153</v>
      </c>
      <c r="B3024" s="1">
        <v>2018.0</v>
      </c>
      <c r="C3024" s="1" t="s">
        <v>33767</v>
      </c>
      <c r="D3024" s="1" t="s">
        <v>33768</v>
      </c>
      <c r="E3024" s="2" t="s">
        <v>33769</v>
      </c>
      <c r="F3024" s="1">
        <v>1122.0</v>
      </c>
      <c r="G3024" s="1">
        <v>1131.0</v>
      </c>
      <c r="H3024" s="1" t="s">
        <v>17059</v>
      </c>
      <c r="I3024" s="1" t="s">
        <v>33771</v>
      </c>
      <c r="J3024" s="1" t="s">
        <v>35222</v>
      </c>
      <c r="K3024" s="1" t="s">
        <v>35222</v>
      </c>
      <c r="L3024" s="1" t="s">
        <v>33773</v>
      </c>
      <c r="M3024" s="1" t="s">
        <v>2017</v>
      </c>
      <c r="N3024" s="1" t="s">
        <v>33774</v>
      </c>
      <c r="O3024" s="1">
        <v>0.0</v>
      </c>
      <c r="P3024" s="1">
        <v>0.0</v>
      </c>
    </row>
    <row r="3025">
      <c r="A3025" s="1" t="s">
        <v>4153</v>
      </c>
      <c r="B3025" s="1">
        <v>2018.0</v>
      </c>
      <c r="C3025" s="1" t="s">
        <v>33775</v>
      </c>
      <c r="D3025" s="1" t="s">
        <v>33776</v>
      </c>
      <c r="E3025" s="2" t="s">
        <v>33777</v>
      </c>
      <c r="F3025" s="1">
        <v>1132.0</v>
      </c>
      <c r="G3025" s="1">
        <v>1141.0</v>
      </c>
      <c r="H3025" s="1" t="s">
        <v>17059</v>
      </c>
      <c r="I3025" s="1" t="s">
        <v>33779</v>
      </c>
      <c r="J3025" s="1" t="s">
        <v>33780</v>
      </c>
      <c r="K3025" s="1" t="s">
        <v>33780</v>
      </c>
      <c r="L3025" s="1" t="s">
        <v>33781</v>
      </c>
      <c r="M3025" s="1" t="s">
        <v>33782</v>
      </c>
      <c r="N3025" s="1" t="s">
        <v>33783</v>
      </c>
      <c r="O3025" s="1">
        <v>0.0</v>
      </c>
      <c r="P3025" s="1">
        <v>0.0</v>
      </c>
    </row>
    <row r="3026">
      <c r="A3026" s="1" t="s">
        <v>4153</v>
      </c>
      <c r="B3026" s="1">
        <v>2018.0</v>
      </c>
      <c r="C3026" s="1" t="s">
        <v>33784</v>
      </c>
      <c r="D3026" s="1" t="s">
        <v>33785</v>
      </c>
      <c r="E3026" s="2" t="s">
        <v>33786</v>
      </c>
      <c r="F3026" s="1">
        <v>1183.0</v>
      </c>
      <c r="G3026" s="1">
        <v>1192.0</v>
      </c>
      <c r="H3026" s="1" t="s">
        <v>17059</v>
      </c>
      <c r="I3026" s="1" t="s">
        <v>33791</v>
      </c>
      <c r="J3026" s="1" t="s">
        <v>24042</v>
      </c>
      <c r="K3026" s="1" t="s">
        <v>24042</v>
      </c>
      <c r="L3026" s="1" t="s">
        <v>33792</v>
      </c>
      <c r="M3026" s="1" t="s">
        <v>33793</v>
      </c>
      <c r="N3026" s="1" t="s">
        <v>33794</v>
      </c>
      <c r="O3026" s="1">
        <v>0.0</v>
      </c>
      <c r="P3026" s="1">
        <v>0.0</v>
      </c>
    </row>
    <row r="3027">
      <c r="A3027" s="1" t="s">
        <v>4153</v>
      </c>
      <c r="B3027" s="1">
        <v>2018.0</v>
      </c>
      <c r="C3027" s="1" t="s">
        <v>33795</v>
      </c>
      <c r="D3027" s="1" t="s">
        <v>33796</v>
      </c>
      <c r="E3027" s="2" t="s">
        <v>33797</v>
      </c>
      <c r="F3027" s="1">
        <v>1225.0</v>
      </c>
      <c r="G3027" s="1">
        <v>1235.0</v>
      </c>
      <c r="H3027" s="1" t="s">
        <v>17059</v>
      </c>
      <c r="I3027" s="1" t="s">
        <v>35238</v>
      </c>
      <c r="J3027" s="1" t="s">
        <v>33802</v>
      </c>
      <c r="K3027" s="1" t="s">
        <v>33802</v>
      </c>
      <c r="L3027" s="1" t="s">
        <v>33803</v>
      </c>
      <c r="M3027" s="1" t="s">
        <v>33804</v>
      </c>
      <c r="N3027" s="1" t="s">
        <v>33805</v>
      </c>
      <c r="O3027" s="1">
        <v>0.0</v>
      </c>
      <c r="P3027" s="1">
        <v>0.0</v>
      </c>
    </row>
    <row r="3028">
      <c r="A3028" s="1" t="s">
        <v>4153</v>
      </c>
      <c r="B3028" s="1">
        <v>2018.0</v>
      </c>
      <c r="C3028" s="1" t="s">
        <v>33806</v>
      </c>
      <c r="D3028" s="1" t="s">
        <v>33807</v>
      </c>
      <c r="E3028" s="2" t="s">
        <v>33808</v>
      </c>
      <c r="F3028" s="1">
        <v>1142.0</v>
      </c>
      <c r="G3028" s="1">
        <v>1151.0</v>
      </c>
      <c r="H3028" s="1" t="s">
        <v>17059</v>
      </c>
      <c r="I3028" s="1" t="s">
        <v>33814</v>
      </c>
      <c r="J3028" s="1" t="s">
        <v>33815</v>
      </c>
      <c r="K3028" s="1" t="s">
        <v>33815</v>
      </c>
      <c r="L3028" s="1" t="s">
        <v>33817</v>
      </c>
      <c r="M3028" s="1" t="s">
        <v>33818</v>
      </c>
      <c r="N3028" s="1" t="s">
        <v>33819</v>
      </c>
      <c r="O3028" s="1">
        <v>0.0</v>
      </c>
      <c r="P3028" s="1">
        <v>0.0</v>
      </c>
    </row>
    <row r="3029">
      <c r="A3029" s="1" t="s">
        <v>4153</v>
      </c>
      <c r="B3029" s="1">
        <v>2018.0</v>
      </c>
      <c r="C3029" s="1" t="s">
        <v>33821</v>
      </c>
      <c r="D3029" s="1" t="s">
        <v>33822</v>
      </c>
      <c r="E3029" s="2" t="s">
        <v>33823</v>
      </c>
      <c r="F3029" s="1">
        <v>987.0</v>
      </c>
      <c r="G3029" s="1">
        <v>996.0</v>
      </c>
      <c r="H3029" s="1" t="s">
        <v>17059</v>
      </c>
      <c r="I3029" s="1" t="s">
        <v>33824</v>
      </c>
      <c r="J3029" s="1" t="s">
        <v>35251</v>
      </c>
      <c r="K3029" s="1" t="s">
        <v>35252</v>
      </c>
      <c r="L3029" s="1" t="s">
        <v>33828</v>
      </c>
      <c r="M3029" s="1" t="s">
        <v>33830</v>
      </c>
      <c r="N3029" s="1" t="s">
        <v>33831</v>
      </c>
      <c r="O3029" s="1">
        <v>0.0</v>
      </c>
      <c r="P3029" s="1">
        <v>0.0</v>
      </c>
    </row>
    <row r="3030">
      <c r="A3030" s="1" t="s">
        <v>4153</v>
      </c>
      <c r="B3030" s="1">
        <v>2018.0</v>
      </c>
      <c r="C3030" s="1" t="s">
        <v>33833</v>
      </c>
      <c r="D3030" s="1" t="s">
        <v>33834</v>
      </c>
      <c r="E3030" s="2" t="s">
        <v>33835</v>
      </c>
      <c r="F3030" s="1">
        <v>1018.0</v>
      </c>
      <c r="G3030" s="1">
        <v>1028.0</v>
      </c>
      <c r="H3030" s="1" t="s">
        <v>17059</v>
      </c>
      <c r="I3030" s="1" t="s">
        <v>33840</v>
      </c>
      <c r="J3030" s="1" t="s">
        <v>33841</v>
      </c>
      <c r="K3030" s="1" t="s">
        <v>33842</v>
      </c>
      <c r="L3030" s="1" t="s">
        <v>33843</v>
      </c>
      <c r="M3030" s="1" t="s">
        <v>33844</v>
      </c>
      <c r="N3030" s="1" t="s">
        <v>33845</v>
      </c>
      <c r="O3030" s="1">
        <v>0.0</v>
      </c>
      <c r="P3030" s="1">
        <v>0.0</v>
      </c>
    </row>
    <row r="3031">
      <c r="A3031" s="1" t="s">
        <v>4153</v>
      </c>
      <c r="B3031" s="1">
        <v>2018.0</v>
      </c>
      <c r="C3031" s="1" t="s">
        <v>33847</v>
      </c>
      <c r="D3031" s="1" t="s">
        <v>33849</v>
      </c>
      <c r="E3031" s="2" t="s">
        <v>33850</v>
      </c>
      <c r="F3031" s="1">
        <v>1193.0</v>
      </c>
      <c r="G3031" s="1">
        <v>1203.0</v>
      </c>
      <c r="H3031" s="1" t="s">
        <v>17059</v>
      </c>
      <c r="I3031" s="1" t="s">
        <v>33857</v>
      </c>
      <c r="J3031" s="1" t="s">
        <v>33858</v>
      </c>
      <c r="K3031" s="1" t="s">
        <v>33858</v>
      </c>
      <c r="L3031" s="1" t="s">
        <v>33859</v>
      </c>
      <c r="M3031" s="1" t="s">
        <v>33861</v>
      </c>
      <c r="N3031" s="1" t="s">
        <v>33862</v>
      </c>
      <c r="O3031" s="1">
        <v>0.0</v>
      </c>
      <c r="P3031" s="1">
        <v>0.0</v>
      </c>
    </row>
    <row r="3032">
      <c r="A3032" s="1" t="s">
        <v>2137</v>
      </c>
      <c r="B3032" s="1">
        <v>2018.0</v>
      </c>
      <c r="C3032" s="1" t="s">
        <v>32736</v>
      </c>
      <c r="D3032" s="1" t="s">
        <v>32737</v>
      </c>
      <c r="E3032" s="2" t="s">
        <v>32738</v>
      </c>
      <c r="F3032" s="1">
        <v>861.0</v>
      </c>
      <c r="G3032" s="1">
        <v>871.0</v>
      </c>
      <c r="H3032" s="1" t="s">
        <v>17059</v>
      </c>
      <c r="I3032" s="1" t="s">
        <v>32739</v>
      </c>
      <c r="J3032" s="1" t="s">
        <v>32740</v>
      </c>
      <c r="K3032" s="1" t="s">
        <v>32741</v>
      </c>
      <c r="L3032" s="1" t="s">
        <v>32742</v>
      </c>
      <c r="M3032" s="1" t="s">
        <v>32743</v>
      </c>
      <c r="N3032" s="1" t="s">
        <v>32744</v>
      </c>
      <c r="O3032" s="1">
        <v>0.0</v>
      </c>
      <c r="P3032" s="1">
        <v>0.0</v>
      </c>
    </row>
    <row r="3033">
      <c r="A3033" s="1" t="s">
        <v>120</v>
      </c>
      <c r="B3033" s="1">
        <v>2018.0</v>
      </c>
      <c r="C3033" s="1" t="s">
        <v>34072</v>
      </c>
      <c r="D3033" s="1" t="s">
        <v>34073</v>
      </c>
      <c r="E3033" s="2" t="s">
        <v>34074</v>
      </c>
      <c r="F3033" s="1">
        <v>417.0</v>
      </c>
      <c r="G3033" s="1">
        <v>426.0</v>
      </c>
      <c r="H3033" s="1" t="s">
        <v>17059</v>
      </c>
      <c r="I3033" s="1" t="s">
        <v>34079</v>
      </c>
      <c r="J3033" s="1" t="s">
        <v>34080</v>
      </c>
      <c r="K3033" s="1" t="s">
        <v>34080</v>
      </c>
      <c r="L3033" s="1" t="s">
        <v>34081</v>
      </c>
      <c r="M3033" s="1" t="s">
        <v>34082</v>
      </c>
      <c r="N3033" s="1" t="s">
        <v>34083</v>
      </c>
      <c r="O3033" s="1">
        <v>0.0</v>
      </c>
      <c r="P3033" s="1">
        <v>0.0</v>
      </c>
    </row>
    <row r="3034">
      <c r="A3034" s="1" t="s">
        <v>120</v>
      </c>
      <c r="B3034" s="1">
        <v>2018.0</v>
      </c>
      <c r="C3034" s="1" t="s">
        <v>34084</v>
      </c>
      <c r="D3034" s="1" t="s">
        <v>34085</v>
      </c>
      <c r="E3034" s="2" t="s">
        <v>34086</v>
      </c>
      <c r="F3034" s="1">
        <v>396.0</v>
      </c>
      <c r="G3034" s="1">
        <v>406.0</v>
      </c>
      <c r="H3034" s="1" t="s">
        <v>17059</v>
      </c>
      <c r="I3034" s="1" t="s">
        <v>34087</v>
      </c>
      <c r="J3034" s="1" t="s">
        <v>34088</v>
      </c>
      <c r="K3034" s="1" t="s">
        <v>34088</v>
      </c>
      <c r="L3034" s="1" t="s">
        <v>34089</v>
      </c>
      <c r="M3034" s="1" t="s">
        <v>34090</v>
      </c>
      <c r="N3034" s="1" t="s">
        <v>34091</v>
      </c>
      <c r="O3034" s="1">
        <v>0.0</v>
      </c>
      <c r="P3034" s="1">
        <v>0.0</v>
      </c>
    </row>
    <row r="3035">
      <c r="A3035" s="1" t="s">
        <v>120</v>
      </c>
      <c r="B3035" s="1">
        <v>2018.0</v>
      </c>
      <c r="C3035" s="1" t="s">
        <v>34092</v>
      </c>
      <c r="D3035" s="1" t="s">
        <v>34093</v>
      </c>
      <c r="E3035" s="2" t="s">
        <v>34094</v>
      </c>
      <c r="F3035" s="1">
        <v>277.0</v>
      </c>
      <c r="G3035" s="1">
        <v>287.0</v>
      </c>
      <c r="H3035" s="1" t="s">
        <v>17059</v>
      </c>
      <c r="I3035" s="1" t="s">
        <v>34095</v>
      </c>
      <c r="J3035" s="1" t="s">
        <v>34096</v>
      </c>
      <c r="K3035" s="1" t="s">
        <v>34097</v>
      </c>
      <c r="L3035" s="1" t="s">
        <v>34098</v>
      </c>
      <c r="M3035" s="1" t="s">
        <v>24843</v>
      </c>
      <c r="N3035" s="1" t="s">
        <v>34099</v>
      </c>
      <c r="O3035" s="1">
        <v>1.0</v>
      </c>
      <c r="P3035" s="1">
        <v>0.0</v>
      </c>
    </row>
    <row r="3036">
      <c r="A3036" s="1" t="s">
        <v>2137</v>
      </c>
      <c r="B3036" s="1">
        <v>2018.0</v>
      </c>
      <c r="C3036" s="1" t="s">
        <v>32745</v>
      </c>
      <c r="D3036" s="1" t="s">
        <v>32746</v>
      </c>
      <c r="E3036" s="2" t="s">
        <v>32747</v>
      </c>
      <c r="F3036" s="1">
        <v>903.0</v>
      </c>
      <c r="G3036" s="1">
        <v>913.0</v>
      </c>
      <c r="H3036" s="1" t="s">
        <v>17059</v>
      </c>
      <c r="I3036" s="1" t="s">
        <v>32748</v>
      </c>
      <c r="J3036" s="1" t="s">
        <v>32749</v>
      </c>
      <c r="K3036" s="1" t="s">
        <v>32749</v>
      </c>
      <c r="L3036" s="1" t="s">
        <v>32750</v>
      </c>
      <c r="M3036" s="1" t="s">
        <v>32751</v>
      </c>
      <c r="N3036" s="1" t="s">
        <v>32752</v>
      </c>
      <c r="O3036" s="1">
        <v>0.0</v>
      </c>
      <c r="P3036" s="1">
        <v>0.0</v>
      </c>
    </row>
    <row r="3037">
      <c r="A3037" s="1" t="s">
        <v>2137</v>
      </c>
      <c r="B3037" s="1">
        <v>2018.0</v>
      </c>
      <c r="C3037" s="1" t="s">
        <v>32753</v>
      </c>
      <c r="D3037" s="1" t="s">
        <v>32754</v>
      </c>
      <c r="E3037" s="2" t="s">
        <v>32755</v>
      </c>
      <c r="F3037" s="1">
        <v>769.0</v>
      </c>
      <c r="G3037" s="1">
        <v>778.0</v>
      </c>
      <c r="H3037" s="1" t="s">
        <v>17059</v>
      </c>
      <c r="I3037" s="1" t="s">
        <v>32756</v>
      </c>
      <c r="J3037" s="1" t="s">
        <v>32757</v>
      </c>
      <c r="K3037" s="1" t="s">
        <v>32757</v>
      </c>
      <c r="L3037" s="1" t="s">
        <v>32758</v>
      </c>
      <c r="M3037" s="1" t="s">
        <v>32759</v>
      </c>
      <c r="N3037" s="1" t="s">
        <v>32760</v>
      </c>
      <c r="O3037" s="1">
        <v>0.0</v>
      </c>
      <c r="P3037" s="1">
        <v>0.0</v>
      </c>
    </row>
    <row r="3038">
      <c r="A3038" s="1" t="s">
        <v>120</v>
      </c>
      <c r="B3038" s="1">
        <v>2018.0</v>
      </c>
      <c r="C3038" s="1" t="s">
        <v>34100</v>
      </c>
      <c r="D3038" s="1" t="s">
        <v>34101</v>
      </c>
      <c r="E3038" s="2" t="s">
        <v>34102</v>
      </c>
      <c r="F3038" s="1">
        <v>98.0</v>
      </c>
      <c r="G3038" s="1">
        <v>108.0</v>
      </c>
      <c r="H3038" s="1" t="s">
        <v>17059</v>
      </c>
      <c r="I3038" s="1" t="s">
        <v>34105</v>
      </c>
      <c r="J3038" s="1" t="s">
        <v>35303</v>
      </c>
      <c r="K3038" s="1" t="s">
        <v>35303</v>
      </c>
      <c r="L3038" s="1" t="s">
        <v>35305</v>
      </c>
      <c r="M3038" s="1" t="s">
        <v>34108</v>
      </c>
      <c r="N3038" s="1" t="s">
        <v>34109</v>
      </c>
      <c r="O3038" s="1">
        <v>0.0</v>
      </c>
      <c r="P3038" s="1">
        <v>0.0</v>
      </c>
    </row>
    <row r="3039">
      <c r="A3039" s="1" t="s">
        <v>2137</v>
      </c>
      <c r="B3039" s="1">
        <v>2018.0</v>
      </c>
      <c r="C3039" s="1" t="s">
        <v>32761</v>
      </c>
      <c r="D3039" s="1" t="s">
        <v>32762</v>
      </c>
      <c r="E3039" s="2" t="s">
        <v>32763</v>
      </c>
      <c r="F3039" s="1">
        <v>682.0</v>
      </c>
      <c r="G3039" s="1">
        <v>692.0</v>
      </c>
      <c r="H3039" s="1" t="s">
        <v>17059</v>
      </c>
      <c r="I3039" s="1" t="s">
        <v>32764</v>
      </c>
      <c r="J3039" s="1" t="s">
        <v>32765</v>
      </c>
      <c r="K3039" s="1" t="s">
        <v>32765</v>
      </c>
      <c r="L3039" s="1" t="s">
        <v>32766</v>
      </c>
      <c r="M3039" s="1" t="s">
        <v>32767</v>
      </c>
      <c r="N3039" s="1" t="s">
        <v>32768</v>
      </c>
      <c r="O3039" s="1">
        <v>0.0</v>
      </c>
      <c r="P3039" s="1">
        <v>0.0</v>
      </c>
    </row>
    <row r="3040">
      <c r="A3040" s="1" t="s">
        <v>120</v>
      </c>
      <c r="B3040" s="1">
        <v>2018.0</v>
      </c>
      <c r="C3040" s="1" t="s">
        <v>34110</v>
      </c>
      <c r="D3040" s="1" t="s">
        <v>34111</v>
      </c>
      <c r="E3040" s="2" t="s">
        <v>34112</v>
      </c>
      <c r="F3040" s="1">
        <v>142.0</v>
      </c>
      <c r="G3040" s="1">
        <v>151.0</v>
      </c>
      <c r="H3040" s="1" t="s">
        <v>17059</v>
      </c>
      <c r="I3040" s="1" t="s">
        <v>34113</v>
      </c>
      <c r="J3040" s="1" t="s">
        <v>34114</v>
      </c>
      <c r="K3040" s="1" t="s">
        <v>34114</v>
      </c>
      <c r="L3040" s="1" t="s">
        <v>34115</v>
      </c>
      <c r="M3040" s="1" t="s">
        <v>34116</v>
      </c>
      <c r="N3040" s="1" t="s">
        <v>34117</v>
      </c>
      <c r="O3040" s="1">
        <v>0.0</v>
      </c>
      <c r="P3040" s="1">
        <v>0.0</v>
      </c>
    </row>
    <row r="3041">
      <c r="A3041" s="1" t="s">
        <v>2137</v>
      </c>
      <c r="B3041" s="1">
        <v>2018.0</v>
      </c>
      <c r="C3041" s="1" t="s">
        <v>32769</v>
      </c>
      <c r="D3041" s="1" t="s">
        <v>32770</v>
      </c>
      <c r="E3041" s="2" t="s">
        <v>32771</v>
      </c>
      <c r="F3041" s="1">
        <v>830.0</v>
      </c>
      <c r="G3041" s="1">
        <v>839.0</v>
      </c>
      <c r="H3041" s="1" t="s">
        <v>17059</v>
      </c>
      <c r="I3041" s="1" t="s">
        <v>32772</v>
      </c>
      <c r="J3041" s="1" t="s">
        <v>32773</v>
      </c>
      <c r="K3041" s="1" t="s">
        <v>32774</v>
      </c>
      <c r="L3041" s="1" t="s">
        <v>32775</v>
      </c>
      <c r="M3041" s="1" t="s">
        <v>32776</v>
      </c>
      <c r="N3041" s="1" t="s">
        <v>32777</v>
      </c>
      <c r="O3041" s="1">
        <v>0.0</v>
      </c>
      <c r="P3041" s="1">
        <v>0.0</v>
      </c>
    </row>
    <row r="3042">
      <c r="A3042" s="1" t="s">
        <v>2137</v>
      </c>
      <c r="B3042" s="1">
        <v>2018.0</v>
      </c>
      <c r="C3042" s="1" t="s">
        <v>32778</v>
      </c>
      <c r="D3042" s="1" t="s">
        <v>32779</v>
      </c>
      <c r="E3042" s="2" t="s">
        <v>32780</v>
      </c>
      <c r="F3042" s="1">
        <v>892.0</v>
      </c>
      <c r="G3042" s="1">
        <v>902.0</v>
      </c>
      <c r="H3042" s="1" t="s">
        <v>17059</v>
      </c>
      <c r="I3042" s="1" t="s">
        <v>32781</v>
      </c>
      <c r="J3042" s="1" t="s">
        <v>32782</v>
      </c>
      <c r="K3042" s="1" t="s">
        <v>32782</v>
      </c>
      <c r="L3042" s="1" t="s">
        <v>32783</v>
      </c>
      <c r="M3042" s="1" t="s">
        <v>32784</v>
      </c>
      <c r="N3042" s="1" t="s">
        <v>32785</v>
      </c>
      <c r="O3042" s="1">
        <v>0.0</v>
      </c>
      <c r="P3042" s="1">
        <v>0.0</v>
      </c>
    </row>
    <row r="3043">
      <c r="A3043" s="1" t="s">
        <v>2137</v>
      </c>
      <c r="B3043" s="1">
        <v>2018.0</v>
      </c>
      <c r="C3043" s="1" t="s">
        <v>32786</v>
      </c>
      <c r="D3043" s="1" t="s">
        <v>32787</v>
      </c>
      <c r="E3043" s="2" t="s">
        <v>32788</v>
      </c>
      <c r="F3043" s="1">
        <v>566.0</v>
      </c>
      <c r="G3043" s="1">
        <v>575.0</v>
      </c>
      <c r="H3043" s="1" t="s">
        <v>17059</v>
      </c>
      <c r="I3043" s="1" t="s">
        <v>32792</v>
      </c>
      <c r="J3043" s="1" t="s">
        <v>32793</v>
      </c>
      <c r="K3043" s="1" t="s">
        <v>32793</v>
      </c>
      <c r="L3043" s="1" t="s">
        <v>32794</v>
      </c>
      <c r="M3043" s="1" t="s">
        <v>32795</v>
      </c>
      <c r="N3043" s="1" t="s">
        <v>32796</v>
      </c>
      <c r="O3043" s="1">
        <v>0.0</v>
      </c>
      <c r="P3043" s="1">
        <v>0.0</v>
      </c>
    </row>
    <row r="3044">
      <c r="A3044" s="1" t="s">
        <v>2137</v>
      </c>
      <c r="B3044" s="1">
        <v>2018.0</v>
      </c>
      <c r="C3044" s="1" t="s">
        <v>32797</v>
      </c>
      <c r="D3044" s="1" t="s">
        <v>32798</v>
      </c>
      <c r="E3044" s="2" t="s">
        <v>32799</v>
      </c>
      <c r="F3044" s="1">
        <v>820.0</v>
      </c>
      <c r="G3044" s="1">
        <v>829.0</v>
      </c>
      <c r="H3044" s="1" t="s">
        <v>17059</v>
      </c>
      <c r="I3044" s="1" t="s">
        <v>32800</v>
      </c>
      <c r="J3044" s="1" t="s">
        <v>32801</v>
      </c>
      <c r="K3044" s="1" t="s">
        <v>32801</v>
      </c>
      <c r="L3044" s="1" t="s">
        <v>32802</v>
      </c>
      <c r="M3044" s="1" t="s">
        <v>32803</v>
      </c>
      <c r="N3044" s="1" t="s">
        <v>32804</v>
      </c>
      <c r="O3044" s="1">
        <v>0.0</v>
      </c>
      <c r="P3044" s="1">
        <v>0.0</v>
      </c>
    </row>
    <row r="3045">
      <c r="A3045" s="1" t="s">
        <v>2137</v>
      </c>
      <c r="B3045" s="1">
        <v>2018.0</v>
      </c>
      <c r="C3045" s="1" t="s">
        <v>32805</v>
      </c>
      <c r="D3045" s="1" t="s">
        <v>32806</v>
      </c>
      <c r="E3045" s="2" t="s">
        <v>32807</v>
      </c>
      <c r="F3045" s="1">
        <v>925.0</v>
      </c>
      <c r="G3045" s="1">
        <v>935.0</v>
      </c>
      <c r="H3045" s="1" t="s">
        <v>17059</v>
      </c>
      <c r="I3045" s="1" t="s">
        <v>32808</v>
      </c>
      <c r="J3045" s="1" t="s">
        <v>32809</v>
      </c>
      <c r="K3045" s="1" t="s">
        <v>32810</v>
      </c>
      <c r="L3045" s="1" t="s">
        <v>35313</v>
      </c>
      <c r="M3045" s="1" t="s">
        <v>32812</v>
      </c>
      <c r="N3045" s="1" t="s">
        <v>32813</v>
      </c>
      <c r="O3045" s="1">
        <v>0.0</v>
      </c>
      <c r="P3045" s="1">
        <v>0.0</v>
      </c>
    </row>
    <row r="3046">
      <c r="A3046" s="1" t="s">
        <v>2137</v>
      </c>
      <c r="B3046" s="1">
        <v>2018.0</v>
      </c>
      <c r="C3046" s="1" t="s">
        <v>32814</v>
      </c>
      <c r="D3046" s="1" t="s">
        <v>32815</v>
      </c>
      <c r="E3046" s="2" t="s">
        <v>32816</v>
      </c>
      <c r="F3046" s="1">
        <v>914.0</v>
      </c>
      <c r="G3046" s="1">
        <v>924.0</v>
      </c>
      <c r="H3046" s="1" t="s">
        <v>17059</v>
      </c>
      <c r="I3046" s="1" t="s">
        <v>32817</v>
      </c>
      <c r="J3046" s="1" t="s">
        <v>32818</v>
      </c>
      <c r="K3046" s="1" t="s">
        <v>32818</v>
      </c>
      <c r="L3046" s="1" t="s">
        <v>32819</v>
      </c>
      <c r="M3046" s="1" t="s">
        <v>32820</v>
      </c>
      <c r="N3046" s="1" t="s">
        <v>32821</v>
      </c>
      <c r="O3046" s="1">
        <v>0.0</v>
      </c>
      <c r="P3046" s="1">
        <v>0.0</v>
      </c>
    </row>
    <row r="3047">
      <c r="A3047" s="1" t="s">
        <v>120</v>
      </c>
      <c r="B3047" s="1">
        <v>2018.0</v>
      </c>
      <c r="C3047" s="1" t="s">
        <v>34118</v>
      </c>
      <c r="D3047" s="1" t="s">
        <v>34119</v>
      </c>
      <c r="E3047" s="2" t="s">
        <v>34120</v>
      </c>
      <c r="F3047" s="1">
        <v>1.0</v>
      </c>
      <c r="G3047" s="1">
        <v>11.0</v>
      </c>
      <c r="H3047" s="1" t="s">
        <v>17059</v>
      </c>
      <c r="I3047" s="1" t="s">
        <v>34121</v>
      </c>
      <c r="J3047" s="1" t="s">
        <v>34122</v>
      </c>
      <c r="K3047" s="1" t="s">
        <v>34122</v>
      </c>
      <c r="L3047" s="1" t="s">
        <v>34123</v>
      </c>
      <c r="M3047" s="1" t="s">
        <v>34124</v>
      </c>
      <c r="N3047" s="1" t="s">
        <v>34125</v>
      </c>
      <c r="O3047" s="1">
        <v>0.0</v>
      </c>
      <c r="P3047" s="1">
        <v>0.0</v>
      </c>
      <c r="Q3047" s="1" t="s">
        <v>106</v>
      </c>
    </row>
    <row r="3048">
      <c r="A3048" s="1" t="s">
        <v>120</v>
      </c>
      <c r="B3048" s="1">
        <v>2018.0</v>
      </c>
      <c r="C3048" s="1" t="s">
        <v>34126</v>
      </c>
      <c r="D3048" s="1" t="s">
        <v>34127</v>
      </c>
      <c r="E3048" s="2" t="s">
        <v>34128</v>
      </c>
      <c r="F3048" s="1">
        <v>12.0</v>
      </c>
      <c r="G3048" s="1">
        <v>21.0</v>
      </c>
      <c r="H3048" s="1" t="s">
        <v>17059</v>
      </c>
      <c r="I3048" s="1" t="s">
        <v>34129</v>
      </c>
      <c r="J3048" s="1" t="s">
        <v>34130</v>
      </c>
      <c r="K3048" s="1" t="s">
        <v>34131</v>
      </c>
      <c r="L3048" s="1" t="s">
        <v>34132</v>
      </c>
      <c r="M3048" s="1" t="s">
        <v>34133</v>
      </c>
      <c r="N3048" s="1" t="s">
        <v>34134</v>
      </c>
      <c r="O3048" s="1">
        <v>0.0</v>
      </c>
      <c r="P3048" s="1">
        <v>0.0</v>
      </c>
    </row>
    <row r="3049">
      <c r="A3049" s="1" t="s">
        <v>120</v>
      </c>
      <c r="B3049" s="1">
        <v>2018.0</v>
      </c>
      <c r="C3049" s="1" t="s">
        <v>34135</v>
      </c>
      <c r="D3049" s="1" t="s">
        <v>34136</v>
      </c>
      <c r="E3049" s="2" t="s">
        <v>34137</v>
      </c>
      <c r="F3049" s="1">
        <v>193.0</v>
      </c>
      <c r="G3049" s="1">
        <v>203.0</v>
      </c>
      <c r="H3049" s="1" t="s">
        <v>17059</v>
      </c>
      <c r="I3049" s="1" t="s">
        <v>34138</v>
      </c>
      <c r="J3049" s="1" t="s">
        <v>34140</v>
      </c>
      <c r="K3049" s="1" t="s">
        <v>34141</v>
      </c>
      <c r="L3049" s="1" t="s">
        <v>34142</v>
      </c>
      <c r="M3049" s="1" t="s">
        <v>34143</v>
      </c>
      <c r="N3049" s="1" t="s">
        <v>34144</v>
      </c>
      <c r="O3049" s="1">
        <v>0.0</v>
      </c>
      <c r="P3049" s="1">
        <v>0.0</v>
      </c>
    </row>
    <row r="3050">
      <c r="A3050" s="1" t="s">
        <v>120</v>
      </c>
      <c r="B3050" s="1">
        <v>2018.0</v>
      </c>
      <c r="C3050" s="1" t="s">
        <v>34145</v>
      </c>
      <c r="D3050" s="1" t="s">
        <v>34146</v>
      </c>
      <c r="E3050" s="2" t="s">
        <v>34147</v>
      </c>
      <c r="F3050" s="1">
        <v>152.0</v>
      </c>
      <c r="G3050" s="1">
        <v>161.0</v>
      </c>
      <c r="H3050" s="1" t="s">
        <v>17059</v>
      </c>
      <c r="I3050" s="1" t="s">
        <v>34148</v>
      </c>
      <c r="J3050" s="1" t="s">
        <v>34149</v>
      </c>
      <c r="K3050" s="1" t="s">
        <v>34150</v>
      </c>
      <c r="L3050" s="1" t="s">
        <v>34151</v>
      </c>
      <c r="M3050" s="1" t="s">
        <v>34152</v>
      </c>
      <c r="N3050" s="1" t="s">
        <v>34153</v>
      </c>
      <c r="O3050" s="1">
        <v>0.0</v>
      </c>
      <c r="P3050" s="1">
        <v>0.0</v>
      </c>
    </row>
    <row r="3051">
      <c r="A3051" s="1" t="s">
        <v>120</v>
      </c>
      <c r="B3051" s="1">
        <v>2018.0</v>
      </c>
      <c r="C3051" s="1" t="s">
        <v>34154</v>
      </c>
      <c r="D3051" s="1" t="s">
        <v>34155</v>
      </c>
      <c r="E3051" s="2" t="s">
        <v>34156</v>
      </c>
      <c r="F3051" s="1">
        <v>225.0</v>
      </c>
      <c r="G3051" s="1">
        <v>234.0</v>
      </c>
      <c r="H3051" s="1" t="s">
        <v>17059</v>
      </c>
      <c r="I3051" s="1" t="s">
        <v>34157</v>
      </c>
      <c r="J3051" s="1" t="s">
        <v>34158</v>
      </c>
      <c r="K3051" s="1" t="s">
        <v>34158</v>
      </c>
      <c r="L3051" s="1" t="s">
        <v>34159</v>
      </c>
      <c r="M3051" s="1" t="s">
        <v>34160</v>
      </c>
      <c r="N3051" s="1" t="s">
        <v>34161</v>
      </c>
      <c r="O3051" s="1">
        <v>0.0</v>
      </c>
      <c r="P3051" s="1">
        <v>0.0</v>
      </c>
    </row>
    <row r="3052">
      <c r="A3052" s="1" t="s">
        <v>120</v>
      </c>
      <c r="B3052" s="1">
        <v>2018.0</v>
      </c>
      <c r="C3052" s="1" t="s">
        <v>34164</v>
      </c>
      <c r="D3052" s="1" t="s">
        <v>34166</v>
      </c>
      <c r="E3052" s="2" t="s">
        <v>34167</v>
      </c>
      <c r="F3052" s="1">
        <v>120.0</v>
      </c>
      <c r="G3052" s="1">
        <v>130.0</v>
      </c>
      <c r="H3052" s="1" t="s">
        <v>17059</v>
      </c>
      <c r="I3052" s="1" t="s">
        <v>34172</v>
      </c>
      <c r="J3052" s="1" t="s">
        <v>34173</v>
      </c>
      <c r="K3052" s="1" t="s">
        <v>34173</v>
      </c>
      <c r="L3052" s="1" t="s">
        <v>34174</v>
      </c>
      <c r="M3052" s="1" t="s">
        <v>34175</v>
      </c>
      <c r="N3052" s="1" t="s">
        <v>34176</v>
      </c>
      <c r="O3052" s="1">
        <v>0.0</v>
      </c>
      <c r="P3052" s="1">
        <v>0.0</v>
      </c>
    </row>
    <row r="3053">
      <c r="A3053" s="1" t="s">
        <v>120</v>
      </c>
      <c r="B3053" s="1">
        <v>2018.0</v>
      </c>
      <c r="C3053" s="1" t="s">
        <v>34177</v>
      </c>
      <c r="D3053" s="1" t="s">
        <v>34178</v>
      </c>
      <c r="E3053" s="2" t="s">
        <v>34179</v>
      </c>
      <c r="F3053" s="1">
        <v>32.0</v>
      </c>
      <c r="G3053" s="1">
        <v>42.0</v>
      </c>
      <c r="H3053" s="1" t="s">
        <v>17059</v>
      </c>
      <c r="I3053" s="1" t="s">
        <v>34181</v>
      </c>
      <c r="J3053" s="1" t="s">
        <v>34183</v>
      </c>
      <c r="K3053" s="1" t="s">
        <v>34184</v>
      </c>
      <c r="L3053" s="1" t="s">
        <v>34185</v>
      </c>
      <c r="M3053" s="1" t="s">
        <v>34186</v>
      </c>
      <c r="N3053" s="1" t="s">
        <v>34188</v>
      </c>
      <c r="O3053" s="1">
        <v>0.0</v>
      </c>
      <c r="P3053" s="1">
        <v>0.0</v>
      </c>
    </row>
    <row r="3054">
      <c r="A3054" s="1" t="s">
        <v>120</v>
      </c>
      <c r="B3054" s="1">
        <v>2018.0</v>
      </c>
      <c r="C3054" s="1" t="s">
        <v>34189</v>
      </c>
      <c r="D3054" s="1" t="s">
        <v>34190</v>
      </c>
      <c r="E3054" s="2" t="s">
        <v>34191</v>
      </c>
      <c r="F3054" s="1">
        <v>215.0</v>
      </c>
      <c r="G3054" s="1">
        <v>224.0</v>
      </c>
      <c r="H3054" s="1" t="s">
        <v>17059</v>
      </c>
      <c r="I3054" s="1" t="s">
        <v>34192</v>
      </c>
      <c r="J3054" s="1" t="s">
        <v>34193</v>
      </c>
      <c r="K3054" s="1" t="s">
        <v>34193</v>
      </c>
      <c r="L3054" s="1" t="s">
        <v>34194</v>
      </c>
      <c r="M3054" s="1" t="s">
        <v>34195</v>
      </c>
      <c r="N3054" s="1" t="s">
        <v>34196</v>
      </c>
      <c r="O3054" s="1">
        <v>1.0</v>
      </c>
      <c r="P3054" s="1">
        <v>0.0</v>
      </c>
      <c r="Q3054" s="1" t="s">
        <v>19037</v>
      </c>
    </row>
    <row r="3055">
      <c r="A3055" s="1" t="s">
        <v>120</v>
      </c>
      <c r="B3055" s="1">
        <v>2018.0</v>
      </c>
      <c r="C3055" s="1" t="s">
        <v>34197</v>
      </c>
      <c r="D3055" s="1" t="s">
        <v>34198</v>
      </c>
      <c r="E3055" s="2" t="s">
        <v>34199</v>
      </c>
      <c r="F3055" s="1">
        <v>299.0</v>
      </c>
      <c r="G3055" s="1">
        <v>309.0</v>
      </c>
      <c r="H3055" s="1" t="s">
        <v>17059</v>
      </c>
      <c r="I3055" s="1" t="s">
        <v>34204</v>
      </c>
      <c r="J3055" s="1" t="s">
        <v>34205</v>
      </c>
      <c r="K3055" s="1" t="s">
        <v>34205</v>
      </c>
      <c r="L3055" s="1" t="s">
        <v>34206</v>
      </c>
      <c r="M3055" s="1" t="s">
        <v>34207</v>
      </c>
      <c r="N3055" s="1" t="s">
        <v>34208</v>
      </c>
      <c r="O3055" s="1">
        <v>0.0</v>
      </c>
      <c r="P3055" s="1">
        <v>0.0</v>
      </c>
    </row>
    <row r="3056">
      <c r="A3056" s="1" t="s">
        <v>120</v>
      </c>
      <c r="B3056" s="1">
        <v>2018.0</v>
      </c>
      <c r="C3056" s="1" t="s">
        <v>34210</v>
      </c>
      <c r="D3056" s="1" t="s">
        <v>34211</v>
      </c>
      <c r="E3056" s="2" t="s">
        <v>34213</v>
      </c>
      <c r="F3056" s="1">
        <v>183.0</v>
      </c>
      <c r="G3056" s="1">
        <v>192.0</v>
      </c>
      <c r="H3056" s="1" t="s">
        <v>17059</v>
      </c>
      <c r="I3056" s="1" t="s">
        <v>34215</v>
      </c>
      <c r="J3056" s="1" t="s">
        <v>34216</v>
      </c>
      <c r="K3056" s="1" t="s">
        <v>34216</v>
      </c>
      <c r="L3056" s="1" t="s">
        <v>35341</v>
      </c>
      <c r="M3056" s="1" t="s">
        <v>34218</v>
      </c>
      <c r="N3056" s="1" t="s">
        <v>34219</v>
      </c>
      <c r="O3056" s="1">
        <v>0.0</v>
      </c>
      <c r="P3056" s="1">
        <v>0.0</v>
      </c>
    </row>
    <row r="3057">
      <c r="A3057" s="1" t="s">
        <v>120</v>
      </c>
      <c r="B3057" s="1">
        <v>2018.0</v>
      </c>
      <c r="C3057" s="1" t="s">
        <v>34220</v>
      </c>
      <c r="D3057" s="1" t="s">
        <v>34221</v>
      </c>
      <c r="E3057" s="2" t="s">
        <v>34222</v>
      </c>
      <c r="F3057" s="1">
        <v>204.0</v>
      </c>
      <c r="G3057" s="1">
        <v>214.0</v>
      </c>
      <c r="H3057" s="1" t="s">
        <v>17059</v>
      </c>
      <c r="I3057" s="1" t="s">
        <v>34227</v>
      </c>
      <c r="J3057" s="1" t="s">
        <v>34228</v>
      </c>
      <c r="K3057" s="1" t="s">
        <v>34229</v>
      </c>
      <c r="L3057" s="1" t="s">
        <v>34230</v>
      </c>
      <c r="M3057" s="1" t="s">
        <v>18221</v>
      </c>
      <c r="N3057" s="1" t="s">
        <v>34231</v>
      </c>
      <c r="O3057" s="1">
        <v>0.0</v>
      </c>
      <c r="P3057" s="1">
        <v>0.0</v>
      </c>
    </row>
    <row r="3058">
      <c r="A3058" s="1" t="s">
        <v>120</v>
      </c>
      <c r="B3058" s="1">
        <v>2018.0</v>
      </c>
      <c r="C3058" s="1" t="s">
        <v>34232</v>
      </c>
      <c r="D3058" s="1" t="s">
        <v>34233</v>
      </c>
      <c r="E3058" s="2" t="s">
        <v>34234</v>
      </c>
      <c r="F3058" s="1">
        <v>131.0</v>
      </c>
      <c r="G3058" s="1">
        <v>141.0</v>
      </c>
      <c r="H3058" s="1" t="s">
        <v>17059</v>
      </c>
      <c r="I3058" s="1" t="s">
        <v>34236</v>
      </c>
      <c r="J3058" s="1" t="s">
        <v>34237</v>
      </c>
      <c r="K3058" s="1" t="s">
        <v>34237</v>
      </c>
      <c r="L3058" s="1" t="s">
        <v>34238</v>
      </c>
      <c r="M3058" s="1" t="s">
        <v>34239</v>
      </c>
      <c r="N3058" s="1" t="s">
        <v>34240</v>
      </c>
      <c r="O3058" s="1">
        <v>0.0</v>
      </c>
      <c r="P3058" s="1">
        <v>0.0</v>
      </c>
    </row>
    <row r="3059">
      <c r="A3059" s="1" t="s">
        <v>120</v>
      </c>
      <c r="B3059" s="1">
        <v>2018.0</v>
      </c>
      <c r="C3059" s="1" t="s">
        <v>34241</v>
      </c>
      <c r="D3059" s="1" t="s">
        <v>34242</v>
      </c>
      <c r="E3059" s="2" t="s">
        <v>34243</v>
      </c>
      <c r="F3059" s="1">
        <v>22.0</v>
      </c>
      <c r="G3059" s="1">
        <v>31.0</v>
      </c>
      <c r="H3059" s="1" t="s">
        <v>17059</v>
      </c>
      <c r="I3059" s="1" t="s">
        <v>35358</v>
      </c>
      <c r="J3059" s="1" t="s">
        <v>34245</v>
      </c>
      <c r="K3059" s="1" t="s">
        <v>34245</v>
      </c>
      <c r="L3059" s="1" t="s">
        <v>34246</v>
      </c>
      <c r="M3059" s="1" t="s">
        <v>34247</v>
      </c>
      <c r="N3059" s="1" t="s">
        <v>34248</v>
      </c>
      <c r="O3059" s="1">
        <v>0.0</v>
      </c>
      <c r="P3059" s="1">
        <v>0.0</v>
      </c>
    </row>
    <row r="3060">
      <c r="A3060" s="1" t="s">
        <v>120</v>
      </c>
      <c r="B3060" s="1">
        <v>2018.0</v>
      </c>
      <c r="C3060" s="1" t="s">
        <v>34249</v>
      </c>
      <c r="D3060" s="1" t="s">
        <v>34250</v>
      </c>
      <c r="E3060" s="2" t="s">
        <v>34251</v>
      </c>
      <c r="F3060" s="1">
        <v>65.0</v>
      </c>
      <c r="G3060" s="1">
        <v>75.0</v>
      </c>
      <c r="H3060" s="1" t="s">
        <v>17059</v>
      </c>
      <c r="I3060" s="1" t="s">
        <v>34252</v>
      </c>
      <c r="J3060" s="1" t="s">
        <v>34253</v>
      </c>
      <c r="K3060" s="1" t="s">
        <v>34254</v>
      </c>
      <c r="L3060" s="1" t="s">
        <v>34255</v>
      </c>
      <c r="M3060" s="1" t="s">
        <v>34256</v>
      </c>
      <c r="N3060" s="1" t="s">
        <v>34257</v>
      </c>
      <c r="O3060" s="1">
        <v>0.0</v>
      </c>
      <c r="P3060" s="1">
        <v>0.0</v>
      </c>
    </row>
    <row r="3061">
      <c r="A3061" s="1" t="s">
        <v>120</v>
      </c>
      <c r="B3061" s="1">
        <v>2018.0</v>
      </c>
      <c r="C3061" s="1" t="s">
        <v>34258</v>
      </c>
      <c r="D3061" s="1" t="s">
        <v>34259</v>
      </c>
      <c r="E3061" s="2" t="s">
        <v>34260</v>
      </c>
      <c r="F3061" s="1">
        <v>87.0</v>
      </c>
      <c r="G3061" s="1">
        <v>97.0</v>
      </c>
      <c r="H3061" s="1" t="s">
        <v>17059</v>
      </c>
      <c r="I3061" s="1" t="s">
        <v>34263</v>
      </c>
      <c r="J3061" s="1" t="s">
        <v>34264</v>
      </c>
      <c r="K3061" s="1" t="s">
        <v>34265</v>
      </c>
      <c r="L3061" s="1" t="s">
        <v>35370</v>
      </c>
      <c r="M3061" s="1" t="s">
        <v>34266</v>
      </c>
      <c r="N3061" s="1" t="s">
        <v>34267</v>
      </c>
      <c r="O3061" s="1">
        <v>0.0</v>
      </c>
      <c r="P3061" s="1">
        <v>0.0</v>
      </c>
    </row>
    <row r="3062">
      <c r="A3062" s="1" t="s">
        <v>120</v>
      </c>
      <c r="B3062" s="1">
        <v>2018.0</v>
      </c>
      <c r="C3062" s="1" t="s">
        <v>34268</v>
      </c>
      <c r="D3062" s="1" t="s">
        <v>34269</v>
      </c>
      <c r="E3062" s="2" t="s">
        <v>34270</v>
      </c>
      <c r="F3062" s="1">
        <v>246.0</v>
      </c>
      <c r="G3062" s="1">
        <v>255.0</v>
      </c>
      <c r="H3062" s="1" t="s">
        <v>17059</v>
      </c>
      <c r="I3062" s="1" t="s">
        <v>34271</v>
      </c>
      <c r="J3062" s="1" t="s">
        <v>34272</v>
      </c>
      <c r="K3062" s="1" t="s">
        <v>34273</v>
      </c>
      <c r="L3062" s="1" t="s">
        <v>34274</v>
      </c>
      <c r="M3062" s="1" t="s">
        <v>34275</v>
      </c>
      <c r="N3062" s="1" t="s">
        <v>34276</v>
      </c>
      <c r="O3062" s="1">
        <v>0.0</v>
      </c>
      <c r="P3062" s="1">
        <v>0.0</v>
      </c>
    </row>
    <row r="3063">
      <c r="A3063" s="1" t="s">
        <v>120</v>
      </c>
      <c r="B3063" s="1">
        <v>2018.0</v>
      </c>
      <c r="C3063" s="1" t="s">
        <v>34277</v>
      </c>
      <c r="D3063" s="1" t="s">
        <v>34278</v>
      </c>
      <c r="E3063" s="2" t="s">
        <v>34279</v>
      </c>
      <c r="F3063" s="1">
        <v>353.0</v>
      </c>
      <c r="G3063" s="1">
        <v>363.0</v>
      </c>
      <c r="H3063" s="1" t="s">
        <v>17059</v>
      </c>
      <c r="I3063" s="1" t="s">
        <v>35384</v>
      </c>
      <c r="J3063" s="1" t="s">
        <v>34285</v>
      </c>
      <c r="K3063" s="1" t="s">
        <v>34285</v>
      </c>
      <c r="L3063" s="1" t="s">
        <v>34286</v>
      </c>
      <c r="M3063" s="1" t="s">
        <v>34287</v>
      </c>
      <c r="N3063" s="1" t="s">
        <v>34289</v>
      </c>
      <c r="O3063" s="1">
        <v>1.0</v>
      </c>
      <c r="P3063" s="1">
        <v>0.0</v>
      </c>
      <c r="Q3063" s="1" t="s">
        <v>19037</v>
      </c>
    </row>
    <row r="3064">
      <c r="A3064" s="1" t="s">
        <v>120</v>
      </c>
      <c r="B3064" s="1">
        <v>2018.0</v>
      </c>
      <c r="C3064" s="1" t="s">
        <v>34290</v>
      </c>
      <c r="D3064" s="1" t="s">
        <v>34291</v>
      </c>
      <c r="E3064" s="2" t="s">
        <v>34292</v>
      </c>
      <c r="F3064" s="1">
        <v>172.0</v>
      </c>
      <c r="G3064" s="1">
        <v>182.0</v>
      </c>
      <c r="H3064" s="1" t="s">
        <v>17059</v>
      </c>
      <c r="I3064" s="1" t="s">
        <v>34296</v>
      </c>
      <c r="J3064" s="1" t="s">
        <v>34297</v>
      </c>
      <c r="K3064" s="1" t="s">
        <v>34298</v>
      </c>
      <c r="L3064" s="1" t="s">
        <v>34299</v>
      </c>
      <c r="M3064" s="1" t="s">
        <v>34300</v>
      </c>
      <c r="N3064" s="1" t="s">
        <v>34302</v>
      </c>
      <c r="O3064" s="1">
        <v>0.0</v>
      </c>
      <c r="P3064" s="1">
        <v>0.0</v>
      </c>
    </row>
    <row r="3065">
      <c r="A3065" s="1" t="s">
        <v>120</v>
      </c>
      <c r="B3065" s="1">
        <v>2018.0</v>
      </c>
      <c r="C3065" s="1" t="s">
        <v>34305</v>
      </c>
      <c r="D3065" s="1" t="s">
        <v>34306</v>
      </c>
      <c r="E3065" s="2" t="s">
        <v>34308</v>
      </c>
      <c r="F3065" s="1">
        <v>76.0</v>
      </c>
      <c r="G3065" s="1">
        <v>86.0</v>
      </c>
      <c r="H3065" s="1" t="s">
        <v>17059</v>
      </c>
      <c r="I3065" s="1" t="s">
        <v>34310</v>
      </c>
      <c r="J3065" s="1" t="s">
        <v>35385</v>
      </c>
      <c r="K3065" s="1" t="s">
        <v>35385</v>
      </c>
      <c r="L3065" s="1" t="s">
        <v>34312</v>
      </c>
      <c r="M3065" s="1" t="s">
        <v>34313</v>
      </c>
      <c r="N3065" s="1" t="s">
        <v>34315</v>
      </c>
      <c r="O3065" s="1">
        <v>0.0</v>
      </c>
      <c r="P3065" s="1">
        <v>0.0</v>
      </c>
    </row>
    <row r="3066">
      <c r="A3066" s="1" t="s">
        <v>120</v>
      </c>
      <c r="B3066" s="1">
        <v>2018.0</v>
      </c>
      <c r="C3066" s="1" t="s">
        <v>34316</v>
      </c>
      <c r="D3066" s="1" t="s">
        <v>34317</v>
      </c>
      <c r="E3066" s="2" t="s">
        <v>34318</v>
      </c>
      <c r="F3066" s="1">
        <v>256.0</v>
      </c>
      <c r="G3066" s="1">
        <v>266.0</v>
      </c>
      <c r="H3066" s="1" t="s">
        <v>17059</v>
      </c>
      <c r="I3066" s="1" t="s">
        <v>34322</v>
      </c>
      <c r="J3066" s="1" t="s">
        <v>34323</v>
      </c>
      <c r="K3066" s="1" t="s">
        <v>34324</v>
      </c>
      <c r="L3066" s="1" t="s">
        <v>34325</v>
      </c>
      <c r="M3066" s="1" t="s">
        <v>34327</v>
      </c>
      <c r="N3066" s="1" t="s">
        <v>34329</v>
      </c>
      <c r="O3066" s="1">
        <v>0.0</v>
      </c>
      <c r="P3066" s="1">
        <v>0.0</v>
      </c>
    </row>
    <row r="3067">
      <c r="A3067" s="1" t="s">
        <v>2137</v>
      </c>
      <c r="B3067" s="1">
        <v>2018.0</v>
      </c>
      <c r="C3067" s="1" t="s">
        <v>32822</v>
      </c>
      <c r="D3067" s="1" t="s">
        <v>32823</v>
      </c>
      <c r="E3067" s="2" t="s">
        <v>32824</v>
      </c>
      <c r="F3067" s="1">
        <v>800.0</v>
      </c>
      <c r="G3067" s="1">
        <v>809.0</v>
      </c>
      <c r="H3067" s="1" t="s">
        <v>17059</v>
      </c>
      <c r="I3067" s="1" t="s">
        <v>32825</v>
      </c>
      <c r="J3067" s="1" t="s">
        <v>32826</v>
      </c>
      <c r="K3067" s="1" t="s">
        <v>32826</v>
      </c>
      <c r="L3067" s="1" t="s">
        <v>32827</v>
      </c>
      <c r="M3067" s="1" t="s">
        <v>32828</v>
      </c>
      <c r="N3067" s="1" t="s">
        <v>32829</v>
      </c>
      <c r="O3067" s="1">
        <v>0.0</v>
      </c>
      <c r="P3067" s="1">
        <v>0.0</v>
      </c>
    </row>
    <row r="3068">
      <c r="A3068" s="1" t="s">
        <v>2137</v>
      </c>
      <c r="B3068" s="1">
        <v>2018.0</v>
      </c>
      <c r="C3068" s="1" t="s">
        <v>32830</v>
      </c>
      <c r="D3068" s="1" t="s">
        <v>32831</v>
      </c>
      <c r="E3068" s="2" t="s">
        <v>32832</v>
      </c>
      <c r="F3068" s="1">
        <v>512.0</v>
      </c>
      <c r="G3068" s="1">
        <v>522.0</v>
      </c>
      <c r="H3068" s="1" t="s">
        <v>17059</v>
      </c>
      <c r="I3068" s="1" t="s">
        <v>32833</v>
      </c>
      <c r="J3068" s="1" t="s">
        <v>32834</v>
      </c>
      <c r="K3068" s="1" t="s">
        <v>32834</v>
      </c>
      <c r="L3068" s="1" t="s">
        <v>32835</v>
      </c>
      <c r="M3068" s="1" t="s">
        <v>32836</v>
      </c>
      <c r="N3068" s="1" t="s">
        <v>32837</v>
      </c>
      <c r="O3068" s="1">
        <v>0.0</v>
      </c>
      <c r="P3068" s="1">
        <v>0.0</v>
      </c>
    </row>
    <row r="3069">
      <c r="A3069" s="1" t="s">
        <v>2137</v>
      </c>
      <c r="B3069" s="1">
        <v>2018.0</v>
      </c>
      <c r="C3069" s="1" t="s">
        <v>32838</v>
      </c>
      <c r="D3069" s="1" t="s">
        <v>32839</v>
      </c>
      <c r="E3069" s="2" t="s">
        <v>32840</v>
      </c>
      <c r="F3069" s="1">
        <v>523.0</v>
      </c>
      <c r="G3069" s="1">
        <v>533.0</v>
      </c>
      <c r="H3069" s="1" t="s">
        <v>17059</v>
      </c>
      <c r="I3069" s="1" t="s">
        <v>32841</v>
      </c>
      <c r="J3069" s="1" t="s">
        <v>32842</v>
      </c>
      <c r="K3069" s="1" t="s">
        <v>32842</v>
      </c>
      <c r="L3069" s="1" t="s">
        <v>32843</v>
      </c>
      <c r="M3069" s="1" t="s">
        <v>32844</v>
      </c>
      <c r="N3069" s="1" t="s">
        <v>32845</v>
      </c>
      <c r="O3069" s="1">
        <v>0.0</v>
      </c>
      <c r="P3069" s="1">
        <v>0.0</v>
      </c>
    </row>
    <row r="3070">
      <c r="A3070" s="1" t="s">
        <v>2137</v>
      </c>
      <c r="B3070" s="1">
        <v>2018.0</v>
      </c>
      <c r="C3070" s="1" t="s">
        <v>32846</v>
      </c>
      <c r="D3070" s="1" t="s">
        <v>32847</v>
      </c>
      <c r="E3070" s="2" t="s">
        <v>32848</v>
      </c>
      <c r="F3070" s="1">
        <v>501.0</v>
      </c>
      <c r="G3070" s="1">
        <v>511.0</v>
      </c>
      <c r="H3070" s="1" t="s">
        <v>17059</v>
      </c>
      <c r="I3070" s="1" t="s">
        <v>32851</v>
      </c>
      <c r="J3070" s="1" t="s">
        <v>32852</v>
      </c>
      <c r="K3070" s="1" t="s">
        <v>32853</v>
      </c>
      <c r="L3070" s="1" t="s">
        <v>32854</v>
      </c>
      <c r="M3070" s="1" t="s">
        <v>32855</v>
      </c>
      <c r="N3070" s="1" t="s">
        <v>32856</v>
      </c>
      <c r="O3070" s="1">
        <v>0.0</v>
      </c>
      <c r="P3070" s="1">
        <v>0.0</v>
      </c>
    </row>
    <row r="3071">
      <c r="A3071" s="1" t="s">
        <v>2137</v>
      </c>
      <c r="B3071" s="1">
        <v>2018.0</v>
      </c>
      <c r="C3071" s="1" t="s">
        <v>32857</v>
      </c>
      <c r="D3071" s="1" t="s">
        <v>32858</v>
      </c>
      <c r="E3071" s="2" t="s">
        <v>32859</v>
      </c>
      <c r="F3071" s="1">
        <v>449.0</v>
      </c>
      <c r="G3071" s="1">
        <v>458.0</v>
      </c>
      <c r="H3071" s="1" t="s">
        <v>17059</v>
      </c>
      <c r="I3071" s="1" t="s">
        <v>32863</v>
      </c>
      <c r="J3071" s="1" t="s">
        <v>32865</v>
      </c>
      <c r="K3071" s="1" t="s">
        <v>32865</v>
      </c>
      <c r="L3071" s="1" t="s">
        <v>35481</v>
      </c>
      <c r="M3071" s="1" t="s">
        <v>32867</v>
      </c>
      <c r="N3071" s="1" t="s">
        <v>32868</v>
      </c>
      <c r="O3071" s="1">
        <v>0.0</v>
      </c>
      <c r="P3071" s="1">
        <v>0.0</v>
      </c>
    </row>
    <row r="3072">
      <c r="A3072" s="1" t="s">
        <v>2137</v>
      </c>
      <c r="B3072" s="1">
        <v>2018.0</v>
      </c>
      <c r="C3072" s="1" t="s">
        <v>32870</v>
      </c>
      <c r="D3072" s="1" t="s">
        <v>32871</v>
      </c>
      <c r="E3072" s="2" t="s">
        <v>32872</v>
      </c>
      <c r="F3072" s="1">
        <v>661.0</v>
      </c>
      <c r="G3072" s="1">
        <v>671.0</v>
      </c>
      <c r="H3072" s="1" t="s">
        <v>17059</v>
      </c>
      <c r="I3072" s="1" t="s">
        <v>32875</v>
      </c>
      <c r="J3072" s="1" t="s">
        <v>32876</v>
      </c>
      <c r="K3072" s="1" t="s">
        <v>32876</v>
      </c>
      <c r="L3072" s="1" t="s">
        <v>32877</v>
      </c>
      <c r="M3072" s="1" t="s">
        <v>32878</v>
      </c>
      <c r="N3072" s="1" t="s">
        <v>32879</v>
      </c>
      <c r="O3072" s="1">
        <v>0.0</v>
      </c>
      <c r="P3072" s="1">
        <v>0.0</v>
      </c>
    </row>
    <row r="3073">
      <c r="A3073" s="1" t="s">
        <v>2137</v>
      </c>
      <c r="B3073" s="1">
        <v>2018.0</v>
      </c>
      <c r="C3073" s="1" t="s">
        <v>32880</v>
      </c>
      <c r="D3073" s="1" t="s">
        <v>32881</v>
      </c>
      <c r="E3073" s="2" t="s">
        <v>32882</v>
      </c>
      <c r="F3073" s="1">
        <v>459.0</v>
      </c>
      <c r="G3073" s="1">
        <v>469.0</v>
      </c>
      <c r="H3073" s="1" t="s">
        <v>17059</v>
      </c>
      <c r="I3073" s="1" t="s">
        <v>32885</v>
      </c>
      <c r="J3073" s="1" t="s">
        <v>32886</v>
      </c>
      <c r="K3073" s="1" t="s">
        <v>32886</v>
      </c>
      <c r="L3073" s="1" t="s">
        <v>32887</v>
      </c>
      <c r="M3073" s="1" t="s">
        <v>32888</v>
      </c>
      <c r="N3073" s="1" t="s">
        <v>32890</v>
      </c>
      <c r="O3073" s="1">
        <v>1.0</v>
      </c>
      <c r="P3073" s="1">
        <v>0.0</v>
      </c>
    </row>
    <row r="3074">
      <c r="A3074" s="1" t="s">
        <v>2137</v>
      </c>
      <c r="B3074" s="1">
        <v>2018.0</v>
      </c>
      <c r="C3074" s="1" t="s">
        <v>35497</v>
      </c>
      <c r="D3074" s="1" t="s">
        <v>32893</v>
      </c>
      <c r="E3074" s="2" t="s">
        <v>32894</v>
      </c>
      <c r="F3074" s="1">
        <v>641.0</v>
      </c>
      <c r="G3074" s="1">
        <v>650.0</v>
      </c>
      <c r="H3074" s="1" t="s">
        <v>17059</v>
      </c>
      <c r="I3074" s="1" t="s">
        <v>32898</v>
      </c>
      <c r="J3074" s="1" t="s">
        <v>32899</v>
      </c>
      <c r="K3074" s="1" t="s">
        <v>32899</v>
      </c>
      <c r="L3074" s="1" t="s">
        <v>32900</v>
      </c>
      <c r="M3074" s="1" t="s">
        <v>32901</v>
      </c>
      <c r="N3074" s="1" t="s">
        <v>32902</v>
      </c>
      <c r="O3074" s="1">
        <v>0.0</v>
      </c>
      <c r="P3074" s="1">
        <v>0.0</v>
      </c>
    </row>
    <row r="3075">
      <c r="A3075" s="1" t="s">
        <v>2137</v>
      </c>
      <c r="B3075" s="1">
        <v>2018.0</v>
      </c>
      <c r="C3075" s="1" t="s">
        <v>32903</v>
      </c>
      <c r="D3075" s="1" t="s">
        <v>32904</v>
      </c>
      <c r="E3075" s="2" t="s">
        <v>32905</v>
      </c>
      <c r="F3075" s="1">
        <v>555.0</v>
      </c>
      <c r="G3075" s="1">
        <v>565.0</v>
      </c>
      <c r="H3075" s="1" t="s">
        <v>17059</v>
      </c>
      <c r="I3075" s="1" t="s">
        <v>32909</v>
      </c>
      <c r="J3075" s="1" t="s">
        <v>32910</v>
      </c>
      <c r="K3075" s="1" t="s">
        <v>32911</v>
      </c>
      <c r="L3075" s="1" t="s">
        <v>32912</v>
      </c>
      <c r="M3075" s="1" t="s">
        <v>32913</v>
      </c>
      <c r="N3075" s="1" t="s">
        <v>32914</v>
      </c>
      <c r="O3075" s="1">
        <v>0.0</v>
      </c>
      <c r="P3075" s="1">
        <v>0.0</v>
      </c>
    </row>
    <row r="3076">
      <c r="A3076" s="1" t="s">
        <v>2137</v>
      </c>
      <c r="B3076" s="1">
        <v>2018.0</v>
      </c>
      <c r="C3076" s="1" t="s">
        <v>32915</v>
      </c>
      <c r="D3076" s="1" t="s">
        <v>32916</v>
      </c>
      <c r="E3076" s="2" t="s">
        <v>32917</v>
      </c>
      <c r="F3076" s="1">
        <v>470.0</v>
      </c>
      <c r="G3076" s="1">
        <v>480.0</v>
      </c>
      <c r="H3076" s="1" t="s">
        <v>17059</v>
      </c>
      <c r="I3076" s="1" t="s">
        <v>32920</v>
      </c>
      <c r="J3076" s="1" t="s">
        <v>35516</v>
      </c>
      <c r="K3076" s="1" t="s">
        <v>35516</v>
      </c>
      <c r="L3076" s="1" t="s">
        <v>35517</v>
      </c>
      <c r="M3076" s="1" t="s">
        <v>32923</v>
      </c>
      <c r="N3076" s="1" t="s">
        <v>32924</v>
      </c>
      <c r="O3076" s="1">
        <v>0.0</v>
      </c>
      <c r="P3076" s="1">
        <v>0.0</v>
      </c>
    </row>
    <row r="3077">
      <c r="A3077" s="1" t="s">
        <v>2137</v>
      </c>
      <c r="B3077" s="1">
        <v>2018.0</v>
      </c>
      <c r="C3077" s="1" t="s">
        <v>32925</v>
      </c>
      <c r="D3077" s="1" t="s">
        <v>32926</v>
      </c>
      <c r="E3077" s="2" t="s">
        <v>32927</v>
      </c>
      <c r="F3077" s="1">
        <v>630.0</v>
      </c>
      <c r="G3077" s="1">
        <v>640.0</v>
      </c>
      <c r="H3077" s="1" t="s">
        <v>17059</v>
      </c>
      <c r="I3077" s="1" t="s">
        <v>35523</v>
      </c>
      <c r="J3077" s="1" t="s">
        <v>35524</v>
      </c>
      <c r="K3077" s="1" t="s">
        <v>35524</v>
      </c>
      <c r="L3077" s="1" t="s">
        <v>35526</v>
      </c>
      <c r="M3077" s="1" t="s">
        <v>32934</v>
      </c>
      <c r="N3077" s="1" t="s">
        <v>32935</v>
      </c>
      <c r="O3077" s="1">
        <v>0.0</v>
      </c>
      <c r="P3077" s="1">
        <v>0.0</v>
      </c>
    </row>
    <row r="3078">
      <c r="A3078" s="1" t="s">
        <v>2137</v>
      </c>
      <c r="B3078" s="1">
        <v>2018.0</v>
      </c>
      <c r="C3078" s="1" t="s">
        <v>32936</v>
      </c>
      <c r="D3078" s="1" t="s">
        <v>32937</v>
      </c>
      <c r="E3078" s="2" t="s">
        <v>32938</v>
      </c>
      <c r="F3078" s="1">
        <v>586.0</v>
      </c>
      <c r="G3078" s="1">
        <v>596.0</v>
      </c>
      <c r="H3078" s="1" t="s">
        <v>17059</v>
      </c>
      <c r="I3078" s="1" t="s">
        <v>35532</v>
      </c>
      <c r="J3078" s="1" t="s">
        <v>35533</v>
      </c>
      <c r="K3078" s="1" t="s">
        <v>35534</v>
      </c>
      <c r="L3078" s="1" t="s">
        <v>32947</v>
      </c>
      <c r="M3078" s="1" t="s">
        <v>32948</v>
      </c>
      <c r="N3078" s="1" t="s">
        <v>32949</v>
      </c>
      <c r="O3078" s="1">
        <v>0.0</v>
      </c>
      <c r="P3078" s="1">
        <v>0.0</v>
      </c>
    </row>
    <row r="3079">
      <c r="A3079" s="1" t="s">
        <v>2137</v>
      </c>
      <c r="B3079" s="1">
        <v>2018.0</v>
      </c>
      <c r="C3079" s="1" t="s">
        <v>32950</v>
      </c>
      <c r="D3079" s="1" t="s">
        <v>32951</v>
      </c>
      <c r="E3079" s="2" t="s">
        <v>32952</v>
      </c>
      <c r="F3079" s="1">
        <v>672.0</v>
      </c>
      <c r="G3079" s="1">
        <v>681.0</v>
      </c>
      <c r="H3079" s="1" t="s">
        <v>17059</v>
      </c>
      <c r="I3079" s="1" t="s">
        <v>32955</v>
      </c>
      <c r="J3079" s="1" t="s">
        <v>32956</v>
      </c>
      <c r="K3079" s="1" t="s">
        <v>32957</v>
      </c>
      <c r="L3079" s="1" t="s">
        <v>32958</v>
      </c>
      <c r="M3079" s="1" t="s">
        <v>32959</v>
      </c>
      <c r="N3079" s="1" t="s">
        <v>32960</v>
      </c>
      <c r="O3079" s="1">
        <v>0.0</v>
      </c>
      <c r="P3079" s="1">
        <v>0.0</v>
      </c>
    </row>
    <row r="3080">
      <c r="A3080" s="1" t="s">
        <v>2137</v>
      </c>
      <c r="B3080" s="1">
        <v>2018.0</v>
      </c>
      <c r="C3080" s="1" t="s">
        <v>32961</v>
      </c>
      <c r="D3080" s="1" t="s">
        <v>32962</v>
      </c>
      <c r="E3080" s="2" t="s">
        <v>32963</v>
      </c>
      <c r="F3080" s="1">
        <v>491.0</v>
      </c>
      <c r="G3080" s="1">
        <v>500.0</v>
      </c>
      <c r="H3080" s="1" t="s">
        <v>17059</v>
      </c>
      <c r="I3080" s="1" t="s">
        <v>32967</v>
      </c>
      <c r="J3080" s="1" t="s">
        <v>32968</v>
      </c>
      <c r="K3080" s="1" t="s">
        <v>32969</v>
      </c>
      <c r="L3080" s="1" t="s">
        <v>32970</v>
      </c>
      <c r="M3080" s="1" t="s">
        <v>32971</v>
      </c>
      <c r="N3080" s="1" t="s">
        <v>32972</v>
      </c>
      <c r="O3080" s="1">
        <v>0.0</v>
      </c>
      <c r="P3080" s="1">
        <v>0.0</v>
      </c>
    </row>
    <row r="3081">
      <c r="A3081" s="1" t="s">
        <v>2137</v>
      </c>
      <c r="B3081" s="1">
        <v>2018.0</v>
      </c>
      <c r="C3081" s="1" t="s">
        <v>32973</v>
      </c>
      <c r="D3081" s="1" t="s">
        <v>32974</v>
      </c>
      <c r="E3081" s="2" t="s">
        <v>32975</v>
      </c>
      <c r="F3081" s="1">
        <v>810.0</v>
      </c>
      <c r="G3081" s="1">
        <v>819.0</v>
      </c>
      <c r="H3081" s="1" t="s">
        <v>17059</v>
      </c>
      <c r="I3081" s="1" t="s">
        <v>32979</v>
      </c>
      <c r="J3081" s="1" t="s">
        <v>32980</v>
      </c>
      <c r="K3081" s="1" t="s">
        <v>32981</v>
      </c>
      <c r="L3081" s="1" t="s">
        <v>32982</v>
      </c>
      <c r="M3081" s="1" t="s">
        <v>32983</v>
      </c>
      <c r="N3081" s="1" t="s">
        <v>32984</v>
      </c>
      <c r="O3081" s="1">
        <v>0.0</v>
      </c>
      <c r="P3081" s="1">
        <v>0.0</v>
      </c>
      <c r="Q3081" s="1" t="s">
        <v>19037</v>
      </c>
    </row>
    <row r="3082">
      <c r="A3082" s="1" t="s">
        <v>2137</v>
      </c>
      <c r="B3082" s="1">
        <v>2018.0</v>
      </c>
      <c r="C3082" s="1" t="s">
        <v>32985</v>
      </c>
      <c r="D3082" s="1" t="s">
        <v>32986</v>
      </c>
      <c r="E3082" s="2" t="s">
        <v>32987</v>
      </c>
      <c r="F3082" s="1">
        <v>544.0</v>
      </c>
      <c r="G3082" s="1">
        <v>554.0</v>
      </c>
      <c r="H3082" s="1" t="s">
        <v>17059</v>
      </c>
      <c r="I3082" s="1" t="s">
        <v>32990</v>
      </c>
      <c r="J3082" s="1" t="s">
        <v>32991</v>
      </c>
      <c r="K3082" s="1" t="s">
        <v>32991</v>
      </c>
      <c r="L3082" s="1" t="s">
        <v>32993</v>
      </c>
      <c r="M3082" s="1" t="s">
        <v>33144</v>
      </c>
      <c r="N3082" s="1" t="s">
        <v>33145</v>
      </c>
      <c r="O3082" s="1">
        <v>0.0</v>
      </c>
      <c r="P3082" s="1">
        <v>0.0</v>
      </c>
    </row>
    <row r="3083">
      <c r="A3083" s="1" t="s">
        <v>2137</v>
      </c>
      <c r="B3083" s="1">
        <v>2018.0</v>
      </c>
      <c r="C3083" s="1" t="s">
        <v>33150</v>
      </c>
      <c r="D3083" s="1" t="s">
        <v>33151</v>
      </c>
      <c r="E3083" s="2" t="s">
        <v>33152</v>
      </c>
      <c r="F3083" s="1">
        <v>576.0</v>
      </c>
      <c r="G3083" s="1">
        <v>585.0</v>
      </c>
      <c r="H3083" s="1" t="s">
        <v>17059</v>
      </c>
      <c r="I3083" s="1" t="s">
        <v>33156</v>
      </c>
      <c r="J3083" s="1" t="s">
        <v>33157</v>
      </c>
      <c r="K3083" s="1" t="s">
        <v>33157</v>
      </c>
      <c r="L3083" s="1" t="s">
        <v>21430</v>
      </c>
      <c r="M3083" s="1" t="s">
        <v>33158</v>
      </c>
      <c r="N3083" s="1" t="s">
        <v>33159</v>
      </c>
      <c r="O3083" s="1">
        <v>0.0</v>
      </c>
      <c r="P3083" s="1">
        <v>0.0</v>
      </c>
    </row>
    <row r="3084">
      <c r="A3084" s="1" t="s">
        <v>2137</v>
      </c>
      <c r="B3084" s="1">
        <v>2018.0</v>
      </c>
      <c r="C3084" s="1" t="s">
        <v>33160</v>
      </c>
      <c r="D3084" s="1" t="s">
        <v>33161</v>
      </c>
      <c r="E3084" s="2" t="s">
        <v>33162</v>
      </c>
      <c r="F3084" s="1">
        <v>715.0</v>
      </c>
      <c r="G3084" s="1">
        <v>725.0</v>
      </c>
      <c r="H3084" s="1" t="s">
        <v>17059</v>
      </c>
      <c r="I3084" s="1" t="s">
        <v>33167</v>
      </c>
      <c r="J3084" s="1" t="s">
        <v>33169</v>
      </c>
      <c r="K3084" s="1" t="s">
        <v>33169</v>
      </c>
      <c r="L3084" s="1" t="s">
        <v>33170</v>
      </c>
      <c r="M3084" s="1" t="s">
        <v>33171</v>
      </c>
      <c r="N3084" s="1" t="s">
        <v>33173</v>
      </c>
      <c r="O3084" s="1">
        <v>0.0</v>
      </c>
      <c r="P3084" s="1">
        <v>0.0</v>
      </c>
    </row>
    <row r="3085">
      <c r="A3085" s="1" t="s">
        <v>2137</v>
      </c>
      <c r="B3085" s="1">
        <v>2018.0</v>
      </c>
      <c r="C3085" s="1" t="s">
        <v>33174</v>
      </c>
      <c r="D3085" s="1" t="s">
        <v>33175</v>
      </c>
      <c r="E3085" s="2" t="s">
        <v>33176</v>
      </c>
      <c r="F3085" s="1">
        <v>789.0</v>
      </c>
      <c r="G3085" s="1">
        <v>799.0</v>
      </c>
      <c r="H3085" s="1" t="s">
        <v>17059</v>
      </c>
      <c r="I3085" s="1" t="s">
        <v>33182</v>
      </c>
      <c r="J3085" s="1" t="s">
        <v>33183</v>
      </c>
      <c r="K3085" s="1" t="s">
        <v>33183</v>
      </c>
      <c r="L3085" s="1" t="s">
        <v>33184</v>
      </c>
      <c r="M3085" s="1" t="s">
        <v>33185</v>
      </c>
      <c r="N3085" s="1" t="s">
        <v>33186</v>
      </c>
      <c r="O3085" s="1">
        <v>0.0</v>
      </c>
      <c r="P3085" s="1">
        <v>0.0</v>
      </c>
      <c r="Q3085" s="1" t="s">
        <v>19037</v>
      </c>
    </row>
    <row r="3086">
      <c r="A3086" s="1" t="s">
        <v>2137</v>
      </c>
      <c r="B3086" s="1">
        <v>2018.0</v>
      </c>
      <c r="C3086" s="1" t="s">
        <v>33187</v>
      </c>
      <c r="D3086" s="1" t="s">
        <v>33188</v>
      </c>
      <c r="E3086" s="2" t="s">
        <v>33189</v>
      </c>
      <c r="F3086" s="1">
        <v>737.0</v>
      </c>
      <c r="G3086" s="1">
        <v>747.0</v>
      </c>
      <c r="H3086" s="1" t="s">
        <v>17059</v>
      </c>
      <c r="I3086" s="1" t="s">
        <v>33196</v>
      </c>
      <c r="J3086" s="1" t="s">
        <v>33197</v>
      </c>
      <c r="K3086" s="1" t="s">
        <v>33197</v>
      </c>
      <c r="L3086" s="1" t="s">
        <v>33198</v>
      </c>
      <c r="M3086" s="1" t="s">
        <v>33199</v>
      </c>
      <c r="N3086" s="1" t="s">
        <v>33200</v>
      </c>
      <c r="O3086" s="1">
        <v>0.0</v>
      </c>
      <c r="P3086" s="1">
        <v>0.0</v>
      </c>
    </row>
    <row r="3087">
      <c r="A3087" s="1" t="s">
        <v>2137</v>
      </c>
      <c r="B3087" s="1">
        <v>2018.0</v>
      </c>
      <c r="C3087" s="1" t="s">
        <v>33202</v>
      </c>
      <c r="D3087" s="1" t="s">
        <v>33203</v>
      </c>
      <c r="E3087" s="2" t="s">
        <v>33205</v>
      </c>
      <c r="F3087" s="1">
        <v>704.0</v>
      </c>
      <c r="G3087" s="1">
        <v>714.0</v>
      </c>
      <c r="H3087" s="1" t="s">
        <v>17059</v>
      </c>
      <c r="I3087" s="1" t="s">
        <v>33210</v>
      </c>
      <c r="J3087" s="1" t="s">
        <v>33211</v>
      </c>
      <c r="K3087" s="1" t="s">
        <v>33211</v>
      </c>
      <c r="L3087" s="1" t="s">
        <v>35592</v>
      </c>
      <c r="M3087" s="1" t="s">
        <v>33214</v>
      </c>
      <c r="N3087" s="1" t="s">
        <v>33215</v>
      </c>
      <c r="O3087" s="1">
        <v>0.0</v>
      </c>
      <c r="P3087" s="1">
        <v>0.0</v>
      </c>
    </row>
    <row r="3088">
      <c r="A3088" s="1" t="s">
        <v>2137</v>
      </c>
      <c r="B3088" s="1">
        <v>2018.0</v>
      </c>
      <c r="C3088" s="1" t="s">
        <v>33216</v>
      </c>
      <c r="D3088" s="1" t="s">
        <v>33217</v>
      </c>
      <c r="E3088" s="2" t="s">
        <v>33218</v>
      </c>
      <c r="F3088" s="1">
        <v>693.0</v>
      </c>
      <c r="G3088" s="1">
        <v>703.0</v>
      </c>
      <c r="H3088" s="1" t="s">
        <v>17059</v>
      </c>
      <c r="I3088" s="1" t="s">
        <v>33224</v>
      </c>
      <c r="J3088" s="1" t="s">
        <v>33225</v>
      </c>
      <c r="K3088" s="1" t="s">
        <v>33225</v>
      </c>
      <c r="L3088" s="1" t="s">
        <v>33226</v>
      </c>
      <c r="M3088" s="1" t="s">
        <v>33227</v>
      </c>
      <c r="N3088" s="1" t="s">
        <v>33228</v>
      </c>
      <c r="O3088" s="1">
        <v>0.0</v>
      </c>
      <c r="P3088" s="1">
        <v>0.0</v>
      </c>
    </row>
    <row r="3089">
      <c r="A3089" s="1" t="s">
        <v>2137</v>
      </c>
      <c r="B3089" s="1">
        <v>2018.0</v>
      </c>
      <c r="C3089" s="1" t="s">
        <v>33230</v>
      </c>
      <c r="D3089" s="1" t="s">
        <v>33232</v>
      </c>
      <c r="E3089" s="2" t="s">
        <v>33233</v>
      </c>
      <c r="F3089" s="1">
        <v>882.0</v>
      </c>
      <c r="G3089" s="1">
        <v>891.0</v>
      </c>
      <c r="H3089" s="1" t="s">
        <v>17059</v>
      </c>
      <c r="I3089" s="1" t="s">
        <v>33236</v>
      </c>
      <c r="J3089" s="1" t="s">
        <v>33237</v>
      </c>
      <c r="K3089" s="1" t="s">
        <v>33238</v>
      </c>
      <c r="L3089" s="1" t="s">
        <v>33239</v>
      </c>
      <c r="M3089" s="1" t="s">
        <v>33240</v>
      </c>
      <c r="N3089" s="1" t="s">
        <v>33241</v>
      </c>
      <c r="O3089" s="1">
        <v>0.0</v>
      </c>
      <c r="P3089" s="1">
        <v>0.0</v>
      </c>
    </row>
    <row r="3090">
      <c r="A3090" s="1" t="s">
        <v>2137</v>
      </c>
      <c r="B3090" s="1">
        <v>2018.0</v>
      </c>
      <c r="C3090" s="1" t="s">
        <v>33243</v>
      </c>
      <c r="D3090" s="1" t="s">
        <v>33244</v>
      </c>
      <c r="E3090" s="2" t="s">
        <v>33245</v>
      </c>
      <c r="F3090" s="1">
        <v>481.0</v>
      </c>
      <c r="G3090" s="1">
        <v>490.0</v>
      </c>
      <c r="H3090" s="1" t="s">
        <v>17059</v>
      </c>
      <c r="I3090" s="1" t="s">
        <v>33249</v>
      </c>
      <c r="J3090" s="1" t="s">
        <v>33250</v>
      </c>
      <c r="K3090" s="1" t="s">
        <v>33252</v>
      </c>
      <c r="L3090" s="1" t="s">
        <v>27286</v>
      </c>
      <c r="M3090" s="1" t="s">
        <v>33254</v>
      </c>
      <c r="N3090" s="1" t="s">
        <v>33255</v>
      </c>
      <c r="O3090" s="1">
        <v>0.0</v>
      </c>
      <c r="P3090" s="1">
        <v>0.0</v>
      </c>
    </row>
    <row r="3091">
      <c r="A3091" s="1" t="s">
        <v>2137</v>
      </c>
      <c r="B3091" s="1">
        <v>2018.0</v>
      </c>
      <c r="C3091" s="1" t="s">
        <v>33256</v>
      </c>
      <c r="D3091" s="1" t="s">
        <v>33257</v>
      </c>
      <c r="E3091" s="2" t="s">
        <v>33258</v>
      </c>
      <c r="F3091" s="1">
        <v>651.0</v>
      </c>
      <c r="G3091" s="1">
        <v>660.0</v>
      </c>
      <c r="H3091" s="1" t="s">
        <v>17059</v>
      </c>
      <c r="I3091" s="1" t="s">
        <v>33263</v>
      </c>
      <c r="J3091" s="1" t="s">
        <v>33264</v>
      </c>
      <c r="K3091" s="1" t="s">
        <v>33264</v>
      </c>
      <c r="L3091" s="1" t="s">
        <v>33265</v>
      </c>
      <c r="M3091" s="1" t="s">
        <v>33266</v>
      </c>
      <c r="N3091" s="1" t="s">
        <v>33267</v>
      </c>
      <c r="O3091" s="1">
        <v>0.0</v>
      </c>
      <c r="P3091" s="1">
        <v>0.0</v>
      </c>
    </row>
    <row r="3092">
      <c r="A3092" s="1" t="s">
        <v>2137</v>
      </c>
      <c r="B3092" s="1">
        <v>2018.0</v>
      </c>
      <c r="C3092" s="1" t="s">
        <v>33268</v>
      </c>
      <c r="D3092" s="1" t="s">
        <v>33269</v>
      </c>
      <c r="E3092" s="2" t="s">
        <v>33270</v>
      </c>
      <c r="F3092" s="1">
        <v>597.0</v>
      </c>
      <c r="G3092" s="1">
        <v>607.0</v>
      </c>
      <c r="H3092" s="1" t="s">
        <v>17059</v>
      </c>
      <c r="I3092" s="1" t="s">
        <v>33274</v>
      </c>
      <c r="J3092" s="1" t="s">
        <v>33275</v>
      </c>
      <c r="K3092" s="1" t="s">
        <v>33275</v>
      </c>
      <c r="L3092" s="1" t="s">
        <v>33276</v>
      </c>
      <c r="M3092" s="1" t="s">
        <v>33279</v>
      </c>
      <c r="N3092" s="1" t="s">
        <v>33280</v>
      </c>
      <c r="O3092" s="1">
        <v>0.0</v>
      </c>
      <c r="P3092" s="1">
        <v>0.0</v>
      </c>
    </row>
    <row r="3093">
      <c r="A3093" s="1" t="s">
        <v>2137</v>
      </c>
      <c r="B3093" s="1">
        <v>2018.0</v>
      </c>
      <c r="C3093" s="1" t="s">
        <v>33282</v>
      </c>
      <c r="D3093" s="1" t="s">
        <v>33283</v>
      </c>
      <c r="E3093" s="2" t="s">
        <v>33284</v>
      </c>
      <c r="F3093" s="1">
        <v>779.0</v>
      </c>
      <c r="G3093" s="1">
        <v>788.0</v>
      </c>
      <c r="H3093" s="1" t="s">
        <v>17059</v>
      </c>
      <c r="I3093" s="1" t="s">
        <v>33290</v>
      </c>
      <c r="J3093" s="1" t="s">
        <v>33291</v>
      </c>
      <c r="K3093" s="1" t="s">
        <v>33291</v>
      </c>
      <c r="L3093" s="1" t="s">
        <v>33293</v>
      </c>
      <c r="M3093" s="1" t="s">
        <v>33294</v>
      </c>
      <c r="N3093" s="1" t="s">
        <v>33295</v>
      </c>
      <c r="O3093" s="1">
        <v>0.0</v>
      </c>
      <c r="P3093" s="1">
        <v>0.0</v>
      </c>
    </row>
    <row r="3094">
      <c r="A3094" s="1" t="s">
        <v>2137</v>
      </c>
      <c r="B3094" s="1">
        <v>2018.0</v>
      </c>
      <c r="C3094" s="1" t="s">
        <v>33296</v>
      </c>
      <c r="D3094" s="1" t="s">
        <v>33298</v>
      </c>
      <c r="E3094" s="2" t="s">
        <v>33299</v>
      </c>
      <c r="F3094" s="1">
        <v>850.0</v>
      </c>
      <c r="G3094" s="1">
        <v>860.0</v>
      </c>
      <c r="H3094" s="1" t="s">
        <v>17059</v>
      </c>
      <c r="I3094" s="1" t="s">
        <v>33306</v>
      </c>
      <c r="J3094" s="1" t="s">
        <v>33308</v>
      </c>
      <c r="K3094" s="1" t="s">
        <v>33308</v>
      </c>
      <c r="L3094" s="1" t="s">
        <v>33309</v>
      </c>
      <c r="M3094" s="1" t="s">
        <v>33310</v>
      </c>
      <c r="N3094" s="1" t="s">
        <v>33311</v>
      </c>
      <c r="O3094" s="1">
        <v>0.0</v>
      </c>
      <c r="P3094" s="1">
        <v>0.0</v>
      </c>
    </row>
    <row r="3095">
      <c r="A3095" s="1" t="s">
        <v>2137</v>
      </c>
      <c r="B3095" s="1">
        <v>2018.0</v>
      </c>
      <c r="C3095" s="1" t="s">
        <v>33313</v>
      </c>
      <c r="D3095" s="1" t="s">
        <v>33314</v>
      </c>
      <c r="E3095" s="2" t="s">
        <v>33315</v>
      </c>
      <c r="F3095" s="1">
        <v>619.0</v>
      </c>
      <c r="G3095" s="1">
        <v>629.0</v>
      </c>
      <c r="H3095" s="1" t="s">
        <v>17059</v>
      </c>
      <c r="I3095" s="1" t="s">
        <v>33319</v>
      </c>
      <c r="J3095" s="1" t="s">
        <v>33321</v>
      </c>
      <c r="K3095" s="1" t="s">
        <v>33321</v>
      </c>
      <c r="L3095" s="1" t="s">
        <v>33322</v>
      </c>
      <c r="M3095" s="1" t="s">
        <v>33323</v>
      </c>
      <c r="N3095" s="1" t="s">
        <v>33324</v>
      </c>
      <c r="O3095" s="1">
        <v>0.0</v>
      </c>
      <c r="P3095" s="1">
        <v>0.0</v>
      </c>
    </row>
    <row r="3096">
      <c r="A3096" s="1" t="s">
        <v>2137</v>
      </c>
      <c r="B3096" s="1">
        <v>2018.0</v>
      </c>
      <c r="C3096" s="1" t="s">
        <v>33327</v>
      </c>
      <c r="D3096" s="1" t="s">
        <v>33328</v>
      </c>
      <c r="E3096" s="2" t="s">
        <v>33329</v>
      </c>
      <c r="F3096" s="1">
        <v>608.0</v>
      </c>
      <c r="G3096" s="1">
        <v>618.0</v>
      </c>
      <c r="H3096" s="1" t="s">
        <v>17059</v>
      </c>
      <c r="I3096" s="1" t="s">
        <v>33334</v>
      </c>
      <c r="J3096" s="1" t="s">
        <v>33335</v>
      </c>
      <c r="K3096" s="1" t="s">
        <v>33335</v>
      </c>
      <c r="L3096" s="1" t="s">
        <v>34450</v>
      </c>
      <c r="M3096" s="1" t="s">
        <v>33336</v>
      </c>
      <c r="N3096" s="1" t="s">
        <v>33337</v>
      </c>
      <c r="O3096" s="1">
        <v>0.0</v>
      </c>
      <c r="P3096" s="1">
        <v>0.0</v>
      </c>
    </row>
    <row r="3097">
      <c r="A3097" s="1" t="s">
        <v>2137</v>
      </c>
      <c r="B3097" s="1">
        <v>2018.0</v>
      </c>
      <c r="C3097" s="1" t="s">
        <v>33339</v>
      </c>
      <c r="D3097" s="1" t="s">
        <v>33340</v>
      </c>
      <c r="E3097" s="2" t="s">
        <v>33342</v>
      </c>
      <c r="F3097" s="1">
        <v>726.0</v>
      </c>
      <c r="G3097" s="1">
        <v>736.0</v>
      </c>
      <c r="H3097" s="1" t="s">
        <v>17059</v>
      </c>
      <c r="I3097" s="1" t="s">
        <v>33347</v>
      </c>
      <c r="J3097" s="1" t="s">
        <v>33348</v>
      </c>
      <c r="K3097" s="1" t="s">
        <v>33348</v>
      </c>
      <c r="L3097" s="1" t="s">
        <v>33349</v>
      </c>
      <c r="M3097" s="1" t="s">
        <v>29236</v>
      </c>
      <c r="N3097" s="1" t="s">
        <v>33351</v>
      </c>
      <c r="O3097" s="1">
        <v>0.0</v>
      </c>
      <c r="P3097" s="1">
        <v>0.0</v>
      </c>
    </row>
    <row r="3098">
      <c r="A3098" s="1" t="s">
        <v>2137</v>
      </c>
      <c r="B3098" s="1">
        <v>2018.0</v>
      </c>
      <c r="C3098" s="1" t="s">
        <v>33352</v>
      </c>
      <c r="D3098" s="1" t="s">
        <v>33353</v>
      </c>
      <c r="E3098" s="2" t="s">
        <v>33355</v>
      </c>
      <c r="F3098" s="1">
        <v>438.0</v>
      </c>
      <c r="G3098" s="1">
        <v>448.0</v>
      </c>
      <c r="H3098" s="1" t="s">
        <v>17059</v>
      </c>
      <c r="I3098" s="1" t="s">
        <v>33361</v>
      </c>
      <c r="J3098" s="1" t="s">
        <v>33362</v>
      </c>
      <c r="K3098" s="1" t="s">
        <v>33362</v>
      </c>
      <c r="L3098" s="1" t="s">
        <v>33363</v>
      </c>
      <c r="M3098" s="1" t="s">
        <v>33364</v>
      </c>
      <c r="N3098" s="1" t="s">
        <v>33365</v>
      </c>
      <c r="O3098" s="1">
        <v>0.0</v>
      </c>
      <c r="P3098" s="1">
        <v>0.0</v>
      </c>
      <c r="Q3098" s="1" t="s">
        <v>106</v>
      </c>
    </row>
    <row r="3099">
      <c r="A3099" s="1" t="s">
        <v>2137</v>
      </c>
      <c r="B3099" s="1">
        <v>2018.0</v>
      </c>
      <c r="C3099" s="1" t="s">
        <v>33366</v>
      </c>
      <c r="D3099" s="1" t="s">
        <v>33367</v>
      </c>
      <c r="E3099" s="2" t="s">
        <v>33368</v>
      </c>
      <c r="F3099" s="1">
        <v>748.0</v>
      </c>
      <c r="G3099" s="1">
        <v>758.0</v>
      </c>
      <c r="H3099" s="1" t="s">
        <v>17059</v>
      </c>
      <c r="I3099" s="1" t="s">
        <v>33374</v>
      </c>
      <c r="J3099" s="1" t="s">
        <v>33375</v>
      </c>
      <c r="K3099" s="1" t="s">
        <v>33376</v>
      </c>
      <c r="L3099" s="1" t="s">
        <v>33378</v>
      </c>
      <c r="M3099" s="1" t="s">
        <v>33379</v>
      </c>
      <c r="N3099" s="1" t="s">
        <v>33380</v>
      </c>
      <c r="O3099" s="1">
        <v>0.0</v>
      </c>
      <c r="P3099" s="1">
        <v>0.0</v>
      </c>
    </row>
    <row r="3100">
      <c r="A3100" s="1" t="s">
        <v>2137</v>
      </c>
      <c r="B3100" s="1">
        <v>2018.0</v>
      </c>
      <c r="C3100" s="1" t="s">
        <v>33381</v>
      </c>
      <c r="D3100" s="1" t="s">
        <v>33382</v>
      </c>
      <c r="E3100" s="2" t="s">
        <v>33383</v>
      </c>
      <c r="F3100" s="1">
        <v>872.0</v>
      </c>
      <c r="G3100" s="1">
        <v>881.0</v>
      </c>
      <c r="H3100" s="1" t="s">
        <v>17059</v>
      </c>
      <c r="I3100" s="1" t="s">
        <v>35649</v>
      </c>
      <c r="J3100" s="1" t="s">
        <v>33453</v>
      </c>
      <c r="K3100" s="1" t="s">
        <v>33454</v>
      </c>
      <c r="L3100" s="1" t="s">
        <v>33456</v>
      </c>
      <c r="M3100" s="1" t="s">
        <v>33457</v>
      </c>
      <c r="N3100" s="1" t="s">
        <v>33458</v>
      </c>
      <c r="O3100" s="1">
        <v>0.0</v>
      </c>
      <c r="P3100" s="1">
        <v>0.0</v>
      </c>
    </row>
    <row r="3101">
      <c r="A3101" s="1" t="s">
        <v>2137</v>
      </c>
      <c r="B3101" s="1">
        <v>2018.0</v>
      </c>
      <c r="C3101" s="1" t="s">
        <v>33459</v>
      </c>
      <c r="D3101" s="1" t="s">
        <v>33460</v>
      </c>
      <c r="E3101" s="2" t="s">
        <v>33461</v>
      </c>
      <c r="F3101" s="1">
        <v>534.0</v>
      </c>
      <c r="G3101" s="1">
        <v>543.0</v>
      </c>
      <c r="H3101" s="1" t="s">
        <v>17059</v>
      </c>
      <c r="I3101" s="1" t="s">
        <v>33462</v>
      </c>
      <c r="J3101" s="1" t="s">
        <v>35657</v>
      </c>
      <c r="K3101" s="1" t="s">
        <v>35657</v>
      </c>
      <c r="L3101" s="1" t="s">
        <v>33464</v>
      </c>
      <c r="M3101" s="1" t="s">
        <v>33465</v>
      </c>
      <c r="N3101" s="1" t="s">
        <v>33466</v>
      </c>
      <c r="O3101" s="1">
        <v>0.0</v>
      </c>
      <c r="P3101" s="1">
        <v>0.0</v>
      </c>
    </row>
    <row r="3102">
      <c r="A3102" s="1" t="s">
        <v>2137</v>
      </c>
      <c r="B3102" s="1">
        <v>2018.0</v>
      </c>
      <c r="C3102" s="1" t="s">
        <v>33467</v>
      </c>
      <c r="D3102" s="1" t="s">
        <v>33468</v>
      </c>
      <c r="E3102" s="2" t="s">
        <v>33469</v>
      </c>
      <c r="F3102" s="1">
        <v>840.0</v>
      </c>
      <c r="G3102" s="1">
        <v>849.0</v>
      </c>
      <c r="H3102" s="1" t="s">
        <v>17059</v>
      </c>
      <c r="I3102" s="1" t="s">
        <v>33472</v>
      </c>
      <c r="J3102" s="1" t="s">
        <v>35666</v>
      </c>
      <c r="K3102" s="1" t="s">
        <v>35667</v>
      </c>
      <c r="L3102" s="1" t="s">
        <v>33475</v>
      </c>
      <c r="M3102" s="1" t="s">
        <v>33476</v>
      </c>
      <c r="N3102" s="1" t="s">
        <v>33477</v>
      </c>
      <c r="O3102" s="1">
        <v>0.0</v>
      </c>
      <c r="P3102" s="1">
        <v>0.0</v>
      </c>
    </row>
    <row r="3103">
      <c r="A3103" s="1" t="s">
        <v>120</v>
      </c>
      <c r="B3103" s="1">
        <v>2018.0</v>
      </c>
      <c r="C3103" s="1" t="s">
        <v>131</v>
      </c>
      <c r="D3103" s="1" t="s">
        <v>35668</v>
      </c>
      <c r="H3103" s="1" t="s">
        <v>28</v>
      </c>
      <c r="M3103" s="1" t="s">
        <v>133</v>
      </c>
    </row>
    <row r="3104">
      <c r="A3104" s="1" t="s">
        <v>120</v>
      </c>
      <c r="B3104" s="1">
        <v>2018.0</v>
      </c>
      <c r="C3104" s="1" t="s">
        <v>140</v>
      </c>
      <c r="D3104" s="1" t="s">
        <v>35672</v>
      </c>
      <c r="H3104" s="1" t="s">
        <v>28</v>
      </c>
      <c r="M3104" s="1" t="s">
        <v>142</v>
      </c>
    </row>
    <row r="3105">
      <c r="A3105" s="1" t="s">
        <v>120</v>
      </c>
      <c r="B3105" s="1">
        <v>2018.0</v>
      </c>
      <c r="C3105" s="1" t="s">
        <v>128</v>
      </c>
      <c r="D3105" s="1" t="s">
        <v>35682</v>
      </c>
      <c r="H3105" s="1" t="s">
        <v>28</v>
      </c>
      <c r="M3105" s="1" t="s">
        <v>130</v>
      </c>
    </row>
    <row r="3106">
      <c r="A3106" s="1" t="s">
        <v>120</v>
      </c>
      <c r="B3106" s="1">
        <v>2018.0</v>
      </c>
      <c r="C3106" s="1" t="s">
        <v>125</v>
      </c>
      <c r="D3106" s="1" t="s">
        <v>35701</v>
      </c>
      <c r="H3106" s="1" t="s">
        <v>28</v>
      </c>
      <c r="M3106" s="1" t="s">
        <v>127</v>
      </c>
    </row>
    <row r="3107">
      <c r="A3107" s="1" t="s">
        <v>120</v>
      </c>
      <c r="B3107" s="1">
        <v>2018.0</v>
      </c>
      <c r="C3107" s="1" t="s">
        <v>122</v>
      </c>
      <c r="D3107" s="1" t="s">
        <v>35702</v>
      </c>
      <c r="H3107" s="1" t="s">
        <v>28</v>
      </c>
      <c r="M3107" s="1" t="s">
        <v>124</v>
      </c>
    </row>
    <row r="3108">
      <c r="A3108" s="1" t="s">
        <v>120</v>
      </c>
      <c r="B3108" s="1">
        <v>2018.0</v>
      </c>
      <c r="C3108" s="1" t="s">
        <v>134</v>
      </c>
      <c r="D3108" s="1" t="s">
        <v>35706</v>
      </c>
      <c r="H3108" s="1" t="s">
        <v>28</v>
      </c>
      <c r="M3108" s="1" t="s">
        <v>136</v>
      </c>
    </row>
    <row r="3109">
      <c r="A3109" s="1" t="s">
        <v>120</v>
      </c>
      <c r="B3109" s="1">
        <v>2018.0</v>
      </c>
      <c r="C3109" s="1" t="s">
        <v>137</v>
      </c>
      <c r="D3109" s="1" t="s">
        <v>35707</v>
      </c>
      <c r="H3109" s="1" t="s">
        <v>28</v>
      </c>
      <c r="M3109" s="1" t="s">
        <v>139</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s>
  <drawing r:id="rId310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92.71"/>
    <col customWidth="1" min="10" max="10" width="26.57"/>
    <col customWidth="1" min="11" max="11" width="88.29"/>
  </cols>
  <sheetData>
    <row r="1" ht="31.5" customHeight="1">
      <c r="A1" s="3" t="s">
        <v>0</v>
      </c>
      <c r="B1" s="3" t="s">
        <v>1</v>
      </c>
      <c r="C1" s="5" t="s">
        <v>2</v>
      </c>
      <c r="D1" s="5" t="s">
        <v>3</v>
      </c>
      <c r="E1" s="6" t="s">
        <v>4</v>
      </c>
      <c r="F1" s="5" t="s">
        <v>5</v>
      </c>
      <c r="G1" s="5" t="s">
        <v>6</v>
      </c>
      <c r="H1" s="5" t="s">
        <v>7</v>
      </c>
      <c r="I1" s="6" t="s">
        <v>8</v>
      </c>
      <c r="J1" s="1" t="s">
        <v>9</v>
      </c>
      <c r="K1" s="8" t="s">
        <v>10</v>
      </c>
      <c r="L1" s="32" t="s">
        <v>11</v>
      </c>
      <c r="M1" s="9" t="s">
        <v>12</v>
      </c>
      <c r="N1" s="10" t="s">
        <v>13</v>
      </c>
      <c r="O1" s="12" t="s">
        <v>14</v>
      </c>
      <c r="P1" s="12" t="s">
        <v>15</v>
      </c>
      <c r="Q1" s="12" t="s">
        <v>16</v>
      </c>
      <c r="R1" s="13"/>
      <c r="S1" s="13"/>
      <c r="T1" s="13"/>
      <c r="U1" s="13"/>
      <c r="V1" s="13"/>
      <c r="W1" s="13"/>
      <c r="X1" s="13"/>
      <c r="Y1" s="13"/>
      <c r="Z1" s="13"/>
    </row>
    <row r="2">
      <c r="A2" s="1" t="s">
        <v>120</v>
      </c>
      <c r="B2" s="33" t="s">
        <v>121</v>
      </c>
      <c r="C2" s="1" t="s">
        <v>122</v>
      </c>
      <c r="E2" s="34"/>
      <c r="H2" s="1" t="s">
        <v>28</v>
      </c>
      <c r="I2" s="34"/>
      <c r="K2" s="35" t="s">
        <v>123</v>
      </c>
      <c r="L2" s="34"/>
      <c r="M2" s="1" t="s">
        <v>124</v>
      </c>
      <c r="N2" s="34"/>
    </row>
    <row r="3">
      <c r="A3" s="1" t="s">
        <v>120</v>
      </c>
      <c r="B3" s="33" t="s">
        <v>121</v>
      </c>
      <c r="C3" s="1" t="s">
        <v>125</v>
      </c>
      <c r="E3" s="34"/>
      <c r="H3" s="1" t="s">
        <v>28</v>
      </c>
      <c r="I3" s="34"/>
      <c r="K3" s="35" t="s">
        <v>126</v>
      </c>
      <c r="L3" s="34"/>
      <c r="M3" s="1" t="s">
        <v>127</v>
      </c>
      <c r="N3" s="34"/>
    </row>
    <row r="4">
      <c r="A4" s="1" t="s">
        <v>120</v>
      </c>
      <c r="B4" s="33" t="s">
        <v>121</v>
      </c>
      <c r="C4" s="1" t="s">
        <v>128</v>
      </c>
      <c r="E4" s="34"/>
      <c r="H4" s="1" t="s">
        <v>28</v>
      </c>
      <c r="I4" s="34"/>
      <c r="K4" s="35" t="s">
        <v>129</v>
      </c>
      <c r="L4" s="34"/>
      <c r="M4" s="1" t="s">
        <v>130</v>
      </c>
      <c r="N4" s="34"/>
    </row>
    <row r="5">
      <c r="A5" s="1" t="s">
        <v>120</v>
      </c>
      <c r="B5" s="33" t="s">
        <v>121</v>
      </c>
      <c r="C5" s="1" t="s">
        <v>131</v>
      </c>
      <c r="E5" s="34"/>
      <c r="H5" s="1" t="s">
        <v>28</v>
      </c>
      <c r="I5" s="34"/>
      <c r="K5" s="35" t="s">
        <v>132</v>
      </c>
      <c r="L5" s="34"/>
      <c r="M5" s="1" t="s">
        <v>133</v>
      </c>
      <c r="N5" s="34"/>
    </row>
    <row r="6">
      <c r="A6" s="1" t="s">
        <v>120</v>
      </c>
      <c r="B6" s="33" t="s">
        <v>121</v>
      </c>
      <c r="C6" s="1" t="s">
        <v>134</v>
      </c>
      <c r="E6" s="34"/>
      <c r="H6" s="1" t="s">
        <v>28</v>
      </c>
      <c r="I6" s="34"/>
      <c r="K6" s="35" t="s">
        <v>135</v>
      </c>
      <c r="L6" s="34"/>
      <c r="M6" s="1" t="s">
        <v>136</v>
      </c>
      <c r="N6" s="34"/>
    </row>
    <row r="7">
      <c r="A7" s="1" t="s">
        <v>120</v>
      </c>
      <c r="B7" s="33" t="s">
        <v>121</v>
      </c>
      <c r="C7" s="1" t="s">
        <v>137</v>
      </c>
      <c r="E7" s="34"/>
      <c r="H7" s="1" t="s">
        <v>28</v>
      </c>
      <c r="I7" s="34"/>
      <c r="K7" s="35" t="s">
        <v>138</v>
      </c>
      <c r="L7" s="34"/>
      <c r="M7" s="1" t="s">
        <v>139</v>
      </c>
      <c r="N7" s="34"/>
    </row>
    <row r="8">
      <c r="A8" s="1" t="s">
        <v>120</v>
      </c>
      <c r="B8" s="33" t="s">
        <v>121</v>
      </c>
      <c r="C8" s="1" t="s">
        <v>140</v>
      </c>
      <c r="E8" s="34"/>
      <c r="H8" s="1" t="s">
        <v>28</v>
      </c>
      <c r="I8" s="34"/>
      <c r="K8" s="35" t="s">
        <v>141</v>
      </c>
      <c r="L8" s="34"/>
      <c r="M8" s="1" t="s">
        <v>142</v>
      </c>
      <c r="N8" s="34"/>
    </row>
    <row r="9">
      <c r="B9" s="36"/>
      <c r="C9" s="37"/>
      <c r="D9" s="38"/>
      <c r="E9" s="38"/>
      <c r="F9" s="28"/>
      <c r="G9" s="28"/>
      <c r="I9" s="38"/>
      <c r="K9" s="38"/>
      <c r="L9" s="38"/>
      <c r="M9" s="38"/>
      <c r="N9" s="38"/>
      <c r="O9" s="28"/>
      <c r="P9" s="28"/>
    </row>
    <row r="10">
      <c r="B10" s="36"/>
      <c r="C10" s="39"/>
      <c r="D10" s="38"/>
      <c r="E10" s="38"/>
      <c r="F10" s="28"/>
      <c r="G10" s="28"/>
      <c r="I10" s="38"/>
      <c r="K10" s="38"/>
      <c r="L10" s="38"/>
      <c r="M10" s="38"/>
      <c r="N10" s="38"/>
      <c r="O10" s="28"/>
      <c r="P10" s="28"/>
    </row>
    <row r="11">
      <c r="B11" s="36"/>
      <c r="C11" s="39"/>
      <c r="D11" s="38"/>
      <c r="E11" s="38"/>
      <c r="F11" s="28"/>
      <c r="G11" s="28"/>
      <c r="I11" s="38"/>
      <c r="K11" s="38"/>
      <c r="L11" s="38"/>
      <c r="M11" s="38"/>
      <c r="N11" s="38"/>
      <c r="O11" s="28"/>
      <c r="P11" s="28"/>
    </row>
    <row r="12">
      <c r="B12" s="36"/>
      <c r="C12" s="39"/>
      <c r="D12" s="38"/>
      <c r="E12" s="38"/>
      <c r="F12" s="28"/>
      <c r="G12" s="28"/>
      <c r="I12" s="38"/>
      <c r="K12" s="38"/>
      <c r="L12" s="38"/>
      <c r="M12" s="38"/>
      <c r="N12" s="38"/>
      <c r="O12" s="28"/>
      <c r="P12" s="28"/>
    </row>
    <row r="13">
      <c r="B13" s="36"/>
      <c r="C13" s="39"/>
      <c r="D13" s="38"/>
      <c r="E13" s="38"/>
      <c r="F13" s="28"/>
      <c r="G13" s="28"/>
      <c r="I13" s="38"/>
      <c r="K13" s="38"/>
      <c r="L13" s="38"/>
      <c r="M13" s="38"/>
      <c r="N13" s="38"/>
      <c r="O13" s="28"/>
      <c r="P13" s="28"/>
    </row>
    <row r="14">
      <c r="B14" s="36"/>
      <c r="C14" s="39"/>
      <c r="D14" s="38"/>
      <c r="E14" s="38"/>
      <c r="F14" s="28"/>
      <c r="G14" s="28"/>
      <c r="I14" s="38"/>
      <c r="K14" s="38"/>
      <c r="L14" s="38"/>
      <c r="M14" s="38"/>
      <c r="N14" s="38"/>
      <c r="O14" s="28"/>
      <c r="P14" s="28"/>
    </row>
    <row r="15">
      <c r="B15" s="36"/>
      <c r="C15" s="39"/>
      <c r="D15" s="38"/>
      <c r="E15" s="38"/>
      <c r="F15" s="28"/>
      <c r="G15" s="28"/>
      <c r="I15" s="38"/>
      <c r="K15" s="38"/>
      <c r="L15" s="38"/>
      <c r="M15" s="38"/>
      <c r="N15" s="38"/>
      <c r="O15" s="28"/>
      <c r="P15" s="28"/>
    </row>
    <row r="16">
      <c r="B16" s="36"/>
      <c r="C16" s="39"/>
      <c r="D16" s="38"/>
      <c r="E16" s="38"/>
      <c r="F16" s="28"/>
      <c r="G16" s="28"/>
      <c r="I16" s="38"/>
      <c r="K16" s="38"/>
      <c r="L16" s="38"/>
      <c r="M16" s="40"/>
      <c r="N16" s="38"/>
      <c r="O16" s="28"/>
      <c r="P16" s="28"/>
    </row>
    <row r="17">
      <c r="B17" s="36"/>
      <c r="C17" s="39"/>
      <c r="D17" s="38"/>
      <c r="E17" s="38"/>
      <c r="F17" s="28"/>
      <c r="G17" s="28"/>
      <c r="I17" s="38"/>
      <c r="K17" s="38"/>
      <c r="L17" s="38"/>
      <c r="M17" s="40"/>
      <c r="N17" s="38"/>
      <c r="O17" s="28"/>
      <c r="P17" s="28"/>
    </row>
    <row r="18">
      <c r="B18" s="36"/>
      <c r="C18" s="39"/>
      <c r="D18" s="38"/>
      <c r="E18" s="38"/>
      <c r="F18" s="28"/>
      <c r="G18" s="28"/>
      <c r="I18" s="38"/>
      <c r="K18" s="38"/>
      <c r="L18" s="38"/>
      <c r="M18" s="38"/>
      <c r="N18" s="38"/>
      <c r="O18" s="28"/>
      <c r="P18" s="28"/>
    </row>
    <row r="19">
      <c r="B19" s="36"/>
      <c r="C19" s="39"/>
      <c r="D19" s="38"/>
      <c r="E19" s="38"/>
      <c r="F19" s="28"/>
      <c r="G19" s="28"/>
      <c r="I19" s="38"/>
      <c r="K19" s="38"/>
      <c r="L19" s="38"/>
      <c r="M19" s="38"/>
      <c r="N19" s="38"/>
      <c r="O19" s="28"/>
      <c r="P19" s="28"/>
    </row>
    <row r="20">
      <c r="B20" s="36"/>
      <c r="C20" s="39"/>
      <c r="D20" s="38"/>
      <c r="E20" s="38"/>
      <c r="F20" s="28"/>
      <c r="G20" s="28"/>
      <c r="I20" s="38"/>
      <c r="K20" s="38"/>
      <c r="L20" s="38"/>
      <c r="M20" s="38"/>
      <c r="N20" s="38"/>
      <c r="O20" s="28"/>
      <c r="P20" s="28"/>
    </row>
    <row r="21">
      <c r="B21" s="36"/>
      <c r="C21" s="39"/>
      <c r="D21" s="38"/>
      <c r="E21" s="38"/>
      <c r="F21" s="28"/>
      <c r="G21" s="28"/>
      <c r="I21" s="38"/>
      <c r="K21" s="38"/>
      <c r="L21" s="38"/>
      <c r="M21" s="38"/>
      <c r="N21" s="38"/>
      <c r="O21" s="28"/>
      <c r="P21" s="28"/>
    </row>
    <row r="22">
      <c r="B22" s="36"/>
      <c r="C22" s="39"/>
      <c r="D22" s="38"/>
      <c r="E22" s="38"/>
      <c r="F22" s="28"/>
      <c r="G22" s="28"/>
      <c r="I22" s="38"/>
      <c r="K22" s="38"/>
      <c r="L22" s="38"/>
      <c r="M22" s="40"/>
      <c r="N22" s="38"/>
      <c r="O22" s="28"/>
      <c r="P22" s="28"/>
    </row>
    <row r="23">
      <c r="B23" s="36"/>
      <c r="C23" s="41"/>
      <c r="D23" s="38"/>
      <c r="E23" s="38"/>
      <c r="F23" s="28"/>
      <c r="G23" s="28"/>
      <c r="I23" s="38"/>
      <c r="K23" s="38"/>
      <c r="L23" s="38"/>
      <c r="M23" s="38"/>
      <c r="N23" s="38"/>
      <c r="O23" s="28"/>
      <c r="P23" s="28"/>
    </row>
    <row r="24">
      <c r="N24" s="34"/>
    </row>
    <row r="25">
      <c r="N25" s="34"/>
    </row>
    <row r="26">
      <c r="N26" s="34"/>
    </row>
    <row r="27">
      <c r="N27" s="34"/>
    </row>
    <row r="28">
      <c r="N28" s="34"/>
    </row>
    <row r="29">
      <c r="N29" s="34"/>
    </row>
    <row r="30">
      <c r="N30" s="34"/>
    </row>
    <row r="31">
      <c r="N31" s="34"/>
    </row>
    <row r="32">
      <c r="N32" s="34"/>
    </row>
    <row r="33">
      <c r="N33" s="34"/>
    </row>
    <row r="34">
      <c r="N34" s="34"/>
    </row>
    <row r="35">
      <c r="N35" s="34"/>
    </row>
    <row r="36">
      <c r="N36" s="34"/>
    </row>
    <row r="37">
      <c r="N37" s="34"/>
    </row>
    <row r="38">
      <c r="N38" s="34"/>
    </row>
    <row r="39">
      <c r="N39" s="34"/>
    </row>
    <row r="40">
      <c r="N40" s="34"/>
    </row>
    <row r="41">
      <c r="N41" s="34"/>
    </row>
    <row r="42">
      <c r="N42" s="34"/>
    </row>
    <row r="43">
      <c r="N43" s="34"/>
    </row>
    <row r="44">
      <c r="N44" s="34"/>
    </row>
    <row r="45">
      <c r="N45" s="34"/>
    </row>
    <row r="46">
      <c r="N46" s="34"/>
    </row>
    <row r="47">
      <c r="N47" s="34"/>
    </row>
    <row r="48">
      <c r="N48" s="34"/>
    </row>
    <row r="49">
      <c r="N49" s="34"/>
    </row>
    <row r="50">
      <c r="N50" s="34"/>
    </row>
    <row r="51">
      <c r="N51" s="34"/>
    </row>
    <row r="52">
      <c r="N52" s="34"/>
    </row>
    <row r="53">
      <c r="N53" s="34"/>
    </row>
    <row r="54">
      <c r="N54" s="34"/>
    </row>
    <row r="55">
      <c r="N55" s="34"/>
    </row>
    <row r="56">
      <c r="N56" s="34"/>
    </row>
    <row r="57">
      <c r="N57" s="34"/>
    </row>
    <row r="58">
      <c r="N58" s="34"/>
    </row>
    <row r="59">
      <c r="N59" s="34"/>
    </row>
    <row r="60">
      <c r="N60" s="34"/>
    </row>
    <row r="61">
      <c r="N61" s="34"/>
    </row>
    <row r="62">
      <c r="N62" s="34"/>
    </row>
    <row r="63">
      <c r="N63" s="34"/>
    </row>
    <row r="64">
      <c r="N64" s="34"/>
    </row>
    <row r="65">
      <c r="N65" s="34"/>
    </row>
    <row r="66">
      <c r="N66" s="34"/>
    </row>
    <row r="67">
      <c r="N67" s="34"/>
    </row>
    <row r="68">
      <c r="N68" s="34"/>
    </row>
    <row r="69">
      <c r="N69" s="34"/>
    </row>
    <row r="70">
      <c r="N70" s="34"/>
    </row>
    <row r="71">
      <c r="N71" s="34"/>
    </row>
    <row r="72">
      <c r="N72" s="34"/>
    </row>
    <row r="73">
      <c r="N73" s="34"/>
    </row>
    <row r="74">
      <c r="N74" s="34"/>
    </row>
    <row r="75">
      <c r="N75" s="34"/>
    </row>
    <row r="76">
      <c r="N76" s="34"/>
    </row>
    <row r="77">
      <c r="N77" s="34"/>
    </row>
    <row r="78">
      <c r="N78" s="34"/>
    </row>
    <row r="79">
      <c r="N79" s="34"/>
    </row>
    <row r="80">
      <c r="N80" s="34"/>
    </row>
    <row r="81">
      <c r="N81" s="34"/>
    </row>
    <row r="82">
      <c r="N82" s="34"/>
    </row>
    <row r="83">
      <c r="N83" s="34"/>
    </row>
    <row r="84">
      <c r="N84" s="34"/>
    </row>
    <row r="85">
      <c r="N85" s="34"/>
    </row>
    <row r="86">
      <c r="N86" s="34"/>
    </row>
    <row r="87">
      <c r="N87" s="34"/>
    </row>
    <row r="88">
      <c r="N88" s="34"/>
    </row>
    <row r="89">
      <c r="N89" s="34"/>
    </row>
    <row r="90">
      <c r="N90" s="34"/>
    </row>
    <row r="91">
      <c r="N91" s="34"/>
    </row>
    <row r="92">
      <c r="N92" s="34"/>
    </row>
    <row r="93">
      <c r="N93" s="34"/>
    </row>
    <row r="94">
      <c r="N94" s="34"/>
    </row>
    <row r="95">
      <c r="N95" s="34"/>
    </row>
    <row r="96">
      <c r="N96" s="34"/>
    </row>
    <row r="97">
      <c r="N97" s="34"/>
    </row>
    <row r="98">
      <c r="N98" s="34"/>
    </row>
    <row r="99">
      <c r="N99" s="34"/>
    </row>
    <row r="100">
      <c r="N100" s="34"/>
    </row>
    <row r="101">
      <c r="N101" s="34"/>
    </row>
    <row r="102">
      <c r="N102" s="34"/>
    </row>
    <row r="103">
      <c r="N103" s="34"/>
    </row>
    <row r="104">
      <c r="N104" s="34"/>
    </row>
    <row r="105">
      <c r="N105" s="34"/>
    </row>
    <row r="106">
      <c r="N106" s="34"/>
    </row>
    <row r="107">
      <c r="N107" s="34"/>
    </row>
    <row r="108">
      <c r="N108" s="34"/>
    </row>
    <row r="109">
      <c r="N109" s="34"/>
    </row>
    <row r="110">
      <c r="N110" s="34"/>
    </row>
    <row r="111">
      <c r="N111" s="34"/>
    </row>
    <row r="112">
      <c r="N112" s="34"/>
    </row>
    <row r="113">
      <c r="N113" s="34"/>
    </row>
    <row r="114">
      <c r="N114" s="34"/>
    </row>
    <row r="115">
      <c r="N115" s="34"/>
    </row>
    <row r="116">
      <c r="N116" s="34"/>
    </row>
    <row r="117">
      <c r="N117" s="34"/>
    </row>
    <row r="118">
      <c r="N118" s="34"/>
    </row>
    <row r="119">
      <c r="N119" s="34"/>
    </row>
    <row r="120">
      <c r="N120" s="34"/>
    </row>
    <row r="121">
      <c r="N121" s="34"/>
    </row>
    <row r="122">
      <c r="N122" s="34"/>
    </row>
    <row r="123">
      <c r="N123" s="34"/>
    </row>
    <row r="124">
      <c r="N124" s="34"/>
    </row>
    <row r="125">
      <c r="N125" s="34"/>
    </row>
    <row r="126">
      <c r="N126" s="34"/>
    </row>
    <row r="127">
      <c r="N127" s="34"/>
    </row>
    <row r="128">
      <c r="N128" s="34"/>
    </row>
    <row r="129">
      <c r="N129" s="34"/>
    </row>
    <row r="130">
      <c r="N130" s="34"/>
    </row>
    <row r="131">
      <c r="N131" s="34"/>
    </row>
    <row r="132">
      <c r="N132" s="34"/>
    </row>
    <row r="133">
      <c r="N133" s="34"/>
    </row>
    <row r="134">
      <c r="N134" s="34"/>
    </row>
    <row r="135">
      <c r="N135" s="34"/>
    </row>
    <row r="136">
      <c r="N136" s="34"/>
    </row>
    <row r="137">
      <c r="N137" s="34"/>
    </row>
    <row r="138">
      <c r="N138" s="34"/>
    </row>
    <row r="139">
      <c r="N139" s="34"/>
    </row>
    <row r="140">
      <c r="N140" s="34"/>
    </row>
    <row r="141">
      <c r="N141" s="34"/>
    </row>
    <row r="142">
      <c r="N142" s="34"/>
    </row>
    <row r="143">
      <c r="N143" s="34"/>
    </row>
    <row r="144">
      <c r="N144" s="34"/>
    </row>
    <row r="145">
      <c r="N145" s="34"/>
    </row>
    <row r="146">
      <c r="N146" s="34"/>
    </row>
    <row r="147">
      <c r="N147" s="34"/>
    </row>
    <row r="148">
      <c r="N148" s="34"/>
    </row>
    <row r="149">
      <c r="N149" s="34"/>
    </row>
    <row r="150">
      <c r="N150" s="34"/>
    </row>
    <row r="151">
      <c r="N151" s="34"/>
    </row>
    <row r="152">
      <c r="N152" s="34"/>
    </row>
    <row r="153">
      <c r="N153" s="34"/>
    </row>
    <row r="154">
      <c r="N154" s="34"/>
    </row>
    <row r="155">
      <c r="N155" s="34"/>
    </row>
    <row r="156">
      <c r="N156" s="34"/>
    </row>
    <row r="157">
      <c r="N157" s="34"/>
    </row>
    <row r="158">
      <c r="N158" s="34"/>
    </row>
    <row r="159">
      <c r="N159" s="34"/>
    </row>
    <row r="160">
      <c r="N160" s="34"/>
    </row>
    <row r="161">
      <c r="N161" s="34"/>
    </row>
    <row r="162">
      <c r="N162" s="34"/>
    </row>
    <row r="163">
      <c r="N163" s="34"/>
    </row>
    <row r="164">
      <c r="N164" s="34"/>
    </row>
    <row r="165">
      <c r="N165" s="34"/>
    </row>
    <row r="166">
      <c r="N166" s="34"/>
    </row>
    <row r="167">
      <c r="N167" s="34"/>
    </row>
    <row r="168">
      <c r="N168" s="34"/>
    </row>
    <row r="169">
      <c r="N169" s="34"/>
    </row>
    <row r="170">
      <c r="N170" s="34"/>
    </row>
    <row r="171">
      <c r="N171" s="34"/>
    </row>
    <row r="172">
      <c r="N172" s="34"/>
    </row>
    <row r="173">
      <c r="N173" s="34"/>
    </row>
    <row r="174">
      <c r="N174" s="34"/>
    </row>
    <row r="175">
      <c r="N175" s="34"/>
    </row>
    <row r="176">
      <c r="N176" s="34"/>
    </row>
    <row r="177">
      <c r="N177" s="34"/>
    </row>
    <row r="178">
      <c r="N178" s="34"/>
    </row>
    <row r="179">
      <c r="N179" s="34"/>
    </row>
    <row r="180">
      <c r="N180" s="34"/>
    </row>
    <row r="181">
      <c r="N181" s="34"/>
    </row>
    <row r="182">
      <c r="N182" s="34"/>
    </row>
    <row r="183">
      <c r="N183" s="34"/>
    </row>
    <row r="184">
      <c r="N184" s="34"/>
    </row>
    <row r="185">
      <c r="N185" s="34"/>
    </row>
    <row r="186">
      <c r="N186" s="34"/>
    </row>
    <row r="187">
      <c r="N187" s="34"/>
    </row>
    <row r="188">
      <c r="N188" s="34"/>
    </row>
    <row r="189">
      <c r="N189" s="34"/>
    </row>
    <row r="190">
      <c r="N190" s="34"/>
    </row>
    <row r="191">
      <c r="N191" s="34"/>
    </row>
    <row r="192">
      <c r="N192" s="34"/>
    </row>
    <row r="193">
      <c r="N193" s="34"/>
    </row>
    <row r="194">
      <c r="N194" s="34"/>
    </row>
    <row r="195">
      <c r="N195" s="34"/>
    </row>
    <row r="196">
      <c r="N196" s="34"/>
    </row>
    <row r="197">
      <c r="N197" s="34"/>
    </row>
    <row r="198">
      <c r="N198" s="34"/>
    </row>
    <row r="199">
      <c r="N199" s="34"/>
    </row>
    <row r="200">
      <c r="N200" s="34"/>
    </row>
    <row r="201">
      <c r="N201" s="34"/>
    </row>
    <row r="202">
      <c r="N202" s="34"/>
    </row>
    <row r="203">
      <c r="N203" s="34"/>
    </row>
    <row r="204">
      <c r="N204" s="34"/>
    </row>
    <row r="205">
      <c r="N205" s="34"/>
    </row>
    <row r="206">
      <c r="N206" s="34"/>
    </row>
    <row r="207">
      <c r="N207" s="34"/>
    </row>
    <row r="208">
      <c r="N208" s="34"/>
    </row>
    <row r="209">
      <c r="N209" s="34"/>
    </row>
    <row r="210">
      <c r="N210" s="34"/>
    </row>
    <row r="211">
      <c r="N211" s="34"/>
    </row>
    <row r="212">
      <c r="N212" s="34"/>
    </row>
    <row r="213">
      <c r="N213" s="34"/>
    </row>
    <row r="214">
      <c r="N214" s="34"/>
    </row>
    <row r="215">
      <c r="N215" s="34"/>
    </row>
    <row r="216">
      <c r="N216" s="34"/>
    </row>
    <row r="217">
      <c r="N217" s="34"/>
    </row>
    <row r="218">
      <c r="N218" s="34"/>
    </row>
    <row r="219">
      <c r="N219" s="34"/>
    </row>
    <row r="220">
      <c r="N220" s="34"/>
    </row>
    <row r="221">
      <c r="N221" s="34"/>
    </row>
    <row r="222">
      <c r="N222" s="34"/>
    </row>
    <row r="223">
      <c r="N223" s="34"/>
    </row>
    <row r="224">
      <c r="N224" s="34"/>
    </row>
    <row r="225">
      <c r="N225" s="34"/>
    </row>
    <row r="226">
      <c r="N226" s="34"/>
    </row>
    <row r="227">
      <c r="N227" s="34"/>
    </row>
    <row r="228">
      <c r="N228" s="34"/>
    </row>
    <row r="229">
      <c r="N229" s="34"/>
    </row>
    <row r="230">
      <c r="N230" s="34"/>
    </row>
    <row r="231">
      <c r="N231" s="34"/>
    </row>
    <row r="232">
      <c r="N232" s="34"/>
    </row>
    <row r="233">
      <c r="N233" s="34"/>
    </row>
    <row r="234">
      <c r="N234" s="34"/>
    </row>
    <row r="235">
      <c r="N235" s="34"/>
    </row>
    <row r="236">
      <c r="N236" s="34"/>
    </row>
    <row r="237">
      <c r="N237" s="34"/>
    </row>
    <row r="238">
      <c r="N238" s="34"/>
    </row>
    <row r="239">
      <c r="N239" s="34"/>
    </row>
    <row r="240">
      <c r="N240" s="34"/>
    </row>
    <row r="241">
      <c r="N241" s="34"/>
    </row>
    <row r="242">
      <c r="N242" s="34"/>
    </row>
    <row r="243">
      <c r="N243" s="34"/>
    </row>
    <row r="244">
      <c r="N244" s="34"/>
    </row>
    <row r="245">
      <c r="N245" s="34"/>
    </row>
    <row r="246">
      <c r="N246" s="34"/>
    </row>
    <row r="247">
      <c r="N247" s="34"/>
    </row>
    <row r="248">
      <c r="N248" s="34"/>
    </row>
    <row r="249">
      <c r="N249" s="34"/>
    </row>
    <row r="250">
      <c r="N250" s="34"/>
    </row>
    <row r="251">
      <c r="N251" s="34"/>
    </row>
    <row r="252">
      <c r="N252" s="34"/>
    </row>
    <row r="253">
      <c r="N253" s="34"/>
    </row>
    <row r="254">
      <c r="N254" s="34"/>
    </row>
    <row r="255">
      <c r="N255" s="34"/>
    </row>
    <row r="256">
      <c r="N256" s="34"/>
    </row>
    <row r="257">
      <c r="N257" s="34"/>
    </row>
    <row r="258">
      <c r="N258" s="34"/>
    </row>
    <row r="259">
      <c r="N259" s="34"/>
    </row>
    <row r="260">
      <c r="N260" s="34"/>
    </row>
    <row r="261">
      <c r="N261" s="34"/>
    </row>
    <row r="262">
      <c r="N262" s="34"/>
    </row>
    <row r="263">
      <c r="N263" s="34"/>
    </row>
    <row r="264">
      <c r="N264" s="34"/>
    </row>
    <row r="265">
      <c r="N265" s="34"/>
    </row>
    <row r="266">
      <c r="N266" s="34"/>
    </row>
    <row r="267">
      <c r="N267" s="34"/>
    </row>
    <row r="268">
      <c r="N268" s="34"/>
    </row>
    <row r="269">
      <c r="N269" s="34"/>
    </row>
    <row r="270">
      <c r="N270" s="34"/>
    </row>
    <row r="271">
      <c r="N271" s="34"/>
    </row>
    <row r="272">
      <c r="N272" s="34"/>
    </row>
    <row r="273">
      <c r="N273" s="34"/>
    </row>
    <row r="274">
      <c r="N274" s="34"/>
    </row>
    <row r="275">
      <c r="N275" s="34"/>
    </row>
    <row r="276">
      <c r="N276" s="34"/>
    </row>
    <row r="277">
      <c r="N277" s="34"/>
    </row>
    <row r="278">
      <c r="N278" s="34"/>
    </row>
    <row r="279">
      <c r="N279" s="34"/>
    </row>
    <row r="280">
      <c r="N280" s="34"/>
    </row>
    <row r="281">
      <c r="N281" s="34"/>
    </row>
    <row r="282">
      <c r="N282" s="34"/>
    </row>
    <row r="283">
      <c r="N283" s="34"/>
    </row>
    <row r="284">
      <c r="N284" s="34"/>
    </row>
    <row r="285">
      <c r="N285" s="34"/>
    </row>
    <row r="286">
      <c r="N286" s="34"/>
    </row>
    <row r="287">
      <c r="N287" s="34"/>
    </row>
    <row r="288">
      <c r="N288" s="34"/>
    </row>
    <row r="289">
      <c r="N289" s="34"/>
    </row>
    <row r="290">
      <c r="N290" s="34"/>
    </row>
    <row r="291">
      <c r="N291" s="34"/>
    </row>
    <row r="292">
      <c r="N292" s="34"/>
    </row>
    <row r="293">
      <c r="N293" s="34"/>
    </row>
    <row r="294">
      <c r="N294" s="34"/>
    </row>
    <row r="295">
      <c r="N295" s="34"/>
    </row>
    <row r="296">
      <c r="N296" s="34"/>
    </row>
    <row r="297">
      <c r="N297" s="34"/>
    </row>
    <row r="298">
      <c r="N298" s="34"/>
    </row>
    <row r="299">
      <c r="N299" s="34"/>
    </row>
    <row r="300">
      <c r="N300" s="34"/>
    </row>
    <row r="301">
      <c r="N301" s="34"/>
    </row>
    <row r="302">
      <c r="N302" s="34"/>
    </row>
    <row r="303">
      <c r="N303" s="34"/>
    </row>
    <row r="304">
      <c r="N304" s="34"/>
    </row>
    <row r="305">
      <c r="N305" s="34"/>
    </row>
    <row r="306">
      <c r="N306" s="34"/>
    </row>
    <row r="307">
      <c r="N307" s="34"/>
    </row>
    <row r="308">
      <c r="N308" s="34"/>
    </row>
    <row r="309">
      <c r="N309" s="34"/>
    </row>
    <row r="310">
      <c r="N310" s="34"/>
    </row>
    <row r="311">
      <c r="N311" s="34"/>
    </row>
    <row r="312">
      <c r="N312" s="34"/>
    </row>
    <row r="313">
      <c r="N313" s="34"/>
    </row>
    <row r="314">
      <c r="N314" s="34"/>
    </row>
    <row r="315">
      <c r="N315" s="34"/>
    </row>
    <row r="316">
      <c r="N316" s="34"/>
    </row>
    <row r="317">
      <c r="N317" s="34"/>
    </row>
    <row r="318">
      <c r="N318" s="34"/>
    </row>
    <row r="319">
      <c r="N319" s="34"/>
    </row>
    <row r="320">
      <c r="N320" s="34"/>
    </row>
    <row r="321">
      <c r="N321" s="34"/>
    </row>
    <row r="322">
      <c r="N322" s="34"/>
    </row>
    <row r="323">
      <c r="N323" s="34"/>
    </row>
    <row r="324">
      <c r="N324" s="34"/>
    </row>
    <row r="325">
      <c r="N325" s="34"/>
    </row>
    <row r="326">
      <c r="N326" s="34"/>
    </row>
    <row r="327">
      <c r="N327" s="34"/>
    </row>
    <row r="328">
      <c r="N328" s="34"/>
    </row>
    <row r="329">
      <c r="N329" s="34"/>
    </row>
    <row r="330">
      <c r="N330" s="34"/>
    </row>
    <row r="331">
      <c r="N331" s="34"/>
    </row>
    <row r="332">
      <c r="N332" s="34"/>
    </row>
    <row r="333">
      <c r="N333" s="34"/>
    </row>
    <row r="334">
      <c r="N334" s="34"/>
    </row>
    <row r="335">
      <c r="N335" s="34"/>
    </row>
    <row r="336">
      <c r="N336" s="34"/>
    </row>
    <row r="337">
      <c r="N337" s="34"/>
    </row>
    <row r="338">
      <c r="N338" s="34"/>
    </row>
    <row r="339">
      <c r="N339" s="34"/>
    </row>
    <row r="340">
      <c r="N340" s="34"/>
    </row>
    <row r="341">
      <c r="N341" s="34"/>
    </row>
    <row r="342">
      <c r="N342" s="34"/>
    </row>
    <row r="343">
      <c r="N343" s="34"/>
    </row>
    <row r="344">
      <c r="N344" s="34"/>
    </row>
    <row r="345">
      <c r="N345" s="34"/>
    </row>
    <row r="346">
      <c r="N346" s="34"/>
    </row>
    <row r="347">
      <c r="N347" s="34"/>
    </row>
    <row r="348">
      <c r="N348" s="34"/>
    </row>
    <row r="349">
      <c r="N349" s="34"/>
    </row>
    <row r="350">
      <c r="N350" s="34"/>
    </row>
    <row r="351">
      <c r="N351" s="34"/>
    </row>
    <row r="352">
      <c r="N352" s="34"/>
    </row>
    <row r="353">
      <c r="N353" s="34"/>
    </row>
    <row r="354">
      <c r="N354" s="34"/>
    </row>
    <row r="355">
      <c r="N355" s="34"/>
    </row>
    <row r="356">
      <c r="N356" s="34"/>
    </row>
    <row r="357">
      <c r="N357" s="34"/>
    </row>
    <row r="358">
      <c r="N358" s="34"/>
    </row>
    <row r="359">
      <c r="N359" s="34"/>
    </row>
    <row r="360">
      <c r="N360" s="34"/>
    </row>
    <row r="361">
      <c r="N361" s="34"/>
    </row>
    <row r="362">
      <c r="N362" s="34"/>
    </row>
    <row r="363">
      <c r="N363" s="34"/>
    </row>
    <row r="364">
      <c r="N364" s="34"/>
    </row>
    <row r="365">
      <c r="N365" s="34"/>
    </row>
    <row r="366">
      <c r="N366" s="34"/>
    </row>
    <row r="367">
      <c r="N367" s="34"/>
    </row>
    <row r="368">
      <c r="N368" s="34"/>
    </row>
    <row r="369">
      <c r="N369" s="34"/>
    </row>
    <row r="370">
      <c r="N370" s="34"/>
    </row>
    <row r="371">
      <c r="N371" s="34"/>
    </row>
    <row r="372">
      <c r="N372" s="34"/>
    </row>
    <row r="373">
      <c r="N373" s="34"/>
    </row>
    <row r="374">
      <c r="N374" s="34"/>
    </row>
    <row r="375">
      <c r="N375" s="34"/>
    </row>
    <row r="376">
      <c r="N376" s="34"/>
    </row>
    <row r="377">
      <c r="N377" s="34"/>
    </row>
    <row r="378">
      <c r="N378" s="34"/>
    </row>
    <row r="379">
      <c r="N379" s="34"/>
    </row>
    <row r="380">
      <c r="N380" s="34"/>
    </row>
    <row r="381">
      <c r="N381" s="34"/>
    </row>
    <row r="382">
      <c r="N382" s="34"/>
    </row>
    <row r="383">
      <c r="N383" s="34"/>
    </row>
    <row r="384">
      <c r="N384" s="34"/>
    </row>
    <row r="385">
      <c r="N385" s="34"/>
    </row>
    <row r="386">
      <c r="N386" s="34"/>
    </row>
    <row r="387">
      <c r="N387" s="34"/>
    </row>
    <row r="388">
      <c r="N388" s="34"/>
    </row>
    <row r="389">
      <c r="N389" s="34"/>
    </row>
    <row r="390">
      <c r="N390" s="34"/>
    </row>
    <row r="391">
      <c r="N391" s="34"/>
    </row>
    <row r="392">
      <c r="N392" s="34"/>
    </row>
    <row r="393">
      <c r="N393" s="34"/>
    </row>
    <row r="394">
      <c r="N394" s="34"/>
    </row>
    <row r="395">
      <c r="N395" s="34"/>
    </row>
    <row r="396">
      <c r="N396" s="34"/>
    </row>
    <row r="397">
      <c r="N397" s="34"/>
    </row>
    <row r="398">
      <c r="N398" s="34"/>
    </row>
    <row r="399">
      <c r="N399" s="34"/>
    </row>
    <row r="400">
      <c r="N400" s="34"/>
    </row>
    <row r="401">
      <c r="N401" s="34"/>
    </row>
    <row r="402">
      <c r="N402" s="34"/>
    </row>
    <row r="403">
      <c r="N403" s="34"/>
    </row>
    <row r="404">
      <c r="N404" s="34"/>
    </row>
    <row r="405">
      <c r="N405" s="34"/>
    </row>
    <row r="406">
      <c r="N406" s="34"/>
    </row>
    <row r="407">
      <c r="N407" s="34"/>
    </row>
    <row r="408">
      <c r="N408" s="34"/>
    </row>
    <row r="409">
      <c r="N409" s="34"/>
    </row>
    <row r="410">
      <c r="N410" s="34"/>
    </row>
    <row r="411">
      <c r="N411" s="34"/>
    </row>
    <row r="412">
      <c r="N412" s="34"/>
    </row>
    <row r="413">
      <c r="N413" s="34"/>
    </row>
    <row r="414">
      <c r="N414" s="34"/>
    </row>
    <row r="415">
      <c r="N415" s="34"/>
    </row>
    <row r="416">
      <c r="N416" s="34"/>
    </row>
    <row r="417">
      <c r="N417" s="34"/>
    </row>
    <row r="418">
      <c r="N418" s="34"/>
    </row>
    <row r="419">
      <c r="N419" s="34"/>
    </row>
    <row r="420">
      <c r="N420" s="34"/>
    </row>
    <row r="421">
      <c r="N421" s="34"/>
    </row>
    <row r="422">
      <c r="N422" s="34"/>
    </row>
    <row r="423">
      <c r="N423" s="34"/>
    </row>
    <row r="424">
      <c r="N424" s="34"/>
    </row>
    <row r="425">
      <c r="N425" s="34"/>
    </row>
    <row r="426">
      <c r="N426" s="34"/>
    </row>
    <row r="427">
      <c r="N427" s="34"/>
    </row>
    <row r="428">
      <c r="N428" s="34"/>
    </row>
    <row r="429">
      <c r="N429" s="34"/>
    </row>
    <row r="430">
      <c r="N430" s="34"/>
    </row>
    <row r="431">
      <c r="N431" s="34"/>
    </row>
    <row r="432">
      <c r="N432" s="34"/>
    </row>
    <row r="433">
      <c r="N433" s="34"/>
    </row>
    <row r="434">
      <c r="N434" s="34"/>
    </row>
    <row r="435">
      <c r="N435" s="34"/>
    </row>
    <row r="436">
      <c r="N436" s="34"/>
    </row>
    <row r="437">
      <c r="N437" s="34"/>
    </row>
    <row r="438">
      <c r="N438" s="34"/>
    </row>
    <row r="439">
      <c r="N439" s="34"/>
    </row>
    <row r="440">
      <c r="N440" s="34"/>
    </row>
    <row r="441">
      <c r="N441" s="34"/>
    </row>
    <row r="442">
      <c r="N442" s="34"/>
    </row>
    <row r="443">
      <c r="N443" s="34"/>
    </row>
    <row r="444">
      <c r="N444" s="34"/>
    </row>
    <row r="445">
      <c r="N445" s="34"/>
    </row>
    <row r="446">
      <c r="N446" s="34"/>
    </row>
    <row r="447">
      <c r="N447" s="34"/>
    </row>
    <row r="448">
      <c r="N448" s="34"/>
    </row>
    <row r="449">
      <c r="N449" s="34"/>
    </row>
    <row r="450">
      <c r="N450" s="34"/>
    </row>
    <row r="451">
      <c r="N451" s="34"/>
    </row>
    <row r="452">
      <c r="N452" s="34"/>
    </row>
    <row r="453">
      <c r="N453" s="34"/>
    </row>
    <row r="454">
      <c r="N454" s="34"/>
    </row>
    <row r="455">
      <c r="N455" s="34"/>
    </row>
    <row r="456">
      <c r="N456" s="34"/>
    </row>
    <row r="457">
      <c r="N457" s="34"/>
    </row>
    <row r="458">
      <c r="N458" s="34"/>
    </row>
    <row r="459">
      <c r="N459" s="34"/>
    </row>
    <row r="460">
      <c r="N460" s="34"/>
    </row>
    <row r="461">
      <c r="N461" s="34"/>
    </row>
    <row r="462">
      <c r="N462" s="34"/>
    </row>
    <row r="463">
      <c r="N463" s="34"/>
    </row>
    <row r="464">
      <c r="N464" s="34"/>
    </row>
    <row r="465">
      <c r="N465" s="34"/>
    </row>
    <row r="466">
      <c r="N466" s="34"/>
    </row>
    <row r="467">
      <c r="N467" s="34"/>
    </row>
    <row r="468">
      <c r="N468" s="34"/>
    </row>
    <row r="469">
      <c r="N469" s="34"/>
    </row>
    <row r="470">
      <c r="N470" s="34"/>
    </row>
    <row r="471">
      <c r="N471" s="34"/>
    </row>
    <row r="472">
      <c r="N472" s="34"/>
    </row>
    <row r="473">
      <c r="N473" s="34"/>
    </row>
    <row r="474">
      <c r="N474" s="34"/>
    </row>
    <row r="475">
      <c r="N475" s="34"/>
    </row>
    <row r="476">
      <c r="N476" s="34"/>
    </row>
    <row r="477">
      <c r="N477" s="34"/>
    </row>
    <row r="478">
      <c r="N478" s="34"/>
    </row>
    <row r="479">
      <c r="N479" s="34"/>
    </row>
    <row r="480">
      <c r="N480" s="34"/>
    </row>
    <row r="481">
      <c r="N481" s="34"/>
    </row>
    <row r="482">
      <c r="N482" s="34"/>
    </row>
    <row r="483">
      <c r="N483" s="34"/>
    </row>
    <row r="484">
      <c r="N484" s="34"/>
    </row>
    <row r="485">
      <c r="N485" s="34"/>
    </row>
    <row r="486">
      <c r="N486" s="34"/>
    </row>
    <row r="487">
      <c r="N487" s="34"/>
    </row>
    <row r="488">
      <c r="N488" s="34"/>
    </row>
    <row r="489">
      <c r="N489" s="34"/>
    </row>
    <row r="490">
      <c r="N490" s="34"/>
    </row>
    <row r="491">
      <c r="N491" s="34"/>
    </row>
    <row r="492">
      <c r="N492" s="34"/>
    </row>
    <row r="493">
      <c r="N493" s="34"/>
    </row>
    <row r="494">
      <c r="N494" s="34"/>
    </row>
    <row r="495">
      <c r="N495" s="34"/>
    </row>
    <row r="496">
      <c r="N496" s="34"/>
    </row>
    <row r="497">
      <c r="N497" s="34"/>
    </row>
    <row r="498">
      <c r="N498" s="34"/>
    </row>
    <row r="499">
      <c r="N499" s="34"/>
    </row>
    <row r="500">
      <c r="N500" s="34"/>
    </row>
    <row r="501">
      <c r="N501" s="34"/>
    </row>
    <row r="502">
      <c r="N502" s="34"/>
    </row>
    <row r="503">
      <c r="N503" s="34"/>
    </row>
    <row r="504">
      <c r="N504" s="34"/>
    </row>
    <row r="505">
      <c r="N505" s="34"/>
    </row>
    <row r="506">
      <c r="N506" s="34"/>
    </row>
    <row r="507">
      <c r="N507" s="34"/>
    </row>
    <row r="508">
      <c r="N508" s="34"/>
    </row>
    <row r="509">
      <c r="N509" s="34"/>
    </row>
    <row r="510">
      <c r="N510" s="34"/>
    </row>
    <row r="511">
      <c r="N511" s="34"/>
    </row>
    <row r="512">
      <c r="N512" s="34"/>
    </row>
    <row r="513">
      <c r="N513" s="34"/>
    </row>
    <row r="514">
      <c r="N514" s="34"/>
    </row>
    <row r="515">
      <c r="N515" s="34"/>
    </row>
    <row r="516">
      <c r="N516" s="34"/>
    </row>
    <row r="517">
      <c r="N517" s="34"/>
    </row>
    <row r="518">
      <c r="N518" s="34"/>
    </row>
    <row r="519">
      <c r="N519" s="34"/>
    </row>
    <row r="520">
      <c r="N520" s="34"/>
    </row>
    <row r="521">
      <c r="N521" s="34"/>
    </row>
    <row r="522">
      <c r="N522" s="34"/>
    </row>
    <row r="523">
      <c r="N523" s="34"/>
    </row>
    <row r="524">
      <c r="N524" s="34"/>
    </row>
    <row r="525">
      <c r="N525" s="34"/>
    </row>
    <row r="526">
      <c r="N526" s="34"/>
    </row>
    <row r="527">
      <c r="N527" s="34"/>
    </row>
    <row r="528">
      <c r="N528" s="34"/>
    </row>
    <row r="529">
      <c r="N529" s="34"/>
    </row>
    <row r="530">
      <c r="N530" s="34"/>
    </row>
    <row r="531">
      <c r="N531" s="34"/>
    </row>
    <row r="532">
      <c r="N532" s="34"/>
    </row>
    <row r="533">
      <c r="N533" s="34"/>
    </row>
    <row r="534">
      <c r="N534" s="34"/>
    </row>
    <row r="535">
      <c r="N535" s="34"/>
    </row>
    <row r="536">
      <c r="N536" s="34"/>
    </row>
    <row r="537">
      <c r="N537" s="34"/>
    </row>
    <row r="538">
      <c r="N538" s="34"/>
    </row>
    <row r="539">
      <c r="N539" s="34"/>
    </row>
    <row r="540">
      <c r="N540" s="34"/>
    </row>
    <row r="541">
      <c r="N541" s="34"/>
    </row>
    <row r="542">
      <c r="N542" s="34"/>
    </row>
    <row r="543">
      <c r="N543" s="34"/>
    </row>
    <row r="544">
      <c r="N544" s="34"/>
    </row>
    <row r="545">
      <c r="N545" s="34"/>
    </row>
    <row r="546">
      <c r="N546" s="34"/>
    </row>
    <row r="547">
      <c r="N547" s="34"/>
    </row>
    <row r="548">
      <c r="N548" s="34"/>
    </row>
    <row r="549">
      <c r="N549" s="34"/>
    </row>
    <row r="550">
      <c r="N550" s="34"/>
    </row>
    <row r="551">
      <c r="N551" s="34"/>
    </row>
    <row r="552">
      <c r="N552" s="34"/>
    </row>
    <row r="553">
      <c r="N553" s="34"/>
    </row>
    <row r="554">
      <c r="N554" s="34"/>
    </row>
    <row r="555">
      <c r="N555" s="34"/>
    </row>
    <row r="556">
      <c r="N556" s="34"/>
    </row>
    <row r="557">
      <c r="N557" s="34"/>
    </row>
    <row r="558">
      <c r="N558" s="34"/>
    </row>
    <row r="559">
      <c r="N559" s="34"/>
    </row>
    <row r="560">
      <c r="N560" s="34"/>
    </row>
    <row r="561">
      <c r="N561" s="34"/>
    </row>
    <row r="562">
      <c r="N562" s="34"/>
    </row>
    <row r="563">
      <c r="N563" s="34"/>
    </row>
    <row r="564">
      <c r="N564" s="34"/>
    </row>
    <row r="565">
      <c r="N565" s="34"/>
    </row>
    <row r="566">
      <c r="N566" s="34"/>
    </row>
    <row r="567">
      <c r="N567" s="34"/>
    </row>
    <row r="568">
      <c r="N568" s="34"/>
    </row>
    <row r="569">
      <c r="N569" s="34"/>
    </row>
    <row r="570">
      <c r="N570" s="34"/>
    </row>
    <row r="571">
      <c r="N571" s="34"/>
    </row>
    <row r="572">
      <c r="N572" s="34"/>
    </row>
    <row r="573">
      <c r="N573" s="34"/>
    </row>
    <row r="574">
      <c r="N574" s="34"/>
    </row>
    <row r="575">
      <c r="N575" s="34"/>
    </row>
    <row r="576">
      <c r="N576" s="34"/>
    </row>
    <row r="577">
      <c r="N577" s="34"/>
    </row>
    <row r="578">
      <c r="N578" s="34"/>
    </row>
    <row r="579">
      <c r="N579" s="34"/>
    </row>
    <row r="580">
      <c r="N580" s="34"/>
    </row>
    <row r="581">
      <c r="N581" s="34"/>
    </row>
    <row r="582">
      <c r="N582" s="34"/>
    </row>
    <row r="583">
      <c r="N583" s="34"/>
    </row>
    <row r="584">
      <c r="N584" s="34"/>
    </row>
    <row r="585">
      <c r="N585" s="34"/>
    </row>
    <row r="586">
      <c r="N586" s="34"/>
    </row>
    <row r="587">
      <c r="N587" s="34"/>
    </row>
    <row r="588">
      <c r="N588" s="34"/>
    </row>
    <row r="589">
      <c r="N589" s="34"/>
    </row>
    <row r="590">
      <c r="N590" s="34"/>
    </row>
    <row r="591">
      <c r="N591" s="34"/>
    </row>
    <row r="592">
      <c r="N592" s="34"/>
    </row>
    <row r="593">
      <c r="N593" s="34"/>
    </row>
    <row r="594">
      <c r="N594" s="34"/>
    </row>
    <row r="595">
      <c r="N595" s="34"/>
    </row>
    <row r="596">
      <c r="N596" s="34"/>
    </row>
    <row r="597">
      <c r="N597" s="34"/>
    </row>
    <row r="598">
      <c r="N598" s="34"/>
    </row>
    <row r="599">
      <c r="N599" s="34"/>
    </row>
    <row r="600">
      <c r="N600" s="34"/>
    </row>
    <row r="601">
      <c r="N601" s="34"/>
    </row>
    <row r="602">
      <c r="N602" s="34"/>
    </row>
    <row r="603">
      <c r="N603" s="34"/>
    </row>
    <row r="604">
      <c r="N604" s="34"/>
    </row>
    <row r="605">
      <c r="N605" s="34"/>
    </row>
    <row r="606">
      <c r="N606" s="34"/>
    </row>
    <row r="607">
      <c r="N607" s="34"/>
    </row>
    <row r="608">
      <c r="N608" s="34"/>
    </row>
    <row r="609">
      <c r="N609" s="34"/>
    </row>
    <row r="610">
      <c r="N610" s="34"/>
    </row>
    <row r="611">
      <c r="N611" s="34"/>
    </row>
    <row r="612">
      <c r="N612" s="34"/>
    </row>
    <row r="613">
      <c r="N613" s="34"/>
    </row>
    <row r="614">
      <c r="N614" s="34"/>
    </row>
    <row r="615">
      <c r="N615" s="34"/>
    </row>
    <row r="616">
      <c r="N616" s="34"/>
    </row>
    <row r="617">
      <c r="N617" s="34"/>
    </row>
    <row r="618">
      <c r="N618" s="34"/>
    </row>
    <row r="619">
      <c r="N619" s="34"/>
    </row>
    <row r="620">
      <c r="N620" s="34"/>
    </row>
    <row r="621">
      <c r="N621" s="34"/>
    </row>
    <row r="622">
      <c r="N622" s="34"/>
    </row>
    <row r="623">
      <c r="N623" s="34"/>
    </row>
    <row r="624">
      <c r="N624" s="34"/>
    </row>
    <row r="625">
      <c r="N625" s="34"/>
    </row>
    <row r="626">
      <c r="N626" s="34"/>
    </row>
    <row r="627">
      <c r="N627" s="34"/>
    </row>
    <row r="628">
      <c r="N628" s="34"/>
    </row>
    <row r="629">
      <c r="N629" s="34"/>
    </row>
    <row r="630">
      <c r="N630" s="34"/>
    </row>
    <row r="631">
      <c r="N631" s="34"/>
    </row>
    <row r="632">
      <c r="N632" s="34"/>
    </row>
    <row r="633">
      <c r="N633" s="34"/>
    </row>
    <row r="634">
      <c r="N634" s="34"/>
    </row>
    <row r="635">
      <c r="N635" s="34"/>
    </row>
    <row r="636">
      <c r="N636" s="34"/>
    </row>
    <row r="637">
      <c r="N637" s="34"/>
    </row>
    <row r="638">
      <c r="N638" s="34"/>
    </row>
    <row r="639">
      <c r="N639" s="34"/>
    </row>
    <row r="640">
      <c r="N640" s="34"/>
    </row>
    <row r="641">
      <c r="N641" s="34"/>
    </row>
    <row r="642">
      <c r="N642" s="34"/>
    </row>
    <row r="643">
      <c r="N643" s="34"/>
    </row>
    <row r="644">
      <c r="N644" s="34"/>
    </row>
    <row r="645">
      <c r="N645" s="34"/>
    </row>
    <row r="646">
      <c r="N646" s="34"/>
    </row>
    <row r="647">
      <c r="N647" s="34"/>
    </row>
    <row r="648">
      <c r="N648" s="34"/>
    </row>
    <row r="649">
      <c r="N649" s="34"/>
    </row>
    <row r="650">
      <c r="N650" s="34"/>
    </row>
    <row r="651">
      <c r="N651" s="34"/>
    </row>
    <row r="652">
      <c r="N652" s="34"/>
    </row>
    <row r="653">
      <c r="N653" s="34"/>
    </row>
    <row r="654">
      <c r="N654" s="34"/>
    </row>
    <row r="655">
      <c r="N655" s="34"/>
    </row>
    <row r="656">
      <c r="N656" s="34"/>
    </row>
    <row r="657">
      <c r="N657" s="34"/>
    </row>
    <row r="658">
      <c r="N658" s="34"/>
    </row>
    <row r="659">
      <c r="N659" s="34"/>
    </row>
    <row r="660">
      <c r="N660" s="34"/>
    </row>
    <row r="661">
      <c r="N661" s="34"/>
    </row>
    <row r="662">
      <c r="N662" s="34"/>
    </row>
    <row r="663">
      <c r="N663" s="34"/>
    </row>
    <row r="664">
      <c r="N664" s="34"/>
    </row>
    <row r="665">
      <c r="N665" s="34"/>
    </row>
    <row r="666">
      <c r="N666" s="34"/>
    </row>
    <row r="667">
      <c r="N667" s="34"/>
    </row>
    <row r="668">
      <c r="N668" s="34"/>
    </row>
    <row r="669">
      <c r="N669" s="34"/>
    </row>
    <row r="670">
      <c r="N670" s="34"/>
    </row>
    <row r="671">
      <c r="N671" s="34"/>
    </row>
    <row r="672">
      <c r="N672" s="34"/>
    </row>
    <row r="673">
      <c r="N673" s="34"/>
    </row>
    <row r="674">
      <c r="N674" s="34"/>
    </row>
    <row r="675">
      <c r="N675" s="34"/>
    </row>
    <row r="676">
      <c r="N676" s="34"/>
    </row>
    <row r="677">
      <c r="N677" s="34"/>
    </row>
    <row r="678">
      <c r="N678" s="34"/>
    </row>
    <row r="679">
      <c r="N679" s="34"/>
    </row>
    <row r="680">
      <c r="N680" s="34"/>
    </row>
    <row r="681">
      <c r="N681" s="34"/>
    </row>
    <row r="682">
      <c r="N682" s="34"/>
    </row>
    <row r="683">
      <c r="N683" s="34"/>
    </row>
    <row r="684">
      <c r="N684" s="34"/>
    </row>
    <row r="685">
      <c r="N685" s="34"/>
    </row>
    <row r="686">
      <c r="N686" s="34"/>
    </row>
    <row r="687">
      <c r="N687" s="34"/>
    </row>
    <row r="688">
      <c r="N688" s="34"/>
    </row>
    <row r="689">
      <c r="N689" s="34"/>
    </row>
    <row r="690">
      <c r="N690" s="34"/>
    </row>
    <row r="691">
      <c r="N691" s="34"/>
    </row>
    <row r="692">
      <c r="N692" s="34"/>
    </row>
    <row r="693">
      <c r="N693" s="34"/>
    </row>
    <row r="694">
      <c r="N694" s="34"/>
    </row>
    <row r="695">
      <c r="N695" s="34"/>
    </row>
    <row r="696">
      <c r="N696" s="34"/>
    </row>
    <row r="697">
      <c r="N697" s="34"/>
    </row>
    <row r="698">
      <c r="N698" s="34"/>
    </row>
    <row r="699">
      <c r="N699" s="34"/>
    </row>
    <row r="700">
      <c r="N700" s="34"/>
    </row>
    <row r="701">
      <c r="N701" s="34"/>
    </row>
    <row r="702">
      <c r="N702" s="34"/>
    </row>
    <row r="703">
      <c r="N703" s="34"/>
    </row>
    <row r="704">
      <c r="N704" s="34"/>
    </row>
    <row r="705">
      <c r="N705" s="34"/>
    </row>
    <row r="706">
      <c r="N706" s="34"/>
    </row>
    <row r="707">
      <c r="N707" s="34"/>
    </row>
    <row r="708">
      <c r="N708" s="34"/>
    </row>
    <row r="709">
      <c r="N709" s="34"/>
    </row>
    <row r="710">
      <c r="N710" s="34"/>
    </row>
    <row r="711">
      <c r="N711" s="34"/>
    </row>
    <row r="712">
      <c r="N712" s="34"/>
    </row>
    <row r="713">
      <c r="N713" s="34"/>
    </row>
    <row r="714">
      <c r="N714" s="34"/>
    </row>
    <row r="715">
      <c r="N715" s="34"/>
    </row>
    <row r="716">
      <c r="N716" s="34"/>
    </row>
    <row r="717">
      <c r="N717" s="34"/>
    </row>
    <row r="718">
      <c r="N718" s="34"/>
    </row>
    <row r="719">
      <c r="N719" s="34"/>
    </row>
    <row r="720">
      <c r="N720" s="34"/>
    </row>
    <row r="721">
      <c r="N721" s="34"/>
    </row>
    <row r="722">
      <c r="N722" s="34"/>
    </row>
    <row r="723">
      <c r="N723" s="34"/>
    </row>
    <row r="724">
      <c r="N724" s="34"/>
    </row>
    <row r="725">
      <c r="N725" s="34"/>
    </row>
    <row r="726">
      <c r="N726" s="34"/>
    </row>
    <row r="727">
      <c r="N727" s="34"/>
    </row>
    <row r="728">
      <c r="N728" s="34"/>
    </row>
    <row r="729">
      <c r="N729" s="34"/>
    </row>
    <row r="730">
      <c r="N730" s="34"/>
    </row>
    <row r="731">
      <c r="N731" s="34"/>
    </row>
    <row r="732">
      <c r="N732" s="34"/>
    </row>
    <row r="733">
      <c r="N733" s="34"/>
    </row>
    <row r="734">
      <c r="N734" s="34"/>
    </row>
    <row r="735">
      <c r="N735" s="34"/>
    </row>
    <row r="736">
      <c r="N736" s="34"/>
    </row>
    <row r="737">
      <c r="N737" s="34"/>
    </row>
    <row r="738">
      <c r="N738" s="34"/>
    </row>
    <row r="739">
      <c r="N739" s="34"/>
    </row>
    <row r="740">
      <c r="N740" s="34"/>
    </row>
    <row r="741">
      <c r="N741" s="34"/>
    </row>
    <row r="742">
      <c r="N742" s="34"/>
    </row>
    <row r="743">
      <c r="N743" s="34"/>
    </row>
    <row r="744">
      <c r="N744" s="34"/>
    </row>
    <row r="745">
      <c r="N745" s="34"/>
    </row>
    <row r="746">
      <c r="N746" s="34"/>
    </row>
    <row r="747">
      <c r="N747" s="34"/>
    </row>
    <row r="748">
      <c r="N748" s="34"/>
    </row>
    <row r="749">
      <c r="N749" s="34"/>
    </row>
    <row r="750">
      <c r="N750" s="34"/>
    </row>
    <row r="751">
      <c r="N751" s="34"/>
    </row>
    <row r="752">
      <c r="N752" s="34"/>
    </row>
    <row r="753">
      <c r="N753" s="34"/>
    </row>
    <row r="754">
      <c r="N754" s="34"/>
    </row>
    <row r="755">
      <c r="N755" s="34"/>
    </row>
    <row r="756">
      <c r="N756" s="34"/>
    </row>
    <row r="757">
      <c r="N757" s="34"/>
    </row>
    <row r="758">
      <c r="N758" s="34"/>
    </row>
    <row r="759">
      <c r="N759" s="34"/>
    </row>
    <row r="760">
      <c r="N760" s="34"/>
    </row>
    <row r="761">
      <c r="N761" s="34"/>
    </row>
    <row r="762">
      <c r="N762" s="34"/>
    </row>
    <row r="763">
      <c r="N763" s="34"/>
    </row>
    <row r="764">
      <c r="N764" s="34"/>
    </row>
    <row r="765">
      <c r="N765" s="34"/>
    </row>
    <row r="766">
      <c r="N766" s="34"/>
    </row>
    <row r="767">
      <c r="N767" s="34"/>
    </row>
    <row r="768">
      <c r="N768" s="34"/>
    </row>
    <row r="769">
      <c r="N769" s="34"/>
    </row>
    <row r="770">
      <c r="N770" s="34"/>
    </row>
    <row r="771">
      <c r="N771" s="34"/>
    </row>
    <row r="772">
      <c r="N772" s="34"/>
    </row>
    <row r="773">
      <c r="N773" s="34"/>
    </row>
    <row r="774">
      <c r="N774" s="34"/>
    </row>
    <row r="775">
      <c r="N775" s="34"/>
    </row>
    <row r="776">
      <c r="N776" s="34"/>
    </row>
    <row r="777">
      <c r="N777" s="34"/>
    </row>
    <row r="778">
      <c r="N778" s="34"/>
    </row>
    <row r="779">
      <c r="N779" s="34"/>
    </row>
    <row r="780">
      <c r="N780" s="34"/>
    </row>
    <row r="781">
      <c r="N781" s="34"/>
    </row>
    <row r="782">
      <c r="N782" s="34"/>
    </row>
    <row r="783">
      <c r="N783" s="34"/>
    </row>
    <row r="784">
      <c r="N784" s="34"/>
    </row>
    <row r="785">
      <c r="N785" s="34"/>
    </row>
    <row r="786">
      <c r="N786" s="34"/>
    </row>
    <row r="787">
      <c r="N787" s="34"/>
    </row>
    <row r="788">
      <c r="N788" s="34"/>
    </row>
    <row r="789">
      <c r="N789" s="34"/>
    </row>
    <row r="790">
      <c r="N790" s="34"/>
    </row>
    <row r="791">
      <c r="N791" s="34"/>
    </row>
    <row r="792">
      <c r="N792" s="34"/>
    </row>
    <row r="793">
      <c r="N793" s="34"/>
    </row>
    <row r="794">
      <c r="N794" s="34"/>
    </row>
    <row r="795">
      <c r="N795" s="34"/>
    </row>
    <row r="796">
      <c r="N796" s="34"/>
    </row>
    <row r="797">
      <c r="N797" s="34"/>
    </row>
    <row r="798">
      <c r="N798" s="34"/>
    </row>
    <row r="799">
      <c r="N799" s="34"/>
    </row>
    <row r="800">
      <c r="N800" s="34"/>
    </row>
    <row r="801">
      <c r="N801" s="34"/>
    </row>
    <row r="802">
      <c r="N802" s="34"/>
    </row>
    <row r="803">
      <c r="N803" s="34"/>
    </row>
    <row r="804">
      <c r="N804" s="34"/>
    </row>
    <row r="805">
      <c r="N805" s="34"/>
    </row>
    <row r="806">
      <c r="N806" s="34"/>
    </row>
    <row r="807">
      <c r="N807" s="34"/>
    </row>
    <row r="808">
      <c r="N808" s="34"/>
    </row>
    <row r="809">
      <c r="N809" s="34"/>
    </row>
    <row r="810">
      <c r="N810" s="34"/>
    </row>
    <row r="811">
      <c r="N811" s="34"/>
    </row>
    <row r="812">
      <c r="N812" s="34"/>
    </row>
    <row r="813">
      <c r="N813" s="34"/>
    </row>
    <row r="814">
      <c r="N814" s="34"/>
    </row>
    <row r="815">
      <c r="N815" s="34"/>
    </row>
    <row r="816">
      <c r="N816" s="34"/>
    </row>
    <row r="817">
      <c r="N817" s="34"/>
    </row>
    <row r="818">
      <c r="N818" s="34"/>
    </row>
    <row r="819">
      <c r="N819" s="34"/>
    </row>
    <row r="820">
      <c r="N820" s="34"/>
    </row>
    <row r="821">
      <c r="N821" s="34"/>
    </row>
    <row r="822">
      <c r="N822" s="34"/>
    </row>
    <row r="823">
      <c r="N823" s="34"/>
    </row>
    <row r="824">
      <c r="N824" s="34"/>
    </row>
    <row r="825">
      <c r="N825" s="34"/>
    </row>
    <row r="826">
      <c r="N826" s="34"/>
    </row>
    <row r="827">
      <c r="N827" s="34"/>
    </row>
    <row r="828">
      <c r="N828" s="34"/>
    </row>
    <row r="829">
      <c r="N829" s="34"/>
    </row>
    <row r="830">
      <c r="N830" s="34"/>
    </row>
    <row r="831">
      <c r="N831" s="34"/>
    </row>
    <row r="832">
      <c r="N832" s="34"/>
    </row>
    <row r="833">
      <c r="N833" s="34"/>
    </row>
    <row r="834">
      <c r="N834" s="34"/>
    </row>
    <row r="835">
      <c r="N835" s="34"/>
    </row>
    <row r="836">
      <c r="N836" s="34"/>
    </row>
    <row r="837">
      <c r="N837" s="34"/>
    </row>
    <row r="838">
      <c r="N838" s="34"/>
    </row>
    <row r="839">
      <c r="N839" s="34"/>
    </row>
    <row r="840">
      <c r="N840" s="34"/>
    </row>
    <row r="841">
      <c r="N841" s="34"/>
    </row>
    <row r="842">
      <c r="N842" s="34"/>
    </row>
    <row r="843">
      <c r="N843" s="34"/>
    </row>
    <row r="844">
      <c r="N844" s="34"/>
    </row>
    <row r="845">
      <c r="N845" s="34"/>
    </row>
    <row r="846">
      <c r="N846" s="34"/>
    </row>
    <row r="847">
      <c r="N847" s="34"/>
    </row>
    <row r="848">
      <c r="N848" s="34"/>
    </row>
    <row r="849">
      <c r="N849" s="34"/>
    </row>
    <row r="850">
      <c r="N850" s="34"/>
    </row>
    <row r="851">
      <c r="N851" s="34"/>
    </row>
    <row r="852">
      <c r="N852" s="34"/>
    </row>
    <row r="853">
      <c r="N853" s="34"/>
    </row>
    <row r="854">
      <c r="N854" s="34"/>
    </row>
    <row r="855">
      <c r="N855" s="34"/>
    </row>
    <row r="856">
      <c r="N856" s="34"/>
    </row>
    <row r="857">
      <c r="N857" s="34"/>
    </row>
    <row r="858">
      <c r="N858" s="34"/>
    </row>
    <row r="859">
      <c r="N859" s="34"/>
    </row>
    <row r="860">
      <c r="N860" s="34"/>
    </row>
    <row r="861">
      <c r="N861" s="34"/>
    </row>
    <row r="862">
      <c r="N862" s="34"/>
    </row>
    <row r="863">
      <c r="N863" s="34"/>
    </row>
    <row r="864">
      <c r="N864" s="34"/>
    </row>
    <row r="865">
      <c r="N865" s="34"/>
    </row>
    <row r="866">
      <c r="N866" s="34"/>
    </row>
    <row r="867">
      <c r="N867" s="34"/>
    </row>
    <row r="868">
      <c r="N868" s="34"/>
    </row>
    <row r="869">
      <c r="N869" s="34"/>
    </row>
    <row r="870">
      <c r="N870" s="34"/>
    </row>
    <row r="871">
      <c r="N871" s="34"/>
    </row>
    <row r="872">
      <c r="N872" s="34"/>
    </row>
    <row r="873">
      <c r="N873" s="34"/>
    </row>
    <row r="874">
      <c r="N874" s="34"/>
    </row>
    <row r="875">
      <c r="N875" s="34"/>
    </row>
    <row r="876">
      <c r="N876" s="34"/>
    </row>
    <row r="877">
      <c r="N877" s="34"/>
    </row>
    <row r="878">
      <c r="N878" s="34"/>
    </row>
    <row r="879">
      <c r="N879" s="34"/>
    </row>
    <row r="880">
      <c r="N880" s="34"/>
    </row>
    <row r="881">
      <c r="N881" s="34"/>
    </row>
    <row r="882">
      <c r="N882" s="34"/>
    </row>
    <row r="883">
      <c r="N883" s="34"/>
    </row>
    <row r="884">
      <c r="N884" s="34"/>
    </row>
    <row r="885">
      <c r="N885" s="34"/>
    </row>
    <row r="886">
      <c r="N886" s="34"/>
    </row>
    <row r="887">
      <c r="N887" s="34"/>
    </row>
    <row r="888">
      <c r="N888" s="34"/>
    </row>
    <row r="889">
      <c r="N889" s="34"/>
    </row>
    <row r="890">
      <c r="N890" s="34"/>
    </row>
    <row r="891">
      <c r="N891" s="34"/>
    </row>
    <row r="892">
      <c r="N892" s="34"/>
    </row>
    <row r="893">
      <c r="N893" s="34"/>
    </row>
    <row r="894">
      <c r="N894" s="34"/>
    </row>
    <row r="895">
      <c r="N895" s="34"/>
    </row>
    <row r="896">
      <c r="N896" s="34"/>
    </row>
    <row r="897">
      <c r="N897" s="34"/>
    </row>
    <row r="898">
      <c r="N898" s="34"/>
    </row>
    <row r="899">
      <c r="N899" s="34"/>
    </row>
    <row r="900">
      <c r="N900" s="34"/>
    </row>
    <row r="901">
      <c r="N901" s="34"/>
    </row>
    <row r="902">
      <c r="N902" s="34"/>
    </row>
    <row r="903">
      <c r="N903" s="34"/>
    </row>
    <row r="904">
      <c r="N904" s="34"/>
    </row>
    <row r="905">
      <c r="N905" s="34"/>
    </row>
    <row r="906">
      <c r="N906" s="34"/>
    </row>
    <row r="907">
      <c r="N907" s="34"/>
    </row>
    <row r="908">
      <c r="N908" s="34"/>
    </row>
    <row r="909">
      <c r="N909" s="34"/>
    </row>
    <row r="910">
      <c r="N910" s="34"/>
    </row>
    <row r="911">
      <c r="N911" s="34"/>
    </row>
    <row r="912">
      <c r="N912" s="34"/>
    </row>
    <row r="913">
      <c r="N913" s="34"/>
    </row>
    <row r="914">
      <c r="N914" s="34"/>
    </row>
    <row r="915">
      <c r="N915" s="34"/>
    </row>
    <row r="916">
      <c r="N916" s="34"/>
    </row>
    <row r="917">
      <c r="N917" s="34"/>
    </row>
    <row r="918">
      <c r="N918" s="34"/>
    </row>
    <row r="919">
      <c r="N919" s="34"/>
    </row>
    <row r="920">
      <c r="N920" s="34"/>
    </row>
    <row r="921">
      <c r="N921" s="34"/>
    </row>
    <row r="922">
      <c r="N922" s="34"/>
    </row>
    <row r="923">
      <c r="N923" s="34"/>
    </row>
    <row r="924">
      <c r="N924" s="34"/>
    </row>
    <row r="925">
      <c r="N925" s="34"/>
    </row>
    <row r="926">
      <c r="N926" s="34"/>
    </row>
    <row r="927">
      <c r="N927" s="34"/>
    </row>
    <row r="928">
      <c r="N928" s="34"/>
    </row>
    <row r="929">
      <c r="N929" s="34"/>
    </row>
    <row r="930">
      <c r="N930" s="34"/>
    </row>
    <row r="931">
      <c r="N931" s="34"/>
    </row>
    <row r="932">
      <c r="N932" s="34"/>
    </row>
    <row r="933">
      <c r="N933" s="34"/>
    </row>
    <row r="934">
      <c r="N934" s="34"/>
    </row>
    <row r="935">
      <c r="N935" s="34"/>
    </row>
    <row r="936">
      <c r="N936" s="34"/>
    </row>
    <row r="937">
      <c r="N937" s="34"/>
    </row>
    <row r="938">
      <c r="N938" s="34"/>
    </row>
    <row r="939">
      <c r="N939" s="34"/>
    </row>
    <row r="940">
      <c r="N940" s="34"/>
    </row>
    <row r="941">
      <c r="N941" s="34"/>
    </row>
    <row r="942">
      <c r="N942" s="34"/>
    </row>
    <row r="943">
      <c r="N943" s="34"/>
    </row>
    <row r="944">
      <c r="N944" s="34"/>
    </row>
    <row r="945">
      <c r="N945" s="34"/>
    </row>
    <row r="946">
      <c r="N946" s="34"/>
    </row>
    <row r="947">
      <c r="N947" s="34"/>
    </row>
    <row r="948">
      <c r="N948" s="34"/>
    </row>
    <row r="949">
      <c r="N949" s="34"/>
    </row>
    <row r="950">
      <c r="N950" s="34"/>
    </row>
    <row r="951">
      <c r="N951" s="34"/>
    </row>
    <row r="952">
      <c r="N952" s="34"/>
    </row>
    <row r="953">
      <c r="N953" s="34"/>
    </row>
    <row r="954">
      <c r="N954" s="34"/>
    </row>
    <row r="955">
      <c r="N955" s="34"/>
    </row>
    <row r="956">
      <c r="N956" s="34"/>
    </row>
    <row r="957">
      <c r="N957" s="34"/>
    </row>
    <row r="958">
      <c r="N958" s="34"/>
    </row>
    <row r="959">
      <c r="N959" s="34"/>
    </row>
    <row r="960">
      <c r="N960" s="34"/>
    </row>
    <row r="961">
      <c r="N961" s="34"/>
    </row>
    <row r="962">
      <c r="N962" s="34"/>
    </row>
    <row r="963">
      <c r="N963" s="34"/>
    </row>
    <row r="964">
      <c r="N964" s="34"/>
    </row>
    <row r="965">
      <c r="N965" s="34"/>
    </row>
    <row r="966">
      <c r="N966" s="34"/>
    </row>
    <row r="967">
      <c r="N967" s="34"/>
    </row>
    <row r="968">
      <c r="N968" s="34"/>
    </row>
    <row r="969">
      <c r="N969" s="34"/>
    </row>
    <row r="970">
      <c r="N970" s="34"/>
    </row>
    <row r="971">
      <c r="N971" s="34"/>
    </row>
    <row r="972">
      <c r="N972" s="34"/>
    </row>
    <row r="973">
      <c r="N973" s="34"/>
    </row>
    <row r="974">
      <c r="N974" s="34"/>
    </row>
    <row r="975">
      <c r="N975" s="34"/>
    </row>
    <row r="976">
      <c r="N976" s="34"/>
    </row>
    <row r="977">
      <c r="N977" s="34"/>
    </row>
    <row r="978">
      <c r="N978" s="34"/>
    </row>
    <row r="979">
      <c r="N979" s="34"/>
    </row>
    <row r="980">
      <c r="N980" s="34"/>
    </row>
    <row r="981">
      <c r="N981" s="34"/>
    </row>
    <row r="982">
      <c r="N982" s="34"/>
    </row>
    <row r="983">
      <c r="N983" s="34"/>
    </row>
    <row r="984">
      <c r="N984" s="34"/>
    </row>
    <row r="985">
      <c r="N985" s="34"/>
    </row>
    <row r="986">
      <c r="N986" s="34"/>
    </row>
    <row r="987">
      <c r="N987" s="34"/>
    </row>
    <row r="988">
      <c r="N988" s="34"/>
    </row>
    <row r="989">
      <c r="N989" s="34"/>
    </row>
    <row r="990">
      <c r="N990" s="34"/>
    </row>
    <row r="991">
      <c r="N991" s="34"/>
    </row>
    <row r="992">
      <c r="N992" s="34"/>
    </row>
    <row r="993">
      <c r="N993" s="34"/>
    </row>
    <row r="994">
      <c r="N994" s="34"/>
    </row>
    <row r="995">
      <c r="N995" s="34"/>
    </row>
    <row r="996">
      <c r="N996" s="34"/>
    </row>
    <row r="997">
      <c r="N997" s="34"/>
    </row>
    <row r="998">
      <c r="N998" s="34"/>
    </row>
    <row r="999">
      <c r="N999" s="34"/>
    </row>
    <row r="1000">
      <c r="N1000" s="34"/>
    </row>
    <row r="1001">
      <c r="N1001" s="34"/>
    </row>
    <row r="1002">
      <c r="N1002" s="34"/>
    </row>
    <row r="1003">
      <c r="N1003" s="34"/>
    </row>
    <row r="1004">
      <c r="N1004" s="34"/>
    </row>
    <row r="1005">
      <c r="N1005" s="34"/>
    </row>
    <row r="1006">
      <c r="N1006" s="34"/>
    </row>
    <row r="1007">
      <c r="N1007" s="34"/>
    </row>
    <row r="1008">
      <c r="N1008" s="34"/>
    </row>
    <row r="1009">
      <c r="N1009" s="34"/>
    </row>
    <row r="1010">
      <c r="N1010" s="34"/>
    </row>
    <row r="1011">
      <c r="N1011" s="34"/>
    </row>
    <row r="1012">
      <c r="N1012" s="34"/>
    </row>
    <row r="1013">
      <c r="N1013" s="34"/>
    </row>
    <row r="1014">
      <c r="N1014" s="34"/>
    </row>
    <row r="1015">
      <c r="N1015" s="34"/>
    </row>
    <row r="1016">
      <c r="N1016" s="34"/>
    </row>
    <row r="1017">
      <c r="N1017" s="34"/>
    </row>
    <row r="1018">
      <c r="N1018" s="34"/>
    </row>
    <row r="1019">
      <c r="N1019" s="34"/>
    </row>
    <row r="1020">
      <c r="N1020" s="34"/>
    </row>
    <row r="1021">
      <c r="N1021" s="34"/>
    </row>
    <row r="1022">
      <c r="N1022" s="34"/>
    </row>
    <row r="1023">
      <c r="N1023" s="34"/>
    </row>
    <row r="1024">
      <c r="N1024" s="34"/>
    </row>
    <row r="1025">
      <c r="N1025" s="34"/>
    </row>
    <row r="1026">
      <c r="N1026" s="34"/>
    </row>
    <row r="1027">
      <c r="N1027" s="34"/>
    </row>
    <row r="1028">
      <c r="N1028" s="34"/>
    </row>
    <row r="1029">
      <c r="N1029" s="34"/>
    </row>
    <row r="1030">
      <c r="N1030" s="34"/>
    </row>
    <row r="1031">
      <c r="N1031" s="34"/>
    </row>
    <row r="1032">
      <c r="N1032" s="34"/>
    </row>
    <row r="1033">
      <c r="N1033" s="34"/>
    </row>
    <row r="1034">
      <c r="N1034" s="34"/>
    </row>
    <row r="1035">
      <c r="N1035" s="34"/>
    </row>
    <row r="1036">
      <c r="N1036" s="34"/>
    </row>
    <row r="1037">
      <c r="N1037" s="34"/>
    </row>
    <row r="1038">
      <c r="N1038" s="34"/>
    </row>
    <row r="1039">
      <c r="N1039" s="34"/>
    </row>
    <row r="1040">
      <c r="N1040" s="34"/>
    </row>
    <row r="1041">
      <c r="N1041" s="34"/>
    </row>
    <row r="1042">
      <c r="N1042" s="34"/>
    </row>
    <row r="1043">
      <c r="N1043" s="34"/>
    </row>
    <row r="1044">
      <c r="N1044" s="34"/>
    </row>
    <row r="1045">
      <c r="N1045" s="34"/>
    </row>
    <row r="1046">
      <c r="N1046" s="34"/>
    </row>
    <row r="1047">
      <c r="N1047" s="34"/>
    </row>
    <row r="1048">
      <c r="N1048" s="34"/>
    </row>
    <row r="1049">
      <c r="N1049" s="34"/>
    </row>
    <row r="1050">
      <c r="N1050" s="34"/>
    </row>
    <row r="1051">
      <c r="N1051" s="34"/>
    </row>
    <row r="1052">
      <c r="N1052" s="34"/>
    </row>
    <row r="1053">
      <c r="N1053" s="34"/>
    </row>
    <row r="1054">
      <c r="N1054" s="34"/>
    </row>
    <row r="1055">
      <c r="N1055" s="34"/>
    </row>
    <row r="1056">
      <c r="N1056" s="34"/>
    </row>
    <row r="1057">
      <c r="N1057" s="34"/>
    </row>
    <row r="1058">
      <c r="N1058" s="34"/>
    </row>
    <row r="1059">
      <c r="N1059" s="34"/>
    </row>
    <row r="1060">
      <c r="N1060" s="34"/>
    </row>
    <row r="1061">
      <c r="N1061" s="34"/>
    </row>
    <row r="1062">
      <c r="N1062" s="34"/>
    </row>
    <row r="1063">
      <c r="N1063" s="34"/>
    </row>
    <row r="1064">
      <c r="N1064" s="34"/>
    </row>
    <row r="1065">
      <c r="N1065" s="34"/>
    </row>
    <row r="1066">
      <c r="N1066" s="34"/>
    </row>
    <row r="1067">
      <c r="N1067" s="34"/>
    </row>
    <row r="1068">
      <c r="N1068" s="34"/>
    </row>
    <row r="1069">
      <c r="N1069" s="34"/>
    </row>
    <row r="1070">
      <c r="N1070" s="34"/>
    </row>
    <row r="1071">
      <c r="N1071" s="34"/>
    </row>
    <row r="1072">
      <c r="N1072" s="34"/>
    </row>
    <row r="1073">
      <c r="N1073" s="34"/>
    </row>
    <row r="1074">
      <c r="N1074" s="34"/>
    </row>
    <row r="1075">
      <c r="N1075" s="34"/>
    </row>
    <row r="1076">
      <c r="N1076" s="34"/>
    </row>
    <row r="1077">
      <c r="N1077" s="34"/>
    </row>
    <row r="1078">
      <c r="N1078" s="34"/>
    </row>
    <row r="1079">
      <c r="N1079" s="34"/>
    </row>
    <row r="1080">
      <c r="N1080" s="34"/>
    </row>
    <row r="1081">
      <c r="N1081" s="34"/>
    </row>
    <row r="1082">
      <c r="N1082" s="34"/>
    </row>
    <row r="1083">
      <c r="N1083" s="34"/>
    </row>
    <row r="1084">
      <c r="N1084" s="34"/>
    </row>
    <row r="1085">
      <c r="N1085" s="34"/>
    </row>
    <row r="1086">
      <c r="N1086" s="34"/>
    </row>
    <row r="1087">
      <c r="N1087" s="34"/>
    </row>
    <row r="1088">
      <c r="N1088" s="34"/>
    </row>
    <row r="1089">
      <c r="N1089" s="34"/>
    </row>
    <row r="1090">
      <c r="N1090" s="34"/>
    </row>
    <row r="1091">
      <c r="N1091" s="34"/>
    </row>
    <row r="1092">
      <c r="N1092" s="34"/>
    </row>
    <row r="1093">
      <c r="N1093" s="34"/>
    </row>
    <row r="1094">
      <c r="N1094" s="34"/>
    </row>
    <row r="1095">
      <c r="N1095" s="34"/>
    </row>
    <row r="1096">
      <c r="N1096" s="34"/>
    </row>
    <row r="1097">
      <c r="N1097" s="34"/>
    </row>
    <row r="1098">
      <c r="N1098" s="34"/>
    </row>
    <row r="1099">
      <c r="N1099" s="34"/>
    </row>
    <row r="1100">
      <c r="N1100" s="34"/>
    </row>
    <row r="1101">
      <c r="N1101" s="34"/>
    </row>
    <row r="1102">
      <c r="N1102" s="34"/>
    </row>
    <row r="1103">
      <c r="N1103" s="34"/>
    </row>
    <row r="1104">
      <c r="N1104" s="34"/>
    </row>
    <row r="1105">
      <c r="N1105" s="34"/>
    </row>
    <row r="1106">
      <c r="N1106" s="34"/>
    </row>
    <row r="1107">
      <c r="N1107" s="34"/>
    </row>
    <row r="1108">
      <c r="N1108" s="34"/>
    </row>
    <row r="1109">
      <c r="N1109" s="34"/>
    </row>
    <row r="1110">
      <c r="N1110" s="34"/>
    </row>
    <row r="1111">
      <c r="N1111" s="34"/>
    </row>
    <row r="1112">
      <c r="N1112" s="34"/>
    </row>
    <row r="1113">
      <c r="N1113" s="34"/>
    </row>
    <row r="1114">
      <c r="N1114" s="34"/>
    </row>
    <row r="1115">
      <c r="N1115" s="34"/>
    </row>
    <row r="1116">
      <c r="N1116" s="34"/>
    </row>
    <row r="1117">
      <c r="N1117" s="34"/>
    </row>
    <row r="1118">
      <c r="N1118" s="34"/>
    </row>
    <row r="1119">
      <c r="N1119" s="34"/>
    </row>
    <row r="1120">
      <c r="N1120" s="34"/>
    </row>
    <row r="1121">
      <c r="N1121" s="34"/>
    </row>
    <row r="1122">
      <c r="N1122" s="34"/>
    </row>
    <row r="1123">
      <c r="N1123" s="34"/>
    </row>
    <row r="1124">
      <c r="N1124" s="34"/>
    </row>
    <row r="1125">
      <c r="N1125" s="34"/>
    </row>
    <row r="1126">
      <c r="N1126" s="34"/>
    </row>
    <row r="1127">
      <c r="N1127" s="34"/>
    </row>
    <row r="1128">
      <c r="N1128" s="34"/>
    </row>
    <row r="1129">
      <c r="N1129" s="34"/>
    </row>
    <row r="1130">
      <c r="N1130" s="34"/>
    </row>
    <row r="1131">
      <c r="N1131" s="34"/>
    </row>
    <row r="1132">
      <c r="N1132" s="34"/>
    </row>
    <row r="1133">
      <c r="N1133" s="34"/>
    </row>
    <row r="1134">
      <c r="N1134" s="34"/>
    </row>
    <row r="1135">
      <c r="N1135" s="34"/>
    </row>
    <row r="1136">
      <c r="N1136" s="34"/>
    </row>
    <row r="1137">
      <c r="N1137" s="34"/>
    </row>
    <row r="1138">
      <c r="N1138" s="34"/>
    </row>
    <row r="1139">
      <c r="N1139" s="34"/>
    </row>
    <row r="1140">
      <c r="N1140" s="34"/>
    </row>
    <row r="1141">
      <c r="N1141" s="34"/>
    </row>
    <row r="1142">
      <c r="N1142" s="34"/>
    </row>
    <row r="1143">
      <c r="N1143" s="34"/>
    </row>
    <row r="1144">
      <c r="N1144" s="34"/>
    </row>
    <row r="1145">
      <c r="N1145" s="34"/>
    </row>
    <row r="1146">
      <c r="N1146" s="34"/>
    </row>
    <row r="1147">
      <c r="N1147" s="34"/>
    </row>
    <row r="1148">
      <c r="N1148" s="34"/>
    </row>
    <row r="1149">
      <c r="N1149" s="34"/>
    </row>
    <row r="1150">
      <c r="N1150" s="34"/>
    </row>
    <row r="1151">
      <c r="N1151" s="34"/>
    </row>
    <row r="1152">
      <c r="N1152" s="34"/>
    </row>
    <row r="1153">
      <c r="N1153" s="34"/>
    </row>
    <row r="1154">
      <c r="N1154" s="34"/>
    </row>
    <row r="1155">
      <c r="N1155" s="34"/>
    </row>
    <row r="1156">
      <c r="N1156" s="34"/>
    </row>
    <row r="1157">
      <c r="N1157" s="34"/>
    </row>
    <row r="1158">
      <c r="N1158" s="34"/>
    </row>
    <row r="1159">
      <c r="N1159" s="34"/>
    </row>
    <row r="1160">
      <c r="N1160" s="34"/>
    </row>
    <row r="1161">
      <c r="N1161" s="34"/>
    </row>
    <row r="1162">
      <c r="N1162" s="34"/>
    </row>
    <row r="1163">
      <c r="N1163" s="34"/>
    </row>
    <row r="1164">
      <c r="N1164" s="34"/>
    </row>
    <row r="1165">
      <c r="N1165" s="34"/>
    </row>
    <row r="1166">
      <c r="N1166" s="34"/>
    </row>
    <row r="1167">
      <c r="N1167" s="34"/>
    </row>
    <row r="1168">
      <c r="N1168" s="34"/>
    </row>
    <row r="1169">
      <c r="N1169" s="34"/>
    </row>
    <row r="1170">
      <c r="N1170" s="34"/>
    </row>
    <row r="1171">
      <c r="N1171" s="34"/>
    </row>
    <row r="1172">
      <c r="N1172" s="34"/>
    </row>
    <row r="1173">
      <c r="N1173" s="34"/>
    </row>
    <row r="1174">
      <c r="N1174" s="34"/>
    </row>
    <row r="1175">
      <c r="N1175" s="34"/>
    </row>
    <row r="1176">
      <c r="N1176" s="34"/>
    </row>
    <row r="1177">
      <c r="N1177" s="34"/>
    </row>
    <row r="1178">
      <c r="N1178" s="34"/>
    </row>
    <row r="1179">
      <c r="N1179" s="34"/>
    </row>
    <row r="1180">
      <c r="N1180" s="34"/>
    </row>
    <row r="1181">
      <c r="N1181" s="34"/>
    </row>
    <row r="1182">
      <c r="N1182" s="34"/>
    </row>
    <row r="1183">
      <c r="N1183" s="34"/>
    </row>
    <row r="1184">
      <c r="N1184" s="34"/>
    </row>
    <row r="1185">
      <c r="N1185" s="34"/>
    </row>
    <row r="1186">
      <c r="N1186" s="34"/>
    </row>
    <row r="1187">
      <c r="N1187" s="34"/>
    </row>
    <row r="1188">
      <c r="N1188" s="34"/>
    </row>
    <row r="1189">
      <c r="N1189" s="34"/>
    </row>
    <row r="1190">
      <c r="N1190" s="34"/>
    </row>
    <row r="1191">
      <c r="N1191" s="34"/>
    </row>
    <row r="1192">
      <c r="N1192" s="34"/>
    </row>
    <row r="1193">
      <c r="N1193" s="34"/>
    </row>
    <row r="1194">
      <c r="N1194" s="34"/>
    </row>
    <row r="1195">
      <c r="N1195" s="34"/>
    </row>
    <row r="1196">
      <c r="N1196" s="34"/>
    </row>
    <row r="1197">
      <c r="N1197" s="34"/>
    </row>
    <row r="1198">
      <c r="N1198" s="34"/>
    </row>
    <row r="1199">
      <c r="N1199" s="34"/>
    </row>
    <row r="1200">
      <c r="N1200" s="34"/>
    </row>
    <row r="1201">
      <c r="N1201" s="34"/>
    </row>
    <row r="1202">
      <c r="N1202" s="34"/>
    </row>
    <row r="1203">
      <c r="N1203" s="34"/>
    </row>
    <row r="1204">
      <c r="N1204" s="34"/>
    </row>
    <row r="1205">
      <c r="N1205" s="34"/>
    </row>
    <row r="1206">
      <c r="N1206" s="34"/>
    </row>
    <row r="1207">
      <c r="N1207" s="34"/>
    </row>
    <row r="1208">
      <c r="N1208" s="34"/>
    </row>
    <row r="1209">
      <c r="N1209" s="34"/>
    </row>
    <row r="1210">
      <c r="N1210" s="34"/>
    </row>
    <row r="1211">
      <c r="N1211" s="34"/>
    </row>
    <row r="1212">
      <c r="N1212" s="34"/>
    </row>
    <row r="1213">
      <c r="N1213" s="34"/>
    </row>
    <row r="1214">
      <c r="N1214" s="34"/>
    </row>
    <row r="1215">
      <c r="N1215" s="34"/>
    </row>
    <row r="1216">
      <c r="N1216" s="34"/>
    </row>
    <row r="1217">
      <c r="N1217" s="34"/>
    </row>
    <row r="1218">
      <c r="N1218" s="34"/>
    </row>
    <row r="1219">
      <c r="N1219" s="34"/>
    </row>
    <row r="1220">
      <c r="N1220" s="34"/>
    </row>
    <row r="1221">
      <c r="N1221" s="34"/>
    </row>
    <row r="1222">
      <c r="N1222" s="34"/>
    </row>
    <row r="1223">
      <c r="N1223" s="34"/>
    </row>
    <row r="1224">
      <c r="N1224" s="34"/>
    </row>
    <row r="1225">
      <c r="N1225" s="34"/>
    </row>
    <row r="1226">
      <c r="N1226" s="34"/>
    </row>
    <row r="1227">
      <c r="N1227" s="34"/>
    </row>
    <row r="1228">
      <c r="N1228" s="34"/>
    </row>
    <row r="1229">
      <c r="N1229" s="34"/>
    </row>
    <row r="1230">
      <c r="N1230" s="34"/>
    </row>
    <row r="1231">
      <c r="N1231" s="34"/>
    </row>
    <row r="1232">
      <c r="N1232" s="34"/>
    </row>
    <row r="1233">
      <c r="N1233" s="34"/>
    </row>
    <row r="1234">
      <c r="N1234" s="34"/>
    </row>
    <row r="1235">
      <c r="N1235" s="34"/>
    </row>
    <row r="1236">
      <c r="N1236" s="34"/>
    </row>
    <row r="1237">
      <c r="N1237" s="34"/>
    </row>
    <row r="1238">
      <c r="N1238" s="34"/>
    </row>
    <row r="1239">
      <c r="N1239" s="34"/>
    </row>
    <row r="1240">
      <c r="N1240" s="34"/>
    </row>
    <row r="1241">
      <c r="N1241" s="34"/>
    </row>
    <row r="1242">
      <c r="N1242" s="34"/>
    </row>
    <row r="1243">
      <c r="N1243" s="34"/>
    </row>
    <row r="1244">
      <c r="N1244" s="34"/>
    </row>
    <row r="1245">
      <c r="N1245" s="34"/>
    </row>
    <row r="1246">
      <c r="N1246" s="34"/>
    </row>
    <row r="1247">
      <c r="N1247" s="34"/>
    </row>
    <row r="1248">
      <c r="N1248" s="34"/>
    </row>
    <row r="1249">
      <c r="N1249" s="34"/>
    </row>
    <row r="1250">
      <c r="N1250" s="34"/>
    </row>
    <row r="1251">
      <c r="N1251" s="34"/>
    </row>
    <row r="1252">
      <c r="N1252" s="34"/>
    </row>
    <row r="1253">
      <c r="N1253" s="34"/>
    </row>
    <row r="1254">
      <c r="N1254" s="34"/>
    </row>
    <row r="1255">
      <c r="N1255" s="34"/>
    </row>
    <row r="1256">
      <c r="N1256" s="34"/>
    </row>
    <row r="1257">
      <c r="N1257" s="34"/>
    </row>
    <row r="1258">
      <c r="N1258" s="34"/>
    </row>
    <row r="1259">
      <c r="N1259" s="34"/>
    </row>
    <row r="1260">
      <c r="N1260" s="34"/>
    </row>
    <row r="1261">
      <c r="N1261" s="34"/>
    </row>
    <row r="1262">
      <c r="N1262" s="34"/>
    </row>
    <row r="1263">
      <c r="N1263" s="34"/>
    </row>
    <row r="1264">
      <c r="N1264" s="34"/>
    </row>
    <row r="1265">
      <c r="N1265" s="34"/>
    </row>
    <row r="1266">
      <c r="N1266" s="34"/>
    </row>
    <row r="1267">
      <c r="N1267" s="34"/>
    </row>
    <row r="1268">
      <c r="N1268" s="34"/>
    </row>
    <row r="1269">
      <c r="N1269" s="34"/>
    </row>
    <row r="1270">
      <c r="N1270" s="34"/>
    </row>
    <row r="1271">
      <c r="N1271" s="34"/>
    </row>
    <row r="1272">
      <c r="N1272" s="34"/>
    </row>
    <row r="1273">
      <c r="N1273" s="34"/>
    </row>
    <row r="1274">
      <c r="N1274" s="34"/>
    </row>
    <row r="1275">
      <c r="N1275" s="34"/>
    </row>
    <row r="1276">
      <c r="N1276" s="34"/>
    </row>
    <row r="1277">
      <c r="N1277" s="34"/>
    </row>
    <row r="1278">
      <c r="N1278" s="34"/>
    </row>
    <row r="1279">
      <c r="N1279" s="34"/>
    </row>
    <row r="1280">
      <c r="N1280" s="34"/>
    </row>
    <row r="1281">
      <c r="N1281" s="34"/>
    </row>
    <row r="1282">
      <c r="N1282" s="34"/>
    </row>
    <row r="1283">
      <c r="N1283" s="34"/>
    </row>
    <row r="1284">
      <c r="N1284" s="34"/>
    </row>
    <row r="1285">
      <c r="N1285" s="34"/>
    </row>
    <row r="1286">
      <c r="N1286" s="34"/>
    </row>
    <row r="1287">
      <c r="N1287" s="34"/>
    </row>
    <row r="1288">
      <c r="N1288" s="34"/>
    </row>
    <row r="1289">
      <c r="N1289" s="34"/>
    </row>
    <row r="1290">
      <c r="N1290" s="34"/>
    </row>
    <row r="1291">
      <c r="N1291" s="34"/>
    </row>
    <row r="1292">
      <c r="N1292" s="34"/>
    </row>
    <row r="1293">
      <c r="N1293" s="34"/>
    </row>
    <row r="1294">
      <c r="N1294" s="34"/>
    </row>
    <row r="1295">
      <c r="N1295" s="34"/>
    </row>
    <row r="1296">
      <c r="N1296" s="34"/>
    </row>
    <row r="1297">
      <c r="N1297" s="34"/>
    </row>
    <row r="1298">
      <c r="N1298" s="34"/>
    </row>
    <row r="1299">
      <c r="N1299" s="34"/>
    </row>
    <row r="1300">
      <c r="N1300" s="34"/>
    </row>
    <row r="1301">
      <c r="N1301" s="34"/>
    </row>
    <row r="1302">
      <c r="N1302" s="34"/>
    </row>
    <row r="1303">
      <c r="N1303" s="34"/>
    </row>
    <row r="1304">
      <c r="N1304" s="34"/>
    </row>
    <row r="1305">
      <c r="N1305" s="34"/>
    </row>
    <row r="1306">
      <c r="N1306" s="34"/>
    </row>
    <row r="1307">
      <c r="N1307" s="34"/>
    </row>
    <row r="1308">
      <c r="N1308" s="34"/>
    </row>
    <row r="1309">
      <c r="N1309" s="34"/>
    </row>
    <row r="1310">
      <c r="N1310" s="34"/>
    </row>
    <row r="1311">
      <c r="N1311" s="34"/>
    </row>
    <row r="1312">
      <c r="N1312" s="34"/>
    </row>
    <row r="1313">
      <c r="N1313" s="34"/>
    </row>
    <row r="1314">
      <c r="N1314" s="34"/>
    </row>
    <row r="1315">
      <c r="N1315" s="34"/>
    </row>
    <row r="1316">
      <c r="N1316" s="34"/>
    </row>
    <row r="1317">
      <c r="N1317" s="34"/>
    </row>
    <row r="1318">
      <c r="N1318" s="34"/>
    </row>
    <row r="1319">
      <c r="N1319" s="34"/>
    </row>
    <row r="1320">
      <c r="N1320" s="34"/>
    </row>
    <row r="1321">
      <c r="N1321" s="34"/>
    </row>
    <row r="1322">
      <c r="N1322" s="34"/>
    </row>
    <row r="1323">
      <c r="N1323" s="34"/>
    </row>
    <row r="1324">
      <c r="N1324" s="34"/>
    </row>
    <row r="1325">
      <c r="N1325" s="34"/>
    </row>
    <row r="1326">
      <c r="N1326" s="34"/>
    </row>
    <row r="1327">
      <c r="N1327" s="34"/>
    </row>
    <row r="1328">
      <c r="N1328" s="34"/>
    </row>
    <row r="1329">
      <c r="N1329" s="34"/>
    </row>
    <row r="1330">
      <c r="N1330" s="34"/>
    </row>
    <row r="1331">
      <c r="N1331" s="34"/>
    </row>
    <row r="1332">
      <c r="N1332" s="34"/>
    </row>
    <row r="1333">
      <c r="N1333" s="34"/>
    </row>
    <row r="1334">
      <c r="N1334" s="34"/>
    </row>
    <row r="1335">
      <c r="N1335" s="34"/>
    </row>
    <row r="1336">
      <c r="N1336" s="34"/>
    </row>
    <row r="1337">
      <c r="N1337" s="34"/>
    </row>
    <row r="1338">
      <c r="N1338" s="34"/>
    </row>
    <row r="1339">
      <c r="N1339" s="34"/>
    </row>
    <row r="1340">
      <c r="N1340" s="34"/>
    </row>
    <row r="1341">
      <c r="N1341" s="34"/>
    </row>
    <row r="1342">
      <c r="N1342" s="34"/>
    </row>
    <row r="1343">
      <c r="N1343" s="34"/>
    </row>
    <row r="1344">
      <c r="N1344" s="34"/>
    </row>
    <row r="1345">
      <c r="N1345" s="34"/>
    </row>
    <row r="1346">
      <c r="N1346" s="34"/>
    </row>
    <row r="1347">
      <c r="N1347" s="34"/>
    </row>
    <row r="1348">
      <c r="N1348" s="34"/>
    </row>
    <row r="1349">
      <c r="N1349" s="34"/>
    </row>
    <row r="1350">
      <c r="N1350" s="34"/>
    </row>
    <row r="1351">
      <c r="N1351" s="34"/>
    </row>
    <row r="1352">
      <c r="N1352" s="34"/>
    </row>
    <row r="1353">
      <c r="N1353" s="34"/>
    </row>
    <row r="1354">
      <c r="N1354" s="34"/>
    </row>
    <row r="1355">
      <c r="N1355" s="34"/>
    </row>
    <row r="1356">
      <c r="N1356" s="34"/>
    </row>
    <row r="1357">
      <c r="N1357" s="34"/>
    </row>
    <row r="1358">
      <c r="N1358" s="34"/>
    </row>
    <row r="1359">
      <c r="N1359" s="34"/>
    </row>
    <row r="1360">
      <c r="N1360" s="34"/>
    </row>
    <row r="1361">
      <c r="N1361" s="34"/>
    </row>
    <row r="1362">
      <c r="N1362" s="34"/>
    </row>
    <row r="1363">
      <c r="N1363" s="34"/>
    </row>
    <row r="1364">
      <c r="N1364" s="34"/>
    </row>
    <row r="1365">
      <c r="N1365" s="34"/>
    </row>
    <row r="1366">
      <c r="N1366" s="34"/>
    </row>
    <row r="1367">
      <c r="N1367" s="34"/>
    </row>
    <row r="1368">
      <c r="N1368" s="34"/>
    </row>
    <row r="1369">
      <c r="N1369" s="34"/>
    </row>
    <row r="1370">
      <c r="N1370" s="34"/>
    </row>
    <row r="1371">
      <c r="N1371" s="34"/>
    </row>
    <row r="1372">
      <c r="N1372" s="34"/>
    </row>
    <row r="1373">
      <c r="N1373" s="34"/>
    </row>
    <row r="1374">
      <c r="N1374" s="34"/>
    </row>
    <row r="1375">
      <c r="N1375" s="34"/>
    </row>
    <row r="1376">
      <c r="N1376" s="34"/>
    </row>
    <row r="1377">
      <c r="N1377" s="34"/>
    </row>
    <row r="1378">
      <c r="N1378" s="34"/>
    </row>
    <row r="1379">
      <c r="N1379" s="34"/>
    </row>
    <row r="1380">
      <c r="N1380" s="34"/>
    </row>
    <row r="1381">
      <c r="N1381" s="34"/>
    </row>
    <row r="1382">
      <c r="N1382" s="34"/>
    </row>
    <row r="1383">
      <c r="N1383" s="34"/>
    </row>
    <row r="1384">
      <c r="N1384" s="34"/>
    </row>
    <row r="1385">
      <c r="N1385" s="34"/>
    </row>
    <row r="1386">
      <c r="N1386" s="34"/>
    </row>
    <row r="1387">
      <c r="N1387" s="34"/>
    </row>
    <row r="1388">
      <c r="N1388" s="34"/>
    </row>
    <row r="1389">
      <c r="N1389" s="34"/>
    </row>
    <row r="1390">
      <c r="N1390" s="34"/>
    </row>
    <row r="1391">
      <c r="N1391" s="34"/>
    </row>
    <row r="1392">
      <c r="N1392" s="34"/>
    </row>
    <row r="1393">
      <c r="N1393" s="34"/>
    </row>
    <row r="1394">
      <c r="N1394" s="34"/>
    </row>
    <row r="1395">
      <c r="N1395" s="34"/>
    </row>
    <row r="1396">
      <c r="N1396" s="34"/>
    </row>
    <row r="1397">
      <c r="N1397" s="34"/>
    </row>
    <row r="1398">
      <c r="N1398" s="34"/>
    </row>
    <row r="1399">
      <c r="N1399" s="34"/>
    </row>
    <row r="1400">
      <c r="N1400" s="34"/>
    </row>
    <row r="1401">
      <c r="N1401" s="34"/>
    </row>
    <row r="1402">
      <c r="N1402" s="34"/>
    </row>
    <row r="1403">
      <c r="N1403" s="34"/>
    </row>
    <row r="1404">
      <c r="N1404" s="34"/>
    </row>
    <row r="1405">
      <c r="N1405" s="34"/>
    </row>
    <row r="1406">
      <c r="N1406" s="34"/>
    </row>
    <row r="1407">
      <c r="N1407" s="34"/>
    </row>
    <row r="1408">
      <c r="N1408" s="34"/>
    </row>
    <row r="1409">
      <c r="N1409" s="34"/>
    </row>
    <row r="1410">
      <c r="N1410" s="34"/>
    </row>
    <row r="1411">
      <c r="N1411" s="34"/>
    </row>
    <row r="1412">
      <c r="N1412" s="34"/>
    </row>
    <row r="1413">
      <c r="N1413" s="34"/>
    </row>
    <row r="1414">
      <c r="N1414" s="34"/>
    </row>
    <row r="1415">
      <c r="N1415" s="34"/>
    </row>
    <row r="1416">
      <c r="N1416" s="34"/>
    </row>
    <row r="1417">
      <c r="N1417" s="34"/>
    </row>
    <row r="1418">
      <c r="N1418" s="34"/>
    </row>
    <row r="1419">
      <c r="N1419" s="34"/>
    </row>
    <row r="1420">
      <c r="N1420" s="34"/>
    </row>
    <row r="1421">
      <c r="N1421" s="34"/>
    </row>
    <row r="1422">
      <c r="N1422" s="34"/>
    </row>
    <row r="1423">
      <c r="N1423" s="34"/>
    </row>
    <row r="1424">
      <c r="N1424" s="34"/>
    </row>
    <row r="1425">
      <c r="N1425" s="34"/>
    </row>
    <row r="1426">
      <c r="N1426" s="34"/>
    </row>
    <row r="1427">
      <c r="N1427" s="34"/>
    </row>
    <row r="1428">
      <c r="N1428" s="34"/>
    </row>
    <row r="1429">
      <c r="N1429" s="34"/>
    </row>
    <row r="1430">
      <c r="N1430" s="34"/>
    </row>
    <row r="1431">
      <c r="N1431" s="34"/>
    </row>
    <row r="1432">
      <c r="N1432" s="34"/>
    </row>
    <row r="1433">
      <c r="N1433" s="34"/>
    </row>
    <row r="1434">
      <c r="N1434" s="34"/>
    </row>
    <row r="1435">
      <c r="N1435" s="34"/>
    </row>
    <row r="1436">
      <c r="N1436" s="34"/>
    </row>
    <row r="1437">
      <c r="N1437" s="34"/>
    </row>
    <row r="1438">
      <c r="N1438" s="34"/>
    </row>
    <row r="1439">
      <c r="N1439" s="34"/>
    </row>
    <row r="1440">
      <c r="N1440" s="34"/>
    </row>
    <row r="1441">
      <c r="N1441" s="34"/>
    </row>
    <row r="1442">
      <c r="N1442" s="34"/>
    </row>
    <row r="1443">
      <c r="N1443" s="34"/>
    </row>
    <row r="1444">
      <c r="N1444" s="34"/>
    </row>
    <row r="1445">
      <c r="N1445" s="34"/>
    </row>
    <row r="1446">
      <c r="N1446" s="34"/>
    </row>
    <row r="1447">
      <c r="N1447" s="34"/>
    </row>
    <row r="1448">
      <c r="N1448" s="34"/>
    </row>
    <row r="1449">
      <c r="N1449" s="34"/>
    </row>
    <row r="1450">
      <c r="N1450" s="34"/>
    </row>
    <row r="1451">
      <c r="N1451" s="34"/>
    </row>
    <row r="1452">
      <c r="N1452" s="34"/>
    </row>
    <row r="1453">
      <c r="N1453" s="34"/>
    </row>
    <row r="1454">
      <c r="N1454" s="34"/>
    </row>
    <row r="1455">
      <c r="N1455" s="34"/>
    </row>
    <row r="1456">
      <c r="N1456" s="34"/>
    </row>
    <row r="1457">
      <c r="N1457" s="34"/>
    </row>
    <row r="1458">
      <c r="N1458" s="34"/>
    </row>
    <row r="1459">
      <c r="N1459" s="34"/>
    </row>
    <row r="1460">
      <c r="N1460" s="34"/>
    </row>
    <row r="1461">
      <c r="N1461" s="34"/>
    </row>
    <row r="1462">
      <c r="N1462" s="34"/>
    </row>
    <row r="1463">
      <c r="N1463" s="34"/>
    </row>
    <row r="1464">
      <c r="N1464" s="34"/>
    </row>
    <row r="1465">
      <c r="N1465" s="34"/>
    </row>
    <row r="1466">
      <c r="N1466" s="34"/>
    </row>
    <row r="1467">
      <c r="N1467" s="34"/>
    </row>
    <row r="1468">
      <c r="N1468" s="34"/>
    </row>
    <row r="1469">
      <c r="N1469" s="34"/>
    </row>
    <row r="1470">
      <c r="N1470" s="34"/>
    </row>
    <row r="1471">
      <c r="N1471" s="34"/>
    </row>
    <row r="1472">
      <c r="N1472" s="34"/>
    </row>
    <row r="1473">
      <c r="N1473" s="34"/>
    </row>
    <row r="1474">
      <c r="N1474" s="34"/>
    </row>
    <row r="1475">
      <c r="N1475" s="34"/>
    </row>
    <row r="1476">
      <c r="N1476" s="34"/>
    </row>
    <row r="1477">
      <c r="N1477" s="34"/>
    </row>
    <row r="1478">
      <c r="N1478" s="34"/>
    </row>
    <row r="1479">
      <c r="N1479" s="34"/>
    </row>
    <row r="1480">
      <c r="N1480" s="34"/>
    </row>
    <row r="1481">
      <c r="N1481" s="34"/>
    </row>
    <row r="1482">
      <c r="N1482" s="34"/>
    </row>
    <row r="1483">
      <c r="N1483" s="34"/>
    </row>
    <row r="1484">
      <c r="N1484" s="34"/>
    </row>
    <row r="1485">
      <c r="N1485" s="34"/>
    </row>
    <row r="1486">
      <c r="N1486" s="34"/>
    </row>
    <row r="1487">
      <c r="N1487" s="34"/>
    </row>
    <row r="1488">
      <c r="N1488" s="34"/>
    </row>
    <row r="1489">
      <c r="N1489" s="34"/>
    </row>
    <row r="1490">
      <c r="N1490" s="34"/>
    </row>
    <row r="1491">
      <c r="N1491" s="34"/>
    </row>
    <row r="1492">
      <c r="N1492" s="34"/>
    </row>
    <row r="1493">
      <c r="N1493" s="34"/>
    </row>
    <row r="1494">
      <c r="N1494" s="34"/>
    </row>
    <row r="1495">
      <c r="N1495" s="34"/>
    </row>
    <row r="1496">
      <c r="N1496" s="34"/>
    </row>
    <row r="1497">
      <c r="N1497" s="34"/>
    </row>
    <row r="1498">
      <c r="N1498" s="34"/>
    </row>
    <row r="1499">
      <c r="N1499" s="34"/>
    </row>
    <row r="1500">
      <c r="N1500" s="34"/>
    </row>
    <row r="1501">
      <c r="N1501" s="34"/>
    </row>
    <row r="1502">
      <c r="N1502" s="34"/>
    </row>
    <row r="1503">
      <c r="N1503" s="34"/>
    </row>
    <row r="1504">
      <c r="N1504" s="34"/>
    </row>
    <row r="1505">
      <c r="N1505" s="34"/>
    </row>
    <row r="1506">
      <c r="N1506" s="34"/>
    </row>
    <row r="1507">
      <c r="N1507" s="34"/>
    </row>
    <row r="1508">
      <c r="N1508" s="34"/>
    </row>
    <row r="1509">
      <c r="N1509" s="34"/>
    </row>
    <row r="1510">
      <c r="N1510" s="34"/>
    </row>
    <row r="1511">
      <c r="N1511" s="34"/>
    </row>
    <row r="1512">
      <c r="N1512" s="34"/>
    </row>
    <row r="1513">
      <c r="N1513" s="34"/>
    </row>
    <row r="1514">
      <c r="N1514" s="34"/>
    </row>
    <row r="1515">
      <c r="N1515" s="34"/>
    </row>
    <row r="1516">
      <c r="N1516" s="34"/>
    </row>
    <row r="1517">
      <c r="N1517" s="34"/>
    </row>
    <row r="1518">
      <c r="N1518" s="34"/>
    </row>
    <row r="1519">
      <c r="N1519" s="34"/>
    </row>
    <row r="1520">
      <c r="N1520" s="34"/>
    </row>
    <row r="1521">
      <c r="N1521" s="34"/>
    </row>
    <row r="1522">
      <c r="N1522" s="34"/>
    </row>
    <row r="1523">
      <c r="N1523" s="34"/>
    </row>
    <row r="1524">
      <c r="N1524" s="34"/>
    </row>
    <row r="1525">
      <c r="N1525" s="34"/>
    </row>
    <row r="1526">
      <c r="N1526" s="34"/>
    </row>
    <row r="1527">
      <c r="N1527" s="34"/>
    </row>
    <row r="1528">
      <c r="N1528" s="34"/>
    </row>
    <row r="1529">
      <c r="N1529" s="34"/>
    </row>
    <row r="1530">
      <c r="N1530" s="34"/>
    </row>
    <row r="1531">
      <c r="N1531" s="34"/>
    </row>
    <row r="1532">
      <c r="N1532" s="34"/>
    </row>
    <row r="1533">
      <c r="N1533" s="34"/>
    </row>
    <row r="1534">
      <c r="N1534" s="34"/>
    </row>
    <row r="1535">
      <c r="N1535" s="34"/>
    </row>
    <row r="1536">
      <c r="N1536" s="34"/>
    </row>
    <row r="1537">
      <c r="N1537" s="34"/>
    </row>
    <row r="1538">
      <c r="N1538" s="34"/>
    </row>
    <row r="1539">
      <c r="N1539" s="34"/>
    </row>
    <row r="1540">
      <c r="N1540" s="34"/>
    </row>
    <row r="1541">
      <c r="N1541" s="34"/>
    </row>
    <row r="1542">
      <c r="N1542" s="34"/>
    </row>
    <row r="1543">
      <c r="N1543" s="34"/>
    </row>
    <row r="1544">
      <c r="N1544" s="34"/>
    </row>
    <row r="1545">
      <c r="N1545" s="34"/>
    </row>
    <row r="1546">
      <c r="N1546" s="34"/>
    </row>
    <row r="1547">
      <c r="N1547" s="34"/>
    </row>
    <row r="1548">
      <c r="N1548" s="34"/>
    </row>
    <row r="1549">
      <c r="N1549" s="34"/>
    </row>
    <row r="1550">
      <c r="N1550" s="34"/>
    </row>
    <row r="1551">
      <c r="N1551" s="34"/>
    </row>
    <row r="1552">
      <c r="N1552" s="34"/>
    </row>
    <row r="1553">
      <c r="N1553" s="34"/>
    </row>
    <row r="1554">
      <c r="N1554" s="34"/>
    </row>
    <row r="1555">
      <c r="N1555" s="34"/>
    </row>
    <row r="1556">
      <c r="N1556" s="34"/>
    </row>
    <row r="1557">
      <c r="N1557" s="34"/>
    </row>
    <row r="1558">
      <c r="N1558" s="34"/>
    </row>
    <row r="1559">
      <c r="N1559" s="34"/>
    </row>
    <row r="1560">
      <c r="N1560" s="34"/>
    </row>
    <row r="1561">
      <c r="N1561" s="34"/>
    </row>
    <row r="1562">
      <c r="N1562" s="34"/>
    </row>
    <row r="1563">
      <c r="N1563" s="34"/>
    </row>
    <row r="1564">
      <c r="N1564" s="34"/>
    </row>
    <row r="1565">
      <c r="N1565" s="34"/>
    </row>
    <row r="1566">
      <c r="N1566" s="34"/>
    </row>
    <row r="1567">
      <c r="N1567" s="34"/>
    </row>
    <row r="1568">
      <c r="N1568" s="34"/>
    </row>
    <row r="1569">
      <c r="N1569" s="34"/>
    </row>
    <row r="1570">
      <c r="N1570" s="34"/>
    </row>
    <row r="1571">
      <c r="N1571" s="34"/>
    </row>
    <row r="1572">
      <c r="N1572" s="34"/>
    </row>
    <row r="1573">
      <c r="N1573" s="34"/>
    </row>
    <row r="1574">
      <c r="N1574" s="34"/>
    </row>
    <row r="1575">
      <c r="N1575" s="34"/>
    </row>
    <row r="1576">
      <c r="N1576" s="34"/>
    </row>
    <row r="1577">
      <c r="N1577" s="34"/>
    </row>
    <row r="1578">
      <c r="N1578" s="34"/>
    </row>
    <row r="1579">
      <c r="N1579" s="34"/>
    </row>
    <row r="1580">
      <c r="N1580" s="34"/>
    </row>
    <row r="1581">
      <c r="N1581" s="34"/>
    </row>
    <row r="1582">
      <c r="N1582" s="34"/>
    </row>
    <row r="1583">
      <c r="N1583" s="34"/>
    </row>
    <row r="1584">
      <c r="N1584" s="34"/>
    </row>
    <row r="1585">
      <c r="N1585" s="34"/>
    </row>
    <row r="1586">
      <c r="N1586" s="34"/>
    </row>
    <row r="1587">
      <c r="N1587" s="34"/>
    </row>
    <row r="1588">
      <c r="N1588" s="34"/>
    </row>
    <row r="1589">
      <c r="N1589" s="34"/>
    </row>
    <row r="1590">
      <c r="N1590" s="34"/>
    </row>
    <row r="1591">
      <c r="N1591" s="34"/>
    </row>
    <row r="1592">
      <c r="N1592" s="34"/>
    </row>
    <row r="1593">
      <c r="N1593" s="34"/>
    </row>
    <row r="1594">
      <c r="N1594" s="34"/>
    </row>
    <row r="1595">
      <c r="N1595" s="34"/>
    </row>
    <row r="1596">
      <c r="N1596" s="34"/>
    </row>
    <row r="1597">
      <c r="N1597" s="34"/>
    </row>
    <row r="1598">
      <c r="N1598" s="34"/>
    </row>
    <row r="1599">
      <c r="N1599" s="34"/>
    </row>
    <row r="1600">
      <c r="N1600" s="34"/>
    </row>
    <row r="1601">
      <c r="N1601" s="34"/>
    </row>
    <row r="1602">
      <c r="N1602" s="34"/>
    </row>
    <row r="1603">
      <c r="N1603" s="34"/>
    </row>
    <row r="1604">
      <c r="N1604" s="34"/>
    </row>
    <row r="1605">
      <c r="N1605" s="34"/>
    </row>
    <row r="1606">
      <c r="N1606" s="34"/>
    </row>
    <row r="1607">
      <c r="N1607" s="34"/>
    </row>
    <row r="1608">
      <c r="N1608" s="34"/>
    </row>
    <row r="1609">
      <c r="N1609" s="34"/>
    </row>
    <row r="1610">
      <c r="N1610" s="34"/>
    </row>
    <row r="1611">
      <c r="N1611" s="34"/>
    </row>
    <row r="1612">
      <c r="N1612" s="34"/>
    </row>
    <row r="1613">
      <c r="N1613" s="34"/>
    </row>
    <row r="1614">
      <c r="N1614" s="34"/>
    </row>
    <row r="1615">
      <c r="N1615" s="34"/>
    </row>
    <row r="1616">
      <c r="N1616" s="34"/>
    </row>
    <row r="1617">
      <c r="N1617" s="34"/>
    </row>
    <row r="1618">
      <c r="N1618" s="34"/>
    </row>
    <row r="1619">
      <c r="N1619" s="34"/>
    </row>
    <row r="1620">
      <c r="N1620" s="34"/>
    </row>
    <row r="1621">
      <c r="N1621" s="34"/>
    </row>
    <row r="1622">
      <c r="N1622" s="34"/>
    </row>
    <row r="1623">
      <c r="N1623" s="34"/>
    </row>
    <row r="1624">
      <c r="N1624" s="34"/>
    </row>
    <row r="1625">
      <c r="N1625" s="34"/>
    </row>
    <row r="1626">
      <c r="N1626" s="34"/>
    </row>
    <row r="1627">
      <c r="N1627" s="34"/>
    </row>
    <row r="1628">
      <c r="N1628" s="34"/>
    </row>
    <row r="1629">
      <c r="N1629" s="34"/>
    </row>
    <row r="1630">
      <c r="N1630" s="34"/>
    </row>
    <row r="1631">
      <c r="N1631" s="34"/>
    </row>
    <row r="1632">
      <c r="N1632" s="34"/>
    </row>
    <row r="1633">
      <c r="N1633" s="34"/>
    </row>
    <row r="1634">
      <c r="N1634" s="34"/>
    </row>
    <row r="1635">
      <c r="N1635" s="34"/>
    </row>
    <row r="1636">
      <c r="N1636" s="34"/>
    </row>
    <row r="1637">
      <c r="N1637" s="34"/>
    </row>
    <row r="1638">
      <c r="N1638" s="34"/>
    </row>
    <row r="1639">
      <c r="N1639" s="34"/>
    </row>
    <row r="1640">
      <c r="N1640" s="34"/>
    </row>
    <row r="1641">
      <c r="N1641" s="34"/>
    </row>
    <row r="1642">
      <c r="N1642" s="34"/>
    </row>
    <row r="1643">
      <c r="N1643" s="34"/>
    </row>
    <row r="1644">
      <c r="N1644" s="34"/>
    </row>
    <row r="1645">
      <c r="N1645" s="34"/>
    </row>
    <row r="1646">
      <c r="N1646" s="34"/>
    </row>
    <row r="1647">
      <c r="N1647" s="34"/>
    </row>
    <row r="1648">
      <c r="N1648" s="34"/>
    </row>
    <row r="1649">
      <c r="N1649" s="34"/>
    </row>
    <row r="1650">
      <c r="N1650" s="34"/>
    </row>
    <row r="1651">
      <c r="N1651" s="34"/>
    </row>
    <row r="1652">
      <c r="N1652" s="34"/>
    </row>
    <row r="1653">
      <c r="N1653" s="34"/>
    </row>
    <row r="1654">
      <c r="N1654" s="34"/>
    </row>
    <row r="1655">
      <c r="N1655" s="34"/>
    </row>
    <row r="1656">
      <c r="N1656" s="34"/>
    </row>
    <row r="1657">
      <c r="N1657" s="34"/>
    </row>
    <row r="1658">
      <c r="N1658" s="34"/>
    </row>
    <row r="1659">
      <c r="N1659" s="34"/>
    </row>
    <row r="1660">
      <c r="N1660" s="34"/>
    </row>
    <row r="1661">
      <c r="N1661" s="34"/>
    </row>
    <row r="1662">
      <c r="N1662" s="34"/>
    </row>
    <row r="1663">
      <c r="N1663" s="34"/>
    </row>
    <row r="1664">
      <c r="N1664" s="34"/>
    </row>
    <row r="1665">
      <c r="N1665" s="34"/>
    </row>
    <row r="1666">
      <c r="N1666" s="34"/>
    </row>
    <row r="1667">
      <c r="N1667" s="34"/>
    </row>
    <row r="1668">
      <c r="N1668" s="34"/>
    </row>
    <row r="1669">
      <c r="N1669" s="34"/>
    </row>
    <row r="1670">
      <c r="N1670" s="34"/>
    </row>
    <row r="1671">
      <c r="N1671" s="34"/>
    </row>
    <row r="1672">
      <c r="N1672" s="34"/>
    </row>
    <row r="1673">
      <c r="N1673" s="34"/>
    </row>
    <row r="1674">
      <c r="N1674" s="34"/>
    </row>
    <row r="1675">
      <c r="N1675" s="34"/>
    </row>
    <row r="1676">
      <c r="N1676" s="34"/>
    </row>
    <row r="1677">
      <c r="N1677" s="34"/>
    </row>
    <row r="1678">
      <c r="N1678" s="34"/>
    </row>
    <row r="1679">
      <c r="N1679" s="34"/>
    </row>
    <row r="1680">
      <c r="N1680" s="34"/>
    </row>
    <row r="1681">
      <c r="N1681" s="34"/>
    </row>
    <row r="1682">
      <c r="N1682" s="34"/>
    </row>
    <row r="1683">
      <c r="N1683" s="34"/>
    </row>
    <row r="1684">
      <c r="N1684" s="34"/>
    </row>
    <row r="1685">
      <c r="N1685" s="34"/>
    </row>
    <row r="1686">
      <c r="N1686" s="34"/>
    </row>
    <row r="1687">
      <c r="N1687" s="34"/>
    </row>
    <row r="1688">
      <c r="N1688" s="34"/>
    </row>
    <row r="1689">
      <c r="N1689" s="34"/>
    </row>
    <row r="1690">
      <c r="N1690" s="34"/>
    </row>
    <row r="1691">
      <c r="N1691" s="34"/>
    </row>
    <row r="1692">
      <c r="N1692" s="34"/>
    </row>
    <row r="1693">
      <c r="N1693" s="34"/>
    </row>
    <row r="1694">
      <c r="N1694" s="34"/>
    </row>
    <row r="1695">
      <c r="N1695" s="34"/>
    </row>
    <row r="1696">
      <c r="N1696" s="34"/>
    </row>
    <row r="1697">
      <c r="N1697" s="34"/>
    </row>
    <row r="1698">
      <c r="N1698" s="34"/>
    </row>
    <row r="1699">
      <c r="N1699" s="34"/>
    </row>
    <row r="1700">
      <c r="N1700" s="34"/>
    </row>
    <row r="1701">
      <c r="N1701" s="34"/>
    </row>
    <row r="1702">
      <c r="N1702" s="34"/>
    </row>
    <row r="1703">
      <c r="N1703" s="34"/>
    </row>
    <row r="1704">
      <c r="N1704" s="34"/>
    </row>
    <row r="1705">
      <c r="N1705" s="34"/>
    </row>
    <row r="1706">
      <c r="N1706" s="34"/>
    </row>
    <row r="1707">
      <c r="N1707" s="34"/>
    </row>
    <row r="1708">
      <c r="N1708" s="34"/>
    </row>
    <row r="1709">
      <c r="N1709" s="34"/>
    </row>
    <row r="1710">
      <c r="N1710" s="34"/>
    </row>
    <row r="1711">
      <c r="N1711" s="34"/>
    </row>
    <row r="1712">
      <c r="N1712" s="34"/>
    </row>
    <row r="1713">
      <c r="N1713" s="34"/>
    </row>
    <row r="1714">
      <c r="N1714" s="34"/>
    </row>
    <row r="1715">
      <c r="N1715" s="34"/>
    </row>
    <row r="1716">
      <c r="N1716" s="34"/>
    </row>
    <row r="1717">
      <c r="N1717" s="34"/>
    </row>
    <row r="1718">
      <c r="N1718" s="34"/>
    </row>
    <row r="1719">
      <c r="N1719" s="34"/>
    </row>
    <row r="1720">
      <c r="N1720" s="34"/>
    </row>
    <row r="1721">
      <c r="N1721" s="34"/>
    </row>
    <row r="1722">
      <c r="N1722" s="34"/>
    </row>
    <row r="1723">
      <c r="N1723" s="34"/>
    </row>
    <row r="1724">
      <c r="N1724" s="34"/>
    </row>
    <row r="1725">
      <c r="N1725" s="34"/>
    </row>
    <row r="1726">
      <c r="N1726" s="34"/>
    </row>
    <row r="1727">
      <c r="N1727" s="34"/>
    </row>
    <row r="1728">
      <c r="N1728" s="34"/>
    </row>
    <row r="1729">
      <c r="N1729" s="34"/>
    </row>
    <row r="1730">
      <c r="N1730" s="34"/>
    </row>
    <row r="1731">
      <c r="N1731" s="34"/>
    </row>
    <row r="1732">
      <c r="N1732" s="34"/>
    </row>
    <row r="1733">
      <c r="N1733" s="34"/>
    </row>
    <row r="1734">
      <c r="N1734" s="34"/>
    </row>
    <row r="1735">
      <c r="N1735" s="34"/>
    </row>
    <row r="1736">
      <c r="N1736" s="34"/>
    </row>
    <row r="1737">
      <c r="N1737" s="34"/>
    </row>
    <row r="1738">
      <c r="N1738" s="34"/>
    </row>
    <row r="1739">
      <c r="N1739" s="34"/>
    </row>
    <row r="1740">
      <c r="N1740" s="34"/>
    </row>
    <row r="1741">
      <c r="N1741" s="34"/>
    </row>
    <row r="1742">
      <c r="N1742" s="34"/>
    </row>
    <row r="1743">
      <c r="N1743" s="34"/>
    </row>
    <row r="1744">
      <c r="N1744" s="34"/>
    </row>
    <row r="1745">
      <c r="N1745" s="34"/>
    </row>
    <row r="1746">
      <c r="N1746" s="34"/>
    </row>
    <row r="1747">
      <c r="N1747" s="34"/>
    </row>
    <row r="1748">
      <c r="N1748" s="34"/>
    </row>
    <row r="1749">
      <c r="N1749" s="34"/>
    </row>
    <row r="1750">
      <c r="N1750" s="34"/>
    </row>
    <row r="1751">
      <c r="N1751" s="34"/>
    </row>
    <row r="1752">
      <c r="N1752" s="34"/>
    </row>
    <row r="1753">
      <c r="N1753" s="34"/>
    </row>
    <row r="1754">
      <c r="N1754" s="34"/>
    </row>
    <row r="1755">
      <c r="N1755" s="34"/>
    </row>
    <row r="1756">
      <c r="N1756" s="34"/>
    </row>
    <row r="1757">
      <c r="N1757" s="34"/>
    </row>
    <row r="1758">
      <c r="N1758" s="34"/>
    </row>
    <row r="1759">
      <c r="N1759" s="34"/>
    </row>
    <row r="1760">
      <c r="N1760" s="34"/>
    </row>
    <row r="1761">
      <c r="N1761" s="34"/>
    </row>
    <row r="1762">
      <c r="N1762" s="34"/>
    </row>
    <row r="1763">
      <c r="N1763" s="34"/>
    </row>
    <row r="1764">
      <c r="N1764" s="34"/>
    </row>
    <row r="1765">
      <c r="N1765" s="34"/>
    </row>
    <row r="1766">
      <c r="N1766" s="34"/>
    </row>
    <row r="1767">
      <c r="N1767" s="34"/>
    </row>
    <row r="1768">
      <c r="N1768" s="34"/>
    </row>
    <row r="1769">
      <c r="N1769" s="34"/>
    </row>
    <row r="1770">
      <c r="N1770" s="34"/>
    </row>
    <row r="1771">
      <c r="N1771" s="34"/>
    </row>
    <row r="1772">
      <c r="N1772" s="34"/>
    </row>
    <row r="1773">
      <c r="N1773" s="34"/>
    </row>
    <row r="1774">
      <c r="N1774" s="34"/>
    </row>
    <row r="1775">
      <c r="N1775" s="34"/>
    </row>
    <row r="1776">
      <c r="N1776" s="34"/>
    </row>
    <row r="1777">
      <c r="N1777" s="34"/>
    </row>
    <row r="1778">
      <c r="N1778" s="34"/>
    </row>
    <row r="1779">
      <c r="N1779" s="34"/>
    </row>
    <row r="1780">
      <c r="N1780" s="34"/>
    </row>
    <row r="1781">
      <c r="N1781" s="34"/>
    </row>
    <row r="1782">
      <c r="N1782" s="34"/>
    </row>
    <row r="1783">
      <c r="N1783" s="34"/>
    </row>
    <row r="1784">
      <c r="N1784" s="34"/>
    </row>
    <row r="1785">
      <c r="N1785" s="34"/>
    </row>
    <row r="1786">
      <c r="N1786" s="34"/>
    </row>
    <row r="1787">
      <c r="N1787" s="34"/>
    </row>
    <row r="1788">
      <c r="N1788" s="34"/>
    </row>
    <row r="1789">
      <c r="N1789" s="34"/>
    </row>
    <row r="1790">
      <c r="N1790" s="34"/>
    </row>
    <row r="1791">
      <c r="N1791" s="34"/>
    </row>
    <row r="1792">
      <c r="N1792" s="34"/>
    </row>
    <row r="1793">
      <c r="N1793" s="34"/>
    </row>
    <row r="1794">
      <c r="N1794" s="34"/>
    </row>
    <row r="1795">
      <c r="N1795" s="34"/>
    </row>
    <row r="1796">
      <c r="N1796" s="34"/>
    </row>
    <row r="1797">
      <c r="N1797" s="34"/>
    </row>
    <row r="1798">
      <c r="N1798" s="34"/>
    </row>
    <row r="1799">
      <c r="N1799" s="34"/>
    </row>
    <row r="1800">
      <c r="N1800" s="34"/>
    </row>
    <row r="1801">
      <c r="N1801" s="34"/>
    </row>
    <row r="1802">
      <c r="N1802" s="34"/>
    </row>
    <row r="1803">
      <c r="N1803" s="34"/>
    </row>
    <row r="1804">
      <c r="N1804" s="34"/>
    </row>
    <row r="1805">
      <c r="N1805" s="34"/>
    </row>
    <row r="1806">
      <c r="N1806" s="34"/>
    </row>
    <row r="1807">
      <c r="N1807" s="34"/>
    </row>
    <row r="1808">
      <c r="N1808" s="34"/>
    </row>
    <row r="1809">
      <c r="N1809" s="34"/>
    </row>
    <row r="1810">
      <c r="N1810" s="34"/>
    </row>
    <row r="1811">
      <c r="N1811" s="34"/>
    </row>
    <row r="1812">
      <c r="N1812" s="34"/>
    </row>
    <row r="1813">
      <c r="N1813" s="34"/>
    </row>
    <row r="1814">
      <c r="N1814" s="34"/>
    </row>
    <row r="1815">
      <c r="N1815" s="34"/>
    </row>
    <row r="1816">
      <c r="N1816" s="34"/>
    </row>
    <row r="1817">
      <c r="N1817" s="34"/>
    </row>
    <row r="1818">
      <c r="N1818" s="34"/>
    </row>
    <row r="1819">
      <c r="N1819" s="34"/>
    </row>
    <row r="1820">
      <c r="N1820" s="34"/>
    </row>
    <row r="1821">
      <c r="N1821" s="34"/>
    </row>
    <row r="1822">
      <c r="N1822" s="34"/>
    </row>
    <row r="1823">
      <c r="N1823" s="34"/>
    </row>
    <row r="1824">
      <c r="N1824" s="34"/>
    </row>
    <row r="1825">
      <c r="N1825" s="34"/>
    </row>
    <row r="1826">
      <c r="N1826" s="34"/>
    </row>
    <row r="1827">
      <c r="N1827" s="34"/>
    </row>
    <row r="1828">
      <c r="N1828" s="34"/>
    </row>
    <row r="1829">
      <c r="N1829" s="34"/>
    </row>
    <row r="1830">
      <c r="N1830" s="34"/>
    </row>
    <row r="1831">
      <c r="N1831" s="34"/>
    </row>
    <row r="1832">
      <c r="N1832" s="34"/>
    </row>
    <row r="1833">
      <c r="N1833" s="34"/>
    </row>
    <row r="1834">
      <c r="N1834" s="34"/>
    </row>
    <row r="1835">
      <c r="N1835" s="34"/>
    </row>
    <row r="1836">
      <c r="N1836" s="34"/>
    </row>
    <row r="1837">
      <c r="N1837" s="34"/>
    </row>
    <row r="1838">
      <c r="N1838" s="34"/>
    </row>
    <row r="1839">
      <c r="N1839" s="34"/>
    </row>
    <row r="1840">
      <c r="N1840" s="34"/>
    </row>
    <row r="1841">
      <c r="N1841" s="34"/>
    </row>
    <row r="1842">
      <c r="N1842" s="34"/>
    </row>
    <row r="1843">
      <c r="N1843" s="34"/>
    </row>
    <row r="1844">
      <c r="N1844" s="34"/>
    </row>
    <row r="1845">
      <c r="N1845" s="34"/>
    </row>
    <row r="1846">
      <c r="N1846" s="34"/>
    </row>
    <row r="1847">
      <c r="N1847" s="34"/>
    </row>
    <row r="1848">
      <c r="N1848" s="34"/>
    </row>
    <row r="1849">
      <c r="N1849" s="34"/>
    </row>
    <row r="1850">
      <c r="N1850" s="34"/>
    </row>
    <row r="1851">
      <c r="N1851" s="34"/>
    </row>
    <row r="1852">
      <c r="N1852" s="34"/>
    </row>
    <row r="1853">
      <c r="N1853" s="34"/>
    </row>
    <row r="1854">
      <c r="N1854" s="34"/>
    </row>
    <row r="1855">
      <c r="N1855" s="34"/>
    </row>
    <row r="1856">
      <c r="N1856" s="34"/>
    </row>
    <row r="1857">
      <c r="N1857" s="34"/>
    </row>
    <row r="1858">
      <c r="N1858" s="34"/>
    </row>
    <row r="1859">
      <c r="N1859" s="34"/>
    </row>
    <row r="1860">
      <c r="N1860" s="34"/>
    </row>
    <row r="1861">
      <c r="N1861" s="34"/>
    </row>
    <row r="1862">
      <c r="N1862" s="34"/>
    </row>
    <row r="1863">
      <c r="N1863" s="34"/>
    </row>
    <row r="1864">
      <c r="N1864" s="34"/>
    </row>
    <row r="1865">
      <c r="N1865" s="34"/>
    </row>
    <row r="1866">
      <c r="N1866" s="34"/>
    </row>
    <row r="1867">
      <c r="N1867" s="34"/>
    </row>
    <row r="1868">
      <c r="N1868" s="34"/>
    </row>
    <row r="1869">
      <c r="N1869" s="34"/>
    </row>
    <row r="1870">
      <c r="N1870" s="34"/>
    </row>
    <row r="1871">
      <c r="N1871" s="34"/>
    </row>
    <row r="1872">
      <c r="N1872" s="34"/>
    </row>
    <row r="1873">
      <c r="N1873" s="34"/>
    </row>
    <row r="1874">
      <c r="N1874" s="34"/>
    </row>
    <row r="1875">
      <c r="N1875" s="34"/>
    </row>
    <row r="1876">
      <c r="N1876" s="34"/>
    </row>
    <row r="1877">
      <c r="N1877" s="34"/>
    </row>
    <row r="1878">
      <c r="N1878" s="34"/>
    </row>
    <row r="1879">
      <c r="N1879" s="34"/>
    </row>
    <row r="1880">
      <c r="N1880" s="34"/>
    </row>
    <row r="1881">
      <c r="N1881" s="34"/>
    </row>
    <row r="1882">
      <c r="N1882" s="34"/>
    </row>
    <row r="1883">
      <c r="N1883" s="34"/>
    </row>
    <row r="1884">
      <c r="N1884" s="34"/>
    </row>
    <row r="1885">
      <c r="N1885" s="34"/>
    </row>
    <row r="1886">
      <c r="N1886" s="34"/>
    </row>
    <row r="1887">
      <c r="N1887" s="34"/>
    </row>
    <row r="1888">
      <c r="N1888" s="34"/>
    </row>
    <row r="1889">
      <c r="N1889" s="34"/>
    </row>
    <row r="1890">
      <c r="N1890" s="34"/>
    </row>
    <row r="1891">
      <c r="N1891" s="34"/>
    </row>
    <row r="1892">
      <c r="N1892" s="34"/>
    </row>
    <row r="1893">
      <c r="N1893" s="34"/>
    </row>
    <row r="1894">
      <c r="N1894" s="34"/>
    </row>
    <row r="1895">
      <c r="N1895" s="34"/>
    </row>
    <row r="1896">
      <c r="N1896" s="34"/>
    </row>
    <row r="1897">
      <c r="N1897" s="34"/>
    </row>
    <row r="1898">
      <c r="N1898" s="34"/>
    </row>
    <row r="1899">
      <c r="N1899" s="34"/>
    </row>
    <row r="1900">
      <c r="N1900" s="34"/>
    </row>
    <row r="1901">
      <c r="N1901" s="34"/>
    </row>
    <row r="1902">
      <c r="N1902" s="34"/>
    </row>
    <row r="1903">
      <c r="N1903" s="34"/>
    </row>
    <row r="1904">
      <c r="N1904" s="34"/>
    </row>
    <row r="1905">
      <c r="N1905" s="34"/>
    </row>
    <row r="1906">
      <c r="N1906" s="34"/>
    </row>
    <row r="1907">
      <c r="N1907" s="34"/>
    </row>
    <row r="1908">
      <c r="N1908" s="34"/>
    </row>
    <row r="1909">
      <c r="N1909" s="34"/>
    </row>
    <row r="1910">
      <c r="N1910" s="34"/>
    </row>
    <row r="1911">
      <c r="N1911" s="34"/>
    </row>
    <row r="1912">
      <c r="N1912" s="34"/>
    </row>
    <row r="1913">
      <c r="N1913" s="34"/>
    </row>
    <row r="1914">
      <c r="N1914" s="34"/>
    </row>
    <row r="1915">
      <c r="N1915" s="34"/>
    </row>
    <row r="1916">
      <c r="N1916" s="34"/>
    </row>
    <row r="1917">
      <c r="N1917" s="34"/>
    </row>
    <row r="1918">
      <c r="N1918" s="34"/>
    </row>
    <row r="1919">
      <c r="N1919" s="34"/>
    </row>
    <row r="1920">
      <c r="N1920" s="34"/>
    </row>
    <row r="1921">
      <c r="N1921" s="34"/>
    </row>
    <row r="1922">
      <c r="N1922" s="34"/>
    </row>
    <row r="1923">
      <c r="N1923" s="34"/>
    </row>
    <row r="1924">
      <c r="N1924" s="34"/>
    </row>
    <row r="1925">
      <c r="N1925" s="34"/>
    </row>
    <row r="1926">
      <c r="N1926" s="34"/>
    </row>
    <row r="1927">
      <c r="N1927" s="34"/>
    </row>
    <row r="1928">
      <c r="N1928" s="34"/>
    </row>
    <row r="1929">
      <c r="N1929" s="34"/>
    </row>
    <row r="1930">
      <c r="N1930" s="34"/>
    </row>
    <row r="1931">
      <c r="N1931" s="34"/>
    </row>
    <row r="1932">
      <c r="N1932" s="34"/>
    </row>
    <row r="1933">
      <c r="N1933" s="34"/>
    </row>
    <row r="1934">
      <c r="N1934" s="34"/>
    </row>
    <row r="1935">
      <c r="N1935" s="34"/>
    </row>
    <row r="1936">
      <c r="N1936" s="34"/>
    </row>
    <row r="1937">
      <c r="N1937" s="34"/>
    </row>
    <row r="1938">
      <c r="N1938" s="34"/>
    </row>
    <row r="1939">
      <c r="N1939" s="34"/>
    </row>
    <row r="1940">
      <c r="N1940" s="34"/>
    </row>
    <row r="1941">
      <c r="N1941" s="34"/>
    </row>
    <row r="1942">
      <c r="N1942" s="34"/>
    </row>
    <row r="1943">
      <c r="N1943" s="34"/>
    </row>
    <row r="1944">
      <c r="N1944" s="34"/>
    </row>
    <row r="1945">
      <c r="N1945" s="34"/>
    </row>
    <row r="1946">
      <c r="N1946" s="34"/>
    </row>
    <row r="1947">
      <c r="N1947" s="34"/>
    </row>
    <row r="1948">
      <c r="N1948" s="34"/>
    </row>
    <row r="1949">
      <c r="N1949" s="34"/>
    </row>
    <row r="1950">
      <c r="N1950" s="34"/>
    </row>
    <row r="1951">
      <c r="N1951" s="34"/>
    </row>
    <row r="1952">
      <c r="N1952" s="34"/>
    </row>
    <row r="1953">
      <c r="N1953" s="34"/>
    </row>
    <row r="1954">
      <c r="N1954" s="34"/>
    </row>
    <row r="1955">
      <c r="N1955" s="34"/>
    </row>
    <row r="1956">
      <c r="N1956" s="34"/>
    </row>
    <row r="1957">
      <c r="N1957" s="34"/>
    </row>
    <row r="1958">
      <c r="N1958" s="34"/>
    </row>
    <row r="1959">
      <c r="N1959" s="34"/>
    </row>
    <row r="1960">
      <c r="N1960" s="34"/>
    </row>
    <row r="1961">
      <c r="N1961" s="34"/>
    </row>
    <row r="1962">
      <c r="N1962" s="34"/>
    </row>
    <row r="1963">
      <c r="N1963" s="34"/>
    </row>
    <row r="1964">
      <c r="N1964" s="34"/>
    </row>
    <row r="1965">
      <c r="N1965" s="34"/>
    </row>
    <row r="1966">
      <c r="N1966" s="34"/>
    </row>
    <row r="1967">
      <c r="N1967" s="34"/>
    </row>
    <row r="1968">
      <c r="N1968" s="34"/>
    </row>
    <row r="1969">
      <c r="N1969" s="34"/>
    </row>
    <row r="1970">
      <c r="N1970" s="34"/>
    </row>
    <row r="1971">
      <c r="N1971" s="34"/>
    </row>
    <row r="1972">
      <c r="N1972" s="34"/>
    </row>
    <row r="1973">
      <c r="N1973" s="34"/>
    </row>
    <row r="1974">
      <c r="N1974" s="34"/>
    </row>
    <row r="1975">
      <c r="N1975" s="34"/>
    </row>
    <row r="1976">
      <c r="N1976" s="34"/>
    </row>
    <row r="1977">
      <c r="N1977" s="34"/>
    </row>
    <row r="1978">
      <c r="N1978" s="34"/>
    </row>
    <row r="1979">
      <c r="N1979" s="34"/>
    </row>
    <row r="1980">
      <c r="N1980" s="34"/>
    </row>
    <row r="1981">
      <c r="N1981" s="34"/>
    </row>
    <row r="1982">
      <c r="N1982" s="34"/>
    </row>
    <row r="1983">
      <c r="N1983" s="34"/>
    </row>
    <row r="1984">
      <c r="N1984" s="34"/>
    </row>
    <row r="1985">
      <c r="N1985" s="34"/>
    </row>
    <row r="1986">
      <c r="N1986" s="34"/>
    </row>
    <row r="1987">
      <c r="N1987" s="34"/>
    </row>
    <row r="1988">
      <c r="N1988" s="34"/>
    </row>
    <row r="1989">
      <c r="N1989" s="34"/>
    </row>
    <row r="1990">
      <c r="N1990" s="34"/>
    </row>
    <row r="1991">
      <c r="N1991" s="34"/>
    </row>
    <row r="1992">
      <c r="N1992" s="34"/>
    </row>
    <row r="1993">
      <c r="N1993" s="34"/>
    </row>
    <row r="1994">
      <c r="N1994" s="34"/>
    </row>
    <row r="1995">
      <c r="N1995" s="34"/>
    </row>
    <row r="1996">
      <c r="N1996" s="34"/>
    </row>
    <row r="1997">
      <c r="N1997" s="34"/>
    </row>
    <row r="1998">
      <c r="N1998" s="34"/>
    </row>
    <row r="1999">
      <c r="N1999" s="34"/>
    </row>
    <row r="2000">
      <c r="N2000" s="34"/>
    </row>
    <row r="2001">
      <c r="N2001" s="34"/>
    </row>
    <row r="2002">
      <c r="N2002" s="34"/>
    </row>
    <row r="2003">
      <c r="N2003" s="34"/>
    </row>
    <row r="2004">
      <c r="N2004" s="34"/>
    </row>
    <row r="2005">
      <c r="N2005" s="34"/>
    </row>
    <row r="2006">
      <c r="N2006" s="34"/>
    </row>
    <row r="2007">
      <c r="N2007" s="34"/>
    </row>
    <row r="2008">
      <c r="N2008" s="34"/>
    </row>
    <row r="2009">
      <c r="N2009" s="34"/>
    </row>
    <row r="2010">
      <c r="N2010" s="34"/>
    </row>
    <row r="2011">
      <c r="N2011" s="34"/>
    </row>
    <row r="2012">
      <c r="N2012" s="34"/>
    </row>
    <row r="2013">
      <c r="N2013" s="34"/>
    </row>
    <row r="2014">
      <c r="N2014" s="34"/>
    </row>
    <row r="2015">
      <c r="N2015" s="34"/>
    </row>
    <row r="2016">
      <c r="N2016" s="34"/>
    </row>
    <row r="2017">
      <c r="N2017" s="34"/>
    </row>
    <row r="2018">
      <c r="N2018" s="34"/>
    </row>
    <row r="2019">
      <c r="N2019" s="34"/>
    </row>
    <row r="2020">
      <c r="N2020" s="34"/>
    </row>
    <row r="2021">
      <c r="N2021" s="34"/>
    </row>
    <row r="2022">
      <c r="N2022" s="34"/>
    </row>
    <row r="2023">
      <c r="N2023" s="34"/>
    </row>
    <row r="2024">
      <c r="N2024" s="34"/>
    </row>
    <row r="2025">
      <c r="N2025" s="34"/>
    </row>
    <row r="2026">
      <c r="N2026" s="34"/>
    </row>
    <row r="2027">
      <c r="N2027" s="34"/>
    </row>
    <row r="2028">
      <c r="N2028" s="34"/>
    </row>
    <row r="2029">
      <c r="N2029" s="34"/>
    </row>
    <row r="2030">
      <c r="N2030" s="34"/>
    </row>
    <row r="2031">
      <c r="N2031" s="34"/>
    </row>
    <row r="2032">
      <c r="N2032" s="34"/>
    </row>
    <row r="2033">
      <c r="N2033" s="34"/>
    </row>
    <row r="2034">
      <c r="N2034" s="34"/>
    </row>
    <row r="2035">
      <c r="N2035" s="34"/>
    </row>
    <row r="2036">
      <c r="N2036" s="34"/>
    </row>
    <row r="2037">
      <c r="N2037" s="34"/>
    </row>
    <row r="2038">
      <c r="N2038" s="34"/>
    </row>
    <row r="2039">
      <c r="N2039" s="34"/>
    </row>
    <row r="2040">
      <c r="N2040" s="34"/>
    </row>
    <row r="2041">
      <c r="N2041" s="34"/>
    </row>
    <row r="2042">
      <c r="N2042" s="34"/>
    </row>
    <row r="2043">
      <c r="N2043" s="34"/>
    </row>
    <row r="2044">
      <c r="N2044" s="34"/>
    </row>
    <row r="2045">
      <c r="N2045" s="34"/>
    </row>
    <row r="2046">
      <c r="N2046" s="34"/>
    </row>
    <row r="2047">
      <c r="N2047" s="34"/>
    </row>
    <row r="2048">
      <c r="N2048" s="34"/>
    </row>
    <row r="2049">
      <c r="N2049" s="34"/>
    </row>
    <row r="2050">
      <c r="N2050" s="34"/>
    </row>
    <row r="2051">
      <c r="N2051" s="34"/>
    </row>
    <row r="2052">
      <c r="N2052" s="34"/>
    </row>
    <row r="2053">
      <c r="N2053" s="34"/>
    </row>
    <row r="2054">
      <c r="N2054" s="34"/>
    </row>
    <row r="2055">
      <c r="N2055" s="34"/>
    </row>
    <row r="2056">
      <c r="N2056" s="34"/>
    </row>
    <row r="2057">
      <c r="N2057" s="34"/>
    </row>
    <row r="2058">
      <c r="N2058" s="34"/>
    </row>
    <row r="2059">
      <c r="N2059" s="34"/>
    </row>
    <row r="2060">
      <c r="N2060" s="34"/>
    </row>
    <row r="2061">
      <c r="N2061" s="34"/>
    </row>
    <row r="2062">
      <c r="N2062" s="34"/>
    </row>
    <row r="2063">
      <c r="N2063" s="34"/>
    </row>
    <row r="2064">
      <c r="N2064" s="34"/>
    </row>
    <row r="2065">
      <c r="N2065" s="34"/>
    </row>
    <row r="2066">
      <c r="N2066" s="34"/>
    </row>
    <row r="2067">
      <c r="N2067" s="34"/>
    </row>
    <row r="2068">
      <c r="N2068" s="34"/>
    </row>
    <row r="2069">
      <c r="N2069" s="34"/>
    </row>
    <row r="2070">
      <c r="N2070" s="34"/>
    </row>
    <row r="2071">
      <c r="N2071" s="34"/>
    </row>
    <row r="2072">
      <c r="N2072" s="34"/>
    </row>
    <row r="2073">
      <c r="N2073" s="34"/>
    </row>
    <row r="2074">
      <c r="N2074" s="34"/>
    </row>
    <row r="2075">
      <c r="N2075" s="34"/>
    </row>
    <row r="2076">
      <c r="N2076" s="34"/>
    </row>
    <row r="2077">
      <c r="N2077" s="34"/>
    </row>
    <row r="2078">
      <c r="N2078" s="34"/>
    </row>
    <row r="2079">
      <c r="N2079" s="34"/>
    </row>
    <row r="2080">
      <c r="N2080" s="34"/>
    </row>
    <row r="2081">
      <c r="N2081" s="34"/>
    </row>
    <row r="2082">
      <c r="N2082" s="34"/>
    </row>
    <row r="2083">
      <c r="N2083" s="34"/>
    </row>
    <row r="2084">
      <c r="N2084" s="34"/>
    </row>
    <row r="2085">
      <c r="N2085" s="34"/>
    </row>
    <row r="2086">
      <c r="N2086" s="34"/>
    </row>
    <row r="2087">
      <c r="N2087" s="34"/>
    </row>
    <row r="2088">
      <c r="N2088" s="34"/>
    </row>
    <row r="2089">
      <c r="N2089" s="34"/>
    </row>
    <row r="2090">
      <c r="N2090" s="34"/>
    </row>
    <row r="2091">
      <c r="N2091" s="34"/>
    </row>
    <row r="2092">
      <c r="N2092" s="34"/>
    </row>
    <row r="2093">
      <c r="N2093" s="34"/>
    </row>
    <row r="2094">
      <c r="N2094" s="34"/>
    </row>
    <row r="2095">
      <c r="N2095" s="34"/>
    </row>
    <row r="2096">
      <c r="N2096" s="34"/>
    </row>
    <row r="2097">
      <c r="N2097" s="34"/>
    </row>
    <row r="2098">
      <c r="N2098" s="34"/>
    </row>
    <row r="2099">
      <c r="N2099" s="34"/>
    </row>
    <row r="2100">
      <c r="N2100" s="34"/>
    </row>
    <row r="2101">
      <c r="N2101" s="34"/>
    </row>
    <row r="2102">
      <c r="N2102" s="34"/>
    </row>
    <row r="2103">
      <c r="N2103" s="34"/>
    </row>
    <row r="2104">
      <c r="N2104" s="34"/>
    </row>
    <row r="2105">
      <c r="N2105" s="34"/>
    </row>
    <row r="2106">
      <c r="N2106" s="34"/>
    </row>
    <row r="2107">
      <c r="N2107" s="34"/>
    </row>
    <row r="2108">
      <c r="N2108" s="34"/>
    </row>
    <row r="2109">
      <c r="N2109" s="34"/>
    </row>
    <row r="2110">
      <c r="N2110" s="34"/>
    </row>
    <row r="2111">
      <c r="N2111" s="34"/>
    </row>
    <row r="2112">
      <c r="N2112" s="34"/>
    </row>
    <row r="2113">
      <c r="N2113" s="34"/>
    </row>
    <row r="2114">
      <c r="N2114" s="34"/>
    </row>
    <row r="2115">
      <c r="N2115" s="34"/>
    </row>
    <row r="2116">
      <c r="N2116" s="34"/>
    </row>
    <row r="2117">
      <c r="N2117" s="34"/>
    </row>
    <row r="2118">
      <c r="N2118" s="34"/>
    </row>
    <row r="2119">
      <c r="N2119" s="34"/>
    </row>
    <row r="2120">
      <c r="N2120" s="34"/>
    </row>
    <row r="2121">
      <c r="N2121" s="34"/>
    </row>
    <row r="2122">
      <c r="N2122" s="34"/>
    </row>
    <row r="2123">
      <c r="N2123" s="34"/>
    </row>
    <row r="2124">
      <c r="N2124" s="34"/>
    </row>
    <row r="2125">
      <c r="N2125" s="34"/>
    </row>
    <row r="2126">
      <c r="N2126" s="34"/>
    </row>
    <row r="2127">
      <c r="N2127" s="34"/>
    </row>
    <row r="2128">
      <c r="N2128" s="34"/>
    </row>
    <row r="2129">
      <c r="N2129" s="34"/>
    </row>
    <row r="2130">
      <c r="N2130" s="34"/>
    </row>
    <row r="2131">
      <c r="N2131" s="34"/>
    </row>
    <row r="2132">
      <c r="N2132" s="34"/>
    </row>
    <row r="2133">
      <c r="N2133" s="34"/>
    </row>
    <row r="2134">
      <c r="N2134" s="34"/>
    </row>
    <row r="2135">
      <c r="N2135" s="34"/>
    </row>
    <row r="2136">
      <c r="N2136" s="34"/>
    </row>
    <row r="2137">
      <c r="N2137" s="34"/>
    </row>
    <row r="2138">
      <c r="N2138" s="34"/>
    </row>
    <row r="2139">
      <c r="N2139" s="34"/>
    </row>
    <row r="2140">
      <c r="N2140" s="34"/>
    </row>
    <row r="2141">
      <c r="N2141" s="34"/>
    </row>
    <row r="2142">
      <c r="N2142" s="34"/>
    </row>
    <row r="2143">
      <c r="N2143" s="34"/>
    </row>
    <row r="2144">
      <c r="N2144" s="34"/>
    </row>
    <row r="2145">
      <c r="N2145" s="34"/>
    </row>
    <row r="2146">
      <c r="N2146" s="34"/>
    </row>
    <row r="2147">
      <c r="N2147" s="34"/>
    </row>
    <row r="2148">
      <c r="N2148" s="34"/>
    </row>
    <row r="2149">
      <c r="N2149" s="34"/>
    </row>
    <row r="2150">
      <c r="N2150" s="34"/>
    </row>
    <row r="2151">
      <c r="N2151" s="34"/>
    </row>
    <row r="2152">
      <c r="N2152" s="34"/>
    </row>
    <row r="2153">
      <c r="N2153" s="34"/>
    </row>
    <row r="2154">
      <c r="N2154" s="34"/>
    </row>
    <row r="2155">
      <c r="N2155" s="34"/>
    </row>
    <row r="2156">
      <c r="N2156" s="34"/>
    </row>
    <row r="2157">
      <c r="N2157" s="34"/>
    </row>
    <row r="2158">
      <c r="N2158" s="34"/>
    </row>
    <row r="2159">
      <c r="N2159" s="34"/>
    </row>
    <row r="2160">
      <c r="N2160" s="34"/>
    </row>
    <row r="2161">
      <c r="N2161" s="34"/>
    </row>
    <row r="2162">
      <c r="N2162" s="34"/>
    </row>
    <row r="2163">
      <c r="N2163" s="34"/>
    </row>
    <row r="2164">
      <c r="N2164" s="34"/>
    </row>
    <row r="2165">
      <c r="N2165" s="34"/>
    </row>
    <row r="2166">
      <c r="N2166" s="34"/>
    </row>
    <row r="2167">
      <c r="N2167" s="34"/>
    </row>
    <row r="2168">
      <c r="N2168" s="34"/>
    </row>
    <row r="2169">
      <c r="N2169" s="34"/>
    </row>
    <row r="2170">
      <c r="N2170" s="34"/>
    </row>
    <row r="2171">
      <c r="N2171" s="34"/>
    </row>
    <row r="2172">
      <c r="N2172" s="34"/>
    </row>
    <row r="2173">
      <c r="N2173" s="34"/>
    </row>
    <row r="2174">
      <c r="N2174" s="34"/>
    </row>
    <row r="2175">
      <c r="N2175" s="34"/>
    </row>
    <row r="2176">
      <c r="N2176" s="34"/>
    </row>
    <row r="2177">
      <c r="N2177" s="34"/>
    </row>
    <row r="2178">
      <c r="N2178" s="34"/>
    </row>
    <row r="2179">
      <c r="N2179" s="34"/>
    </row>
    <row r="2180">
      <c r="N2180" s="34"/>
    </row>
    <row r="2181">
      <c r="N2181" s="34"/>
    </row>
    <row r="2182">
      <c r="N2182" s="34"/>
    </row>
    <row r="2183">
      <c r="N2183" s="34"/>
    </row>
    <row r="2184">
      <c r="N2184" s="34"/>
    </row>
    <row r="2185">
      <c r="N2185" s="34"/>
    </row>
    <row r="2186">
      <c r="N2186" s="34"/>
    </row>
    <row r="2187">
      <c r="N2187" s="34"/>
    </row>
    <row r="2188">
      <c r="N2188" s="34"/>
    </row>
    <row r="2189">
      <c r="N2189" s="34"/>
    </row>
    <row r="2190">
      <c r="N2190" s="34"/>
    </row>
    <row r="2191">
      <c r="N2191" s="34"/>
    </row>
    <row r="2192">
      <c r="N2192" s="34"/>
    </row>
    <row r="2193">
      <c r="N2193" s="34"/>
    </row>
    <row r="2194">
      <c r="N2194" s="34"/>
    </row>
    <row r="2195">
      <c r="N2195" s="34"/>
    </row>
    <row r="2196">
      <c r="N2196" s="34"/>
    </row>
    <row r="2197">
      <c r="N2197" s="34"/>
    </row>
    <row r="2198">
      <c r="N2198" s="34"/>
    </row>
    <row r="2199">
      <c r="N2199" s="34"/>
    </row>
    <row r="2200">
      <c r="N2200" s="34"/>
    </row>
    <row r="2201">
      <c r="N2201" s="34"/>
    </row>
    <row r="2202">
      <c r="N2202" s="34"/>
    </row>
    <row r="2203">
      <c r="N2203" s="34"/>
    </row>
    <row r="2204">
      <c r="N2204" s="34"/>
    </row>
    <row r="2205">
      <c r="N2205" s="34"/>
    </row>
    <row r="2206">
      <c r="N2206" s="34"/>
    </row>
    <row r="2207">
      <c r="N2207" s="34"/>
    </row>
    <row r="2208">
      <c r="N2208" s="34"/>
    </row>
    <row r="2209">
      <c r="N2209" s="34"/>
    </row>
    <row r="2210">
      <c r="N2210" s="34"/>
    </row>
    <row r="2211">
      <c r="N2211" s="34"/>
    </row>
    <row r="2212">
      <c r="N2212" s="34"/>
    </row>
    <row r="2213">
      <c r="N2213" s="34"/>
    </row>
    <row r="2214">
      <c r="N2214" s="34"/>
    </row>
    <row r="2215">
      <c r="N2215" s="34"/>
    </row>
    <row r="2216">
      <c r="N2216" s="34"/>
    </row>
    <row r="2217">
      <c r="N2217" s="34"/>
    </row>
    <row r="2218">
      <c r="N2218" s="34"/>
    </row>
    <row r="2219">
      <c r="N2219" s="34"/>
    </row>
    <row r="2220">
      <c r="N2220" s="34"/>
    </row>
    <row r="2221">
      <c r="N2221" s="34"/>
    </row>
    <row r="2222">
      <c r="N2222" s="34"/>
    </row>
    <row r="2223">
      <c r="N2223" s="34"/>
    </row>
    <row r="2224">
      <c r="N2224" s="34"/>
    </row>
    <row r="2225">
      <c r="N2225" s="34"/>
    </row>
    <row r="2226">
      <c r="N2226" s="34"/>
    </row>
    <row r="2227">
      <c r="N2227" s="34"/>
    </row>
    <row r="2228">
      <c r="N2228" s="34"/>
    </row>
    <row r="2229">
      <c r="N2229" s="34"/>
    </row>
    <row r="2230">
      <c r="N2230" s="34"/>
    </row>
    <row r="2231">
      <c r="N2231" s="34"/>
    </row>
    <row r="2232">
      <c r="N2232" s="34"/>
    </row>
    <row r="2233">
      <c r="N2233" s="34"/>
    </row>
    <row r="2234">
      <c r="N2234" s="34"/>
    </row>
    <row r="2235">
      <c r="N2235" s="34"/>
    </row>
    <row r="2236">
      <c r="N2236" s="34"/>
    </row>
    <row r="2237">
      <c r="N2237" s="34"/>
    </row>
    <row r="2238">
      <c r="N2238" s="34"/>
    </row>
    <row r="2239">
      <c r="N2239" s="34"/>
    </row>
    <row r="2240">
      <c r="N2240" s="34"/>
    </row>
    <row r="2241">
      <c r="N2241" s="34"/>
    </row>
    <row r="2242">
      <c r="N2242" s="34"/>
    </row>
    <row r="2243">
      <c r="N2243" s="34"/>
    </row>
    <row r="2244">
      <c r="N2244" s="34"/>
    </row>
    <row r="2245">
      <c r="N2245" s="34"/>
    </row>
    <row r="2246">
      <c r="N2246" s="34"/>
    </row>
    <row r="2247">
      <c r="N2247" s="34"/>
    </row>
    <row r="2248">
      <c r="N2248" s="34"/>
    </row>
    <row r="2249">
      <c r="N2249" s="34"/>
    </row>
    <row r="2250">
      <c r="N2250" s="34"/>
    </row>
    <row r="2251">
      <c r="N2251" s="34"/>
    </row>
    <row r="2252">
      <c r="N2252" s="34"/>
    </row>
    <row r="2253">
      <c r="N2253" s="34"/>
    </row>
    <row r="2254">
      <c r="N2254" s="34"/>
    </row>
    <row r="2255">
      <c r="N2255" s="34"/>
    </row>
    <row r="2256">
      <c r="N2256" s="34"/>
    </row>
    <row r="2257">
      <c r="N2257" s="34"/>
    </row>
    <row r="2258">
      <c r="N2258" s="34"/>
    </row>
    <row r="2259">
      <c r="N2259" s="34"/>
    </row>
    <row r="2260">
      <c r="N2260" s="34"/>
    </row>
    <row r="2261">
      <c r="N2261" s="34"/>
    </row>
    <row r="2262">
      <c r="N2262" s="34"/>
    </row>
    <row r="2263">
      <c r="N2263" s="34"/>
    </row>
    <row r="2264">
      <c r="N2264" s="34"/>
    </row>
    <row r="2265">
      <c r="N2265" s="34"/>
    </row>
    <row r="2266">
      <c r="N2266" s="34"/>
    </row>
    <row r="2267">
      <c r="N2267" s="34"/>
    </row>
    <row r="2268">
      <c r="N2268" s="34"/>
    </row>
    <row r="2269">
      <c r="N2269" s="34"/>
    </row>
    <row r="2270">
      <c r="N2270" s="34"/>
    </row>
    <row r="2271">
      <c r="N2271" s="34"/>
    </row>
    <row r="2272">
      <c r="N2272" s="34"/>
    </row>
    <row r="2273">
      <c r="N2273" s="34"/>
    </row>
    <row r="2274">
      <c r="N2274" s="34"/>
    </row>
    <row r="2275">
      <c r="N2275" s="34"/>
    </row>
    <row r="2276">
      <c r="N2276" s="34"/>
    </row>
    <row r="2277">
      <c r="N2277" s="34"/>
    </row>
    <row r="2278">
      <c r="N2278" s="34"/>
    </row>
    <row r="2279">
      <c r="N2279" s="34"/>
    </row>
    <row r="2280">
      <c r="N2280" s="34"/>
    </row>
    <row r="2281">
      <c r="N2281" s="34"/>
    </row>
    <row r="2282">
      <c r="N2282" s="34"/>
    </row>
    <row r="2283">
      <c r="N2283" s="34"/>
    </row>
    <row r="2284">
      <c r="N2284" s="34"/>
    </row>
    <row r="2285">
      <c r="N2285" s="34"/>
    </row>
    <row r="2286">
      <c r="N2286" s="34"/>
    </row>
    <row r="2287">
      <c r="N2287" s="34"/>
    </row>
    <row r="2288">
      <c r="N2288" s="34"/>
    </row>
    <row r="2289">
      <c r="N2289" s="34"/>
    </row>
    <row r="2290">
      <c r="N2290" s="34"/>
    </row>
    <row r="2291">
      <c r="N2291" s="34"/>
    </row>
    <row r="2292">
      <c r="N2292" s="34"/>
    </row>
    <row r="2293">
      <c r="N2293" s="34"/>
    </row>
    <row r="2294">
      <c r="N2294" s="34"/>
    </row>
    <row r="2295">
      <c r="N2295" s="34"/>
    </row>
    <row r="2296">
      <c r="N2296" s="34"/>
    </row>
    <row r="2297">
      <c r="N2297" s="34"/>
    </row>
    <row r="2298">
      <c r="N2298" s="34"/>
    </row>
    <row r="2299">
      <c r="N2299" s="34"/>
    </row>
    <row r="2300">
      <c r="N2300" s="34"/>
    </row>
    <row r="2301">
      <c r="N2301" s="34"/>
    </row>
    <row r="2302">
      <c r="N2302" s="34"/>
    </row>
    <row r="2303">
      <c r="N2303" s="34"/>
    </row>
    <row r="2304">
      <c r="N2304" s="34"/>
    </row>
    <row r="2305">
      <c r="N2305" s="34"/>
    </row>
    <row r="2306">
      <c r="N2306" s="34"/>
    </row>
    <row r="2307">
      <c r="N2307" s="34"/>
    </row>
    <row r="2308">
      <c r="N2308" s="34"/>
    </row>
    <row r="2309">
      <c r="N2309" s="34"/>
    </row>
    <row r="2310">
      <c r="N2310" s="34"/>
    </row>
    <row r="2311">
      <c r="N2311" s="34"/>
    </row>
    <row r="2312">
      <c r="N2312" s="34"/>
    </row>
    <row r="2313">
      <c r="N2313" s="34"/>
    </row>
    <row r="2314">
      <c r="N2314" s="34"/>
    </row>
    <row r="2315">
      <c r="N2315" s="34"/>
    </row>
    <row r="2316">
      <c r="N2316" s="34"/>
    </row>
    <row r="2317">
      <c r="N2317" s="34"/>
    </row>
    <row r="2318">
      <c r="N2318" s="34"/>
    </row>
    <row r="2319">
      <c r="N2319" s="34"/>
    </row>
    <row r="2320">
      <c r="N2320" s="34"/>
    </row>
    <row r="2321">
      <c r="N2321" s="34"/>
    </row>
    <row r="2322">
      <c r="N2322" s="34"/>
    </row>
    <row r="2323">
      <c r="N2323" s="34"/>
    </row>
    <row r="2324">
      <c r="N2324" s="34"/>
    </row>
    <row r="2325">
      <c r="N2325" s="34"/>
    </row>
    <row r="2326">
      <c r="N2326" s="34"/>
    </row>
    <row r="2327">
      <c r="N2327" s="34"/>
    </row>
    <row r="2328">
      <c r="N2328" s="34"/>
    </row>
    <row r="2329">
      <c r="N2329" s="34"/>
    </row>
    <row r="2330">
      <c r="N2330" s="34"/>
    </row>
    <row r="2331">
      <c r="N2331" s="34"/>
    </row>
    <row r="2332">
      <c r="N2332" s="34"/>
    </row>
    <row r="2333">
      <c r="N2333" s="34"/>
    </row>
    <row r="2334">
      <c r="N2334" s="34"/>
    </row>
    <row r="2335">
      <c r="N2335" s="34"/>
    </row>
    <row r="2336">
      <c r="N2336" s="34"/>
    </row>
    <row r="2337">
      <c r="N2337" s="34"/>
    </row>
    <row r="2338">
      <c r="N2338" s="34"/>
    </row>
    <row r="2339">
      <c r="N2339" s="34"/>
    </row>
    <row r="2340">
      <c r="N2340" s="34"/>
    </row>
    <row r="2341">
      <c r="N2341" s="34"/>
    </row>
    <row r="2342">
      <c r="N2342" s="34"/>
    </row>
    <row r="2343">
      <c r="N2343" s="34"/>
    </row>
    <row r="2344">
      <c r="N2344" s="34"/>
    </row>
    <row r="2345">
      <c r="N2345" s="34"/>
    </row>
    <row r="2346">
      <c r="N2346" s="34"/>
    </row>
    <row r="2347">
      <c r="N2347" s="34"/>
    </row>
    <row r="2348">
      <c r="N2348" s="34"/>
    </row>
    <row r="2349">
      <c r="N2349" s="34"/>
    </row>
    <row r="2350">
      <c r="N2350" s="34"/>
    </row>
    <row r="2351">
      <c r="N2351" s="34"/>
    </row>
    <row r="2352">
      <c r="N2352" s="34"/>
    </row>
    <row r="2353">
      <c r="N2353" s="34"/>
    </row>
    <row r="2354">
      <c r="N2354" s="34"/>
    </row>
    <row r="2355">
      <c r="N2355" s="34"/>
    </row>
    <row r="2356">
      <c r="N2356" s="34"/>
    </row>
    <row r="2357">
      <c r="N2357" s="34"/>
    </row>
    <row r="2358">
      <c r="N2358" s="34"/>
    </row>
    <row r="2359">
      <c r="N2359" s="34"/>
    </row>
    <row r="2360">
      <c r="N2360" s="34"/>
    </row>
    <row r="2361">
      <c r="N2361" s="34"/>
    </row>
    <row r="2362">
      <c r="N2362" s="34"/>
    </row>
    <row r="2363">
      <c r="N2363" s="34"/>
    </row>
    <row r="2364">
      <c r="N2364" s="34"/>
    </row>
    <row r="2365">
      <c r="N2365" s="34"/>
    </row>
    <row r="2366">
      <c r="N2366" s="34"/>
    </row>
    <row r="2367">
      <c r="N2367" s="34"/>
    </row>
    <row r="2368">
      <c r="N2368" s="34"/>
    </row>
    <row r="2369">
      <c r="N2369" s="34"/>
    </row>
    <row r="2370">
      <c r="N2370" s="34"/>
    </row>
    <row r="2371">
      <c r="N2371" s="34"/>
    </row>
    <row r="2372">
      <c r="N2372" s="34"/>
    </row>
    <row r="2373">
      <c r="N2373" s="34"/>
    </row>
    <row r="2374">
      <c r="N2374" s="34"/>
    </row>
    <row r="2375">
      <c r="N2375" s="34"/>
    </row>
    <row r="2376">
      <c r="N2376" s="34"/>
    </row>
    <row r="2377">
      <c r="N2377" s="34"/>
    </row>
    <row r="2378">
      <c r="N2378" s="34"/>
    </row>
    <row r="2379">
      <c r="N2379" s="34"/>
    </row>
    <row r="2380">
      <c r="N2380" s="34"/>
    </row>
    <row r="2381">
      <c r="N2381" s="34"/>
    </row>
    <row r="2382">
      <c r="N2382" s="34"/>
    </row>
    <row r="2383">
      <c r="N2383" s="34"/>
    </row>
    <row r="2384">
      <c r="N2384" s="34"/>
    </row>
    <row r="2385">
      <c r="N2385" s="34"/>
    </row>
    <row r="2386">
      <c r="N2386" s="34"/>
    </row>
    <row r="2387">
      <c r="N2387" s="34"/>
    </row>
    <row r="2388">
      <c r="N2388" s="34"/>
    </row>
    <row r="2389">
      <c r="N2389" s="34"/>
    </row>
    <row r="2390">
      <c r="N2390" s="34"/>
    </row>
    <row r="2391">
      <c r="N2391" s="34"/>
    </row>
    <row r="2392">
      <c r="N2392" s="34"/>
    </row>
    <row r="2393">
      <c r="N2393" s="34"/>
    </row>
    <row r="2394">
      <c r="N2394" s="34"/>
    </row>
    <row r="2395">
      <c r="N2395" s="34"/>
    </row>
    <row r="2396">
      <c r="N2396" s="34"/>
    </row>
    <row r="2397">
      <c r="N2397" s="34"/>
    </row>
    <row r="2398">
      <c r="N2398" s="34"/>
    </row>
    <row r="2399">
      <c r="N2399" s="34"/>
    </row>
    <row r="2400">
      <c r="N2400" s="34"/>
    </row>
    <row r="2401">
      <c r="N2401" s="34"/>
    </row>
    <row r="2402">
      <c r="N2402" s="34"/>
    </row>
    <row r="2403">
      <c r="N2403" s="34"/>
    </row>
    <row r="2404">
      <c r="N2404" s="34"/>
    </row>
    <row r="2405">
      <c r="N2405" s="34"/>
    </row>
    <row r="2406">
      <c r="N2406" s="34"/>
    </row>
    <row r="2407">
      <c r="N2407" s="34"/>
    </row>
    <row r="2408">
      <c r="N2408" s="34"/>
    </row>
    <row r="2409">
      <c r="N2409" s="34"/>
    </row>
    <row r="2410">
      <c r="N2410" s="34"/>
    </row>
    <row r="2411">
      <c r="N2411" s="34"/>
    </row>
    <row r="2412">
      <c r="N2412" s="34"/>
    </row>
    <row r="2413">
      <c r="N2413" s="34"/>
    </row>
    <row r="2414">
      <c r="N2414" s="34"/>
    </row>
    <row r="2415">
      <c r="N2415" s="34"/>
    </row>
    <row r="2416">
      <c r="N2416" s="34"/>
    </row>
    <row r="2417">
      <c r="N2417" s="34"/>
    </row>
    <row r="2418">
      <c r="N2418" s="34"/>
    </row>
    <row r="2419">
      <c r="N2419" s="34"/>
    </row>
    <row r="2420">
      <c r="N2420" s="34"/>
    </row>
    <row r="2421">
      <c r="N2421" s="34"/>
    </row>
    <row r="2422">
      <c r="N2422" s="34"/>
    </row>
    <row r="2423">
      <c r="N2423" s="34"/>
    </row>
    <row r="2424">
      <c r="N2424" s="34"/>
    </row>
    <row r="2425">
      <c r="N2425" s="34"/>
    </row>
    <row r="2426">
      <c r="N2426" s="34"/>
    </row>
    <row r="2427">
      <c r="N2427" s="34"/>
    </row>
    <row r="2428">
      <c r="N2428" s="34"/>
    </row>
    <row r="2429">
      <c r="N2429" s="34"/>
    </row>
    <row r="2430">
      <c r="N2430" s="34"/>
    </row>
    <row r="2431">
      <c r="N2431" s="34"/>
    </row>
    <row r="2432">
      <c r="N2432" s="34"/>
    </row>
    <row r="2433">
      <c r="N2433" s="34"/>
    </row>
    <row r="2434">
      <c r="N2434" s="34"/>
    </row>
    <row r="2435">
      <c r="N2435" s="34"/>
    </row>
    <row r="2436">
      <c r="N2436" s="34"/>
    </row>
    <row r="2437">
      <c r="N2437" s="34"/>
    </row>
    <row r="2438">
      <c r="N2438" s="34"/>
    </row>
    <row r="2439">
      <c r="N2439" s="34"/>
    </row>
    <row r="2440">
      <c r="N2440" s="34"/>
    </row>
    <row r="2441">
      <c r="N2441" s="34"/>
    </row>
    <row r="2442">
      <c r="N2442" s="34"/>
    </row>
    <row r="2443">
      <c r="N2443" s="34"/>
    </row>
    <row r="2444">
      <c r="N2444" s="34"/>
    </row>
    <row r="2445">
      <c r="N2445" s="34"/>
    </row>
    <row r="2446">
      <c r="N2446" s="34"/>
    </row>
    <row r="2447">
      <c r="N2447" s="34"/>
    </row>
    <row r="2448">
      <c r="N2448" s="34"/>
    </row>
    <row r="2449">
      <c r="N2449" s="34"/>
    </row>
    <row r="2450">
      <c r="N2450" s="34"/>
    </row>
    <row r="2451">
      <c r="N2451" s="34"/>
    </row>
    <row r="2452">
      <c r="N2452" s="34"/>
    </row>
    <row r="2453">
      <c r="N2453" s="34"/>
    </row>
    <row r="2454">
      <c r="N2454" s="34"/>
    </row>
    <row r="2455">
      <c r="N2455" s="34"/>
    </row>
    <row r="2456">
      <c r="N2456" s="34"/>
    </row>
    <row r="2457">
      <c r="N2457" s="34"/>
    </row>
    <row r="2458">
      <c r="N2458" s="34"/>
    </row>
    <row r="2459">
      <c r="N2459" s="34"/>
    </row>
    <row r="2460">
      <c r="N2460" s="34"/>
    </row>
    <row r="2461">
      <c r="N2461" s="34"/>
    </row>
    <row r="2462">
      <c r="N2462" s="34"/>
    </row>
    <row r="2463">
      <c r="N2463" s="34"/>
    </row>
    <row r="2464">
      <c r="N2464" s="34"/>
    </row>
    <row r="2465">
      <c r="N2465" s="34"/>
    </row>
    <row r="2466">
      <c r="N2466" s="34"/>
    </row>
    <row r="2467">
      <c r="N2467" s="34"/>
    </row>
    <row r="2468">
      <c r="N2468" s="34"/>
    </row>
    <row r="2469">
      <c r="N2469" s="34"/>
    </row>
    <row r="2470">
      <c r="N2470" s="34"/>
    </row>
    <row r="2471">
      <c r="N2471" s="34"/>
    </row>
    <row r="2472">
      <c r="N2472" s="34"/>
    </row>
    <row r="2473">
      <c r="N2473" s="34"/>
    </row>
    <row r="2474">
      <c r="N2474" s="34"/>
    </row>
    <row r="2475">
      <c r="N2475" s="34"/>
    </row>
    <row r="2476">
      <c r="N2476" s="34"/>
    </row>
    <row r="2477">
      <c r="N2477" s="34"/>
    </row>
    <row r="2478">
      <c r="N2478" s="34"/>
    </row>
    <row r="2479">
      <c r="N2479" s="34"/>
    </row>
    <row r="2480">
      <c r="N2480" s="34"/>
    </row>
    <row r="2481">
      <c r="N2481" s="34"/>
    </row>
    <row r="2482">
      <c r="N2482" s="34"/>
    </row>
    <row r="2483">
      <c r="N2483" s="34"/>
    </row>
    <row r="2484">
      <c r="N2484" s="34"/>
    </row>
    <row r="2485">
      <c r="N2485" s="34"/>
    </row>
    <row r="2486">
      <c r="N2486" s="34"/>
    </row>
    <row r="2487">
      <c r="N2487" s="34"/>
    </row>
    <row r="2488">
      <c r="N2488" s="34"/>
    </row>
    <row r="2489">
      <c r="N2489" s="34"/>
    </row>
    <row r="2490">
      <c r="N2490" s="34"/>
    </row>
    <row r="2491">
      <c r="N2491" s="34"/>
    </row>
    <row r="2492">
      <c r="N2492" s="34"/>
    </row>
    <row r="2493">
      <c r="N2493" s="34"/>
    </row>
    <row r="2494">
      <c r="N2494" s="34"/>
    </row>
    <row r="2495">
      <c r="N2495" s="34"/>
    </row>
    <row r="2496">
      <c r="N2496" s="34"/>
    </row>
    <row r="2497">
      <c r="N2497" s="34"/>
    </row>
    <row r="2498">
      <c r="N2498" s="34"/>
    </row>
    <row r="2499">
      <c r="N2499" s="34"/>
    </row>
    <row r="2500">
      <c r="N2500" s="34"/>
    </row>
    <row r="2501">
      <c r="N2501" s="34"/>
    </row>
    <row r="2502">
      <c r="N2502" s="34"/>
    </row>
    <row r="2503">
      <c r="N2503" s="34"/>
    </row>
    <row r="2504">
      <c r="N2504" s="34"/>
    </row>
    <row r="2505">
      <c r="N2505" s="34"/>
    </row>
    <row r="2506">
      <c r="N2506" s="34"/>
    </row>
    <row r="2507">
      <c r="N2507" s="34"/>
    </row>
    <row r="2508">
      <c r="N2508" s="34"/>
    </row>
    <row r="2509">
      <c r="N2509" s="34"/>
    </row>
    <row r="2510">
      <c r="N2510" s="34"/>
    </row>
    <row r="2511">
      <c r="N2511" s="34"/>
    </row>
    <row r="2512">
      <c r="N2512" s="34"/>
    </row>
    <row r="2513">
      <c r="N2513" s="34"/>
    </row>
    <row r="2514">
      <c r="N2514" s="34"/>
    </row>
    <row r="2515">
      <c r="N2515" s="34"/>
    </row>
    <row r="2516">
      <c r="N2516" s="34"/>
    </row>
    <row r="2517">
      <c r="N2517" s="34"/>
    </row>
    <row r="2518">
      <c r="N2518" s="34"/>
    </row>
    <row r="2519">
      <c r="N2519" s="34"/>
    </row>
    <row r="2520">
      <c r="N2520" s="34"/>
    </row>
    <row r="2521">
      <c r="N2521" s="34"/>
    </row>
    <row r="2522">
      <c r="N2522" s="34"/>
    </row>
    <row r="2523">
      <c r="N2523" s="34"/>
    </row>
    <row r="2524">
      <c r="N2524" s="34"/>
    </row>
    <row r="2525">
      <c r="N2525" s="34"/>
    </row>
    <row r="2526">
      <c r="N2526" s="34"/>
    </row>
    <row r="2527">
      <c r="N2527" s="34"/>
    </row>
    <row r="2528">
      <c r="N2528" s="34"/>
    </row>
    <row r="2529">
      <c r="N2529" s="34"/>
    </row>
    <row r="2530">
      <c r="N2530" s="34"/>
    </row>
    <row r="2531">
      <c r="N2531" s="34"/>
    </row>
    <row r="2532">
      <c r="N2532" s="34"/>
    </row>
    <row r="2533">
      <c r="N2533" s="34"/>
    </row>
    <row r="2534">
      <c r="N2534" s="34"/>
    </row>
    <row r="2535">
      <c r="N2535" s="34"/>
    </row>
    <row r="2536">
      <c r="N2536" s="34"/>
    </row>
    <row r="2537">
      <c r="N2537" s="34"/>
    </row>
    <row r="2538">
      <c r="N2538" s="34"/>
    </row>
    <row r="2539">
      <c r="N2539" s="34"/>
    </row>
    <row r="2540">
      <c r="N2540" s="34"/>
    </row>
    <row r="2541">
      <c r="N2541" s="34"/>
    </row>
    <row r="2542">
      <c r="N2542" s="34"/>
    </row>
    <row r="2543">
      <c r="N2543" s="34"/>
    </row>
    <row r="2544">
      <c r="N2544" s="34"/>
    </row>
    <row r="2545">
      <c r="N2545" s="34"/>
    </row>
    <row r="2546">
      <c r="N2546" s="34"/>
    </row>
    <row r="2547">
      <c r="N2547" s="34"/>
    </row>
    <row r="2548">
      <c r="N2548" s="34"/>
    </row>
    <row r="2549">
      <c r="N2549" s="34"/>
    </row>
    <row r="2550">
      <c r="N2550" s="34"/>
    </row>
    <row r="2551">
      <c r="N2551" s="34"/>
    </row>
    <row r="2552">
      <c r="N2552" s="34"/>
    </row>
    <row r="2553">
      <c r="N2553" s="34"/>
    </row>
    <row r="2554">
      <c r="N2554" s="34"/>
    </row>
    <row r="2555">
      <c r="N2555" s="34"/>
    </row>
    <row r="2556">
      <c r="N2556" s="34"/>
    </row>
    <row r="2557">
      <c r="N2557" s="34"/>
    </row>
    <row r="2558">
      <c r="N2558" s="34"/>
    </row>
    <row r="2559">
      <c r="N2559" s="34"/>
    </row>
    <row r="2560">
      <c r="N2560" s="34"/>
    </row>
    <row r="2561">
      <c r="N2561" s="34"/>
    </row>
    <row r="2562">
      <c r="N2562" s="34"/>
    </row>
    <row r="2563">
      <c r="N2563" s="34"/>
    </row>
    <row r="2564">
      <c r="N2564" s="34"/>
    </row>
    <row r="2565">
      <c r="N2565" s="34"/>
    </row>
    <row r="2566">
      <c r="N2566" s="34"/>
    </row>
    <row r="2567">
      <c r="N2567" s="34"/>
    </row>
    <row r="2568">
      <c r="N2568" s="34"/>
    </row>
    <row r="2569">
      <c r="N2569" s="34"/>
    </row>
    <row r="2570">
      <c r="N2570" s="34"/>
    </row>
    <row r="2571">
      <c r="N2571" s="34"/>
    </row>
    <row r="2572">
      <c r="N2572" s="34"/>
    </row>
    <row r="2573">
      <c r="N2573" s="34"/>
    </row>
    <row r="2574">
      <c r="N2574" s="34"/>
    </row>
    <row r="2575">
      <c r="N2575" s="34"/>
    </row>
    <row r="2576">
      <c r="N2576" s="34"/>
    </row>
    <row r="2577">
      <c r="N2577" s="34"/>
    </row>
    <row r="2578">
      <c r="N2578" s="34"/>
    </row>
    <row r="2579">
      <c r="N2579" s="34"/>
    </row>
    <row r="2580">
      <c r="N2580" s="34"/>
    </row>
    <row r="2581">
      <c r="N2581" s="34"/>
    </row>
    <row r="2582">
      <c r="N2582" s="34"/>
    </row>
    <row r="2583">
      <c r="N2583" s="34"/>
    </row>
    <row r="2584">
      <c r="N2584" s="34"/>
    </row>
    <row r="2585">
      <c r="N2585" s="34"/>
    </row>
    <row r="2586">
      <c r="N2586" s="34"/>
    </row>
    <row r="2587">
      <c r="N2587" s="34"/>
    </row>
    <row r="2588">
      <c r="N2588" s="34"/>
    </row>
    <row r="2589">
      <c r="N2589" s="34"/>
    </row>
    <row r="2590">
      <c r="N2590" s="34"/>
    </row>
    <row r="2591">
      <c r="N2591" s="34"/>
    </row>
    <row r="2592">
      <c r="N2592" s="34"/>
    </row>
    <row r="2593">
      <c r="N2593" s="34"/>
    </row>
    <row r="2594">
      <c r="N2594" s="34"/>
    </row>
    <row r="2595">
      <c r="N2595" s="34"/>
    </row>
    <row r="2596">
      <c r="N2596" s="34"/>
    </row>
    <row r="2597">
      <c r="N2597" s="34"/>
    </row>
    <row r="2598">
      <c r="N2598" s="34"/>
    </row>
    <row r="2599">
      <c r="N2599" s="34"/>
    </row>
    <row r="2600">
      <c r="N2600" s="34"/>
    </row>
    <row r="2601">
      <c r="N2601" s="34"/>
    </row>
    <row r="2602">
      <c r="N2602" s="34"/>
    </row>
    <row r="2603">
      <c r="N2603" s="34"/>
    </row>
    <row r="2604">
      <c r="N2604" s="34"/>
    </row>
    <row r="2605">
      <c r="N2605" s="34"/>
    </row>
    <row r="2606">
      <c r="N2606" s="34"/>
    </row>
    <row r="2607">
      <c r="N2607" s="34"/>
    </row>
    <row r="2608">
      <c r="N2608" s="34"/>
    </row>
    <row r="2609">
      <c r="N2609" s="34"/>
    </row>
    <row r="2610">
      <c r="N2610" s="34"/>
    </row>
    <row r="2611">
      <c r="N2611" s="34"/>
    </row>
    <row r="2612">
      <c r="N2612" s="34"/>
    </row>
    <row r="2613">
      <c r="N2613" s="34"/>
    </row>
    <row r="2614">
      <c r="N2614" s="34"/>
    </row>
    <row r="2615">
      <c r="N2615" s="34"/>
    </row>
    <row r="2616">
      <c r="N2616" s="34"/>
    </row>
    <row r="2617">
      <c r="N2617" s="34"/>
    </row>
    <row r="2618">
      <c r="N2618" s="34"/>
    </row>
    <row r="2619">
      <c r="N2619" s="34"/>
    </row>
    <row r="2620">
      <c r="N2620" s="34"/>
    </row>
    <row r="2621">
      <c r="N2621" s="34"/>
    </row>
    <row r="2622">
      <c r="N2622" s="34"/>
    </row>
    <row r="2623">
      <c r="N2623" s="34"/>
    </row>
    <row r="2624">
      <c r="N2624" s="34"/>
    </row>
    <row r="2625">
      <c r="N2625" s="34"/>
    </row>
    <row r="2626">
      <c r="N2626" s="34"/>
    </row>
    <row r="2627">
      <c r="N2627" s="34"/>
    </row>
    <row r="2628">
      <c r="N2628" s="34"/>
    </row>
    <row r="2629">
      <c r="N2629" s="34"/>
    </row>
    <row r="2630">
      <c r="N2630" s="34"/>
    </row>
    <row r="2631">
      <c r="N2631" s="34"/>
    </row>
    <row r="2632">
      <c r="N2632" s="34"/>
    </row>
    <row r="2633">
      <c r="N2633" s="34"/>
    </row>
    <row r="2634">
      <c r="N2634" s="34"/>
    </row>
    <row r="2635">
      <c r="N2635" s="34"/>
    </row>
    <row r="2636">
      <c r="N2636" s="34"/>
    </row>
    <row r="2637">
      <c r="N2637" s="34"/>
    </row>
    <row r="2638">
      <c r="N2638" s="34"/>
    </row>
    <row r="2639">
      <c r="N2639" s="34"/>
    </row>
    <row r="2640">
      <c r="N2640" s="34"/>
    </row>
    <row r="2641">
      <c r="N2641" s="34"/>
    </row>
    <row r="2642">
      <c r="N2642" s="34"/>
    </row>
    <row r="2643">
      <c r="N2643" s="34"/>
    </row>
    <row r="2644">
      <c r="N2644" s="34"/>
    </row>
    <row r="2645">
      <c r="N2645" s="34"/>
    </row>
    <row r="2646">
      <c r="N2646" s="34"/>
    </row>
    <row r="2647">
      <c r="N2647" s="34"/>
    </row>
    <row r="2648">
      <c r="N2648" s="34"/>
    </row>
    <row r="2649">
      <c r="N2649" s="34"/>
    </row>
    <row r="2650">
      <c r="N2650" s="34"/>
    </row>
    <row r="2651">
      <c r="N2651" s="34"/>
    </row>
    <row r="2652">
      <c r="N2652" s="34"/>
    </row>
    <row r="2653">
      <c r="N2653" s="34"/>
    </row>
    <row r="2654">
      <c r="N2654" s="34"/>
    </row>
    <row r="2655">
      <c r="N2655" s="34"/>
    </row>
    <row r="2656">
      <c r="N2656" s="34"/>
    </row>
    <row r="2657">
      <c r="N2657" s="34"/>
    </row>
    <row r="2658">
      <c r="N2658" s="34"/>
    </row>
    <row r="2659">
      <c r="N2659" s="34"/>
    </row>
    <row r="2660">
      <c r="N2660" s="34"/>
    </row>
    <row r="2661">
      <c r="N2661" s="34"/>
    </row>
    <row r="2662">
      <c r="N2662" s="34"/>
    </row>
    <row r="2663">
      <c r="N2663" s="34"/>
    </row>
    <row r="2664">
      <c r="N2664" s="34"/>
    </row>
    <row r="2665">
      <c r="N2665" s="34"/>
    </row>
    <row r="2666">
      <c r="N2666" s="34"/>
    </row>
    <row r="2667">
      <c r="N2667" s="34"/>
    </row>
    <row r="2668">
      <c r="N2668" s="34"/>
    </row>
    <row r="2669">
      <c r="N2669" s="34"/>
    </row>
    <row r="2670">
      <c r="N2670" s="34"/>
    </row>
    <row r="2671">
      <c r="N2671" s="34"/>
    </row>
    <row r="2672">
      <c r="N2672" s="34"/>
    </row>
    <row r="2673">
      <c r="N2673" s="34"/>
    </row>
    <row r="2674">
      <c r="N2674" s="34"/>
    </row>
    <row r="2675">
      <c r="N2675" s="34"/>
    </row>
    <row r="2676">
      <c r="N2676" s="34"/>
    </row>
    <row r="2677">
      <c r="N2677" s="34"/>
    </row>
    <row r="2678">
      <c r="N2678" s="34"/>
    </row>
    <row r="2679">
      <c r="N2679" s="34"/>
    </row>
    <row r="2680">
      <c r="N2680" s="34"/>
    </row>
    <row r="2681">
      <c r="N2681" s="34"/>
    </row>
    <row r="2682">
      <c r="N2682" s="34"/>
    </row>
    <row r="2683">
      <c r="N2683" s="34"/>
    </row>
    <row r="2684">
      <c r="N2684" s="34"/>
    </row>
    <row r="2685">
      <c r="N2685" s="34"/>
    </row>
    <row r="2686">
      <c r="N2686" s="34"/>
    </row>
    <row r="2687">
      <c r="N2687" s="34"/>
    </row>
    <row r="2688">
      <c r="N2688" s="34"/>
    </row>
    <row r="2689">
      <c r="N2689" s="34"/>
    </row>
    <row r="2690">
      <c r="N2690" s="34"/>
    </row>
    <row r="2691">
      <c r="N2691" s="34"/>
    </row>
    <row r="2692">
      <c r="N2692" s="34"/>
    </row>
    <row r="2693">
      <c r="N2693" s="34"/>
    </row>
    <row r="2694">
      <c r="N2694" s="34"/>
    </row>
    <row r="2695">
      <c r="N2695" s="34"/>
    </row>
    <row r="2696">
      <c r="N2696" s="34"/>
    </row>
    <row r="2697">
      <c r="N2697" s="34"/>
    </row>
    <row r="2698">
      <c r="N2698" s="34"/>
    </row>
    <row r="2699">
      <c r="N2699" s="34"/>
    </row>
    <row r="2700">
      <c r="N2700" s="34"/>
    </row>
    <row r="2701">
      <c r="N2701" s="34"/>
    </row>
    <row r="2702">
      <c r="N2702" s="34"/>
    </row>
    <row r="2703">
      <c r="N2703" s="34"/>
    </row>
    <row r="2704">
      <c r="N2704" s="34"/>
    </row>
    <row r="2705">
      <c r="N2705" s="34"/>
    </row>
    <row r="2706">
      <c r="N2706" s="34"/>
    </row>
    <row r="2707">
      <c r="N2707" s="34"/>
    </row>
    <row r="2708">
      <c r="N2708" s="34"/>
    </row>
    <row r="2709">
      <c r="N2709" s="34"/>
    </row>
    <row r="2710">
      <c r="N2710" s="34"/>
    </row>
    <row r="2711">
      <c r="N2711" s="34"/>
    </row>
    <row r="2712">
      <c r="N2712" s="34"/>
    </row>
    <row r="2713">
      <c r="N2713" s="34"/>
    </row>
    <row r="2714">
      <c r="N2714" s="34"/>
    </row>
    <row r="2715">
      <c r="N2715" s="34"/>
    </row>
    <row r="2716">
      <c r="N2716" s="34"/>
    </row>
    <row r="2717">
      <c r="N2717" s="34"/>
    </row>
    <row r="2718">
      <c r="N2718" s="34"/>
    </row>
    <row r="2719">
      <c r="N2719" s="34"/>
    </row>
    <row r="2720">
      <c r="N2720" s="34"/>
    </row>
    <row r="2721">
      <c r="N2721" s="34"/>
    </row>
    <row r="2722">
      <c r="N2722" s="34"/>
    </row>
    <row r="2723">
      <c r="N2723" s="34"/>
    </row>
    <row r="2724">
      <c r="N2724" s="34"/>
    </row>
    <row r="2725">
      <c r="N2725" s="34"/>
    </row>
    <row r="2726">
      <c r="N2726" s="34"/>
    </row>
    <row r="2727">
      <c r="N2727" s="34"/>
    </row>
    <row r="2728">
      <c r="N2728" s="34"/>
    </row>
    <row r="2729">
      <c r="N2729" s="34"/>
    </row>
    <row r="2730">
      <c r="N2730" s="34"/>
    </row>
    <row r="2731">
      <c r="N2731" s="34"/>
    </row>
    <row r="2732">
      <c r="N2732" s="34"/>
    </row>
    <row r="2733">
      <c r="N2733" s="34"/>
    </row>
    <row r="2734">
      <c r="N2734" s="34"/>
    </row>
    <row r="2735">
      <c r="N2735" s="34"/>
    </row>
    <row r="2736">
      <c r="N2736" s="34"/>
    </row>
    <row r="2737">
      <c r="N2737" s="34"/>
    </row>
    <row r="2738">
      <c r="N2738" s="34"/>
    </row>
    <row r="2739">
      <c r="N2739" s="34"/>
    </row>
    <row r="2740">
      <c r="N2740" s="34"/>
    </row>
    <row r="2741">
      <c r="N2741" s="34"/>
    </row>
    <row r="2742">
      <c r="N2742" s="34"/>
    </row>
    <row r="2743">
      <c r="N2743" s="34"/>
    </row>
    <row r="2744">
      <c r="N2744" s="34"/>
    </row>
    <row r="2745">
      <c r="N2745" s="34"/>
    </row>
    <row r="2746">
      <c r="N2746" s="34"/>
    </row>
    <row r="2747">
      <c r="N2747" s="34"/>
    </row>
    <row r="2748">
      <c r="N2748" s="34"/>
    </row>
    <row r="2749">
      <c r="N2749" s="34"/>
    </row>
    <row r="2750">
      <c r="N2750" s="34"/>
    </row>
    <row r="2751">
      <c r="N2751" s="34"/>
    </row>
    <row r="2752">
      <c r="N2752" s="34"/>
    </row>
    <row r="2753">
      <c r="N2753" s="34"/>
    </row>
    <row r="2754">
      <c r="N2754" s="34"/>
    </row>
    <row r="2755">
      <c r="N2755" s="34"/>
    </row>
    <row r="2756">
      <c r="N2756" s="34"/>
    </row>
    <row r="2757">
      <c r="N2757" s="34"/>
    </row>
    <row r="2758">
      <c r="N2758" s="34"/>
    </row>
    <row r="2759">
      <c r="N2759" s="34"/>
    </row>
    <row r="2760">
      <c r="N2760" s="34"/>
    </row>
    <row r="2761">
      <c r="N2761" s="34"/>
    </row>
    <row r="2762">
      <c r="N2762" s="34"/>
    </row>
    <row r="2763">
      <c r="N2763" s="34"/>
    </row>
    <row r="2764">
      <c r="N2764" s="34"/>
    </row>
    <row r="2765">
      <c r="N2765" s="34"/>
    </row>
    <row r="2766">
      <c r="N2766" s="34"/>
    </row>
    <row r="2767">
      <c r="N2767" s="34"/>
    </row>
    <row r="2768">
      <c r="N2768" s="34"/>
    </row>
    <row r="2769">
      <c r="N2769" s="34"/>
    </row>
    <row r="2770">
      <c r="N2770" s="34"/>
    </row>
    <row r="2771">
      <c r="N2771" s="34"/>
    </row>
    <row r="2772">
      <c r="N2772" s="34"/>
    </row>
    <row r="2773">
      <c r="N2773" s="34"/>
    </row>
    <row r="2774">
      <c r="N2774" s="34"/>
    </row>
    <row r="2775">
      <c r="N2775" s="34"/>
    </row>
    <row r="2776">
      <c r="N2776" s="34"/>
    </row>
    <row r="2777">
      <c r="N2777" s="34"/>
    </row>
    <row r="2778">
      <c r="N2778" s="34"/>
    </row>
    <row r="2779">
      <c r="N2779" s="34"/>
    </row>
    <row r="2780">
      <c r="N2780" s="34"/>
    </row>
    <row r="2781">
      <c r="N2781" s="34"/>
    </row>
    <row r="2782">
      <c r="N2782" s="34"/>
    </row>
    <row r="2783">
      <c r="N2783" s="34"/>
    </row>
    <row r="2784">
      <c r="N2784" s="34"/>
    </row>
    <row r="2785">
      <c r="N2785" s="34"/>
    </row>
    <row r="2786">
      <c r="N2786" s="34"/>
    </row>
    <row r="2787">
      <c r="N2787" s="34"/>
    </row>
    <row r="2788">
      <c r="N2788" s="34"/>
    </row>
    <row r="2789">
      <c r="N2789" s="34"/>
    </row>
    <row r="2790">
      <c r="N2790" s="34"/>
    </row>
    <row r="2791">
      <c r="N2791" s="34"/>
    </row>
    <row r="2792">
      <c r="N2792" s="34"/>
    </row>
    <row r="2793">
      <c r="N2793" s="34"/>
    </row>
    <row r="2794">
      <c r="N2794" s="34"/>
    </row>
    <row r="2795">
      <c r="N2795" s="34"/>
    </row>
    <row r="2796">
      <c r="N2796" s="34"/>
    </row>
    <row r="2797">
      <c r="N2797" s="34"/>
    </row>
    <row r="2798">
      <c r="N2798" s="34"/>
    </row>
    <row r="2799">
      <c r="N2799" s="34"/>
    </row>
    <row r="2800">
      <c r="N2800" s="34"/>
    </row>
    <row r="2801">
      <c r="N2801" s="34"/>
    </row>
    <row r="2802">
      <c r="N2802" s="34"/>
    </row>
    <row r="2803">
      <c r="N2803" s="34"/>
    </row>
    <row r="2804">
      <c r="N2804" s="34"/>
    </row>
    <row r="2805">
      <c r="N2805" s="34"/>
    </row>
    <row r="2806">
      <c r="N2806" s="34"/>
    </row>
    <row r="2807">
      <c r="N2807" s="34"/>
    </row>
    <row r="2808">
      <c r="N2808" s="34"/>
    </row>
    <row r="2809">
      <c r="N2809" s="34"/>
    </row>
    <row r="2810">
      <c r="N2810" s="34"/>
    </row>
    <row r="2811">
      <c r="N2811" s="34"/>
    </row>
    <row r="2812">
      <c r="N2812" s="34"/>
    </row>
    <row r="2813">
      <c r="N2813" s="34"/>
    </row>
    <row r="2814">
      <c r="N2814" s="34"/>
    </row>
    <row r="2815">
      <c r="N2815" s="34"/>
    </row>
    <row r="2816">
      <c r="N2816" s="34"/>
    </row>
    <row r="2817">
      <c r="N2817" s="34"/>
    </row>
    <row r="2818">
      <c r="N2818" s="34"/>
    </row>
    <row r="2819">
      <c r="N2819" s="34"/>
    </row>
    <row r="2820">
      <c r="N2820" s="34"/>
    </row>
    <row r="2821">
      <c r="N2821" s="34"/>
    </row>
    <row r="2822">
      <c r="N2822" s="34"/>
    </row>
    <row r="2823">
      <c r="N2823" s="34"/>
    </row>
    <row r="2824">
      <c r="N2824" s="34"/>
    </row>
    <row r="2825">
      <c r="N2825" s="34"/>
    </row>
    <row r="2826">
      <c r="N2826" s="34"/>
    </row>
    <row r="2827">
      <c r="N2827" s="34"/>
    </row>
    <row r="2828">
      <c r="N2828" s="34"/>
    </row>
    <row r="2829">
      <c r="N2829" s="34"/>
    </row>
    <row r="2830">
      <c r="N2830" s="34"/>
    </row>
    <row r="2831">
      <c r="N2831" s="34"/>
    </row>
    <row r="2832">
      <c r="N2832" s="34"/>
    </row>
    <row r="2833">
      <c r="N2833" s="34"/>
    </row>
    <row r="2834">
      <c r="N2834" s="34"/>
    </row>
    <row r="2835">
      <c r="N2835" s="34"/>
    </row>
    <row r="2836">
      <c r="N2836" s="34"/>
    </row>
    <row r="2837">
      <c r="N2837" s="34"/>
    </row>
    <row r="2838">
      <c r="N2838" s="34"/>
    </row>
    <row r="2839">
      <c r="N2839" s="34"/>
    </row>
    <row r="2840">
      <c r="N2840" s="34"/>
    </row>
    <row r="2841">
      <c r="N2841" s="34"/>
    </row>
    <row r="2842">
      <c r="N2842" s="34"/>
    </row>
    <row r="2843">
      <c r="N2843" s="34"/>
    </row>
    <row r="2844">
      <c r="N2844" s="34"/>
    </row>
    <row r="2845">
      <c r="N2845" s="34"/>
    </row>
    <row r="2846">
      <c r="N2846" s="34"/>
    </row>
    <row r="2847">
      <c r="N2847" s="34"/>
    </row>
    <row r="2848">
      <c r="N2848" s="34"/>
    </row>
    <row r="2849">
      <c r="N2849" s="34"/>
    </row>
    <row r="2850">
      <c r="N2850" s="34"/>
    </row>
    <row r="2851">
      <c r="N2851" s="34"/>
    </row>
    <row r="2852">
      <c r="N2852" s="34"/>
    </row>
    <row r="2853">
      <c r="N2853" s="34"/>
    </row>
    <row r="2854">
      <c r="N2854" s="34"/>
    </row>
    <row r="2855">
      <c r="N2855" s="34"/>
    </row>
    <row r="2856">
      <c r="N2856" s="34"/>
    </row>
    <row r="2857">
      <c r="N2857" s="34"/>
    </row>
    <row r="2858">
      <c r="N2858" s="34"/>
    </row>
    <row r="2859">
      <c r="N2859" s="34"/>
    </row>
    <row r="2860">
      <c r="N2860" s="34"/>
    </row>
    <row r="2861">
      <c r="N2861" s="34"/>
    </row>
    <row r="2862">
      <c r="N2862" s="34"/>
    </row>
    <row r="2863">
      <c r="N2863" s="34"/>
    </row>
    <row r="2864">
      <c r="N2864" s="34"/>
    </row>
    <row r="2865">
      <c r="N2865" s="34"/>
    </row>
    <row r="2866">
      <c r="N2866" s="34"/>
    </row>
    <row r="2867">
      <c r="N2867" s="34"/>
    </row>
    <row r="2868">
      <c r="N2868" s="34"/>
    </row>
    <row r="2869">
      <c r="N2869" s="34"/>
    </row>
    <row r="2870">
      <c r="N2870" s="34"/>
    </row>
    <row r="2871">
      <c r="N2871" s="34"/>
    </row>
    <row r="2872">
      <c r="N2872" s="34"/>
    </row>
    <row r="2873">
      <c r="N2873" s="34"/>
    </row>
    <row r="2874">
      <c r="N2874" s="34"/>
    </row>
    <row r="2875">
      <c r="N2875" s="34"/>
    </row>
    <row r="2876">
      <c r="N2876" s="34"/>
    </row>
    <row r="2877">
      <c r="N2877" s="34"/>
    </row>
    <row r="2878">
      <c r="N2878" s="34"/>
    </row>
    <row r="2879">
      <c r="N2879" s="34"/>
    </row>
    <row r="2880">
      <c r="N2880" s="34"/>
    </row>
    <row r="2881">
      <c r="N2881" s="34"/>
    </row>
    <row r="2882">
      <c r="N2882" s="34"/>
    </row>
    <row r="2883">
      <c r="N2883" s="34"/>
    </row>
    <row r="2884">
      <c r="N2884" s="34"/>
    </row>
    <row r="2885">
      <c r="N2885" s="34"/>
    </row>
    <row r="2886">
      <c r="N2886" s="34"/>
    </row>
    <row r="2887">
      <c r="N2887" s="34"/>
    </row>
    <row r="2888">
      <c r="N2888" s="34"/>
    </row>
    <row r="2889">
      <c r="N2889" s="34"/>
    </row>
    <row r="2890">
      <c r="N2890" s="34"/>
    </row>
    <row r="2891">
      <c r="N2891" s="34"/>
    </row>
    <row r="2892">
      <c r="N2892" s="34"/>
    </row>
    <row r="2893">
      <c r="N2893" s="34"/>
    </row>
    <row r="2894">
      <c r="N2894" s="34"/>
    </row>
    <row r="2895">
      <c r="N2895" s="34"/>
    </row>
    <row r="2896">
      <c r="N2896" s="34"/>
    </row>
    <row r="2897">
      <c r="N2897" s="34"/>
    </row>
    <row r="2898">
      <c r="N2898" s="34"/>
    </row>
    <row r="2899">
      <c r="N2899" s="34"/>
    </row>
    <row r="2900">
      <c r="N2900" s="34"/>
    </row>
    <row r="2901">
      <c r="N2901" s="34"/>
    </row>
    <row r="2902">
      <c r="N2902" s="34"/>
    </row>
    <row r="2903">
      <c r="N2903" s="34"/>
    </row>
    <row r="2904">
      <c r="N2904" s="34"/>
    </row>
    <row r="2905">
      <c r="N2905" s="34"/>
    </row>
    <row r="2906">
      <c r="N2906" s="34"/>
    </row>
    <row r="2907">
      <c r="N2907" s="34"/>
    </row>
    <row r="2908">
      <c r="N2908" s="34"/>
    </row>
    <row r="2909">
      <c r="N2909" s="34"/>
    </row>
    <row r="2910">
      <c r="N2910" s="34"/>
    </row>
    <row r="2911">
      <c r="N2911" s="34"/>
    </row>
    <row r="2912">
      <c r="N2912" s="34"/>
    </row>
    <row r="2913">
      <c r="N2913" s="34"/>
    </row>
    <row r="2914">
      <c r="N2914" s="34"/>
    </row>
    <row r="2915">
      <c r="N2915" s="34"/>
    </row>
    <row r="2916">
      <c r="N2916" s="34"/>
    </row>
    <row r="2917">
      <c r="N2917" s="34"/>
    </row>
    <row r="2918">
      <c r="N2918" s="34"/>
    </row>
    <row r="2919">
      <c r="N2919" s="34"/>
    </row>
    <row r="2920">
      <c r="N2920" s="34"/>
    </row>
    <row r="2921">
      <c r="N2921" s="34"/>
    </row>
    <row r="2922">
      <c r="N2922" s="34"/>
    </row>
    <row r="2923">
      <c r="N2923" s="34"/>
    </row>
    <row r="2924">
      <c r="N2924" s="34"/>
    </row>
    <row r="2925">
      <c r="N2925" s="34"/>
    </row>
    <row r="2926">
      <c r="N2926" s="34"/>
    </row>
    <row r="2927">
      <c r="N2927" s="34"/>
    </row>
    <row r="2928">
      <c r="N2928" s="34"/>
    </row>
    <row r="2929">
      <c r="N2929" s="34"/>
    </row>
    <row r="2930">
      <c r="N2930" s="34"/>
    </row>
    <row r="2931">
      <c r="N2931" s="34"/>
    </row>
    <row r="2932">
      <c r="N2932" s="34"/>
    </row>
    <row r="2933">
      <c r="N2933" s="34"/>
    </row>
    <row r="2934">
      <c r="N2934" s="34"/>
    </row>
    <row r="2935">
      <c r="N2935" s="34"/>
    </row>
    <row r="2936">
      <c r="N2936" s="34"/>
    </row>
    <row r="2937">
      <c r="N2937" s="34"/>
    </row>
    <row r="2938">
      <c r="N2938" s="34"/>
    </row>
    <row r="2939">
      <c r="N2939" s="34"/>
    </row>
    <row r="2940">
      <c r="N2940" s="34"/>
    </row>
    <row r="2941">
      <c r="N2941" s="34"/>
    </row>
    <row r="2942">
      <c r="N2942" s="34"/>
    </row>
    <row r="2943">
      <c r="N2943" s="34"/>
    </row>
    <row r="2944">
      <c r="N2944" s="34"/>
    </row>
    <row r="2945">
      <c r="N2945" s="34"/>
    </row>
    <row r="2946">
      <c r="N2946" s="34"/>
    </row>
    <row r="2947">
      <c r="N2947" s="34"/>
    </row>
    <row r="2948">
      <c r="N2948" s="34"/>
    </row>
    <row r="2949">
      <c r="N2949" s="34"/>
    </row>
    <row r="2950">
      <c r="N2950" s="34"/>
    </row>
    <row r="2951">
      <c r="N2951" s="34"/>
    </row>
    <row r="2952">
      <c r="N2952" s="34"/>
    </row>
    <row r="2953">
      <c r="N2953" s="34"/>
    </row>
    <row r="2954">
      <c r="N2954" s="34"/>
    </row>
    <row r="2955">
      <c r="N2955" s="34"/>
    </row>
    <row r="2956">
      <c r="N2956" s="34"/>
    </row>
    <row r="2957">
      <c r="N2957" s="34"/>
    </row>
    <row r="2958">
      <c r="N2958" s="34"/>
    </row>
    <row r="2959">
      <c r="N2959" s="34"/>
    </row>
    <row r="2960">
      <c r="N2960" s="34"/>
    </row>
    <row r="2961">
      <c r="N2961" s="34"/>
    </row>
    <row r="2962">
      <c r="N2962" s="34"/>
    </row>
    <row r="2963">
      <c r="N2963" s="34"/>
    </row>
    <row r="2964">
      <c r="N2964" s="34"/>
    </row>
    <row r="2965">
      <c r="N2965" s="34"/>
    </row>
    <row r="2966">
      <c r="N2966" s="34"/>
    </row>
    <row r="2967">
      <c r="N2967" s="34"/>
    </row>
    <row r="2968">
      <c r="N2968" s="34"/>
    </row>
    <row r="2969">
      <c r="N2969" s="34"/>
    </row>
    <row r="2970">
      <c r="N2970" s="34"/>
    </row>
    <row r="2971">
      <c r="N2971" s="34"/>
    </row>
    <row r="2972">
      <c r="N2972" s="34"/>
    </row>
    <row r="2973">
      <c r="N2973" s="34"/>
    </row>
    <row r="2974">
      <c r="N2974" s="3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13.0"/>
    <col customWidth="1" min="2" max="14" width="8.57"/>
    <col customWidth="1" min="15" max="17" width="9.57"/>
    <col customWidth="1" min="18" max="18" width="12.71"/>
    <col customWidth="1" min="19" max="21" width="8.57"/>
    <col customWidth="1" min="22" max="32" width="14.43"/>
  </cols>
  <sheetData>
    <row r="1" ht="15.75" customHeight="1">
      <c r="A1" s="55"/>
      <c r="B1" s="16" t="s">
        <v>17</v>
      </c>
      <c r="C1" s="55" t="s">
        <v>4152</v>
      </c>
      <c r="D1" s="55" t="s">
        <v>4153</v>
      </c>
      <c r="E1" s="55" t="s">
        <v>4154</v>
      </c>
      <c r="F1" s="55" t="s">
        <v>4155</v>
      </c>
      <c r="G1" s="55" t="s">
        <v>4157</v>
      </c>
      <c r="H1" s="55" t="s">
        <v>2137</v>
      </c>
      <c r="I1" s="55" t="s">
        <v>4159</v>
      </c>
      <c r="J1" s="55" t="s">
        <v>120</v>
      </c>
      <c r="K1" s="55" t="s">
        <v>4162</v>
      </c>
      <c r="L1" s="55" t="s">
        <v>4164</v>
      </c>
      <c r="M1" s="55" t="s">
        <v>4165</v>
      </c>
      <c r="N1" s="55" t="s">
        <v>4168</v>
      </c>
      <c r="O1" s="55" t="s">
        <v>4169</v>
      </c>
      <c r="P1" s="55" t="s">
        <v>4170</v>
      </c>
      <c r="Q1" s="56" t="s">
        <v>4172</v>
      </c>
      <c r="R1" s="56" t="s">
        <v>4175</v>
      </c>
      <c r="S1" s="55" t="s">
        <v>4176</v>
      </c>
      <c r="T1" s="55" t="s">
        <v>4177</v>
      </c>
      <c r="U1" s="55" t="s">
        <v>4178</v>
      </c>
      <c r="V1" s="55" t="s">
        <v>4179</v>
      </c>
      <c r="W1" s="55"/>
      <c r="X1" s="55"/>
      <c r="Y1" s="55"/>
      <c r="Z1" s="55"/>
      <c r="AA1" s="55"/>
      <c r="AB1" s="55"/>
      <c r="AC1" s="55"/>
      <c r="AD1" s="55"/>
      <c r="AE1" s="55"/>
      <c r="AF1" s="55"/>
    </row>
    <row r="2" ht="15.75" customHeight="1">
      <c r="A2" s="56">
        <v>2019.0</v>
      </c>
      <c r="B2" s="55"/>
      <c r="C2" s="55"/>
      <c r="D2" s="56">
        <v>25.0</v>
      </c>
      <c r="E2" s="57">
        <v>0.25</v>
      </c>
      <c r="F2" s="55"/>
      <c r="G2" s="58"/>
      <c r="H2" s="56">
        <v>53.0</v>
      </c>
      <c r="I2" s="59">
        <v>0.248</v>
      </c>
      <c r="J2" s="56">
        <v>42.0</v>
      </c>
      <c r="K2" s="59">
        <v>0.247</v>
      </c>
      <c r="L2" s="56">
        <v>9.0</v>
      </c>
      <c r="M2" s="60">
        <v>0.3</v>
      </c>
      <c r="N2" s="56">
        <v>47.0</v>
      </c>
      <c r="O2" s="56">
        <v>12.0</v>
      </c>
      <c r="P2" s="55">
        <f t="shared" ref="P2:P4" si="1">SUM(O2,N2,L2,J2,H2,D2)</f>
        <v>188</v>
      </c>
      <c r="Q2" s="61">
        <f t="shared" ref="Q2:Q4" si="2">SUM(D2,H2,J2,L2)</f>
        <v>129</v>
      </c>
      <c r="R2" s="55">
        <f t="shared" ref="R2:R31" si="3">J2+H2+D2+B2</f>
        <v>120</v>
      </c>
      <c r="S2" s="56">
        <v>59.0</v>
      </c>
      <c r="T2" s="62">
        <v>0.312</v>
      </c>
      <c r="U2" s="56">
        <v>24.0</v>
      </c>
      <c r="V2" s="63">
        <f>24/91</f>
        <v>0.2637362637</v>
      </c>
      <c r="W2" s="55"/>
      <c r="X2" s="55"/>
      <c r="Y2" s="55"/>
      <c r="Z2" s="55"/>
      <c r="AA2" s="55"/>
      <c r="AB2" s="55"/>
      <c r="AC2" s="55"/>
      <c r="AD2" s="55"/>
      <c r="AE2" s="55"/>
      <c r="AF2" s="55"/>
    </row>
    <row r="3" ht="15.75" customHeight="1">
      <c r="A3" s="56">
        <v>2018.0</v>
      </c>
      <c r="B3" s="55"/>
      <c r="C3" s="55"/>
      <c r="D3" s="56">
        <v>32.0</v>
      </c>
      <c r="E3" s="58">
        <f>D3/128</f>
        <v>0.25</v>
      </c>
      <c r="F3" s="55"/>
      <c r="G3" s="58"/>
      <c r="H3" s="56">
        <v>47.0</v>
      </c>
      <c r="I3" s="59">
        <f>47/183</f>
        <v>0.2568306011</v>
      </c>
      <c r="J3" s="56">
        <v>41.0</v>
      </c>
      <c r="K3" s="59">
        <f>J3/164</f>
        <v>0.25</v>
      </c>
      <c r="L3" s="56">
        <v>7.0</v>
      </c>
      <c r="M3" s="60">
        <f>48/164</f>
        <v>0.2926829268</v>
      </c>
      <c r="N3" s="56">
        <v>42.0</v>
      </c>
      <c r="O3" s="56">
        <v>12.0</v>
      </c>
      <c r="P3" s="55">
        <f t="shared" si="1"/>
        <v>181</v>
      </c>
      <c r="Q3" s="61">
        <f t="shared" si="2"/>
        <v>127</v>
      </c>
      <c r="R3" s="55">
        <f t="shared" si="3"/>
        <v>120</v>
      </c>
      <c r="S3" s="56">
        <v>47.0</v>
      </c>
      <c r="T3" s="62">
        <v>0.29</v>
      </c>
      <c r="U3" s="56">
        <v>23.0</v>
      </c>
      <c r="V3" s="62">
        <v>0.267</v>
      </c>
      <c r="W3" s="55"/>
      <c r="X3" s="55"/>
      <c r="Y3" s="55"/>
      <c r="Z3" s="55"/>
      <c r="AA3" s="55"/>
      <c r="AB3" s="55"/>
      <c r="AC3" s="55"/>
      <c r="AD3" s="55"/>
      <c r="AE3" s="55"/>
      <c r="AF3" s="55"/>
    </row>
    <row r="4" ht="15.75" customHeight="1">
      <c r="A4" s="55">
        <v>2017.0</v>
      </c>
      <c r="B4" s="55"/>
      <c r="C4" s="55"/>
      <c r="D4" s="56">
        <v>23.0</v>
      </c>
      <c r="E4" s="58">
        <f>23/120</f>
        <v>0.1916666667</v>
      </c>
      <c r="F4" s="55"/>
      <c r="G4" s="58"/>
      <c r="H4" s="56">
        <v>39.0</v>
      </c>
      <c r="I4" s="59">
        <f>39/170</f>
        <v>0.2294117647</v>
      </c>
      <c r="J4" s="56">
        <v>37.0</v>
      </c>
      <c r="K4" s="64">
        <f>37/176</f>
        <v>0.2102272727</v>
      </c>
      <c r="L4" s="56">
        <v>15.0</v>
      </c>
      <c r="M4" s="65">
        <f>52/176</f>
        <v>0.2954545455</v>
      </c>
      <c r="N4" s="56">
        <v>21.0</v>
      </c>
      <c r="O4" s="56">
        <v>8.0</v>
      </c>
      <c r="P4" s="55">
        <f t="shared" si="1"/>
        <v>143</v>
      </c>
      <c r="Q4" s="61">
        <f t="shared" si="2"/>
        <v>114</v>
      </c>
      <c r="R4" s="55">
        <f t="shared" si="3"/>
        <v>99</v>
      </c>
      <c r="S4" s="55">
        <v>46.0</v>
      </c>
      <c r="T4" s="63">
        <v>0.271</v>
      </c>
      <c r="U4" s="55">
        <v>29.0</v>
      </c>
      <c r="V4" s="63">
        <v>0.293</v>
      </c>
      <c r="W4" s="55"/>
      <c r="X4" s="55"/>
      <c r="Y4" s="55"/>
      <c r="Z4" s="55"/>
      <c r="AA4" s="55"/>
      <c r="AB4" s="55"/>
      <c r="AC4" s="55"/>
      <c r="AD4" s="55"/>
      <c r="AE4" s="55"/>
      <c r="AF4" s="55"/>
    </row>
    <row r="5" ht="15.75" customHeight="1">
      <c r="A5" s="55">
        <v>2016.0</v>
      </c>
      <c r="B5" s="55"/>
      <c r="C5" s="55"/>
      <c r="D5" s="55">
        <v>30.0</v>
      </c>
      <c r="E5" s="63">
        <f>D5/126</f>
        <v>0.2380952381</v>
      </c>
      <c r="F5" s="55"/>
      <c r="G5" s="58"/>
      <c r="H5" s="55">
        <v>37.0</v>
      </c>
      <c r="I5" s="63">
        <f>37/165</f>
        <v>0.2242424242</v>
      </c>
      <c r="J5" s="55">
        <v>33.0</v>
      </c>
      <c r="K5" s="63">
        <f>J5/157</f>
        <v>0.2101910828</v>
      </c>
      <c r="L5" s="55">
        <v>15.0</v>
      </c>
      <c r="M5" s="63">
        <f>(J5+L5)/157</f>
        <v>0.3057324841</v>
      </c>
      <c r="N5" s="55">
        <v>23.0</v>
      </c>
      <c r="O5" s="55">
        <v>10.0</v>
      </c>
      <c r="P5" s="55">
        <f t="shared" ref="P5:P6" si="4">SUM(D5,H5,J5,L5,N5,F5,O5)</f>
        <v>148</v>
      </c>
      <c r="Q5" s="61">
        <f t="shared" ref="Q5:Q6" si="5">SUM(D5,H5,J5,L5,F5)</f>
        <v>115</v>
      </c>
      <c r="R5" s="55">
        <f t="shared" si="3"/>
        <v>100</v>
      </c>
      <c r="S5" s="55">
        <v>50.0</v>
      </c>
      <c r="T5" s="63">
        <f>50/183</f>
        <v>0.2732240437</v>
      </c>
      <c r="U5" s="55">
        <v>29.0</v>
      </c>
      <c r="V5" s="63">
        <f>29/97</f>
        <v>0.2989690722</v>
      </c>
      <c r="W5" s="55"/>
      <c r="X5" s="55"/>
      <c r="Y5" s="55"/>
      <c r="Z5" s="55"/>
      <c r="AA5" s="55"/>
      <c r="AB5" s="55"/>
      <c r="AC5" s="55"/>
      <c r="AD5" s="55"/>
      <c r="AE5" s="55"/>
      <c r="AF5" s="55"/>
    </row>
    <row r="6" ht="15.75" customHeight="1">
      <c r="A6" s="55">
        <v>2015.0</v>
      </c>
      <c r="B6" s="55"/>
      <c r="C6" s="55"/>
      <c r="D6" s="55">
        <f>COUNTIFS('Main dataset (DEPRECATED)'!B:B,"=2015",'Main dataset (DEPRECATED)'!H:H,"&lt;&gt;X",'Main dataset (DEPRECATED)'!A:A,"=SciVis",'Main dataset (DEPRECATED)'!I:I,"=J")</f>
        <v>33</v>
      </c>
      <c r="E6" s="63">
        <f>D6/134</f>
        <v>0.2462686567</v>
      </c>
      <c r="F6" s="55">
        <f>COUNTIFS('Main dataset (DEPRECATED)'!B:B,"=2015",'Main dataset (DEPRECATED)'!H:H,"&lt;&gt;X",'Main dataset (DEPRECATED)'!A:A,"=SciVis",'Main dataset (DEPRECATED)'!I:I,"=C")</f>
        <v>9</v>
      </c>
      <c r="G6" s="63">
        <f>(D6+F6)/134</f>
        <v>0.3134328358</v>
      </c>
      <c r="H6" s="55">
        <f>COUNTIFS('Main dataset (DEPRECATED)'!B:B,"=2015",'Main dataset (DEPRECATED)'!H:H,"&lt;&gt;X",'Main dataset (DEPRECATED)'!A:A,"=InfoVis")</f>
        <v>38</v>
      </c>
      <c r="I6" s="63">
        <f>H6/178</f>
        <v>0.2134831461</v>
      </c>
      <c r="J6" s="55">
        <f>COUNTIFS('Main dataset (DEPRECATED)'!B:B,"=2015",'Main dataset (DEPRECATED)'!H:H,"&lt;&gt;X",'Main dataset (DEPRECATED)'!A:A,"=VAST",'Main dataset (DEPRECATED)'!I:I,"=J")</f>
        <v>33</v>
      </c>
      <c r="K6" s="63">
        <v>0.221</v>
      </c>
      <c r="L6" s="55">
        <f>COUNTIFS('Main dataset (DEPRECATED)'!B:B,"=2015",'Main dataset (DEPRECATED)'!H:H,"&lt;&gt;X",'Main dataset (DEPRECATED)'!A:A,"=VAST",'Main dataset (DEPRECATED)'!I:I,"=C")</f>
        <v>14</v>
      </c>
      <c r="M6" s="63">
        <f>(J6+L6)/149</f>
        <v>0.3154362416</v>
      </c>
      <c r="N6" s="55">
        <v>17.0</v>
      </c>
      <c r="O6" s="55">
        <v>15.0</v>
      </c>
      <c r="P6" s="55">
        <f t="shared" si="4"/>
        <v>159</v>
      </c>
      <c r="Q6" s="61">
        <f t="shared" si="5"/>
        <v>127</v>
      </c>
      <c r="R6" s="55">
        <f t="shared" si="3"/>
        <v>104</v>
      </c>
      <c r="S6" s="55">
        <v>51.0</v>
      </c>
      <c r="T6" s="63">
        <f>51/160</f>
        <v>0.31875</v>
      </c>
      <c r="U6" s="55">
        <v>28.0</v>
      </c>
      <c r="V6" s="63">
        <f>28/92</f>
        <v>0.3043478261</v>
      </c>
      <c r="W6" s="55"/>
      <c r="X6" s="55"/>
      <c r="Y6" s="55"/>
      <c r="Z6" s="55"/>
      <c r="AA6" s="55"/>
      <c r="AB6" s="55"/>
      <c r="AC6" s="55"/>
      <c r="AD6" s="55"/>
      <c r="AE6" s="55"/>
      <c r="AF6" s="55"/>
    </row>
    <row r="7" ht="15.75" customHeight="1">
      <c r="A7" s="55">
        <v>2014.0</v>
      </c>
      <c r="B7" s="55"/>
      <c r="C7" s="55"/>
      <c r="D7" s="55">
        <f>COUNTIFS('Main dataset (DEPRECATED)'!B:B,"=2014",'Main dataset (DEPRECATED)'!H:H,"&lt;&gt;X",'Main dataset (DEPRECATED)'!A:A,"=SciVis")</f>
        <v>34</v>
      </c>
      <c r="E7" s="63">
        <v>0.25</v>
      </c>
      <c r="F7" s="55"/>
      <c r="G7" s="55"/>
      <c r="H7" s="55">
        <f>COUNTIFS('Main dataset (DEPRECATED)'!B:B,"=2014",'Main dataset (DEPRECATED)'!H:H,"&lt;&gt;X",'Main dataset (DEPRECATED)'!A:A,"=InfoVis")</f>
        <v>45</v>
      </c>
      <c r="I7" s="63">
        <v>0.23</v>
      </c>
      <c r="J7" s="55">
        <f>COUNTIFS('Main dataset (DEPRECATED)'!B:B,"=2014",'Main dataset (DEPRECATED)'!H:H,"&lt;&gt;X",'Main dataset (DEPRECATED)'!A:A,"=VAST",'Main dataset (DEPRECATED)'!I:I,"=J")</f>
        <v>33</v>
      </c>
      <c r="K7" s="63">
        <f>J7/136</f>
        <v>0.2426470588</v>
      </c>
      <c r="L7" s="55">
        <f>COUNTIFS('Main dataset (DEPRECATED)'!B:B,"=2014",'Main dataset (DEPRECATED)'!H:H,"&lt;&gt;X",'Main dataset (DEPRECATED)'!A:A,"=VAST",'Main dataset (DEPRECATED)'!I:I,"=C")</f>
        <v>21</v>
      </c>
      <c r="M7" s="63">
        <f>54/136</f>
        <v>0.3970588235</v>
      </c>
      <c r="N7" s="55">
        <v>20.0</v>
      </c>
      <c r="O7" s="55"/>
      <c r="P7" s="55">
        <f t="shared" ref="P7:P8" si="6">SUM(D7,H7,J7,L7,N7)</f>
        <v>153</v>
      </c>
      <c r="Q7" s="61">
        <f t="shared" ref="Q7:Q8" si="7">SUM(D7,H7,J7,L7)</f>
        <v>133</v>
      </c>
      <c r="R7" s="55">
        <f t="shared" si="3"/>
        <v>112</v>
      </c>
      <c r="S7" s="55">
        <v>42.0</v>
      </c>
      <c r="T7" s="63">
        <f>42/161</f>
        <v>0.2608695652</v>
      </c>
      <c r="U7" s="55">
        <v>29.0</v>
      </c>
      <c r="V7" s="63">
        <f>29/98</f>
        <v>0.2959183673</v>
      </c>
      <c r="W7" s="55"/>
      <c r="X7" s="55"/>
      <c r="Y7" s="55"/>
      <c r="Z7" s="55"/>
      <c r="AA7" s="55"/>
      <c r="AB7" s="55"/>
      <c r="AC7" s="55"/>
      <c r="AD7" s="55"/>
      <c r="AE7" s="55"/>
      <c r="AF7" s="55"/>
    </row>
    <row r="8" ht="15.75" customHeight="1">
      <c r="A8" s="55">
        <v>2013.0</v>
      </c>
      <c r="B8" s="55"/>
      <c r="C8" s="55"/>
      <c r="D8" s="55">
        <f>COUNTIFS('Main dataset (DEPRECATED)'!B:B,"=2013",'Main dataset (DEPRECATED)'!H:H,"&lt;&gt;X",'Main dataset (DEPRECATED)'!A:A,"=SciVis")</f>
        <v>31</v>
      </c>
      <c r="E8" s="63">
        <v>0.246</v>
      </c>
      <c r="F8" s="55"/>
      <c r="G8" s="55"/>
      <c r="H8" s="55">
        <f>COUNTIFS('Main dataset (DEPRECATED)'!B:B,"=2013",'Main dataset (DEPRECATED)'!H:H,"&lt;&gt;X",'Main dataset (DEPRECATED)'!A:A,"=InfoVis")</f>
        <v>38</v>
      </c>
      <c r="I8" s="63">
        <v>0.252</v>
      </c>
      <c r="J8" s="55">
        <f>COUNTIFS('Main dataset (DEPRECATED)'!B:B,"=2013",'Main dataset (DEPRECATED)'!H:H,"&lt;&gt;X",'Main dataset (DEPRECATED)'!A:A,"=VAST")</f>
        <v>32</v>
      </c>
      <c r="K8" s="63">
        <v>0.256</v>
      </c>
      <c r="L8" s="55"/>
      <c r="M8" s="63"/>
      <c r="N8" s="55">
        <v>20.0</v>
      </c>
      <c r="O8" s="55"/>
      <c r="P8" s="55">
        <f t="shared" si="6"/>
        <v>121</v>
      </c>
      <c r="Q8" s="61">
        <f t="shared" si="7"/>
        <v>101</v>
      </c>
      <c r="R8" s="55">
        <f t="shared" si="3"/>
        <v>101</v>
      </c>
      <c r="S8" s="55">
        <v>49.0</v>
      </c>
      <c r="T8" s="63">
        <v>0.277</v>
      </c>
      <c r="U8" s="55">
        <v>34.0</v>
      </c>
      <c r="V8" s="63">
        <v>0.291</v>
      </c>
      <c r="W8" s="55"/>
      <c r="X8" s="55"/>
      <c r="Y8" s="55"/>
      <c r="Z8" s="55"/>
      <c r="AA8" s="55"/>
      <c r="AB8" s="55"/>
      <c r="AC8" s="55"/>
      <c r="AD8" s="55"/>
      <c r="AE8" s="55"/>
      <c r="AF8" s="55"/>
    </row>
    <row r="9" ht="15.75" customHeight="1">
      <c r="A9" s="55">
        <f t="shared" ref="A9:A31" si="8">A8-1</f>
        <v>2012</v>
      </c>
      <c r="B9" s="55">
        <f>COUNTIFS('Main dataset (DEPRECATED)'!B:B,"=2012",'Main dataset (DEPRECATED)'!H:H,"&lt;&gt;X",'Main dataset (DEPRECATED)'!A:A,"=VIS")</f>
        <v>42</v>
      </c>
      <c r="C9" s="63">
        <v>0.273</v>
      </c>
      <c r="D9" s="66"/>
      <c r="E9" s="66"/>
      <c r="F9" s="55"/>
      <c r="G9" s="55"/>
      <c r="H9" s="55">
        <f>COUNTIFS('Main dataset (DEPRECATED)'!B:B,"=2012",'Main dataset (DEPRECATED)'!H:H,"&lt;&gt;X",'Main dataset (DEPRECATED)'!A:A,"=InfoVis")</f>
        <v>44</v>
      </c>
      <c r="I9" s="63">
        <v>0.247</v>
      </c>
      <c r="J9" s="55">
        <f>COUNTIFS('Main dataset (DEPRECATED)'!B:B,"=2012",'Main dataset (DEPRECATED)'!H:H,"&lt;&gt;X",'Main dataset (DEPRECATED)'!A:A,"=VAST")</f>
        <v>30</v>
      </c>
      <c r="K9" s="63">
        <v>0.288</v>
      </c>
      <c r="L9" s="55"/>
      <c r="M9" s="63"/>
      <c r="N9" s="55">
        <v>23.0</v>
      </c>
      <c r="O9" s="55"/>
      <c r="P9" s="55">
        <f t="shared" ref="P9:P10" si="9">SUM(B9,H9,J9,L9,N9)</f>
        <v>139</v>
      </c>
      <c r="Q9" s="61">
        <f t="shared" ref="Q9:Q31" si="10">SUM(B9,H9,J9,L9)</f>
        <v>116</v>
      </c>
      <c r="R9" s="55">
        <f t="shared" si="3"/>
        <v>116</v>
      </c>
      <c r="S9" s="55">
        <v>52.0</v>
      </c>
      <c r="T9" s="63">
        <v>0.257</v>
      </c>
      <c r="U9" s="55">
        <v>30.0</v>
      </c>
      <c r="V9" s="63">
        <v>0.341</v>
      </c>
      <c r="W9" s="55"/>
      <c r="X9" s="55"/>
      <c r="Y9" s="55"/>
      <c r="Z9" s="55"/>
      <c r="AA9" s="55"/>
      <c r="AB9" s="55"/>
      <c r="AC9" s="55"/>
      <c r="AD9" s="55"/>
      <c r="AE9" s="55"/>
      <c r="AF9" s="55"/>
    </row>
    <row r="10" ht="15.75" customHeight="1">
      <c r="A10" s="55">
        <f t="shared" si="8"/>
        <v>2011</v>
      </c>
      <c r="B10" s="55">
        <f>COUNTIFS('Main dataset (DEPRECATED)'!B:B,"=2011",'Main dataset (DEPRECATED)'!H:H,"&lt;&gt;X",'Main dataset (DEPRECATED)'!A:A,"=VIS")</f>
        <v>49</v>
      </c>
      <c r="C10" s="63">
        <v>0.253</v>
      </c>
      <c r="D10" s="66"/>
      <c r="E10" s="66"/>
      <c r="F10" s="55"/>
      <c r="G10" s="55"/>
      <c r="H10" s="55">
        <f>COUNTIFS('Main dataset (DEPRECATED)'!B:B,"=2011",'Main dataset (DEPRECATED)'!H:H,"&lt;&gt;X",'Main dataset (DEPRECATED)'!A:A,"=InfoVis")</f>
        <v>44</v>
      </c>
      <c r="I10" s="63">
        <v>0.256</v>
      </c>
      <c r="J10" s="55">
        <v>26.0</v>
      </c>
      <c r="K10" s="63">
        <f>26/80</f>
        <v>0.325</v>
      </c>
      <c r="L10" s="55"/>
      <c r="M10" s="63"/>
      <c r="N10" s="55">
        <v>20.0</v>
      </c>
      <c r="O10" s="55"/>
      <c r="P10" s="55">
        <f t="shared" si="9"/>
        <v>139</v>
      </c>
      <c r="Q10" s="61">
        <f t="shared" si="10"/>
        <v>119</v>
      </c>
      <c r="R10" s="55">
        <f t="shared" si="3"/>
        <v>119</v>
      </c>
      <c r="S10" s="55">
        <v>54.0</v>
      </c>
      <c r="T10" s="63">
        <v>0.284</v>
      </c>
      <c r="U10" s="55">
        <v>26.0</v>
      </c>
      <c r="V10" s="63">
        <v>0.321</v>
      </c>
      <c r="W10" s="55"/>
      <c r="X10" s="55"/>
      <c r="Y10" s="55"/>
      <c r="Z10" s="55"/>
      <c r="AA10" s="55"/>
      <c r="AB10" s="55"/>
      <c r="AC10" s="55"/>
      <c r="AD10" s="55"/>
      <c r="AE10" s="55"/>
      <c r="AF10" s="55"/>
    </row>
    <row r="11" ht="15.75" customHeight="1">
      <c r="A11" s="55">
        <f t="shared" si="8"/>
        <v>2010</v>
      </c>
      <c r="B11" s="69">
        <f>COUNTIFS('Main dataset (DEPRECATED)'!B:B,"=2010",'Main dataset (DEPRECATED)'!H:H,"&lt;&gt;X",'Main dataset (DEPRECATED)'!A:A,"=VIS")</f>
        <v>48</v>
      </c>
      <c r="C11" s="63">
        <v>0.264</v>
      </c>
      <c r="D11" s="66"/>
      <c r="E11" s="66"/>
      <c r="F11" s="55"/>
      <c r="G11" s="55"/>
      <c r="H11" s="55">
        <f>COUNTIFS('Main dataset (DEPRECATED)'!B:B,"=2010",'Main dataset (DEPRECATED)'!H:H,"&lt;&gt;X",'Main dataset (DEPRECATED)'!A:A,"=InfoVis")</f>
        <v>35</v>
      </c>
      <c r="I11" s="63">
        <v>0.259</v>
      </c>
      <c r="J11" s="55">
        <f>COUNTIFS('Main dataset (DEPRECATED)'!B:B,"=2010",'Main dataset (DEPRECATED)'!H:H,"&lt;&gt;X",'Main dataset (DEPRECATED)'!A:A,"=VAST")</f>
        <v>26</v>
      </c>
      <c r="K11" s="63">
        <v>0.277</v>
      </c>
      <c r="L11" s="55"/>
      <c r="M11" s="63"/>
      <c r="N11" s="55"/>
      <c r="O11" s="55"/>
      <c r="P11" s="55">
        <f t="shared" ref="P11:P31" si="11">SUM(B11,H11,J11)</f>
        <v>109</v>
      </c>
      <c r="Q11" s="61">
        <f t="shared" si="10"/>
        <v>109</v>
      </c>
      <c r="R11" s="55">
        <f t="shared" si="3"/>
        <v>109</v>
      </c>
      <c r="S11" s="55">
        <v>48.0</v>
      </c>
      <c r="T11" s="63">
        <v>0.293</v>
      </c>
      <c r="U11" s="55">
        <v>27.0</v>
      </c>
      <c r="V11" s="63">
        <v>0.325</v>
      </c>
      <c r="W11" s="55"/>
      <c r="X11" s="55"/>
      <c r="Y11" s="55"/>
      <c r="Z11" s="55"/>
      <c r="AA11" s="55"/>
      <c r="AB11" s="55"/>
      <c r="AC11" s="55"/>
      <c r="AD11" s="55"/>
      <c r="AE11" s="55"/>
      <c r="AF11" s="55"/>
    </row>
    <row r="12" ht="15.75" customHeight="1">
      <c r="A12" s="55">
        <f t="shared" si="8"/>
        <v>2009</v>
      </c>
      <c r="B12" s="55">
        <f>COUNTIFS('Main dataset (DEPRECATED)'!B:B,"=2009",'Main dataset (DEPRECATED)'!H:H,"&lt;&gt;X",'Main dataset (DEPRECATED)'!A:A,"=VIS")</f>
        <v>54</v>
      </c>
      <c r="C12" s="63">
        <v>0.267</v>
      </c>
      <c r="D12" s="66"/>
      <c r="E12" s="66"/>
      <c r="F12" s="55"/>
      <c r="G12" s="55"/>
      <c r="H12" s="55">
        <f>COUNTIFS('Main dataset (DEPRECATED)'!B:B,"=2009",'Main dataset (DEPRECATED)'!H:H,"&lt;&gt;X",'Main dataset (DEPRECATED)'!A:A,"=InfoVis")</f>
        <v>37</v>
      </c>
      <c r="I12" s="63">
        <v>0.262</v>
      </c>
      <c r="J12" s="55">
        <f>COUNTIFS('Main dataset (DEPRECATED)'!B:B,"=2009",'Main dataset (DEPRECATED)'!H:H,"&lt;&gt;X",'Main dataset (DEPRECATED)'!A:A,"=VAST")</f>
        <v>26</v>
      </c>
      <c r="K12" s="63">
        <v>0.377</v>
      </c>
      <c r="L12" s="55"/>
      <c r="M12" s="63"/>
      <c r="N12" s="55"/>
      <c r="O12" s="55"/>
      <c r="P12" s="55">
        <f t="shared" si="11"/>
        <v>117</v>
      </c>
      <c r="Q12" s="61">
        <f t="shared" si="10"/>
        <v>117</v>
      </c>
      <c r="R12" s="55">
        <f t="shared" si="3"/>
        <v>117</v>
      </c>
      <c r="S12" s="55">
        <v>41.0</v>
      </c>
      <c r="T12" s="63">
        <v>0.287</v>
      </c>
      <c r="U12" s="55">
        <v>26.0</v>
      </c>
      <c r="V12" s="63">
        <v>0.394</v>
      </c>
      <c r="W12" s="55"/>
      <c r="X12" s="55"/>
      <c r="Y12" s="55"/>
      <c r="Z12" s="55"/>
      <c r="AA12" s="55"/>
      <c r="AB12" s="55"/>
      <c r="AC12" s="55"/>
      <c r="AD12" s="55"/>
      <c r="AE12" s="55"/>
      <c r="AF12" s="55"/>
    </row>
    <row r="13" ht="15.75" customHeight="1">
      <c r="A13" s="55">
        <f t="shared" si="8"/>
        <v>2008</v>
      </c>
      <c r="B13" s="55">
        <f>COUNTIFS('Main dataset (DEPRECATED)'!B:B,"=2008",'Main dataset (DEPRECATED)'!H:H,"&lt;&gt;X",'Main dataset (DEPRECATED)'!A:A,"=VIS")</f>
        <v>50</v>
      </c>
      <c r="C13" s="63">
        <v>0.254</v>
      </c>
      <c r="D13" s="66"/>
      <c r="E13" s="66"/>
      <c r="F13" s="55"/>
      <c r="G13" s="55"/>
      <c r="H13" s="55">
        <f>COUNTIFS('Main dataset (DEPRECATED)'!B:B,"=2008",'Main dataset (DEPRECATED)'!H:H,"&lt;&gt;X",'Main dataset (DEPRECATED)'!A:A,"=InfoVis")</f>
        <v>28</v>
      </c>
      <c r="I13" s="63">
        <v>0.264</v>
      </c>
      <c r="J13" s="55">
        <f>COUNTIFS('Main dataset (DEPRECATED)'!B:B,"=2008",'Main dataset (DEPRECATED)'!H:H,"&lt;&gt;X",'Main dataset (DEPRECATED)'!A:A,"=VAST")</f>
        <v>21</v>
      </c>
      <c r="K13" s="63">
        <v>0.362</v>
      </c>
      <c r="L13" s="55"/>
      <c r="M13" s="63"/>
      <c r="N13" s="55"/>
      <c r="O13" s="55"/>
      <c r="P13" s="55">
        <f t="shared" si="11"/>
        <v>99</v>
      </c>
      <c r="Q13" s="61">
        <f t="shared" si="10"/>
        <v>99</v>
      </c>
      <c r="R13" s="55">
        <f t="shared" si="3"/>
        <v>99</v>
      </c>
      <c r="S13" s="55">
        <v>45.0</v>
      </c>
      <c r="T13" s="63">
        <v>0.315</v>
      </c>
      <c r="U13" s="55">
        <v>30.0</v>
      </c>
      <c r="V13" s="70"/>
      <c r="W13" s="55"/>
      <c r="X13" s="55"/>
      <c r="Y13" s="55"/>
      <c r="Z13" s="55"/>
      <c r="AA13" s="55"/>
      <c r="AB13" s="55"/>
      <c r="AC13" s="55"/>
      <c r="AD13" s="55"/>
      <c r="AE13" s="55"/>
      <c r="AF13" s="55"/>
    </row>
    <row r="14" ht="15.75" customHeight="1">
      <c r="A14" s="55">
        <f t="shared" si="8"/>
        <v>2007</v>
      </c>
      <c r="B14" s="55">
        <f>COUNTIFS('Main dataset (DEPRECATED)'!B:B,"=2007",'Main dataset (DEPRECATED)'!H:H,"&lt;&gt;X",'Main dataset (DEPRECATED)'!A:A,"=VIS")</f>
        <v>56</v>
      </c>
      <c r="C14" s="58">
        <v>0.26</v>
      </c>
      <c r="D14" s="66"/>
      <c r="E14" s="66"/>
      <c r="F14" s="55"/>
      <c r="G14" s="55"/>
      <c r="H14" s="55">
        <f>COUNTIFS('Main dataset (DEPRECATED)'!B:B,"=2007",'Main dataset (DEPRECATED)'!H:H,"&lt;&gt;X",'Main dataset (DEPRECATED)'!A:A,"=InfoVis")</f>
        <v>27</v>
      </c>
      <c r="I14" s="58">
        <v>0.23</v>
      </c>
      <c r="J14" s="55">
        <f>COUNTIFS('Main dataset (DEPRECATED)'!B:B,"=2007",'Main dataset (DEPRECATED)'!H:H,"&lt;&gt;X",'Main dataset (DEPRECATED)'!A:A,"=VAST")</f>
        <v>24</v>
      </c>
      <c r="K14" s="58">
        <v>0.42</v>
      </c>
      <c r="L14" s="55"/>
      <c r="M14" s="58"/>
      <c r="N14" s="55"/>
      <c r="O14" s="55"/>
      <c r="P14" s="55">
        <f t="shared" si="11"/>
        <v>107</v>
      </c>
      <c r="Q14" s="61">
        <f t="shared" si="10"/>
        <v>107</v>
      </c>
      <c r="R14" s="55">
        <f t="shared" si="3"/>
        <v>107</v>
      </c>
      <c r="S14" s="55">
        <v>35.0</v>
      </c>
      <c r="T14" s="70"/>
      <c r="U14" s="55"/>
      <c r="V14" s="55"/>
      <c r="W14" s="55"/>
      <c r="X14" s="55"/>
      <c r="Y14" s="55"/>
      <c r="Z14" s="55"/>
      <c r="AA14" s="55"/>
      <c r="AB14" s="55"/>
      <c r="AC14" s="55"/>
      <c r="AD14" s="55"/>
      <c r="AE14" s="55"/>
      <c r="AF14" s="55"/>
    </row>
    <row r="15" ht="15.75" customHeight="1">
      <c r="A15" s="55">
        <f t="shared" si="8"/>
        <v>2006</v>
      </c>
      <c r="B15" s="55">
        <f>COUNTIFS('Main dataset (DEPRECATED)'!B:B,"=2006",'Main dataset (DEPRECATED)'!H:H,"&lt;&gt;X",'Main dataset (DEPRECATED)'!A:A,"=VIS")</f>
        <v>63</v>
      </c>
      <c r="C15" s="58">
        <v>0.28</v>
      </c>
      <c r="D15" s="66"/>
      <c r="E15" s="66"/>
      <c r="F15" s="55"/>
      <c r="G15" s="55"/>
      <c r="H15" s="55">
        <f>COUNTIFS('Main dataset (DEPRECATED)'!B:B,"=2006",'Main dataset (DEPRECATED)'!H:H,"&lt;&gt;X",'Main dataset (DEPRECATED)'!A:A,"=InfoVis")</f>
        <v>24</v>
      </c>
      <c r="I15" s="58">
        <v>0.23</v>
      </c>
      <c r="J15" s="55">
        <f>COUNTIFS('Main dataset (DEPRECATED)'!B:B,"=2006",'Main dataset (DEPRECATED)'!H:H,"&lt;&gt;X",'Main dataset (DEPRECATED)'!A:A,"=VAST")</f>
        <v>26</v>
      </c>
      <c r="K15" s="58">
        <v>0.43</v>
      </c>
      <c r="L15" s="55"/>
      <c r="M15" s="58"/>
      <c r="N15" s="55"/>
      <c r="O15" s="55"/>
      <c r="P15" s="55">
        <f t="shared" si="11"/>
        <v>113</v>
      </c>
      <c r="Q15" s="61">
        <f t="shared" si="10"/>
        <v>113</v>
      </c>
      <c r="R15" s="55">
        <f t="shared" si="3"/>
        <v>113</v>
      </c>
      <c r="S15" s="55">
        <v>43.0</v>
      </c>
      <c r="T15" s="70"/>
      <c r="U15" s="55"/>
      <c r="V15" s="55"/>
      <c r="W15" s="55"/>
      <c r="X15" s="55"/>
      <c r="Y15" s="55"/>
      <c r="Z15" s="55"/>
      <c r="AA15" s="55"/>
      <c r="AB15" s="55"/>
      <c r="AC15" s="55"/>
      <c r="AD15" s="55"/>
      <c r="AE15" s="55"/>
      <c r="AF15" s="55"/>
    </row>
    <row r="16" ht="15.75" customHeight="1">
      <c r="A16" s="55">
        <f t="shared" si="8"/>
        <v>2005</v>
      </c>
      <c r="B16" s="55">
        <f>COUNTIFS('Main dataset (DEPRECATED)'!B:B,"=2005",'Main dataset (DEPRECATED)'!H:H,"&lt;&gt;X",'Main dataset (DEPRECATED)'!A:A,"=VIS")</f>
        <v>88</v>
      </c>
      <c r="C16" s="58">
        <v>0.33</v>
      </c>
      <c r="D16" s="66"/>
      <c r="E16" s="66"/>
      <c r="F16" s="55"/>
      <c r="G16" s="55"/>
      <c r="H16" s="55">
        <f>COUNTIFS('Main dataset (DEPRECATED)'!B:B,"=2005",'Main dataset (DEPRECATED)'!H:H,"&lt;&gt;X",'Main dataset (DEPRECATED)'!A:A,"=InfoVis")</f>
        <v>31</v>
      </c>
      <c r="I16" s="58">
        <v>0.27</v>
      </c>
      <c r="J16" s="55"/>
      <c r="K16" s="55"/>
      <c r="L16" s="55"/>
      <c r="M16" s="55"/>
      <c r="N16" s="55"/>
      <c r="O16" s="55"/>
      <c r="P16" s="55">
        <f t="shared" si="11"/>
        <v>119</v>
      </c>
      <c r="Q16" s="61">
        <f t="shared" si="10"/>
        <v>119</v>
      </c>
      <c r="R16" s="55">
        <f t="shared" si="3"/>
        <v>119</v>
      </c>
      <c r="S16" s="69">
        <v>37.0</v>
      </c>
      <c r="T16" s="70"/>
      <c r="U16" s="55"/>
      <c r="V16" s="55"/>
      <c r="W16" s="55"/>
      <c r="X16" s="55"/>
      <c r="Y16" s="55"/>
      <c r="Z16" s="55"/>
      <c r="AA16" s="55"/>
      <c r="AB16" s="55"/>
      <c r="AC16" s="55"/>
      <c r="AD16" s="55"/>
      <c r="AE16" s="55"/>
      <c r="AF16" s="55"/>
    </row>
    <row r="17" ht="15.75" customHeight="1">
      <c r="A17" s="55">
        <f t="shared" si="8"/>
        <v>2004</v>
      </c>
      <c r="B17" s="71">
        <f>COUNTIFS('Main dataset (DEPRECATED)'!B:B,"=2004",'Main dataset (DEPRECATED)'!H:H,"&lt;&gt;X",'Main dataset (DEPRECATED)'!A:A,"=VIS")</f>
        <v>70</v>
      </c>
      <c r="C17" s="58">
        <v>0.28</v>
      </c>
      <c r="D17" s="66"/>
      <c r="E17" s="66"/>
      <c r="F17" s="55"/>
      <c r="G17" s="55"/>
      <c r="H17" s="55">
        <f>COUNTIFS('Main dataset (DEPRECATED)'!B:B,"=2004",'Main dataset (DEPRECATED)'!H:H,"&lt;&gt;X",'Main dataset (DEPRECATED)'!A:A,"=InfoVis")</f>
        <v>27</v>
      </c>
      <c r="I17" s="58">
        <v>0.3</v>
      </c>
      <c r="J17" s="55"/>
      <c r="K17" s="55"/>
      <c r="L17" s="55"/>
      <c r="M17" s="55"/>
      <c r="N17" s="55"/>
      <c r="O17" s="55"/>
      <c r="P17" s="55">
        <f t="shared" si="11"/>
        <v>97</v>
      </c>
      <c r="Q17" s="61">
        <f t="shared" si="10"/>
        <v>97</v>
      </c>
      <c r="R17" s="55">
        <f t="shared" si="3"/>
        <v>97</v>
      </c>
      <c r="S17" s="71">
        <v>32.0</v>
      </c>
      <c r="T17" s="70"/>
      <c r="U17" s="55"/>
      <c r="V17" s="55"/>
      <c r="W17" s="55"/>
      <c r="X17" s="55"/>
      <c r="Y17" s="55"/>
      <c r="Z17" s="55"/>
      <c r="AA17" s="55"/>
      <c r="AB17" s="55"/>
      <c r="AC17" s="55"/>
      <c r="AD17" s="55"/>
      <c r="AE17" s="55"/>
      <c r="AF17" s="55"/>
    </row>
    <row r="18" ht="15.75" customHeight="1">
      <c r="A18" s="55">
        <f t="shared" si="8"/>
        <v>2003</v>
      </c>
      <c r="B18" s="71">
        <f>COUNTIFS('Main dataset (DEPRECATED)'!B:B,"=2003",'Main dataset (DEPRECATED)'!H:H,"&lt;&gt;X",'Main dataset (DEPRECATED)'!A:A,"=VIS")</f>
        <v>74</v>
      </c>
      <c r="C18" s="58">
        <v>0.33</v>
      </c>
      <c r="D18" s="66"/>
      <c r="E18" s="66"/>
      <c r="F18" s="55"/>
      <c r="G18" s="55"/>
      <c r="H18" s="55">
        <f>COUNTIFS('Main dataset (DEPRECATED)'!B:B,"=2003",'Main dataset (DEPRECATED)'!H:H,"&lt;&gt;X",'Main dataset (DEPRECATED)'!A:A,"=InfoVis")</f>
        <v>29</v>
      </c>
      <c r="I18" s="58">
        <v>0.32</v>
      </c>
      <c r="J18" s="55"/>
      <c r="K18" s="55"/>
      <c r="L18" s="55"/>
      <c r="M18" s="55"/>
      <c r="N18" s="55"/>
      <c r="O18" s="55"/>
      <c r="P18" s="55">
        <f t="shared" si="11"/>
        <v>103</v>
      </c>
      <c r="Q18" s="61">
        <f t="shared" si="10"/>
        <v>103</v>
      </c>
      <c r="R18" s="55">
        <f t="shared" si="3"/>
        <v>103</v>
      </c>
      <c r="S18" s="55">
        <v>30.0</v>
      </c>
      <c r="T18" s="70"/>
      <c r="U18" s="55"/>
      <c r="V18" s="55"/>
      <c r="W18" s="55"/>
      <c r="X18" s="55"/>
      <c r="Y18" s="55"/>
      <c r="Z18" s="55"/>
      <c r="AA18" s="55"/>
      <c r="AB18" s="55"/>
      <c r="AC18" s="55"/>
      <c r="AD18" s="55"/>
      <c r="AE18" s="55"/>
      <c r="AF18" s="55"/>
    </row>
    <row r="19" ht="15.75" customHeight="1">
      <c r="A19" s="55">
        <f t="shared" si="8"/>
        <v>2002</v>
      </c>
      <c r="B19" s="71">
        <f>COUNTIFS('Main dataset (DEPRECATED)'!B:B,"=2002",'Main dataset (DEPRECATED)'!H:H,"&lt;&gt;X",'Main dataset (DEPRECATED)'!A:A,"=VIS")</f>
        <v>78</v>
      </c>
      <c r="C19" s="58">
        <v>0.34</v>
      </c>
      <c r="D19" s="66"/>
      <c r="E19" s="66"/>
      <c r="F19" s="55"/>
      <c r="G19" s="55"/>
      <c r="H19" s="55">
        <f>COUNTIFS('Main dataset (DEPRECATED)'!B:B,"=2002",'Main dataset (DEPRECATED)'!H:H,"&lt;&gt;X",'Main dataset (DEPRECATED)'!A:A,"=InfoVis")</f>
        <v>23</v>
      </c>
      <c r="I19" s="58">
        <v>0.3</v>
      </c>
      <c r="J19" s="55"/>
      <c r="K19" s="55"/>
      <c r="L19" s="55"/>
      <c r="M19" s="55"/>
      <c r="N19" s="55"/>
      <c r="O19" s="55"/>
      <c r="P19" s="55">
        <f t="shared" si="11"/>
        <v>101</v>
      </c>
      <c r="Q19" s="61">
        <f t="shared" si="10"/>
        <v>101</v>
      </c>
      <c r="R19" s="55">
        <f t="shared" si="3"/>
        <v>101</v>
      </c>
      <c r="S19" s="55">
        <v>31.0</v>
      </c>
      <c r="T19" s="70"/>
      <c r="U19" s="55"/>
      <c r="V19" s="55"/>
      <c r="W19" s="55"/>
      <c r="X19" s="55"/>
      <c r="Y19" s="55"/>
      <c r="Z19" s="55"/>
      <c r="AA19" s="55"/>
      <c r="AB19" s="55"/>
      <c r="AC19" s="55"/>
      <c r="AD19" s="55"/>
      <c r="AE19" s="55"/>
      <c r="AF19" s="55"/>
    </row>
    <row r="20" ht="15.75" customHeight="1">
      <c r="A20" s="55">
        <f t="shared" si="8"/>
        <v>2001</v>
      </c>
      <c r="B20" s="71">
        <f>COUNTIFS('Main dataset (DEPRECATED)'!B:B,"=2001",'Main dataset (DEPRECATED)'!H:H,"&lt;&gt;X",'Main dataset (DEPRECATED)'!A:A,"=VIS")</f>
        <v>74</v>
      </c>
      <c r="C20" s="58">
        <v>0.34</v>
      </c>
      <c r="D20" s="66"/>
      <c r="E20" s="66"/>
      <c r="F20" s="55"/>
      <c r="G20" s="55"/>
      <c r="H20" s="55">
        <f>COUNTIFS('Main dataset (DEPRECATED)'!B:B,"=2001",'Main dataset (DEPRECATED)'!H:H,"&lt;&gt;X",'Main dataset (DEPRECATED)'!A:A,"=InfoVis")</f>
        <v>22</v>
      </c>
      <c r="I20" s="58">
        <v>0.35</v>
      </c>
      <c r="J20" s="55"/>
      <c r="K20" s="55"/>
      <c r="L20" s="55"/>
      <c r="M20" s="55"/>
      <c r="N20" s="55"/>
      <c r="O20" s="55"/>
      <c r="P20" s="55">
        <f t="shared" si="11"/>
        <v>96</v>
      </c>
      <c r="Q20" s="61">
        <f t="shared" si="10"/>
        <v>96</v>
      </c>
      <c r="R20" s="55">
        <f t="shared" si="3"/>
        <v>96</v>
      </c>
      <c r="S20" s="55">
        <v>33.0</v>
      </c>
      <c r="T20" s="70"/>
      <c r="U20" s="55"/>
      <c r="V20" s="55"/>
      <c r="W20" s="55"/>
      <c r="X20" s="55"/>
      <c r="Y20" s="55"/>
      <c r="Z20" s="55"/>
      <c r="AA20" s="55"/>
      <c r="AB20" s="55"/>
      <c r="AC20" s="55"/>
      <c r="AD20" s="55"/>
      <c r="AE20" s="55"/>
      <c r="AF20" s="55"/>
    </row>
    <row r="21" ht="15.75" customHeight="1">
      <c r="A21" s="55">
        <f t="shared" si="8"/>
        <v>2000</v>
      </c>
      <c r="B21" s="71">
        <f>COUNTIFS('Main dataset (DEPRECATED)'!B:B,"=2000",'Main dataset (DEPRECATED)'!H:H,"&lt;&gt;X",'Main dataset (DEPRECATED)'!A:A,"=VIS")</f>
        <v>73</v>
      </c>
      <c r="C21" s="58">
        <v>0.34</v>
      </c>
      <c r="D21" s="66"/>
      <c r="E21" s="66"/>
      <c r="F21" s="55"/>
      <c r="G21" s="55"/>
      <c r="H21" s="55">
        <f>COUNTIFS('Main dataset (DEPRECATED)'!B:B,"=2000",'Main dataset (DEPRECATED)'!H:H,"&lt;&gt;X",'Main dataset (DEPRECATED)'!A:A,"=InfoVis")</f>
        <v>20</v>
      </c>
      <c r="I21" s="55" t="s">
        <v>4717</v>
      </c>
      <c r="J21" s="55"/>
      <c r="K21" s="55"/>
      <c r="L21" s="55"/>
      <c r="M21" s="55"/>
      <c r="N21" s="55"/>
      <c r="O21" s="55"/>
      <c r="P21" s="55">
        <f t="shared" si="11"/>
        <v>93</v>
      </c>
      <c r="Q21" s="61">
        <f t="shared" si="10"/>
        <v>93</v>
      </c>
      <c r="R21" s="55">
        <f t="shared" si="3"/>
        <v>93</v>
      </c>
      <c r="S21" s="55">
        <v>27.0</v>
      </c>
      <c r="T21" s="70"/>
      <c r="U21" s="55"/>
      <c r="V21" s="55"/>
      <c r="W21" s="55"/>
      <c r="X21" s="55"/>
      <c r="Y21" s="55"/>
      <c r="Z21" s="55"/>
      <c r="AA21" s="55"/>
      <c r="AB21" s="55"/>
      <c r="AC21" s="55"/>
      <c r="AD21" s="55"/>
      <c r="AE21" s="55"/>
      <c r="AF21" s="55"/>
    </row>
    <row r="22" ht="15.75" customHeight="1">
      <c r="A22" s="55">
        <f t="shared" si="8"/>
        <v>1999</v>
      </c>
      <c r="B22" s="71">
        <f>COUNTIFS('Main dataset (DEPRECATED)'!B:B,"=1999",'Main dataset (DEPRECATED)'!H:H,"&lt;&gt;X",'Main dataset (DEPRECATED)'!A:A,"=VIS")</f>
        <v>69</v>
      </c>
      <c r="C22" s="58">
        <v>0.36</v>
      </c>
      <c r="D22" s="66"/>
      <c r="E22" s="66"/>
      <c r="F22" s="55"/>
      <c r="G22" s="55"/>
      <c r="H22" s="55">
        <f>COUNTIFS('Main dataset (DEPRECATED)'!B:B,"=1999",'Main dataset (DEPRECATED)'!H:H,"&lt;&gt;X",'Main dataset (DEPRECATED)'!A:A,"=InfoVis")</f>
        <v>19</v>
      </c>
      <c r="I22" s="58">
        <v>0.4</v>
      </c>
      <c r="J22" s="55"/>
      <c r="K22" s="55"/>
      <c r="L22" s="55"/>
      <c r="M22" s="55"/>
      <c r="N22" s="55"/>
      <c r="O22" s="55"/>
      <c r="P22" s="55">
        <f t="shared" si="11"/>
        <v>88</v>
      </c>
      <c r="Q22" s="61">
        <f t="shared" si="10"/>
        <v>88</v>
      </c>
      <c r="R22" s="55">
        <f t="shared" si="3"/>
        <v>88</v>
      </c>
      <c r="S22" s="55">
        <v>30.0</v>
      </c>
      <c r="T22" s="70"/>
      <c r="U22" s="55"/>
      <c r="V22" s="55"/>
      <c r="W22" s="55"/>
      <c r="X22" s="55"/>
      <c r="Y22" s="55"/>
      <c r="Z22" s="55"/>
      <c r="AA22" s="55"/>
      <c r="AB22" s="55"/>
      <c r="AC22" s="55"/>
      <c r="AD22" s="55"/>
      <c r="AE22" s="55"/>
      <c r="AF22" s="55"/>
    </row>
    <row r="23" ht="15.75" customHeight="1">
      <c r="A23" s="55">
        <f t="shared" si="8"/>
        <v>1998</v>
      </c>
      <c r="B23" s="71">
        <f>COUNTIFS('Main dataset (DEPRECATED)'!B:B,"=1998",'Main dataset (DEPRECATED)'!H:H,"&lt;&gt;X",'Main dataset (DEPRECATED)'!A:A,"=VIS")</f>
        <v>72</v>
      </c>
      <c r="C23" s="58">
        <v>0.42</v>
      </c>
      <c r="D23" s="66"/>
      <c r="E23" s="66"/>
      <c r="F23" s="55"/>
      <c r="G23" s="55"/>
      <c r="H23" s="55">
        <f>COUNTIFS('Main dataset (DEPRECATED)'!B:B,"=1998",'Main dataset (DEPRECATED)'!H:H,"&lt;&gt;X",'Main dataset (DEPRECATED)'!A:A,"=InfoVis")</f>
        <v>18</v>
      </c>
      <c r="I23" s="55" t="s">
        <v>4717</v>
      </c>
      <c r="J23" s="55"/>
      <c r="K23" s="55"/>
      <c r="L23" s="55"/>
      <c r="M23" s="55"/>
      <c r="N23" s="55"/>
      <c r="O23" s="55"/>
      <c r="P23" s="55">
        <f t="shared" si="11"/>
        <v>90</v>
      </c>
      <c r="Q23" s="61">
        <f t="shared" si="10"/>
        <v>90</v>
      </c>
      <c r="R23" s="55">
        <f t="shared" si="3"/>
        <v>90</v>
      </c>
      <c r="S23" s="55"/>
      <c r="T23" s="55"/>
      <c r="U23" s="55"/>
      <c r="V23" s="55"/>
      <c r="W23" s="55"/>
      <c r="X23" s="55"/>
      <c r="Y23" s="55"/>
      <c r="Z23" s="55"/>
      <c r="AA23" s="55"/>
      <c r="AB23" s="55"/>
      <c r="AC23" s="55"/>
      <c r="AD23" s="55"/>
      <c r="AE23" s="55"/>
      <c r="AF23" s="55"/>
    </row>
    <row r="24" ht="15.75" customHeight="1">
      <c r="A24" s="55">
        <f t="shared" si="8"/>
        <v>1997</v>
      </c>
      <c r="B24" s="71">
        <f>COUNTIFS('Main dataset (DEPRECATED)'!B:B,"=1997",'Main dataset (DEPRECATED)'!H:H,"&lt;&gt;X",'Main dataset (DEPRECATED)'!A:A,"=VIS")</f>
        <v>72</v>
      </c>
      <c r="C24" s="58">
        <v>0.26</v>
      </c>
      <c r="D24" s="66"/>
      <c r="E24" s="66"/>
      <c r="F24" s="55"/>
      <c r="G24" s="55"/>
      <c r="H24" s="55">
        <f>COUNTIFS('Main dataset (DEPRECATED)'!B:B,"=1997",'Main dataset (DEPRECATED)'!H:H,"&lt;&gt;X",'Main dataset (DEPRECATED)'!A:A,"=InfoVis")</f>
        <v>16</v>
      </c>
      <c r="I24" s="58">
        <v>0.59</v>
      </c>
      <c r="J24" s="55"/>
      <c r="K24" s="55"/>
      <c r="L24" s="55"/>
      <c r="M24" s="55"/>
      <c r="N24" s="55"/>
      <c r="O24" s="55"/>
      <c r="P24" s="55">
        <f t="shared" si="11"/>
        <v>88</v>
      </c>
      <c r="Q24" s="61">
        <f t="shared" si="10"/>
        <v>88</v>
      </c>
      <c r="R24" s="55">
        <f t="shared" si="3"/>
        <v>88</v>
      </c>
      <c r="S24" s="55"/>
      <c r="T24" s="55"/>
      <c r="U24" s="55"/>
      <c r="V24" s="55"/>
      <c r="W24" s="55"/>
      <c r="X24" s="55"/>
      <c r="Y24" s="55"/>
      <c r="Z24" s="55"/>
      <c r="AA24" s="55"/>
      <c r="AB24" s="55"/>
      <c r="AC24" s="55"/>
      <c r="AD24" s="55"/>
      <c r="AE24" s="55"/>
      <c r="AF24" s="55"/>
    </row>
    <row r="25" ht="15.75" customHeight="1">
      <c r="A25" s="55">
        <f t="shared" si="8"/>
        <v>1996</v>
      </c>
      <c r="B25" s="71">
        <f>COUNTIFS('Main dataset (DEPRECATED)'!B:B,"=1996",'Main dataset (DEPRECATED)'!H:H,"&lt;&gt;X",'Main dataset (DEPRECATED)'!A:A,"=VIS")</f>
        <v>65</v>
      </c>
      <c r="C25" s="72">
        <v>0.43</v>
      </c>
      <c r="D25" s="66"/>
      <c r="E25" s="66"/>
      <c r="F25" s="71"/>
      <c r="G25" s="71"/>
      <c r="H25" s="71">
        <f>COUNTIFS('Main dataset (DEPRECATED)'!B:B,"=1996",'Main dataset (DEPRECATED)'!H:H,"&lt;&gt;X",'Main dataset (DEPRECATED)'!A:A,"=InfoVis")</f>
        <v>12</v>
      </c>
      <c r="I25" s="58">
        <v>0.56</v>
      </c>
      <c r="J25" s="55"/>
      <c r="K25" s="55"/>
      <c r="L25" s="55"/>
      <c r="M25" s="55"/>
      <c r="N25" s="55"/>
      <c r="O25" s="55"/>
      <c r="P25" s="55">
        <f t="shared" si="11"/>
        <v>77</v>
      </c>
      <c r="Q25" s="61">
        <f t="shared" si="10"/>
        <v>77</v>
      </c>
      <c r="R25" s="55">
        <f t="shared" si="3"/>
        <v>77</v>
      </c>
      <c r="S25" s="55"/>
      <c r="T25" s="55"/>
      <c r="U25" s="55"/>
      <c r="V25" s="55"/>
      <c r="W25" s="55"/>
      <c r="X25" s="55"/>
      <c r="Y25" s="55"/>
      <c r="Z25" s="55"/>
      <c r="AA25" s="55"/>
      <c r="AB25" s="55"/>
      <c r="AC25" s="55"/>
      <c r="AD25" s="55"/>
      <c r="AE25" s="55"/>
      <c r="AF25" s="55"/>
    </row>
    <row r="26" ht="15.75" customHeight="1">
      <c r="A26" s="55">
        <f t="shared" si="8"/>
        <v>1995</v>
      </c>
      <c r="B26" s="71">
        <f>COUNTIFS('Main dataset (DEPRECATED)'!B:B,"=1995",'Main dataset (DEPRECATED)'!H:H,"&lt;&gt;X",'Main dataset (DEPRECATED)'!A:A,"=VIS")</f>
        <v>56</v>
      </c>
      <c r="C26" s="58">
        <v>0.4</v>
      </c>
      <c r="D26" s="66"/>
      <c r="E26" s="66"/>
      <c r="F26" s="55"/>
      <c r="G26" s="55"/>
      <c r="H26" s="55">
        <f>COUNTIFS('Main dataset (DEPRECATED)'!B:B,"=1995",'Main dataset (DEPRECATED)'!H:H,"&lt;&gt;X",'Main dataset (DEPRECATED)'!A:A,"=InfoVis")</f>
        <v>18</v>
      </c>
      <c r="I26" s="58">
        <v>0.49</v>
      </c>
      <c r="J26" s="55"/>
      <c r="K26" s="55"/>
      <c r="L26" s="55"/>
      <c r="M26" s="55"/>
      <c r="N26" s="55"/>
      <c r="O26" s="55"/>
      <c r="P26" s="55">
        <f t="shared" si="11"/>
        <v>74</v>
      </c>
      <c r="Q26" s="61">
        <f t="shared" si="10"/>
        <v>74</v>
      </c>
      <c r="R26" s="55">
        <f t="shared" si="3"/>
        <v>74</v>
      </c>
      <c r="S26" s="55"/>
      <c r="T26" s="55"/>
      <c r="U26" s="55"/>
      <c r="V26" s="55"/>
      <c r="W26" s="55"/>
      <c r="X26" s="55"/>
      <c r="Y26" s="55"/>
      <c r="Z26" s="55"/>
      <c r="AA26" s="55"/>
      <c r="AB26" s="55"/>
      <c r="AC26" s="55"/>
      <c r="AD26" s="55"/>
      <c r="AE26" s="55"/>
      <c r="AF26" s="55"/>
    </row>
    <row r="27" ht="15.75" customHeight="1">
      <c r="A27" s="55">
        <f t="shared" si="8"/>
        <v>1994</v>
      </c>
      <c r="B27" s="71">
        <f>COUNTIFS('Main dataset (DEPRECATED)'!B:B,"=1994",'Main dataset (DEPRECATED)'!H:H,"&lt;&gt;X",'Main dataset (DEPRECATED)'!A:A,"=VIS")</f>
        <v>53</v>
      </c>
      <c r="C27" s="58">
        <v>0.45</v>
      </c>
      <c r="D27" s="66"/>
      <c r="E27" s="66"/>
      <c r="F27" s="55"/>
      <c r="G27" s="55"/>
      <c r="H27" s="55"/>
      <c r="I27" s="55"/>
      <c r="J27" s="55"/>
      <c r="K27" s="55"/>
      <c r="L27" s="55"/>
      <c r="M27" s="55"/>
      <c r="N27" s="55"/>
      <c r="O27" s="55"/>
      <c r="P27" s="55">
        <f t="shared" si="11"/>
        <v>53</v>
      </c>
      <c r="Q27" s="61">
        <f t="shared" si="10"/>
        <v>53</v>
      </c>
      <c r="R27" s="55">
        <f t="shared" si="3"/>
        <v>53</v>
      </c>
      <c r="S27" s="55"/>
      <c r="T27" s="55"/>
      <c r="U27" s="55"/>
      <c r="V27" s="55"/>
      <c r="W27" s="55"/>
      <c r="X27" s="55"/>
      <c r="Y27" s="55"/>
      <c r="Z27" s="55"/>
      <c r="AA27" s="55"/>
      <c r="AB27" s="55"/>
      <c r="AC27" s="55"/>
      <c r="AD27" s="55"/>
      <c r="AE27" s="55"/>
      <c r="AF27" s="55"/>
    </row>
    <row r="28" ht="15.75" customHeight="1">
      <c r="A28" s="55">
        <f t="shared" si="8"/>
        <v>1993</v>
      </c>
      <c r="B28" s="71">
        <f>COUNTIFS('Main dataset (DEPRECATED)'!B:B,"=1993",'Main dataset (DEPRECATED)'!H:H,"&lt;&gt;X",'Main dataset (DEPRECATED)'!A:A,"=VIS")</f>
        <v>55</v>
      </c>
      <c r="C28" s="71"/>
      <c r="D28" s="66"/>
      <c r="E28" s="73"/>
      <c r="F28" s="74"/>
      <c r="G28" s="74"/>
      <c r="H28" s="74"/>
      <c r="I28" s="55"/>
      <c r="J28" s="55"/>
      <c r="K28" s="55"/>
      <c r="L28" s="55"/>
      <c r="M28" s="55"/>
      <c r="N28" s="55"/>
      <c r="O28" s="55"/>
      <c r="P28" s="55">
        <f t="shared" si="11"/>
        <v>55</v>
      </c>
      <c r="Q28" s="61">
        <f t="shared" si="10"/>
        <v>55</v>
      </c>
      <c r="R28" s="55">
        <f t="shared" si="3"/>
        <v>55</v>
      </c>
      <c r="S28" s="55"/>
      <c r="T28" s="55"/>
      <c r="U28" s="55"/>
      <c r="V28" s="55"/>
      <c r="W28" s="55"/>
      <c r="X28" s="55"/>
      <c r="Y28" s="55"/>
      <c r="Z28" s="55"/>
      <c r="AA28" s="55"/>
      <c r="AB28" s="55"/>
      <c r="AC28" s="55"/>
      <c r="AD28" s="55"/>
      <c r="AE28" s="55"/>
      <c r="AF28" s="55"/>
    </row>
    <row r="29" ht="15.75" customHeight="1">
      <c r="A29" s="55">
        <f t="shared" si="8"/>
        <v>1992</v>
      </c>
      <c r="B29" s="71">
        <f>COUNTIFS('Main dataset (DEPRECATED)'!B:B,"=1992",'Main dataset (DEPRECATED)'!H:H,"&lt;&gt;X",'Main dataset (DEPRECATED)'!A:A,"=VIS")</f>
        <v>53</v>
      </c>
      <c r="C29" s="71"/>
      <c r="D29" s="66"/>
      <c r="E29" s="73"/>
      <c r="F29" s="74"/>
      <c r="G29" s="74"/>
      <c r="H29" s="74"/>
      <c r="I29" s="55"/>
      <c r="J29" s="55"/>
      <c r="K29" s="55"/>
      <c r="L29" s="55"/>
      <c r="M29" s="55"/>
      <c r="N29" s="55"/>
      <c r="O29" s="55"/>
      <c r="P29" s="55">
        <f t="shared" si="11"/>
        <v>53</v>
      </c>
      <c r="Q29" s="61">
        <f t="shared" si="10"/>
        <v>53</v>
      </c>
      <c r="R29" s="55">
        <f t="shared" si="3"/>
        <v>53</v>
      </c>
      <c r="S29" s="55"/>
      <c r="T29" s="55"/>
      <c r="U29" s="55"/>
      <c r="V29" s="55"/>
      <c r="W29" s="55"/>
      <c r="X29" s="55"/>
      <c r="Y29" s="55"/>
      <c r="Z29" s="55"/>
      <c r="AA29" s="55"/>
      <c r="AB29" s="55"/>
      <c r="AC29" s="55"/>
      <c r="AD29" s="55"/>
      <c r="AE29" s="55"/>
      <c r="AF29" s="55"/>
    </row>
    <row r="30" ht="15.75" customHeight="1">
      <c r="A30" s="55">
        <f t="shared" si="8"/>
        <v>1991</v>
      </c>
      <c r="B30" s="71">
        <f>COUNTIFS('Main dataset (DEPRECATED)'!B:B,"=1991",'Main dataset (DEPRECATED)'!H:H,"&lt;&gt;X",'Main dataset (DEPRECATED)'!A:A,"=VIS")</f>
        <v>50</v>
      </c>
      <c r="C30" s="71"/>
      <c r="D30" s="66"/>
      <c r="E30" s="73"/>
      <c r="F30" s="74"/>
      <c r="G30" s="74"/>
      <c r="H30" s="74"/>
      <c r="I30" s="55"/>
      <c r="J30" s="55"/>
      <c r="K30" s="55"/>
      <c r="L30" s="55"/>
      <c r="M30" s="55"/>
      <c r="N30" s="55"/>
      <c r="O30" s="55"/>
      <c r="P30" s="55">
        <f t="shared" si="11"/>
        <v>50</v>
      </c>
      <c r="Q30" s="61">
        <f t="shared" si="10"/>
        <v>50</v>
      </c>
      <c r="R30" s="55">
        <f t="shared" si="3"/>
        <v>50</v>
      </c>
      <c r="S30" s="55"/>
      <c r="T30" s="55"/>
      <c r="U30" s="55"/>
      <c r="V30" s="55"/>
      <c r="W30" s="55"/>
      <c r="X30" s="55"/>
      <c r="Y30" s="55"/>
      <c r="Z30" s="55"/>
      <c r="AA30" s="55"/>
      <c r="AB30" s="55"/>
      <c r="AC30" s="55"/>
      <c r="AD30" s="55"/>
      <c r="AE30" s="55"/>
      <c r="AF30" s="55"/>
    </row>
    <row r="31" ht="15.75" customHeight="1">
      <c r="A31" s="55">
        <f t="shared" si="8"/>
        <v>1990</v>
      </c>
      <c r="B31" s="71">
        <f>COUNTIFS('Main dataset (DEPRECATED)'!B:B,"=1990",'Main dataset (DEPRECATED)'!H:H,"&lt;&gt;X",'Main dataset (DEPRECATED)'!A:A,"=VIS")</f>
        <v>53</v>
      </c>
      <c r="C31" s="71"/>
      <c r="D31" s="66"/>
      <c r="E31" s="73"/>
      <c r="F31" s="74"/>
      <c r="G31" s="74"/>
      <c r="H31" s="74"/>
      <c r="I31" s="55"/>
      <c r="J31" s="55"/>
      <c r="K31" s="55"/>
      <c r="L31" s="55"/>
      <c r="M31" s="55"/>
      <c r="N31" s="55"/>
      <c r="O31" s="55"/>
      <c r="P31" s="55">
        <f t="shared" si="11"/>
        <v>53</v>
      </c>
      <c r="Q31" s="61">
        <f t="shared" si="10"/>
        <v>53</v>
      </c>
      <c r="R31" s="55">
        <f t="shared" si="3"/>
        <v>53</v>
      </c>
      <c r="S31" s="55"/>
      <c r="T31" s="55"/>
      <c r="U31" s="55"/>
      <c r="V31" s="55"/>
      <c r="W31" s="55"/>
      <c r="X31" s="55"/>
      <c r="Y31" s="55"/>
      <c r="Z31" s="55"/>
      <c r="AA31" s="55"/>
      <c r="AB31" s="55"/>
      <c r="AC31" s="55"/>
      <c r="AD31" s="55"/>
      <c r="AE31" s="55"/>
      <c r="AF31" s="55"/>
    </row>
    <row r="32" ht="7.5" customHeight="1">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row>
    <row r="33" ht="15.75" customHeight="1">
      <c r="A33" s="75" t="s">
        <v>4718</v>
      </c>
      <c r="B33" s="13">
        <f>SUM(B9:B31)</f>
        <v>1417</v>
      </c>
      <c r="C33" s="13"/>
      <c r="D33" s="13">
        <f>SUM(D4:D32)</f>
        <v>151</v>
      </c>
      <c r="E33" s="13"/>
      <c r="F33" s="13">
        <f>SUM(F4:F31)</f>
        <v>9</v>
      </c>
      <c r="G33" s="13"/>
      <c r="H33" s="13">
        <f>SUM(H4:H32)</f>
        <v>671</v>
      </c>
      <c r="I33" s="13"/>
      <c r="J33" s="13">
        <f>SUM(J4:J32)</f>
        <v>347</v>
      </c>
      <c r="K33" s="13"/>
      <c r="L33" s="76">
        <f>SUM(L4:L32)</f>
        <v>65</v>
      </c>
      <c r="M33" s="13"/>
      <c r="N33" s="13">
        <f>SUM(N4:N10)</f>
        <v>144</v>
      </c>
      <c r="O33" s="13">
        <f>SUM(O4:O6)</f>
        <v>33</v>
      </c>
      <c r="P33" s="13">
        <f t="shared" ref="P33:Q33" si="12">SUM(P4:P32)</f>
        <v>2837</v>
      </c>
      <c r="Q33" s="13">
        <f t="shared" si="12"/>
        <v>2660</v>
      </c>
      <c r="R33" s="13"/>
      <c r="S33" s="13">
        <f>SUM(S4:S32)</f>
        <v>776</v>
      </c>
      <c r="T33" s="13"/>
      <c r="U33" s="13">
        <f>SUM(U4:U32)</f>
        <v>288</v>
      </c>
      <c r="V33" s="55"/>
      <c r="W33" s="55"/>
      <c r="X33" s="55"/>
      <c r="Y33" s="55"/>
      <c r="Z33" s="55"/>
      <c r="AA33" s="55"/>
      <c r="AB33" s="55"/>
      <c r="AC33" s="55"/>
      <c r="AD33" s="55"/>
      <c r="AE33" s="55"/>
      <c r="AF33" s="55"/>
    </row>
    <row r="34" ht="15.75" customHeight="1">
      <c r="A34" s="75"/>
      <c r="B34" s="13"/>
      <c r="C34" s="13"/>
      <c r="D34" s="13"/>
      <c r="E34" s="13"/>
      <c r="F34" s="13"/>
      <c r="G34" s="13"/>
      <c r="H34" s="13"/>
      <c r="I34" s="13"/>
      <c r="J34" s="13"/>
      <c r="K34" s="13"/>
      <c r="L34" s="13"/>
      <c r="M34" s="13"/>
      <c r="N34" s="13"/>
      <c r="O34" s="13"/>
      <c r="P34" s="13"/>
      <c r="Q34" s="13"/>
      <c r="R34" s="13"/>
      <c r="S34" s="13"/>
      <c r="T34" s="13"/>
      <c r="U34" s="13"/>
      <c r="V34" s="55"/>
      <c r="W34" s="55"/>
      <c r="X34" s="55"/>
      <c r="Y34" s="55"/>
      <c r="Z34" s="55"/>
      <c r="AA34" s="55"/>
      <c r="AB34" s="55"/>
      <c r="AC34" s="55"/>
      <c r="AD34" s="55"/>
      <c r="AE34" s="55"/>
      <c r="AF34" s="55"/>
    </row>
    <row r="35" ht="15.75" customHeight="1">
      <c r="A35" s="13"/>
      <c r="B35" s="13"/>
      <c r="C35" s="13"/>
      <c r="D35" s="13"/>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row>
    <row r="36" ht="15.75" customHeight="1">
      <c r="A36" s="55" t="s">
        <v>4729</v>
      </c>
      <c r="B36" s="16"/>
      <c r="C36" s="16"/>
      <c r="D36" s="77" t="s">
        <v>4730</v>
      </c>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row>
    <row r="37" ht="15.75" customHeight="1">
      <c r="A37" s="55"/>
      <c r="B37" s="16"/>
      <c r="C37" s="16"/>
      <c r="D37" s="77" t="s">
        <v>4734</v>
      </c>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row>
    <row r="38" ht="15.75" customHeight="1">
      <c r="A38" s="55"/>
      <c r="B38" s="16"/>
      <c r="C38" s="16"/>
      <c r="D38" s="77" t="s">
        <v>4737</v>
      </c>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row>
    <row r="39" ht="15.75" customHeight="1">
      <c r="A39" s="79" t="s">
        <v>4742</v>
      </c>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row>
    <row r="40" ht="15.75" customHeight="1">
      <c r="A40" s="80" t="s">
        <v>4748</v>
      </c>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row>
    <row r="42" ht="15.75" customHeight="1">
      <c r="A42" s="74"/>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row>
    <row r="44" ht="15.75" customHeight="1">
      <c r="A44" s="55" t="s">
        <v>4753</v>
      </c>
      <c r="B44" s="55">
        <f>COUNTA('Main dataset (DEPRECATED)'!Q:Q)-1</f>
        <v>2752</v>
      </c>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row>
    <row r="52" ht="15.75" customHeight="1">
      <c r="A52" s="55"/>
      <c r="B52" s="16"/>
      <c r="C52" s="16"/>
      <c r="D52" s="16"/>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row>
    <row r="56" ht="15.75" customHeight="1">
      <c r="A56" s="55"/>
      <c r="B56" s="16"/>
      <c r="C56" s="16"/>
      <c r="D56" s="16"/>
      <c r="E56" s="66"/>
      <c r="F56" s="66"/>
      <c r="G56" s="66"/>
      <c r="H56" s="66"/>
      <c r="I56" s="55"/>
      <c r="J56" s="55"/>
      <c r="K56" s="55"/>
      <c r="L56" s="55"/>
      <c r="M56" s="55"/>
      <c r="N56" s="55"/>
      <c r="O56" s="55"/>
      <c r="P56" s="55"/>
      <c r="Q56" s="55"/>
      <c r="R56" s="55"/>
      <c r="S56" s="55"/>
      <c r="T56" s="55"/>
      <c r="U56" s="55"/>
      <c r="V56" s="55"/>
      <c r="W56" s="55"/>
      <c r="X56" s="55"/>
      <c r="Y56" s="55"/>
      <c r="Z56" s="55"/>
      <c r="AA56" s="55"/>
      <c r="AB56" s="55"/>
      <c r="AC56" s="55"/>
      <c r="AD56" s="55"/>
      <c r="AE56" s="55"/>
      <c r="AF56" s="55"/>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row>
    <row r="63" ht="15.75" customHeight="1">
      <c r="A63" s="66"/>
      <c r="B63" s="66"/>
      <c r="C63" s="66"/>
      <c r="D63" s="66"/>
      <c r="E63" s="66"/>
      <c r="F63" s="66"/>
      <c r="G63" s="66"/>
      <c r="H63" s="66"/>
      <c r="I63" s="66"/>
      <c r="J63" s="66"/>
      <c r="K63" s="66"/>
      <c r="L63" s="66"/>
      <c r="M63" s="66"/>
      <c r="N63" s="66"/>
      <c r="O63" s="66"/>
      <c r="P63" s="66"/>
      <c r="Q63" s="66"/>
      <c r="R63" s="66"/>
      <c r="S63" s="66"/>
      <c r="T63" s="66"/>
      <c r="U63" s="66"/>
    </row>
    <row r="64" ht="15.75" customHeight="1">
      <c r="A64" s="66"/>
      <c r="B64" s="66"/>
      <c r="C64" s="66"/>
      <c r="D64" s="66"/>
      <c r="E64" s="66"/>
      <c r="F64" s="66"/>
      <c r="G64" s="66"/>
      <c r="H64" s="66"/>
      <c r="I64" s="66"/>
      <c r="J64" s="66"/>
      <c r="K64" s="66"/>
      <c r="L64" s="66"/>
      <c r="M64" s="66"/>
      <c r="N64" s="66"/>
      <c r="O64" s="66"/>
      <c r="P64" s="66"/>
      <c r="Q64" s="66"/>
      <c r="R64" s="66"/>
      <c r="S64" s="66"/>
      <c r="T64" s="66"/>
      <c r="U64" s="66"/>
    </row>
    <row r="65" ht="15.75" customHeight="1">
      <c r="A65" s="66"/>
      <c r="B65" s="66"/>
      <c r="C65" s="66"/>
      <c r="D65" s="66"/>
      <c r="E65" s="66"/>
      <c r="F65" s="66"/>
      <c r="G65" s="66"/>
      <c r="H65" s="66"/>
      <c r="I65" s="66"/>
      <c r="J65" s="66"/>
      <c r="K65" s="66"/>
      <c r="L65" s="66"/>
      <c r="M65" s="66"/>
      <c r="N65" s="66"/>
      <c r="O65" s="66"/>
      <c r="P65" s="66"/>
      <c r="Q65" s="66"/>
      <c r="R65" s="66"/>
      <c r="S65" s="66"/>
      <c r="T65" s="66"/>
      <c r="U65" s="66"/>
    </row>
    <row r="66" ht="15.75" customHeight="1">
      <c r="A66" s="66"/>
      <c r="B66" s="66"/>
      <c r="C66" s="66"/>
      <c r="D66" s="66"/>
      <c r="E66" s="66"/>
      <c r="F66" s="66"/>
      <c r="G66" s="66"/>
      <c r="H66" s="66"/>
      <c r="I66" s="66"/>
      <c r="J66" s="66"/>
      <c r="K66" s="66"/>
      <c r="L66" s="66"/>
      <c r="M66" s="66"/>
      <c r="N66" s="66"/>
      <c r="O66" s="66"/>
      <c r="P66" s="66"/>
      <c r="Q66" s="66"/>
      <c r="R66" s="66"/>
      <c r="S66" s="66"/>
      <c r="T66" s="66"/>
      <c r="U66" s="66"/>
    </row>
    <row r="67" ht="15.75" customHeight="1">
      <c r="A67" s="66"/>
      <c r="B67" s="66"/>
      <c r="C67" s="66"/>
      <c r="D67" s="66"/>
      <c r="E67" s="66"/>
      <c r="F67" s="66"/>
      <c r="G67" s="66"/>
      <c r="H67" s="66"/>
      <c r="I67" s="66"/>
      <c r="J67" s="66"/>
      <c r="K67" s="66"/>
      <c r="L67" s="66"/>
      <c r="M67" s="66"/>
      <c r="N67" s="66"/>
      <c r="O67" s="66"/>
      <c r="P67" s="66"/>
      <c r="Q67" s="66"/>
      <c r="R67" s="66"/>
      <c r="S67" s="66"/>
      <c r="T67" s="66"/>
      <c r="U67" s="66"/>
    </row>
    <row r="68" ht="15.75" customHeight="1">
      <c r="A68" s="66"/>
      <c r="B68" s="66"/>
      <c r="C68" s="66"/>
      <c r="D68" s="66"/>
      <c r="E68" s="66"/>
      <c r="F68" s="66"/>
      <c r="G68" s="66"/>
      <c r="H68" s="66"/>
      <c r="I68" s="66"/>
      <c r="J68" s="66"/>
      <c r="K68" s="66"/>
      <c r="L68" s="66"/>
      <c r="M68" s="66"/>
      <c r="N68" s="66"/>
      <c r="O68" s="66"/>
      <c r="P68" s="66"/>
      <c r="Q68" s="66"/>
      <c r="R68" s="66"/>
      <c r="S68" s="66"/>
      <c r="T68" s="66"/>
      <c r="U68" s="66"/>
    </row>
    <row r="69" ht="15.75" customHeight="1">
      <c r="A69" s="66"/>
      <c r="B69" s="66"/>
      <c r="C69" s="66"/>
      <c r="D69" s="66"/>
      <c r="E69" s="66"/>
      <c r="F69" s="66"/>
      <c r="G69" s="66"/>
      <c r="H69" s="66"/>
      <c r="I69" s="66"/>
      <c r="J69" s="66"/>
      <c r="K69" s="66"/>
      <c r="L69" s="66"/>
      <c r="M69" s="66"/>
      <c r="N69" s="66"/>
      <c r="O69" s="66"/>
      <c r="P69" s="66"/>
      <c r="Q69" s="66"/>
      <c r="R69" s="66"/>
      <c r="S69" s="66"/>
      <c r="T69" s="66"/>
      <c r="U69" s="66"/>
    </row>
    <row r="70" ht="15.75" customHeight="1">
      <c r="A70" s="66"/>
      <c r="B70" s="66"/>
      <c r="C70" s="66"/>
      <c r="D70" s="66"/>
      <c r="E70" s="66"/>
      <c r="F70" s="66"/>
      <c r="G70" s="66"/>
      <c r="H70" s="66"/>
      <c r="I70" s="66"/>
      <c r="J70" s="66"/>
      <c r="K70" s="66"/>
      <c r="L70" s="66"/>
      <c r="M70" s="66"/>
      <c r="N70" s="66"/>
      <c r="O70" s="66"/>
      <c r="P70" s="66"/>
      <c r="Q70" s="66"/>
      <c r="R70" s="66"/>
      <c r="S70" s="66"/>
      <c r="T70" s="66"/>
      <c r="U70" s="66"/>
    </row>
    <row r="71" ht="15.75" customHeight="1">
      <c r="A71" s="66"/>
      <c r="B71" s="66"/>
      <c r="C71" s="66"/>
      <c r="D71" s="66"/>
      <c r="E71" s="66"/>
      <c r="F71" s="66"/>
      <c r="G71" s="66"/>
      <c r="H71" s="66"/>
      <c r="I71" s="66"/>
      <c r="J71" s="66"/>
      <c r="K71" s="66"/>
      <c r="L71" s="66"/>
      <c r="M71" s="66"/>
      <c r="N71" s="66"/>
      <c r="O71" s="66"/>
      <c r="P71" s="66"/>
      <c r="Q71" s="66"/>
      <c r="R71" s="66"/>
      <c r="S71" s="66"/>
      <c r="T71" s="66"/>
      <c r="U71" s="66"/>
    </row>
    <row r="72" ht="15.75" customHeight="1">
      <c r="A72" s="66"/>
      <c r="B72" s="66"/>
      <c r="C72" s="66"/>
      <c r="D72" s="66"/>
      <c r="E72" s="66"/>
      <c r="F72" s="66"/>
      <c r="G72" s="66"/>
      <c r="H72" s="66"/>
      <c r="I72" s="66"/>
      <c r="J72" s="66"/>
      <c r="K72" s="66"/>
      <c r="L72" s="66"/>
      <c r="M72" s="66"/>
      <c r="N72" s="66"/>
      <c r="O72" s="66"/>
      <c r="P72" s="66"/>
      <c r="Q72" s="66"/>
      <c r="R72" s="66"/>
      <c r="S72" s="66"/>
      <c r="T72" s="66"/>
      <c r="U72" s="66"/>
    </row>
    <row r="73" ht="15.75" customHeight="1">
      <c r="A73" s="66"/>
      <c r="B73" s="66"/>
      <c r="C73" s="66"/>
      <c r="D73" s="66"/>
      <c r="E73" s="66"/>
      <c r="F73" s="66"/>
      <c r="G73" s="66"/>
      <c r="H73" s="66"/>
      <c r="I73" s="66"/>
      <c r="J73" s="66"/>
      <c r="K73" s="66"/>
      <c r="L73" s="66"/>
      <c r="M73" s="66"/>
      <c r="N73" s="66"/>
      <c r="O73" s="66"/>
      <c r="P73" s="66"/>
      <c r="Q73" s="66"/>
      <c r="R73" s="66"/>
      <c r="S73" s="66"/>
      <c r="T73" s="66"/>
      <c r="U73" s="66"/>
    </row>
    <row r="74" ht="15.75" customHeight="1">
      <c r="A74" s="66"/>
      <c r="B74" s="66"/>
      <c r="C74" s="66"/>
      <c r="D74" s="66"/>
      <c r="E74" s="66"/>
      <c r="F74" s="66"/>
      <c r="G74" s="66"/>
      <c r="H74" s="66"/>
      <c r="I74" s="66"/>
      <c r="J74" s="66"/>
      <c r="K74" s="66"/>
      <c r="L74" s="66"/>
      <c r="M74" s="66"/>
      <c r="N74" s="66"/>
      <c r="O74" s="66"/>
      <c r="P74" s="66"/>
      <c r="Q74" s="66"/>
      <c r="R74" s="66"/>
      <c r="S74" s="66"/>
      <c r="T74" s="66"/>
      <c r="U74" s="66"/>
    </row>
    <row r="75" ht="15.75" customHeight="1">
      <c r="A75" s="66"/>
      <c r="B75" s="66"/>
      <c r="C75" s="66"/>
      <c r="D75" s="66"/>
      <c r="E75" s="66"/>
      <c r="F75" s="66"/>
      <c r="G75" s="66"/>
      <c r="H75" s="66"/>
      <c r="I75" s="66"/>
      <c r="J75" s="66"/>
      <c r="K75" s="66"/>
      <c r="L75" s="66"/>
      <c r="M75" s="66"/>
      <c r="N75" s="66"/>
      <c r="O75" s="66"/>
      <c r="P75" s="66"/>
      <c r="Q75" s="66"/>
      <c r="R75" s="66"/>
      <c r="S75" s="66"/>
      <c r="T75" s="66"/>
      <c r="U75" s="66"/>
    </row>
    <row r="76" ht="15.75" customHeight="1">
      <c r="A76" s="66"/>
      <c r="B76" s="66"/>
      <c r="C76" s="66"/>
      <c r="D76" s="66"/>
      <c r="E76" s="66"/>
      <c r="F76" s="66"/>
      <c r="G76" s="66"/>
      <c r="H76" s="66"/>
      <c r="I76" s="66"/>
      <c r="J76" s="66"/>
      <c r="K76" s="66"/>
      <c r="L76" s="66"/>
      <c r="M76" s="66"/>
      <c r="N76" s="66"/>
      <c r="O76" s="66"/>
      <c r="P76" s="66"/>
      <c r="Q76" s="66"/>
      <c r="R76" s="66"/>
      <c r="S76" s="66"/>
      <c r="T76" s="66"/>
      <c r="U76" s="66"/>
    </row>
    <row r="77" ht="15.75" customHeight="1">
      <c r="A77" s="66"/>
      <c r="B77" s="66"/>
      <c r="C77" s="66"/>
      <c r="D77" s="66"/>
      <c r="E77" s="66"/>
      <c r="F77" s="66"/>
      <c r="G77" s="66"/>
      <c r="H77" s="66"/>
      <c r="I77" s="66"/>
      <c r="J77" s="66"/>
      <c r="K77" s="66"/>
      <c r="L77" s="66"/>
      <c r="M77" s="66"/>
      <c r="N77" s="66"/>
      <c r="O77" s="66"/>
      <c r="P77" s="66"/>
      <c r="Q77" s="66"/>
      <c r="R77" s="66"/>
      <c r="S77" s="66"/>
      <c r="T77" s="66"/>
      <c r="U77" s="66"/>
    </row>
    <row r="78" ht="15.75" customHeight="1">
      <c r="A78" s="66"/>
      <c r="B78" s="66"/>
      <c r="C78" s="66"/>
      <c r="D78" s="66"/>
      <c r="E78" s="66"/>
      <c r="F78" s="66"/>
      <c r="G78" s="66"/>
      <c r="H78" s="66"/>
      <c r="I78" s="66"/>
      <c r="J78" s="66"/>
      <c r="K78" s="66"/>
      <c r="L78" s="66"/>
      <c r="M78" s="66"/>
      <c r="N78" s="66"/>
      <c r="O78" s="66"/>
      <c r="P78" s="66"/>
      <c r="Q78" s="66"/>
      <c r="R78" s="66"/>
      <c r="S78" s="66"/>
      <c r="T78" s="66"/>
      <c r="U78" s="66"/>
    </row>
    <row r="79" ht="15.75" customHeight="1">
      <c r="A79" s="66"/>
      <c r="B79" s="66"/>
      <c r="C79" s="66"/>
      <c r="D79" s="66"/>
      <c r="E79" s="66"/>
      <c r="F79" s="66"/>
      <c r="G79" s="66"/>
      <c r="H79" s="66"/>
      <c r="I79" s="66"/>
      <c r="J79" s="66"/>
      <c r="K79" s="66"/>
      <c r="L79" s="66"/>
      <c r="M79" s="66"/>
      <c r="N79" s="66"/>
      <c r="O79" s="66"/>
      <c r="P79" s="66"/>
      <c r="Q79" s="66"/>
      <c r="R79" s="66"/>
      <c r="S79" s="66"/>
      <c r="T79" s="66"/>
      <c r="U79" s="66"/>
    </row>
    <row r="80" ht="15.75" customHeight="1">
      <c r="A80" s="66"/>
      <c r="B80" s="66"/>
      <c r="C80" s="66"/>
      <c r="D80" s="66"/>
      <c r="E80" s="66"/>
      <c r="F80" s="66"/>
      <c r="G80" s="66"/>
      <c r="H80" s="66"/>
      <c r="I80" s="66"/>
      <c r="J80" s="66"/>
      <c r="K80" s="66"/>
      <c r="L80" s="66"/>
      <c r="M80" s="66"/>
      <c r="N80" s="66"/>
      <c r="O80" s="66"/>
      <c r="P80" s="66"/>
      <c r="Q80" s="66"/>
      <c r="R80" s="66"/>
      <c r="S80" s="66"/>
      <c r="T80" s="66"/>
      <c r="U80" s="66"/>
    </row>
    <row r="81" ht="15.75" customHeight="1">
      <c r="A81" s="66"/>
      <c r="B81" s="66"/>
      <c r="C81" s="66"/>
      <c r="D81" s="66"/>
      <c r="E81" s="66"/>
      <c r="F81" s="66"/>
      <c r="G81" s="66"/>
      <c r="H81" s="66"/>
      <c r="I81" s="66"/>
      <c r="J81" s="66"/>
      <c r="K81" s="66"/>
      <c r="L81" s="66"/>
      <c r="M81" s="66"/>
      <c r="N81" s="66"/>
      <c r="O81" s="66"/>
      <c r="P81" s="66"/>
      <c r="Q81" s="66"/>
      <c r="R81" s="66"/>
      <c r="S81" s="66"/>
      <c r="T81" s="66"/>
      <c r="U81" s="66"/>
    </row>
    <row r="82" ht="15.75" customHeight="1">
      <c r="A82" s="66"/>
      <c r="B82" s="66"/>
      <c r="C82" s="66"/>
      <c r="D82" s="66"/>
      <c r="E82" s="66"/>
      <c r="F82" s="66"/>
      <c r="G82" s="66"/>
      <c r="H82" s="66"/>
      <c r="I82" s="66"/>
      <c r="J82" s="66"/>
      <c r="K82" s="66"/>
      <c r="L82" s="66"/>
      <c r="M82" s="66"/>
      <c r="N82" s="66"/>
      <c r="O82" s="66"/>
      <c r="P82" s="66"/>
      <c r="Q82" s="66"/>
      <c r="R82" s="66"/>
      <c r="S82" s="66"/>
      <c r="T82" s="66"/>
      <c r="U82" s="66"/>
    </row>
    <row r="83" ht="15.75" customHeight="1">
      <c r="A83" s="66"/>
      <c r="B83" s="66"/>
      <c r="C83" s="66"/>
      <c r="D83" s="66"/>
      <c r="E83" s="66"/>
      <c r="F83" s="66"/>
      <c r="G83" s="66"/>
      <c r="H83" s="66"/>
      <c r="I83" s="66"/>
      <c r="J83" s="66"/>
      <c r="K83" s="66"/>
      <c r="L83" s="66"/>
      <c r="M83" s="66"/>
      <c r="N83" s="66"/>
      <c r="O83" s="66"/>
      <c r="P83" s="66"/>
      <c r="Q83" s="66"/>
      <c r="R83" s="66"/>
      <c r="S83" s="66"/>
      <c r="T83" s="66"/>
      <c r="U83" s="66"/>
    </row>
    <row r="84" ht="15.75" customHeight="1">
      <c r="A84" s="66"/>
      <c r="B84" s="66"/>
      <c r="C84" s="66"/>
      <c r="D84" s="66"/>
      <c r="E84" s="66"/>
      <c r="F84" s="66"/>
      <c r="G84" s="66"/>
      <c r="H84" s="66"/>
      <c r="I84" s="66"/>
      <c r="J84" s="66"/>
      <c r="K84" s="66"/>
      <c r="L84" s="66"/>
      <c r="M84" s="66"/>
      <c r="N84" s="66"/>
      <c r="O84" s="66"/>
      <c r="P84" s="66"/>
      <c r="Q84" s="66"/>
      <c r="R84" s="66"/>
      <c r="S84" s="66"/>
      <c r="T84" s="66"/>
      <c r="U84" s="66"/>
    </row>
    <row r="85" ht="15.75" customHeight="1">
      <c r="A85" s="66"/>
      <c r="B85" s="66"/>
      <c r="C85" s="66"/>
      <c r="D85" s="66"/>
      <c r="E85" s="66"/>
      <c r="F85" s="66"/>
      <c r="G85" s="66"/>
      <c r="H85" s="66"/>
      <c r="I85" s="66"/>
      <c r="J85" s="66"/>
      <c r="K85" s="66"/>
      <c r="L85" s="66"/>
      <c r="M85" s="66"/>
      <c r="N85" s="66"/>
      <c r="O85" s="66"/>
      <c r="P85" s="66"/>
      <c r="Q85" s="66"/>
      <c r="R85" s="66"/>
      <c r="S85" s="66"/>
      <c r="T85" s="66"/>
      <c r="U85" s="66"/>
    </row>
    <row r="86" ht="15.75" customHeight="1">
      <c r="A86" s="66"/>
      <c r="B86" s="66"/>
      <c r="C86" s="66"/>
      <c r="D86" s="66"/>
      <c r="E86" s="66"/>
      <c r="F86" s="66"/>
      <c r="G86" s="66"/>
      <c r="H86" s="66"/>
      <c r="I86" s="66"/>
      <c r="J86" s="66"/>
      <c r="K86" s="66"/>
      <c r="L86" s="66"/>
      <c r="M86" s="66"/>
      <c r="N86" s="66"/>
      <c r="O86" s="66"/>
      <c r="P86" s="66"/>
      <c r="Q86" s="66"/>
      <c r="R86" s="66"/>
      <c r="S86" s="66"/>
      <c r="T86" s="66"/>
      <c r="U86" s="66"/>
    </row>
    <row r="87" ht="15.75" customHeight="1">
      <c r="A87" s="66"/>
      <c r="B87" s="66"/>
      <c r="C87" s="66"/>
      <c r="D87" s="66"/>
      <c r="E87" s="66"/>
      <c r="F87" s="66"/>
      <c r="G87" s="66"/>
      <c r="H87" s="66"/>
      <c r="I87" s="66"/>
      <c r="J87" s="66"/>
      <c r="K87" s="66"/>
      <c r="L87" s="66"/>
      <c r="M87" s="66"/>
      <c r="N87" s="66"/>
      <c r="O87" s="66"/>
      <c r="P87" s="66"/>
      <c r="Q87" s="66"/>
      <c r="R87" s="66"/>
      <c r="S87" s="66"/>
      <c r="T87" s="66"/>
      <c r="U87" s="66"/>
    </row>
    <row r="88" ht="15.75" customHeight="1">
      <c r="A88" s="66"/>
      <c r="B88" s="66"/>
      <c r="C88" s="66"/>
      <c r="D88" s="66"/>
      <c r="E88" s="66"/>
      <c r="F88" s="66"/>
      <c r="G88" s="66"/>
      <c r="H88" s="66"/>
      <c r="I88" s="66"/>
      <c r="J88" s="66"/>
      <c r="K88" s="66"/>
      <c r="L88" s="66"/>
      <c r="M88" s="66"/>
      <c r="N88" s="66"/>
      <c r="O88" s="66"/>
      <c r="P88" s="66"/>
      <c r="Q88" s="66"/>
      <c r="R88" s="66"/>
      <c r="S88" s="66"/>
      <c r="T88" s="66"/>
      <c r="U88" s="66"/>
    </row>
    <row r="89" ht="15.75" customHeight="1">
      <c r="A89" s="66"/>
      <c r="B89" s="66"/>
      <c r="C89" s="66"/>
      <c r="D89" s="66"/>
      <c r="E89" s="66"/>
      <c r="F89" s="66"/>
      <c r="G89" s="66"/>
      <c r="H89" s="66"/>
      <c r="I89" s="66"/>
      <c r="J89" s="66"/>
      <c r="K89" s="66"/>
      <c r="L89" s="66"/>
      <c r="M89" s="66"/>
      <c r="N89" s="66"/>
      <c r="O89" s="66"/>
      <c r="P89" s="66"/>
      <c r="Q89" s="66"/>
      <c r="R89" s="66"/>
      <c r="S89" s="66"/>
      <c r="T89" s="66"/>
      <c r="U89" s="66"/>
    </row>
    <row r="90" ht="15.75" customHeight="1">
      <c r="A90" s="66"/>
      <c r="B90" s="66"/>
      <c r="C90" s="66"/>
      <c r="D90" s="66"/>
      <c r="E90" s="66"/>
      <c r="F90" s="66"/>
      <c r="G90" s="66"/>
      <c r="H90" s="66"/>
      <c r="I90" s="66"/>
      <c r="J90" s="66"/>
      <c r="K90" s="66"/>
      <c r="L90" s="66"/>
      <c r="M90" s="66"/>
      <c r="N90" s="66"/>
      <c r="O90" s="66"/>
      <c r="P90" s="66"/>
      <c r="Q90" s="66"/>
      <c r="R90" s="66"/>
      <c r="S90" s="66"/>
      <c r="T90" s="66"/>
      <c r="U90" s="66"/>
    </row>
    <row r="91" ht="15.75" customHeight="1">
      <c r="A91" s="66"/>
      <c r="B91" s="66"/>
      <c r="C91" s="66"/>
      <c r="D91" s="66"/>
      <c r="E91" s="66"/>
      <c r="F91" s="66"/>
      <c r="G91" s="66"/>
      <c r="H91" s="66"/>
      <c r="I91" s="66"/>
      <c r="J91" s="66"/>
      <c r="K91" s="66"/>
      <c r="L91" s="66"/>
      <c r="M91" s="66"/>
      <c r="N91" s="66"/>
      <c r="O91" s="66"/>
      <c r="P91" s="66"/>
      <c r="Q91" s="66"/>
      <c r="R91" s="66"/>
      <c r="S91" s="66"/>
      <c r="T91" s="66"/>
      <c r="U91" s="66"/>
    </row>
    <row r="92" ht="15.75" customHeight="1">
      <c r="A92" s="66"/>
      <c r="B92" s="66"/>
      <c r="C92" s="66"/>
      <c r="D92" s="66"/>
      <c r="E92" s="66"/>
      <c r="F92" s="66"/>
      <c r="G92" s="66"/>
      <c r="H92" s="66"/>
      <c r="I92" s="66"/>
      <c r="J92" s="66"/>
      <c r="K92" s="66"/>
      <c r="L92" s="66"/>
      <c r="M92" s="66"/>
      <c r="N92" s="66"/>
      <c r="O92" s="66"/>
      <c r="P92" s="66"/>
      <c r="Q92" s="66"/>
      <c r="R92" s="66"/>
      <c r="S92" s="66"/>
      <c r="T92" s="66"/>
      <c r="U92" s="66"/>
    </row>
    <row r="93" ht="15.75" customHeight="1">
      <c r="A93" s="66"/>
      <c r="B93" s="66"/>
      <c r="C93" s="66"/>
      <c r="D93" s="66"/>
      <c r="E93" s="66"/>
      <c r="F93" s="66"/>
      <c r="G93" s="66"/>
      <c r="H93" s="66"/>
      <c r="I93" s="66"/>
      <c r="J93" s="66"/>
      <c r="K93" s="66"/>
      <c r="L93" s="66"/>
      <c r="M93" s="66"/>
      <c r="N93" s="66"/>
      <c r="O93" s="66"/>
      <c r="P93" s="66"/>
      <c r="Q93" s="66"/>
      <c r="R93" s="66"/>
      <c r="S93" s="66"/>
      <c r="T93" s="66"/>
      <c r="U93" s="66"/>
    </row>
    <row r="94" ht="15.75" customHeight="1">
      <c r="A94" s="66"/>
      <c r="B94" s="66"/>
      <c r="C94" s="66"/>
      <c r="D94" s="66"/>
      <c r="E94" s="66"/>
      <c r="F94" s="66"/>
      <c r="G94" s="66"/>
      <c r="H94" s="66"/>
      <c r="I94" s="66"/>
      <c r="J94" s="66"/>
      <c r="K94" s="66"/>
      <c r="L94" s="66"/>
      <c r="M94" s="66"/>
      <c r="N94" s="66"/>
      <c r="O94" s="66"/>
      <c r="P94" s="66"/>
      <c r="Q94" s="66"/>
      <c r="R94" s="66"/>
      <c r="S94" s="66"/>
      <c r="T94" s="66"/>
      <c r="U94" s="66"/>
    </row>
    <row r="95" ht="15.75" customHeight="1">
      <c r="A95" s="66"/>
      <c r="B95" s="66"/>
      <c r="C95" s="66"/>
      <c r="D95" s="66"/>
      <c r="E95" s="66"/>
      <c r="F95" s="66"/>
      <c r="G95" s="66"/>
      <c r="H95" s="66"/>
      <c r="I95" s="66"/>
      <c r="J95" s="66"/>
      <c r="K95" s="66"/>
      <c r="L95" s="66"/>
      <c r="M95" s="66"/>
      <c r="N95" s="66"/>
      <c r="O95" s="66"/>
      <c r="P95" s="66"/>
      <c r="Q95" s="66"/>
      <c r="R95" s="66"/>
      <c r="S95" s="66"/>
      <c r="T95" s="66"/>
      <c r="U95" s="66"/>
    </row>
    <row r="96" ht="15.75" customHeight="1">
      <c r="A96" s="66"/>
      <c r="B96" s="66"/>
      <c r="C96" s="66"/>
      <c r="D96" s="66"/>
      <c r="E96" s="66"/>
      <c r="F96" s="66"/>
      <c r="G96" s="66"/>
      <c r="H96" s="66"/>
      <c r="I96" s="66"/>
      <c r="J96" s="66"/>
      <c r="K96" s="66"/>
      <c r="L96" s="66"/>
      <c r="M96" s="66"/>
      <c r="N96" s="66"/>
      <c r="O96" s="66"/>
      <c r="P96" s="66"/>
      <c r="Q96" s="66"/>
      <c r="R96" s="66"/>
      <c r="S96" s="66"/>
      <c r="T96" s="66"/>
      <c r="U96" s="66"/>
    </row>
    <row r="97" ht="15.75" customHeight="1">
      <c r="A97" s="66"/>
      <c r="B97" s="66"/>
      <c r="C97" s="66"/>
      <c r="D97" s="66"/>
      <c r="E97" s="66"/>
      <c r="F97" s="66"/>
      <c r="G97" s="66"/>
      <c r="H97" s="66"/>
      <c r="I97" s="66"/>
      <c r="J97" s="66"/>
      <c r="K97" s="66"/>
      <c r="L97" s="66"/>
      <c r="M97" s="66"/>
      <c r="N97" s="66"/>
      <c r="O97" s="66"/>
      <c r="P97" s="66"/>
      <c r="Q97" s="66"/>
      <c r="R97" s="66"/>
      <c r="S97" s="66"/>
      <c r="T97" s="66"/>
      <c r="U97" s="66"/>
    </row>
    <row r="98" ht="15.75" customHeight="1">
      <c r="A98" s="66"/>
      <c r="B98" s="66"/>
      <c r="C98" s="66"/>
      <c r="D98" s="66"/>
      <c r="E98" s="66"/>
      <c r="F98" s="66"/>
      <c r="G98" s="66"/>
      <c r="H98" s="66"/>
      <c r="I98" s="66"/>
      <c r="J98" s="66"/>
      <c r="K98" s="66"/>
      <c r="L98" s="66"/>
      <c r="M98" s="66"/>
      <c r="N98" s="66"/>
      <c r="O98" s="66"/>
      <c r="P98" s="66"/>
      <c r="Q98" s="66"/>
      <c r="R98" s="66"/>
      <c r="S98" s="66"/>
      <c r="T98" s="66"/>
      <c r="U98" s="66"/>
    </row>
    <row r="99" ht="15.75" customHeight="1">
      <c r="A99" s="66"/>
      <c r="B99" s="66"/>
      <c r="C99" s="66"/>
      <c r="D99" s="66"/>
      <c r="E99" s="66"/>
      <c r="F99" s="66"/>
      <c r="G99" s="66"/>
      <c r="H99" s="66"/>
      <c r="I99" s="66"/>
      <c r="J99" s="66"/>
      <c r="K99" s="66"/>
      <c r="L99" s="66"/>
      <c r="M99" s="66"/>
      <c r="N99" s="66"/>
      <c r="O99" s="66"/>
      <c r="P99" s="66"/>
      <c r="Q99" s="66"/>
      <c r="R99" s="66"/>
      <c r="S99" s="66"/>
      <c r="T99" s="66"/>
      <c r="U99" s="66"/>
    </row>
    <row r="100" ht="15.75" customHeight="1">
      <c r="A100" s="66"/>
      <c r="B100" s="66"/>
      <c r="C100" s="66"/>
      <c r="D100" s="66"/>
      <c r="E100" s="66"/>
      <c r="F100" s="66"/>
      <c r="G100" s="66"/>
      <c r="H100" s="66"/>
      <c r="I100" s="66"/>
      <c r="J100" s="66"/>
      <c r="K100" s="66"/>
      <c r="L100" s="66"/>
      <c r="M100" s="66"/>
      <c r="N100" s="66"/>
      <c r="O100" s="66"/>
      <c r="P100" s="66"/>
      <c r="Q100" s="66"/>
      <c r="R100" s="66"/>
      <c r="S100" s="66"/>
      <c r="T100" s="66"/>
      <c r="U100" s="66"/>
    </row>
    <row r="101" ht="15.75" customHeight="1">
      <c r="A101" s="66"/>
      <c r="B101" s="66"/>
      <c r="C101" s="66"/>
      <c r="D101" s="66"/>
      <c r="E101" s="66"/>
      <c r="F101" s="66"/>
      <c r="G101" s="66"/>
      <c r="H101" s="66"/>
      <c r="I101" s="66"/>
      <c r="J101" s="66"/>
      <c r="K101" s="66"/>
      <c r="L101" s="66"/>
      <c r="M101" s="66"/>
      <c r="N101" s="66"/>
      <c r="O101" s="66"/>
      <c r="P101" s="66"/>
      <c r="Q101" s="66"/>
      <c r="R101" s="66"/>
      <c r="S101" s="66"/>
      <c r="T101" s="66"/>
      <c r="U101" s="66"/>
    </row>
    <row r="102" ht="15.75" customHeight="1">
      <c r="A102" s="66"/>
      <c r="B102" s="66"/>
      <c r="C102" s="66"/>
      <c r="D102" s="66"/>
      <c r="E102" s="66"/>
      <c r="F102" s="66"/>
      <c r="G102" s="66"/>
      <c r="H102" s="66"/>
      <c r="I102" s="66"/>
      <c r="J102" s="66"/>
      <c r="K102" s="66"/>
      <c r="L102" s="66"/>
      <c r="M102" s="66"/>
      <c r="N102" s="66"/>
      <c r="O102" s="66"/>
      <c r="P102" s="66"/>
      <c r="Q102" s="66"/>
      <c r="R102" s="66"/>
      <c r="S102" s="66"/>
      <c r="T102" s="66"/>
      <c r="U102" s="66"/>
    </row>
    <row r="103" ht="15.75" customHeight="1">
      <c r="A103" s="66"/>
      <c r="B103" s="66"/>
      <c r="C103" s="66"/>
      <c r="D103" s="66"/>
      <c r="E103" s="66"/>
      <c r="F103" s="66"/>
      <c r="G103" s="66"/>
      <c r="H103" s="66"/>
      <c r="I103" s="66"/>
      <c r="J103" s="66"/>
      <c r="K103" s="66"/>
      <c r="L103" s="66"/>
      <c r="M103" s="66"/>
      <c r="N103" s="66"/>
      <c r="O103" s="66"/>
      <c r="P103" s="66"/>
      <c r="Q103" s="66"/>
      <c r="R103" s="66"/>
      <c r="S103" s="66"/>
      <c r="T103" s="66"/>
      <c r="U103" s="66"/>
    </row>
    <row r="104" ht="15.75" customHeight="1">
      <c r="A104" s="66"/>
      <c r="B104" s="66"/>
      <c r="C104" s="66"/>
      <c r="D104" s="66"/>
      <c r="E104" s="66"/>
      <c r="F104" s="66"/>
      <c r="G104" s="66"/>
      <c r="H104" s="66"/>
      <c r="I104" s="66"/>
      <c r="J104" s="66"/>
      <c r="K104" s="66"/>
      <c r="L104" s="66"/>
      <c r="M104" s="66"/>
      <c r="N104" s="66"/>
      <c r="O104" s="66"/>
      <c r="P104" s="66"/>
      <c r="Q104" s="66"/>
      <c r="R104" s="66"/>
      <c r="S104" s="66"/>
      <c r="T104" s="66"/>
      <c r="U104" s="66"/>
    </row>
    <row r="105" ht="15.75" customHeight="1">
      <c r="A105" s="66"/>
      <c r="B105" s="66"/>
      <c r="C105" s="66"/>
      <c r="D105" s="66"/>
      <c r="E105" s="66"/>
      <c r="F105" s="66"/>
      <c r="G105" s="66"/>
      <c r="H105" s="66"/>
      <c r="I105" s="66"/>
      <c r="J105" s="66"/>
      <c r="K105" s="66"/>
      <c r="L105" s="66"/>
      <c r="M105" s="66"/>
      <c r="N105" s="66"/>
      <c r="O105" s="66"/>
      <c r="P105" s="66"/>
      <c r="Q105" s="66"/>
      <c r="R105" s="66"/>
      <c r="S105" s="66"/>
      <c r="T105" s="66"/>
      <c r="U105" s="66"/>
    </row>
    <row r="106" ht="15.75" customHeight="1">
      <c r="A106" s="66"/>
      <c r="B106" s="66"/>
      <c r="C106" s="66"/>
      <c r="D106" s="66"/>
      <c r="E106" s="66"/>
      <c r="F106" s="66"/>
      <c r="G106" s="66"/>
      <c r="H106" s="66"/>
      <c r="I106" s="66"/>
      <c r="J106" s="66"/>
      <c r="K106" s="66"/>
      <c r="L106" s="66"/>
      <c r="M106" s="66"/>
      <c r="N106" s="66"/>
      <c r="O106" s="66"/>
      <c r="P106" s="66"/>
      <c r="Q106" s="66"/>
      <c r="R106" s="66"/>
      <c r="S106" s="66"/>
      <c r="T106" s="66"/>
      <c r="U106" s="66"/>
    </row>
    <row r="107" ht="15.75" customHeight="1">
      <c r="A107" s="66"/>
      <c r="B107" s="66"/>
      <c r="C107" s="66"/>
      <c r="D107" s="66"/>
      <c r="E107" s="66"/>
      <c r="F107" s="66"/>
      <c r="G107" s="66"/>
      <c r="H107" s="66"/>
      <c r="I107" s="66"/>
      <c r="J107" s="66"/>
      <c r="K107" s="66"/>
      <c r="L107" s="66"/>
      <c r="M107" s="66"/>
      <c r="N107" s="66"/>
      <c r="O107" s="66"/>
      <c r="P107" s="66"/>
      <c r="Q107" s="66"/>
      <c r="R107" s="66"/>
      <c r="S107" s="66"/>
      <c r="T107" s="66"/>
      <c r="U107" s="66"/>
    </row>
    <row r="108" ht="15.75" customHeight="1">
      <c r="A108" s="66"/>
      <c r="B108" s="66"/>
      <c r="C108" s="66"/>
      <c r="D108" s="66"/>
      <c r="E108" s="66"/>
      <c r="F108" s="66"/>
      <c r="G108" s="66"/>
      <c r="H108" s="66"/>
      <c r="I108" s="66"/>
      <c r="J108" s="66"/>
      <c r="K108" s="66"/>
      <c r="L108" s="66"/>
      <c r="M108" s="66"/>
      <c r="N108" s="66"/>
      <c r="O108" s="66"/>
      <c r="P108" s="66"/>
      <c r="Q108" s="66"/>
      <c r="R108" s="66"/>
      <c r="S108" s="66"/>
      <c r="T108" s="66"/>
      <c r="U108" s="66"/>
    </row>
    <row r="109" ht="15.75" customHeight="1">
      <c r="A109" s="66"/>
      <c r="B109" s="66"/>
      <c r="C109" s="66"/>
      <c r="D109" s="66"/>
      <c r="E109" s="66"/>
      <c r="F109" s="66"/>
      <c r="G109" s="66"/>
      <c r="H109" s="66"/>
      <c r="I109" s="66"/>
      <c r="J109" s="66"/>
      <c r="K109" s="66"/>
      <c r="L109" s="66"/>
      <c r="M109" s="66"/>
      <c r="N109" s="66"/>
      <c r="O109" s="66"/>
      <c r="P109" s="66"/>
      <c r="Q109" s="66"/>
      <c r="R109" s="66"/>
      <c r="S109" s="66"/>
      <c r="T109" s="66"/>
      <c r="U109" s="66"/>
    </row>
    <row r="110" ht="15.75" customHeight="1">
      <c r="A110" s="66"/>
      <c r="B110" s="66"/>
      <c r="C110" s="66"/>
      <c r="D110" s="66"/>
      <c r="E110" s="66"/>
      <c r="F110" s="66"/>
      <c r="G110" s="66"/>
      <c r="H110" s="66"/>
      <c r="I110" s="66"/>
      <c r="J110" s="66"/>
      <c r="K110" s="66"/>
      <c r="L110" s="66"/>
      <c r="M110" s="66"/>
      <c r="N110" s="66"/>
      <c r="O110" s="66"/>
      <c r="P110" s="66"/>
      <c r="Q110" s="66"/>
      <c r="R110" s="66"/>
      <c r="S110" s="66"/>
      <c r="T110" s="66"/>
      <c r="U110" s="66"/>
    </row>
    <row r="111" ht="15.75" customHeight="1">
      <c r="A111" s="66"/>
      <c r="B111" s="66"/>
      <c r="C111" s="66"/>
      <c r="D111" s="66"/>
      <c r="E111" s="66"/>
      <c r="F111" s="66"/>
      <c r="G111" s="66"/>
      <c r="H111" s="66"/>
      <c r="I111" s="66"/>
      <c r="J111" s="66"/>
      <c r="K111" s="66"/>
      <c r="L111" s="66"/>
      <c r="M111" s="66"/>
      <c r="N111" s="66"/>
      <c r="O111" s="66"/>
      <c r="P111" s="66"/>
      <c r="Q111" s="66"/>
      <c r="R111" s="66"/>
      <c r="S111" s="66"/>
      <c r="T111" s="66"/>
      <c r="U111" s="66"/>
    </row>
    <row r="112" ht="15.75" customHeight="1">
      <c r="A112" s="66"/>
      <c r="B112" s="66"/>
      <c r="C112" s="66"/>
      <c r="D112" s="66"/>
      <c r="E112" s="66"/>
      <c r="F112" s="66"/>
      <c r="G112" s="66"/>
      <c r="H112" s="66"/>
      <c r="I112" s="66"/>
      <c r="J112" s="66"/>
      <c r="K112" s="66"/>
      <c r="L112" s="66"/>
      <c r="M112" s="66"/>
      <c r="N112" s="66"/>
      <c r="O112" s="66"/>
      <c r="P112" s="66"/>
      <c r="Q112" s="66"/>
      <c r="R112" s="66"/>
      <c r="S112" s="66"/>
      <c r="T112" s="66"/>
      <c r="U112" s="66"/>
    </row>
    <row r="113" ht="15.75" customHeight="1">
      <c r="A113" s="66"/>
      <c r="B113" s="66"/>
      <c r="C113" s="66"/>
      <c r="D113" s="66"/>
      <c r="E113" s="66"/>
      <c r="F113" s="66"/>
      <c r="G113" s="66"/>
      <c r="H113" s="66"/>
      <c r="I113" s="66"/>
      <c r="J113" s="66"/>
      <c r="K113" s="66"/>
      <c r="L113" s="66"/>
      <c r="M113" s="66"/>
      <c r="N113" s="66"/>
      <c r="O113" s="66"/>
      <c r="P113" s="66"/>
      <c r="Q113" s="66"/>
      <c r="R113" s="66"/>
      <c r="S113" s="66"/>
      <c r="T113" s="66"/>
      <c r="U113" s="66"/>
    </row>
    <row r="114" ht="15.75" customHeight="1">
      <c r="A114" s="66"/>
      <c r="B114" s="66"/>
      <c r="C114" s="66"/>
      <c r="D114" s="66"/>
      <c r="E114" s="66"/>
      <c r="F114" s="66"/>
      <c r="G114" s="66"/>
      <c r="H114" s="66"/>
      <c r="I114" s="66"/>
      <c r="J114" s="66"/>
      <c r="K114" s="66"/>
      <c r="L114" s="66"/>
      <c r="M114" s="66"/>
      <c r="N114" s="66"/>
      <c r="O114" s="66"/>
      <c r="P114" s="66"/>
      <c r="Q114" s="66"/>
      <c r="R114" s="66"/>
      <c r="S114" s="66"/>
      <c r="T114" s="66"/>
      <c r="U114" s="66"/>
    </row>
    <row r="115" ht="15.75" customHeight="1">
      <c r="A115" s="66"/>
      <c r="B115" s="66"/>
      <c r="C115" s="66"/>
      <c r="D115" s="66"/>
      <c r="E115" s="66"/>
      <c r="F115" s="66"/>
      <c r="G115" s="66"/>
      <c r="H115" s="66"/>
      <c r="I115" s="66"/>
      <c r="J115" s="66"/>
      <c r="K115" s="66"/>
      <c r="L115" s="66"/>
      <c r="M115" s="66"/>
      <c r="N115" s="66"/>
      <c r="O115" s="66"/>
      <c r="P115" s="66"/>
      <c r="Q115" s="66"/>
      <c r="R115" s="66"/>
      <c r="S115" s="66"/>
      <c r="T115" s="66"/>
      <c r="U115" s="66"/>
    </row>
    <row r="116" ht="15.75" customHeight="1">
      <c r="A116" s="66"/>
      <c r="B116" s="66"/>
      <c r="C116" s="66"/>
      <c r="D116" s="66"/>
      <c r="E116" s="66"/>
      <c r="F116" s="66"/>
      <c r="G116" s="66"/>
      <c r="H116" s="66"/>
      <c r="I116" s="66"/>
      <c r="J116" s="66"/>
      <c r="K116" s="66"/>
      <c r="L116" s="66"/>
      <c r="M116" s="66"/>
      <c r="N116" s="66"/>
      <c r="O116" s="66"/>
      <c r="P116" s="66"/>
      <c r="Q116" s="66"/>
      <c r="R116" s="66"/>
      <c r="S116" s="66"/>
      <c r="T116" s="66"/>
      <c r="U116" s="66"/>
    </row>
    <row r="117" ht="15.75" customHeight="1">
      <c r="A117" s="66"/>
      <c r="B117" s="66"/>
      <c r="C117" s="66"/>
      <c r="D117" s="66"/>
      <c r="E117" s="66"/>
      <c r="F117" s="66"/>
      <c r="G117" s="66"/>
      <c r="H117" s="66"/>
      <c r="I117" s="66"/>
      <c r="J117" s="66"/>
      <c r="K117" s="66"/>
      <c r="L117" s="66"/>
      <c r="M117" s="66"/>
      <c r="N117" s="66"/>
      <c r="O117" s="66"/>
      <c r="P117" s="66"/>
      <c r="Q117" s="66"/>
      <c r="R117" s="66"/>
      <c r="S117" s="66"/>
      <c r="T117" s="66"/>
      <c r="U117" s="66"/>
    </row>
    <row r="118" ht="15.75" customHeight="1">
      <c r="A118" s="66"/>
      <c r="B118" s="66"/>
      <c r="C118" s="66"/>
      <c r="D118" s="66"/>
      <c r="E118" s="66"/>
      <c r="F118" s="66"/>
      <c r="G118" s="66"/>
      <c r="H118" s="66"/>
      <c r="I118" s="66"/>
      <c r="J118" s="66"/>
      <c r="K118" s="66"/>
      <c r="L118" s="66"/>
      <c r="M118" s="66"/>
      <c r="N118" s="66"/>
      <c r="O118" s="66"/>
      <c r="P118" s="66"/>
      <c r="Q118" s="66"/>
      <c r="R118" s="66"/>
      <c r="S118" s="66"/>
      <c r="T118" s="66"/>
      <c r="U118" s="66"/>
    </row>
    <row r="119" ht="15.75" customHeight="1">
      <c r="A119" s="66"/>
      <c r="B119" s="66"/>
      <c r="C119" s="66"/>
      <c r="D119" s="66"/>
      <c r="E119" s="66"/>
      <c r="F119" s="66"/>
      <c r="G119" s="66"/>
      <c r="H119" s="66"/>
      <c r="I119" s="66"/>
      <c r="J119" s="66"/>
      <c r="K119" s="66"/>
      <c r="L119" s="66"/>
      <c r="M119" s="66"/>
      <c r="N119" s="66"/>
      <c r="O119" s="66"/>
      <c r="P119" s="66"/>
      <c r="Q119" s="66"/>
      <c r="R119" s="66"/>
      <c r="S119" s="66"/>
      <c r="T119" s="66"/>
      <c r="U119" s="66"/>
    </row>
    <row r="120" ht="15.75" customHeight="1">
      <c r="A120" s="66"/>
      <c r="B120" s="66"/>
      <c r="C120" s="66"/>
      <c r="D120" s="66"/>
      <c r="E120" s="66"/>
      <c r="F120" s="66"/>
      <c r="G120" s="66"/>
      <c r="H120" s="66"/>
      <c r="I120" s="66"/>
      <c r="J120" s="66"/>
      <c r="K120" s="66"/>
      <c r="L120" s="66"/>
      <c r="M120" s="66"/>
      <c r="N120" s="66"/>
      <c r="O120" s="66"/>
      <c r="P120" s="66"/>
      <c r="Q120" s="66"/>
      <c r="R120" s="66"/>
      <c r="S120" s="66"/>
      <c r="T120" s="66"/>
      <c r="U120" s="66"/>
    </row>
    <row r="121" ht="15.75" customHeight="1">
      <c r="A121" s="66"/>
      <c r="B121" s="66"/>
      <c r="C121" s="66"/>
      <c r="D121" s="66"/>
      <c r="E121" s="66"/>
      <c r="F121" s="66"/>
      <c r="G121" s="66"/>
      <c r="H121" s="66"/>
      <c r="I121" s="66"/>
      <c r="J121" s="66"/>
      <c r="K121" s="66"/>
      <c r="L121" s="66"/>
      <c r="M121" s="66"/>
      <c r="N121" s="66"/>
      <c r="O121" s="66"/>
      <c r="P121" s="66"/>
      <c r="Q121" s="66"/>
      <c r="R121" s="66"/>
      <c r="S121" s="66"/>
      <c r="T121" s="66"/>
      <c r="U121" s="66"/>
    </row>
    <row r="122" ht="15.75" customHeight="1">
      <c r="A122" s="66"/>
      <c r="B122" s="66"/>
      <c r="C122" s="66"/>
      <c r="D122" s="66"/>
      <c r="E122" s="66"/>
      <c r="F122" s="66"/>
      <c r="G122" s="66"/>
      <c r="H122" s="66"/>
      <c r="I122" s="66"/>
      <c r="J122" s="66"/>
      <c r="K122" s="66"/>
      <c r="L122" s="66"/>
      <c r="M122" s="66"/>
      <c r="N122" s="66"/>
      <c r="O122" s="66"/>
      <c r="P122" s="66"/>
      <c r="Q122" s="66"/>
      <c r="R122" s="66"/>
      <c r="S122" s="66"/>
      <c r="T122" s="66"/>
      <c r="U122" s="66"/>
    </row>
    <row r="123" ht="15.75" customHeight="1">
      <c r="A123" s="66"/>
      <c r="B123" s="66"/>
      <c r="C123" s="66"/>
      <c r="D123" s="66"/>
      <c r="E123" s="66"/>
      <c r="F123" s="66"/>
      <c r="G123" s="66"/>
      <c r="H123" s="66"/>
      <c r="I123" s="66"/>
      <c r="J123" s="66"/>
      <c r="K123" s="66"/>
      <c r="L123" s="66"/>
      <c r="M123" s="66"/>
      <c r="N123" s="66"/>
      <c r="O123" s="66"/>
      <c r="P123" s="66"/>
      <c r="Q123" s="66"/>
      <c r="R123" s="66"/>
      <c r="S123" s="66"/>
      <c r="T123" s="66"/>
      <c r="U123" s="66"/>
    </row>
    <row r="124" ht="15.75" customHeight="1">
      <c r="A124" s="66"/>
      <c r="B124" s="66"/>
      <c r="C124" s="66"/>
      <c r="D124" s="66"/>
      <c r="E124" s="66"/>
      <c r="F124" s="66"/>
      <c r="G124" s="66"/>
      <c r="H124" s="66"/>
      <c r="I124" s="66"/>
      <c r="J124" s="66"/>
      <c r="K124" s="66"/>
      <c r="L124" s="66"/>
      <c r="M124" s="66"/>
      <c r="N124" s="66"/>
      <c r="O124" s="66"/>
      <c r="P124" s="66"/>
      <c r="Q124" s="66"/>
      <c r="R124" s="66"/>
      <c r="S124" s="66"/>
      <c r="T124" s="66"/>
      <c r="U124" s="66"/>
    </row>
    <row r="125" ht="15.75" customHeight="1">
      <c r="A125" s="66"/>
      <c r="B125" s="66"/>
      <c r="C125" s="66"/>
      <c r="D125" s="66"/>
      <c r="E125" s="66"/>
      <c r="F125" s="66"/>
      <c r="G125" s="66"/>
      <c r="H125" s="66"/>
      <c r="I125" s="66"/>
      <c r="J125" s="66"/>
      <c r="K125" s="66"/>
      <c r="L125" s="66"/>
      <c r="M125" s="66"/>
      <c r="N125" s="66"/>
      <c r="O125" s="66"/>
      <c r="P125" s="66"/>
      <c r="Q125" s="66"/>
      <c r="R125" s="66"/>
      <c r="S125" s="66"/>
      <c r="T125" s="66"/>
      <c r="U125" s="66"/>
    </row>
    <row r="126" ht="15.75" customHeight="1">
      <c r="A126" s="66"/>
      <c r="B126" s="66"/>
      <c r="C126" s="66"/>
      <c r="D126" s="66"/>
      <c r="E126" s="66"/>
      <c r="F126" s="66"/>
      <c r="G126" s="66"/>
      <c r="H126" s="66"/>
      <c r="I126" s="66"/>
      <c r="J126" s="66"/>
      <c r="K126" s="66"/>
      <c r="L126" s="66"/>
      <c r="M126" s="66"/>
      <c r="N126" s="66"/>
      <c r="O126" s="66"/>
      <c r="P126" s="66"/>
      <c r="Q126" s="66"/>
      <c r="R126" s="66"/>
      <c r="S126" s="66"/>
      <c r="T126" s="66"/>
      <c r="U126" s="66"/>
    </row>
    <row r="127" ht="15.75" customHeight="1">
      <c r="A127" s="66"/>
      <c r="B127" s="66"/>
      <c r="C127" s="66"/>
      <c r="D127" s="66"/>
      <c r="E127" s="66"/>
      <c r="F127" s="66"/>
      <c r="G127" s="66"/>
      <c r="H127" s="66"/>
      <c r="I127" s="66"/>
      <c r="J127" s="66"/>
      <c r="K127" s="66"/>
      <c r="L127" s="66"/>
      <c r="M127" s="66"/>
      <c r="N127" s="66"/>
      <c r="O127" s="66"/>
      <c r="P127" s="66"/>
      <c r="Q127" s="66"/>
      <c r="R127" s="66"/>
      <c r="S127" s="66"/>
      <c r="T127" s="66"/>
      <c r="U127" s="66"/>
    </row>
    <row r="128" ht="15.75" customHeight="1">
      <c r="A128" s="66"/>
      <c r="B128" s="66"/>
      <c r="C128" s="66"/>
      <c r="D128" s="66"/>
      <c r="E128" s="66"/>
      <c r="F128" s="66"/>
      <c r="G128" s="66"/>
      <c r="H128" s="66"/>
      <c r="I128" s="66"/>
      <c r="J128" s="66"/>
      <c r="K128" s="66"/>
      <c r="L128" s="66"/>
      <c r="M128" s="66"/>
      <c r="N128" s="66"/>
      <c r="O128" s="66"/>
      <c r="P128" s="66"/>
      <c r="Q128" s="66"/>
      <c r="R128" s="66"/>
      <c r="S128" s="66"/>
      <c r="T128" s="66"/>
      <c r="U128" s="66"/>
    </row>
    <row r="129" ht="15.75" customHeight="1">
      <c r="A129" s="66"/>
      <c r="B129" s="66"/>
      <c r="C129" s="66"/>
      <c r="D129" s="66"/>
      <c r="E129" s="66"/>
      <c r="F129" s="66"/>
      <c r="G129" s="66"/>
      <c r="H129" s="66"/>
      <c r="I129" s="66"/>
      <c r="J129" s="66"/>
      <c r="K129" s="66"/>
      <c r="L129" s="66"/>
      <c r="M129" s="66"/>
      <c r="N129" s="66"/>
      <c r="O129" s="66"/>
      <c r="P129" s="66"/>
      <c r="Q129" s="66"/>
      <c r="R129" s="66"/>
      <c r="S129" s="66"/>
      <c r="T129" s="66"/>
      <c r="U129" s="66"/>
    </row>
    <row r="130" ht="15.75" customHeight="1">
      <c r="A130" s="66"/>
      <c r="B130" s="66"/>
      <c r="C130" s="66"/>
      <c r="D130" s="66"/>
      <c r="E130" s="66"/>
      <c r="F130" s="66"/>
      <c r="G130" s="66"/>
      <c r="H130" s="66"/>
      <c r="I130" s="66"/>
      <c r="J130" s="66"/>
      <c r="K130" s="66"/>
      <c r="L130" s="66"/>
      <c r="M130" s="66"/>
      <c r="N130" s="66"/>
      <c r="O130" s="66"/>
      <c r="P130" s="66"/>
      <c r="Q130" s="66"/>
      <c r="R130" s="66"/>
      <c r="S130" s="66"/>
      <c r="T130" s="66"/>
      <c r="U130" s="66"/>
    </row>
    <row r="131" ht="15.75" customHeight="1">
      <c r="A131" s="66"/>
      <c r="B131" s="66"/>
      <c r="C131" s="66"/>
      <c r="D131" s="66"/>
      <c r="E131" s="66"/>
      <c r="F131" s="66"/>
      <c r="G131" s="66"/>
      <c r="H131" s="66"/>
      <c r="I131" s="66"/>
      <c r="J131" s="66"/>
      <c r="K131" s="66"/>
      <c r="L131" s="66"/>
      <c r="M131" s="66"/>
      <c r="N131" s="66"/>
      <c r="O131" s="66"/>
      <c r="P131" s="66"/>
      <c r="Q131" s="66"/>
      <c r="R131" s="66"/>
      <c r="S131" s="66"/>
      <c r="T131" s="66"/>
      <c r="U131" s="66"/>
    </row>
    <row r="132" ht="15.75" customHeight="1">
      <c r="A132" s="66"/>
      <c r="B132" s="66"/>
      <c r="C132" s="66"/>
      <c r="D132" s="66"/>
      <c r="E132" s="66"/>
      <c r="F132" s="66"/>
      <c r="G132" s="66"/>
      <c r="H132" s="66"/>
      <c r="I132" s="66"/>
      <c r="J132" s="66"/>
      <c r="K132" s="66"/>
      <c r="L132" s="66"/>
      <c r="M132" s="66"/>
      <c r="N132" s="66"/>
      <c r="O132" s="66"/>
      <c r="P132" s="66"/>
      <c r="Q132" s="66"/>
      <c r="R132" s="66"/>
      <c r="S132" s="66"/>
      <c r="T132" s="66"/>
      <c r="U132" s="66"/>
    </row>
    <row r="133" ht="15.75" customHeight="1">
      <c r="A133" s="66"/>
      <c r="B133" s="66"/>
      <c r="C133" s="66"/>
      <c r="D133" s="66"/>
      <c r="E133" s="66"/>
      <c r="F133" s="66"/>
      <c r="G133" s="66"/>
      <c r="H133" s="66"/>
      <c r="I133" s="66"/>
      <c r="J133" s="66"/>
      <c r="K133" s="66"/>
      <c r="L133" s="66"/>
      <c r="M133" s="66"/>
      <c r="N133" s="66"/>
      <c r="O133" s="66"/>
      <c r="P133" s="66"/>
      <c r="Q133" s="66"/>
      <c r="R133" s="66"/>
      <c r="S133" s="66"/>
      <c r="T133" s="66"/>
      <c r="U133" s="66"/>
    </row>
    <row r="134" ht="15.75" customHeight="1">
      <c r="A134" s="66"/>
      <c r="B134" s="66"/>
      <c r="C134" s="66"/>
      <c r="D134" s="66"/>
      <c r="E134" s="66"/>
      <c r="F134" s="66"/>
      <c r="G134" s="66"/>
      <c r="H134" s="66"/>
      <c r="I134" s="66"/>
      <c r="J134" s="66"/>
      <c r="K134" s="66"/>
      <c r="L134" s="66"/>
      <c r="M134" s="66"/>
      <c r="N134" s="66"/>
      <c r="O134" s="66"/>
      <c r="P134" s="66"/>
      <c r="Q134" s="66"/>
      <c r="R134" s="66"/>
      <c r="S134" s="66"/>
      <c r="T134" s="66"/>
      <c r="U134" s="66"/>
    </row>
    <row r="135" ht="15.75" customHeight="1">
      <c r="A135" s="66"/>
      <c r="B135" s="66"/>
      <c r="C135" s="66"/>
      <c r="D135" s="66"/>
      <c r="E135" s="66"/>
      <c r="F135" s="66"/>
      <c r="G135" s="66"/>
      <c r="H135" s="66"/>
      <c r="I135" s="66"/>
      <c r="J135" s="66"/>
      <c r="K135" s="66"/>
      <c r="L135" s="66"/>
      <c r="M135" s="66"/>
      <c r="N135" s="66"/>
      <c r="O135" s="66"/>
      <c r="P135" s="66"/>
      <c r="Q135" s="66"/>
      <c r="R135" s="66"/>
      <c r="S135" s="66"/>
      <c r="T135" s="66"/>
      <c r="U135" s="66"/>
    </row>
    <row r="136" ht="15.75" customHeight="1">
      <c r="A136" s="66"/>
      <c r="B136" s="66"/>
      <c r="C136" s="66"/>
      <c r="D136" s="66"/>
      <c r="E136" s="66"/>
      <c r="F136" s="66"/>
      <c r="G136" s="66"/>
      <c r="H136" s="66"/>
      <c r="I136" s="66"/>
      <c r="J136" s="66"/>
      <c r="K136" s="66"/>
      <c r="L136" s="66"/>
      <c r="M136" s="66"/>
      <c r="N136" s="66"/>
      <c r="O136" s="66"/>
      <c r="P136" s="66"/>
      <c r="Q136" s="66"/>
      <c r="R136" s="66"/>
      <c r="S136" s="66"/>
      <c r="T136" s="66"/>
      <c r="U136" s="66"/>
    </row>
    <row r="137" ht="15.75" customHeight="1">
      <c r="A137" s="66"/>
      <c r="B137" s="66"/>
      <c r="C137" s="66"/>
      <c r="D137" s="66"/>
      <c r="E137" s="66"/>
      <c r="F137" s="66"/>
      <c r="G137" s="66"/>
      <c r="H137" s="66"/>
      <c r="I137" s="66"/>
      <c r="J137" s="66"/>
      <c r="K137" s="66"/>
      <c r="L137" s="66"/>
      <c r="M137" s="66"/>
      <c r="N137" s="66"/>
      <c r="O137" s="66"/>
      <c r="P137" s="66"/>
      <c r="Q137" s="66"/>
      <c r="R137" s="66"/>
      <c r="S137" s="66"/>
      <c r="T137" s="66"/>
      <c r="U137" s="66"/>
    </row>
    <row r="138" ht="15.75" customHeight="1">
      <c r="A138" s="66"/>
      <c r="B138" s="66"/>
      <c r="C138" s="66"/>
      <c r="D138" s="66"/>
      <c r="E138" s="66"/>
      <c r="F138" s="66"/>
      <c r="G138" s="66"/>
      <c r="H138" s="66"/>
      <c r="I138" s="66"/>
      <c r="J138" s="66"/>
      <c r="K138" s="66"/>
      <c r="L138" s="66"/>
      <c r="M138" s="66"/>
      <c r="N138" s="66"/>
      <c r="O138" s="66"/>
      <c r="P138" s="66"/>
      <c r="Q138" s="66"/>
      <c r="R138" s="66"/>
      <c r="S138" s="66"/>
      <c r="T138" s="66"/>
      <c r="U138" s="66"/>
    </row>
    <row r="139" ht="15.75" customHeight="1">
      <c r="A139" s="66"/>
      <c r="B139" s="66"/>
      <c r="C139" s="66"/>
      <c r="D139" s="66"/>
      <c r="E139" s="66"/>
      <c r="F139" s="66"/>
      <c r="G139" s="66"/>
      <c r="H139" s="66"/>
      <c r="I139" s="66"/>
      <c r="J139" s="66"/>
      <c r="K139" s="66"/>
      <c r="L139" s="66"/>
      <c r="M139" s="66"/>
      <c r="N139" s="66"/>
      <c r="O139" s="66"/>
      <c r="P139" s="66"/>
      <c r="Q139" s="66"/>
      <c r="R139" s="66"/>
      <c r="S139" s="66"/>
      <c r="T139" s="66"/>
      <c r="U139" s="66"/>
    </row>
    <row r="140" ht="15.75" customHeight="1">
      <c r="A140" s="66"/>
      <c r="B140" s="66"/>
      <c r="C140" s="66"/>
      <c r="D140" s="66"/>
      <c r="E140" s="66"/>
      <c r="F140" s="66"/>
      <c r="G140" s="66"/>
      <c r="H140" s="66"/>
      <c r="I140" s="66"/>
      <c r="J140" s="66"/>
      <c r="K140" s="66"/>
      <c r="L140" s="66"/>
      <c r="M140" s="66"/>
      <c r="N140" s="66"/>
      <c r="O140" s="66"/>
      <c r="P140" s="66"/>
      <c r="Q140" s="66"/>
      <c r="R140" s="66"/>
      <c r="S140" s="66"/>
      <c r="T140" s="66"/>
      <c r="U140" s="66"/>
    </row>
    <row r="141" ht="15.75" customHeight="1">
      <c r="A141" s="66"/>
      <c r="B141" s="66"/>
      <c r="C141" s="66"/>
      <c r="D141" s="66"/>
      <c r="E141" s="66"/>
      <c r="F141" s="66"/>
      <c r="G141" s="66"/>
      <c r="H141" s="66"/>
      <c r="I141" s="66"/>
      <c r="J141" s="66"/>
      <c r="K141" s="66"/>
      <c r="L141" s="66"/>
      <c r="M141" s="66"/>
      <c r="N141" s="66"/>
      <c r="O141" s="66"/>
      <c r="P141" s="66"/>
      <c r="Q141" s="66"/>
      <c r="R141" s="66"/>
      <c r="S141" s="66"/>
      <c r="T141" s="66"/>
      <c r="U141" s="66"/>
    </row>
    <row r="142" ht="15.75" customHeight="1">
      <c r="A142" s="66"/>
      <c r="B142" s="66"/>
      <c r="C142" s="66"/>
      <c r="D142" s="66"/>
      <c r="E142" s="66"/>
      <c r="F142" s="66"/>
      <c r="G142" s="66"/>
      <c r="H142" s="66"/>
      <c r="I142" s="66"/>
      <c r="J142" s="66"/>
      <c r="K142" s="66"/>
      <c r="L142" s="66"/>
      <c r="M142" s="66"/>
      <c r="N142" s="66"/>
      <c r="O142" s="66"/>
      <c r="P142" s="66"/>
      <c r="Q142" s="66"/>
      <c r="R142" s="66"/>
      <c r="S142" s="66"/>
      <c r="T142" s="66"/>
      <c r="U142" s="66"/>
    </row>
    <row r="143" ht="15.75" customHeight="1">
      <c r="A143" s="66"/>
      <c r="B143" s="66"/>
      <c r="C143" s="66"/>
      <c r="D143" s="66"/>
      <c r="E143" s="66"/>
      <c r="F143" s="66"/>
      <c r="G143" s="66"/>
      <c r="H143" s="66"/>
      <c r="I143" s="66"/>
      <c r="J143" s="66"/>
      <c r="K143" s="66"/>
      <c r="L143" s="66"/>
      <c r="M143" s="66"/>
      <c r="N143" s="66"/>
      <c r="O143" s="66"/>
      <c r="P143" s="66"/>
      <c r="Q143" s="66"/>
      <c r="R143" s="66"/>
      <c r="S143" s="66"/>
      <c r="T143" s="66"/>
      <c r="U143" s="66"/>
    </row>
    <row r="144" ht="15.75" customHeight="1">
      <c r="A144" s="66"/>
      <c r="B144" s="66"/>
      <c r="C144" s="66"/>
      <c r="D144" s="66"/>
      <c r="E144" s="66"/>
      <c r="F144" s="66"/>
      <c r="G144" s="66"/>
      <c r="H144" s="66"/>
      <c r="I144" s="66"/>
      <c r="J144" s="66"/>
      <c r="K144" s="66"/>
      <c r="L144" s="66"/>
      <c r="M144" s="66"/>
      <c r="N144" s="66"/>
      <c r="O144" s="66"/>
      <c r="P144" s="66"/>
      <c r="Q144" s="66"/>
      <c r="R144" s="66"/>
      <c r="S144" s="66"/>
      <c r="T144" s="66"/>
      <c r="U144" s="66"/>
    </row>
    <row r="145" ht="15.75" customHeight="1">
      <c r="A145" s="66"/>
      <c r="B145" s="66"/>
      <c r="C145" s="66"/>
      <c r="D145" s="66"/>
      <c r="E145" s="66"/>
      <c r="F145" s="66"/>
      <c r="G145" s="66"/>
      <c r="H145" s="66"/>
      <c r="I145" s="66"/>
      <c r="J145" s="66"/>
      <c r="K145" s="66"/>
      <c r="L145" s="66"/>
      <c r="M145" s="66"/>
      <c r="N145" s="66"/>
      <c r="O145" s="66"/>
      <c r="P145" s="66"/>
      <c r="Q145" s="66"/>
      <c r="R145" s="66"/>
      <c r="S145" s="66"/>
      <c r="T145" s="66"/>
      <c r="U145" s="66"/>
    </row>
    <row r="146" ht="15.75" customHeight="1">
      <c r="A146" s="66"/>
      <c r="B146" s="66"/>
      <c r="C146" s="66"/>
      <c r="D146" s="66"/>
      <c r="E146" s="66"/>
      <c r="F146" s="66"/>
      <c r="G146" s="66"/>
      <c r="H146" s="66"/>
      <c r="I146" s="66"/>
      <c r="J146" s="66"/>
      <c r="K146" s="66"/>
      <c r="L146" s="66"/>
      <c r="M146" s="66"/>
      <c r="N146" s="66"/>
      <c r="O146" s="66"/>
      <c r="P146" s="66"/>
      <c r="Q146" s="66"/>
      <c r="R146" s="66"/>
      <c r="S146" s="66"/>
      <c r="T146" s="66"/>
      <c r="U146" s="66"/>
    </row>
    <row r="147" ht="15.75" customHeight="1">
      <c r="A147" s="66"/>
      <c r="B147" s="66"/>
      <c r="C147" s="66"/>
      <c r="D147" s="66"/>
      <c r="E147" s="66"/>
      <c r="F147" s="66"/>
      <c r="G147" s="66"/>
      <c r="H147" s="66"/>
      <c r="I147" s="66"/>
      <c r="J147" s="66"/>
      <c r="K147" s="66"/>
      <c r="L147" s="66"/>
      <c r="M147" s="66"/>
      <c r="N147" s="66"/>
      <c r="O147" s="66"/>
      <c r="P147" s="66"/>
      <c r="Q147" s="66"/>
      <c r="R147" s="66"/>
      <c r="S147" s="66"/>
      <c r="T147" s="66"/>
      <c r="U147" s="66"/>
    </row>
    <row r="148" ht="15.75" customHeight="1">
      <c r="A148" s="66"/>
      <c r="B148" s="66"/>
      <c r="C148" s="66"/>
      <c r="D148" s="66"/>
      <c r="E148" s="66"/>
      <c r="F148" s="66"/>
      <c r="G148" s="66"/>
      <c r="H148" s="66"/>
      <c r="I148" s="66"/>
      <c r="J148" s="66"/>
      <c r="K148" s="66"/>
      <c r="L148" s="66"/>
      <c r="M148" s="66"/>
      <c r="N148" s="66"/>
      <c r="O148" s="66"/>
      <c r="P148" s="66"/>
      <c r="Q148" s="66"/>
      <c r="R148" s="66"/>
      <c r="S148" s="66"/>
      <c r="T148" s="66"/>
      <c r="U148" s="66"/>
    </row>
    <row r="149" ht="15.75" customHeight="1">
      <c r="A149" s="66"/>
      <c r="B149" s="66"/>
      <c r="C149" s="66"/>
      <c r="D149" s="66"/>
      <c r="E149" s="66"/>
      <c r="F149" s="66"/>
      <c r="G149" s="66"/>
      <c r="H149" s="66"/>
      <c r="I149" s="66"/>
      <c r="J149" s="66"/>
      <c r="K149" s="66"/>
      <c r="L149" s="66"/>
      <c r="M149" s="66"/>
      <c r="N149" s="66"/>
      <c r="O149" s="66"/>
      <c r="P149" s="66"/>
      <c r="Q149" s="66"/>
      <c r="R149" s="66"/>
      <c r="S149" s="66"/>
      <c r="T149" s="66"/>
      <c r="U149" s="66"/>
    </row>
    <row r="150" ht="15.75" customHeight="1">
      <c r="A150" s="66"/>
      <c r="B150" s="66"/>
      <c r="C150" s="66"/>
      <c r="D150" s="66"/>
      <c r="E150" s="66"/>
      <c r="F150" s="66"/>
      <c r="G150" s="66"/>
      <c r="H150" s="66"/>
      <c r="I150" s="66"/>
      <c r="J150" s="66"/>
      <c r="K150" s="66"/>
      <c r="L150" s="66"/>
      <c r="M150" s="66"/>
      <c r="N150" s="66"/>
      <c r="O150" s="66"/>
      <c r="P150" s="66"/>
      <c r="Q150" s="66"/>
      <c r="R150" s="66"/>
      <c r="S150" s="66"/>
      <c r="T150" s="66"/>
      <c r="U150" s="66"/>
    </row>
    <row r="151" ht="15.75" customHeight="1">
      <c r="A151" s="66"/>
      <c r="B151" s="66"/>
      <c r="C151" s="66"/>
      <c r="D151" s="66"/>
      <c r="E151" s="66"/>
      <c r="F151" s="66"/>
      <c r="G151" s="66"/>
      <c r="H151" s="66"/>
      <c r="I151" s="66"/>
      <c r="J151" s="66"/>
      <c r="K151" s="66"/>
      <c r="L151" s="66"/>
      <c r="M151" s="66"/>
      <c r="N151" s="66"/>
      <c r="O151" s="66"/>
      <c r="P151" s="66"/>
      <c r="Q151" s="66"/>
      <c r="R151" s="66"/>
      <c r="S151" s="66"/>
      <c r="T151" s="66"/>
      <c r="U151" s="66"/>
    </row>
    <row r="152" ht="15.75" customHeight="1">
      <c r="A152" s="66"/>
      <c r="B152" s="66"/>
      <c r="C152" s="66"/>
      <c r="D152" s="66"/>
      <c r="E152" s="66"/>
      <c r="F152" s="66"/>
      <c r="G152" s="66"/>
      <c r="H152" s="66"/>
      <c r="I152" s="66"/>
      <c r="J152" s="66"/>
      <c r="K152" s="66"/>
      <c r="L152" s="66"/>
      <c r="M152" s="66"/>
      <c r="N152" s="66"/>
      <c r="O152" s="66"/>
      <c r="P152" s="66"/>
      <c r="Q152" s="66"/>
      <c r="R152" s="66"/>
      <c r="S152" s="66"/>
      <c r="T152" s="66"/>
      <c r="U152" s="66"/>
    </row>
    <row r="153" ht="15.75" customHeight="1">
      <c r="A153" s="66"/>
      <c r="B153" s="66"/>
      <c r="C153" s="66"/>
      <c r="D153" s="66"/>
      <c r="E153" s="66"/>
      <c r="F153" s="66"/>
      <c r="G153" s="66"/>
      <c r="H153" s="66"/>
      <c r="I153" s="66"/>
      <c r="J153" s="66"/>
      <c r="K153" s="66"/>
      <c r="L153" s="66"/>
      <c r="M153" s="66"/>
      <c r="N153" s="66"/>
      <c r="O153" s="66"/>
      <c r="P153" s="66"/>
      <c r="Q153" s="66"/>
      <c r="R153" s="66"/>
      <c r="S153" s="66"/>
      <c r="T153" s="66"/>
      <c r="U153" s="66"/>
    </row>
    <row r="154" ht="15.75" customHeight="1">
      <c r="A154" s="66"/>
      <c r="B154" s="66"/>
      <c r="C154" s="66"/>
      <c r="D154" s="66"/>
      <c r="E154" s="66"/>
      <c r="F154" s="66"/>
      <c r="G154" s="66"/>
      <c r="H154" s="66"/>
      <c r="I154" s="66"/>
      <c r="J154" s="66"/>
      <c r="K154" s="66"/>
      <c r="L154" s="66"/>
      <c r="M154" s="66"/>
      <c r="N154" s="66"/>
      <c r="O154" s="66"/>
      <c r="P154" s="66"/>
      <c r="Q154" s="66"/>
      <c r="R154" s="66"/>
      <c r="S154" s="66"/>
      <c r="T154" s="66"/>
      <c r="U154" s="66"/>
    </row>
    <row r="155" ht="15.75" customHeight="1">
      <c r="A155" s="66"/>
      <c r="B155" s="66"/>
      <c r="C155" s="66"/>
      <c r="D155" s="66"/>
      <c r="E155" s="66"/>
      <c r="F155" s="66"/>
      <c r="G155" s="66"/>
      <c r="H155" s="66"/>
      <c r="I155" s="66"/>
      <c r="J155" s="66"/>
      <c r="K155" s="66"/>
      <c r="L155" s="66"/>
      <c r="M155" s="66"/>
      <c r="N155" s="66"/>
      <c r="O155" s="66"/>
      <c r="P155" s="66"/>
      <c r="Q155" s="66"/>
      <c r="R155" s="66"/>
      <c r="S155" s="66"/>
      <c r="T155" s="66"/>
      <c r="U155" s="66"/>
    </row>
    <row r="156" ht="15.75" customHeight="1">
      <c r="A156" s="66"/>
      <c r="B156" s="66"/>
      <c r="C156" s="66"/>
      <c r="D156" s="66"/>
      <c r="E156" s="66"/>
      <c r="F156" s="66"/>
      <c r="G156" s="66"/>
      <c r="H156" s="66"/>
      <c r="I156" s="66"/>
      <c r="J156" s="66"/>
      <c r="K156" s="66"/>
      <c r="L156" s="66"/>
      <c r="M156" s="66"/>
      <c r="N156" s="66"/>
      <c r="O156" s="66"/>
      <c r="P156" s="66"/>
      <c r="Q156" s="66"/>
      <c r="R156" s="66"/>
      <c r="S156" s="66"/>
      <c r="T156" s="66"/>
      <c r="U156" s="66"/>
    </row>
    <row r="157" ht="15.75" customHeight="1">
      <c r="A157" s="66"/>
      <c r="B157" s="66"/>
      <c r="C157" s="66"/>
      <c r="D157" s="66"/>
      <c r="E157" s="66"/>
      <c r="F157" s="66"/>
      <c r="G157" s="66"/>
      <c r="H157" s="66"/>
      <c r="I157" s="66"/>
      <c r="J157" s="66"/>
      <c r="K157" s="66"/>
      <c r="L157" s="66"/>
      <c r="M157" s="66"/>
      <c r="N157" s="66"/>
      <c r="O157" s="66"/>
      <c r="P157" s="66"/>
      <c r="Q157" s="66"/>
      <c r="R157" s="66"/>
      <c r="S157" s="66"/>
      <c r="T157" s="66"/>
      <c r="U157" s="66"/>
    </row>
    <row r="158" ht="15.75" customHeight="1">
      <c r="A158" s="66"/>
      <c r="B158" s="66"/>
      <c r="C158" s="66"/>
      <c r="D158" s="66"/>
      <c r="E158" s="66"/>
      <c r="F158" s="66"/>
      <c r="G158" s="66"/>
      <c r="H158" s="66"/>
      <c r="I158" s="66"/>
      <c r="J158" s="66"/>
      <c r="K158" s="66"/>
      <c r="L158" s="66"/>
      <c r="M158" s="66"/>
      <c r="N158" s="66"/>
      <c r="O158" s="66"/>
      <c r="P158" s="66"/>
      <c r="Q158" s="66"/>
      <c r="R158" s="66"/>
      <c r="S158" s="66"/>
      <c r="T158" s="66"/>
      <c r="U158" s="66"/>
    </row>
    <row r="159" ht="15.75" customHeight="1">
      <c r="A159" s="66"/>
      <c r="B159" s="66"/>
      <c r="C159" s="66"/>
      <c r="D159" s="66"/>
      <c r="E159" s="66"/>
      <c r="F159" s="66"/>
      <c r="G159" s="66"/>
      <c r="H159" s="66"/>
      <c r="I159" s="66"/>
      <c r="J159" s="66"/>
      <c r="K159" s="66"/>
      <c r="L159" s="66"/>
      <c r="M159" s="66"/>
      <c r="N159" s="66"/>
      <c r="O159" s="66"/>
      <c r="P159" s="66"/>
      <c r="Q159" s="66"/>
      <c r="R159" s="66"/>
      <c r="S159" s="66"/>
      <c r="T159" s="66"/>
      <c r="U159" s="66"/>
    </row>
    <row r="160" ht="15.75" customHeight="1">
      <c r="A160" s="66"/>
      <c r="B160" s="66"/>
      <c r="C160" s="66"/>
      <c r="D160" s="66"/>
      <c r="E160" s="66"/>
      <c r="F160" s="66"/>
      <c r="G160" s="66"/>
      <c r="H160" s="66"/>
      <c r="I160" s="66"/>
      <c r="J160" s="66"/>
      <c r="K160" s="66"/>
      <c r="L160" s="66"/>
      <c r="M160" s="66"/>
      <c r="N160" s="66"/>
      <c r="O160" s="66"/>
      <c r="P160" s="66"/>
      <c r="Q160" s="66"/>
      <c r="R160" s="66"/>
      <c r="S160" s="66"/>
      <c r="T160" s="66"/>
      <c r="U160" s="66"/>
    </row>
    <row r="161" ht="15.75" customHeight="1">
      <c r="A161" s="66"/>
      <c r="B161" s="66"/>
      <c r="C161" s="66"/>
      <c r="D161" s="66"/>
      <c r="E161" s="66"/>
      <c r="F161" s="66"/>
      <c r="G161" s="66"/>
      <c r="H161" s="66"/>
      <c r="I161" s="66"/>
      <c r="J161" s="66"/>
      <c r="K161" s="66"/>
      <c r="L161" s="66"/>
      <c r="M161" s="66"/>
      <c r="N161" s="66"/>
      <c r="O161" s="66"/>
      <c r="P161" s="66"/>
      <c r="Q161" s="66"/>
      <c r="R161" s="66"/>
      <c r="S161" s="66"/>
      <c r="T161" s="66"/>
      <c r="U161" s="66"/>
    </row>
    <row r="162" ht="15.75" customHeight="1">
      <c r="A162" s="66"/>
      <c r="B162" s="66"/>
      <c r="C162" s="66"/>
      <c r="D162" s="66"/>
      <c r="E162" s="66"/>
      <c r="F162" s="66"/>
      <c r="G162" s="66"/>
      <c r="H162" s="66"/>
      <c r="I162" s="66"/>
      <c r="J162" s="66"/>
      <c r="K162" s="66"/>
      <c r="L162" s="66"/>
      <c r="M162" s="66"/>
      <c r="N162" s="66"/>
      <c r="O162" s="66"/>
      <c r="P162" s="66"/>
      <c r="Q162" s="66"/>
      <c r="R162" s="66"/>
      <c r="S162" s="66"/>
      <c r="T162" s="66"/>
      <c r="U162" s="66"/>
    </row>
    <row r="163" ht="15.75" customHeight="1">
      <c r="A163" s="66"/>
      <c r="B163" s="66"/>
      <c r="C163" s="66"/>
      <c r="D163" s="66"/>
      <c r="E163" s="66"/>
      <c r="F163" s="66"/>
      <c r="G163" s="66"/>
      <c r="H163" s="66"/>
      <c r="I163" s="66"/>
      <c r="J163" s="66"/>
      <c r="K163" s="66"/>
      <c r="L163" s="66"/>
      <c r="M163" s="66"/>
      <c r="N163" s="66"/>
      <c r="O163" s="66"/>
      <c r="P163" s="66"/>
      <c r="Q163" s="66"/>
      <c r="R163" s="66"/>
      <c r="S163" s="66"/>
      <c r="T163" s="66"/>
      <c r="U163" s="66"/>
    </row>
    <row r="164" ht="15.75" customHeight="1">
      <c r="A164" s="66"/>
      <c r="B164" s="66"/>
      <c r="C164" s="66"/>
      <c r="D164" s="66"/>
      <c r="E164" s="66"/>
      <c r="F164" s="66"/>
      <c r="G164" s="66"/>
      <c r="H164" s="66"/>
      <c r="I164" s="66"/>
      <c r="J164" s="66"/>
      <c r="K164" s="66"/>
      <c r="L164" s="66"/>
      <c r="M164" s="66"/>
      <c r="N164" s="66"/>
      <c r="O164" s="66"/>
      <c r="P164" s="66"/>
      <c r="Q164" s="66"/>
      <c r="R164" s="66"/>
      <c r="S164" s="66"/>
      <c r="T164" s="66"/>
      <c r="U164" s="66"/>
    </row>
    <row r="165" ht="15.75" customHeight="1">
      <c r="A165" s="66"/>
      <c r="B165" s="66"/>
      <c r="C165" s="66"/>
      <c r="D165" s="66"/>
      <c r="E165" s="66"/>
      <c r="F165" s="66"/>
      <c r="G165" s="66"/>
      <c r="H165" s="66"/>
      <c r="I165" s="66"/>
      <c r="J165" s="66"/>
      <c r="K165" s="66"/>
      <c r="L165" s="66"/>
      <c r="M165" s="66"/>
      <c r="N165" s="66"/>
      <c r="O165" s="66"/>
      <c r="P165" s="66"/>
      <c r="Q165" s="66"/>
      <c r="R165" s="66"/>
      <c r="S165" s="66"/>
      <c r="T165" s="66"/>
      <c r="U165" s="66"/>
    </row>
    <row r="166" ht="15.75" customHeight="1">
      <c r="A166" s="66"/>
      <c r="B166" s="66"/>
      <c r="C166" s="66"/>
      <c r="D166" s="66"/>
      <c r="E166" s="66"/>
      <c r="F166" s="66"/>
      <c r="G166" s="66"/>
      <c r="H166" s="66"/>
      <c r="I166" s="66"/>
      <c r="J166" s="66"/>
      <c r="K166" s="66"/>
      <c r="L166" s="66"/>
      <c r="M166" s="66"/>
      <c r="N166" s="66"/>
      <c r="O166" s="66"/>
      <c r="P166" s="66"/>
      <c r="Q166" s="66"/>
      <c r="R166" s="66"/>
      <c r="S166" s="66"/>
      <c r="T166" s="66"/>
      <c r="U166" s="66"/>
    </row>
    <row r="167" ht="15.75" customHeight="1">
      <c r="A167" s="66"/>
      <c r="B167" s="66"/>
      <c r="C167" s="66"/>
      <c r="D167" s="66"/>
      <c r="E167" s="66"/>
      <c r="F167" s="66"/>
      <c r="G167" s="66"/>
      <c r="H167" s="66"/>
      <c r="I167" s="66"/>
      <c r="J167" s="66"/>
      <c r="K167" s="66"/>
      <c r="L167" s="66"/>
      <c r="M167" s="66"/>
      <c r="N167" s="66"/>
      <c r="O167" s="66"/>
      <c r="P167" s="66"/>
      <c r="Q167" s="66"/>
      <c r="R167" s="66"/>
      <c r="S167" s="66"/>
      <c r="T167" s="66"/>
      <c r="U167" s="66"/>
    </row>
    <row r="168" ht="15.75" customHeight="1">
      <c r="A168" s="66"/>
      <c r="B168" s="66"/>
      <c r="C168" s="66"/>
      <c r="D168" s="66"/>
      <c r="E168" s="66"/>
      <c r="F168" s="66"/>
      <c r="G168" s="66"/>
      <c r="H168" s="66"/>
      <c r="I168" s="66"/>
      <c r="J168" s="66"/>
      <c r="K168" s="66"/>
      <c r="L168" s="66"/>
      <c r="M168" s="66"/>
      <c r="N168" s="66"/>
      <c r="O168" s="66"/>
      <c r="P168" s="66"/>
      <c r="Q168" s="66"/>
      <c r="R168" s="66"/>
      <c r="S168" s="66"/>
      <c r="T168" s="66"/>
      <c r="U168" s="66"/>
    </row>
    <row r="169" ht="15.75" customHeight="1">
      <c r="A169" s="66"/>
      <c r="B169" s="66"/>
      <c r="C169" s="66"/>
      <c r="D169" s="66"/>
      <c r="E169" s="66"/>
      <c r="F169" s="66"/>
      <c r="G169" s="66"/>
      <c r="H169" s="66"/>
      <c r="I169" s="66"/>
      <c r="J169" s="66"/>
      <c r="K169" s="66"/>
      <c r="L169" s="66"/>
      <c r="M169" s="66"/>
      <c r="N169" s="66"/>
      <c r="O169" s="66"/>
      <c r="P169" s="66"/>
      <c r="Q169" s="66"/>
      <c r="R169" s="66"/>
      <c r="S169" s="66"/>
      <c r="T169" s="66"/>
      <c r="U169" s="66"/>
    </row>
    <row r="170" ht="15.75" customHeight="1">
      <c r="A170" s="66"/>
      <c r="B170" s="66"/>
      <c r="C170" s="66"/>
      <c r="D170" s="66"/>
      <c r="E170" s="66"/>
      <c r="F170" s="66"/>
      <c r="G170" s="66"/>
      <c r="H170" s="66"/>
      <c r="I170" s="66"/>
      <c r="J170" s="66"/>
      <c r="K170" s="66"/>
      <c r="L170" s="66"/>
      <c r="M170" s="66"/>
      <c r="N170" s="66"/>
      <c r="O170" s="66"/>
      <c r="P170" s="66"/>
      <c r="Q170" s="66"/>
      <c r="R170" s="66"/>
      <c r="S170" s="66"/>
      <c r="T170" s="66"/>
      <c r="U170" s="66"/>
    </row>
    <row r="171" ht="15.75" customHeight="1">
      <c r="A171" s="66"/>
      <c r="B171" s="66"/>
      <c r="C171" s="66"/>
      <c r="D171" s="66"/>
      <c r="E171" s="66"/>
      <c r="F171" s="66"/>
      <c r="G171" s="66"/>
      <c r="H171" s="66"/>
      <c r="I171" s="66"/>
      <c r="J171" s="66"/>
      <c r="K171" s="66"/>
      <c r="L171" s="66"/>
      <c r="M171" s="66"/>
      <c r="N171" s="66"/>
      <c r="O171" s="66"/>
      <c r="P171" s="66"/>
      <c r="Q171" s="66"/>
      <c r="R171" s="66"/>
      <c r="S171" s="66"/>
      <c r="T171" s="66"/>
      <c r="U171" s="66"/>
    </row>
    <row r="172" ht="15.75" customHeight="1">
      <c r="A172" s="66"/>
      <c r="B172" s="66"/>
      <c r="C172" s="66"/>
      <c r="D172" s="66"/>
      <c r="E172" s="66"/>
      <c r="F172" s="66"/>
      <c r="G172" s="66"/>
      <c r="H172" s="66"/>
      <c r="I172" s="66"/>
      <c r="J172" s="66"/>
      <c r="K172" s="66"/>
      <c r="L172" s="66"/>
      <c r="M172" s="66"/>
      <c r="N172" s="66"/>
      <c r="O172" s="66"/>
      <c r="P172" s="66"/>
      <c r="Q172" s="66"/>
      <c r="R172" s="66"/>
      <c r="S172" s="66"/>
      <c r="T172" s="66"/>
      <c r="U172" s="66"/>
    </row>
    <row r="173" ht="15.75" customHeight="1">
      <c r="A173" s="66"/>
      <c r="B173" s="66"/>
      <c r="C173" s="66"/>
      <c r="D173" s="66"/>
      <c r="E173" s="66"/>
      <c r="F173" s="66"/>
      <c r="G173" s="66"/>
      <c r="H173" s="66"/>
      <c r="I173" s="66"/>
      <c r="J173" s="66"/>
      <c r="K173" s="66"/>
      <c r="L173" s="66"/>
      <c r="M173" s="66"/>
      <c r="N173" s="66"/>
      <c r="O173" s="66"/>
      <c r="P173" s="66"/>
      <c r="Q173" s="66"/>
      <c r="R173" s="66"/>
      <c r="S173" s="66"/>
      <c r="T173" s="66"/>
      <c r="U173" s="66"/>
    </row>
    <row r="174" ht="15.75" customHeight="1">
      <c r="A174" s="66"/>
      <c r="B174" s="66"/>
      <c r="C174" s="66"/>
      <c r="D174" s="66"/>
      <c r="E174" s="66"/>
      <c r="F174" s="66"/>
      <c r="G174" s="66"/>
      <c r="H174" s="66"/>
      <c r="I174" s="66"/>
      <c r="J174" s="66"/>
      <c r="K174" s="66"/>
      <c r="L174" s="66"/>
      <c r="M174" s="66"/>
      <c r="N174" s="66"/>
      <c r="O174" s="66"/>
      <c r="P174" s="66"/>
      <c r="Q174" s="66"/>
      <c r="R174" s="66"/>
      <c r="S174" s="66"/>
      <c r="T174" s="66"/>
      <c r="U174" s="66"/>
    </row>
    <row r="175" ht="15.75" customHeight="1">
      <c r="A175" s="66"/>
      <c r="B175" s="66"/>
      <c r="C175" s="66"/>
      <c r="D175" s="66"/>
      <c r="E175" s="66"/>
      <c r="F175" s="66"/>
      <c r="G175" s="66"/>
      <c r="H175" s="66"/>
      <c r="I175" s="66"/>
      <c r="J175" s="66"/>
      <c r="K175" s="66"/>
      <c r="L175" s="66"/>
      <c r="M175" s="66"/>
      <c r="N175" s="66"/>
      <c r="O175" s="66"/>
      <c r="P175" s="66"/>
      <c r="Q175" s="66"/>
      <c r="R175" s="66"/>
      <c r="S175" s="66"/>
      <c r="T175" s="66"/>
      <c r="U175" s="66"/>
    </row>
    <row r="176" ht="15.75" customHeight="1">
      <c r="A176" s="66"/>
      <c r="B176" s="66"/>
      <c r="C176" s="66"/>
      <c r="D176" s="66"/>
      <c r="E176" s="66"/>
      <c r="F176" s="66"/>
      <c r="G176" s="66"/>
      <c r="H176" s="66"/>
      <c r="I176" s="66"/>
      <c r="J176" s="66"/>
      <c r="K176" s="66"/>
      <c r="L176" s="66"/>
      <c r="M176" s="66"/>
      <c r="N176" s="66"/>
      <c r="O176" s="66"/>
      <c r="P176" s="66"/>
      <c r="Q176" s="66"/>
      <c r="R176" s="66"/>
      <c r="S176" s="66"/>
      <c r="T176" s="66"/>
      <c r="U176" s="66"/>
    </row>
    <row r="177" ht="15.75" customHeight="1">
      <c r="A177" s="66"/>
      <c r="B177" s="66"/>
      <c r="C177" s="66"/>
      <c r="D177" s="66"/>
      <c r="E177" s="66"/>
      <c r="F177" s="66"/>
      <c r="G177" s="66"/>
      <c r="H177" s="66"/>
      <c r="I177" s="66"/>
      <c r="J177" s="66"/>
      <c r="K177" s="66"/>
      <c r="L177" s="66"/>
      <c r="M177" s="66"/>
      <c r="N177" s="66"/>
      <c r="O177" s="66"/>
      <c r="P177" s="66"/>
      <c r="Q177" s="66"/>
      <c r="R177" s="66"/>
      <c r="S177" s="66"/>
      <c r="T177" s="66"/>
      <c r="U177" s="66"/>
    </row>
    <row r="178" ht="15.75" customHeight="1">
      <c r="A178" s="66"/>
      <c r="B178" s="66"/>
      <c r="C178" s="66"/>
      <c r="D178" s="66"/>
      <c r="E178" s="66"/>
      <c r="F178" s="66"/>
      <c r="G178" s="66"/>
      <c r="H178" s="66"/>
      <c r="I178" s="66"/>
      <c r="J178" s="66"/>
      <c r="K178" s="66"/>
      <c r="L178" s="66"/>
      <c r="M178" s="66"/>
      <c r="N178" s="66"/>
      <c r="O178" s="66"/>
      <c r="P178" s="66"/>
      <c r="Q178" s="66"/>
      <c r="R178" s="66"/>
      <c r="S178" s="66"/>
      <c r="T178" s="66"/>
      <c r="U178" s="66"/>
    </row>
    <row r="179" ht="15.75" customHeight="1">
      <c r="A179" s="66"/>
      <c r="B179" s="66"/>
      <c r="C179" s="66"/>
      <c r="D179" s="66"/>
      <c r="E179" s="66"/>
      <c r="F179" s="66"/>
      <c r="G179" s="66"/>
      <c r="H179" s="66"/>
      <c r="I179" s="66"/>
      <c r="J179" s="66"/>
      <c r="K179" s="66"/>
      <c r="L179" s="66"/>
      <c r="M179" s="66"/>
      <c r="N179" s="66"/>
      <c r="O179" s="66"/>
      <c r="P179" s="66"/>
      <c r="Q179" s="66"/>
      <c r="R179" s="66"/>
      <c r="S179" s="66"/>
      <c r="T179" s="66"/>
      <c r="U179" s="66"/>
    </row>
    <row r="180" ht="15.75" customHeight="1">
      <c r="A180" s="66"/>
      <c r="B180" s="66"/>
      <c r="C180" s="66"/>
      <c r="D180" s="66"/>
      <c r="E180" s="66"/>
      <c r="F180" s="66"/>
      <c r="G180" s="66"/>
      <c r="H180" s="66"/>
      <c r="I180" s="66"/>
      <c r="J180" s="66"/>
      <c r="K180" s="66"/>
      <c r="L180" s="66"/>
      <c r="M180" s="66"/>
      <c r="N180" s="66"/>
      <c r="O180" s="66"/>
      <c r="P180" s="66"/>
      <c r="Q180" s="66"/>
      <c r="R180" s="66"/>
      <c r="S180" s="66"/>
      <c r="T180" s="66"/>
      <c r="U180" s="66"/>
    </row>
    <row r="181" ht="15.75" customHeight="1">
      <c r="A181" s="66"/>
      <c r="B181" s="66"/>
      <c r="C181" s="66"/>
      <c r="D181" s="66"/>
      <c r="E181" s="66"/>
      <c r="F181" s="66"/>
      <c r="G181" s="66"/>
      <c r="H181" s="66"/>
      <c r="I181" s="66"/>
      <c r="J181" s="66"/>
      <c r="K181" s="66"/>
      <c r="L181" s="66"/>
      <c r="M181" s="66"/>
      <c r="N181" s="66"/>
      <c r="O181" s="66"/>
      <c r="P181" s="66"/>
      <c r="Q181" s="66"/>
      <c r="R181" s="66"/>
      <c r="S181" s="66"/>
      <c r="T181" s="66"/>
      <c r="U181" s="66"/>
    </row>
    <row r="182" ht="15.75" customHeight="1">
      <c r="A182" s="66"/>
      <c r="B182" s="66"/>
      <c r="C182" s="66"/>
      <c r="D182" s="66"/>
      <c r="E182" s="66"/>
      <c r="F182" s="66"/>
      <c r="G182" s="66"/>
      <c r="H182" s="66"/>
      <c r="I182" s="66"/>
      <c r="J182" s="66"/>
      <c r="K182" s="66"/>
      <c r="L182" s="66"/>
      <c r="M182" s="66"/>
      <c r="N182" s="66"/>
      <c r="O182" s="66"/>
      <c r="P182" s="66"/>
      <c r="Q182" s="66"/>
      <c r="R182" s="66"/>
      <c r="S182" s="66"/>
      <c r="T182" s="66"/>
      <c r="U182" s="66"/>
    </row>
    <row r="183" ht="15.75" customHeight="1">
      <c r="A183" s="66"/>
      <c r="B183" s="66"/>
      <c r="C183" s="66"/>
      <c r="D183" s="66"/>
      <c r="E183" s="66"/>
      <c r="F183" s="66"/>
      <c r="G183" s="66"/>
      <c r="H183" s="66"/>
      <c r="I183" s="66"/>
      <c r="J183" s="66"/>
      <c r="K183" s="66"/>
      <c r="L183" s="66"/>
      <c r="M183" s="66"/>
      <c r="N183" s="66"/>
      <c r="O183" s="66"/>
      <c r="P183" s="66"/>
      <c r="Q183" s="66"/>
      <c r="R183" s="66"/>
      <c r="S183" s="66"/>
      <c r="T183" s="66"/>
      <c r="U183" s="66"/>
    </row>
    <row r="184" ht="15.75" customHeight="1">
      <c r="A184" s="66"/>
      <c r="B184" s="66"/>
      <c r="C184" s="66"/>
      <c r="D184" s="66"/>
      <c r="E184" s="66"/>
      <c r="F184" s="66"/>
      <c r="G184" s="66"/>
      <c r="H184" s="66"/>
      <c r="I184" s="66"/>
      <c r="J184" s="66"/>
      <c r="K184" s="66"/>
      <c r="L184" s="66"/>
      <c r="M184" s="66"/>
      <c r="N184" s="66"/>
      <c r="O184" s="66"/>
      <c r="P184" s="66"/>
      <c r="Q184" s="66"/>
      <c r="R184" s="66"/>
      <c r="S184" s="66"/>
      <c r="T184" s="66"/>
      <c r="U184" s="66"/>
    </row>
    <row r="185" ht="15.75" customHeight="1">
      <c r="A185" s="66"/>
      <c r="B185" s="66"/>
      <c r="C185" s="66"/>
      <c r="D185" s="66"/>
      <c r="E185" s="66"/>
      <c r="F185" s="66"/>
      <c r="G185" s="66"/>
      <c r="H185" s="66"/>
      <c r="I185" s="66"/>
      <c r="J185" s="66"/>
      <c r="K185" s="66"/>
      <c r="L185" s="66"/>
      <c r="M185" s="66"/>
      <c r="N185" s="66"/>
      <c r="O185" s="66"/>
      <c r="P185" s="66"/>
      <c r="Q185" s="66"/>
      <c r="R185" s="66"/>
      <c r="S185" s="66"/>
      <c r="T185" s="66"/>
      <c r="U185" s="66"/>
    </row>
    <row r="186" ht="15.75" customHeight="1">
      <c r="A186" s="66"/>
      <c r="B186" s="66"/>
      <c r="C186" s="66"/>
      <c r="D186" s="66"/>
      <c r="E186" s="66"/>
      <c r="F186" s="66"/>
      <c r="G186" s="66"/>
      <c r="H186" s="66"/>
      <c r="I186" s="66"/>
      <c r="J186" s="66"/>
      <c r="K186" s="66"/>
      <c r="L186" s="66"/>
      <c r="M186" s="66"/>
      <c r="N186" s="66"/>
      <c r="O186" s="66"/>
      <c r="P186" s="66"/>
      <c r="Q186" s="66"/>
      <c r="R186" s="66"/>
      <c r="S186" s="66"/>
      <c r="T186" s="66"/>
      <c r="U186" s="66"/>
    </row>
    <row r="187" ht="15.75" customHeight="1">
      <c r="A187" s="66"/>
      <c r="B187" s="66"/>
      <c r="C187" s="66"/>
      <c r="D187" s="66"/>
      <c r="E187" s="66"/>
      <c r="F187" s="66"/>
      <c r="G187" s="66"/>
      <c r="H187" s="66"/>
      <c r="I187" s="66"/>
      <c r="J187" s="66"/>
      <c r="K187" s="66"/>
      <c r="L187" s="66"/>
      <c r="M187" s="66"/>
      <c r="N187" s="66"/>
      <c r="O187" s="66"/>
      <c r="P187" s="66"/>
      <c r="Q187" s="66"/>
      <c r="R187" s="66"/>
      <c r="S187" s="66"/>
      <c r="T187" s="66"/>
      <c r="U187" s="66"/>
    </row>
    <row r="188" ht="15.75" customHeight="1">
      <c r="A188" s="66"/>
      <c r="B188" s="66"/>
      <c r="C188" s="66"/>
      <c r="D188" s="66"/>
      <c r="E188" s="66"/>
      <c r="F188" s="66"/>
      <c r="G188" s="66"/>
      <c r="H188" s="66"/>
      <c r="I188" s="66"/>
      <c r="J188" s="66"/>
      <c r="K188" s="66"/>
      <c r="L188" s="66"/>
      <c r="M188" s="66"/>
      <c r="N188" s="66"/>
      <c r="O188" s="66"/>
      <c r="P188" s="66"/>
      <c r="Q188" s="66"/>
      <c r="R188" s="66"/>
      <c r="S188" s="66"/>
      <c r="T188" s="66"/>
      <c r="U188" s="66"/>
    </row>
    <row r="189" ht="15.75" customHeight="1">
      <c r="A189" s="66"/>
      <c r="B189" s="66"/>
      <c r="C189" s="66"/>
      <c r="D189" s="66"/>
      <c r="E189" s="66"/>
      <c r="F189" s="66"/>
      <c r="G189" s="66"/>
      <c r="H189" s="66"/>
      <c r="I189" s="66"/>
      <c r="J189" s="66"/>
      <c r="K189" s="66"/>
      <c r="L189" s="66"/>
      <c r="M189" s="66"/>
      <c r="N189" s="66"/>
      <c r="O189" s="66"/>
      <c r="P189" s="66"/>
      <c r="Q189" s="66"/>
      <c r="R189" s="66"/>
      <c r="S189" s="66"/>
      <c r="T189" s="66"/>
      <c r="U189" s="66"/>
    </row>
    <row r="190" ht="15.75" customHeight="1">
      <c r="A190" s="66"/>
      <c r="B190" s="66"/>
      <c r="C190" s="66"/>
      <c r="D190" s="66"/>
      <c r="E190" s="66"/>
      <c r="F190" s="66"/>
      <c r="G190" s="66"/>
      <c r="H190" s="66"/>
      <c r="I190" s="66"/>
      <c r="J190" s="66"/>
      <c r="K190" s="66"/>
      <c r="L190" s="66"/>
      <c r="M190" s="66"/>
      <c r="N190" s="66"/>
      <c r="O190" s="66"/>
      <c r="P190" s="66"/>
      <c r="Q190" s="66"/>
      <c r="R190" s="66"/>
      <c r="S190" s="66"/>
      <c r="T190" s="66"/>
      <c r="U190" s="66"/>
    </row>
    <row r="191" ht="15.75" customHeight="1">
      <c r="A191" s="66"/>
      <c r="B191" s="66"/>
      <c r="C191" s="66"/>
      <c r="D191" s="66"/>
      <c r="E191" s="66"/>
      <c r="F191" s="66"/>
      <c r="G191" s="66"/>
      <c r="H191" s="66"/>
      <c r="I191" s="66"/>
      <c r="J191" s="66"/>
      <c r="K191" s="66"/>
      <c r="L191" s="66"/>
      <c r="M191" s="66"/>
      <c r="N191" s="66"/>
      <c r="O191" s="66"/>
      <c r="P191" s="66"/>
      <c r="Q191" s="66"/>
      <c r="R191" s="66"/>
      <c r="S191" s="66"/>
      <c r="T191" s="66"/>
      <c r="U191" s="66"/>
    </row>
    <row r="192" ht="15.75" customHeight="1">
      <c r="A192" s="66"/>
      <c r="B192" s="66"/>
      <c r="C192" s="66"/>
      <c r="D192" s="66"/>
      <c r="E192" s="66"/>
      <c r="F192" s="66"/>
      <c r="G192" s="66"/>
      <c r="H192" s="66"/>
      <c r="I192" s="66"/>
      <c r="J192" s="66"/>
      <c r="K192" s="66"/>
      <c r="L192" s="66"/>
      <c r="M192" s="66"/>
      <c r="N192" s="66"/>
      <c r="O192" s="66"/>
      <c r="P192" s="66"/>
      <c r="Q192" s="66"/>
      <c r="R192" s="66"/>
      <c r="S192" s="66"/>
      <c r="T192" s="66"/>
      <c r="U192" s="66"/>
    </row>
    <row r="193" ht="15.75" customHeight="1">
      <c r="A193" s="66"/>
      <c r="B193" s="66"/>
      <c r="C193" s="66"/>
      <c r="D193" s="66"/>
      <c r="E193" s="66"/>
      <c r="F193" s="66"/>
      <c r="G193" s="66"/>
      <c r="H193" s="66"/>
      <c r="I193" s="66"/>
      <c r="J193" s="66"/>
      <c r="K193" s="66"/>
      <c r="L193" s="66"/>
      <c r="M193" s="66"/>
      <c r="N193" s="66"/>
      <c r="O193" s="66"/>
      <c r="P193" s="66"/>
      <c r="Q193" s="66"/>
      <c r="R193" s="66"/>
      <c r="S193" s="66"/>
      <c r="T193" s="66"/>
      <c r="U193" s="66"/>
    </row>
    <row r="194" ht="15.75" customHeight="1">
      <c r="A194" s="66"/>
      <c r="B194" s="66"/>
      <c r="C194" s="66"/>
      <c r="D194" s="66"/>
      <c r="E194" s="66"/>
      <c r="F194" s="66"/>
      <c r="G194" s="66"/>
      <c r="H194" s="66"/>
      <c r="I194" s="66"/>
      <c r="J194" s="66"/>
      <c r="K194" s="66"/>
      <c r="L194" s="66"/>
      <c r="M194" s="66"/>
      <c r="N194" s="66"/>
      <c r="O194" s="66"/>
      <c r="P194" s="66"/>
      <c r="Q194" s="66"/>
      <c r="R194" s="66"/>
      <c r="S194" s="66"/>
      <c r="T194" s="66"/>
      <c r="U194" s="66"/>
    </row>
    <row r="195" ht="15.75" customHeight="1">
      <c r="A195" s="66"/>
      <c r="B195" s="66"/>
      <c r="C195" s="66"/>
      <c r="D195" s="66"/>
      <c r="E195" s="66"/>
      <c r="F195" s="66"/>
      <c r="G195" s="66"/>
      <c r="H195" s="66"/>
      <c r="I195" s="66"/>
      <c r="J195" s="66"/>
      <c r="K195" s="66"/>
      <c r="L195" s="66"/>
      <c r="M195" s="66"/>
      <c r="N195" s="66"/>
      <c r="O195" s="66"/>
      <c r="P195" s="66"/>
      <c r="Q195" s="66"/>
      <c r="R195" s="66"/>
      <c r="S195" s="66"/>
      <c r="T195" s="66"/>
      <c r="U195" s="66"/>
    </row>
    <row r="196" ht="15.75" customHeight="1">
      <c r="A196" s="66"/>
      <c r="B196" s="66"/>
      <c r="C196" s="66"/>
      <c r="D196" s="66"/>
      <c r="E196" s="66"/>
      <c r="F196" s="66"/>
      <c r="G196" s="66"/>
      <c r="H196" s="66"/>
      <c r="I196" s="66"/>
      <c r="J196" s="66"/>
      <c r="K196" s="66"/>
      <c r="L196" s="66"/>
      <c r="M196" s="66"/>
      <c r="N196" s="66"/>
      <c r="O196" s="66"/>
      <c r="P196" s="66"/>
      <c r="Q196" s="66"/>
      <c r="R196" s="66"/>
      <c r="S196" s="66"/>
      <c r="T196" s="66"/>
      <c r="U196" s="66"/>
    </row>
    <row r="197" ht="15.75" customHeight="1">
      <c r="A197" s="66"/>
      <c r="B197" s="66"/>
      <c r="C197" s="66"/>
      <c r="D197" s="66"/>
      <c r="E197" s="66"/>
      <c r="F197" s="66"/>
      <c r="G197" s="66"/>
      <c r="H197" s="66"/>
      <c r="I197" s="66"/>
      <c r="J197" s="66"/>
      <c r="K197" s="66"/>
      <c r="L197" s="66"/>
      <c r="M197" s="66"/>
      <c r="N197" s="66"/>
      <c r="O197" s="66"/>
      <c r="P197" s="66"/>
      <c r="Q197" s="66"/>
      <c r="R197" s="66"/>
      <c r="S197" s="66"/>
      <c r="T197" s="66"/>
      <c r="U197" s="66"/>
    </row>
    <row r="198" ht="15.75" customHeight="1">
      <c r="A198" s="66"/>
      <c r="B198" s="66"/>
      <c r="C198" s="66"/>
      <c r="D198" s="66"/>
      <c r="E198" s="66"/>
      <c r="F198" s="66"/>
      <c r="G198" s="66"/>
      <c r="H198" s="66"/>
      <c r="I198" s="66"/>
      <c r="J198" s="66"/>
      <c r="K198" s="66"/>
      <c r="L198" s="66"/>
      <c r="M198" s="66"/>
      <c r="N198" s="66"/>
      <c r="O198" s="66"/>
      <c r="P198" s="66"/>
      <c r="Q198" s="66"/>
      <c r="R198" s="66"/>
      <c r="S198" s="66"/>
      <c r="T198" s="66"/>
      <c r="U198" s="66"/>
    </row>
    <row r="199" ht="15.75" customHeight="1">
      <c r="A199" s="66"/>
      <c r="B199" s="66"/>
      <c r="C199" s="66"/>
      <c r="D199" s="66"/>
      <c r="E199" s="66"/>
      <c r="F199" s="66"/>
      <c r="G199" s="66"/>
      <c r="H199" s="66"/>
      <c r="I199" s="66"/>
      <c r="J199" s="66"/>
      <c r="K199" s="66"/>
      <c r="L199" s="66"/>
      <c r="M199" s="66"/>
      <c r="N199" s="66"/>
      <c r="O199" s="66"/>
      <c r="P199" s="66"/>
      <c r="Q199" s="66"/>
      <c r="R199" s="66"/>
      <c r="S199" s="66"/>
      <c r="T199" s="66"/>
      <c r="U199" s="66"/>
    </row>
    <row r="200" ht="15.75" customHeight="1">
      <c r="A200" s="66"/>
      <c r="B200" s="66"/>
      <c r="C200" s="66"/>
      <c r="D200" s="66"/>
      <c r="E200" s="66"/>
      <c r="F200" s="66"/>
      <c r="G200" s="66"/>
      <c r="H200" s="66"/>
      <c r="I200" s="66"/>
      <c r="J200" s="66"/>
      <c r="K200" s="66"/>
      <c r="L200" s="66"/>
      <c r="M200" s="66"/>
      <c r="N200" s="66"/>
      <c r="O200" s="66"/>
      <c r="P200" s="66"/>
      <c r="Q200" s="66"/>
      <c r="R200" s="66"/>
      <c r="S200" s="66"/>
      <c r="T200" s="66"/>
      <c r="U200" s="66"/>
    </row>
    <row r="201" ht="15.75" customHeight="1">
      <c r="A201" s="66"/>
      <c r="B201" s="66"/>
      <c r="C201" s="66"/>
      <c r="D201" s="66"/>
      <c r="E201" s="66"/>
      <c r="F201" s="66"/>
      <c r="G201" s="66"/>
      <c r="H201" s="66"/>
      <c r="I201" s="66"/>
      <c r="J201" s="66"/>
      <c r="K201" s="66"/>
      <c r="L201" s="66"/>
      <c r="M201" s="66"/>
      <c r="N201" s="66"/>
      <c r="O201" s="66"/>
      <c r="P201" s="66"/>
      <c r="Q201" s="66"/>
      <c r="R201" s="66"/>
      <c r="S201" s="66"/>
      <c r="T201" s="66"/>
      <c r="U201" s="66"/>
    </row>
    <row r="202" ht="15.75" customHeight="1">
      <c r="A202" s="66"/>
      <c r="B202" s="66"/>
      <c r="C202" s="66"/>
      <c r="D202" s="66"/>
      <c r="E202" s="66"/>
      <c r="F202" s="66"/>
      <c r="G202" s="66"/>
      <c r="H202" s="66"/>
      <c r="I202" s="66"/>
      <c r="J202" s="66"/>
      <c r="K202" s="66"/>
      <c r="L202" s="66"/>
      <c r="M202" s="66"/>
      <c r="N202" s="66"/>
      <c r="O202" s="66"/>
      <c r="P202" s="66"/>
      <c r="Q202" s="66"/>
      <c r="R202" s="66"/>
      <c r="S202" s="66"/>
      <c r="T202" s="66"/>
      <c r="U202" s="66"/>
    </row>
    <row r="203" ht="15.75" customHeight="1">
      <c r="A203" s="66"/>
      <c r="B203" s="66"/>
      <c r="C203" s="66"/>
      <c r="D203" s="66"/>
      <c r="E203" s="66"/>
      <c r="F203" s="66"/>
      <c r="G203" s="66"/>
      <c r="H203" s="66"/>
      <c r="I203" s="66"/>
      <c r="J203" s="66"/>
      <c r="K203" s="66"/>
      <c r="L203" s="66"/>
      <c r="M203" s="66"/>
      <c r="N203" s="66"/>
      <c r="O203" s="66"/>
      <c r="P203" s="66"/>
      <c r="Q203" s="66"/>
      <c r="R203" s="66"/>
      <c r="S203" s="66"/>
      <c r="T203" s="66"/>
      <c r="U203" s="66"/>
    </row>
    <row r="204" ht="15.75" customHeight="1">
      <c r="A204" s="66"/>
      <c r="B204" s="66"/>
      <c r="C204" s="66"/>
      <c r="D204" s="66"/>
      <c r="E204" s="66"/>
      <c r="F204" s="66"/>
      <c r="G204" s="66"/>
      <c r="H204" s="66"/>
      <c r="I204" s="66"/>
      <c r="J204" s="66"/>
      <c r="K204" s="66"/>
      <c r="L204" s="66"/>
      <c r="M204" s="66"/>
      <c r="N204" s="66"/>
      <c r="O204" s="66"/>
      <c r="P204" s="66"/>
      <c r="Q204" s="66"/>
      <c r="R204" s="66"/>
      <c r="S204" s="66"/>
      <c r="T204" s="66"/>
      <c r="U204" s="66"/>
    </row>
    <row r="205" ht="15.75" customHeight="1">
      <c r="A205" s="66"/>
      <c r="B205" s="66"/>
      <c r="C205" s="66"/>
      <c r="D205" s="66"/>
      <c r="E205" s="66"/>
      <c r="F205" s="66"/>
      <c r="G205" s="66"/>
      <c r="H205" s="66"/>
      <c r="I205" s="66"/>
      <c r="J205" s="66"/>
      <c r="K205" s="66"/>
      <c r="L205" s="66"/>
      <c r="M205" s="66"/>
      <c r="N205" s="66"/>
      <c r="O205" s="66"/>
      <c r="P205" s="66"/>
      <c r="Q205" s="66"/>
      <c r="R205" s="66"/>
      <c r="S205" s="66"/>
      <c r="T205" s="66"/>
      <c r="U205" s="66"/>
    </row>
    <row r="206" ht="15.75" customHeight="1">
      <c r="A206" s="66"/>
      <c r="B206" s="66"/>
      <c r="C206" s="66"/>
      <c r="D206" s="66"/>
      <c r="E206" s="66"/>
      <c r="F206" s="66"/>
      <c r="G206" s="66"/>
      <c r="H206" s="66"/>
      <c r="I206" s="66"/>
      <c r="J206" s="66"/>
      <c r="K206" s="66"/>
      <c r="L206" s="66"/>
      <c r="M206" s="66"/>
      <c r="N206" s="66"/>
      <c r="O206" s="66"/>
      <c r="P206" s="66"/>
      <c r="Q206" s="66"/>
      <c r="R206" s="66"/>
      <c r="S206" s="66"/>
      <c r="T206" s="66"/>
      <c r="U206" s="66"/>
    </row>
    <row r="207" ht="15.75" customHeight="1">
      <c r="A207" s="66"/>
      <c r="B207" s="66"/>
      <c r="C207" s="66"/>
      <c r="D207" s="66"/>
      <c r="E207" s="66"/>
      <c r="F207" s="66"/>
      <c r="G207" s="66"/>
      <c r="H207" s="66"/>
      <c r="I207" s="66"/>
      <c r="J207" s="66"/>
      <c r="K207" s="66"/>
      <c r="L207" s="66"/>
      <c r="M207" s="66"/>
      <c r="N207" s="66"/>
      <c r="O207" s="66"/>
      <c r="P207" s="66"/>
      <c r="Q207" s="66"/>
      <c r="R207" s="66"/>
      <c r="S207" s="66"/>
      <c r="T207" s="66"/>
      <c r="U207" s="66"/>
    </row>
    <row r="208" ht="15.75" customHeight="1">
      <c r="A208" s="66"/>
      <c r="B208" s="66"/>
      <c r="C208" s="66"/>
      <c r="D208" s="66"/>
      <c r="E208" s="66"/>
      <c r="F208" s="66"/>
      <c r="G208" s="66"/>
      <c r="H208" s="66"/>
      <c r="I208" s="66"/>
      <c r="J208" s="66"/>
      <c r="K208" s="66"/>
      <c r="L208" s="66"/>
      <c r="M208" s="66"/>
      <c r="N208" s="66"/>
      <c r="O208" s="66"/>
      <c r="P208" s="66"/>
      <c r="Q208" s="66"/>
      <c r="R208" s="66"/>
      <c r="S208" s="66"/>
      <c r="T208" s="66"/>
      <c r="U208" s="66"/>
    </row>
    <row r="209" ht="15.75" customHeight="1">
      <c r="A209" s="66"/>
      <c r="B209" s="66"/>
      <c r="C209" s="66"/>
      <c r="D209" s="66"/>
      <c r="E209" s="66"/>
      <c r="F209" s="66"/>
      <c r="G209" s="66"/>
      <c r="H209" s="66"/>
      <c r="I209" s="66"/>
      <c r="J209" s="66"/>
      <c r="K209" s="66"/>
      <c r="L209" s="66"/>
      <c r="M209" s="66"/>
      <c r="N209" s="66"/>
      <c r="O209" s="66"/>
      <c r="P209" s="66"/>
      <c r="Q209" s="66"/>
      <c r="R209" s="66"/>
      <c r="S209" s="66"/>
      <c r="T209" s="66"/>
      <c r="U209" s="66"/>
    </row>
    <row r="210" ht="15.75" customHeight="1">
      <c r="A210" s="66"/>
      <c r="B210" s="66"/>
      <c r="C210" s="66"/>
      <c r="D210" s="66"/>
      <c r="E210" s="66"/>
      <c r="F210" s="66"/>
      <c r="G210" s="66"/>
      <c r="H210" s="66"/>
      <c r="I210" s="66"/>
      <c r="J210" s="66"/>
      <c r="K210" s="66"/>
      <c r="L210" s="66"/>
      <c r="M210" s="66"/>
      <c r="N210" s="66"/>
      <c r="O210" s="66"/>
      <c r="P210" s="66"/>
      <c r="Q210" s="66"/>
      <c r="R210" s="66"/>
      <c r="S210" s="66"/>
      <c r="T210" s="66"/>
      <c r="U210" s="66"/>
    </row>
    <row r="211" ht="15.75" customHeight="1">
      <c r="A211" s="66"/>
      <c r="B211" s="66"/>
      <c r="C211" s="66"/>
      <c r="D211" s="66"/>
      <c r="E211" s="66"/>
      <c r="F211" s="66"/>
      <c r="G211" s="66"/>
      <c r="H211" s="66"/>
      <c r="I211" s="66"/>
      <c r="J211" s="66"/>
      <c r="K211" s="66"/>
      <c r="L211" s="66"/>
      <c r="M211" s="66"/>
      <c r="N211" s="66"/>
      <c r="O211" s="66"/>
      <c r="P211" s="66"/>
      <c r="Q211" s="66"/>
      <c r="R211" s="66"/>
      <c r="S211" s="66"/>
      <c r="T211" s="66"/>
      <c r="U211" s="66"/>
    </row>
    <row r="212" ht="15.75" customHeight="1">
      <c r="A212" s="66"/>
      <c r="B212" s="66"/>
      <c r="C212" s="66"/>
      <c r="D212" s="66"/>
      <c r="E212" s="66"/>
      <c r="F212" s="66"/>
      <c r="G212" s="66"/>
      <c r="H212" s="66"/>
      <c r="I212" s="66"/>
      <c r="J212" s="66"/>
      <c r="K212" s="66"/>
      <c r="L212" s="66"/>
      <c r="M212" s="66"/>
      <c r="N212" s="66"/>
      <c r="O212" s="66"/>
      <c r="P212" s="66"/>
      <c r="Q212" s="66"/>
      <c r="R212" s="66"/>
      <c r="S212" s="66"/>
      <c r="T212" s="66"/>
      <c r="U212" s="66"/>
    </row>
    <row r="213" ht="15.75" customHeight="1">
      <c r="A213" s="66"/>
      <c r="B213" s="66"/>
      <c r="C213" s="66"/>
      <c r="D213" s="66"/>
      <c r="E213" s="66"/>
      <c r="F213" s="66"/>
      <c r="G213" s="66"/>
      <c r="H213" s="66"/>
      <c r="I213" s="66"/>
      <c r="J213" s="66"/>
      <c r="K213" s="66"/>
      <c r="L213" s="66"/>
      <c r="M213" s="66"/>
      <c r="N213" s="66"/>
      <c r="O213" s="66"/>
      <c r="P213" s="66"/>
      <c r="Q213" s="66"/>
      <c r="R213" s="66"/>
      <c r="S213" s="66"/>
      <c r="T213" s="66"/>
      <c r="U213" s="66"/>
    </row>
    <row r="214" ht="15.75" customHeight="1">
      <c r="A214" s="66"/>
      <c r="B214" s="66"/>
      <c r="C214" s="66"/>
      <c r="D214" s="66"/>
      <c r="E214" s="66"/>
      <c r="F214" s="66"/>
      <c r="G214" s="66"/>
      <c r="H214" s="66"/>
      <c r="I214" s="66"/>
      <c r="J214" s="66"/>
      <c r="K214" s="66"/>
      <c r="L214" s="66"/>
      <c r="M214" s="66"/>
      <c r="N214" s="66"/>
      <c r="O214" s="66"/>
      <c r="P214" s="66"/>
      <c r="Q214" s="66"/>
      <c r="R214" s="66"/>
      <c r="S214" s="66"/>
      <c r="T214" s="66"/>
      <c r="U214" s="66"/>
    </row>
    <row r="215" ht="15.75" customHeight="1">
      <c r="A215" s="66"/>
      <c r="B215" s="66"/>
      <c r="C215" s="66"/>
      <c r="D215" s="66"/>
      <c r="E215" s="66"/>
      <c r="F215" s="66"/>
      <c r="G215" s="66"/>
      <c r="H215" s="66"/>
      <c r="I215" s="66"/>
      <c r="J215" s="66"/>
      <c r="K215" s="66"/>
      <c r="L215" s="66"/>
      <c r="M215" s="66"/>
      <c r="N215" s="66"/>
      <c r="O215" s="66"/>
      <c r="P215" s="66"/>
      <c r="Q215" s="66"/>
      <c r="R215" s="66"/>
      <c r="S215" s="66"/>
      <c r="T215" s="66"/>
      <c r="U215" s="66"/>
    </row>
    <row r="216" ht="15.75" customHeight="1">
      <c r="A216" s="66"/>
      <c r="B216" s="66"/>
      <c r="C216" s="66"/>
      <c r="D216" s="66"/>
      <c r="E216" s="66"/>
      <c r="F216" s="66"/>
      <c r="G216" s="66"/>
      <c r="H216" s="66"/>
      <c r="I216" s="66"/>
      <c r="J216" s="66"/>
      <c r="K216" s="66"/>
      <c r="L216" s="66"/>
      <c r="M216" s="66"/>
      <c r="N216" s="66"/>
      <c r="O216" s="66"/>
      <c r="P216" s="66"/>
      <c r="Q216" s="66"/>
      <c r="R216" s="66"/>
      <c r="S216" s="66"/>
      <c r="T216" s="66"/>
      <c r="U216" s="66"/>
    </row>
    <row r="217" ht="15.75" customHeight="1">
      <c r="A217" s="66"/>
      <c r="B217" s="66"/>
      <c r="C217" s="66"/>
      <c r="D217" s="66"/>
      <c r="E217" s="66"/>
      <c r="F217" s="66"/>
      <c r="G217" s="66"/>
      <c r="H217" s="66"/>
      <c r="I217" s="66"/>
      <c r="J217" s="66"/>
      <c r="K217" s="66"/>
      <c r="L217" s="66"/>
      <c r="M217" s="66"/>
      <c r="N217" s="66"/>
      <c r="O217" s="66"/>
      <c r="P217" s="66"/>
      <c r="Q217" s="66"/>
      <c r="R217" s="66"/>
      <c r="S217" s="66"/>
      <c r="T217" s="66"/>
      <c r="U217" s="66"/>
    </row>
    <row r="218" ht="15.75" customHeight="1">
      <c r="A218" s="66"/>
      <c r="B218" s="66"/>
      <c r="C218" s="66"/>
      <c r="D218" s="66"/>
      <c r="E218" s="66"/>
      <c r="F218" s="66"/>
      <c r="G218" s="66"/>
      <c r="H218" s="66"/>
      <c r="I218" s="66"/>
      <c r="J218" s="66"/>
      <c r="K218" s="66"/>
      <c r="L218" s="66"/>
      <c r="M218" s="66"/>
      <c r="N218" s="66"/>
      <c r="O218" s="66"/>
      <c r="P218" s="66"/>
      <c r="Q218" s="66"/>
      <c r="R218" s="66"/>
      <c r="S218" s="66"/>
      <c r="T218" s="66"/>
      <c r="U218" s="66"/>
    </row>
    <row r="219" ht="15.75" customHeight="1">
      <c r="A219" s="66"/>
      <c r="B219" s="66"/>
      <c r="C219" s="66"/>
      <c r="D219" s="66"/>
      <c r="E219" s="66"/>
      <c r="F219" s="66"/>
      <c r="G219" s="66"/>
      <c r="H219" s="66"/>
      <c r="I219" s="66"/>
      <c r="J219" s="66"/>
      <c r="K219" s="66"/>
      <c r="L219" s="66"/>
      <c r="M219" s="66"/>
      <c r="N219" s="66"/>
      <c r="O219" s="66"/>
      <c r="P219" s="66"/>
      <c r="Q219" s="66"/>
      <c r="R219" s="66"/>
      <c r="S219" s="66"/>
      <c r="T219" s="66"/>
      <c r="U219" s="66"/>
    </row>
    <row r="220" ht="15.75" customHeight="1">
      <c r="A220" s="66"/>
      <c r="B220" s="66"/>
      <c r="C220" s="66"/>
      <c r="D220" s="66"/>
      <c r="E220" s="66"/>
      <c r="F220" s="66"/>
      <c r="G220" s="66"/>
      <c r="H220" s="66"/>
      <c r="I220" s="66"/>
      <c r="J220" s="66"/>
      <c r="K220" s="66"/>
      <c r="L220" s="66"/>
      <c r="M220" s="66"/>
      <c r="N220" s="66"/>
      <c r="O220" s="66"/>
      <c r="P220" s="66"/>
      <c r="Q220" s="66"/>
      <c r="R220" s="66"/>
      <c r="S220" s="66"/>
      <c r="T220" s="66"/>
      <c r="U220" s="66"/>
    </row>
    <row r="221" ht="15.75" customHeight="1">
      <c r="A221" s="66"/>
      <c r="B221" s="66"/>
      <c r="C221" s="66"/>
      <c r="D221" s="66"/>
      <c r="E221" s="66"/>
      <c r="F221" s="66"/>
      <c r="G221" s="66"/>
      <c r="H221" s="66"/>
      <c r="I221" s="66"/>
      <c r="J221" s="66"/>
      <c r="K221" s="66"/>
      <c r="L221" s="66"/>
      <c r="M221" s="66"/>
      <c r="N221" s="66"/>
      <c r="O221" s="66"/>
      <c r="P221" s="66"/>
      <c r="Q221" s="66"/>
      <c r="R221" s="66"/>
      <c r="S221" s="66"/>
      <c r="T221" s="66"/>
      <c r="U221" s="66"/>
    </row>
    <row r="222" ht="15.75" customHeight="1">
      <c r="A222" s="66"/>
      <c r="B222" s="66"/>
      <c r="C222" s="66"/>
      <c r="D222" s="66"/>
      <c r="E222" s="66"/>
      <c r="F222" s="66"/>
      <c r="G222" s="66"/>
      <c r="H222" s="66"/>
      <c r="I222" s="66"/>
      <c r="J222" s="66"/>
      <c r="K222" s="66"/>
      <c r="L222" s="66"/>
      <c r="M222" s="66"/>
      <c r="N222" s="66"/>
      <c r="O222" s="66"/>
      <c r="P222" s="66"/>
      <c r="Q222" s="66"/>
      <c r="R222" s="66"/>
      <c r="S222" s="66"/>
      <c r="T222" s="66"/>
      <c r="U222" s="66"/>
    </row>
    <row r="223" ht="15.75" customHeight="1">
      <c r="A223" s="66"/>
      <c r="B223" s="66"/>
      <c r="C223" s="66"/>
      <c r="D223" s="66"/>
      <c r="E223" s="66"/>
      <c r="F223" s="66"/>
      <c r="G223" s="66"/>
      <c r="H223" s="66"/>
      <c r="I223" s="66"/>
      <c r="J223" s="66"/>
      <c r="K223" s="66"/>
      <c r="L223" s="66"/>
      <c r="M223" s="66"/>
      <c r="N223" s="66"/>
      <c r="O223" s="66"/>
      <c r="P223" s="66"/>
      <c r="Q223" s="66"/>
      <c r="R223" s="66"/>
      <c r="S223" s="66"/>
      <c r="T223" s="66"/>
      <c r="U223" s="66"/>
    </row>
    <row r="224" ht="15.75" customHeight="1">
      <c r="A224" s="66"/>
      <c r="B224" s="66"/>
      <c r="C224" s="66"/>
      <c r="D224" s="66"/>
      <c r="E224" s="66"/>
      <c r="F224" s="66"/>
      <c r="G224" s="66"/>
      <c r="H224" s="66"/>
      <c r="I224" s="66"/>
      <c r="J224" s="66"/>
      <c r="K224" s="66"/>
      <c r="L224" s="66"/>
      <c r="M224" s="66"/>
      <c r="N224" s="66"/>
      <c r="O224" s="66"/>
      <c r="P224" s="66"/>
      <c r="Q224" s="66"/>
      <c r="R224" s="66"/>
      <c r="S224" s="66"/>
      <c r="T224" s="66"/>
      <c r="U224" s="66"/>
    </row>
    <row r="225" ht="15.75" customHeight="1">
      <c r="A225" s="66"/>
      <c r="B225" s="66"/>
      <c r="C225" s="66"/>
      <c r="D225" s="66"/>
      <c r="E225" s="66"/>
      <c r="F225" s="66"/>
      <c r="G225" s="66"/>
      <c r="H225" s="66"/>
      <c r="I225" s="66"/>
      <c r="J225" s="66"/>
      <c r="K225" s="66"/>
      <c r="L225" s="66"/>
      <c r="M225" s="66"/>
      <c r="N225" s="66"/>
      <c r="O225" s="66"/>
      <c r="P225" s="66"/>
      <c r="Q225" s="66"/>
      <c r="R225" s="66"/>
      <c r="S225" s="66"/>
      <c r="T225" s="66"/>
      <c r="U225" s="66"/>
    </row>
    <row r="226" ht="15.75" customHeight="1">
      <c r="A226" s="66"/>
      <c r="B226" s="66"/>
      <c r="C226" s="66"/>
      <c r="D226" s="66"/>
      <c r="E226" s="66"/>
      <c r="F226" s="66"/>
      <c r="G226" s="66"/>
      <c r="H226" s="66"/>
      <c r="I226" s="66"/>
      <c r="J226" s="66"/>
      <c r="K226" s="66"/>
      <c r="L226" s="66"/>
      <c r="M226" s="66"/>
      <c r="N226" s="66"/>
      <c r="O226" s="66"/>
      <c r="P226" s="66"/>
      <c r="Q226" s="66"/>
      <c r="R226" s="66"/>
      <c r="S226" s="66"/>
      <c r="T226" s="66"/>
      <c r="U226" s="66"/>
    </row>
    <row r="227" ht="15.75" customHeight="1">
      <c r="A227" s="66"/>
      <c r="B227" s="66"/>
      <c r="C227" s="66"/>
      <c r="D227" s="66"/>
      <c r="E227" s="66"/>
      <c r="F227" s="66"/>
      <c r="G227" s="66"/>
      <c r="H227" s="66"/>
      <c r="I227" s="66"/>
      <c r="J227" s="66"/>
      <c r="K227" s="66"/>
      <c r="L227" s="66"/>
      <c r="M227" s="66"/>
      <c r="N227" s="66"/>
      <c r="O227" s="66"/>
      <c r="P227" s="66"/>
      <c r="Q227" s="66"/>
      <c r="R227" s="66"/>
      <c r="S227" s="66"/>
      <c r="T227" s="66"/>
      <c r="U227" s="66"/>
    </row>
    <row r="228" ht="15.75" customHeight="1">
      <c r="A228" s="66"/>
      <c r="B228" s="66"/>
      <c r="C228" s="66"/>
      <c r="D228" s="66"/>
      <c r="E228" s="66"/>
      <c r="F228" s="66"/>
      <c r="G228" s="66"/>
      <c r="H228" s="66"/>
      <c r="I228" s="66"/>
      <c r="J228" s="66"/>
      <c r="K228" s="66"/>
      <c r="L228" s="66"/>
      <c r="M228" s="66"/>
      <c r="N228" s="66"/>
      <c r="O228" s="66"/>
      <c r="P228" s="66"/>
      <c r="Q228" s="66"/>
      <c r="R228" s="66"/>
      <c r="S228" s="66"/>
      <c r="T228" s="66"/>
      <c r="U228" s="66"/>
    </row>
    <row r="229" ht="15.75" customHeight="1">
      <c r="A229" s="66"/>
      <c r="B229" s="66"/>
      <c r="C229" s="66"/>
      <c r="D229" s="66"/>
      <c r="E229" s="66"/>
      <c r="F229" s="66"/>
      <c r="G229" s="66"/>
      <c r="H229" s="66"/>
      <c r="I229" s="66"/>
      <c r="J229" s="66"/>
      <c r="K229" s="66"/>
      <c r="L229" s="66"/>
      <c r="M229" s="66"/>
      <c r="N229" s="66"/>
      <c r="O229" s="66"/>
      <c r="P229" s="66"/>
      <c r="Q229" s="66"/>
      <c r="R229" s="66"/>
      <c r="S229" s="66"/>
      <c r="T229" s="66"/>
      <c r="U229" s="66"/>
    </row>
    <row r="230" ht="15.75" customHeight="1">
      <c r="A230" s="66"/>
      <c r="B230" s="66"/>
      <c r="C230" s="66"/>
      <c r="D230" s="66"/>
      <c r="E230" s="66"/>
      <c r="F230" s="66"/>
      <c r="G230" s="66"/>
      <c r="H230" s="66"/>
      <c r="I230" s="66"/>
      <c r="J230" s="66"/>
      <c r="K230" s="66"/>
      <c r="L230" s="66"/>
      <c r="M230" s="66"/>
      <c r="N230" s="66"/>
      <c r="O230" s="66"/>
      <c r="P230" s="66"/>
      <c r="Q230" s="66"/>
      <c r="R230" s="66"/>
      <c r="S230" s="66"/>
      <c r="T230" s="66"/>
      <c r="U230" s="66"/>
    </row>
    <row r="231" ht="15.75" customHeight="1">
      <c r="A231" s="66"/>
      <c r="B231" s="66"/>
      <c r="C231" s="66"/>
      <c r="D231" s="66"/>
      <c r="E231" s="66"/>
      <c r="F231" s="66"/>
      <c r="G231" s="66"/>
      <c r="H231" s="66"/>
      <c r="I231" s="66"/>
      <c r="J231" s="66"/>
      <c r="K231" s="66"/>
      <c r="L231" s="66"/>
      <c r="M231" s="66"/>
      <c r="N231" s="66"/>
      <c r="O231" s="66"/>
      <c r="P231" s="66"/>
      <c r="Q231" s="66"/>
      <c r="R231" s="66"/>
      <c r="S231" s="66"/>
      <c r="T231" s="66"/>
      <c r="U231" s="66"/>
    </row>
    <row r="232" ht="15.75" customHeight="1">
      <c r="A232" s="66"/>
      <c r="B232" s="66"/>
      <c r="C232" s="66"/>
      <c r="D232" s="66"/>
      <c r="E232" s="66"/>
      <c r="F232" s="66"/>
      <c r="G232" s="66"/>
      <c r="H232" s="66"/>
      <c r="I232" s="66"/>
      <c r="J232" s="66"/>
      <c r="K232" s="66"/>
      <c r="L232" s="66"/>
      <c r="M232" s="66"/>
      <c r="N232" s="66"/>
      <c r="O232" s="66"/>
      <c r="P232" s="66"/>
      <c r="Q232" s="66"/>
      <c r="R232" s="66"/>
      <c r="S232" s="66"/>
      <c r="T232" s="66"/>
      <c r="U232" s="66"/>
    </row>
    <row r="233" ht="15.75" customHeight="1">
      <c r="A233" s="66"/>
      <c r="B233" s="66"/>
      <c r="C233" s="66"/>
      <c r="D233" s="66"/>
      <c r="E233" s="66"/>
      <c r="F233" s="66"/>
      <c r="G233" s="66"/>
      <c r="H233" s="66"/>
      <c r="I233" s="66"/>
      <c r="J233" s="66"/>
      <c r="K233" s="66"/>
      <c r="L233" s="66"/>
      <c r="M233" s="66"/>
      <c r="N233" s="66"/>
      <c r="O233" s="66"/>
      <c r="P233" s="66"/>
      <c r="Q233" s="66"/>
      <c r="R233" s="66"/>
      <c r="S233" s="66"/>
      <c r="T233" s="66"/>
      <c r="U233" s="66"/>
    </row>
    <row r="234" ht="15.75" customHeight="1">
      <c r="A234" s="66"/>
      <c r="B234" s="66"/>
      <c r="C234" s="66"/>
      <c r="D234" s="66"/>
      <c r="E234" s="66"/>
      <c r="F234" s="66"/>
      <c r="G234" s="66"/>
      <c r="H234" s="66"/>
      <c r="I234" s="66"/>
      <c r="J234" s="66"/>
      <c r="K234" s="66"/>
      <c r="L234" s="66"/>
      <c r="M234" s="66"/>
      <c r="N234" s="66"/>
      <c r="O234" s="66"/>
      <c r="P234" s="66"/>
      <c r="Q234" s="66"/>
      <c r="R234" s="66"/>
      <c r="S234" s="66"/>
      <c r="T234" s="66"/>
      <c r="U234" s="66"/>
    </row>
    <row r="235" ht="15.75" customHeight="1">
      <c r="A235" s="66"/>
      <c r="B235" s="66"/>
      <c r="C235" s="66"/>
      <c r="D235" s="66"/>
      <c r="E235" s="66"/>
      <c r="F235" s="66"/>
      <c r="G235" s="66"/>
      <c r="H235" s="66"/>
      <c r="I235" s="66"/>
      <c r="J235" s="66"/>
      <c r="K235" s="66"/>
      <c r="L235" s="66"/>
      <c r="M235" s="66"/>
      <c r="N235" s="66"/>
      <c r="O235" s="66"/>
      <c r="P235" s="66"/>
      <c r="Q235" s="66"/>
      <c r="R235" s="66"/>
      <c r="S235" s="66"/>
      <c r="T235" s="66"/>
      <c r="U235" s="66"/>
    </row>
    <row r="236" ht="15.75" customHeight="1">
      <c r="A236" s="66"/>
      <c r="B236" s="66"/>
      <c r="C236" s="66"/>
      <c r="D236" s="66"/>
      <c r="E236" s="66"/>
      <c r="F236" s="66"/>
      <c r="G236" s="66"/>
      <c r="H236" s="66"/>
      <c r="I236" s="66"/>
      <c r="J236" s="66"/>
      <c r="K236" s="66"/>
      <c r="L236" s="66"/>
      <c r="M236" s="66"/>
      <c r="N236" s="66"/>
      <c r="O236" s="66"/>
      <c r="P236" s="66"/>
      <c r="Q236" s="66"/>
      <c r="R236" s="66"/>
      <c r="S236" s="66"/>
      <c r="T236" s="66"/>
      <c r="U236" s="66"/>
    </row>
    <row r="237" ht="15.75" customHeight="1">
      <c r="A237" s="66"/>
      <c r="B237" s="66"/>
      <c r="C237" s="66"/>
      <c r="D237" s="66"/>
      <c r="E237" s="66"/>
      <c r="F237" s="66"/>
      <c r="G237" s="66"/>
      <c r="H237" s="66"/>
      <c r="I237" s="66"/>
      <c r="J237" s="66"/>
      <c r="K237" s="66"/>
      <c r="L237" s="66"/>
      <c r="M237" s="66"/>
      <c r="N237" s="66"/>
      <c r="O237" s="66"/>
      <c r="P237" s="66"/>
      <c r="Q237" s="66"/>
      <c r="R237" s="66"/>
      <c r="S237" s="66"/>
      <c r="T237" s="66"/>
      <c r="U237" s="66"/>
    </row>
    <row r="238" ht="15.75" customHeight="1">
      <c r="A238" s="66"/>
      <c r="B238" s="66"/>
      <c r="C238" s="66"/>
      <c r="D238" s="66"/>
      <c r="E238" s="66"/>
      <c r="F238" s="66"/>
      <c r="G238" s="66"/>
      <c r="H238" s="66"/>
      <c r="I238" s="66"/>
      <c r="J238" s="66"/>
      <c r="K238" s="66"/>
      <c r="L238" s="66"/>
      <c r="M238" s="66"/>
      <c r="N238" s="66"/>
      <c r="O238" s="66"/>
      <c r="P238" s="66"/>
      <c r="Q238" s="66"/>
      <c r="R238" s="66"/>
      <c r="S238" s="66"/>
      <c r="T238" s="66"/>
      <c r="U238" s="66"/>
    </row>
    <row r="239" ht="15.75" customHeight="1">
      <c r="A239" s="66"/>
      <c r="B239" s="66"/>
      <c r="C239" s="66"/>
      <c r="D239" s="66"/>
      <c r="E239" s="66"/>
      <c r="F239" s="66"/>
      <c r="G239" s="66"/>
      <c r="H239" s="66"/>
      <c r="I239" s="66"/>
      <c r="J239" s="66"/>
      <c r="K239" s="66"/>
      <c r="L239" s="66"/>
      <c r="M239" s="66"/>
      <c r="N239" s="66"/>
      <c r="O239" s="66"/>
      <c r="P239" s="66"/>
      <c r="Q239" s="66"/>
      <c r="R239" s="66"/>
      <c r="S239" s="66"/>
      <c r="T239" s="66"/>
      <c r="U239" s="66"/>
    </row>
    <row r="240" ht="15.75" customHeight="1">
      <c r="A240" s="66"/>
      <c r="B240" s="66"/>
      <c r="C240" s="66"/>
      <c r="D240" s="66"/>
      <c r="E240" s="66"/>
      <c r="F240" s="66"/>
      <c r="G240" s="66"/>
      <c r="H240" s="66"/>
      <c r="I240" s="66"/>
      <c r="J240" s="66"/>
      <c r="K240" s="66"/>
      <c r="L240" s="66"/>
      <c r="M240" s="66"/>
      <c r="N240" s="66"/>
      <c r="O240" s="66"/>
      <c r="P240" s="66"/>
      <c r="Q240" s="66"/>
      <c r="R240" s="66"/>
      <c r="S240" s="66"/>
      <c r="T240" s="66"/>
      <c r="U240" s="66"/>
    </row>
    <row r="241" ht="15.75" customHeight="1">
      <c r="A241" s="66"/>
      <c r="B241" s="66"/>
      <c r="C241" s="66"/>
      <c r="D241" s="66"/>
      <c r="E241" s="66"/>
      <c r="F241" s="66"/>
      <c r="G241" s="66"/>
      <c r="H241" s="66"/>
      <c r="I241" s="66"/>
      <c r="J241" s="66"/>
      <c r="K241" s="66"/>
      <c r="L241" s="66"/>
      <c r="M241" s="66"/>
      <c r="N241" s="66"/>
      <c r="O241" s="66"/>
      <c r="P241" s="66"/>
      <c r="Q241" s="66"/>
      <c r="R241" s="66"/>
      <c r="S241" s="66"/>
      <c r="T241" s="66"/>
      <c r="U241" s="66"/>
    </row>
    <row r="242" ht="15.75" customHeight="1">
      <c r="A242" s="66"/>
      <c r="B242" s="66"/>
      <c r="C242" s="66"/>
      <c r="D242" s="66"/>
      <c r="E242" s="66"/>
      <c r="F242" s="66"/>
      <c r="G242" s="66"/>
      <c r="H242" s="66"/>
      <c r="I242" s="66"/>
      <c r="J242" s="66"/>
      <c r="K242" s="66"/>
      <c r="L242" s="66"/>
      <c r="M242" s="66"/>
      <c r="N242" s="66"/>
      <c r="O242" s="66"/>
      <c r="P242" s="66"/>
      <c r="Q242" s="66"/>
      <c r="R242" s="66"/>
      <c r="S242" s="66"/>
      <c r="T242" s="66"/>
      <c r="U242" s="66"/>
    </row>
    <row r="243" ht="15.75" customHeight="1">
      <c r="A243" s="66"/>
      <c r="B243" s="66"/>
      <c r="C243" s="66"/>
      <c r="D243" s="66"/>
      <c r="E243" s="66"/>
      <c r="F243" s="66"/>
      <c r="G243" s="66"/>
      <c r="H243" s="66"/>
      <c r="I243" s="66"/>
      <c r="J243" s="66"/>
      <c r="K243" s="66"/>
      <c r="L243" s="66"/>
      <c r="M243" s="66"/>
      <c r="N243" s="66"/>
      <c r="O243" s="66"/>
      <c r="P243" s="66"/>
      <c r="Q243" s="66"/>
      <c r="R243" s="66"/>
      <c r="S243" s="66"/>
      <c r="T243" s="66"/>
      <c r="U243" s="66"/>
    </row>
    <row r="244" ht="15.75" customHeight="1">
      <c r="A244" s="66"/>
      <c r="B244" s="66"/>
      <c r="C244" s="66"/>
      <c r="D244" s="66"/>
      <c r="E244" s="66"/>
      <c r="F244" s="66"/>
      <c r="G244" s="66"/>
      <c r="H244" s="66"/>
      <c r="I244" s="66"/>
      <c r="J244" s="66"/>
      <c r="K244" s="66"/>
      <c r="L244" s="66"/>
      <c r="M244" s="66"/>
      <c r="N244" s="66"/>
      <c r="O244" s="66"/>
      <c r="P244" s="66"/>
      <c r="Q244" s="66"/>
      <c r="R244" s="66"/>
      <c r="S244" s="66"/>
      <c r="T244" s="66"/>
      <c r="U244" s="66"/>
    </row>
    <row r="245" ht="15.75" customHeight="1">
      <c r="A245" s="66"/>
      <c r="B245" s="66"/>
      <c r="C245" s="66"/>
      <c r="D245" s="66"/>
      <c r="E245" s="66"/>
      <c r="F245" s="66"/>
      <c r="G245" s="66"/>
      <c r="H245" s="66"/>
      <c r="I245" s="66"/>
      <c r="J245" s="66"/>
      <c r="K245" s="66"/>
      <c r="L245" s="66"/>
      <c r="M245" s="66"/>
      <c r="N245" s="66"/>
      <c r="O245" s="66"/>
      <c r="P245" s="66"/>
      <c r="Q245" s="66"/>
      <c r="R245" s="66"/>
      <c r="S245" s="66"/>
      <c r="T245" s="66"/>
      <c r="U245" s="66"/>
    </row>
    <row r="246" ht="15.75" customHeight="1">
      <c r="A246" s="66"/>
      <c r="B246" s="66"/>
      <c r="C246" s="66"/>
      <c r="D246" s="66"/>
      <c r="E246" s="66"/>
      <c r="F246" s="66"/>
      <c r="G246" s="66"/>
      <c r="H246" s="66"/>
      <c r="I246" s="66"/>
      <c r="J246" s="66"/>
      <c r="K246" s="66"/>
      <c r="L246" s="66"/>
      <c r="M246" s="66"/>
      <c r="N246" s="66"/>
      <c r="O246" s="66"/>
      <c r="P246" s="66"/>
      <c r="Q246" s="66"/>
      <c r="R246" s="66"/>
      <c r="S246" s="66"/>
      <c r="T246" s="66"/>
      <c r="U246" s="66"/>
    </row>
    <row r="247" ht="15.75" customHeight="1">
      <c r="A247" s="66"/>
      <c r="B247" s="66"/>
      <c r="C247" s="66"/>
      <c r="D247" s="66"/>
      <c r="E247" s="66"/>
      <c r="F247" s="66"/>
      <c r="G247" s="66"/>
      <c r="H247" s="66"/>
      <c r="I247" s="66"/>
      <c r="J247" s="66"/>
      <c r="K247" s="66"/>
      <c r="L247" s="66"/>
      <c r="M247" s="66"/>
      <c r="N247" s="66"/>
      <c r="O247" s="66"/>
      <c r="P247" s="66"/>
      <c r="Q247" s="66"/>
      <c r="R247" s="66"/>
      <c r="S247" s="66"/>
      <c r="T247" s="66"/>
      <c r="U247" s="66"/>
    </row>
    <row r="248" ht="15.75" customHeight="1">
      <c r="A248" s="66"/>
      <c r="B248" s="66"/>
      <c r="C248" s="66"/>
      <c r="D248" s="66"/>
      <c r="E248" s="66"/>
      <c r="F248" s="66"/>
      <c r="G248" s="66"/>
      <c r="H248" s="66"/>
      <c r="I248" s="66"/>
      <c r="J248" s="66"/>
      <c r="K248" s="66"/>
      <c r="L248" s="66"/>
      <c r="M248" s="66"/>
      <c r="N248" s="66"/>
      <c r="O248" s="66"/>
      <c r="P248" s="66"/>
      <c r="Q248" s="66"/>
      <c r="R248" s="66"/>
      <c r="S248" s="66"/>
      <c r="T248" s="66"/>
      <c r="U248" s="66"/>
    </row>
    <row r="249" ht="15.75" customHeight="1">
      <c r="A249" s="66"/>
      <c r="B249" s="66"/>
      <c r="C249" s="66"/>
      <c r="D249" s="66"/>
      <c r="E249" s="66"/>
      <c r="F249" s="66"/>
      <c r="G249" s="66"/>
      <c r="H249" s="66"/>
      <c r="I249" s="66"/>
      <c r="J249" s="66"/>
      <c r="K249" s="66"/>
      <c r="L249" s="66"/>
      <c r="M249" s="66"/>
      <c r="N249" s="66"/>
      <c r="O249" s="66"/>
      <c r="P249" s="66"/>
      <c r="Q249" s="66"/>
      <c r="R249" s="66"/>
      <c r="S249" s="66"/>
      <c r="T249" s="66"/>
      <c r="U249" s="66"/>
    </row>
    <row r="250" ht="15.75" customHeight="1">
      <c r="A250" s="66"/>
      <c r="B250" s="66"/>
      <c r="C250" s="66"/>
      <c r="D250" s="66"/>
      <c r="E250" s="66"/>
      <c r="F250" s="66"/>
      <c r="G250" s="66"/>
      <c r="H250" s="66"/>
      <c r="I250" s="66"/>
      <c r="J250" s="66"/>
      <c r="K250" s="66"/>
      <c r="L250" s="66"/>
      <c r="M250" s="66"/>
      <c r="N250" s="66"/>
      <c r="O250" s="66"/>
      <c r="P250" s="66"/>
      <c r="Q250" s="66"/>
      <c r="R250" s="66"/>
      <c r="S250" s="66"/>
      <c r="T250" s="66"/>
      <c r="U250" s="66"/>
    </row>
    <row r="251" ht="15.75" customHeight="1">
      <c r="A251" s="66"/>
      <c r="B251" s="66"/>
      <c r="C251" s="66"/>
      <c r="D251" s="66"/>
      <c r="E251" s="66"/>
      <c r="F251" s="66"/>
      <c r="G251" s="66"/>
      <c r="H251" s="66"/>
      <c r="I251" s="66"/>
      <c r="J251" s="66"/>
      <c r="K251" s="66"/>
      <c r="L251" s="66"/>
      <c r="M251" s="66"/>
      <c r="N251" s="66"/>
      <c r="O251" s="66"/>
      <c r="P251" s="66"/>
      <c r="Q251" s="66"/>
      <c r="R251" s="66"/>
      <c r="S251" s="66"/>
      <c r="T251" s="66"/>
      <c r="U251" s="66"/>
    </row>
    <row r="252" ht="15.75" customHeight="1">
      <c r="A252" s="66"/>
      <c r="B252" s="66"/>
      <c r="C252" s="66"/>
      <c r="D252" s="66"/>
      <c r="E252" s="66"/>
      <c r="F252" s="66"/>
      <c r="G252" s="66"/>
      <c r="H252" s="66"/>
      <c r="I252" s="66"/>
      <c r="J252" s="66"/>
      <c r="K252" s="66"/>
      <c r="L252" s="66"/>
      <c r="M252" s="66"/>
      <c r="N252" s="66"/>
      <c r="O252" s="66"/>
      <c r="P252" s="66"/>
      <c r="Q252" s="66"/>
      <c r="R252" s="66"/>
      <c r="S252" s="66"/>
      <c r="T252" s="66"/>
      <c r="U252" s="66"/>
    </row>
    <row r="253" ht="15.75" customHeight="1">
      <c r="A253" s="66"/>
      <c r="B253" s="66"/>
      <c r="C253" s="66"/>
      <c r="D253" s="66"/>
      <c r="E253" s="66"/>
      <c r="F253" s="66"/>
      <c r="G253" s="66"/>
      <c r="H253" s="66"/>
      <c r="I253" s="66"/>
      <c r="J253" s="66"/>
      <c r="K253" s="66"/>
      <c r="L253" s="66"/>
      <c r="M253" s="66"/>
      <c r="N253" s="66"/>
      <c r="O253" s="66"/>
      <c r="P253" s="66"/>
      <c r="Q253" s="66"/>
      <c r="R253" s="66"/>
      <c r="S253" s="66"/>
      <c r="T253" s="66"/>
      <c r="U253" s="66"/>
    </row>
    <row r="254" ht="15.75" customHeight="1">
      <c r="A254" s="66"/>
      <c r="B254" s="66"/>
      <c r="C254" s="66"/>
      <c r="D254" s="66"/>
      <c r="E254" s="66"/>
      <c r="F254" s="66"/>
      <c r="G254" s="66"/>
      <c r="H254" s="66"/>
      <c r="I254" s="66"/>
      <c r="J254" s="66"/>
      <c r="K254" s="66"/>
      <c r="L254" s="66"/>
      <c r="M254" s="66"/>
      <c r="N254" s="66"/>
      <c r="O254" s="66"/>
      <c r="P254" s="66"/>
      <c r="Q254" s="66"/>
      <c r="R254" s="66"/>
      <c r="S254" s="66"/>
      <c r="T254" s="66"/>
      <c r="U254" s="66"/>
    </row>
    <row r="255" ht="15.75" customHeight="1">
      <c r="A255" s="66"/>
      <c r="B255" s="66"/>
      <c r="C255" s="66"/>
      <c r="D255" s="66"/>
      <c r="E255" s="66"/>
      <c r="F255" s="66"/>
      <c r="G255" s="66"/>
      <c r="H255" s="66"/>
      <c r="I255" s="66"/>
      <c r="J255" s="66"/>
      <c r="K255" s="66"/>
      <c r="L255" s="66"/>
      <c r="M255" s="66"/>
      <c r="N255" s="66"/>
      <c r="O255" s="66"/>
      <c r="P255" s="66"/>
      <c r="Q255" s="66"/>
      <c r="R255" s="66"/>
      <c r="S255" s="66"/>
      <c r="T255" s="66"/>
      <c r="U255" s="66"/>
    </row>
    <row r="256" ht="15.75" customHeight="1">
      <c r="A256" s="66"/>
      <c r="B256" s="66"/>
      <c r="C256" s="66"/>
      <c r="D256" s="66"/>
      <c r="E256" s="66"/>
      <c r="F256" s="66"/>
      <c r="G256" s="66"/>
      <c r="H256" s="66"/>
      <c r="I256" s="66"/>
      <c r="J256" s="66"/>
      <c r="K256" s="66"/>
      <c r="L256" s="66"/>
      <c r="M256" s="66"/>
      <c r="N256" s="66"/>
      <c r="O256" s="66"/>
      <c r="P256" s="66"/>
      <c r="Q256" s="66"/>
      <c r="R256" s="66"/>
      <c r="S256" s="66"/>
      <c r="T256" s="66"/>
      <c r="U256" s="66"/>
    </row>
    <row r="257" ht="15.75" customHeight="1">
      <c r="A257" s="66"/>
      <c r="B257" s="66"/>
      <c r="C257" s="66"/>
      <c r="D257" s="66"/>
      <c r="E257" s="66"/>
      <c r="F257" s="66"/>
      <c r="G257" s="66"/>
      <c r="H257" s="66"/>
      <c r="I257" s="66"/>
      <c r="J257" s="66"/>
      <c r="K257" s="66"/>
      <c r="L257" s="66"/>
      <c r="M257" s="66"/>
      <c r="N257" s="66"/>
      <c r="O257" s="66"/>
      <c r="P257" s="66"/>
      <c r="Q257" s="66"/>
      <c r="R257" s="66"/>
      <c r="S257" s="66"/>
      <c r="T257" s="66"/>
      <c r="U257" s="66"/>
    </row>
    <row r="258" ht="15.75" customHeight="1">
      <c r="A258" s="66"/>
      <c r="B258" s="66"/>
      <c r="C258" s="66"/>
      <c r="D258" s="66"/>
      <c r="E258" s="66"/>
      <c r="F258" s="66"/>
      <c r="G258" s="66"/>
      <c r="H258" s="66"/>
      <c r="I258" s="66"/>
      <c r="J258" s="66"/>
      <c r="K258" s="66"/>
      <c r="L258" s="66"/>
      <c r="M258" s="66"/>
      <c r="N258" s="66"/>
      <c r="O258" s="66"/>
      <c r="P258" s="66"/>
      <c r="Q258" s="66"/>
      <c r="R258" s="66"/>
      <c r="S258" s="66"/>
      <c r="T258" s="66"/>
      <c r="U258" s="66"/>
    </row>
    <row r="259" ht="15.75" customHeight="1">
      <c r="A259" s="66"/>
      <c r="B259" s="66"/>
      <c r="C259" s="66"/>
      <c r="D259" s="66"/>
      <c r="E259" s="66"/>
      <c r="F259" s="66"/>
      <c r="G259" s="66"/>
      <c r="H259" s="66"/>
      <c r="I259" s="66"/>
      <c r="J259" s="66"/>
      <c r="K259" s="66"/>
      <c r="L259" s="66"/>
      <c r="M259" s="66"/>
      <c r="N259" s="66"/>
      <c r="O259" s="66"/>
      <c r="P259" s="66"/>
      <c r="Q259" s="66"/>
      <c r="R259" s="66"/>
      <c r="S259" s="66"/>
      <c r="T259" s="66"/>
      <c r="U259" s="66"/>
    </row>
    <row r="260" ht="15.75" customHeight="1">
      <c r="A260" s="66"/>
      <c r="B260" s="66"/>
      <c r="C260" s="66"/>
      <c r="D260" s="66"/>
      <c r="E260" s="66"/>
      <c r="F260" s="66"/>
      <c r="G260" s="66"/>
      <c r="H260" s="66"/>
      <c r="I260" s="66"/>
      <c r="J260" s="66"/>
      <c r="K260" s="66"/>
      <c r="L260" s="66"/>
      <c r="M260" s="66"/>
      <c r="N260" s="66"/>
      <c r="O260" s="66"/>
      <c r="P260" s="66"/>
      <c r="Q260" s="66"/>
      <c r="R260" s="66"/>
      <c r="S260" s="66"/>
      <c r="T260" s="66"/>
      <c r="U260" s="66"/>
    </row>
    <row r="261" ht="15.75" customHeight="1">
      <c r="A261" s="66"/>
      <c r="B261" s="66"/>
      <c r="C261" s="66"/>
      <c r="D261" s="66"/>
      <c r="E261" s="66"/>
      <c r="F261" s="66"/>
      <c r="G261" s="66"/>
      <c r="H261" s="66"/>
      <c r="I261" s="66"/>
      <c r="J261" s="66"/>
      <c r="K261" s="66"/>
      <c r="L261" s="66"/>
      <c r="M261" s="66"/>
      <c r="N261" s="66"/>
      <c r="O261" s="66"/>
      <c r="P261" s="66"/>
      <c r="Q261" s="66"/>
      <c r="R261" s="66"/>
      <c r="S261" s="66"/>
      <c r="T261" s="66"/>
      <c r="U261" s="66"/>
    </row>
    <row r="262" ht="15.75" customHeight="1">
      <c r="A262" s="66"/>
      <c r="B262" s="66"/>
      <c r="C262" s="66"/>
      <c r="D262" s="66"/>
      <c r="E262" s="66"/>
      <c r="F262" s="66"/>
      <c r="G262" s="66"/>
      <c r="H262" s="66"/>
      <c r="I262" s="66"/>
      <c r="J262" s="66"/>
      <c r="K262" s="66"/>
      <c r="L262" s="66"/>
      <c r="M262" s="66"/>
      <c r="N262" s="66"/>
      <c r="O262" s="66"/>
      <c r="P262" s="66"/>
      <c r="Q262" s="66"/>
      <c r="R262" s="66"/>
      <c r="S262" s="66"/>
      <c r="T262" s="66"/>
      <c r="U262" s="66"/>
    </row>
    <row r="263" ht="15.75" customHeight="1">
      <c r="A263" s="66"/>
      <c r="B263" s="66"/>
      <c r="C263" s="66"/>
      <c r="D263" s="66"/>
      <c r="E263" s="66"/>
      <c r="F263" s="66"/>
      <c r="G263" s="66"/>
      <c r="H263" s="66"/>
      <c r="I263" s="66"/>
      <c r="J263" s="66"/>
      <c r="K263" s="66"/>
      <c r="L263" s="66"/>
      <c r="M263" s="66"/>
      <c r="N263" s="66"/>
      <c r="O263" s="66"/>
      <c r="P263" s="66"/>
      <c r="Q263" s="66"/>
      <c r="R263" s="66"/>
      <c r="S263" s="66"/>
      <c r="T263" s="66"/>
      <c r="U263" s="66"/>
    </row>
    <row r="264" ht="15.75" customHeight="1">
      <c r="A264" s="66"/>
      <c r="B264" s="66"/>
      <c r="C264" s="66"/>
      <c r="D264" s="66"/>
      <c r="E264" s="66"/>
      <c r="F264" s="66"/>
      <c r="G264" s="66"/>
      <c r="H264" s="66"/>
      <c r="I264" s="66"/>
      <c r="J264" s="66"/>
      <c r="K264" s="66"/>
      <c r="L264" s="66"/>
      <c r="M264" s="66"/>
      <c r="N264" s="66"/>
      <c r="O264" s="66"/>
      <c r="P264" s="66"/>
      <c r="Q264" s="66"/>
      <c r="R264" s="66"/>
      <c r="S264" s="66"/>
      <c r="T264" s="66"/>
      <c r="U264" s="66"/>
    </row>
    <row r="265" ht="15.75" customHeight="1">
      <c r="A265" s="66"/>
      <c r="B265" s="66"/>
      <c r="C265" s="66"/>
      <c r="D265" s="66"/>
      <c r="E265" s="66"/>
      <c r="F265" s="66"/>
      <c r="G265" s="66"/>
      <c r="H265" s="66"/>
      <c r="I265" s="66"/>
      <c r="J265" s="66"/>
      <c r="K265" s="66"/>
      <c r="L265" s="66"/>
      <c r="M265" s="66"/>
      <c r="N265" s="66"/>
      <c r="O265" s="66"/>
      <c r="P265" s="66"/>
      <c r="Q265" s="66"/>
      <c r="R265" s="66"/>
      <c r="S265" s="66"/>
      <c r="T265" s="66"/>
      <c r="U265" s="66"/>
    </row>
    <row r="266" ht="15.75" customHeight="1">
      <c r="A266" s="66"/>
      <c r="B266" s="66"/>
      <c r="C266" s="66"/>
      <c r="D266" s="66"/>
      <c r="E266" s="66"/>
      <c r="F266" s="66"/>
      <c r="G266" s="66"/>
      <c r="H266" s="66"/>
      <c r="I266" s="66"/>
      <c r="J266" s="66"/>
      <c r="K266" s="66"/>
      <c r="L266" s="66"/>
      <c r="M266" s="66"/>
      <c r="N266" s="66"/>
      <c r="O266" s="66"/>
      <c r="P266" s="66"/>
      <c r="Q266" s="66"/>
      <c r="R266" s="66"/>
      <c r="S266" s="66"/>
      <c r="T266" s="66"/>
      <c r="U266" s="66"/>
    </row>
    <row r="267" ht="15.75" customHeight="1">
      <c r="A267" s="66"/>
      <c r="B267" s="66"/>
      <c r="C267" s="66"/>
      <c r="D267" s="66"/>
      <c r="E267" s="66"/>
      <c r="F267" s="66"/>
      <c r="G267" s="66"/>
      <c r="H267" s="66"/>
      <c r="I267" s="66"/>
      <c r="J267" s="66"/>
      <c r="K267" s="66"/>
      <c r="L267" s="66"/>
      <c r="M267" s="66"/>
      <c r="N267" s="66"/>
      <c r="O267" s="66"/>
      <c r="P267" s="66"/>
      <c r="Q267" s="66"/>
      <c r="R267" s="66"/>
      <c r="S267" s="66"/>
      <c r="T267" s="66"/>
      <c r="U267" s="66"/>
    </row>
    <row r="268" ht="15.75" customHeight="1">
      <c r="A268" s="66"/>
      <c r="B268" s="66"/>
      <c r="C268" s="66"/>
      <c r="D268" s="66"/>
      <c r="E268" s="66"/>
      <c r="F268" s="66"/>
      <c r="G268" s="66"/>
      <c r="H268" s="66"/>
      <c r="I268" s="66"/>
      <c r="J268" s="66"/>
      <c r="K268" s="66"/>
      <c r="L268" s="66"/>
      <c r="M268" s="66"/>
      <c r="N268" s="66"/>
      <c r="O268" s="66"/>
      <c r="P268" s="66"/>
      <c r="Q268" s="66"/>
      <c r="R268" s="66"/>
      <c r="S268" s="66"/>
      <c r="T268" s="66"/>
      <c r="U268" s="66"/>
    </row>
    <row r="269" ht="15.75" customHeight="1">
      <c r="A269" s="66"/>
      <c r="B269" s="66"/>
      <c r="C269" s="66"/>
      <c r="D269" s="66"/>
      <c r="E269" s="66"/>
      <c r="F269" s="66"/>
      <c r="G269" s="66"/>
      <c r="H269" s="66"/>
      <c r="I269" s="66"/>
      <c r="J269" s="66"/>
      <c r="K269" s="66"/>
      <c r="L269" s="66"/>
      <c r="M269" s="66"/>
      <c r="N269" s="66"/>
      <c r="O269" s="66"/>
      <c r="P269" s="66"/>
      <c r="Q269" s="66"/>
      <c r="R269" s="66"/>
      <c r="S269" s="66"/>
      <c r="T269" s="66"/>
      <c r="U269" s="66"/>
    </row>
    <row r="270" ht="15.75" customHeight="1">
      <c r="A270" s="66"/>
      <c r="B270" s="66"/>
      <c r="C270" s="66"/>
      <c r="D270" s="66"/>
      <c r="E270" s="66"/>
      <c r="F270" s="66"/>
      <c r="G270" s="66"/>
      <c r="H270" s="66"/>
      <c r="I270" s="66"/>
      <c r="J270" s="66"/>
      <c r="K270" s="66"/>
      <c r="L270" s="66"/>
      <c r="M270" s="66"/>
      <c r="N270" s="66"/>
      <c r="O270" s="66"/>
      <c r="P270" s="66"/>
      <c r="Q270" s="66"/>
      <c r="R270" s="66"/>
      <c r="S270" s="66"/>
      <c r="T270" s="66"/>
      <c r="U270" s="66"/>
    </row>
    <row r="271" ht="15.75" customHeight="1">
      <c r="A271" s="66"/>
      <c r="B271" s="66"/>
      <c r="C271" s="66"/>
      <c r="D271" s="66"/>
      <c r="E271" s="66"/>
      <c r="F271" s="66"/>
      <c r="G271" s="66"/>
      <c r="H271" s="66"/>
      <c r="I271" s="66"/>
      <c r="J271" s="66"/>
      <c r="K271" s="66"/>
      <c r="L271" s="66"/>
      <c r="M271" s="66"/>
      <c r="N271" s="66"/>
      <c r="O271" s="66"/>
      <c r="P271" s="66"/>
      <c r="Q271" s="66"/>
      <c r="R271" s="66"/>
      <c r="S271" s="66"/>
      <c r="T271" s="66"/>
      <c r="U271" s="66"/>
    </row>
    <row r="272" ht="15.75" customHeight="1">
      <c r="A272" s="66"/>
      <c r="B272" s="66"/>
      <c r="C272" s="66"/>
      <c r="D272" s="66"/>
      <c r="E272" s="66"/>
      <c r="F272" s="66"/>
      <c r="G272" s="66"/>
      <c r="H272" s="66"/>
      <c r="I272" s="66"/>
      <c r="J272" s="66"/>
      <c r="K272" s="66"/>
      <c r="L272" s="66"/>
      <c r="M272" s="66"/>
      <c r="N272" s="66"/>
      <c r="O272" s="66"/>
      <c r="P272" s="66"/>
      <c r="Q272" s="66"/>
      <c r="R272" s="66"/>
      <c r="S272" s="66"/>
      <c r="T272" s="66"/>
      <c r="U272" s="66"/>
    </row>
    <row r="273" ht="15.75" customHeight="1">
      <c r="A273" s="66"/>
      <c r="B273" s="66"/>
      <c r="C273" s="66"/>
      <c r="D273" s="66"/>
      <c r="E273" s="66"/>
      <c r="F273" s="66"/>
      <c r="G273" s="66"/>
      <c r="H273" s="66"/>
      <c r="I273" s="66"/>
      <c r="J273" s="66"/>
      <c r="K273" s="66"/>
      <c r="L273" s="66"/>
      <c r="M273" s="66"/>
      <c r="N273" s="66"/>
      <c r="O273" s="66"/>
      <c r="P273" s="66"/>
      <c r="Q273" s="66"/>
      <c r="R273" s="66"/>
      <c r="S273" s="66"/>
      <c r="T273" s="66"/>
      <c r="U273" s="66"/>
    </row>
    <row r="274" ht="15.75" customHeight="1">
      <c r="A274" s="66"/>
      <c r="B274" s="66"/>
      <c r="C274" s="66"/>
      <c r="D274" s="66"/>
      <c r="E274" s="66"/>
      <c r="F274" s="66"/>
      <c r="G274" s="66"/>
      <c r="H274" s="66"/>
      <c r="I274" s="66"/>
      <c r="J274" s="66"/>
      <c r="K274" s="66"/>
      <c r="L274" s="66"/>
      <c r="M274" s="66"/>
      <c r="N274" s="66"/>
      <c r="O274" s="66"/>
      <c r="P274" s="66"/>
      <c r="Q274" s="66"/>
      <c r="R274" s="66"/>
      <c r="S274" s="66"/>
      <c r="T274" s="66"/>
      <c r="U274" s="66"/>
    </row>
    <row r="275" ht="15.75" customHeight="1">
      <c r="A275" s="66"/>
      <c r="B275" s="66"/>
      <c r="C275" s="66"/>
      <c r="D275" s="66"/>
      <c r="E275" s="66"/>
      <c r="F275" s="66"/>
      <c r="G275" s="66"/>
      <c r="H275" s="66"/>
      <c r="I275" s="66"/>
      <c r="J275" s="66"/>
      <c r="K275" s="66"/>
      <c r="L275" s="66"/>
      <c r="M275" s="66"/>
      <c r="N275" s="66"/>
      <c r="O275" s="66"/>
      <c r="P275" s="66"/>
      <c r="Q275" s="66"/>
      <c r="R275" s="66"/>
      <c r="S275" s="66"/>
      <c r="T275" s="66"/>
      <c r="U275" s="66"/>
    </row>
    <row r="276" ht="15.75" customHeight="1">
      <c r="A276" s="66"/>
      <c r="B276" s="66"/>
      <c r="C276" s="66"/>
      <c r="D276" s="66"/>
      <c r="E276" s="66"/>
      <c r="F276" s="66"/>
      <c r="G276" s="66"/>
      <c r="H276" s="66"/>
      <c r="I276" s="66"/>
      <c r="J276" s="66"/>
      <c r="K276" s="66"/>
      <c r="L276" s="66"/>
      <c r="M276" s="66"/>
      <c r="N276" s="66"/>
      <c r="O276" s="66"/>
      <c r="P276" s="66"/>
      <c r="Q276" s="66"/>
      <c r="R276" s="66"/>
      <c r="S276" s="66"/>
      <c r="T276" s="66"/>
      <c r="U276" s="66"/>
    </row>
    <row r="277" ht="15.75" customHeight="1">
      <c r="A277" s="66"/>
      <c r="B277" s="66"/>
      <c r="C277" s="66"/>
      <c r="D277" s="66"/>
      <c r="E277" s="66"/>
      <c r="F277" s="66"/>
      <c r="G277" s="66"/>
      <c r="H277" s="66"/>
      <c r="I277" s="66"/>
      <c r="J277" s="66"/>
      <c r="K277" s="66"/>
      <c r="L277" s="66"/>
      <c r="M277" s="66"/>
      <c r="N277" s="66"/>
      <c r="O277" s="66"/>
      <c r="P277" s="66"/>
      <c r="Q277" s="66"/>
      <c r="R277" s="66"/>
      <c r="S277" s="66"/>
      <c r="T277" s="66"/>
      <c r="U277" s="66"/>
    </row>
    <row r="278" ht="15.75" customHeight="1">
      <c r="A278" s="66"/>
      <c r="B278" s="66"/>
      <c r="C278" s="66"/>
      <c r="D278" s="66"/>
      <c r="E278" s="66"/>
      <c r="F278" s="66"/>
      <c r="G278" s="66"/>
      <c r="H278" s="66"/>
      <c r="I278" s="66"/>
      <c r="J278" s="66"/>
      <c r="K278" s="66"/>
      <c r="L278" s="66"/>
      <c r="M278" s="66"/>
      <c r="N278" s="66"/>
      <c r="O278" s="66"/>
      <c r="P278" s="66"/>
      <c r="Q278" s="66"/>
      <c r="R278" s="66"/>
      <c r="S278" s="66"/>
      <c r="T278" s="66"/>
      <c r="U278" s="66"/>
    </row>
    <row r="279" ht="15.75" customHeight="1">
      <c r="A279" s="66"/>
      <c r="B279" s="66"/>
      <c r="C279" s="66"/>
      <c r="D279" s="66"/>
      <c r="E279" s="66"/>
      <c r="F279" s="66"/>
      <c r="G279" s="66"/>
      <c r="H279" s="66"/>
      <c r="I279" s="66"/>
      <c r="J279" s="66"/>
      <c r="K279" s="66"/>
      <c r="L279" s="66"/>
      <c r="M279" s="66"/>
      <c r="N279" s="66"/>
      <c r="O279" s="66"/>
      <c r="P279" s="66"/>
      <c r="Q279" s="66"/>
      <c r="R279" s="66"/>
      <c r="S279" s="66"/>
      <c r="T279" s="66"/>
      <c r="U279" s="66"/>
    </row>
    <row r="280" ht="15.75" customHeight="1">
      <c r="A280" s="66"/>
      <c r="B280" s="66"/>
      <c r="C280" s="66"/>
      <c r="D280" s="66"/>
      <c r="E280" s="66"/>
      <c r="F280" s="66"/>
      <c r="G280" s="66"/>
      <c r="H280" s="66"/>
      <c r="I280" s="66"/>
      <c r="J280" s="66"/>
      <c r="K280" s="66"/>
      <c r="L280" s="66"/>
      <c r="M280" s="66"/>
      <c r="N280" s="66"/>
      <c r="O280" s="66"/>
      <c r="P280" s="66"/>
      <c r="Q280" s="66"/>
      <c r="R280" s="66"/>
      <c r="S280" s="66"/>
      <c r="T280" s="66"/>
      <c r="U280" s="66"/>
    </row>
    <row r="281" ht="15.75" customHeight="1">
      <c r="A281" s="66"/>
      <c r="B281" s="66"/>
      <c r="C281" s="66"/>
      <c r="D281" s="66"/>
      <c r="E281" s="66"/>
      <c r="F281" s="66"/>
      <c r="G281" s="66"/>
      <c r="H281" s="66"/>
      <c r="I281" s="66"/>
      <c r="J281" s="66"/>
      <c r="K281" s="66"/>
      <c r="L281" s="66"/>
      <c r="M281" s="66"/>
      <c r="N281" s="66"/>
      <c r="O281" s="66"/>
      <c r="P281" s="66"/>
      <c r="Q281" s="66"/>
      <c r="R281" s="66"/>
      <c r="S281" s="66"/>
      <c r="T281" s="66"/>
      <c r="U281" s="66"/>
    </row>
    <row r="282" ht="15.75" customHeight="1">
      <c r="A282" s="66"/>
      <c r="B282" s="66"/>
      <c r="C282" s="66"/>
      <c r="D282" s="66"/>
      <c r="E282" s="66"/>
      <c r="F282" s="66"/>
      <c r="G282" s="66"/>
      <c r="H282" s="66"/>
      <c r="I282" s="66"/>
      <c r="J282" s="66"/>
      <c r="K282" s="66"/>
      <c r="L282" s="66"/>
      <c r="M282" s="66"/>
      <c r="N282" s="66"/>
      <c r="O282" s="66"/>
      <c r="P282" s="66"/>
      <c r="Q282" s="66"/>
      <c r="R282" s="66"/>
      <c r="S282" s="66"/>
      <c r="T282" s="66"/>
      <c r="U282" s="66"/>
    </row>
    <row r="283" ht="15.75" customHeight="1">
      <c r="A283" s="66"/>
      <c r="B283" s="66"/>
      <c r="C283" s="66"/>
      <c r="D283" s="66"/>
      <c r="E283" s="66"/>
      <c r="F283" s="66"/>
      <c r="G283" s="66"/>
      <c r="H283" s="66"/>
      <c r="I283" s="66"/>
      <c r="J283" s="66"/>
      <c r="K283" s="66"/>
      <c r="L283" s="66"/>
      <c r="M283" s="66"/>
      <c r="N283" s="66"/>
      <c r="O283" s="66"/>
      <c r="P283" s="66"/>
      <c r="Q283" s="66"/>
      <c r="R283" s="66"/>
      <c r="S283" s="66"/>
      <c r="T283" s="66"/>
      <c r="U283" s="66"/>
    </row>
    <row r="284" ht="15.75" customHeight="1">
      <c r="A284" s="66"/>
      <c r="B284" s="66"/>
      <c r="C284" s="66"/>
      <c r="D284" s="66"/>
      <c r="E284" s="66"/>
      <c r="F284" s="66"/>
      <c r="G284" s="66"/>
      <c r="H284" s="66"/>
      <c r="I284" s="66"/>
      <c r="J284" s="66"/>
      <c r="K284" s="66"/>
      <c r="L284" s="66"/>
      <c r="M284" s="66"/>
      <c r="N284" s="66"/>
      <c r="O284" s="66"/>
      <c r="P284" s="66"/>
      <c r="Q284" s="66"/>
      <c r="R284" s="66"/>
      <c r="S284" s="66"/>
      <c r="T284" s="66"/>
      <c r="U284" s="66"/>
    </row>
    <row r="285" ht="15.75" customHeight="1">
      <c r="A285" s="66"/>
      <c r="B285" s="66"/>
      <c r="C285" s="66"/>
      <c r="D285" s="66"/>
      <c r="E285" s="66"/>
      <c r="F285" s="66"/>
      <c r="G285" s="66"/>
      <c r="H285" s="66"/>
      <c r="I285" s="66"/>
      <c r="J285" s="66"/>
      <c r="K285" s="66"/>
      <c r="L285" s="66"/>
      <c r="M285" s="66"/>
      <c r="N285" s="66"/>
      <c r="O285" s="66"/>
      <c r="P285" s="66"/>
      <c r="Q285" s="66"/>
      <c r="R285" s="66"/>
      <c r="S285" s="66"/>
      <c r="T285" s="66"/>
      <c r="U285" s="66"/>
    </row>
    <row r="286" ht="15.75" customHeight="1">
      <c r="A286" s="66"/>
      <c r="B286" s="66"/>
      <c r="C286" s="66"/>
      <c r="D286" s="66"/>
      <c r="E286" s="66"/>
      <c r="F286" s="66"/>
      <c r="G286" s="66"/>
      <c r="H286" s="66"/>
      <c r="I286" s="66"/>
      <c r="J286" s="66"/>
      <c r="K286" s="66"/>
      <c r="L286" s="66"/>
      <c r="M286" s="66"/>
      <c r="N286" s="66"/>
      <c r="O286" s="66"/>
      <c r="P286" s="66"/>
      <c r="Q286" s="66"/>
      <c r="R286" s="66"/>
      <c r="S286" s="66"/>
      <c r="T286" s="66"/>
      <c r="U286" s="66"/>
    </row>
    <row r="287" ht="15.75" customHeight="1">
      <c r="A287" s="66"/>
      <c r="B287" s="66"/>
      <c r="C287" s="66"/>
      <c r="D287" s="66"/>
      <c r="E287" s="66"/>
      <c r="F287" s="66"/>
      <c r="G287" s="66"/>
      <c r="H287" s="66"/>
      <c r="I287" s="66"/>
      <c r="J287" s="66"/>
      <c r="K287" s="66"/>
      <c r="L287" s="66"/>
      <c r="M287" s="66"/>
      <c r="N287" s="66"/>
      <c r="O287" s="66"/>
      <c r="P287" s="66"/>
      <c r="Q287" s="66"/>
      <c r="R287" s="66"/>
      <c r="S287" s="66"/>
      <c r="T287" s="66"/>
      <c r="U287" s="66"/>
    </row>
    <row r="288" ht="15.75" customHeight="1">
      <c r="A288" s="66"/>
      <c r="B288" s="66"/>
      <c r="C288" s="66"/>
      <c r="D288" s="66"/>
      <c r="E288" s="66"/>
      <c r="F288" s="66"/>
      <c r="G288" s="66"/>
      <c r="H288" s="66"/>
      <c r="I288" s="66"/>
      <c r="J288" s="66"/>
      <c r="K288" s="66"/>
      <c r="L288" s="66"/>
      <c r="M288" s="66"/>
      <c r="N288" s="66"/>
      <c r="O288" s="66"/>
      <c r="P288" s="66"/>
      <c r="Q288" s="66"/>
      <c r="R288" s="66"/>
      <c r="S288" s="66"/>
      <c r="T288" s="66"/>
      <c r="U288" s="66"/>
    </row>
    <row r="289" ht="15.75" customHeight="1">
      <c r="A289" s="66"/>
      <c r="B289" s="66"/>
      <c r="C289" s="66"/>
      <c r="D289" s="66"/>
      <c r="E289" s="66"/>
      <c r="F289" s="66"/>
      <c r="G289" s="66"/>
      <c r="H289" s="66"/>
      <c r="I289" s="66"/>
      <c r="J289" s="66"/>
      <c r="K289" s="66"/>
      <c r="L289" s="66"/>
      <c r="M289" s="66"/>
      <c r="N289" s="66"/>
      <c r="O289" s="66"/>
      <c r="P289" s="66"/>
      <c r="Q289" s="66"/>
      <c r="R289" s="66"/>
      <c r="S289" s="66"/>
      <c r="T289" s="66"/>
      <c r="U289" s="66"/>
    </row>
    <row r="290" ht="15.75" customHeight="1">
      <c r="A290" s="66"/>
      <c r="B290" s="66"/>
      <c r="C290" s="66"/>
      <c r="D290" s="66"/>
      <c r="E290" s="66"/>
      <c r="F290" s="66"/>
      <c r="G290" s="66"/>
      <c r="H290" s="66"/>
      <c r="I290" s="66"/>
      <c r="J290" s="66"/>
      <c r="K290" s="66"/>
      <c r="L290" s="66"/>
      <c r="M290" s="66"/>
      <c r="N290" s="66"/>
      <c r="O290" s="66"/>
      <c r="P290" s="66"/>
      <c r="Q290" s="66"/>
      <c r="R290" s="66"/>
      <c r="S290" s="66"/>
      <c r="T290" s="66"/>
      <c r="U290" s="66"/>
    </row>
    <row r="291" ht="15.75" customHeight="1">
      <c r="A291" s="66"/>
      <c r="B291" s="66"/>
      <c r="C291" s="66"/>
      <c r="D291" s="66"/>
      <c r="E291" s="66"/>
      <c r="F291" s="66"/>
      <c r="G291" s="66"/>
      <c r="H291" s="66"/>
      <c r="I291" s="66"/>
      <c r="J291" s="66"/>
      <c r="K291" s="66"/>
      <c r="L291" s="66"/>
      <c r="M291" s="66"/>
      <c r="N291" s="66"/>
      <c r="O291" s="66"/>
      <c r="P291" s="66"/>
      <c r="Q291" s="66"/>
      <c r="R291" s="66"/>
      <c r="S291" s="66"/>
      <c r="T291" s="66"/>
      <c r="U291" s="66"/>
    </row>
    <row r="292" ht="15.75" customHeight="1">
      <c r="A292" s="66"/>
      <c r="B292" s="66"/>
      <c r="C292" s="66"/>
      <c r="D292" s="66"/>
      <c r="E292" s="66"/>
      <c r="F292" s="66"/>
      <c r="G292" s="66"/>
      <c r="H292" s="66"/>
      <c r="I292" s="66"/>
      <c r="J292" s="66"/>
      <c r="K292" s="66"/>
      <c r="L292" s="66"/>
      <c r="M292" s="66"/>
      <c r="N292" s="66"/>
      <c r="O292" s="66"/>
      <c r="P292" s="66"/>
      <c r="Q292" s="66"/>
      <c r="R292" s="66"/>
      <c r="S292" s="66"/>
      <c r="T292" s="66"/>
      <c r="U292" s="66"/>
    </row>
    <row r="293" ht="15.75" customHeight="1">
      <c r="A293" s="66"/>
      <c r="B293" s="66"/>
      <c r="C293" s="66"/>
      <c r="D293" s="66"/>
      <c r="E293" s="66"/>
      <c r="F293" s="66"/>
      <c r="G293" s="66"/>
      <c r="H293" s="66"/>
      <c r="I293" s="66"/>
      <c r="J293" s="66"/>
      <c r="K293" s="66"/>
      <c r="L293" s="66"/>
      <c r="M293" s="66"/>
      <c r="N293" s="66"/>
      <c r="O293" s="66"/>
      <c r="P293" s="66"/>
      <c r="Q293" s="66"/>
      <c r="R293" s="66"/>
      <c r="S293" s="66"/>
      <c r="T293" s="66"/>
      <c r="U293" s="66"/>
    </row>
    <row r="294" ht="15.75" customHeight="1">
      <c r="A294" s="66"/>
      <c r="B294" s="66"/>
      <c r="C294" s="66"/>
      <c r="D294" s="66"/>
      <c r="E294" s="66"/>
      <c r="F294" s="66"/>
      <c r="G294" s="66"/>
      <c r="H294" s="66"/>
      <c r="I294" s="66"/>
      <c r="J294" s="66"/>
      <c r="K294" s="66"/>
      <c r="L294" s="66"/>
      <c r="M294" s="66"/>
      <c r="N294" s="66"/>
      <c r="O294" s="66"/>
      <c r="P294" s="66"/>
      <c r="Q294" s="66"/>
      <c r="R294" s="66"/>
      <c r="S294" s="66"/>
      <c r="T294" s="66"/>
      <c r="U294" s="66"/>
    </row>
    <row r="295" ht="15.75" customHeight="1">
      <c r="A295" s="66"/>
      <c r="B295" s="66"/>
      <c r="C295" s="66"/>
      <c r="D295" s="66"/>
      <c r="E295" s="66"/>
      <c r="F295" s="66"/>
      <c r="G295" s="66"/>
      <c r="H295" s="66"/>
      <c r="I295" s="66"/>
      <c r="J295" s="66"/>
      <c r="K295" s="66"/>
      <c r="L295" s="66"/>
      <c r="M295" s="66"/>
      <c r="N295" s="66"/>
      <c r="O295" s="66"/>
      <c r="P295" s="66"/>
      <c r="Q295" s="66"/>
      <c r="R295" s="66"/>
      <c r="S295" s="66"/>
      <c r="T295" s="66"/>
      <c r="U295" s="66"/>
    </row>
    <row r="296" ht="15.75" customHeight="1">
      <c r="A296" s="66"/>
      <c r="B296" s="66"/>
      <c r="C296" s="66"/>
      <c r="D296" s="66"/>
      <c r="E296" s="66"/>
      <c r="F296" s="66"/>
      <c r="G296" s="66"/>
      <c r="H296" s="66"/>
      <c r="I296" s="66"/>
      <c r="J296" s="66"/>
      <c r="K296" s="66"/>
      <c r="L296" s="66"/>
      <c r="M296" s="66"/>
      <c r="N296" s="66"/>
      <c r="O296" s="66"/>
      <c r="P296" s="66"/>
      <c r="Q296" s="66"/>
      <c r="R296" s="66"/>
      <c r="S296" s="66"/>
      <c r="T296" s="66"/>
      <c r="U296" s="66"/>
    </row>
    <row r="297" ht="15.75" customHeight="1">
      <c r="A297" s="66"/>
      <c r="B297" s="66"/>
      <c r="C297" s="66"/>
      <c r="D297" s="66"/>
      <c r="E297" s="66"/>
      <c r="F297" s="66"/>
      <c r="G297" s="66"/>
      <c r="H297" s="66"/>
      <c r="I297" s="66"/>
      <c r="J297" s="66"/>
      <c r="K297" s="66"/>
      <c r="L297" s="66"/>
      <c r="M297" s="66"/>
      <c r="N297" s="66"/>
      <c r="O297" s="66"/>
      <c r="P297" s="66"/>
      <c r="Q297" s="66"/>
      <c r="R297" s="66"/>
      <c r="S297" s="66"/>
      <c r="T297" s="66"/>
      <c r="U297" s="66"/>
    </row>
    <row r="298" ht="15.75" customHeight="1">
      <c r="A298" s="66"/>
      <c r="B298" s="66"/>
      <c r="C298" s="66"/>
      <c r="D298" s="66"/>
      <c r="E298" s="66"/>
      <c r="F298" s="66"/>
      <c r="G298" s="66"/>
      <c r="H298" s="66"/>
      <c r="I298" s="66"/>
      <c r="J298" s="66"/>
      <c r="K298" s="66"/>
      <c r="L298" s="66"/>
      <c r="M298" s="66"/>
      <c r="N298" s="66"/>
      <c r="O298" s="66"/>
      <c r="P298" s="66"/>
      <c r="Q298" s="66"/>
      <c r="R298" s="66"/>
      <c r="S298" s="66"/>
      <c r="T298" s="66"/>
      <c r="U298" s="66"/>
    </row>
    <row r="299" ht="15.75" customHeight="1">
      <c r="A299" s="66"/>
      <c r="B299" s="66"/>
      <c r="C299" s="66"/>
      <c r="D299" s="66"/>
      <c r="E299" s="66"/>
      <c r="F299" s="66"/>
      <c r="G299" s="66"/>
      <c r="H299" s="66"/>
      <c r="I299" s="66"/>
      <c r="J299" s="66"/>
      <c r="K299" s="66"/>
      <c r="L299" s="66"/>
      <c r="M299" s="66"/>
      <c r="N299" s="66"/>
      <c r="O299" s="66"/>
      <c r="P299" s="66"/>
      <c r="Q299" s="66"/>
      <c r="R299" s="66"/>
      <c r="S299" s="66"/>
      <c r="T299" s="66"/>
      <c r="U299" s="66"/>
    </row>
    <row r="300" ht="15.75" customHeight="1">
      <c r="A300" s="66"/>
      <c r="B300" s="66"/>
      <c r="C300" s="66"/>
      <c r="D300" s="66"/>
      <c r="E300" s="66"/>
      <c r="F300" s="66"/>
      <c r="G300" s="66"/>
      <c r="H300" s="66"/>
      <c r="I300" s="66"/>
      <c r="J300" s="66"/>
      <c r="K300" s="66"/>
      <c r="L300" s="66"/>
      <c r="M300" s="66"/>
      <c r="N300" s="66"/>
      <c r="O300" s="66"/>
      <c r="P300" s="66"/>
      <c r="Q300" s="66"/>
      <c r="R300" s="66"/>
      <c r="S300" s="66"/>
      <c r="T300" s="66"/>
      <c r="U300" s="66"/>
    </row>
    <row r="301" ht="15.75" customHeight="1">
      <c r="A301" s="66"/>
      <c r="B301" s="66"/>
      <c r="C301" s="66"/>
      <c r="D301" s="66"/>
      <c r="E301" s="66"/>
      <c r="F301" s="66"/>
      <c r="G301" s="66"/>
      <c r="H301" s="66"/>
      <c r="I301" s="66"/>
      <c r="J301" s="66"/>
      <c r="K301" s="66"/>
      <c r="L301" s="66"/>
      <c r="M301" s="66"/>
      <c r="N301" s="66"/>
      <c r="O301" s="66"/>
      <c r="P301" s="66"/>
      <c r="Q301" s="66"/>
      <c r="R301" s="66"/>
      <c r="S301" s="66"/>
      <c r="T301" s="66"/>
      <c r="U301" s="66"/>
    </row>
    <row r="302" ht="15.75" customHeight="1">
      <c r="A302" s="66"/>
      <c r="B302" s="66"/>
      <c r="C302" s="66"/>
      <c r="D302" s="66"/>
      <c r="E302" s="66"/>
      <c r="F302" s="66"/>
      <c r="G302" s="66"/>
      <c r="H302" s="66"/>
      <c r="I302" s="66"/>
      <c r="J302" s="66"/>
      <c r="K302" s="66"/>
      <c r="L302" s="66"/>
      <c r="M302" s="66"/>
      <c r="N302" s="66"/>
      <c r="O302" s="66"/>
      <c r="P302" s="66"/>
      <c r="Q302" s="66"/>
      <c r="R302" s="66"/>
      <c r="S302" s="66"/>
      <c r="T302" s="66"/>
      <c r="U302" s="66"/>
    </row>
    <row r="303" ht="15.75" customHeight="1">
      <c r="A303" s="66"/>
      <c r="B303" s="66"/>
      <c r="C303" s="66"/>
      <c r="D303" s="66"/>
      <c r="E303" s="66"/>
      <c r="F303" s="66"/>
      <c r="G303" s="66"/>
      <c r="H303" s="66"/>
      <c r="I303" s="66"/>
      <c r="J303" s="66"/>
      <c r="K303" s="66"/>
      <c r="L303" s="66"/>
      <c r="M303" s="66"/>
      <c r="N303" s="66"/>
      <c r="O303" s="66"/>
      <c r="P303" s="66"/>
      <c r="Q303" s="66"/>
      <c r="R303" s="66"/>
      <c r="S303" s="66"/>
      <c r="T303" s="66"/>
      <c r="U303" s="66"/>
    </row>
    <row r="304" ht="15.75" customHeight="1">
      <c r="A304" s="66"/>
      <c r="B304" s="66"/>
      <c r="C304" s="66"/>
      <c r="D304" s="66"/>
      <c r="E304" s="66"/>
      <c r="F304" s="66"/>
      <c r="G304" s="66"/>
      <c r="H304" s="66"/>
      <c r="I304" s="66"/>
      <c r="J304" s="66"/>
      <c r="K304" s="66"/>
      <c r="L304" s="66"/>
      <c r="M304" s="66"/>
      <c r="N304" s="66"/>
      <c r="O304" s="66"/>
      <c r="P304" s="66"/>
      <c r="Q304" s="66"/>
      <c r="R304" s="66"/>
      <c r="S304" s="66"/>
      <c r="T304" s="66"/>
      <c r="U304" s="66"/>
    </row>
    <row r="305" ht="15.75" customHeight="1">
      <c r="A305" s="66"/>
      <c r="B305" s="66"/>
      <c r="C305" s="66"/>
      <c r="D305" s="66"/>
      <c r="E305" s="66"/>
      <c r="F305" s="66"/>
      <c r="G305" s="66"/>
      <c r="H305" s="66"/>
      <c r="I305" s="66"/>
      <c r="J305" s="66"/>
      <c r="K305" s="66"/>
      <c r="L305" s="66"/>
      <c r="M305" s="66"/>
      <c r="N305" s="66"/>
      <c r="O305" s="66"/>
      <c r="P305" s="66"/>
      <c r="Q305" s="66"/>
      <c r="R305" s="66"/>
      <c r="S305" s="66"/>
      <c r="T305" s="66"/>
      <c r="U305" s="66"/>
    </row>
    <row r="306" ht="15.75" customHeight="1">
      <c r="A306" s="66"/>
      <c r="B306" s="66"/>
      <c r="C306" s="66"/>
      <c r="D306" s="66"/>
      <c r="E306" s="66"/>
      <c r="F306" s="66"/>
      <c r="G306" s="66"/>
      <c r="H306" s="66"/>
      <c r="I306" s="66"/>
      <c r="J306" s="66"/>
      <c r="K306" s="66"/>
      <c r="L306" s="66"/>
      <c r="M306" s="66"/>
      <c r="N306" s="66"/>
      <c r="O306" s="66"/>
      <c r="P306" s="66"/>
      <c r="Q306" s="66"/>
      <c r="R306" s="66"/>
      <c r="S306" s="66"/>
      <c r="T306" s="66"/>
      <c r="U306" s="66"/>
    </row>
    <row r="307" ht="15.75" customHeight="1">
      <c r="A307" s="66"/>
      <c r="B307" s="66"/>
      <c r="C307" s="66"/>
      <c r="D307" s="66"/>
      <c r="E307" s="66"/>
      <c r="F307" s="66"/>
      <c r="G307" s="66"/>
      <c r="H307" s="66"/>
      <c r="I307" s="66"/>
      <c r="J307" s="66"/>
      <c r="K307" s="66"/>
      <c r="L307" s="66"/>
      <c r="M307" s="66"/>
      <c r="N307" s="66"/>
      <c r="O307" s="66"/>
      <c r="P307" s="66"/>
      <c r="Q307" s="66"/>
      <c r="R307" s="66"/>
      <c r="S307" s="66"/>
      <c r="T307" s="66"/>
      <c r="U307" s="66"/>
    </row>
    <row r="308" ht="15.75" customHeight="1">
      <c r="A308" s="66"/>
      <c r="B308" s="66"/>
      <c r="C308" s="66"/>
      <c r="D308" s="66"/>
      <c r="E308" s="66"/>
      <c r="F308" s="66"/>
      <c r="G308" s="66"/>
      <c r="H308" s="66"/>
      <c r="I308" s="66"/>
      <c r="J308" s="66"/>
      <c r="K308" s="66"/>
      <c r="L308" s="66"/>
      <c r="M308" s="66"/>
      <c r="N308" s="66"/>
      <c r="O308" s="66"/>
      <c r="P308" s="66"/>
      <c r="Q308" s="66"/>
      <c r="R308" s="66"/>
      <c r="S308" s="66"/>
      <c r="T308" s="66"/>
      <c r="U308" s="66"/>
    </row>
    <row r="309" ht="15.75" customHeight="1">
      <c r="A309" s="66"/>
      <c r="B309" s="66"/>
      <c r="C309" s="66"/>
      <c r="D309" s="66"/>
      <c r="E309" s="66"/>
      <c r="F309" s="66"/>
      <c r="G309" s="66"/>
      <c r="H309" s="66"/>
      <c r="I309" s="66"/>
      <c r="J309" s="66"/>
      <c r="K309" s="66"/>
      <c r="L309" s="66"/>
      <c r="M309" s="66"/>
      <c r="N309" s="66"/>
      <c r="O309" s="66"/>
      <c r="P309" s="66"/>
      <c r="Q309" s="66"/>
      <c r="R309" s="66"/>
      <c r="S309" s="66"/>
      <c r="T309" s="66"/>
      <c r="U309" s="66"/>
    </row>
    <row r="310" ht="15.75" customHeight="1">
      <c r="A310" s="66"/>
      <c r="B310" s="66"/>
      <c r="C310" s="66"/>
      <c r="D310" s="66"/>
      <c r="E310" s="66"/>
      <c r="F310" s="66"/>
      <c r="G310" s="66"/>
      <c r="H310" s="66"/>
      <c r="I310" s="66"/>
      <c r="J310" s="66"/>
      <c r="K310" s="66"/>
      <c r="L310" s="66"/>
      <c r="M310" s="66"/>
      <c r="N310" s="66"/>
      <c r="O310" s="66"/>
      <c r="P310" s="66"/>
      <c r="Q310" s="66"/>
      <c r="R310" s="66"/>
      <c r="S310" s="66"/>
      <c r="T310" s="66"/>
      <c r="U310" s="66"/>
    </row>
    <row r="311" ht="15.75" customHeight="1">
      <c r="A311" s="66"/>
      <c r="B311" s="66"/>
      <c r="C311" s="66"/>
      <c r="D311" s="66"/>
      <c r="E311" s="66"/>
      <c r="F311" s="66"/>
      <c r="G311" s="66"/>
      <c r="H311" s="66"/>
      <c r="I311" s="66"/>
      <c r="J311" s="66"/>
      <c r="K311" s="66"/>
      <c r="L311" s="66"/>
      <c r="M311" s="66"/>
      <c r="N311" s="66"/>
      <c r="O311" s="66"/>
      <c r="P311" s="66"/>
      <c r="Q311" s="66"/>
      <c r="R311" s="66"/>
      <c r="S311" s="66"/>
      <c r="T311" s="66"/>
      <c r="U311" s="66"/>
    </row>
    <row r="312" ht="15.75" customHeight="1">
      <c r="A312" s="66"/>
      <c r="B312" s="66"/>
      <c r="C312" s="66"/>
      <c r="D312" s="66"/>
      <c r="E312" s="66"/>
      <c r="F312" s="66"/>
      <c r="G312" s="66"/>
      <c r="H312" s="66"/>
      <c r="I312" s="66"/>
      <c r="J312" s="66"/>
      <c r="K312" s="66"/>
      <c r="L312" s="66"/>
      <c r="M312" s="66"/>
      <c r="N312" s="66"/>
      <c r="O312" s="66"/>
      <c r="P312" s="66"/>
      <c r="Q312" s="66"/>
      <c r="R312" s="66"/>
      <c r="S312" s="66"/>
      <c r="T312" s="66"/>
      <c r="U312" s="66"/>
    </row>
    <row r="313" ht="15.75" customHeight="1">
      <c r="A313" s="66"/>
      <c r="B313" s="66"/>
      <c r="C313" s="66"/>
      <c r="D313" s="66"/>
      <c r="E313" s="66"/>
      <c r="F313" s="66"/>
      <c r="G313" s="66"/>
      <c r="H313" s="66"/>
      <c r="I313" s="66"/>
      <c r="J313" s="66"/>
      <c r="K313" s="66"/>
      <c r="L313" s="66"/>
      <c r="M313" s="66"/>
      <c r="N313" s="66"/>
      <c r="O313" s="66"/>
      <c r="P313" s="66"/>
      <c r="Q313" s="66"/>
      <c r="R313" s="66"/>
      <c r="S313" s="66"/>
      <c r="T313" s="66"/>
      <c r="U313" s="66"/>
    </row>
    <row r="314" ht="15.75" customHeight="1">
      <c r="A314" s="66"/>
      <c r="B314" s="66"/>
      <c r="C314" s="66"/>
      <c r="D314" s="66"/>
      <c r="E314" s="66"/>
      <c r="F314" s="66"/>
      <c r="G314" s="66"/>
      <c r="H314" s="66"/>
      <c r="I314" s="66"/>
      <c r="J314" s="66"/>
      <c r="K314" s="66"/>
      <c r="L314" s="66"/>
      <c r="M314" s="66"/>
      <c r="N314" s="66"/>
      <c r="O314" s="66"/>
      <c r="P314" s="66"/>
      <c r="Q314" s="66"/>
      <c r="R314" s="66"/>
      <c r="S314" s="66"/>
      <c r="T314" s="66"/>
      <c r="U314" s="66"/>
    </row>
    <row r="315" ht="15.75" customHeight="1">
      <c r="A315" s="66"/>
      <c r="B315" s="66"/>
      <c r="C315" s="66"/>
      <c r="D315" s="66"/>
      <c r="E315" s="66"/>
      <c r="F315" s="66"/>
      <c r="G315" s="66"/>
      <c r="H315" s="66"/>
      <c r="I315" s="66"/>
      <c r="J315" s="66"/>
      <c r="K315" s="66"/>
      <c r="L315" s="66"/>
      <c r="M315" s="66"/>
      <c r="N315" s="66"/>
      <c r="O315" s="66"/>
      <c r="P315" s="66"/>
      <c r="Q315" s="66"/>
      <c r="R315" s="66"/>
      <c r="S315" s="66"/>
      <c r="T315" s="66"/>
      <c r="U315" s="66"/>
    </row>
    <row r="316" ht="15.75" customHeight="1">
      <c r="A316" s="66"/>
      <c r="B316" s="66"/>
      <c r="C316" s="66"/>
      <c r="D316" s="66"/>
      <c r="E316" s="66"/>
      <c r="F316" s="66"/>
      <c r="G316" s="66"/>
      <c r="H316" s="66"/>
      <c r="I316" s="66"/>
      <c r="J316" s="66"/>
      <c r="K316" s="66"/>
      <c r="L316" s="66"/>
      <c r="M316" s="66"/>
      <c r="N316" s="66"/>
      <c r="O316" s="66"/>
      <c r="P316" s="66"/>
      <c r="Q316" s="66"/>
      <c r="R316" s="66"/>
      <c r="S316" s="66"/>
      <c r="T316" s="66"/>
      <c r="U316" s="66"/>
    </row>
    <row r="317" ht="15.75" customHeight="1">
      <c r="A317" s="66"/>
      <c r="B317" s="66"/>
      <c r="C317" s="66"/>
      <c r="D317" s="66"/>
      <c r="E317" s="66"/>
      <c r="F317" s="66"/>
      <c r="G317" s="66"/>
      <c r="H317" s="66"/>
      <c r="I317" s="66"/>
      <c r="J317" s="66"/>
      <c r="K317" s="66"/>
      <c r="L317" s="66"/>
      <c r="M317" s="66"/>
      <c r="N317" s="66"/>
      <c r="O317" s="66"/>
      <c r="P317" s="66"/>
      <c r="Q317" s="66"/>
      <c r="R317" s="66"/>
      <c r="S317" s="66"/>
      <c r="T317" s="66"/>
      <c r="U317" s="66"/>
    </row>
    <row r="318" ht="15.75" customHeight="1">
      <c r="A318" s="66"/>
      <c r="B318" s="66"/>
      <c r="C318" s="66"/>
      <c r="D318" s="66"/>
      <c r="E318" s="66"/>
      <c r="F318" s="66"/>
      <c r="G318" s="66"/>
      <c r="H318" s="66"/>
      <c r="I318" s="66"/>
      <c r="J318" s="66"/>
      <c r="K318" s="66"/>
      <c r="L318" s="66"/>
      <c r="M318" s="66"/>
      <c r="N318" s="66"/>
      <c r="O318" s="66"/>
      <c r="P318" s="66"/>
      <c r="Q318" s="66"/>
      <c r="R318" s="66"/>
      <c r="S318" s="66"/>
      <c r="T318" s="66"/>
      <c r="U318" s="66"/>
    </row>
    <row r="319" ht="15.75" customHeight="1">
      <c r="A319" s="66"/>
      <c r="B319" s="66"/>
      <c r="C319" s="66"/>
      <c r="D319" s="66"/>
      <c r="E319" s="66"/>
      <c r="F319" s="66"/>
      <c r="G319" s="66"/>
      <c r="H319" s="66"/>
      <c r="I319" s="66"/>
      <c r="J319" s="66"/>
      <c r="K319" s="66"/>
      <c r="L319" s="66"/>
      <c r="M319" s="66"/>
      <c r="N319" s="66"/>
      <c r="O319" s="66"/>
      <c r="P319" s="66"/>
      <c r="Q319" s="66"/>
      <c r="R319" s="66"/>
      <c r="S319" s="66"/>
      <c r="T319" s="66"/>
      <c r="U319" s="66"/>
    </row>
    <row r="320" ht="15.75" customHeight="1">
      <c r="A320" s="66"/>
      <c r="B320" s="66"/>
      <c r="C320" s="66"/>
      <c r="D320" s="66"/>
      <c r="E320" s="66"/>
      <c r="F320" s="66"/>
      <c r="G320" s="66"/>
      <c r="H320" s="66"/>
      <c r="I320" s="66"/>
      <c r="J320" s="66"/>
      <c r="K320" s="66"/>
      <c r="L320" s="66"/>
      <c r="M320" s="66"/>
      <c r="N320" s="66"/>
      <c r="O320" s="66"/>
      <c r="P320" s="66"/>
      <c r="Q320" s="66"/>
      <c r="R320" s="66"/>
      <c r="S320" s="66"/>
      <c r="T320" s="66"/>
      <c r="U320" s="66"/>
    </row>
    <row r="321" ht="15.75" customHeight="1">
      <c r="A321" s="66"/>
      <c r="B321" s="66"/>
      <c r="C321" s="66"/>
      <c r="D321" s="66"/>
      <c r="E321" s="66"/>
      <c r="F321" s="66"/>
      <c r="G321" s="66"/>
      <c r="H321" s="66"/>
      <c r="I321" s="66"/>
      <c r="J321" s="66"/>
      <c r="K321" s="66"/>
      <c r="L321" s="66"/>
      <c r="M321" s="66"/>
      <c r="N321" s="66"/>
      <c r="O321" s="66"/>
      <c r="P321" s="66"/>
      <c r="Q321" s="66"/>
      <c r="R321" s="66"/>
      <c r="S321" s="66"/>
      <c r="T321" s="66"/>
      <c r="U321" s="66"/>
    </row>
    <row r="322" ht="15.75" customHeight="1">
      <c r="A322" s="66"/>
      <c r="B322" s="66"/>
      <c r="C322" s="66"/>
      <c r="D322" s="66"/>
      <c r="E322" s="66"/>
      <c r="F322" s="66"/>
      <c r="G322" s="66"/>
      <c r="H322" s="66"/>
      <c r="I322" s="66"/>
      <c r="J322" s="66"/>
      <c r="K322" s="66"/>
      <c r="L322" s="66"/>
      <c r="M322" s="66"/>
      <c r="N322" s="66"/>
      <c r="O322" s="66"/>
      <c r="P322" s="66"/>
      <c r="Q322" s="66"/>
      <c r="R322" s="66"/>
      <c r="S322" s="66"/>
      <c r="T322" s="66"/>
      <c r="U322" s="66"/>
    </row>
    <row r="323" ht="15.75" customHeight="1">
      <c r="A323" s="66"/>
      <c r="B323" s="66"/>
      <c r="C323" s="66"/>
      <c r="D323" s="66"/>
      <c r="E323" s="66"/>
      <c r="F323" s="66"/>
      <c r="G323" s="66"/>
      <c r="H323" s="66"/>
      <c r="I323" s="66"/>
      <c r="J323" s="66"/>
      <c r="K323" s="66"/>
      <c r="L323" s="66"/>
      <c r="M323" s="66"/>
      <c r="N323" s="66"/>
      <c r="O323" s="66"/>
      <c r="P323" s="66"/>
      <c r="Q323" s="66"/>
      <c r="R323" s="66"/>
      <c r="S323" s="66"/>
      <c r="T323" s="66"/>
      <c r="U323" s="66"/>
    </row>
    <row r="324" ht="15.75" customHeight="1">
      <c r="A324" s="66"/>
      <c r="B324" s="66"/>
      <c r="C324" s="66"/>
      <c r="D324" s="66"/>
      <c r="E324" s="66"/>
      <c r="F324" s="66"/>
      <c r="G324" s="66"/>
      <c r="H324" s="66"/>
      <c r="I324" s="66"/>
      <c r="J324" s="66"/>
      <c r="K324" s="66"/>
      <c r="L324" s="66"/>
      <c r="M324" s="66"/>
      <c r="N324" s="66"/>
      <c r="O324" s="66"/>
      <c r="P324" s="66"/>
      <c r="Q324" s="66"/>
      <c r="R324" s="66"/>
      <c r="S324" s="66"/>
      <c r="T324" s="66"/>
      <c r="U324" s="66"/>
    </row>
    <row r="325" ht="15.75" customHeight="1">
      <c r="A325" s="66"/>
      <c r="B325" s="66"/>
      <c r="C325" s="66"/>
      <c r="D325" s="66"/>
      <c r="E325" s="66"/>
      <c r="F325" s="66"/>
      <c r="G325" s="66"/>
      <c r="H325" s="66"/>
      <c r="I325" s="66"/>
      <c r="J325" s="66"/>
      <c r="K325" s="66"/>
      <c r="L325" s="66"/>
      <c r="M325" s="66"/>
      <c r="N325" s="66"/>
      <c r="O325" s="66"/>
      <c r="P325" s="66"/>
      <c r="Q325" s="66"/>
      <c r="R325" s="66"/>
      <c r="S325" s="66"/>
      <c r="T325" s="66"/>
      <c r="U325" s="66"/>
    </row>
    <row r="326" ht="15.75" customHeight="1">
      <c r="A326" s="66"/>
      <c r="B326" s="66"/>
      <c r="C326" s="66"/>
      <c r="D326" s="66"/>
      <c r="E326" s="66"/>
      <c r="F326" s="66"/>
      <c r="G326" s="66"/>
      <c r="H326" s="66"/>
      <c r="I326" s="66"/>
      <c r="J326" s="66"/>
      <c r="K326" s="66"/>
      <c r="L326" s="66"/>
      <c r="M326" s="66"/>
      <c r="N326" s="66"/>
      <c r="O326" s="66"/>
      <c r="P326" s="66"/>
      <c r="Q326" s="66"/>
      <c r="R326" s="66"/>
      <c r="S326" s="66"/>
      <c r="T326" s="66"/>
      <c r="U326" s="66"/>
    </row>
    <row r="327" ht="15.75" customHeight="1">
      <c r="A327" s="66"/>
      <c r="B327" s="66"/>
      <c r="C327" s="66"/>
      <c r="D327" s="66"/>
      <c r="E327" s="66"/>
      <c r="F327" s="66"/>
      <c r="G327" s="66"/>
      <c r="H327" s="66"/>
      <c r="I327" s="66"/>
      <c r="J327" s="66"/>
      <c r="K327" s="66"/>
      <c r="L327" s="66"/>
      <c r="M327" s="66"/>
      <c r="N327" s="66"/>
      <c r="O327" s="66"/>
      <c r="P327" s="66"/>
      <c r="Q327" s="66"/>
      <c r="R327" s="66"/>
      <c r="S327" s="66"/>
      <c r="T327" s="66"/>
      <c r="U327" s="66"/>
    </row>
    <row r="328" ht="15.75" customHeight="1">
      <c r="A328" s="66"/>
      <c r="B328" s="66"/>
      <c r="C328" s="66"/>
      <c r="D328" s="66"/>
      <c r="E328" s="66"/>
      <c r="F328" s="66"/>
      <c r="G328" s="66"/>
      <c r="H328" s="66"/>
      <c r="I328" s="66"/>
      <c r="J328" s="66"/>
      <c r="K328" s="66"/>
      <c r="L328" s="66"/>
      <c r="M328" s="66"/>
      <c r="N328" s="66"/>
      <c r="O328" s="66"/>
      <c r="P328" s="66"/>
      <c r="Q328" s="66"/>
      <c r="R328" s="66"/>
      <c r="S328" s="66"/>
      <c r="T328" s="66"/>
      <c r="U328" s="66"/>
    </row>
    <row r="329" ht="15.75" customHeight="1">
      <c r="A329" s="66"/>
      <c r="B329" s="66"/>
      <c r="C329" s="66"/>
      <c r="D329" s="66"/>
      <c r="E329" s="66"/>
      <c r="F329" s="66"/>
      <c r="G329" s="66"/>
      <c r="H329" s="66"/>
      <c r="I329" s="66"/>
      <c r="J329" s="66"/>
      <c r="K329" s="66"/>
      <c r="L329" s="66"/>
      <c r="M329" s="66"/>
      <c r="N329" s="66"/>
      <c r="O329" s="66"/>
      <c r="P329" s="66"/>
      <c r="Q329" s="66"/>
      <c r="R329" s="66"/>
      <c r="S329" s="66"/>
      <c r="T329" s="66"/>
      <c r="U329" s="66"/>
    </row>
    <row r="330" ht="15.75" customHeight="1">
      <c r="A330" s="66"/>
      <c r="B330" s="66"/>
      <c r="C330" s="66"/>
      <c r="D330" s="66"/>
      <c r="E330" s="66"/>
      <c r="F330" s="66"/>
      <c r="G330" s="66"/>
      <c r="H330" s="66"/>
      <c r="I330" s="66"/>
      <c r="J330" s="66"/>
      <c r="K330" s="66"/>
      <c r="L330" s="66"/>
      <c r="M330" s="66"/>
      <c r="N330" s="66"/>
      <c r="O330" s="66"/>
      <c r="P330" s="66"/>
      <c r="Q330" s="66"/>
      <c r="R330" s="66"/>
      <c r="S330" s="66"/>
      <c r="T330" s="66"/>
      <c r="U330" s="66"/>
    </row>
    <row r="331" ht="15.75" customHeight="1">
      <c r="A331" s="66"/>
      <c r="B331" s="66"/>
      <c r="C331" s="66"/>
      <c r="D331" s="66"/>
      <c r="E331" s="66"/>
      <c r="F331" s="66"/>
      <c r="G331" s="66"/>
      <c r="H331" s="66"/>
      <c r="I331" s="66"/>
      <c r="J331" s="66"/>
      <c r="K331" s="66"/>
      <c r="L331" s="66"/>
      <c r="M331" s="66"/>
      <c r="N331" s="66"/>
      <c r="O331" s="66"/>
      <c r="P331" s="66"/>
      <c r="Q331" s="66"/>
      <c r="R331" s="66"/>
      <c r="S331" s="66"/>
      <c r="T331" s="66"/>
      <c r="U331" s="66"/>
    </row>
    <row r="332" ht="15.75" customHeight="1">
      <c r="A332" s="66"/>
      <c r="B332" s="66"/>
      <c r="C332" s="66"/>
      <c r="D332" s="66"/>
      <c r="E332" s="66"/>
      <c r="F332" s="66"/>
      <c r="G332" s="66"/>
      <c r="H332" s="66"/>
      <c r="I332" s="66"/>
      <c r="J332" s="66"/>
      <c r="K332" s="66"/>
      <c r="L332" s="66"/>
      <c r="M332" s="66"/>
      <c r="N332" s="66"/>
      <c r="O332" s="66"/>
      <c r="P332" s="66"/>
      <c r="Q332" s="66"/>
      <c r="R332" s="66"/>
      <c r="S332" s="66"/>
      <c r="T332" s="66"/>
      <c r="U332" s="66"/>
    </row>
    <row r="333" ht="15.75" customHeight="1">
      <c r="A333" s="66"/>
      <c r="B333" s="66"/>
      <c r="C333" s="66"/>
      <c r="D333" s="66"/>
      <c r="E333" s="66"/>
      <c r="F333" s="66"/>
      <c r="G333" s="66"/>
      <c r="H333" s="66"/>
      <c r="I333" s="66"/>
      <c r="J333" s="66"/>
      <c r="K333" s="66"/>
      <c r="L333" s="66"/>
      <c r="M333" s="66"/>
      <c r="N333" s="66"/>
      <c r="O333" s="66"/>
      <c r="P333" s="66"/>
      <c r="Q333" s="66"/>
      <c r="R333" s="66"/>
      <c r="S333" s="66"/>
      <c r="T333" s="66"/>
      <c r="U333" s="66"/>
    </row>
    <row r="334" ht="15.75" customHeight="1">
      <c r="A334" s="66"/>
      <c r="B334" s="66"/>
      <c r="C334" s="66"/>
      <c r="D334" s="66"/>
      <c r="E334" s="66"/>
      <c r="F334" s="66"/>
      <c r="G334" s="66"/>
      <c r="H334" s="66"/>
      <c r="I334" s="66"/>
      <c r="J334" s="66"/>
      <c r="K334" s="66"/>
      <c r="L334" s="66"/>
      <c r="M334" s="66"/>
      <c r="N334" s="66"/>
      <c r="O334" s="66"/>
      <c r="P334" s="66"/>
      <c r="Q334" s="66"/>
      <c r="R334" s="66"/>
      <c r="S334" s="66"/>
      <c r="T334" s="66"/>
      <c r="U334" s="66"/>
    </row>
    <row r="335" ht="15.75" customHeight="1">
      <c r="A335" s="66"/>
      <c r="B335" s="66"/>
      <c r="C335" s="66"/>
      <c r="D335" s="66"/>
      <c r="E335" s="66"/>
      <c r="F335" s="66"/>
      <c r="G335" s="66"/>
      <c r="H335" s="66"/>
      <c r="I335" s="66"/>
      <c r="J335" s="66"/>
      <c r="K335" s="66"/>
      <c r="L335" s="66"/>
      <c r="M335" s="66"/>
      <c r="N335" s="66"/>
      <c r="O335" s="66"/>
      <c r="P335" s="66"/>
      <c r="Q335" s="66"/>
      <c r="R335" s="66"/>
      <c r="S335" s="66"/>
      <c r="T335" s="66"/>
      <c r="U335" s="66"/>
    </row>
    <row r="336" ht="15.75" customHeight="1">
      <c r="A336" s="66"/>
      <c r="B336" s="66"/>
      <c r="C336" s="66"/>
      <c r="D336" s="66"/>
      <c r="E336" s="66"/>
      <c r="F336" s="66"/>
      <c r="G336" s="66"/>
      <c r="H336" s="66"/>
      <c r="I336" s="66"/>
      <c r="J336" s="66"/>
      <c r="K336" s="66"/>
      <c r="L336" s="66"/>
      <c r="M336" s="66"/>
      <c r="N336" s="66"/>
      <c r="O336" s="66"/>
      <c r="P336" s="66"/>
      <c r="Q336" s="66"/>
      <c r="R336" s="66"/>
      <c r="S336" s="66"/>
      <c r="T336" s="66"/>
      <c r="U336" s="66"/>
    </row>
    <row r="337" ht="15.75" customHeight="1">
      <c r="A337" s="66"/>
      <c r="B337" s="66"/>
      <c r="C337" s="66"/>
      <c r="D337" s="66"/>
      <c r="E337" s="66"/>
      <c r="F337" s="66"/>
      <c r="G337" s="66"/>
      <c r="H337" s="66"/>
      <c r="I337" s="66"/>
      <c r="J337" s="66"/>
      <c r="K337" s="66"/>
      <c r="L337" s="66"/>
      <c r="M337" s="66"/>
      <c r="N337" s="66"/>
      <c r="O337" s="66"/>
      <c r="P337" s="66"/>
      <c r="Q337" s="66"/>
      <c r="R337" s="66"/>
      <c r="S337" s="66"/>
      <c r="T337" s="66"/>
      <c r="U337" s="66"/>
    </row>
    <row r="338" ht="15.75" customHeight="1">
      <c r="A338" s="66"/>
      <c r="B338" s="66"/>
      <c r="C338" s="66"/>
      <c r="D338" s="66"/>
      <c r="E338" s="66"/>
      <c r="F338" s="66"/>
      <c r="G338" s="66"/>
      <c r="H338" s="66"/>
      <c r="I338" s="66"/>
      <c r="J338" s="66"/>
      <c r="K338" s="66"/>
      <c r="L338" s="66"/>
      <c r="M338" s="66"/>
      <c r="N338" s="66"/>
      <c r="O338" s="66"/>
      <c r="P338" s="66"/>
      <c r="Q338" s="66"/>
      <c r="R338" s="66"/>
      <c r="S338" s="66"/>
      <c r="T338" s="66"/>
      <c r="U338" s="66"/>
    </row>
    <row r="339" ht="15.75" customHeight="1">
      <c r="A339" s="66"/>
      <c r="B339" s="66"/>
      <c r="C339" s="66"/>
      <c r="D339" s="66"/>
      <c r="E339" s="66"/>
      <c r="F339" s="66"/>
      <c r="G339" s="66"/>
      <c r="H339" s="66"/>
      <c r="I339" s="66"/>
      <c r="J339" s="66"/>
      <c r="K339" s="66"/>
      <c r="L339" s="66"/>
      <c r="M339" s="66"/>
      <c r="N339" s="66"/>
      <c r="O339" s="66"/>
      <c r="P339" s="66"/>
      <c r="Q339" s="66"/>
      <c r="R339" s="66"/>
      <c r="S339" s="66"/>
      <c r="T339" s="66"/>
      <c r="U339" s="66"/>
    </row>
    <row r="340" ht="15.75" customHeight="1">
      <c r="A340" s="66"/>
      <c r="B340" s="66"/>
      <c r="C340" s="66"/>
      <c r="D340" s="66"/>
      <c r="E340" s="66"/>
      <c r="F340" s="66"/>
      <c r="G340" s="66"/>
      <c r="H340" s="66"/>
      <c r="I340" s="66"/>
      <c r="J340" s="66"/>
      <c r="K340" s="66"/>
      <c r="L340" s="66"/>
      <c r="M340" s="66"/>
      <c r="N340" s="66"/>
      <c r="O340" s="66"/>
      <c r="P340" s="66"/>
      <c r="Q340" s="66"/>
      <c r="R340" s="66"/>
      <c r="S340" s="66"/>
      <c r="T340" s="66"/>
      <c r="U340" s="66"/>
    </row>
    <row r="341" ht="15.75" customHeight="1">
      <c r="A341" s="66"/>
      <c r="B341" s="66"/>
      <c r="C341" s="66"/>
      <c r="D341" s="66"/>
      <c r="E341" s="66"/>
      <c r="F341" s="66"/>
      <c r="G341" s="66"/>
      <c r="H341" s="66"/>
      <c r="I341" s="66"/>
      <c r="J341" s="66"/>
      <c r="K341" s="66"/>
      <c r="L341" s="66"/>
      <c r="M341" s="66"/>
      <c r="N341" s="66"/>
      <c r="O341" s="66"/>
      <c r="P341" s="66"/>
      <c r="Q341" s="66"/>
      <c r="R341" s="66"/>
      <c r="S341" s="66"/>
      <c r="T341" s="66"/>
      <c r="U341" s="66"/>
    </row>
    <row r="342" ht="15.75" customHeight="1">
      <c r="A342" s="66"/>
      <c r="B342" s="66"/>
      <c r="C342" s="66"/>
      <c r="D342" s="66"/>
      <c r="E342" s="66"/>
      <c r="F342" s="66"/>
      <c r="G342" s="66"/>
      <c r="H342" s="66"/>
      <c r="I342" s="66"/>
      <c r="J342" s="66"/>
      <c r="K342" s="66"/>
      <c r="L342" s="66"/>
      <c r="M342" s="66"/>
      <c r="N342" s="66"/>
      <c r="O342" s="66"/>
      <c r="P342" s="66"/>
      <c r="Q342" s="66"/>
      <c r="R342" s="66"/>
      <c r="S342" s="66"/>
      <c r="T342" s="66"/>
      <c r="U342" s="66"/>
    </row>
    <row r="343" ht="15.75" customHeight="1">
      <c r="A343" s="66"/>
      <c r="B343" s="66"/>
      <c r="C343" s="66"/>
      <c r="D343" s="66"/>
      <c r="E343" s="66"/>
      <c r="F343" s="66"/>
      <c r="G343" s="66"/>
      <c r="H343" s="66"/>
      <c r="I343" s="66"/>
      <c r="J343" s="66"/>
      <c r="K343" s="66"/>
      <c r="L343" s="66"/>
      <c r="M343" s="66"/>
      <c r="N343" s="66"/>
      <c r="O343" s="66"/>
      <c r="P343" s="66"/>
      <c r="Q343" s="66"/>
      <c r="R343" s="66"/>
      <c r="S343" s="66"/>
      <c r="T343" s="66"/>
      <c r="U343" s="66"/>
    </row>
    <row r="344" ht="15.75" customHeight="1">
      <c r="A344" s="66"/>
      <c r="B344" s="66"/>
      <c r="C344" s="66"/>
      <c r="D344" s="66"/>
      <c r="E344" s="66"/>
      <c r="F344" s="66"/>
      <c r="G344" s="66"/>
      <c r="H344" s="66"/>
      <c r="I344" s="66"/>
      <c r="J344" s="66"/>
      <c r="K344" s="66"/>
      <c r="L344" s="66"/>
      <c r="M344" s="66"/>
      <c r="N344" s="66"/>
      <c r="O344" s="66"/>
      <c r="P344" s="66"/>
      <c r="Q344" s="66"/>
      <c r="R344" s="66"/>
      <c r="S344" s="66"/>
      <c r="T344" s="66"/>
      <c r="U344" s="66"/>
    </row>
    <row r="345" ht="15.75" customHeight="1">
      <c r="A345" s="66"/>
      <c r="B345" s="66"/>
      <c r="C345" s="66"/>
      <c r="D345" s="66"/>
      <c r="E345" s="66"/>
      <c r="F345" s="66"/>
      <c r="G345" s="66"/>
      <c r="H345" s="66"/>
      <c r="I345" s="66"/>
      <c r="J345" s="66"/>
      <c r="K345" s="66"/>
      <c r="L345" s="66"/>
      <c r="M345" s="66"/>
      <c r="N345" s="66"/>
      <c r="O345" s="66"/>
      <c r="P345" s="66"/>
      <c r="Q345" s="66"/>
      <c r="R345" s="66"/>
      <c r="S345" s="66"/>
      <c r="T345" s="66"/>
      <c r="U345" s="66"/>
    </row>
    <row r="346" ht="15.75" customHeight="1">
      <c r="A346" s="66"/>
      <c r="B346" s="66"/>
      <c r="C346" s="66"/>
      <c r="D346" s="66"/>
      <c r="E346" s="66"/>
      <c r="F346" s="66"/>
      <c r="G346" s="66"/>
      <c r="H346" s="66"/>
      <c r="I346" s="66"/>
      <c r="J346" s="66"/>
      <c r="K346" s="66"/>
      <c r="L346" s="66"/>
      <c r="M346" s="66"/>
      <c r="N346" s="66"/>
      <c r="O346" s="66"/>
      <c r="P346" s="66"/>
      <c r="Q346" s="66"/>
      <c r="R346" s="66"/>
      <c r="S346" s="66"/>
      <c r="T346" s="66"/>
      <c r="U346" s="66"/>
    </row>
    <row r="347" ht="15.75" customHeight="1">
      <c r="A347" s="66"/>
      <c r="B347" s="66"/>
      <c r="C347" s="66"/>
      <c r="D347" s="66"/>
      <c r="E347" s="66"/>
      <c r="F347" s="66"/>
      <c r="G347" s="66"/>
      <c r="H347" s="66"/>
      <c r="I347" s="66"/>
      <c r="J347" s="66"/>
      <c r="K347" s="66"/>
      <c r="L347" s="66"/>
      <c r="M347" s="66"/>
      <c r="N347" s="66"/>
      <c r="O347" s="66"/>
      <c r="P347" s="66"/>
      <c r="Q347" s="66"/>
      <c r="R347" s="66"/>
      <c r="S347" s="66"/>
      <c r="T347" s="66"/>
      <c r="U347" s="66"/>
    </row>
    <row r="348" ht="15.75" customHeight="1">
      <c r="A348" s="66"/>
      <c r="B348" s="66"/>
      <c r="C348" s="66"/>
      <c r="D348" s="66"/>
      <c r="E348" s="66"/>
      <c r="F348" s="66"/>
      <c r="G348" s="66"/>
      <c r="H348" s="66"/>
      <c r="I348" s="66"/>
      <c r="J348" s="66"/>
      <c r="K348" s="66"/>
      <c r="L348" s="66"/>
      <c r="M348" s="66"/>
      <c r="N348" s="66"/>
      <c r="O348" s="66"/>
      <c r="P348" s="66"/>
      <c r="Q348" s="66"/>
      <c r="R348" s="66"/>
      <c r="S348" s="66"/>
      <c r="T348" s="66"/>
      <c r="U348" s="66"/>
    </row>
    <row r="349" ht="15.75" customHeight="1">
      <c r="A349" s="66"/>
      <c r="B349" s="66"/>
      <c r="C349" s="66"/>
      <c r="D349" s="66"/>
      <c r="E349" s="66"/>
      <c r="F349" s="66"/>
      <c r="G349" s="66"/>
      <c r="H349" s="66"/>
      <c r="I349" s="66"/>
      <c r="J349" s="66"/>
      <c r="K349" s="66"/>
      <c r="L349" s="66"/>
      <c r="M349" s="66"/>
      <c r="N349" s="66"/>
      <c r="O349" s="66"/>
      <c r="P349" s="66"/>
      <c r="Q349" s="66"/>
      <c r="R349" s="66"/>
      <c r="S349" s="66"/>
      <c r="T349" s="66"/>
      <c r="U349" s="66"/>
    </row>
    <row r="350" ht="15.75" customHeight="1">
      <c r="A350" s="66"/>
      <c r="B350" s="66"/>
      <c r="C350" s="66"/>
      <c r="D350" s="66"/>
      <c r="E350" s="66"/>
      <c r="F350" s="66"/>
      <c r="G350" s="66"/>
      <c r="H350" s="66"/>
      <c r="I350" s="66"/>
      <c r="J350" s="66"/>
      <c r="K350" s="66"/>
      <c r="L350" s="66"/>
      <c r="M350" s="66"/>
      <c r="N350" s="66"/>
      <c r="O350" s="66"/>
      <c r="P350" s="66"/>
      <c r="Q350" s="66"/>
      <c r="R350" s="66"/>
      <c r="S350" s="66"/>
      <c r="T350" s="66"/>
      <c r="U350" s="66"/>
    </row>
    <row r="351" ht="15.75" customHeight="1">
      <c r="A351" s="66"/>
      <c r="B351" s="66"/>
      <c r="C351" s="66"/>
      <c r="D351" s="66"/>
      <c r="E351" s="66"/>
      <c r="F351" s="66"/>
      <c r="G351" s="66"/>
      <c r="H351" s="66"/>
      <c r="I351" s="66"/>
      <c r="J351" s="66"/>
      <c r="K351" s="66"/>
      <c r="L351" s="66"/>
      <c r="M351" s="66"/>
      <c r="N351" s="66"/>
      <c r="O351" s="66"/>
      <c r="P351" s="66"/>
      <c r="Q351" s="66"/>
      <c r="R351" s="66"/>
      <c r="S351" s="66"/>
      <c r="T351" s="66"/>
      <c r="U351" s="66"/>
    </row>
    <row r="352" ht="15.75" customHeight="1">
      <c r="A352" s="66"/>
      <c r="B352" s="66"/>
      <c r="C352" s="66"/>
      <c r="D352" s="66"/>
      <c r="E352" s="66"/>
      <c r="F352" s="66"/>
      <c r="G352" s="66"/>
      <c r="H352" s="66"/>
      <c r="I352" s="66"/>
      <c r="J352" s="66"/>
      <c r="K352" s="66"/>
      <c r="L352" s="66"/>
      <c r="M352" s="66"/>
      <c r="N352" s="66"/>
      <c r="O352" s="66"/>
      <c r="P352" s="66"/>
      <c r="Q352" s="66"/>
      <c r="R352" s="66"/>
      <c r="S352" s="66"/>
      <c r="T352" s="66"/>
      <c r="U352" s="66"/>
    </row>
    <row r="353" ht="15.75" customHeight="1">
      <c r="A353" s="66"/>
      <c r="B353" s="66"/>
      <c r="C353" s="66"/>
      <c r="D353" s="66"/>
      <c r="E353" s="66"/>
      <c r="F353" s="66"/>
      <c r="G353" s="66"/>
      <c r="H353" s="66"/>
      <c r="I353" s="66"/>
      <c r="J353" s="66"/>
      <c r="K353" s="66"/>
      <c r="L353" s="66"/>
      <c r="M353" s="66"/>
      <c r="N353" s="66"/>
      <c r="O353" s="66"/>
      <c r="P353" s="66"/>
      <c r="Q353" s="66"/>
      <c r="R353" s="66"/>
      <c r="S353" s="66"/>
      <c r="T353" s="66"/>
      <c r="U353" s="66"/>
    </row>
    <row r="354" ht="15.75" customHeight="1">
      <c r="A354" s="66"/>
      <c r="B354" s="66"/>
      <c r="C354" s="66"/>
      <c r="D354" s="66"/>
      <c r="E354" s="66"/>
      <c r="F354" s="66"/>
      <c r="G354" s="66"/>
      <c r="H354" s="66"/>
      <c r="I354" s="66"/>
      <c r="J354" s="66"/>
      <c r="K354" s="66"/>
      <c r="L354" s="66"/>
      <c r="M354" s="66"/>
      <c r="N354" s="66"/>
      <c r="O354" s="66"/>
      <c r="P354" s="66"/>
      <c r="Q354" s="66"/>
      <c r="R354" s="66"/>
      <c r="S354" s="66"/>
      <c r="T354" s="66"/>
      <c r="U354" s="66"/>
    </row>
    <row r="355" ht="15.75" customHeight="1">
      <c r="A355" s="66"/>
      <c r="B355" s="66"/>
      <c r="C355" s="66"/>
      <c r="D355" s="66"/>
      <c r="E355" s="66"/>
      <c r="F355" s="66"/>
      <c r="G355" s="66"/>
      <c r="H355" s="66"/>
      <c r="I355" s="66"/>
      <c r="J355" s="66"/>
      <c r="K355" s="66"/>
      <c r="L355" s="66"/>
      <c r="M355" s="66"/>
      <c r="N355" s="66"/>
      <c r="O355" s="66"/>
      <c r="P355" s="66"/>
      <c r="Q355" s="66"/>
      <c r="R355" s="66"/>
      <c r="S355" s="66"/>
      <c r="T355" s="66"/>
      <c r="U355" s="66"/>
    </row>
    <row r="356" ht="15.75" customHeight="1">
      <c r="A356" s="66"/>
      <c r="B356" s="66"/>
      <c r="C356" s="66"/>
      <c r="D356" s="66"/>
      <c r="E356" s="66"/>
      <c r="F356" s="66"/>
      <c r="G356" s="66"/>
      <c r="H356" s="66"/>
      <c r="I356" s="66"/>
      <c r="J356" s="66"/>
      <c r="K356" s="66"/>
      <c r="L356" s="66"/>
      <c r="M356" s="66"/>
      <c r="N356" s="66"/>
      <c r="O356" s="66"/>
      <c r="P356" s="66"/>
      <c r="Q356" s="66"/>
      <c r="R356" s="66"/>
      <c r="S356" s="66"/>
      <c r="T356" s="66"/>
      <c r="U356" s="66"/>
    </row>
    <row r="357" ht="15.75" customHeight="1">
      <c r="A357" s="66"/>
      <c r="B357" s="66"/>
      <c r="C357" s="66"/>
      <c r="D357" s="66"/>
      <c r="E357" s="66"/>
      <c r="F357" s="66"/>
      <c r="G357" s="66"/>
      <c r="H357" s="66"/>
      <c r="I357" s="66"/>
      <c r="J357" s="66"/>
      <c r="K357" s="66"/>
      <c r="L357" s="66"/>
      <c r="M357" s="66"/>
      <c r="N357" s="66"/>
      <c r="O357" s="66"/>
      <c r="P357" s="66"/>
      <c r="Q357" s="66"/>
      <c r="R357" s="66"/>
      <c r="S357" s="66"/>
      <c r="T357" s="66"/>
      <c r="U357" s="66"/>
    </row>
    <row r="358" ht="15.75" customHeight="1">
      <c r="A358" s="66"/>
      <c r="B358" s="66"/>
      <c r="C358" s="66"/>
      <c r="D358" s="66"/>
      <c r="E358" s="66"/>
      <c r="F358" s="66"/>
      <c r="G358" s="66"/>
      <c r="H358" s="66"/>
      <c r="I358" s="66"/>
      <c r="J358" s="66"/>
      <c r="K358" s="66"/>
      <c r="L358" s="66"/>
      <c r="M358" s="66"/>
      <c r="N358" s="66"/>
      <c r="O358" s="66"/>
      <c r="P358" s="66"/>
      <c r="Q358" s="66"/>
      <c r="R358" s="66"/>
      <c r="S358" s="66"/>
      <c r="T358" s="66"/>
      <c r="U358" s="66"/>
    </row>
    <row r="359" ht="15.75" customHeight="1">
      <c r="A359" s="66"/>
      <c r="B359" s="66"/>
      <c r="C359" s="66"/>
      <c r="D359" s="66"/>
      <c r="E359" s="66"/>
      <c r="F359" s="66"/>
      <c r="G359" s="66"/>
      <c r="H359" s="66"/>
      <c r="I359" s="66"/>
      <c r="J359" s="66"/>
      <c r="K359" s="66"/>
      <c r="L359" s="66"/>
      <c r="M359" s="66"/>
      <c r="N359" s="66"/>
      <c r="O359" s="66"/>
      <c r="P359" s="66"/>
      <c r="Q359" s="66"/>
      <c r="R359" s="66"/>
      <c r="S359" s="66"/>
      <c r="T359" s="66"/>
      <c r="U359" s="66"/>
    </row>
    <row r="360" ht="15.75" customHeight="1">
      <c r="A360" s="66"/>
      <c r="B360" s="66"/>
      <c r="C360" s="66"/>
      <c r="D360" s="66"/>
      <c r="E360" s="66"/>
      <c r="F360" s="66"/>
      <c r="G360" s="66"/>
      <c r="H360" s="66"/>
      <c r="I360" s="66"/>
      <c r="J360" s="66"/>
      <c r="K360" s="66"/>
      <c r="L360" s="66"/>
      <c r="M360" s="66"/>
      <c r="N360" s="66"/>
      <c r="O360" s="66"/>
      <c r="P360" s="66"/>
      <c r="Q360" s="66"/>
      <c r="R360" s="66"/>
      <c r="S360" s="66"/>
      <c r="T360" s="66"/>
      <c r="U360" s="66"/>
    </row>
    <row r="361" ht="15.75" customHeight="1">
      <c r="A361" s="66"/>
      <c r="B361" s="66"/>
      <c r="C361" s="66"/>
      <c r="D361" s="66"/>
      <c r="E361" s="66"/>
      <c r="F361" s="66"/>
      <c r="G361" s="66"/>
      <c r="H361" s="66"/>
      <c r="I361" s="66"/>
      <c r="J361" s="66"/>
      <c r="K361" s="66"/>
      <c r="L361" s="66"/>
      <c r="M361" s="66"/>
      <c r="N361" s="66"/>
      <c r="O361" s="66"/>
      <c r="P361" s="66"/>
      <c r="Q361" s="66"/>
      <c r="R361" s="66"/>
      <c r="S361" s="66"/>
      <c r="T361" s="66"/>
      <c r="U361" s="66"/>
    </row>
    <row r="362" ht="15.75" customHeight="1">
      <c r="A362" s="66"/>
      <c r="B362" s="66"/>
      <c r="C362" s="66"/>
      <c r="D362" s="66"/>
      <c r="E362" s="66"/>
      <c r="F362" s="66"/>
      <c r="G362" s="66"/>
      <c r="H362" s="66"/>
      <c r="I362" s="66"/>
      <c r="J362" s="66"/>
      <c r="K362" s="66"/>
      <c r="L362" s="66"/>
      <c r="M362" s="66"/>
      <c r="N362" s="66"/>
      <c r="O362" s="66"/>
      <c r="P362" s="66"/>
      <c r="Q362" s="66"/>
      <c r="R362" s="66"/>
      <c r="S362" s="66"/>
      <c r="T362" s="66"/>
      <c r="U362" s="66"/>
    </row>
    <row r="363" ht="15.75" customHeight="1">
      <c r="A363" s="66"/>
      <c r="B363" s="66"/>
      <c r="C363" s="66"/>
      <c r="D363" s="66"/>
      <c r="E363" s="66"/>
      <c r="F363" s="66"/>
      <c r="G363" s="66"/>
      <c r="H363" s="66"/>
      <c r="I363" s="66"/>
      <c r="J363" s="66"/>
      <c r="K363" s="66"/>
      <c r="L363" s="66"/>
      <c r="M363" s="66"/>
      <c r="N363" s="66"/>
      <c r="O363" s="66"/>
      <c r="P363" s="66"/>
      <c r="Q363" s="66"/>
      <c r="R363" s="66"/>
      <c r="S363" s="66"/>
      <c r="T363" s="66"/>
      <c r="U363" s="66"/>
    </row>
    <row r="364" ht="15.75" customHeight="1">
      <c r="A364" s="66"/>
      <c r="B364" s="66"/>
      <c r="C364" s="66"/>
      <c r="D364" s="66"/>
      <c r="E364" s="66"/>
      <c r="F364" s="66"/>
      <c r="G364" s="66"/>
      <c r="H364" s="66"/>
      <c r="I364" s="66"/>
      <c r="J364" s="66"/>
      <c r="K364" s="66"/>
      <c r="L364" s="66"/>
      <c r="M364" s="66"/>
      <c r="N364" s="66"/>
      <c r="O364" s="66"/>
      <c r="P364" s="66"/>
      <c r="Q364" s="66"/>
      <c r="R364" s="66"/>
      <c r="S364" s="66"/>
      <c r="T364" s="66"/>
      <c r="U364" s="66"/>
    </row>
    <row r="365" ht="15.75" customHeight="1">
      <c r="A365" s="66"/>
      <c r="B365" s="66"/>
      <c r="C365" s="66"/>
      <c r="D365" s="66"/>
      <c r="E365" s="66"/>
      <c r="F365" s="66"/>
      <c r="G365" s="66"/>
      <c r="H365" s="66"/>
      <c r="I365" s="66"/>
      <c r="J365" s="66"/>
      <c r="K365" s="66"/>
      <c r="L365" s="66"/>
      <c r="M365" s="66"/>
      <c r="N365" s="66"/>
      <c r="O365" s="66"/>
      <c r="P365" s="66"/>
      <c r="Q365" s="66"/>
      <c r="R365" s="66"/>
      <c r="S365" s="66"/>
      <c r="T365" s="66"/>
      <c r="U365" s="66"/>
    </row>
    <row r="366" ht="15.75" customHeight="1">
      <c r="A366" s="66"/>
      <c r="B366" s="66"/>
      <c r="C366" s="66"/>
      <c r="D366" s="66"/>
      <c r="E366" s="66"/>
      <c r="F366" s="66"/>
      <c r="G366" s="66"/>
      <c r="H366" s="66"/>
      <c r="I366" s="66"/>
      <c r="J366" s="66"/>
      <c r="K366" s="66"/>
      <c r="L366" s="66"/>
      <c r="M366" s="66"/>
      <c r="N366" s="66"/>
      <c r="O366" s="66"/>
      <c r="P366" s="66"/>
      <c r="Q366" s="66"/>
      <c r="R366" s="66"/>
      <c r="S366" s="66"/>
      <c r="T366" s="66"/>
      <c r="U366" s="66"/>
    </row>
    <row r="367" ht="15.75" customHeight="1">
      <c r="A367" s="66"/>
      <c r="B367" s="66"/>
      <c r="C367" s="66"/>
      <c r="D367" s="66"/>
      <c r="E367" s="66"/>
      <c r="F367" s="66"/>
      <c r="G367" s="66"/>
      <c r="H367" s="66"/>
      <c r="I367" s="66"/>
      <c r="J367" s="66"/>
      <c r="K367" s="66"/>
      <c r="L367" s="66"/>
      <c r="M367" s="66"/>
      <c r="N367" s="66"/>
      <c r="O367" s="66"/>
      <c r="P367" s="66"/>
      <c r="Q367" s="66"/>
      <c r="R367" s="66"/>
      <c r="S367" s="66"/>
      <c r="T367" s="66"/>
      <c r="U367" s="66"/>
    </row>
    <row r="368" ht="15.75" customHeight="1">
      <c r="A368" s="66"/>
      <c r="B368" s="66"/>
      <c r="C368" s="66"/>
      <c r="D368" s="66"/>
      <c r="E368" s="66"/>
      <c r="F368" s="66"/>
      <c r="G368" s="66"/>
      <c r="H368" s="66"/>
      <c r="I368" s="66"/>
      <c r="J368" s="66"/>
      <c r="K368" s="66"/>
      <c r="L368" s="66"/>
      <c r="M368" s="66"/>
      <c r="N368" s="66"/>
      <c r="O368" s="66"/>
      <c r="P368" s="66"/>
      <c r="Q368" s="66"/>
      <c r="R368" s="66"/>
      <c r="S368" s="66"/>
      <c r="T368" s="66"/>
      <c r="U368" s="66"/>
    </row>
    <row r="369" ht="15.75" customHeight="1">
      <c r="A369" s="66"/>
      <c r="B369" s="66"/>
      <c r="C369" s="66"/>
      <c r="D369" s="66"/>
      <c r="E369" s="66"/>
      <c r="F369" s="66"/>
      <c r="G369" s="66"/>
      <c r="H369" s="66"/>
      <c r="I369" s="66"/>
      <c r="J369" s="66"/>
      <c r="K369" s="66"/>
      <c r="L369" s="66"/>
      <c r="M369" s="66"/>
      <c r="N369" s="66"/>
      <c r="O369" s="66"/>
      <c r="P369" s="66"/>
      <c r="Q369" s="66"/>
      <c r="R369" s="66"/>
      <c r="S369" s="66"/>
      <c r="T369" s="66"/>
      <c r="U369" s="66"/>
    </row>
    <row r="370" ht="15.75" customHeight="1">
      <c r="A370" s="66"/>
      <c r="B370" s="66"/>
      <c r="C370" s="66"/>
      <c r="D370" s="66"/>
      <c r="E370" s="66"/>
      <c r="F370" s="66"/>
      <c r="G370" s="66"/>
      <c r="H370" s="66"/>
      <c r="I370" s="66"/>
      <c r="J370" s="66"/>
      <c r="K370" s="66"/>
      <c r="L370" s="66"/>
      <c r="M370" s="66"/>
      <c r="N370" s="66"/>
      <c r="O370" s="66"/>
      <c r="P370" s="66"/>
      <c r="Q370" s="66"/>
      <c r="R370" s="66"/>
      <c r="S370" s="66"/>
      <c r="T370" s="66"/>
      <c r="U370" s="66"/>
    </row>
    <row r="371" ht="15.75" customHeight="1">
      <c r="A371" s="66"/>
      <c r="B371" s="66"/>
      <c r="C371" s="66"/>
      <c r="D371" s="66"/>
      <c r="E371" s="66"/>
      <c r="F371" s="66"/>
      <c r="G371" s="66"/>
      <c r="H371" s="66"/>
      <c r="I371" s="66"/>
      <c r="J371" s="66"/>
      <c r="K371" s="66"/>
      <c r="L371" s="66"/>
      <c r="M371" s="66"/>
      <c r="N371" s="66"/>
      <c r="O371" s="66"/>
      <c r="P371" s="66"/>
      <c r="Q371" s="66"/>
      <c r="R371" s="66"/>
      <c r="S371" s="66"/>
      <c r="T371" s="66"/>
      <c r="U371" s="66"/>
    </row>
    <row r="372" ht="15.75" customHeight="1">
      <c r="A372" s="66"/>
      <c r="B372" s="66"/>
      <c r="C372" s="66"/>
      <c r="D372" s="66"/>
      <c r="E372" s="66"/>
      <c r="F372" s="66"/>
      <c r="G372" s="66"/>
      <c r="H372" s="66"/>
      <c r="I372" s="66"/>
      <c r="J372" s="66"/>
      <c r="K372" s="66"/>
      <c r="L372" s="66"/>
      <c r="M372" s="66"/>
      <c r="N372" s="66"/>
      <c r="O372" s="66"/>
      <c r="P372" s="66"/>
      <c r="Q372" s="66"/>
      <c r="R372" s="66"/>
      <c r="S372" s="66"/>
      <c r="T372" s="66"/>
      <c r="U372" s="66"/>
    </row>
    <row r="373" ht="15.75" customHeight="1">
      <c r="A373" s="66"/>
      <c r="B373" s="66"/>
      <c r="C373" s="66"/>
      <c r="D373" s="66"/>
      <c r="E373" s="66"/>
      <c r="F373" s="66"/>
      <c r="G373" s="66"/>
      <c r="H373" s="66"/>
      <c r="I373" s="66"/>
      <c r="J373" s="66"/>
      <c r="K373" s="66"/>
      <c r="L373" s="66"/>
      <c r="M373" s="66"/>
      <c r="N373" s="66"/>
      <c r="O373" s="66"/>
      <c r="P373" s="66"/>
      <c r="Q373" s="66"/>
      <c r="R373" s="66"/>
      <c r="S373" s="66"/>
      <c r="T373" s="66"/>
      <c r="U373" s="66"/>
    </row>
    <row r="374" ht="15.75" customHeight="1">
      <c r="A374" s="66"/>
      <c r="B374" s="66"/>
      <c r="C374" s="66"/>
      <c r="D374" s="66"/>
      <c r="E374" s="66"/>
      <c r="F374" s="66"/>
      <c r="G374" s="66"/>
      <c r="H374" s="66"/>
      <c r="I374" s="66"/>
      <c r="J374" s="66"/>
      <c r="K374" s="66"/>
      <c r="L374" s="66"/>
      <c r="M374" s="66"/>
      <c r="N374" s="66"/>
      <c r="O374" s="66"/>
      <c r="P374" s="66"/>
      <c r="Q374" s="66"/>
      <c r="R374" s="66"/>
      <c r="S374" s="66"/>
      <c r="T374" s="66"/>
      <c r="U374" s="66"/>
    </row>
    <row r="375" ht="15.75" customHeight="1">
      <c r="A375" s="66"/>
      <c r="B375" s="66"/>
      <c r="C375" s="66"/>
      <c r="D375" s="66"/>
      <c r="E375" s="66"/>
      <c r="F375" s="66"/>
      <c r="G375" s="66"/>
      <c r="H375" s="66"/>
      <c r="I375" s="66"/>
      <c r="J375" s="66"/>
      <c r="K375" s="66"/>
      <c r="L375" s="66"/>
      <c r="M375" s="66"/>
      <c r="N375" s="66"/>
      <c r="O375" s="66"/>
      <c r="P375" s="66"/>
      <c r="Q375" s="66"/>
      <c r="R375" s="66"/>
      <c r="S375" s="66"/>
      <c r="T375" s="66"/>
      <c r="U375" s="66"/>
    </row>
    <row r="376" ht="15.75" customHeight="1">
      <c r="A376" s="66"/>
      <c r="B376" s="66"/>
      <c r="C376" s="66"/>
      <c r="D376" s="66"/>
      <c r="E376" s="66"/>
      <c r="F376" s="66"/>
      <c r="G376" s="66"/>
      <c r="H376" s="66"/>
      <c r="I376" s="66"/>
      <c r="J376" s="66"/>
      <c r="K376" s="66"/>
      <c r="L376" s="66"/>
      <c r="M376" s="66"/>
      <c r="N376" s="66"/>
      <c r="O376" s="66"/>
      <c r="P376" s="66"/>
      <c r="Q376" s="66"/>
      <c r="R376" s="66"/>
      <c r="S376" s="66"/>
      <c r="T376" s="66"/>
      <c r="U376" s="66"/>
    </row>
    <row r="377" ht="15.75" customHeight="1">
      <c r="A377" s="66"/>
      <c r="B377" s="66"/>
      <c r="C377" s="66"/>
      <c r="D377" s="66"/>
      <c r="E377" s="66"/>
      <c r="F377" s="66"/>
      <c r="G377" s="66"/>
      <c r="H377" s="66"/>
      <c r="I377" s="66"/>
      <c r="J377" s="66"/>
      <c r="K377" s="66"/>
      <c r="L377" s="66"/>
      <c r="M377" s="66"/>
      <c r="N377" s="66"/>
      <c r="O377" s="66"/>
      <c r="P377" s="66"/>
      <c r="Q377" s="66"/>
      <c r="R377" s="66"/>
      <c r="S377" s="66"/>
      <c r="T377" s="66"/>
      <c r="U377" s="66"/>
    </row>
    <row r="378" ht="15.75" customHeight="1">
      <c r="A378" s="66"/>
      <c r="B378" s="66"/>
      <c r="C378" s="66"/>
      <c r="D378" s="66"/>
      <c r="E378" s="66"/>
      <c r="F378" s="66"/>
      <c r="G378" s="66"/>
      <c r="H378" s="66"/>
      <c r="I378" s="66"/>
      <c r="J378" s="66"/>
      <c r="K378" s="66"/>
      <c r="L378" s="66"/>
      <c r="M378" s="66"/>
      <c r="N378" s="66"/>
      <c r="O378" s="66"/>
      <c r="P378" s="66"/>
      <c r="Q378" s="66"/>
      <c r="R378" s="66"/>
      <c r="S378" s="66"/>
      <c r="T378" s="66"/>
      <c r="U378" s="66"/>
    </row>
    <row r="379" ht="15.75" customHeight="1">
      <c r="A379" s="66"/>
      <c r="B379" s="66"/>
      <c r="C379" s="66"/>
      <c r="D379" s="66"/>
      <c r="E379" s="66"/>
      <c r="F379" s="66"/>
      <c r="G379" s="66"/>
      <c r="H379" s="66"/>
      <c r="I379" s="66"/>
      <c r="J379" s="66"/>
      <c r="K379" s="66"/>
      <c r="L379" s="66"/>
      <c r="M379" s="66"/>
      <c r="N379" s="66"/>
      <c r="O379" s="66"/>
      <c r="P379" s="66"/>
      <c r="Q379" s="66"/>
      <c r="R379" s="66"/>
      <c r="S379" s="66"/>
      <c r="T379" s="66"/>
      <c r="U379" s="66"/>
    </row>
    <row r="380" ht="15.75" customHeight="1">
      <c r="A380" s="66"/>
      <c r="B380" s="66"/>
      <c r="C380" s="66"/>
      <c r="D380" s="66"/>
      <c r="E380" s="66"/>
      <c r="F380" s="66"/>
      <c r="G380" s="66"/>
      <c r="H380" s="66"/>
      <c r="I380" s="66"/>
      <c r="J380" s="66"/>
      <c r="K380" s="66"/>
      <c r="L380" s="66"/>
      <c r="M380" s="66"/>
      <c r="N380" s="66"/>
      <c r="O380" s="66"/>
      <c r="P380" s="66"/>
      <c r="Q380" s="66"/>
      <c r="R380" s="66"/>
      <c r="S380" s="66"/>
      <c r="T380" s="66"/>
      <c r="U380" s="66"/>
    </row>
    <row r="381" ht="15.75" customHeight="1">
      <c r="A381" s="66"/>
      <c r="B381" s="66"/>
      <c r="C381" s="66"/>
      <c r="D381" s="66"/>
      <c r="E381" s="66"/>
      <c r="F381" s="66"/>
      <c r="G381" s="66"/>
      <c r="H381" s="66"/>
      <c r="I381" s="66"/>
      <c r="J381" s="66"/>
      <c r="K381" s="66"/>
      <c r="L381" s="66"/>
      <c r="M381" s="66"/>
      <c r="N381" s="66"/>
      <c r="O381" s="66"/>
      <c r="P381" s="66"/>
      <c r="Q381" s="66"/>
      <c r="R381" s="66"/>
      <c r="S381" s="66"/>
      <c r="T381" s="66"/>
      <c r="U381" s="66"/>
    </row>
    <row r="382" ht="15.75" customHeight="1">
      <c r="A382" s="66"/>
      <c r="B382" s="66"/>
      <c r="C382" s="66"/>
      <c r="D382" s="66"/>
      <c r="E382" s="66"/>
      <c r="F382" s="66"/>
      <c r="G382" s="66"/>
      <c r="H382" s="66"/>
      <c r="I382" s="66"/>
      <c r="J382" s="66"/>
      <c r="K382" s="66"/>
      <c r="L382" s="66"/>
      <c r="M382" s="66"/>
      <c r="N382" s="66"/>
      <c r="O382" s="66"/>
      <c r="P382" s="66"/>
      <c r="Q382" s="66"/>
      <c r="R382" s="66"/>
      <c r="S382" s="66"/>
      <c r="T382" s="66"/>
      <c r="U382" s="66"/>
    </row>
    <row r="383" ht="15.75" customHeight="1">
      <c r="A383" s="66"/>
      <c r="B383" s="66"/>
      <c r="C383" s="66"/>
      <c r="D383" s="66"/>
      <c r="E383" s="66"/>
      <c r="F383" s="66"/>
      <c r="G383" s="66"/>
      <c r="H383" s="66"/>
      <c r="I383" s="66"/>
      <c r="J383" s="66"/>
      <c r="K383" s="66"/>
      <c r="L383" s="66"/>
      <c r="M383" s="66"/>
      <c r="N383" s="66"/>
      <c r="O383" s="66"/>
      <c r="P383" s="66"/>
      <c r="Q383" s="66"/>
      <c r="R383" s="66"/>
      <c r="S383" s="66"/>
      <c r="T383" s="66"/>
      <c r="U383" s="66"/>
    </row>
    <row r="384" ht="15.75" customHeight="1">
      <c r="A384" s="66"/>
      <c r="B384" s="66"/>
      <c r="C384" s="66"/>
      <c r="D384" s="66"/>
      <c r="E384" s="66"/>
      <c r="F384" s="66"/>
      <c r="G384" s="66"/>
      <c r="H384" s="66"/>
      <c r="I384" s="66"/>
      <c r="J384" s="66"/>
      <c r="K384" s="66"/>
      <c r="L384" s="66"/>
      <c r="M384" s="66"/>
      <c r="N384" s="66"/>
      <c r="O384" s="66"/>
      <c r="P384" s="66"/>
      <c r="Q384" s="66"/>
      <c r="R384" s="66"/>
      <c r="S384" s="66"/>
      <c r="T384" s="66"/>
      <c r="U384" s="66"/>
    </row>
    <row r="385" ht="15.75" customHeight="1">
      <c r="A385" s="66"/>
      <c r="B385" s="66"/>
      <c r="C385" s="66"/>
      <c r="D385" s="66"/>
      <c r="E385" s="66"/>
      <c r="F385" s="66"/>
      <c r="G385" s="66"/>
      <c r="H385" s="66"/>
      <c r="I385" s="66"/>
      <c r="J385" s="66"/>
      <c r="K385" s="66"/>
      <c r="L385" s="66"/>
      <c r="M385" s="66"/>
      <c r="N385" s="66"/>
      <c r="O385" s="66"/>
      <c r="P385" s="66"/>
      <c r="Q385" s="66"/>
      <c r="R385" s="66"/>
      <c r="S385" s="66"/>
      <c r="T385" s="66"/>
      <c r="U385" s="66"/>
    </row>
    <row r="386" ht="15.75" customHeight="1">
      <c r="A386" s="66"/>
      <c r="B386" s="66"/>
      <c r="C386" s="66"/>
      <c r="D386" s="66"/>
      <c r="E386" s="66"/>
      <c r="F386" s="66"/>
      <c r="G386" s="66"/>
      <c r="H386" s="66"/>
      <c r="I386" s="66"/>
      <c r="J386" s="66"/>
      <c r="K386" s="66"/>
      <c r="L386" s="66"/>
      <c r="M386" s="66"/>
      <c r="N386" s="66"/>
      <c r="O386" s="66"/>
      <c r="P386" s="66"/>
      <c r="Q386" s="66"/>
      <c r="R386" s="66"/>
      <c r="S386" s="66"/>
      <c r="T386" s="66"/>
      <c r="U386" s="66"/>
    </row>
    <row r="387" ht="15.75" customHeight="1">
      <c r="A387" s="66"/>
      <c r="B387" s="66"/>
      <c r="C387" s="66"/>
      <c r="D387" s="66"/>
      <c r="E387" s="66"/>
      <c r="F387" s="66"/>
      <c r="G387" s="66"/>
      <c r="H387" s="66"/>
      <c r="I387" s="66"/>
      <c r="J387" s="66"/>
      <c r="K387" s="66"/>
      <c r="L387" s="66"/>
      <c r="M387" s="66"/>
      <c r="N387" s="66"/>
      <c r="O387" s="66"/>
      <c r="P387" s="66"/>
      <c r="Q387" s="66"/>
      <c r="R387" s="66"/>
      <c r="S387" s="66"/>
      <c r="T387" s="66"/>
      <c r="U387" s="66"/>
    </row>
    <row r="388" ht="15.75" customHeight="1">
      <c r="A388" s="66"/>
      <c r="B388" s="66"/>
      <c r="C388" s="66"/>
      <c r="D388" s="66"/>
      <c r="E388" s="66"/>
      <c r="F388" s="66"/>
      <c r="G388" s="66"/>
      <c r="H388" s="66"/>
      <c r="I388" s="66"/>
      <c r="J388" s="66"/>
      <c r="K388" s="66"/>
      <c r="L388" s="66"/>
      <c r="M388" s="66"/>
      <c r="N388" s="66"/>
      <c r="O388" s="66"/>
      <c r="P388" s="66"/>
      <c r="Q388" s="66"/>
      <c r="R388" s="66"/>
      <c r="S388" s="66"/>
      <c r="T388" s="66"/>
      <c r="U388" s="66"/>
    </row>
    <row r="389" ht="15.75" customHeight="1">
      <c r="A389" s="66"/>
      <c r="B389" s="66"/>
      <c r="C389" s="66"/>
      <c r="D389" s="66"/>
      <c r="E389" s="66"/>
      <c r="F389" s="66"/>
      <c r="G389" s="66"/>
      <c r="H389" s="66"/>
      <c r="I389" s="66"/>
      <c r="J389" s="66"/>
      <c r="K389" s="66"/>
      <c r="L389" s="66"/>
      <c r="M389" s="66"/>
      <c r="N389" s="66"/>
      <c r="O389" s="66"/>
      <c r="P389" s="66"/>
      <c r="Q389" s="66"/>
      <c r="R389" s="66"/>
      <c r="S389" s="66"/>
      <c r="T389" s="66"/>
      <c r="U389" s="66"/>
    </row>
    <row r="390" ht="15.75" customHeight="1">
      <c r="A390" s="66"/>
      <c r="B390" s="66"/>
      <c r="C390" s="66"/>
      <c r="D390" s="66"/>
      <c r="E390" s="66"/>
      <c r="F390" s="66"/>
      <c r="G390" s="66"/>
      <c r="H390" s="66"/>
      <c r="I390" s="66"/>
      <c r="J390" s="66"/>
      <c r="K390" s="66"/>
      <c r="L390" s="66"/>
      <c r="M390" s="66"/>
      <c r="N390" s="66"/>
      <c r="O390" s="66"/>
      <c r="P390" s="66"/>
      <c r="Q390" s="66"/>
      <c r="R390" s="66"/>
      <c r="S390" s="66"/>
      <c r="T390" s="66"/>
      <c r="U390" s="66"/>
    </row>
    <row r="391" ht="15.75" customHeight="1">
      <c r="A391" s="66"/>
      <c r="B391" s="66"/>
      <c r="C391" s="66"/>
      <c r="D391" s="66"/>
      <c r="E391" s="66"/>
      <c r="F391" s="66"/>
      <c r="G391" s="66"/>
      <c r="H391" s="66"/>
      <c r="I391" s="66"/>
      <c r="J391" s="66"/>
      <c r="K391" s="66"/>
      <c r="L391" s="66"/>
      <c r="M391" s="66"/>
      <c r="N391" s="66"/>
      <c r="O391" s="66"/>
      <c r="P391" s="66"/>
      <c r="Q391" s="66"/>
      <c r="R391" s="66"/>
      <c r="S391" s="66"/>
      <c r="T391" s="66"/>
      <c r="U391" s="66"/>
    </row>
    <row r="392" ht="15.75" customHeight="1">
      <c r="A392" s="66"/>
      <c r="B392" s="66"/>
      <c r="C392" s="66"/>
      <c r="D392" s="66"/>
      <c r="E392" s="66"/>
      <c r="F392" s="66"/>
      <c r="G392" s="66"/>
      <c r="H392" s="66"/>
      <c r="I392" s="66"/>
      <c r="J392" s="66"/>
      <c r="K392" s="66"/>
      <c r="L392" s="66"/>
      <c r="M392" s="66"/>
      <c r="N392" s="66"/>
      <c r="O392" s="66"/>
      <c r="P392" s="66"/>
      <c r="Q392" s="66"/>
      <c r="R392" s="66"/>
      <c r="S392" s="66"/>
      <c r="T392" s="66"/>
      <c r="U392" s="66"/>
    </row>
    <row r="393" ht="15.75" customHeight="1">
      <c r="A393" s="66"/>
      <c r="B393" s="66"/>
      <c r="C393" s="66"/>
      <c r="D393" s="66"/>
      <c r="E393" s="66"/>
      <c r="F393" s="66"/>
      <c r="G393" s="66"/>
      <c r="H393" s="66"/>
      <c r="I393" s="66"/>
      <c r="J393" s="66"/>
      <c r="K393" s="66"/>
      <c r="L393" s="66"/>
      <c r="M393" s="66"/>
      <c r="N393" s="66"/>
      <c r="O393" s="66"/>
      <c r="P393" s="66"/>
      <c r="Q393" s="66"/>
      <c r="R393" s="66"/>
      <c r="S393" s="66"/>
      <c r="T393" s="66"/>
      <c r="U393" s="66"/>
    </row>
    <row r="394" ht="15.75" customHeight="1">
      <c r="A394" s="66"/>
      <c r="B394" s="66"/>
      <c r="C394" s="66"/>
      <c r="D394" s="66"/>
      <c r="E394" s="66"/>
      <c r="F394" s="66"/>
      <c r="G394" s="66"/>
      <c r="H394" s="66"/>
      <c r="I394" s="66"/>
      <c r="J394" s="66"/>
      <c r="K394" s="66"/>
      <c r="L394" s="66"/>
      <c r="M394" s="66"/>
      <c r="N394" s="66"/>
      <c r="O394" s="66"/>
      <c r="P394" s="66"/>
      <c r="Q394" s="66"/>
      <c r="R394" s="66"/>
      <c r="S394" s="66"/>
      <c r="T394" s="66"/>
      <c r="U394" s="66"/>
    </row>
    <row r="395" ht="15.75" customHeight="1">
      <c r="A395" s="66"/>
      <c r="B395" s="66"/>
      <c r="C395" s="66"/>
      <c r="D395" s="66"/>
      <c r="E395" s="66"/>
      <c r="F395" s="66"/>
      <c r="G395" s="66"/>
      <c r="H395" s="66"/>
      <c r="I395" s="66"/>
      <c r="J395" s="66"/>
      <c r="K395" s="66"/>
      <c r="L395" s="66"/>
      <c r="M395" s="66"/>
      <c r="N395" s="66"/>
      <c r="O395" s="66"/>
      <c r="P395" s="66"/>
      <c r="Q395" s="66"/>
      <c r="R395" s="66"/>
      <c r="S395" s="66"/>
      <c r="T395" s="66"/>
      <c r="U395" s="66"/>
    </row>
    <row r="396" ht="15.75" customHeight="1">
      <c r="A396" s="66"/>
      <c r="B396" s="66"/>
      <c r="C396" s="66"/>
      <c r="D396" s="66"/>
      <c r="E396" s="66"/>
      <c r="F396" s="66"/>
      <c r="G396" s="66"/>
      <c r="H396" s="66"/>
      <c r="I396" s="66"/>
      <c r="J396" s="66"/>
      <c r="K396" s="66"/>
      <c r="L396" s="66"/>
      <c r="M396" s="66"/>
      <c r="N396" s="66"/>
      <c r="O396" s="66"/>
      <c r="P396" s="66"/>
      <c r="Q396" s="66"/>
      <c r="R396" s="66"/>
      <c r="S396" s="66"/>
      <c r="T396" s="66"/>
      <c r="U396" s="66"/>
    </row>
    <row r="397" ht="15.75" customHeight="1">
      <c r="A397" s="66"/>
      <c r="B397" s="66"/>
      <c r="C397" s="66"/>
      <c r="D397" s="66"/>
      <c r="E397" s="66"/>
      <c r="F397" s="66"/>
      <c r="G397" s="66"/>
      <c r="H397" s="66"/>
      <c r="I397" s="66"/>
      <c r="J397" s="66"/>
      <c r="K397" s="66"/>
      <c r="L397" s="66"/>
      <c r="M397" s="66"/>
      <c r="N397" s="66"/>
      <c r="O397" s="66"/>
      <c r="P397" s="66"/>
      <c r="Q397" s="66"/>
      <c r="R397" s="66"/>
      <c r="S397" s="66"/>
      <c r="T397" s="66"/>
      <c r="U397" s="66"/>
    </row>
    <row r="398" ht="15.75" customHeight="1">
      <c r="A398" s="66"/>
      <c r="B398" s="66"/>
      <c r="C398" s="66"/>
      <c r="D398" s="66"/>
      <c r="E398" s="66"/>
      <c r="F398" s="66"/>
      <c r="G398" s="66"/>
      <c r="H398" s="66"/>
      <c r="I398" s="66"/>
      <c r="J398" s="66"/>
      <c r="K398" s="66"/>
      <c r="L398" s="66"/>
      <c r="M398" s="66"/>
      <c r="N398" s="66"/>
      <c r="O398" s="66"/>
      <c r="P398" s="66"/>
      <c r="Q398" s="66"/>
      <c r="R398" s="66"/>
      <c r="S398" s="66"/>
      <c r="T398" s="66"/>
      <c r="U398" s="66"/>
    </row>
    <row r="399" ht="15.75" customHeight="1">
      <c r="A399" s="66"/>
      <c r="B399" s="66"/>
      <c r="C399" s="66"/>
      <c r="D399" s="66"/>
      <c r="E399" s="66"/>
      <c r="F399" s="66"/>
      <c r="G399" s="66"/>
      <c r="H399" s="66"/>
      <c r="I399" s="66"/>
      <c r="J399" s="66"/>
      <c r="K399" s="66"/>
      <c r="L399" s="66"/>
      <c r="M399" s="66"/>
      <c r="N399" s="66"/>
      <c r="O399" s="66"/>
      <c r="P399" s="66"/>
      <c r="Q399" s="66"/>
      <c r="R399" s="66"/>
      <c r="S399" s="66"/>
      <c r="T399" s="66"/>
      <c r="U399" s="66"/>
    </row>
    <row r="400" ht="15.75" customHeight="1">
      <c r="A400" s="66"/>
      <c r="B400" s="66"/>
      <c r="C400" s="66"/>
      <c r="D400" s="66"/>
      <c r="E400" s="66"/>
      <c r="F400" s="66"/>
      <c r="G400" s="66"/>
      <c r="H400" s="66"/>
      <c r="I400" s="66"/>
      <c r="J400" s="66"/>
      <c r="K400" s="66"/>
      <c r="L400" s="66"/>
      <c r="M400" s="66"/>
      <c r="N400" s="66"/>
      <c r="O400" s="66"/>
      <c r="P400" s="66"/>
      <c r="Q400" s="66"/>
      <c r="R400" s="66"/>
      <c r="S400" s="66"/>
      <c r="T400" s="66"/>
      <c r="U400" s="66"/>
    </row>
    <row r="401" ht="15.75" customHeight="1">
      <c r="A401" s="66"/>
      <c r="B401" s="66"/>
      <c r="C401" s="66"/>
      <c r="D401" s="66"/>
      <c r="E401" s="66"/>
      <c r="F401" s="66"/>
      <c r="G401" s="66"/>
      <c r="H401" s="66"/>
      <c r="I401" s="66"/>
      <c r="J401" s="66"/>
      <c r="K401" s="66"/>
      <c r="L401" s="66"/>
      <c r="M401" s="66"/>
      <c r="N401" s="66"/>
      <c r="O401" s="66"/>
      <c r="P401" s="66"/>
      <c r="Q401" s="66"/>
      <c r="R401" s="66"/>
      <c r="S401" s="66"/>
      <c r="T401" s="66"/>
      <c r="U401" s="66"/>
    </row>
    <row r="402" ht="15.75" customHeight="1">
      <c r="A402" s="66"/>
      <c r="B402" s="66"/>
      <c r="C402" s="66"/>
      <c r="D402" s="66"/>
      <c r="E402" s="66"/>
      <c r="F402" s="66"/>
      <c r="G402" s="66"/>
      <c r="H402" s="66"/>
      <c r="I402" s="66"/>
      <c r="J402" s="66"/>
      <c r="K402" s="66"/>
      <c r="L402" s="66"/>
      <c r="M402" s="66"/>
      <c r="N402" s="66"/>
      <c r="O402" s="66"/>
      <c r="P402" s="66"/>
      <c r="Q402" s="66"/>
      <c r="R402" s="66"/>
      <c r="S402" s="66"/>
      <c r="T402" s="66"/>
      <c r="U402" s="66"/>
    </row>
    <row r="403" ht="15.75" customHeight="1">
      <c r="A403" s="66"/>
      <c r="B403" s="66"/>
      <c r="C403" s="66"/>
      <c r="D403" s="66"/>
      <c r="E403" s="66"/>
      <c r="F403" s="66"/>
      <c r="G403" s="66"/>
      <c r="H403" s="66"/>
      <c r="I403" s="66"/>
      <c r="J403" s="66"/>
      <c r="K403" s="66"/>
      <c r="L403" s="66"/>
      <c r="M403" s="66"/>
      <c r="N403" s="66"/>
      <c r="O403" s="66"/>
      <c r="P403" s="66"/>
      <c r="Q403" s="66"/>
      <c r="R403" s="66"/>
      <c r="S403" s="66"/>
      <c r="T403" s="66"/>
      <c r="U403" s="66"/>
    </row>
    <row r="404" ht="15.75" customHeight="1">
      <c r="A404" s="66"/>
      <c r="B404" s="66"/>
      <c r="C404" s="66"/>
      <c r="D404" s="66"/>
      <c r="E404" s="66"/>
      <c r="F404" s="66"/>
      <c r="G404" s="66"/>
      <c r="H404" s="66"/>
      <c r="I404" s="66"/>
      <c r="J404" s="66"/>
      <c r="K404" s="66"/>
      <c r="L404" s="66"/>
      <c r="M404" s="66"/>
      <c r="N404" s="66"/>
      <c r="O404" s="66"/>
      <c r="P404" s="66"/>
      <c r="Q404" s="66"/>
      <c r="R404" s="66"/>
      <c r="S404" s="66"/>
      <c r="T404" s="66"/>
      <c r="U404" s="66"/>
    </row>
    <row r="405" ht="15.75" customHeight="1">
      <c r="A405" s="66"/>
      <c r="B405" s="66"/>
      <c r="C405" s="66"/>
      <c r="D405" s="66"/>
      <c r="E405" s="66"/>
      <c r="F405" s="66"/>
      <c r="G405" s="66"/>
      <c r="H405" s="66"/>
      <c r="I405" s="66"/>
      <c r="J405" s="66"/>
      <c r="K405" s="66"/>
      <c r="L405" s="66"/>
      <c r="M405" s="66"/>
      <c r="N405" s="66"/>
      <c r="O405" s="66"/>
      <c r="P405" s="66"/>
      <c r="Q405" s="66"/>
      <c r="R405" s="66"/>
      <c r="S405" s="66"/>
      <c r="T405" s="66"/>
      <c r="U405" s="66"/>
    </row>
    <row r="406" ht="15.75" customHeight="1">
      <c r="A406" s="66"/>
      <c r="B406" s="66"/>
      <c r="C406" s="66"/>
      <c r="D406" s="66"/>
      <c r="E406" s="66"/>
      <c r="F406" s="66"/>
      <c r="G406" s="66"/>
      <c r="H406" s="66"/>
      <c r="I406" s="66"/>
      <c r="J406" s="66"/>
      <c r="K406" s="66"/>
      <c r="L406" s="66"/>
      <c r="M406" s="66"/>
      <c r="N406" s="66"/>
      <c r="O406" s="66"/>
      <c r="P406" s="66"/>
      <c r="Q406" s="66"/>
      <c r="R406" s="66"/>
      <c r="S406" s="66"/>
      <c r="T406" s="66"/>
      <c r="U406" s="66"/>
    </row>
    <row r="407" ht="15.75" customHeight="1">
      <c r="A407" s="66"/>
      <c r="B407" s="66"/>
      <c r="C407" s="66"/>
      <c r="D407" s="66"/>
      <c r="E407" s="66"/>
      <c r="F407" s="66"/>
      <c r="G407" s="66"/>
      <c r="H407" s="66"/>
      <c r="I407" s="66"/>
      <c r="J407" s="66"/>
      <c r="K407" s="66"/>
      <c r="L407" s="66"/>
      <c r="M407" s="66"/>
      <c r="N407" s="66"/>
      <c r="O407" s="66"/>
      <c r="P407" s="66"/>
      <c r="Q407" s="66"/>
      <c r="R407" s="66"/>
      <c r="S407" s="66"/>
      <c r="T407" s="66"/>
      <c r="U407" s="66"/>
    </row>
    <row r="408" ht="15.75" customHeight="1">
      <c r="A408" s="66"/>
      <c r="B408" s="66"/>
      <c r="C408" s="66"/>
      <c r="D408" s="66"/>
      <c r="E408" s="66"/>
      <c r="F408" s="66"/>
      <c r="G408" s="66"/>
      <c r="H408" s="66"/>
      <c r="I408" s="66"/>
      <c r="J408" s="66"/>
      <c r="K408" s="66"/>
      <c r="L408" s="66"/>
      <c r="M408" s="66"/>
      <c r="N408" s="66"/>
      <c r="O408" s="66"/>
      <c r="P408" s="66"/>
      <c r="Q408" s="66"/>
      <c r="R408" s="66"/>
      <c r="S408" s="66"/>
      <c r="T408" s="66"/>
      <c r="U408" s="66"/>
    </row>
    <row r="409" ht="15.75" customHeight="1">
      <c r="A409" s="66"/>
      <c r="B409" s="66"/>
      <c r="C409" s="66"/>
      <c r="D409" s="66"/>
      <c r="E409" s="66"/>
      <c r="F409" s="66"/>
      <c r="G409" s="66"/>
      <c r="H409" s="66"/>
      <c r="I409" s="66"/>
      <c r="J409" s="66"/>
      <c r="K409" s="66"/>
      <c r="L409" s="66"/>
      <c r="M409" s="66"/>
      <c r="N409" s="66"/>
      <c r="O409" s="66"/>
      <c r="P409" s="66"/>
      <c r="Q409" s="66"/>
      <c r="R409" s="66"/>
      <c r="S409" s="66"/>
      <c r="T409" s="66"/>
      <c r="U409" s="66"/>
    </row>
    <row r="410" ht="15.75" customHeight="1">
      <c r="A410" s="66"/>
      <c r="B410" s="66"/>
      <c r="C410" s="66"/>
      <c r="D410" s="66"/>
      <c r="E410" s="66"/>
      <c r="F410" s="66"/>
      <c r="G410" s="66"/>
      <c r="H410" s="66"/>
      <c r="I410" s="66"/>
      <c r="J410" s="66"/>
      <c r="K410" s="66"/>
      <c r="L410" s="66"/>
      <c r="M410" s="66"/>
      <c r="N410" s="66"/>
      <c r="O410" s="66"/>
      <c r="P410" s="66"/>
      <c r="Q410" s="66"/>
      <c r="R410" s="66"/>
      <c r="S410" s="66"/>
      <c r="T410" s="66"/>
      <c r="U410" s="66"/>
    </row>
    <row r="411" ht="15.75" customHeight="1">
      <c r="A411" s="66"/>
      <c r="B411" s="66"/>
      <c r="C411" s="66"/>
      <c r="D411" s="66"/>
      <c r="E411" s="66"/>
      <c r="F411" s="66"/>
      <c r="G411" s="66"/>
      <c r="H411" s="66"/>
      <c r="I411" s="66"/>
      <c r="J411" s="66"/>
      <c r="K411" s="66"/>
      <c r="L411" s="66"/>
      <c r="M411" s="66"/>
      <c r="N411" s="66"/>
      <c r="O411" s="66"/>
      <c r="P411" s="66"/>
      <c r="Q411" s="66"/>
      <c r="R411" s="66"/>
      <c r="S411" s="66"/>
      <c r="T411" s="66"/>
      <c r="U411" s="66"/>
    </row>
    <row r="412" ht="15.75" customHeight="1">
      <c r="A412" s="66"/>
      <c r="B412" s="66"/>
      <c r="C412" s="66"/>
      <c r="D412" s="66"/>
      <c r="E412" s="66"/>
      <c r="F412" s="66"/>
      <c r="G412" s="66"/>
      <c r="H412" s="66"/>
      <c r="I412" s="66"/>
      <c r="J412" s="66"/>
      <c r="K412" s="66"/>
      <c r="L412" s="66"/>
      <c r="M412" s="66"/>
      <c r="N412" s="66"/>
      <c r="O412" s="66"/>
      <c r="P412" s="66"/>
      <c r="Q412" s="66"/>
      <c r="R412" s="66"/>
      <c r="S412" s="66"/>
      <c r="T412" s="66"/>
      <c r="U412" s="66"/>
    </row>
    <row r="413" ht="15.75" customHeight="1">
      <c r="A413" s="66"/>
      <c r="B413" s="66"/>
      <c r="C413" s="66"/>
      <c r="D413" s="66"/>
      <c r="E413" s="66"/>
      <c r="F413" s="66"/>
      <c r="G413" s="66"/>
      <c r="H413" s="66"/>
      <c r="I413" s="66"/>
      <c r="J413" s="66"/>
      <c r="K413" s="66"/>
      <c r="L413" s="66"/>
      <c r="M413" s="66"/>
      <c r="N413" s="66"/>
      <c r="O413" s="66"/>
      <c r="P413" s="66"/>
      <c r="Q413" s="66"/>
      <c r="R413" s="66"/>
      <c r="S413" s="66"/>
      <c r="T413" s="66"/>
      <c r="U413" s="66"/>
    </row>
    <row r="414" ht="15.75" customHeight="1">
      <c r="A414" s="66"/>
      <c r="B414" s="66"/>
      <c r="C414" s="66"/>
      <c r="D414" s="66"/>
      <c r="E414" s="66"/>
      <c r="F414" s="66"/>
      <c r="G414" s="66"/>
      <c r="H414" s="66"/>
      <c r="I414" s="66"/>
      <c r="J414" s="66"/>
      <c r="K414" s="66"/>
      <c r="L414" s="66"/>
      <c r="M414" s="66"/>
      <c r="N414" s="66"/>
      <c r="O414" s="66"/>
      <c r="P414" s="66"/>
      <c r="Q414" s="66"/>
      <c r="R414" s="66"/>
      <c r="S414" s="66"/>
      <c r="T414" s="66"/>
      <c r="U414" s="66"/>
    </row>
    <row r="415" ht="15.75" customHeight="1">
      <c r="A415" s="66"/>
      <c r="B415" s="66"/>
      <c r="C415" s="66"/>
      <c r="D415" s="66"/>
      <c r="E415" s="66"/>
      <c r="F415" s="66"/>
      <c r="G415" s="66"/>
      <c r="H415" s="66"/>
      <c r="I415" s="66"/>
      <c r="J415" s="66"/>
      <c r="K415" s="66"/>
      <c r="L415" s="66"/>
      <c r="M415" s="66"/>
      <c r="N415" s="66"/>
      <c r="O415" s="66"/>
      <c r="P415" s="66"/>
      <c r="Q415" s="66"/>
      <c r="R415" s="66"/>
      <c r="S415" s="66"/>
      <c r="T415" s="66"/>
      <c r="U415" s="66"/>
    </row>
    <row r="416" ht="15.75" customHeight="1">
      <c r="A416" s="66"/>
      <c r="B416" s="66"/>
      <c r="C416" s="66"/>
      <c r="D416" s="66"/>
      <c r="E416" s="66"/>
      <c r="F416" s="66"/>
      <c r="G416" s="66"/>
      <c r="H416" s="66"/>
      <c r="I416" s="66"/>
      <c r="J416" s="66"/>
      <c r="K416" s="66"/>
      <c r="L416" s="66"/>
      <c r="M416" s="66"/>
      <c r="N416" s="66"/>
      <c r="O416" s="66"/>
      <c r="P416" s="66"/>
      <c r="Q416" s="66"/>
      <c r="R416" s="66"/>
      <c r="S416" s="66"/>
      <c r="T416" s="66"/>
      <c r="U416" s="66"/>
    </row>
    <row r="417" ht="15.75" customHeight="1">
      <c r="A417" s="66"/>
      <c r="B417" s="66"/>
      <c r="C417" s="66"/>
      <c r="D417" s="66"/>
      <c r="E417" s="66"/>
      <c r="F417" s="66"/>
      <c r="G417" s="66"/>
      <c r="H417" s="66"/>
      <c r="I417" s="66"/>
      <c r="J417" s="66"/>
      <c r="K417" s="66"/>
      <c r="L417" s="66"/>
      <c r="M417" s="66"/>
      <c r="N417" s="66"/>
      <c r="O417" s="66"/>
      <c r="P417" s="66"/>
      <c r="Q417" s="66"/>
      <c r="R417" s="66"/>
      <c r="S417" s="66"/>
      <c r="T417" s="66"/>
      <c r="U417" s="66"/>
    </row>
    <row r="418" ht="15.75" customHeight="1">
      <c r="A418" s="66"/>
      <c r="B418" s="66"/>
      <c r="C418" s="66"/>
      <c r="D418" s="66"/>
      <c r="E418" s="66"/>
      <c r="F418" s="66"/>
      <c r="G418" s="66"/>
      <c r="H418" s="66"/>
      <c r="I418" s="66"/>
      <c r="J418" s="66"/>
      <c r="K418" s="66"/>
      <c r="L418" s="66"/>
      <c r="M418" s="66"/>
      <c r="N418" s="66"/>
      <c r="O418" s="66"/>
      <c r="P418" s="66"/>
      <c r="Q418" s="66"/>
      <c r="R418" s="66"/>
      <c r="S418" s="66"/>
      <c r="T418" s="66"/>
      <c r="U418" s="66"/>
    </row>
    <row r="419" ht="15.75" customHeight="1">
      <c r="A419" s="66"/>
      <c r="B419" s="66"/>
      <c r="C419" s="66"/>
      <c r="D419" s="66"/>
      <c r="E419" s="66"/>
      <c r="F419" s="66"/>
      <c r="G419" s="66"/>
      <c r="H419" s="66"/>
      <c r="I419" s="66"/>
      <c r="J419" s="66"/>
      <c r="K419" s="66"/>
      <c r="L419" s="66"/>
      <c r="M419" s="66"/>
      <c r="N419" s="66"/>
      <c r="O419" s="66"/>
      <c r="P419" s="66"/>
      <c r="Q419" s="66"/>
      <c r="R419" s="66"/>
      <c r="S419" s="66"/>
      <c r="T419" s="66"/>
      <c r="U419" s="66"/>
    </row>
    <row r="420" ht="15.75" customHeight="1">
      <c r="A420" s="66"/>
      <c r="B420" s="66"/>
      <c r="C420" s="66"/>
      <c r="D420" s="66"/>
      <c r="E420" s="66"/>
      <c r="F420" s="66"/>
      <c r="G420" s="66"/>
      <c r="H420" s="66"/>
      <c r="I420" s="66"/>
      <c r="J420" s="66"/>
      <c r="K420" s="66"/>
      <c r="L420" s="66"/>
      <c r="M420" s="66"/>
      <c r="N420" s="66"/>
      <c r="O420" s="66"/>
      <c r="P420" s="66"/>
      <c r="Q420" s="66"/>
      <c r="R420" s="66"/>
      <c r="S420" s="66"/>
      <c r="T420" s="66"/>
      <c r="U420" s="66"/>
    </row>
    <row r="421" ht="15.75" customHeight="1">
      <c r="A421" s="66"/>
      <c r="B421" s="66"/>
      <c r="C421" s="66"/>
      <c r="D421" s="66"/>
      <c r="E421" s="66"/>
      <c r="F421" s="66"/>
      <c r="G421" s="66"/>
      <c r="H421" s="66"/>
      <c r="I421" s="66"/>
      <c r="J421" s="66"/>
      <c r="K421" s="66"/>
      <c r="L421" s="66"/>
      <c r="M421" s="66"/>
      <c r="N421" s="66"/>
      <c r="O421" s="66"/>
      <c r="P421" s="66"/>
      <c r="Q421" s="66"/>
      <c r="R421" s="66"/>
      <c r="S421" s="66"/>
      <c r="T421" s="66"/>
      <c r="U421" s="66"/>
    </row>
    <row r="422" ht="15.75" customHeight="1">
      <c r="A422" s="66"/>
      <c r="B422" s="66"/>
      <c r="C422" s="66"/>
      <c r="D422" s="66"/>
      <c r="E422" s="66"/>
      <c r="F422" s="66"/>
      <c r="G422" s="66"/>
      <c r="H422" s="66"/>
      <c r="I422" s="66"/>
      <c r="J422" s="66"/>
      <c r="K422" s="66"/>
      <c r="L422" s="66"/>
      <c r="M422" s="66"/>
      <c r="N422" s="66"/>
      <c r="O422" s="66"/>
      <c r="P422" s="66"/>
      <c r="Q422" s="66"/>
      <c r="R422" s="66"/>
      <c r="S422" s="66"/>
      <c r="T422" s="66"/>
      <c r="U422" s="66"/>
    </row>
    <row r="423" ht="15.75" customHeight="1">
      <c r="A423" s="66"/>
      <c r="B423" s="66"/>
      <c r="C423" s="66"/>
      <c r="D423" s="66"/>
      <c r="E423" s="66"/>
      <c r="F423" s="66"/>
      <c r="G423" s="66"/>
      <c r="H423" s="66"/>
      <c r="I423" s="66"/>
      <c r="J423" s="66"/>
      <c r="K423" s="66"/>
      <c r="L423" s="66"/>
      <c r="M423" s="66"/>
      <c r="N423" s="66"/>
      <c r="O423" s="66"/>
      <c r="P423" s="66"/>
      <c r="Q423" s="66"/>
      <c r="R423" s="66"/>
      <c r="S423" s="66"/>
      <c r="T423" s="66"/>
      <c r="U423" s="66"/>
    </row>
    <row r="424" ht="15.75" customHeight="1">
      <c r="A424" s="66"/>
      <c r="B424" s="66"/>
      <c r="C424" s="66"/>
      <c r="D424" s="66"/>
      <c r="E424" s="66"/>
      <c r="F424" s="66"/>
      <c r="G424" s="66"/>
      <c r="H424" s="66"/>
      <c r="I424" s="66"/>
      <c r="J424" s="66"/>
      <c r="K424" s="66"/>
      <c r="L424" s="66"/>
      <c r="M424" s="66"/>
      <c r="N424" s="66"/>
      <c r="O424" s="66"/>
      <c r="P424" s="66"/>
      <c r="Q424" s="66"/>
      <c r="R424" s="66"/>
      <c r="S424" s="66"/>
      <c r="T424" s="66"/>
      <c r="U424" s="66"/>
    </row>
    <row r="425" ht="15.75" customHeight="1">
      <c r="A425" s="66"/>
      <c r="B425" s="66"/>
      <c r="C425" s="66"/>
      <c r="D425" s="66"/>
      <c r="E425" s="66"/>
      <c r="F425" s="66"/>
      <c r="G425" s="66"/>
      <c r="H425" s="66"/>
      <c r="I425" s="66"/>
      <c r="J425" s="66"/>
      <c r="K425" s="66"/>
      <c r="L425" s="66"/>
      <c r="M425" s="66"/>
      <c r="N425" s="66"/>
      <c r="O425" s="66"/>
      <c r="P425" s="66"/>
      <c r="Q425" s="66"/>
      <c r="R425" s="66"/>
      <c r="S425" s="66"/>
      <c r="T425" s="66"/>
      <c r="U425" s="66"/>
    </row>
    <row r="426" ht="15.75" customHeight="1">
      <c r="A426" s="66"/>
      <c r="B426" s="66"/>
      <c r="C426" s="66"/>
      <c r="D426" s="66"/>
      <c r="E426" s="66"/>
      <c r="F426" s="66"/>
      <c r="G426" s="66"/>
      <c r="H426" s="66"/>
      <c r="I426" s="66"/>
      <c r="J426" s="66"/>
      <c r="K426" s="66"/>
      <c r="L426" s="66"/>
      <c r="M426" s="66"/>
      <c r="N426" s="66"/>
      <c r="O426" s="66"/>
      <c r="P426" s="66"/>
      <c r="Q426" s="66"/>
      <c r="R426" s="66"/>
      <c r="S426" s="66"/>
      <c r="T426" s="66"/>
      <c r="U426" s="66"/>
    </row>
    <row r="427" ht="15.75" customHeight="1">
      <c r="A427" s="66"/>
      <c r="B427" s="66"/>
      <c r="C427" s="66"/>
      <c r="D427" s="66"/>
      <c r="E427" s="66"/>
      <c r="F427" s="66"/>
      <c r="G427" s="66"/>
      <c r="H427" s="66"/>
      <c r="I427" s="66"/>
      <c r="J427" s="66"/>
      <c r="K427" s="66"/>
      <c r="L427" s="66"/>
      <c r="M427" s="66"/>
      <c r="N427" s="66"/>
      <c r="O427" s="66"/>
      <c r="P427" s="66"/>
      <c r="Q427" s="66"/>
      <c r="R427" s="66"/>
      <c r="S427" s="66"/>
      <c r="T427" s="66"/>
      <c r="U427" s="66"/>
    </row>
    <row r="428" ht="15.75" customHeight="1">
      <c r="A428" s="66"/>
      <c r="B428" s="66"/>
      <c r="C428" s="66"/>
      <c r="D428" s="66"/>
      <c r="E428" s="66"/>
      <c r="F428" s="66"/>
      <c r="G428" s="66"/>
      <c r="H428" s="66"/>
      <c r="I428" s="66"/>
      <c r="J428" s="66"/>
      <c r="K428" s="66"/>
      <c r="L428" s="66"/>
      <c r="M428" s="66"/>
      <c r="N428" s="66"/>
      <c r="O428" s="66"/>
      <c r="P428" s="66"/>
      <c r="Q428" s="66"/>
      <c r="R428" s="66"/>
      <c r="S428" s="66"/>
      <c r="T428" s="66"/>
      <c r="U428" s="66"/>
    </row>
    <row r="429" ht="15.75" customHeight="1">
      <c r="A429" s="66"/>
      <c r="B429" s="66"/>
      <c r="C429" s="66"/>
      <c r="D429" s="66"/>
      <c r="E429" s="66"/>
      <c r="F429" s="66"/>
      <c r="G429" s="66"/>
      <c r="H429" s="66"/>
      <c r="I429" s="66"/>
      <c r="J429" s="66"/>
      <c r="K429" s="66"/>
      <c r="L429" s="66"/>
      <c r="M429" s="66"/>
      <c r="N429" s="66"/>
      <c r="O429" s="66"/>
      <c r="P429" s="66"/>
      <c r="Q429" s="66"/>
      <c r="R429" s="66"/>
      <c r="S429" s="66"/>
      <c r="T429" s="66"/>
      <c r="U429" s="66"/>
    </row>
    <row r="430" ht="15.75" customHeight="1">
      <c r="A430" s="66"/>
      <c r="B430" s="66"/>
      <c r="C430" s="66"/>
      <c r="D430" s="66"/>
      <c r="E430" s="66"/>
      <c r="F430" s="66"/>
      <c r="G430" s="66"/>
      <c r="H430" s="66"/>
      <c r="I430" s="66"/>
      <c r="J430" s="66"/>
      <c r="K430" s="66"/>
      <c r="L430" s="66"/>
      <c r="M430" s="66"/>
      <c r="N430" s="66"/>
      <c r="O430" s="66"/>
      <c r="P430" s="66"/>
      <c r="Q430" s="66"/>
      <c r="R430" s="66"/>
      <c r="S430" s="66"/>
      <c r="T430" s="66"/>
      <c r="U430" s="66"/>
    </row>
    <row r="431" ht="15.75" customHeight="1">
      <c r="A431" s="66"/>
      <c r="B431" s="66"/>
      <c r="C431" s="66"/>
      <c r="D431" s="66"/>
      <c r="E431" s="66"/>
      <c r="F431" s="66"/>
      <c r="G431" s="66"/>
      <c r="H431" s="66"/>
      <c r="I431" s="66"/>
      <c r="J431" s="66"/>
      <c r="K431" s="66"/>
      <c r="L431" s="66"/>
      <c r="M431" s="66"/>
      <c r="N431" s="66"/>
      <c r="O431" s="66"/>
      <c r="P431" s="66"/>
      <c r="Q431" s="66"/>
      <c r="R431" s="66"/>
      <c r="S431" s="66"/>
      <c r="T431" s="66"/>
      <c r="U431" s="66"/>
    </row>
    <row r="432" ht="15.75" customHeight="1">
      <c r="A432" s="66"/>
      <c r="B432" s="66"/>
      <c r="C432" s="66"/>
      <c r="D432" s="66"/>
      <c r="E432" s="66"/>
      <c r="F432" s="66"/>
      <c r="G432" s="66"/>
      <c r="H432" s="66"/>
      <c r="I432" s="66"/>
      <c r="J432" s="66"/>
      <c r="K432" s="66"/>
      <c r="L432" s="66"/>
      <c r="M432" s="66"/>
      <c r="N432" s="66"/>
      <c r="O432" s="66"/>
      <c r="P432" s="66"/>
      <c r="Q432" s="66"/>
      <c r="R432" s="66"/>
      <c r="S432" s="66"/>
      <c r="T432" s="66"/>
      <c r="U432" s="66"/>
    </row>
    <row r="433" ht="15.75" customHeight="1">
      <c r="A433" s="66"/>
      <c r="B433" s="66"/>
      <c r="C433" s="66"/>
      <c r="D433" s="66"/>
      <c r="E433" s="66"/>
      <c r="F433" s="66"/>
      <c r="G433" s="66"/>
      <c r="H433" s="66"/>
      <c r="I433" s="66"/>
      <c r="J433" s="66"/>
      <c r="K433" s="66"/>
      <c r="L433" s="66"/>
      <c r="M433" s="66"/>
      <c r="N433" s="66"/>
      <c r="O433" s="66"/>
      <c r="P433" s="66"/>
      <c r="Q433" s="66"/>
      <c r="R433" s="66"/>
      <c r="S433" s="66"/>
      <c r="T433" s="66"/>
      <c r="U433" s="66"/>
    </row>
    <row r="434" ht="15.75" customHeight="1">
      <c r="A434" s="66"/>
      <c r="B434" s="66"/>
      <c r="C434" s="66"/>
      <c r="D434" s="66"/>
      <c r="E434" s="66"/>
      <c r="F434" s="66"/>
      <c r="G434" s="66"/>
      <c r="H434" s="66"/>
      <c r="I434" s="66"/>
      <c r="J434" s="66"/>
      <c r="K434" s="66"/>
      <c r="L434" s="66"/>
      <c r="M434" s="66"/>
      <c r="N434" s="66"/>
      <c r="O434" s="66"/>
      <c r="P434" s="66"/>
      <c r="Q434" s="66"/>
      <c r="R434" s="66"/>
      <c r="S434" s="66"/>
      <c r="T434" s="66"/>
      <c r="U434" s="66"/>
    </row>
    <row r="435" ht="15.75" customHeight="1">
      <c r="A435" s="66"/>
      <c r="B435" s="66"/>
      <c r="C435" s="66"/>
      <c r="D435" s="66"/>
      <c r="E435" s="66"/>
      <c r="F435" s="66"/>
      <c r="G435" s="66"/>
      <c r="H435" s="66"/>
      <c r="I435" s="66"/>
      <c r="J435" s="66"/>
      <c r="K435" s="66"/>
      <c r="L435" s="66"/>
      <c r="M435" s="66"/>
      <c r="N435" s="66"/>
      <c r="O435" s="66"/>
      <c r="P435" s="66"/>
      <c r="Q435" s="66"/>
      <c r="R435" s="66"/>
      <c r="S435" s="66"/>
      <c r="T435" s="66"/>
      <c r="U435" s="66"/>
    </row>
    <row r="436" ht="15.75" customHeight="1">
      <c r="A436" s="66"/>
      <c r="B436" s="66"/>
      <c r="C436" s="66"/>
      <c r="D436" s="66"/>
      <c r="E436" s="66"/>
      <c r="F436" s="66"/>
      <c r="G436" s="66"/>
      <c r="H436" s="66"/>
      <c r="I436" s="66"/>
      <c r="J436" s="66"/>
      <c r="K436" s="66"/>
      <c r="L436" s="66"/>
      <c r="M436" s="66"/>
      <c r="N436" s="66"/>
      <c r="O436" s="66"/>
      <c r="P436" s="66"/>
      <c r="Q436" s="66"/>
      <c r="R436" s="66"/>
      <c r="S436" s="66"/>
      <c r="T436" s="66"/>
      <c r="U436" s="66"/>
    </row>
    <row r="437" ht="15.75" customHeight="1">
      <c r="A437" s="66"/>
      <c r="B437" s="66"/>
      <c r="C437" s="66"/>
      <c r="D437" s="66"/>
      <c r="E437" s="66"/>
      <c r="F437" s="66"/>
      <c r="G437" s="66"/>
      <c r="H437" s="66"/>
      <c r="I437" s="66"/>
      <c r="J437" s="66"/>
      <c r="K437" s="66"/>
      <c r="L437" s="66"/>
      <c r="M437" s="66"/>
      <c r="N437" s="66"/>
      <c r="O437" s="66"/>
      <c r="P437" s="66"/>
      <c r="Q437" s="66"/>
      <c r="R437" s="66"/>
      <c r="S437" s="66"/>
      <c r="T437" s="66"/>
      <c r="U437" s="66"/>
    </row>
    <row r="438" ht="15.75" customHeight="1">
      <c r="A438" s="66"/>
      <c r="B438" s="66"/>
      <c r="C438" s="66"/>
      <c r="D438" s="66"/>
      <c r="E438" s="66"/>
      <c r="F438" s="66"/>
      <c r="G438" s="66"/>
      <c r="H438" s="66"/>
      <c r="I438" s="66"/>
      <c r="J438" s="66"/>
      <c r="K438" s="66"/>
      <c r="L438" s="66"/>
      <c r="M438" s="66"/>
      <c r="N438" s="66"/>
      <c r="O438" s="66"/>
      <c r="P438" s="66"/>
      <c r="Q438" s="66"/>
      <c r="R438" s="66"/>
      <c r="S438" s="66"/>
      <c r="T438" s="66"/>
      <c r="U438" s="66"/>
    </row>
    <row r="439" ht="15.75" customHeight="1">
      <c r="A439" s="66"/>
      <c r="B439" s="66"/>
      <c r="C439" s="66"/>
      <c r="D439" s="66"/>
      <c r="E439" s="66"/>
      <c r="F439" s="66"/>
      <c r="G439" s="66"/>
      <c r="H439" s="66"/>
      <c r="I439" s="66"/>
      <c r="J439" s="66"/>
      <c r="K439" s="66"/>
      <c r="L439" s="66"/>
      <c r="M439" s="66"/>
      <c r="N439" s="66"/>
      <c r="O439" s="66"/>
      <c r="P439" s="66"/>
      <c r="Q439" s="66"/>
      <c r="R439" s="66"/>
      <c r="S439" s="66"/>
      <c r="T439" s="66"/>
      <c r="U439" s="66"/>
    </row>
    <row r="440" ht="15.75" customHeight="1">
      <c r="A440" s="66"/>
      <c r="B440" s="66"/>
      <c r="C440" s="66"/>
      <c r="D440" s="66"/>
      <c r="E440" s="66"/>
      <c r="F440" s="66"/>
      <c r="G440" s="66"/>
      <c r="H440" s="66"/>
      <c r="I440" s="66"/>
      <c r="J440" s="66"/>
      <c r="K440" s="66"/>
      <c r="L440" s="66"/>
      <c r="M440" s="66"/>
      <c r="N440" s="66"/>
      <c r="O440" s="66"/>
      <c r="P440" s="66"/>
      <c r="Q440" s="66"/>
      <c r="R440" s="66"/>
      <c r="S440" s="66"/>
      <c r="T440" s="66"/>
      <c r="U440" s="66"/>
    </row>
    <row r="441" ht="15.75" customHeight="1">
      <c r="A441" s="66"/>
      <c r="B441" s="66"/>
      <c r="C441" s="66"/>
      <c r="D441" s="66"/>
      <c r="E441" s="66"/>
      <c r="F441" s="66"/>
      <c r="G441" s="66"/>
      <c r="H441" s="66"/>
      <c r="I441" s="66"/>
      <c r="J441" s="66"/>
      <c r="K441" s="66"/>
      <c r="L441" s="66"/>
      <c r="M441" s="66"/>
      <c r="N441" s="66"/>
      <c r="O441" s="66"/>
      <c r="P441" s="66"/>
      <c r="Q441" s="66"/>
      <c r="R441" s="66"/>
      <c r="S441" s="66"/>
      <c r="T441" s="66"/>
      <c r="U441" s="66"/>
    </row>
    <row r="442" ht="15.75" customHeight="1">
      <c r="A442" s="66"/>
      <c r="B442" s="66"/>
      <c r="C442" s="66"/>
      <c r="D442" s="66"/>
      <c r="E442" s="66"/>
      <c r="F442" s="66"/>
      <c r="G442" s="66"/>
      <c r="H442" s="66"/>
      <c r="I442" s="66"/>
      <c r="J442" s="66"/>
      <c r="K442" s="66"/>
      <c r="L442" s="66"/>
      <c r="M442" s="66"/>
      <c r="N442" s="66"/>
      <c r="O442" s="66"/>
      <c r="P442" s="66"/>
      <c r="Q442" s="66"/>
      <c r="R442" s="66"/>
      <c r="S442" s="66"/>
      <c r="T442" s="66"/>
      <c r="U442" s="66"/>
    </row>
    <row r="443" ht="15.75" customHeight="1">
      <c r="A443" s="66"/>
      <c r="B443" s="66"/>
      <c r="C443" s="66"/>
      <c r="D443" s="66"/>
      <c r="E443" s="66"/>
      <c r="F443" s="66"/>
      <c r="G443" s="66"/>
      <c r="H443" s="66"/>
      <c r="I443" s="66"/>
      <c r="J443" s="66"/>
      <c r="K443" s="66"/>
      <c r="L443" s="66"/>
      <c r="M443" s="66"/>
      <c r="N443" s="66"/>
      <c r="O443" s="66"/>
      <c r="P443" s="66"/>
      <c r="Q443" s="66"/>
      <c r="R443" s="66"/>
      <c r="S443" s="66"/>
      <c r="T443" s="66"/>
      <c r="U443" s="66"/>
    </row>
    <row r="444" ht="15.75" customHeight="1">
      <c r="A444" s="66"/>
      <c r="B444" s="66"/>
      <c r="C444" s="66"/>
      <c r="D444" s="66"/>
      <c r="E444" s="66"/>
      <c r="F444" s="66"/>
      <c r="G444" s="66"/>
      <c r="H444" s="66"/>
      <c r="I444" s="66"/>
      <c r="J444" s="66"/>
      <c r="K444" s="66"/>
      <c r="L444" s="66"/>
      <c r="M444" s="66"/>
      <c r="N444" s="66"/>
      <c r="O444" s="66"/>
      <c r="P444" s="66"/>
      <c r="Q444" s="66"/>
      <c r="R444" s="66"/>
      <c r="S444" s="66"/>
      <c r="T444" s="66"/>
      <c r="U444" s="66"/>
    </row>
    <row r="445" ht="15.75" customHeight="1">
      <c r="A445" s="66"/>
      <c r="B445" s="66"/>
      <c r="C445" s="66"/>
      <c r="D445" s="66"/>
      <c r="E445" s="66"/>
      <c r="F445" s="66"/>
      <c r="G445" s="66"/>
      <c r="H445" s="66"/>
      <c r="I445" s="66"/>
      <c r="J445" s="66"/>
      <c r="K445" s="66"/>
      <c r="L445" s="66"/>
      <c r="M445" s="66"/>
      <c r="N445" s="66"/>
      <c r="O445" s="66"/>
      <c r="P445" s="66"/>
      <c r="Q445" s="66"/>
      <c r="R445" s="66"/>
      <c r="S445" s="66"/>
      <c r="T445" s="66"/>
      <c r="U445" s="66"/>
    </row>
    <row r="446" ht="15.75" customHeight="1">
      <c r="A446" s="66"/>
      <c r="B446" s="66"/>
      <c r="C446" s="66"/>
      <c r="D446" s="66"/>
      <c r="E446" s="66"/>
      <c r="F446" s="66"/>
      <c r="G446" s="66"/>
      <c r="H446" s="66"/>
      <c r="I446" s="66"/>
      <c r="J446" s="66"/>
      <c r="K446" s="66"/>
      <c r="L446" s="66"/>
      <c r="M446" s="66"/>
      <c r="N446" s="66"/>
      <c r="O446" s="66"/>
      <c r="P446" s="66"/>
      <c r="Q446" s="66"/>
      <c r="R446" s="66"/>
      <c r="S446" s="66"/>
      <c r="T446" s="66"/>
      <c r="U446" s="66"/>
    </row>
    <row r="447" ht="15.75" customHeight="1">
      <c r="A447" s="66"/>
      <c r="B447" s="66"/>
      <c r="C447" s="66"/>
      <c r="D447" s="66"/>
      <c r="E447" s="66"/>
      <c r="F447" s="66"/>
      <c r="G447" s="66"/>
      <c r="H447" s="66"/>
      <c r="I447" s="66"/>
      <c r="J447" s="66"/>
      <c r="K447" s="66"/>
      <c r="L447" s="66"/>
      <c r="M447" s="66"/>
      <c r="N447" s="66"/>
      <c r="O447" s="66"/>
      <c r="P447" s="66"/>
      <c r="Q447" s="66"/>
      <c r="R447" s="66"/>
      <c r="S447" s="66"/>
      <c r="T447" s="66"/>
      <c r="U447" s="66"/>
    </row>
    <row r="448" ht="15.75" customHeight="1">
      <c r="A448" s="66"/>
      <c r="B448" s="66"/>
      <c r="C448" s="66"/>
      <c r="D448" s="66"/>
      <c r="E448" s="66"/>
      <c r="F448" s="66"/>
      <c r="G448" s="66"/>
      <c r="H448" s="66"/>
      <c r="I448" s="66"/>
      <c r="J448" s="66"/>
      <c r="K448" s="66"/>
      <c r="L448" s="66"/>
      <c r="M448" s="66"/>
      <c r="N448" s="66"/>
      <c r="O448" s="66"/>
      <c r="P448" s="66"/>
      <c r="Q448" s="66"/>
      <c r="R448" s="66"/>
      <c r="S448" s="66"/>
      <c r="T448" s="66"/>
      <c r="U448" s="66"/>
    </row>
    <row r="449" ht="15.75" customHeight="1">
      <c r="A449" s="66"/>
      <c r="B449" s="66"/>
      <c r="C449" s="66"/>
      <c r="D449" s="66"/>
      <c r="E449" s="66"/>
      <c r="F449" s="66"/>
      <c r="G449" s="66"/>
      <c r="H449" s="66"/>
      <c r="I449" s="66"/>
      <c r="J449" s="66"/>
      <c r="K449" s="66"/>
      <c r="L449" s="66"/>
      <c r="M449" s="66"/>
      <c r="N449" s="66"/>
      <c r="O449" s="66"/>
      <c r="P449" s="66"/>
      <c r="Q449" s="66"/>
      <c r="R449" s="66"/>
      <c r="S449" s="66"/>
      <c r="T449" s="66"/>
      <c r="U449" s="66"/>
    </row>
    <row r="450" ht="15.75" customHeight="1">
      <c r="A450" s="66"/>
      <c r="B450" s="66"/>
      <c r="C450" s="66"/>
      <c r="D450" s="66"/>
      <c r="E450" s="66"/>
      <c r="F450" s="66"/>
      <c r="G450" s="66"/>
      <c r="H450" s="66"/>
      <c r="I450" s="66"/>
      <c r="J450" s="66"/>
      <c r="K450" s="66"/>
      <c r="L450" s="66"/>
      <c r="M450" s="66"/>
      <c r="N450" s="66"/>
      <c r="O450" s="66"/>
      <c r="P450" s="66"/>
      <c r="Q450" s="66"/>
      <c r="R450" s="66"/>
      <c r="S450" s="66"/>
      <c r="T450" s="66"/>
      <c r="U450" s="66"/>
    </row>
    <row r="451" ht="15.75" customHeight="1">
      <c r="A451" s="66"/>
      <c r="B451" s="66"/>
      <c r="C451" s="66"/>
      <c r="D451" s="66"/>
      <c r="E451" s="66"/>
      <c r="F451" s="66"/>
      <c r="G451" s="66"/>
      <c r="H451" s="66"/>
      <c r="I451" s="66"/>
      <c r="J451" s="66"/>
      <c r="K451" s="66"/>
      <c r="L451" s="66"/>
      <c r="M451" s="66"/>
      <c r="N451" s="66"/>
      <c r="O451" s="66"/>
      <c r="P451" s="66"/>
      <c r="Q451" s="66"/>
      <c r="R451" s="66"/>
      <c r="S451" s="66"/>
      <c r="T451" s="66"/>
      <c r="U451" s="66"/>
    </row>
    <row r="452" ht="15.75" customHeight="1">
      <c r="A452" s="66"/>
      <c r="B452" s="66"/>
      <c r="C452" s="66"/>
      <c r="D452" s="66"/>
      <c r="E452" s="66"/>
      <c r="F452" s="66"/>
      <c r="G452" s="66"/>
      <c r="H452" s="66"/>
      <c r="I452" s="66"/>
      <c r="J452" s="66"/>
      <c r="K452" s="66"/>
      <c r="L452" s="66"/>
      <c r="M452" s="66"/>
      <c r="N452" s="66"/>
      <c r="O452" s="66"/>
      <c r="P452" s="66"/>
      <c r="Q452" s="66"/>
      <c r="R452" s="66"/>
      <c r="S452" s="66"/>
      <c r="T452" s="66"/>
      <c r="U452" s="66"/>
    </row>
    <row r="453" ht="15.75" customHeight="1">
      <c r="A453" s="66"/>
      <c r="B453" s="66"/>
      <c r="C453" s="66"/>
      <c r="D453" s="66"/>
      <c r="E453" s="66"/>
      <c r="F453" s="66"/>
      <c r="G453" s="66"/>
      <c r="H453" s="66"/>
      <c r="I453" s="66"/>
      <c r="J453" s="66"/>
      <c r="K453" s="66"/>
      <c r="L453" s="66"/>
      <c r="M453" s="66"/>
      <c r="N453" s="66"/>
      <c r="O453" s="66"/>
      <c r="P453" s="66"/>
      <c r="Q453" s="66"/>
      <c r="R453" s="66"/>
      <c r="S453" s="66"/>
      <c r="T453" s="66"/>
      <c r="U453" s="66"/>
    </row>
    <row r="454" ht="15.75" customHeight="1">
      <c r="A454" s="66"/>
      <c r="B454" s="66"/>
      <c r="C454" s="66"/>
      <c r="D454" s="66"/>
      <c r="E454" s="66"/>
      <c r="F454" s="66"/>
      <c r="G454" s="66"/>
      <c r="H454" s="66"/>
      <c r="I454" s="66"/>
      <c r="J454" s="66"/>
      <c r="K454" s="66"/>
      <c r="L454" s="66"/>
      <c r="M454" s="66"/>
      <c r="N454" s="66"/>
      <c r="O454" s="66"/>
      <c r="P454" s="66"/>
      <c r="Q454" s="66"/>
      <c r="R454" s="66"/>
      <c r="S454" s="66"/>
      <c r="T454" s="66"/>
      <c r="U454" s="66"/>
    </row>
    <row r="455" ht="15.75" customHeight="1">
      <c r="A455" s="66"/>
      <c r="B455" s="66"/>
      <c r="C455" s="66"/>
      <c r="D455" s="66"/>
      <c r="E455" s="66"/>
      <c r="F455" s="66"/>
      <c r="G455" s="66"/>
      <c r="H455" s="66"/>
      <c r="I455" s="66"/>
      <c r="J455" s="66"/>
      <c r="K455" s="66"/>
      <c r="L455" s="66"/>
      <c r="M455" s="66"/>
      <c r="N455" s="66"/>
      <c r="O455" s="66"/>
      <c r="P455" s="66"/>
      <c r="Q455" s="66"/>
      <c r="R455" s="66"/>
      <c r="S455" s="66"/>
      <c r="T455" s="66"/>
      <c r="U455" s="66"/>
    </row>
    <row r="456" ht="15.75" customHeight="1">
      <c r="A456" s="66"/>
      <c r="B456" s="66"/>
      <c r="C456" s="66"/>
      <c r="D456" s="66"/>
      <c r="E456" s="66"/>
      <c r="F456" s="66"/>
      <c r="G456" s="66"/>
      <c r="H456" s="66"/>
      <c r="I456" s="66"/>
      <c r="J456" s="66"/>
      <c r="K456" s="66"/>
      <c r="L456" s="66"/>
      <c r="M456" s="66"/>
      <c r="N456" s="66"/>
      <c r="O456" s="66"/>
      <c r="P456" s="66"/>
      <c r="Q456" s="66"/>
      <c r="R456" s="66"/>
      <c r="S456" s="66"/>
      <c r="T456" s="66"/>
      <c r="U456" s="66"/>
    </row>
    <row r="457" ht="15.75" customHeight="1">
      <c r="A457" s="66"/>
      <c r="B457" s="66"/>
      <c r="C457" s="66"/>
      <c r="D457" s="66"/>
      <c r="E457" s="66"/>
      <c r="F457" s="66"/>
      <c r="G457" s="66"/>
      <c r="H457" s="66"/>
      <c r="I457" s="66"/>
      <c r="J457" s="66"/>
      <c r="K457" s="66"/>
      <c r="L457" s="66"/>
      <c r="M457" s="66"/>
      <c r="N457" s="66"/>
      <c r="O457" s="66"/>
      <c r="P457" s="66"/>
      <c r="Q457" s="66"/>
      <c r="R457" s="66"/>
      <c r="S457" s="66"/>
      <c r="T457" s="66"/>
      <c r="U457" s="66"/>
    </row>
    <row r="458" ht="15.75" customHeight="1">
      <c r="A458" s="66"/>
      <c r="B458" s="66"/>
      <c r="C458" s="66"/>
      <c r="D458" s="66"/>
      <c r="E458" s="66"/>
      <c r="F458" s="66"/>
      <c r="G458" s="66"/>
      <c r="H458" s="66"/>
      <c r="I458" s="66"/>
      <c r="J458" s="66"/>
      <c r="K458" s="66"/>
      <c r="L458" s="66"/>
      <c r="M458" s="66"/>
      <c r="N458" s="66"/>
      <c r="O458" s="66"/>
      <c r="P458" s="66"/>
      <c r="Q458" s="66"/>
      <c r="R458" s="66"/>
      <c r="S458" s="66"/>
      <c r="T458" s="66"/>
      <c r="U458" s="66"/>
    </row>
    <row r="459" ht="15.75" customHeight="1">
      <c r="A459" s="66"/>
      <c r="B459" s="66"/>
      <c r="C459" s="66"/>
      <c r="D459" s="66"/>
      <c r="E459" s="66"/>
      <c r="F459" s="66"/>
      <c r="G459" s="66"/>
      <c r="H459" s="66"/>
      <c r="I459" s="66"/>
      <c r="J459" s="66"/>
      <c r="K459" s="66"/>
      <c r="L459" s="66"/>
      <c r="M459" s="66"/>
      <c r="N459" s="66"/>
      <c r="O459" s="66"/>
      <c r="P459" s="66"/>
      <c r="Q459" s="66"/>
      <c r="R459" s="66"/>
      <c r="S459" s="66"/>
      <c r="T459" s="66"/>
      <c r="U459" s="66"/>
    </row>
    <row r="460" ht="15.75" customHeight="1">
      <c r="A460" s="66"/>
      <c r="B460" s="66"/>
      <c r="C460" s="66"/>
      <c r="D460" s="66"/>
      <c r="E460" s="66"/>
      <c r="F460" s="66"/>
      <c r="G460" s="66"/>
      <c r="H460" s="66"/>
      <c r="I460" s="66"/>
      <c r="J460" s="66"/>
      <c r="K460" s="66"/>
      <c r="L460" s="66"/>
      <c r="M460" s="66"/>
      <c r="N460" s="66"/>
      <c r="O460" s="66"/>
      <c r="P460" s="66"/>
      <c r="Q460" s="66"/>
      <c r="R460" s="66"/>
      <c r="S460" s="66"/>
      <c r="T460" s="66"/>
      <c r="U460" s="66"/>
    </row>
    <row r="461" ht="15.75" customHeight="1">
      <c r="A461" s="66"/>
      <c r="B461" s="66"/>
      <c r="C461" s="66"/>
      <c r="D461" s="66"/>
      <c r="E461" s="66"/>
      <c r="F461" s="66"/>
      <c r="G461" s="66"/>
      <c r="H461" s="66"/>
      <c r="I461" s="66"/>
      <c r="J461" s="66"/>
      <c r="K461" s="66"/>
      <c r="L461" s="66"/>
      <c r="M461" s="66"/>
      <c r="N461" s="66"/>
      <c r="O461" s="66"/>
      <c r="P461" s="66"/>
      <c r="Q461" s="66"/>
      <c r="R461" s="66"/>
      <c r="S461" s="66"/>
      <c r="T461" s="66"/>
      <c r="U461" s="66"/>
    </row>
    <row r="462" ht="15.75" customHeight="1">
      <c r="A462" s="66"/>
      <c r="B462" s="66"/>
      <c r="C462" s="66"/>
      <c r="D462" s="66"/>
      <c r="E462" s="66"/>
      <c r="F462" s="66"/>
      <c r="G462" s="66"/>
      <c r="H462" s="66"/>
      <c r="I462" s="66"/>
      <c r="J462" s="66"/>
      <c r="K462" s="66"/>
      <c r="L462" s="66"/>
      <c r="M462" s="66"/>
      <c r="N462" s="66"/>
      <c r="O462" s="66"/>
      <c r="P462" s="66"/>
      <c r="Q462" s="66"/>
      <c r="R462" s="66"/>
      <c r="S462" s="66"/>
      <c r="T462" s="66"/>
      <c r="U462" s="66"/>
    </row>
    <row r="463" ht="15.75" customHeight="1">
      <c r="A463" s="66"/>
      <c r="B463" s="66"/>
      <c r="C463" s="66"/>
      <c r="D463" s="66"/>
      <c r="E463" s="66"/>
      <c r="F463" s="66"/>
      <c r="G463" s="66"/>
      <c r="H463" s="66"/>
      <c r="I463" s="66"/>
      <c r="J463" s="66"/>
      <c r="K463" s="66"/>
      <c r="L463" s="66"/>
      <c r="M463" s="66"/>
      <c r="N463" s="66"/>
      <c r="O463" s="66"/>
      <c r="P463" s="66"/>
      <c r="Q463" s="66"/>
      <c r="R463" s="66"/>
      <c r="S463" s="66"/>
      <c r="T463" s="66"/>
      <c r="U463" s="66"/>
    </row>
    <row r="464" ht="15.75" customHeight="1">
      <c r="A464" s="66"/>
      <c r="B464" s="66"/>
      <c r="C464" s="66"/>
      <c r="D464" s="66"/>
      <c r="E464" s="66"/>
      <c r="F464" s="66"/>
      <c r="G464" s="66"/>
      <c r="H464" s="66"/>
      <c r="I464" s="66"/>
      <c r="J464" s="66"/>
      <c r="K464" s="66"/>
      <c r="L464" s="66"/>
      <c r="M464" s="66"/>
      <c r="N464" s="66"/>
      <c r="O464" s="66"/>
      <c r="P464" s="66"/>
      <c r="Q464" s="66"/>
      <c r="R464" s="66"/>
      <c r="S464" s="66"/>
      <c r="T464" s="66"/>
      <c r="U464" s="66"/>
    </row>
    <row r="465" ht="15.75" customHeight="1">
      <c r="A465" s="66"/>
      <c r="B465" s="66"/>
      <c r="C465" s="66"/>
      <c r="D465" s="66"/>
      <c r="E465" s="66"/>
      <c r="F465" s="66"/>
      <c r="G465" s="66"/>
      <c r="H465" s="66"/>
      <c r="I465" s="66"/>
      <c r="J465" s="66"/>
      <c r="K465" s="66"/>
      <c r="L465" s="66"/>
      <c r="M465" s="66"/>
      <c r="N465" s="66"/>
      <c r="O465" s="66"/>
      <c r="P465" s="66"/>
      <c r="Q465" s="66"/>
      <c r="R465" s="66"/>
      <c r="S465" s="66"/>
      <c r="T465" s="66"/>
      <c r="U465" s="66"/>
    </row>
    <row r="466" ht="15.75" customHeight="1">
      <c r="A466" s="66"/>
      <c r="B466" s="66"/>
      <c r="C466" s="66"/>
      <c r="D466" s="66"/>
      <c r="E466" s="66"/>
      <c r="F466" s="66"/>
      <c r="G466" s="66"/>
      <c r="H466" s="66"/>
      <c r="I466" s="66"/>
      <c r="J466" s="66"/>
      <c r="K466" s="66"/>
      <c r="L466" s="66"/>
      <c r="M466" s="66"/>
      <c r="N466" s="66"/>
      <c r="O466" s="66"/>
      <c r="P466" s="66"/>
      <c r="Q466" s="66"/>
      <c r="R466" s="66"/>
      <c r="S466" s="66"/>
      <c r="T466" s="66"/>
      <c r="U466" s="66"/>
    </row>
    <row r="467" ht="15.75" customHeight="1">
      <c r="A467" s="66"/>
      <c r="B467" s="66"/>
      <c r="C467" s="66"/>
      <c r="D467" s="66"/>
      <c r="E467" s="66"/>
      <c r="F467" s="66"/>
      <c r="G467" s="66"/>
      <c r="H467" s="66"/>
      <c r="I467" s="66"/>
      <c r="J467" s="66"/>
      <c r="K467" s="66"/>
      <c r="L467" s="66"/>
      <c r="M467" s="66"/>
      <c r="N467" s="66"/>
      <c r="O467" s="66"/>
      <c r="P467" s="66"/>
      <c r="Q467" s="66"/>
      <c r="R467" s="66"/>
      <c r="S467" s="66"/>
      <c r="T467" s="66"/>
      <c r="U467" s="66"/>
    </row>
    <row r="468" ht="15.75" customHeight="1">
      <c r="A468" s="66"/>
      <c r="B468" s="66"/>
      <c r="C468" s="66"/>
      <c r="D468" s="66"/>
      <c r="E468" s="66"/>
      <c r="F468" s="66"/>
      <c r="G468" s="66"/>
      <c r="H468" s="66"/>
      <c r="I468" s="66"/>
      <c r="J468" s="66"/>
      <c r="K468" s="66"/>
      <c r="L468" s="66"/>
      <c r="M468" s="66"/>
      <c r="N468" s="66"/>
      <c r="O468" s="66"/>
      <c r="P468" s="66"/>
      <c r="Q468" s="66"/>
      <c r="R468" s="66"/>
      <c r="S468" s="66"/>
      <c r="T468" s="66"/>
      <c r="U468" s="66"/>
    </row>
    <row r="469" ht="15.75" customHeight="1">
      <c r="A469" s="66"/>
      <c r="B469" s="66"/>
      <c r="C469" s="66"/>
      <c r="D469" s="66"/>
      <c r="E469" s="66"/>
      <c r="F469" s="66"/>
      <c r="G469" s="66"/>
      <c r="H469" s="66"/>
      <c r="I469" s="66"/>
      <c r="J469" s="66"/>
      <c r="K469" s="66"/>
      <c r="L469" s="66"/>
      <c r="M469" s="66"/>
      <c r="N469" s="66"/>
      <c r="O469" s="66"/>
      <c r="P469" s="66"/>
      <c r="Q469" s="66"/>
      <c r="R469" s="66"/>
      <c r="S469" s="66"/>
      <c r="T469" s="66"/>
      <c r="U469" s="66"/>
    </row>
    <row r="470" ht="15.75" customHeight="1">
      <c r="A470" s="66"/>
      <c r="B470" s="66"/>
      <c r="C470" s="66"/>
      <c r="D470" s="66"/>
      <c r="E470" s="66"/>
      <c r="F470" s="66"/>
      <c r="G470" s="66"/>
      <c r="H470" s="66"/>
      <c r="I470" s="66"/>
      <c r="J470" s="66"/>
      <c r="K470" s="66"/>
      <c r="L470" s="66"/>
      <c r="M470" s="66"/>
      <c r="N470" s="66"/>
      <c r="O470" s="66"/>
      <c r="P470" s="66"/>
      <c r="Q470" s="66"/>
      <c r="R470" s="66"/>
      <c r="S470" s="66"/>
      <c r="T470" s="66"/>
      <c r="U470" s="66"/>
    </row>
    <row r="471" ht="15.75" customHeight="1">
      <c r="A471" s="66"/>
      <c r="B471" s="66"/>
      <c r="C471" s="66"/>
      <c r="D471" s="66"/>
      <c r="E471" s="66"/>
      <c r="F471" s="66"/>
      <c r="G471" s="66"/>
      <c r="H471" s="66"/>
      <c r="I471" s="66"/>
      <c r="J471" s="66"/>
      <c r="K471" s="66"/>
      <c r="L471" s="66"/>
      <c r="M471" s="66"/>
      <c r="N471" s="66"/>
      <c r="O471" s="66"/>
      <c r="P471" s="66"/>
      <c r="Q471" s="66"/>
      <c r="R471" s="66"/>
      <c r="S471" s="66"/>
      <c r="T471" s="66"/>
      <c r="U471" s="66"/>
    </row>
    <row r="472" ht="15.75" customHeight="1">
      <c r="A472" s="66"/>
      <c r="B472" s="66"/>
      <c r="C472" s="66"/>
      <c r="D472" s="66"/>
      <c r="E472" s="66"/>
      <c r="F472" s="66"/>
      <c r="G472" s="66"/>
      <c r="H472" s="66"/>
      <c r="I472" s="66"/>
      <c r="J472" s="66"/>
      <c r="K472" s="66"/>
      <c r="L472" s="66"/>
      <c r="M472" s="66"/>
      <c r="N472" s="66"/>
      <c r="O472" s="66"/>
      <c r="P472" s="66"/>
      <c r="Q472" s="66"/>
      <c r="R472" s="66"/>
      <c r="S472" s="66"/>
      <c r="T472" s="66"/>
      <c r="U472" s="66"/>
    </row>
    <row r="473" ht="15.75" customHeight="1">
      <c r="A473" s="66"/>
      <c r="B473" s="66"/>
      <c r="C473" s="66"/>
      <c r="D473" s="66"/>
      <c r="E473" s="66"/>
      <c r="F473" s="66"/>
      <c r="G473" s="66"/>
      <c r="H473" s="66"/>
      <c r="I473" s="66"/>
      <c r="J473" s="66"/>
      <c r="K473" s="66"/>
      <c r="L473" s="66"/>
      <c r="M473" s="66"/>
      <c r="N473" s="66"/>
      <c r="O473" s="66"/>
      <c r="P473" s="66"/>
      <c r="Q473" s="66"/>
      <c r="R473" s="66"/>
      <c r="S473" s="66"/>
      <c r="T473" s="66"/>
      <c r="U473" s="66"/>
    </row>
    <row r="474" ht="15.75" customHeight="1">
      <c r="A474" s="66"/>
      <c r="B474" s="66"/>
      <c r="C474" s="66"/>
      <c r="D474" s="66"/>
      <c r="E474" s="66"/>
      <c r="F474" s="66"/>
      <c r="G474" s="66"/>
      <c r="H474" s="66"/>
      <c r="I474" s="66"/>
      <c r="J474" s="66"/>
      <c r="K474" s="66"/>
      <c r="L474" s="66"/>
      <c r="M474" s="66"/>
      <c r="N474" s="66"/>
      <c r="O474" s="66"/>
      <c r="P474" s="66"/>
      <c r="Q474" s="66"/>
      <c r="R474" s="66"/>
      <c r="S474" s="66"/>
      <c r="T474" s="66"/>
      <c r="U474" s="66"/>
    </row>
    <row r="475" ht="15.75" customHeight="1">
      <c r="A475" s="66"/>
      <c r="B475" s="66"/>
      <c r="C475" s="66"/>
      <c r="D475" s="66"/>
      <c r="E475" s="66"/>
      <c r="F475" s="66"/>
      <c r="G475" s="66"/>
      <c r="H475" s="66"/>
      <c r="I475" s="66"/>
      <c r="J475" s="66"/>
      <c r="K475" s="66"/>
      <c r="L475" s="66"/>
      <c r="M475" s="66"/>
      <c r="N475" s="66"/>
      <c r="O475" s="66"/>
      <c r="P475" s="66"/>
      <c r="Q475" s="66"/>
      <c r="R475" s="66"/>
      <c r="S475" s="66"/>
      <c r="T475" s="66"/>
      <c r="U475" s="66"/>
    </row>
    <row r="476" ht="15.75" customHeight="1">
      <c r="A476" s="66"/>
      <c r="B476" s="66"/>
      <c r="C476" s="66"/>
      <c r="D476" s="66"/>
      <c r="E476" s="66"/>
      <c r="F476" s="66"/>
      <c r="G476" s="66"/>
      <c r="H476" s="66"/>
      <c r="I476" s="66"/>
      <c r="J476" s="66"/>
      <c r="K476" s="66"/>
      <c r="L476" s="66"/>
      <c r="M476" s="66"/>
      <c r="N476" s="66"/>
      <c r="O476" s="66"/>
      <c r="P476" s="66"/>
      <c r="Q476" s="66"/>
      <c r="R476" s="66"/>
      <c r="S476" s="66"/>
      <c r="T476" s="66"/>
      <c r="U476" s="66"/>
    </row>
    <row r="477" ht="15.75" customHeight="1">
      <c r="A477" s="66"/>
      <c r="B477" s="66"/>
      <c r="C477" s="66"/>
      <c r="D477" s="66"/>
      <c r="E477" s="66"/>
      <c r="F477" s="66"/>
      <c r="G477" s="66"/>
      <c r="H477" s="66"/>
      <c r="I477" s="66"/>
      <c r="J477" s="66"/>
      <c r="K477" s="66"/>
      <c r="L477" s="66"/>
      <c r="M477" s="66"/>
      <c r="N477" s="66"/>
      <c r="O477" s="66"/>
      <c r="P477" s="66"/>
      <c r="Q477" s="66"/>
      <c r="R477" s="66"/>
      <c r="S477" s="66"/>
      <c r="T477" s="66"/>
      <c r="U477" s="66"/>
    </row>
    <row r="478" ht="15.75" customHeight="1">
      <c r="A478" s="66"/>
      <c r="B478" s="66"/>
      <c r="C478" s="66"/>
      <c r="D478" s="66"/>
      <c r="E478" s="66"/>
      <c r="F478" s="66"/>
      <c r="G478" s="66"/>
      <c r="H478" s="66"/>
      <c r="I478" s="66"/>
      <c r="J478" s="66"/>
      <c r="K478" s="66"/>
      <c r="L478" s="66"/>
      <c r="M478" s="66"/>
      <c r="N478" s="66"/>
      <c r="O478" s="66"/>
      <c r="P478" s="66"/>
      <c r="Q478" s="66"/>
      <c r="R478" s="66"/>
      <c r="S478" s="66"/>
      <c r="T478" s="66"/>
      <c r="U478" s="66"/>
    </row>
    <row r="479" ht="15.75" customHeight="1">
      <c r="A479" s="66"/>
      <c r="B479" s="66"/>
      <c r="C479" s="66"/>
      <c r="D479" s="66"/>
      <c r="E479" s="66"/>
      <c r="F479" s="66"/>
      <c r="G479" s="66"/>
      <c r="H479" s="66"/>
      <c r="I479" s="66"/>
      <c r="J479" s="66"/>
      <c r="K479" s="66"/>
      <c r="L479" s="66"/>
      <c r="M479" s="66"/>
      <c r="N479" s="66"/>
      <c r="O479" s="66"/>
      <c r="P479" s="66"/>
      <c r="Q479" s="66"/>
      <c r="R479" s="66"/>
      <c r="S479" s="66"/>
      <c r="T479" s="66"/>
      <c r="U479" s="66"/>
    </row>
    <row r="480" ht="15.75" customHeight="1">
      <c r="A480" s="66"/>
      <c r="B480" s="66"/>
      <c r="C480" s="66"/>
      <c r="D480" s="66"/>
      <c r="E480" s="66"/>
      <c r="F480" s="66"/>
      <c r="G480" s="66"/>
      <c r="H480" s="66"/>
      <c r="I480" s="66"/>
      <c r="J480" s="66"/>
      <c r="K480" s="66"/>
      <c r="L480" s="66"/>
      <c r="M480" s="66"/>
      <c r="N480" s="66"/>
      <c r="O480" s="66"/>
      <c r="P480" s="66"/>
      <c r="Q480" s="66"/>
      <c r="R480" s="66"/>
      <c r="S480" s="66"/>
      <c r="T480" s="66"/>
      <c r="U480" s="66"/>
    </row>
    <row r="481" ht="15.75" customHeight="1">
      <c r="A481" s="66"/>
      <c r="B481" s="66"/>
      <c r="C481" s="66"/>
      <c r="D481" s="66"/>
      <c r="E481" s="66"/>
      <c r="F481" s="66"/>
      <c r="G481" s="66"/>
      <c r="H481" s="66"/>
      <c r="I481" s="66"/>
      <c r="J481" s="66"/>
      <c r="K481" s="66"/>
      <c r="L481" s="66"/>
      <c r="M481" s="66"/>
      <c r="N481" s="66"/>
      <c r="O481" s="66"/>
      <c r="P481" s="66"/>
      <c r="Q481" s="66"/>
      <c r="R481" s="66"/>
      <c r="S481" s="66"/>
      <c r="T481" s="66"/>
      <c r="U481" s="66"/>
    </row>
    <row r="482" ht="15.75" customHeight="1">
      <c r="A482" s="66"/>
      <c r="B482" s="66"/>
      <c r="C482" s="66"/>
      <c r="D482" s="66"/>
      <c r="E482" s="66"/>
      <c r="F482" s="66"/>
      <c r="G482" s="66"/>
      <c r="H482" s="66"/>
      <c r="I482" s="66"/>
      <c r="J482" s="66"/>
      <c r="K482" s="66"/>
      <c r="L482" s="66"/>
      <c r="M482" s="66"/>
      <c r="N482" s="66"/>
      <c r="O482" s="66"/>
      <c r="P482" s="66"/>
      <c r="Q482" s="66"/>
      <c r="R482" s="66"/>
      <c r="S482" s="66"/>
      <c r="T482" s="66"/>
      <c r="U482" s="66"/>
    </row>
    <row r="483" ht="15.75" customHeight="1">
      <c r="A483" s="66"/>
      <c r="B483" s="66"/>
      <c r="C483" s="66"/>
      <c r="D483" s="66"/>
      <c r="E483" s="66"/>
      <c r="F483" s="66"/>
      <c r="G483" s="66"/>
      <c r="H483" s="66"/>
      <c r="I483" s="66"/>
      <c r="J483" s="66"/>
      <c r="K483" s="66"/>
      <c r="L483" s="66"/>
      <c r="M483" s="66"/>
      <c r="N483" s="66"/>
      <c r="O483" s="66"/>
      <c r="P483" s="66"/>
      <c r="Q483" s="66"/>
      <c r="R483" s="66"/>
      <c r="S483" s="66"/>
      <c r="T483" s="66"/>
      <c r="U483" s="66"/>
    </row>
    <row r="484" ht="15.75" customHeight="1">
      <c r="A484" s="66"/>
      <c r="B484" s="66"/>
      <c r="C484" s="66"/>
      <c r="D484" s="66"/>
      <c r="E484" s="66"/>
      <c r="F484" s="66"/>
      <c r="G484" s="66"/>
      <c r="H484" s="66"/>
      <c r="I484" s="66"/>
      <c r="J484" s="66"/>
      <c r="K484" s="66"/>
      <c r="L484" s="66"/>
      <c r="M484" s="66"/>
      <c r="N484" s="66"/>
      <c r="O484" s="66"/>
      <c r="P484" s="66"/>
      <c r="Q484" s="66"/>
      <c r="R484" s="66"/>
      <c r="S484" s="66"/>
      <c r="T484" s="66"/>
      <c r="U484" s="66"/>
    </row>
    <row r="485" ht="15.75" customHeight="1">
      <c r="A485" s="66"/>
      <c r="B485" s="66"/>
      <c r="C485" s="66"/>
      <c r="D485" s="66"/>
      <c r="E485" s="66"/>
      <c r="F485" s="66"/>
      <c r="G485" s="66"/>
      <c r="H485" s="66"/>
      <c r="I485" s="66"/>
      <c r="J485" s="66"/>
      <c r="K485" s="66"/>
      <c r="L485" s="66"/>
      <c r="M485" s="66"/>
      <c r="N485" s="66"/>
      <c r="O485" s="66"/>
      <c r="P485" s="66"/>
      <c r="Q485" s="66"/>
      <c r="R485" s="66"/>
      <c r="S485" s="66"/>
      <c r="T485" s="66"/>
      <c r="U485" s="66"/>
    </row>
    <row r="486" ht="15.75" customHeight="1">
      <c r="A486" s="66"/>
      <c r="B486" s="66"/>
      <c r="C486" s="66"/>
      <c r="D486" s="66"/>
      <c r="E486" s="66"/>
      <c r="F486" s="66"/>
      <c r="G486" s="66"/>
      <c r="H486" s="66"/>
      <c r="I486" s="66"/>
      <c r="J486" s="66"/>
      <c r="K486" s="66"/>
      <c r="L486" s="66"/>
      <c r="M486" s="66"/>
      <c r="N486" s="66"/>
      <c r="O486" s="66"/>
      <c r="P486" s="66"/>
      <c r="Q486" s="66"/>
      <c r="R486" s="66"/>
      <c r="S486" s="66"/>
      <c r="T486" s="66"/>
      <c r="U486" s="66"/>
    </row>
    <row r="487" ht="15.75" customHeight="1">
      <c r="A487" s="66"/>
      <c r="B487" s="66"/>
      <c r="C487" s="66"/>
      <c r="D487" s="66"/>
      <c r="E487" s="66"/>
      <c r="F487" s="66"/>
      <c r="G487" s="66"/>
      <c r="H487" s="66"/>
      <c r="I487" s="66"/>
      <c r="J487" s="66"/>
      <c r="K487" s="66"/>
      <c r="L487" s="66"/>
      <c r="M487" s="66"/>
      <c r="N487" s="66"/>
      <c r="O487" s="66"/>
      <c r="P487" s="66"/>
      <c r="Q487" s="66"/>
      <c r="R487" s="66"/>
      <c r="S487" s="66"/>
      <c r="T487" s="66"/>
      <c r="U487" s="66"/>
    </row>
    <row r="488" ht="15.75" customHeight="1">
      <c r="A488" s="66"/>
      <c r="B488" s="66"/>
      <c r="C488" s="66"/>
      <c r="D488" s="66"/>
      <c r="E488" s="66"/>
      <c r="F488" s="66"/>
      <c r="G488" s="66"/>
      <c r="H488" s="66"/>
      <c r="I488" s="66"/>
      <c r="J488" s="66"/>
      <c r="K488" s="66"/>
      <c r="L488" s="66"/>
      <c r="M488" s="66"/>
      <c r="N488" s="66"/>
      <c r="O488" s="66"/>
      <c r="P488" s="66"/>
      <c r="Q488" s="66"/>
      <c r="R488" s="66"/>
      <c r="S488" s="66"/>
      <c r="T488" s="66"/>
      <c r="U488" s="66"/>
    </row>
    <row r="489" ht="15.75" customHeight="1">
      <c r="A489" s="66"/>
      <c r="B489" s="66"/>
      <c r="C489" s="66"/>
      <c r="D489" s="66"/>
      <c r="E489" s="66"/>
      <c r="F489" s="66"/>
      <c r="G489" s="66"/>
      <c r="H489" s="66"/>
      <c r="I489" s="66"/>
      <c r="J489" s="66"/>
      <c r="K489" s="66"/>
      <c r="L489" s="66"/>
      <c r="M489" s="66"/>
      <c r="N489" s="66"/>
      <c r="O489" s="66"/>
      <c r="P489" s="66"/>
      <c r="Q489" s="66"/>
      <c r="R489" s="66"/>
      <c r="S489" s="66"/>
      <c r="T489" s="66"/>
      <c r="U489" s="66"/>
    </row>
    <row r="490" ht="15.75" customHeight="1">
      <c r="A490" s="66"/>
      <c r="B490" s="66"/>
      <c r="C490" s="66"/>
      <c r="D490" s="66"/>
      <c r="E490" s="66"/>
      <c r="F490" s="66"/>
      <c r="G490" s="66"/>
      <c r="H490" s="66"/>
      <c r="I490" s="66"/>
      <c r="J490" s="66"/>
      <c r="K490" s="66"/>
      <c r="L490" s="66"/>
      <c r="M490" s="66"/>
      <c r="N490" s="66"/>
      <c r="O490" s="66"/>
      <c r="P490" s="66"/>
      <c r="Q490" s="66"/>
      <c r="R490" s="66"/>
      <c r="S490" s="66"/>
      <c r="T490" s="66"/>
      <c r="U490" s="66"/>
    </row>
    <row r="491" ht="15.75" customHeight="1">
      <c r="A491" s="66"/>
      <c r="B491" s="66"/>
      <c r="C491" s="66"/>
      <c r="D491" s="66"/>
      <c r="E491" s="66"/>
      <c r="F491" s="66"/>
      <c r="G491" s="66"/>
      <c r="H491" s="66"/>
      <c r="I491" s="66"/>
      <c r="J491" s="66"/>
      <c r="K491" s="66"/>
      <c r="L491" s="66"/>
      <c r="M491" s="66"/>
      <c r="N491" s="66"/>
      <c r="O491" s="66"/>
      <c r="P491" s="66"/>
      <c r="Q491" s="66"/>
      <c r="R491" s="66"/>
      <c r="S491" s="66"/>
      <c r="T491" s="66"/>
      <c r="U491" s="66"/>
    </row>
    <row r="492" ht="15.75" customHeight="1">
      <c r="A492" s="66"/>
      <c r="B492" s="66"/>
      <c r="C492" s="66"/>
      <c r="D492" s="66"/>
      <c r="E492" s="66"/>
      <c r="F492" s="66"/>
      <c r="G492" s="66"/>
      <c r="H492" s="66"/>
      <c r="I492" s="66"/>
      <c r="J492" s="66"/>
      <c r="K492" s="66"/>
      <c r="L492" s="66"/>
      <c r="M492" s="66"/>
      <c r="N492" s="66"/>
      <c r="O492" s="66"/>
      <c r="P492" s="66"/>
      <c r="Q492" s="66"/>
      <c r="R492" s="66"/>
      <c r="S492" s="66"/>
      <c r="T492" s="66"/>
      <c r="U492" s="66"/>
    </row>
    <row r="493" ht="15.75" customHeight="1">
      <c r="A493" s="66"/>
      <c r="B493" s="66"/>
      <c r="C493" s="66"/>
      <c r="D493" s="66"/>
      <c r="E493" s="66"/>
      <c r="F493" s="66"/>
      <c r="G493" s="66"/>
      <c r="H493" s="66"/>
      <c r="I493" s="66"/>
      <c r="J493" s="66"/>
      <c r="K493" s="66"/>
      <c r="L493" s="66"/>
      <c r="M493" s="66"/>
      <c r="N493" s="66"/>
      <c r="O493" s="66"/>
      <c r="P493" s="66"/>
      <c r="Q493" s="66"/>
      <c r="R493" s="66"/>
      <c r="S493" s="66"/>
      <c r="T493" s="66"/>
      <c r="U493" s="66"/>
    </row>
    <row r="494" ht="15.75" customHeight="1">
      <c r="A494" s="66"/>
      <c r="B494" s="66"/>
      <c r="C494" s="66"/>
      <c r="D494" s="66"/>
      <c r="E494" s="66"/>
      <c r="F494" s="66"/>
      <c r="G494" s="66"/>
      <c r="H494" s="66"/>
      <c r="I494" s="66"/>
      <c r="J494" s="66"/>
      <c r="K494" s="66"/>
      <c r="L494" s="66"/>
      <c r="M494" s="66"/>
      <c r="N494" s="66"/>
      <c r="O494" s="66"/>
      <c r="P494" s="66"/>
      <c r="Q494" s="66"/>
      <c r="R494" s="66"/>
      <c r="S494" s="66"/>
      <c r="T494" s="66"/>
      <c r="U494" s="66"/>
    </row>
    <row r="495" ht="15.75" customHeight="1">
      <c r="A495" s="66"/>
      <c r="B495" s="66"/>
      <c r="C495" s="66"/>
      <c r="D495" s="66"/>
      <c r="E495" s="66"/>
      <c r="F495" s="66"/>
      <c r="G495" s="66"/>
      <c r="H495" s="66"/>
      <c r="I495" s="66"/>
      <c r="J495" s="66"/>
      <c r="K495" s="66"/>
      <c r="L495" s="66"/>
      <c r="M495" s="66"/>
      <c r="N495" s="66"/>
      <c r="O495" s="66"/>
      <c r="P495" s="66"/>
      <c r="Q495" s="66"/>
      <c r="R495" s="66"/>
      <c r="S495" s="66"/>
      <c r="T495" s="66"/>
      <c r="U495" s="66"/>
    </row>
    <row r="496" ht="15.75" customHeight="1">
      <c r="A496" s="66"/>
      <c r="B496" s="66"/>
      <c r="C496" s="66"/>
      <c r="D496" s="66"/>
      <c r="E496" s="66"/>
      <c r="F496" s="66"/>
      <c r="G496" s="66"/>
      <c r="H496" s="66"/>
      <c r="I496" s="66"/>
      <c r="J496" s="66"/>
      <c r="K496" s="66"/>
      <c r="L496" s="66"/>
      <c r="M496" s="66"/>
      <c r="N496" s="66"/>
      <c r="O496" s="66"/>
      <c r="P496" s="66"/>
      <c r="Q496" s="66"/>
      <c r="R496" s="66"/>
      <c r="S496" s="66"/>
      <c r="T496" s="66"/>
      <c r="U496" s="66"/>
    </row>
    <row r="497" ht="15.75" customHeight="1">
      <c r="A497" s="66"/>
      <c r="B497" s="66"/>
      <c r="C497" s="66"/>
      <c r="D497" s="66"/>
      <c r="E497" s="66"/>
      <c r="F497" s="66"/>
      <c r="G497" s="66"/>
      <c r="H497" s="66"/>
      <c r="I497" s="66"/>
      <c r="J497" s="66"/>
      <c r="K497" s="66"/>
      <c r="L497" s="66"/>
      <c r="M497" s="66"/>
      <c r="N497" s="66"/>
      <c r="O497" s="66"/>
      <c r="P497" s="66"/>
      <c r="Q497" s="66"/>
      <c r="R497" s="66"/>
      <c r="S497" s="66"/>
      <c r="T497" s="66"/>
      <c r="U497" s="66"/>
    </row>
    <row r="498" ht="15.75" customHeight="1">
      <c r="A498" s="66"/>
      <c r="B498" s="66"/>
      <c r="C498" s="66"/>
      <c r="D498" s="66"/>
      <c r="E498" s="66"/>
      <c r="F498" s="66"/>
      <c r="G498" s="66"/>
      <c r="H498" s="66"/>
      <c r="I498" s="66"/>
      <c r="J498" s="66"/>
      <c r="K498" s="66"/>
      <c r="L498" s="66"/>
      <c r="M498" s="66"/>
      <c r="N498" s="66"/>
      <c r="O498" s="66"/>
      <c r="P498" s="66"/>
      <c r="Q498" s="66"/>
      <c r="R498" s="66"/>
      <c r="S498" s="66"/>
      <c r="T498" s="66"/>
      <c r="U498" s="66"/>
    </row>
    <row r="499" ht="15.75" customHeight="1">
      <c r="A499" s="66"/>
      <c r="B499" s="66"/>
      <c r="C499" s="66"/>
      <c r="D499" s="66"/>
      <c r="E499" s="66"/>
      <c r="F499" s="66"/>
      <c r="G499" s="66"/>
      <c r="H499" s="66"/>
      <c r="I499" s="66"/>
      <c r="J499" s="66"/>
      <c r="K499" s="66"/>
      <c r="L499" s="66"/>
      <c r="M499" s="66"/>
      <c r="N499" s="66"/>
      <c r="O499" s="66"/>
      <c r="P499" s="66"/>
      <c r="Q499" s="66"/>
      <c r="R499" s="66"/>
      <c r="S499" s="66"/>
      <c r="T499" s="66"/>
      <c r="U499" s="66"/>
    </row>
    <row r="500" ht="15.75" customHeight="1">
      <c r="A500" s="66"/>
      <c r="B500" s="66"/>
      <c r="C500" s="66"/>
      <c r="D500" s="66"/>
      <c r="E500" s="66"/>
      <c r="F500" s="66"/>
      <c r="G500" s="66"/>
      <c r="H500" s="66"/>
      <c r="I500" s="66"/>
      <c r="J500" s="66"/>
      <c r="K500" s="66"/>
      <c r="L500" s="66"/>
      <c r="M500" s="66"/>
      <c r="N500" s="66"/>
      <c r="O500" s="66"/>
      <c r="P500" s="66"/>
      <c r="Q500" s="66"/>
      <c r="R500" s="66"/>
      <c r="S500" s="66"/>
      <c r="T500" s="66"/>
      <c r="U500" s="66"/>
    </row>
    <row r="501" ht="15.75" customHeight="1">
      <c r="A501" s="66"/>
      <c r="B501" s="66"/>
      <c r="C501" s="66"/>
      <c r="D501" s="66"/>
      <c r="E501" s="66"/>
      <c r="F501" s="66"/>
      <c r="G501" s="66"/>
      <c r="H501" s="66"/>
      <c r="I501" s="66"/>
      <c r="J501" s="66"/>
      <c r="K501" s="66"/>
      <c r="L501" s="66"/>
      <c r="M501" s="66"/>
      <c r="N501" s="66"/>
      <c r="O501" s="66"/>
      <c r="P501" s="66"/>
      <c r="Q501" s="66"/>
      <c r="R501" s="66"/>
      <c r="S501" s="66"/>
      <c r="T501" s="66"/>
      <c r="U501" s="66"/>
    </row>
    <row r="502" ht="15.75" customHeight="1">
      <c r="A502" s="66"/>
      <c r="B502" s="66"/>
      <c r="C502" s="66"/>
      <c r="D502" s="66"/>
      <c r="E502" s="66"/>
      <c r="F502" s="66"/>
      <c r="G502" s="66"/>
      <c r="H502" s="66"/>
      <c r="I502" s="66"/>
      <c r="J502" s="66"/>
      <c r="K502" s="66"/>
      <c r="L502" s="66"/>
      <c r="M502" s="66"/>
      <c r="N502" s="66"/>
      <c r="O502" s="66"/>
      <c r="P502" s="66"/>
      <c r="Q502" s="66"/>
      <c r="R502" s="66"/>
      <c r="S502" s="66"/>
      <c r="T502" s="66"/>
      <c r="U502" s="66"/>
    </row>
    <row r="503" ht="15.75" customHeight="1">
      <c r="A503" s="66"/>
      <c r="B503" s="66"/>
      <c r="C503" s="66"/>
      <c r="D503" s="66"/>
      <c r="E503" s="66"/>
      <c r="F503" s="66"/>
      <c r="G503" s="66"/>
      <c r="H503" s="66"/>
      <c r="I503" s="66"/>
      <c r="J503" s="66"/>
      <c r="K503" s="66"/>
      <c r="L503" s="66"/>
      <c r="M503" s="66"/>
      <c r="N503" s="66"/>
      <c r="O503" s="66"/>
      <c r="P503" s="66"/>
      <c r="Q503" s="66"/>
      <c r="R503" s="66"/>
      <c r="S503" s="66"/>
      <c r="T503" s="66"/>
      <c r="U503" s="66"/>
    </row>
    <row r="504" ht="15.75" customHeight="1">
      <c r="A504" s="66"/>
      <c r="B504" s="66"/>
      <c r="C504" s="66"/>
      <c r="D504" s="66"/>
      <c r="E504" s="66"/>
      <c r="F504" s="66"/>
      <c r="G504" s="66"/>
      <c r="H504" s="66"/>
      <c r="I504" s="66"/>
      <c r="J504" s="66"/>
      <c r="K504" s="66"/>
      <c r="L504" s="66"/>
      <c r="M504" s="66"/>
      <c r="N504" s="66"/>
      <c r="O504" s="66"/>
      <c r="P504" s="66"/>
      <c r="Q504" s="66"/>
      <c r="R504" s="66"/>
      <c r="S504" s="66"/>
      <c r="T504" s="66"/>
      <c r="U504" s="66"/>
    </row>
    <row r="505" ht="15.75" customHeight="1">
      <c r="A505" s="66"/>
      <c r="B505" s="66"/>
      <c r="C505" s="66"/>
      <c r="D505" s="66"/>
      <c r="E505" s="66"/>
      <c r="F505" s="66"/>
      <c r="G505" s="66"/>
      <c r="H505" s="66"/>
      <c r="I505" s="66"/>
      <c r="J505" s="66"/>
      <c r="K505" s="66"/>
      <c r="L505" s="66"/>
      <c r="M505" s="66"/>
      <c r="N505" s="66"/>
      <c r="O505" s="66"/>
      <c r="P505" s="66"/>
      <c r="Q505" s="66"/>
      <c r="R505" s="66"/>
      <c r="S505" s="66"/>
      <c r="T505" s="66"/>
      <c r="U505" s="66"/>
    </row>
    <row r="506" ht="15.75" customHeight="1">
      <c r="A506" s="66"/>
      <c r="B506" s="66"/>
      <c r="C506" s="66"/>
      <c r="D506" s="66"/>
      <c r="E506" s="66"/>
      <c r="F506" s="66"/>
      <c r="G506" s="66"/>
      <c r="H506" s="66"/>
      <c r="I506" s="66"/>
      <c r="J506" s="66"/>
      <c r="K506" s="66"/>
      <c r="L506" s="66"/>
      <c r="M506" s="66"/>
      <c r="N506" s="66"/>
      <c r="O506" s="66"/>
      <c r="P506" s="66"/>
      <c r="Q506" s="66"/>
      <c r="R506" s="66"/>
      <c r="S506" s="66"/>
      <c r="T506" s="66"/>
      <c r="U506" s="66"/>
    </row>
    <row r="507" ht="15.75" customHeight="1">
      <c r="A507" s="66"/>
      <c r="B507" s="66"/>
      <c r="C507" s="66"/>
      <c r="D507" s="66"/>
      <c r="E507" s="66"/>
      <c r="F507" s="66"/>
      <c r="G507" s="66"/>
      <c r="H507" s="66"/>
      <c r="I507" s="66"/>
      <c r="J507" s="66"/>
      <c r="K507" s="66"/>
      <c r="L507" s="66"/>
      <c r="M507" s="66"/>
      <c r="N507" s="66"/>
      <c r="O507" s="66"/>
      <c r="P507" s="66"/>
      <c r="Q507" s="66"/>
      <c r="R507" s="66"/>
      <c r="S507" s="66"/>
      <c r="T507" s="66"/>
      <c r="U507" s="66"/>
    </row>
    <row r="508" ht="15.75" customHeight="1">
      <c r="A508" s="66"/>
      <c r="B508" s="66"/>
      <c r="C508" s="66"/>
      <c r="D508" s="66"/>
      <c r="E508" s="66"/>
      <c r="F508" s="66"/>
      <c r="G508" s="66"/>
      <c r="H508" s="66"/>
      <c r="I508" s="66"/>
      <c r="J508" s="66"/>
      <c r="K508" s="66"/>
      <c r="L508" s="66"/>
      <c r="M508" s="66"/>
      <c r="N508" s="66"/>
      <c r="O508" s="66"/>
      <c r="P508" s="66"/>
      <c r="Q508" s="66"/>
      <c r="R508" s="66"/>
      <c r="S508" s="66"/>
      <c r="T508" s="66"/>
      <c r="U508" s="66"/>
    </row>
    <row r="509" ht="15.75" customHeight="1">
      <c r="A509" s="66"/>
      <c r="B509" s="66"/>
      <c r="C509" s="66"/>
      <c r="D509" s="66"/>
      <c r="E509" s="66"/>
      <c r="F509" s="66"/>
      <c r="G509" s="66"/>
      <c r="H509" s="66"/>
      <c r="I509" s="66"/>
      <c r="J509" s="66"/>
      <c r="K509" s="66"/>
      <c r="L509" s="66"/>
      <c r="M509" s="66"/>
      <c r="N509" s="66"/>
      <c r="O509" s="66"/>
      <c r="P509" s="66"/>
      <c r="Q509" s="66"/>
      <c r="R509" s="66"/>
      <c r="S509" s="66"/>
      <c r="T509" s="66"/>
      <c r="U509" s="66"/>
    </row>
    <row r="510" ht="15.75" customHeight="1">
      <c r="A510" s="66"/>
      <c r="B510" s="66"/>
      <c r="C510" s="66"/>
      <c r="D510" s="66"/>
      <c r="E510" s="66"/>
      <c r="F510" s="66"/>
      <c r="G510" s="66"/>
      <c r="H510" s="66"/>
      <c r="I510" s="66"/>
      <c r="J510" s="66"/>
      <c r="K510" s="66"/>
      <c r="L510" s="66"/>
      <c r="M510" s="66"/>
      <c r="N510" s="66"/>
      <c r="O510" s="66"/>
      <c r="P510" s="66"/>
      <c r="Q510" s="66"/>
      <c r="R510" s="66"/>
      <c r="S510" s="66"/>
      <c r="T510" s="66"/>
      <c r="U510" s="66"/>
    </row>
    <row r="511" ht="15.75" customHeight="1">
      <c r="A511" s="66"/>
      <c r="B511" s="66"/>
      <c r="C511" s="66"/>
      <c r="D511" s="66"/>
      <c r="E511" s="66"/>
      <c r="F511" s="66"/>
      <c r="G511" s="66"/>
      <c r="H511" s="66"/>
      <c r="I511" s="66"/>
      <c r="J511" s="66"/>
      <c r="K511" s="66"/>
      <c r="L511" s="66"/>
      <c r="M511" s="66"/>
      <c r="N511" s="66"/>
      <c r="O511" s="66"/>
      <c r="P511" s="66"/>
      <c r="Q511" s="66"/>
      <c r="R511" s="66"/>
      <c r="S511" s="66"/>
      <c r="T511" s="66"/>
      <c r="U511" s="66"/>
    </row>
    <row r="512" ht="15.75" customHeight="1">
      <c r="A512" s="66"/>
      <c r="B512" s="66"/>
      <c r="C512" s="66"/>
      <c r="D512" s="66"/>
      <c r="E512" s="66"/>
      <c r="F512" s="66"/>
      <c r="G512" s="66"/>
      <c r="H512" s="66"/>
      <c r="I512" s="66"/>
      <c r="J512" s="66"/>
      <c r="K512" s="66"/>
      <c r="L512" s="66"/>
      <c r="M512" s="66"/>
      <c r="N512" s="66"/>
      <c r="O512" s="66"/>
      <c r="P512" s="66"/>
      <c r="Q512" s="66"/>
      <c r="R512" s="66"/>
      <c r="S512" s="66"/>
      <c r="T512" s="66"/>
      <c r="U512" s="66"/>
    </row>
    <row r="513" ht="15.75" customHeight="1">
      <c r="A513" s="66"/>
      <c r="B513" s="66"/>
      <c r="C513" s="66"/>
      <c r="D513" s="66"/>
      <c r="E513" s="66"/>
      <c r="F513" s="66"/>
      <c r="G513" s="66"/>
      <c r="H513" s="66"/>
      <c r="I513" s="66"/>
      <c r="J513" s="66"/>
      <c r="K513" s="66"/>
      <c r="L513" s="66"/>
      <c r="M513" s="66"/>
      <c r="N513" s="66"/>
      <c r="O513" s="66"/>
      <c r="P513" s="66"/>
      <c r="Q513" s="66"/>
      <c r="R513" s="66"/>
      <c r="S513" s="66"/>
      <c r="T513" s="66"/>
      <c r="U513" s="66"/>
    </row>
    <row r="514" ht="15.75" customHeight="1">
      <c r="A514" s="66"/>
      <c r="B514" s="66"/>
      <c r="C514" s="66"/>
      <c r="D514" s="66"/>
      <c r="E514" s="66"/>
      <c r="F514" s="66"/>
      <c r="G514" s="66"/>
      <c r="H514" s="66"/>
      <c r="I514" s="66"/>
      <c r="J514" s="66"/>
      <c r="K514" s="66"/>
      <c r="L514" s="66"/>
      <c r="M514" s="66"/>
      <c r="N514" s="66"/>
      <c r="O514" s="66"/>
      <c r="P514" s="66"/>
      <c r="Q514" s="66"/>
      <c r="R514" s="66"/>
      <c r="S514" s="66"/>
      <c r="T514" s="66"/>
      <c r="U514" s="66"/>
    </row>
    <row r="515" ht="15.75" customHeight="1">
      <c r="A515" s="66"/>
      <c r="B515" s="66"/>
      <c r="C515" s="66"/>
      <c r="D515" s="66"/>
      <c r="E515" s="66"/>
      <c r="F515" s="66"/>
      <c r="G515" s="66"/>
      <c r="H515" s="66"/>
      <c r="I515" s="66"/>
      <c r="J515" s="66"/>
      <c r="K515" s="66"/>
      <c r="L515" s="66"/>
      <c r="M515" s="66"/>
      <c r="N515" s="66"/>
      <c r="O515" s="66"/>
      <c r="P515" s="66"/>
      <c r="Q515" s="66"/>
      <c r="R515" s="66"/>
      <c r="S515" s="66"/>
      <c r="T515" s="66"/>
      <c r="U515" s="66"/>
    </row>
    <row r="516" ht="15.75" customHeight="1">
      <c r="A516" s="66"/>
      <c r="B516" s="66"/>
      <c r="C516" s="66"/>
      <c r="D516" s="66"/>
      <c r="E516" s="66"/>
      <c r="F516" s="66"/>
      <c r="G516" s="66"/>
      <c r="H516" s="66"/>
      <c r="I516" s="66"/>
      <c r="J516" s="66"/>
      <c r="K516" s="66"/>
      <c r="L516" s="66"/>
      <c r="M516" s="66"/>
      <c r="N516" s="66"/>
      <c r="O516" s="66"/>
      <c r="P516" s="66"/>
      <c r="Q516" s="66"/>
      <c r="R516" s="66"/>
      <c r="S516" s="66"/>
      <c r="T516" s="66"/>
      <c r="U516" s="66"/>
    </row>
    <row r="517" ht="15.75" customHeight="1">
      <c r="A517" s="66"/>
      <c r="B517" s="66"/>
      <c r="C517" s="66"/>
      <c r="D517" s="66"/>
      <c r="E517" s="66"/>
      <c r="F517" s="66"/>
      <c r="G517" s="66"/>
      <c r="H517" s="66"/>
      <c r="I517" s="66"/>
      <c r="J517" s="66"/>
      <c r="K517" s="66"/>
      <c r="L517" s="66"/>
      <c r="M517" s="66"/>
      <c r="N517" s="66"/>
      <c r="O517" s="66"/>
      <c r="P517" s="66"/>
      <c r="Q517" s="66"/>
      <c r="R517" s="66"/>
      <c r="S517" s="66"/>
      <c r="T517" s="66"/>
      <c r="U517" s="66"/>
    </row>
    <row r="518" ht="15.75" customHeight="1">
      <c r="A518" s="66"/>
      <c r="B518" s="66"/>
      <c r="C518" s="66"/>
      <c r="D518" s="66"/>
      <c r="E518" s="66"/>
      <c r="F518" s="66"/>
      <c r="G518" s="66"/>
      <c r="H518" s="66"/>
      <c r="I518" s="66"/>
      <c r="J518" s="66"/>
      <c r="K518" s="66"/>
      <c r="L518" s="66"/>
      <c r="M518" s="66"/>
      <c r="N518" s="66"/>
      <c r="O518" s="66"/>
      <c r="P518" s="66"/>
      <c r="Q518" s="66"/>
      <c r="R518" s="66"/>
      <c r="S518" s="66"/>
      <c r="T518" s="66"/>
      <c r="U518" s="66"/>
    </row>
    <row r="519" ht="15.75" customHeight="1">
      <c r="A519" s="66"/>
      <c r="B519" s="66"/>
      <c r="C519" s="66"/>
      <c r="D519" s="66"/>
      <c r="E519" s="66"/>
      <c r="F519" s="66"/>
      <c r="G519" s="66"/>
      <c r="H519" s="66"/>
      <c r="I519" s="66"/>
      <c r="J519" s="66"/>
      <c r="K519" s="66"/>
      <c r="L519" s="66"/>
      <c r="M519" s="66"/>
      <c r="N519" s="66"/>
      <c r="O519" s="66"/>
      <c r="P519" s="66"/>
      <c r="Q519" s="66"/>
      <c r="R519" s="66"/>
      <c r="S519" s="66"/>
      <c r="T519" s="66"/>
      <c r="U519" s="66"/>
    </row>
    <row r="520" ht="15.75" customHeight="1">
      <c r="A520" s="66"/>
      <c r="B520" s="66"/>
      <c r="C520" s="66"/>
      <c r="D520" s="66"/>
      <c r="E520" s="66"/>
      <c r="F520" s="66"/>
      <c r="G520" s="66"/>
      <c r="H520" s="66"/>
      <c r="I520" s="66"/>
      <c r="J520" s="66"/>
      <c r="K520" s="66"/>
      <c r="L520" s="66"/>
      <c r="M520" s="66"/>
      <c r="N520" s="66"/>
      <c r="O520" s="66"/>
      <c r="P520" s="66"/>
      <c r="Q520" s="66"/>
      <c r="R520" s="66"/>
      <c r="S520" s="66"/>
      <c r="T520" s="66"/>
      <c r="U520" s="66"/>
    </row>
    <row r="521" ht="15.75" customHeight="1">
      <c r="A521" s="66"/>
      <c r="B521" s="66"/>
      <c r="C521" s="66"/>
      <c r="D521" s="66"/>
      <c r="E521" s="66"/>
      <c r="F521" s="66"/>
      <c r="G521" s="66"/>
      <c r="H521" s="66"/>
      <c r="I521" s="66"/>
      <c r="J521" s="66"/>
      <c r="K521" s="66"/>
      <c r="L521" s="66"/>
      <c r="M521" s="66"/>
      <c r="N521" s="66"/>
      <c r="O521" s="66"/>
      <c r="P521" s="66"/>
      <c r="Q521" s="66"/>
      <c r="R521" s="66"/>
      <c r="S521" s="66"/>
      <c r="T521" s="66"/>
      <c r="U521" s="66"/>
    </row>
    <row r="522" ht="15.75" customHeight="1">
      <c r="A522" s="66"/>
      <c r="B522" s="66"/>
      <c r="C522" s="66"/>
      <c r="D522" s="66"/>
      <c r="E522" s="66"/>
      <c r="F522" s="66"/>
      <c r="G522" s="66"/>
      <c r="H522" s="66"/>
      <c r="I522" s="66"/>
      <c r="J522" s="66"/>
      <c r="K522" s="66"/>
      <c r="L522" s="66"/>
      <c r="M522" s="66"/>
      <c r="N522" s="66"/>
      <c r="O522" s="66"/>
      <c r="P522" s="66"/>
      <c r="Q522" s="66"/>
      <c r="R522" s="66"/>
      <c r="S522" s="66"/>
      <c r="T522" s="66"/>
      <c r="U522" s="66"/>
    </row>
    <row r="523" ht="15.75" customHeight="1">
      <c r="A523" s="66"/>
      <c r="B523" s="66"/>
      <c r="C523" s="66"/>
      <c r="D523" s="66"/>
      <c r="E523" s="66"/>
      <c r="F523" s="66"/>
      <c r="G523" s="66"/>
      <c r="H523" s="66"/>
      <c r="I523" s="66"/>
      <c r="J523" s="66"/>
      <c r="K523" s="66"/>
      <c r="L523" s="66"/>
      <c r="M523" s="66"/>
      <c r="N523" s="66"/>
      <c r="O523" s="66"/>
      <c r="P523" s="66"/>
      <c r="Q523" s="66"/>
      <c r="R523" s="66"/>
      <c r="S523" s="66"/>
      <c r="T523" s="66"/>
      <c r="U523" s="66"/>
    </row>
    <row r="524" ht="15.75" customHeight="1">
      <c r="A524" s="66"/>
      <c r="B524" s="66"/>
      <c r="C524" s="66"/>
      <c r="D524" s="66"/>
      <c r="E524" s="66"/>
      <c r="F524" s="66"/>
      <c r="G524" s="66"/>
      <c r="H524" s="66"/>
      <c r="I524" s="66"/>
      <c r="J524" s="66"/>
      <c r="K524" s="66"/>
      <c r="L524" s="66"/>
      <c r="M524" s="66"/>
      <c r="N524" s="66"/>
      <c r="O524" s="66"/>
      <c r="P524" s="66"/>
      <c r="Q524" s="66"/>
      <c r="R524" s="66"/>
      <c r="S524" s="66"/>
      <c r="T524" s="66"/>
      <c r="U524" s="66"/>
    </row>
    <row r="525" ht="15.75" customHeight="1">
      <c r="A525" s="66"/>
      <c r="B525" s="66"/>
      <c r="C525" s="66"/>
      <c r="D525" s="66"/>
      <c r="E525" s="66"/>
      <c r="F525" s="66"/>
      <c r="G525" s="66"/>
      <c r="H525" s="66"/>
      <c r="I525" s="66"/>
      <c r="J525" s="66"/>
      <c r="K525" s="66"/>
      <c r="L525" s="66"/>
      <c r="M525" s="66"/>
      <c r="N525" s="66"/>
      <c r="O525" s="66"/>
      <c r="P525" s="66"/>
      <c r="Q525" s="66"/>
      <c r="R525" s="66"/>
      <c r="S525" s="66"/>
      <c r="T525" s="66"/>
      <c r="U525" s="66"/>
    </row>
    <row r="526" ht="15.75" customHeight="1">
      <c r="A526" s="66"/>
      <c r="B526" s="66"/>
      <c r="C526" s="66"/>
      <c r="D526" s="66"/>
      <c r="E526" s="66"/>
      <c r="F526" s="66"/>
      <c r="G526" s="66"/>
      <c r="H526" s="66"/>
      <c r="I526" s="66"/>
      <c r="J526" s="66"/>
      <c r="K526" s="66"/>
      <c r="L526" s="66"/>
      <c r="M526" s="66"/>
      <c r="N526" s="66"/>
      <c r="O526" s="66"/>
      <c r="P526" s="66"/>
      <c r="Q526" s="66"/>
      <c r="R526" s="66"/>
      <c r="S526" s="66"/>
      <c r="T526" s="66"/>
      <c r="U526" s="66"/>
    </row>
    <row r="527" ht="15.75" customHeight="1">
      <c r="A527" s="66"/>
      <c r="B527" s="66"/>
      <c r="C527" s="66"/>
      <c r="D527" s="66"/>
      <c r="E527" s="66"/>
      <c r="F527" s="66"/>
      <c r="G527" s="66"/>
      <c r="H527" s="66"/>
      <c r="I527" s="66"/>
      <c r="J527" s="66"/>
      <c r="K527" s="66"/>
      <c r="L527" s="66"/>
      <c r="M527" s="66"/>
      <c r="N527" s="66"/>
      <c r="O527" s="66"/>
      <c r="P527" s="66"/>
      <c r="Q527" s="66"/>
      <c r="R527" s="66"/>
      <c r="S527" s="66"/>
      <c r="T527" s="66"/>
      <c r="U527" s="66"/>
    </row>
    <row r="528" ht="15.75" customHeight="1">
      <c r="A528" s="66"/>
      <c r="B528" s="66"/>
      <c r="C528" s="66"/>
      <c r="D528" s="66"/>
      <c r="E528" s="66"/>
      <c r="F528" s="66"/>
      <c r="G528" s="66"/>
      <c r="H528" s="66"/>
      <c r="I528" s="66"/>
      <c r="J528" s="66"/>
      <c r="K528" s="66"/>
      <c r="L528" s="66"/>
      <c r="M528" s="66"/>
      <c r="N528" s="66"/>
      <c r="O528" s="66"/>
      <c r="P528" s="66"/>
      <c r="Q528" s="66"/>
      <c r="R528" s="66"/>
      <c r="S528" s="66"/>
      <c r="T528" s="66"/>
      <c r="U528" s="66"/>
    </row>
    <row r="529" ht="15.75" customHeight="1">
      <c r="A529" s="66"/>
      <c r="B529" s="66"/>
      <c r="C529" s="66"/>
      <c r="D529" s="66"/>
      <c r="E529" s="66"/>
      <c r="F529" s="66"/>
      <c r="G529" s="66"/>
      <c r="H529" s="66"/>
      <c r="I529" s="66"/>
      <c r="J529" s="66"/>
      <c r="K529" s="66"/>
      <c r="L529" s="66"/>
      <c r="M529" s="66"/>
      <c r="N529" s="66"/>
      <c r="O529" s="66"/>
      <c r="P529" s="66"/>
      <c r="Q529" s="66"/>
      <c r="R529" s="66"/>
      <c r="S529" s="66"/>
      <c r="T529" s="66"/>
      <c r="U529" s="66"/>
    </row>
    <row r="530" ht="15.75" customHeight="1">
      <c r="A530" s="66"/>
      <c r="B530" s="66"/>
      <c r="C530" s="66"/>
      <c r="D530" s="66"/>
      <c r="E530" s="66"/>
      <c r="F530" s="66"/>
      <c r="G530" s="66"/>
      <c r="H530" s="66"/>
      <c r="I530" s="66"/>
      <c r="J530" s="66"/>
      <c r="K530" s="66"/>
      <c r="L530" s="66"/>
      <c r="M530" s="66"/>
      <c r="N530" s="66"/>
      <c r="O530" s="66"/>
      <c r="P530" s="66"/>
      <c r="Q530" s="66"/>
      <c r="R530" s="66"/>
      <c r="S530" s="66"/>
      <c r="T530" s="66"/>
      <c r="U530" s="66"/>
    </row>
    <row r="531" ht="15.75" customHeight="1">
      <c r="A531" s="66"/>
      <c r="B531" s="66"/>
      <c r="C531" s="66"/>
      <c r="D531" s="66"/>
      <c r="E531" s="66"/>
      <c r="F531" s="66"/>
      <c r="G531" s="66"/>
      <c r="H531" s="66"/>
      <c r="I531" s="66"/>
      <c r="J531" s="66"/>
      <c r="K531" s="66"/>
      <c r="L531" s="66"/>
      <c r="M531" s="66"/>
      <c r="N531" s="66"/>
      <c r="O531" s="66"/>
      <c r="P531" s="66"/>
      <c r="Q531" s="66"/>
      <c r="R531" s="66"/>
      <c r="S531" s="66"/>
      <c r="T531" s="66"/>
      <c r="U531" s="66"/>
    </row>
    <row r="532" ht="15.75" customHeight="1">
      <c r="A532" s="66"/>
      <c r="B532" s="66"/>
      <c r="C532" s="66"/>
      <c r="D532" s="66"/>
      <c r="E532" s="66"/>
      <c r="F532" s="66"/>
      <c r="G532" s="66"/>
      <c r="H532" s="66"/>
      <c r="I532" s="66"/>
      <c r="J532" s="66"/>
      <c r="K532" s="66"/>
      <c r="L532" s="66"/>
      <c r="M532" s="66"/>
      <c r="N532" s="66"/>
      <c r="O532" s="66"/>
      <c r="P532" s="66"/>
      <c r="Q532" s="66"/>
      <c r="R532" s="66"/>
      <c r="S532" s="66"/>
      <c r="T532" s="66"/>
      <c r="U532" s="66"/>
    </row>
    <row r="533" ht="15.75" customHeight="1">
      <c r="A533" s="66"/>
      <c r="B533" s="66"/>
      <c r="C533" s="66"/>
      <c r="D533" s="66"/>
      <c r="E533" s="66"/>
      <c r="F533" s="66"/>
      <c r="G533" s="66"/>
      <c r="H533" s="66"/>
      <c r="I533" s="66"/>
      <c r="J533" s="66"/>
      <c r="K533" s="66"/>
      <c r="L533" s="66"/>
      <c r="M533" s="66"/>
      <c r="N533" s="66"/>
      <c r="O533" s="66"/>
      <c r="P533" s="66"/>
      <c r="Q533" s="66"/>
      <c r="R533" s="66"/>
      <c r="S533" s="66"/>
      <c r="T533" s="66"/>
      <c r="U533" s="66"/>
    </row>
    <row r="534" ht="15.75" customHeight="1">
      <c r="A534" s="66"/>
      <c r="B534" s="66"/>
      <c r="C534" s="66"/>
      <c r="D534" s="66"/>
      <c r="E534" s="66"/>
      <c r="F534" s="66"/>
      <c r="G534" s="66"/>
      <c r="H534" s="66"/>
      <c r="I534" s="66"/>
      <c r="J534" s="66"/>
      <c r="K534" s="66"/>
      <c r="L534" s="66"/>
      <c r="M534" s="66"/>
      <c r="N534" s="66"/>
      <c r="O534" s="66"/>
      <c r="P534" s="66"/>
      <c r="Q534" s="66"/>
      <c r="R534" s="66"/>
      <c r="S534" s="66"/>
      <c r="T534" s="66"/>
      <c r="U534" s="66"/>
    </row>
    <row r="535" ht="15.75" customHeight="1">
      <c r="A535" s="66"/>
      <c r="B535" s="66"/>
      <c r="C535" s="66"/>
      <c r="D535" s="66"/>
      <c r="E535" s="66"/>
      <c r="F535" s="66"/>
      <c r="G535" s="66"/>
      <c r="H535" s="66"/>
      <c r="I535" s="66"/>
      <c r="J535" s="66"/>
      <c r="K535" s="66"/>
      <c r="L535" s="66"/>
      <c r="M535" s="66"/>
      <c r="N535" s="66"/>
      <c r="O535" s="66"/>
      <c r="P535" s="66"/>
      <c r="Q535" s="66"/>
      <c r="R535" s="66"/>
      <c r="S535" s="66"/>
      <c r="T535" s="66"/>
      <c r="U535" s="66"/>
    </row>
    <row r="536" ht="15.75" customHeight="1">
      <c r="A536" s="66"/>
      <c r="B536" s="66"/>
      <c r="C536" s="66"/>
      <c r="D536" s="66"/>
      <c r="E536" s="66"/>
      <c r="F536" s="66"/>
      <c r="G536" s="66"/>
      <c r="H536" s="66"/>
      <c r="I536" s="66"/>
      <c r="J536" s="66"/>
      <c r="K536" s="66"/>
      <c r="L536" s="66"/>
      <c r="M536" s="66"/>
      <c r="N536" s="66"/>
      <c r="O536" s="66"/>
      <c r="P536" s="66"/>
      <c r="Q536" s="66"/>
      <c r="R536" s="66"/>
      <c r="S536" s="66"/>
      <c r="T536" s="66"/>
      <c r="U536" s="66"/>
    </row>
    <row r="537" ht="15.75" customHeight="1">
      <c r="A537" s="66"/>
      <c r="B537" s="66"/>
      <c r="C537" s="66"/>
      <c r="D537" s="66"/>
      <c r="E537" s="66"/>
      <c r="F537" s="66"/>
      <c r="G537" s="66"/>
      <c r="H537" s="66"/>
      <c r="I537" s="66"/>
      <c r="J537" s="66"/>
      <c r="K537" s="66"/>
      <c r="L537" s="66"/>
      <c r="M537" s="66"/>
      <c r="N537" s="66"/>
      <c r="O537" s="66"/>
      <c r="P537" s="66"/>
      <c r="Q537" s="66"/>
      <c r="R537" s="66"/>
      <c r="S537" s="66"/>
      <c r="T537" s="66"/>
      <c r="U537" s="66"/>
    </row>
    <row r="538" ht="15.75" customHeight="1">
      <c r="A538" s="66"/>
      <c r="B538" s="66"/>
      <c r="C538" s="66"/>
      <c r="D538" s="66"/>
      <c r="E538" s="66"/>
      <c r="F538" s="66"/>
      <c r="G538" s="66"/>
      <c r="H538" s="66"/>
      <c r="I538" s="66"/>
      <c r="J538" s="66"/>
      <c r="K538" s="66"/>
      <c r="L538" s="66"/>
      <c r="M538" s="66"/>
      <c r="N538" s="66"/>
      <c r="O538" s="66"/>
      <c r="P538" s="66"/>
      <c r="Q538" s="66"/>
      <c r="R538" s="66"/>
      <c r="S538" s="66"/>
      <c r="T538" s="66"/>
      <c r="U538" s="66"/>
    </row>
    <row r="539" ht="15.75" customHeight="1">
      <c r="A539" s="66"/>
      <c r="B539" s="66"/>
      <c r="C539" s="66"/>
      <c r="D539" s="66"/>
      <c r="E539" s="66"/>
      <c r="F539" s="66"/>
      <c r="G539" s="66"/>
      <c r="H539" s="66"/>
      <c r="I539" s="66"/>
      <c r="J539" s="66"/>
      <c r="K539" s="66"/>
      <c r="L539" s="66"/>
      <c r="M539" s="66"/>
      <c r="N539" s="66"/>
      <c r="O539" s="66"/>
      <c r="P539" s="66"/>
      <c r="Q539" s="66"/>
      <c r="R539" s="66"/>
      <c r="S539" s="66"/>
      <c r="T539" s="66"/>
      <c r="U539" s="66"/>
    </row>
    <row r="540" ht="15.75" customHeight="1">
      <c r="A540" s="66"/>
      <c r="B540" s="66"/>
      <c r="C540" s="66"/>
      <c r="D540" s="66"/>
      <c r="E540" s="66"/>
      <c r="F540" s="66"/>
      <c r="G540" s="66"/>
      <c r="H540" s="66"/>
      <c r="I540" s="66"/>
      <c r="J540" s="66"/>
      <c r="K540" s="66"/>
      <c r="L540" s="66"/>
      <c r="M540" s="66"/>
      <c r="N540" s="66"/>
      <c r="O540" s="66"/>
      <c r="P540" s="66"/>
      <c r="Q540" s="66"/>
      <c r="R540" s="66"/>
      <c r="S540" s="66"/>
      <c r="T540" s="66"/>
      <c r="U540" s="66"/>
    </row>
    <row r="541" ht="15.75" customHeight="1">
      <c r="A541" s="66"/>
      <c r="B541" s="66"/>
      <c r="C541" s="66"/>
      <c r="D541" s="66"/>
      <c r="E541" s="66"/>
      <c r="F541" s="66"/>
      <c r="G541" s="66"/>
      <c r="H541" s="66"/>
      <c r="I541" s="66"/>
      <c r="J541" s="66"/>
      <c r="K541" s="66"/>
      <c r="L541" s="66"/>
      <c r="M541" s="66"/>
      <c r="N541" s="66"/>
      <c r="O541" s="66"/>
      <c r="P541" s="66"/>
      <c r="Q541" s="66"/>
      <c r="R541" s="66"/>
      <c r="S541" s="66"/>
      <c r="T541" s="66"/>
      <c r="U541" s="66"/>
    </row>
    <row r="542" ht="15.75" customHeight="1">
      <c r="A542" s="66"/>
      <c r="B542" s="66"/>
      <c r="C542" s="66"/>
      <c r="D542" s="66"/>
      <c r="E542" s="66"/>
      <c r="F542" s="66"/>
      <c r="G542" s="66"/>
      <c r="H542" s="66"/>
      <c r="I542" s="66"/>
      <c r="J542" s="66"/>
      <c r="K542" s="66"/>
      <c r="L542" s="66"/>
      <c r="M542" s="66"/>
      <c r="N542" s="66"/>
      <c r="O542" s="66"/>
      <c r="P542" s="66"/>
      <c r="Q542" s="66"/>
      <c r="R542" s="66"/>
      <c r="S542" s="66"/>
      <c r="T542" s="66"/>
      <c r="U542" s="66"/>
    </row>
    <row r="543" ht="15.75" customHeight="1">
      <c r="A543" s="66"/>
      <c r="B543" s="66"/>
      <c r="C543" s="66"/>
      <c r="D543" s="66"/>
      <c r="E543" s="66"/>
      <c r="F543" s="66"/>
      <c r="G543" s="66"/>
      <c r="H543" s="66"/>
      <c r="I543" s="66"/>
      <c r="J543" s="66"/>
      <c r="K543" s="66"/>
      <c r="L543" s="66"/>
      <c r="M543" s="66"/>
      <c r="N543" s="66"/>
      <c r="O543" s="66"/>
      <c r="P543" s="66"/>
      <c r="Q543" s="66"/>
      <c r="R543" s="66"/>
      <c r="S543" s="66"/>
      <c r="T543" s="66"/>
      <c r="U543" s="66"/>
    </row>
    <row r="544" ht="15.75" customHeight="1">
      <c r="A544" s="66"/>
      <c r="B544" s="66"/>
      <c r="C544" s="66"/>
      <c r="D544" s="66"/>
      <c r="E544" s="66"/>
      <c r="F544" s="66"/>
      <c r="G544" s="66"/>
      <c r="H544" s="66"/>
      <c r="I544" s="66"/>
      <c r="J544" s="66"/>
      <c r="K544" s="66"/>
      <c r="L544" s="66"/>
      <c r="M544" s="66"/>
      <c r="N544" s="66"/>
      <c r="O544" s="66"/>
      <c r="P544" s="66"/>
      <c r="Q544" s="66"/>
      <c r="R544" s="66"/>
      <c r="S544" s="66"/>
      <c r="T544" s="66"/>
      <c r="U544" s="66"/>
    </row>
    <row r="545" ht="15.75" customHeight="1">
      <c r="A545" s="66"/>
      <c r="B545" s="66"/>
      <c r="C545" s="66"/>
      <c r="D545" s="66"/>
      <c r="E545" s="66"/>
      <c r="F545" s="66"/>
      <c r="G545" s="66"/>
      <c r="H545" s="66"/>
      <c r="I545" s="66"/>
      <c r="J545" s="66"/>
      <c r="K545" s="66"/>
      <c r="L545" s="66"/>
      <c r="M545" s="66"/>
      <c r="N545" s="66"/>
      <c r="O545" s="66"/>
      <c r="P545" s="66"/>
      <c r="Q545" s="66"/>
      <c r="R545" s="66"/>
      <c r="S545" s="66"/>
      <c r="T545" s="66"/>
      <c r="U545" s="66"/>
    </row>
    <row r="546" ht="15.75" customHeight="1">
      <c r="A546" s="66"/>
      <c r="B546" s="66"/>
      <c r="C546" s="66"/>
      <c r="D546" s="66"/>
      <c r="E546" s="66"/>
      <c r="F546" s="66"/>
      <c r="G546" s="66"/>
      <c r="H546" s="66"/>
      <c r="I546" s="66"/>
      <c r="J546" s="66"/>
      <c r="K546" s="66"/>
      <c r="L546" s="66"/>
      <c r="M546" s="66"/>
      <c r="N546" s="66"/>
      <c r="O546" s="66"/>
      <c r="P546" s="66"/>
      <c r="Q546" s="66"/>
      <c r="R546" s="66"/>
      <c r="S546" s="66"/>
      <c r="T546" s="66"/>
      <c r="U546" s="66"/>
    </row>
    <row r="547" ht="15.75" customHeight="1">
      <c r="A547" s="66"/>
      <c r="B547" s="66"/>
      <c r="C547" s="66"/>
      <c r="D547" s="66"/>
      <c r="E547" s="66"/>
      <c r="F547" s="66"/>
      <c r="G547" s="66"/>
      <c r="H547" s="66"/>
      <c r="I547" s="66"/>
      <c r="J547" s="66"/>
      <c r="K547" s="66"/>
      <c r="L547" s="66"/>
      <c r="M547" s="66"/>
      <c r="N547" s="66"/>
      <c r="O547" s="66"/>
      <c r="P547" s="66"/>
      <c r="Q547" s="66"/>
      <c r="R547" s="66"/>
      <c r="S547" s="66"/>
      <c r="T547" s="66"/>
      <c r="U547" s="66"/>
    </row>
    <row r="548" ht="15.75" customHeight="1">
      <c r="A548" s="66"/>
      <c r="B548" s="66"/>
      <c r="C548" s="66"/>
      <c r="D548" s="66"/>
      <c r="E548" s="66"/>
      <c r="F548" s="66"/>
      <c r="G548" s="66"/>
      <c r="H548" s="66"/>
      <c r="I548" s="66"/>
      <c r="J548" s="66"/>
      <c r="K548" s="66"/>
      <c r="L548" s="66"/>
      <c r="M548" s="66"/>
      <c r="N548" s="66"/>
      <c r="O548" s="66"/>
      <c r="P548" s="66"/>
      <c r="Q548" s="66"/>
      <c r="R548" s="66"/>
      <c r="S548" s="66"/>
      <c r="T548" s="66"/>
      <c r="U548" s="66"/>
    </row>
    <row r="549" ht="15.75" customHeight="1">
      <c r="A549" s="66"/>
      <c r="B549" s="66"/>
      <c r="C549" s="66"/>
      <c r="D549" s="66"/>
      <c r="E549" s="66"/>
      <c r="F549" s="66"/>
      <c r="G549" s="66"/>
      <c r="H549" s="66"/>
      <c r="I549" s="66"/>
      <c r="J549" s="66"/>
      <c r="K549" s="66"/>
      <c r="L549" s="66"/>
      <c r="M549" s="66"/>
      <c r="N549" s="66"/>
      <c r="O549" s="66"/>
      <c r="P549" s="66"/>
      <c r="Q549" s="66"/>
      <c r="R549" s="66"/>
      <c r="S549" s="66"/>
      <c r="T549" s="66"/>
      <c r="U549" s="66"/>
    </row>
    <row r="550" ht="15.75" customHeight="1">
      <c r="A550" s="66"/>
      <c r="B550" s="66"/>
      <c r="C550" s="66"/>
      <c r="D550" s="66"/>
      <c r="E550" s="66"/>
      <c r="F550" s="66"/>
      <c r="G550" s="66"/>
      <c r="H550" s="66"/>
      <c r="I550" s="66"/>
      <c r="J550" s="66"/>
      <c r="K550" s="66"/>
      <c r="L550" s="66"/>
      <c r="M550" s="66"/>
      <c r="N550" s="66"/>
      <c r="O550" s="66"/>
      <c r="P550" s="66"/>
      <c r="Q550" s="66"/>
      <c r="R550" s="66"/>
      <c r="S550" s="66"/>
      <c r="T550" s="66"/>
      <c r="U550" s="66"/>
    </row>
    <row r="551" ht="15.75" customHeight="1">
      <c r="A551" s="66"/>
      <c r="B551" s="66"/>
      <c r="C551" s="66"/>
      <c r="D551" s="66"/>
      <c r="E551" s="66"/>
      <c r="F551" s="66"/>
      <c r="G551" s="66"/>
      <c r="H551" s="66"/>
      <c r="I551" s="66"/>
      <c r="J551" s="66"/>
      <c r="K551" s="66"/>
      <c r="L551" s="66"/>
      <c r="M551" s="66"/>
      <c r="N551" s="66"/>
      <c r="O551" s="66"/>
      <c r="P551" s="66"/>
      <c r="Q551" s="66"/>
      <c r="R551" s="66"/>
      <c r="S551" s="66"/>
      <c r="T551" s="66"/>
      <c r="U551" s="66"/>
    </row>
    <row r="552" ht="15.75" customHeight="1">
      <c r="A552" s="66"/>
      <c r="B552" s="66"/>
      <c r="C552" s="66"/>
      <c r="D552" s="66"/>
      <c r="E552" s="66"/>
      <c r="F552" s="66"/>
      <c r="G552" s="66"/>
      <c r="H552" s="66"/>
      <c r="I552" s="66"/>
      <c r="J552" s="66"/>
      <c r="K552" s="66"/>
      <c r="L552" s="66"/>
      <c r="M552" s="66"/>
      <c r="N552" s="66"/>
      <c r="O552" s="66"/>
      <c r="P552" s="66"/>
      <c r="Q552" s="66"/>
      <c r="R552" s="66"/>
      <c r="S552" s="66"/>
      <c r="T552" s="66"/>
      <c r="U552" s="66"/>
    </row>
    <row r="553" ht="15.75" customHeight="1">
      <c r="A553" s="66"/>
      <c r="B553" s="66"/>
      <c r="C553" s="66"/>
      <c r="D553" s="66"/>
      <c r="E553" s="66"/>
      <c r="F553" s="66"/>
      <c r="G553" s="66"/>
      <c r="H553" s="66"/>
      <c r="I553" s="66"/>
      <c r="J553" s="66"/>
      <c r="K553" s="66"/>
      <c r="L553" s="66"/>
      <c r="M553" s="66"/>
      <c r="N553" s="66"/>
      <c r="O553" s="66"/>
      <c r="P553" s="66"/>
      <c r="Q553" s="66"/>
      <c r="R553" s="66"/>
      <c r="S553" s="66"/>
      <c r="T553" s="66"/>
      <c r="U553" s="66"/>
    </row>
    <row r="554" ht="15.75" customHeight="1">
      <c r="A554" s="66"/>
      <c r="B554" s="66"/>
      <c r="C554" s="66"/>
      <c r="D554" s="66"/>
      <c r="E554" s="66"/>
      <c r="F554" s="66"/>
      <c r="G554" s="66"/>
      <c r="H554" s="66"/>
      <c r="I554" s="66"/>
      <c r="J554" s="66"/>
      <c r="K554" s="66"/>
      <c r="L554" s="66"/>
      <c r="M554" s="66"/>
      <c r="N554" s="66"/>
      <c r="O554" s="66"/>
      <c r="P554" s="66"/>
      <c r="Q554" s="66"/>
      <c r="R554" s="66"/>
      <c r="S554" s="66"/>
      <c r="T554" s="66"/>
      <c r="U554" s="66"/>
    </row>
    <row r="555" ht="15.75" customHeight="1">
      <c r="A555" s="66"/>
      <c r="B555" s="66"/>
      <c r="C555" s="66"/>
      <c r="D555" s="66"/>
      <c r="E555" s="66"/>
      <c r="F555" s="66"/>
      <c r="G555" s="66"/>
      <c r="H555" s="66"/>
      <c r="I555" s="66"/>
      <c r="J555" s="66"/>
      <c r="K555" s="66"/>
      <c r="L555" s="66"/>
      <c r="M555" s="66"/>
      <c r="N555" s="66"/>
      <c r="O555" s="66"/>
      <c r="P555" s="66"/>
      <c r="Q555" s="66"/>
      <c r="R555" s="66"/>
      <c r="S555" s="66"/>
      <c r="T555" s="66"/>
      <c r="U555" s="66"/>
    </row>
    <row r="556" ht="15.75" customHeight="1">
      <c r="A556" s="66"/>
      <c r="B556" s="66"/>
      <c r="C556" s="66"/>
      <c r="D556" s="66"/>
      <c r="E556" s="66"/>
      <c r="F556" s="66"/>
      <c r="G556" s="66"/>
      <c r="H556" s="66"/>
      <c r="I556" s="66"/>
      <c r="J556" s="66"/>
      <c r="K556" s="66"/>
      <c r="L556" s="66"/>
      <c r="M556" s="66"/>
      <c r="N556" s="66"/>
      <c r="O556" s="66"/>
      <c r="P556" s="66"/>
      <c r="Q556" s="66"/>
      <c r="R556" s="66"/>
      <c r="S556" s="66"/>
      <c r="T556" s="66"/>
      <c r="U556" s="66"/>
    </row>
    <row r="557" ht="15.75" customHeight="1">
      <c r="A557" s="66"/>
      <c r="B557" s="66"/>
      <c r="C557" s="66"/>
      <c r="D557" s="66"/>
      <c r="E557" s="66"/>
      <c r="F557" s="66"/>
      <c r="G557" s="66"/>
      <c r="H557" s="66"/>
      <c r="I557" s="66"/>
      <c r="J557" s="66"/>
      <c r="K557" s="66"/>
      <c r="L557" s="66"/>
      <c r="M557" s="66"/>
      <c r="N557" s="66"/>
      <c r="O557" s="66"/>
      <c r="P557" s="66"/>
      <c r="Q557" s="66"/>
      <c r="R557" s="66"/>
      <c r="S557" s="66"/>
      <c r="T557" s="66"/>
      <c r="U557" s="66"/>
    </row>
    <row r="558" ht="15.75" customHeight="1">
      <c r="A558" s="66"/>
      <c r="B558" s="66"/>
      <c r="C558" s="66"/>
      <c r="D558" s="66"/>
      <c r="E558" s="66"/>
      <c r="F558" s="66"/>
      <c r="G558" s="66"/>
      <c r="H558" s="66"/>
      <c r="I558" s="66"/>
      <c r="J558" s="66"/>
      <c r="K558" s="66"/>
      <c r="L558" s="66"/>
      <c r="M558" s="66"/>
      <c r="N558" s="66"/>
      <c r="O558" s="66"/>
      <c r="P558" s="66"/>
      <c r="Q558" s="66"/>
      <c r="R558" s="66"/>
      <c r="S558" s="66"/>
      <c r="T558" s="66"/>
      <c r="U558" s="66"/>
    </row>
    <row r="559" ht="15.75" customHeight="1">
      <c r="A559" s="66"/>
      <c r="B559" s="66"/>
      <c r="C559" s="66"/>
      <c r="D559" s="66"/>
      <c r="E559" s="66"/>
      <c r="F559" s="66"/>
      <c r="G559" s="66"/>
      <c r="H559" s="66"/>
      <c r="I559" s="66"/>
      <c r="J559" s="66"/>
      <c r="K559" s="66"/>
      <c r="L559" s="66"/>
      <c r="M559" s="66"/>
      <c r="N559" s="66"/>
      <c r="O559" s="66"/>
      <c r="P559" s="66"/>
      <c r="Q559" s="66"/>
      <c r="R559" s="66"/>
      <c r="S559" s="66"/>
      <c r="T559" s="66"/>
      <c r="U559" s="66"/>
    </row>
    <row r="560" ht="15.75" customHeight="1">
      <c r="A560" s="66"/>
      <c r="B560" s="66"/>
      <c r="C560" s="66"/>
      <c r="D560" s="66"/>
      <c r="E560" s="66"/>
      <c r="F560" s="66"/>
      <c r="G560" s="66"/>
      <c r="H560" s="66"/>
      <c r="I560" s="66"/>
      <c r="J560" s="66"/>
      <c r="K560" s="66"/>
      <c r="L560" s="66"/>
      <c r="M560" s="66"/>
      <c r="N560" s="66"/>
      <c r="O560" s="66"/>
      <c r="P560" s="66"/>
      <c r="Q560" s="66"/>
      <c r="R560" s="66"/>
      <c r="S560" s="66"/>
      <c r="T560" s="66"/>
      <c r="U560" s="66"/>
    </row>
    <row r="561" ht="15.75" customHeight="1">
      <c r="A561" s="66"/>
      <c r="B561" s="66"/>
      <c r="C561" s="66"/>
      <c r="D561" s="66"/>
      <c r="E561" s="66"/>
      <c r="F561" s="66"/>
      <c r="G561" s="66"/>
      <c r="H561" s="66"/>
      <c r="I561" s="66"/>
      <c r="J561" s="66"/>
      <c r="K561" s="66"/>
      <c r="L561" s="66"/>
      <c r="M561" s="66"/>
      <c r="N561" s="66"/>
      <c r="O561" s="66"/>
      <c r="P561" s="66"/>
      <c r="Q561" s="66"/>
      <c r="R561" s="66"/>
      <c r="S561" s="66"/>
      <c r="T561" s="66"/>
      <c r="U561" s="66"/>
    </row>
    <row r="562" ht="15.75" customHeight="1">
      <c r="A562" s="66"/>
      <c r="B562" s="66"/>
      <c r="C562" s="66"/>
      <c r="D562" s="66"/>
      <c r="E562" s="66"/>
      <c r="F562" s="66"/>
      <c r="G562" s="66"/>
      <c r="H562" s="66"/>
      <c r="I562" s="66"/>
      <c r="J562" s="66"/>
      <c r="K562" s="66"/>
      <c r="L562" s="66"/>
      <c r="M562" s="66"/>
      <c r="N562" s="66"/>
      <c r="O562" s="66"/>
      <c r="P562" s="66"/>
      <c r="Q562" s="66"/>
      <c r="R562" s="66"/>
      <c r="S562" s="66"/>
      <c r="T562" s="66"/>
      <c r="U562" s="66"/>
    </row>
    <row r="563" ht="15.75" customHeight="1">
      <c r="A563" s="66"/>
      <c r="B563" s="66"/>
      <c r="C563" s="66"/>
      <c r="D563" s="66"/>
      <c r="E563" s="66"/>
      <c r="F563" s="66"/>
      <c r="G563" s="66"/>
      <c r="H563" s="66"/>
      <c r="I563" s="66"/>
      <c r="J563" s="66"/>
      <c r="K563" s="66"/>
      <c r="L563" s="66"/>
      <c r="M563" s="66"/>
      <c r="N563" s="66"/>
      <c r="O563" s="66"/>
      <c r="P563" s="66"/>
      <c r="Q563" s="66"/>
      <c r="R563" s="66"/>
      <c r="S563" s="66"/>
      <c r="T563" s="66"/>
      <c r="U563" s="66"/>
    </row>
    <row r="564" ht="15.75" customHeight="1">
      <c r="A564" s="66"/>
      <c r="B564" s="66"/>
      <c r="C564" s="66"/>
      <c r="D564" s="66"/>
      <c r="E564" s="66"/>
      <c r="F564" s="66"/>
      <c r="G564" s="66"/>
      <c r="H564" s="66"/>
      <c r="I564" s="66"/>
      <c r="J564" s="66"/>
      <c r="K564" s="66"/>
      <c r="L564" s="66"/>
      <c r="M564" s="66"/>
      <c r="N564" s="66"/>
      <c r="O564" s="66"/>
      <c r="P564" s="66"/>
      <c r="Q564" s="66"/>
      <c r="R564" s="66"/>
      <c r="S564" s="66"/>
      <c r="T564" s="66"/>
      <c r="U564" s="66"/>
    </row>
    <row r="565" ht="15.75" customHeight="1">
      <c r="A565" s="66"/>
      <c r="B565" s="66"/>
      <c r="C565" s="66"/>
      <c r="D565" s="66"/>
      <c r="E565" s="66"/>
      <c r="F565" s="66"/>
      <c r="G565" s="66"/>
      <c r="H565" s="66"/>
      <c r="I565" s="66"/>
      <c r="J565" s="66"/>
      <c r="K565" s="66"/>
      <c r="L565" s="66"/>
      <c r="M565" s="66"/>
      <c r="N565" s="66"/>
      <c r="O565" s="66"/>
      <c r="P565" s="66"/>
      <c r="Q565" s="66"/>
      <c r="R565" s="66"/>
      <c r="S565" s="66"/>
      <c r="T565" s="66"/>
      <c r="U565" s="66"/>
    </row>
    <row r="566" ht="15.75" customHeight="1">
      <c r="A566" s="66"/>
      <c r="B566" s="66"/>
      <c r="C566" s="66"/>
      <c r="D566" s="66"/>
      <c r="E566" s="66"/>
      <c r="F566" s="66"/>
      <c r="G566" s="66"/>
      <c r="H566" s="66"/>
      <c r="I566" s="66"/>
      <c r="J566" s="66"/>
      <c r="K566" s="66"/>
      <c r="L566" s="66"/>
      <c r="M566" s="66"/>
      <c r="N566" s="66"/>
      <c r="O566" s="66"/>
      <c r="P566" s="66"/>
      <c r="Q566" s="66"/>
      <c r="R566" s="66"/>
      <c r="S566" s="66"/>
      <c r="T566" s="66"/>
      <c r="U566" s="66"/>
    </row>
    <row r="567" ht="15.75" customHeight="1">
      <c r="A567" s="66"/>
      <c r="B567" s="66"/>
      <c r="C567" s="66"/>
      <c r="D567" s="66"/>
      <c r="E567" s="66"/>
      <c r="F567" s="66"/>
      <c r="G567" s="66"/>
      <c r="H567" s="66"/>
      <c r="I567" s="66"/>
      <c r="J567" s="66"/>
      <c r="K567" s="66"/>
      <c r="L567" s="66"/>
      <c r="M567" s="66"/>
      <c r="N567" s="66"/>
      <c r="O567" s="66"/>
      <c r="P567" s="66"/>
      <c r="Q567" s="66"/>
      <c r="R567" s="66"/>
      <c r="S567" s="66"/>
      <c r="T567" s="66"/>
      <c r="U567" s="66"/>
    </row>
    <row r="568" ht="15.75" customHeight="1">
      <c r="A568" s="66"/>
      <c r="B568" s="66"/>
      <c r="C568" s="66"/>
      <c r="D568" s="66"/>
      <c r="E568" s="66"/>
      <c r="F568" s="66"/>
      <c r="G568" s="66"/>
      <c r="H568" s="66"/>
      <c r="I568" s="66"/>
      <c r="J568" s="66"/>
      <c r="K568" s="66"/>
      <c r="L568" s="66"/>
      <c r="M568" s="66"/>
      <c r="N568" s="66"/>
      <c r="O568" s="66"/>
      <c r="P568" s="66"/>
      <c r="Q568" s="66"/>
      <c r="R568" s="66"/>
      <c r="S568" s="66"/>
      <c r="T568" s="66"/>
      <c r="U568" s="66"/>
    </row>
    <row r="569" ht="15.75" customHeight="1">
      <c r="A569" s="66"/>
      <c r="B569" s="66"/>
      <c r="C569" s="66"/>
      <c r="D569" s="66"/>
      <c r="E569" s="66"/>
      <c r="F569" s="66"/>
      <c r="G569" s="66"/>
      <c r="H569" s="66"/>
      <c r="I569" s="66"/>
      <c r="J569" s="66"/>
      <c r="K569" s="66"/>
      <c r="L569" s="66"/>
      <c r="M569" s="66"/>
      <c r="N569" s="66"/>
      <c r="O569" s="66"/>
      <c r="P569" s="66"/>
      <c r="Q569" s="66"/>
      <c r="R569" s="66"/>
      <c r="S569" s="66"/>
      <c r="T569" s="66"/>
      <c r="U569" s="66"/>
    </row>
    <row r="570" ht="15.75" customHeight="1">
      <c r="A570" s="66"/>
      <c r="B570" s="66"/>
      <c r="C570" s="66"/>
      <c r="D570" s="66"/>
      <c r="E570" s="66"/>
      <c r="F570" s="66"/>
      <c r="G570" s="66"/>
      <c r="H570" s="66"/>
      <c r="I570" s="66"/>
      <c r="J570" s="66"/>
      <c r="K570" s="66"/>
      <c r="L570" s="66"/>
      <c r="M570" s="66"/>
      <c r="N570" s="66"/>
      <c r="O570" s="66"/>
      <c r="P570" s="66"/>
      <c r="Q570" s="66"/>
      <c r="R570" s="66"/>
      <c r="S570" s="66"/>
      <c r="T570" s="66"/>
      <c r="U570" s="66"/>
    </row>
    <row r="571" ht="15.75" customHeight="1">
      <c r="A571" s="66"/>
      <c r="B571" s="66"/>
      <c r="C571" s="66"/>
      <c r="D571" s="66"/>
      <c r="E571" s="66"/>
      <c r="F571" s="66"/>
      <c r="G571" s="66"/>
      <c r="H571" s="66"/>
      <c r="I571" s="66"/>
      <c r="J571" s="66"/>
      <c r="K571" s="66"/>
      <c r="L571" s="66"/>
      <c r="M571" s="66"/>
      <c r="N571" s="66"/>
      <c r="O571" s="66"/>
      <c r="P571" s="66"/>
      <c r="Q571" s="66"/>
      <c r="R571" s="66"/>
      <c r="S571" s="66"/>
      <c r="T571" s="66"/>
      <c r="U571" s="66"/>
    </row>
    <row r="572" ht="15.75" customHeight="1">
      <c r="A572" s="66"/>
      <c r="B572" s="66"/>
      <c r="C572" s="66"/>
      <c r="D572" s="66"/>
      <c r="E572" s="66"/>
      <c r="F572" s="66"/>
      <c r="G572" s="66"/>
      <c r="H572" s="66"/>
      <c r="I572" s="66"/>
      <c r="J572" s="66"/>
      <c r="K572" s="66"/>
      <c r="L572" s="66"/>
      <c r="M572" s="66"/>
      <c r="N572" s="66"/>
      <c r="O572" s="66"/>
      <c r="P572" s="66"/>
      <c r="Q572" s="66"/>
      <c r="R572" s="66"/>
      <c r="S572" s="66"/>
      <c r="T572" s="66"/>
      <c r="U572" s="66"/>
    </row>
    <row r="573" ht="15.75" customHeight="1">
      <c r="A573" s="66"/>
      <c r="B573" s="66"/>
      <c r="C573" s="66"/>
      <c r="D573" s="66"/>
      <c r="E573" s="66"/>
      <c r="F573" s="66"/>
      <c r="G573" s="66"/>
      <c r="H573" s="66"/>
      <c r="I573" s="66"/>
      <c r="J573" s="66"/>
      <c r="K573" s="66"/>
      <c r="L573" s="66"/>
      <c r="M573" s="66"/>
      <c r="N573" s="66"/>
      <c r="O573" s="66"/>
      <c r="P573" s="66"/>
      <c r="Q573" s="66"/>
      <c r="R573" s="66"/>
      <c r="S573" s="66"/>
      <c r="T573" s="66"/>
      <c r="U573" s="66"/>
    </row>
    <row r="574" ht="15.75" customHeight="1">
      <c r="A574" s="66"/>
      <c r="B574" s="66"/>
      <c r="C574" s="66"/>
      <c r="D574" s="66"/>
      <c r="E574" s="66"/>
      <c r="F574" s="66"/>
      <c r="G574" s="66"/>
      <c r="H574" s="66"/>
      <c r="I574" s="66"/>
      <c r="J574" s="66"/>
      <c r="K574" s="66"/>
      <c r="L574" s="66"/>
      <c r="M574" s="66"/>
      <c r="N574" s="66"/>
      <c r="O574" s="66"/>
      <c r="P574" s="66"/>
      <c r="Q574" s="66"/>
      <c r="R574" s="66"/>
      <c r="S574" s="66"/>
      <c r="T574" s="66"/>
      <c r="U574" s="66"/>
    </row>
    <row r="575" ht="15.75" customHeight="1">
      <c r="A575" s="66"/>
      <c r="B575" s="66"/>
      <c r="C575" s="66"/>
      <c r="D575" s="66"/>
      <c r="E575" s="66"/>
      <c r="F575" s="66"/>
      <c r="G575" s="66"/>
      <c r="H575" s="66"/>
      <c r="I575" s="66"/>
      <c r="J575" s="66"/>
      <c r="K575" s="66"/>
      <c r="L575" s="66"/>
      <c r="M575" s="66"/>
      <c r="N575" s="66"/>
      <c r="O575" s="66"/>
      <c r="P575" s="66"/>
      <c r="Q575" s="66"/>
      <c r="R575" s="66"/>
      <c r="S575" s="66"/>
      <c r="T575" s="66"/>
      <c r="U575" s="66"/>
    </row>
    <row r="576" ht="15.75" customHeight="1">
      <c r="A576" s="66"/>
      <c r="B576" s="66"/>
      <c r="C576" s="66"/>
      <c r="D576" s="66"/>
      <c r="E576" s="66"/>
      <c r="F576" s="66"/>
      <c r="G576" s="66"/>
      <c r="H576" s="66"/>
      <c r="I576" s="66"/>
      <c r="J576" s="66"/>
      <c r="K576" s="66"/>
      <c r="L576" s="66"/>
      <c r="M576" s="66"/>
      <c r="N576" s="66"/>
      <c r="O576" s="66"/>
      <c r="P576" s="66"/>
      <c r="Q576" s="66"/>
      <c r="R576" s="66"/>
      <c r="S576" s="66"/>
      <c r="T576" s="66"/>
      <c r="U576" s="66"/>
    </row>
    <row r="577" ht="15.75" customHeight="1">
      <c r="A577" s="66"/>
      <c r="B577" s="66"/>
      <c r="C577" s="66"/>
      <c r="D577" s="66"/>
      <c r="E577" s="66"/>
      <c r="F577" s="66"/>
      <c r="G577" s="66"/>
      <c r="H577" s="66"/>
      <c r="I577" s="66"/>
      <c r="J577" s="66"/>
      <c r="K577" s="66"/>
      <c r="L577" s="66"/>
      <c r="M577" s="66"/>
      <c r="N577" s="66"/>
      <c r="O577" s="66"/>
      <c r="P577" s="66"/>
      <c r="Q577" s="66"/>
      <c r="R577" s="66"/>
      <c r="S577" s="66"/>
      <c r="T577" s="66"/>
      <c r="U577" s="66"/>
    </row>
    <row r="578" ht="15.75" customHeight="1">
      <c r="A578" s="66"/>
      <c r="B578" s="66"/>
      <c r="C578" s="66"/>
      <c r="D578" s="66"/>
      <c r="E578" s="66"/>
      <c r="F578" s="66"/>
      <c r="G578" s="66"/>
      <c r="H578" s="66"/>
      <c r="I578" s="66"/>
      <c r="J578" s="66"/>
      <c r="K578" s="66"/>
      <c r="L578" s="66"/>
      <c r="M578" s="66"/>
      <c r="N578" s="66"/>
      <c r="O578" s="66"/>
      <c r="P578" s="66"/>
      <c r="Q578" s="66"/>
      <c r="R578" s="66"/>
      <c r="S578" s="66"/>
      <c r="T578" s="66"/>
      <c r="U578" s="66"/>
    </row>
    <row r="579" ht="15.75" customHeight="1">
      <c r="A579" s="66"/>
      <c r="B579" s="66"/>
      <c r="C579" s="66"/>
      <c r="D579" s="66"/>
      <c r="E579" s="66"/>
      <c r="F579" s="66"/>
      <c r="G579" s="66"/>
      <c r="H579" s="66"/>
      <c r="I579" s="66"/>
      <c r="J579" s="66"/>
      <c r="K579" s="66"/>
      <c r="L579" s="66"/>
      <c r="M579" s="66"/>
      <c r="N579" s="66"/>
      <c r="O579" s="66"/>
      <c r="P579" s="66"/>
      <c r="Q579" s="66"/>
      <c r="R579" s="66"/>
      <c r="S579" s="66"/>
      <c r="T579" s="66"/>
      <c r="U579" s="66"/>
    </row>
    <row r="580" ht="15.75" customHeight="1">
      <c r="A580" s="66"/>
      <c r="B580" s="66"/>
      <c r="C580" s="66"/>
      <c r="D580" s="66"/>
      <c r="E580" s="66"/>
      <c r="F580" s="66"/>
      <c r="G580" s="66"/>
      <c r="H580" s="66"/>
      <c r="I580" s="66"/>
      <c r="J580" s="66"/>
      <c r="K580" s="66"/>
      <c r="L580" s="66"/>
      <c r="M580" s="66"/>
      <c r="N580" s="66"/>
      <c r="O580" s="66"/>
      <c r="P580" s="66"/>
      <c r="Q580" s="66"/>
      <c r="R580" s="66"/>
      <c r="S580" s="66"/>
      <c r="T580" s="66"/>
      <c r="U580" s="66"/>
    </row>
    <row r="581" ht="15.75" customHeight="1">
      <c r="A581" s="66"/>
      <c r="B581" s="66"/>
      <c r="C581" s="66"/>
      <c r="D581" s="66"/>
      <c r="E581" s="66"/>
      <c r="F581" s="66"/>
      <c r="G581" s="66"/>
      <c r="H581" s="66"/>
      <c r="I581" s="66"/>
      <c r="J581" s="66"/>
      <c r="K581" s="66"/>
      <c r="L581" s="66"/>
      <c r="M581" s="66"/>
      <c r="N581" s="66"/>
      <c r="O581" s="66"/>
      <c r="P581" s="66"/>
      <c r="Q581" s="66"/>
      <c r="R581" s="66"/>
      <c r="S581" s="66"/>
      <c r="T581" s="66"/>
      <c r="U581" s="66"/>
    </row>
    <row r="582" ht="15.75" customHeight="1">
      <c r="A582" s="66"/>
      <c r="B582" s="66"/>
      <c r="C582" s="66"/>
      <c r="D582" s="66"/>
      <c r="E582" s="66"/>
      <c r="F582" s="66"/>
      <c r="G582" s="66"/>
      <c r="H582" s="66"/>
      <c r="I582" s="66"/>
      <c r="J582" s="66"/>
      <c r="K582" s="66"/>
      <c r="L582" s="66"/>
      <c r="M582" s="66"/>
      <c r="N582" s="66"/>
      <c r="O582" s="66"/>
      <c r="P582" s="66"/>
      <c r="Q582" s="66"/>
      <c r="R582" s="66"/>
      <c r="S582" s="66"/>
      <c r="T582" s="66"/>
      <c r="U582" s="66"/>
    </row>
    <row r="583" ht="15.75" customHeight="1">
      <c r="A583" s="66"/>
      <c r="B583" s="66"/>
      <c r="C583" s="66"/>
      <c r="D583" s="66"/>
      <c r="E583" s="66"/>
      <c r="F583" s="66"/>
      <c r="G583" s="66"/>
      <c r="H583" s="66"/>
      <c r="I583" s="66"/>
      <c r="J583" s="66"/>
      <c r="K583" s="66"/>
      <c r="L583" s="66"/>
      <c r="M583" s="66"/>
      <c r="N583" s="66"/>
      <c r="O583" s="66"/>
      <c r="P583" s="66"/>
      <c r="Q583" s="66"/>
      <c r="R583" s="66"/>
      <c r="S583" s="66"/>
      <c r="T583" s="66"/>
      <c r="U583" s="66"/>
    </row>
    <row r="584" ht="15.75" customHeight="1">
      <c r="A584" s="66"/>
      <c r="B584" s="66"/>
      <c r="C584" s="66"/>
      <c r="D584" s="66"/>
      <c r="E584" s="66"/>
      <c r="F584" s="66"/>
      <c r="G584" s="66"/>
      <c r="H584" s="66"/>
      <c r="I584" s="66"/>
      <c r="J584" s="66"/>
      <c r="K584" s="66"/>
      <c r="L584" s="66"/>
      <c r="M584" s="66"/>
      <c r="N584" s="66"/>
      <c r="O584" s="66"/>
      <c r="P584" s="66"/>
      <c r="Q584" s="66"/>
      <c r="R584" s="66"/>
      <c r="S584" s="66"/>
      <c r="T584" s="66"/>
      <c r="U584" s="66"/>
    </row>
    <row r="585" ht="15.75" customHeight="1">
      <c r="A585" s="66"/>
      <c r="B585" s="66"/>
      <c r="C585" s="66"/>
      <c r="D585" s="66"/>
      <c r="E585" s="66"/>
      <c r="F585" s="66"/>
      <c r="G585" s="66"/>
      <c r="H585" s="66"/>
      <c r="I585" s="66"/>
      <c r="J585" s="66"/>
      <c r="K585" s="66"/>
      <c r="L585" s="66"/>
      <c r="M585" s="66"/>
      <c r="N585" s="66"/>
      <c r="O585" s="66"/>
      <c r="P585" s="66"/>
      <c r="Q585" s="66"/>
      <c r="R585" s="66"/>
      <c r="S585" s="66"/>
      <c r="T585" s="66"/>
      <c r="U585" s="66"/>
    </row>
    <row r="586" ht="15.75" customHeight="1">
      <c r="A586" s="66"/>
      <c r="B586" s="66"/>
      <c r="C586" s="66"/>
      <c r="D586" s="66"/>
      <c r="E586" s="66"/>
      <c r="F586" s="66"/>
      <c r="G586" s="66"/>
      <c r="H586" s="66"/>
      <c r="I586" s="66"/>
      <c r="J586" s="66"/>
      <c r="K586" s="66"/>
      <c r="L586" s="66"/>
      <c r="M586" s="66"/>
      <c r="N586" s="66"/>
      <c r="O586" s="66"/>
      <c r="P586" s="66"/>
      <c r="Q586" s="66"/>
      <c r="R586" s="66"/>
      <c r="S586" s="66"/>
      <c r="T586" s="66"/>
      <c r="U586" s="66"/>
    </row>
    <row r="587" ht="15.75" customHeight="1">
      <c r="A587" s="66"/>
      <c r="B587" s="66"/>
      <c r="C587" s="66"/>
      <c r="D587" s="66"/>
      <c r="E587" s="66"/>
      <c r="F587" s="66"/>
      <c r="G587" s="66"/>
      <c r="H587" s="66"/>
      <c r="I587" s="66"/>
      <c r="J587" s="66"/>
      <c r="K587" s="66"/>
      <c r="L587" s="66"/>
      <c r="M587" s="66"/>
      <c r="N587" s="66"/>
      <c r="O587" s="66"/>
      <c r="P587" s="66"/>
      <c r="Q587" s="66"/>
      <c r="R587" s="66"/>
      <c r="S587" s="66"/>
      <c r="T587" s="66"/>
      <c r="U587" s="66"/>
    </row>
    <row r="588" ht="15.75" customHeight="1">
      <c r="A588" s="66"/>
      <c r="B588" s="66"/>
      <c r="C588" s="66"/>
      <c r="D588" s="66"/>
      <c r="E588" s="66"/>
      <c r="F588" s="66"/>
      <c r="G588" s="66"/>
      <c r="H588" s="66"/>
      <c r="I588" s="66"/>
      <c r="J588" s="66"/>
      <c r="K588" s="66"/>
      <c r="L588" s="66"/>
      <c r="M588" s="66"/>
      <c r="N588" s="66"/>
      <c r="O588" s="66"/>
      <c r="P588" s="66"/>
      <c r="Q588" s="66"/>
      <c r="R588" s="66"/>
      <c r="S588" s="66"/>
      <c r="T588" s="66"/>
      <c r="U588" s="66"/>
    </row>
    <row r="589" ht="15.75" customHeight="1">
      <c r="A589" s="66"/>
      <c r="B589" s="66"/>
      <c r="C589" s="66"/>
      <c r="D589" s="66"/>
      <c r="E589" s="66"/>
      <c r="F589" s="66"/>
      <c r="G589" s="66"/>
      <c r="H589" s="66"/>
      <c r="I589" s="66"/>
      <c r="J589" s="66"/>
      <c r="K589" s="66"/>
      <c r="L589" s="66"/>
      <c r="M589" s="66"/>
      <c r="N589" s="66"/>
      <c r="O589" s="66"/>
      <c r="P589" s="66"/>
      <c r="Q589" s="66"/>
      <c r="R589" s="66"/>
      <c r="S589" s="66"/>
      <c r="T589" s="66"/>
      <c r="U589" s="66"/>
    </row>
    <row r="590" ht="15.75" customHeight="1">
      <c r="A590" s="66"/>
      <c r="B590" s="66"/>
      <c r="C590" s="66"/>
      <c r="D590" s="66"/>
      <c r="E590" s="66"/>
      <c r="F590" s="66"/>
      <c r="G590" s="66"/>
      <c r="H590" s="66"/>
      <c r="I590" s="66"/>
      <c r="J590" s="66"/>
      <c r="K590" s="66"/>
      <c r="L590" s="66"/>
      <c r="M590" s="66"/>
      <c r="N590" s="66"/>
      <c r="O590" s="66"/>
      <c r="P590" s="66"/>
      <c r="Q590" s="66"/>
      <c r="R590" s="66"/>
      <c r="S590" s="66"/>
      <c r="T590" s="66"/>
      <c r="U590" s="66"/>
    </row>
    <row r="591" ht="15.75" customHeight="1">
      <c r="A591" s="66"/>
      <c r="B591" s="66"/>
      <c r="C591" s="66"/>
      <c r="D591" s="66"/>
      <c r="E591" s="66"/>
      <c r="F591" s="66"/>
      <c r="G591" s="66"/>
      <c r="H591" s="66"/>
      <c r="I591" s="66"/>
      <c r="J591" s="66"/>
      <c r="K591" s="66"/>
      <c r="L591" s="66"/>
      <c r="M591" s="66"/>
      <c r="N591" s="66"/>
      <c r="O591" s="66"/>
      <c r="P591" s="66"/>
      <c r="Q591" s="66"/>
      <c r="R591" s="66"/>
      <c r="S591" s="66"/>
      <c r="T591" s="66"/>
      <c r="U591" s="66"/>
    </row>
    <row r="592" ht="15.75" customHeight="1">
      <c r="A592" s="66"/>
      <c r="B592" s="66"/>
      <c r="C592" s="66"/>
      <c r="D592" s="66"/>
      <c r="E592" s="66"/>
      <c r="F592" s="66"/>
      <c r="G592" s="66"/>
      <c r="H592" s="66"/>
      <c r="I592" s="66"/>
      <c r="J592" s="66"/>
      <c r="K592" s="66"/>
      <c r="L592" s="66"/>
      <c r="M592" s="66"/>
      <c r="N592" s="66"/>
      <c r="O592" s="66"/>
      <c r="P592" s="66"/>
      <c r="Q592" s="66"/>
      <c r="R592" s="66"/>
      <c r="S592" s="66"/>
      <c r="T592" s="66"/>
      <c r="U592" s="66"/>
    </row>
    <row r="593" ht="15.75" customHeight="1">
      <c r="A593" s="66"/>
      <c r="B593" s="66"/>
      <c r="C593" s="66"/>
      <c r="D593" s="66"/>
      <c r="E593" s="66"/>
      <c r="F593" s="66"/>
      <c r="G593" s="66"/>
      <c r="H593" s="66"/>
      <c r="I593" s="66"/>
      <c r="J593" s="66"/>
      <c r="K593" s="66"/>
      <c r="L593" s="66"/>
      <c r="M593" s="66"/>
      <c r="N593" s="66"/>
      <c r="O593" s="66"/>
      <c r="P593" s="66"/>
      <c r="Q593" s="66"/>
      <c r="R593" s="66"/>
      <c r="S593" s="66"/>
      <c r="T593" s="66"/>
      <c r="U593" s="66"/>
    </row>
    <row r="594" ht="15.75" customHeight="1">
      <c r="A594" s="66"/>
      <c r="B594" s="66"/>
      <c r="C594" s="66"/>
      <c r="D594" s="66"/>
      <c r="E594" s="66"/>
      <c r="F594" s="66"/>
      <c r="G594" s="66"/>
      <c r="H594" s="66"/>
      <c r="I594" s="66"/>
      <c r="J594" s="66"/>
      <c r="K594" s="66"/>
      <c r="L594" s="66"/>
      <c r="M594" s="66"/>
      <c r="N594" s="66"/>
      <c r="O594" s="66"/>
      <c r="P594" s="66"/>
      <c r="Q594" s="66"/>
      <c r="R594" s="66"/>
      <c r="S594" s="66"/>
      <c r="T594" s="66"/>
      <c r="U594" s="66"/>
    </row>
    <row r="595" ht="15.75" customHeight="1">
      <c r="A595" s="66"/>
      <c r="B595" s="66"/>
      <c r="C595" s="66"/>
      <c r="D595" s="66"/>
      <c r="E595" s="66"/>
      <c r="F595" s="66"/>
      <c r="G595" s="66"/>
      <c r="H595" s="66"/>
      <c r="I595" s="66"/>
      <c r="J595" s="66"/>
      <c r="K595" s="66"/>
      <c r="L595" s="66"/>
      <c r="M595" s="66"/>
      <c r="N595" s="66"/>
      <c r="O595" s="66"/>
      <c r="P595" s="66"/>
      <c r="Q595" s="66"/>
      <c r="R595" s="66"/>
      <c r="S595" s="66"/>
      <c r="T595" s="66"/>
      <c r="U595" s="66"/>
    </row>
    <row r="596" ht="15.75" customHeight="1">
      <c r="A596" s="66"/>
      <c r="B596" s="66"/>
      <c r="C596" s="66"/>
      <c r="D596" s="66"/>
      <c r="E596" s="66"/>
      <c r="F596" s="66"/>
      <c r="G596" s="66"/>
      <c r="H596" s="66"/>
      <c r="I596" s="66"/>
      <c r="J596" s="66"/>
      <c r="K596" s="66"/>
      <c r="L596" s="66"/>
      <c r="M596" s="66"/>
      <c r="N596" s="66"/>
      <c r="O596" s="66"/>
      <c r="P596" s="66"/>
      <c r="Q596" s="66"/>
      <c r="R596" s="66"/>
      <c r="S596" s="66"/>
      <c r="T596" s="66"/>
      <c r="U596" s="66"/>
    </row>
    <row r="597" ht="15.75" customHeight="1">
      <c r="A597" s="66"/>
      <c r="B597" s="66"/>
      <c r="C597" s="66"/>
      <c r="D597" s="66"/>
      <c r="E597" s="66"/>
      <c r="F597" s="66"/>
      <c r="G597" s="66"/>
      <c r="H597" s="66"/>
      <c r="I597" s="66"/>
      <c r="J597" s="66"/>
      <c r="K597" s="66"/>
      <c r="L597" s="66"/>
      <c r="M597" s="66"/>
      <c r="N597" s="66"/>
      <c r="O597" s="66"/>
      <c r="P597" s="66"/>
      <c r="Q597" s="66"/>
      <c r="R597" s="66"/>
      <c r="S597" s="66"/>
      <c r="T597" s="66"/>
      <c r="U597" s="66"/>
    </row>
    <row r="598" ht="15.75" customHeight="1">
      <c r="A598" s="66"/>
      <c r="B598" s="66"/>
      <c r="C598" s="66"/>
      <c r="D598" s="66"/>
      <c r="E598" s="66"/>
      <c r="F598" s="66"/>
      <c r="G598" s="66"/>
      <c r="H598" s="66"/>
      <c r="I598" s="66"/>
      <c r="J598" s="66"/>
      <c r="K598" s="66"/>
      <c r="L598" s="66"/>
      <c r="M598" s="66"/>
      <c r="N598" s="66"/>
      <c r="O598" s="66"/>
      <c r="P598" s="66"/>
      <c r="Q598" s="66"/>
      <c r="R598" s="66"/>
      <c r="S598" s="66"/>
      <c r="T598" s="66"/>
      <c r="U598" s="66"/>
    </row>
    <row r="599" ht="15.75" customHeight="1">
      <c r="A599" s="66"/>
      <c r="B599" s="66"/>
      <c r="C599" s="66"/>
      <c r="D599" s="66"/>
      <c r="E599" s="66"/>
      <c r="F599" s="66"/>
      <c r="G599" s="66"/>
      <c r="H599" s="66"/>
      <c r="I599" s="66"/>
      <c r="J599" s="66"/>
      <c r="K599" s="66"/>
      <c r="L599" s="66"/>
      <c r="M599" s="66"/>
      <c r="N599" s="66"/>
      <c r="O599" s="66"/>
      <c r="P599" s="66"/>
      <c r="Q599" s="66"/>
      <c r="R599" s="66"/>
      <c r="S599" s="66"/>
      <c r="T599" s="66"/>
      <c r="U599" s="66"/>
    </row>
    <row r="600" ht="15.75" customHeight="1">
      <c r="A600" s="66"/>
      <c r="B600" s="66"/>
      <c r="C600" s="66"/>
      <c r="D600" s="66"/>
      <c r="E600" s="66"/>
      <c r="F600" s="66"/>
      <c r="G600" s="66"/>
      <c r="H600" s="66"/>
      <c r="I600" s="66"/>
      <c r="J600" s="66"/>
      <c r="K600" s="66"/>
      <c r="L600" s="66"/>
      <c r="M600" s="66"/>
      <c r="N600" s="66"/>
      <c r="O600" s="66"/>
      <c r="P600" s="66"/>
      <c r="Q600" s="66"/>
      <c r="R600" s="66"/>
      <c r="S600" s="66"/>
      <c r="T600" s="66"/>
      <c r="U600" s="66"/>
    </row>
    <row r="601" ht="15.75" customHeight="1">
      <c r="A601" s="66"/>
      <c r="B601" s="66"/>
      <c r="C601" s="66"/>
      <c r="D601" s="66"/>
      <c r="E601" s="66"/>
      <c r="F601" s="66"/>
      <c r="G601" s="66"/>
      <c r="H601" s="66"/>
      <c r="I601" s="66"/>
      <c r="J601" s="66"/>
      <c r="K601" s="66"/>
      <c r="L601" s="66"/>
      <c r="M601" s="66"/>
      <c r="N601" s="66"/>
      <c r="O601" s="66"/>
      <c r="P601" s="66"/>
      <c r="Q601" s="66"/>
      <c r="R601" s="66"/>
      <c r="S601" s="66"/>
      <c r="T601" s="66"/>
      <c r="U601" s="66"/>
    </row>
    <row r="602" ht="15.75" customHeight="1">
      <c r="A602" s="66"/>
      <c r="B602" s="66"/>
      <c r="C602" s="66"/>
      <c r="D602" s="66"/>
      <c r="E602" s="66"/>
      <c r="F602" s="66"/>
      <c r="G602" s="66"/>
      <c r="H602" s="66"/>
      <c r="I602" s="66"/>
      <c r="J602" s="66"/>
      <c r="K602" s="66"/>
      <c r="L602" s="66"/>
      <c r="M602" s="66"/>
      <c r="N602" s="66"/>
      <c r="O602" s="66"/>
      <c r="P602" s="66"/>
      <c r="Q602" s="66"/>
      <c r="R602" s="66"/>
      <c r="S602" s="66"/>
      <c r="T602" s="66"/>
      <c r="U602" s="66"/>
    </row>
    <row r="603" ht="15.75" customHeight="1">
      <c r="A603" s="66"/>
      <c r="B603" s="66"/>
      <c r="C603" s="66"/>
      <c r="D603" s="66"/>
      <c r="E603" s="66"/>
      <c r="F603" s="66"/>
      <c r="G603" s="66"/>
      <c r="H603" s="66"/>
      <c r="I603" s="66"/>
      <c r="J603" s="66"/>
      <c r="K603" s="66"/>
      <c r="L603" s="66"/>
      <c r="M603" s="66"/>
      <c r="N603" s="66"/>
      <c r="O603" s="66"/>
      <c r="P603" s="66"/>
      <c r="Q603" s="66"/>
      <c r="R603" s="66"/>
      <c r="S603" s="66"/>
      <c r="T603" s="66"/>
      <c r="U603" s="66"/>
    </row>
    <row r="604" ht="15.75" customHeight="1">
      <c r="A604" s="66"/>
      <c r="B604" s="66"/>
      <c r="C604" s="66"/>
      <c r="D604" s="66"/>
      <c r="E604" s="66"/>
      <c r="F604" s="66"/>
      <c r="G604" s="66"/>
      <c r="H604" s="66"/>
      <c r="I604" s="66"/>
      <c r="J604" s="66"/>
      <c r="K604" s="66"/>
      <c r="L604" s="66"/>
      <c r="M604" s="66"/>
      <c r="N604" s="66"/>
      <c r="O604" s="66"/>
      <c r="P604" s="66"/>
      <c r="Q604" s="66"/>
      <c r="R604" s="66"/>
      <c r="S604" s="66"/>
      <c r="T604" s="66"/>
      <c r="U604" s="66"/>
    </row>
    <row r="605" ht="15.75" customHeight="1">
      <c r="A605" s="66"/>
      <c r="B605" s="66"/>
      <c r="C605" s="66"/>
      <c r="D605" s="66"/>
      <c r="E605" s="66"/>
      <c r="F605" s="66"/>
      <c r="G605" s="66"/>
      <c r="H605" s="66"/>
      <c r="I605" s="66"/>
      <c r="J605" s="66"/>
      <c r="K605" s="66"/>
      <c r="L605" s="66"/>
      <c r="M605" s="66"/>
      <c r="N605" s="66"/>
      <c r="O605" s="66"/>
      <c r="P605" s="66"/>
      <c r="Q605" s="66"/>
      <c r="R605" s="66"/>
      <c r="S605" s="66"/>
      <c r="T605" s="66"/>
      <c r="U605" s="66"/>
    </row>
    <row r="606" ht="15.75" customHeight="1">
      <c r="A606" s="66"/>
      <c r="B606" s="66"/>
      <c r="C606" s="66"/>
      <c r="D606" s="66"/>
      <c r="E606" s="66"/>
      <c r="F606" s="66"/>
      <c r="G606" s="66"/>
      <c r="H606" s="66"/>
      <c r="I606" s="66"/>
      <c r="J606" s="66"/>
      <c r="K606" s="66"/>
      <c r="L606" s="66"/>
      <c r="M606" s="66"/>
      <c r="N606" s="66"/>
      <c r="O606" s="66"/>
      <c r="P606" s="66"/>
      <c r="Q606" s="66"/>
      <c r="R606" s="66"/>
      <c r="S606" s="66"/>
      <c r="T606" s="66"/>
      <c r="U606" s="66"/>
    </row>
    <row r="607" ht="15.75" customHeight="1">
      <c r="A607" s="66"/>
      <c r="B607" s="66"/>
      <c r="C607" s="66"/>
      <c r="D607" s="66"/>
      <c r="E607" s="66"/>
      <c r="F607" s="66"/>
      <c r="G607" s="66"/>
      <c r="H607" s="66"/>
      <c r="I607" s="66"/>
      <c r="J607" s="66"/>
      <c r="K607" s="66"/>
      <c r="L607" s="66"/>
      <c r="M607" s="66"/>
      <c r="N607" s="66"/>
      <c r="O607" s="66"/>
      <c r="P607" s="66"/>
      <c r="Q607" s="66"/>
      <c r="R607" s="66"/>
      <c r="S607" s="66"/>
      <c r="T607" s="66"/>
      <c r="U607" s="66"/>
    </row>
    <row r="608" ht="15.75" customHeight="1">
      <c r="A608" s="66"/>
      <c r="B608" s="66"/>
      <c r="C608" s="66"/>
      <c r="D608" s="66"/>
      <c r="E608" s="66"/>
      <c r="F608" s="66"/>
      <c r="G608" s="66"/>
      <c r="H608" s="66"/>
      <c r="I608" s="66"/>
      <c r="J608" s="66"/>
      <c r="K608" s="66"/>
      <c r="L608" s="66"/>
      <c r="M608" s="66"/>
      <c r="N608" s="66"/>
      <c r="O608" s="66"/>
      <c r="P608" s="66"/>
      <c r="Q608" s="66"/>
      <c r="R608" s="66"/>
      <c r="S608" s="66"/>
      <c r="T608" s="66"/>
      <c r="U608" s="66"/>
    </row>
    <row r="609" ht="15.75" customHeight="1">
      <c r="A609" s="66"/>
      <c r="B609" s="66"/>
      <c r="C609" s="66"/>
      <c r="D609" s="66"/>
      <c r="E609" s="66"/>
      <c r="F609" s="66"/>
      <c r="G609" s="66"/>
      <c r="H609" s="66"/>
      <c r="I609" s="66"/>
      <c r="J609" s="66"/>
      <c r="K609" s="66"/>
      <c r="L609" s="66"/>
      <c r="M609" s="66"/>
      <c r="N609" s="66"/>
      <c r="O609" s="66"/>
      <c r="P609" s="66"/>
      <c r="Q609" s="66"/>
      <c r="R609" s="66"/>
      <c r="S609" s="66"/>
      <c r="T609" s="66"/>
      <c r="U609" s="66"/>
    </row>
    <row r="610" ht="15.75" customHeight="1">
      <c r="A610" s="66"/>
      <c r="B610" s="66"/>
      <c r="C610" s="66"/>
      <c r="D610" s="66"/>
      <c r="E610" s="66"/>
      <c r="F610" s="66"/>
      <c r="G610" s="66"/>
      <c r="H610" s="66"/>
      <c r="I610" s="66"/>
      <c r="J610" s="66"/>
      <c r="K610" s="66"/>
      <c r="L610" s="66"/>
      <c r="M610" s="66"/>
      <c r="N610" s="66"/>
      <c r="O610" s="66"/>
      <c r="P610" s="66"/>
      <c r="Q610" s="66"/>
      <c r="R610" s="66"/>
      <c r="S610" s="66"/>
      <c r="T610" s="66"/>
      <c r="U610" s="66"/>
    </row>
    <row r="611" ht="15.75" customHeight="1">
      <c r="A611" s="66"/>
      <c r="B611" s="66"/>
      <c r="C611" s="66"/>
      <c r="D611" s="66"/>
      <c r="E611" s="66"/>
      <c r="F611" s="66"/>
      <c r="G611" s="66"/>
      <c r="H611" s="66"/>
      <c r="I611" s="66"/>
      <c r="J611" s="66"/>
      <c r="K611" s="66"/>
      <c r="L611" s="66"/>
      <c r="M611" s="66"/>
      <c r="N611" s="66"/>
      <c r="O611" s="66"/>
      <c r="P611" s="66"/>
      <c r="Q611" s="66"/>
      <c r="R611" s="66"/>
      <c r="S611" s="66"/>
      <c r="T611" s="66"/>
      <c r="U611" s="66"/>
    </row>
    <row r="612" ht="15.75" customHeight="1">
      <c r="A612" s="66"/>
      <c r="B612" s="66"/>
      <c r="C612" s="66"/>
      <c r="D612" s="66"/>
      <c r="E612" s="66"/>
      <c r="F612" s="66"/>
      <c r="G612" s="66"/>
      <c r="H612" s="66"/>
      <c r="I612" s="66"/>
      <c r="J612" s="66"/>
      <c r="K612" s="66"/>
      <c r="L612" s="66"/>
      <c r="M612" s="66"/>
      <c r="N612" s="66"/>
      <c r="O612" s="66"/>
      <c r="P612" s="66"/>
      <c r="Q612" s="66"/>
      <c r="R612" s="66"/>
      <c r="S612" s="66"/>
      <c r="T612" s="66"/>
      <c r="U612" s="66"/>
    </row>
    <row r="613" ht="15.75" customHeight="1">
      <c r="A613" s="66"/>
      <c r="B613" s="66"/>
      <c r="C613" s="66"/>
      <c r="D613" s="66"/>
      <c r="E613" s="66"/>
      <c r="F613" s="66"/>
      <c r="G613" s="66"/>
      <c r="H613" s="66"/>
      <c r="I613" s="66"/>
      <c r="J613" s="66"/>
      <c r="K613" s="66"/>
      <c r="L613" s="66"/>
      <c r="M613" s="66"/>
      <c r="N613" s="66"/>
      <c r="O613" s="66"/>
      <c r="P613" s="66"/>
      <c r="Q613" s="66"/>
      <c r="R613" s="66"/>
      <c r="S613" s="66"/>
      <c r="T613" s="66"/>
      <c r="U613" s="66"/>
    </row>
    <row r="614" ht="15.75" customHeight="1">
      <c r="A614" s="66"/>
      <c r="B614" s="66"/>
      <c r="C614" s="66"/>
      <c r="D614" s="66"/>
      <c r="E614" s="66"/>
      <c r="F614" s="66"/>
      <c r="G614" s="66"/>
      <c r="H614" s="66"/>
      <c r="I614" s="66"/>
      <c r="J614" s="66"/>
      <c r="K614" s="66"/>
      <c r="L614" s="66"/>
      <c r="M614" s="66"/>
      <c r="N614" s="66"/>
      <c r="O614" s="66"/>
      <c r="P614" s="66"/>
      <c r="Q614" s="66"/>
      <c r="R614" s="66"/>
      <c r="S614" s="66"/>
      <c r="T614" s="66"/>
      <c r="U614" s="66"/>
    </row>
    <row r="615" ht="15.75" customHeight="1">
      <c r="A615" s="66"/>
      <c r="B615" s="66"/>
      <c r="C615" s="66"/>
      <c r="D615" s="66"/>
      <c r="E615" s="66"/>
      <c r="F615" s="66"/>
      <c r="G615" s="66"/>
      <c r="H615" s="66"/>
      <c r="I615" s="66"/>
      <c r="J615" s="66"/>
      <c r="K615" s="66"/>
      <c r="L615" s="66"/>
      <c r="M615" s="66"/>
      <c r="N615" s="66"/>
      <c r="O615" s="66"/>
      <c r="P615" s="66"/>
      <c r="Q615" s="66"/>
      <c r="R615" s="66"/>
      <c r="S615" s="66"/>
      <c r="T615" s="66"/>
      <c r="U615" s="66"/>
    </row>
    <row r="616" ht="15.75" customHeight="1">
      <c r="A616" s="66"/>
      <c r="B616" s="66"/>
      <c r="C616" s="66"/>
      <c r="D616" s="66"/>
      <c r="E616" s="66"/>
      <c r="F616" s="66"/>
      <c r="G616" s="66"/>
      <c r="H616" s="66"/>
      <c r="I616" s="66"/>
      <c r="J616" s="66"/>
      <c r="K616" s="66"/>
      <c r="L616" s="66"/>
      <c r="M616" s="66"/>
      <c r="N616" s="66"/>
      <c r="O616" s="66"/>
      <c r="P616" s="66"/>
      <c r="Q616" s="66"/>
      <c r="R616" s="66"/>
      <c r="S616" s="66"/>
      <c r="T616" s="66"/>
      <c r="U616" s="66"/>
    </row>
    <row r="617" ht="15.75" customHeight="1">
      <c r="A617" s="66"/>
      <c r="B617" s="66"/>
      <c r="C617" s="66"/>
      <c r="D617" s="66"/>
      <c r="E617" s="66"/>
      <c r="F617" s="66"/>
      <c r="G617" s="66"/>
      <c r="H617" s="66"/>
      <c r="I617" s="66"/>
      <c r="J617" s="66"/>
      <c r="K617" s="66"/>
      <c r="L617" s="66"/>
      <c r="M617" s="66"/>
      <c r="N617" s="66"/>
      <c r="O617" s="66"/>
      <c r="P617" s="66"/>
      <c r="Q617" s="66"/>
      <c r="R617" s="66"/>
      <c r="S617" s="66"/>
      <c r="T617" s="66"/>
      <c r="U617" s="66"/>
    </row>
    <row r="618" ht="15.75" customHeight="1">
      <c r="A618" s="66"/>
      <c r="B618" s="66"/>
      <c r="C618" s="66"/>
      <c r="D618" s="66"/>
      <c r="E618" s="66"/>
      <c r="F618" s="66"/>
      <c r="G618" s="66"/>
      <c r="H618" s="66"/>
      <c r="I618" s="66"/>
      <c r="J618" s="66"/>
      <c r="K618" s="66"/>
      <c r="L618" s="66"/>
      <c r="M618" s="66"/>
      <c r="N618" s="66"/>
      <c r="O618" s="66"/>
      <c r="P618" s="66"/>
      <c r="Q618" s="66"/>
      <c r="R618" s="66"/>
      <c r="S618" s="66"/>
      <c r="T618" s="66"/>
      <c r="U618" s="66"/>
    </row>
    <row r="619" ht="15.75" customHeight="1">
      <c r="A619" s="66"/>
      <c r="B619" s="66"/>
      <c r="C619" s="66"/>
      <c r="D619" s="66"/>
      <c r="E619" s="66"/>
      <c r="F619" s="66"/>
      <c r="G619" s="66"/>
      <c r="H619" s="66"/>
      <c r="I619" s="66"/>
      <c r="J619" s="66"/>
      <c r="K619" s="66"/>
      <c r="L619" s="66"/>
      <c r="M619" s="66"/>
      <c r="N619" s="66"/>
      <c r="O619" s="66"/>
      <c r="P619" s="66"/>
      <c r="Q619" s="66"/>
      <c r="R619" s="66"/>
      <c r="S619" s="66"/>
      <c r="T619" s="66"/>
      <c r="U619" s="66"/>
    </row>
    <row r="620" ht="15.75" customHeight="1">
      <c r="A620" s="66"/>
      <c r="B620" s="66"/>
      <c r="C620" s="66"/>
      <c r="D620" s="66"/>
      <c r="E620" s="66"/>
      <c r="F620" s="66"/>
      <c r="G620" s="66"/>
      <c r="H620" s="66"/>
      <c r="I620" s="66"/>
      <c r="J620" s="66"/>
      <c r="K620" s="66"/>
      <c r="L620" s="66"/>
      <c r="M620" s="66"/>
      <c r="N620" s="66"/>
      <c r="O620" s="66"/>
      <c r="P620" s="66"/>
      <c r="Q620" s="66"/>
      <c r="R620" s="66"/>
      <c r="S620" s="66"/>
      <c r="T620" s="66"/>
      <c r="U620" s="66"/>
    </row>
    <row r="621" ht="15.75" customHeight="1">
      <c r="A621" s="66"/>
      <c r="B621" s="66"/>
      <c r="C621" s="66"/>
      <c r="D621" s="66"/>
      <c r="E621" s="66"/>
      <c r="F621" s="66"/>
      <c r="G621" s="66"/>
      <c r="H621" s="66"/>
      <c r="I621" s="66"/>
      <c r="J621" s="66"/>
      <c r="K621" s="66"/>
      <c r="L621" s="66"/>
      <c r="M621" s="66"/>
      <c r="N621" s="66"/>
      <c r="O621" s="66"/>
      <c r="P621" s="66"/>
      <c r="Q621" s="66"/>
      <c r="R621" s="66"/>
      <c r="S621" s="66"/>
      <c r="T621" s="66"/>
      <c r="U621" s="66"/>
    </row>
    <row r="622" ht="15.75" customHeight="1">
      <c r="A622" s="66"/>
      <c r="B622" s="66"/>
      <c r="C622" s="66"/>
      <c r="D622" s="66"/>
      <c r="E622" s="66"/>
      <c r="F622" s="66"/>
      <c r="G622" s="66"/>
      <c r="H622" s="66"/>
      <c r="I622" s="66"/>
      <c r="J622" s="66"/>
      <c r="K622" s="66"/>
      <c r="L622" s="66"/>
      <c r="M622" s="66"/>
      <c r="N622" s="66"/>
      <c r="O622" s="66"/>
      <c r="P622" s="66"/>
      <c r="Q622" s="66"/>
      <c r="R622" s="66"/>
      <c r="S622" s="66"/>
      <c r="T622" s="66"/>
      <c r="U622" s="66"/>
    </row>
    <row r="623" ht="15.75" customHeight="1">
      <c r="A623" s="66"/>
      <c r="B623" s="66"/>
      <c r="C623" s="66"/>
      <c r="D623" s="66"/>
      <c r="E623" s="66"/>
      <c r="F623" s="66"/>
      <c r="G623" s="66"/>
      <c r="H623" s="66"/>
      <c r="I623" s="66"/>
      <c r="J623" s="66"/>
      <c r="K623" s="66"/>
      <c r="L623" s="66"/>
      <c r="M623" s="66"/>
      <c r="N623" s="66"/>
      <c r="O623" s="66"/>
      <c r="P623" s="66"/>
      <c r="Q623" s="66"/>
      <c r="R623" s="66"/>
      <c r="S623" s="66"/>
      <c r="T623" s="66"/>
      <c r="U623" s="66"/>
    </row>
    <row r="624" ht="15.75" customHeight="1">
      <c r="A624" s="66"/>
      <c r="B624" s="66"/>
      <c r="C624" s="66"/>
      <c r="D624" s="66"/>
      <c r="E624" s="66"/>
      <c r="F624" s="66"/>
      <c r="G624" s="66"/>
      <c r="H624" s="66"/>
      <c r="I624" s="66"/>
      <c r="J624" s="66"/>
      <c r="K624" s="66"/>
      <c r="L624" s="66"/>
      <c r="M624" s="66"/>
      <c r="N624" s="66"/>
      <c r="O624" s="66"/>
      <c r="P624" s="66"/>
      <c r="Q624" s="66"/>
      <c r="R624" s="66"/>
      <c r="S624" s="66"/>
      <c r="T624" s="66"/>
      <c r="U624" s="66"/>
    </row>
    <row r="625" ht="15.75" customHeight="1">
      <c r="A625" s="66"/>
      <c r="B625" s="66"/>
      <c r="C625" s="66"/>
      <c r="D625" s="66"/>
      <c r="E625" s="66"/>
      <c r="F625" s="66"/>
      <c r="G625" s="66"/>
      <c r="H625" s="66"/>
      <c r="I625" s="66"/>
      <c r="J625" s="66"/>
      <c r="K625" s="66"/>
      <c r="L625" s="66"/>
      <c r="M625" s="66"/>
      <c r="N625" s="66"/>
      <c r="O625" s="66"/>
      <c r="P625" s="66"/>
      <c r="Q625" s="66"/>
      <c r="R625" s="66"/>
      <c r="S625" s="66"/>
      <c r="T625" s="66"/>
      <c r="U625" s="66"/>
    </row>
    <row r="626" ht="15.75" customHeight="1">
      <c r="A626" s="66"/>
      <c r="B626" s="66"/>
      <c r="C626" s="66"/>
      <c r="D626" s="66"/>
      <c r="E626" s="66"/>
      <c r="F626" s="66"/>
      <c r="G626" s="66"/>
      <c r="H626" s="66"/>
      <c r="I626" s="66"/>
      <c r="J626" s="66"/>
      <c r="K626" s="66"/>
      <c r="L626" s="66"/>
      <c r="M626" s="66"/>
      <c r="N626" s="66"/>
      <c r="O626" s="66"/>
      <c r="P626" s="66"/>
      <c r="Q626" s="66"/>
      <c r="R626" s="66"/>
      <c r="S626" s="66"/>
      <c r="T626" s="66"/>
      <c r="U626" s="66"/>
    </row>
    <row r="627" ht="15.75" customHeight="1">
      <c r="A627" s="66"/>
      <c r="B627" s="66"/>
      <c r="C627" s="66"/>
      <c r="D627" s="66"/>
      <c r="E627" s="66"/>
      <c r="F627" s="66"/>
      <c r="G627" s="66"/>
      <c r="H627" s="66"/>
      <c r="I627" s="66"/>
      <c r="J627" s="66"/>
      <c r="K627" s="66"/>
      <c r="L627" s="66"/>
      <c r="M627" s="66"/>
      <c r="N627" s="66"/>
      <c r="O627" s="66"/>
      <c r="P627" s="66"/>
      <c r="Q627" s="66"/>
      <c r="R627" s="66"/>
      <c r="S627" s="66"/>
      <c r="T627" s="66"/>
      <c r="U627" s="66"/>
    </row>
    <row r="628" ht="15.75" customHeight="1">
      <c r="A628" s="66"/>
      <c r="B628" s="66"/>
      <c r="C628" s="66"/>
      <c r="D628" s="66"/>
      <c r="E628" s="66"/>
      <c r="F628" s="66"/>
      <c r="G628" s="66"/>
      <c r="H628" s="66"/>
      <c r="I628" s="66"/>
      <c r="J628" s="66"/>
      <c r="K628" s="66"/>
      <c r="L628" s="66"/>
      <c r="M628" s="66"/>
      <c r="N628" s="66"/>
      <c r="O628" s="66"/>
      <c r="P628" s="66"/>
      <c r="Q628" s="66"/>
      <c r="R628" s="66"/>
      <c r="S628" s="66"/>
      <c r="T628" s="66"/>
      <c r="U628" s="66"/>
    </row>
    <row r="629" ht="15.75" customHeight="1">
      <c r="A629" s="66"/>
      <c r="B629" s="66"/>
      <c r="C629" s="66"/>
      <c r="D629" s="66"/>
      <c r="E629" s="66"/>
      <c r="F629" s="66"/>
      <c r="G629" s="66"/>
      <c r="H629" s="66"/>
      <c r="I629" s="66"/>
      <c r="J629" s="66"/>
      <c r="K629" s="66"/>
      <c r="L629" s="66"/>
      <c r="M629" s="66"/>
      <c r="N629" s="66"/>
      <c r="O629" s="66"/>
      <c r="P629" s="66"/>
      <c r="Q629" s="66"/>
      <c r="R629" s="66"/>
      <c r="S629" s="66"/>
      <c r="T629" s="66"/>
      <c r="U629" s="66"/>
    </row>
    <row r="630" ht="15.75" customHeight="1">
      <c r="A630" s="66"/>
      <c r="B630" s="66"/>
      <c r="C630" s="66"/>
      <c r="D630" s="66"/>
      <c r="E630" s="66"/>
      <c r="F630" s="66"/>
      <c r="G630" s="66"/>
      <c r="H630" s="66"/>
      <c r="I630" s="66"/>
      <c r="J630" s="66"/>
      <c r="K630" s="66"/>
      <c r="L630" s="66"/>
      <c r="M630" s="66"/>
      <c r="N630" s="66"/>
      <c r="O630" s="66"/>
      <c r="P630" s="66"/>
      <c r="Q630" s="66"/>
      <c r="R630" s="66"/>
      <c r="S630" s="66"/>
      <c r="T630" s="66"/>
      <c r="U630" s="66"/>
    </row>
    <row r="631" ht="15.75" customHeight="1">
      <c r="A631" s="66"/>
      <c r="B631" s="66"/>
      <c r="C631" s="66"/>
      <c r="D631" s="66"/>
      <c r="E631" s="66"/>
      <c r="F631" s="66"/>
      <c r="G631" s="66"/>
      <c r="H631" s="66"/>
      <c r="I631" s="66"/>
      <c r="J631" s="66"/>
      <c r="K631" s="66"/>
      <c r="L631" s="66"/>
      <c r="M631" s="66"/>
      <c r="N631" s="66"/>
      <c r="O631" s="66"/>
      <c r="P631" s="66"/>
      <c r="Q631" s="66"/>
      <c r="R631" s="66"/>
      <c r="S631" s="66"/>
      <c r="T631" s="66"/>
      <c r="U631" s="66"/>
    </row>
    <row r="632" ht="15.75" customHeight="1">
      <c r="A632" s="66"/>
      <c r="B632" s="66"/>
      <c r="C632" s="66"/>
      <c r="D632" s="66"/>
      <c r="E632" s="66"/>
      <c r="F632" s="66"/>
      <c r="G632" s="66"/>
      <c r="H632" s="66"/>
      <c r="I632" s="66"/>
      <c r="J632" s="66"/>
      <c r="K632" s="66"/>
      <c r="L632" s="66"/>
      <c r="M632" s="66"/>
      <c r="N632" s="66"/>
      <c r="O632" s="66"/>
      <c r="P632" s="66"/>
      <c r="Q632" s="66"/>
      <c r="R632" s="66"/>
      <c r="S632" s="66"/>
      <c r="T632" s="66"/>
      <c r="U632" s="66"/>
    </row>
    <row r="633" ht="15.75" customHeight="1">
      <c r="A633" s="66"/>
      <c r="B633" s="66"/>
      <c r="C633" s="66"/>
      <c r="D633" s="66"/>
      <c r="E633" s="66"/>
      <c r="F633" s="66"/>
      <c r="G633" s="66"/>
      <c r="H633" s="66"/>
      <c r="I633" s="66"/>
      <c r="J633" s="66"/>
      <c r="K633" s="66"/>
      <c r="L633" s="66"/>
      <c r="M633" s="66"/>
      <c r="N633" s="66"/>
      <c r="O633" s="66"/>
      <c r="P633" s="66"/>
      <c r="Q633" s="66"/>
      <c r="R633" s="66"/>
      <c r="S633" s="66"/>
      <c r="T633" s="66"/>
      <c r="U633" s="66"/>
    </row>
    <row r="634" ht="15.75" customHeight="1">
      <c r="A634" s="66"/>
      <c r="B634" s="66"/>
      <c r="C634" s="66"/>
      <c r="D634" s="66"/>
      <c r="E634" s="66"/>
      <c r="F634" s="66"/>
      <c r="G634" s="66"/>
      <c r="H634" s="66"/>
      <c r="I634" s="66"/>
      <c r="J634" s="66"/>
      <c r="K634" s="66"/>
      <c r="L634" s="66"/>
      <c r="M634" s="66"/>
      <c r="N634" s="66"/>
      <c r="O634" s="66"/>
      <c r="P634" s="66"/>
      <c r="Q634" s="66"/>
      <c r="R634" s="66"/>
      <c r="S634" s="66"/>
      <c r="T634" s="66"/>
      <c r="U634" s="66"/>
    </row>
    <row r="635" ht="15.75" customHeight="1">
      <c r="A635" s="66"/>
      <c r="B635" s="66"/>
      <c r="C635" s="66"/>
      <c r="D635" s="66"/>
      <c r="E635" s="66"/>
      <c r="F635" s="66"/>
      <c r="G635" s="66"/>
      <c r="H635" s="66"/>
      <c r="I635" s="66"/>
      <c r="J635" s="66"/>
      <c r="K635" s="66"/>
      <c r="L635" s="66"/>
      <c r="M635" s="66"/>
      <c r="N635" s="66"/>
      <c r="O635" s="66"/>
      <c r="P635" s="66"/>
      <c r="Q635" s="66"/>
      <c r="R635" s="66"/>
      <c r="S635" s="66"/>
      <c r="T635" s="66"/>
      <c r="U635" s="66"/>
    </row>
    <row r="636" ht="15.75" customHeight="1">
      <c r="A636" s="66"/>
      <c r="B636" s="66"/>
      <c r="C636" s="66"/>
      <c r="D636" s="66"/>
      <c r="E636" s="66"/>
      <c r="F636" s="66"/>
      <c r="G636" s="66"/>
      <c r="H636" s="66"/>
      <c r="I636" s="66"/>
      <c r="J636" s="66"/>
      <c r="K636" s="66"/>
      <c r="L636" s="66"/>
      <c r="M636" s="66"/>
      <c r="N636" s="66"/>
      <c r="O636" s="66"/>
      <c r="P636" s="66"/>
      <c r="Q636" s="66"/>
      <c r="R636" s="66"/>
      <c r="S636" s="66"/>
      <c r="T636" s="66"/>
      <c r="U636" s="66"/>
    </row>
    <row r="637" ht="15.75" customHeight="1">
      <c r="A637" s="66"/>
      <c r="B637" s="66"/>
      <c r="C637" s="66"/>
      <c r="D637" s="66"/>
      <c r="E637" s="66"/>
      <c r="F637" s="66"/>
      <c r="G637" s="66"/>
      <c r="H637" s="66"/>
      <c r="I637" s="66"/>
      <c r="J637" s="66"/>
      <c r="K637" s="66"/>
      <c r="L637" s="66"/>
      <c r="M637" s="66"/>
      <c r="N637" s="66"/>
      <c r="O637" s="66"/>
      <c r="P637" s="66"/>
      <c r="Q637" s="66"/>
      <c r="R637" s="66"/>
      <c r="S637" s="66"/>
      <c r="T637" s="66"/>
      <c r="U637" s="66"/>
    </row>
    <row r="638" ht="15.75" customHeight="1">
      <c r="A638" s="66"/>
      <c r="B638" s="66"/>
      <c r="C638" s="66"/>
      <c r="D638" s="66"/>
      <c r="E638" s="66"/>
      <c r="F638" s="66"/>
      <c r="G638" s="66"/>
      <c r="H638" s="66"/>
      <c r="I638" s="66"/>
      <c r="J638" s="66"/>
      <c r="K638" s="66"/>
      <c r="L638" s="66"/>
      <c r="M638" s="66"/>
      <c r="N638" s="66"/>
      <c r="O638" s="66"/>
      <c r="P638" s="66"/>
      <c r="Q638" s="66"/>
      <c r="R638" s="66"/>
      <c r="S638" s="66"/>
      <c r="T638" s="66"/>
      <c r="U638" s="66"/>
    </row>
    <row r="639" ht="15.75" customHeight="1">
      <c r="A639" s="66"/>
      <c r="B639" s="66"/>
      <c r="C639" s="66"/>
      <c r="D639" s="66"/>
      <c r="E639" s="66"/>
      <c r="F639" s="66"/>
      <c r="G639" s="66"/>
      <c r="H639" s="66"/>
      <c r="I639" s="66"/>
      <c r="J639" s="66"/>
      <c r="K639" s="66"/>
      <c r="L639" s="66"/>
      <c r="M639" s="66"/>
      <c r="N639" s="66"/>
      <c r="O639" s="66"/>
      <c r="P639" s="66"/>
      <c r="Q639" s="66"/>
      <c r="R639" s="66"/>
      <c r="S639" s="66"/>
      <c r="T639" s="66"/>
      <c r="U639" s="66"/>
    </row>
    <row r="640" ht="15.75" customHeight="1">
      <c r="A640" s="66"/>
      <c r="B640" s="66"/>
      <c r="C640" s="66"/>
      <c r="D640" s="66"/>
      <c r="E640" s="66"/>
      <c r="F640" s="66"/>
      <c r="G640" s="66"/>
      <c r="H640" s="66"/>
      <c r="I640" s="66"/>
      <c r="J640" s="66"/>
      <c r="K640" s="66"/>
      <c r="L640" s="66"/>
      <c r="M640" s="66"/>
      <c r="N640" s="66"/>
      <c r="O640" s="66"/>
      <c r="P640" s="66"/>
      <c r="Q640" s="66"/>
      <c r="R640" s="66"/>
      <c r="S640" s="66"/>
      <c r="T640" s="66"/>
      <c r="U640" s="66"/>
    </row>
    <row r="641" ht="15.75" customHeight="1">
      <c r="A641" s="66"/>
      <c r="B641" s="66"/>
      <c r="C641" s="66"/>
      <c r="D641" s="66"/>
      <c r="E641" s="66"/>
      <c r="F641" s="66"/>
      <c r="G641" s="66"/>
      <c r="H641" s="66"/>
      <c r="I641" s="66"/>
      <c r="J641" s="66"/>
      <c r="K641" s="66"/>
      <c r="L641" s="66"/>
      <c r="M641" s="66"/>
      <c r="N641" s="66"/>
      <c r="O641" s="66"/>
      <c r="P641" s="66"/>
      <c r="Q641" s="66"/>
      <c r="R641" s="66"/>
      <c r="S641" s="66"/>
      <c r="T641" s="66"/>
      <c r="U641" s="66"/>
    </row>
    <row r="642" ht="15.75" customHeight="1">
      <c r="A642" s="66"/>
      <c r="B642" s="66"/>
      <c r="C642" s="66"/>
      <c r="D642" s="66"/>
      <c r="E642" s="66"/>
      <c r="F642" s="66"/>
      <c r="G642" s="66"/>
      <c r="H642" s="66"/>
      <c r="I642" s="66"/>
      <c r="J642" s="66"/>
      <c r="K642" s="66"/>
      <c r="L642" s="66"/>
      <c r="M642" s="66"/>
      <c r="N642" s="66"/>
      <c r="O642" s="66"/>
      <c r="P642" s="66"/>
      <c r="Q642" s="66"/>
      <c r="R642" s="66"/>
      <c r="S642" s="66"/>
      <c r="T642" s="66"/>
      <c r="U642" s="66"/>
    </row>
    <row r="643" ht="15.75" customHeight="1">
      <c r="A643" s="66"/>
      <c r="B643" s="66"/>
      <c r="C643" s="66"/>
      <c r="D643" s="66"/>
      <c r="E643" s="66"/>
      <c r="F643" s="66"/>
      <c r="G643" s="66"/>
      <c r="H643" s="66"/>
      <c r="I643" s="66"/>
      <c r="J643" s="66"/>
      <c r="K643" s="66"/>
      <c r="L643" s="66"/>
      <c r="M643" s="66"/>
      <c r="N643" s="66"/>
      <c r="O643" s="66"/>
      <c r="P643" s="66"/>
      <c r="Q643" s="66"/>
      <c r="R643" s="66"/>
      <c r="S643" s="66"/>
      <c r="T643" s="66"/>
      <c r="U643" s="66"/>
    </row>
    <row r="644" ht="15.75" customHeight="1">
      <c r="A644" s="66"/>
      <c r="B644" s="66"/>
      <c r="C644" s="66"/>
      <c r="D644" s="66"/>
      <c r="E644" s="66"/>
      <c r="F644" s="66"/>
      <c r="G644" s="66"/>
      <c r="H644" s="66"/>
      <c r="I644" s="66"/>
      <c r="J644" s="66"/>
      <c r="K644" s="66"/>
      <c r="L644" s="66"/>
      <c r="M644" s="66"/>
      <c r="N644" s="66"/>
      <c r="O644" s="66"/>
      <c r="P644" s="66"/>
      <c r="Q644" s="66"/>
      <c r="R644" s="66"/>
      <c r="S644" s="66"/>
      <c r="T644" s="66"/>
      <c r="U644" s="66"/>
    </row>
    <row r="645" ht="15.75" customHeight="1">
      <c r="A645" s="66"/>
      <c r="B645" s="66"/>
      <c r="C645" s="66"/>
      <c r="D645" s="66"/>
      <c r="E645" s="66"/>
      <c r="F645" s="66"/>
      <c r="G645" s="66"/>
      <c r="H645" s="66"/>
      <c r="I645" s="66"/>
      <c r="J645" s="66"/>
      <c r="K645" s="66"/>
      <c r="L645" s="66"/>
      <c r="M645" s="66"/>
      <c r="N645" s="66"/>
      <c r="O645" s="66"/>
      <c r="P645" s="66"/>
      <c r="Q645" s="66"/>
      <c r="R645" s="66"/>
      <c r="S645" s="66"/>
      <c r="T645" s="66"/>
      <c r="U645" s="66"/>
    </row>
    <row r="646" ht="15.75" customHeight="1">
      <c r="A646" s="66"/>
      <c r="B646" s="66"/>
      <c r="C646" s="66"/>
      <c r="D646" s="66"/>
      <c r="E646" s="66"/>
      <c r="F646" s="66"/>
      <c r="G646" s="66"/>
      <c r="H646" s="66"/>
      <c r="I646" s="66"/>
      <c r="J646" s="66"/>
      <c r="K646" s="66"/>
      <c r="L646" s="66"/>
      <c r="M646" s="66"/>
      <c r="N646" s="66"/>
      <c r="O646" s="66"/>
      <c r="P646" s="66"/>
      <c r="Q646" s="66"/>
      <c r="R646" s="66"/>
      <c r="S646" s="66"/>
      <c r="T646" s="66"/>
      <c r="U646" s="66"/>
    </row>
    <row r="647" ht="15.75" customHeight="1">
      <c r="A647" s="66"/>
      <c r="B647" s="66"/>
      <c r="C647" s="66"/>
      <c r="D647" s="66"/>
      <c r="E647" s="66"/>
      <c r="F647" s="66"/>
      <c r="G647" s="66"/>
      <c r="H647" s="66"/>
      <c r="I647" s="66"/>
      <c r="J647" s="66"/>
      <c r="K647" s="66"/>
      <c r="L647" s="66"/>
      <c r="M647" s="66"/>
      <c r="N647" s="66"/>
      <c r="O647" s="66"/>
      <c r="P647" s="66"/>
      <c r="Q647" s="66"/>
      <c r="R647" s="66"/>
      <c r="S647" s="66"/>
      <c r="T647" s="66"/>
      <c r="U647" s="66"/>
    </row>
    <row r="648" ht="15.75" customHeight="1">
      <c r="A648" s="66"/>
      <c r="B648" s="66"/>
      <c r="C648" s="66"/>
      <c r="D648" s="66"/>
      <c r="E648" s="66"/>
      <c r="F648" s="66"/>
      <c r="G648" s="66"/>
      <c r="H648" s="66"/>
      <c r="I648" s="66"/>
      <c r="J648" s="66"/>
      <c r="K648" s="66"/>
      <c r="L648" s="66"/>
      <c r="M648" s="66"/>
      <c r="N648" s="66"/>
      <c r="O648" s="66"/>
      <c r="P648" s="66"/>
      <c r="Q648" s="66"/>
      <c r="R648" s="66"/>
      <c r="S648" s="66"/>
      <c r="T648" s="66"/>
      <c r="U648" s="66"/>
    </row>
    <row r="649" ht="15.75" customHeight="1">
      <c r="A649" s="66"/>
      <c r="B649" s="66"/>
      <c r="C649" s="66"/>
      <c r="D649" s="66"/>
      <c r="E649" s="66"/>
      <c r="F649" s="66"/>
      <c r="G649" s="66"/>
      <c r="H649" s="66"/>
      <c r="I649" s="66"/>
      <c r="J649" s="66"/>
      <c r="K649" s="66"/>
      <c r="L649" s="66"/>
      <c r="M649" s="66"/>
      <c r="N649" s="66"/>
      <c r="O649" s="66"/>
      <c r="P649" s="66"/>
      <c r="Q649" s="66"/>
      <c r="R649" s="66"/>
      <c r="S649" s="66"/>
      <c r="T649" s="66"/>
      <c r="U649" s="66"/>
    </row>
    <row r="650" ht="15.75" customHeight="1">
      <c r="A650" s="66"/>
      <c r="B650" s="66"/>
      <c r="C650" s="66"/>
      <c r="D650" s="66"/>
      <c r="E650" s="66"/>
      <c r="F650" s="66"/>
      <c r="G650" s="66"/>
      <c r="H650" s="66"/>
      <c r="I650" s="66"/>
      <c r="J650" s="66"/>
      <c r="K650" s="66"/>
      <c r="L650" s="66"/>
      <c r="M650" s="66"/>
      <c r="N650" s="66"/>
      <c r="O650" s="66"/>
      <c r="P650" s="66"/>
      <c r="Q650" s="66"/>
      <c r="R650" s="66"/>
      <c r="S650" s="66"/>
      <c r="T650" s="66"/>
      <c r="U650" s="66"/>
    </row>
    <row r="651" ht="15.75" customHeight="1">
      <c r="A651" s="66"/>
      <c r="B651" s="66"/>
      <c r="C651" s="66"/>
      <c r="D651" s="66"/>
      <c r="E651" s="66"/>
      <c r="F651" s="66"/>
      <c r="G651" s="66"/>
      <c r="H651" s="66"/>
      <c r="I651" s="66"/>
      <c r="J651" s="66"/>
      <c r="K651" s="66"/>
      <c r="L651" s="66"/>
      <c r="M651" s="66"/>
      <c r="N651" s="66"/>
      <c r="O651" s="66"/>
      <c r="P651" s="66"/>
      <c r="Q651" s="66"/>
      <c r="R651" s="66"/>
      <c r="S651" s="66"/>
      <c r="T651" s="66"/>
      <c r="U651" s="66"/>
    </row>
    <row r="652" ht="15.75" customHeight="1">
      <c r="A652" s="66"/>
      <c r="B652" s="66"/>
      <c r="C652" s="66"/>
      <c r="D652" s="66"/>
      <c r="E652" s="66"/>
      <c r="F652" s="66"/>
      <c r="G652" s="66"/>
      <c r="H652" s="66"/>
      <c r="I652" s="66"/>
      <c r="J652" s="66"/>
      <c r="K652" s="66"/>
      <c r="L652" s="66"/>
      <c r="M652" s="66"/>
      <c r="N652" s="66"/>
      <c r="O652" s="66"/>
      <c r="P652" s="66"/>
      <c r="Q652" s="66"/>
      <c r="R652" s="66"/>
      <c r="S652" s="66"/>
      <c r="T652" s="66"/>
      <c r="U652" s="66"/>
    </row>
    <row r="653" ht="15.75" customHeight="1">
      <c r="A653" s="66"/>
      <c r="B653" s="66"/>
      <c r="C653" s="66"/>
      <c r="D653" s="66"/>
      <c r="E653" s="66"/>
      <c r="F653" s="66"/>
      <c r="G653" s="66"/>
      <c r="H653" s="66"/>
      <c r="I653" s="66"/>
      <c r="J653" s="66"/>
      <c r="K653" s="66"/>
      <c r="L653" s="66"/>
      <c r="M653" s="66"/>
      <c r="N653" s="66"/>
      <c r="O653" s="66"/>
      <c r="P653" s="66"/>
      <c r="Q653" s="66"/>
      <c r="R653" s="66"/>
      <c r="S653" s="66"/>
      <c r="T653" s="66"/>
      <c r="U653" s="66"/>
    </row>
    <row r="654" ht="15.75" customHeight="1">
      <c r="A654" s="66"/>
      <c r="B654" s="66"/>
      <c r="C654" s="66"/>
      <c r="D654" s="66"/>
      <c r="E654" s="66"/>
      <c r="F654" s="66"/>
      <c r="G654" s="66"/>
      <c r="H654" s="66"/>
      <c r="I654" s="66"/>
      <c r="J654" s="66"/>
      <c r="K654" s="66"/>
      <c r="L654" s="66"/>
      <c r="M654" s="66"/>
      <c r="N654" s="66"/>
      <c r="O654" s="66"/>
      <c r="P654" s="66"/>
      <c r="Q654" s="66"/>
      <c r="R654" s="66"/>
      <c r="S654" s="66"/>
      <c r="T654" s="66"/>
      <c r="U654" s="66"/>
    </row>
    <row r="655" ht="15.75" customHeight="1">
      <c r="A655" s="66"/>
      <c r="B655" s="66"/>
      <c r="C655" s="66"/>
      <c r="D655" s="66"/>
      <c r="E655" s="66"/>
      <c r="F655" s="66"/>
      <c r="G655" s="66"/>
      <c r="H655" s="66"/>
      <c r="I655" s="66"/>
      <c r="J655" s="66"/>
      <c r="K655" s="66"/>
      <c r="L655" s="66"/>
      <c r="M655" s="66"/>
      <c r="N655" s="66"/>
      <c r="O655" s="66"/>
      <c r="P655" s="66"/>
      <c r="Q655" s="66"/>
      <c r="R655" s="66"/>
      <c r="S655" s="66"/>
      <c r="T655" s="66"/>
      <c r="U655" s="66"/>
    </row>
    <row r="656" ht="15.75" customHeight="1">
      <c r="A656" s="66"/>
      <c r="B656" s="66"/>
      <c r="C656" s="66"/>
      <c r="D656" s="66"/>
      <c r="E656" s="66"/>
      <c r="F656" s="66"/>
      <c r="G656" s="66"/>
      <c r="H656" s="66"/>
      <c r="I656" s="66"/>
      <c r="J656" s="66"/>
      <c r="K656" s="66"/>
      <c r="L656" s="66"/>
      <c r="M656" s="66"/>
      <c r="N656" s="66"/>
      <c r="O656" s="66"/>
      <c r="P656" s="66"/>
      <c r="Q656" s="66"/>
      <c r="R656" s="66"/>
      <c r="S656" s="66"/>
      <c r="T656" s="66"/>
      <c r="U656" s="66"/>
    </row>
    <row r="657" ht="15.75" customHeight="1">
      <c r="A657" s="66"/>
      <c r="B657" s="66"/>
      <c r="C657" s="66"/>
      <c r="D657" s="66"/>
      <c r="E657" s="66"/>
      <c r="F657" s="66"/>
      <c r="G657" s="66"/>
      <c r="H657" s="66"/>
      <c r="I657" s="66"/>
      <c r="J657" s="66"/>
      <c r="K657" s="66"/>
      <c r="L657" s="66"/>
      <c r="M657" s="66"/>
      <c r="N657" s="66"/>
      <c r="O657" s="66"/>
      <c r="P657" s="66"/>
      <c r="Q657" s="66"/>
      <c r="R657" s="66"/>
      <c r="S657" s="66"/>
      <c r="T657" s="66"/>
      <c r="U657" s="66"/>
    </row>
    <row r="658" ht="15.75" customHeight="1">
      <c r="A658" s="66"/>
      <c r="B658" s="66"/>
      <c r="C658" s="66"/>
      <c r="D658" s="66"/>
      <c r="E658" s="66"/>
      <c r="F658" s="66"/>
      <c r="G658" s="66"/>
      <c r="H658" s="66"/>
      <c r="I658" s="66"/>
      <c r="J658" s="66"/>
      <c r="K658" s="66"/>
      <c r="L658" s="66"/>
      <c r="M658" s="66"/>
      <c r="N658" s="66"/>
      <c r="O658" s="66"/>
      <c r="P658" s="66"/>
      <c r="Q658" s="66"/>
      <c r="R658" s="66"/>
      <c r="S658" s="66"/>
      <c r="T658" s="66"/>
      <c r="U658" s="66"/>
    </row>
    <row r="659" ht="15.75" customHeight="1">
      <c r="A659" s="66"/>
      <c r="B659" s="66"/>
      <c r="C659" s="66"/>
      <c r="D659" s="66"/>
      <c r="E659" s="66"/>
      <c r="F659" s="66"/>
      <c r="G659" s="66"/>
      <c r="H659" s="66"/>
      <c r="I659" s="66"/>
      <c r="J659" s="66"/>
      <c r="K659" s="66"/>
      <c r="L659" s="66"/>
      <c r="M659" s="66"/>
      <c r="N659" s="66"/>
      <c r="O659" s="66"/>
      <c r="P659" s="66"/>
      <c r="Q659" s="66"/>
      <c r="R659" s="66"/>
      <c r="S659" s="66"/>
      <c r="T659" s="66"/>
      <c r="U659" s="66"/>
    </row>
    <row r="660" ht="15.75" customHeight="1">
      <c r="A660" s="66"/>
      <c r="B660" s="66"/>
      <c r="C660" s="66"/>
      <c r="D660" s="66"/>
      <c r="E660" s="66"/>
      <c r="F660" s="66"/>
      <c r="G660" s="66"/>
      <c r="H660" s="66"/>
      <c r="I660" s="66"/>
      <c r="J660" s="66"/>
      <c r="K660" s="66"/>
      <c r="L660" s="66"/>
      <c r="M660" s="66"/>
      <c r="N660" s="66"/>
      <c r="O660" s="66"/>
      <c r="P660" s="66"/>
      <c r="Q660" s="66"/>
      <c r="R660" s="66"/>
      <c r="S660" s="66"/>
      <c r="T660" s="66"/>
      <c r="U660" s="66"/>
    </row>
    <row r="661" ht="15.75" customHeight="1">
      <c r="A661" s="66"/>
      <c r="B661" s="66"/>
      <c r="C661" s="66"/>
      <c r="D661" s="66"/>
      <c r="E661" s="66"/>
      <c r="F661" s="66"/>
      <c r="G661" s="66"/>
      <c r="H661" s="66"/>
      <c r="I661" s="66"/>
      <c r="J661" s="66"/>
      <c r="K661" s="66"/>
      <c r="L661" s="66"/>
      <c r="M661" s="66"/>
      <c r="N661" s="66"/>
      <c r="O661" s="66"/>
      <c r="P661" s="66"/>
      <c r="Q661" s="66"/>
      <c r="R661" s="66"/>
      <c r="S661" s="66"/>
      <c r="T661" s="66"/>
      <c r="U661" s="66"/>
    </row>
    <row r="662" ht="15.75" customHeight="1">
      <c r="A662" s="66"/>
      <c r="B662" s="66"/>
      <c r="C662" s="66"/>
      <c r="D662" s="66"/>
      <c r="E662" s="66"/>
      <c r="F662" s="66"/>
      <c r="G662" s="66"/>
      <c r="H662" s="66"/>
      <c r="I662" s="66"/>
      <c r="J662" s="66"/>
      <c r="K662" s="66"/>
      <c r="L662" s="66"/>
      <c r="M662" s="66"/>
      <c r="N662" s="66"/>
      <c r="O662" s="66"/>
      <c r="P662" s="66"/>
      <c r="Q662" s="66"/>
      <c r="R662" s="66"/>
      <c r="S662" s="66"/>
      <c r="T662" s="66"/>
      <c r="U662" s="66"/>
    </row>
    <row r="663" ht="15.75" customHeight="1">
      <c r="A663" s="66"/>
      <c r="B663" s="66"/>
      <c r="C663" s="66"/>
      <c r="D663" s="66"/>
      <c r="E663" s="66"/>
      <c r="F663" s="66"/>
      <c r="G663" s="66"/>
      <c r="H663" s="66"/>
      <c r="I663" s="66"/>
      <c r="J663" s="66"/>
      <c r="K663" s="66"/>
      <c r="L663" s="66"/>
      <c r="M663" s="66"/>
      <c r="N663" s="66"/>
      <c r="O663" s="66"/>
      <c r="P663" s="66"/>
      <c r="Q663" s="66"/>
      <c r="R663" s="66"/>
      <c r="S663" s="66"/>
      <c r="T663" s="66"/>
      <c r="U663" s="66"/>
    </row>
    <row r="664" ht="15.75" customHeight="1">
      <c r="A664" s="66"/>
      <c r="B664" s="66"/>
      <c r="C664" s="66"/>
      <c r="D664" s="66"/>
      <c r="E664" s="66"/>
      <c r="F664" s="66"/>
      <c r="G664" s="66"/>
      <c r="H664" s="66"/>
      <c r="I664" s="66"/>
      <c r="J664" s="66"/>
      <c r="K664" s="66"/>
      <c r="L664" s="66"/>
      <c r="M664" s="66"/>
      <c r="N664" s="66"/>
      <c r="O664" s="66"/>
      <c r="P664" s="66"/>
      <c r="Q664" s="66"/>
      <c r="R664" s="66"/>
      <c r="S664" s="66"/>
      <c r="T664" s="66"/>
      <c r="U664" s="66"/>
    </row>
    <row r="665" ht="15.75" customHeight="1">
      <c r="A665" s="66"/>
      <c r="B665" s="66"/>
      <c r="C665" s="66"/>
      <c r="D665" s="66"/>
      <c r="E665" s="66"/>
      <c r="F665" s="66"/>
      <c r="G665" s="66"/>
      <c r="H665" s="66"/>
      <c r="I665" s="66"/>
      <c r="J665" s="66"/>
      <c r="K665" s="66"/>
      <c r="L665" s="66"/>
      <c r="M665" s="66"/>
      <c r="N665" s="66"/>
      <c r="O665" s="66"/>
      <c r="P665" s="66"/>
      <c r="Q665" s="66"/>
      <c r="R665" s="66"/>
      <c r="S665" s="66"/>
      <c r="T665" s="66"/>
      <c r="U665" s="66"/>
    </row>
    <row r="666" ht="15.75" customHeight="1">
      <c r="A666" s="66"/>
      <c r="B666" s="66"/>
      <c r="C666" s="66"/>
      <c r="D666" s="66"/>
      <c r="E666" s="66"/>
      <c r="F666" s="66"/>
      <c r="G666" s="66"/>
      <c r="H666" s="66"/>
      <c r="I666" s="66"/>
      <c r="J666" s="66"/>
      <c r="K666" s="66"/>
      <c r="L666" s="66"/>
      <c r="M666" s="66"/>
      <c r="N666" s="66"/>
      <c r="O666" s="66"/>
      <c r="P666" s="66"/>
      <c r="Q666" s="66"/>
      <c r="R666" s="66"/>
      <c r="S666" s="66"/>
      <c r="T666" s="66"/>
      <c r="U666" s="66"/>
    </row>
    <row r="667" ht="15.75" customHeight="1">
      <c r="A667" s="66"/>
      <c r="B667" s="66"/>
      <c r="C667" s="66"/>
      <c r="D667" s="66"/>
      <c r="E667" s="66"/>
      <c r="F667" s="66"/>
      <c r="G667" s="66"/>
      <c r="H667" s="66"/>
      <c r="I667" s="66"/>
      <c r="J667" s="66"/>
      <c r="K667" s="66"/>
      <c r="L667" s="66"/>
      <c r="M667" s="66"/>
      <c r="N667" s="66"/>
      <c r="O667" s="66"/>
      <c r="P667" s="66"/>
      <c r="Q667" s="66"/>
      <c r="R667" s="66"/>
      <c r="S667" s="66"/>
      <c r="T667" s="66"/>
      <c r="U667" s="66"/>
    </row>
    <row r="668" ht="15.75" customHeight="1">
      <c r="A668" s="66"/>
      <c r="B668" s="66"/>
      <c r="C668" s="66"/>
      <c r="D668" s="66"/>
      <c r="E668" s="66"/>
      <c r="F668" s="66"/>
      <c r="G668" s="66"/>
      <c r="H668" s="66"/>
      <c r="I668" s="66"/>
      <c r="J668" s="66"/>
      <c r="K668" s="66"/>
      <c r="L668" s="66"/>
      <c r="M668" s="66"/>
      <c r="N668" s="66"/>
      <c r="O668" s="66"/>
      <c r="P668" s="66"/>
      <c r="Q668" s="66"/>
      <c r="R668" s="66"/>
      <c r="S668" s="66"/>
      <c r="T668" s="66"/>
      <c r="U668" s="66"/>
    </row>
    <row r="669" ht="15.75" customHeight="1">
      <c r="A669" s="66"/>
      <c r="B669" s="66"/>
      <c r="C669" s="66"/>
      <c r="D669" s="66"/>
      <c r="E669" s="66"/>
      <c r="F669" s="66"/>
      <c r="G669" s="66"/>
      <c r="H669" s="66"/>
      <c r="I669" s="66"/>
      <c r="J669" s="66"/>
      <c r="K669" s="66"/>
      <c r="L669" s="66"/>
      <c r="M669" s="66"/>
      <c r="N669" s="66"/>
      <c r="O669" s="66"/>
      <c r="P669" s="66"/>
      <c r="Q669" s="66"/>
      <c r="R669" s="66"/>
      <c r="S669" s="66"/>
      <c r="T669" s="66"/>
      <c r="U669" s="66"/>
    </row>
    <row r="670" ht="15.75" customHeight="1">
      <c r="A670" s="66"/>
      <c r="B670" s="66"/>
      <c r="C670" s="66"/>
      <c r="D670" s="66"/>
      <c r="E670" s="66"/>
      <c r="F670" s="66"/>
      <c r="G670" s="66"/>
      <c r="H670" s="66"/>
      <c r="I670" s="66"/>
      <c r="J670" s="66"/>
      <c r="K670" s="66"/>
      <c r="L670" s="66"/>
      <c r="M670" s="66"/>
      <c r="N670" s="66"/>
      <c r="O670" s="66"/>
      <c r="P670" s="66"/>
      <c r="Q670" s="66"/>
      <c r="R670" s="66"/>
      <c r="S670" s="66"/>
      <c r="T670" s="66"/>
      <c r="U670" s="66"/>
    </row>
    <row r="671" ht="15.75" customHeight="1">
      <c r="A671" s="66"/>
      <c r="B671" s="66"/>
      <c r="C671" s="66"/>
      <c r="D671" s="66"/>
      <c r="E671" s="66"/>
      <c r="F671" s="66"/>
      <c r="G671" s="66"/>
      <c r="H671" s="66"/>
      <c r="I671" s="66"/>
      <c r="J671" s="66"/>
      <c r="K671" s="66"/>
      <c r="L671" s="66"/>
      <c r="M671" s="66"/>
      <c r="N671" s="66"/>
      <c r="O671" s="66"/>
      <c r="P671" s="66"/>
      <c r="Q671" s="66"/>
      <c r="R671" s="66"/>
      <c r="S671" s="66"/>
      <c r="T671" s="66"/>
      <c r="U671" s="66"/>
    </row>
    <row r="672" ht="15.75" customHeight="1">
      <c r="A672" s="66"/>
      <c r="B672" s="66"/>
      <c r="C672" s="66"/>
      <c r="D672" s="66"/>
      <c r="E672" s="66"/>
      <c r="F672" s="66"/>
      <c r="G672" s="66"/>
      <c r="H672" s="66"/>
      <c r="I672" s="66"/>
      <c r="J672" s="66"/>
      <c r="K672" s="66"/>
      <c r="L672" s="66"/>
      <c r="M672" s="66"/>
      <c r="N672" s="66"/>
      <c r="O672" s="66"/>
      <c r="P672" s="66"/>
      <c r="Q672" s="66"/>
      <c r="R672" s="66"/>
      <c r="S672" s="66"/>
      <c r="T672" s="66"/>
      <c r="U672" s="66"/>
    </row>
    <row r="673" ht="15.75" customHeight="1">
      <c r="A673" s="66"/>
      <c r="B673" s="66"/>
      <c r="C673" s="66"/>
      <c r="D673" s="66"/>
      <c r="E673" s="66"/>
      <c r="F673" s="66"/>
      <c r="G673" s="66"/>
      <c r="H673" s="66"/>
      <c r="I673" s="66"/>
      <c r="J673" s="66"/>
      <c r="K673" s="66"/>
      <c r="L673" s="66"/>
      <c r="M673" s="66"/>
      <c r="N673" s="66"/>
      <c r="O673" s="66"/>
      <c r="P673" s="66"/>
      <c r="Q673" s="66"/>
      <c r="R673" s="66"/>
      <c r="S673" s="66"/>
      <c r="T673" s="66"/>
      <c r="U673" s="66"/>
    </row>
    <row r="674" ht="15.75" customHeight="1">
      <c r="A674" s="66"/>
      <c r="B674" s="66"/>
      <c r="C674" s="66"/>
      <c r="D674" s="66"/>
      <c r="E674" s="66"/>
      <c r="F674" s="66"/>
      <c r="G674" s="66"/>
      <c r="H674" s="66"/>
      <c r="I674" s="66"/>
      <c r="J674" s="66"/>
      <c r="K674" s="66"/>
      <c r="L674" s="66"/>
      <c r="M674" s="66"/>
      <c r="N674" s="66"/>
      <c r="O674" s="66"/>
      <c r="P674" s="66"/>
      <c r="Q674" s="66"/>
      <c r="R674" s="66"/>
      <c r="S674" s="66"/>
      <c r="T674" s="66"/>
      <c r="U674" s="66"/>
    </row>
    <row r="675" ht="15.75" customHeight="1">
      <c r="A675" s="66"/>
      <c r="B675" s="66"/>
      <c r="C675" s="66"/>
      <c r="D675" s="66"/>
      <c r="E675" s="66"/>
      <c r="F675" s="66"/>
      <c r="G675" s="66"/>
      <c r="H675" s="66"/>
      <c r="I675" s="66"/>
      <c r="J675" s="66"/>
      <c r="K675" s="66"/>
      <c r="L675" s="66"/>
      <c r="M675" s="66"/>
      <c r="N675" s="66"/>
      <c r="O675" s="66"/>
      <c r="P675" s="66"/>
      <c r="Q675" s="66"/>
      <c r="R675" s="66"/>
      <c r="S675" s="66"/>
      <c r="T675" s="66"/>
      <c r="U675" s="66"/>
    </row>
    <row r="676" ht="15.75" customHeight="1">
      <c r="A676" s="66"/>
      <c r="B676" s="66"/>
      <c r="C676" s="66"/>
      <c r="D676" s="66"/>
      <c r="E676" s="66"/>
      <c r="F676" s="66"/>
      <c r="G676" s="66"/>
      <c r="H676" s="66"/>
      <c r="I676" s="66"/>
      <c r="J676" s="66"/>
      <c r="K676" s="66"/>
      <c r="L676" s="66"/>
      <c r="M676" s="66"/>
      <c r="N676" s="66"/>
      <c r="O676" s="66"/>
      <c r="P676" s="66"/>
      <c r="Q676" s="66"/>
      <c r="R676" s="66"/>
      <c r="S676" s="66"/>
      <c r="T676" s="66"/>
      <c r="U676" s="66"/>
    </row>
    <row r="677" ht="15.75" customHeight="1">
      <c r="A677" s="66"/>
      <c r="B677" s="66"/>
      <c r="C677" s="66"/>
      <c r="D677" s="66"/>
      <c r="E677" s="66"/>
      <c r="F677" s="66"/>
      <c r="G677" s="66"/>
      <c r="H677" s="66"/>
      <c r="I677" s="66"/>
      <c r="J677" s="66"/>
      <c r="K677" s="66"/>
      <c r="L677" s="66"/>
      <c r="M677" s="66"/>
      <c r="N677" s="66"/>
      <c r="O677" s="66"/>
      <c r="P677" s="66"/>
      <c r="Q677" s="66"/>
      <c r="R677" s="66"/>
      <c r="S677" s="66"/>
      <c r="T677" s="66"/>
      <c r="U677" s="66"/>
    </row>
    <row r="678" ht="15.75" customHeight="1">
      <c r="A678" s="66"/>
      <c r="B678" s="66"/>
      <c r="C678" s="66"/>
      <c r="D678" s="66"/>
      <c r="E678" s="66"/>
      <c r="F678" s="66"/>
      <c r="G678" s="66"/>
      <c r="H678" s="66"/>
      <c r="I678" s="66"/>
      <c r="J678" s="66"/>
      <c r="K678" s="66"/>
      <c r="L678" s="66"/>
      <c r="M678" s="66"/>
      <c r="N678" s="66"/>
      <c r="O678" s="66"/>
      <c r="P678" s="66"/>
      <c r="Q678" s="66"/>
      <c r="R678" s="66"/>
      <c r="S678" s="66"/>
      <c r="T678" s="66"/>
      <c r="U678" s="66"/>
    </row>
    <row r="679" ht="15.75" customHeight="1">
      <c r="A679" s="66"/>
      <c r="B679" s="66"/>
      <c r="C679" s="66"/>
      <c r="D679" s="66"/>
      <c r="E679" s="66"/>
      <c r="F679" s="66"/>
      <c r="G679" s="66"/>
      <c r="H679" s="66"/>
      <c r="I679" s="66"/>
      <c r="J679" s="66"/>
      <c r="K679" s="66"/>
      <c r="L679" s="66"/>
      <c r="M679" s="66"/>
      <c r="N679" s="66"/>
      <c r="O679" s="66"/>
      <c r="P679" s="66"/>
      <c r="Q679" s="66"/>
      <c r="R679" s="66"/>
      <c r="S679" s="66"/>
      <c r="T679" s="66"/>
      <c r="U679" s="66"/>
    </row>
    <row r="680" ht="15.75" customHeight="1">
      <c r="A680" s="66"/>
      <c r="B680" s="66"/>
      <c r="C680" s="66"/>
      <c r="D680" s="66"/>
      <c r="E680" s="66"/>
      <c r="F680" s="66"/>
      <c r="G680" s="66"/>
      <c r="H680" s="66"/>
      <c r="I680" s="66"/>
      <c r="J680" s="66"/>
      <c r="K680" s="66"/>
      <c r="L680" s="66"/>
      <c r="M680" s="66"/>
      <c r="N680" s="66"/>
      <c r="O680" s="66"/>
      <c r="P680" s="66"/>
      <c r="Q680" s="66"/>
      <c r="R680" s="66"/>
      <c r="S680" s="66"/>
      <c r="T680" s="66"/>
      <c r="U680" s="66"/>
    </row>
    <row r="681" ht="15.75" customHeight="1">
      <c r="A681" s="66"/>
      <c r="B681" s="66"/>
      <c r="C681" s="66"/>
      <c r="D681" s="66"/>
      <c r="E681" s="66"/>
      <c r="F681" s="66"/>
      <c r="G681" s="66"/>
      <c r="H681" s="66"/>
      <c r="I681" s="66"/>
      <c r="J681" s="66"/>
      <c r="K681" s="66"/>
      <c r="L681" s="66"/>
      <c r="M681" s="66"/>
      <c r="N681" s="66"/>
      <c r="O681" s="66"/>
      <c r="P681" s="66"/>
      <c r="Q681" s="66"/>
      <c r="R681" s="66"/>
      <c r="S681" s="66"/>
      <c r="T681" s="66"/>
      <c r="U681" s="66"/>
    </row>
    <row r="682" ht="15.75" customHeight="1">
      <c r="A682" s="66"/>
      <c r="B682" s="66"/>
      <c r="C682" s="66"/>
      <c r="D682" s="66"/>
      <c r="E682" s="66"/>
      <c r="F682" s="66"/>
      <c r="G682" s="66"/>
      <c r="H682" s="66"/>
      <c r="I682" s="66"/>
      <c r="J682" s="66"/>
      <c r="K682" s="66"/>
      <c r="L682" s="66"/>
      <c r="M682" s="66"/>
      <c r="N682" s="66"/>
      <c r="O682" s="66"/>
      <c r="P682" s="66"/>
      <c r="Q682" s="66"/>
      <c r="R682" s="66"/>
      <c r="S682" s="66"/>
      <c r="T682" s="66"/>
      <c r="U682" s="66"/>
    </row>
    <row r="683" ht="15.75" customHeight="1">
      <c r="A683" s="66"/>
      <c r="B683" s="66"/>
      <c r="C683" s="66"/>
      <c r="D683" s="66"/>
      <c r="E683" s="66"/>
      <c r="F683" s="66"/>
      <c r="G683" s="66"/>
      <c r="H683" s="66"/>
      <c r="I683" s="66"/>
      <c r="J683" s="66"/>
      <c r="K683" s="66"/>
      <c r="L683" s="66"/>
      <c r="M683" s="66"/>
      <c r="N683" s="66"/>
      <c r="O683" s="66"/>
      <c r="P683" s="66"/>
      <c r="Q683" s="66"/>
      <c r="R683" s="66"/>
      <c r="S683" s="66"/>
      <c r="T683" s="66"/>
      <c r="U683" s="66"/>
    </row>
    <row r="684" ht="15.75" customHeight="1">
      <c r="A684" s="66"/>
      <c r="B684" s="66"/>
      <c r="C684" s="66"/>
      <c r="D684" s="66"/>
      <c r="E684" s="66"/>
      <c r="F684" s="66"/>
      <c r="G684" s="66"/>
      <c r="H684" s="66"/>
      <c r="I684" s="66"/>
      <c r="J684" s="66"/>
      <c r="K684" s="66"/>
      <c r="L684" s="66"/>
      <c r="M684" s="66"/>
      <c r="N684" s="66"/>
      <c r="O684" s="66"/>
      <c r="P684" s="66"/>
      <c r="Q684" s="66"/>
      <c r="R684" s="66"/>
      <c r="S684" s="66"/>
      <c r="T684" s="66"/>
      <c r="U684" s="66"/>
    </row>
    <row r="685" ht="15.75" customHeight="1">
      <c r="A685" s="66"/>
      <c r="B685" s="66"/>
      <c r="C685" s="66"/>
      <c r="D685" s="66"/>
      <c r="E685" s="66"/>
      <c r="F685" s="66"/>
      <c r="G685" s="66"/>
      <c r="H685" s="66"/>
      <c r="I685" s="66"/>
      <c r="J685" s="66"/>
      <c r="K685" s="66"/>
      <c r="L685" s="66"/>
      <c r="M685" s="66"/>
      <c r="N685" s="66"/>
      <c r="O685" s="66"/>
      <c r="P685" s="66"/>
      <c r="Q685" s="66"/>
      <c r="R685" s="66"/>
      <c r="S685" s="66"/>
      <c r="T685" s="66"/>
      <c r="U685" s="66"/>
    </row>
    <row r="686" ht="15.75" customHeight="1">
      <c r="A686" s="66"/>
      <c r="B686" s="66"/>
      <c r="C686" s="66"/>
      <c r="D686" s="66"/>
      <c r="E686" s="66"/>
      <c r="F686" s="66"/>
      <c r="G686" s="66"/>
      <c r="H686" s="66"/>
      <c r="I686" s="66"/>
      <c r="J686" s="66"/>
      <c r="K686" s="66"/>
      <c r="L686" s="66"/>
      <c r="M686" s="66"/>
      <c r="N686" s="66"/>
      <c r="O686" s="66"/>
      <c r="P686" s="66"/>
      <c r="Q686" s="66"/>
      <c r="R686" s="66"/>
      <c r="S686" s="66"/>
      <c r="T686" s="66"/>
      <c r="U686" s="66"/>
    </row>
    <row r="687" ht="15.75" customHeight="1">
      <c r="A687" s="66"/>
      <c r="B687" s="66"/>
      <c r="C687" s="66"/>
      <c r="D687" s="66"/>
      <c r="E687" s="66"/>
      <c r="F687" s="66"/>
      <c r="G687" s="66"/>
      <c r="H687" s="66"/>
      <c r="I687" s="66"/>
      <c r="J687" s="66"/>
      <c r="K687" s="66"/>
      <c r="L687" s="66"/>
      <c r="M687" s="66"/>
      <c r="N687" s="66"/>
      <c r="O687" s="66"/>
      <c r="P687" s="66"/>
      <c r="Q687" s="66"/>
      <c r="R687" s="66"/>
      <c r="S687" s="66"/>
      <c r="T687" s="66"/>
      <c r="U687" s="66"/>
    </row>
    <row r="688" ht="15.75" customHeight="1">
      <c r="A688" s="66"/>
      <c r="B688" s="66"/>
      <c r="C688" s="66"/>
      <c r="D688" s="66"/>
      <c r="E688" s="66"/>
      <c r="F688" s="66"/>
      <c r="G688" s="66"/>
      <c r="H688" s="66"/>
      <c r="I688" s="66"/>
      <c r="J688" s="66"/>
      <c r="K688" s="66"/>
      <c r="L688" s="66"/>
      <c r="M688" s="66"/>
      <c r="N688" s="66"/>
      <c r="O688" s="66"/>
      <c r="P688" s="66"/>
      <c r="Q688" s="66"/>
      <c r="R688" s="66"/>
      <c r="S688" s="66"/>
      <c r="T688" s="66"/>
      <c r="U688" s="66"/>
    </row>
    <row r="689" ht="15.75" customHeight="1">
      <c r="A689" s="66"/>
      <c r="B689" s="66"/>
      <c r="C689" s="66"/>
      <c r="D689" s="66"/>
      <c r="E689" s="66"/>
      <c r="F689" s="66"/>
      <c r="G689" s="66"/>
      <c r="H689" s="66"/>
      <c r="I689" s="66"/>
      <c r="J689" s="66"/>
      <c r="K689" s="66"/>
      <c r="L689" s="66"/>
      <c r="M689" s="66"/>
      <c r="N689" s="66"/>
      <c r="O689" s="66"/>
      <c r="P689" s="66"/>
      <c r="Q689" s="66"/>
      <c r="R689" s="66"/>
      <c r="S689" s="66"/>
      <c r="T689" s="66"/>
      <c r="U689" s="66"/>
    </row>
    <row r="690" ht="15.75" customHeight="1">
      <c r="A690" s="66"/>
      <c r="B690" s="66"/>
      <c r="C690" s="66"/>
      <c r="D690" s="66"/>
      <c r="E690" s="66"/>
      <c r="F690" s="66"/>
      <c r="G690" s="66"/>
      <c r="H690" s="66"/>
      <c r="I690" s="66"/>
      <c r="J690" s="66"/>
      <c r="K690" s="66"/>
      <c r="L690" s="66"/>
      <c r="M690" s="66"/>
      <c r="N690" s="66"/>
      <c r="O690" s="66"/>
      <c r="P690" s="66"/>
      <c r="Q690" s="66"/>
      <c r="R690" s="66"/>
      <c r="S690" s="66"/>
      <c r="T690" s="66"/>
      <c r="U690" s="66"/>
    </row>
    <row r="691" ht="15.75" customHeight="1">
      <c r="A691" s="66"/>
      <c r="B691" s="66"/>
      <c r="C691" s="66"/>
      <c r="D691" s="66"/>
      <c r="E691" s="66"/>
      <c r="F691" s="66"/>
      <c r="G691" s="66"/>
      <c r="H691" s="66"/>
      <c r="I691" s="66"/>
      <c r="J691" s="66"/>
      <c r="K691" s="66"/>
      <c r="L691" s="66"/>
      <c r="M691" s="66"/>
      <c r="N691" s="66"/>
      <c r="O691" s="66"/>
      <c r="P691" s="66"/>
      <c r="Q691" s="66"/>
      <c r="R691" s="66"/>
      <c r="S691" s="66"/>
      <c r="T691" s="66"/>
      <c r="U691" s="66"/>
    </row>
    <row r="692" ht="15.75" customHeight="1">
      <c r="A692" s="66"/>
      <c r="B692" s="66"/>
      <c r="C692" s="66"/>
      <c r="D692" s="66"/>
      <c r="E692" s="66"/>
      <c r="F692" s="66"/>
      <c r="G692" s="66"/>
      <c r="H692" s="66"/>
      <c r="I692" s="66"/>
      <c r="J692" s="66"/>
      <c r="K692" s="66"/>
      <c r="L692" s="66"/>
      <c r="M692" s="66"/>
      <c r="N692" s="66"/>
      <c r="O692" s="66"/>
      <c r="P692" s="66"/>
      <c r="Q692" s="66"/>
      <c r="R692" s="66"/>
      <c r="S692" s="66"/>
      <c r="T692" s="66"/>
      <c r="U692" s="66"/>
    </row>
    <row r="693" ht="15.75" customHeight="1">
      <c r="A693" s="66"/>
      <c r="B693" s="66"/>
      <c r="C693" s="66"/>
      <c r="D693" s="66"/>
      <c r="E693" s="66"/>
      <c r="F693" s="66"/>
      <c r="G693" s="66"/>
      <c r="H693" s="66"/>
      <c r="I693" s="66"/>
      <c r="J693" s="66"/>
      <c r="K693" s="66"/>
      <c r="L693" s="66"/>
      <c r="M693" s="66"/>
      <c r="N693" s="66"/>
      <c r="O693" s="66"/>
      <c r="P693" s="66"/>
      <c r="Q693" s="66"/>
      <c r="R693" s="66"/>
      <c r="S693" s="66"/>
      <c r="T693" s="66"/>
      <c r="U693" s="66"/>
    </row>
    <row r="694" ht="15.75" customHeight="1">
      <c r="A694" s="66"/>
      <c r="B694" s="66"/>
      <c r="C694" s="66"/>
      <c r="D694" s="66"/>
      <c r="E694" s="66"/>
      <c r="F694" s="66"/>
      <c r="G694" s="66"/>
      <c r="H694" s="66"/>
      <c r="I694" s="66"/>
      <c r="J694" s="66"/>
      <c r="K694" s="66"/>
      <c r="L694" s="66"/>
      <c r="M694" s="66"/>
      <c r="N694" s="66"/>
      <c r="O694" s="66"/>
      <c r="P694" s="66"/>
      <c r="Q694" s="66"/>
      <c r="R694" s="66"/>
      <c r="S694" s="66"/>
      <c r="T694" s="66"/>
      <c r="U694" s="66"/>
    </row>
    <row r="695" ht="15.75" customHeight="1">
      <c r="A695" s="66"/>
      <c r="B695" s="66"/>
      <c r="C695" s="66"/>
      <c r="D695" s="66"/>
      <c r="E695" s="66"/>
      <c r="F695" s="66"/>
      <c r="G695" s="66"/>
      <c r="H695" s="66"/>
      <c r="I695" s="66"/>
      <c r="J695" s="66"/>
      <c r="K695" s="66"/>
      <c r="L695" s="66"/>
      <c r="M695" s="66"/>
      <c r="N695" s="66"/>
      <c r="O695" s="66"/>
      <c r="P695" s="66"/>
      <c r="Q695" s="66"/>
      <c r="R695" s="66"/>
      <c r="S695" s="66"/>
      <c r="T695" s="66"/>
      <c r="U695" s="66"/>
    </row>
    <row r="696" ht="15.75" customHeight="1">
      <c r="A696" s="66"/>
      <c r="B696" s="66"/>
      <c r="C696" s="66"/>
      <c r="D696" s="66"/>
      <c r="E696" s="66"/>
      <c r="F696" s="66"/>
      <c r="G696" s="66"/>
      <c r="H696" s="66"/>
      <c r="I696" s="66"/>
      <c r="J696" s="66"/>
      <c r="K696" s="66"/>
      <c r="L696" s="66"/>
      <c r="M696" s="66"/>
      <c r="N696" s="66"/>
      <c r="O696" s="66"/>
      <c r="P696" s="66"/>
      <c r="Q696" s="66"/>
      <c r="R696" s="66"/>
      <c r="S696" s="66"/>
      <c r="T696" s="66"/>
      <c r="U696" s="66"/>
    </row>
    <row r="697" ht="15.75" customHeight="1">
      <c r="A697" s="66"/>
      <c r="B697" s="66"/>
      <c r="C697" s="66"/>
      <c r="D697" s="66"/>
      <c r="E697" s="66"/>
      <c r="F697" s="66"/>
      <c r="G697" s="66"/>
      <c r="H697" s="66"/>
      <c r="I697" s="66"/>
      <c r="J697" s="66"/>
      <c r="K697" s="66"/>
      <c r="L697" s="66"/>
      <c r="M697" s="66"/>
      <c r="N697" s="66"/>
      <c r="O697" s="66"/>
      <c r="P697" s="66"/>
      <c r="Q697" s="66"/>
      <c r="R697" s="66"/>
      <c r="S697" s="66"/>
      <c r="T697" s="66"/>
      <c r="U697" s="66"/>
    </row>
    <row r="698" ht="15.75" customHeight="1">
      <c r="A698" s="66"/>
      <c r="B698" s="66"/>
      <c r="C698" s="66"/>
      <c r="D698" s="66"/>
      <c r="E698" s="66"/>
      <c r="F698" s="66"/>
      <c r="G698" s="66"/>
      <c r="H698" s="66"/>
      <c r="I698" s="66"/>
      <c r="J698" s="66"/>
      <c r="K698" s="66"/>
      <c r="L698" s="66"/>
      <c r="M698" s="66"/>
      <c r="N698" s="66"/>
      <c r="O698" s="66"/>
      <c r="P698" s="66"/>
      <c r="Q698" s="66"/>
      <c r="R698" s="66"/>
      <c r="S698" s="66"/>
      <c r="T698" s="66"/>
      <c r="U698" s="66"/>
    </row>
    <row r="699" ht="15.75" customHeight="1">
      <c r="A699" s="66"/>
      <c r="B699" s="66"/>
      <c r="C699" s="66"/>
      <c r="D699" s="66"/>
      <c r="E699" s="66"/>
      <c r="F699" s="66"/>
      <c r="G699" s="66"/>
      <c r="H699" s="66"/>
      <c r="I699" s="66"/>
      <c r="J699" s="66"/>
      <c r="K699" s="66"/>
      <c r="L699" s="66"/>
      <c r="M699" s="66"/>
      <c r="N699" s="66"/>
      <c r="O699" s="66"/>
      <c r="P699" s="66"/>
      <c r="Q699" s="66"/>
      <c r="R699" s="66"/>
      <c r="S699" s="66"/>
      <c r="T699" s="66"/>
      <c r="U699" s="66"/>
    </row>
    <row r="700" ht="15.75" customHeight="1">
      <c r="A700" s="66"/>
      <c r="B700" s="66"/>
      <c r="C700" s="66"/>
      <c r="D700" s="66"/>
      <c r="E700" s="66"/>
      <c r="F700" s="66"/>
      <c r="G700" s="66"/>
      <c r="H700" s="66"/>
      <c r="I700" s="66"/>
      <c r="J700" s="66"/>
      <c r="K700" s="66"/>
      <c r="L700" s="66"/>
      <c r="M700" s="66"/>
      <c r="N700" s="66"/>
      <c r="O700" s="66"/>
      <c r="P700" s="66"/>
      <c r="Q700" s="66"/>
      <c r="R700" s="66"/>
      <c r="S700" s="66"/>
      <c r="T700" s="66"/>
      <c r="U700" s="66"/>
    </row>
    <row r="701" ht="15.75" customHeight="1">
      <c r="A701" s="66"/>
      <c r="B701" s="66"/>
      <c r="C701" s="66"/>
      <c r="D701" s="66"/>
      <c r="E701" s="66"/>
      <c r="F701" s="66"/>
      <c r="G701" s="66"/>
      <c r="H701" s="66"/>
      <c r="I701" s="66"/>
      <c r="J701" s="66"/>
      <c r="K701" s="66"/>
      <c r="L701" s="66"/>
      <c r="M701" s="66"/>
      <c r="N701" s="66"/>
      <c r="O701" s="66"/>
      <c r="P701" s="66"/>
      <c r="Q701" s="66"/>
      <c r="R701" s="66"/>
      <c r="S701" s="66"/>
      <c r="T701" s="66"/>
      <c r="U701" s="66"/>
    </row>
    <row r="702" ht="15.75" customHeight="1">
      <c r="A702" s="66"/>
      <c r="B702" s="66"/>
      <c r="C702" s="66"/>
      <c r="D702" s="66"/>
      <c r="E702" s="66"/>
      <c r="F702" s="66"/>
      <c r="G702" s="66"/>
      <c r="H702" s="66"/>
      <c r="I702" s="66"/>
      <c r="J702" s="66"/>
      <c r="K702" s="66"/>
      <c r="L702" s="66"/>
      <c r="M702" s="66"/>
      <c r="N702" s="66"/>
      <c r="O702" s="66"/>
      <c r="P702" s="66"/>
      <c r="Q702" s="66"/>
      <c r="R702" s="66"/>
      <c r="S702" s="66"/>
      <c r="T702" s="66"/>
      <c r="U702" s="66"/>
    </row>
    <row r="703" ht="15.75" customHeight="1">
      <c r="A703" s="66"/>
      <c r="B703" s="66"/>
      <c r="C703" s="66"/>
      <c r="D703" s="66"/>
      <c r="E703" s="66"/>
      <c r="F703" s="66"/>
      <c r="G703" s="66"/>
      <c r="H703" s="66"/>
      <c r="I703" s="66"/>
      <c r="J703" s="66"/>
      <c r="K703" s="66"/>
      <c r="L703" s="66"/>
      <c r="M703" s="66"/>
      <c r="N703" s="66"/>
      <c r="O703" s="66"/>
      <c r="P703" s="66"/>
      <c r="Q703" s="66"/>
      <c r="R703" s="66"/>
      <c r="S703" s="66"/>
      <c r="T703" s="66"/>
      <c r="U703" s="66"/>
    </row>
    <row r="704" ht="15.75" customHeight="1">
      <c r="A704" s="66"/>
      <c r="B704" s="66"/>
      <c r="C704" s="66"/>
      <c r="D704" s="66"/>
      <c r="E704" s="66"/>
      <c r="F704" s="66"/>
      <c r="G704" s="66"/>
      <c r="H704" s="66"/>
      <c r="I704" s="66"/>
      <c r="J704" s="66"/>
      <c r="K704" s="66"/>
      <c r="L704" s="66"/>
      <c r="M704" s="66"/>
      <c r="N704" s="66"/>
      <c r="O704" s="66"/>
      <c r="P704" s="66"/>
      <c r="Q704" s="66"/>
      <c r="R704" s="66"/>
      <c r="S704" s="66"/>
      <c r="T704" s="66"/>
      <c r="U704" s="66"/>
    </row>
    <row r="705" ht="15.75" customHeight="1">
      <c r="A705" s="66"/>
      <c r="B705" s="66"/>
      <c r="C705" s="66"/>
      <c r="D705" s="66"/>
      <c r="E705" s="66"/>
      <c r="F705" s="66"/>
      <c r="G705" s="66"/>
      <c r="H705" s="66"/>
      <c r="I705" s="66"/>
      <c r="J705" s="66"/>
      <c r="K705" s="66"/>
      <c r="L705" s="66"/>
      <c r="M705" s="66"/>
      <c r="N705" s="66"/>
      <c r="O705" s="66"/>
      <c r="P705" s="66"/>
      <c r="Q705" s="66"/>
      <c r="R705" s="66"/>
      <c r="S705" s="66"/>
      <c r="T705" s="66"/>
      <c r="U705" s="66"/>
    </row>
    <row r="706" ht="15.75" customHeight="1">
      <c r="A706" s="66"/>
      <c r="B706" s="66"/>
      <c r="C706" s="66"/>
      <c r="D706" s="66"/>
      <c r="E706" s="66"/>
      <c r="F706" s="66"/>
      <c r="G706" s="66"/>
      <c r="H706" s="66"/>
      <c r="I706" s="66"/>
      <c r="J706" s="66"/>
      <c r="K706" s="66"/>
      <c r="L706" s="66"/>
      <c r="M706" s="66"/>
      <c r="N706" s="66"/>
      <c r="O706" s="66"/>
      <c r="P706" s="66"/>
      <c r="Q706" s="66"/>
      <c r="R706" s="66"/>
      <c r="S706" s="66"/>
      <c r="T706" s="66"/>
      <c r="U706" s="66"/>
    </row>
    <row r="707" ht="15.75" customHeight="1">
      <c r="A707" s="66"/>
      <c r="B707" s="66"/>
      <c r="C707" s="66"/>
      <c r="D707" s="66"/>
      <c r="E707" s="66"/>
      <c r="F707" s="66"/>
      <c r="G707" s="66"/>
      <c r="H707" s="66"/>
      <c r="I707" s="66"/>
      <c r="J707" s="66"/>
      <c r="K707" s="66"/>
      <c r="L707" s="66"/>
      <c r="M707" s="66"/>
      <c r="N707" s="66"/>
      <c r="O707" s="66"/>
      <c r="P707" s="66"/>
      <c r="Q707" s="66"/>
      <c r="R707" s="66"/>
      <c r="S707" s="66"/>
      <c r="T707" s="66"/>
      <c r="U707" s="66"/>
    </row>
    <row r="708" ht="15.75" customHeight="1">
      <c r="A708" s="66"/>
      <c r="B708" s="66"/>
      <c r="C708" s="66"/>
      <c r="D708" s="66"/>
      <c r="E708" s="66"/>
      <c r="F708" s="66"/>
      <c r="G708" s="66"/>
      <c r="H708" s="66"/>
      <c r="I708" s="66"/>
      <c r="J708" s="66"/>
      <c r="K708" s="66"/>
      <c r="L708" s="66"/>
      <c r="M708" s="66"/>
      <c r="N708" s="66"/>
      <c r="O708" s="66"/>
      <c r="P708" s="66"/>
      <c r="Q708" s="66"/>
      <c r="R708" s="66"/>
      <c r="S708" s="66"/>
      <c r="T708" s="66"/>
      <c r="U708" s="66"/>
    </row>
    <row r="709" ht="15.75" customHeight="1">
      <c r="A709" s="66"/>
      <c r="B709" s="66"/>
      <c r="C709" s="66"/>
      <c r="D709" s="66"/>
      <c r="E709" s="66"/>
      <c r="F709" s="66"/>
      <c r="G709" s="66"/>
      <c r="H709" s="66"/>
      <c r="I709" s="66"/>
      <c r="J709" s="66"/>
      <c r="K709" s="66"/>
      <c r="L709" s="66"/>
      <c r="M709" s="66"/>
      <c r="N709" s="66"/>
      <c r="O709" s="66"/>
      <c r="P709" s="66"/>
      <c r="Q709" s="66"/>
      <c r="R709" s="66"/>
      <c r="S709" s="66"/>
      <c r="T709" s="66"/>
      <c r="U709" s="66"/>
    </row>
    <row r="710" ht="15.75" customHeight="1">
      <c r="A710" s="66"/>
      <c r="B710" s="66"/>
      <c r="C710" s="66"/>
      <c r="D710" s="66"/>
      <c r="E710" s="66"/>
      <c r="F710" s="66"/>
      <c r="G710" s="66"/>
      <c r="H710" s="66"/>
      <c r="I710" s="66"/>
      <c r="J710" s="66"/>
      <c r="K710" s="66"/>
      <c r="L710" s="66"/>
      <c r="M710" s="66"/>
      <c r="N710" s="66"/>
      <c r="O710" s="66"/>
      <c r="P710" s="66"/>
      <c r="Q710" s="66"/>
      <c r="R710" s="66"/>
      <c r="S710" s="66"/>
      <c r="T710" s="66"/>
      <c r="U710" s="66"/>
    </row>
    <row r="711" ht="15.75" customHeight="1">
      <c r="A711" s="66"/>
      <c r="B711" s="66"/>
      <c r="C711" s="66"/>
      <c r="D711" s="66"/>
      <c r="E711" s="66"/>
      <c r="F711" s="66"/>
      <c r="G711" s="66"/>
      <c r="H711" s="66"/>
      <c r="I711" s="66"/>
      <c r="J711" s="66"/>
      <c r="K711" s="66"/>
      <c r="L711" s="66"/>
      <c r="M711" s="66"/>
      <c r="N711" s="66"/>
      <c r="O711" s="66"/>
      <c r="P711" s="66"/>
      <c r="Q711" s="66"/>
      <c r="R711" s="66"/>
      <c r="S711" s="66"/>
      <c r="T711" s="66"/>
      <c r="U711" s="66"/>
    </row>
    <row r="712" ht="15.75" customHeight="1">
      <c r="A712" s="66"/>
      <c r="B712" s="66"/>
      <c r="C712" s="66"/>
      <c r="D712" s="66"/>
      <c r="E712" s="66"/>
      <c r="F712" s="66"/>
      <c r="G712" s="66"/>
      <c r="H712" s="66"/>
      <c r="I712" s="66"/>
      <c r="J712" s="66"/>
      <c r="K712" s="66"/>
      <c r="L712" s="66"/>
      <c r="M712" s="66"/>
      <c r="N712" s="66"/>
      <c r="O712" s="66"/>
      <c r="P712" s="66"/>
      <c r="Q712" s="66"/>
      <c r="R712" s="66"/>
      <c r="S712" s="66"/>
      <c r="T712" s="66"/>
      <c r="U712" s="66"/>
    </row>
    <row r="713" ht="15.75" customHeight="1">
      <c r="A713" s="66"/>
      <c r="B713" s="66"/>
      <c r="C713" s="66"/>
      <c r="D713" s="66"/>
      <c r="E713" s="66"/>
      <c r="F713" s="66"/>
      <c r="G713" s="66"/>
      <c r="H713" s="66"/>
      <c r="I713" s="66"/>
      <c r="J713" s="66"/>
      <c r="K713" s="66"/>
      <c r="L713" s="66"/>
      <c r="M713" s="66"/>
      <c r="N713" s="66"/>
      <c r="O713" s="66"/>
      <c r="P713" s="66"/>
      <c r="Q713" s="66"/>
      <c r="R713" s="66"/>
      <c r="S713" s="66"/>
      <c r="T713" s="66"/>
      <c r="U713" s="66"/>
    </row>
    <row r="714" ht="15.75" customHeight="1">
      <c r="A714" s="66"/>
      <c r="B714" s="66"/>
      <c r="C714" s="66"/>
      <c r="D714" s="66"/>
      <c r="E714" s="66"/>
      <c r="F714" s="66"/>
      <c r="G714" s="66"/>
      <c r="H714" s="66"/>
      <c r="I714" s="66"/>
      <c r="J714" s="66"/>
      <c r="K714" s="66"/>
      <c r="L714" s="66"/>
      <c r="M714" s="66"/>
      <c r="N714" s="66"/>
      <c r="O714" s="66"/>
      <c r="P714" s="66"/>
      <c r="Q714" s="66"/>
      <c r="R714" s="66"/>
      <c r="S714" s="66"/>
      <c r="T714" s="66"/>
      <c r="U714" s="66"/>
    </row>
    <row r="715" ht="15.75" customHeight="1">
      <c r="A715" s="66"/>
      <c r="B715" s="66"/>
      <c r="C715" s="66"/>
      <c r="D715" s="66"/>
      <c r="E715" s="66"/>
      <c r="F715" s="66"/>
      <c r="G715" s="66"/>
      <c r="H715" s="66"/>
      <c r="I715" s="66"/>
      <c r="J715" s="66"/>
      <c r="K715" s="66"/>
      <c r="L715" s="66"/>
      <c r="M715" s="66"/>
      <c r="N715" s="66"/>
      <c r="O715" s="66"/>
      <c r="P715" s="66"/>
      <c r="Q715" s="66"/>
      <c r="R715" s="66"/>
      <c r="S715" s="66"/>
      <c r="T715" s="66"/>
      <c r="U715" s="66"/>
    </row>
    <row r="716" ht="15.75" customHeight="1">
      <c r="A716" s="66"/>
      <c r="B716" s="66"/>
      <c r="C716" s="66"/>
      <c r="D716" s="66"/>
      <c r="E716" s="66"/>
      <c r="F716" s="66"/>
      <c r="G716" s="66"/>
      <c r="H716" s="66"/>
      <c r="I716" s="66"/>
      <c r="J716" s="66"/>
      <c r="K716" s="66"/>
      <c r="L716" s="66"/>
      <c r="M716" s="66"/>
      <c r="N716" s="66"/>
      <c r="O716" s="66"/>
      <c r="P716" s="66"/>
      <c r="Q716" s="66"/>
      <c r="R716" s="66"/>
      <c r="S716" s="66"/>
      <c r="T716" s="66"/>
      <c r="U716" s="66"/>
    </row>
    <row r="717" ht="15.75" customHeight="1">
      <c r="A717" s="66"/>
      <c r="B717" s="66"/>
      <c r="C717" s="66"/>
      <c r="D717" s="66"/>
      <c r="E717" s="66"/>
      <c r="F717" s="66"/>
      <c r="G717" s="66"/>
      <c r="H717" s="66"/>
      <c r="I717" s="66"/>
      <c r="J717" s="66"/>
      <c r="K717" s="66"/>
      <c r="L717" s="66"/>
      <c r="M717" s="66"/>
      <c r="N717" s="66"/>
      <c r="O717" s="66"/>
      <c r="P717" s="66"/>
      <c r="Q717" s="66"/>
      <c r="R717" s="66"/>
      <c r="S717" s="66"/>
      <c r="T717" s="66"/>
      <c r="U717" s="66"/>
    </row>
    <row r="718" ht="15.75" customHeight="1">
      <c r="A718" s="66"/>
      <c r="B718" s="66"/>
      <c r="C718" s="66"/>
      <c r="D718" s="66"/>
      <c r="E718" s="66"/>
      <c r="F718" s="66"/>
      <c r="G718" s="66"/>
      <c r="H718" s="66"/>
      <c r="I718" s="66"/>
      <c r="J718" s="66"/>
      <c r="K718" s="66"/>
      <c r="L718" s="66"/>
      <c r="M718" s="66"/>
      <c r="N718" s="66"/>
      <c r="O718" s="66"/>
      <c r="P718" s="66"/>
      <c r="Q718" s="66"/>
      <c r="R718" s="66"/>
      <c r="S718" s="66"/>
      <c r="T718" s="66"/>
      <c r="U718" s="66"/>
    </row>
    <row r="719" ht="15.75" customHeight="1">
      <c r="A719" s="66"/>
      <c r="B719" s="66"/>
      <c r="C719" s="66"/>
      <c r="D719" s="66"/>
      <c r="E719" s="66"/>
      <c r="F719" s="66"/>
      <c r="G719" s="66"/>
      <c r="H719" s="66"/>
      <c r="I719" s="66"/>
      <c r="J719" s="66"/>
      <c r="K719" s="66"/>
      <c r="L719" s="66"/>
      <c r="M719" s="66"/>
      <c r="N719" s="66"/>
      <c r="O719" s="66"/>
      <c r="P719" s="66"/>
      <c r="Q719" s="66"/>
      <c r="R719" s="66"/>
      <c r="S719" s="66"/>
      <c r="T719" s="66"/>
      <c r="U719" s="66"/>
    </row>
    <row r="720" ht="15.75" customHeight="1">
      <c r="A720" s="66"/>
      <c r="B720" s="66"/>
      <c r="C720" s="66"/>
      <c r="D720" s="66"/>
      <c r="E720" s="66"/>
      <c r="F720" s="66"/>
      <c r="G720" s="66"/>
      <c r="H720" s="66"/>
      <c r="I720" s="66"/>
      <c r="J720" s="66"/>
      <c r="K720" s="66"/>
      <c r="L720" s="66"/>
      <c r="M720" s="66"/>
      <c r="N720" s="66"/>
      <c r="O720" s="66"/>
      <c r="P720" s="66"/>
      <c r="Q720" s="66"/>
      <c r="R720" s="66"/>
      <c r="S720" s="66"/>
      <c r="T720" s="66"/>
      <c r="U720" s="66"/>
    </row>
    <row r="721" ht="15.75" customHeight="1">
      <c r="A721" s="66"/>
      <c r="B721" s="66"/>
      <c r="C721" s="66"/>
      <c r="D721" s="66"/>
      <c r="E721" s="66"/>
      <c r="F721" s="66"/>
      <c r="G721" s="66"/>
      <c r="H721" s="66"/>
      <c r="I721" s="66"/>
      <c r="J721" s="66"/>
      <c r="K721" s="66"/>
      <c r="L721" s="66"/>
      <c r="M721" s="66"/>
      <c r="N721" s="66"/>
      <c r="O721" s="66"/>
      <c r="P721" s="66"/>
      <c r="Q721" s="66"/>
      <c r="R721" s="66"/>
      <c r="S721" s="66"/>
      <c r="T721" s="66"/>
      <c r="U721" s="66"/>
    </row>
    <row r="722" ht="15.75" customHeight="1">
      <c r="A722" s="66"/>
      <c r="B722" s="66"/>
      <c r="C722" s="66"/>
      <c r="D722" s="66"/>
      <c r="E722" s="66"/>
      <c r="F722" s="66"/>
      <c r="G722" s="66"/>
      <c r="H722" s="66"/>
      <c r="I722" s="66"/>
      <c r="J722" s="66"/>
      <c r="K722" s="66"/>
      <c r="L722" s="66"/>
      <c r="M722" s="66"/>
      <c r="N722" s="66"/>
      <c r="O722" s="66"/>
      <c r="P722" s="66"/>
      <c r="Q722" s="66"/>
      <c r="R722" s="66"/>
      <c r="S722" s="66"/>
      <c r="T722" s="66"/>
      <c r="U722" s="66"/>
    </row>
    <row r="723" ht="15.75" customHeight="1">
      <c r="A723" s="66"/>
      <c r="B723" s="66"/>
      <c r="C723" s="66"/>
      <c r="D723" s="66"/>
      <c r="E723" s="66"/>
      <c r="F723" s="66"/>
      <c r="G723" s="66"/>
      <c r="H723" s="66"/>
      <c r="I723" s="66"/>
      <c r="J723" s="66"/>
      <c r="K723" s="66"/>
      <c r="L723" s="66"/>
      <c r="M723" s="66"/>
      <c r="N723" s="66"/>
      <c r="O723" s="66"/>
      <c r="P723" s="66"/>
      <c r="Q723" s="66"/>
      <c r="R723" s="66"/>
      <c r="S723" s="66"/>
      <c r="T723" s="66"/>
      <c r="U723" s="66"/>
    </row>
    <row r="724" ht="15.75" customHeight="1">
      <c r="A724" s="66"/>
      <c r="B724" s="66"/>
      <c r="C724" s="66"/>
      <c r="D724" s="66"/>
      <c r="E724" s="66"/>
      <c r="F724" s="66"/>
      <c r="G724" s="66"/>
      <c r="H724" s="66"/>
      <c r="I724" s="66"/>
      <c r="J724" s="66"/>
      <c r="K724" s="66"/>
      <c r="L724" s="66"/>
      <c r="M724" s="66"/>
      <c r="N724" s="66"/>
      <c r="O724" s="66"/>
      <c r="P724" s="66"/>
      <c r="Q724" s="66"/>
      <c r="R724" s="66"/>
      <c r="S724" s="66"/>
      <c r="T724" s="66"/>
      <c r="U724" s="66"/>
    </row>
    <row r="725" ht="15.75" customHeight="1">
      <c r="A725" s="66"/>
      <c r="B725" s="66"/>
      <c r="C725" s="66"/>
      <c r="D725" s="66"/>
      <c r="E725" s="66"/>
      <c r="F725" s="66"/>
      <c r="G725" s="66"/>
      <c r="H725" s="66"/>
      <c r="I725" s="66"/>
      <c r="J725" s="66"/>
      <c r="K725" s="66"/>
      <c r="L725" s="66"/>
      <c r="M725" s="66"/>
      <c r="N725" s="66"/>
      <c r="O725" s="66"/>
      <c r="P725" s="66"/>
      <c r="Q725" s="66"/>
      <c r="R725" s="66"/>
      <c r="S725" s="66"/>
      <c r="T725" s="66"/>
      <c r="U725" s="66"/>
    </row>
    <row r="726" ht="15.75" customHeight="1">
      <c r="A726" s="66"/>
      <c r="B726" s="66"/>
      <c r="C726" s="66"/>
      <c r="D726" s="66"/>
      <c r="E726" s="66"/>
      <c r="F726" s="66"/>
      <c r="G726" s="66"/>
      <c r="H726" s="66"/>
      <c r="I726" s="66"/>
      <c r="J726" s="66"/>
      <c r="K726" s="66"/>
      <c r="L726" s="66"/>
      <c r="M726" s="66"/>
      <c r="N726" s="66"/>
      <c r="O726" s="66"/>
      <c r="P726" s="66"/>
      <c r="Q726" s="66"/>
      <c r="R726" s="66"/>
      <c r="S726" s="66"/>
      <c r="T726" s="66"/>
      <c r="U726" s="66"/>
    </row>
    <row r="727" ht="15.75" customHeight="1">
      <c r="A727" s="66"/>
      <c r="B727" s="66"/>
      <c r="C727" s="66"/>
      <c r="D727" s="66"/>
      <c r="E727" s="66"/>
      <c r="F727" s="66"/>
      <c r="G727" s="66"/>
      <c r="H727" s="66"/>
      <c r="I727" s="66"/>
      <c r="J727" s="66"/>
      <c r="K727" s="66"/>
      <c r="L727" s="66"/>
      <c r="M727" s="66"/>
      <c r="N727" s="66"/>
      <c r="O727" s="66"/>
      <c r="P727" s="66"/>
      <c r="Q727" s="66"/>
      <c r="R727" s="66"/>
      <c r="S727" s="66"/>
      <c r="T727" s="66"/>
      <c r="U727" s="66"/>
    </row>
    <row r="728" ht="15.75" customHeight="1">
      <c r="A728" s="66"/>
      <c r="B728" s="66"/>
      <c r="C728" s="66"/>
      <c r="D728" s="66"/>
      <c r="E728" s="66"/>
      <c r="F728" s="66"/>
      <c r="G728" s="66"/>
      <c r="H728" s="66"/>
      <c r="I728" s="66"/>
      <c r="J728" s="66"/>
      <c r="K728" s="66"/>
      <c r="L728" s="66"/>
      <c r="M728" s="66"/>
      <c r="N728" s="66"/>
      <c r="O728" s="66"/>
      <c r="P728" s="66"/>
      <c r="Q728" s="66"/>
      <c r="R728" s="66"/>
      <c r="S728" s="66"/>
      <c r="T728" s="66"/>
      <c r="U728" s="66"/>
    </row>
    <row r="729" ht="15.75" customHeight="1">
      <c r="A729" s="66"/>
      <c r="B729" s="66"/>
      <c r="C729" s="66"/>
      <c r="D729" s="66"/>
      <c r="E729" s="66"/>
      <c r="F729" s="66"/>
      <c r="G729" s="66"/>
      <c r="H729" s="66"/>
      <c r="I729" s="66"/>
      <c r="J729" s="66"/>
      <c r="K729" s="66"/>
      <c r="L729" s="66"/>
      <c r="M729" s="66"/>
      <c r="N729" s="66"/>
      <c r="O729" s="66"/>
      <c r="P729" s="66"/>
      <c r="Q729" s="66"/>
      <c r="R729" s="66"/>
      <c r="S729" s="66"/>
      <c r="T729" s="66"/>
      <c r="U729" s="66"/>
    </row>
    <row r="730" ht="15.75" customHeight="1">
      <c r="A730" s="66"/>
      <c r="B730" s="66"/>
      <c r="C730" s="66"/>
      <c r="D730" s="66"/>
      <c r="E730" s="66"/>
      <c r="F730" s="66"/>
      <c r="G730" s="66"/>
      <c r="H730" s="66"/>
      <c r="I730" s="66"/>
      <c r="J730" s="66"/>
      <c r="K730" s="66"/>
      <c r="L730" s="66"/>
      <c r="M730" s="66"/>
      <c r="N730" s="66"/>
      <c r="O730" s="66"/>
      <c r="P730" s="66"/>
      <c r="Q730" s="66"/>
      <c r="R730" s="66"/>
      <c r="S730" s="66"/>
      <c r="T730" s="66"/>
      <c r="U730" s="66"/>
    </row>
    <row r="731" ht="15.75" customHeight="1">
      <c r="A731" s="66"/>
      <c r="B731" s="66"/>
      <c r="C731" s="66"/>
      <c r="D731" s="66"/>
      <c r="E731" s="66"/>
      <c r="F731" s="66"/>
      <c r="G731" s="66"/>
      <c r="H731" s="66"/>
      <c r="I731" s="66"/>
      <c r="J731" s="66"/>
      <c r="K731" s="66"/>
      <c r="L731" s="66"/>
      <c r="M731" s="66"/>
      <c r="N731" s="66"/>
      <c r="O731" s="66"/>
      <c r="P731" s="66"/>
      <c r="Q731" s="66"/>
      <c r="R731" s="66"/>
      <c r="S731" s="66"/>
      <c r="T731" s="66"/>
      <c r="U731" s="66"/>
    </row>
    <row r="732" ht="15.75" customHeight="1">
      <c r="A732" s="66"/>
      <c r="B732" s="66"/>
      <c r="C732" s="66"/>
      <c r="D732" s="66"/>
      <c r="E732" s="66"/>
      <c r="F732" s="66"/>
      <c r="G732" s="66"/>
      <c r="H732" s="66"/>
      <c r="I732" s="66"/>
      <c r="J732" s="66"/>
      <c r="K732" s="66"/>
      <c r="L732" s="66"/>
      <c r="M732" s="66"/>
      <c r="N732" s="66"/>
      <c r="O732" s="66"/>
      <c r="P732" s="66"/>
      <c r="Q732" s="66"/>
      <c r="R732" s="66"/>
      <c r="S732" s="66"/>
      <c r="T732" s="66"/>
      <c r="U732" s="66"/>
    </row>
    <row r="733" ht="15.75" customHeight="1">
      <c r="A733" s="66"/>
      <c r="B733" s="66"/>
      <c r="C733" s="66"/>
      <c r="D733" s="66"/>
      <c r="E733" s="66"/>
      <c r="F733" s="66"/>
      <c r="G733" s="66"/>
      <c r="H733" s="66"/>
      <c r="I733" s="66"/>
      <c r="J733" s="66"/>
      <c r="K733" s="66"/>
      <c r="L733" s="66"/>
      <c r="M733" s="66"/>
      <c r="N733" s="66"/>
      <c r="O733" s="66"/>
      <c r="P733" s="66"/>
      <c r="Q733" s="66"/>
      <c r="R733" s="66"/>
      <c r="S733" s="66"/>
      <c r="T733" s="66"/>
      <c r="U733" s="66"/>
    </row>
    <row r="734" ht="15.75" customHeight="1">
      <c r="A734" s="66"/>
      <c r="B734" s="66"/>
      <c r="C734" s="66"/>
      <c r="D734" s="66"/>
      <c r="E734" s="66"/>
      <c r="F734" s="66"/>
      <c r="G734" s="66"/>
      <c r="H734" s="66"/>
      <c r="I734" s="66"/>
      <c r="J734" s="66"/>
      <c r="K734" s="66"/>
      <c r="L734" s="66"/>
      <c r="M734" s="66"/>
      <c r="N734" s="66"/>
      <c r="O734" s="66"/>
      <c r="P734" s="66"/>
      <c r="Q734" s="66"/>
      <c r="R734" s="66"/>
      <c r="S734" s="66"/>
      <c r="T734" s="66"/>
      <c r="U734" s="66"/>
    </row>
    <row r="735" ht="15.75" customHeight="1">
      <c r="A735" s="66"/>
      <c r="B735" s="66"/>
      <c r="C735" s="66"/>
      <c r="D735" s="66"/>
      <c r="E735" s="66"/>
      <c r="F735" s="66"/>
      <c r="G735" s="66"/>
      <c r="H735" s="66"/>
      <c r="I735" s="66"/>
      <c r="J735" s="66"/>
      <c r="K735" s="66"/>
      <c r="L735" s="66"/>
      <c r="M735" s="66"/>
      <c r="N735" s="66"/>
      <c r="O735" s="66"/>
      <c r="P735" s="66"/>
      <c r="Q735" s="66"/>
      <c r="R735" s="66"/>
      <c r="S735" s="66"/>
      <c r="T735" s="66"/>
      <c r="U735" s="66"/>
    </row>
    <row r="736" ht="15.75" customHeight="1">
      <c r="A736" s="66"/>
      <c r="B736" s="66"/>
      <c r="C736" s="66"/>
      <c r="D736" s="66"/>
      <c r="E736" s="66"/>
      <c r="F736" s="66"/>
      <c r="G736" s="66"/>
      <c r="H736" s="66"/>
      <c r="I736" s="66"/>
      <c r="J736" s="66"/>
      <c r="K736" s="66"/>
      <c r="L736" s="66"/>
      <c r="M736" s="66"/>
      <c r="N736" s="66"/>
      <c r="O736" s="66"/>
      <c r="P736" s="66"/>
      <c r="Q736" s="66"/>
      <c r="R736" s="66"/>
      <c r="S736" s="66"/>
      <c r="T736" s="66"/>
      <c r="U736" s="66"/>
    </row>
    <row r="737" ht="15.75" customHeight="1">
      <c r="A737" s="66"/>
      <c r="B737" s="66"/>
      <c r="C737" s="66"/>
      <c r="D737" s="66"/>
      <c r="E737" s="66"/>
      <c r="F737" s="66"/>
      <c r="G737" s="66"/>
      <c r="H737" s="66"/>
      <c r="I737" s="66"/>
      <c r="J737" s="66"/>
      <c r="K737" s="66"/>
      <c r="L737" s="66"/>
      <c r="M737" s="66"/>
      <c r="N737" s="66"/>
      <c r="O737" s="66"/>
      <c r="P737" s="66"/>
      <c r="Q737" s="66"/>
      <c r="R737" s="66"/>
      <c r="S737" s="66"/>
      <c r="T737" s="66"/>
      <c r="U737" s="66"/>
    </row>
    <row r="738" ht="15.75" customHeight="1">
      <c r="A738" s="66"/>
      <c r="B738" s="66"/>
      <c r="C738" s="66"/>
      <c r="D738" s="66"/>
      <c r="E738" s="66"/>
      <c r="F738" s="66"/>
      <c r="G738" s="66"/>
      <c r="H738" s="66"/>
      <c r="I738" s="66"/>
      <c r="J738" s="66"/>
      <c r="K738" s="66"/>
      <c r="L738" s="66"/>
      <c r="M738" s="66"/>
      <c r="N738" s="66"/>
      <c r="O738" s="66"/>
      <c r="P738" s="66"/>
      <c r="Q738" s="66"/>
      <c r="R738" s="66"/>
      <c r="S738" s="66"/>
      <c r="T738" s="66"/>
      <c r="U738" s="66"/>
    </row>
    <row r="739" ht="15.75" customHeight="1">
      <c r="A739" s="66"/>
      <c r="B739" s="66"/>
      <c r="C739" s="66"/>
      <c r="D739" s="66"/>
      <c r="E739" s="66"/>
      <c r="F739" s="66"/>
      <c r="G739" s="66"/>
      <c r="H739" s="66"/>
      <c r="I739" s="66"/>
      <c r="J739" s="66"/>
      <c r="K739" s="66"/>
      <c r="L739" s="66"/>
      <c r="M739" s="66"/>
      <c r="N739" s="66"/>
      <c r="O739" s="66"/>
      <c r="P739" s="66"/>
      <c r="Q739" s="66"/>
      <c r="R739" s="66"/>
      <c r="S739" s="66"/>
      <c r="T739" s="66"/>
      <c r="U739" s="66"/>
    </row>
    <row r="740" ht="15.75" customHeight="1">
      <c r="A740" s="66"/>
      <c r="B740" s="66"/>
      <c r="C740" s="66"/>
      <c r="D740" s="66"/>
      <c r="E740" s="66"/>
      <c r="F740" s="66"/>
      <c r="G740" s="66"/>
      <c r="H740" s="66"/>
      <c r="I740" s="66"/>
      <c r="J740" s="66"/>
      <c r="K740" s="66"/>
      <c r="L740" s="66"/>
      <c r="M740" s="66"/>
      <c r="N740" s="66"/>
      <c r="O740" s="66"/>
      <c r="P740" s="66"/>
      <c r="Q740" s="66"/>
      <c r="R740" s="66"/>
      <c r="S740" s="66"/>
      <c r="T740" s="66"/>
      <c r="U740" s="66"/>
    </row>
    <row r="741" ht="15.75" customHeight="1">
      <c r="A741" s="66"/>
      <c r="B741" s="66"/>
      <c r="C741" s="66"/>
      <c r="D741" s="66"/>
      <c r="E741" s="66"/>
      <c r="F741" s="66"/>
      <c r="G741" s="66"/>
      <c r="H741" s="66"/>
      <c r="I741" s="66"/>
      <c r="J741" s="66"/>
      <c r="K741" s="66"/>
      <c r="L741" s="66"/>
      <c r="M741" s="66"/>
      <c r="N741" s="66"/>
      <c r="O741" s="66"/>
      <c r="P741" s="66"/>
      <c r="Q741" s="66"/>
      <c r="R741" s="66"/>
      <c r="S741" s="66"/>
      <c r="T741" s="66"/>
      <c r="U741" s="66"/>
    </row>
    <row r="742" ht="15.75" customHeight="1">
      <c r="A742" s="66"/>
      <c r="B742" s="66"/>
      <c r="C742" s="66"/>
      <c r="D742" s="66"/>
      <c r="E742" s="66"/>
      <c r="F742" s="66"/>
      <c r="G742" s="66"/>
      <c r="H742" s="66"/>
      <c r="I742" s="66"/>
      <c r="J742" s="66"/>
      <c r="K742" s="66"/>
      <c r="L742" s="66"/>
      <c r="M742" s="66"/>
      <c r="N742" s="66"/>
      <c r="O742" s="66"/>
      <c r="P742" s="66"/>
      <c r="Q742" s="66"/>
      <c r="R742" s="66"/>
      <c r="S742" s="66"/>
      <c r="T742" s="66"/>
      <c r="U742" s="66"/>
    </row>
    <row r="743" ht="15.75" customHeight="1">
      <c r="A743" s="66"/>
      <c r="B743" s="66"/>
      <c r="C743" s="66"/>
      <c r="D743" s="66"/>
      <c r="E743" s="66"/>
      <c r="F743" s="66"/>
      <c r="G743" s="66"/>
      <c r="H743" s="66"/>
      <c r="I743" s="66"/>
      <c r="J743" s="66"/>
      <c r="K743" s="66"/>
      <c r="L743" s="66"/>
      <c r="M743" s="66"/>
      <c r="N743" s="66"/>
      <c r="O743" s="66"/>
      <c r="P743" s="66"/>
      <c r="Q743" s="66"/>
      <c r="R743" s="66"/>
      <c r="S743" s="66"/>
      <c r="T743" s="66"/>
      <c r="U743" s="66"/>
    </row>
    <row r="744" ht="15.75" customHeight="1">
      <c r="A744" s="66"/>
      <c r="B744" s="66"/>
      <c r="C744" s="66"/>
      <c r="D744" s="66"/>
      <c r="E744" s="66"/>
      <c r="F744" s="66"/>
      <c r="G744" s="66"/>
      <c r="H744" s="66"/>
      <c r="I744" s="66"/>
      <c r="J744" s="66"/>
      <c r="K744" s="66"/>
      <c r="L744" s="66"/>
      <c r="M744" s="66"/>
      <c r="N744" s="66"/>
      <c r="O744" s="66"/>
      <c r="P744" s="66"/>
      <c r="Q744" s="66"/>
      <c r="R744" s="66"/>
      <c r="S744" s="66"/>
      <c r="T744" s="66"/>
      <c r="U744" s="66"/>
    </row>
    <row r="745" ht="15.75" customHeight="1">
      <c r="A745" s="66"/>
      <c r="B745" s="66"/>
      <c r="C745" s="66"/>
      <c r="D745" s="66"/>
      <c r="E745" s="66"/>
      <c r="F745" s="66"/>
      <c r="G745" s="66"/>
      <c r="H745" s="66"/>
      <c r="I745" s="66"/>
      <c r="J745" s="66"/>
      <c r="K745" s="66"/>
      <c r="L745" s="66"/>
      <c r="M745" s="66"/>
      <c r="N745" s="66"/>
      <c r="O745" s="66"/>
      <c r="P745" s="66"/>
      <c r="Q745" s="66"/>
      <c r="R745" s="66"/>
      <c r="S745" s="66"/>
      <c r="T745" s="66"/>
      <c r="U745" s="66"/>
    </row>
    <row r="746" ht="15.75" customHeight="1">
      <c r="A746" s="66"/>
      <c r="B746" s="66"/>
      <c r="C746" s="66"/>
      <c r="D746" s="66"/>
      <c r="E746" s="66"/>
      <c r="F746" s="66"/>
      <c r="G746" s="66"/>
      <c r="H746" s="66"/>
      <c r="I746" s="66"/>
      <c r="J746" s="66"/>
      <c r="K746" s="66"/>
      <c r="L746" s="66"/>
      <c r="M746" s="66"/>
      <c r="N746" s="66"/>
      <c r="O746" s="66"/>
      <c r="P746" s="66"/>
      <c r="Q746" s="66"/>
      <c r="R746" s="66"/>
      <c r="S746" s="66"/>
      <c r="T746" s="66"/>
      <c r="U746" s="66"/>
    </row>
    <row r="747" ht="15.75" customHeight="1">
      <c r="A747" s="66"/>
      <c r="B747" s="66"/>
      <c r="C747" s="66"/>
      <c r="D747" s="66"/>
      <c r="E747" s="66"/>
      <c r="F747" s="66"/>
      <c r="G747" s="66"/>
      <c r="H747" s="66"/>
      <c r="I747" s="66"/>
      <c r="J747" s="66"/>
      <c r="K747" s="66"/>
      <c r="L747" s="66"/>
      <c r="M747" s="66"/>
      <c r="N747" s="66"/>
      <c r="O747" s="66"/>
      <c r="P747" s="66"/>
      <c r="Q747" s="66"/>
      <c r="R747" s="66"/>
      <c r="S747" s="66"/>
      <c r="T747" s="66"/>
      <c r="U747" s="66"/>
    </row>
    <row r="748" ht="15.75" customHeight="1">
      <c r="A748" s="66"/>
      <c r="B748" s="66"/>
      <c r="C748" s="66"/>
      <c r="D748" s="66"/>
      <c r="E748" s="66"/>
      <c r="F748" s="66"/>
      <c r="G748" s="66"/>
      <c r="H748" s="66"/>
      <c r="I748" s="66"/>
      <c r="J748" s="66"/>
      <c r="K748" s="66"/>
      <c r="L748" s="66"/>
      <c r="M748" s="66"/>
      <c r="N748" s="66"/>
      <c r="O748" s="66"/>
      <c r="P748" s="66"/>
      <c r="Q748" s="66"/>
      <c r="R748" s="66"/>
      <c r="S748" s="66"/>
      <c r="T748" s="66"/>
      <c r="U748" s="66"/>
    </row>
    <row r="749" ht="15.75" customHeight="1">
      <c r="A749" s="66"/>
      <c r="B749" s="66"/>
      <c r="C749" s="66"/>
      <c r="D749" s="66"/>
      <c r="E749" s="66"/>
      <c r="F749" s="66"/>
      <c r="G749" s="66"/>
      <c r="H749" s="66"/>
      <c r="I749" s="66"/>
      <c r="J749" s="66"/>
      <c r="K749" s="66"/>
      <c r="L749" s="66"/>
      <c r="M749" s="66"/>
      <c r="N749" s="66"/>
      <c r="O749" s="66"/>
      <c r="P749" s="66"/>
      <c r="Q749" s="66"/>
      <c r="R749" s="66"/>
      <c r="S749" s="66"/>
      <c r="T749" s="66"/>
      <c r="U749" s="66"/>
    </row>
    <row r="750" ht="15.75" customHeight="1">
      <c r="A750" s="66"/>
      <c r="B750" s="66"/>
      <c r="C750" s="66"/>
      <c r="D750" s="66"/>
      <c r="E750" s="66"/>
      <c r="F750" s="66"/>
      <c r="G750" s="66"/>
      <c r="H750" s="66"/>
      <c r="I750" s="66"/>
      <c r="J750" s="66"/>
      <c r="K750" s="66"/>
      <c r="L750" s="66"/>
      <c r="M750" s="66"/>
      <c r="N750" s="66"/>
      <c r="O750" s="66"/>
      <c r="P750" s="66"/>
      <c r="Q750" s="66"/>
      <c r="R750" s="66"/>
      <c r="S750" s="66"/>
      <c r="T750" s="66"/>
      <c r="U750" s="66"/>
    </row>
    <row r="751" ht="15.75" customHeight="1">
      <c r="A751" s="66"/>
      <c r="B751" s="66"/>
      <c r="C751" s="66"/>
      <c r="D751" s="66"/>
      <c r="E751" s="66"/>
      <c r="F751" s="66"/>
      <c r="G751" s="66"/>
      <c r="H751" s="66"/>
      <c r="I751" s="66"/>
      <c r="J751" s="66"/>
      <c r="K751" s="66"/>
      <c r="L751" s="66"/>
      <c r="M751" s="66"/>
      <c r="N751" s="66"/>
      <c r="O751" s="66"/>
      <c r="P751" s="66"/>
      <c r="Q751" s="66"/>
      <c r="R751" s="66"/>
      <c r="S751" s="66"/>
      <c r="T751" s="66"/>
      <c r="U751" s="66"/>
    </row>
    <row r="752" ht="15.75" customHeight="1">
      <c r="A752" s="66"/>
      <c r="B752" s="66"/>
      <c r="C752" s="66"/>
      <c r="D752" s="66"/>
      <c r="E752" s="66"/>
      <c r="F752" s="66"/>
      <c r="G752" s="66"/>
      <c r="H752" s="66"/>
      <c r="I752" s="66"/>
      <c r="J752" s="66"/>
      <c r="K752" s="66"/>
      <c r="L752" s="66"/>
      <c r="M752" s="66"/>
      <c r="N752" s="66"/>
      <c r="O752" s="66"/>
      <c r="P752" s="66"/>
      <c r="Q752" s="66"/>
      <c r="R752" s="66"/>
      <c r="S752" s="66"/>
      <c r="T752" s="66"/>
      <c r="U752" s="66"/>
    </row>
    <row r="753" ht="15.75" customHeight="1">
      <c r="A753" s="66"/>
      <c r="B753" s="66"/>
      <c r="C753" s="66"/>
      <c r="D753" s="66"/>
      <c r="E753" s="66"/>
      <c r="F753" s="66"/>
      <c r="G753" s="66"/>
      <c r="H753" s="66"/>
      <c r="I753" s="66"/>
      <c r="J753" s="66"/>
      <c r="K753" s="66"/>
      <c r="L753" s="66"/>
      <c r="M753" s="66"/>
      <c r="N753" s="66"/>
      <c r="O753" s="66"/>
      <c r="P753" s="66"/>
      <c r="Q753" s="66"/>
      <c r="R753" s="66"/>
      <c r="S753" s="66"/>
      <c r="T753" s="66"/>
      <c r="U753" s="66"/>
    </row>
    <row r="754" ht="15.75" customHeight="1">
      <c r="A754" s="66"/>
      <c r="B754" s="66"/>
      <c r="C754" s="66"/>
      <c r="D754" s="66"/>
      <c r="E754" s="66"/>
      <c r="F754" s="66"/>
      <c r="G754" s="66"/>
      <c r="H754" s="66"/>
      <c r="I754" s="66"/>
      <c r="J754" s="66"/>
      <c r="K754" s="66"/>
      <c r="L754" s="66"/>
      <c r="M754" s="66"/>
      <c r="N754" s="66"/>
      <c r="O754" s="66"/>
      <c r="P754" s="66"/>
      <c r="Q754" s="66"/>
      <c r="R754" s="66"/>
      <c r="S754" s="66"/>
      <c r="T754" s="66"/>
      <c r="U754" s="66"/>
    </row>
    <row r="755" ht="15.75" customHeight="1">
      <c r="A755" s="66"/>
      <c r="B755" s="66"/>
      <c r="C755" s="66"/>
      <c r="D755" s="66"/>
      <c r="E755" s="66"/>
      <c r="F755" s="66"/>
      <c r="G755" s="66"/>
      <c r="H755" s="66"/>
      <c r="I755" s="66"/>
      <c r="J755" s="66"/>
      <c r="K755" s="66"/>
      <c r="L755" s="66"/>
      <c r="M755" s="66"/>
      <c r="N755" s="66"/>
      <c r="O755" s="66"/>
      <c r="P755" s="66"/>
      <c r="Q755" s="66"/>
      <c r="R755" s="66"/>
      <c r="S755" s="66"/>
      <c r="T755" s="66"/>
      <c r="U755" s="66"/>
    </row>
    <row r="756" ht="15.75" customHeight="1">
      <c r="A756" s="66"/>
      <c r="B756" s="66"/>
      <c r="C756" s="66"/>
      <c r="D756" s="66"/>
      <c r="E756" s="66"/>
      <c r="F756" s="66"/>
      <c r="G756" s="66"/>
      <c r="H756" s="66"/>
      <c r="I756" s="66"/>
      <c r="J756" s="66"/>
      <c r="K756" s="66"/>
      <c r="L756" s="66"/>
      <c r="M756" s="66"/>
      <c r="N756" s="66"/>
      <c r="O756" s="66"/>
      <c r="P756" s="66"/>
      <c r="Q756" s="66"/>
      <c r="R756" s="66"/>
      <c r="S756" s="66"/>
      <c r="T756" s="66"/>
      <c r="U756" s="66"/>
    </row>
    <row r="757" ht="15.75" customHeight="1">
      <c r="A757" s="66"/>
      <c r="B757" s="66"/>
      <c r="C757" s="66"/>
      <c r="D757" s="66"/>
      <c r="E757" s="66"/>
      <c r="F757" s="66"/>
      <c r="G757" s="66"/>
      <c r="H757" s="66"/>
      <c r="I757" s="66"/>
      <c r="J757" s="66"/>
      <c r="K757" s="66"/>
      <c r="L757" s="66"/>
      <c r="M757" s="66"/>
      <c r="N757" s="66"/>
      <c r="O757" s="66"/>
      <c r="P757" s="66"/>
      <c r="Q757" s="66"/>
      <c r="R757" s="66"/>
      <c r="S757" s="66"/>
      <c r="T757" s="66"/>
      <c r="U757" s="66"/>
    </row>
    <row r="758" ht="15.75" customHeight="1">
      <c r="A758" s="66"/>
      <c r="B758" s="66"/>
      <c r="C758" s="66"/>
      <c r="D758" s="66"/>
      <c r="E758" s="66"/>
      <c r="F758" s="66"/>
      <c r="G758" s="66"/>
      <c r="H758" s="66"/>
      <c r="I758" s="66"/>
      <c r="J758" s="66"/>
      <c r="K758" s="66"/>
      <c r="L758" s="66"/>
      <c r="M758" s="66"/>
      <c r="N758" s="66"/>
      <c r="O758" s="66"/>
      <c r="P758" s="66"/>
      <c r="Q758" s="66"/>
      <c r="R758" s="66"/>
      <c r="S758" s="66"/>
      <c r="T758" s="66"/>
      <c r="U758" s="66"/>
    </row>
    <row r="759" ht="15.75" customHeight="1">
      <c r="A759" s="66"/>
      <c r="B759" s="66"/>
      <c r="C759" s="66"/>
      <c r="D759" s="66"/>
      <c r="E759" s="66"/>
      <c r="F759" s="66"/>
      <c r="G759" s="66"/>
      <c r="H759" s="66"/>
      <c r="I759" s="66"/>
      <c r="J759" s="66"/>
      <c r="K759" s="66"/>
      <c r="L759" s="66"/>
      <c r="M759" s="66"/>
      <c r="N759" s="66"/>
      <c r="O759" s="66"/>
      <c r="P759" s="66"/>
      <c r="Q759" s="66"/>
      <c r="R759" s="66"/>
      <c r="S759" s="66"/>
      <c r="T759" s="66"/>
      <c r="U759" s="66"/>
    </row>
    <row r="760" ht="15.75" customHeight="1">
      <c r="A760" s="66"/>
      <c r="B760" s="66"/>
      <c r="C760" s="66"/>
      <c r="D760" s="66"/>
      <c r="E760" s="66"/>
      <c r="F760" s="66"/>
      <c r="G760" s="66"/>
      <c r="H760" s="66"/>
      <c r="I760" s="66"/>
      <c r="J760" s="66"/>
      <c r="K760" s="66"/>
      <c r="L760" s="66"/>
      <c r="M760" s="66"/>
      <c r="N760" s="66"/>
      <c r="O760" s="66"/>
      <c r="P760" s="66"/>
      <c r="Q760" s="66"/>
      <c r="R760" s="66"/>
      <c r="S760" s="66"/>
      <c r="T760" s="66"/>
      <c r="U760" s="66"/>
    </row>
    <row r="761" ht="15.75" customHeight="1">
      <c r="A761" s="66"/>
      <c r="B761" s="66"/>
      <c r="C761" s="66"/>
      <c r="D761" s="66"/>
      <c r="E761" s="66"/>
      <c r="F761" s="66"/>
      <c r="G761" s="66"/>
      <c r="H761" s="66"/>
      <c r="I761" s="66"/>
      <c r="J761" s="66"/>
      <c r="K761" s="66"/>
      <c r="L761" s="66"/>
      <c r="M761" s="66"/>
      <c r="N761" s="66"/>
      <c r="O761" s="66"/>
      <c r="P761" s="66"/>
      <c r="Q761" s="66"/>
      <c r="R761" s="66"/>
      <c r="S761" s="66"/>
      <c r="T761" s="66"/>
      <c r="U761" s="66"/>
    </row>
    <row r="762" ht="15.75" customHeight="1">
      <c r="A762" s="66"/>
      <c r="B762" s="66"/>
      <c r="C762" s="66"/>
      <c r="D762" s="66"/>
      <c r="E762" s="66"/>
      <c r="F762" s="66"/>
      <c r="G762" s="66"/>
      <c r="H762" s="66"/>
      <c r="I762" s="66"/>
      <c r="J762" s="66"/>
      <c r="K762" s="66"/>
      <c r="L762" s="66"/>
      <c r="M762" s="66"/>
      <c r="N762" s="66"/>
      <c r="O762" s="66"/>
      <c r="P762" s="66"/>
      <c r="Q762" s="66"/>
      <c r="R762" s="66"/>
      <c r="S762" s="66"/>
      <c r="T762" s="66"/>
      <c r="U762" s="66"/>
    </row>
    <row r="763" ht="15.75" customHeight="1">
      <c r="A763" s="66"/>
      <c r="B763" s="66"/>
      <c r="C763" s="66"/>
      <c r="D763" s="66"/>
      <c r="E763" s="66"/>
      <c r="F763" s="66"/>
      <c r="G763" s="66"/>
      <c r="H763" s="66"/>
      <c r="I763" s="66"/>
      <c r="J763" s="66"/>
      <c r="K763" s="66"/>
      <c r="L763" s="66"/>
      <c r="M763" s="66"/>
      <c r="N763" s="66"/>
      <c r="O763" s="66"/>
      <c r="P763" s="66"/>
      <c r="Q763" s="66"/>
      <c r="R763" s="66"/>
      <c r="S763" s="66"/>
      <c r="T763" s="66"/>
      <c r="U763" s="66"/>
    </row>
    <row r="764" ht="15.75" customHeight="1">
      <c r="A764" s="66"/>
      <c r="B764" s="66"/>
      <c r="C764" s="66"/>
      <c r="D764" s="66"/>
      <c r="E764" s="66"/>
      <c r="F764" s="66"/>
      <c r="G764" s="66"/>
      <c r="H764" s="66"/>
      <c r="I764" s="66"/>
      <c r="J764" s="66"/>
      <c r="K764" s="66"/>
      <c r="L764" s="66"/>
      <c r="M764" s="66"/>
      <c r="N764" s="66"/>
      <c r="O764" s="66"/>
      <c r="P764" s="66"/>
      <c r="Q764" s="66"/>
      <c r="R764" s="66"/>
      <c r="S764" s="66"/>
      <c r="T764" s="66"/>
      <c r="U764" s="66"/>
    </row>
    <row r="765" ht="15.75" customHeight="1">
      <c r="A765" s="66"/>
      <c r="B765" s="66"/>
      <c r="C765" s="66"/>
      <c r="D765" s="66"/>
      <c r="E765" s="66"/>
      <c r="F765" s="66"/>
      <c r="G765" s="66"/>
      <c r="H765" s="66"/>
      <c r="I765" s="66"/>
      <c r="J765" s="66"/>
      <c r="K765" s="66"/>
      <c r="L765" s="66"/>
      <c r="M765" s="66"/>
      <c r="N765" s="66"/>
      <c r="O765" s="66"/>
      <c r="P765" s="66"/>
      <c r="Q765" s="66"/>
      <c r="R765" s="66"/>
      <c r="S765" s="66"/>
      <c r="T765" s="66"/>
      <c r="U765" s="66"/>
    </row>
    <row r="766" ht="15.75" customHeight="1">
      <c r="A766" s="66"/>
      <c r="B766" s="66"/>
      <c r="C766" s="66"/>
      <c r="D766" s="66"/>
      <c r="E766" s="66"/>
      <c r="F766" s="66"/>
      <c r="G766" s="66"/>
      <c r="H766" s="66"/>
      <c r="I766" s="66"/>
      <c r="J766" s="66"/>
      <c r="K766" s="66"/>
      <c r="L766" s="66"/>
      <c r="M766" s="66"/>
      <c r="N766" s="66"/>
      <c r="O766" s="66"/>
      <c r="P766" s="66"/>
      <c r="Q766" s="66"/>
      <c r="R766" s="66"/>
      <c r="S766" s="66"/>
      <c r="T766" s="66"/>
      <c r="U766" s="66"/>
    </row>
    <row r="767" ht="15.75" customHeight="1">
      <c r="A767" s="66"/>
      <c r="B767" s="66"/>
      <c r="C767" s="66"/>
      <c r="D767" s="66"/>
      <c r="E767" s="66"/>
      <c r="F767" s="66"/>
      <c r="G767" s="66"/>
      <c r="H767" s="66"/>
      <c r="I767" s="66"/>
      <c r="J767" s="66"/>
      <c r="K767" s="66"/>
      <c r="L767" s="66"/>
      <c r="M767" s="66"/>
      <c r="N767" s="66"/>
      <c r="O767" s="66"/>
      <c r="P767" s="66"/>
      <c r="Q767" s="66"/>
      <c r="R767" s="66"/>
      <c r="S767" s="66"/>
      <c r="T767" s="66"/>
      <c r="U767" s="66"/>
    </row>
    <row r="768" ht="15.75" customHeight="1">
      <c r="A768" s="66"/>
      <c r="B768" s="66"/>
      <c r="C768" s="66"/>
      <c r="D768" s="66"/>
      <c r="E768" s="66"/>
      <c r="F768" s="66"/>
      <c r="G768" s="66"/>
      <c r="H768" s="66"/>
      <c r="I768" s="66"/>
      <c r="J768" s="66"/>
      <c r="K768" s="66"/>
      <c r="L768" s="66"/>
      <c r="M768" s="66"/>
      <c r="N768" s="66"/>
      <c r="O768" s="66"/>
      <c r="P768" s="66"/>
      <c r="Q768" s="66"/>
      <c r="R768" s="66"/>
      <c r="S768" s="66"/>
      <c r="T768" s="66"/>
      <c r="U768" s="66"/>
    </row>
    <row r="769" ht="15.75" customHeight="1">
      <c r="A769" s="66"/>
      <c r="B769" s="66"/>
      <c r="C769" s="66"/>
      <c r="D769" s="66"/>
      <c r="E769" s="66"/>
      <c r="F769" s="66"/>
      <c r="G769" s="66"/>
      <c r="H769" s="66"/>
      <c r="I769" s="66"/>
      <c r="J769" s="66"/>
      <c r="K769" s="66"/>
      <c r="L769" s="66"/>
      <c r="M769" s="66"/>
      <c r="N769" s="66"/>
      <c r="O769" s="66"/>
      <c r="P769" s="66"/>
      <c r="Q769" s="66"/>
      <c r="R769" s="66"/>
      <c r="S769" s="66"/>
      <c r="T769" s="66"/>
      <c r="U769" s="66"/>
    </row>
    <row r="770" ht="15.75" customHeight="1">
      <c r="A770" s="66"/>
      <c r="B770" s="66"/>
      <c r="C770" s="66"/>
      <c r="D770" s="66"/>
      <c r="E770" s="66"/>
      <c r="F770" s="66"/>
      <c r="G770" s="66"/>
      <c r="H770" s="66"/>
      <c r="I770" s="66"/>
      <c r="J770" s="66"/>
      <c r="K770" s="66"/>
      <c r="L770" s="66"/>
      <c r="M770" s="66"/>
      <c r="N770" s="66"/>
      <c r="O770" s="66"/>
      <c r="P770" s="66"/>
      <c r="Q770" s="66"/>
      <c r="R770" s="66"/>
      <c r="S770" s="66"/>
      <c r="T770" s="66"/>
      <c r="U770" s="66"/>
    </row>
    <row r="771" ht="15.75" customHeight="1">
      <c r="A771" s="66"/>
      <c r="B771" s="66"/>
      <c r="C771" s="66"/>
      <c r="D771" s="66"/>
      <c r="E771" s="66"/>
      <c r="F771" s="66"/>
      <c r="G771" s="66"/>
      <c r="H771" s="66"/>
      <c r="I771" s="66"/>
      <c r="J771" s="66"/>
      <c r="K771" s="66"/>
      <c r="L771" s="66"/>
      <c r="M771" s="66"/>
      <c r="N771" s="66"/>
      <c r="O771" s="66"/>
      <c r="P771" s="66"/>
      <c r="Q771" s="66"/>
      <c r="R771" s="66"/>
      <c r="S771" s="66"/>
      <c r="T771" s="66"/>
      <c r="U771" s="66"/>
    </row>
    <row r="772" ht="15.75" customHeight="1">
      <c r="A772" s="66"/>
      <c r="B772" s="66"/>
      <c r="C772" s="66"/>
      <c r="D772" s="66"/>
      <c r="E772" s="66"/>
      <c r="F772" s="66"/>
      <c r="G772" s="66"/>
      <c r="H772" s="66"/>
      <c r="I772" s="66"/>
      <c r="J772" s="66"/>
      <c r="K772" s="66"/>
      <c r="L772" s="66"/>
      <c r="M772" s="66"/>
      <c r="N772" s="66"/>
      <c r="O772" s="66"/>
      <c r="P772" s="66"/>
      <c r="Q772" s="66"/>
      <c r="R772" s="66"/>
      <c r="S772" s="66"/>
      <c r="T772" s="66"/>
      <c r="U772" s="66"/>
    </row>
    <row r="773" ht="15.75" customHeight="1">
      <c r="A773" s="66"/>
      <c r="B773" s="66"/>
      <c r="C773" s="66"/>
      <c r="D773" s="66"/>
      <c r="E773" s="66"/>
      <c r="F773" s="66"/>
      <c r="G773" s="66"/>
      <c r="H773" s="66"/>
      <c r="I773" s="66"/>
      <c r="J773" s="66"/>
      <c r="K773" s="66"/>
      <c r="L773" s="66"/>
      <c r="M773" s="66"/>
      <c r="N773" s="66"/>
      <c r="O773" s="66"/>
      <c r="P773" s="66"/>
      <c r="Q773" s="66"/>
      <c r="R773" s="66"/>
      <c r="S773" s="66"/>
      <c r="T773" s="66"/>
      <c r="U773" s="66"/>
    </row>
    <row r="774" ht="15.75" customHeight="1">
      <c r="A774" s="66"/>
      <c r="B774" s="66"/>
      <c r="C774" s="66"/>
      <c r="D774" s="66"/>
      <c r="E774" s="66"/>
      <c r="F774" s="66"/>
      <c r="G774" s="66"/>
      <c r="H774" s="66"/>
      <c r="I774" s="66"/>
      <c r="J774" s="66"/>
      <c r="K774" s="66"/>
      <c r="L774" s="66"/>
      <c r="M774" s="66"/>
      <c r="N774" s="66"/>
      <c r="O774" s="66"/>
      <c r="P774" s="66"/>
      <c r="Q774" s="66"/>
      <c r="R774" s="66"/>
      <c r="S774" s="66"/>
      <c r="T774" s="66"/>
      <c r="U774" s="66"/>
    </row>
    <row r="775" ht="15.75" customHeight="1">
      <c r="A775" s="66"/>
      <c r="B775" s="66"/>
      <c r="C775" s="66"/>
      <c r="D775" s="66"/>
      <c r="E775" s="66"/>
      <c r="F775" s="66"/>
      <c r="G775" s="66"/>
      <c r="H775" s="66"/>
      <c r="I775" s="66"/>
      <c r="J775" s="66"/>
      <c r="K775" s="66"/>
      <c r="L775" s="66"/>
      <c r="M775" s="66"/>
      <c r="N775" s="66"/>
      <c r="O775" s="66"/>
      <c r="P775" s="66"/>
      <c r="Q775" s="66"/>
      <c r="R775" s="66"/>
      <c r="S775" s="66"/>
      <c r="T775" s="66"/>
      <c r="U775" s="66"/>
    </row>
    <row r="776" ht="15.75" customHeight="1">
      <c r="A776" s="66"/>
      <c r="B776" s="66"/>
      <c r="C776" s="66"/>
      <c r="D776" s="66"/>
      <c r="E776" s="66"/>
      <c r="F776" s="66"/>
      <c r="G776" s="66"/>
      <c r="H776" s="66"/>
      <c r="I776" s="66"/>
      <c r="J776" s="66"/>
      <c r="K776" s="66"/>
      <c r="L776" s="66"/>
      <c r="M776" s="66"/>
      <c r="N776" s="66"/>
      <c r="O776" s="66"/>
      <c r="P776" s="66"/>
      <c r="Q776" s="66"/>
      <c r="R776" s="66"/>
      <c r="S776" s="66"/>
      <c r="T776" s="66"/>
      <c r="U776" s="66"/>
    </row>
    <row r="777" ht="15.75" customHeight="1">
      <c r="A777" s="66"/>
      <c r="B777" s="66"/>
      <c r="C777" s="66"/>
      <c r="D777" s="66"/>
      <c r="E777" s="66"/>
      <c r="F777" s="66"/>
      <c r="G777" s="66"/>
      <c r="H777" s="66"/>
      <c r="I777" s="66"/>
      <c r="J777" s="66"/>
      <c r="K777" s="66"/>
      <c r="L777" s="66"/>
      <c r="M777" s="66"/>
      <c r="N777" s="66"/>
      <c r="O777" s="66"/>
      <c r="P777" s="66"/>
      <c r="Q777" s="66"/>
      <c r="R777" s="66"/>
      <c r="S777" s="66"/>
      <c r="T777" s="66"/>
      <c r="U777" s="66"/>
    </row>
    <row r="778" ht="15.75" customHeight="1">
      <c r="A778" s="66"/>
      <c r="B778" s="66"/>
      <c r="C778" s="66"/>
      <c r="D778" s="66"/>
      <c r="E778" s="66"/>
      <c r="F778" s="66"/>
      <c r="G778" s="66"/>
      <c r="H778" s="66"/>
      <c r="I778" s="66"/>
      <c r="J778" s="66"/>
      <c r="K778" s="66"/>
      <c r="L778" s="66"/>
      <c r="M778" s="66"/>
      <c r="N778" s="66"/>
      <c r="O778" s="66"/>
      <c r="P778" s="66"/>
      <c r="Q778" s="66"/>
      <c r="R778" s="66"/>
      <c r="S778" s="66"/>
      <c r="T778" s="66"/>
      <c r="U778" s="66"/>
    </row>
    <row r="779" ht="15.75" customHeight="1">
      <c r="A779" s="66"/>
      <c r="B779" s="66"/>
      <c r="C779" s="66"/>
      <c r="D779" s="66"/>
      <c r="E779" s="66"/>
      <c r="F779" s="66"/>
      <c r="G779" s="66"/>
      <c r="H779" s="66"/>
      <c r="I779" s="66"/>
      <c r="J779" s="66"/>
      <c r="K779" s="66"/>
      <c r="L779" s="66"/>
      <c r="M779" s="66"/>
      <c r="N779" s="66"/>
      <c r="O779" s="66"/>
      <c r="P779" s="66"/>
      <c r="Q779" s="66"/>
      <c r="R779" s="66"/>
      <c r="S779" s="66"/>
      <c r="T779" s="66"/>
      <c r="U779" s="66"/>
    </row>
    <row r="780" ht="15.75" customHeight="1">
      <c r="A780" s="66"/>
      <c r="B780" s="66"/>
      <c r="C780" s="66"/>
      <c r="D780" s="66"/>
      <c r="E780" s="66"/>
      <c r="F780" s="66"/>
      <c r="G780" s="66"/>
      <c r="H780" s="66"/>
      <c r="I780" s="66"/>
      <c r="J780" s="66"/>
      <c r="K780" s="66"/>
      <c r="L780" s="66"/>
      <c r="M780" s="66"/>
      <c r="N780" s="66"/>
      <c r="O780" s="66"/>
      <c r="P780" s="66"/>
      <c r="Q780" s="66"/>
      <c r="R780" s="66"/>
      <c r="S780" s="66"/>
      <c r="T780" s="66"/>
      <c r="U780" s="66"/>
    </row>
    <row r="781" ht="15.75" customHeight="1">
      <c r="A781" s="66"/>
      <c r="B781" s="66"/>
      <c r="C781" s="66"/>
      <c r="D781" s="66"/>
      <c r="E781" s="66"/>
      <c r="F781" s="66"/>
      <c r="G781" s="66"/>
      <c r="H781" s="66"/>
      <c r="I781" s="66"/>
      <c r="J781" s="66"/>
      <c r="K781" s="66"/>
      <c r="L781" s="66"/>
      <c r="M781" s="66"/>
      <c r="N781" s="66"/>
      <c r="O781" s="66"/>
      <c r="P781" s="66"/>
      <c r="Q781" s="66"/>
      <c r="R781" s="66"/>
      <c r="S781" s="66"/>
      <c r="T781" s="66"/>
      <c r="U781" s="66"/>
    </row>
    <row r="782" ht="15.75" customHeight="1">
      <c r="A782" s="66"/>
      <c r="B782" s="66"/>
      <c r="C782" s="66"/>
      <c r="D782" s="66"/>
      <c r="E782" s="66"/>
      <c r="F782" s="66"/>
      <c r="G782" s="66"/>
      <c r="H782" s="66"/>
      <c r="I782" s="66"/>
      <c r="J782" s="66"/>
      <c r="K782" s="66"/>
      <c r="L782" s="66"/>
      <c r="M782" s="66"/>
      <c r="N782" s="66"/>
      <c r="O782" s="66"/>
      <c r="P782" s="66"/>
      <c r="Q782" s="66"/>
      <c r="R782" s="66"/>
      <c r="S782" s="66"/>
      <c r="T782" s="66"/>
      <c r="U782" s="66"/>
    </row>
    <row r="783" ht="15.75" customHeight="1">
      <c r="A783" s="66"/>
      <c r="B783" s="66"/>
      <c r="C783" s="66"/>
      <c r="D783" s="66"/>
      <c r="E783" s="66"/>
      <c r="F783" s="66"/>
      <c r="G783" s="66"/>
      <c r="H783" s="66"/>
      <c r="I783" s="66"/>
      <c r="J783" s="66"/>
      <c r="K783" s="66"/>
      <c r="L783" s="66"/>
      <c r="M783" s="66"/>
      <c r="N783" s="66"/>
      <c r="O783" s="66"/>
      <c r="P783" s="66"/>
      <c r="Q783" s="66"/>
      <c r="R783" s="66"/>
      <c r="S783" s="66"/>
      <c r="T783" s="66"/>
      <c r="U783" s="66"/>
    </row>
    <row r="784" ht="15.75" customHeight="1">
      <c r="A784" s="66"/>
      <c r="B784" s="66"/>
      <c r="C784" s="66"/>
      <c r="D784" s="66"/>
      <c r="E784" s="66"/>
      <c r="F784" s="66"/>
      <c r="G784" s="66"/>
      <c r="H784" s="66"/>
      <c r="I784" s="66"/>
      <c r="J784" s="66"/>
      <c r="K784" s="66"/>
      <c r="L784" s="66"/>
      <c r="M784" s="66"/>
      <c r="N784" s="66"/>
      <c r="O784" s="66"/>
      <c r="P784" s="66"/>
      <c r="Q784" s="66"/>
      <c r="R784" s="66"/>
      <c r="S784" s="66"/>
      <c r="T784" s="66"/>
      <c r="U784" s="66"/>
    </row>
    <row r="785" ht="15.75" customHeight="1">
      <c r="A785" s="66"/>
      <c r="B785" s="66"/>
      <c r="C785" s="66"/>
      <c r="D785" s="66"/>
      <c r="E785" s="66"/>
      <c r="F785" s="66"/>
      <c r="G785" s="66"/>
      <c r="H785" s="66"/>
      <c r="I785" s="66"/>
      <c r="J785" s="66"/>
      <c r="K785" s="66"/>
      <c r="L785" s="66"/>
      <c r="M785" s="66"/>
      <c r="N785" s="66"/>
      <c r="O785" s="66"/>
      <c r="P785" s="66"/>
      <c r="Q785" s="66"/>
      <c r="R785" s="66"/>
      <c r="S785" s="66"/>
      <c r="T785" s="66"/>
      <c r="U785" s="66"/>
    </row>
    <row r="786" ht="15.75" customHeight="1">
      <c r="A786" s="66"/>
      <c r="B786" s="66"/>
      <c r="C786" s="66"/>
      <c r="D786" s="66"/>
      <c r="E786" s="66"/>
      <c r="F786" s="66"/>
      <c r="G786" s="66"/>
      <c r="H786" s="66"/>
      <c r="I786" s="66"/>
      <c r="J786" s="66"/>
      <c r="K786" s="66"/>
      <c r="L786" s="66"/>
      <c r="M786" s="66"/>
      <c r="N786" s="66"/>
      <c r="O786" s="66"/>
      <c r="P786" s="66"/>
      <c r="Q786" s="66"/>
      <c r="R786" s="66"/>
      <c r="S786" s="66"/>
      <c r="T786" s="66"/>
      <c r="U786" s="66"/>
    </row>
    <row r="787" ht="15.75" customHeight="1">
      <c r="A787" s="66"/>
      <c r="B787" s="66"/>
      <c r="C787" s="66"/>
      <c r="D787" s="66"/>
      <c r="E787" s="66"/>
      <c r="F787" s="66"/>
      <c r="G787" s="66"/>
      <c r="H787" s="66"/>
      <c r="I787" s="66"/>
      <c r="J787" s="66"/>
      <c r="K787" s="66"/>
      <c r="L787" s="66"/>
      <c r="M787" s="66"/>
      <c r="N787" s="66"/>
      <c r="O787" s="66"/>
      <c r="P787" s="66"/>
      <c r="Q787" s="66"/>
      <c r="R787" s="66"/>
      <c r="S787" s="66"/>
      <c r="T787" s="66"/>
      <c r="U787" s="66"/>
    </row>
    <row r="788" ht="15.75" customHeight="1">
      <c r="A788" s="66"/>
      <c r="B788" s="66"/>
      <c r="C788" s="66"/>
      <c r="D788" s="66"/>
      <c r="E788" s="66"/>
      <c r="F788" s="66"/>
      <c r="G788" s="66"/>
      <c r="H788" s="66"/>
      <c r="I788" s="66"/>
      <c r="J788" s="66"/>
      <c r="K788" s="66"/>
      <c r="L788" s="66"/>
      <c r="M788" s="66"/>
      <c r="N788" s="66"/>
      <c r="O788" s="66"/>
      <c r="P788" s="66"/>
      <c r="Q788" s="66"/>
      <c r="R788" s="66"/>
      <c r="S788" s="66"/>
      <c r="T788" s="66"/>
      <c r="U788" s="66"/>
    </row>
    <row r="789" ht="15.75" customHeight="1">
      <c r="A789" s="66"/>
      <c r="B789" s="66"/>
      <c r="C789" s="66"/>
      <c r="D789" s="66"/>
      <c r="E789" s="66"/>
      <c r="F789" s="66"/>
      <c r="G789" s="66"/>
      <c r="H789" s="66"/>
      <c r="I789" s="66"/>
      <c r="J789" s="66"/>
      <c r="K789" s="66"/>
      <c r="L789" s="66"/>
      <c r="M789" s="66"/>
      <c r="N789" s="66"/>
      <c r="O789" s="66"/>
      <c r="P789" s="66"/>
      <c r="Q789" s="66"/>
      <c r="R789" s="66"/>
      <c r="S789" s="66"/>
      <c r="T789" s="66"/>
      <c r="U789" s="66"/>
    </row>
    <row r="790" ht="15.75" customHeight="1">
      <c r="A790" s="66"/>
      <c r="B790" s="66"/>
      <c r="C790" s="66"/>
      <c r="D790" s="66"/>
      <c r="E790" s="66"/>
      <c r="F790" s="66"/>
      <c r="G790" s="66"/>
      <c r="H790" s="66"/>
      <c r="I790" s="66"/>
      <c r="J790" s="66"/>
      <c r="K790" s="66"/>
      <c r="L790" s="66"/>
      <c r="M790" s="66"/>
      <c r="N790" s="66"/>
      <c r="O790" s="66"/>
      <c r="P790" s="66"/>
      <c r="Q790" s="66"/>
      <c r="R790" s="66"/>
      <c r="S790" s="66"/>
      <c r="T790" s="66"/>
      <c r="U790" s="66"/>
    </row>
    <row r="791" ht="15.75" customHeight="1">
      <c r="A791" s="66"/>
      <c r="B791" s="66"/>
      <c r="C791" s="66"/>
      <c r="D791" s="66"/>
      <c r="E791" s="66"/>
      <c r="F791" s="66"/>
      <c r="G791" s="66"/>
      <c r="H791" s="66"/>
      <c r="I791" s="66"/>
      <c r="J791" s="66"/>
      <c r="K791" s="66"/>
      <c r="L791" s="66"/>
      <c r="M791" s="66"/>
      <c r="N791" s="66"/>
      <c r="O791" s="66"/>
      <c r="P791" s="66"/>
      <c r="Q791" s="66"/>
      <c r="R791" s="66"/>
      <c r="S791" s="66"/>
      <c r="T791" s="66"/>
      <c r="U791" s="66"/>
    </row>
    <row r="792" ht="15.75" customHeight="1">
      <c r="A792" s="66"/>
      <c r="B792" s="66"/>
      <c r="C792" s="66"/>
      <c r="D792" s="66"/>
      <c r="E792" s="66"/>
      <c r="F792" s="66"/>
      <c r="G792" s="66"/>
      <c r="H792" s="66"/>
      <c r="I792" s="66"/>
      <c r="J792" s="66"/>
      <c r="K792" s="66"/>
      <c r="L792" s="66"/>
      <c r="M792" s="66"/>
      <c r="N792" s="66"/>
      <c r="O792" s="66"/>
      <c r="P792" s="66"/>
      <c r="Q792" s="66"/>
      <c r="R792" s="66"/>
      <c r="S792" s="66"/>
      <c r="T792" s="66"/>
      <c r="U792" s="66"/>
    </row>
    <row r="793" ht="15.75" customHeight="1">
      <c r="A793" s="66"/>
      <c r="B793" s="66"/>
      <c r="C793" s="66"/>
      <c r="D793" s="66"/>
      <c r="E793" s="66"/>
      <c r="F793" s="66"/>
      <c r="G793" s="66"/>
      <c r="H793" s="66"/>
      <c r="I793" s="66"/>
      <c r="J793" s="66"/>
      <c r="K793" s="66"/>
      <c r="L793" s="66"/>
      <c r="M793" s="66"/>
      <c r="N793" s="66"/>
      <c r="O793" s="66"/>
      <c r="P793" s="66"/>
      <c r="Q793" s="66"/>
      <c r="R793" s="66"/>
      <c r="S793" s="66"/>
      <c r="T793" s="66"/>
      <c r="U793" s="66"/>
    </row>
    <row r="794" ht="15.75" customHeight="1">
      <c r="A794" s="66"/>
      <c r="B794" s="66"/>
      <c r="C794" s="66"/>
      <c r="D794" s="66"/>
      <c r="E794" s="66"/>
      <c r="F794" s="66"/>
      <c r="G794" s="66"/>
      <c r="H794" s="66"/>
      <c r="I794" s="66"/>
      <c r="J794" s="66"/>
      <c r="K794" s="66"/>
      <c r="L794" s="66"/>
      <c r="M794" s="66"/>
      <c r="N794" s="66"/>
      <c r="O794" s="66"/>
      <c r="P794" s="66"/>
      <c r="Q794" s="66"/>
      <c r="R794" s="66"/>
      <c r="S794" s="66"/>
      <c r="T794" s="66"/>
      <c r="U794" s="66"/>
    </row>
    <row r="795" ht="15.75" customHeight="1">
      <c r="A795" s="66"/>
      <c r="B795" s="66"/>
      <c r="C795" s="66"/>
      <c r="D795" s="66"/>
      <c r="E795" s="66"/>
      <c r="F795" s="66"/>
      <c r="G795" s="66"/>
      <c r="H795" s="66"/>
      <c r="I795" s="66"/>
      <c r="J795" s="66"/>
      <c r="K795" s="66"/>
      <c r="L795" s="66"/>
      <c r="M795" s="66"/>
      <c r="N795" s="66"/>
      <c r="O795" s="66"/>
      <c r="P795" s="66"/>
      <c r="Q795" s="66"/>
      <c r="R795" s="66"/>
      <c r="S795" s="66"/>
      <c r="T795" s="66"/>
      <c r="U795" s="66"/>
    </row>
    <row r="796" ht="15.75" customHeight="1">
      <c r="A796" s="66"/>
      <c r="B796" s="66"/>
      <c r="C796" s="66"/>
      <c r="D796" s="66"/>
      <c r="E796" s="66"/>
      <c r="F796" s="66"/>
      <c r="G796" s="66"/>
      <c r="H796" s="66"/>
      <c r="I796" s="66"/>
      <c r="J796" s="66"/>
      <c r="K796" s="66"/>
      <c r="L796" s="66"/>
      <c r="M796" s="66"/>
      <c r="N796" s="66"/>
      <c r="O796" s="66"/>
      <c r="P796" s="66"/>
      <c r="Q796" s="66"/>
      <c r="R796" s="66"/>
      <c r="S796" s="66"/>
      <c r="T796" s="66"/>
      <c r="U796" s="66"/>
    </row>
    <row r="797" ht="15.75" customHeight="1">
      <c r="A797" s="66"/>
      <c r="B797" s="66"/>
      <c r="C797" s="66"/>
      <c r="D797" s="66"/>
      <c r="E797" s="66"/>
      <c r="F797" s="66"/>
      <c r="G797" s="66"/>
      <c r="H797" s="66"/>
      <c r="I797" s="66"/>
      <c r="J797" s="66"/>
      <c r="K797" s="66"/>
      <c r="L797" s="66"/>
      <c r="M797" s="66"/>
      <c r="N797" s="66"/>
      <c r="O797" s="66"/>
      <c r="P797" s="66"/>
      <c r="Q797" s="66"/>
      <c r="R797" s="66"/>
      <c r="S797" s="66"/>
      <c r="T797" s="66"/>
      <c r="U797" s="66"/>
    </row>
    <row r="798" ht="15.75" customHeight="1">
      <c r="A798" s="66"/>
      <c r="B798" s="66"/>
      <c r="C798" s="66"/>
      <c r="D798" s="66"/>
      <c r="E798" s="66"/>
      <c r="F798" s="66"/>
      <c r="G798" s="66"/>
      <c r="H798" s="66"/>
      <c r="I798" s="66"/>
      <c r="J798" s="66"/>
      <c r="K798" s="66"/>
      <c r="L798" s="66"/>
      <c r="M798" s="66"/>
      <c r="N798" s="66"/>
      <c r="O798" s="66"/>
      <c r="P798" s="66"/>
      <c r="Q798" s="66"/>
      <c r="R798" s="66"/>
      <c r="S798" s="66"/>
      <c r="T798" s="66"/>
      <c r="U798" s="66"/>
    </row>
    <row r="799" ht="15.75" customHeight="1">
      <c r="A799" s="66"/>
      <c r="B799" s="66"/>
      <c r="C799" s="66"/>
      <c r="D799" s="66"/>
      <c r="E799" s="66"/>
      <c r="F799" s="66"/>
      <c r="G799" s="66"/>
      <c r="H799" s="66"/>
      <c r="I799" s="66"/>
      <c r="J799" s="66"/>
      <c r="K799" s="66"/>
      <c r="L799" s="66"/>
      <c r="M799" s="66"/>
      <c r="N799" s="66"/>
      <c r="O799" s="66"/>
      <c r="P799" s="66"/>
      <c r="Q799" s="66"/>
      <c r="R799" s="66"/>
      <c r="S799" s="66"/>
      <c r="T799" s="66"/>
      <c r="U799" s="66"/>
    </row>
    <row r="800" ht="15.75" customHeight="1">
      <c r="A800" s="66"/>
      <c r="B800" s="66"/>
      <c r="C800" s="66"/>
      <c r="D800" s="66"/>
      <c r="E800" s="66"/>
      <c r="F800" s="66"/>
      <c r="G800" s="66"/>
      <c r="H800" s="66"/>
      <c r="I800" s="66"/>
      <c r="J800" s="66"/>
      <c r="K800" s="66"/>
      <c r="L800" s="66"/>
      <c r="M800" s="66"/>
      <c r="N800" s="66"/>
      <c r="O800" s="66"/>
      <c r="P800" s="66"/>
      <c r="Q800" s="66"/>
      <c r="R800" s="66"/>
      <c r="S800" s="66"/>
      <c r="T800" s="66"/>
      <c r="U800" s="66"/>
    </row>
    <row r="801" ht="15.75" customHeight="1">
      <c r="A801" s="66"/>
      <c r="B801" s="66"/>
      <c r="C801" s="66"/>
      <c r="D801" s="66"/>
      <c r="E801" s="66"/>
      <c r="F801" s="66"/>
      <c r="G801" s="66"/>
      <c r="H801" s="66"/>
      <c r="I801" s="66"/>
      <c r="J801" s="66"/>
      <c r="K801" s="66"/>
      <c r="L801" s="66"/>
      <c r="M801" s="66"/>
      <c r="N801" s="66"/>
      <c r="O801" s="66"/>
      <c r="P801" s="66"/>
      <c r="Q801" s="66"/>
      <c r="R801" s="66"/>
      <c r="S801" s="66"/>
      <c r="T801" s="66"/>
      <c r="U801" s="66"/>
    </row>
    <row r="802" ht="15.75" customHeight="1">
      <c r="A802" s="66"/>
      <c r="B802" s="66"/>
      <c r="C802" s="66"/>
      <c r="D802" s="66"/>
      <c r="E802" s="66"/>
      <c r="F802" s="66"/>
      <c r="G802" s="66"/>
      <c r="H802" s="66"/>
      <c r="I802" s="66"/>
      <c r="J802" s="66"/>
      <c r="K802" s="66"/>
      <c r="L802" s="66"/>
      <c r="M802" s="66"/>
      <c r="N802" s="66"/>
      <c r="O802" s="66"/>
      <c r="P802" s="66"/>
      <c r="Q802" s="66"/>
      <c r="R802" s="66"/>
      <c r="S802" s="66"/>
      <c r="T802" s="66"/>
      <c r="U802" s="66"/>
    </row>
    <row r="803" ht="15.75" customHeight="1">
      <c r="A803" s="66"/>
      <c r="B803" s="66"/>
      <c r="C803" s="66"/>
      <c r="D803" s="66"/>
      <c r="E803" s="66"/>
      <c r="F803" s="66"/>
      <c r="G803" s="66"/>
      <c r="H803" s="66"/>
      <c r="I803" s="66"/>
      <c r="J803" s="66"/>
      <c r="K803" s="66"/>
      <c r="L803" s="66"/>
      <c r="M803" s="66"/>
      <c r="N803" s="66"/>
      <c r="O803" s="66"/>
      <c r="P803" s="66"/>
      <c r="Q803" s="66"/>
      <c r="R803" s="66"/>
      <c r="S803" s="66"/>
      <c r="T803" s="66"/>
      <c r="U803" s="66"/>
    </row>
    <row r="804" ht="15.75" customHeight="1">
      <c r="A804" s="66"/>
      <c r="B804" s="66"/>
      <c r="C804" s="66"/>
      <c r="D804" s="66"/>
      <c r="E804" s="66"/>
      <c r="F804" s="66"/>
      <c r="G804" s="66"/>
      <c r="H804" s="66"/>
      <c r="I804" s="66"/>
      <c r="J804" s="66"/>
      <c r="K804" s="66"/>
      <c r="L804" s="66"/>
      <c r="M804" s="66"/>
      <c r="N804" s="66"/>
      <c r="O804" s="66"/>
      <c r="P804" s="66"/>
      <c r="Q804" s="66"/>
      <c r="R804" s="66"/>
      <c r="S804" s="66"/>
      <c r="T804" s="66"/>
      <c r="U804" s="66"/>
    </row>
    <row r="805" ht="15.75" customHeight="1">
      <c r="A805" s="66"/>
      <c r="B805" s="66"/>
      <c r="C805" s="66"/>
      <c r="D805" s="66"/>
      <c r="E805" s="66"/>
      <c r="F805" s="66"/>
      <c r="G805" s="66"/>
      <c r="H805" s="66"/>
      <c r="I805" s="66"/>
      <c r="J805" s="66"/>
      <c r="K805" s="66"/>
      <c r="L805" s="66"/>
      <c r="M805" s="66"/>
      <c r="N805" s="66"/>
      <c r="O805" s="66"/>
      <c r="P805" s="66"/>
      <c r="Q805" s="66"/>
      <c r="R805" s="66"/>
      <c r="S805" s="66"/>
      <c r="T805" s="66"/>
      <c r="U805" s="66"/>
    </row>
    <row r="806" ht="15.75" customHeight="1">
      <c r="A806" s="66"/>
      <c r="B806" s="66"/>
      <c r="C806" s="66"/>
      <c r="D806" s="66"/>
      <c r="E806" s="66"/>
      <c r="F806" s="66"/>
      <c r="G806" s="66"/>
      <c r="H806" s="66"/>
      <c r="I806" s="66"/>
      <c r="J806" s="66"/>
      <c r="K806" s="66"/>
      <c r="L806" s="66"/>
      <c r="M806" s="66"/>
      <c r="N806" s="66"/>
      <c r="O806" s="66"/>
      <c r="P806" s="66"/>
      <c r="Q806" s="66"/>
      <c r="R806" s="66"/>
      <c r="S806" s="66"/>
      <c r="T806" s="66"/>
      <c r="U806" s="66"/>
    </row>
    <row r="807" ht="15.75" customHeight="1">
      <c r="A807" s="66"/>
      <c r="B807" s="66"/>
      <c r="C807" s="66"/>
      <c r="D807" s="66"/>
      <c r="E807" s="66"/>
      <c r="F807" s="66"/>
      <c r="G807" s="66"/>
      <c r="H807" s="66"/>
      <c r="I807" s="66"/>
      <c r="J807" s="66"/>
      <c r="K807" s="66"/>
      <c r="L807" s="66"/>
      <c r="M807" s="66"/>
      <c r="N807" s="66"/>
      <c r="O807" s="66"/>
      <c r="P807" s="66"/>
      <c r="Q807" s="66"/>
      <c r="R807" s="66"/>
      <c r="S807" s="66"/>
      <c r="T807" s="66"/>
      <c r="U807" s="66"/>
    </row>
    <row r="808" ht="15.75" customHeight="1">
      <c r="A808" s="66"/>
      <c r="B808" s="66"/>
      <c r="C808" s="66"/>
      <c r="D808" s="66"/>
      <c r="E808" s="66"/>
      <c r="F808" s="66"/>
      <c r="G808" s="66"/>
      <c r="H808" s="66"/>
      <c r="I808" s="66"/>
      <c r="J808" s="66"/>
      <c r="K808" s="66"/>
      <c r="L808" s="66"/>
      <c r="M808" s="66"/>
      <c r="N808" s="66"/>
      <c r="O808" s="66"/>
      <c r="P808" s="66"/>
      <c r="Q808" s="66"/>
      <c r="R808" s="66"/>
      <c r="S808" s="66"/>
      <c r="T808" s="66"/>
      <c r="U808" s="66"/>
    </row>
    <row r="809" ht="15.75" customHeight="1">
      <c r="A809" s="66"/>
      <c r="B809" s="66"/>
      <c r="C809" s="66"/>
      <c r="D809" s="66"/>
      <c r="E809" s="66"/>
      <c r="F809" s="66"/>
      <c r="G809" s="66"/>
      <c r="H809" s="66"/>
      <c r="I809" s="66"/>
      <c r="J809" s="66"/>
      <c r="K809" s="66"/>
      <c r="L809" s="66"/>
      <c r="M809" s="66"/>
      <c r="N809" s="66"/>
      <c r="O809" s="66"/>
      <c r="P809" s="66"/>
      <c r="Q809" s="66"/>
      <c r="R809" s="66"/>
      <c r="S809" s="66"/>
      <c r="T809" s="66"/>
      <c r="U809" s="66"/>
    </row>
    <row r="810" ht="15.75" customHeight="1">
      <c r="A810" s="66"/>
      <c r="B810" s="66"/>
      <c r="C810" s="66"/>
      <c r="D810" s="66"/>
      <c r="E810" s="66"/>
      <c r="F810" s="66"/>
      <c r="G810" s="66"/>
      <c r="H810" s="66"/>
      <c r="I810" s="66"/>
      <c r="J810" s="66"/>
      <c r="K810" s="66"/>
      <c r="L810" s="66"/>
      <c r="M810" s="66"/>
      <c r="N810" s="66"/>
      <c r="O810" s="66"/>
      <c r="P810" s="66"/>
      <c r="Q810" s="66"/>
      <c r="R810" s="66"/>
      <c r="S810" s="66"/>
      <c r="T810" s="66"/>
      <c r="U810" s="66"/>
    </row>
    <row r="811" ht="15.75" customHeight="1">
      <c r="A811" s="66"/>
      <c r="B811" s="66"/>
      <c r="C811" s="66"/>
      <c r="D811" s="66"/>
      <c r="E811" s="66"/>
      <c r="F811" s="66"/>
      <c r="G811" s="66"/>
      <c r="H811" s="66"/>
      <c r="I811" s="66"/>
      <c r="J811" s="66"/>
      <c r="K811" s="66"/>
      <c r="L811" s="66"/>
      <c r="M811" s="66"/>
      <c r="N811" s="66"/>
      <c r="O811" s="66"/>
      <c r="P811" s="66"/>
      <c r="Q811" s="66"/>
      <c r="R811" s="66"/>
      <c r="S811" s="66"/>
      <c r="T811" s="66"/>
      <c r="U811" s="66"/>
    </row>
    <row r="812" ht="15.75" customHeight="1">
      <c r="A812" s="66"/>
      <c r="B812" s="66"/>
      <c r="C812" s="66"/>
      <c r="D812" s="66"/>
      <c r="E812" s="66"/>
      <c r="F812" s="66"/>
      <c r="G812" s="66"/>
      <c r="H812" s="66"/>
      <c r="I812" s="66"/>
      <c r="J812" s="66"/>
      <c r="K812" s="66"/>
      <c r="L812" s="66"/>
      <c r="M812" s="66"/>
      <c r="N812" s="66"/>
      <c r="O812" s="66"/>
      <c r="P812" s="66"/>
      <c r="Q812" s="66"/>
      <c r="R812" s="66"/>
      <c r="S812" s="66"/>
      <c r="T812" s="66"/>
      <c r="U812" s="66"/>
    </row>
    <row r="813" ht="15.75" customHeight="1">
      <c r="A813" s="66"/>
      <c r="B813" s="66"/>
      <c r="C813" s="66"/>
      <c r="D813" s="66"/>
      <c r="E813" s="66"/>
      <c r="F813" s="66"/>
      <c r="G813" s="66"/>
      <c r="H813" s="66"/>
      <c r="I813" s="66"/>
      <c r="J813" s="66"/>
      <c r="K813" s="66"/>
      <c r="L813" s="66"/>
      <c r="M813" s="66"/>
      <c r="N813" s="66"/>
      <c r="O813" s="66"/>
      <c r="P813" s="66"/>
      <c r="Q813" s="66"/>
      <c r="R813" s="66"/>
      <c r="S813" s="66"/>
      <c r="T813" s="66"/>
      <c r="U813" s="66"/>
    </row>
    <row r="814" ht="15.75" customHeight="1">
      <c r="A814" s="66"/>
      <c r="B814" s="66"/>
      <c r="C814" s="66"/>
      <c r="D814" s="66"/>
      <c r="E814" s="66"/>
      <c r="F814" s="66"/>
      <c r="G814" s="66"/>
      <c r="H814" s="66"/>
      <c r="I814" s="66"/>
      <c r="J814" s="66"/>
      <c r="K814" s="66"/>
      <c r="L814" s="66"/>
      <c r="M814" s="66"/>
      <c r="N814" s="66"/>
      <c r="O814" s="66"/>
      <c r="P814" s="66"/>
      <c r="Q814" s="66"/>
      <c r="R814" s="66"/>
      <c r="S814" s="66"/>
      <c r="T814" s="66"/>
      <c r="U814" s="66"/>
    </row>
    <row r="815" ht="15.75" customHeight="1">
      <c r="A815" s="66"/>
      <c r="B815" s="66"/>
      <c r="C815" s="66"/>
      <c r="D815" s="66"/>
      <c r="E815" s="66"/>
      <c r="F815" s="66"/>
      <c r="G815" s="66"/>
      <c r="H815" s="66"/>
      <c r="I815" s="66"/>
      <c r="J815" s="66"/>
      <c r="K815" s="66"/>
      <c r="L815" s="66"/>
      <c r="M815" s="66"/>
      <c r="N815" s="66"/>
      <c r="O815" s="66"/>
      <c r="P815" s="66"/>
      <c r="Q815" s="66"/>
      <c r="R815" s="66"/>
      <c r="S815" s="66"/>
      <c r="T815" s="66"/>
      <c r="U815" s="66"/>
    </row>
    <row r="816" ht="15.75" customHeight="1">
      <c r="A816" s="66"/>
      <c r="B816" s="66"/>
      <c r="C816" s="66"/>
      <c r="D816" s="66"/>
      <c r="E816" s="66"/>
      <c r="F816" s="66"/>
      <c r="G816" s="66"/>
      <c r="H816" s="66"/>
      <c r="I816" s="66"/>
      <c r="J816" s="66"/>
      <c r="K816" s="66"/>
      <c r="L816" s="66"/>
      <c r="M816" s="66"/>
      <c r="N816" s="66"/>
      <c r="O816" s="66"/>
      <c r="P816" s="66"/>
      <c r="Q816" s="66"/>
      <c r="R816" s="66"/>
      <c r="S816" s="66"/>
      <c r="T816" s="66"/>
      <c r="U816" s="66"/>
    </row>
    <row r="817" ht="15.75" customHeight="1">
      <c r="A817" s="66"/>
      <c r="B817" s="66"/>
      <c r="C817" s="66"/>
      <c r="D817" s="66"/>
      <c r="E817" s="66"/>
      <c r="F817" s="66"/>
      <c r="G817" s="66"/>
      <c r="H817" s="66"/>
      <c r="I817" s="66"/>
      <c r="J817" s="66"/>
      <c r="K817" s="66"/>
      <c r="L817" s="66"/>
      <c r="M817" s="66"/>
      <c r="N817" s="66"/>
      <c r="O817" s="66"/>
      <c r="P817" s="66"/>
      <c r="Q817" s="66"/>
      <c r="R817" s="66"/>
      <c r="S817" s="66"/>
      <c r="T817" s="66"/>
      <c r="U817" s="66"/>
    </row>
    <row r="818" ht="15.75" customHeight="1">
      <c r="A818" s="66"/>
      <c r="B818" s="66"/>
      <c r="C818" s="66"/>
      <c r="D818" s="66"/>
      <c r="E818" s="66"/>
      <c r="F818" s="66"/>
      <c r="G818" s="66"/>
      <c r="H818" s="66"/>
      <c r="I818" s="66"/>
      <c r="J818" s="66"/>
      <c r="K818" s="66"/>
      <c r="L818" s="66"/>
      <c r="M818" s="66"/>
      <c r="N818" s="66"/>
      <c r="O818" s="66"/>
      <c r="P818" s="66"/>
      <c r="Q818" s="66"/>
      <c r="R818" s="66"/>
      <c r="S818" s="66"/>
      <c r="T818" s="66"/>
      <c r="U818" s="66"/>
    </row>
    <row r="819" ht="15.75" customHeight="1">
      <c r="A819" s="66"/>
      <c r="B819" s="66"/>
      <c r="C819" s="66"/>
      <c r="D819" s="66"/>
      <c r="E819" s="66"/>
      <c r="F819" s="66"/>
      <c r="G819" s="66"/>
      <c r="H819" s="66"/>
      <c r="I819" s="66"/>
      <c r="J819" s="66"/>
      <c r="K819" s="66"/>
      <c r="L819" s="66"/>
      <c r="M819" s="66"/>
      <c r="N819" s="66"/>
      <c r="O819" s="66"/>
      <c r="P819" s="66"/>
      <c r="Q819" s="66"/>
      <c r="R819" s="66"/>
      <c r="S819" s="66"/>
      <c r="T819" s="66"/>
      <c r="U819" s="66"/>
    </row>
    <row r="820" ht="15.75" customHeight="1">
      <c r="A820" s="66"/>
      <c r="B820" s="66"/>
      <c r="C820" s="66"/>
      <c r="D820" s="66"/>
      <c r="E820" s="66"/>
      <c r="F820" s="66"/>
      <c r="G820" s="66"/>
      <c r="H820" s="66"/>
      <c r="I820" s="66"/>
      <c r="J820" s="66"/>
      <c r="K820" s="66"/>
      <c r="L820" s="66"/>
      <c r="M820" s="66"/>
      <c r="N820" s="66"/>
      <c r="O820" s="66"/>
      <c r="P820" s="66"/>
      <c r="Q820" s="66"/>
      <c r="R820" s="66"/>
      <c r="S820" s="66"/>
      <c r="T820" s="66"/>
      <c r="U820" s="66"/>
    </row>
    <row r="821" ht="15.75" customHeight="1">
      <c r="A821" s="66"/>
      <c r="B821" s="66"/>
      <c r="C821" s="66"/>
      <c r="D821" s="66"/>
      <c r="E821" s="66"/>
      <c r="F821" s="66"/>
      <c r="G821" s="66"/>
      <c r="H821" s="66"/>
      <c r="I821" s="66"/>
      <c r="J821" s="66"/>
      <c r="K821" s="66"/>
      <c r="L821" s="66"/>
      <c r="M821" s="66"/>
      <c r="N821" s="66"/>
      <c r="O821" s="66"/>
      <c r="P821" s="66"/>
      <c r="Q821" s="66"/>
      <c r="R821" s="66"/>
      <c r="S821" s="66"/>
      <c r="T821" s="66"/>
      <c r="U821" s="66"/>
    </row>
    <row r="822" ht="15.75" customHeight="1">
      <c r="A822" s="66"/>
      <c r="B822" s="66"/>
      <c r="C822" s="66"/>
      <c r="D822" s="66"/>
      <c r="E822" s="66"/>
      <c r="F822" s="66"/>
      <c r="G822" s="66"/>
      <c r="H822" s="66"/>
      <c r="I822" s="66"/>
      <c r="J822" s="66"/>
      <c r="K822" s="66"/>
      <c r="L822" s="66"/>
      <c r="M822" s="66"/>
      <c r="N822" s="66"/>
      <c r="O822" s="66"/>
      <c r="P822" s="66"/>
      <c r="Q822" s="66"/>
      <c r="R822" s="66"/>
      <c r="S822" s="66"/>
      <c r="T822" s="66"/>
      <c r="U822" s="66"/>
    </row>
    <row r="823" ht="15.75" customHeight="1">
      <c r="A823" s="66"/>
      <c r="B823" s="66"/>
      <c r="C823" s="66"/>
      <c r="D823" s="66"/>
      <c r="E823" s="66"/>
      <c r="F823" s="66"/>
      <c r="G823" s="66"/>
      <c r="H823" s="66"/>
      <c r="I823" s="66"/>
      <c r="J823" s="66"/>
      <c r="K823" s="66"/>
      <c r="L823" s="66"/>
      <c r="M823" s="66"/>
      <c r="N823" s="66"/>
      <c r="O823" s="66"/>
      <c r="P823" s="66"/>
      <c r="Q823" s="66"/>
      <c r="R823" s="66"/>
      <c r="S823" s="66"/>
      <c r="T823" s="66"/>
      <c r="U823" s="66"/>
    </row>
    <row r="824" ht="15.75" customHeight="1">
      <c r="A824" s="66"/>
      <c r="B824" s="66"/>
      <c r="C824" s="66"/>
      <c r="D824" s="66"/>
      <c r="E824" s="66"/>
      <c r="F824" s="66"/>
      <c r="G824" s="66"/>
      <c r="H824" s="66"/>
      <c r="I824" s="66"/>
      <c r="J824" s="66"/>
      <c r="K824" s="66"/>
      <c r="L824" s="66"/>
      <c r="M824" s="66"/>
      <c r="N824" s="66"/>
      <c r="O824" s="66"/>
      <c r="P824" s="66"/>
      <c r="Q824" s="66"/>
      <c r="R824" s="66"/>
      <c r="S824" s="66"/>
      <c r="T824" s="66"/>
      <c r="U824" s="66"/>
    </row>
    <row r="825" ht="15.75" customHeight="1">
      <c r="A825" s="66"/>
      <c r="B825" s="66"/>
      <c r="C825" s="66"/>
      <c r="D825" s="66"/>
      <c r="E825" s="66"/>
      <c r="F825" s="66"/>
      <c r="G825" s="66"/>
      <c r="H825" s="66"/>
      <c r="I825" s="66"/>
      <c r="J825" s="66"/>
      <c r="K825" s="66"/>
      <c r="L825" s="66"/>
      <c r="M825" s="66"/>
      <c r="N825" s="66"/>
      <c r="O825" s="66"/>
      <c r="P825" s="66"/>
      <c r="Q825" s="66"/>
      <c r="R825" s="66"/>
      <c r="S825" s="66"/>
      <c r="T825" s="66"/>
      <c r="U825" s="66"/>
    </row>
    <row r="826" ht="15.75" customHeight="1">
      <c r="A826" s="66"/>
      <c r="B826" s="66"/>
      <c r="C826" s="66"/>
      <c r="D826" s="66"/>
      <c r="E826" s="66"/>
      <c r="F826" s="66"/>
      <c r="G826" s="66"/>
      <c r="H826" s="66"/>
      <c r="I826" s="66"/>
      <c r="J826" s="66"/>
      <c r="K826" s="66"/>
      <c r="L826" s="66"/>
      <c r="M826" s="66"/>
      <c r="N826" s="66"/>
      <c r="O826" s="66"/>
      <c r="P826" s="66"/>
      <c r="Q826" s="66"/>
      <c r="R826" s="66"/>
      <c r="S826" s="66"/>
      <c r="T826" s="66"/>
      <c r="U826" s="66"/>
    </row>
    <row r="827" ht="15.75" customHeight="1">
      <c r="A827" s="66"/>
      <c r="B827" s="66"/>
      <c r="C827" s="66"/>
      <c r="D827" s="66"/>
      <c r="E827" s="66"/>
      <c r="F827" s="66"/>
      <c r="G827" s="66"/>
      <c r="H827" s="66"/>
      <c r="I827" s="66"/>
      <c r="J827" s="66"/>
      <c r="K827" s="66"/>
      <c r="L827" s="66"/>
      <c r="M827" s="66"/>
      <c r="N827" s="66"/>
      <c r="O827" s="66"/>
      <c r="P827" s="66"/>
      <c r="Q827" s="66"/>
      <c r="R827" s="66"/>
      <c r="S827" s="66"/>
      <c r="T827" s="66"/>
      <c r="U827" s="66"/>
    </row>
    <row r="828" ht="15.75" customHeight="1">
      <c r="A828" s="66"/>
      <c r="B828" s="66"/>
      <c r="C828" s="66"/>
      <c r="D828" s="66"/>
      <c r="E828" s="66"/>
      <c r="F828" s="66"/>
      <c r="G828" s="66"/>
      <c r="H828" s="66"/>
      <c r="I828" s="66"/>
      <c r="J828" s="66"/>
      <c r="K828" s="66"/>
      <c r="L828" s="66"/>
      <c r="M828" s="66"/>
      <c r="N828" s="66"/>
      <c r="O828" s="66"/>
      <c r="P828" s="66"/>
      <c r="Q828" s="66"/>
      <c r="R828" s="66"/>
      <c r="S828" s="66"/>
      <c r="T828" s="66"/>
      <c r="U828" s="66"/>
    </row>
    <row r="829" ht="15.75" customHeight="1">
      <c r="A829" s="66"/>
      <c r="B829" s="66"/>
      <c r="C829" s="66"/>
      <c r="D829" s="66"/>
      <c r="E829" s="66"/>
      <c r="F829" s="66"/>
      <c r="G829" s="66"/>
      <c r="H829" s="66"/>
      <c r="I829" s="66"/>
      <c r="J829" s="66"/>
      <c r="K829" s="66"/>
      <c r="L829" s="66"/>
      <c r="M829" s="66"/>
      <c r="N829" s="66"/>
      <c r="O829" s="66"/>
      <c r="P829" s="66"/>
      <c r="Q829" s="66"/>
      <c r="R829" s="66"/>
      <c r="S829" s="66"/>
      <c r="T829" s="66"/>
      <c r="U829" s="66"/>
    </row>
    <row r="830" ht="15.75" customHeight="1">
      <c r="A830" s="66"/>
      <c r="B830" s="66"/>
      <c r="C830" s="66"/>
      <c r="D830" s="66"/>
      <c r="E830" s="66"/>
      <c r="F830" s="66"/>
      <c r="G830" s="66"/>
      <c r="H830" s="66"/>
      <c r="I830" s="66"/>
      <c r="J830" s="66"/>
      <c r="K830" s="66"/>
      <c r="L830" s="66"/>
      <c r="M830" s="66"/>
      <c r="N830" s="66"/>
      <c r="O830" s="66"/>
      <c r="P830" s="66"/>
      <c r="Q830" s="66"/>
      <c r="R830" s="66"/>
      <c r="S830" s="66"/>
      <c r="T830" s="66"/>
      <c r="U830" s="66"/>
    </row>
    <row r="831" ht="15.75" customHeight="1">
      <c r="A831" s="66"/>
      <c r="B831" s="66"/>
      <c r="C831" s="66"/>
      <c r="D831" s="66"/>
      <c r="E831" s="66"/>
      <c r="F831" s="66"/>
      <c r="G831" s="66"/>
      <c r="H831" s="66"/>
      <c r="I831" s="66"/>
      <c r="J831" s="66"/>
      <c r="K831" s="66"/>
      <c r="L831" s="66"/>
      <c r="M831" s="66"/>
      <c r="N831" s="66"/>
      <c r="O831" s="66"/>
      <c r="P831" s="66"/>
      <c r="Q831" s="66"/>
      <c r="R831" s="66"/>
      <c r="S831" s="66"/>
      <c r="T831" s="66"/>
      <c r="U831" s="66"/>
    </row>
    <row r="832" ht="15.75" customHeight="1">
      <c r="A832" s="66"/>
      <c r="B832" s="66"/>
      <c r="C832" s="66"/>
      <c r="D832" s="66"/>
      <c r="E832" s="66"/>
      <c r="F832" s="66"/>
      <c r="G832" s="66"/>
      <c r="H832" s="66"/>
      <c r="I832" s="66"/>
      <c r="J832" s="66"/>
      <c r="K832" s="66"/>
      <c r="L832" s="66"/>
      <c r="M832" s="66"/>
      <c r="N832" s="66"/>
      <c r="O832" s="66"/>
      <c r="P832" s="66"/>
      <c r="Q832" s="66"/>
      <c r="R832" s="66"/>
      <c r="S832" s="66"/>
      <c r="T832" s="66"/>
      <c r="U832" s="66"/>
    </row>
    <row r="833" ht="15.75" customHeight="1">
      <c r="A833" s="66"/>
      <c r="B833" s="66"/>
      <c r="C833" s="66"/>
      <c r="D833" s="66"/>
      <c r="E833" s="66"/>
      <c r="F833" s="66"/>
      <c r="G833" s="66"/>
      <c r="H833" s="66"/>
      <c r="I833" s="66"/>
      <c r="J833" s="66"/>
      <c r="K833" s="66"/>
      <c r="L833" s="66"/>
      <c r="M833" s="66"/>
      <c r="N833" s="66"/>
      <c r="O833" s="66"/>
      <c r="P833" s="66"/>
      <c r="Q833" s="66"/>
      <c r="R833" s="66"/>
      <c r="S833" s="66"/>
      <c r="T833" s="66"/>
      <c r="U833" s="66"/>
    </row>
    <row r="834" ht="15.75" customHeight="1">
      <c r="A834" s="66"/>
      <c r="B834" s="66"/>
      <c r="C834" s="66"/>
      <c r="D834" s="66"/>
      <c r="E834" s="66"/>
      <c r="F834" s="66"/>
      <c r="G834" s="66"/>
      <c r="H834" s="66"/>
      <c r="I834" s="66"/>
      <c r="J834" s="66"/>
      <c r="K834" s="66"/>
      <c r="L834" s="66"/>
      <c r="M834" s="66"/>
      <c r="N834" s="66"/>
      <c r="O834" s="66"/>
      <c r="P834" s="66"/>
      <c r="Q834" s="66"/>
      <c r="R834" s="66"/>
      <c r="S834" s="66"/>
      <c r="T834" s="66"/>
      <c r="U834" s="66"/>
    </row>
    <row r="835" ht="15.75" customHeight="1">
      <c r="A835" s="66"/>
      <c r="B835" s="66"/>
      <c r="C835" s="66"/>
      <c r="D835" s="66"/>
      <c r="E835" s="66"/>
      <c r="F835" s="66"/>
      <c r="G835" s="66"/>
      <c r="H835" s="66"/>
      <c r="I835" s="66"/>
      <c r="J835" s="66"/>
      <c r="K835" s="66"/>
      <c r="L835" s="66"/>
      <c r="M835" s="66"/>
      <c r="N835" s="66"/>
      <c r="O835" s="66"/>
      <c r="P835" s="66"/>
      <c r="Q835" s="66"/>
      <c r="R835" s="66"/>
      <c r="S835" s="66"/>
      <c r="T835" s="66"/>
      <c r="U835" s="66"/>
    </row>
    <row r="836" ht="15.75" customHeight="1">
      <c r="A836" s="66"/>
      <c r="B836" s="66"/>
      <c r="C836" s="66"/>
      <c r="D836" s="66"/>
      <c r="E836" s="66"/>
      <c r="F836" s="66"/>
      <c r="G836" s="66"/>
      <c r="H836" s="66"/>
      <c r="I836" s="66"/>
      <c r="J836" s="66"/>
      <c r="K836" s="66"/>
      <c r="L836" s="66"/>
      <c r="M836" s="66"/>
      <c r="N836" s="66"/>
      <c r="O836" s="66"/>
      <c r="P836" s="66"/>
      <c r="Q836" s="66"/>
      <c r="R836" s="66"/>
      <c r="S836" s="66"/>
      <c r="T836" s="66"/>
      <c r="U836" s="66"/>
    </row>
    <row r="837" ht="15.75" customHeight="1">
      <c r="A837" s="66"/>
      <c r="B837" s="66"/>
      <c r="C837" s="66"/>
      <c r="D837" s="66"/>
      <c r="E837" s="66"/>
      <c r="F837" s="66"/>
      <c r="G837" s="66"/>
      <c r="H837" s="66"/>
      <c r="I837" s="66"/>
      <c r="J837" s="66"/>
      <c r="K837" s="66"/>
      <c r="L837" s="66"/>
      <c r="M837" s="66"/>
      <c r="N837" s="66"/>
      <c r="O837" s="66"/>
      <c r="P837" s="66"/>
      <c r="Q837" s="66"/>
      <c r="R837" s="66"/>
      <c r="S837" s="66"/>
      <c r="T837" s="66"/>
      <c r="U837" s="66"/>
    </row>
    <row r="838" ht="15.75" customHeight="1">
      <c r="A838" s="66"/>
      <c r="B838" s="66"/>
      <c r="C838" s="66"/>
      <c r="D838" s="66"/>
      <c r="E838" s="66"/>
      <c r="F838" s="66"/>
      <c r="G838" s="66"/>
      <c r="H838" s="66"/>
      <c r="I838" s="66"/>
      <c r="J838" s="66"/>
      <c r="K838" s="66"/>
      <c r="L838" s="66"/>
      <c r="M838" s="66"/>
      <c r="N838" s="66"/>
      <c r="O838" s="66"/>
      <c r="P838" s="66"/>
      <c r="Q838" s="66"/>
      <c r="R838" s="66"/>
      <c r="S838" s="66"/>
      <c r="T838" s="66"/>
      <c r="U838" s="66"/>
    </row>
    <row r="839" ht="15.75" customHeight="1">
      <c r="A839" s="66"/>
      <c r="B839" s="66"/>
      <c r="C839" s="66"/>
      <c r="D839" s="66"/>
      <c r="E839" s="66"/>
      <c r="F839" s="66"/>
      <c r="G839" s="66"/>
      <c r="H839" s="66"/>
      <c r="I839" s="66"/>
      <c r="J839" s="66"/>
      <c r="K839" s="66"/>
      <c r="L839" s="66"/>
      <c r="M839" s="66"/>
      <c r="N839" s="66"/>
      <c r="O839" s="66"/>
      <c r="P839" s="66"/>
      <c r="Q839" s="66"/>
      <c r="R839" s="66"/>
      <c r="S839" s="66"/>
      <c r="T839" s="66"/>
      <c r="U839" s="66"/>
    </row>
    <row r="840" ht="15.75" customHeight="1">
      <c r="A840" s="66"/>
      <c r="B840" s="66"/>
      <c r="C840" s="66"/>
      <c r="D840" s="66"/>
      <c r="E840" s="66"/>
      <c r="F840" s="66"/>
      <c r="G840" s="66"/>
      <c r="H840" s="66"/>
      <c r="I840" s="66"/>
      <c r="J840" s="66"/>
      <c r="K840" s="66"/>
      <c r="L840" s="66"/>
      <c r="M840" s="66"/>
      <c r="N840" s="66"/>
      <c r="O840" s="66"/>
      <c r="P840" s="66"/>
      <c r="Q840" s="66"/>
      <c r="R840" s="66"/>
      <c r="S840" s="66"/>
      <c r="T840" s="66"/>
      <c r="U840" s="66"/>
    </row>
    <row r="841" ht="15.75" customHeight="1">
      <c r="A841" s="66"/>
      <c r="B841" s="66"/>
      <c r="C841" s="66"/>
      <c r="D841" s="66"/>
      <c r="E841" s="66"/>
      <c r="F841" s="66"/>
      <c r="G841" s="66"/>
      <c r="H841" s="66"/>
      <c r="I841" s="66"/>
      <c r="J841" s="66"/>
      <c r="K841" s="66"/>
      <c r="L841" s="66"/>
      <c r="M841" s="66"/>
      <c r="N841" s="66"/>
      <c r="O841" s="66"/>
      <c r="P841" s="66"/>
      <c r="Q841" s="66"/>
      <c r="R841" s="66"/>
      <c r="S841" s="66"/>
      <c r="T841" s="66"/>
      <c r="U841" s="66"/>
    </row>
    <row r="842" ht="15.75" customHeight="1">
      <c r="A842" s="66"/>
      <c r="B842" s="66"/>
      <c r="C842" s="66"/>
      <c r="D842" s="66"/>
      <c r="E842" s="66"/>
      <c r="F842" s="66"/>
      <c r="G842" s="66"/>
      <c r="H842" s="66"/>
      <c r="I842" s="66"/>
      <c r="J842" s="66"/>
      <c r="K842" s="66"/>
      <c r="L842" s="66"/>
      <c r="M842" s="66"/>
      <c r="N842" s="66"/>
      <c r="O842" s="66"/>
      <c r="P842" s="66"/>
      <c r="Q842" s="66"/>
      <c r="R842" s="66"/>
      <c r="S842" s="66"/>
      <c r="T842" s="66"/>
      <c r="U842" s="66"/>
    </row>
    <row r="843" ht="15.75" customHeight="1">
      <c r="A843" s="66"/>
      <c r="B843" s="66"/>
      <c r="C843" s="66"/>
      <c r="D843" s="66"/>
      <c r="E843" s="66"/>
      <c r="F843" s="66"/>
      <c r="G843" s="66"/>
      <c r="H843" s="66"/>
      <c r="I843" s="66"/>
      <c r="J843" s="66"/>
      <c r="K843" s="66"/>
      <c r="L843" s="66"/>
      <c r="M843" s="66"/>
      <c r="N843" s="66"/>
      <c r="O843" s="66"/>
      <c r="P843" s="66"/>
      <c r="Q843" s="66"/>
      <c r="R843" s="66"/>
      <c r="S843" s="66"/>
      <c r="T843" s="66"/>
      <c r="U843" s="66"/>
    </row>
    <row r="844" ht="15.75" customHeight="1">
      <c r="A844" s="66"/>
      <c r="B844" s="66"/>
      <c r="C844" s="66"/>
      <c r="D844" s="66"/>
      <c r="E844" s="66"/>
      <c r="F844" s="66"/>
      <c r="G844" s="66"/>
      <c r="H844" s="66"/>
      <c r="I844" s="66"/>
      <c r="J844" s="66"/>
      <c r="K844" s="66"/>
      <c r="L844" s="66"/>
      <c r="M844" s="66"/>
      <c r="N844" s="66"/>
      <c r="O844" s="66"/>
      <c r="P844" s="66"/>
      <c r="Q844" s="66"/>
      <c r="R844" s="66"/>
      <c r="S844" s="66"/>
      <c r="T844" s="66"/>
      <c r="U844" s="66"/>
    </row>
    <row r="845" ht="15.75" customHeight="1">
      <c r="A845" s="66"/>
      <c r="B845" s="66"/>
      <c r="C845" s="66"/>
      <c r="D845" s="66"/>
      <c r="E845" s="66"/>
      <c r="F845" s="66"/>
      <c r="G845" s="66"/>
      <c r="H845" s="66"/>
      <c r="I845" s="66"/>
      <c r="J845" s="66"/>
      <c r="K845" s="66"/>
      <c r="L845" s="66"/>
      <c r="M845" s="66"/>
      <c r="N845" s="66"/>
      <c r="O845" s="66"/>
      <c r="P845" s="66"/>
      <c r="Q845" s="66"/>
      <c r="R845" s="66"/>
      <c r="S845" s="66"/>
      <c r="T845" s="66"/>
      <c r="U845" s="66"/>
    </row>
    <row r="846" ht="15.75" customHeight="1">
      <c r="A846" s="66"/>
      <c r="B846" s="66"/>
      <c r="C846" s="66"/>
      <c r="D846" s="66"/>
      <c r="E846" s="66"/>
      <c r="F846" s="66"/>
      <c r="G846" s="66"/>
      <c r="H846" s="66"/>
      <c r="I846" s="66"/>
      <c r="J846" s="66"/>
      <c r="K846" s="66"/>
      <c r="L846" s="66"/>
      <c r="M846" s="66"/>
      <c r="N846" s="66"/>
      <c r="O846" s="66"/>
      <c r="P846" s="66"/>
      <c r="Q846" s="66"/>
      <c r="R846" s="66"/>
      <c r="S846" s="66"/>
      <c r="T846" s="66"/>
      <c r="U846" s="66"/>
    </row>
    <row r="847" ht="15.75" customHeight="1">
      <c r="A847" s="66"/>
      <c r="B847" s="66"/>
      <c r="C847" s="66"/>
      <c r="D847" s="66"/>
      <c r="E847" s="66"/>
      <c r="F847" s="66"/>
      <c r="G847" s="66"/>
      <c r="H847" s="66"/>
      <c r="I847" s="66"/>
      <c r="J847" s="66"/>
      <c r="K847" s="66"/>
      <c r="L847" s="66"/>
      <c r="M847" s="66"/>
      <c r="N847" s="66"/>
      <c r="O847" s="66"/>
      <c r="P847" s="66"/>
      <c r="Q847" s="66"/>
      <c r="R847" s="66"/>
      <c r="S847" s="66"/>
      <c r="T847" s="66"/>
      <c r="U847" s="66"/>
    </row>
    <row r="848" ht="15.75" customHeight="1">
      <c r="A848" s="66"/>
      <c r="B848" s="66"/>
      <c r="C848" s="66"/>
      <c r="D848" s="66"/>
      <c r="E848" s="66"/>
      <c r="F848" s="66"/>
      <c r="G848" s="66"/>
      <c r="H848" s="66"/>
      <c r="I848" s="66"/>
      <c r="J848" s="66"/>
      <c r="K848" s="66"/>
      <c r="L848" s="66"/>
      <c r="M848" s="66"/>
      <c r="N848" s="66"/>
      <c r="O848" s="66"/>
      <c r="P848" s="66"/>
      <c r="Q848" s="66"/>
      <c r="R848" s="66"/>
      <c r="S848" s="66"/>
      <c r="T848" s="66"/>
      <c r="U848" s="66"/>
    </row>
    <row r="849" ht="15.75" customHeight="1">
      <c r="A849" s="66"/>
      <c r="B849" s="66"/>
      <c r="C849" s="66"/>
      <c r="D849" s="66"/>
      <c r="E849" s="66"/>
      <c r="F849" s="66"/>
      <c r="G849" s="66"/>
      <c r="H849" s="66"/>
      <c r="I849" s="66"/>
      <c r="J849" s="66"/>
      <c r="K849" s="66"/>
      <c r="L849" s="66"/>
      <c r="M849" s="66"/>
      <c r="N849" s="66"/>
      <c r="O849" s="66"/>
      <c r="P849" s="66"/>
      <c r="Q849" s="66"/>
      <c r="R849" s="66"/>
      <c r="S849" s="66"/>
      <c r="T849" s="66"/>
      <c r="U849" s="66"/>
    </row>
    <row r="850" ht="15.75" customHeight="1">
      <c r="A850" s="66"/>
      <c r="B850" s="66"/>
      <c r="C850" s="66"/>
      <c r="D850" s="66"/>
      <c r="E850" s="66"/>
      <c r="F850" s="66"/>
      <c r="G850" s="66"/>
      <c r="H850" s="66"/>
      <c r="I850" s="66"/>
      <c r="J850" s="66"/>
      <c r="K850" s="66"/>
      <c r="L850" s="66"/>
      <c r="M850" s="66"/>
      <c r="N850" s="66"/>
      <c r="O850" s="66"/>
      <c r="P850" s="66"/>
      <c r="Q850" s="66"/>
      <c r="R850" s="66"/>
      <c r="S850" s="66"/>
      <c r="T850" s="66"/>
      <c r="U850" s="66"/>
    </row>
    <row r="851" ht="15.75" customHeight="1">
      <c r="A851" s="66"/>
      <c r="B851" s="66"/>
      <c r="C851" s="66"/>
      <c r="D851" s="66"/>
      <c r="E851" s="66"/>
      <c r="F851" s="66"/>
      <c r="G851" s="66"/>
      <c r="H851" s="66"/>
      <c r="I851" s="66"/>
      <c r="J851" s="66"/>
      <c r="K851" s="66"/>
      <c r="L851" s="66"/>
      <c r="M851" s="66"/>
      <c r="N851" s="66"/>
      <c r="O851" s="66"/>
      <c r="P851" s="66"/>
      <c r="Q851" s="66"/>
      <c r="R851" s="66"/>
      <c r="S851" s="66"/>
      <c r="T851" s="66"/>
      <c r="U851" s="66"/>
    </row>
    <row r="852" ht="15.75" customHeight="1">
      <c r="A852" s="66"/>
      <c r="B852" s="66"/>
      <c r="C852" s="66"/>
      <c r="D852" s="66"/>
      <c r="E852" s="66"/>
      <c r="F852" s="66"/>
      <c r="G852" s="66"/>
      <c r="H852" s="66"/>
      <c r="I852" s="66"/>
      <c r="J852" s="66"/>
      <c r="K852" s="66"/>
      <c r="L852" s="66"/>
      <c r="M852" s="66"/>
      <c r="N852" s="66"/>
      <c r="O852" s="66"/>
      <c r="P852" s="66"/>
      <c r="Q852" s="66"/>
      <c r="R852" s="66"/>
      <c r="S852" s="66"/>
      <c r="T852" s="66"/>
      <c r="U852" s="66"/>
    </row>
    <row r="853" ht="15.75" customHeight="1">
      <c r="A853" s="66"/>
      <c r="B853" s="66"/>
      <c r="C853" s="66"/>
      <c r="D853" s="66"/>
      <c r="E853" s="66"/>
      <c r="F853" s="66"/>
      <c r="G853" s="66"/>
      <c r="H853" s="66"/>
      <c r="I853" s="66"/>
      <c r="J853" s="66"/>
      <c r="K853" s="66"/>
      <c r="L853" s="66"/>
      <c r="M853" s="66"/>
      <c r="N853" s="66"/>
      <c r="O853" s="66"/>
      <c r="P853" s="66"/>
      <c r="Q853" s="66"/>
      <c r="R853" s="66"/>
      <c r="S853" s="66"/>
      <c r="T853" s="66"/>
      <c r="U853" s="66"/>
    </row>
    <row r="854" ht="15.75" customHeight="1">
      <c r="A854" s="66"/>
      <c r="B854" s="66"/>
      <c r="C854" s="66"/>
      <c r="D854" s="66"/>
      <c r="E854" s="66"/>
      <c r="F854" s="66"/>
      <c r="G854" s="66"/>
      <c r="H854" s="66"/>
      <c r="I854" s="66"/>
      <c r="J854" s="66"/>
      <c r="K854" s="66"/>
      <c r="L854" s="66"/>
      <c r="M854" s="66"/>
      <c r="N854" s="66"/>
      <c r="O854" s="66"/>
      <c r="P854" s="66"/>
      <c r="Q854" s="66"/>
      <c r="R854" s="66"/>
      <c r="S854" s="66"/>
      <c r="T854" s="66"/>
      <c r="U854" s="66"/>
    </row>
    <row r="855" ht="15.75" customHeight="1">
      <c r="A855" s="66"/>
      <c r="B855" s="66"/>
      <c r="C855" s="66"/>
      <c r="D855" s="66"/>
      <c r="E855" s="66"/>
      <c r="F855" s="66"/>
      <c r="G855" s="66"/>
      <c r="H855" s="66"/>
      <c r="I855" s="66"/>
      <c r="J855" s="66"/>
      <c r="K855" s="66"/>
      <c r="L855" s="66"/>
      <c r="M855" s="66"/>
      <c r="N855" s="66"/>
      <c r="O855" s="66"/>
      <c r="P855" s="66"/>
      <c r="Q855" s="66"/>
      <c r="R855" s="66"/>
      <c r="S855" s="66"/>
      <c r="T855" s="66"/>
      <c r="U855" s="66"/>
    </row>
    <row r="856" ht="15.75" customHeight="1">
      <c r="A856" s="66"/>
      <c r="B856" s="66"/>
      <c r="C856" s="66"/>
      <c r="D856" s="66"/>
      <c r="E856" s="66"/>
      <c r="F856" s="66"/>
      <c r="G856" s="66"/>
      <c r="H856" s="66"/>
      <c r="I856" s="66"/>
      <c r="J856" s="66"/>
      <c r="K856" s="66"/>
      <c r="L856" s="66"/>
      <c r="M856" s="66"/>
      <c r="N856" s="66"/>
      <c r="O856" s="66"/>
      <c r="P856" s="66"/>
      <c r="Q856" s="66"/>
      <c r="R856" s="66"/>
      <c r="S856" s="66"/>
      <c r="T856" s="66"/>
      <c r="U856" s="66"/>
    </row>
    <row r="857" ht="15.75" customHeight="1">
      <c r="A857" s="66"/>
      <c r="B857" s="66"/>
      <c r="C857" s="66"/>
      <c r="D857" s="66"/>
      <c r="E857" s="66"/>
      <c r="F857" s="66"/>
      <c r="G857" s="66"/>
      <c r="H857" s="66"/>
      <c r="I857" s="66"/>
      <c r="J857" s="66"/>
      <c r="K857" s="66"/>
      <c r="L857" s="66"/>
      <c r="M857" s="66"/>
      <c r="N857" s="66"/>
      <c r="O857" s="66"/>
      <c r="P857" s="66"/>
      <c r="Q857" s="66"/>
      <c r="R857" s="66"/>
      <c r="S857" s="66"/>
      <c r="T857" s="66"/>
      <c r="U857" s="66"/>
    </row>
    <row r="858" ht="15.75" customHeight="1">
      <c r="A858" s="66"/>
      <c r="B858" s="66"/>
      <c r="C858" s="66"/>
      <c r="D858" s="66"/>
      <c r="E858" s="66"/>
      <c r="F858" s="66"/>
      <c r="G858" s="66"/>
      <c r="H858" s="66"/>
      <c r="I858" s="66"/>
      <c r="J858" s="66"/>
      <c r="K858" s="66"/>
      <c r="L858" s="66"/>
      <c r="M858" s="66"/>
      <c r="N858" s="66"/>
      <c r="O858" s="66"/>
      <c r="P858" s="66"/>
      <c r="Q858" s="66"/>
      <c r="R858" s="66"/>
      <c r="S858" s="66"/>
      <c r="T858" s="66"/>
      <c r="U858" s="66"/>
    </row>
    <row r="859" ht="15.75" customHeight="1">
      <c r="A859" s="66"/>
      <c r="B859" s="66"/>
      <c r="C859" s="66"/>
      <c r="D859" s="66"/>
      <c r="E859" s="66"/>
      <c r="F859" s="66"/>
      <c r="G859" s="66"/>
      <c r="H859" s="66"/>
      <c r="I859" s="66"/>
      <c r="J859" s="66"/>
      <c r="K859" s="66"/>
      <c r="L859" s="66"/>
      <c r="M859" s="66"/>
      <c r="N859" s="66"/>
      <c r="O859" s="66"/>
      <c r="P859" s="66"/>
      <c r="Q859" s="66"/>
      <c r="R859" s="66"/>
      <c r="S859" s="66"/>
      <c r="T859" s="66"/>
      <c r="U859" s="66"/>
    </row>
    <row r="860" ht="15.75" customHeight="1">
      <c r="A860" s="66"/>
      <c r="B860" s="66"/>
      <c r="C860" s="66"/>
      <c r="D860" s="66"/>
      <c r="E860" s="66"/>
      <c r="F860" s="66"/>
      <c r="G860" s="66"/>
      <c r="H860" s="66"/>
      <c r="I860" s="66"/>
      <c r="J860" s="66"/>
      <c r="K860" s="66"/>
      <c r="L860" s="66"/>
      <c r="M860" s="66"/>
      <c r="N860" s="66"/>
      <c r="O860" s="66"/>
      <c r="P860" s="66"/>
      <c r="Q860" s="66"/>
      <c r="R860" s="66"/>
      <c r="S860" s="66"/>
      <c r="T860" s="66"/>
      <c r="U860" s="66"/>
    </row>
    <row r="861" ht="15.75" customHeight="1">
      <c r="A861" s="66"/>
      <c r="B861" s="66"/>
      <c r="C861" s="66"/>
      <c r="D861" s="66"/>
      <c r="E861" s="66"/>
      <c r="F861" s="66"/>
      <c r="G861" s="66"/>
      <c r="H861" s="66"/>
      <c r="I861" s="66"/>
      <c r="J861" s="66"/>
      <c r="K861" s="66"/>
      <c r="L861" s="66"/>
      <c r="M861" s="66"/>
      <c r="N861" s="66"/>
      <c r="O861" s="66"/>
      <c r="P861" s="66"/>
      <c r="Q861" s="66"/>
      <c r="R861" s="66"/>
      <c r="S861" s="66"/>
      <c r="T861" s="66"/>
      <c r="U861" s="66"/>
    </row>
    <row r="862" ht="15.75" customHeight="1">
      <c r="A862" s="66"/>
      <c r="B862" s="66"/>
      <c r="C862" s="66"/>
      <c r="D862" s="66"/>
      <c r="E862" s="66"/>
      <c r="F862" s="66"/>
      <c r="G862" s="66"/>
      <c r="H862" s="66"/>
      <c r="I862" s="66"/>
      <c r="J862" s="66"/>
      <c r="K862" s="66"/>
      <c r="L862" s="66"/>
      <c r="M862" s="66"/>
      <c r="N862" s="66"/>
      <c r="O862" s="66"/>
      <c r="P862" s="66"/>
      <c r="Q862" s="66"/>
      <c r="R862" s="66"/>
      <c r="S862" s="66"/>
      <c r="T862" s="66"/>
      <c r="U862" s="66"/>
    </row>
    <row r="863" ht="15.75" customHeight="1">
      <c r="A863" s="66"/>
      <c r="B863" s="66"/>
      <c r="C863" s="66"/>
      <c r="D863" s="66"/>
      <c r="E863" s="66"/>
      <c r="F863" s="66"/>
      <c r="G863" s="66"/>
      <c r="H863" s="66"/>
      <c r="I863" s="66"/>
      <c r="J863" s="66"/>
      <c r="K863" s="66"/>
      <c r="L863" s="66"/>
      <c r="M863" s="66"/>
      <c r="N863" s="66"/>
      <c r="O863" s="66"/>
      <c r="P863" s="66"/>
      <c r="Q863" s="66"/>
      <c r="R863" s="66"/>
      <c r="S863" s="66"/>
      <c r="T863" s="66"/>
      <c r="U863" s="66"/>
    </row>
    <row r="864" ht="15.75" customHeight="1">
      <c r="A864" s="66"/>
      <c r="B864" s="66"/>
      <c r="C864" s="66"/>
      <c r="D864" s="66"/>
      <c r="E864" s="66"/>
      <c r="F864" s="66"/>
      <c r="G864" s="66"/>
      <c r="H864" s="66"/>
      <c r="I864" s="66"/>
      <c r="J864" s="66"/>
      <c r="K864" s="66"/>
      <c r="L864" s="66"/>
      <c r="M864" s="66"/>
      <c r="N864" s="66"/>
      <c r="O864" s="66"/>
      <c r="P864" s="66"/>
      <c r="Q864" s="66"/>
      <c r="R864" s="66"/>
      <c r="S864" s="66"/>
      <c r="T864" s="66"/>
      <c r="U864" s="66"/>
    </row>
    <row r="865" ht="15.75" customHeight="1">
      <c r="A865" s="66"/>
      <c r="B865" s="66"/>
      <c r="C865" s="66"/>
      <c r="D865" s="66"/>
      <c r="E865" s="66"/>
      <c r="F865" s="66"/>
      <c r="G865" s="66"/>
      <c r="H865" s="66"/>
      <c r="I865" s="66"/>
      <c r="J865" s="66"/>
      <c r="K865" s="66"/>
      <c r="L865" s="66"/>
      <c r="M865" s="66"/>
      <c r="N865" s="66"/>
      <c r="O865" s="66"/>
      <c r="P865" s="66"/>
      <c r="Q865" s="66"/>
      <c r="R865" s="66"/>
      <c r="S865" s="66"/>
      <c r="T865" s="66"/>
      <c r="U865" s="66"/>
    </row>
    <row r="866" ht="15.75" customHeight="1">
      <c r="A866" s="66"/>
      <c r="B866" s="66"/>
      <c r="C866" s="66"/>
      <c r="D866" s="66"/>
      <c r="E866" s="66"/>
      <c r="F866" s="66"/>
      <c r="G866" s="66"/>
      <c r="H866" s="66"/>
      <c r="I866" s="66"/>
      <c r="J866" s="66"/>
      <c r="K866" s="66"/>
      <c r="L866" s="66"/>
      <c r="M866" s="66"/>
      <c r="N866" s="66"/>
      <c r="O866" s="66"/>
      <c r="P866" s="66"/>
      <c r="Q866" s="66"/>
      <c r="R866" s="66"/>
      <c r="S866" s="66"/>
      <c r="T866" s="66"/>
      <c r="U866" s="66"/>
    </row>
    <row r="867" ht="15.75" customHeight="1">
      <c r="A867" s="66"/>
      <c r="B867" s="66"/>
      <c r="C867" s="66"/>
      <c r="D867" s="66"/>
      <c r="E867" s="66"/>
      <c r="F867" s="66"/>
      <c r="G867" s="66"/>
      <c r="H867" s="66"/>
      <c r="I867" s="66"/>
      <c r="J867" s="66"/>
      <c r="K867" s="66"/>
      <c r="L867" s="66"/>
      <c r="M867" s="66"/>
      <c r="N867" s="66"/>
      <c r="O867" s="66"/>
      <c r="P867" s="66"/>
      <c r="Q867" s="66"/>
      <c r="R867" s="66"/>
      <c r="S867" s="66"/>
      <c r="T867" s="66"/>
      <c r="U867" s="66"/>
    </row>
    <row r="868" ht="15.75" customHeight="1">
      <c r="A868" s="66"/>
      <c r="B868" s="66"/>
      <c r="C868" s="66"/>
      <c r="D868" s="66"/>
      <c r="E868" s="66"/>
      <c r="F868" s="66"/>
      <c r="G868" s="66"/>
      <c r="H868" s="66"/>
      <c r="I868" s="66"/>
      <c r="J868" s="66"/>
      <c r="K868" s="66"/>
      <c r="L868" s="66"/>
      <c r="M868" s="66"/>
      <c r="N868" s="66"/>
      <c r="O868" s="66"/>
      <c r="P868" s="66"/>
      <c r="Q868" s="66"/>
      <c r="R868" s="66"/>
      <c r="S868" s="66"/>
      <c r="T868" s="66"/>
      <c r="U868" s="66"/>
    </row>
    <row r="869" ht="15.75" customHeight="1">
      <c r="A869" s="66"/>
      <c r="B869" s="66"/>
      <c r="C869" s="66"/>
      <c r="D869" s="66"/>
      <c r="E869" s="66"/>
      <c r="F869" s="66"/>
      <c r="G869" s="66"/>
      <c r="H869" s="66"/>
      <c r="I869" s="66"/>
      <c r="J869" s="66"/>
      <c r="K869" s="66"/>
      <c r="L869" s="66"/>
      <c r="M869" s="66"/>
      <c r="N869" s="66"/>
      <c r="O869" s="66"/>
      <c r="P869" s="66"/>
      <c r="Q869" s="66"/>
      <c r="R869" s="66"/>
      <c r="S869" s="66"/>
      <c r="T869" s="66"/>
      <c r="U869" s="66"/>
    </row>
    <row r="870" ht="15.75" customHeight="1">
      <c r="A870" s="66"/>
      <c r="B870" s="66"/>
      <c r="C870" s="66"/>
      <c r="D870" s="66"/>
      <c r="E870" s="66"/>
      <c r="F870" s="66"/>
      <c r="G870" s="66"/>
      <c r="H870" s="66"/>
      <c r="I870" s="66"/>
      <c r="J870" s="66"/>
      <c r="K870" s="66"/>
      <c r="L870" s="66"/>
      <c r="M870" s="66"/>
      <c r="N870" s="66"/>
      <c r="O870" s="66"/>
      <c r="P870" s="66"/>
      <c r="Q870" s="66"/>
      <c r="R870" s="66"/>
      <c r="S870" s="66"/>
      <c r="T870" s="66"/>
      <c r="U870" s="66"/>
    </row>
    <row r="871" ht="15.75" customHeight="1">
      <c r="A871" s="66"/>
      <c r="B871" s="66"/>
      <c r="C871" s="66"/>
      <c r="D871" s="66"/>
      <c r="E871" s="66"/>
      <c r="F871" s="66"/>
      <c r="G871" s="66"/>
      <c r="H871" s="66"/>
      <c r="I871" s="66"/>
      <c r="J871" s="66"/>
      <c r="K871" s="66"/>
      <c r="L871" s="66"/>
      <c r="M871" s="66"/>
      <c r="N871" s="66"/>
      <c r="O871" s="66"/>
      <c r="P871" s="66"/>
      <c r="Q871" s="66"/>
      <c r="R871" s="66"/>
      <c r="S871" s="66"/>
      <c r="T871" s="66"/>
      <c r="U871" s="66"/>
    </row>
    <row r="872" ht="15.75" customHeight="1">
      <c r="A872" s="66"/>
      <c r="B872" s="66"/>
      <c r="C872" s="66"/>
      <c r="D872" s="66"/>
      <c r="E872" s="66"/>
      <c r="F872" s="66"/>
      <c r="G872" s="66"/>
      <c r="H872" s="66"/>
      <c r="I872" s="66"/>
      <c r="J872" s="66"/>
      <c r="K872" s="66"/>
      <c r="L872" s="66"/>
      <c r="M872" s="66"/>
      <c r="N872" s="66"/>
      <c r="O872" s="66"/>
      <c r="P872" s="66"/>
      <c r="Q872" s="66"/>
      <c r="R872" s="66"/>
      <c r="S872" s="66"/>
      <c r="T872" s="66"/>
      <c r="U872" s="66"/>
    </row>
    <row r="873" ht="15.75" customHeight="1">
      <c r="A873" s="66"/>
      <c r="B873" s="66"/>
      <c r="C873" s="66"/>
      <c r="D873" s="66"/>
      <c r="E873" s="66"/>
      <c r="F873" s="66"/>
      <c r="G873" s="66"/>
      <c r="H873" s="66"/>
      <c r="I873" s="66"/>
      <c r="J873" s="66"/>
      <c r="K873" s="66"/>
      <c r="L873" s="66"/>
      <c r="M873" s="66"/>
      <c r="N873" s="66"/>
      <c r="O873" s="66"/>
      <c r="P873" s="66"/>
      <c r="Q873" s="66"/>
      <c r="R873" s="66"/>
      <c r="S873" s="66"/>
      <c r="T873" s="66"/>
      <c r="U873" s="66"/>
    </row>
    <row r="874" ht="15.75" customHeight="1">
      <c r="A874" s="66"/>
      <c r="B874" s="66"/>
      <c r="C874" s="66"/>
      <c r="D874" s="66"/>
      <c r="E874" s="66"/>
      <c r="F874" s="66"/>
      <c r="G874" s="66"/>
      <c r="H874" s="66"/>
      <c r="I874" s="66"/>
      <c r="J874" s="66"/>
      <c r="K874" s="66"/>
      <c r="L874" s="66"/>
      <c r="M874" s="66"/>
      <c r="N874" s="66"/>
      <c r="O874" s="66"/>
      <c r="P874" s="66"/>
      <c r="Q874" s="66"/>
      <c r="R874" s="66"/>
      <c r="S874" s="66"/>
      <c r="T874" s="66"/>
      <c r="U874" s="66"/>
    </row>
    <row r="875" ht="15.75" customHeight="1">
      <c r="A875" s="66"/>
      <c r="B875" s="66"/>
      <c r="C875" s="66"/>
      <c r="D875" s="66"/>
      <c r="E875" s="66"/>
      <c r="F875" s="66"/>
      <c r="G875" s="66"/>
      <c r="H875" s="66"/>
      <c r="I875" s="66"/>
      <c r="J875" s="66"/>
      <c r="K875" s="66"/>
      <c r="L875" s="66"/>
      <c r="M875" s="66"/>
      <c r="N875" s="66"/>
      <c r="O875" s="66"/>
      <c r="P875" s="66"/>
      <c r="Q875" s="66"/>
      <c r="R875" s="66"/>
      <c r="S875" s="66"/>
      <c r="T875" s="66"/>
      <c r="U875" s="66"/>
    </row>
    <row r="876" ht="15.75" customHeight="1">
      <c r="A876" s="66"/>
      <c r="B876" s="66"/>
      <c r="C876" s="66"/>
      <c r="D876" s="66"/>
      <c r="E876" s="66"/>
      <c r="F876" s="66"/>
      <c r="G876" s="66"/>
      <c r="H876" s="66"/>
      <c r="I876" s="66"/>
      <c r="J876" s="66"/>
      <c r="K876" s="66"/>
      <c r="L876" s="66"/>
      <c r="M876" s="66"/>
      <c r="N876" s="66"/>
      <c r="O876" s="66"/>
      <c r="P876" s="66"/>
      <c r="Q876" s="66"/>
      <c r="R876" s="66"/>
      <c r="S876" s="66"/>
      <c r="T876" s="66"/>
      <c r="U876" s="66"/>
    </row>
    <row r="877" ht="15.75" customHeight="1">
      <c r="A877" s="66"/>
      <c r="B877" s="66"/>
      <c r="C877" s="66"/>
      <c r="D877" s="66"/>
      <c r="E877" s="66"/>
      <c r="F877" s="66"/>
      <c r="G877" s="66"/>
      <c r="H877" s="66"/>
      <c r="I877" s="66"/>
      <c r="J877" s="66"/>
      <c r="K877" s="66"/>
      <c r="L877" s="66"/>
      <c r="M877" s="66"/>
      <c r="N877" s="66"/>
      <c r="O877" s="66"/>
      <c r="P877" s="66"/>
      <c r="Q877" s="66"/>
      <c r="R877" s="66"/>
      <c r="S877" s="66"/>
      <c r="T877" s="66"/>
      <c r="U877" s="66"/>
    </row>
    <row r="878" ht="15.75" customHeight="1">
      <c r="A878" s="66"/>
      <c r="B878" s="66"/>
      <c r="C878" s="66"/>
      <c r="D878" s="66"/>
      <c r="E878" s="66"/>
      <c r="F878" s="66"/>
      <c r="G878" s="66"/>
      <c r="H878" s="66"/>
      <c r="I878" s="66"/>
      <c r="J878" s="66"/>
      <c r="K878" s="66"/>
      <c r="L878" s="66"/>
      <c r="M878" s="66"/>
      <c r="N878" s="66"/>
      <c r="O878" s="66"/>
      <c r="P878" s="66"/>
      <c r="Q878" s="66"/>
      <c r="R878" s="66"/>
      <c r="S878" s="66"/>
      <c r="T878" s="66"/>
      <c r="U878" s="66"/>
    </row>
    <row r="879" ht="15.75" customHeight="1">
      <c r="A879" s="66"/>
      <c r="B879" s="66"/>
      <c r="C879" s="66"/>
      <c r="D879" s="66"/>
      <c r="E879" s="66"/>
      <c r="F879" s="66"/>
      <c r="G879" s="66"/>
      <c r="H879" s="66"/>
      <c r="I879" s="66"/>
      <c r="J879" s="66"/>
      <c r="K879" s="66"/>
      <c r="L879" s="66"/>
      <c r="M879" s="66"/>
      <c r="N879" s="66"/>
      <c r="O879" s="66"/>
      <c r="P879" s="66"/>
      <c r="Q879" s="66"/>
      <c r="R879" s="66"/>
      <c r="S879" s="66"/>
      <c r="T879" s="66"/>
      <c r="U879" s="66"/>
    </row>
    <row r="880" ht="15.75" customHeight="1">
      <c r="A880" s="66"/>
      <c r="B880" s="66"/>
      <c r="C880" s="66"/>
      <c r="D880" s="66"/>
      <c r="E880" s="66"/>
      <c r="F880" s="66"/>
      <c r="G880" s="66"/>
      <c r="H880" s="66"/>
      <c r="I880" s="66"/>
      <c r="J880" s="66"/>
      <c r="K880" s="66"/>
      <c r="L880" s="66"/>
      <c r="M880" s="66"/>
      <c r="N880" s="66"/>
      <c r="O880" s="66"/>
      <c r="P880" s="66"/>
      <c r="Q880" s="66"/>
      <c r="R880" s="66"/>
      <c r="S880" s="66"/>
      <c r="T880" s="66"/>
      <c r="U880" s="66"/>
    </row>
    <row r="881" ht="15.75" customHeight="1">
      <c r="A881" s="66"/>
      <c r="B881" s="66"/>
      <c r="C881" s="66"/>
      <c r="D881" s="66"/>
      <c r="E881" s="66"/>
      <c r="F881" s="66"/>
      <c r="G881" s="66"/>
      <c r="H881" s="66"/>
      <c r="I881" s="66"/>
      <c r="J881" s="66"/>
      <c r="K881" s="66"/>
      <c r="L881" s="66"/>
      <c r="M881" s="66"/>
      <c r="N881" s="66"/>
      <c r="O881" s="66"/>
      <c r="P881" s="66"/>
      <c r="Q881" s="66"/>
      <c r="R881" s="66"/>
      <c r="S881" s="66"/>
      <c r="T881" s="66"/>
      <c r="U881" s="66"/>
    </row>
    <row r="882" ht="15.75" customHeight="1">
      <c r="A882" s="66"/>
      <c r="B882" s="66"/>
      <c r="C882" s="66"/>
      <c r="D882" s="66"/>
      <c r="E882" s="66"/>
      <c r="F882" s="66"/>
      <c r="G882" s="66"/>
      <c r="H882" s="66"/>
      <c r="I882" s="66"/>
      <c r="J882" s="66"/>
      <c r="K882" s="66"/>
      <c r="L882" s="66"/>
      <c r="M882" s="66"/>
      <c r="N882" s="66"/>
      <c r="O882" s="66"/>
      <c r="P882" s="66"/>
      <c r="Q882" s="66"/>
      <c r="R882" s="66"/>
      <c r="S882" s="66"/>
      <c r="T882" s="66"/>
      <c r="U882" s="66"/>
    </row>
    <row r="883" ht="15.75" customHeight="1">
      <c r="A883" s="66"/>
      <c r="B883" s="66"/>
      <c r="C883" s="66"/>
      <c r="D883" s="66"/>
      <c r="E883" s="66"/>
      <c r="F883" s="66"/>
      <c r="G883" s="66"/>
      <c r="H883" s="66"/>
      <c r="I883" s="66"/>
      <c r="J883" s="66"/>
      <c r="K883" s="66"/>
      <c r="L883" s="66"/>
      <c r="M883" s="66"/>
      <c r="N883" s="66"/>
      <c r="O883" s="66"/>
      <c r="P883" s="66"/>
      <c r="Q883" s="66"/>
      <c r="R883" s="66"/>
      <c r="S883" s="66"/>
      <c r="T883" s="66"/>
      <c r="U883" s="66"/>
    </row>
    <row r="884" ht="15.75" customHeight="1">
      <c r="A884" s="66"/>
      <c r="B884" s="66"/>
      <c r="C884" s="66"/>
      <c r="D884" s="66"/>
      <c r="E884" s="66"/>
      <c r="F884" s="66"/>
      <c r="G884" s="66"/>
      <c r="H884" s="66"/>
      <c r="I884" s="66"/>
      <c r="J884" s="66"/>
      <c r="K884" s="66"/>
      <c r="L884" s="66"/>
      <c r="M884" s="66"/>
      <c r="N884" s="66"/>
      <c r="O884" s="66"/>
      <c r="P884" s="66"/>
      <c r="Q884" s="66"/>
      <c r="R884" s="66"/>
      <c r="S884" s="66"/>
      <c r="T884" s="66"/>
      <c r="U884" s="66"/>
    </row>
    <row r="885" ht="15.75" customHeight="1">
      <c r="A885" s="66"/>
      <c r="B885" s="66"/>
      <c r="C885" s="66"/>
      <c r="D885" s="66"/>
      <c r="E885" s="66"/>
      <c r="F885" s="66"/>
      <c r="G885" s="66"/>
      <c r="H885" s="66"/>
      <c r="I885" s="66"/>
      <c r="J885" s="66"/>
      <c r="K885" s="66"/>
      <c r="L885" s="66"/>
      <c r="M885" s="66"/>
      <c r="N885" s="66"/>
      <c r="O885" s="66"/>
      <c r="P885" s="66"/>
      <c r="Q885" s="66"/>
      <c r="R885" s="66"/>
      <c r="S885" s="66"/>
      <c r="T885" s="66"/>
      <c r="U885" s="66"/>
    </row>
    <row r="886" ht="15.75" customHeight="1">
      <c r="A886" s="66"/>
      <c r="B886" s="66"/>
      <c r="C886" s="66"/>
      <c r="D886" s="66"/>
      <c r="E886" s="66"/>
      <c r="F886" s="66"/>
      <c r="G886" s="66"/>
      <c r="H886" s="66"/>
      <c r="I886" s="66"/>
      <c r="J886" s="66"/>
      <c r="K886" s="66"/>
      <c r="L886" s="66"/>
      <c r="M886" s="66"/>
      <c r="N886" s="66"/>
      <c r="O886" s="66"/>
      <c r="P886" s="66"/>
      <c r="Q886" s="66"/>
      <c r="R886" s="66"/>
      <c r="S886" s="66"/>
      <c r="T886" s="66"/>
      <c r="U886" s="66"/>
    </row>
    <row r="887" ht="15.75" customHeight="1">
      <c r="A887" s="66"/>
      <c r="B887" s="66"/>
      <c r="C887" s="66"/>
      <c r="D887" s="66"/>
      <c r="E887" s="66"/>
      <c r="F887" s="66"/>
      <c r="G887" s="66"/>
      <c r="H887" s="66"/>
      <c r="I887" s="66"/>
      <c r="J887" s="66"/>
      <c r="K887" s="66"/>
      <c r="L887" s="66"/>
      <c r="M887" s="66"/>
      <c r="N887" s="66"/>
      <c r="O887" s="66"/>
      <c r="P887" s="66"/>
      <c r="Q887" s="66"/>
      <c r="R887" s="66"/>
      <c r="S887" s="66"/>
      <c r="T887" s="66"/>
      <c r="U887" s="66"/>
    </row>
    <row r="888" ht="15.75" customHeight="1">
      <c r="A888" s="66"/>
      <c r="B888" s="66"/>
      <c r="C888" s="66"/>
      <c r="D888" s="66"/>
      <c r="E888" s="66"/>
      <c r="F888" s="66"/>
      <c r="G888" s="66"/>
      <c r="H888" s="66"/>
      <c r="I888" s="66"/>
      <c r="J888" s="66"/>
      <c r="K888" s="66"/>
      <c r="L888" s="66"/>
      <c r="M888" s="66"/>
      <c r="N888" s="66"/>
      <c r="O888" s="66"/>
      <c r="P888" s="66"/>
      <c r="Q888" s="66"/>
      <c r="R888" s="66"/>
      <c r="S888" s="66"/>
      <c r="T888" s="66"/>
      <c r="U888" s="66"/>
    </row>
    <row r="889" ht="15.75" customHeight="1">
      <c r="A889" s="66"/>
      <c r="B889" s="66"/>
      <c r="C889" s="66"/>
      <c r="D889" s="66"/>
      <c r="E889" s="66"/>
      <c r="F889" s="66"/>
      <c r="G889" s="66"/>
      <c r="H889" s="66"/>
      <c r="I889" s="66"/>
      <c r="J889" s="66"/>
      <c r="K889" s="66"/>
      <c r="L889" s="66"/>
      <c r="M889" s="66"/>
      <c r="N889" s="66"/>
      <c r="O889" s="66"/>
      <c r="P889" s="66"/>
      <c r="Q889" s="66"/>
      <c r="R889" s="66"/>
      <c r="S889" s="66"/>
      <c r="T889" s="66"/>
      <c r="U889" s="66"/>
    </row>
    <row r="890" ht="15.75" customHeight="1">
      <c r="A890" s="66"/>
      <c r="B890" s="66"/>
      <c r="C890" s="66"/>
      <c r="D890" s="66"/>
      <c r="E890" s="66"/>
      <c r="F890" s="66"/>
      <c r="G890" s="66"/>
      <c r="H890" s="66"/>
      <c r="I890" s="66"/>
      <c r="J890" s="66"/>
      <c r="K890" s="66"/>
      <c r="L890" s="66"/>
      <c r="M890" s="66"/>
      <c r="N890" s="66"/>
      <c r="O890" s="66"/>
      <c r="P890" s="66"/>
      <c r="Q890" s="66"/>
      <c r="R890" s="66"/>
      <c r="S890" s="66"/>
      <c r="T890" s="66"/>
      <c r="U890" s="66"/>
    </row>
    <row r="891" ht="15.75" customHeight="1">
      <c r="A891" s="66"/>
      <c r="B891" s="66"/>
      <c r="C891" s="66"/>
      <c r="D891" s="66"/>
      <c r="E891" s="66"/>
      <c r="F891" s="66"/>
      <c r="G891" s="66"/>
      <c r="H891" s="66"/>
      <c r="I891" s="66"/>
      <c r="J891" s="66"/>
      <c r="K891" s="66"/>
      <c r="L891" s="66"/>
      <c r="M891" s="66"/>
      <c r="N891" s="66"/>
      <c r="O891" s="66"/>
      <c r="P891" s="66"/>
      <c r="Q891" s="66"/>
      <c r="R891" s="66"/>
      <c r="S891" s="66"/>
      <c r="T891" s="66"/>
      <c r="U891" s="66"/>
    </row>
    <row r="892" ht="15.75" customHeight="1">
      <c r="A892" s="66"/>
      <c r="B892" s="66"/>
      <c r="C892" s="66"/>
      <c r="D892" s="66"/>
      <c r="E892" s="66"/>
      <c r="F892" s="66"/>
      <c r="G892" s="66"/>
      <c r="H892" s="66"/>
      <c r="I892" s="66"/>
      <c r="J892" s="66"/>
      <c r="K892" s="66"/>
      <c r="L892" s="66"/>
      <c r="M892" s="66"/>
      <c r="N892" s="66"/>
      <c r="O892" s="66"/>
      <c r="P892" s="66"/>
      <c r="Q892" s="66"/>
      <c r="R892" s="66"/>
      <c r="S892" s="66"/>
      <c r="T892" s="66"/>
      <c r="U892" s="66"/>
    </row>
    <row r="893" ht="15.75" customHeight="1">
      <c r="A893" s="66"/>
      <c r="B893" s="66"/>
      <c r="C893" s="66"/>
      <c r="D893" s="66"/>
      <c r="E893" s="66"/>
      <c r="F893" s="66"/>
      <c r="G893" s="66"/>
      <c r="H893" s="66"/>
      <c r="I893" s="66"/>
      <c r="J893" s="66"/>
      <c r="K893" s="66"/>
      <c r="L893" s="66"/>
      <c r="M893" s="66"/>
      <c r="N893" s="66"/>
      <c r="O893" s="66"/>
      <c r="P893" s="66"/>
      <c r="Q893" s="66"/>
      <c r="R893" s="66"/>
      <c r="S893" s="66"/>
      <c r="T893" s="66"/>
      <c r="U893" s="66"/>
    </row>
    <row r="894" ht="15.75" customHeight="1">
      <c r="A894" s="66"/>
      <c r="B894" s="66"/>
      <c r="C894" s="66"/>
      <c r="D894" s="66"/>
      <c r="E894" s="66"/>
      <c r="F894" s="66"/>
      <c r="G894" s="66"/>
      <c r="H894" s="66"/>
      <c r="I894" s="66"/>
      <c r="J894" s="66"/>
      <c r="K894" s="66"/>
      <c r="L894" s="66"/>
      <c r="M894" s="66"/>
      <c r="N894" s="66"/>
      <c r="O894" s="66"/>
      <c r="P894" s="66"/>
      <c r="Q894" s="66"/>
      <c r="R894" s="66"/>
      <c r="S894" s="66"/>
      <c r="T894" s="66"/>
      <c r="U894" s="66"/>
    </row>
    <row r="895" ht="15.75" customHeight="1">
      <c r="A895" s="66"/>
      <c r="B895" s="66"/>
      <c r="C895" s="66"/>
      <c r="D895" s="66"/>
      <c r="E895" s="66"/>
      <c r="F895" s="66"/>
      <c r="G895" s="66"/>
      <c r="H895" s="66"/>
      <c r="I895" s="66"/>
      <c r="J895" s="66"/>
      <c r="K895" s="66"/>
      <c r="L895" s="66"/>
      <c r="M895" s="66"/>
      <c r="N895" s="66"/>
      <c r="O895" s="66"/>
      <c r="P895" s="66"/>
      <c r="Q895" s="66"/>
      <c r="R895" s="66"/>
      <c r="S895" s="66"/>
      <c r="T895" s="66"/>
      <c r="U895" s="66"/>
    </row>
    <row r="896" ht="15.75" customHeight="1">
      <c r="A896" s="66"/>
      <c r="B896" s="66"/>
      <c r="C896" s="66"/>
      <c r="D896" s="66"/>
      <c r="E896" s="66"/>
      <c r="F896" s="66"/>
      <c r="G896" s="66"/>
      <c r="H896" s="66"/>
      <c r="I896" s="66"/>
      <c r="J896" s="66"/>
      <c r="K896" s="66"/>
      <c r="L896" s="66"/>
      <c r="M896" s="66"/>
      <c r="N896" s="66"/>
      <c r="O896" s="66"/>
      <c r="P896" s="66"/>
      <c r="Q896" s="66"/>
      <c r="R896" s="66"/>
      <c r="S896" s="66"/>
      <c r="T896" s="66"/>
      <c r="U896" s="66"/>
    </row>
    <row r="897" ht="15.75" customHeight="1">
      <c r="A897" s="66"/>
      <c r="B897" s="66"/>
      <c r="C897" s="66"/>
      <c r="D897" s="66"/>
      <c r="E897" s="66"/>
      <c r="F897" s="66"/>
      <c r="G897" s="66"/>
      <c r="H897" s="66"/>
      <c r="I897" s="66"/>
      <c r="J897" s="66"/>
      <c r="K897" s="66"/>
      <c r="L897" s="66"/>
      <c r="M897" s="66"/>
      <c r="N897" s="66"/>
      <c r="O897" s="66"/>
      <c r="P897" s="66"/>
      <c r="Q897" s="66"/>
      <c r="R897" s="66"/>
      <c r="S897" s="66"/>
      <c r="T897" s="66"/>
      <c r="U897" s="66"/>
    </row>
    <row r="898" ht="15.75" customHeight="1">
      <c r="A898" s="66"/>
      <c r="B898" s="66"/>
      <c r="C898" s="66"/>
      <c r="D898" s="66"/>
      <c r="E898" s="66"/>
      <c r="F898" s="66"/>
      <c r="G898" s="66"/>
      <c r="H898" s="66"/>
      <c r="I898" s="66"/>
      <c r="J898" s="66"/>
      <c r="K898" s="66"/>
      <c r="L898" s="66"/>
      <c r="M898" s="66"/>
      <c r="N898" s="66"/>
      <c r="O898" s="66"/>
      <c r="P898" s="66"/>
      <c r="Q898" s="66"/>
      <c r="R898" s="66"/>
      <c r="S898" s="66"/>
      <c r="T898" s="66"/>
      <c r="U898" s="66"/>
    </row>
    <row r="899" ht="15.75" customHeight="1">
      <c r="A899" s="66"/>
      <c r="B899" s="66"/>
      <c r="C899" s="66"/>
      <c r="D899" s="66"/>
      <c r="E899" s="66"/>
      <c r="F899" s="66"/>
      <c r="G899" s="66"/>
      <c r="H899" s="66"/>
      <c r="I899" s="66"/>
      <c r="J899" s="66"/>
      <c r="K899" s="66"/>
      <c r="L899" s="66"/>
      <c r="M899" s="66"/>
      <c r="N899" s="66"/>
      <c r="O899" s="66"/>
      <c r="P899" s="66"/>
      <c r="Q899" s="66"/>
      <c r="R899" s="66"/>
      <c r="S899" s="66"/>
      <c r="T899" s="66"/>
      <c r="U899" s="66"/>
    </row>
    <row r="900" ht="15.75" customHeight="1">
      <c r="A900" s="66"/>
      <c r="B900" s="66"/>
      <c r="C900" s="66"/>
      <c r="D900" s="66"/>
      <c r="E900" s="66"/>
      <c r="F900" s="66"/>
      <c r="G900" s="66"/>
      <c r="H900" s="66"/>
      <c r="I900" s="66"/>
      <c r="J900" s="66"/>
      <c r="K900" s="66"/>
      <c r="L900" s="66"/>
      <c r="M900" s="66"/>
      <c r="N900" s="66"/>
      <c r="O900" s="66"/>
      <c r="P900" s="66"/>
      <c r="Q900" s="66"/>
      <c r="R900" s="66"/>
      <c r="S900" s="66"/>
      <c r="T900" s="66"/>
      <c r="U900" s="66"/>
    </row>
    <row r="901" ht="15.75" customHeight="1">
      <c r="A901" s="66"/>
      <c r="B901" s="66"/>
      <c r="C901" s="66"/>
      <c r="D901" s="66"/>
      <c r="E901" s="66"/>
      <c r="F901" s="66"/>
      <c r="G901" s="66"/>
      <c r="H901" s="66"/>
      <c r="I901" s="66"/>
      <c r="J901" s="66"/>
      <c r="K901" s="66"/>
      <c r="L901" s="66"/>
      <c r="M901" s="66"/>
      <c r="N901" s="66"/>
      <c r="O901" s="66"/>
      <c r="P901" s="66"/>
      <c r="Q901" s="66"/>
      <c r="R901" s="66"/>
      <c r="S901" s="66"/>
      <c r="T901" s="66"/>
      <c r="U901" s="66"/>
    </row>
    <row r="902" ht="15.75" customHeight="1">
      <c r="A902" s="66"/>
      <c r="B902" s="66"/>
      <c r="C902" s="66"/>
      <c r="D902" s="66"/>
      <c r="E902" s="66"/>
      <c r="F902" s="66"/>
      <c r="G902" s="66"/>
      <c r="H902" s="66"/>
      <c r="I902" s="66"/>
      <c r="J902" s="66"/>
      <c r="K902" s="66"/>
      <c r="L902" s="66"/>
      <c r="M902" s="66"/>
      <c r="N902" s="66"/>
      <c r="O902" s="66"/>
      <c r="P902" s="66"/>
      <c r="Q902" s="66"/>
      <c r="R902" s="66"/>
      <c r="S902" s="66"/>
      <c r="T902" s="66"/>
      <c r="U902" s="66"/>
    </row>
    <row r="903" ht="15.75" customHeight="1">
      <c r="A903" s="66"/>
      <c r="B903" s="66"/>
      <c r="C903" s="66"/>
      <c r="D903" s="66"/>
      <c r="E903" s="66"/>
      <c r="F903" s="66"/>
      <c r="G903" s="66"/>
      <c r="H903" s="66"/>
      <c r="I903" s="66"/>
      <c r="J903" s="66"/>
      <c r="K903" s="66"/>
      <c r="L903" s="66"/>
      <c r="M903" s="66"/>
      <c r="N903" s="66"/>
      <c r="O903" s="66"/>
      <c r="P903" s="66"/>
      <c r="Q903" s="66"/>
      <c r="R903" s="66"/>
      <c r="S903" s="66"/>
      <c r="T903" s="66"/>
      <c r="U903" s="66"/>
    </row>
    <row r="904" ht="15.75" customHeight="1">
      <c r="A904" s="66"/>
      <c r="B904" s="66"/>
      <c r="C904" s="66"/>
      <c r="D904" s="66"/>
      <c r="E904" s="66"/>
      <c r="F904" s="66"/>
      <c r="G904" s="66"/>
      <c r="H904" s="66"/>
      <c r="I904" s="66"/>
      <c r="J904" s="66"/>
      <c r="K904" s="66"/>
      <c r="L904" s="66"/>
      <c r="M904" s="66"/>
      <c r="N904" s="66"/>
      <c r="O904" s="66"/>
      <c r="P904" s="66"/>
      <c r="Q904" s="66"/>
      <c r="R904" s="66"/>
      <c r="S904" s="66"/>
      <c r="T904" s="66"/>
      <c r="U904" s="66"/>
    </row>
    <row r="905" ht="15.75" customHeight="1">
      <c r="A905" s="66"/>
      <c r="B905" s="66"/>
      <c r="C905" s="66"/>
      <c r="D905" s="66"/>
      <c r="E905" s="66"/>
      <c r="F905" s="66"/>
      <c r="G905" s="66"/>
      <c r="H905" s="66"/>
      <c r="I905" s="66"/>
      <c r="J905" s="66"/>
      <c r="K905" s="66"/>
      <c r="L905" s="66"/>
      <c r="M905" s="66"/>
      <c r="N905" s="66"/>
      <c r="O905" s="66"/>
      <c r="P905" s="66"/>
      <c r="Q905" s="66"/>
      <c r="R905" s="66"/>
      <c r="S905" s="66"/>
      <c r="T905" s="66"/>
      <c r="U905" s="66"/>
    </row>
    <row r="906" ht="15.75" customHeight="1">
      <c r="A906" s="66"/>
      <c r="B906" s="66"/>
      <c r="C906" s="66"/>
      <c r="D906" s="66"/>
      <c r="E906" s="66"/>
      <c r="F906" s="66"/>
      <c r="G906" s="66"/>
      <c r="H906" s="66"/>
      <c r="I906" s="66"/>
      <c r="J906" s="66"/>
      <c r="K906" s="66"/>
      <c r="L906" s="66"/>
      <c r="M906" s="66"/>
      <c r="N906" s="66"/>
      <c r="O906" s="66"/>
      <c r="P906" s="66"/>
      <c r="Q906" s="66"/>
      <c r="R906" s="66"/>
      <c r="S906" s="66"/>
      <c r="T906" s="66"/>
      <c r="U906" s="66"/>
    </row>
    <row r="907" ht="15.75" customHeight="1">
      <c r="A907" s="66"/>
      <c r="B907" s="66"/>
      <c r="C907" s="66"/>
      <c r="D907" s="66"/>
      <c r="E907" s="66"/>
      <c r="F907" s="66"/>
      <c r="G907" s="66"/>
      <c r="H907" s="66"/>
      <c r="I907" s="66"/>
      <c r="J907" s="66"/>
      <c r="K907" s="66"/>
      <c r="L907" s="66"/>
      <c r="M907" s="66"/>
      <c r="N907" s="66"/>
      <c r="O907" s="66"/>
      <c r="P907" s="66"/>
      <c r="Q907" s="66"/>
      <c r="R907" s="66"/>
      <c r="S907" s="66"/>
      <c r="T907" s="66"/>
      <c r="U907" s="66"/>
    </row>
    <row r="908" ht="15.75" customHeight="1">
      <c r="A908" s="66"/>
      <c r="B908" s="66"/>
      <c r="C908" s="66"/>
      <c r="D908" s="66"/>
      <c r="E908" s="66"/>
      <c r="F908" s="66"/>
      <c r="G908" s="66"/>
      <c r="H908" s="66"/>
      <c r="I908" s="66"/>
      <c r="J908" s="66"/>
      <c r="K908" s="66"/>
      <c r="L908" s="66"/>
      <c r="M908" s="66"/>
      <c r="N908" s="66"/>
      <c r="O908" s="66"/>
      <c r="P908" s="66"/>
      <c r="Q908" s="66"/>
      <c r="R908" s="66"/>
      <c r="S908" s="66"/>
      <c r="T908" s="66"/>
      <c r="U908" s="66"/>
    </row>
    <row r="909" ht="15.75" customHeight="1">
      <c r="A909" s="66"/>
      <c r="B909" s="66"/>
      <c r="C909" s="66"/>
      <c r="D909" s="66"/>
      <c r="E909" s="66"/>
      <c r="F909" s="66"/>
      <c r="G909" s="66"/>
      <c r="H909" s="66"/>
      <c r="I909" s="66"/>
      <c r="J909" s="66"/>
      <c r="K909" s="66"/>
      <c r="L909" s="66"/>
      <c r="M909" s="66"/>
      <c r="N909" s="66"/>
      <c r="O909" s="66"/>
      <c r="P909" s="66"/>
      <c r="Q909" s="66"/>
      <c r="R909" s="66"/>
      <c r="S909" s="66"/>
      <c r="T909" s="66"/>
      <c r="U909" s="66"/>
    </row>
    <row r="910" ht="15.75" customHeight="1">
      <c r="A910" s="66"/>
      <c r="B910" s="66"/>
      <c r="C910" s="66"/>
      <c r="D910" s="66"/>
      <c r="E910" s="66"/>
      <c r="F910" s="66"/>
      <c r="G910" s="66"/>
      <c r="H910" s="66"/>
      <c r="I910" s="66"/>
      <c r="J910" s="66"/>
      <c r="K910" s="66"/>
      <c r="L910" s="66"/>
      <c r="M910" s="66"/>
      <c r="N910" s="66"/>
      <c r="O910" s="66"/>
      <c r="P910" s="66"/>
      <c r="Q910" s="66"/>
      <c r="R910" s="66"/>
      <c r="S910" s="66"/>
      <c r="T910" s="66"/>
      <c r="U910" s="66"/>
    </row>
    <row r="911" ht="15.75" customHeight="1">
      <c r="A911" s="66"/>
      <c r="B911" s="66"/>
      <c r="C911" s="66"/>
      <c r="D911" s="66"/>
      <c r="E911" s="66"/>
      <c r="F911" s="66"/>
      <c r="G911" s="66"/>
      <c r="H911" s="66"/>
      <c r="I911" s="66"/>
      <c r="J911" s="66"/>
      <c r="K911" s="66"/>
      <c r="L911" s="66"/>
      <c r="M911" s="66"/>
      <c r="N911" s="66"/>
      <c r="O911" s="66"/>
      <c r="P911" s="66"/>
      <c r="Q911" s="66"/>
      <c r="R911" s="66"/>
      <c r="S911" s="66"/>
      <c r="T911" s="66"/>
      <c r="U911" s="66"/>
    </row>
    <row r="912" ht="15.75" customHeight="1">
      <c r="A912" s="66"/>
      <c r="B912" s="66"/>
      <c r="C912" s="66"/>
      <c r="D912" s="66"/>
      <c r="E912" s="66"/>
      <c r="F912" s="66"/>
      <c r="G912" s="66"/>
      <c r="H912" s="66"/>
      <c r="I912" s="66"/>
      <c r="J912" s="66"/>
      <c r="K912" s="66"/>
      <c r="L912" s="66"/>
      <c r="M912" s="66"/>
      <c r="N912" s="66"/>
      <c r="O912" s="66"/>
      <c r="P912" s="66"/>
      <c r="Q912" s="66"/>
      <c r="R912" s="66"/>
      <c r="S912" s="66"/>
      <c r="T912" s="66"/>
      <c r="U912" s="66"/>
    </row>
    <row r="913" ht="15.75" customHeight="1">
      <c r="A913" s="66"/>
      <c r="B913" s="66"/>
      <c r="C913" s="66"/>
      <c r="D913" s="66"/>
      <c r="E913" s="66"/>
      <c r="F913" s="66"/>
      <c r="G913" s="66"/>
      <c r="H913" s="66"/>
      <c r="I913" s="66"/>
      <c r="J913" s="66"/>
      <c r="K913" s="66"/>
      <c r="L913" s="66"/>
      <c r="M913" s="66"/>
      <c r="N913" s="66"/>
      <c r="O913" s="66"/>
      <c r="P913" s="66"/>
      <c r="Q913" s="66"/>
      <c r="R913" s="66"/>
      <c r="S913" s="66"/>
      <c r="T913" s="66"/>
      <c r="U913" s="66"/>
    </row>
    <row r="914" ht="15.75" customHeight="1">
      <c r="A914" s="66"/>
      <c r="B914" s="66"/>
      <c r="C914" s="66"/>
      <c r="D914" s="66"/>
      <c r="E914" s="66"/>
      <c r="F914" s="66"/>
      <c r="G914" s="66"/>
      <c r="H914" s="66"/>
      <c r="I914" s="66"/>
      <c r="J914" s="66"/>
      <c r="K914" s="66"/>
      <c r="L914" s="66"/>
      <c r="M914" s="66"/>
      <c r="N914" s="66"/>
      <c r="O914" s="66"/>
      <c r="P914" s="66"/>
      <c r="Q914" s="66"/>
      <c r="R914" s="66"/>
      <c r="S914" s="66"/>
      <c r="T914" s="66"/>
      <c r="U914" s="66"/>
    </row>
    <row r="915" ht="15.75" customHeight="1">
      <c r="A915" s="66"/>
      <c r="B915" s="66"/>
      <c r="C915" s="66"/>
      <c r="D915" s="66"/>
      <c r="E915" s="66"/>
      <c r="F915" s="66"/>
      <c r="G915" s="66"/>
      <c r="H915" s="66"/>
      <c r="I915" s="66"/>
      <c r="J915" s="66"/>
      <c r="K915" s="66"/>
      <c r="L915" s="66"/>
      <c r="M915" s="66"/>
      <c r="N915" s="66"/>
      <c r="O915" s="66"/>
      <c r="P915" s="66"/>
      <c r="Q915" s="66"/>
      <c r="R915" s="66"/>
      <c r="S915" s="66"/>
      <c r="T915" s="66"/>
      <c r="U915" s="66"/>
    </row>
    <row r="916" ht="15.75" customHeight="1">
      <c r="A916" s="66"/>
      <c r="B916" s="66"/>
      <c r="C916" s="66"/>
      <c r="D916" s="66"/>
      <c r="E916" s="66"/>
      <c r="F916" s="66"/>
      <c r="G916" s="66"/>
      <c r="H916" s="66"/>
      <c r="I916" s="66"/>
      <c r="J916" s="66"/>
      <c r="K916" s="66"/>
      <c r="L916" s="66"/>
      <c r="M916" s="66"/>
      <c r="N916" s="66"/>
      <c r="O916" s="66"/>
      <c r="P916" s="66"/>
      <c r="Q916" s="66"/>
      <c r="R916" s="66"/>
      <c r="S916" s="66"/>
      <c r="T916" s="66"/>
      <c r="U916" s="66"/>
    </row>
    <row r="917" ht="15.75" customHeight="1">
      <c r="A917" s="66"/>
      <c r="B917" s="66"/>
      <c r="C917" s="66"/>
      <c r="D917" s="66"/>
      <c r="E917" s="66"/>
      <c r="F917" s="66"/>
      <c r="G917" s="66"/>
      <c r="H917" s="66"/>
      <c r="I917" s="66"/>
      <c r="J917" s="66"/>
      <c r="K917" s="66"/>
      <c r="L917" s="66"/>
      <c r="M917" s="66"/>
      <c r="N917" s="66"/>
      <c r="O917" s="66"/>
      <c r="P917" s="66"/>
      <c r="Q917" s="66"/>
      <c r="R917" s="66"/>
      <c r="S917" s="66"/>
      <c r="T917" s="66"/>
      <c r="U917" s="66"/>
    </row>
    <row r="918" ht="15.75" customHeight="1">
      <c r="A918" s="66"/>
      <c r="B918" s="66"/>
      <c r="C918" s="66"/>
      <c r="D918" s="66"/>
      <c r="E918" s="66"/>
      <c r="F918" s="66"/>
      <c r="G918" s="66"/>
      <c r="H918" s="66"/>
      <c r="I918" s="66"/>
      <c r="J918" s="66"/>
      <c r="K918" s="66"/>
      <c r="L918" s="66"/>
      <c r="M918" s="66"/>
      <c r="N918" s="66"/>
      <c r="O918" s="66"/>
      <c r="P918" s="66"/>
      <c r="Q918" s="66"/>
      <c r="R918" s="66"/>
      <c r="S918" s="66"/>
      <c r="T918" s="66"/>
      <c r="U918" s="66"/>
    </row>
    <row r="919" ht="15.75" customHeight="1">
      <c r="A919" s="66"/>
      <c r="B919" s="66"/>
      <c r="C919" s="66"/>
      <c r="D919" s="66"/>
      <c r="E919" s="66"/>
      <c r="F919" s="66"/>
      <c r="G919" s="66"/>
      <c r="H919" s="66"/>
      <c r="I919" s="66"/>
      <c r="J919" s="66"/>
      <c r="K919" s="66"/>
      <c r="L919" s="66"/>
      <c r="M919" s="66"/>
      <c r="N919" s="66"/>
      <c r="O919" s="66"/>
      <c r="P919" s="66"/>
      <c r="Q919" s="66"/>
      <c r="R919" s="66"/>
      <c r="S919" s="66"/>
      <c r="T919" s="66"/>
      <c r="U919" s="66"/>
    </row>
    <row r="920" ht="15.75" customHeight="1">
      <c r="A920" s="66"/>
      <c r="B920" s="66"/>
      <c r="C920" s="66"/>
      <c r="D920" s="66"/>
      <c r="E920" s="66"/>
      <c r="F920" s="66"/>
      <c r="G920" s="66"/>
      <c r="H920" s="66"/>
      <c r="I920" s="66"/>
      <c r="J920" s="66"/>
      <c r="K920" s="66"/>
      <c r="L920" s="66"/>
      <c r="M920" s="66"/>
      <c r="N920" s="66"/>
      <c r="O920" s="66"/>
      <c r="P920" s="66"/>
      <c r="Q920" s="66"/>
      <c r="R920" s="66"/>
      <c r="S920" s="66"/>
      <c r="T920" s="66"/>
      <c r="U920" s="66"/>
    </row>
    <row r="921" ht="15.75" customHeight="1">
      <c r="A921" s="66"/>
      <c r="B921" s="66"/>
      <c r="C921" s="66"/>
      <c r="D921" s="66"/>
      <c r="E921" s="66"/>
      <c r="F921" s="66"/>
      <c r="G921" s="66"/>
      <c r="H921" s="66"/>
      <c r="I921" s="66"/>
      <c r="J921" s="66"/>
      <c r="K921" s="66"/>
      <c r="L921" s="66"/>
      <c r="M921" s="66"/>
      <c r="N921" s="66"/>
      <c r="O921" s="66"/>
      <c r="P921" s="66"/>
      <c r="Q921" s="66"/>
      <c r="R921" s="66"/>
      <c r="S921" s="66"/>
      <c r="T921" s="66"/>
      <c r="U921" s="66"/>
    </row>
    <row r="922" ht="15.75" customHeight="1">
      <c r="A922" s="66"/>
      <c r="B922" s="66"/>
      <c r="C922" s="66"/>
      <c r="D922" s="66"/>
      <c r="E922" s="66"/>
      <c r="F922" s="66"/>
      <c r="G922" s="66"/>
      <c r="H922" s="66"/>
      <c r="I922" s="66"/>
      <c r="J922" s="66"/>
      <c r="K922" s="66"/>
      <c r="L922" s="66"/>
      <c r="M922" s="66"/>
      <c r="N922" s="66"/>
      <c r="O922" s="66"/>
      <c r="P922" s="66"/>
      <c r="Q922" s="66"/>
      <c r="R922" s="66"/>
      <c r="S922" s="66"/>
      <c r="T922" s="66"/>
      <c r="U922" s="66"/>
    </row>
    <row r="923" ht="15.75" customHeight="1">
      <c r="A923" s="66"/>
      <c r="B923" s="66"/>
      <c r="C923" s="66"/>
      <c r="D923" s="66"/>
      <c r="E923" s="66"/>
      <c r="F923" s="66"/>
      <c r="G923" s="66"/>
      <c r="H923" s="66"/>
      <c r="I923" s="66"/>
      <c r="J923" s="66"/>
      <c r="K923" s="66"/>
      <c r="L923" s="66"/>
      <c r="M923" s="66"/>
      <c r="N923" s="66"/>
      <c r="O923" s="66"/>
      <c r="P923" s="66"/>
      <c r="Q923" s="66"/>
      <c r="R923" s="66"/>
      <c r="S923" s="66"/>
      <c r="T923" s="66"/>
      <c r="U923" s="66"/>
    </row>
    <row r="924" ht="15.75" customHeight="1">
      <c r="A924" s="66"/>
      <c r="B924" s="66"/>
      <c r="C924" s="66"/>
      <c r="D924" s="66"/>
      <c r="E924" s="66"/>
      <c r="F924" s="66"/>
      <c r="G924" s="66"/>
      <c r="H924" s="66"/>
      <c r="I924" s="66"/>
      <c r="J924" s="66"/>
      <c r="K924" s="66"/>
      <c r="L924" s="66"/>
      <c r="M924" s="66"/>
      <c r="N924" s="66"/>
      <c r="O924" s="66"/>
      <c r="P924" s="66"/>
      <c r="Q924" s="66"/>
      <c r="R924" s="66"/>
      <c r="S924" s="66"/>
      <c r="T924" s="66"/>
      <c r="U924" s="66"/>
    </row>
    <row r="925" ht="15.75" customHeight="1">
      <c r="A925" s="66"/>
      <c r="B925" s="66"/>
      <c r="C925" s="66"/>
      <c r="D925" s="66"/>
      <c r="E925" s="66"/>
      <c r="F925" s="66"/>
      <c r="G925" s="66"/>
      <c r="H925" s="66"/>
      <c r="I925" s="66"/>
      <c r="J925" s="66"/>
      <c r="K925" s="66"/>
      <c r="L925" s="66"/>
      <c r="M925" s="66"/>
      <c r="N925" s="66"/>
      <c r="O925" s="66"/>
      <c r="P925" s="66"/>
      <c r="Q925" s="66"/>
      <c r="R925" s="66"/>
      <c r="S925" s="66"/>
      <c r="T925" s="66"/>
      <c r="U925" s="66"/>
    </row>
    <row r="926" ht="15.75" customHeight="1">
      <c r="A926" s="66"/>
      <c r="B926" s="66"/>
      <c r="C926" s="66"/>
      <c r="D926" s="66"/>
      <c r="E926" s="66"/>
      <c r="F926" s="66"/>
      <c r="G926" s="66"/>
      <c r="H926" s="66"/>
      <c r="I926" s="66"/>
      <c r="J926" s="66"/>
      <c r="K926" s="66"/>
      <c r="L926" s="66"/>
      <c r="M926" s="66"/>
      <c r="N926" s="66"/>
      <c r="O926" s="66"/>
      <c r="P926" s="66"/>
      <c r="Q926" s="66"/>
      <c r="R926" s="66"/>
      <c r="S926" s="66"/>
      <c r="T926" s="66"/>
      <c r="U926" s="66"/>
    </row>
    <row r="927" ht="15.75" customHeight="1">
      <c r="A927" s="66"/>
      <c r="B927" s="66"/>
      <c r="C927" s="66"/>
      <c r="D927" s="66"/>
      <c r="E927" s="66"/>
      <c r="F927" s="66"/>
      <c r="G927" s="66"/>
      <c r="H927" s="66"/>
      <c r="I927" s="66"/>
      <c r="J927" s="66"/>
      <c r="K927" s="66"/>
      <c r="L927" s="66"/>
      <c r="M927" s="66"/>
      <c r="N927" s="66"/>
      <c r="O927" s="66"/>
      <c r="P927" s="66"/>
      <c r="Q927" s="66"/>
      <c r="R927" s="66"/>
      <c r="S927" s="66"/>
      <c r="T927" s="66"/>
      <c r="U927" s="66"/>
    </row>
    <row r="928" ht="15.75" customHeight="1">
      <c r="A928" s="66"/>
      <c r="B928" s="66"/>
      <c r="C928" s="66"/>
      <c r="D928" s="66"/>
      <c r="E928" s="66"/>
      <c r="F928" s="66"/>
      <c r="G928" s="66"/>
      <c r="H928" s="66"/>
      <c r="I928" s="66"/>
      <c r="J928" s="66"/>
      <c r="K928" s="66"/>
      <c r="L928" s="66"/>
      <c r="M928" s="66"/>
      <c r="N928" s="66"/>
      <c r="O928" s="66"/>
      <c r="P928" s="66"/>
      <c r="Q928" s="66"/>
      <c r="R928" s="66"/>
      <c r="S928" s="66"/>
      <c r="T928" s="66"/>
      <c r="U928" s="66"/>
    </row>
    <row r="929" ht="15.75" customHeight="1">
      <c r="A929" s="66"/>
      <c r="B929" s="66"/>
      <c r="C929" s="66"/>
      <c r="D929" s="66"/>
      <c r="E929" s="66"/>
      <c r="F929" s="66"/>
      <c r="G929" s="66"/>
      <c r="H929" s="66"/>
      <c r="I929" s="66"/>
      <c r="J929" s="66"/>
      <c r="K929" s="66"/>
      <c r="L929" s="66"/>
      <c r="M929" s="66"/>
      <c r="N929" s="66"/>
      <c r="O929" s="66"/>
      <c r="P929" s="66"/>
      <c r="Q929" s="66"/>
      <c r="R929" s="66"/>
      <c r="S929" s="66"/>
      <c r="T929" s="66"/>
      <c r="U929" s="66"/>
    </row>
    <row r="930" ht="15.75" customHeight="1">
      <c r="A930" s="66"/>
      <c r="B930" s="66"/>
      <c r="C930" s="66"/>
      <c r="D930" s="66"/>
      <c r="E930" s="66"/>
      <c r="F930" s="66"/>
      <c r="G930" s="66"/>
      <c r="H930" s="66"/>
      <c r="I930" s="66"/>
      <c r="J930" s="66"/>
      <c r="K930" s="66"/>
      <c r="L930" s="66"/>
      <c r="M930" s="66"/>
      <c r="N930" s="66"/>
      <c r="O930" s="66"/>
      <c r="P930" s="66"/>
      <c r="Q930" s="66"/>
      <c r="R930" s="66"/>
      <c r="S930" s="66"/>
      <c r="T930" s="66"/>
      <c r="U930" s="66"/>
    </row>
    <row r="931" ht="15.75" customHeight="1">
      <c r="A931" s="66"/>
      <c r="B931" s="66"/>
      <c r="C931" s="66"/>
      <c r="D931" s="66"/>
      <c r="E931" s="66"/>
      <c r="F931" s="66"/>
      <c r="G931" s="66"/>
      <c r="H931" s="66"/>
      <c r="I931" s="66"/>
      <c r="J931" s="66"/>
      <c r="K931" s="66"/>
      <c r="L931" s="66"/>
      <c r="M931" s="66"/>
      <c r="N931" s="66"/>
      <c r="O931" s="66"/>
      <c r="P931" s="66"/>
      <c r="Q931" s="66"/>
      <c r="R931" s="66"/>
      <c r="S931" s="66"/>
      <c r="T931" s="66"/>
      <c r="U931" s="66"/>
    </row>
    <row r="932" ht="15.75" customHeight="1">
      <c r="A932" s="66"/>
      <c r="B932" s="66"/>
      <c r="C932" s="66"/>
      <c r="D932" s="66"/>
      <c r="E932" s="66"/>
      <c r="F932" s="66"/>
      <c r="G932" s="66"/>
      <c r="H932" s="66"/>
      <c r="I932" s="66"/>
      <c r="J932" s="66"/>
      <c r="K932" s="66"/>
      <c r="L932" s="66"/>
      <c r="M932" s="66"/>
      <c r="N932" s="66"/>
      <c r="O932" s="66"/>
      <c r="P932" s="66"/>
      <c r="Q932" s="66"/>
      <c r="R932" s="66"/>
      <c r="S932" s="66"/>
      <c r="T932" s="66"/>
      <c r="U932" s="66"/>
    </row>
    <row r="933" ht="15.75" customHeight="1">
      <c r="A933" s="66"/>
      <c r="B933" s="66"/>
      <c r="C933" s="66"/>
      <c r="D933" s="66"/>
      <c r="E933" s="66"/>
      <c r="F933" s="66"/>
      <c r="G933" s="66"/>
      <c r="H933" s="66"/>
      <c r="I933" s="66"/>
      <c r="J933" s="66"/>
      <c r="K933" s="66"/>
      <c r="L933" s="66"/>
      <c r="M933" s="66"/>
      <c r="N933" s="66"/>
      <c r="O933" s="66"/>
      <c r="P933" s="66"/>
      <c r="Q933" s="66"/>
      <c r="R933" s="66"/>
      <c r="S933" s="66"/>
      <c r="T933" s="66"/>
      <c r="U933" s="66"/>
    </row>
    <row r="934" ht="15.75" customHeight="1">
      <c r="A934" s="66"/>
      <c r="B934" s="66"/>
      <c r="C934" s="66"/>
      <c r="D934" s="66"/>
      <c r="E934" s="66"/>
      <c r="F934" s="66"/>
      <c r="G934" s="66"/>
      <c r="H934" s="66"/>
      <c r="I934" s="66"/>
      <c r="J934" s="66"/>
      <c r="K934" s="66"/>
      <c r="L934" s="66"/>
      <c r="M934" s="66"/>
      <c r="N934" s="66"/>
      <c r="O934" s="66"/>
      <c r="P934" s="66"/>
      <c r="Q934" s="66"/>
      <c r="R934" s="66"/>
      <c r="S934" s="66"/>
      <c r="T934" s="66"/>
      <c r="U934" s="66"/>
    </row>
    <row r="935" ht="15.75" customHeight="1">
      <c r="A935" s="66"/>
      <c r="B935" s="66"/>
      <c r="C935" s="66"/>
      <c r="D935" s="66"/>
      <c r="E935" s="66"/>
      <c r="F935" s="66"/>
      <c r="G935" s="66"/>
      <c r="H935" s="66"/>
      <c r="I935" s="66"/>
      <c r="J935" s="66"/>
      <c r="K935" s="66"/>
      <c r="L935" s="66"/>
      <c r="M935" s="66"/>
      <c r="N935" s="66"/>
      <c r="O935" s="66"/>
      <c r="P935" s="66"/>
      <c r="Q935" s="66"/>
      <c r="R935" s="66"/>
      <c r="S935" s="66"/>
      <c r="T935" s="66"/>
      <c r="U935" s="66"/>
    </row>
    <row r="936" ht="15.75" customHeight="1">
      <c r="A936" s="66"/>
      <c r="B936" s="66"/>
      <c r="C936" s="66"/>
      <c r="D936" s="66"/>
      <c r="E936" s="66"/>
      <c r="F936" s="66"/>
      <c r="G936" s="66"/>
      <c r="H936" s="66"/>
      <c r="I936" s="66"/>
      <c r="J936" s="66"/>
      <c r="K936" s="66"/>
      <c r="L936" s="66"/>
      <c r="M936" s="66"/>
      <c r="N936" s="66"/>
      <c r="O936" s="66"/>
      <c r="P936" s="66"/>
      <c r="Q936" s="66"/>
      <c r="R936" s="66"/>
      <c r="S936" s="66"/>
      <c r="T936" s="66"/>
      <c r="U936" s="66"/>
    </row>
    <row r="937" ht="15.75" customHeight="1">
      <c r="A937" s="66"/>
      <c r="B937" s="66"/>
      <c r="C937" s="66"/>
      <c r="D937" s="66"/>
      <c r="E937" s="66"/>
      <c r="F937" s="66"/>
      <c r="G937" s="66"/>
      <c r="H937" s="66"/>
      <c r="I937" s="66"/>
      <c r="J937" s="66"/>
      <c r="K937" s="66"/>
      <c r="L937" s="66"/>
      <c r="M937" s="66"/>
      <c r="N937" s="66"/>
      <c r="O937" s="66"/>
      <c r="P937" s="66"/>
      <c r="Q937" s="66"/>
      <c r="R937" s="66"/>
      <c r="S937" s="66"/>
      <c r="T937" s="66"/>
      <c r="U937" s="66"/>
    </row>
    <row r="938" ht="15.75" customHeight="1">
      <c r="A938" s="66"/>
      <c r="B938" s="66"/>
      <c r="C938" s="66"/>
      <c r="D938" s="66"/>
      <c r="E938" s="66"/>
      <c r="F938" s="66"/>
      <c r="G938" s="66"/>
      <c r="H938" s="66"/>
      <c r="I938" s="66"/>
      <c r="J938" s="66"/>
      <c r="K938" s="66"/>
      <c r="L938" s="66"/>
      <c r="M938" s="66"/>
      <c r="N938" s="66"/>
      <c r="O938" s="66"/>
      <c r="P938" s="66"/>
      <c r="Q938" s="66"/>
      <c r="R938" s="66"/>
      <c r="S938" s="66"/>
      <c r="T938" s="66"/>
      <c r="U938" s="66"/>
    </row>
    <row r="939" ht="15.75" customHeight="1">
      <c r="A939" s="66"/>
      <c r="B939" s="66"/>
      <c r="C939" s="66"/>
      <c r="D939" s="66"/>
      <c r="E939" s="66"/>
      <c r="F939" s="66"/>
      <c r="G939" s="66"/>
      <c r="H939" s="66"/>
      <c r="I939" s="66"/>
      <c r="J939" s="66"/>
      <c r="K939" s="66"/>
      <c r="L939" s="66"/>
      <c r="M939" s="66"/>
      <c r="N939" s="66"/>
      <c r="O939" s="66"/>
      <c r="P939" s="66"/>
      <c r="Q939" s="66"/>
      <c r="R939" s="66"/>
      <c r="S939" s="66"/>
      <c r="T939" s="66"/>
      <c r="U939" s="66"/>
    </row>
    <row r="940" ht="15.75" customHeight="1">
      <c r="A940" s="66"/>
      <c r="B940" s="66"/>
      <c r="C940" s="66"/>
      <c r="D940" s="66"/>
      <c r="E940" s="66"/>
      <c r="F940" s="66"/>
      <c r="G940" s="66"/>
      <c r="H940" s="66"/>
      <c r="I940" s="66"/>
      <c r="J940" s="66"/>
      <c r="K940" s="66"/>
      <c r="L940" s="66"/>
      <c r="M940" s="66"/>
      <c r="N940" s="66"/>
      <c r="O940" s="66"/>
      <c r="P940" s="66"/>
      <c r="Q940" s="66"/>
      <c r="R940" s="66"/>
      <c r="S940" s="66"/>
      <c r="T940" s="66"/>
      <c r="U940" s="66"/>
    </row>
    <row r="941" ht="15.75" customHeight="1">
      <c r="A941" s="66"/>
      <c r="B941" s="66"/>
      <c r="C941" s="66"/>
      <c r="D941" s="66"/>
      <c r="E941" s="66"/>
      <c r="F941" s="66"/>
      <c r="G941" s="66"/>
      <c r="H941" s="66"/>
      <c r="I941" s="66"/>
      <c r="J941" s="66"/>
      <c r="K941" s="66"/>
      <c r="L941" s="66"/>
      <c r="M941" s="66"/>
      <c r="N941" s="66"/>
      <c r="O941" s="66"/>
      <c r="P941" s="66"/>
      <c r="Q941" s="66"/>
      <c r="R941" s="66"/>
      <c r="S941" s="66"/>
      <c r="T941" s="66"/>
      <c r="U941" s="66"/>
    </row>
    <row r="942" ht="15.75" customHeight="1">
      <c r="A942" s="66"/>
      <c r="B942" s="66"/>
      <c r="C942" s="66"/>
      <c r="D942" s="66"/>
      <c r="E942" s="66"/>
      <c r="F942" s="66"/>
      <c r="G942" s="66"/>
      <c r="H942" s="66"/>
      <c r="I942" s="66"/>
      <c r="J942" s="66"/>
      <c r="K942" s="66"/>
      <c r="L942" s="66"/>
      <c r="M942" s="66"/>
      <c r="N942" s="66"/>
      <c r="O942" s="66"/>
      <c r="P942" s="66"/>
      <c r="Q942" s="66"/>
      <c r="R942" s="66"/>
      <c r="S942" s="66"/>
      <c r="T942" s="66"/>
      <c r="U942" s="66"/>
    </row>
    <row r="943" ht="15.75" customHeight="1">
      <c r="A943" s="66"/>
      <c r="B943" s="66"/>
      <c r="C943" s="66"/>
      <c r="D943" s="66"/>
      <c r="E943" s="66"/>
      <c r="F943" s="66"/>
      <c r="G943" s="66"/>
      <c r="H943" s="66"/>
      <c r="I943" s="66"/>
      <c r="J943" s="66"/>
      <c r="K943" s="66"/>
      <c r="L943" s="66"/>
      <c r="M943" s="66"/>
      <c r="N943" s="66"/>
      <c r="O943" s="66"/>
      <c r="P943" s="66"/>
      <c r="Q943" s="66"/>
      <c r="R943" s="66"/>
      <c r="S943" s="66"/>
      <c r="T943" s="66"/>
      <c r="U943" s="66"/>
    </row>
    <row r="944" ht="15.75" customHeight="1">
      <c r="A944" s="66"/>
      <c r="B944" s="66"/>
      <c r="C944" s="66"/>
      <c r="D944" s="66"/>
      <c r="E944" s="66"/>
      <c r="F944" s="66"/>
      <c r="G944" s="66"/>
      <c r="H944" s="66"/>
      <c r="I944" s="66"/>
      <c r="J944" s="66"/>
      <c r="K944" s="66"/>
      <c r="L944" s="66"/>
      <c r="M944" s="66"/>
      <c r="N944" s="66"/>
      <c r="O944" s="66"/>
      <c r="P944" s="66"/>
      <c r="Q944" s="66"/>
      <c r="R944" s="66"/>
      <c r="S944" s="66"/>
      <c r="T944" s="66"/>
      <c r="U944" s="66"/>
    </row>
    <row r="945" ht="15.75" customHeight="1">
      <c r="A945" s="66"/>
      <c r="B945" s="66"/>
      <c r="C945" s="66"/>
      <c r="D945" s="66"/>
      <c r="E945" s="66"/>
      <c r="F945" s="66"/>
      <c r="G945" s="66"/>
      <c r="H945" s="66"/>
      <c r="I945" s="66"/>
      <c r="J945" s="66"/>
      <c r="K945" s="66"/>
      <c r="L945" s="66"/>
      <c r="M945" s="66"/>
      <c r="N945" s="66"/>
      <c r="O945" s="66"/>
      <c r="P945" s="66"/>
      <c r="Q945" s="66"/>
      <c r="R945" s="66"/>
      <c r="S945" s="66"/>
      <c r="T945" s="66"/>
      <c r="U945" s="66"/>
    </row>
    <row r="946" ht="15.75" customHeight="1">
      <c r="A946" s="66"/>
      <c r="B946" s="66"/>
      <c r="C946" s="66"/>
      <c r="D946" s="66"/>
      <c r="E946" s="66"/>
      <c r="F946" s="66"/>
      <c r="G946" s="66"/>
      <c r="H946" s="66"/>
      <c r="I946" s="66"/>
      <c r="J946" s="66"/>
      <c r="K946" s="66"/>
      <c r="L946" s="66"/>
      <c r="M946" s="66"/>
      <c r="N946" s="66"/>
      <c r="O946" s="66"/>
      <c r="P946" s="66"/>
      <c r="Q946" s="66"/>
      <c r="R946" s="66"/>
      <c r="S946" s="66"/>
      <c r="T946" s="66"/>
      <c r="U946" s="66"/>
    </row>
    <row r="947" ht="15.75" customHeight="1">
      <c r="A947" s="66"/>
      <c r="B947" s="66"/>
      <c r="C947" s="66"/>
      <c r="D947" s="66"/>
      <c r="E947" s="66"/>
      <c r="F947" s="66"/>
      <c r="G947" s="66"/>
      <c r="H947" s="66"/>
      <c r="I947" s="66"/>
      <c r="J947" s="66"/>
      <c r="K947" s="66"/>
      <c r="L947" s="66"/>
      <c r="M947" s="66"/>
      <c r="N947" s="66"/>
      <c r="O947" s="66"/>
      <c r="P947" s="66"/>
      <c r="Q947" s="66"/>
      <c r="R947" s="66"/>
      <c r="S947" s="66"/>
      <c r="T947" s="66"/>
      <c r="U947" s="66"/>
    </row>
    <row r="948" ht="15.75" customHeight="1">
      <c r="A948" s="66"/>
      <c r="B948" s="66"/>
      <c r="C948" s="66"/>
      <c r="D948" s="66"/>
      <c r="E948" s="66"/>
      <c r="F948" s="66"/>
      <c r="G948" s="66"/>
      <c r="H948" s="66"/>
      <c r="I948" s="66"/>
      <c r="J948" s="66"/>
      <c r="K948" s="66"/>
      <c r="L948" s="66"/>
      <c r="M948" s="66"/>
      <c r="N948" s="66"/>
      <c r="O948" s="66"/>
      <c r="P948" s="66"/>
      <c r="Q948" s="66"/>
      <c r="R948" s="66"/>
      <c r="S948" s="66"/>
      <c r="T948" s="66"/>
      <c r="U948" s="66"/>
    </row>
    <row r="949" ht="15.75" customHeight="1">
      <c r="A949" s="66"/>
      <c r="B949" s="66"/>
      <c r="C949" s="66"/>
      <c r="D949" s="66"/>
      <c r="E949" s="66"/>
      <c r="F949" s="66"/>
      <c r="G949" s="66"/>
      <c r="H949" s="66"/>
      <c r="I949" s="66"/>
      <c r="J949" s="66"/>
      <c r="K949" s="66"/>
      <c r="L949" s="66"/>
      <c r="M949" s="66"/>
      <c r="N949" s="66"/>
      <c r="O949" s="66"/>
      <c r="P949" s="66"/>
      <c r="Q949" s="66"/>
      <c r="R949" s="66"/>
      <c r="S949" s="66"/>
      <c r="T949" s="66"/>
      <c r="U949" s="66"/>
    </row>
    <row r="950" ht="15.75" customHeight="1">
      <c r="A950" s="66"/>
      <c r="B950" s="66"/>
      <c r="C950" s="66"/>
      <c r="D950" s="66"/>
      <c r="E950" s="66"/>
      <c r="F950" s="66"/>
      <c r="G950" s="66"/>
      <c r="H950" s="66"/>
      <c r="I950" s="66"/>
      <c r="J950" s="66"/>
      <c r="K950" s="66"/>
      <c r="L950" s="66"/>
      <c r="M950" s="66"/>
      <c r="N950" s="66"/>
      <c r="O950" s="66"/>
      <c r="P950" s="66"/>
      <c r="Q950" s="66"/>
      <c r="R950" s="66"/>
      <c r="S950" s="66"/>
      <c r="T950" s="66"/>
      <c r="U950" s="66"/>
    </row>
    <row r="951" ht="15.75" customHeight="1">
      <c r="A951" s="66"/>
      <c r="B951" s="66"/>
      <c r="C951" s="66"/>
      <c r="D951" s="66"/>
      <c r="E951" s="66"/>
      <c r="F951" s="66"/>
      <c r="G951" s="66"/>
      <c r="H951" s="66"/>
      <c r="I951" s="66"/>
      <c r="J951" s="66"/>
      <c r="K951" s="66"/>
      <c r="L951" s="66"/>
      <c r="M951" s="66"/>
      <c r="N951" s="66"/>
      <c r="O951" s="66"/>
      <c r="P951" s="66"/>
      <c r="Q951" s="66"/>
      <c r="R951" s="66"/>
      <c r="S951" s="66"/>
      <c r="T951" s="66"/>
      <c r="U951" s="66"/>
    </row>
    <row r="952" ht="15.75" customHeight="1">
      <c r="A952" s="66"/>
      <c r="B952" s="66"/>
      <c r="C952" s="66"/>
      <c r="D952" s="66"/>
      <c r="E952" s="66"/>
      <c r="F952" s="66"/>
      <c r="G952" s="66"/>
      <c r="H952" s="66"/>
      <c r="I952" s="66"/>
      <c r="J952" s="66"/>
      <c r="K952" s="66"/>
      <c r="L952" s="66"/>
      <c r="M952" s="66"/>
      <c r="N952" s="66"/>
      <c r="O952" s="66"/>
      <c r="P952" s="66"/>
      <c r="Q952" s="66"/>
      <c r="R952" s="66"/>
      <c r="S952" s="66"/>
      <c r="T952" s="66"/>
      <c r="U952" s="66"/>
    </row>
    <row r="953" ht="15.75" customHeight="1">
      <c r="A953" s="66"/>
      <c r="B953" s="66"/>
      <c r="C953" s="66"/>
      <c r="D953" s="66"/>
      <c r="E953" s="66"/>
      <c r="F953" s="66"/>
      <c r="G953" s="66"/>
      <c r="H953" s="66"/>
      <c r="I953" s="66"/>
      <c r="J953" s="66"/>
      <c r="K953" s="66"/>
      <c r="L953" s="66"/>
      <c r="M953" s="66"/>
      <c r="N953" s="66"/>
      <c r="O953" s="66"/>
      <c r="P953" s="66"/>
      <c r="Q953" s="66"/>
      <c r="R953" s="66"/>
      <c r="S953" s="66"/>
      <c r="T953" s="66"/>
      <c r="U953" s="66"/>
    </row>
    <row r="954" ht="15.75" customHeight="1">
      <c r="A954" s="66"/>
      <c r="B954" s="66"/>
      <c r="C954" s="66"/>
      <c r="D954" s="66"/>
      <c r="E954" s="66"/>
      <c r="F954" s="66"/>
      <c r="G954" s="66"/>
      <c r="H954" s="66"/>
      <c r="I954" s="66"/>
      <c r="J954" s="66"/>
      <c r="K954" s="66"/>
      <c r="L954" s="66"/>
      <c r="M954" s="66"/>
      <c r="N954" s="66"/>
      <c r="O954" s="66"/>
      <c r="P954" s="66"/>
      <c r="Q954" s="66"/>
      <c r="R954" s="66"/>
      <c r="S954" s="66"/>
      <c r="T954" s="66"/>
      <c r="U954" s="66"/>
    </row>
    <row r="955" ht="15.75" customHeight="1">
      <c r="A955" s="66"/>
      <c r="B955" s="66"/>
      <c r="C955" s="66"/>
      <c r="D955" s="66"/>
      <c r="E955" s="66"/>
      <c r="F955" s="66"/>
      <c r="G955" s="66"/>
      <c r="H955" s="66"/>
      <c r="I955" s="66"/>
      <c r="J955" s="66"/>
      <c r="K955" s="66"/>
      <c r="L955" s="66"/>
      <c r="M955" s="66"/>
      <c r="N955" s="66"/>
      <c r="O955" s="66"/>
      <c r="P955" s="66"/>
      <c r="Q955" s="66"/>
      <c r="R955" s="66"/>
      <c r="S955" s="66"/>
      <c r="T955" s="66"/>
      <c r="U955" s="66"/>
    </row>
    <row r="956" ht="15.75" customHeight="1">
      <c r="A956" s="66"/>
      <c r="B956" s="66"/>
      <c r="C956" s="66"/>
      <c r="D956" s="66"/>
      <c r="E956" s="66"/>
      <c r="F956" s="66"/>
      <c r="G956" s="66"/>
      <c r="H956" s="66"/>
      <c r="I956" s="66"/>
      <c r="J956" s="66"/>
      <c r="K956" s="66"/>
      <c r="L956" s="66"/>
      <c r="M956" s="66"/>
      <c r="N956" s="66"/>
      <c r="O956" s="66"/>
      <c r="P956" s="66"/>
      <c r="Q956" s="66"/>
      <c r="R956" s="66"/>
      <c r="S956" s="66"/>
      <c r="T956" s="66"/>
      <c r="U956" s="66"/>
    </row>
    <row r="957" ht="15.75" customHeight="1">
      <c r="A957" s="66"/>
      <c r="B957" s="66"/>
      <c r="C957" s="66"/>
      <c r="D957" s="66"/>
      <c r="E957" s="66"/>
      <c r="F957" s="66"/>
      <c r="G957" s="66"/>
      <c r="H957" s="66"/>
      <c r="I957" s="66"/>
      <c r="J957" s="66"/>
      <c r="K957" s="66"/>
      <c r="L957" s="66"/>
      <c r="M957" s="66"/>
      <c r="N957" s="66"/>
      <c r="O957" s="66"/>
      <c r="P957" s="66"/>
      <c r="Q957" s="66"/>
      <c r="R957" s="66"/>
      <c r="S957" s="66"/>
      <c r="T957" s="66"/>
      <c r="U957" s="66"/>
    </row>
    <row r="958" ht="15.75" customHeight="1">
      <c r="A958" s="66"/>
      <c r="B958" s="66"/>
      <c r="C958" s="66"/>
      <c r="D958" s="66"/>
      <c r="E958" s="66"/>
      <c r="F958" s="66"/>
      <c r="G958" s="66"/>
      <c r="H958" s="66"/>
      <c r="I958" s="66"/>
      <c r="J958" s="66"/>
      <c r="K958" s="66"/>
      <c r="L958" s="66"/>
      <c r="M958" s="66"/>
      <c r="N958" s="66"/>
      <c r="O958" s="66"/>
      <c r="P958" s="66"/>
      <c r="Q958" s="66"/>
      <c r="R958" s="66"/>
      <c r="S958" s="66"/>
      <c r="T958" s="66"/>
      <c r="U958" s="66"/>
    </row>
    <row r="959" ht="15.75" customHeight="1">
      <c r="A959" s="66"/>
      <c r="B959" s="66"/>
      <c r="C959" s="66"/>
      <c r="D959" s="66"/>
      <c r="E959" s="66"/>
      <c r="F959" s="66"/>
      <c r="G959" s="66"/>
      <c r="H959" s="66"/>
      <c r="I959" s="66"/>
      <c r="J959" s="66"/>
      <c r="K959" s="66"/>
      <c r="L959" s="66"/>
      <c r="M959" s="66"/>
      <c r="N959" s="66"/>
      <c r="O959" s="66"/>
      <c r="P959" s="66"/>
      <c r="Q959" s="66"/>
      <c r="R959" s="66"/>
      <c r="S959" s="66"/>
      <c r="T959" s="66"/>
      <c r="U959" s="66"/>
    </row>
    <row r="960" ht="15.75" customHeight="1">
      <c r="A960" s="66"/>
      <c r="B960" s="66"/>
      <c r="C960" s="66"/>
      <c r="D960" s="66"/>
      <c r="E960" s="66"/>
      <c r="F960" s="66"/>
      <c r="G960" s="66"/>
      <c r="H960" s="66"/>
      <c r="I960" s="66"/>
      <c r="J960" s="66"/>
      <c r="K960" s="66"/>
      <c r="L960" s="66"/>
      <c r="M960" s="66"/>
      <c r="N960" s="66"/>
      <c r="O960" s="66"/>
      <c r="P960" s="66"/>
      <c r="Q960" s="66"/>
      <c r="R960" s="66"/>
      <c r="S960" s="66"/>
      <c r="T960" s="66"/>
      <c r="U960" s="66"/>
    </row>
    <row r="961" ht="15.75" customHeight="1">
      <c r="A961" s="66"/>
      <c r="B961" s="66"/>
      <c r="C961" s="66"/>
      <c r="D961" s="66"/>
      <c r="E961" s="66"/>
      <c r="F961" s="66"/>
      <c r="G961" s="66"/>
      <c r="H961" s="66"/>
      <c r="I961" s="66"/>
      <c r="J961" s="66"/>
      <c r="K961" s="66"/>
      <c r="L961" s="66"/>
      <c r="M961" s="66"/>
      <c r="N961" s="66"/>
      <c r="O961" s="66"/>
      <c r="P961" s="66"/>
      <c r="Q961" s="66"/>
      <c r="R961" s="66"/>
      <c r="S961" s="66"/>
      <c r="T961" s="66"/>
      <c r="U961" s="66"/>
    </row>
    <row r="962" ht="15.75" customHeight="1">
      <c r="A962" s="66"/>
      <c r="B962" s="66"/>
      <c r="C962" s="66"/>
      <c r="D962" s="66"/>
      <c r="E962" s="66"/>
      <c r="F962" s="66"/>
      <c r="G962" s="66"/>
      <c r="H962" s="66"/>
      <c r="I962" s="66"/>
      <c r="J962" s="66"/>
      <c r="K962" s="66"/>
      <c r="L962" s="66"/>
      <c r="M962" s="66"/>
      <c r="N962" s="66"/>
      <c r="O962" s="66"/>
      <c r="P962" s="66"/>
      <c r="Q962" s="66"/>
      <c r="R962" s="66"/>
      <c r="S962" s="66"/>
      <c r="T962" s="66"/>
      <c r="U962" s="66"/>
    </row>
    <row r="963" ht="15.75" customHeight="1">
      <c r="A963" s="66"/>
      <c r="B963" s="66"/>
      <c r="C963" s="66"/>
      <c r="D963" s="66"/>
      <c r="E963" s="66"/>
      <c r="F963" s="66"/>
      <c r="G963" s="66"/>
      <c r="H963" s="66"/>
      <c r="I963" s="66"/>
      <c r="J963" s="66"/>
      <c r="K963" s="66"/>
      <c r="L963" s="66"/>
      <c r="M963" s="66"/>
      <c r="N963" s="66"/>
      <c r="O963" s="66"/>
      <c r="P963" s="66"/>
      <c r="Q963" s="66"/>
      <c r="R963" s="66"/>
      <c r="S963" s="66"/>
      <c r="T963" s="66"/>
      <c r="U963" s="66"/>
    </row>
    <row r="964" ht="15.75" customHeight="1">
      <c r="A964" s="66"/>
      <c r="B964" s="66"/>
      <c r="C964" s="66"/>
      <c r="D964" s="66"/>
      <c r="E964" s="66"/>
      <c r="F964" s="66"/>
      <c r="G964" s="66"/>
      <c r="H964" s="66"/>
      <c r="I964" s="66"/>
      <c r="J964" s="66"/>
      <c r="K964" s="66"/>
      <c r="L964" s="66"/>
      <c r="M964" s="66"/>
      <c r="N964" s="66"/>
      <c r="O964" s="66"/>
      <c r="P964" s="66"/>
      <c r="Q964" s="66"/>
      <c r="R964" s="66"/>
      <c r="S964" s="66"/>
      <c r="T964" s="66"/>
      <c r="U964" s="66"/>
    </row>
    <row r="965" ht="15.75" customHeight="1">
      <c r="A965" s="66"/>
      <c r="B965" s="66"/>
      <c r="C965" s="66"/>
      <c r="D965" s="66"/>
      <c r="E965" s="66"/>
      <c r="F965" s="66"/>
      <c r="G965" s="66"/>
      <c r="H965" s="66"/>
      <c r="I965" s="66"/>
      <c r="J965" s="66"/>
      <c r="K965" s="66"/>
      <c r="L965" s="66"/>
      <c r="M965" s="66"/>
      <c r="N965" s="66"/>
      <c r="O965" s="66"/>
      <c r="P965" s="66"/>
      <c r="Q965" s="66"/>
      <c r="R965" s="66"/>
      <c r="S965" s="66"/>
      <c r="T965" s="66"/>
      <c r="U965" s="66"/>
    </row>
    <row r="966" ht="15.75" customHeight="1">
      <c r="A966" s="66"/>
      <c r="B966" s="66"/>
      <c r="C966" s="66"/>
      <c r="D966" s="66"/>
      <c r="E966" s="66"/>
      <c r="F966" s="66"/>
      <c r="G966" s="66"/>
      <c r="H966" s="66"/>
      <c r="I966" s="66"/>
      <c r="J966" s="66"/>
      <c r="K966" s="66"/>
      <c r="L966" s="66"/>
      <c r="M966" s="66"/>
      <c r="N966" s="66"/>
      <c r="O966" s="66"/>
      <c r="P966" s="66"/>
      <c r="Q966" s="66"/>
      <c r="R966" s="66"/>
      <c r="S966" s="66"/>
      <c r="T966" s="66"/>
      <c r="U966" s="66"/>
    </row>
    <row r="967" ht="15.75" customHeight="1">
      <c r="A967" s="66"/>
      <c r="B967" s="66"/>
      <c r="C967" s="66"/>
      <c r="D967" s="66"/>
      <c r="E967" s="66"/>
      <c r="F967" s="66"/>
      <c r="G967" s="66"/>
      <c r="H967" s="66"/>
      <c r="I967" s="66"/>
      <c r="J967" s="66"/>
      <c r="K967" s="66"/>
      <c r="L967" s="66"/>
      <c r="M967" s="66"/>
      <c r="N967" s="66"/>
      <c r="O967" s="66"/>
      <c r="P967" s="66"/>
      <c r="Q967" s="66"/>
      <c r="R967" s="66"/>
      <c r="S967" s="66"/>
      <c r="T967" s="66"/>
      <c r="U967" s="66"/>
    </row>
    <row r="968" ht="15.75" customHeight="1">
      <c r="A968" s="66"/>
      <c r="B968" s="66"/>
      <c r="C968" s="66"/>
      <c r="D968" s="66"/>
      <c r="E968" s="66"/>
      <c r="F968" s="66"/>
      <c r="G968" s="66"/>
      <c r="H968" s="66"/>
      <c r="I968" s="66"/>
      <c r="J968" s="66"/>
      <c r="K968" s="66"/>
      <c r="L968" s="66"/>
      <c r="M968" s="66"/>
      <c r="N968" s="66"/>
      <c r="O968" s="66"/>
      <c r="P968" s="66"/>
      <c r="Q968" s="66"/>
      <c r="R968" s="66"/>
      <c r="S968" s="66"/>
      <c r="T968" s="66"/>
      <c r="U968" s="66"/>
    </row>
    <row r="969" ht="15.75" customHeight="1">
      <c r="A969" s="66"/>
      <c r="B969" s="66"/>
      <c r="C969" s="66"/>
      <c r="D969" s="66"/>
      <c r="E969" s="66"/>
      <c r="F969" s="66"/>
      <c r="G969" s="66"/>
      <c r="H969" s="66"/>
      <c r="I969" s="66"/>
      <c r="J969" s="66"/>
      <c r="K969" s="66"/>
      <c r="L969" s="66"/>
      <c r="M969" s="66"/>
      <c r="N969" s="66"/>
      <c r="O969" s="66"/>
      <c r="P969" s="66"/>
      <c r="Q969" s="66"/>
      <c r="R969" s="66"/>
      <c r="S969" s="66"/>
      <c r="T969" s="66"/>
      <c r="U969" s="66"/>
    </row>
    <row r="970" ht="15.75" customHeight="1">
      <c r="A970" s="66"/>
      <c r="B970" s="66"/>
      <c r="C970" s="66"/>
      <c r="D970" s="66"/>
      <c r="E970" s="66"/>
      <c r="F970" s="66"/>
      <c r="G970" s="66"/>
      <c r="H970" s="66"/>
      <c r="I970" s="66"/>
      <c r="J970" s="66"/>
      <c r="K970" s="66"/>
      <c r="L970" s="66"/>
      <c r="M970" s="66"/>
      <c r="N970" s="66"/>
      <c r="O970" s="66"/>
      <c r="P970" s="66"/>
      <c r="Q970" s="66"/>
      <c r="R970" s="66"/>
      <c r="S970" s="66"/>
      <c r="T970" s="66"/>
      <c r="U970" s="66"/>
    </row>
    <row r="971" ht="15.75" customHeight="1">
      <c r="A971" s="66"/>
      <c r="B971" s="66"/>
      <c r="C971" s="66"/>
      <c r="D971" s="66"/>
      <c r="E971" s="66"/>
      <c r="F971" s="66"/>
      <c r="G971" s="66"/>
      <c r="H971" s="66"/>
      <c r="I971" s="66"/>
      <c r="J971" s="66"/>
      <c r="K971" s="66"/>
      <c r="L971" s="66"/>
      <c r="M971" s="66"/>
      <c r="N971" s="66"/>
      <c r="O971" s="66"/>
      <c r="P971" s="66"/>
      <c r="Q971" s="66"/>
      <c r="R971" s="66"/>
      <c r="S971" s="66"/>
      <c r="T971" s="66"/>
      <c r="U971" s="66"/>
    </row>
    <row r="972" ht="15.75" customHeight="1">
      <c r="A972" s="66"/>
      <c r="B972" s="66"/>
      <c r="C972" s="66"/>
      <c r="D972" s="66"/>
      <c r="E972" s="66"/>
      <c r="F972" s="66"/>
      <c r="G972" s="66"/>
      <c r="H972" s="66"/>
      <c r="I972" s="66"/>
      <c r="J972" s="66"/>
      <c r="K972" s="66"/>
      <c r="L972" s="66"/>
      <c r="M972" s="66"/>
      <c r="N972" s="66"/>
      <c r="O972" s="66"/>
      <c r="P972" s="66"/>
      <c r="Q972" s="66"/>
      <c r="R972" s="66"/>
      <c r="S972" s="66"/>
      <c r="T972" s="66"/>
      <c r="U972" s="66"/>
    </row>
    <row r="973" ht="15.75" customHeight="1">
      <c r="A973" s="66"/>
      <c r="B973" s="66"/>
      <c r="C973" s="66"/>
      <c r="D973" s="66"/>
      <c r="E973" s="66"/>
      <c r="F973" s="66"/>
      <c r="G973" s="66"/>
      <c r="H973" s="66"/>
      <c r="I973" s="66"/>
      <c r="J973" s="66"/>
      <c r="K973" s="66"/>
      <c r="L973" s="66"/>
      <c r="M973" s="66"/>
      <c r="N973" s="66"/>
      <c r="O973" s="66"/>
      <c r="P973" s="66"/>
      <c r="Q973" s="66"/>
      <c r="R973" s="66"/>
      <c r="S973" s="66"/>
      <c r="T973" s="66"/>
      <c r="U973" s="66"/>
    </row>
    <row r="974" ht="15.75" customHeight="1">
      <c r="A974" s="66"/>
      <c r="B974" s="66"/>
      <c r="C974" s="66"/>
      <c r="D974" s="66"/>
      <c r="E974" s="66"/>
      <c r="F974" s="66"/>
      <c r="G974" s="66"/>
      <c r="H974" s="66"/>
      <c r="I974" s="66"/>
      <c r="J974" s="66"/>
      <c r="K974" s="66"/>
      <c r="L974" s="66"/>
      <c r="M974" s="66"/>
      <c r="N974" s="66"/>
      <c r="O974" s="66"/>
      <c r="P974" s="66"/>
      <c r="Q974" s="66"/>
      <c r="R974" s="66"/>
      <c r="S974" s="66"/>
      <c r="T974" s="66"/>
      <c r="U974" s="66"/>
    </row>
    <row r="975" ht="15.75" customHeight="1">
      <c r="A975" s="66"/>
      <c r="B975" s="66"/>
      <c r="C975" s="66"/>
      <c r="D975" s="66"/>
      <c r="E975" s="66"/>
      <c r="F975" s="66"/>
      <c r="G975" s="66"/>
      <c r="H975" s="66"/>
      <c r="I975" s="66"/>
      <c r="J975" s="66"/>
      <c r="K975" s="66"/>
      <c r="L975" s="66"/>
      <c r="M975" s="66"/>
      <c r="N975" s="66"/>
      <c r="O975" s="66"/>
      <c r="P975" s="66"/>
      <c r="Q975" s="66"/>
      <c r="R975" s="66"/>
      <c r="S975" s="66"/>
      <c r="T975" s="66"/>
      <c r="U975" s="66"/>
    </row>
    <row r="976" ht="15.75" customHeight="1">
      <c r="A976" s="66"/>
      <c r="B976" s="66"/>
      <c r="C976" s="66"/>
      <c r="D976" s="66"/>
      <c r="E976" s="66"/>
      <c r="F976" s="66"/>
      <c r="G976" s="66"/>
      <c r="H976" s="66"/>
      <c r="I976" s="66"/>
      <c r="J976" s="66"/>
      <c r="K976" s="66"/>
      <c r="L976" s="66"/>
      <c r="M976" s="66"/>
      <c r="N976" s="66"/>
      <c r="O976" s="66"/>
      <c r="P976" s="66"/>
      <c r="Q976" s="66"/>
      <c r="R976" s="66"/>
      <c r="S976" s="66"/>
      <c r="T976" s="66"/>
      <c r="U976" s="66"/>
    </row>
    <row r="977" ht="15.75" customHeight="1">
      <c r="A977" s="66"/>
      <c r="B977" s="66"/>
      <c r="C977" s="66"/>
      <c r="D977" s="66"/>
      <c r="E977" s="66"/>
      <c r="F977" s="66"/>
      <c r="G977" s="66"/>
      <c r="H977" s="66"/>
      <c r="I977" s="66"/>
      <c r="J977" s="66"/>
      <c r="K977" s="66"/>
      <c r="L977" s="66"/>
      <c r="M977" s="66"/>
      <c r="N977" s="66"/>
      <c r="O977" s="66"/>
      <c r="P977" s="66"/>
      <c r="Q977" s="66"/>
      <c r="R977" s="66"/>
      <c r="S977" s="66"/>
      <c r="T977" s="66"/>
      <c r="U977" s="66"/>
    </row>
    <row r="978" ht="15.75" customHeight="1">
      <c r="A978" s="66"/>
      <c r="B978" s="66"/>
      <c r="C978" s="66"/>
      <c r="D978" s="66"/>
      <c r="E978" s="66"/>
      <c r="F978" s="66"/>
      <c r="G978" s="66"/>
      <c r="H978" s="66"/>
      <c r="I978" s="66"/>
      <c r="J978" s="66"/>
      <c r="K978" s="66"/>
      <c r="L978" s="66"/>
      <c r="M978" s="66"/>
      <c r="N978" s="66"/>
      <c r="O978" s="66"/>
      <c r="P978" s="66"/>
      <c r="Q978" s="66"/>
      <c r="R978" s="66"/>
      <c r="S978" s="66"/>
      <c r="T978" s="66"/>
      <c r="U978" s="66"/>
    </row>
    <row r="979" ht="15.75" customHeight="1">
      <c r="A979" s="66"/>
      <c r="B979" s="66"/>
      <c r="C979" s="66"/>
      <c r="D979" s="66"/>
      <c r="E979" s="66"/>
      <c r="F979" s="66"/>
      <c r="G979" s="66"/>
      <c r="H979" s="66"/>
      <c r="I979" s="66"/>
      <c r="J979" s="66"/>
      <c r="K979" s="66"/>
      <c r="L979" s="66"/>
      <c r="M979" s="66"/>
      <c r="N979" s="66"/>
      <c r="O979" s="66"/>
      <c r="P979" s="66"/>
      <c r="Q979" s="66"/>
      <c r="R979" s="66"/>
      <c r="S979" s="66"/>
      <c r="T979" s="66"/>
      <c r="U979" s="66"/>
    </row>
    <row r="980" ht="15.75" customHeight="1">
      <c r="A980" s="66"/>
      <c r="B980" s="66"/>
      <c r="C980" s="66"/>
      <c r="D980" s="66"/>
      <c r="E980" s="66"/>
      <c r="F980" s="66"/>
      <c r="G980" s="66"/>
      <c r="H980" s="66"/>
      <c r="I980" s="66"/>
      <c r="J980" s="66"/>
      <c r="K980" s="66"/>
      <c r="L980" s="66"/>
      <c r="M980" s="66"/>
      <c r="N980" s="66"/>
      <c r="O980" s="66"/>
      <c r="P980" s="66"/>
      <c r="Q980" s="66"/>
      <c r="R980" s="66"/>
      <c r="S980" s="66"/>
      <c r="T980" s="66"/>
      <c r="U980" s="66"/>
    </row>
    <row r="981" ht="15.75" customHeight="1">
      <c r="A981" s="66"/>
      <c r="B981" s="66"/>
      <c r="C981" s="66"/>
      <c r="D981" s="66"/>
      <c r="E981" s="66"/>
      <c r="F981" s="66"/>
      <c r="G981" s="66"/>
      <c r="H981" s="66"/>
      <c r="I981" s="66"/>
      <c r="J981" s="66"/>
      <c r="K981" s="66"/>
      <c r="L981" s="66"/>
      <c r="M981" s="66"/>
      <c r="N981" s="66"/>
      <c r="O981" s="66"/>
      <c r="P981" s="66"/>
      <c r="Q981" s="66"/>
      <c r="R981" s="66"/>
      <c r="S981" s="66"/>
      <c r="T981" s="66"/>
      <c r="U981" s="66"/>
    </row>
    <row r="982" ht="15.75" customHeight="1">
      <c r="A982" s="66"/>
      <c r="B982" s="66"/>
      <c r="C982" s="66"/>
      <c r="D982" s="66"/>
      <c r="E982" s="66"/>
      <c r="F982" s="66"/>
      <c r="G982" s="66"/>
      <c r="H982" s="66"/>
      <c r="I982" s="66"/>
      <c r="J982" s="66"/>
      <c r="K982" s="66"/>
      <c r="L982" s="66"/>
      <c r="M982" s="66"/>
      <c r="N982" s="66"/>
      <c r="O982" s="66"/>
      <c r="P982" s="66"/>
      <c r="Q982" s="66"/>
      <c r="R982" s="66"/>
      <c r="S982" s="66"/>
      <c r="T982" s="66"/>
      <c r="U982" s="66"/>
    </row>
    <row r="983" ht="15.75" customHeight="1">
      <c r="A983" s="66"/>
      <c r="B983" s="66"/>
      <c r="C983" s="66"/>
      <c r="D983" s="66"/>
      <c r="E983" s="66"/>
      <c r="F983" s="66"/>
      <c r="G983" s="66"/>
      <c r="H983" s="66"/>
      <c r="I983" s="66"/>
      <c r="J983" s="66"/>
      <c r="K983" s="66"/>
      <c r="L983" s="66"/>
      <c r="M983" s="66"/>
      <c r="N983" s="66"/>
      <c r="O983" s="66"/>
      <c r="P983" s="66"/>
      <c r="Q983" s="66"/>
      <c r="R983" s="66"/>
      <c r="S983" s="66"/>
      <c r="T983" s="66"/>
      <c r="U983" s="66"/>
    </row>
    <row r="984" ht="15.75" customHeight="1">
      <c r="A984" s="66"/>
      <c r="B984" s="66"/>
      <c r="C984" s="66"/>
      <c r="D984" s="66"/>
      <c r="E984" s="66"/>
      <c r="F984" s="66"/>
      <c r="G984" s="66"/>
      <c r="H984" s="66"/>
      <c r="I984" s="66"/>
      <c r="J984" s="66"/>
      <c r="K984" s="66"/>
      <c r="L984" s="66"/>
      <c r="M984" s="66"/>
      <c r="N984" s="66"/>
      <c r="O984" s="66"/>
      <c r="P984" s="66"/>
      <c r="Q984" s="66"/>
      <c r="R984" s="66"/>
      <c r="S984" s="66"/>
      <c r="T984" s="66"/>
      <c r="U984" s="66"/>
    </row>
    <row r="985" ht="15.75" customHeight="1">
      <c r="A985" s="66"/>
      <c r="B985" s="66"/>
      <c r="C985" s="66"/>
      <c r="D985" s="66"/>
      <c r="E985" s="66"/>
      <c r="F985" s="66"/>
      <c r="G985" s="66"/>
      <c r="H985" s="66"/>
      <c r="I985" s="66"/>
      <c r="J985" s="66"/>
      <c r="K985" s="66"/>
      <c r="L985" s="66"/>
      <c r="M985" s="66"/>
      <c r="N985" s="66"/>
      <c r="O985" s="66"/>
      <c r="P985" s="66"/>
      <c r="Q985" s="66"/>
      <c r="R985" s="66"/>
      <c r="S985" s="66"/>
      <c r="T985" s="66"/>
      <c r="U985" s="66"/>
    </row>
    <row r="986" ht="15.75" customHeight="1">
      <c r="A986" s="66"/>
      <c r="B986" s="66"/>
      <c r="C986" s="66"/>
      <c r="D986" s="66"/>
      <c r="E986" s="66"/>
      <c r="F986" s="66"/>
      <c r="G986" s="66"/>
      <c r="H986" s="66"/>
      <c r="I986" s="66"/>
      <c r="J986" s="66"/>
      <c r="K986" s="66"/>
      <c r="L986" s="66"/>
      <c r="M986" s="66"/>
      <c r="N986" s="66"/>
      <c r="O986" s="66"/>
      <c r="P986" s="66"/>
      <c r="Q986" s="66"/>
      <c r="R986" s="66"/>
      <c r="S986" s="66"/>
      <c r="T986" s="66"/>
      <c r="U986" s="66"/>
    </row>
    <row r="987" ht="15.75" customHeight="1">
      <c r="A987" s="66"/>
      <c r="B987" s="66"/>
      <c r="C987" s="66"/>
      <c r="D987" s="66"/>
      <c r="E987" s="66"/>
      <c r="F987" s="66"/>
      <c r="G987" s="66"/>
      <c r="H987" s="66"/>
      <c r="I987" s="66"/>
      <c r="J987" s="66"/>
      <c r="K987" s="66"/>
      <c r="L987" s="66"/>
      <c r="M987" s="66"/>
      <c r="N987" s="66"/>
      <c r="O987" s="66"/>
      <c r="P987" s="66"/>
      <c r="Q987" s="66"/>
      <c r="R987" s="66"/>
      <c r="S987" s="66"/>
      <c r="T987" s="66"/>
      <c r="U987" s="66"/>
    </row>
    <row r="988" ht="15.75" customHeight="1">
      <c r="A988" s="66"/>
      <c r="B988" s="66"/>
      <c r="C988" s="66"/>
      <c r="D988" s="66"/>
      <c r="E988" s="66"/>
      <c r="F988" s="66"/>
      <c r="G988" s="66"/>
      <c r="H988" s="66"/>
      <c r="I988" s="66"/>
      <c r="J988" s="66"/>
      <c r="K988" s="66"/>
      <c r="L988" s="66"/>
      <c r="M988" s="66"/>
      <c r="N988" s="66"/>
      <c r="O988" s="66"/>
      <c r="P988" s="66"/>
      <c r="Q988" s="66"/>
      <c r="R988" s="66"/>
      <c r="S988" s="66"/>
      <c r="T988" s="66"/>
      <c r="U988" s="66"/>
    </row>
    <row r="989" ht="15.75" customHeight="1">
      <c r="A989" s="66"/>
      <c r="B989" s="66"/>
      <c r="C989" s="66"/>
      <c r="D989" s="66"/>
      <c r="E989" s="66"/>
      <c r="F989" s="66"/>
      <c r="G989" s="66"/>
      <c r="H989" s="66"/>
      <c r="I989" s="66"/>
      <c r="J989" s="66"/>
      <c r="K989" s="66"/>
      <c r="L989" s="66"/>
      <c r="M989" s="66"/>
      <c r="N989" s="66"/>
      <c r="O989" s="66"/>
      <c r="P989" s="66"/>
      <c r="Q989" s="66"/>
      <c r="R989" s="66"/>
      <c r="S989" s="66"/>
      <c r="T989" s="66"/>
      <c r="U989" s="66"/>
    </row>
    <row r="990" ht="15.75" customHeight="1">
      <c r="A990" s="66"/>
      <c r="B990" s="66"/>
      <c r="C990" s="66"/>
      <c r="D990" s="66"/>
      <c r="E990" s="66"/>
      <c r="F990" s="66"/>
      <c r="G990" s="66"/>
      <c r="H990" s="66"/>
      <c r="I990" s="66"/>
      <c r="J990" s="66"/>
      <c r="K990" s="66"/>
      <c r="L990" s="66"/>
      <c r="M990" s="66"/>
      <c r="N990" s="66"/>
      <c r="O990" s="66"/>
      <c r="P990" s="66"/>
      <c r="Q990" s="66"/>
      <c r="R990" s="66"/>
      <c r="S990" s="66"/>
      <c r="T990" s="66"/>
      <c r="U990" s="66"/>
    </row>
    <row r="991" ht="15.75" customHeight="1">
      <c r="A991" s="66"/>
      <c r="B991" s="66"/>
      <c r="C991" s="66"/>
      <c r="D991" s="66"/>
      <c r="E991" s="66"/>
      <c r="F991" s="66"/>
      <c r="G991" s="66"/>
      <c r="H991" s="66"/>
      <c r="I991" s="66"/>
      <c r="J991" s="66"/>
      <c r="K991" s="66"/>
      <c r="L991" s="66"/>
      <c r="M991" s="66"/>
      <c r="N991" s="66"/>
      <c r="O991" s="66"/>
      <c r="P991" s="66"/>
      <c r="Q991" s="66"/>
      <c r="R991" s="66"/>
      <c r="S991" s="66"/>
      <c r="T991" s="66"/>
      <c r="U991" s="66"/>
    </row>
    <row r="992" ht="15.75" customHeight="1">
      <c r="A992" s="66"/>
      <c r="B992" s="66"/>
      <c r="C992" s="66"/>
      <c r="D992" s="66"/>
      <c r="E992" s="66"/>
      <c r="F992" s="66"/>
      <c r="G992" s="66"/>
      <c r="H992" s="66"/>
      <c r="I992" s="66"/>
      <c r="J992" s="66"/>
      <c r="K992" s="66"/>
      <c r="L992" s="66"/>
      <c r="M992" s="66"/>
      <c r="N992" s="66"/>
      <c r="O992" s="66"/>
      <c r="P992" s="66"/>
      <c r="Q992" s="66"/>
      <c r="R992" s="66"/>
      <c r="S992" s="66"/>
      <c r="T992" s="66"/>
      <c r="U992" s="66"/>
    </row>
    <row r="993" ht="15.75" customHeight="1">
      <c r="A993" s="66"/>
      <c r="B993" s="66"/>
      <c r="C993" s="66"/>
      <c r="D993" s="66"/>
      <c r="E993" s="66"/>
      <c r="F993" s="66"/>
      <c r="G993" s="66"/>
      <c r="H993" s="66"/>
      <c r="I993" s="66"/>
      <c r="J993" s="66"/>
      <c r="K993" s="66"/>
      <c r="L993" s="66"/>
      <c r="M993" s="66"/>
      <c r="N993" s="66"/>
      <c r="O993" s="66"/>
      <c r="P993" s="66"/>
      <c r="Q993" s="66"/>
      <c r="R993" s="66"/>
      <c r="S993" s="66"/>
      <c r="T993" s="66"/>
      <c r="U993" s="66"/>
    </row>
    <row r="994" ht="15.75" customHeight="1">
      <c r="A994" s="66"/>
      <c r="B994" s="66"/>
      <c r="C994" s="66"/>
      <c r="D994" s="66"/>
      <c r="E994" s="66"/>
      <c r="F994" s="66"/>
      <c r="G994" s="66"/>
      <c r="H994" s="66"/>
      <c r="I994" s="66"/>
      <c r="J994" s="66"/>
      <c r="K994" s="66"/>
      <c r="L994" s="66"/>
      <c r="M994" s="66"/>
      <c r="N994" s="66"/>
      <c r="O994" s="66"/>
      <c r="P994" s="66"/>
      <c r="Q994" s="66"/>
      <c r="R994" s="66"/>
      <c r="S994" s="66"/>
      <c r="T994" s="66"/>
      <c r="U994" s="66"/>
    </row>
    <row r="995" ht="15.75" customHeight="1">
      <c r="A995" s="66"/>
      <c r="B995" s="66"/>
      <c r="C995" s="66"/>
      <c r="D995" s="66"/>
      <c r="E995" s="66"/>
      <c r="F995" s="66"/>
      <c r="G995" s="66"/>
      <c r="H995" s="66"/>
      <c r="I995" s="66"/>
      <c r="J995" s="66"/>
      <c r="K995" s="66"/>
      <c r="L995" s="66"/>
      <c r="M995" s="66"/>
      <c r="N995" s="66"/>
      <c r="O995" s="66"/>
      <c r="P995" s="66"/>
      <c r="Q995" s="66"/>
      <c r="R995" s="66"/>
      <c r="S995" s="66"/>
      <c r="T995" s="66"/>
      <c r="U995" s="66"/>
    </row>
    <row r="996" ht="15.75" customHeight="1">
      <c r="A996" s="66"/>
      <c r="B996" s="66"/>
      <c r="C996" s="66"/>
      <c r="D996" s="66"/>
      <c r="E996" s="66"/>
      <c r="F996" s="66"/>
      <c r="G996" s="66"/>
      <c r="H996" s="66"/>
      <c r="I996" s="66"/>
      <c r="J996" s="66"/>
      <c r="K996" s="66"/>
      <c r="L996" s="66"/>
      <c r="M996" s="66"/>
      <c r="N996" s="66"/>
      <c r="O996" s="66"/>
      <c r="P996" s="66"/>
      <c r="Q996" s="66"/>
      <c r="R996" s="66"/>
      <c r="S996" s="66"/>
      <c r="T996" s="66"/>
      <c r="U996" s="66"/>
    </row>
    <row r="997" ht="15.75" customHeight="1">
      <c r="A997" s="66"/>
      <c r="B997" s="66"/>
      <c r="C997" s="66"/>
      <c r="D997" s="66"/>
      <c r="E997" s="66"/>
      <c r="F997" s="66"/>
      <c r="G997" s="66"/>
      <c r="H997" s="66"/>
      <c r="I997" s="66"/>
      <c r="J997" s="66"/>
      <c r="K997" s="66"/>
      <c r="L997" s="66"/>
      <c r="M997" s="66"/>
      <c r="N997" s="66"/>
      <c r="O997" s="66"/>
      <c r="P997" s="66"/>
      <c r="Q997" s="66"/>
      <c r="R997" s="66"/>
      <c r="S997" s="66"/>
      <c r="T997" s="66"/>
      <c r="U997" s="66"/>
    </row>
    <row r="998" ht="15.75" customHeight="1">
      <c r="A998" s="66"/>
      <c r="B998" s="66"/>
      <c r="C998" s="66"/>
      <c r="D998" s="66"/>
      <c r="E998" s="66"/>
      <c r="F998" s="66"/>
      <c r="G998" s="66"/>
      <c r="H998" s="66"/>
      <c r="I998" s="66"/>
      <c r="J998" s="66"/>
      <c r="K998" s="66"/>
      <c r="L998" s="66"/>
      <c r="M998" s="66"/>
      <c r="N998" s="66"/>
      <c r="O998" s="66"/>
      <c r="P998" s="66"/>
      <c r="Q998" s="66"/>
      <c r="R998" s="66"/>
      <c r="S998" s="66"/>
      <c r="T998" s="66"/>
      <c r="U998" s="66"/>
    </row>
    <row r="999" ht="15.75" customHeight="1">
      <c r="A999" s="66"/>
      <c r="B999" s="66"/>
      <c r="C999" s="66"/>
      <c r="D999" s="66"/>
      <c r="E999" s="66"/>
      <c r="F999" s="66"/>
      <c r="G999" s="66"/>
      <c r="H999" s="66"/>
      <c r="I999" s="66"/>
      <c r="J999" s="66"/>
      <c r="K999" s="66"/>
      <c r="L999" s="66"/>
      <c r="M999" s="66"/>
      <c r="N999" s="66"/>
      <c r="O999" s="66"/>
      <c r="P999" s="66"/>
      <c r="Q999" s="66"/>
      <c r="R999" s="66"/>
      <c r="S999" s="66"/>
      <c r="T999" s="66"/>
      <c r="U999" s="66"/>
    </row>
    <row r="1000" ht="15.75" customHeight="1">
      <c r="A1000" s="66"/>
      <c r="B1000" s="66"/>
      <c r="C1000" s="66"/>
      <c r="D1000" s="66"/>
      <c r="E1000" s="66"/>
      <c r="F1000" s="66"/>
      <c r="G1000" s="66"/>
      <c r="H1000" s="66"/>
      <c r="I1000" s="66"/>
      <c r="J1000" s="66"/>
      <c r="K1000" s="66"/>
      <c r="L1000" s="66"/>
      <c r="M1000" s="66"/>
      <c r="N1000" s="66"/>
      <c r="O1000" s="66"/>
      <c r="P1000" s="66"/>
      <c r="Q1000" s="66"/>
      <c r="R1000" s="66"/>
      <c r="S1000" s="66"/>
      <c r="T1000" s="66"/>
      <c r="U1000" s="66"/>
    </row>
    <row r="1001" ht="15.75" customHeight="1">
      <c r="A1001" s="66"/>
      <c r="B1001" s="66"/>
      <c r="C1001" s="66"/>
      <c r="D1001" s="66"/>
      <c r="E1001" s="66"/>
      <c r="F1001" s="66"/>
      <c r="G1001" s="66"/>
      <c r="H1001" s="66"/>
      <c r="I1001" s="66"/>
      <c r="J1001" s="66"/>
      <c r="K1001" s="66"/>
      <c r="L1001" s="66"/>
      <c r="M1001" s="66"/>
      <c r="N1001" s="66"/>
      <c r="O1001" s="66"/>
      <c r="P1001" s="66"/>
      <c r="Q1001" s="66"/>
      <c r="R1001" s="66"/>
      <c r="S1001" s="66"/>
      <c r="T1001" s="66"/>
      <c r="U1001" s="66"/>
    </row>
    <row r="1002" ht="15.75" customHeight="1">
      <c r="A1002" s="66"/>
      <c r="B1002" s="66"/>
      <c r="C1002" s="66"/>
      <c r="D1002" s="66"/>
      <c r="E1002" s="66"/>
      <c r="F1002" s="66"/>
      <c r="G1002" s="66"/>
      <c r="H1002" s="66"/>
      <c r="I1002" s="66"/>
      <c r="J1002" s="66"/>
      <c r="K1002" s="66"/>
      <c r="L1002" s="66"/>
      <c r="M1002" s="66"/>
      <c r="N1002" s="66"/>
      <c r="O1002" s="66"/>
      <c r="P1002" s="66"/>
      <c r="Q1002" s="66"/>
      <c r="R1002" s="66"/>
      <c r="S1002" s="66"/>
      <c r="T1002" s="66"/>
      <c r="U1002" s="66"/>
    </row>
  </sheetData>
  <hyperlinks>
    <hyperlink r:id="rId2" ref="D36"/>
    <hyperlink r:id="rId3" ref="D37"/>
    <hyperlink r:id="rId4" location="gid=749313039" ref="D38"/>
  </hyperlinks>
  <drawing r:id="rId5"/>
  <legacy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1" ht="15.75" customHeight="1">
      <c r="A1" s="66" t="str">
        <f>IFERROR(__xludf.DUMMYFUNCTION("SORT(UNIQUE({'HelperSheet-AuthorSplit'!B:B;'HelperSheet-AuthorSplit'!C:C;'HelperSheet-AuthorSplit'!D:D;'HelperSheet-AuthorSplit'!E:E;'HelperSheet-AuthorSplit'!F:F;'HelperSheet-AuthorSplit'!G:G;'HelperSheet-AuthorSplit'!H:H;'HelperSheet-AuthorSplit'!I:I;'H"&amp;"elperSheet-AuthorSplit'!J:J;'HelperSheet-AuthorSplit'!K:K;'HelperSheet-AuthorSplit'!L:L;'HelperSheet-AuthorSplit'!M:M;'HelperSheet-AuthorSplit'!N:N;'HelperSheet-AuthorSplit'!O:O;'HelperSheet-AuthorSplit'!P:P;'HelperSheet-AuthorSplit'!Q:Q;'HelperSheet-Auth"&amp;"orSplit'!R:R}))"),"#REF!")</f>
        <v>#REF!</v>
      </c>
      <c r="B1" s="83"/>
    </row>
    <row r="2" ht="15.75" customHeight="1">
      <c r="A2" s="66" t="s">
        <v>6144</v>
      </c>
      <c r="B2" s="83"/>
    </row>
    <row r="3" ht="15.75" customHeight="1">
      <c r="A3" s="66" t="s">
        <v>6145</v>
      </c>
      <c r="B3" s="83"/>
    </row>
    <row r="4" ht="15.75" customHeight="1">
      <c r="A4" s="66" t="s">
        <v>6146</v>
      </c>
      <c r="B4" s="83"/>
    </row>
    <row r="5" ht="15.75" customHeight="1">
      <c r="A5" s="66" t="s">
        <v>6147</v>
      </c>
      <c r="B5" s="83"/>
    </row>
    <row r="6" ht="15.75" customHeight="1">
      <c r="A6" s="66" t="s">
        <v>6148</v>
      </c>
      <c r="B6" s="83"/>
    </row>
    <row r="7" ht="15.75" customHeight="1">
      <c r="A7" s="66" t="s">
        <v>6149</v>
      </c>
      <c r="B7" s="83"/>
    </row>
    <row r="8" ht="15.75" customHeight="1">
      <c r="A8" s="66" t="s">
        <v>6150</v>
      </c>
      <c r="B8" s="83"/>
    </row>
    <row r="9" ht="15.75" customHeight="1">
      <c r="A9" s="66" t="s">
        <v>6151</v>
      </c>
      <c r="B9" s="83"/>
    </row>
    <row r="10" ht="15.75" customHeight="1">
      <c r="A10" s="66" t="s">
        <v>6152</v>
      </c>
      <c r="B10" s="83"/>
    </row>
    <row r="11" ht="15.75" customHeight="1">
      <c r="A11" s="66" t="s">
        <v>6153</v>
      </c>
      <c r="B11" s="83"/>
    </row>
    <row r="12" ht="15.75" customHeight="1">
      <c r="A12" s="66" t="s">
        <v>6154</v>
      </c>
      <c r="B12" s="83"/>
    </row>
    <row r="13" ht="15.75" customHeight="1">
      <c r="A13" s="66" t="s">
        <v>6155</v>
      </c>
      <c r="B13" s="83"/>
    </row>
    <row r="14" ht="15.75" customHeight="1">
      <c r="A14" s="66" t="s">
        <v>6156</v>
      </c>
      <c r="B14" s="83"/>
    </row>
    <row r="15" ht="15.75" customHeight="1">
      <c r="A15" s="66" t="s">
        <v>6157</v>
      </c>
      <c r="B15" s="83"/>
    </row>
    <row r="16" ht="15.75" customHeight="1">
      <c r="A16" s="66" t="s">
        <v>6158</v>
      </c>
      <c r="B16" s="83"/>
    </row>
    <row r="17" ht="15.75" customHeight="1">
      <c r="A17" s="66" t="s">
        <v>6159</v>
      </c>
      <c r="B17" s="83"/>
    </row>
    <row r="18" ht="15.75" customHeight="1">
      <c r="A18" s="66" t="s">
        <v>6160</v>
      </c>
      <c r="B18" s="83"/>
    </row>
    <row r="19" ht="15.75" customHeight="1">
      <c r="A19" s="66" t="s">
        <v>6161</v>
      </c>
      <c r="B19" s="83"/>
    </row>
    <row r="20" ht="15.75" customHeight="1">
      <c r="A20" s="66" t="s">
        <v>6162</v>
      </c>
      <c r="B20" s="83"/>
    </row>
    <row r="21" ht="15.75" customHeight="1">
      <c r="A21" s="66" t="s">
        <v>6163</v>
      </c>
      <c r="B21" s="83"/>
    </row>
    <row r="22" ht="15.75" customHeight="1">
      <c r="A22" s="66" t="s">
        <v>6164</v>
      </c>
      <c r="B22" s="83"/>
    </row>
    <row r="23" ht="15.75" customHeight="1">
      <c r="A23" s="66" t="s">
        <v>6165</v>
      </c>
      <c r="B23" s="83"/>
    </row>
    <row r="24" ht="15.75" customHeight="1">
      <c r="A24" s="66" t="s">
        <v>6166</v>
      </c>
      <c r="B24" s="83"/>
    </row>
    <row r="25" ht="15.75" customHeight="1">
      <c r="A25" s="66" t="s">
        <v>6167</v>
      </c>
      <c r="B25" s="83"/>
    </row>
    <row r="26" ht="15.75" customHeight="1">
      <c r="A26" s="66" t="s">
        <v>6168</v>
      </c>
      <c r="B26" s="83"/>
    </row>
    <row r="27" ht="15.75" customHeight="1">
      <c r="A27" s="66" t="s">
        <v>6169</v>
      </c>
      <c r="B27" s="83"/>
    </row>
    <row r="28" ht="15.75" customHeight="1">
      <c r="A28" s="66" t="s">
        <v>6170</v>
      </c>
      <c r="B28" s="83"/>
    </row>
    <row r="29" ht="15.75" customHeight="1">
      <c r="A29" s="66" t="s">
        <v>6171</v>
      </c>
      <c r="B29" s="83"/>
    </row>
    <row r="30" ht="15.75" customHeight="1">
      <c r="A30" s="66" t="s">
        <v>6172</v>
      </c>
      <c r="B30" s="83"/>
    </row>
    <row r="31" ht="15.75" customHeight="1">
      <c r="A31" s="66" t="s">
        <v>6173</v>
      </c>
      <c r="B31" s="83"/>
    </row>
    <row r="32" ht="15.75" customHeight="1">
      <c r="A32" s="66" t="s">
        <v>6174</v>
      </c>
      <c r="B32" s="83"/>
    </row>
    <row r="33" ht="15.75" customHeight="1">
      <c r="A33" s="66" t="s">
        <v>6175</v>
      </c>
      <c r="B33" s="83"/>
    </row>
    <row r="34" ht="15.75" customHeight="1">
      <c r="A34" s="66" t="s">
        <v>6176</v>
      </c>
      <c r="B34" s="83"/>
    </row>
    <row r="35" ht="15.75" customHeight="1">
      <c r="A35" s="66" t="s">
        <v>6177</v>
      </c>
      <c r="B35" s="83"/>
    </row>
    <row r="36" ht="15.75" customHeight="1">
      <c r="A36" s="66" t="s">
        <v>6178</v>
      </c>
      <c r="B36" s="83"/>
    </row>
    <row r="37" ht="15.75" customHeight="1">
      <c r="A37" s="66" t="s">
        <v>6179</v>
      </c>
      <c r="B37" s="83"/>
    </row>
    <row r="38" ht="15.75" customHeight="1">
      <c r="A38" s="66" t="s">
        <v>6180</v>
      </c>
      <c r="B38" s="83"/>
    </row>
    <row r="39" ht="15.75" customHeight="1">
      <c r="A39" s="66" t="s">
        <v>6181</v>
      </c>
      <c r="B39" s="83"/>
    </row>
    <row r="40" ht="15.75" customHeight="1">
      <c r="A40" s="66" t="s">
        <v>6182</v>
      </c>
      <c r="B40" s="83"/>
    </row>
    <row r="41" ht="15.75" customHeight="1">
      <c r="A41" s="66" t="s">
        <v>6183</v>
      </c>
      <c r="B41" s="83"/>
    </row>
    <row r="42" ht="15.75" customHeight="1">
      <c r="A42" s="66" t="s">
        <v>6184</v>
      </c>
      <c r="B42" s="83"/>
    </row>
    <row r="43" ht="15.75" customHeight="1">
      <c r="A43" s="66" t="s">
        <v>6185</v>
      </c>
      <c r="B43" s="83"/>
    </row>
    <row r="44" ht="15.75" customHeight="1">
      <c r="A44" s="66" t="s">
        <v>6186</v>
      </c>
      <c r="B44" s="83"/>
    </row>
    <row r="45" ht="15.75" customHeight="1">
      <c r="A45" s="66" t="s">
        <v>6187</v>
      </c>
      <c r="B45" s="83"/>
    </row>
    <row r="46" ht="15.75" customHeight="1">
      <c r="A46" s="66" t="s">
        <v>6188</v>
      </c>
      <c r="B46" s="83"/>
    </row>
    <row r="47" ht="15.75" customHeight="1">
      <c r="A47" s="66" t="s">
        <v>6189</v>
      </c>
      <c r="B47" s="83"/>
    </row>
    <row r="48" ht="15.75" customHeight="1">
      <c r="A48" s="66" t="s">
        <v>6190</v>
      </c>
      <c r="B48" s="83"/>
    </row>
    <row r="49" ht="15.75" customHeight="1">
      <c r="A49" s="66" t="s">
        <v>6191</v>
      </c>
      <c r="B49" s="83"/>
    </row>
    <row r="50" ht="15.75" customHeight="1">
      <c r="A50" s="66" t="s">
        <v>6192</v>
      </c>
      <c r="B50" s="83"/>
    </row>
    <row r="51" ht="15.75" customHeight="1">
      <c r="A51" s="66" t="s">
        <v>6193</v>
      </c>
      <c r="B51" s="83"/>
    </row>
    <row r="52" ht="15.75" customHeight="1">
      <c r="A52" s="66" t="s">
        <v>6194</v>
      </c>
      <c r="B52" s="83"/>
    </row>
    <row r="53" ht="15.75" customHeight="1">
      <c r="A53" s="66" t="s">
        <v>6195</v>
      </c>
      <c r="B53" s="83"/>
    </row>
    <row r="54" ht="15.75" customHeight="1">
      <c r="A54" s="66" t="s">
        <v>6196</v>
      </c>
      <c r="B54" s="83"/>
    </row>
    <row r="55" ht="15.75" customHeight="1">
      <c r="A55" s="66" t="s">
        <v>6197</v>
      </c>
      <c r="B55" s="83"/>
    </row>
    <row r="56" ht="15.75" customHeight="1">
      <c r="A56" s="66" t="s">
        <v>6198</v>
      </c>
      <c r="B56" s="83"/>
    </row>
    <row r="57" ht="15.75" customHeight="1">
      <c r="A57" s="66" t="s">
        <v>6199</v>
      </c>
      <c r="B57" s="83"/>
    </row>
    <row r="58" ht="15.75" customHeight="1">
      <c r="A58" s="66" t="s">
        <v>6200</v>
      </c>
      <c r="B58" s="83"/>
    </row>
    <row r="59" ht="15.75" customHeight="1">
      <c r="A59" s="66" t="s">
        <v>6201</v>
      </c>
      <c r="B59" s="83"/>
    </row>
    <row r="60" ht="15.75" customHeight="1">
      <c r="A60" s="66" t="s">
        <v>6202</v>
      </c>
      <c r="B60" s="83"/>
    </row>
    <row r="61" ht="15.75" customHeight="1">
      <c r="A61" s="66" t="s">
        <v>6203</v>
      </c>
      <c r="B61" s="83"/>
    </row>
    <row r="62" ht="15.75" customHeight="1">
      <c r="A62" s="66" t="s">
        <v>6204</v>
      </c>
      <c r="B62" s="83"/>
    </row>
    <row r="63" ht="15.75" customHeight="1">
      <c r="A63" s="66" t="s">
        <v>6205</v>
      </c>
      <c r="B63" s="83"/>
    </row>
    <row r="64" ht="15.75" customHeight="1">
      <c r="A64" s="66" t="s">
        <v>6206</v>
      </c>
      <c r="B64" s="83"/>
    </row>
    <row r="65" ht="15.75" customHeight="1">
      <c r="A65" s="66" t="s">
        <v>6207</v>
      </c>
      <c r="B65" s="83"/>
    </row>
    <row r="66" ht="15.75" customHeight="1">
      <c r="A66" s="66" t="s">
        <v>6208</v>
      </c>
      <c r="B66" s="83"/>
    </row>
    <row r="67" ht="15.75" customHeight="1">
      <c r="A67" s="66" t="s">
        <v>6209</v>
      </c>
      <c r="B67" s="83"/>
    </row>
    <row r="68" ht="15.75" customHeight="1">
      <c r="A68" s="66" t="s">
        <v>6210</v>
      </c>
      <c r="B68" s="83"/>
    </row>
    <row r="69" ht="15.75" customHeight="1">
      <c r="A69" s="66" t="s">
        <v>6211</v>
      </c>
      <c r="B69" s="83"/>
    </row>
    <row r="70" ht="15.75" customHeight="1">
      <c r="A70" s="66" t="s">
        <v>6212</v>
      </c>
      <c r="B70" s="83"/>
    </row>
    <row r="71" ht="15.75" customHeight="1">
      <c r="A71" s="66" t="s">
        <v>6213</v>
      </c>
      <c r="B71" s="83"/>
    </row>
    <row r="72" ht="15.75" customHeight="1">
      <c r="A72" s="66" t="s">
        <v>6214</v>
      </c>
      <c r="B72" s="83"/>
    </row>
    <row r="73" ht="15.75" customHeight="1">
      <c r="A73" s="66" t="s">
        <v>6215</v>
      </c>
      <c r="B73" s="83"/>
    </row>
    <row r="74" ht="15.75" customHeight="1">
      <c r="A74" s="66" t="s">
        <v>6216</v>
      </c>
      <c r="B74" s="83"/>
    </row>
    <row r="75" ht="15.75" customHeight="1">
      <c r="A75" s="66" t="s">
        <v>6217</v>
      </c>
      <c r="B75" s="83"/>
    </row>
    <row r="76" ht="15.75" customHeight="1">
      <c r="A76" s="66" t="s">
        <v>6218</v>
      </c>
      <c r="B76" s="83"/>
    </row>
    <row r="77" ht="15.75" customHeight="1">
      <c r="A77" s="66" t="s">
        <v>6219</v>
      </c>
      <c r="B77" s="83"/>
    </row>
    <row r="78" ht="15.75" customHeight="1">
      <c r="A78" s="66" t="s">
        <v>6220</v>
      </c>
      <c r="B78" s="83"/>
    </row>
    <row r="79" ht="15.75" customHeight="1">
      <c r="A79" s="66" t="s">
        <v>6221</v>
      </c>
      <c r="B79" s="83"/>
    </row>
    <row r="80" ht="15.75" customHeight="1">
      <c r="A80" s="66" t="s">
        <v>6222</v>
      </c>
      <c r="B80" s="83"/>
    </row>
    <row r="81" ht="15.75" customHeight="1">
      <c r="A81" s="66" t="s">
        <v>6223</v>
      </c>
      <c r="B81" s="83"/>
    </row>
    <row r="82" ht="15.75" customHeight="1">
      <c r="A82" s="66" t="s">
        <v>6224</v>
      </c>
      <c r="B82" s="83"/>
    </row>
    <row r="83" ht="15.75" customHeight="1">
      <c r="A83" s="66" t="s">
        <v>6225</v>
      </c>
      <c r="B83" s="83"/>
    </row>
    <row r="84" ht="15.75" customHeight="1">
      <c r="A84" s="66" t="s">
        <v>6226</v>
      </c>
      <c r="B84" s="83"/>
    </row>
    <row r="85" ht="15.75" customHeight="1">
      <c r="A85" s="66" t="s">
        <v>6227</v>
      </c>
      <c r="B85" s="83"/>
    </row>
    <row r="86" ht="15.75" customHeight="1">
      <c r="A86" s="66" t="s">
        <v>6228</v>
      </c>
      <c r="B86" s="83"/>
    </row>
    <row r="87" ht="15.75" customHeight="1">
      <c r="A87" s="66" t="s">
        <v>6229</v>
      </c>
      <c r="B87" s="83"/>
    </row>
    <row r="88" ht="15.75" customHeight="1">
      <c r="A88" s="66" t="s">
        <v>6230</v>
      </c>
      <c r="B88" s="83"/>
    </row>
    <row r="89" ht="15.75" customHeight="1">
      <c r="A89" s="66" t="s">
        <v>6231</v>
      </c>
      <c r="B89" s="83"/>
    </row>
    <row r="90" ht="15.75" customHeight="1">
      <c r="A90" s="66" t="s">
        <v>6232</v>
      </c>
      <c r="B90" s="83"/>
    </row>
    <row r="91" ht="15.75" customHeight="1">
      <c r="A91" s="66" t="s">
        <v>6233</v>
      </c>
      <c r="B91" s="83"/>
    </row>
    <row r="92" ht="15.75" customHeight="1">
      <c r="A92" s="66" t="s">
        <v>6234</v>
      </c>
      <c r="B92" s="83"/>
    </row>
    <row r="93" ht="15.75" customHeight="1">
      <c r="A93" s="66" t="s">
        <v>6235</v>
      </c>
      <c r="B93" s="83"/>
    </row>
    <row r="94" ht="15.75" customHeight="1">
      <c r="A94" s="66" t="s">
        <v>6236</v>
      </c>
      <c r="B94" s="83"/>
    </row>
    <row r="95" ht="15.75" customHeight="1">
      <c r="A95" s="66" t="s">
        <v>6237</v>
      </c>
      <c r="B95" s="83"/>
    </row>
    <row r="96" ht="15.75" customHeight="1">
      <c r="A96" s="66" t="s">
        <v>6238</v>
      </c>
      <c r="B96" s="83"/>
    </row>
    <row r="97" ht="15.75" customHeight="1">
      <c r="A97" s="66" t="s">
        <v>6239</v>
      </c>
      <c r="B97" s="83"/>
    </row>
    <row r="98" ht="15.75" customHeight="1">
      <c r="A98" s="66" t="s">
        <v>6240</v>
      </c>
      <c r="B98" s="83"/>
    </row>
    <row r="99" ht="15.75" customHeight="1">
      <c r="A99" s="66" t="s">
        <v>6241</v>
      </c>
      <c r="B99" s="83"/>
    </row>
    <row r="100" ht="15.75" customHeight="1">
      <c r="A100" s="66" t="s">
        <v>6242</v>
      </c>
      <c r="B100" s="83"/>
    </row>
    <row r="101" ht="15.75" customHeight="1">
      <c r="A101" s="66" t="s">
        <v>6243</v>
      </c>
      <c r="B101" s="83"/>
    </row>
    <row r="102" ht="15.75" customHeight="1">
      <c r="A102" s="66" t="s">
        <v>6244</v>
      </c>
      <c r="B102" s="83"/>
    </row>
    <row r="103" ht="15.75" customHeight="1">
      <c r="A103" s="66" t="s">
        <v>6245</v>
      </c>
      <c r="B103" s="83"/>
    </row>
    <row r="104" ht="15.75" customHeight="1">
      <c r="A104" s="66" t="s">
        <v>6246</v>
      </c>
      <c r="B104" s="83"/>
    </row>
    <row r="105" ht="15.75" customHeight="1">
      <c r="A105" s="66" t="s">
        <v>6247</v>
      </c>
      <c r="B105" s="83"/>
    </row>
    <row r="106" ht="15.75" customHeight="1">
      <c r="A106" s="66" t="s">
        <v>6248</v>
      </c>
      <c r="B106" s="83"/>
    </row>
    <row r="107" ht="15.75" customHeight="1">
      <c r="A107" s="66" t="s">
        <v>6249</v>
      </c>
      <c r="B107" s="83"/>
    </row>
    <row r="108" ht="15.75" customHeight="1">
      <c r="A108" s="66" t="s">
        <v>6250</v>
      </c>
      <c r="B108" s="83"/>
    </row>
    <row r="109" ht="15.75" customHeight="1">
      <c r="A109" s="66" t="s">
        <v>6251</v>
      </c>
      <c r="B109" s="83"/>
    </row>
    <row r="110" ht="15.75" customHeight="1">
      <c r="A110" s="66" t="s">
        <v>6252</v>
      </c>
      <c r="B110" s="83"/>
    </row>
    <row r="111" ht="15.75" customHeight="1">
      <c r="A111" s="66" t="s">
        <v>6253</v>
      </c>
      <c r="B111" s="83"/>
    </row>
    <row r="112" ht="15.75" customHeight="1">
      <c r="A112" s="66" t="s">
        <v>6254</v>
      </c>
      <c r="B112" s="83"/>
    </row>
    <row r="113" ht="15.75" customHeight="1">
      <c r="A113" s="66" t="s">
        <v>6255</v>
      </c>
      <c r="B113" s="83"/>
    </row>
    <row r="114" ht="15.75" customHeight="1">
      <c r="A114" s="66" t="s">
        <v>6256</v>
      </c>
      <c r="B114" s="83"/>
    </row>
    <row r="115" ht="15.75" customHeight="1">
      <c r="A115" s="66" t="s">
        <v>6257</v>
      </c>
      <c r="B115" s="83"/>
    </row>
    <row r="116" ht="15.75" customHeight="1">
      <c r="A116" s="66" t="s">
        <v>6259</v>
      </c>
      <c r="B116" s="83"/>
    </row>
    <row r="117" ht="15.75" customHeight="1">
      <c r="A117" s="66" t="s">
        <v>6263</v>
      </c>
      <c r="B117" s="83"/>
    </row>
    <row r="118" ht="15.75" customHeight="1">
      <c r="A118" s="66" t="s">
        <v>6265</v>
      </c>
      <c r="B118" s="83"/>
    </row>
    <row r="119" ht="15.75" customHeight="1">
      <c r="A119" s="66" t="s">
        <v>6267</v>
      </c>
      <c r="B119" s="83"/>
    </row>
    <row r="120" ht="15.75" customHeight="1">
      <c r="A120" s="66" t="s">
        <v>6268</v>
      </c>
      <c r="B120" s="83"/>
    </row>
    <row r="121" ht="15.75" customHeight="1">
      <c r="A121" s="66" t="s">
        <v>6269</v>
      </c>
      <c r="B121" s="83"/>
    </row>
    <row r="122" ht="15.75" customHeight="1">
      <c r="A122" s="66" t="s">
        <v>6271</v>
      </c>
      <c r="B122" s="83"/>
    </row>
    <row r="123" ht="15.75" customHeight="1">
      <c r="A123" s="66" t="s">
        <v>6273</v>
      </c>
      <c r="B123" s="83"/>
    </row>
    <row r="124" ht="15.75" customHeight="1">
      <c r="A124" s="66" t="s">
        <v>6274</v>
      </c>
      <c r="B124" s="83"/>
    </row>
    <row r="125" ht="15.75" customHeight="1">
      <c r="A125" s="66" t="s">
        <v>6276</v>
      </c>
      <c r="B125" s="83"/>
    </row>
    <row r="126" ht="15.75" customHeight="1">
      <c r="A126" s="66" t="s">
        <v>6277</v>
      </c>
      <c r="B126" s="83"/>
    </row>
    <row r="127" ht="15.75" customHeight="1">
      <c r="A127" s="66" t="s">
        <v>6278</v>
      </c>
      <c r="B127" s="83"/>
    </row>
    <row r="128" ht="15.75" customHeight="1">
      <c r="A128" s="66" t="s">
        <v>6279</v>
      </c>
      <c r="B128" s="83"/>
    </row>
    <row r="129" ht="15.75" customHeight="1">
      <c r="A129" s="66" t="s">
        <v>6280</v>
      </c>
      <c r="B129" s="83"/>
    </row>
    <row r="130" ht="15.75" customHeight="1">
      <c r="A130" s="66" t="s">
        <v>6281</v>
      </c>
      <c r="B130" s="83"/>
    </row>
    <row r="131" ht="15.75" customHeight="1">
      <c r="A131" s="66" t="s">
        <v>6282</v>
      </c>
      <c r="B131" s="83"/>
    </row>
    <row r="132" ht="15.75" customHeight="1">
      <c r="A132" s="66" t="s">
        <v>6283</v>
      </c>
      <c r="B132" s="83"/>
    </row>
    <row r="133" ht="15.75" customHeight="1">
      <c r="A133" s="66" t="s">
        <v>6284</v>
      </c>
      <c r="B133" s="83"/>
    </row>
    <row r="134" ht="15.75" customHeight="1">
      <c r="A134" s="66" t="s">
        <v>6285</v>
      </c>
      <c r="B134" s="83"/>
    </row>
    <row r="135" ht="15.75" customHeight="1">
      <c r="A135" s="66" t="s">
        <v>6286</v>
      </c>
      <c r="B135" s="83"/>
    </row>
    <row r="136" ht="15.75" customHeight="1">
      <c r="A136" s="66" t="s">
        <v>6287</v>
      </c>
      <c r="B136" s="83"/>
    </row>
    <row r="137" ht="15.75" customHeight="1">
      <c r="A137" s="66" t="s">
        <v>6288</v>
      </c>
      <c r="B137" s="83"/>
    </row>
    <row r="138" ht="15.75" customHeight="1">
      <c r="A138" s="66" t="s">
        <v>6289</v>
      </c>
      <c r="B138" s="83"/>
    </row>
    <row r="139" ht="15.75" customHeight="1">
      <c r="A139" s="66" t="s">
        <v>6290</v>
      </c>
      <c r="B139" s="83"/>
    </row>
    <row r="140" ht="15.75" customHeight="1">
      <c r="A140" s="66" t="s">
        <v>6291</v>
      </c>
      <c r="B140" s="83"/>
    </row>
    <row r="141" ht="15.75" customHeight="1">
      <c r="A141" s="66" t="s">
        <v>6292</v>
      </c>
      <c r="B141" s="83"/>
    </row>
    <row r="142" ht="15.75" customHeight="1">
      <c r="A142" s="66" t="s">
        <v>6293</v>
      </c>
      <c r="B142" s="83"/>
    </row>
    <row r="143" ht="15.75" customHeight="1">
      <c r="A143" s="66" t="s">
        <v>6294</v>
      </c>
      <c r="B143" s="83"/>
    </row>
    <row r="144" ht="15.75" customHeight="1">
      <c r="A144" s="66" t="s">
        <v>6295</v>
      </c>
      <c r="B144" s="83"/>
    </row>
    <row r="145" ht="15.75" customHeight="1">
      <c r="A145" s="66" t="s">
        <v>6296</v>
      </c>
      <c r="B145" s="83"/>
    </row>
    <row r="146" ht="15.75" customHeight="1">
      <c r="A146" s="66" t="s">
        <v>6297</v>
      </c>
      <c r="B146" s="83"/>
    </row>
    <row r="147" ht="15.75" customHeight="1">
      <c r="A147" s="66" t="s">
        <v>6299</v>
      </c>
      <c r="B147" s="83"/>
    </row>
    <row r="148" ht="15.75" customHeight="1">
      <c r="A148" s="66" t="s">
        <v>6301</v>
      </c>
      <c r="B148" s="83"/>
    </row>
    <row r="149" ht="15.75" customHeight="1">
      <c r="A149" s="66" t="s">
        <v>6303</v>
      </c>
      <c r="B149" s="83"/>
    </row>
    <row r="150" ht="15.75" customHeight="1">
      <c r="A150" s="66" t="s">
        <v>6304</v>
      </c>
      <c r="B150" s="83"/>
    </row>
    <row r="151" ht="15.75" customHeight="1">
      <c r="A151" s="66" t="s">
        <v>6305</v>
      </c>
      <c r="B151" s="83"/>
    </row>
    <row r="152" ht="15.75" customHeight="1">
      <c r="A152" s="66" t="s">
        <v>6306</v>
      </c>
      <c r="B152" s="83"/>
    </row>
    <row r="153" ht="15.75" customHeight="1">
      <c r="A153" s="66" t="s">
        <v>6307</v>
      </c>
      <c r="B153" s="83"/>
    </row>
    <row r="154" ht="15.75" customHeight="1">
      <c r="A154" s="66" t="s">
        <v>6308</v>
      </c>
      <c r="B154" s="83"/>
    </row>
    <row r="155" ht="15.75" customHeight="1">
      <c r="A155" s="66" t="s">
        <v>6309</v>
      </c>
      <c r="B155" s="83"/>
    </row>
    <row r="156" ht="15.75" customHeight="1">
      <c r="A156" s="66" t="s">
        <v>6310</v>
      </c>
      <c r="B156" s="83"/>
    </row>
    <row r="157" ht="15.75" customHeight="1">
      <c r="A157" s="66" t="s">
        <v>6311</v>
      </c>
      <c r="B157" s="83"/>
    </row>
    <row r="158" ht="15.75" customHeight="1">
      <c r="A158" s="66" t="s">
        <v>6312</v>
      </c>
      <c r="B158" s="83"/>
    </row>
    <row r="159" ht="15.75" customHeight="1">
      <c r="A159" s="66" t="s">
        <v>6313</v>
      </c>
      <c r="B159" s="83"/>
    </row>
    <row r="160" ht="15.75" customHeight="1">
      <c r="A160" s="66" t="s">
        <v>6314</v>
      </c>
      <c r="B160" s="83"/>
    </row>
    <row r="161" ht="15.75" customHeight="1">
      <c r="A161" s="66" t="s">
        <v>6315</v>
      </c>
      <c r="B161" s="83"/>
    </row>
    <row r="162" ht="15.75" customHeight="1">
      <c r="A162" s="66" t="s">
        <v>6316</v>
      </c>
      <c r="B162" s="83"/>
    </row>
    <row r="163" ht="15.75" customHeight="1">
      <c r="A163" s="66" t="s">
        <v>6317</v>
      </c>
      <c r="B163" s="83"/>
    </row>
    <row r="164" ht="15.75" customHeight="1">
      <c r="A164" s="66" t="s">
        <v>6318</v>
      </c>
      <c r="B164" s="83"/>
    </row>
    <row r="165" ht="15.75" customHeight="1">
      <c r="A165" s="66" t="s">
        <v>6319</v>
      </c>
      <c r="B165" s="83"/>
    </row>
    <row r="166" ht="15.75" customHeight="1">
      <c r="A166" s="66" t="s">
        <v>6320</v>
      </c>
      <c r="B166" s="83"/>
    </row>
    <row r="167" ht="15.75" customHeight="1">
      <c r="A167" s="66" t="s">
        <v>2271</v>
      </c>
      <c r="B167" s="83"/>
    </row>
    <row r="168" ht="15.75" customHeight="1">
      <c r="A168" s="66" t="s">
        <v>6321</v>
      </c>
      <c r="B168" s="83"/>
    </row>
    <row r="169" ht="15.75" customHeight="1">
      <c r="A169" s="66" t="s">
        <v>6322</v>
      </c>
      <c r="B169" s="83"/>
    </row>
    <row r="170" ht="15.75" customHeight="1">
      <c r="A170" s="66" t="s">
        <v>6323</v>
      </c>
      <c r="B170" s="83"/>
    </row>
    <row r="171" ht="15.75" customHeight="1">
      <c r="A171" s="66" t="s">
        <v>6324</v>
      </c>
      <c r="B171" s="83"/>
    </row>
    <row r="172" ht="15.75" customHeight="1">
      <c r="A172" s="66" t="s">
        <v>6325</v>
      </c>
      <c r="B172" s="83"/>
    </row>
    <row r="173" ht="15.75" customHeight="1">
      <c r="A173" s="66" t="s">
        <v>6326</v>
      </c>
      <c r="B173" s="83"/>
    </row>
    <row r="174" ht="15.75" customHeight="1">
      <c r="A174" s="66" t="s">
        <v>6327</v>
      </c>
      <c r="B174" s="83"/>
    </row>
    <row r="175" ht="15.75" customHeight="1">
      <c r="A175" s="66" t="s">
        <v>6328</v>
      </c>
      <c r="B175" s="83"/>
    </row>
    <row r="176" ht="15.75" customHeight="1">
      <c r="A176" s="66" t="s">
        <v>6329</v>
      </c>
      <c r="B176" s="83"/>
    </row>
    <row r="177" ht="15.75" customHeight="1">
      <c r="A177" s="66" t="s">
        <v>6331</v>
      </c>
      <c r="B177" s="83"/>
    </row>
    <row r="178" ht="15.75" customHeight="1">
      <c r="A178" s="66" t="s">
        <v>6333</v>
      </c>
      <c r="B178" s="83"/>
    </row>
    <row r="179" ht="15.75" customHeight="1">
      <c r="A179" s="66" t="s">
        <v>6334</v>
      </c>
      <c r="B179" s="83"/>
    </row>
    <row r="180" ht="15.75" customHeight="1">
      <c r="A180" s="66" t="s">
        <v>6335</v>
      </c>
      <c r="B180" s="83"/>
    </row>
    <row r="181" ht="15.75" customHeight="1">
      <c r="A181" s="66" t="s">
        <v>6336</v>
      </c>
      <c r="B181" s="83"/>
    </row>
    <row r="182" ht="15.75" customHeight="1">
      <c r="A182" s="66" t="s">
        <v>6337</v>
      </c>
      <c r="B182" s="83"/>
    </row>
    <row r="183" ht="15.75" customHeight="1">
      <c r="A183" s="66" t="s">
        <v>6338</v>
      </c>
      <c r="B183" s="83"/>
    </row>
    <row r="184" ht="15.75" customHeight="1">
      <c r="A184" s="66" t="s">
        <v>6339</v>
      </c>
      <c r="B184" s="83"/>
    </row>
    <row r="185" ht="15.75" customHeight="1">
      <c r="A185" s="66" t="s">
        <v>6340</v>
      </c>
      <c r="B185" s="83"/>
    </row>
    <row r="186" ht="15.75" customHeight="1">
      <c r="A186" s="66" t="s">
        <v>6342</v>
      </c>
      <c r="B186" s="83"/>
    </row>
    <row r="187" ht="15.75" customHeight="1">
      <c r="A187" s="66" t="s">
        <v>6344</v>
      </c>
      <c r="B187" s="83"/>
    </row>
    <row r="188" ht="15.75" customHeight="1">
      <c r="A188" s="66" t="s">
        <v>6345</v>
      </c>
      <c r="B188" s="83"/>
    </row>
    <row r="189" ht="15.75" customHeight="1">
      <c r="A189" s="66" t="s">
        <v>6346</v>
      </c>
      <c r="B189" s="83"/>
    </row>
    <row r="190" ht="15.75" customHeight="1">
      <c r="A190" s="66" t="s">
        <v>6347</v>
      </c>
      <c r="B190" s="83"/>
    </row>
    <row r="191" ht="15.75" customHeight="1">
      <c r="A191" s="66" t="s">
        <v>6348</v>
      </c>
      <c r="B191" s="83"/>
    </row>
    <row r="192" ht="15.75" customHeight="1">
      <c r="A192" s="66" t="s">
        <v>6350</v>
      </c>
      <c r="B192" s="83"/>
    </row>
    <row r="193" ht="15.75" customHeight="1">
      <c r="A193" s="66" t="s">
        <v>6352</v>
      </c>
      <c r="B193" s="83"/>
    </row>
    <row r="194" ht="15.75" customHeight="1">
      <c r="A194" s="66" t="s">
        <v>6354</v>
      </c>
      <c r="B194" s="83"/>
    </row>
    <row r="195" ht="15.75" customHeight="1">
      <c r="A195" s="66" t="s">
        <v>6356</v>
      </c>
      <c r="B195" s="83"/>
    </row>
    <row r="196" ht="15.75" customHeight="1">
      <c r="A196" s="66" t="s">
        <v>6358</v>
      </c>
      <c r="B196" s="83"/>
    </row>
    <row r="197" ht="15.75" customHeight="1">
      <c r="A197" s="66" t="s">
        <v>6360</v>
      </c>
      <c r="B197" s="83"/>
    </row>
    <row r="198" ht="15.75" customHeight="1">
      <c r="A198" s="66" t="s">
        <v>6361</v>
      </c>
      <c r="B198" s="83"/>
    </row>
    <row r="199" ht="15.75" customHeight="1">
      <c r="A199" s="66" t="s">
        <v>6362</v>
      </c>
      <c r="B199" s="83"/>
    </row>
    <row r="200" ht="15.75" customHeight="1">
      <c r="A200" s="66" t="s">
        <v>6363</v>
      </c>
      <c r="B200" s="83"/>
    </row>
    <row r="201" ht="15.75" customHeight="1">
      <c r="A201" s="66" t="s">
        <v>6364</v>
      </c>
      <c r="B201" s="83"/>
    </row>
    <row r="202" ht="15.75" customHeight="1">
      <c r="A202" s="66" t="s">
        <v>6365</v>
      </c>
      <c r="B202" s="83"/>
    </row>
    <row r="203" ht="15.75" customHeight="1">
      <c r="A203" s="66" t="s">
        <v>6366</v>
      </c>
      <c r="B203" s="83"/>
    </row>
    <row r="204" ht="15.75" customHeight="1">
      <c r="A204" s="66" t="s">
        <v>6367</v>
      </c>
      <c r="B204" s="83"/>
    </row>
    <row r="205" ht="15.75" customHeight="1">
      <c r="A205" s="66" t="s">
        <v>6368</v>
      </c>
      <c r="B205" s="83"/>
    </row>
    <row r="206" ht="15.75" customHeight="1">
      <c r="A206" s="66" t="s">
        <v>6369</v>
      </c>
      <c r="B206" s="83"/>
    </row>
    <row r="207" ht="15.75" customHeight="1">
      <c r="A207" s="66" t="s">
        <v>6370</v>
      </c>
      <c r="B207" s="83"/>
    </row>
    <row r="208" ht="15.75" customHeight="1">
      <c r="A208" s="66" t="s">
        <v>6371</v>
      </c>
      <c r="B208" s="83"/>
    </row>
    <row r="209" ht="15.75" customHeight="1">
      <c r="A209" s="66" t="s">
        <v>6372</v>
      </c>
      <c r="B209" s="83"/>
    </row>
    <row r="210" ht="15.75" customHeight="1">
      <c r="A210" s="66" t="s">
        <v>6373</v>
      </c>
      <c r="B210" s="83"/>
    </row>
    <row r="211" ht="15.75" customHeight="1">
      <c r="A211" s="66" t="s">
        <v>6374</v>
      </c>
      <c r="B211" s="83"/>
    </row>
    <row r="212" ht="15.75" customHeight="1">
      <c r="A212" s="66" t="s">
        <v>6375</v>
      </c>
      <c r="B212" s="83"/>
    </row>
    <row r="213" ht="15.75" customHeight="1">
      <c r="A213" s="66" t="s">
        <v>6376</v>
      </c>
      <c r="B213" s="83"/>
    </row>
    <row r="214" ht="15.75" customHeight="1">
      <c r="A214" s="66" t="s">
        <v>6378</v>
      </c>
      <c r="B214" s="83"/>
    </row>
    <row r="215" ht="15.75" customHeight="1">
      <c r="A215" s="66" t="s">
        <v>6380</v>
      </c>
      <c r="B215" s="83"/>
    </row>
    <row r="216" ht="15.75" customHeight="1">
      <c r="A216" s="66" t="s">
        <v>6382</v>
      </c>
      <c r="B216" s="83"/>
    </row>
    <row r="217" ht="15.75" customHeight="1">
      <c r="A217" s="66" t="s">
        <v>6384</v>
      </c>
      <c r="B217" s="83"/>
    </row>
    <row r="218" ht="15.75" customHeight="1">
      <c r="A218" s="66" t="s">
        <v>6386</v>
      </c>
      <c r="B218" s="83"/>
    </row>
    <row r="219" ht="15.75" customHeight="1">
      <c r="A219" s="66" t="s">
        <v>6387</v>
      </c>
      <c r="B219" s="83"/>
    </row>
    <row r="220" ht="15.75" customHeight="1">
      <c r="A220" s="66" t="s">
        <v>6388</v>
      </c>
      <c r="B220" s="83"/>
    </row>
    <row r="221" ht="15.75" customHeight="1">
      <c r="A221" s="66" t="s">
        <v>6389</v>
      </c>
      <c r="B221" s="83"/>
    </row>
    <row r="222" ht="15.75" customHeight="1">
      <c r="A222" s="66" t="s">
        <v>6390</v>
      </c>
      <c r="B222" s="83"/>
    </row>
    <row r="223" ht="15.75" customHeight="1">
      <c r="A223" s="66" t="s">
        <v>6391</v>
      </c>
      <c r="B223" s="83"/>
    </row>
    <row r="224" ht="15.75" customHeight="1">
      <c r="A224" s="66" t="s">
        <v>6392</v>
      </c>
      <c r="B224" s="83"/>
    </row>
    <row r="225" ht="15.75" customHeight="1">
      <c r="A225" s="66" t="s">
        <v>6393</v>
      </c>
      <c r="B225" s="83"/>
    </row>
    <row r="226" ht="15.75" customHeight="1">
      <c r="A226" s="66" t="s">
        <v>6394</v>
      </c>
      <c r="B226" s="83"/>
    </row>
    <row r="227" ht="15.75" customHeight="1">
      <c r="A227" s="66" t="s">
        <v>6396</v>
      </c>
      <c r="B227" s="83"/>
    </row>
    <row r="228" ht="15.75" customHeight="1">
      <c r="A228" s="66" t="s">
        <v>6398</v>
      </c>
      <c r="B228" s="83"/>
    </row>
    <row r="229" ht="15.75" customHeight="1">
      <c r="A229" s="66" t="s">
        <v>6400</v>
      </c>
      <c r="B229" s="83"/>
    </row>
    <row r="230" ht="15.75" customHeight="1">
      <c r="A230" s="66" t="s">
        <v>6401</v>
      </c>
      <c r="B230" s="83"/>
    </row>
    <row r="231" ht="15.75" customHeight="1">
      <c r="A231" s="66" t="s">
        <v>6402</v>
      </c>
      <c r="B231" s="83"/>
    </row>
    <row r="232" ht="15.75" customHeight="1">
      <c r="A232" s="66" t="s">
        <v>6403</v>
      </c>
      <c r="B232" s="83"/>
    </row>
    <row r="233" ht="15.75" customHeight="1">
      <c r="A233" s="66" t="s">
        <v>6404</v>
      </c>
      <c r="B233" s="83"/>
    </row>
    <row r="234" ht="15.75" customHeight="1">
      <c r="A234" s="66" t="s">
        <v>6405</v>
      </c>
      <c r="B234" s="83"/>
    </row>
    <row r="235" ht="15.75" customHeight="1">
      <c r="A235" s="66" t="s">
        <v>6406</v>
      </c>
      <c r="B235" s="83"/>
    </row>
    <row r="236" ht="15.75" customHeight="1">
      <c r="A236" s="66" t="s">
        <v>6407</v>
      </c>
      <c r="B236" s="83"/>
    </row>
    <row r="237" ht="15.75" customHeight="1">
      <c r="A237" s="66" t="s">
        <v>6408</v>
      </c>
      <c r="B237" s="83"/>
    </row>
    <row r="238" ht="15.75" customHeight="1">
      <c r="A238" s="66" t="s">
        <v>6409</v>
      </c>
      <c r="B238" s="83"/>
    </row>
    <row r="239" ht="15.75" customHeight="1">
      <c r="A239" s="66" t="s">
        <v>6410</v>
      </c>
      <c r="B239" s="83"/>
    </row>
    <row r="240" ht="15.75" customHeight="1">
      <c r="A240" s="66" t="s">
        <v>6412</v>
      </c>
      <c r="B240" s="83"/>
    </row>
    <row r="241" ht="15.75" customHeight="1">
      <c r="A241" s="66" t="s">
        <v>6414</v>
      </c>
      <c r="B241" s="83"/>
    </row>
    <row r="242" ht="15.75" customHeight="1">
      <c r="A242" s="66" t="s">
        <v>6415</v>
      </c>
      <c r="B242" s="83"/>
    </row>
    <row r="243" ht="15.75" customHeight="1">
      <c r="A243" s="66" t="s">
        <v>6416</v>
      </c>
      <c r="B243" s="83"/>
    </row>
    <row r="244" ht="15.75" customHeight="1">
      <c r="A244" s="66" t="s">
        <v>6417</v>
      </c>
      <c r="B244" s="83"/>
    </row>
    <row r="245" ht="15.75" customHeight="1">
      <c r="A245" s="66" t="s">
        <v>6418</v>
      </c>
      <c r="B245" s="83"/>
    </row>
    <row r="246" ht="15.75" customHeight="1">
      <c r="A246" s="66" t="s">
        <v>6419</v>
      </c>
      <c r="B246" s="83"/>
    </row>
    <row r="247" ht="15.75" customHeight="1">
      <c r="A247" s="66" t="s">
        <v>6420</v>
      </c>
      <c r="B247" s="83"/>
    </row>
    <row r="248" ht="15.75" customHeight="1">
      <c r="A248" s="66" t="s">
        <v>6421</v>
      </c>
      <c r="B248" s="83"/>
    </row>
    <row r="249" ht="15.75" customHeight="1">
      <c r="A249" s="66" t="s">
        <v>6422</v>
      </c>
      <c r="B249" s="83"/>
    </row>
    <row r="250" ht="15.75" customHeight="1">
      <c r="A250" s="66" t="s">
        <v>6423</v>
      </c>
      <c r="B250" s="83"/>
    </row>
    <row r="251" ht="15.75" customHeight="1">
      <c r="A251" s="66" t="s">
        <v>6424</v>
      </c>
      <c r="B251" s="83"/>
    </row>
    <row r="252" ht="15.75" customHeight="1">
      <c r="A252" s="66" t="s">
        <v>6425</v>
      </c>
      <c r="B252" s="83"/>
    </row>
    <row r="253" ht="15.75" customHeight="1">
      <c r="A253" s="66" t="s">
        <v>6426</v>
      </c>
      <c r="B253" s="83"/>
    </row>
    <row r="254" ht="15.75" customHeight="1">
      <c r="A254" s="66" t="s">
        <v>6427</v>
      </c>
      <c r="B254" s="83"/>
    </row>
    <row r="255" ht="15.75" customHeight="1">
      <c r="A255" s="66" t="s">
        <v>6428</v>
      </c>
      <c r="B255" s="83"/>
    </row>
    <row r="256" ht="15.75" customHeight="1">
      <c r="A256" s="66" t="s">
        <v>6429</v>
      </c>
      <c r="B256" s="83"/>
    </row>
    <row r="257" ht="15.75" customHeight="1">
      <c r="A257" s="66" t="s">
        <v>6430</v>
      </c>
      <c r="B257" s="83"/>
    </row>
    <row r="258" ht="15.75" customHeight="1">
      <c r="A258" s="66" t="s">
        <v>6432</v>
      </c>
      <c r="B258" s="83"/>
    </row>
    <row r="259" ht="15.75" customHeight="1">
      <c r="A259" s="66" t="s">
        <v>6433</v>
      </c>
      <c r="B259" s="83"/>
    </row>
    <row r="260" ht="15.75" customHeight="1">
      <c r="A260" s="66" t="s">
        <v>6434</v>
      </c>
      <c r="B260" s="83"/>
    </row>
    <row r="261" ht="15.75" customHeight="1">
      <c r="A261" s="66" t="s">
        <v>6436</v>
      </c>
      <c r="B261" s="83"/>
    </row>
    <row r="262" ht="15.75" customHeight="1">
      <c r="A262" s="66" t="s">
        <v>6438</v>
      </c>
      <c r="B262" s="83"/>
    </row>
    <row r="263" ht="15.75" customHeight="1">
      <c r="A263" s="66" t="s">
        <v>6441</v>
      </c>
      <c r="B263" s="83"/>
    </row>
    <row r="264" ht="15.75" customHeight="1">
      <c r="A264" s="66" t="s">
        <v>6442</v>
      </c>
      <c r="B264" s="83"/>
    </row>
    <row r="265" ht="15.75" customHeight="1">
      <c r="A265" s="66" t="s">
        <v>6443</v>
      </c>
      <c r="B265" s="83"/>
    </row>
    <row r="266" ht="15.75" customHeight="1">
      <c r="A266" s="66" t="s">
        <v>6445</v>
      </c>
      <c r="B266" s="83"/>
    </row>
    <row r="267" ht="15.75" customHeight="1">
      <c r="A267" s="66" t="s">
        <v>6446</v>
      </c>
      <c r="B267" s="83"/>
    </row>
    <row r="268" ht="15.75" customHeight="1">
      <c r="A268" s="66" t="s">
        <v>6448</v>
      </c>
      <c r="B268" s="83"/>
    </row>
    <row r="269" ht="15.75" customHeight="1">
      <c r="A269" s="66" t="s">
        <v>6450</v>
      </c>
      <c r="B269" s="83"/>
    </row>
    <row r="270" ht="15.75" customHeight="1">
      <c r="A270" s="66" t="s">
        <v>6452</v>
      </c>
      <c r="B270" s="83"/>
    </row>
    <row r="271" ht="15.75" customHeight="1">
      <c r="A271" s="66" t="s">
        <v>6453</v>
      </c>
      <c r="B271" s="83"/>
    </row>
    <row r="272" ht="15.75" customHeight="1">
      <c r="A272" s="66" t="s">
        <v>6454</v>
      </c>
      <c r="B272" s="83"/>
    </row>
    <row r="273" ht="15.75" customHeight="1">
      <c r="A273" s="66" t="s">
        <v>6455</v>
      </c>
      <c r="B273" s="83"/>
    </row>
    <row r="274" ht="15.75" customHeight="1">
      <c r="A274" s="66" t="s">
        <v>6456</v>
      </c>
      <c r="B274" s="83"/>
    </row>
    <row r="275" ht="15.75" customHeight="1">
      <c r="A275" s="66" t="s">
        <v>6457</v>
      </c>
      <c r="B275" s="83"/>
    </row>
    <row r="276" ht="15.75" customHeight="1">
      <c r="A276" s="66" t="s">
        <v>6458</v>
      </c>
      <c r="B276" s="83"/>
    </row>
    <row r="277" ht="15.75" customHeight="1">
      <c r="A277" s="66" t="s">
        <v>6459</v>
      </c>
      <c r="B277" s="83"/>
    </row>
    <row r="278" ht="15.75" customHeight="1">
      <c r="A278" s="66" t="s">
        <v>6460</v>
      </c>
      <c r="B278" s="83"/>
    </row>
    <row r="279" ht="15.75" customHeight="1">
      <c r="A279" s="66" t="s">
        <v>6461</v>
      </c>
      <c r="B279" s="83"/>
    </row>
    <row r="280" ht="15.75" customHeight="1">
      <c r="A280" s="66" t="s">
        <v>6462</v>
      </c>
      <c r="B280" s="83"/>
    </row>
    <row r="281" ht="15.75" customHeight="1">
      <c r="A281" s="66" t="s">
        <v>6463</v>
      </c>
      <c r="B281" s="83"/>
    </row>
    <row r="282" ht="15.75" customHeight="1">
      <c r="A282" s="66" t="s">
        <v>6464</v>
      </c>
      <c r="B282" s="83"/>
    </row>
    <row r="283" ht="15.75" customHeight="1">
      <c r="A283" s="66" t="s">
        <v>6466</v>
      </c>
      <c r="B283" s="83"/>
    </row>
    <row r="284" ht="15.75" customHeight="1">
      <c r="A284" s="66" t="s">
        <v>6468</v>
      </c>
      <c r="B284" s="83"/>
    </row>
    <row r="285" ht="15.75" customHeight="1">
      <c r="A285" s="66" t="s">
        <v>6469</v>
      </c>
      <c r="B285" s="83"/>
    </row>
    <row r="286" ht="15.75" customHeight="1">
      <c r="A286" s="66" t="s">
        <v>6470</v>
      </c>
      <c r="B286" s="83"/>
    </row>
    <row r="287" ht="15.75" customHeight="1">
      <c r="A287" s="66" t="s">
        <v>6471</v>
      </c>
      <c r="B287" s="83"/>
    </row>
    <row r="288" ht="15.75" customHeight="1">
      <c r="A288" s="66" t="s">
        <v>6472</v>
      </c>
      <c r="B288" s="83"/>
    </row>
    <row r="289" ht="15.75" customHeight="1">
      <c r="A289" s="66" t="s">
        <v>6473</v>
      </c>
      <c r="B289" s="83"/>
    </row>
    <row r="290" ht="15.75" customHeight="1">
      <c r="A290" s="66" t="s">
        <v>6474</v>
      </c>
      <c r="B290" s="83"/>
    </row>
    <row r="291" ht="15.75" customHeight="1">
      <c r="A291" s="66" t="s">
        <v>6475</v>
      </c>
      <c r="B291" s="83"/>
    </row>
    <row r="292" ht="15.75" customHeight="1">
      <c r="A292" s="66" t="s">
        <v>6476</v>
      </c>
      <c r="B292" s="83"/>
    </row>
    <row r="293" ht="15.75" customHeight="1">
      <c r="A293" s="66" t="s">
        <v>6477</v>
      </c>
      <c r="B293" s="83"/>
    </row>
    <row r="294" ht="15.75" customHeight="1">
      <c r="A294" s="66" t="s">
        <v>6478</v>
      </c>
      <c r="B294" s="83"/>
    </row>
    <row r="295" ht="15.75" customHeight="1">
      <c r="A295" s="66" t="s">
        <v>6479</v>
      </c>
      <c r="B295" s="83"/>
    </row>
    <row r="296" ht="15.75" customHeight="1">
      <c r="A296" s="66" t="s">
        <v>6480</v>
      </c>
      <c r="B296" s="83"/>
    </row>
    <row r="297" ht="15.75" customHeight="1">
      <c r="A297" s="66" t="s">
        <v>6483</v>
      </c>
      <c r="B297" s="83"/>
    </row>
    <row r="298" ht="15.75" customHeight="1">
      <c r="A298" s="66" t="s">
        <v>6484</v>
      </c>
      <c r="B298" s="83"/>
    </row>
    <row r="299" ht="15.75" customHeight="1">
      <c r="A299" s="66" t="s">
        <v>6485</v>
      </c>
      <c r="B299" s="83"/>
    </row>
    <row r="300" ht="15.75" customHeight="1">
      <c r="A300" s="66" t="s">
        <v>6486</v>
      </c>
      <c r="B300" s="83"/>
    </row>
    <row r="301" ht="15.75" customHeight="1">
      <c r="A301" s="66" t="s">
        <v>6489</v>
      </c>
      <c r="B301" s="83"/>
    </row>
    <row r="302" ht="15.75" customHeight="1">
      <c r="A302" s="66" t="s">
        <v>6491</v>
      </c>
      <c r="B302" s="83"/>
    </row>
    <row r="303" ht="15.75" customHeight="1">
      <c r="A303" s="66" t="s">
        <v>6492</v>
      </c>
      <c r="B303" s="83"/>
    </row>
    <row r="304" ht="15.75" customHeight="1">
      <c r="A304" s="66" t="s">
        <v>6493</v>
      </c>
      <c r="B304" s="83"/>
    </row>
    <row r="305" ht="15.75" customHeight="1">
      <c r="A305" s="66" t="s">
        <v>6495</v>
      </c>
      <c r="B305" s="83"/>
    </row>
    <row r="306" ht="15.75" customHeight="1">
      <c r="A306" s="66" t="s">
        <v>6496</v>
      </c>
      <c r="B306" s="83"/>
    </row>
    <row r="307" ht="15.75" customHeight="1">
      <c r="A307" s="66" t="s">
        <v>6498</v>
      </c>
      <c r="B307" s="83"/>
    </row>
    <row r="308" ht="15.75" customHeight="1">
      <c r="A308" s="66" t="s">
        <v>6499</v>
      </c>
      <c r="B308" s="83"/>
    </row>
    <row r="309" ht="15.75" customHeight="1">
      <c r="A309" s="66" t="s">
        <v>6500</v>
      </c>
      <c r="B309" s="83"/>
    </row>
    <row r="310" ht="15.75" customHeight="1">
      <c r="A310" s="66" t="s">
        <v>6501</v>
      </c>
      <c r="B310" s="83"/>
    </row>
    <row r="311" ht="15.75" customHeight="1">
      <c r="A311" s="66" t="s">
        <v>6502</v>
      </c>
      <c r="B311" s="83"/>
    </row>
    <row r="312" ht="15.75" customHeight="1">
      <c r="A312" s="66" t="s">
        <v>6503</v>
      </c>
      <c r="B312" s="83"/>
    </row>
    <row r="313" ht="15.75" customHeight="1">
      <c r="A313" s="66" t="s">
        <v>6504</v>
      </c>
      <c r="B313" s="83"/>
    </row>
    <row r="314" ht="15.75" customHeight="1">
      <c r="A314" s="66" t="s">
        <v>6505</v>
      </c>
      <c r="B314" s="83"/>
    </row>
    <row r="315" ht="15.75" customHeight="1">
      <c r="A315" s="66" t="s">
        <v>6506</v>
      </c>
      <c r="B315" s="83"/>
    </row>
    <row r="316" ht="15.75" customHeight="1">
      <c r="A316" s="66" t="s">
        <v>6507</v>
      </c>
      <c r="B316" s="83"/>
    </row>
    <row r="317" ht="15.75" customHeight="1">
      <c r="A317" s="66" t="s">
        <v>6508</v>
      </c>
      <c r="B317" s="83"/>
    </row>
    <row r="318" ht="15.75" customHeight="1">
      <c r="A318" s="66" t="s">
        <v>6509</v>
      </c>
      <c r="B318" s="83"/>
    </row>
    <row r="319" ht="15.75" customHeight="1">
      <c r="A319" s="66" t="s">
        <v>6510</v>
      </c>
      <c r="B319" s="83"/>
    </row>
    <row r="320" ht="15.75" customHeight="1">
      <c r="A320" s="66" t="s">
        <v>6511</v>
      </c>
      <c r="B320" s="83"/>
    </row>
    <row r="321" ht="15.75" customHeight="1">
      <c r="A321" s="66" t="s">
        <v>6513</v>
      </c>
      <c r="B321" s="83"/>
    </row>
    <row r="322" ht="15.75" customHeight="1">
      <c r="A322" s="66" t="s">
        <v>6515</v>
      </c>
      <c r="B322" s="83"/>
    </row>
    <row r="323" ht="15.75" customHeight="1">
      <c r="A323" s="66" t="s">
        <v>6516</v>
      </c>
      <c r="B323" s="83"/>
    </row>
    <row r="324" ht="15.75" customHeight="1">
      <c r="A324" s="66" t="s">
        <v>6517</v>
      </c>
      <c r="B324" s="83"/>
    </row>
    <row r="325" ht="15.75" customHeight="1">
      <c r="A325" s="66" t="s">
        <v>6518</v>
      </c>
      <c r="B325" s="83"/>
    </row>
    <row r="326" ht="15.75" customHeight="1">
      <c r="A326" s="66" t="s">
        <v>6520</v>
      </c>
      <c r="B326" s="83"/>
    </row>
    <row r="327" ht="15.75" customHeight="1">
      <c r="A327" s="66" t="s">
        <v>6521</v>
      </c>
      <c r="B327" s="83"/>
    </row>
    <row r="328" ht="15.75" customHeight="1">
      <c r="A328" s="66" t="s">
        <v>6522</v>
      </c>
      <c r="B328" s="83"/>
    </row>
    <row r="329" ht="15.75" customHeight="1">
      <c r="A329" s="66" t="s">
        <v>6523</v>
      </c>
      <c r="B329" s="83"/>
    </row>
    <row r="330" ht="15.75" customHeight="1">
      <c r="A330" s="66" t="s">
        <v>6524</v>
      </c>
      <c r="B330" s="83"/>
    </row>
    <row r="331" ht="15.75" customHeight="1">
      <c r="A331" s="66" t="s">
        <v>6525</v>
      </c>
      <c r="B331" s="83"/>
    </row>
    <row r="332" ht="15.75" customHeight="1">
      <c r="A332" s="66" t="s">
        <v>6528</v>
      </c>
      <c r="B332" s="83"/>
    </row>
    <row r="333" ht="15.75" customHeight="1">
      <c r="A333" s="66" t="s">
        <v>6530</v>
      </c>
      <c r="B333" s="83"/>
    </row>
    <row r="334" ht="15.75" customHeight="1">
      <c r="A334" s="66" t="s">
        <v>6531</v>
      </c>
      <c r="B334" s="83"/>
    </row>
    <row r="335" ht="15.75" customHeight="1">
      <c r="A335" s="66" t="s">
        <v>6532</v>
      </c>
      <c r="B335" s="83"/>
    </row>
    <row r="336" ht="15.75" customHeight="1">
      <c r="A336" s="66" t="s">
        <v>6533</v>
      </c>
      <c r="B336" s="83"/>
    </row>
    <row r="337" ht="15.75" customHeight="1">
      <c r="A337" s="66" t="s">
        <v>6534</v>
      </c>
      <c r="B337" s="83"/>
    </row>
    <row r="338" ht="15.75" customHeight="1">
      <c r="A338" s="66" t="s">
        <v>6535</v>
      </c>
      <c r="B338" s="83"/>
    </row>
    <row r="339" ht="15.75" customHeight="1">
      <c r="A339" s="66" t="s">
        <v>6536</v>
      </c>
      <c r="B339" s="83"/>
    </row>
    <row r="340" ht="15.75" customHeight="1">
      <c r="A340" s="66" t="s">
        <v>6537</v>
      </c>
      <c r="B340" s="83"/>
    </row>
    <row r="341" ht="15.75" customHeight="1">
      <c r="A341" s="66" t="s">
        <v>6538</v>
      </c>
      <c r="B341" s="83"/>
    </row>
    <row r="342" ht="15.75" customHeight="1">
      <c r="A342" s="66" t="s">
        <v>6539</v>
      </c>
      <c r="B342" s="83"/>
    </row>
    <row r="343" ht="15.75" customHeight="1">
      <c r="A343" s="66" t="s">
        <v>6541</v>
      </c>
      <c r="B343" s="83"/>
    </row>
    <row r="344" ht="15.75" customHeight="1">
      <c r="A344" s="66" t="s">
        <v>6542</v>
      </c>
      <c r="B344" s="83"/>
    </row>
    <row r="345" ht="15.75" customHeight="1">
      <c r="A345" s="66" t="s">
        <v>6545</v>
      </c>
      <c r="B345" s="83"/>
    </row>
    <row r="346" ht="15.75" customHeight="1">
      <c r="A346" s="66" t="s">
        <v>6546</v>
      </c>
      <c r="B346" s="83"/>
    </row>
    <row r="347" ht="15.75" customHeight="1">
      <c r="A347" s="66" t="s">
        <v>6547</v>
      </c>
      <c r="B347" s="83"/>
    </row>
    <row r="348" ht="15.75" customHeight="1">
      <c r="A348" s="66" t="s">
        <v>6548</v>
      </c>
      <c r="B348" s="83"/>
    </row>
    <row r="349" ht="15.75" customHeight="1">
      <c r="A349" s="66" t="s">
        <v>6549</v>
      </c>
      <c r="B349" s="83"/>
    </row>
    <row r="350" ht="15.75" customHeight="1">
      <c r="A350" s="66" t="s">
        <v>6550</v>
      </c>
      <c r="B350" s="83"/>
    </row>
    <row r="351" ht="15.75" customHeight="1">
      <c r="A351" s="66" t="s">
        <v>6551</v>
      </c>
      <c r="B351" s="83"/>
    </row>
    <row r="352" ht="15.75" customHeight="1">
      <c r="A352" s="66" t="s">
        <v>6552</v>
      </c>
      <c r="B352" s="83"/>
    </row>
    <row r="353" ht="15.75" customHeight="1">
      <c r="A353" s="66" t="s">
        <v>6553</v>
      </c>
      <c r="B353" s="83"/>
    </row>
    <row r="354" ht="15.75" customHeight="1">
      <c r="A354" s="66" t="s">
        <v>6554</v>
      </c>
      <c r="B354" s="83"/>
    </row>
    <row r="355" ht="15.75" customHeight="1">
      <c r="A355" s="66" t="s">
        <v>6557</v>
      </c>
      <c r="B355" s="83"/>
    </row>
    <row r="356" ht="15.75" customHeight="1">
      <c r="A356" s="66" t="s">
        <v>6559</v>
      </c>
      <c r="B356" s="83"/>
    </row>
    <row r="357" ht="15.75" customHeight="1">
      <c r="A357" s="66" t="s">
        <v>6561</v>
      </c>
      <c r="B357" s="83"/>
    </row>
    <row r="358" ht="15.75" customHeight="1">
      <c r="A358" s="66" t="s">
        <v>6562</v>
      </c>
      <c r="B358" s="83"/>
    </row>
    <row r="359" ht="15.75" customHeight="1">
      <c r="A359" s="66" t="s">
        <v>6564</v>
      </c>
      <c r="B359" s="83"/>
    </row>
    <row r="360" ht="15.75" customHeight="1">
      <c r="A360" s="66" t="s">
        <v>6566</v>
      </c>
      <c r="B360" s="83"/>
    </row>
    <row r="361" ht="15.75" customHeight="1">
      <c r="A361" s="66" t="s">
        <v>6568</v>
      </c>
      <c r="B361" s="83"/>
    </row>
    <row r="362" ht="15.75" customHeight="1">
      <c r="A362" s="66" t="s">
        <v>6569</v>
      </c>
      <c r="B362" s="83"/>
    </row>
    <row r="363" ht="15.75" customHeight="1">
      <c r="A363" s="66" t="s">
        <v>6570</v>
      </c>
      <c r="B363" s="83"/>
    </row>
    <row r="364" ht="15.75" customHeight="1">
      <c r="A364" s="66" t="s">
        <v>6571</v>
      </c>
      <c r="B364" s="83"/>
    </row>
    <row r="365" ht="15.75" customHeight="1">
      <c r="A365" s="66" t="s">
        <v>6572</v>
      </c>
      <c r="B365" s="83"/>
    </row>
    <row r="366" ht="15.75" customHeight="1">
      <c r="A366" s="66" t="s">
        <v>6573</v>
      </c>
      <c r="B366" s="83"/>
    </row>
    <row r="367" ht="15.75" customHeight="1">
      <c r="A367" s="66" t="s">
        <v>6574</v>
      </c>
      <c r="B367" s="83"/>
    </row>
    <row r="368" ht="15.75" customHeight="1">
      <c r="A368" s="66" t="s">
        <v>6575</v>
      </c>
      <c r="B368" s="83"/>
    </row>
    <row r="369" ht="15.75" customHeight="1">
      <c r="A369" s="66" t="s">
        <v>6576</v>
      </c>
      <c r="B369" s="83"/>
    </row>
    <row r="370" ht="15.75" customHeight="1">
      <c r="A370" s="66" t="s">
        <v>6577</v>
      </c>
      <c r="B370" s="83"/>
    </row>
    <row r="371" ht="15.75" customHeight="1">
      <c r="A371" s="66" t="s">
        <v>6578</v>
      </c>
      <c r="B371" s="83"/>
    </row>
    <row r="372" ht="15.75" customHeight="1">
      <c r="A372" s="66" t="s">
        <v>6579</v>
      </c>
      <c r="B372" s="83"/>
    </row>
    <row r="373" ht="15.75" customHeight="1">
      <c r="A373" s="66" t="s">
        <v>6580</v>
      </c>
      <c r="B373" s="83"/>
    </row>
    <row r="374" ht="15.75" customHeight="1">
      <c r="A374" s="66" t="s">
        <v>6582</v>
      </c>
      <c r="B374" s="83"/>
    </row>
    <row r="375" ht="15.75" customHeight="1">
      <c r="A375" s="66" t="s">
        <v>6584</v>
      </c>
      <c r="B375" s="83"/>
    </row>
    <row r="376" ht="15.75" customHeight="1">
      <c r="A376" s="66" t="s">
        <v>6586</v>
      </c>
      <c r="B376" s="83"/>
    </row>
    <row r="377" ht="15.75" customHeight="1">
      <c r="A377" s="66" t="s">
        <v>6587</v>
      </c>
      <c r="B377" s="83"/>
    </row>
    <row r="378" ht="15.75" customHeight="1">
      <c r="A378" s="66" t="s">
        <v>6588</v>
      </c>
      <c r="B378" s="83"/>
    </row>
    <row r="379" ht="15.75" customHeight="1">
      <c r="A379" s="66" t="s">
        <v>6589</v>
      </c>
      <c r="B379" s="83"/>
    </row>
    <row r="380" ht="15.75" customHeight="1">
      <c r="A380" s="66" t="s">
        <v>6590</v>
      </c>
      <c r="B380" s="83"/>
    </row>
    <row r="381" ht="15.75" customHeight="1">
      <c r="A381" s="66" t="s">
        <v>6591</v>
      </c>
      <c r="B381" s="83"/>
    </row>
    <row r="382" ht="15.75" customHeight="1">
      <c r="A382" s="66" t="s">
        <v>6592</v>
      </c>
      <c r="B382" s="83"/>
    </row>
    <row r="383" ht="15.75" customHeight="1">
      <c r="A383" s="66" t="s">
        <v>6593</v>
      </c>
      <c r="B383" s="83"/>
    </row>
    <row r="384" ht="15.75" customHeight="1">
      <c r="A384" s="66" t="s">
        <v>6594</v>
      </c>
      <c r="B384" s="83"/>
    </row>
    <row r="385" ht="15.75" customHeight="1">
      <c r="A385" s="66" t="s">
        <v>6595</v>
      </c>
      <c r="B385" s="83"/>
    </row>
    <row r="386" ht="15.75" customHeight="1">
      <c r="A386" s="66" t="s">
        <v>6596</v>
      </c>
      <c r="B386" s="83"/>
    </row>
    <row r="387" ht="15.75" customHeight="1">
      <c r="A387" s="66" t="s">
        <v>6597</v>
      </c>
      <c r="B387" s="83"/>
    </row>
    <row r="388" ht="15.75" customHeight="1">
      <c r="A388" s="66" t="s">
        <v>6598</v>
      </c>
      <c r="B388" s="83"/>
    </row>
    <row r="389" ht="15.75" customHeight="1">
      <c r="A389" s="66" t="s">
        <v>6599</v>
      </c>
      <c r="B389" s="83"/>
    </row>
    <row r="390" ht="15.75" customHeight="1">
      <c r="A390" s="66" t="s">
        <v>6600</v>
      </c>
      <c r="B390" s="83"/>
    </row>
    <row r="391" ht="15.75" customHeight="1">
      <c r="A391" s="66" t="s">
        <v>6601</v>
      </c>
      <c r="B391" s="83"/>
    </row>
    <row r="392" ht="15.75" customHeight="1">
      <c r="A392" s="66" t="s">
        <v>6602</v>
      </c>
      <c r="B392" s="83"/>
    </row>
    <row r="393" ht="15.75" customHeight="1">
      <c r="A393" s="66" t="s">
        <v>6603</v>
      </c>
      <c r="B393" s="83"/>
    </row>
    <row r="394" ht="15.75" customHeight="1">
      <c r="A394" s="66" t="s">
        <v>6604</v>
      </c>
      <c r="B394" s="83"/>
    </row>
    <row r="395" ht="15.75" customHeight="1">
      <c r="A395" s="66" t="s">
        <v>6605</v>
      </c>
      <c r="B395" s="83"/>
    </row>
    <row r="396" ht="15.75" customHeight="1">
      <c r="A396" s="66" t="s">
        <v>6606</v>
      </c>
      <c r="B396" s="83"/>
    </row>
    <row r="397" ht="15.75" customHeight="1">
      <c r="A397" s="66" t="s">
        <v>6607</v>
      </c>
      <c r="B397" s="83"/>
    </row>
    <row r="398" ht="15.75" customHeight="1">
      <c r="A398" s="66" t="s">
        <v>6608</v>
      </c>
      <c r="B398" s="83"/>
    </row>
    <row r="399" ht="15.75" customHeight="1">
      <c r="A399" s="66" t="s">
        <v>6609</v>
      </c>
      <c r="B399" s="83"/>
    </row>
    <row r="400" ht="15.75" customHeight="1">
      <c r="A400" s="66" t="s">
        <v>6611</v>
      </c>
      <c r="B400" s="83"/>
    </row>
    <row r="401" ht="15.75" customHeight="1">
      <c r="A401" s="66" t="s">
        <v>6613</v>
      </c>
      <c r="B401" s="83"/>
    </row>
    <row r="402" ht="15.75" customHeight="1">
      <c r="A402" s="66" t="s">
        <v>6614</v>
      </c>
      <c r="B402" s="83"/>
    </row>
    <row r="403" ht="15.75" customHeight="1">
      <c r="A403" s="66" t="s">
        <v>6615</v>
      </c>
      <c r="B403" s="83"/>
    </row>
    <row r="404" ht="15.75" customHeight="1">
      <c r="A404" s="66" t="s">
        <v>6616</v>
      </c>
      <c r="B404" s="83"/>
    </row>
    <row r="405" ht="15.75" customHeight="1">
      <c r="A405" s="66" t="s">
        <v>6617</v>
      </c>
      <c r="B405" s="83"/>
    </row>
    <row r="406" ht="15.75" customHeight="1">
      <c r="A406" s="66" t="s">
        <v>6618</v>
      </c>
      <c r="B406" s="83"/>
    </row>
    <row r="407" ht="15.75" customHeight="1">
      <c r="A407" s="66" t="s">
        <v>6619</v>
      </c>
      <c r="B407" s="83"/>
    </row>
    <row r="408" ht="15.75" customHeight="1">
      <c r="A408" s="66" t="s">
        <v>6620</v>
      </c>
      <c r="B408" s="83"/>
    </row>
    <row r="409" ht="15.75" customHeight="1">
      <c r="A409" s="66" t="s">
        <v>6621</v>
      </c>
      <c r="B409" s="83"/>
    </row>
    <row r="410" ht="15.75" customHeight="1">
      <c r="A410" s="66" t="s">
        <v>6622</v>
      </c>
      <c r="B410" s="83"/>
    </row>
    <row r="411" ht="15.75" customHeight="1">
      <c r="A411" s="66" t="s">
        <v>6623</v>
      </c>
      <c r="B411" s="83"/>
    </row>
    <row r="412" ht="15.75" customHeight="1">
      <c r="A412" s="66" t="s">
        <v>6624</v>
      </c>
      <c r="B412" s="83"/>
    </row>
    <row r="413" ht="15.75" customHeight="1">
      <c r="A413" s="66" t="s">
        <v>6627</v>
      </c>
      <c r="B413" s="83"/>
    </row>
    <row r="414" ht="15.75" customHeight="1">
      <c r="A414" s="66" t="s">
        <v>6628</v>
      </c>
      <c r="B414" s="83"/>
    </row>
    <row r="415" ht="15.75" customHeight="1">
      <c r="A415" s="66" t="s">
        <v>6629</v>
      </c>
      <c r="B415" s="83"/>
    </row>
    <row r="416" ht="15.75" customHeight="1">
      <c r="A416" s="66" t="s">
        <v>6630</v>
      </c>
      <c r="B416" s="83"/>
    </row>
    <row r="417" ht="15.75" customHeight="1">
      <c r="A417" s="66" t="s">
        <v>6631</v>
      </c>
      <c r="B417" s="83"/>
    </row>
    <row r="418" ht="15.75" customHeight="1">
      <c r="A418" s="66" t="s">
        <v>6632</v>
      </c>
      <c r="B418" s="83"/>
    </row>
    <row r="419" ht="15.75" customHeight="1">
      <c r="A419" s="66" t="s">
        <v>6633</v>
      </c>
      <c r="B419" s="83"/>
    </row>
    <row r="420" ht="15.75" customHeight="1">
      <c r="A420" s="66" t="s">
        <v>6634</v>
      </c>
      <c r="B420" s="83"/>
    </row>
    <row r="421" ht="15.75" customHeight="1">
      <c r="A421" s="66" t="s">
        <v>6635</v>
      </c>
      <c r="B421" s="83"/>
    </row>
    <row r="422" ht="15.75" customHeight="1">
      <c r="A422" s="66" t="s">
        <v>6636</v>
      </c>
      <c r="B422" s="83"/>
    </row>
    <row r="423" ht="15.75" customHeight="1">
      <c r="A423" s="66" t="s">
        <v>6637</v>
      </c>
      <c r="B423" s="83"/>
    </row>
    <row r="424" ht="15.75" customHeight="1">
      <c r="A424" s="66" t="s">
        <v>6638</v>
      </c>
      <c r="B424" s="83"/>
    </row>
    <row r="425" ht="15.75" customHeight="1">
      <c r="A425" s="66" t="s">
        <v>6639</v>
      </c>
      <c r="B425" s="83"/>
    </row>
    <row r="426" ht="15.75" customHeight="1">
      <c r="A426" s="66" t="s">
        <v>6640</v>
      </c>
      <c r="B426" s="83"/>
    </row>
    <row r="427" ht="15.75" customHeight="1">
      <c r="A427" s="66" t="s">
        <v>6641</v>
      </c>
      <c r="B427" s="83"/>
    </row>
    <row r="428" ht="15.75" customHeight="1">
      <c r="A428" s="66" t="s">
        <v>6642</v>
      </c>
      <c r="B428" s="83"/>
    </row>
    <row r="429" ht="15.75" customHeight="1">
      <c r="A429" s="66" t="s">
        <v>6643</v>
      </c>
      <c r="B429" s="83"/>
    </row>
    <row r="430" ht="15.75" customHeight="1">
      <c r="A430" s="66" t="s">
        <v>6644</v>
      </c>
      <c r="B430" s="83"/>
    </row>
    <row r="431" ht="15.75" customHeight="1">
      <c r="A431" s="66" t="s">
        <v>6645</v>
      </c>
      <c r="B431" s="83"/>
    </row>
    <row r="432" ht="15.75" customHeight="1">
      <c r="A432" s="66" t="s">
        <v>6646</v>
      </c>
      <c r="B432" s="83"/>
    </row>
    <row r="433" ht="15.75" customHeight="1">
      <c r="A433" s="66" t="s">
        <v>6647</v>
      </c>
      <c r="B433" s="83"/>
    </row>
    <row r="434" ht="15.75" customHeight="1">
      <c r="A434" s="66" t="s">
        <v>6648</v>
      </c>
      <c r="B434" s="83"/>
    </row>
    <row r="435" ht="15.75" customHeight="1">
      <c r="A435" s="66" t="s">
        <v>6649</v>
      </c>
      <c r="B435" s="83"/>
    </row>
    <row r="436" ht="15.75" customHeight="1">
      <c r="A436" s="66" t="s">
        <v>6651</v>
      </c>
      <c r="B436" s="83"/>
    </row>
    <row r="437" ht="15.75" customHeight="1">
      <c r="A437" s="66" t="s">
        <v>6653</v>
      </c>
      <c r="B437" s="83"/>
    </row>
    <row r="438" ht="15.75" customHeight="1">
      <c r="A438" s="66" t="s">
        <v>6654</v>
      </c>
      <c r="B438" s="83"/>
    </row>
    <row r="439" ht="15.75" customHeight="1">
      <c r="A439" s="66" t="s">
        <v>6655</v>
      </c>
      <c r="B439" s="83"/>
    </row>
    <row r="440" ht="15.75" customHeight="1">
      <c r="A440" s="66" t="s">
        <v>6657</v>
      </c>
      <c r="B440" s="83"/>
    </row>
    <row r="441" ht="15.75" customHeight="1">
      <c r="A441" s="66" t="s">
        <v>6658</v>
      </c>
      <c r="B441" s="83"/>
    </row>
    <row r="442" ht="15.75" customHeight="1">
      <c r="A442" s="66" t="s">
        <v>6659</v>
      </c>
      <c r="B442" s="83"/>
    </row>
    <row r="443" ht="15.75" customHeight="1">
      <c r="A443" s="66" t="s">
        <v>6660</v>
      </c>
      <c r="B443" s="83"/>
    </row>
    <row r="444" ht="15.75" customHeight="1">
      <c r="A444" s="66" t="s">
        <v>6661</v>
      </c>
      <c r="B444" s="83"/>
    </row>
    <row r="445" ht="15.75" customHeight="1">
      <c r="A445" s="66" t="s">
        <v>6662</v>
      </c>
      <c r="B445" s="83"/>
    </row>
    <row r="446" ht="15.75" customHeight="1">
      <c r="A446" s="66" t="s">
        <v>6663</v>
      </c>
      <c r="B446" s="83"/>
    </row>
    <row r="447" ht="15.75" customHeight="1">
      <c r="A447" s="66" t="s">
        <v>6664</v>
      </c>
      <c r="B447" s="83"/>
    </row>
    <row r="448" ht="15.75" customHeight="1">
      <c r="A448" s="66" t="s">
        <v>6665</v>
      </c>
      <c r="B448" s="83"/>
    </row>
    <row r="449" ht="15.75" customHeight="1">
      <c r="A449" s="66" t="s">
        <v>6666</v>
      </c>
      <c r="B449" s="83"/>
    </row>
    <row r="450" ht="15.75" customHeight="1">
      <c r="A450" s="66" t="s">
        <v>6667</v>
      </c>
      <c r="B450" s="83"/>
    </row>
    <row r="451" ht="15.75" customHeight="1">
      <c r="A451" s="66" t="s">
        <v>6668</v>
      </c>
      <c r="B451" s="83"/>
    </row>
    <row r="452" ht="15.75" customHeight="1">
      <c r="A452" s="66" t="s">
        <v>6669</v>
      </c>
      <c r="B452" s="83"/>
    </row>
    <row r="453" ht="15.75" customHeight="1">
      <c r="A453" s="66" t="s">
        <v>6670</v>
      </c>
      <c r="B453" s="83"/>
    </row>
    <row r="454" ht="15.75" customHeight="1">
      <c r="A454" s="66" t="s">
        <v>6671</v>
      </c>
      <c r="B454" s="83"/>
    </row>
    <row r="455" ht="15.75" customHeight="1">
      <c r="A455" s="66" t="s">
        <v>6672</v>
      </c>
      <c r="B455" s="83"/>
    </row>
    <row r="456" ht="15.75" customHeight="1">
      <c r="A456" s="66" t="s">
        <v>6673</v>
      </c>
      <c r="B456" s="83"/>
    </row>
    <row r="457" ht="15.75" customHeight="1">
      <c r="A457" s="66" t="s">
        <v>6677</v>
      </c>
      <c r="B457" s="83"/>
    </row>
    <row r="458" ht="15.75" customHeight="1">
      <c r="A458" s="66" t="s">
        <v>6679</v>
      </c>
      <c r="B458" s="83"/>
    </row>
    <row r="459" ht="15.75" customHeight="1">
      <c r="A459" s="66" t="s">
        <v>6680</v>
      </c>
      <c r="B459" s="83"/>
    </row>
    <row r="460" ht="15.75" customHeight="1">
      <c r="A460" s="66" t="s">
        <v>6681</v>
      </c>
      <c r="B460" s="83"/>
    </row>
    <row r="461" ht="15.75" customHeight="1">
      <c r="A461" s="66" t="s">
        <v>6682</v>
      </c>
      <c r="B461" s="83"/>
    </row>
    <row r="462" ht="15.75" customHeight="1">
      <c r="A462" s="66" t="s">
        <v>6683</v>
      </c>
      <c r="B462" s="83"/>
    </row>
    <row r="463" ht="15.75" customHeight="1">
      <c r="A463" s="66" t="s">
        <v>6684</v>
      </c>
      <c r="B463" s="83"/>
    </row>
    <row r="464" ht="15.75" customHeight="1">
      <c r="A464" s="66" t="s">
        <v>6685</v>
      </c>
      <c r="B464" s="83"/>
    </row>
    <row r="465" ht="15.75" customHeight="1">
      <c r="A465" s="66" t="s">
        <v>6686</v>
      </c>
      <c r="B465" s="83"/>
    </row>
    <row r="466" ht="15.75" customHeight="1">
      <c r="A466" s="66" t="s">
        <v>6687</v>
      </c>
      <c r="B466" s="83"/>
    </row>
    <row r="467" ht="15.75" customHeight="1">
      <c r="A467" s="66" t="s">
        <v>6688</v>
      </c>
      <c r="B467" s="83"/>
    </row>
    <row r="468" ht="15.75" customHeight="1">
      <c r="A468" s="66" t="s">
        <v>6689</v>
      </c>
      <c r="B468" s="83"/>
    </row>
    <row r="469" ht="15.75" customHeight="1">
      <c r="A469" s="66" t="s">
        <v>6690</v>
      </c>
      <c r="B469" s="83"/>
    </row>
    <row r="470" ht="15.75" customHeight="1">
      <c r="A470" s="66" t="s">
        <v>6691</v>
      </c>
      <c r="B470" s="83"/>
    </row>
    <row r="471" ht="15.75" customHeight="1">
      <c r="A471" s="66" t="s">
        <v>6692</v>
      </c>
      <c r="B471" s="83"/>
    </row>
    <row r="472" ht="15.75" customHeight="1">
      <c r="A472" s="66" t="s">
        <v>6693</v>
      </c>
      <c r="B472" s="83"/>
    </row>
    <row r="473" ht="15.75" customHeight="1">
      <c r="A473" s="66" t="s">
        <v>6694</v>
      </c>
      <c r="B473" s="83"/>
    </row>
    <row r="474" ht="15.75" customHeight="1">
      <c r="A474" s="66" t="s">
        <v>6695</v>
      </c>
      <c r="B474" s="83"/>
    </row>
    <row r="475" ht="15.75" customHeight="1">
      <c r="A475" s="66" t="s">
        <v>6696</v>
      </c>
      <c r="B475" s="83"/>
    </row>
    <row r="476" ht="15.75" customHeight="1">
      <c r="A476" s="66" t="s">
        <v>6697</v>
      </c>
      <c r="B476" s="83"/>
    </row>
    <row r="477" ht="15.75" customHeight="1">
      <c r="A477" s="66" t="s">
        <v>6698</v>
      </c>
      <c r="B477" s="83"/>
    </row>
    <row r="478" ht="15.75" customHeight="1">
      <c r="A478" s="66" t="s">
        <v>6699</v>
      </c>
      <c r="B478" s="83"/>
    </row>
    <row r="479" ht="15.75" customHeight="1">
      <c r="A479" s="66" t="s">
        <v>6700</v>
      </c>
      <c r="B479" s="83"/>
    </row>
    <row r="480" ht="15.75" customHeight="1">
      <c r="A480" s="66" t="s">
        <v>6701</v>
      </c>
      <c r="B480" s="83"/>
    </row>
    <row r="481" ht="15.75" customHeight="1">
      <c r="A481" s="66" t="s">
        <v>6702</v>
      </c>
      <c r="B481" s="83"/>
    </row>
    <row r="482" ht="15.75" customHeight="1">
      <c r="A482" s="66" t="s">
        <v>6703</v>
      </c>
      <c r="B482" s="83"/>
    </row>
    <row r="483" ht="15.75" customHeight="1">
      <c r="A483" s="66" t="s">
        <v>6704</v>
      </c>
      <c r="B483" s="83"/>
    </row>
    <row r="484" ht="15.75" customHeight="1">
      <c r="A484" s="66" t="s">
        <v>6705</v>
      </c>
      <c r="B484" s="83"/>
    </row>
    <row r="485" ht="15.75" customHeight="1">
      <c r="A485" s="66" t="s">
        <v>6706</v>
      </c>
      <c r="B485" s="83"/>
    </row>
    <row r="486" ht="15.75" customHeight="1">
      <c r="A486" s="66" t="s">
        <v>6707</v>
      </c>
      <c r="B486" s="83"/>
    </row>
    <row r="487" ht="15.75" customHeight="1">
      <c r="A487" s="66" t="s">
        <v>6708</v>
      </c>
      <c r="B487" s="83"/>
    </row>
    <row r="488" ht="15.75" customHeight="1">
      <c r="A488" s="66" t="s">
        <v>6709</v>
      </c>
      <c r="B488" s="83"/>
    </row>
    <row r="489" ht="15.75" customHeight="1">
      <c r="A489" s="66" t="s">
        <v>6710</v>
      </c>
      <c r="B489" s="83"/>
    </row>
    <row r="490" ht="15.75" customHeight="1">
      <c r="A490" s="66" t="s">
        <v>6711</v>
      </c>
      <c r="B490" s="83"/>
    </row>
    <row r="491" ht="15.75" customHeight="1">
      <c r="A491" s="66" t="s">
        <v>6712</v>
      </c>
      <c r="B491" s="83"/>
    </row>
    <row r="492" ht="15.75" customHeight="1">
      <c r="A492" s="66" t="s">
        <v>6713</v>
      </c>
      <c r="B492" s="83"/>
    </row>
    <row r="493" ht="15.75" customHeight="1">
      <c r="A493" s="66" t="s">
        <v>6714</v>
      </c>
      <c r="B493" s="83"/>
    </row>
    <row r="494" ht="15.75" customHeight="1">
      <c r="A494" s="66" t="s">
        <v>6715</v>
      </c>
      <c r="B494" s="83"/>
    </row>
    <row r="495" ht="15.75" customHeight="1">
      <c r="A495" s="66" t="s">
        <v>6716</v>
      </c>
      <c r="B495" s="83"/>
    </row>
    <row r="496" ht="15.75" customHeight="1">
      <c r="A496" s="66" t="s">
        <v>6717</v>
      </c>
      <c r="B496" s="83"/>
    </row>
    <row r="497" ht="15.75" customHeight="1">
      <c r="A497" s="66" t="s">
        <v>6718</v>
      </c>
      <c r="B497" s="83"/>
    </row>
    <row r="498" ht="15.75" customHeight="1">
      <c r="A498" s="66" t="s">
        <v>6719</v>
      </c>
      <c r="B498" s="83"/>
    </row>
    <row r="499" ht="15.75" customHeight="1">
      <c r="A499" s="66" t="s">
        <v>6720</v>
      </c>
      <c r="B499" s="83"/>
    </row>
    <row r="500" ht="15.75" customHeight="1">
      <c r="A500" s="66" t="s">
        <v>6722</v>
      </c>
      <c r="B500" s="83"/>
    </row>
    <row r="501" ht="15.75" customHeight="1">
      <c r="A501" s="66" t="s">
        <v>6724</v>
      </c>
      <c r="B501" s="83"/>
    </row>
    <row r="502" ht="15.75" customHeight="1">
      <c r="A502" s="66" t="s">
        <v>6725</v>
      </c>
      <c r="B502" s="83"/>
    </row>
    <row r="503" ht="15.75" customHeight="1">
      <c r="A503" s="66" t="s">
        <v>6726</v>
      </c>
      <c r="B503" s="83"/>
    </row>
    <row r="504" ht="15.75" customHeight="1">
      <c r="A504" s="66" t="s">
        <v>6727</v>
      </c>
      <c r="B504" s="83"/>
    </row>
    <row r="505" ht="15.75" customHeight="1">
      <c r="A505" s="66" t="s">
        <v>6728</v>
      </c>
      <c r="B505" s="83"/>
    </row>
    <row r="506" ht="15.75" customHeight="1">
      <c r="A506" s="66" t="s">
        <v>6729</v>
      </c>
      <c r="B506" s="83"/>
    </row>
    <row r="507" ht="15.75" customHeight="1">
      <c r="A507" s="66" t="s">
        <v>6730</v>
      </c>
      <c r="B507" s="83"/>
    </row>
    <row r="508" ht="15.75" customHeight="1">
      <c r="A508" s="66" t="s">
        <v>6731</v>
      </c>
      <c r="B508" s="83"/>
    </row>
    <row r="509" ht="15.75" customHeight="1">
      <c r="A509" s="66" t="s">
        <v>6732</v>
      </c>
      <c r="B509" s="83"/>
    </row>
    <row r="510" ht="15.75" customHeight="1">
      <c r="A510" s="66" t="s">
        <v>6733</v>
      </c>
      <c r="B510" s="83"/>
    </row>
    <row r="511" ht="15.75" customHeight="1">
      <c r="A511" s="66" t="s">
        <v>6734</v>
      </c>
      <c r="B511" s="83"/>
    </row>
    <row r="512" ht="15.75" customHeight="1">
      <c r="A512" s="66" t="s">
        <v>6735</v>
      </c>
      <c r="B512" s="83"/>
    </row>
    <row r="513" ht="15.75" customHeight="1">
      <c r="A513" s="66" t="s">
        <v>6736</v>
      </c>
      <c r="B513" s="83"/>
    </row>
    <row r="514" ht="15.75" customHeight="1">
      <c r="A514" s="66" t="s">
        <v>6737</v>
      </c>
      <c r="B514" s="83"/>
    </row>
    <row r="515" ht="15.75" customHeight="1">
      <c r="A515" s="66" t="s">
        <v>6739</v>
      </c>
      <c r="B515" s="83"/>
    </row>
    <row r="516" ht="15.75" customHeight="1">
      <c r="A516" s="66" t="s">
        <v>6741</v>
      </c>
      <c r="B516" s="83"/>
    </row>
    <row r="517" ht="15.75" customHeight="1">
      <c r="A517" s="66" t="s">
        <v>6743</v>
      </c>
      <c r="B517" s="83"/>
    </row>
    <row r="518" ht="15.75" customHeight="1">
      <c r="A518" s="66" t="s">
        <v>6744</v>
      </c>
      <c r="B518" s="83"/>
    </row>
    <row r="519" ht="15.75" customHeight="1">
      <c r="A519" s="66" t="s">
        <v>6746</v>
      </c>
      <c r="B519" s="83"/>
    </row>
    <row r="520" ht="15.75" customHeight="1">
      <c r="A520" s="66" t="s">
        <v>6748</v>
      </c>
      <c r="B520" s="83"/>
    </row>
    <row r="521" ht="15.75" customHeight="1">
      <c r="A521" s="66" t="s">
        <v>6750</v>
      </c>
      <c r="B521" s="83"/>
    </row>
    <row r="522" ht="15.75" customHeight="1">
      <c r="A522" s="66" t="s">
        <v>6752</v>
      </c>
      <c r="B522" s="83"/>
    </row>
    <row r="523" ht="15.75" customHeight="1">
      <c r="A523" s="66" t="s">
        <v>6753</v>
      </c>
      <c r="B523" s="83"/>
    </row>
    <row r="524" ht="15.75" customHeight="1">
      <c r="A524" s="66" t="s">
        <v>6754</v>
      </c>
      <c r="B524" s="83"/>
    </row>
    <row r="525" ht="15.75" customHeight="1">
      <c r="A525" s="66" t="s">
        <v>6756</v>
      </c>
      <c r="B525" s="83"/>
    </row>
    <row r="526" ht="15.75" customHeight="1">
      <c r="A526" s="66" t="s">
        <v>6758</v>
      </c>
      <c r="B526" s="83"/>
    </row>
    <row r="527" ht="15.75" customHeight="1">
      <c r="A527" s="66" t="s">
        <v>6759</v>
      </c>
      <c r="B527" s="83"/>
    </row>
    <row r="528" ht="15.75" customHeight="1">
      <c r="A528" s="66" t="s">
        <v>6761</v>
      </c>
      <c r="B528" s="83"/>
    </row>
    <row r="529" ht="15.75" customHeight="1">
      <c r="A529" s="66" t="s">
        <v>6762</v>
      </c>
      <c r="B529" s="83"/>
    </row>
    <row r="530" ht="15.75" customHeight="1">
      <c r="A530" s="66" t="s">
        <v>6763</v>
      </c>
      <c r="B530" s="83"/>
    </row>
    <row r="531" ht="15.75" customHeight="1">
      <c r="A531" s="66" t="s">
        <v>6764</v>
      </c>
      <c r="B531" s="83"/>
    </row>
    <row r="532" ht="15.75" customHeight="1">
      <c r="A532" s="66" t="s">
        <v>6765</v>
      </c>
      <c r="B532" s="83"/>
    </row>
    <row r="533" ht="15.75" customHeight="1">
      <c r="A533" s="66" t="s">
        <v>6766</v>
      </c>
      <c r="B533" s="83"/>
    </row>
    <row r="534" ht="15.75" customHeight="1">
      <c r="A534" s="66" t="s">
        <v>6767</v>
      </c>
      <c r="B534" s="83"/>
    </row>
    <row r="535" ht="15.75" customHeight="1">
      <c r="A535" s="66" t="s">
        <v>6768</v>
      </c>
      <c r="B535" s="83"/>
    </row>
    <row r="536" ht="15.75" customHeight="1">
      <c r="A536" s="66" t="s">
        <v>6769</v>
      </c>
      <c r="B536" s="83"/>
    </row>
    <row r="537" ht="15.75" customHeight="1">
      <c r="A537" s="66" t="s">
        <v>6770</v>
      </c>
      <c r="B537" s="83"/>
    </row>
    <row r="538" ht="15.75" customHeight="1">
      <c r="A538" s="66" t="s">
        <v>6771</v>
      </c>
      <c r="B538" s="83"/>
    </row>
    <row r="539" ht="15.75" customHeight="1">
      <c r="A539" s="66" t="s">
        <v>6773</v>
      </c>
      <c r="B539" s="83"/>
    </row>
    <row r="540" ht="15.75" customHeight="1">
      <c r="A540" s="66" t="s">
        <v>6774</v>
      </c>
      <c r="B540" s="83"/>
    </row>
    <row r="541" ht="15.75" customHeight="1">
      <c r="A541" s="66" t="s">
        <v>6776</v>
      </c>
      <c r="B541" s="83"/>
    </row>
    <row r="542" ht="15.75" customHeight="1">
      <c r="A542" s="66" t="s">
        <v>6777</v>
      </c>
      <c r="B542" s="83"/>
    </row>
    <row r="543" ht="15.75" customHeight="1">
      <c r="A543" s="66" t="s">
        <v>6778</v>
      </c>
      <c r="B543" s="83"/>
    </row>
    <row r="544" ht="15.75" customHeight="1">
      <c r="A544" s="66" t="s">
        <v>6779</v>
      </c>
      <c r="B544" s="83"/>
    </row>
    <row r="545" ht="15.75" customHeight="1">
      <c r="A545" s="66" t="s">
        <v>6780</v>
      </c>
      <c r="B545" s="83"/>
    </row>
    <row r="546" ht="15.75" customHeight="1">
      <c r="A546" s="66" t="s">
        <v>6781</v>
      </c>
      <c r="B546" s="83"/>
    </row>
    <row r="547" ht="15.75" customHeight="1">
      <c r="A547" s="66" t="s">
        <v>6782</v>
      </c>
      <c r="B547" s="83"/>
    </row>
    <row r="548" ht="15.75" customHeight="1">
      <c r="A548" s="66" t="s">
        <v>6783</v>
      </c>
      <c r="B548" s="83"/>
    </row>
    <row r="549" ht="15.75" customHeight="1">
      <c r="A549" s="66" t="s">
        <v>6784</v>
      </c>
      <c r="B549" s="83"/>
    </row>
    <row r="550" ht="15.75" customHeight="1">
      <c r="A550" s="66" t="s">
        <v>6786</v>
      </c>
      <c r="B550" s="83"/>
    </row>
    <row r="551" ht="15.75" customHeight="1">
      <c r="A551" s="66" t="s">
        <v>6787</v>
      </c>
      <c r="B551" s="83"/>
    </row>
    <row r="552" ht="15.75" customHeight="1">
      <c r="A552" s="66" t="s">
        <v>6790</v>
      </c>
      <c r="B552" s="83"/>
    </row>
    <row r="553" ht="15.75" customHeight="1">
      <c r="A553" s="66" t="s">
        <v>6791</v>
      </c>
      <c r="B553" s="83"/>
    </row>
    <row r="554" ht="15.75" customHeight="1">
      <c r="A554" s="66" t="s">
        <v>6793</v>
      </c>
      <c r="B554" s="83"/>
    </row>
    <row r="555" ht="15.75" customHeight="1">
      <c r="A555" s="66" t="s">
        <v>6795</v>
      </c>
      <c r="B555" s="83"/>
    </row>
    <row r="556" ht="15.75" customHeight="1">
      <c r="A556" s="66" t="s">
        <v>6797</v>
      </c>
      <c r="B556" s="83"/>
    </row>
    <row r="557" ht="15.75" customHeight="1">
      <c r="A557" s="66" t="s">
        <v>6798</v>
      </c>
      <c r="B557" s="83"/>
    </row>
    <row r="558" ht="15.75" customHeight="1">
      <c r="A558" s="66" t="s">
        <v>6799</v>
      </c>
      <c r="B558" s="83"/>
    </row>
    <row r="559" ht="15.75" customHeight="1">
      <c r="A559" s="66" t="s">
        <v>6800</v>
      </c>
      <c r="B559" s="83"/>
    </row>
    <row r="560" ht="15.75" customHeight="1">
      <c r="A560" s="66" t="s">
        <v>6801</v>
      </c>
      <c r="B560" s="83"/>
    </row>
    <row r="561" ht="15.75" customHeight="1">
      <c r="A561" s="66" t="s">
        <v>6802</v>
      </c>
      <c r="B561" s="83"/>
    </row>
    <row r="562" ht="15.75" customHeight="1">
      <c r="A562" s="66" t="s">
        <v>6803</v>
      </c>
      <c r="B562" s="83"/>
    </row>
    <row r="563" ht="15.75" customHeight="1">
      <c r="A563" s="66" t="s">
        <v>6804</v>
      </c>
      <c r="B563" s="83"/>
    </row>
    <row r="564" ht="15.75" customHeight="1">
      <c r="A564" s="66" t="s">
        <v>6805</v>
      </c>
      <c r="B564" s="83"/>
    </row>
    <row r="565" ht="15.75" customHeight="1">
      <c r="A565" s="66" t="s">
        <v>6806</v>
      </c>
      <c r="B565" s="83"/>
    </row>
    <row r="566" ht="15.75" customHeight="1">
      <c r="A566" s="66" t="s">
        <v>6807</v>
      </c>
      <c r="B566" s="83"/>
    </row>
    <row r="567" ht="15.75" customHeight="1">
      <c r="A567" s="66" t="s">
        <v>6808</v>
      </c>
      <c r="B567" s="83"/>
    </row>
    <row r="568" ht="15.75" customHeight="1">
      <c r="A568" s="66" t="s">
        <v>6809</v>
      </c>
      <c r="B568" s="83"/>
    </row>
    <row r="569" ht="15.75" customHeight="1">
      <c r="A569" s="66" t="s">
        <v>6810</v>
      </c>
      <c r="B569" s="83"/>
    </row>
    <row r="570" ht="15.75" customHeight="1">
      <c r="A570" s="66" t="s">
        <v>6811</v>
      </c>
      <c r="B570" s="83"/>
    </row>
    <row r="571" ht="15.75" customHeight="1">
      <c r="A571" s="66" t="s">
        <v>6812</v>
      </c>
      <c r="B571" s="83"/>
    </row>
    <row r="572" ht="15.75" customHeight="1">
      <c r="A572" s="66" t="s">
        <v>6813</v>
      </c>
      <c r="B572" s="83"/>
    </row>
    <row r="573" ht="15.75" customHeight="1">
      <c r="A573" s="66" t="s">
        <v>6814</v>
      </c>
      <c r="B573" s="83"/>
    </row>
    <row r="574" ht="15.75" customHeight="1">
      <c r="A574" s="66" t="s">
        <v>6815</v>
      </c>
      <c r="B574" s="83"/>
    </row>
    <row r="575" ht="15.75" customHeight="1">
      <c r="A575" s="66" t="s">
        <v>6816</v>
      </c>
      <c r="B575" s="83"/>
    </row>
    <row r="576" ht="15.75" customHeight="1">
      <c r="A576" s="66" t="s">
        <v>6817</v>
      </c>
      <c r="B576" s="83"/>
    </row>
    <row r="577" ht="15.75" customHeight="1">
      <c r="A577" s="66" t="s">
        <v>6818</v>
      </c>
      <c r="B577" s="83"/>
    </row>
    <row r="578" ht="15.75" customHeight="1">
      <c r="A578" s="66" t="s">
        <v>6819</v>
      </c>
      <c r="B578" s="83"/>
    </row>
    <row r="579" ht="15.75" customHeight="1">
      <c r="A579" s="66" t="s">
        <v>6820</v>
      </c>
      <c r="B579" s="83"/>
    </row>
    <row r="580" ht="15.75" customHeight="1">
      <c r="A580" s="66" t="s">
        <v>6822</v>
      </c>
      <c r="B580" s="83"/>
    </row>
    <row r="581" ht="15.75" customHeight="1">
      <c r="A581" s="66" t="s">
        <v>6824</v>
      </c>
      <c r="B581" s="83"/>
    </row>
    <row r="582" ht="15.75" customHeight="1">
      <c r="A582" s="66" t="s">
        <v>6825</v>
      </c>
      <c r="B582" s="83"/>
    </row>
    <row r="583" ht="15.75" customHeight="1">
      <c r="A583" s="66" t="s">
        <v>6826</v>
      </c>
      <c r="B583" s="83"/>
    </row>
    <row r="584" ht="15.75" customHeight="1">
      <c r="A584" s="66" t="s">
        <v>6827</v>
      </c>
      <c r="B584" s="83"/>
    </row>
    <row r="585" ht="15.75" customHeight="1">
      <c r="A585" s="66" t="s">
        <v>6828</v>
      </c>
      <c r="B585" s="83"/>
    </row>
    <row r="586" ht="15.75" customHeight="1">
      <c r="A586" s="66" t="s">
        <v>6830</v>
      </c>
      <c r="B586" s="83"/>
    </row>
    <row r="587" ht="15.75" customHeight="1">
      <c r="A587" s="66" t="s">
        <v>6832</v>
      </c>
      <c r="B587" s="83"/>
    </row>
    <row r="588" ht="15.75" customHeight="1">
      <c r="A588" s="66" t="s">
        <v>6835</v>
      </c>
      <c r="B588" s="83"/>
    </row>
    <row r="589" ht="15.75" customHeight="1">
      <c r="A589" s="66" t="s">
        <v>6836</v>
      </c>
      <c r="B589" s="83"/>
    </row>
    <row r="590" ht="15.75" customHeight="1">
      <c r="A590" s="66" t="s">
        <v>6838</v>
      </c>
      <c r="B590" s="83"/>
    </row>
    <row r="591" ht="15.75" customHeight="1">
      <c r="A591" s="66" t="s">
        <v>6840</v>
      </c>
      <c r="B591" s="83"/>
    </row>
    <row r="592" ht="15.75" customHeight="1">
      <c r="A592" s="66" t="s">
        <v>6842</v>
      </c>
      <c r="B592" s="83"/>
    </row>
    <row r="593" ht="15.75" customHeight="1">
      <c r="A593" s="66" t="s">
        <v>6843</v>
      </c>
      <c r="B593" s="83"/>
    </row>
    <row r="594" ht="15.75" customHeight="1">
      <c r="A594" s="66" t="s">
        <v>6844</v>
      </c>
      <c r="B594" s="83"/>
    </row>
    <row r="595" ht="15.75" customHeight="1">
      <c r="A595" s="66" t="s">
        <v>6845</v>
      </c>
      <c r="B595" s="83"/>
    </row>
    <row r="596" ht="15.75" customHeight="1">
      <c r="A596" s="66" t="s">
        <v>6846</v>
      </c>
      <c r="B596" s="83"/>
    </row>
    <row r="597" ht="15.75" customHeight="1">
      <c r="A597" s="66" t="s">
        <v>6847</v>
      </c>
      <c r="B597" s="83"/>
    </row>
    <row r="598" ht="15.75" customHeight="1">
      <c r="A598" s="66" t="s">
        <v>6848</v>
      </c>
      <c r="B598" s="83"/>
    </row>
    <row r="599" ht="15.75" customHeight="1">
      <c r="A599" s="66" t="s">
        <v>6849</v>
      </c>
      <c r="B599" s="83"/>
    </row>
    <row r="600" ht="15.75" customHeight="1">
      <c r="A600" s="66" t="s">
        <v>6850</v>
      </c>
      <c r="B600" s="83"/>
    </row>
    <row r="601" ht="15.75" customHeight="1">
      <c r="A601" s="66" t="s">
        <v>6851</v>
      </c>
      <c r="B601" s="83"/>
    </row>
    <row r="602" ht="15.75" customHeight="1">
      <c r="A602" s="66" t="s">
        <v>6852</v>
      </c>
      <c r="B602" s="83"/>
    </row>
    <row r="603" ht="15.75" customHeight="1">
      <c r="A603" s="66" t="s">
        <v>6853</v>
      </c>
      <c r="B603" s="83"/>
    </row>
    <row r="604" ht="15.75" customHeight="1">
      <c r="A604" s="66" t="s">
        <v>6854</v>
      </c>
      <c r="B604" s="83"/>
    </row>
    <row r="605" ht="15.75" customHeight="1">
      <c r="A605" s="66" t="s">
        <v>6855</v>
      </c>
      <c r="B605" s="83"/>
    </row>
    <row r="606" ht="15.75" customHeight="1">
      <c r="A606" s="66" t="s">
        <v>6857</v>
      </c>
      <c r="B606" s="83"/>
    </row>
    <row r="607" ht="15.75" customHeight="1">
      <c r="A607" s="66" t="s">
        <v>6859</v>
      </c>
      <c r="B607" s="83"/>
    </row>
    <row r="608" ht="15.75" customHeight="1">
      <c r="A608" s="66" t="s">
        <v>6860</v>
      </c>
      <c r="B608" s="83"/>
    </row>
    <row r="609" ht="15.75" customHeight="1">
      <c r="A609" s="66" t="s">
        <v>6861</v>
      </c>
      <c r="B609" s="83"/>
    </row>
    <row r="610" ht="15.75" customHeight="1">
      <c r="A610" s="66" t="s">
        <v>6862</v>
      </c>
      <c r="B610" s="83"/>
    </row>
    <row r="611" ht="15.75" customHeight="1">
      <c r="A611" s="66" t="s">
        <v>6863</v>
      </c>
      <c r="B611" s="83"/>
    </row>
    <row r="612" ht="15.75" customHeight="1">
      <c r="A612" s="66" t="s">
        <v>6864</v>
      </c>
      <c r="B612" s="83"/>
    </row>
    <row r="613" ht="15.75" customHeight="1">
      <c r="A613" s="66" t="s">
        <v>6866</v>
      </c>
      <c r="B613" s="83"/>
    </row>
    <row r="614" ht="15.75" customHeight="1">
      <c r="A614" s="66" t="s">
        <v>6869</v>
      </c>
      <c r="B614" s="83"/>
    </row>
    <row r="615" ht="15.75" customHeight="1">
      <c r="A615" s="66" t="s">
        <v>6870</v>
      </c>
      <c r="B615" s="83"/>
    </row>
    <row r="616" ht="15.75" customHeight="1">
      <c r="A616" s="66" t="s">
        <v>6872</v>
      </c>
      <c r="B616" s="83"/>
    </row>
    <row r="617" ht="15.75" customHeight="1">
      <c r="A617" s="66" t="s">
        <v>6874</v>
      </c>
      <c r="B617" s="83"/>
    </row>
    <row r="618" ht="15.75" customHeight="1">
      <c r="A618" s="66" t="s">
        <v>6876</v>
      </c>
      <c r="B618" s="83"/>
    </row>
    <row r="619" ht="15.75" customHeight="1">
      <c r="A619" s="66" t="s">
        <v>6877</v>
      </c>
      <c r="B619" s="83"/>
    </row>
    <row r="620" ht="15.75" customHeight="1">
      <c r="A620" s="66" t="s">
        <v>6878</v>
      </c>
      <c r="B620" s="83"/>
    </row>
    <row r="621" ht="15.75" customHeight="1">
      <c r="A621" s="66" t="s">
        <v>6879</v>
      </c>
      <c r="B621" s="83"/>
    </row>
    <row r="622" ht="15.75" customHeight="1">
      <c r="A622" s="66" t="s">
        <v>6880</v>
      </c>
      <c r="B622" s="83"/>
    </row>
    <row r="623" ht="15.75" customHeight="1">
      <c r="A623" s="66" t="s">
        <v>6881</v>
      </c>
      <c r="B623" s="83"/>
    </row>
    <row r="624" ht="15.75" customHeight="1">
      <c r="A624" s="66" t="s">
        <v>6882</v>
      </c>
      <c r="B624" s="83"/>
    </row>
    <row r="625" ht="15.75" customHeight="1">
      <c r="A625" s="66" t="s">
        <v>6883</v>
      </c>
      <c r="B625" s="83"/>
    </row>
    <row r="626" ht="15.75" customHeight="1">
      <c r="A626" s="66" t="s">
        <v>6884</v>
      </c>
      <c r="B626" s="83"/>
    </row>
    <row r="627" ht="15.75" customHeight="1">
      <c r="A627" s="66" t="s">
        <v>6885</v>
      </c>
      <c r="B627" s="83"/>
    </row>
    <row r="628" ht="15.75" customHeight="1">
      <c r="A628" s="66" t="s">
        <v>6887</v>
      </c>
      <c r="B628" s="83"/>
    </row>
    <row r="629" ht="15.75" customHeight="1">
      <c r="A629" s="66" t="s">
        <v>6889</v>
      </c>
      <c r="B629" s="83"/>
    </row>
    <row r="630" ht="15.75" customHeight="1">
      <c r="A630" s="66" t="s">
        <v>6891</v>
      </c>
      <c r="B630" s="83"/>
    </row>
    <row r="631" ht="15.75" customHeight="1">
      <c r="A631" s="66" t="s">
        <v>6892</v>
      </c>
      <c r="B631" s="83"/>
    </row>
    <row r="632" ht="15.75" customHeight="1">
      <c r="A632" s="66" t="s">
        <v>6893</v>
      </c>
      <c r="B632" s="83"/>
    </row>
    <row r="633" ht="15.75" customHeight="1">
      <c r="A633" s="66" t="s">
        <v>6894</v>
      </c>
      <c r="B633" s="83"/>
    </row>
    <row r="634" ht="15.75" customHeight="1">
      <c r="A634" s="66" t="s">
        <v>6895</v>
      </c>
      <c r="B634" s="83"/>
    </row>
    <row r="635" ht="15.75" customHeight="1">
      <c r="A635" s="66" t="s">
        <v>6896</v>
      </c>
      <c r="B635" s="83"/>
    </row>
    <row r="636" ht="15.75" customHeight="1">
      <c r="A636" s="66" t="s">
        <v>6897</v>
      </c>
      <c r="B636" s="83"/>
    </row>
    <row r="637" ht="15.75" customHeight="1">
      <c r="A637" s="66" t="s">
        <v>6898</v>
      </c>
      <c r="B637" s="83"/>
    </row>
    <row r="638" ht="15.75" customHeight="1">
      <c r="A638" s="66" t="s">
        <v>6899</v>
      </c>
      <c r="B638" s="83"/>
    </row>
    <row r="639" ht="15.75" customHeight="1">
      <c r="A639" s="66" t="s">
        <v>6900</v>
      </c>
      <c r="B639" s="83"/>
    </row>
    <row r="640" ht="15.75" customHeight="1">
      <c r="A640" s="66" t="s">
        <v>6901</v>
      </c>
      <c r="B640" s="83"/>
    </row>
    <row r="641" ht="15.75" customHeight="1">
      <c r="A641" s="66" t="s">
        <v>6902</v>
      </c>
      <c r="B641" s="83"/>
    </row>
    <row r="642" ht="15.75" customHeight="1">
      <c r="A642" s="66" t="s">
        <v>6903</v>
      </c>
      <c r="B642" s="83"/>
    </row>
    <row r="643" ht="15.75" customHeight="1">
      <c r="A643" s="66" t="s">
        <v>6905</v>
      </c>
      <c r="B643" s="83"/>
    </row>
    <row r="644" ht="15.75" customHeight="1">
      <c r="A644" s="66" t="s">
        <v>6906</v>
      </c>
      <c r="B644" s="83"/>
    </row>
    <row r="645" ht="15.75" customHeight="1">
      <c r="A645" s="66" t="s">
        <v>6909</v>
      </c>
      <c r="B645" s="83"/>
    </row>
    <row r="646" ht="15.75" customHeight="1">
      <c r="A646" s="66" t="s">
        <v>6910</v>
      </c>
      <c r="B646" s="83"/>
    </row>
    <row r="647" ht="15.75" customHeight="1">
      <c r="A647" s="66" t="s">
        <v>6911</v>
      </c>
      <c r="B647" s="83"/>
    </row>
    <row r="648" ht="15.75" customHeight="1">
      <c r="A648" s="66" t="s">
        <v>6914</v>
      </c>
      <c r="B648" s="83"/>
    </row>
    <row r="649" ht="15.75" customHeight="1">
      <c r="A649" s="66" t="s">
        <v>6916</v>
      </c>
      <c r="B649" s="83"/>
    </row>
    <row r="650" ht="15.75" customHeight="1">
      <c r="A650" s="66" t="s">
        <v>6917</v>
      </c>
      <c r="B650" s="83"/>
    </row>
    <row r="651" ht="15.75" customHeight="1">
      <c r="A651" s="66" t="s">
        <v>6918</v>
      </c>
      <c r="B651" s="83"/>
    </row>
    <row r="652" ht="15.75" customHeight="1">
      <c r="A652" s="66" t="s">
        <v>6919</v>
      </c>
      <c r="B652" s="83"/>
    </row>
    <row r="653" ht="15.75" customHeight="1">
      <c r="A653" s="66" t="s">
        <v>6920</v>
      </c>
      <c r="B653" s="83"/>
    </row>
    <row r="654" ht="15.75" customHeight="1">
      <c r="A654" s="66" t="s">
        <v>6921</v>
      </c>
      <c r="B654" s="83"/>
    </row>
    <row r="655" ht="15.75" customHeight="1">
      <c r="A655" s="66" t="s">
        <v>6923</v>
      </c>
      <c r="B655" s="83"/>
    </row>
    <row r="656" ht="15.75" customHeight="1">
      <c r="A656" s="66" t="s">
        <v>6930</v>
      </c>
      <c r="B656" s="83"/>
    </row>
    <row r="657" ht="15.75" customHeight="1">
      <c r="A657" s="66" t="s">
        <v>6932</v>
      </c>
      <c r="B657" s="83"/>
    </row>
    <row r="658" ht="15.75" customHeight="1">
      <c r="A658" s="66" t="s">
        <v>6933</v>
      </c>
      <c r="B658" s="83"/>
    </row>
    <row r="659" ht="15.75" customHeight="1">
      <c r="A659" s="66" t="s">
        <v>6934</v>
      </c>
      <c r="B659" s="83"/>
    </row>
    <row r="660" ht="15.75" customHeight="1">
      <c r="A660" s="66" t="s">
        <v>6935</v>
      </c>
      <c r="B660" s="83"/>
    </row>
    <row r="661" ht="15.75" customHeight="1">
      <c r="A661" s="66" t="s">
        <v>6936</v>
      </c>
      <c r="B661" s="83"/>
    </row>
    <row r="662" ht="15.75" customHeight="1">
      <c r="A662" s="66" t="s">
        <v>6937</v>
      </c>
      <c r="B662" s="83"/>
    </row>
    <row r="663" ht="15.75" customHeight="1">
      <c r="A663" s="66" t="s">
        <v>6938</v>
      </c>
      <c r="B663" s="83"/>
    </row>
    <row r="664" ht="15.75" customHeight="1">
      <c r="A664" s="66" t="s">
        <v>6939</v>
      </c>
      <c r="B664" s="83"/>
    </row>
    <row r="665" ht="15.75" customHeight="1">
      <c r="A665" s="66" t="s">
        <v>6940</v>
      </c>
      <c r="B665" s="83"/>
    </row>
    <row r="666" ht="15.75" customHeight="1">
      <c r="A666" s="66" t="s">
        <v>6941</v>
      </c>
      <c r="B666" s="83"/>
    </row>
    <row r="667" ht="15.75" customHeight="1">
      <c r="A667" s="66" t="s">
        <v>6942</v>
      </c>
      <c r="B667" s="83"/>
    </row>
    <row r="668" ht="15.75" customHeight="1">
      <c r="A668" s="66" t="s">
        <v>6944</v>
      </c>
      <c r="B668" s="83"/>
    </row>
    <row r="669" ht="15.75" customHeight="1">
      <c r="A669" s="66" t="s">
        <v>6947</v>
      </c>
      <c r="B669" s="83"/>
    </row>
    <row r="670" ht="15.75" customHeight="1">
      <c r="A670" s="66" t="s">
        <v>6950</v>
      </c>
      <c r="B670" s="83"/>
    </row>
    <row r="671" ht="15.75" customHeight="1">
      <c r="A671" s="66" t="s">
        <v>6952</v>
      </c>
      <c r="B671" s="83"/>
    </row>
    <row r="672" ht="15.75" customHeight="1">
      <c r="A672" s="66" t="s">
        <v>6953</v>
      </c>
      <c r="B672" s="83"/>
    </row>
    <row r="673" ht="15.75" customHeight="1">
      <c r="A673" s="66" t="s">
        <v>6954</v>
      </c>
      <c r="B673" s="83"/>
    </row>
    <row r="674" ht="15.75" customHeight="1">
      <c r="A674" s="66" t="s">
        <v>6955</v>
      </c>
      <c r="B674" s="83"/>
    </row>
    <row r="675" ht="15.75" customHeight="1">
      <c r="A675" s="66" t="s">
        <v>6956</v>
      </c>
      <c r="B675" s="83"/>
    </row>
    <row r="676" ht="15.75" customHeight="1">
      <c r="A676" s="66" t="s">
        <v>6957</v>
      </c>
      <c r="B676" s="83"/>
    </row>
    <row r="677" ht="15.75" customHeight="1">
      <c r="A677" s="66" t="s">
        <v>6958</v>
      </c>
      <c r="B677" s="83"/>
    </row>
    <row r="678" ht="15.75" customHeight="1">
      <c r="A678" s="66" t="s">
        <v>6959</v>
      </c>
      <c r="B678" s="83"/>
    </row>
    <row r="679" ht="15.75" customHeight="1">
      <c r="A679" s="66" t="s">
        <v>6960</v>
      </c>
      <c r="B679" s="83"/>
    </row>
    <row r="680" ht="15.75" customHeight="1">
      <c r="A680" s="66" t="s">
        <v>6961</v>
      </c>
      <c r="B680" s="83"/>
    </row>
    <row r="681" ht="15.75" customHeight="1">
      <c r="A681" s="66" t="s">
        <v>6963</v>
      </c>
      <c r="B681" s="83"/>
    </row>
    <row r="682" ht="15.75" customHeight="1">
      <c r="A682" s="66" t="s">
        <v>6965</v>
      </c>
      <c r="B682" s="83"/>
    </row>
    <row r="683" ht="15.75" customHeight="1">
      <c r="A683" s="66" t="s">
        <v>6966</v>
      </c>
      <c r="B683" s="83"/>
    </row>
    <row r="684" ht="15.75" customHeight="1">
      <c r="A684" s="66" t="s">
        <v>6969</v>
      </c>
      <c r="B684" s="83"/>
    </row>
    <row r="685" ht="15.75" customHeight="1">
      <c r="A685" s="66" t="s">
        <v>6971</v>
      </c>
      <c r="B685" s="83"/>
    </row>
    <row r="686" ht="15.75" customHeight="1">
      <c r="A686" s="66" t="s">
        <v>6973</v>
      </c>
      <c r="B686" s="83"/>
    </row>
    <row r="687" ht="15.75" customHeight="1">
      <c r="A687" s="66" t="s">
        <v>6975</v>
      </c>
      <c r="B687" s="83"/>
    </row>
    <row r="688" ht="15.75" customHeight="1">
      <c r="A688" s="66" t="s">
        <v>6976</v>
      </c>
      <c r="B688" s="83"/>
    </row>
    <row r="689" ht="15.75" customHeight="1">
      <c r="A689" s="66" t="s">
        <v>6977</v>
      </c>
      <c r="B689" s="83"/>
    </row>
    <row r="690" ht="15.75" customHeight="1">
      <c r="A690" s="66" t="s">
        <v>6978</v>
      </c>
      <c r="B690" s="83"/>
    </row>
    <row r="691" ht="15.75" customHeight="1">
      <c r="A691" s="66" t="s">
        <v>6979</v>
      </c>
      <c r="B691" s="83"/>
    </row>
    <row r="692" ht="15.75" customHeight="1">
      <c r="A692" s="66" t="s">
        <v>6980</v>
      </c>
      <c r="B692" s="83"/>
    </row>
    <row r="693" ht="15.75" customHeight="1">
      <c r="A693" s="66" t="s">
        <v>6981</v>
      </c>
      <c r="B693" s="83"/>
    </row>
    <row r="694" ht="15.75" customHeight="1">
      <c r="A694" s="66" t="s">
        <v>6982</v>
      </c>
      <c r="B694" s="83"/>
    </row>
    <row r="695" ht="15.75" customHeight="1">
      <c r="A695" s="66" t="s">
        <v>6983</v>
      </c>
      <c r="B695" s="83"/>
    </row>
    <row r="696" ht="15.75" customHeight="1">
      <c r="A696" s="66" t="s">
        <v>6984</v>
      </c>
      <c r="B696" s="83"/>
    </row>
    <row r="697" ht="15.75" customHeight="1">
      <c r="A697" s="66" t="s">
        <v>6985</v>
      </c>
      <c r="B697" s="83"/>
    </row>
    <row r="698" ht="15.75" customHeight="1">
      <c r="A698" s="66" t="s">
        <v>6986</v>
      </c>
      <c r="B698" s="83"/>
    </row>
    <row r="699" ht="15.75" customHeight="1">
      <c r="A699" s="66" t="s">
        <v>6987</v>
      </c>
      <c r="B699" s="83"/>
    </row>
    <row r="700" ht="15.75" customHeight="1">
      <c r="A700" s="66" t="s">
        <v>6988</v>
      </c>
      <c r="B700" s="83"/>
    </row>
    <row r="701" ht="15.75" customHeight="1">
      <c r="A701" s="66" t="s">
        <v>6989</v>
      </c>
      <c r="B701" s="83"/>
    </row>
    <row r="702" ht="15.75" customHeight="1">
      <c r="A702" s="66" t="s">
        <v>6990</v>
      </c>
      <c r="B702" s="83"/>
    </row>
    <row r="703" ht="15.75" customHeight="1">
      <c r="A703" s="66" t="s">
        <v>6993</v>
      </c>
      <c r="B703" s="83"/>
    </row>
    <row r="704" ht="15.75" customHeight="1">
      <c r="A704" s="66" t="s">
        <v>6995</v>
      </c>
      <c r="B704" s="83"/>
    </row>
    <row r="705" ht="15.75" customHeight="1">
      <c r="A705" s="66" t="s">
        <v>6996</v>
      </c>
      <c r="B705" s="83"/>
    </row>
    <row r="706" ht="15.75" customHeight="1">
      <c r="A706" s="66" t="s">
        <v>6997</v>
      </c>
      <c r="B706" s="83"/>
    </row>
    <row r="707" ht="15.75" customHeight="1">
      <c r="A707" s="66" t="s">
        <v>6998</v>
      </c>
      <c r="B707" s="83"/>
    </row>
    <row r="708" ht="15.75" customHeight="1">
      <c r="A708" s="66" t="s">
        <v>6999</v>
      </c>
      <c r="B708" s="83"/>
    </row>
    <row r="709" ht="15.75" customHeight="1">
      <c r="A709" s="66" t="s">
        <v>7000</v>
      </c>
      <c r="B709" s="83"/>
    </row>
    <row r="710" ht="15.75" customHeight="1">
      <c r="A710" s="66" t="s">
        <v>7001</v>
      </c>
      <c r="B710" s="83"/>
    </row>
    <row r="711" ht="15.75" customHeight="1">
      <c r="A711" s="66" t="s">
        <v>7003</v>
      </c>
      <c r="B711" s="83"/>
    </row>
    <row r="712" ht="15.75" customHeight="1">
      <c r="A712" s="66" t="s">
        <v>7006</v>
      </c>
      <c r="B712" s="83"/>
    </row>
    <row r="713" ht="15.75" customHeight="1">
      <c r="A713" s="66" t="s">
        <v>7007</v>
      </c>
      <c r="B713" s="83"/>
    </row>
    <row r="714" ht="15.75" customHeight="1">
      <c r="A714" s="66" t="s">
        <v>7008</v>
      </c>
      <c r="B714" s="83"/>
    </row>
    <row r="715" ht="15.75" customHeight="1">
      <c r="A715" s="66" t="s">
        <v>7009</v>
      </c>
      <c r="B715" s="83"/>
    </row>
    <row r="716" ht="15.75" customHeight="1">
      <c r="A716" s="66" t="s">
        <v>7011</v>
      </c>
      <c r="B716" s="83"/>
    </row>
    <row r="717" ht="15.75" customHeight="1">
      <c r="A717" s="66" t="s">
        <v>7014</v>
      </c>
      <c r="B717" s="83"/>
    </row>
    <row r="718" ht="15.75" customHeight="1">
      <c r="A718" s="66" t="s">
        <v>7015</v>
      </c>
      <c r="B718" s="83"/>
    </row>
    <row r="719" ht="15.75" customHeight="1">
      <c r="A719" s="66" t="s">
        <v>7017</v>
      </c>
      <c r="B719" s="83"/>
    </row>
    <row r="720" ht="15.75" customHeight="1">
      <c r="A720" s="66" t="s">
        <v>7020</v>
      </c>
      <c r="B720" s="83"/>
    </row>
    <row r="721" ht="15.75" customHeight="1">
      <c r="A721" s="66" t="s">
        <v>7021</v>
      </c>
      <c r="B721" s="83"/>
    </row>
    <row r="722" ht="15.75" customHeight="1">
      <c r="A722" s="66" t="s">
        <v>7022</v>
      </c>
      <c r="B722" s="83"/>
    </row>
    <row r="723" ht="15.75" customHeight="1">
      <c r="A723" s="66" t="s">
        <v>7023</v>
      </c>
      <c r="B723" s="83"/>
    </row>
    <row r="724" ht="15.75" customHeight="1">
      <c r="A724" s="66" t="s">
        <v>7024</v>
      </c>
      <c r="B724" s="83"/>
    </row>
    <row r="725" ht="15.75" customHeight="1">
      <c r="A725" s="66" t="s">
        <v>7025</v>
      </c>
      <c r="B725" s="83"/>
    </row>
    <row r="726" ht="15.75" customHeight="1">
      <c r="A726" s="66" t="s">
        <v>7026</v>
      </c>
      <c r="B726" s="83"/>
    </row>
    <row r="727" ht="15.75" customHeight="1">
      <c r="A727" s="66" t="s">
        <v>7027</v>
      </c>
      <c r="B727" s="83"/>
    </row>
    <row r="728" ht="15.75" customHeight="1">
      <c r="A728" s="66" t="s">
        <v>7028</v>
      </c>
      <c r="B728" s="83"/>
    </row>
    <row r="729" ht="15.75" customHeight="1">
      <c r="A729" s="66" t="s">
        <v>7029</v>
      </c>
      <c r="B729" s="83"/>
    </row>
    <row r="730" ht="15.75" customHeight="1">
      <c r="A730" s="66" t="s">
        <v>7030</v>
      </c>
      <c r="B730" s="83"/>
    </row>
    <row r="731" ht="15.75" customHeight="1">
      <c r="A731" s="66" t="s">
        <v>7031</v>
      </c>
      <c r="B731" s="83"/>
    </row>
    <row r="732" ht="15.75" customHeight="1">
      <c r="A732" s="66" t="s">
        <v>7032</v>
      </c>
      <c r="B732" s="83"/>
    </row>
    <row r="733" ht="15.75" customHeight="1">
      <c r="A733" s="66" t="s">
        <v>7033</v>
      </c>
      <c r="B733" s="83"/>
    </row>
    <row r="734" ht="15.75" customHeight="1">
      <c r="A734" s="66" t="s">
        <v>7035</v>
      </c>
      <c r="B734" s="83"/>
    </row>
    <row r="735" ht="15.75" customHeight="1">
      <c r="A735" s="66" t="s">
        <v>7038</v>
      </c>
      <c r="B735" s="83"/>
    </row>
    <row r="736" ht="15.75" customHeight="1">
      <c r="A736" s="66" t="s">
        <v>7039</v>
      </c>
      <c r="B736" s="83"/>
    </row>
    <row r="737" ht="15.75" customHeight="1">
      <c r="A737" s="66" t="s">
        <v>7040</v>
      </c>
      <c r="B737" s="83"/>
    </row>
    <row r="738" ht="15.75" customHeight="1">
      <c r="A738" s="66" t="s">
        <v>7041</v>
      </c>
      <c r="B738" s="83"/>
    </row>
    <row r="739" ht="15.75" customHeight="1">
      <c r="A739" s="66" t="s">
        <v>7043</v>
      </c>
      <c r="B739" s="83"/>
    </row>
    <row r="740" ht="15.75" customHeight="1">
      <c r="A740" s="66" t="s">
        <v>7045</v>
      </c>
      <c r="B740" s="83"/>
    </row>
    <row r="741" ht="15.75" customHeight="1">
      <c r="A741" s="66" t="s">
        <v>7047</v>
      </c>
      <c r="B741" s="83"/>
    </row>
    <row r="742" ht="15.75" customHeight="1">
      <c r="A742" s="66" t="s">
        <v>7048</v>
      </c>
      <c r="B742" s="83"/>
    </row>
    <row r="743" ht="15.75" customHeight="1">
      <c r="A743" s="66" t="s">
        <v>7049</v>
      </c>
      <c r="B743" s="83"/>
    </row>
    <row r="744" ht="15.75" customHeight="1">
      <c r="A744" s="66" t="s">
        <v>7050</v>
      </c>
      <c r="B744" s="83"/>
    </row>
    <row r="745" ht="15.75" customHeight="1">
      <c r="A745" s="66" t="s">
        <v>7051</v>
      </c>
      <c r="B745" s="83"/>
    </row>
    <row r="746" ht="15.75" customHeight="1">
      <c r="A746" s="66" t="s">
        <v>7052</v>
      </c>
      <c r="B746" s="83"/>
    </row>
    <row r="747" ht="15.75" customHeight="1">
      <c r="A747" s="66" t="s">
        <v>7055</v>
      </c>
      <c r="B747" s="83"/>
    </row>
    <row r="748" ht="15.75" customHeight="1">
      <c r="A748" s="66" t="s">
        <v>7056</v>
      </c>
      <c r="B748" s="83"/>
    </row>
    <row r="749" ht="15.75" customHeight="1">
      <c r="A749" s="66" t="s">
        <v>7057</v>
      </c>
      <c r="B749" s="83"/>
    </row>
    <row r="750" ht="15.75" customHeight="1">
      <c r="A750" s="66" t="s">
        <v>7058</v>
      </c>
      <c r="B750" s="83"/>
    </row>
    <row r="751" ht="15.75" customHeight="1">
      <c r="A751" s="66" t="s">
        <v>7059</v>
      </c>
      <c r="B751" s="83"/>
    </row>
    <row r="752" ht="15.75" customHeight="1">
      <c r="A752" s="66" t="s">
        <v>7060</v>
      </c>
      <c r="B752" s="83"/>
    </row>
    <row r="753" ht="15.75" customHeight="1">
      <c r="A753" s="66" t="s">
        <v>7061</v>
      </c>
      <c r="B753" s="83"/>
    </row>
    <row r="754" ht="15.75" customHeight="1">
      <c r="A754" s="66" t="s">
        <v>7062</v>
      </c>
      <c r="B754" s="83"/>
    </row>
    <row r="755" ht="15.75" customHeight="1">
      <c r="A755" s="66" t="s">
        <v>7063</v>
      </c>
      <c r="B755" s="83"/>
    </row>
    <row r="756" ht="15.75" customHeight="1">
      <c r="A756" s="66" t="s">
        <v>7064</v>
      </c>
      <c r="B756" s="83"/>
    </row>
    <row r="757" ht="15.75" customHeight="1">
      <c r="A757" s="66" t="s">
        <v>7065</v>
      </c>
      <c r="B757" s="83"/>
    </row>
    <row r="758" ht="15.75" customHeight="1">
      <c r="A758" s="66" t="s">
        <v>7066</v>
      </c>
      <c r="B758" s="83"/>
    </row>
    <row r="759" ht="15.75" customHeight="1">
      <c r="A759" s="66" t="s">
        <v>7067</v>
      </c>
      <c r="B759" s="83"/>
    </row>
    <row r="760" ht="15.75" customHeight="1">
      <c r="A760" s="66" t="s">
        <v>7068</v>
      </c>
      <c r="B760" s="83"/>
    </row>
    <row r="761" ht="15.75" customHeight="1">
      <c r="A761" s="66" t="s">
        <v>7069</v>
      </c>
      <c r="B761" s="83"/>
    </row>
    <row r="762" ht="15.75" customHeight="1">
      <c r="A762" s="66" t="s">
        <v>7071</v>
      </c>
      <c r="B762" s="83"/>
    </row>
    <row r="763" ht="15.75" customHeight="1">
      <c r="A763" s="66" t="s">
        <v>7074</v>
      </c>
      <c r="B763" s="83"/>
    </row>
    <row r="764" ht="15.75" customHeight="1">
      <c r="A764" s="66" t="s">
        <v>7077</v>
      </c>
      <c r="B764" s="83"/>
    </row>
    <row r="765" ht="15.75" customHeight="1">
      <c r="A765" s="66" t="s">
        <v>7079</v>
      </c>
      <c r="B765" s="83"/>
    </row>
    <row r="766" ht="15.75" customHeight="1">
      <c r="A766" s="66" t="s">
        <v>7082</v>
      </c>
      <c r="B766" s="83"/>
    </row>
    <row r="767" ht="15.75" customHeight="1">
      <c r="A767" s="66" t="s">
        <v>7083</v>
      </c>
      <c r="B767" s="83"/>
    </row>
    <row r="768" ht="15.75" customHeight="1">
      <c r="A768" s="66" t="s">
        <v>7084</v>
      </c>
      <c r="B768" s="83"/>
    </row>
    <row r="769" ht="15.75" customHeight="1">
      <c r="A769" s="66" t="s">
        <v>7085</v>
      </c>
      <c r="B769" s="83"/>
    </row>
    <row r="770" ht="15.75" customHeight="1">
      <c r="A770" s="66" t="s">
        <v>7086</v>
      </c>
      <c r="B770" s="83"/>
    </row>
    <row r="771" ht="15.75" customHeight="1">
      <c r="A771" s="66" t="s">
        <v>7087</v>
      </c>
      <c r="B771" s="83"/>
    </row>
    <row r="772" ht="15.75" customHeight="1">
      <c r="A772" s="66" t="s">
        <v>7088</v>
      </c>
      <c r="B772" s="83"/>
    </row>
    <row r="773" ht="15.75" customHeight="1">
      <c r="A773" s="66" t="s">
        <v>7089</v>
      </c>
      <c r="B773" s="83"/>
    </row>
    <row r="774" ht="15.75" customHeight="1">
      <c r="A774" s="66" t="s">
        <v>7090</v>
      </c>
      <c r="B774" s="83"/>
    </row>
    <row r="775" ht="15.75" customHeight="1">
      <c r="A775" s="66" t="s">
        <v>7091</v>
      </c>
      <c r="B775" s="83"/>
    </row>
    <row r="776" ht="15.75" customHeight="1">
      <c r="A776" s="66" t="s">
        <v>7092</v>
      </c>
      <c r="B776" s="83"/>
    </row>
    <row r="777" ht="15.75" customHeight="1">
      <c r="A777" s="66" t="s">
        <v>7093</v>
      </c>
      <c r="B777" s="83"/>
    </row>
    <row r="778" ht="15.75" customHeight="1">
      <c r="A778" s="66" t="s">
        <v>7094</v>
      </c>
      <c r="B778" s="83"/>
    </row>
    <row r="779" ht="15.75" customHeight="1">
      <c r="A779" s="66" t="s">
        <v>7095</v>
      </c>
      <c r="B779" s="83"/>
    </row>
    <row r="780" ht="15.75" customHeight="1">
      <c r="A780" s="66" t="s">
        <v>7098</v>
      </c>
      <c r="B780" s="83"/>
    </row>
    <row r="781" ht="15.75" customHeight="1">
      <c r="A781" s="66" t="s">
        <v>7100</v>
      </c>
      <c r="B781" s="83"/>
    </row>
    <row r="782" ht="15.75" customHeight="1">
      <c r="A782" s="66" t="s">
        <v>7103</v>
      </c>
      <c r="B782" s="83"/>
    </row>
    <row r="783" ht="15.75" customHeight="1">
      <c r="A783" s="66" t="s">
        <v>7104</v>
      </c>
      <c r="B783" s="83"/>
    </row>
    <row r="784" ht="15.75" customHeight="1">
      <c r="A784" s="66" t="s">
        <v>7105</v>
      </c>
      <c r="B784" s="83"/>
    </row>
    <row r="785" ht="15.75" customHeight="1">
      <c r="A785" s="66" t="s">
        <v>7106</v>
      </c>
      <c r="B785" s="83"/>
    </row>
    <row r="786" ht="15.75" customHeight="1">
      <c r="A786" s="66" t="s">
        <v>7107</v>
      </c>
      <c r="B786" s="83"/>
    </row>
    <row r="787" ht="15.75" customHeight="1">
      <c r="A787" s="66" t="s">
        <v>7108</v>
      </c>
      <c r="B787" s="83"/>
    </row>
    <row r="788" ht="15.75" customHeight="1">
      <c r="A788" s="66" t="s">
        <v>7110</v>
      </c>
      <c r="B788" s="83"/>
    </row>
    <row r="789" ht="15.75" customHeight="1">
      <c r="A789" s="66" t="s">
        <v>7112</v>
      </c>
      <c r="B789" s="83"/>
    </row>
    <row r="790" ht="15.75" customHeight="1">
      <c r="A790" s="66" t="s">
        <v>7113</v>
      </c>
      <c r="B790" s="83"/>
    </row>
    <row r="791" ht="15.75" customHeight="1">
      <c r="A791" s="66" t="s">
        <v>7114</v>
      </c>
      <c r="B791" s="83"/>
    </row>
    <row r="792" ht="15.75" customHeight="1">
      <c r="A792" s="66" t="s">
        <v>7115</v>
      </c>
      <c r="B792" s="83"/>
    </row>
    <row r="793" ht="15.75" customHeight="1">
      <c r="A793" s="66" t="s">
        <v>7116</v>
      </c>
      <c r="B793" s="83"/>
    </row>
    <row r="794" ht="15.75" customHeight="1">
      <c r="A794" s="66" t="s">
        <v>7117</v>
      </c>
      <c r="B794" s="83"/>
    </row>
    <row r="795" ht="15.75" customHeight="1">
      <c r="A795" s="66" t="s">
        <v>7118</v>
      </c>
      <c r="B795" s="83"/>
    </row>
    <row r="796" ht="15.75" customHeight="1">
      <c r="A796" s="66" t="s">
        <v>7119</v>
      </c>
      <c r="B796" s="83"/>
    </row>
    <row r="797" ht="15.75" customHeight="1">
      <c r="A797" s="66" t="s">
        <v>7121</v>
      </c>
      <c r="B797" s="83"/>
    </row>
    <row r="798" ht="15.75" customHeight="1">
      <c r="A798" s="66" t="s">
        <v>7124</v>
      </c>
      <c r="B798" s="83"/>
    </row>
    <row r="799" ht="15.75" customHeight="1">
      <c r="A799" s="66" t="s">
        <v>7125</v>
      </c>
      <c r="B799" s="83"/>
    </row>
    <row r="800" ht="15.75" customHeight="1">
      <c r="A800" s="66" t="s">
        <v>7126</v>
      </c>
      <c r="B800" s="83"/>
    </row>
    <row r="801" ht="15.75" customHeight="1">
      <c r="A801" s="66" t="s">
        <v>7127</v>
      </c>
      <c r="B801" s="83"/>
    </row>
    <row r="802" ht="15.75" customHeight="1">
      <c r="A802" s="66" t="s">
        <v>7128</v>
      </c>
      <c r="B802" s="83"/>
    </row>
    <row r="803" ht="15.75" customHeight="1">
      <c r="A803" s="66" t="s">
        <v>7130</v>
      </c>
      <c r="B803" s="83"/>
    </row>
    <row r="804" ht="15.75" customHeight="1">
      <c r="A804" s="66" t="s">
        <v>7131</v>
      </c>
      <c r="B804" s="83"/>
    </row>
    <row r="805" ht="15.75" customHeight="1">
      <c r="A805" s="66" t="s">
        <v>7134</v>
      </c>
      <c r="B805" s="83"/>
    </row>
    <row r="806" ht="15.75" customHeight="1">
      <c r="A806" s="66" t="s">
        <v>7136</v>
      </c>
      <c r="B806" s="83"/>
    </row>
    <row r="807" ht="15.75" customHeight="1">
      <c r="A807" s="66" t="s">
        <v>7137</v>
      </c>
      <c r="B807" s="83"/>
    </row>
    <row r="808" ht="15.75" customHeight="1">
      <c r="A808" s="66" t="s">
        <v>7138</v>
      </c>
      <c r="B808" s="83"/>
    </row>
    <row r="809" ht="15.75" customHeight="1">
      <c r="A809" s="66" t="s">
        <v>7139</v>
      </c>
      <c r="B809" s="83"/>
    </row>
    <row r="810" ht="15.75" customHeight="1">
      <c r="A810" s="66" t="s">
        <v>7140</v>
      </c>
      <c r="B810" s="83"/>
    </row>
    <row r="811" ht="15.75" customHeight="1">
      <c r="A811" s="66" t="s">
        <v>7141</v>
      </c>
      <c r="B811" s="83"/>
    </row>
    <row r="812" ht="15.75" customHeight="1">
      <c r="A812" s="66" t="s">
        <v>7142</v>
      </c>
      <c r="B812" s="83"/>
    </row>
    <row r="813" ht="15.75" customHeight="1">
      <c r="A813" s="66" t="s">
        <v>7143</v>
      </c>
      <c r="B813" s="83"/>
    </row>
    <row r="814" ht="15.75" customHeight="1">
      <c r="A814" s="66" t="s">
        <v>7144</v>
      </c>
      <c r="B814" s="83"/>
    </row>
    <row r="815" ht="15.75" customHeight="1">
      <c r="A815" s="66" t="s">
        <v>7145</v>
      </c>
      <c r="B815" s="83"/>
    </row>
    <row r="816" ht="15.75" customHeight="1">
      <c r="A816" s="66" t="s">
        <v>7149</v>
      </c>
      <c r="B816" s="83"/>
    </row>
    <row r="817" ht="15.75" customHeight="1">
      <c r="A817" s="66" t="s">
        <v>7150</v>
      </c>
      <c r="B817" s="83"/>
    </row>
    <row r="818" ht="15.75" customHeight="1">
      <c r="A818" s="66" t="s">
        <v>7151</v>
      </c>
      <c r="B818" s="83"/>
    </row>
    <row r="819" ht="15.75" customHeight="1">
      <c r="A819" s="66" t="s">
        <v>7152</v>
      </c>
      <c r="B819" s="83"/>
    </row>
    <row r="820" ht="15.75" customHeight="1">
      <c r="A820" s="66" t="s">
        <v>7153</v>
      </c>
      <c r="B820" s="83"/>
    </row>
    <row r="821" ht="15.75" customHeight="1">
      <c r="A821" s="66" t="s">
        <v>7154</v>
      </c>
      <c r="B821" s="83"/>
    </row>
    <row r="822" ht="15.75" customHeight="1">
      <c r="A822" s="66" t="s">
        <v>7155</v>
      </c>
      <c r="B822" s="83"/>
    </row>
    <row r="823" ht="15.75" customHeight="1">
      <c r="A823" s="66" t="s">
        <v>7157</v>
      </c>
      <c r="B823" s="83"/>
    </row>
    <row r="824" ht="15.75" customHeight="1">
      <c r="A824" s="66" t="s">
        <v>7160</v>
      </c>
      <c r="B824" s="83"/>
    </row>
    <row r="825" ht="15.75" customHeight="1">
      <c r="A825" s="66" t="s">
        <v>7162</v>
      </c>
      <c r="B825" s="83"/>
    </row>
    <row r="826" ht="15.75" customHeight="1">
      <c r="A826" s="66" t="s">
        <v>7163</v>
      </c>
      <c r="B826" s="83"/>
    </row>
    <row r="827" ht="15.75" customHeight="1">
      <c r="A827" s="66" t="s">
        <v>7164</v>
      </c>
      <c r="B827" s="83"/>
    </row>
    <row r="828" ht="15.75" customHeight="1">
      <c r="A828" s="66" t="s">
        <v>7167</v>
      </c>
      <c r="B828" s="83"/>
    </row>
    <row r="829" ht="15.75" customHeight="1">
      <c r="A829" s="66" t="s">
        <v>7169</v>
      </c>
      <c r="B829" s="83"/>
    </row>
    <row r="830" ht="15.75" customHeight="1">
      <c r="A830" s="66" t="s">
        <v>7170</v>
      </c>
      <c r="B830" s="83"/>
    </row>
    <row r="831" ht="15.75" customHeight="1">
      <c r="A831" s="66" t="s">
        <v>7171</v>
      </c>
      <c r="B831" s="83"/>
    </row>
    <row r="832" ht="15.75" customHeight="1">
      <c r="A832" s="66" t="s">
        <v>7172</v>
      </c>
      <c r="B832" s="83"/>
    </row>
    <row r="833" ht="15.75" customHeight="1">
      <c r="A833" s="66" t="s">
        <v>7173</v>
      </c>
      <c r="B833" s="83"/>
    </row>
    <row r="834" ht="15.75" customHeight="1">
      <c r="A834" s="66" t="s">
        <v>7174</v>
      </c>
      <c r="B834" s="83"/>
    </row>
    <row r="835" ht="15.75" customHeight="1">
      <c r="A835" s="66" t="s">
        <v>7175</v>
      </c>
      <c r="B835" s="83"/>
    </row>
    <row r="836" ht="15.75" customHeight="1">
      <c r="A836" s="66" t="s">
        <v>7176</v>
      </c>
      <c r="B836" s="83"/>
    </row>
    <row r="837" ht="15.75" customHeight="1">
      <c r="A837" s="66" t="s">
        <v>7177</v>
      </c>
      <c r="B837" s="83"/>
    </row>
    <row r="838" ht="15.75" customHeight="1">
      <c r="A838" s="66" t="s">
        <v>7178</v>
      </c>
      <c r="B838" s="83"/>
    </row>
    <row r="839" ht="15.75" customHeight="1">
      <c r="A839" s="66" t="s">
        <v>7179</v>
      </c>
      <c r="B839" s="83"/>
    </row>
    <row r="840" ht="15.75" customHeight="1">
      <c r="A840" s="66" t="s">
        <v>7180</v>
      </c>
      <c r="B840" s="83"/>
    </row>
    <row r="841" ht="15.75" customHeight="1">
      <c r="A841" s="66" t="s">
        <v>7181</v>
      </c>
      <c r="B841" s="83"/>
    </row>
    <row r="842" ht="15.75" customHeight="1">
      <c r="A842" s="66" t="s">
        <v>7182</v>
      </c>
      <c r="B842" s="83"/>
    </row>
    <row r="843" ht="15.75" customHeight="1">
      <c r="A843" s="66" t="s">
        <v>7183</v>
      </c>
      <c r="B843" s="83"/>
    </row>
    <row r="844" ht="15.75" customHeight="1">
      <c r="A844" s="66" t="s">
        <v>7184</v>
      </c>
      <c r="B844" s="83"/>
    </row>
    <row r="845" ht="15.75" customHeight="1">
      <c r="A845" s="66" t="s">
        <v>7185</v>
      </c>
      <c r="B845" s="83"/>
    </row>
    <row r="846" ht="15.75" customHeight="1">
      <c r="A846" s="66" t="s">
        <v>7186</v>
      </c>
      <c r="B846" s="83"/>
    </row>
    <row r="847" ht="15.75" customHeight="1">
      <c r="A847" s="66" t="s">
        <v>7187</v>
      </c>
      <c r="B847" s="83"/>
    </row>
    <row r="848" ht="15.75" customHeight="1">
      <c r="A848" s="66" t="s">
        <v>7188</v>
      </c>
      <c r="B848" s="83"/>
    </row>
    <row r="849" ht="15.75" customHeight="1">
      <c r="A849" s="66" t="s">
        <v>7189</v>
      </c>
      <c r="B849" s="83"/>
    </row>
    <row r="850" ht="15.75" customHeight="1">
      <c r="A850" s="66" t="s">
        <v>7190</v>
      </c>
      <c r="B850" s="83"/>
    </row>
    <row r="851" ht="15.75" customHeight="1">
      <c r="A851" s="66" t="s">
        <v>7191</v>
      </c>
      <c r="B851" s="83"/>
    </row>
    <row r="852" ht="15.75" customHeight="1">
      <c r="A852" s="66" t="s">
        <v>7193</v>
      </c>
      <c r="B852" s="83"/>
    </row>
    <row r="853" ht="15.75" customHeight="1">
      <c r="A853" s="66" t="s">
        <v>7195</v>
      </c>
      <c r="B853" s="83"/>
    </row>
    <row r="854" ht="15.75" customHeight="1">
      <c r="A854" s="66" t="s">
        <v>7198</v>
      </c>
      <c r="B854" s="83"/>
    </row>
    <row r="855" ht="15.75" customHeight="1">
      <c r="A855" s="66" t="s">
        <v>7199</v>
      </c>
      <c r="B855" s="83"/>
    </row>
    <row r="856" ht="15.75" customHeight="1">
      <c r="A856" s="66" t="s">
        <v>7201</v>
      </c>
      <c r="B856" s="83"/>
    </row>
    <row r="857" ht="15.75" customHeight="1">
      <c r="A857" s="66" t="s">
        <v>7203</v>
      </c>
      <c r="B857" s="83"/>
    </row>
    <row r="858" ht="15.75" customHeight="1">
      <c r="A858" s="66" t="s">
        <v>7205</v>
      </c>
      <c r="B858" s="83"/>
    </row>
    <row r="859" ht="15.75" customHeight="1">
      <c r="A859" s="66" t="s">
        <v>7206</v>
      </c>
      <c r="B859" s="83"/>
    </row>
    <row r="860" ht="15.75" customHeight="1">
      <c r="A860" s="66" t="s">
        <v>7208</v>
      </c>
      <c r="B860" s="83"/>
    </row>
    <row r="861" ht="15.75" customHeight="1">
      <c r="A861" s="66" t="s">
        <v>7210</v>
      </c>
      <c r="B861" s="83"/>
    </row>
    <row r="862" ht="15.75" customHeight="1">
      <c r="A862" s="66" t="s">
        <v>7212</v>
      </c>
      <c r="B862" s="83"/>
    </row>
    <row r="863" ht="15.75" customHeight="1">
      <c r="A863" s="66" t="s">
        <v>7213</v>
      </c>
      <c r="B863" s="83"/>
    </row>
    <row r="864" ht="15.75" customHeight="1">
      <c r="A864" s="66" t="s">
        <v>7214</v>
      </c>
      <c r="B864" s="83"/>
    </row>
    <row r="865" ht="15.75" customHeight="1">
      <c r="A865" s="66" t="s">
        <v>7215</v>
      </c>
      <c r="B865" s="83"/>
    </row>
    <row r="866" ht="15.75" customHeight="1">
      <c r="A866" s="66" t="s">
        <v>7216</v>
      </c>
      <c r="B866" s="83"/>
    </row>
    <row r="867" ht="15.75" customHeight="1">
      <c r="A867" s="66" t="s">
        <v>7217</v>
      </c>
      <c r="B867" s="83"/>
    </row>
    <row r="868" ht="15.75" customHeight="1">
      <c r="A868" s="66" t="s">
        <v>7218</v>
      </c>
      <c r="B868" s="83"/>
    </row>
    <row r="869" ht="15.75" customHeight="1">
      <c r="A869" s="66" t="s">
        <v>7219</v>
      </c>
      <c r="B869" s="83"/>
    </row>
    <row r="870" ht="15.75" customHeight="1">
      <c r="A870" s="66" t="s">
        <v>7220</v>
      </c>
      <c r="B870" s="83"/>
    </row>
    <row r="871" ht="15.75" customHeight="1">
      <c r="A871" s="66" t="s">
        <v>7221</v>
      </c>
      <c r="B871" s="83"/>
    </row>
    <row r="872" ht="15.75" customHeight="1">
      <c r="A872" s="66" t="s">
        <v>7222</v>
      </c>
      <c r="B872" s="83"/>
    </row>
    <row r="873" ht="15.75" customHeight="1">
      <c r="A873" s="66" t="s">
        <v>7223</v>
      </c>
      <c r="B873" s="83"/>
    </row>
    <row r="874" ht="15.75" customHeight="1">
      <c r="A874" s="66" t="s">
        <v>7224</v>
      </c>
      <c r="B874" s="83"/>
    </row>
    <row r="875" ht="15.75" customHeight="1">
      <c r="A875" s="66" t="s">
        <v>7225</v>
      </c>
      <c r="B875" s="83"/>
    </row>
    <row r="876" ht="15.75" customHeight="1">
      <c r="A876" s="66" t="s">
        <v>7226</v>
      </c>
      <c r="B876" s="83"/>
    </row>
    <row r="877" ht="15.75" customHeight="1">
      <c r="A877" s="66" t="s">
        <v>7227</v>
      </c>
      <c r="B877" s="83"/>
    </row>
    <row r="878" ht="15.75" customHeight="1">
      <c r="A878" s="66" t="s">
        <v>7228</v>
      </c>
      <c r="B878" s="83"/>
    </row>
    <row r="879" ht="15.75" customHeight="1">
      <c r="A879" s="66" t="s">
        <v>7229</v>
      </c>
      <c r="B879" s="83"/>
    </row>
    <row r="880" ht="15.75" customHeight="1">
      <c r="A880" s="66" t="s">
        <v>7230</v>
      </c>
      <c r="B880" s="83"/>
    </row>
    <row r="881" ht="15.75" customHeight="1">
      <c r="A881" s="66" t="s">
        <v>7231</v>
      </c>
      <c r="B881" s="83"/>
    </row>
    <row r="882" ht="15.75" customHeight="1">
      <c r="A882" s="66" t="s">
        <v>7233</v>
      </c>
      <c r="B882" s="83"/>
    </row>
    <row r="883" ht="15.75" customHeight="1">
      <c r="A883" s="66" t="s">
        <v>7234</v>
      </c>
      <c r="B883" s="83"/>
    </row>
    <row r="884" ht="15.75" customHeight="1">
      <c r="A884" s="66" t="s">
        <v>7236</v>
      </c>
      <c r="B884" s="83"/>
    </row>
    <row r="885" ht="15.75" customHeight="1">
      <c r="A885" s="66" t="s">
        <v>7238</v>
      </c>
      <c r="B885" s="83"/>
    </row>
    <row r="886" ht="15.75" customHeight="1">
      <c r="A886" s="66" t="s">
        <v>7240</v>
      </c>
      <c r="B886" s="83"/>
    </row>
    <row r="887" ht="15.75" customHeight="1">
      <c r="A887" s="66" t="s">
        <v>7241</v>
      </c>
      <c r="B887" s="83"/>
    </row>
    <row r="888" ht="15.75" customHeight="1">
      <c r="A888" s="66" t="s">
        <v>7242</v>
      </c>
      <c r="B888" s="83"/>
    </row>
    <row r="889" ht="15.75" customHeight="1">
      <c r="A889" s="66" t="s">
        <v>7243</v>
      </c>
      <c r="B889" s="83"/>
    </row>
    <row r="890" ht="15.75" customHeight="1">
      <c r="A890" s="66" t="s">
        <v>7244</v>
      </c>
      <c r="B890" s="83"/>
    </row>
    <row r="891" ht="15.75" customHeight="1">
      <c r="A891" s="66" t="s">
        <v>7245</v>
      </c>
      <c r="B891" s="83"/>
    </row>
    <row r="892" ht="15.75" customHeight="1">
      <c r="A892" s="66" t="s">
        <v>7247</v>
      </c>
      <c r="B892" s="83"/>
    </row>
    <row r="893" ht="15.75" customHeight="1">
      <c r="A893" s="66" t="s">
        <v>7250</v>
      </c>
      <c r="B893" s="83"/>
    </row>
    <row r="894" ht="15.75" customHeight="1">
      <c r="A894" s="66" t="s">
        <v>7251</v>
      </c>
      <c r="B894" s="83"/>
    </row>
    <row r="895" ht="15.75" customHeight="1">
      <c r="A895" s="66" t="s">
        <v>7252</v>
      </c>
      <c r="B895" s="83"/>
    </row>
    <row r="896" ht="15.75" customHeight="1">
      <c r="A896" s="66" t="s">
        <v>7253</v>
      </c>
      <c r="B896" s="83"/>
    </row>
    <row r="897" ht="15.75" customHeight="1">
      <c r="A897" s="66" t="s">
        <v>7254</v>
      </c>
      <c r="B897" s="83"/>
    </row>
    <row r="898" ht="15.75" customHeight="1">
      <c r="A898" s="66" t="s">
        <v>7255</v>
      </c>
    </row>
    <row r="899" ht="15.75" customHeight="1">
      <c r="A899" s="66" t="s">
        <v>7256</v>
      </c>
    </row>
    <row r="900" ht="15.75" customHeight="1">
      <c r="A900" s="66" t="s">
        <v>7257</v>
      </c>
    </row>
    <row r="901" ht="15.75" customHeight="1">
      <c r="A901" s="66" t="s">
        <v>7258</v>
      </c>
    </row>
    <row r="902" ht="15.75" customHeight="1">
      <c r="A902" s="66" t="s">
        <v>7259</v>
      </c>
    </row>
    <row r="903" ht="15.75" customHeight="1">
      <c r="A903" s="66" t="s">
        <v>7260</v>
      </c>
    </row>
    <row r="904" ht="15.75" customHeight="1">
      <c r="A904" s="66" t="s">
        <v>7261</v>
      </c>
    </row>
    <row r="905" ht="15.75" customHeight="1">
      <c r="A905" s="66" t="s">
        <v>7262</v>
      </c>
    </row>
    <row r="906" ht="15.75" customHeight="1">
      <c r="A906" s="66" t="s">
        <v>7263</v>
      </c>
    </row>
    <row r="907" ht="15.75" customHeight="1">
      <c r="A907" s="66" t="s">
        <v>7264</v>
      </c>
    </row>
    <row r="908" ht="15.75" customHeight="1">
      <c r="A908" s="66" t="s">
        <v>7265</v>
      </c>
    </row>
    <row r="909" ht="15.75" customHeight="1">
      <c r="A909" s="66" t="s">
        <v>7266</v>
      </c>
    </row>
    <row r="910" ht="15.75" customHeight="1">
      <c r="A910" s="66" t="s">
        <v>7267</v>
      </c>
    </row>
    <row r="911" ht="15.75" customHeight="1">
      <c r="A911" s="66" t="s">
        <v>7268</v>
      </c>
    </row>
    <row r="912" ht="15.75" customHeight="1">
      <c r="A912" s="66" t="s">
        <v>7269</v>
      </c>
    </row>
    <row r="913" ht="15.75" customHeight="1">
      <c r="A913" s="66" t="s">
        <v>7270</v>
      </c>
    </row>
    <row r="914" ht="15.75" customHeight="1">
      <c r="A914" s="66" t="s">
        <v>7271</v>
      </c>
    </row>
    <row r="915" ht="15.75" customHeight="1">
      <c r="A915" s="66" t="s">
        <v>7272</v>
      </c>
    </row>
    <row r="916" ht="15.75" customHeight="1">
      <c r="A916" s="66" t="s">
        <v>7273</v>
      </c>
    </row>
    <row r="917" ht="15.75" customHeight="1">
      <c r="A917" s="66" t="s">
        <v>7274</v>
      </c>
    </row>
    <row r="918" ht="15.75" customHeight="1">
      <c r="A918" s="66" t="s">
        <v>7275</v>
      </c>
    </row>
    <row r="919" ht="15.75" customHeight="1">
      <c r="A919" s="66" t="s">
        <v>7276</v>
      </c>
    </row>
    <row r="920" ht="15.75" customHeight="1">
      <c r="A920" s="66" t="s">
        <v>7277</v>
      </c>
    </row>
    <row r="921" ht="15.75" customHeight="1">
      <c r="A921" s="66" t="s">
        <v>7278</v>
      </c>
    </row>
    <row r="922" ht="15.75" customHeight="1">
      <c r="A922" s="66" t="s">
        <v>7279</v>
      </c>
    </row>
    <row r="923" ht="15.75" customHeight="1">
      <c r="A923" s="66" t="s">
        <v>7280</v>
      </c>
    </row>
    <row r="924" ht="15.75" customHeight="1">
      <c r="A924" s="66" t="s">
        <v>7281</v>
      </c>
    </row>
    <row r="925" ht="15.75" customHeight="1">
      <c r="A925" s="66" t="s">
        <v>7282</v>
      </c>
    </row>
    <row r="926" ht="15.75" customHeight="1">
      <c r="A926" s="66" t="s">
        <v>7283</v>
      </c>
    </row>
    <row r="927" ht="15.75" customHeight="1">
      <c r="A927" s="66" t="s">
        <v>7284</v>
      </c>
    </row>
    <row r="928" ht="15.75" customHeight="1">
      <c r="A928" s="66" t="s">
        <v>7285</v>
      </c>
    </row>
    <row r="929" ht="15.75" customHeight="1">
      <c r="A929" s="66" t="s">
        <v>7288</v>
      </c>
    </row>
    <row r="930" ht="15.75" customHeight="1">
      <c r="A930" s="66" t="s">
        <v>7289</v>
      </c>
    </row>
    <row r="931" ht="15.75" customHeight="1">
      <c r="A931" s="66" t="s">
        <v>7293</v>
      </c>
    </row>
    <row r="932" ht="15.75" customHeight="1">
      <c r="A932" s="66" t="s">
        <v>7294</v>
      </c>
    </row>
    <row r="933" ht="15.75" customHeight="1">
      <c r="A933" s="66" t="s">
        <v>7295</v>
      </c>
    </row>
    <row r="934" ht="15.75" customHeight="1">
      <c r="A934" s="66" t="s">
        <v>7296</v>
      </c>
    </row>
    <row r="935" ht="15.75" customHeight="1">
      <c r="A935" s="66" t="s">
        <v>7297</v>
      </c>
    </row>
    <row r="936" ht="15.75" customHeight="1">
      <c r="A936" s="66" t="s">
        <v>7298</v>
      </c>
    </row>
    <row r="937" ht="15.75" customHeight="1">
      <c r="A937" s="66" t="s">
        <v>7299</v>
      </c>
    </row>
    <row r="938" ht="15.75" customHeight="1">
      <c r="A938" s="66" t="s">
        <v>7300</v>
      </c>
    </row>
    <row r="939" ht="15.75" customHeight="1">
      <c r="A939" s="66" t="s">
        <v>7301</v>
      </c>
    </row>
    <row r="940" ht="15.75" customHeight="1">
      <c r="A940" s="66" t="s">
        <v>7302</v>
      </c>
    </row>
    <row r="941" ht="15.75" customHeight="1">
      <c r="A941" s="66" t="s">
        <v>7303</v>
      </c>
    </row>
    <row r="942" ht="15.75" customHeight="1">
      <c r="A942" s="66" t="s">
        <v>7304</v>
      </c>
    </row>
    <row r="943" ht="15.75" customHeight="1">
      <c r="A943" s="66" t="s">
        <v>7305</v>
      </c>
    </row>
    <row r="944" ht="15.75" customHeight="1">
      <c r="A944" s="66" t="s">
        <v>7306</v>
      </c>
    </row>
    <row r="945" ht="15.75" customHeight="1">
      <c r="A945" s="66" t="s">
        <v>7307</v>
      </c>
    </row>
    <row r="946" ht="15.75" customHeight="1">
      <c r="A946" s="66" t="s">
        <v>7308</v>
      </c>
    </row>
    <row r="947" ht="15.75" customHeight="1">
      <c r="A947" s="66" t="s">
        <v>7309</v>
      </c>
    </row>
    <row r="948" ht="15.75" customHeight="1">
      <c r="A948" s="66" t="s">
        <v>7310</v>
      </c>
    </row>
    <row r="949" ht="15.75" customHeight="1">
      <c r="A949" s="66" t="s">
        <v>7311</v>
      </c>
    </row>
    <row r="950" ht="15.75" customHeight="1">
      <c r="A950" s="66" t="s">
        <v>7312</v>
      </c>
    </row>
    <row r="951" ht="15.75" customHeight="1">
      <c r="A951" s="66" t="s">
        <v>7313</v>
      </c>
    </row>
    <row r="952" ht="15.75" customHeight="1">
      <c r="A952" s="66" t="s">
        <v>7314</v>
      </c>
    </row>
    <row r="953" ht="15.75" customHeight="1">
      <c r="A953" s="66" t="s">
        <v>7315</v>
      </c>
    </row>
    <row r="954" ht="15.75" customHeight="1">
      <c r="A954" s="66" t="s">
        <v>7316</v>
      </c>
    </row>
    <row r="955" ht="15.75" customHeight="1">
      <c r="A955" s="66" t="s">
        <v>7317</v>
      </c>
    </row>
    <row r="956" ht="15.75" customHeight="1">
      <c r="A956" s="66" t="s">
        <v>7318</v>
      </c>
    </row>
    <row r="957" ht="15.75" customHeight="1">
      <c r="A957" s="66" t="s">
        <v>7319</v>
      </c>
    </row>
    <row r="958" ht="15.75" customHeight="1">
      <c r="A958" s="66" t="s">
        <v>7320</v>
      </c>
    </row>
    <row r="959" ht="15.75" customHeight="1">
      <c r="A959" s="66" t="s">
        <v>7321</v>
      </c>
    </row>
    <row r="960" ht="15.75" customHeight="1">
      <c r="A960" s="66" t="s">
        <v>7322</v>
      </c>
    </row>
    <row r="961" ht="15.75" customHeight="1">
      <c r="A961" s="66" t="s">
        <v>7323</v>
      </c>
    </row>
    <row r="962" ht="15.75" customHeight="1">
      <c r="A962" s="66" t="s">
        <v>7325</v>
      </c>
    </row>
    <row r="963" ht="15.75" customHeight="1">
      <c r="A963" s="66" t="s">
        <v>7326</v>
      </c>
    </row>
    <row r="964" ht="15.75" customHeight="1">
      <c r="A964" s="66" t="s">
        <v>7329</v>
      </c>
    </row>
    <row r="965" ht="15.75" customHeight="1">
      <c r="A965" s="66" t="s">
        <v>7330</v>
      </c>
    </row>
    <row r="966" ht="15.75" customHeight="1">
      <c r="A966" s="66" t="s">
        <v>7332</v>
      </c>
    </row>
    <row r="967" ht="15.75" customHeight="1">
      <c r="A967" s="66" t="s">
        <v>7333</v>
      </c>
    </row>
    <row r="968" ht="15.75" customHeight="1">
      <c r="A968" s="66" t="s">
        <v>7334</v>
      </c>
    </row>
    <row r="969" ht="15.75" customHeight="1">
      <c r="A969" s="66" t="s">
        <v>7335</v>
      </c>
    </row>
    <row r="970" ht="15.75" customHeight="1">
      <c r="A970" s="66" t="s">
        <v>7336</v>
      </c>
    </row>
    <row r="971" ht="15.75" customHeight="1">
      <c r="A971" s="66" t="s">
        <v>7337</v>
      </c>
    </row>
    <row r="972" ht="15.75" customHeight="1">
      <c r="A972" s="66" t="s">
        <v>7338</v>
      </c>
    </row>
    <row r="973" ht="15.75" customHeight="1">
      <c r="A973" s="66" t="s">
        <v>7339</v>
      </c>
    </row>
    <row r="974" ht="15.75" customHeight="1">
      <c r="A974" s="66" t="s">
        <v>7340</v>
      </c>
    </row>
    <row r="975" ht="15.75" customHeight="1">
      <c r="A975" s="66" t="s">
        <v>7341</v>
      </c>
    </row>
    <row r="976" ht="15.75" customHeight="1">
      <c r="A976" s="66" t="s">
        <v>7342</v>
      </c>
    </row>
    <row r="977" ht="15.75" customHeight="1">
      <c r="A977" s="66" t="s">
        <v>7343</v>
      </c>
    </row>
    <row r="978" ht="15.75" customHeight="1">
      <c r="A978" s="66" t="s">
        <v>7344</v>
      </c>
    </row>
    <row r="979" ht="15.75" customHeight="1">
      <c r="A979" s="66" t="s">
        <v>7345</v>
      </c>
    </row>
    <row r="980" ht="15.75" customHeight="1">
      <c r="A980" s="66" t="s">
        <v>7346</v>
      </c>
    </row>
    <row r="981" ht="15.75" customHeight="1">
      <c r="A981" s="66" t="s">
        <v>7347</v>
      </c>
    </row>
    <row r="982" ht="15.75" customHeight="1">
      <c r="A982" s="66" t="s">
        <v>7348</v>
      </c>
    </row>
    <row r="983" ht="15.75" customHeight="1">
      <c r="A983" s="66" t="s">
        <v>7349</v>
      </c>
    </row>
    <row r="984" ht="15.75" customHeight="1">
      <c r="A984" s="66" t="s">
        <v>7350</v>
      </c>
    </row>
    <row r="985" ht="15.75" customHeight="1">
      <c r="A985" s="66" t="s">
        <v>7351</v>
      </c>
    </row>
    <row r="986" ht="15.75" customHeight="1">
      <c r="A986" s="66" t="s">
        <v>7353</v>
      </c>
    </row>
    <row r="987" ht="15.75" customHeight="1">
      <c r="A987" s="66" t="s">
        <v>7354</v>
      </c>
    </row>
    <row r="988" ht="15.75" customHeight="1">
      <c r="A988" s="66" t="s">
        <v>7357</v>
      </c>
    </row>
    <row r="989" ht="15.75" customHeight="1">
      <c r="A989" s="66" t="s">
        <v>7358</v>
      </c>
    </row>
    <row r="990" ht="15.75" customHeight="1">
      <c r="A990" s="66" t="s">
        <v>7359</v>
      </c>
    </row>
    <row r="991" ht="15.75" customHeight="1">
      <c r="A991" s="66" t="s">
        <v>7360</v>
      </c>
    </row>
    <row r="992" ht="15.75" customHeight="1">
      <c r="A992" s="66" t="s">
        <v>7361</v>
      </c>
    </row>
    <row r="993" ht="15.75" customHeight="1">
      <c r="A993" s="66" t="s">
        <v>7362</v>
      </c>
    </row>
    <row r="994" ht="15.75" customHeight="1">
      <c r="A994" s="66" t="s">
        <v>7363</v>
      </c>
    </row>
    <row r="995" ht="15.75" customHeight="1">
      <c r="A995" s="66" t="s">
        <v>7364</v>
      </c>
    </row>
    <row r="996" ht="15.75" customHeight="1">
      <c r="A996" s="66" t="s">
        <v>7365</v>
      </c>
    </row>
    <row r="997" ht="15.75" customHeight="1">
      <c r="A997" s="66" t="s">
        <v>7366</v>
      </c>
    </row>
    <row r="998" ht="15.75" customHeight="1">
      <c r="A998" s="66" t="s">
        <v>7367</v>
      </c>
    </row>
    <row r="999" ht="15.75" customHeight="1">
      <c r="A999" s="66" t="s">
        <v>7368</v>
      </c>
    </row>
    <row r="1000" ht="15.75" customHeight="1">
      <c r="A1000" s="66" t="s">
        <v>7369</v>
      </c>
    </row>
    <row r="1001" ht="15.75" customHeight="1">
      <c r="A1001" s="66" t="s">
        <v>7370</v>
      </c>
    </row>
    <row r="1002" ht="15.75" customHeight="1">
      <c r="A1002" s="66" t="s">
        <v>7371</v>
      </c>
    </row>
    <row r="1003" ht="15.75" customHeight="1">
      <c r="A1003" s="66" t="s">
        <v>7372</v>
      </c>
    </row>
    <row r="1004" ht="15.75" customHeight="1">
      <c r="A1004" s="66" t="s">
        <v>7373</v>
      </c>
    </row>
    <row r="1005" ht="15.75" customHeight="1">
      <c r="A1005" s="66" t="s">
        <v>7374</v>
      </c>
    </row>
    <row r="1006" ht="15.75" customHeight="1">
      <c r="A1006" s="66" t="s">
        <v>7375</v>
      </c>
    </row>
    <row r="1007" ht="15.75" customHeight="1">
      <c r="A1007" s="66" t="s">
        <v>7376</v>
      </c>
    </row>
    <row r="1008" ht="15.75" customHeight="1">
      <c r="A1008" s="66" t="s">
        <v>7377</v>
      </c>
    </row>
    <row r="1009" ht="15.75" customHeight="1">
      <c r="A1009" s="66" t="s">
        <v>7378</v>
      </c>
    </row>
    <row r="1010" ht="15.75" customHeight="1">
      <c r="A1010" s="66" t="s">
        <v>7379</v>
      </c>
    </row>
    <row r="1011" ht="15.75" customHeight="1">
      <c r="A1011" s="66" t="s">
        <v>7380</v>
      </c>
    </row>
    <row r="1012" ht="15.75" customHeight="1">
      <c r="A1012" s="66" t="s">
        <v>7381</v>
      </c>
    </row>
    <row r="1013" ht="15.75" customHeight="1">
      <c r="A1013" s="66" t="s">
        <v>7382</v>
      </c>
    </row>
    <row r="1014" ht="15.75" customHeight="1">
      <c r="A1014" s="66" t="s">
        <v>7383</v>
      </c>
    </row>
    <row r="1015" ht="15.75" customHeight="1">
      <c r="A1015" s="66" t="s">
        <v>7385</v>
      </c>
    </row>
    <row r="1016" ht="15.75" customHeight="1">
      <c r="A1016" s="66" t="s">
        <v>7387</v>
      </c>
    </row>
    <row r="1017" ht="15.75" customHeight="1">
      <c r="A1017" s="66" t="s">
        <v>7389</v>
      </c>
    </row>
    <row r="1018" ht="15.75" customHeight="1">
      <c r="A1018" s="66" t="s">
        <v>7390</v>
      </c>
    </row>
    <row r="1019" ht="15.75" customHeight="1">
      <c r="A1019" s="66" t="s">
        <v>7391</v>
      </c>
    </row>
    <row r="1020" ht="15.75" customHeight="1">
      <c r="A1020" s="66" t="s">
        <v>7392</v>
      </c>
    </row>
    <row r="1021" ht="15.75" customHeight="1">
      <c r="A1021" s="66" t="s">
        <v>7393</v>
      </c>
    </row>
    <row r="1022" ht="15.75" customHeight="1">
      <c r="A1022" s="66" t="s">
        <v>7394</v>
      </c>
    </row>
    <row r="1023" ht="15.75" customHeight="1">
      <c r="A1023" s="66" t="s">
        <v>7395</v>
      </c>
    </row>
    <row r="1024" ht="15.75" customHeight="1">
      <c r="A1024" s="66" t="s">
        <v>7396</v>
      </c>
    </row>
    <row r="1025" ht="15.75" customHeight="1">
      <c r="A1025" s="66" t="s">
        <v>7397</v>
      </c>
    </row>
    <row r="1026" ht="15.75" customHeight="1">
      <c r="A1026" s="66" t="s">
        <v>7398</v>
      </c>
    </row>
    <row r="1027" ht="15.75" customHeight="1">
      <c r="A1027" s="66" t="s">
        <v>7399</v>
      </c>
    </row>
    <row r="1028" ht="15.75" customHeight="1">
      <c r="A1028" s="66" t="s">
        <v>7400</v>
      </c>
    </row>
    <row r="1029" ht="15.75" customHeight="1">
      <c r="A1029" s="66" t="s">
        <v>7401</v>
      </c>
    </row>
    <row r="1030" ht="15.75" customHeight="1">
      <c r="A1030" s="66" t="s">
        <v>7402</v>
      </c>
    </row>
    <row r="1031" ht="15.75" customHeight="1">
      <c r="A1031" s="66" t="s">
        <v>7403</v>
      </c>
    </row>
    <row r="1032" ht="15.75" customHeight="1">
      <c r="A1032" s="66" t="s">
        <v>7404</v>
      </c>
    </row>
    <row r="1033" ht="15.75" customHeight="1">
      <c r="A1033" s="66" t="s">
        <v>7405</v>
      </c>
    </row>
    <row r="1034" ht="15.75" customHeight="1">
      <c r="A1034" s="66" t="s">
        <v>7406</v>
      </c>
    </row>
    <row r="1035" ht="15.75" customHeight="1">
      <c r="A1035" s="66" t="s">
        <v>7407</v>
      </c>
    </row>
    <row r="1036" ht="15.75" customHeight="1">
      <c r="A1036" s="66" t="s">
        <v>7408</v>
      </c>
    </row>
    <row r="1037" ht="15.75" customHeight="1">
      <c r="A1037" s="66" t="s">
        <v>7409</v>
      </c>
    </row>
    <row r="1038" ht="15.75" customHeight="1">
      <c r="A1038" s="66" t="s">
        <v>7410</v>
      </c>
    </row>
    <row r="1039" ht="15.75" customHeight="1">
      <c r="A1039" s="66" t="s">
        <v>7411</v>
      </c>
    </row>
    <row r="1040" ht="15.75" customHeight="1">
      <c r="A1040" s="66" t="s">
        <v>7412</v>
      </c>
    </row>
    <row r="1041" ht="15.75" customHeight="1">
      <c r="A1041" s="66" t="s">
        <v>7413</v>
      </c>
    </row>
    <row r="1042" ht="15.75" customHeight="1">
      <c r="A1042" s="66" t="s">
        <v>7414</v>
      </c>
    </row>
    <row r="1043" ht="15.75" customHeight="1">
      <c r="A1043" s="66" t="s">
        <v>7415</v>
      </c>
    </row>
    <row r="1044" ht="15.75" customHeight="1">
      <c r="A1044" s="66" t="s">
        <v>7416</v>
      </c>
    </row>
    <row r="1045" ht="15.75" customHeight="1">
      <c r="A1045" s="66" t="s">
        <v>7417</v>
      </c>
    </row>
    <row r="1046" ht="15.75" customHeight="1">
      <c r="A1046" s="66" t="s">
        <v>7418</v>
      </c>
    </row>
    <row r="1047" ht="15.75" customHeight="1">
      <c r="A1047" s="66" t="s">
        <v>7420</v>
      </c>
    </row>
    <row r="1048" ht="15.75" customHeight="1">
      <c r="A1048" s="66" t="s">
        <v>7421</v>
      </c>
    </row>
    <row r="1049" ht="15.75" customHeight="1">
      <c r="A1049" s="66" t="s">
        <v>7423</v>
      </c>
    </row>
    <row r="1050" ht="15.75" customHeight="1">
      <c r="A1050" s="66" t="s">
        <v>7425</v>
      </c>
    </row>
    <row r="1051" ht="15.75" customHeight="1">
      <c r="A1051" s="66" t="s">
        <v>7426</v>
      </c>
    </row>
    <row r="1052" ht="15.75" customHeight="1">
      <c r="A1052" s="66" t="s">
        <v>7427</v>
      </c>
    </row>
    <row r="1053" ht="15.75" customHeight="1">
      <c r="A1053" s="66" t="s">
        <v>7428</v>
      </c>
    </row>
    <row r="1054" ht="15.75" customHeight="1">
      <c r="A1054" s="66" t="s">
        <v>7429</v>
      </c>
    </row>
    <row r="1055" ht="15.75" customHeight="1">
      <c r="A1055" s="66" t="s">
        <v>7430</v>
      </c>
    </row>
    <row r="1056" ht="15.75" customHeight="1">
      <c r="A1056" s="66" t="s">
        <v>7431</v>
      </c>
    </row>
    <row r="1057" ht="15.75" customHeight="1">
      <c r="A1057" s="66" t="s">
        <v>7432</v>
      </c>
    </row>
    <row r="1058" ht="15.75" customHeight="1">
      <c r="A1058" s="66" t="s">
        <v>7433</v>
      </c>
    </row>
    <row r="1059" ht="15.75" customHeight="1">
      <c r="A1059" s="66" t="s">
        <v>7434</v>
      </c>
    </row>
    <row r="1060" ht="15.75" customHeight="1">
      <c r="A1060" s="66" t="s">
        <v>7435</v>
      </c>
    </row>
    <row r="1061" ht="15.75" customHeight="1">
      <c r="A1061" s="66" t="s">
        <v>7436</v>
      </c>
    </row>
    <row r="1062" ht="15.75" customHeight="1">
      <c r="A1062" s="66" t="s">
        <v>7437</v>
      </c>
    </row>
    <row r="1063" ht="15.75" customHeight="1">
      <c r="A1063" s="66" t="s">
        <v>7438</v>
      </c>
    </row>
    <row r="1064" ht="15.75" customHeight="1">
      <c r="A1064" s="66" t="s">
        <v>7439</v>
      </c>
    </row>
    <row r="1065" ht="15.75" customHeight="1">
      <c r="A1065" s="66" t="s">
        <v>7440</v>
      </c>
    </row>
    <row r="1066" ht="15.75" customHeight="1">
      <c r="A1066" s="66" t="s">
        <v>7441</v>
      </c>
    </row>
    <row r="1067" ht="15.75" customHeight="1">
      <c r="A1067" s="66" t="s">
        <v>7442</v>
      </c>
    </row>
    <row r="1068" ht="15.75" customHeight="1">
      <c r="A1068" s="66" t="s">
        <v>7443</v>
      </c>
    </row>
    <row r="1069" ht="15.75" customHeight="1">
      <c r="A1069" s="66" t="s">
        <v>7444</v>
      </c>
    </row>
    <row r="1070" ht="15.75" customHeight="1">
      <c r="A1070" s="66" t="s">
        <v>7445</v>
      </c>
    </row>
    <row r="1071" ht="15.75" customHeight="1">
      <c r="A1071" s="66" t="s">
        <v>7446</v>
      </c>
    </row>
    <row r="1072" ht="15.75" customHeight="1">
      <c r="A1072" s="66" t="s">
        <v>7447</v>
      </c>
    </row>
    <row r="1073" ht="15.75" customHeight="1">
      <c r="A1073" s="66" t="s">
        <v>7448</v>
      </c>
    </row>
    <row r="1074" ht="15.75" customHeight="1">
      <c r="A1074" s="66" t="s">
        <v>7449</v>
      </c>
    </row>
    <row r="1075" ht="15.75" customHeight="1">
      <c r="A1075" s="66" t="s">
        <v>7450</v>
      </c>
    </row>
    <row r="1076" ht="15.75" customHeight="1">
      <c r="A1076" s="66" t="s">
        <v>7451</v>
      </c>
    </row>
    <row r="1077" ht="15.75" customHeight="1">
      <c r="A1077" s="66" t="s">
        <v>7452</v>
      </c>
    </row>
    <row r="1078" ht="15.75" customHeight="1">
      <c r="A1078" s="66" t="s">
        <v>7454</v>
      </c>
    </row>
    <row r="1079" ht="15.75" customHeight="1">
      <c r="A1079" s="66" t="s">
        <v>7456</v>
      </c>
    </row>
    <row r="1080" ht="15.75" customHeight="1">
      <c r="A1080" s="66" t="s">
        <v>7458</v>
      </c>
    </row>
    <row r="1081" ht="15.75" customHeight="1">
      <c r="A1081" s="66" t="s">
        <v>7459</v>
      </c>
    </row>
    <row r="1082" ht="15.75" customHeight="1">
      <c r="A1082" s="66" t="s">
        <v>7460</v>
      </c>
    </row>
    <row r="1083" ht="15.75" customHeight="1">
      <c r="A1083" s="66" t="s">
        <v>7461</v>
      </c>
    </row>
    <row r="1084" ht="15.75" customHeight="1">
      <c r="A1084" s="66" t="s">
        <v>7462</v>
      </c>
    </row>
    <row r="1085" ht="15.75" customHeight="1">
      <c r="A1085" s="66" t="s">
        <v>7463</v>
      </c>
    </row>
    <row r="1086" ht="15.75" customHeight="1">
      <c r="A1086" s="66" t="s">
        <v>7464</v>
      </c>
    </row>
    <row r="1087" ht="15.75" customHeight="1">
      <c r="A1087" s="66" t="s">
        <v>7465</v>
      </c>
    </row>
    <row r="1088" ht="15.75" customHeight="1">
      <c r="A1088" s="66" t="s">
        <v>7466</v>
      </c>
    </row>
    <row r="1089" ht="15.75" customHeight="1">
      <c r="A1089" s="66" t="s">
        <v>7467</v>
      </c>
    </row>
    <row r="1090" ht="15.75" customHeight="1">
      <c r="A1090" s="66" t="s">
        <v>7468</v>
      </c>
    </row>
    <row r="1091" ht="15.75" customHeight="1">
      <c r="A1091" s="66" t="s">
        <v>7469</v>
      </c>
    </row>
    <row r="1092" ht="15.75" customHeight="1">
      <c r="A1092" s="66" t="s">
        <v>7470</v>
      </c>
    </row>
    <row r="1093" ht="15.75" customHeight="1">
      <c r="A1093" s="66" t="s">
        <v>7471</v>
      </c>
    </row>
    <row r="1094" ht="15.75" customHeight="1">
      <c r="A1094" s="66" t="s">
        <v>7472</v>
      </c>
    </row>
    <row r="1095" ht="15.75" customHeight="1">
      <c r="A1095" s="66" t="s">
        <v>7473</v>
      </c>
    </row>
    <row r="1096" ht="15.75" customHeight="1">
      <c r="A1096" s="66" t="s">
        <v>7474</v>
      </c>
    </row>
    <row r="1097" ht="15.75" customHeight="1">
      <c r="A1097" s="66" t="s">
        <v>7475</v>
      </c>
    </row>
    <row r="1098" ht="15.75" customHeight="1">
      <c r="A1098" s="66" t="s">
        <v>7476</v>
      </c>
    </row>
    <row r="1099" ht="15.75" customHeight="1">
      <c r="A1099" s="66" t="s">
        <v>7477</v>
      </c>
    </row>
    <row r="1100" ht="15.75" customHeight="1">
      <c r="A1100" s="66" t="s">
        <v>7478</v>
      </c>
    </row>
    <row r="1101" ht="15.75" customHeight="1">
      <c r="A1101" s="66" t="s">
        <v>7479</v>
      </c>
    </row>
    <row r="1102" ht="15.75" customHeight="1">
      <c r="A1102" s="66" t="s">
        <v>7480</v>
      </c>
    </row>
    <row r="1103" ht="15.75" customHeight="1">
      <c r="A1103" s="66" t="s">
        <v>7481</v>
      </c>
    </row>
    <row r="1104" ht="15.75" customHeight="1">
      <c r="A1104" s="66" t="s">
        <v>7482</v>
      </c>
    </row>
    <row r="1105" ht="15.75" customHeight="1">
      <c r="A1105" s="66" t="s">
        <v>7485</v>
      </c>
    </row>
    <row r="1106" ht="15.75" customHeight="1">
      <c r="A1106" s="66" t="s">
        <v>7486</v>
      </c>
    </row>
    <row r="1107" ht="15.75" customHeight="1">
      <c r="A1107" s="66" t="s">
        <v>7487</v>
      </c>
    </row>
    <row r="1108" ht="15.75" customHeight="1">
      <c r="A1108" s="66" t="s">
        <v>7488</v>
      </c>
    </row>
    <row r="1109" ht="15.75" customHeight="1">
      <c r="A1109" s="66" t="s">
        <v>7489</v>
      </c>
    </row>
    <row r="1110" ht="15.75" customHeight="1">
      <c r="A1110" s="66" t="s">
        <v>7490</v>
      </c>
    </row>
    <row r="1111" ht="15.75" customHeight="1">
      <c r="A1111" s="66" t="s">
        <v>7491</v>
      </c>
    </row>
    <row r="1112" ht="15.75" customHeight="1">
      <c r="A1112" s="66" t="s">
        <v>7492</v>
      </c>
    </row>
    <row r="1113" ht="15.75" customHeight="1">
      <c r="A1113" s="66" t="s">
        <v>7493</v>
      </c>
    </row>
    <row r="1114" ht="15.75" customHeight="1">
      <c r="A1114" s="66" t="s">
        <v>7494</v>
      </c>
    </row>
    <row r="1115" ht="15.75" customHeight="1">
      <c r="A1115" s="66" t="s">
        <v>7495</v>
      </c>
    </row>
    <row r="1116" ht="15.75" customHeight="1">
      <c r="A1116" s="66" t="s">
        <v>7496</v>
      </c>
    </row>
    <row r="1117" ht="15.75" customHeight="1">
      <c r="A1117" s="66" t="s">
        <v>7497</v>
      </c>
    </row>
    <row r="1118" ht="15.75" customHeight="1">
      <c r="A1118" s="66" t="s">
        <v>7498</v>
      </c>
    </row>
    <row r="1119" ht="15.75" customHeight="1">
      <c r="A1119" s="66" t="s">
        <v>7499</v>
      </c>
    </row>
    <row r="1120" ht="15.75" customHeight="1">
      <c r="A1120" s="66" t="s">
        <v>7500</v>
      </c>
    </row>
    <row r="1121" ht="15.75" customHeight="1">
      <c r="A1121" s="66" t="s">
        <v>7501</v>
      </c>
    </row>
    <row r="1122" ht="15.75" customHeight="1">
      <c r="A1122" s="66" t="s">
        <v>7502</v>
      </c>
    </row>
    <row r="1123" ht="15.75" customHeight="1">
      <c r="A1123" s="66" t="s">
        <v>7503</v>
      </c>
    </row>
    <row r="1124" ht="15.75" customHeight="1">
      <c r="A1124" s="66" t="s">
        <v>7504</v>
      </c>
    </row>
    <row r="1125" ht="15.75" customHeight="1">
      <c r="A1125" s="66" t="s">
        <v>7505</v>
      </c>
    </row>
    <row r="1126" ht="15.75" customHeight="1">
      <c r="A1126" s="66" t="s">
        <v>7506</v>
      </c>
    </row>
    <row r="1127" ht="15.75" customHeight="1">
      <c r="A1127" s="66" t="s">
        <v>7507</v>
      </c>
    </row>
    <row r="1128" ht="15.75" customHeight="1">
      <c r="A1128" s="66" t="s">
        <v>7508</v>
      </c>
    </row>
    <row r="1129" ht="15.75" customHeight="1">
      <c r="A1129" s="66" t="s">
        <v>7509</v>
      </c>
    </row>
    <row r="1130" ht="15.75" customHeight="1">
      <c r="A1130" s="66" t="s">
        <v>7510</v>
      </c>
    </row>
    <row r="1131" ht="15.75" customHeight="1">
      <c r="A1131" s="66" t="s">
        <v>7511</v>
      </c>
    </row>
    <row r="1132" ht="15.75" customHeight="1">
      <c r="A1132" s="66" t="s">
        <v>7512</v>
      </c>
    </row>
    <row r="1133" ht="15.75" customHeight="1">
      <c r="A1133" s="66" t="s">
        <v>7513</v>
      </c>
    </row>
    <row r="1134" ht="15.75" customHeight="1">
      <c r="A1134" s="66" t="s">
        <v>7514</v>
      </c>
    </row>
    <row r="1135" ht="15.75" customHeight="1">
      <c r="A1135" s="66" t="s">
        <v>7515</v>
      </c>
    </row>
    <row r="1136" ht="15.75" customHeight="1">
      <c r="A1136" s="66" t="s">
        <v>7516</v>
      </c>
    </row>
    <row r="1137" ht="15.75" customHeight="1">
      <c r="A1137" s="66" t="s">
        <v>7518</v>
      </c>
    </row>
    <row r="1138" ht="15.75" customHeight="1">
      <c r="A1138" s="66" t="s">
        <v>7521</v>
      </c>
    </row>
    <row r="1139" ht="15.75" customHeight="1">
      <c r="A1139" s="66" t="s">
        <v>7522</v>
      </c>
    </row>
    <row r="1140" ht="15.75" customHeight="1">
      <c r="A1140" s="66" t="s">
        <v>7523</v>
      </c>
    </row>
    <row r="1141" ht="15.75" customHeight="1">
      <c r="A1141" s="66" t="s">
        <v>7524</v>
      </c>
    </row>
    <row r="1142" ht="15.75" customHeight="1">
      <c r="A1142" s="66" t="s">
        <v>7525</v>
      </c>
    </row>
    <row r="1143" ht="15.75" customHeight="1">
      <c r="A1143" s="66" t="s">
        <v>7526</v>
      </c>
    </row>
    <row r="1144" ht="15.75" customHeight="1">
      <c r="A1144" s="66" t="s">
        <v>7527</v>
      </c>
    </row>
    <row r="1145" ht="15.75" customHeight="1">
      <c r="A1145" s="66" t="s">
        <v>7528</v>
      </c>
    </row>
    <row r="1146" ht="15.75" customHeight="1">
      <c r="A1146" s="66" t="s">
        <v>7529</v>
      </c>
    </row>
    <row r="1147" ht="15.75" customHeight="1">
      <c r="A1147" s="66" t="s">
        <v>7530</v>
      </c>
    </row>
    <row r="1148" ht="15.75" customHeight="1">
      <c r="A1148" s="66" t="s">
        <v>7531</v>
      </c>
    </row>
    <row r="1149" ht="15.75" customHeight="1">
      <c r="A1149" s="66" t="s">
        <v>7532</v>
      </c>
    </row>
    <row r="1150" ht="15.75" customHeight="1">
      <c r="A1150" s="66" t="s">
        <v>7533</v>
      </c>
    </row>
    <row r="1151" ht="15.75" customHeight="1">
      <c r="A1151" s="66" t="s">
        <v>7534</v>
      </c>
    </row>
    <row r="1152" ht="15.75" customHeight="1">
      <c r="A1152" s="66" t="s">
        <v>7535</v>
      </c>
    </row>
    <row r="1153" ht="15.75" customHeight="1">
      <c r="A1153" s="66" t="s">
        <v>7536</v>
      </c>
    </row>
    <row r="1154" ht="15.75" customHeight="1">
      <c r="A1154" s="66" t="s">
        <v>7537</v>
      </c>
    </row>
    <row r="1155" ht="15.75" customHeight="1">
      <c r="A1155" s="66" t="s">
        <v>7538</v>
      </c>
    </row>
    <row r="1156" ht="15.75" customHeight="1">
      <c r="A1156" s="66" t="s">
        <v>7539</v>
      </c>
    </row>
    <row r="1157" ht="15.75" customHeight="1">
      <c r="A1157" s="66" t="s">
        <v>7540</v>
      </c>
    </row>
    <row r="1158" ht="15.75" customHeight="1">
      <c r="A1158" s="66" t="s">
        <v>7541</v>
      </c>
    </row>
    <row r="1159" ht="15.75" customHeight="1">
      <c r="A1159" s="66" t="s">
        <v>7542</v>
      </c>
    </row>
    <row r="1160" ht="15.75" customHeight="1">
      <c r="A1160" s="66" t="s">
        <v>7543</v>
      </c>
    </row>
    <row r="1161" ht="15.75" customHeight="1">
      <c r="A1161" s="66" t="s">
        <v>7544</v>
      </c>
    </row>
    <row r="1162" ht="15.75" customHeight="1">
      <c r="A1162" s="66" t="s">
        <v>7546</v>
      </c>
    </row>
    <row r="1163" ht="15.75" customHeight="1">
      <c r="A1163" s="66" t="s">
        <v>7547</v>
      </c>
    </row>
    <row r="1164" ht="15.75" customHeight="1">
      <c r="A1164" s="66" t="s">
        <v>7550</v>
      </c>
    </row>
    <row r="1165" ht="15.75" customHeight="1">
      <c r="A1165" s="66" t="s">
        <v>7551</v>
      </c>
    </row>
    <row r="1166" ht="15.75" customHeight="1">
      <c r="A1166" s="66" t="s">
        <v>7552</v>
      </c>
    </row>
    <row r="1167" ht="15.75" customHeight="1">
      <c r="A1167" s="66" t="s">
        <v>7553</v>
      </c>
    </row>
    <row r="1168" ht="15.75" customHeight="1">
      <c r="A1168" s="66" t="s">
        <v>7554</v>
      </c>
    </row>
    <row r="1169" ht="15.75" customHeight="1">
      <c r="A1169" s="66" t="s">
        <v>7555</v>
      </c>
    </row>
    <row r="1170" ht="15.75" customHeight="1">
      <c r="A1170" s="66" t="s">
        <v>7556</v>
      </c>
    </row>
    <row r="1171" ht="15.75" customHeight="1">
      <c r="A1171" s="66" t="s">
        <v>7557</v>
      </c>
    </row>
    <row r="1172" ht="15.75" customHeight="1">
      <c r="A1172" s="66" t="s">
        <v>7558</v>
      </c>
    </row>
    <row r="1173" ht="15.75" customHeight="1">
      <c r="A1173" s="66" t="s">
        <v>7559</v>
      </c>
    </row>
    <row r="1174" ht="15.75" customHeight="1">
      <c r="A1174" s="66" t="s">
        <v>7560</v>
      </c>
    </row>
    <row r="1175" ht="15.75" customHeight="1">
      <c r="A1175" s="66" t="s">
        <v>7561</v>
      </c>
    </row>
    <row r="1176" ht="15.75" customHeight="1">
      <c r="A1176" s="66" t="s">
        <v>7562</v>
      </c>
    </row>
    <row r="1177" ht="15.75" customHeight="1">
      <c r="A1177" s="66" t="s">
        <v>7563</v>
      </c>
    </row>
    <row r="1178" ht="15.75" customHeight="1">
      <c r="A1178" s="66" t="s">
        <v>7564</v>
      </c>
    </row>
    <row r="1179" ht="15.75" customHeight="1">
      <c r="A1179" s="66" t="s">
        <v>7565</v>
      </c>
    </row>
    <row r="1180" ht="15.75" customHeight="1">
      <c r="A1180" s="66" t="s">
        <v>7566</v>
      </c>
    </row>
    <row r="1181" ht="15.75" customHeight="1">
      <c r="A1181" s="66" t="s">
        <v>7567</v>
      </c>
    </row>
    <row r="1182" ht="15.75" customHeight="1">
      <c r="A1182" s="66" t="s">
        <v>7568</v>
      </c>
    </row>
    <row r="1183" ht="15.75" customHeight="1">
      <c r="A1183" s="66" t="s">
        <v>7569</v>
      </c>
    </row>
    <row r="1184" ht="15.75" customHeight="1">
      <c r="A1184" s="66" t="s">
        <v>7570</v>
      </c>
    </row>
    <row r="1185" ht="15.75" customHeight="1">
      <c r="A1185" s="66" t="s">
        <v>7571</v>
      </c>
    </row>
    <row r="1186" ht="15.75" customHeight="1">
      <c r="A1186" s="66" t="s">
        <v>7572</v>
      </c>
    </row>
    <row r="1187" ht="15.75" customHeight="1">
      <c r="A1187" s="66" t="s">
        <v>7573</v>
      </c>
    </row>
    <row r="1188" ht="15.75" customHeight="1">
      <c r="A1188" s="66" t="s">
        <v>7575</v>
      </c>
    </row>
    <row r="1189" ht="15.75" customHeight="1">
      <c r="A1189" s="66" t="s">
        <v>7577</v>
      </c>
    </row>
    <row r="1190" ht="15.75" customHeight="1">
      <c r="A1190" s="66" t="s">
        <v>7579</v>
      </c>
    </row>
    <row r="1191" ht="15.75" customHeight="1">
      <c r="A1191" s="66" t="s">
        <v>7580</v>
      </c>
    </row>
    <row r="1192" ht="15.75" customHeight="1">
      <c r="A1192" s="66" t="s">
        <v>7581</v>
      </c>
    </row>
    <row r="1193" ht="15.75" customHeight="1">
      <c r="A1193" s="66" t="s">
        <v>7582</v>
      </c>
    </row>
    <row r="1194" ht="15.75" customHeight="1">
      <c r="A1194" s="66" t="s">
        <v>7583</v>
      </c>
    </row>
    <row r="1195" ht="15.75" customHeight="1">
      <c r="A1195" s="66" t="s">
        <v>7584</v>
      </c>
    </row>
    <row r="1196" ht="15.75" customHeight="1">
      <c r="A1196" s="66" t="s">
        <v>7585</v>
      </c>
    </row>
    <row r="1197" ht="15.75" customHeight="1">
      <c r="A1197" s="66" t="s">
        <v>7586</v>
      </c>
    </row>
    <row r="1198" ht="15.75" customHeight="1">
      <c r="A1198" s="66" t="s">
        <v>7587</v>
      </c>
    </row>
    <row r="1199" ht="15.75" customHeight="1">
      <c r="A1199" s="66" t="s">
        <v>7588</v>
      </c>
    </row>
    <row r="1200" ht="15.75" customHeight="1">
      <c r="A1200" s="66" t="s">
        <v>7589</v>
      </c>
    </row>
    <row r="1201" ht="15.75" customHeight="1">
      <c r="A1201" s="66" t="s">
        <v>7590</v>
      </c>
    </row>
    <row r="1202" ht="15.75" customHeight="1">
      <c r="A1202" s="66" t="s">
        <v>7591</v>
      </c>
    </row>
    <row r="1203" ht="15.75" customHeight="1">
      <c r="A1203" s="66" t="s">
        <v>7592</v>
      </c>
    </row>
    <row r="1204" ht="15.75" customHeight="1">
      <c r="A1204" s="66" t="s">
        <v>7593</v>
      </c>
    </row>
    <row r="1205" ht="15.75" customHeight="1">
      <c r="A1205" s="66" t="s">
        <v>7594</v>
      </c>
    </row>
    <row r="1206" ht="15.75" customHeight="1">
      <c r="A1206" s="66" t="s">
        <v>7595</v>
      </c>
    </row>
    <row r="1207" ht="15.75" customHeight="1">
      <c r="A1207" s="66" t="s">
        <v>7596</v>
      </c>
    </row>
    <row r="1208" ht="15.75" customHeight="1">
      <c r="A1208" s="66" t="s">
        <v>7597</v>
      </c>
    </row>
    <row r="1209" ht="15.75" customHeight="1">
      <c r="A1209" s="66" t="s">
        <v>7598</v>
      </c>
    </row>
    <row r="1210" ht="15.75" customHeight="1">
      <c r="A1210" s="66" t="s">
        <v>7599</v>
      </c>
    </row>
    <row r="1211" ht="15.75" customHeight="1">
      <c r="A1211" s="66" t="s">
        <v>7600</v>
      </c>
    </row>
    <row r="1212" ht="15.75" customHeight="1">
      <c r="A1212" s="66" t="s">
        <v>7601</v>
      </c>
    </row>
    <row r="1213" ht="15.75" customHeight="1">
      <c r="A1213" s="66" t="s">
        <v>7602</v>
      </c>
    </row>
    <row r="1214" ht="15.75" customHeight="1">
      <c r="A1214" s="66" t="s">
        <v>7603</v>
      </c>
    </row>
    <row r="1215" ht="15.75" customHeight="1">
      <c r="A1215" s="66" t="s">
        <v>7604</v>
      </c>
    </row>
    <row r="1216" ht="15.75" customHeight="1">
      <c r="A1216" s="66" t="s">
        <v>7605</v>
      </c>
    </row>
    <row r="1217" ht="15.75" customHeight="1">
      <c r="A1217" s="66" t="s">
        <v>7607</v>
      </c>
    </row>
    <row r="1218" ht="15.75" customHeight="1">
      <c r="A1218" s="66" t="s">
        <v>7608</v>
      </c>
    </row>
    <row r="1219" ht="15.75" customHeight="1">
      <c r="A1219" s="66" t="s">
        <v>7609</v>
      </c>
    </row>
    <row r="1220" ht="15.75" customHeight="1">
      <c r="A1220" s="66" t="s">
        <v>7610</v>
      </c>
    </row>
    <row r="1221" ht="15.75" customHeight="1">
      <c r="A1221" s="66" t="s">
        <v>7611</v>
      </c>
    </row>
    <row r="1222" ht="15.75" customHeight="1">
      <c r="A1222" s="66" t="s">
        <v>7612</v>
      </c>
    </row>
    <row r="1223" ht="15.75" customHeight="1">
      <c r="A1223" s="66" t="s">
        <v>7613</v>
      </c>
    </row>
    <row r="1224" ht="15.75" customHeight="1">
      <c r="A1224" s="66" t="s">
        <v>7614</v>
      </c>
    </row>
    <row r="1225" ht="15.75" customHeight="1">
      <c r="A1225" s="66" t="s">
        <v>7615</v>
      </c>
    </row>
    <row r="1226" ht="15.75" customHeight="1">
      <c r="A1226" s="66" t="s">
        <v>7616</v>
      </c>
    </row>
    <row r="1227" ht="15.75" customHeight="1">
      <c r="A1227" s="66" t="s">
        <v>7617</v>
      </c>
    </row>
    <row r="1228" ht="15.75" customHeight="1">
      <c r="A1228" s="66" t="s">
        <v>7618</v>
      </c>
    </row>
    <row r="1229" ht="15.75" customHeight="1">
      <c r="A1229" s="66" t="s">
        <v>7619</v>
      </c>
    </row>
    <row r="1230" ht="15.75" customHeight="1">
      <c r="A1230" s="66" t="s">
        <v>7620</v>
      </c>
    </row>
    <row r="1231" ht="15.75" customHeight="1">
      <c r="A1231" s="66" t="s">
        <v>7621</v>
      </c>
    </row>
    <row r="1232" ht="15.75" customHeight="1">
      <c r="A1232" s="66" t="s">
        <v>7622</v>
      </c>
    </row>
    <row r="1233" ht="15.75" customHeight="1">
      <c r="A1233" s="66" t="s">
        <v>7623</v>
      </c>
    </row>
    <row r="1234" ht="15.75" customHeight="1">
      <c r="A1234" s="66" t="s">
        <v>7624</v>
      </c>
    </row>
    <row r="1235" ht="15.75" customHeight="1">
      <c r="A1235" s="66" t="s">
        <v>7625</v>
      </c>
    </row>
    <row r="1236" ht="15.75" customHeight="1">
      <c r="A1236" s="66" t="s">
        <v>7626</v>
      </c>
    </row>
    <row r="1237" ht="15.75" customHeight="1">
      <c r="A1237" s="66" t="s">
        <v>7627</v>
      </c>
    </row>
    <row r="1238" ht="15.75" customHeight="1">
      <c r="A1238" s="66" t="s">
        <v>7628</v>
      </c>
    </row>
    <row r="1239" ht="15.75" customHeight="1">
      <c r="A1239" s="66" t="s">
        <v>7638</v>
      </c>
    </row>
    <row r="1240" ht="15.75" customHeight="1">
      <c r="A1240" s="66" t="s">
        <v>7639</v>
      </c>
    </row>
    <row r="1241" ht="15.75" customHeight="1">
      <c r="A1241" s="66" t="s">
        <v>7640</v>
      </c>
    </row>
    <row r="1242" ht="15.75" customHeight="1">
      <c r="A1242" s="66" t="s">
        <v>7641</v>
      </c>
    </row>
    <row r="1243" ht="15.75" customHeight="1">
      <c r="A1243" s="66" t="s">
        <v>7642</v>
      </c>
    </row>
    <row r="1244" ht="15.75" customHeight="1">
      <c r="A1244" s="66" t="s">
        <v>7643</v>
      </c>
    </row>
    <row r="1245" ht="15.75" customHeight="1">
      <c r="A1245" s="66" t="s">
        <v>7644</v>
      </c>
    </row>
    <row r="1246" ht="15.75" customHeight="1">
      <c r="A1246" s="66" t="s">
        <v>7645</v>
      </c>
    </row>
    <row r="1247" ht="15.75" customHeight="1">
      <c r="A1247" s="66" t="s">
        <v>7646</v>
      </c>
    </row>
    <row r="1248" ht="15.75" customHeight="1">
      <c r="A1248" s="66" t="s">
        <v>7647</v>
      </c>
    </row>
    <row r="1249" ht="15.75" customHeight="1">
      <c r="A1249" s="66" t="s">
        <v>7648</v>
      </c>
    </row>
    <row r="1250" ht="15.75" customHeight="1">
      <c r="A1250" s="66" t="s">
        <v>7649</v>
      </c>
    </row>
    <row r="1251" ht="15.75" customHeight="1">
      <c r="A1251" s="66" t="s">
        <v>7650</v>
      </c>
    </row>
    <row r="1252" ht="15.75" customHeight="1">
      <c r="A1252" s="66" t="s">
        <v>7651</v>
      </c>
    </row>
    <row r="1253" ht="15.75" customHeight="1">
      <c r="A1253" s="66" t="s">
        <v>7652</v>
      </c>
    </row>
    <row r="1254" ht="15.75" customHeight="1">
      <c r="A1254" s="66" t="s">
        <v>7653</v>
      </c>
    </row>
    <row r="1255" ht="15.75" customHeight="1">
      <c r="A1255" s="66" t="s">
        <v>7654</v>
      </c>
    </row>
    <row r="1256" ht="15.75" customHeight="1">
      <c r="A1256" s="66" t="s">
        <v>7656</v>
      </c>
    </row>
    <row r="1257" ht="15.75" customHeight="1">
      <c r="A1257" s="66" t="s">
        <v>7658</v>
      </c>
    </row>
    <row r="1258" ht="15.75" customHeight="1">
      <c r="A1258" s="66" t="s">
        <v>7660</v>
      </c>
    </row>
    <row r="1259" ht="15.75" customHeight="1">
      <c r="A1259" s="66" t="s">
        <v>7661</v>
      </c>
    </row>
    <row r="1260" ht="15.75" customHeight="1">
      <c r="A1260" s="66" t="s">
        <v>7662</v>
      </c>
    </row>
    <row r="1261" ht="15.75" customHeight="1">
      <c r="A1261" s="66" t="s">
        <v>7663</v>
      </c>
    </row>
    <row r="1262" ht="15.75" customHeight="1">
      <c r="A1262" s="66" t="s">
        <v>7664</v>
      </c>
    </row>
    <row r="1263" ht="15.75" customHeight="1">
      <c r="A1263" s="66" t="s">
        <v>7666</v>
      </c>
    </row>
    <row r="1264" ht="15.75" customHeight="1">
      <c r="A1264" s="66" t="s">
        <v>7668</v>
      </c>
    </row>
    <row r="1265" ht="15.75" customHeight="1">
      <c r="A1265" s="66" t="s">
        <v>7670</v>
      </c>
    </row>
    <row r="1266" ht="15.75" customHeight="1">
      <c r="A1266" s="66" t="s">
        <v>7671</v>
      </c>
    </row>
    <row r="1267" ht="15.75" customHeight="1">
      <c r="A1267" s="66" t="s">
        <v>7672</v>
      </c>
    </row>
    <row r="1268" ht="15.75" customHeight="1">
      <c r="A1268" s="66" t="s">
        <v>7674</v>
      </c>
    </row>
    <row r="1269" ht="15.75" customHeight="1">
      <c r="A1269" s="66" t="s">
        <v>7676</v>
      </c>
    </row>
    <row r="1270" ht="15.75" customHeight="1">
      <c r="A1270" s="66" t="s">
        <v>7678</v>
      </c>
    </row>
    <row r="1271" ht="15.75" customHeight="1">
      <c r="A1271" s="66" t="s">
        <v>7679</v>
      </c>
    </row>
    <row r="1272" ht="15.75" customHeight="1">
      <c r="A1272" s="66" t="s">
        <v>7680</v>
      </c>
    </row>
    <row r="1273" ht="15.75" customHeight="1">
      <c r="A1273" s="66" t="s">
        <v>7681</v>
      </c>
    </row>
    <row r="1274" ht="15.75" customHeight="1">
      <c r="A1274" s="66" t="s">
        <v>7682</v>
      </c>
    </row>
    <row r="1275" ht="15.75" customHeight="1">
      <c r="A1275" s="66" t="s">
        <v>7683</v>
      </c>
    </row>
    <row r="1276" ht="15.75" customHeight="1">
      <c r="A1276" s="66" t="s">
        <v>7684</v>
      </c>
    </row>
    <row r="1277" ht="15.75" customHeight="1">
      <c r="A1277" s="66" t="s">
        <v>7685</v>
      </c>
    </row>
    <row r="1278" ht="15.75" customHeight="1">
      <c r="A1278" s="66" t="s">
        <v>7686</v>
      </c>
    </row>
    <row r="1279" ht="15.75" customHeight="1">
      <c r="A1279" s="66" t="s">
        <v>7687</v>
      </c>
    </row>
    <row r="1280" ht="15.75" customHeight="1">
      <c r="A1280" s="66" t="s">
        <v>7688</v>
      </c>
    </row>
    <row r="1281" ht="15.75" customHeight="1">
      <c r="A1281" s="66" t="s">
        <v>7689</v>
      </c>
    </row>
    <row r="1282" ht="15.75" customHeight="1">
      <c r="A1282" s="66" t="s">
        <v>7690</v>
      </c>
    </row>
    <row r="1283" ht="15.75" customHeight="1">
      <c r="A1283" s="66" t="s">
        <v>7691</v>
      </c>
    </row>
    <row r="1284" ht="15.75" customHeight="1">
      <c r="A1284" s="66" t="s">
        <v>7692</v>
      </c>
    </row>
    <row r="1285" ht="15.75" customHeight="1">
      <c r="A1285" s="66" t="s">
        <v>7693</v>
      </c>
    </row>
    <row r="1286" ht="15.75" customHeight="1">
      <c r="A1286" s="66" t="s">
        <v>7694</v>
      </c>
    </row>
    <row r="1287" ht="15.75" customHeight="1">
      <c r="A1287" s="66" t="s">
        <v>7695</v>
      </c>
    </row>
    <row r="1288" ht="15.75" customHeight="1">
      <c r="A1288" s="66" t="s">
        <v>7696</v>
      </c>
    </row>
    <row r="1289" ht="15.75" customHeight="1">
      <c r="A1289" s="66" t="s">
        <v>7697</v>
      </c>
    </row>
    <row r="1290" ht="15.75" customHeight="1">
      <c r="A1290" s="66" t="s">
        <v>7698</v>
      </c>
    </row>
    <row r="1291" ht="15.75" customHeight="1">
      <c r="A1291" s="66" t="s">
        <v>7699</v>
      </c>
    </row>
    <row r="1292" ht="15.75" customHeight="1">
      <c r="A1292" s="66" t="s">
        <v>7700</v>
      </c>
    </row>
    <row r="1293" ht="15.75" customHeight="1">
      <c r="A1293" s="66" t="s">
        <v>7701</v>
      </c>
    </row>
    <row r="1294" ht="15.75" customHeight="1">
      <c r="A1294" s="66" t="s">
        <v>7702</v>
      </c>
    </row>
    <row r="1295" ht="15.75" customHeight="1">
      <c r="A1295" s="66" t="s">
        <v>7703</v>
      </c>
    </row>
    <row r="1296" ht="15.75" customHeight="1">
      <c r="A1296" s="66" t="s">
        <v>7704</v>
      </c>
    </row>
    <row r="1297" ht="15.75" customHeight="1">
      <c r="A1297" s="66" t="s">
        <v>7705</v>
      </c>
    </row>
    <row r="1298" ht="15.75" customHeight="1">
      <c r="A1298" s="66" t="s">
        <v>7706</v>
      </c>
    </row>
    <row r="1299" ht="15.75" customHeight="1">
      <c r="A1299" s="66" t="s">
        <v>7707</v>
      </c>
    </row>
    <row r="1300" ht="15.75" customHeight="1">
      <c r="A1300" s="66" t="s">
        <v>7708</v>
      </c>
    </row>
    <row r="1301" ht="15.75" customHeight="1">
      <c r="A1301" s="66" t="s">
        <v>7709</v>
      </c>
    </row>
    <row r="1302" ht="15.75" customHeight="1">
      <c r="A1302" s="66" t="s">
        <v>7710</v>
      </c>
    </row>
    <row r="1303" ht="15.75" customHeight="1">
      <c r="A1303" s="66" t="s">
        <v>7711</v>
      </c>
    </row>
    <row r="1304" ht="15.75" customHeight="1">
      <c r="A1304" s="66" t="s">
        <v>7712</v>
      </c>
    </row>
    <row r="1305" ht="15.75" customHeight="1">
      <c r="A1305" s="66" t="s">
        <v>7713</v>
      </c>
    </row>
    <row r="1306" ht="15.75" customHeight="1">
      <c r="A1306" s="66" t="s">
        <v>7714</v>
      </c>
    </row>
    <row r="1307" ht="15.75" customHeight="1">
      <c r="A1307" s="66" t="s">
        <v>7715</v>
      </c>
    </row>
    <row r="1308" ht="15.75" customHeight="1">
      <c r="A1308" s="66" t="s">
        <v>7716</v>
      </c>
    </row>
    <row r="1309" ht="15.75" customHeight="1">
      <c r="A1309" s="66" t="s">
        <v>7717</v>
      </c>
    </row>
    <row r="1310" ht="15.75" customHeight="1">
      <c r="A1310" s="66" t="s">
        <v>7718</v>
      </c>
    </row>
    <row r="1311" ht="15.75" customHeight="1">
      <c r="A1311" s="66" t="s">
        <v>7719</v>
      </c>
    </row>
    <row r="1312" ht="15.75" customHeight="1">
      <c r="A1312" s="66" t="s">
        <v>7721</v>
      </c>
    </row>
    <row r="1313" ht="15.75" customHeight="1">
      <c r="A1313" s="66" t="s">
        <v>7722</v>
      </c>
    </row>
    <row r="1314" ht="15.75" customHeight="1">
      <c r="A1314" s="66" t="s">
        <v>7724</v>
      </c>
    </row>
    <row r="1315" ht="15.75" customHeight="1">
      <c r="A1315" s="66" t="s">
        <v>7726</v>
      </c>
    </row>
    <row r="1316" ht="15.75" customHeight="1">
      <c r="A1316" s="66" t="s">
        <v>7729</v>
      </c>
    </row>
    <row r="1317" ht="15.75" customHeight="1">
      <c r="A1317" s="66" t="s">
        <v>7732</v>
      </c>
    </row>
    <row r="1318" ht="15.75" customHeight="1">
      <c r="A1318" s="66" t="s">
        <v>7733</v>
      </c>
    </row>
    <row r="1319" ht="15.75" customHeight="1">
      <c r="A1319" s="66" t="s">
        <v>7734</v>
      </c>
    </row>
    <row r="1320" ht="15.75" customHeight="1">
      <c r="A1320" s="66" t="s">
        <v>7735</v>
      </c>
    </row>
    <row r="1321" ht="15.75" customHeight="1">
      <c r="A1321" s="66" t="s">
        <v>7736</v>
      </c>
    </row>
    <row r="1322" ht="15.75" customHeight="1">
      <c r="A1322" s="66" t="s">
        <v>7737</v>
      </c>
    </row>
    <row r="1323" ht="15.75" customHeight="1">
      <c r="A1323" s="66" t="s">
        <v>7738</v>
      </c>
    </row>
    <row r="1324" ht="15.75" customHeight="1">
      <c r="A1324" s="66" t="s">
        <v>7739</v>
      </c>
    </row>
    <row r="1325" ht="15.75" customHeight="1">
      <c r="A1325" s="66" t="s">
        <v>7740</v>
      </c>
    </row>
    <row r="1326" ht="15.75" customHeight="1">
      <c r="A1326" s="66" t="s">
        <v>7741</v>
      </c>
    </row>
    <row r="1327" ht="15.75" customHeight="1">
      <c r="A1327" s="66" t="s">
        <v>7742</v>
      </c>
    </row>
    <row r="1328" ht="15.75" customHeight="1">
      <c r="A1328" s="66" t="s">
        <v>7743</v>
      </c>
    </row>
    <row r="1329" ht="15.75" customHeight="1">
      <c r="A1329" s="66" t="s">
        <v>7744</v>
      </c>
    </row>
    <row r="1330" ht="15.75" customHeight="1">
      <c r="A1330" s="66" t="s">
        <v>7745</v>
      </c>
    </row>
    <row r="1331" ht="15.75" customHeight="1">
      <c r="A1331" s="66" t="s">
        <v>7746</v>
      </c>
    </row>
    <row r="1332" ht="15.75" customHeight="1">
      <c r="A1332" s="66" t="s">
        <v>7747</v>
      </c>
    </row>
    <row r="1333" ht="15.75" customHeight="1">
      <c r="A1333" s="66" t="s">
        <v>7748</v>
      </c>
    </row>
    <row r="1334" ht="15.75" customHeight="1">
      <c r="A1334" s="66" t="s">
        <v>7749</v>
      </c>
    </row>
    <row r="1335" ht="15.75" customHeight="1">
      <c r="A1335" s="66" t="s">
        <v>7750</v>
      </c>
    </row>
    <row r="1336" ht="15.75" customHeight="1">
      <c r="A1336" s="66" t="s">
        <v>7751</v>
      </c>
    </row>
    <row r="1337" ht="15.75" customHeight="1">
      <c r="A1337" s="66" t="s">
        <v>7752</v>
      </c>
    </row>
    <row r="1338" ht="15.75" customHeight="1">
      <c r="A1338" s="66" t="s">
        <v>7753</v>
      </c>
    </row>
    <row r="1339" ht="15.75" customHeight="1">
      <c r="A1339" s="66" t="s">
        <v>7754</v>
      </c>
    </row>
    <row r="1340" ht="15.75" customHeight="1">
      <c r="A1340" s="66" t="s">
        <v>7755</v>
      </c>
    </row>
    <row r="1341" ht="15.75" customHeight="1">
      <c r="A1341" s="66" t="s">
        <v>7756</v>
      </c>
    </row>
    <row r="1342" ht="15.75" customHeight="1">
      <c r="A1342" s="66" t="s">
        <v>7758</v>
      </c>
    </row>
    <row r="1343" ht="15.75" customHeight="1">
      <c r="A1343" s="66" t="s">
        <v>7760</v>
      </c>
    </row>
    <row r="1344" ht="15.75" customHeight="1">
      <c r="A1344" s="66" t="s">
        <v>7765</v>
      </c>
    </row>
    <row r="1345" ht="15.75" customHeight="1">
      <c r="A1345" s="66" t="s">
        <v>7768</v>
      </c>
    </row>
    <row r="1346" ht="15.75" customHeight="1">
      <c r="A1346" s="66" t="s">
        <v>7769</v>
      </c>
    </row>
    <row r="1347" ht="15.75" customHeight="1">
      <c r="A1347" s="66" t="s">
        <v>7771</v>
      </c>
    </row>
    <row r="1348" ht="15.75" customHeight="1">
      <c r="A1348" s="66" t="s">
        <v>7772</v>
      </c>
    </row>
    <row r="1349" ht="15.75" customHeight="1">
      <c r="A1349" s="66" t="s">
        <v>7774</v>
      </c>
    </row>
    <row r="1350" ht="15.75" customHeight="1">
      <c r="A1350" s="66" t="s">
        <v>7775</v>
      </c>
    </row>
    <row r="1351" ht="15.75" customHeight="1">
      <c r="A1351" s="66" t="s">
        <v>7776</v>
      </c>
    </row>
    <row r="1352" ht="15.75" customHeight="1">
      <c r="A1352" s="66" t="s">
        <v>7777</v>
      </c>
    </row>
    <row r="1353" ht="15.75" customHeight="1">
      <c r="A1353" s="66" t="s">
        <v>7778</v>
      </c>
    </row>
    <row r="1354" ht="15.75" customHeight="1">
      <c r="A1354" s="66" t="s">
        <v>7779</v>
      </c>
    </row>
    <row r="1355" ht="15.75" customHeight="1">
      <c r="A1355" s="66" t="s">
        <v>7780</v>
      </c>
    </row>
    <row r="1356" ht="15.75" customHeight="1">
      <c r="A1356" s="66" t="s">
        <v>7781</v>
      </c>
    </row>
    <row r="1357" ht="15.75" customHeight="1">
      <c r="A1357" s="66" t="s">
        <v>7782</v>
      </c>
    </row>
    <row r="1358" ht="15.75" customHeight="1">
      <c r="A1358" s="66" t="s">
        <v>7783</v>
      </c>
    </row>
    <row r="1359" ht="15.75" customHeight="1">
      <c r="A1359" s="66" t="s">
        <v>7784</v>
      </c>
    </row>
    <row r="1360" ht="15.75" customHeight="1">
      <c r="A1360" s="66" t="s">
        <v>7785</v>
      </c>
    </row>
    <row r="1361" ht="15.75" customHeight="1">
      <c r="A1361" s="66" t="s">
        <v>7786</v>
      </c>
    </row>
    <row r="1362" ht="15.75" customHeight="1">
      <c r="A1362" s="66" t="s">
        <v>7787</v>
      </c>
    </row>
    <row r="1363" ht="15.75" customHeight="1">
      <c r="A1363" s="66" t="s">
        <v>7788</v>
      </c>
    </row>
    <row r="1364" ht="15.75" customHeight="1">
      <c r="A1364" s="66" t="s">
        <v>7789</v>
      </c>
    </row>
    <row r="1365" ht="15.75" customHeight="1">
      <c r="A1365" s="66" t="s">
        <v>7790</v>
      </c>
    </row>
    <row r="1366" ht="15.75" customHeight="1">
      <c r="A1366" s="66" t="s">
        <v>7791</v>
      </c>
    </row>
    <row r="1367" ht="15.75" customHeight="1">
      <c r="A1367" s="66" t="s">
        <v>7792</v>
      </c>
    </row>
    <row r="1368" ht="15.75" customHeight="1">
      <c r="A1368" s="66" t="s">
        <v>7793</v>
      </c>
    </row>
    <row r="1369" ht="15.75" customHeight="1">
      <c r="A1369" s="66" t="s">
        <v>7794</v>
      </c>
    </row>
    <row r="1370" ht="15.75" customHeight="1">
      <c r="A1370" s="66" t="s">
        <v>7795</v>
      </c>
    </row>
    <row r="1371" ht="15.75" customHeight="1">
      <c r="A1371" s="66" t="s">
        <v>7797</v>
      </c>
    </row>
    <row r="1372" ht="15.75" customHeight="1">
      <c r="A1372" s="66" t="s">
        <v>7798</v>
      </c>
    </row>
    <row r="1373" ht="15.75" customHeight="1">
      <c r="A1373" s="66" t="s">
        <v>7801</v>
      </c>
    </row>
    <row r="1374" ht="15.75" customHeight="1">
      <c r="A1374" s="66" t="s">
        <v>7802</v>
      </c>
    </row>
    <row r="1375" ht="15.75" customHeight="1">
      <c r="A1375" s="66" t="s">
        <v>7803</v>
      </c>
    </row>
    <row r="1376" ht="15.75" customHeight="1">
      <c r="A1376" s="66" t="s">
        <v>7804</v>
      </c>
    </row>
    <row r="1377" ht="15.75" customHeight="1">
      <c r="A1377" s="66" t="s">
        <v>7805</v>
      </c>
    </row>
    <row r="1378" ht="15.75" customHeight="1">
      <c r="A1378" s="66" t="s">
        <v>7806</v>
      </c>
    </row>
    <row r="1379" ht="15.75" customHeight="1">
      <c r="A1379" s="66" t="s">
        <v>7808</v>
      </c>
    </row>
    <row r="1380" ht="15.75" customHeight="1">
      <c r="A1380" s="66" t="s">
        <v>7810</v>
      </c>
    </row>
    <row r="1381" ht="15.75" customHeight="1">
      <c r="A1381" s="66" t="s">
        <v>7812</v>
      </c>
    </row>
    <row r="1382" ht="15.75" customHeight="1">
      <c r="A1382" s="66" t="s">
        <v>7813</v>
      </c>
    </row>
    <row r="1383" ht="15.75" customHeight="1">
      <c r="A1383" s="66" t="s">
        <v>7815</v>
      </c>
    </row>
    <row r="1384" ht="15.75" customHeight="1">
      <c r="A1384" s="66" t="s">
        <v>7817</v>
      </c>
    </row>
    <row r="1385" ht="15.75" customHeight="1">
      <c r="A1385" s="66" t="s">
        <v>7819</v>
      </c>
    </row>
    <row r="1386" ht="15.75" customHeight="1">
      <c r="A1386" s="66" t="s">
        <v>7820</v>
      </c>
    </row>
    <row r="1387" ht="15.75" customHeight="1">
      <c r="A1387" s="66" t="s">
        <v>7821</v>
      </c>
    </row>
    <row r="1388" ht="15.75" customHeight="1">
      <c r="A1388" s="66" t="s">
        <v>7822</v>
      </c>
    </row>
    <row r="1389" ht="15.75" customHeight="1">
      <c r="A1389" s="66" t="s">
        <v>7823</v>
      </c>
    </row>
    <row r="1390" ht="15.75" customHeight="1">
      <c r="A1390" s="66" t="s">
        <v>7824</v>
      </c>
    </row>
    <row r="1391" ht="15.75" customHeight="1">
      <c r="A1391" s="66" t="s">
        <v>7825</v>
      </c>
    </row>
    <row r="1392" ht="15.75" customHeight="1">
      <c r="A1392" s="66" t="s">
        <v>7826</v>
      </c>
    </row>
    <row r="1393" ht="15.75" customHeight="1">
      <c r="A1393" s="66" t="s">
        <v>7827</v>
      </c>
    </row>
    <row r="1394" ht="15.75" customHeight="1">
      <c r="A1394" s="66" t="s">
        <v>7828</v>
      </c>
    </row>
    <row r="1395" ht="15.75" customHeight="1">
      <c r="A1395" s="66" t="s">
        <v>7829</v>
      </c>
    </row>
    <row r="1396" ht="15.75" customHeight="1">
      <c r="A1396" s="66" t="s">
        <v>7830</v>
      </c>
    </row>
    <row r="1397" ht="15.75" customHeight="1">
      <c r="A1397" s="66" t="s">
        <v>7831</v>
      </c>
    </row>
    <row r="1398" ht="15.75" customHeight="1">
      <c r="A1398" s="66" t="s">
        <v>7832</v>
      </c>
    </row>
    <row r="1399" ht="15.75" customHeight="1">
      <c r="A1399" s="66" t="s">
        <v>7833</v>
      </c>
    </row>
    <row r="1400" ht="15.75" customHeight="1">
      <c r="A1400" s="66" t="s">
        <v>7834</v>
      </c>
    </row>
    <row r="1401" ht="15.75" customHeight="1">
      <c r="A1401" s="66" t="s">
        <v>7836</v>
      </c>
    </row>
    <row r="1402" ht="15.75" customHeight="1">
      <c r="A1402" s="66" t="s">
        <v>7839</v>
      </c>
    </row>
    <row r="1403" ht="15.75" customHeight="1">
      <c r="A1403" s="66" t="s">
        <v>7840</v>
      </c>
    </row>
    <row r="1404" ht="15.75" customHeight="1">
      <c r="A1404" s="66" t="s">
        <v>7843</v>
      </c>
    </row>
    <row r="1405" ht="15.75" customHeight="1">
      <c r="A1405" s="66" t="s">
        <v>7845</v>
      </c>
    </row>
    <row r="1406" ht="15.75" customHeight="1">
      <c r="A1406" s="66" t="s">
        <v>7846</v>
      </c>
    </row>
    <row r="1407" ht="15.75" customHeight="1">
      <c r="A1407" s="66" t="s">
        <v>7847</v>
      </c>
    </row>
    <row r="1408" ht="15.75" customHeight="1">
      <c r="A1408" s="66" t="s">
        <v>7848</v>
      </c>
    </row>
    <row r="1409" ht="15.75" customHeight="1">
      <c r="A1409" s="66" t="s">
        <v>7849</v>
      </c>
    </row>
    <row r="1410" ht="15.75" customHeight="1">
      <c r="A1410" s="66" t="s">
        <v>7850</v>
      </c>
    </row>
    <row r="1411" ht="15.75" customHeight="1">
      <c r="A1411" s="66" t="s">
        <v>7851</v>
      </c>
    </row>
    <row r="1412" ht="15.75" customHeight="1">
      <c r="A1412" s="66" t="s">
        <v>7852</v>
      </c>
    </row>
    <row r="1413" ht="15.75" customHeight="1">
      <c r="A1413" s="66" t="s">
        <v>7853</v>
      </c>
    </row>
    <row r="1414" ht="15.75" customHeight="1">
      <c r="A1414" s="66" t="s">
        <v>7854</v>
      </c>
    </row>
    <row r="1415" ht="15.75" customHeight="1">
      <c r="A1415" s="66" t="s">
        <v>7855</v>
      </c>
    </row>
    <row r="1416" ht="15.75" customHeight="1">
      <c r="A1416" s="66" t="s">
        <v>7856</v>
      </c>
    </row>
    <row r="1417" ht="15.75" customHeight="1">
      <c r="A1417" s="66" t="s">
        <v>7857</v>
      </c>
    </row>
    <row r="1418" ht="15.75" customHeight="1">
      <c r="A1418" s="66" t="s">
        <v>7858</v>
      </c>
    </row>
    <row r="1419" ht="15.75" customHeight="1">
      <c r="A1419" s="66" t="s">
        <v>7859</v>
      </c>
    </row>
    <row r="1420" ht="15.75" customHeight="1">
      <c r="A1420" s="66" t="s">
        <v>7860</v>
      </c>
    </row>
    <row r="1421" ht="15.75" customHeight="1">
      <c r="A1421" s="66" t="s">
        <v>7861</v>
      </c>
    </row>
    <row r="1422" ht="15.75" customHeight="1">
      <c r="A1422" s="66" t="s">
        <v>7862</v>
      </c>
    </row>
    <row r="1423" ht="15.75" customHeight="1">
      <c r="A1423" s="66" t="s">
        <v>7863</v>
      </c>
    </row>
    <row r="1424" ht="15.75" customHeight="1">
      <c r="A1424" s="66" t="s">
        <v>7864</v>
      </c>
    </row>
    <row r="1425" ht="15.75" customHeight="1">
      <c r="A1425" s="66" t="s">
        <v>7865</v>
      </c>
    </row>
    <row r="1426" ht="15.75" customHeight="1">
      <c r="A1426" s="66" t="s">
        <v>7866</v>
      </c>
    </row>
    <row r="1427" ht="15.75" customHeight="1">
      <c r="A1427" s="66" t="s">
        <v>7867</v>
      </c>
    </row>
    <row r="1428" ht="15.75" customHeight="1">
      <c r="A1428" s="66" t="s">
        <v>7868</v>
      </c>
    </row>
    <row r="1429" ht="15.75" customHeight="1">
      <c r="A1429" s="66" t="s">
        <v>7869</v>
      </c>
    </row>
    <row r="1430" ht="15.75" customHeight="1">
      <c r="A1430" s="66" t="s">
        <v>7870</v>
      </c>
    </row>
    <row r="1431" ht="15.75" customHeight="1">
      <c r="A1431" s="66" t="s">
        <v>7871</v>
      </c>
    </row>
    <row r="1432" ht="15.75" customHeight="1">
      <c r="A1432" s="66" t="s">
        <v>7872</v>
      </c>
    </row>
    <row r="1433" ht="15.75" customHeight="1">
      <c r="A1433" s="66" t="s">
        <v>7873</v>
      </c>
    </row>
    <row r="1434" ht="15.75" customHeight="1">
      <c r="A1434" s="66" t="s">
        <v>7874</v>
      </c>
    </row>
    <row r="1435" ht="15.75" customHeight="1">
      <c r="A1435" s="66" t="s">
        <v>7875</v>
      </c>
    </row>
    <row r="1436" ht="15.75" customHeight="1">
      <c r="A1436" s="66" t="s">
        <v>7876</v>
      </c>
    </row>
    <row r="1437" ht="15.75" customHeight="1">
      <c r="A1437" s="66" t="s">
        <v>7877</v>
      </c>
    </row>
    <row r="1438" ht="15.75" customHeight="1">
      <c r="A1438" s="66" t="s">
        <v>7878</v>
      </c>
    </row>
    <row r="1439" ht="15.75" customHeight="1">
      <c r="A1439" s="66" t="s">
        <v>7879</v>
      </c>
    </row>
    <row r="1440" ht="15.75" customHeight="1">
      <c r="A1440" s="66" t="s">
        <v>7880</v>
      </c>
    </row>
    <row r="1441" ht="15.75" customHeight="1">
      <c r="A1441" s="66" t="s">
        <v>7881</v>
      </c>
    </row>
    <row r="1442" ht="15.75" customHeight="1">
      <c r="A1442" s="66" t="s">
        <v>7882</v>
      </c>
    </row>
    <row r="1443" ht="15.75" customHeight="1">
      <c r="A1443" s="66" t="s">
        <v>7883</v>
      </c>
    </row>
    <row r="1444" ht="15.75" customHeight="1">
      <c r="A1444" s="66" t="s">
        <v>7884</v>
      </c>
    </row>
    <row r="1445" ht="15.75" customHeight="1">
      <c r="A1445" s="66" t="s">
        <v>7885</v>
      </c>
    </row>
    <row r="1446" ht="15.75" customHeight="1">
      <c r="A1446" s="66" t="s">
        <v>7886</v>
      </c>
    </row>
    <row r="1447" ht="15.75" customHeight="1">
      <c r="A1447" s="66" t="s">
        <v>7887</v>
      </c>
    </row>
    <row r="1448" ht="15.75" customHeight="1">
      <c r="A1448" s="66" t="s">
        <v>7889</v>
      </c>
    </row>
    <row r="1449" ht="15.75" customHeight="1">
      <c r="A1449" s="66" t="s">
        <v>7891</v>
      </c>
    </row>
    <row r="1450" ht="15.75" customHeight="1">
      <c r="A1450" s="66" t="s">
        <v>7893</v>
      </c>
    </row>
    <row r="1451" ht="15.75" customHeight="1">
      <c r="A1451" s="66" t="s">
        <v>7894</v>
      </c>
    </row>
    <row r="1452" ht="15.75" customHeight="1">
      <c r="A1452" s="66" t="s">
        <v>7896</v>
      </c>
    </row>
    <row r="1453" ht="15.75" customHeight="1">
      <c r="A1453" s="66" t="s">
        <v>7898</v>
      </c>
    </row>
    <row r="1454" ht="15.75" customHeight="1">
      <c r="A1454" s="66" t="s">
        <v>7900</v>
      </c>
    </row>
    <row r="1455" ht="15.75" customHeight="1">
      <c r="A1455" s="66" t="s">
        <v>7901</v>
      </c>
    </row>
    <row r="1456" ht="15.75" customHeight="1">
      <c r="A1456" s="66" t="s">
        <v>7902</v>
      </c>
    </row>
    <row r="1457" ht="15.75" customHeight="1">
      <c r="A1457" s="66" t="s">
        <v>7903</v>
      </c>
    </row>
    <row r="1458" ht="15.75" customHeight="1">
      <c r="A1458" s="66" t="s">
        <v>7904</v>
      </c>
    </row>
    <row r="1459" ht="15.75" customHeight="1">
      <c r="A1459" s="66" t="s">
        <v>7905</v>
      </c>
    </row>
    <row r="1460" ht="15.75" customHeight="1">
      <c r="A1460" s="66" t="s">
        <v>7906</v>
      </c>
    </row>
    <row r="1461" ht="15.75" customHeight="1">
      <c r="A1461" s="66" t="s">
        <v>7907</v>
      </c>
    </row>
    <row r="1462" ht="15.75" customHeight="1">
      <c r="A1462" s="66" t="s">
        <v>7908</v>
      </c>
    </row>
    <row r="1463" ht="15.75" customHeight="1">
      <c r="A1463" s="66" t="s">
        <v>7909</v>
      </c>
    </row>
    <row r="1464" ht="15.75" customHeight="1">
      <c r="A1464" s="66" t="s">
        <v>7910</v>
      </c>
    </row>
    <row r="1465" ht="15.75" customHeight="1">
      <c r="A1465" s="66" t="s">
        <v>7911</v>
      </c>
    </row>
    <row r="1466" ht="15.75" customHeight="1">
      <c r="A1466" s="66" t="s">
        <v>7912</v>
      </c>
    </row>
    <row r="1467" ht="15.75" customHeight="1">
      <c r="A1467" s="66" t="s">
        <v>7913</v>
      </c>
    </row>
    <row r="1468" ht="15.75" customHeight="1">
      <c r="A1468" s="66" t="s">
        <v>7914</v>
      </c>
    </row>
    <row r="1469" ht="15.75" customHeight="1">
      <c r="A1469" s="66" t="s">
        <v>7915</v>
      </c>
    </row>
    <row r="1470" ht="15.75" customHeight="1">
      <c r="A1470" s="66" t="s">
        <v>7916</v>
      </c>
    </row>
    <row r="1471" ht="15.75" customHeight="1">
      <c r="A1471" s="66" t="s">
        <v>7917</v>
      </c>
    </row>
    <row r="1472" ht="15.75" customHeight="1">
      <c r="A1472" s="66" t="s">
        <v>7918</v>
      </c>
    </row>
    <row r="1473" ht="15.75" customHeight="1">
      <c r="A1473" s="66" t="s">
        <v>7919</v>
      </c>
    </row>
    <row r="1474" ht="15.75" customHeight="1">
      <c r="A1474" s="66" t="s">
        <v>7920</v>
      </c>
    </row>
    <row r="1475" ht="15.75" customHeight="1">
      <c r="A1475" s="66" t="s">
        <v>7921</v>
      </c>
    </row>
    <row r="1476" ht="15.75" customHeight="1">
      <c r="A1476" s="66" t="s">
        <v>7922</v>
      </c>
    </row>
    <row r="1477" ht="15.75" customHeight="1">
      <c r="A1477" s="66" t="s">
        <v>7923</v>
      </c>
    </row>
    <row r="1478" ht="15.75" customHeight="1">
      <c r="A1478" s="66" t="s">
        <v>7924</v>
      </c>
    </row>
    <row r="1479" ht="15.75" customHeight="1">
      <c r="A1479" s="66" t="s">
        <v>7925</v>
      </c>
    </row>
    <row r="1480" ht="15.75" customHeight="1">
      <c r="A1480" s="66" t="s">
        <v>7926</v>
      </c>
    </row>
    <row r="1481" ht="15.75" customHeight="1">
      <c r="A1481" s="66" t="s">
        <v>7927</v>
      </c>
    </row>
    <row r="1482" ht="15.75" customHeight="1">
      <c r="A1482" s="66" t="s">
        <v>7928</v>
      </c>
    </row>
    <row r="1483" ht="15.75" customHeight="1">
      <c r="A1483" s="66" t="s">
        <v>7929</v>
      </c>
    </row>
    <row r="1484" ht="15.75" customHeight="1">
      <c r="A1484" s="66" t="s">
        <v>7930</v>
      </c>
    </row>
    <row r="1485" ht="15.75" customHeight="1">
      <c r="A1485" s="66" t="s">
        <v>7931</v>
      </c>
    </row>
    <row r="1486" ht="15.75" customHeight="1">
      <c r="A1486" s="66" t="s">
        <v>7932</v>
      </c>
    </row>
    <row r="1487" ht="15.75" customHeight="1">
      <c r="A1487" s="66" t="s">
        <v>7934</v>
      </c>
    </row>
    <row r="1488" ht="15.75" customHeight="1">
      <c r="A1488" s="66" t="s">
        <v>7935</v>
      </c>
    </row>
    <row r="1489" ht="15.75" customHeight="1">
      <c r="A1489" s="66" t="s">
        <v>7938</v>
      </c>
    </row>
    <row r="1490" ht="15.75" customHeight="1">
      <c r="A1490" s="66" t="s">
        <v>7940</v>
      </c>
    </row>
    <row r="1491" ht="15.75" customHeight="1">
      <c r="A1491" s="66" t="s">
        <v>7941</v>
      </c>
    </row>
    <row r="1492" ht="15.75" customHeight="1">
      <c r="A1492" s="66" t="s">
        <v>7943</v>
      </c>
    </row>
    <row r="1493" ht="15.75" customHeight="1">
      <c r="A1493" s="66" t="s">
        <v>7945</v>
      </c>
    </row>
    <row r="1494" ht="15.75" customHeight="1">
      <c r="A1494" s="66" t="s">
        <v>7947</v>
      </c>
    </row>
    <row r="1495" ht="15.75" customHeight="1">
      <c r="A1495" s="66" t="s">
        <v>7948</v>
      </c>
    </row>
    <row r="1496" ht="15.75" customHeight="1">
      <c r="A1496" s="66" t="s">
        <v>7949</v>
      </c>
    </row>
    <row r="1497" ht="15.75" customHeight="1">
      <c r="A1497" s="66" t="s">
        <v>7950</v>
      </c>
    </row>
    <row r="1498" ht="15.75" customHeight="1">
      <c r="A1498" s="66" t="s">
        <v>7951</v>
      </c>
    </row>
    <row r="1499" ht="15.75" customHeight="1">
      <c r="A1499" s="66" t="s">
        <v>7952</v>
      </c>
    </row>
    <row r="1500" ht="15.75" customHeight="1">
      <c r="A1500" s="66" t="s">
        <v>7953</v>
      </c>
    </row>
    <row r="1501" ht="15.75" customHeight="1">
      <c r="A1501" s="66" t="s">
        <v>7954</v>
      </c>
    </row>
    <row r="1502" ht="15.75" customHeight="1">
      <c r="A1502" s="66" t="s">
        <v>7955</v>
      </c>
    </row>
    <row r="1503" ht="15.75" customHeight="1">
      <c r="A1503" s="66" t="s">
        <v>7956</v>
      </c>
    </row>
    <row r="1504" ht="15.75" customHeight="1">
      <c r="A1504" s="66" t="s">
        <v>7957</v>
      </c>
    </row>
    <row r="1505" ht="15.75" customHeight="1">
      <c r="A1505" s="66" t="s">
        <v>7958</v>
      </c>
    </row>
    <row r="1506" ht="15.75" customHeight="1">
      <c r="A1506" s="66" t="s">
        <v>7959</v>
      </c>
    </row>
    <row r="1507" ht="15.75" customHeight="1">
      <c r="A1507" s="66" t="s">
        <v>7960</v>
      </c>
    </row>
    <row r="1508" ht="15.75" customHeight="1">
      <c r="A1508" s="66" t="s">
        <v>7961</v>
      </c>
    </row>
    <row r="1509" ht="15.75" customHeight="1">
      <c r="A1509" s="66" t="s">
        <v>7962</v>
      </c>
    </row>
    <row r="1510" ht="15.75" customHeight="1">
      <c r="A1510" s="66" t="s">
        <v>7963</v>
      </c>
    </row>
    <row r="1511" ht="15.75" customHeight="1">
      <c r="A1511" s="66" t="s">
        <v>7964</v>
      </c>
    </row>
    <row r="1512" ht="15.75" customHeight="1">
      <c r="A1512" s="66" t="s">
        <v>7965</v>
      </c>
    </row>
    <row r="1513" ht="15.75" customHeight="1">
      <c r="A1513" s="66" t="s">
        <v>7966</v>
      </c>
    </row>
    <row r="1514" ht="15.75" customHeight="1">
      <c r="A1514" s="66" t="s">
        <v>7967</v>
      </c>
    </row>
    <row r="1515" ht="15.75" customHeight="1">
      <c r="A1515" s="66" t="s">
        <v>7968</v>
      </c>
    </row>
    <row r="1516" ht="15.75" customHeight="1">
      <c r="A1516" s="66" t="s">
        <v>7969</v>
      </c>
    </row>
    <row r="1517" ht="15.75" customHeight="1">
      <c r="A1517" s="66" t="s">
        <v>7970</v>
      </c>
    </row>
    <row r="1518" ht="15.75" customHeight="1">
      <c r="A1518" s="66" t="s">
        <v>7971</v>
      </c>
    </row>
    <row r="1519" ht="15.75" customHeight="1">
      <c r="A1519" s="66" t="s">
        <v>7972</v>
      </c>
    </row>
    <row r="1520" ht="15.75" customHeight="1">
      <c r="A1520" s="66" t="s">
        <v>7973</v>
      </c>
    </row>
    <row r="1521" ht="15.75" customHeight="1">
      <c r="A1521" s="66" t="s">
        <v>7974</v>
      </c>
    </row>
    <row r="1522" ht="15.75" customHeight="1">
      <c r="A1522" s="66" t="s">
        <v>7975</v>
      </c>
    </row>
    <row r="1523" ht="15.75" customHeight="1">
      <c r="A1523" s="66" t="s">
        <v>7976</v>
      </c>
    </row>
    <row r="1524" ht="15.75" customHeight="1">
      <c r="A1524" s="66" t="s">
        <v>7978</v>
      </c>
    </row>
    <row r="1525" ht="15.75" customHeight="1">
      <c r="A1525" s="66" t="s">
        <v>7980</v>
      </c>
    </row>
    <row r="1526" ht="15.75" customHeight="1">
      <c r="A1526" s="66" t="s">
        <v>7982</v>
      </c>
    </row>
    <row r="1527" ht="15.75" customHeight="1">
      <c r="A1527" s="66" t="s">
        <v>7984</v>
      </c>
    </row>
    <row r="1528" ht="15.75" customHeight="1">
      <c r="A1528" s="66" t="s">
        <v>7985</v>
      </c>
    </row>
    <row r="1529" ht="15.75" customHeight="1">
      <c r="A1529" s="66" t="s">
        <v>7986</v>
      </c>
    </row>
    <row r="1530" ht="15.75" customHeight="1">
      <c r="A1530" s="66" t="s">
        <v>7988</v>
      </c>
    </row>
    <row r="1531" ht="15.75" customHeight="1">
      <c r="A1531" s="66" t="s">
        <v>7990</v>
      </c>
    </row>
    <row r="1532" ht="15.75" customHeight="1">
      <c r="A1532" s="66" t="s">
        <v>7992</v>
      </c>
    </row>
    <row r="1533" ht="15.75" customHeight="1">
      <c r="A1533" s="66" t="s">
        <v>7993</v>
      </c>
    </row>
    <row r="1534" ht="15.75" customHeight="1">
      <c r="A1534" s="66" t="s">
        <v>7994</v>
      </c>
    </row>
    <row r="1535" ht="15.75" customHeight="1">
      <c r="A1535" s="66" t="s">
        <v>7995</v>
      </c>
    </row>
    <row r="1536" ht="15.75" customHeight="1">
      <c r="A1536" s="66" t="s">
        <v>7996</v>
      </c>
    </row>
    <row r="1537" ht="15.75" customHeight="1">
      <c r="A1537" s="66" t="s">
        <v>7997</v>
      </c>
    </row>
    <row r="1538" ht="15.75" customHeight="1">
      <c r="A1538" s="66" t="s">
        <v>7998</v>
      </c>
    </row>
    <row r="1539" ht="15.75" customHeight="1">
      <c r="A1539" s="66" t="s">
        <v>7999</v>
      </c>
    </row>
    <row r="1540" ht="15.75" customHeight="1">
      <c r="A1540" s="66" t="s">
        <v>8000</v>
      </c>
    </row>
    <row r="1541" ht="15.75" customHeight="1">
      <c r="A1541" s="66" t="s">
        <v>8001</v>
      </c>
    </row>
    <row r="1542" ht="15.75" customHeight="1">
      <c r="A1542" s="66" t="s">
        <v>8002</v>
      </c>
    </row>
    <row r="1543" ht="15.75" customHeight="1">
      <c r="A1543" s="66" t="s">
        <v>8003</v>
      </c>
    </row>
    <row r="1544" ht="15.75" customHeight="1">
      <c r="A1544" s="66" t="s">
        <v>8004</v>
      </c>
    </row>
    <row r="1545" ht="15.75" customHeight="1">
      <c r="A1545" s="66" t="s">
        <v>8005</v>
      </c>
    </row>
    <row r="1546" ht="15.75" customHeight="1">
      <c r="A1546" s="66" t="s">
        <v>8006</v>
      </c>
    </row>
    <row r="1547" ht="15.75" customHeight="1">
      <c r="A1547" s="66" t="s">
        <v>8007</v>
      </c>
    </row>
    <row r="1548" ht="15.75" customHeight="1">
      <c r="A1548" s="66" t="s">
        <v>8008</v>
      </c>
    </row>
    <row r="1549" ht="15.75" customHeight="1">
      <c r="A1549" s="66" t="s">
        <v>8009</v>
      </c>
    </row>
    <row r="1550" ht="15.75" customHeight="1">
      <c r="A1550" s="66" t="s">
        <v>8010</v>
      </c>
    </row>
    <row r="1551" ht="15.75" customHeight="1">
      <c r="A1551" s="66" t="s">
        <v>8011</v>
      </c>
    </row>
    <row r="1552" ht="15.75" customHeight="1">
      <c r="A1552" s="66" t="s">
        <v>8012</v>
      </c>
    </row>
    <row r="1553" ht="15.75" customHeight="1">
      <c r="A1553" s="66" t="s">
        <v>8013</v>
      </c>
    </row>
    <row r="1554" ht="15.75" customHeight="1">
      <c r="A1554" s="66" t="s">
        <v>8014</v>
      </c>
    </row>
    <row r="1555" ht="15.75" customHeight="1">
      <c r="A1555" s="66" t="s">
        <v>8015</v>
      </c>
    </row>
    <row r="1556" ht="15.75" customHeight="1">
      <c r="A1556" s="66" t="s">
        <v>8016</v>
      </c>
    </row>
    <row r="1557" ht="15.75" customHeight="1">
      <c r="A1557" s="66" t="s">
        <v>8017</v>
      </c>
    </row>
    <row r="1558" ht="15.75" customHeight="1">
      <c r="A1558" s="66" t="s">
        <v>8018</v>
      </c>
    </row>
    <row r="1559" ht="15.75" customHeight="1">
      <c r="A1559" s="66" t="s">
        <v>8019</v>
      </c>
    </row>
    <row r="1560" ht="15.75" customHeight="1">
      <c r="A1560" s="66" t="s">
        <v>8020</v>
      </c>
    </row>
    <row r="1561" ht="15.75" customHeight="1">
      <c r="A1561" s="66" t="s">
        <v>8021</v>
      </c>
    </row>
    <row r="1562" ht="15.75" customHeight="1">
      <c r="A1562" s="66" t="s">
        <v>8022</v>
      </c>
    </row>
    <row r="1563" ht="15.75" customHeight="1">
      <c r="A1563" s="66" t="s">
        <v>8023</v>
      </c>
    </row>
    <row r="1564" ht="15.75" customHeight="1">
      <c r="A1564" s="66" t="s">
        <v>8024</v>
      </c>
    </row>
    <row r="1565" ht="15.75" customHeight="1">
      <c r="A1565" s="66" t="s">
        <v>8025</v>
      </c>
    </row>
    <row r="1566" ht="15.75" customHeight="1">
      <c r="A1566" s="66" t="s">
        <v>8026</v>
      </c>
    </row>
    <row r="1567" ht="15.75" customHeight="1">
      <c r="A1567" s="66" t="s">
        <v>8027</v>
      </c>
    </row>
    <row r="1568" ht="15.75" customHeight="1">
      <c r="A1568" s="66" t="s">
        <v>8028</v>
      </c>
    </row>
    <row r="1569" ht="15.75" customHeight="1">
      <c r="A1569" s="66" t="s">
        <v>8029</v>
      </c>
    </row>
    <row r="1570" ht="15.75" customHeight="1">
      <c r="A1570" s="66" t="s">
        <v>4285</v>
      </c>
    </row>
    <row r="1571" ht="15.75" customHeight="1">
      <c r="A1571" s="66" t="s">
        <v>8030</v>
      </c>
    </row>
    <row r="1572" ht="15.75" customHeight="1">
      <c r="A1572" s="66" t="s">
        <v>8031</v>
      </c>
    </row>
    <row r="1573" ht="15.75" customHeight="1">
      <c r="A1573" s="66" t="s">
        <v>8032</v>
      </c>
    </row>
    <row r="1574" ht="15.75" customHeight="1">
      <c r="A1574" s="66" t="s">
        <v>8033</v>
      </c>
    </row>
    <row r="1575" ht="15.75" customHeight="1">
      <c r="A1575" s="66" t="s">
        <v>8034</v>
      </c>
    </row>
    <row r="1576" ht="15.75" customHeight="1">
      <c r="A1576" s="66" t="s">
        <v>8035</v>
      </c>
    </row>
    <row r="1577" ht="15.75" customHeight="1">
      <c r="A1577" s="66" t="s">
        <v>8036</v>
      </c>
    </row>
    <row r="1578" ht="15.75" customHeight="1">
      <c r="A1578" s="66" t="s">
        <v>8037</v>
      </c>
    </row>
    <row r="1579" ht="15.75" customHeight="1">
      <c r="A1579" s="66" t="s">
        <v>8038</v>
      </c>
    </row>
    <row r="1580" ht="15.75" customHeight="1">
      <c r="A1580" s="66" t="s">
        <v>8040</v>
      </c>
    </row>
    <row r="1581" ht="15.75" customHeight="1">
      <c r="A1581" s="66" t="s">
        <v>8041</v>
      </c>
    </row>
    <row r="1582" ht="15.75" customHeight="1">
      <c r="A1582" s="66" t="s">
        <v>8043</v>
      </c>
    </row>
    <row r="1583" ht="15.75" customHeight="1">
      <c r="A1583" s="66" t="s">
        <v>8045</v>
      </c>
    </row>
    <row r="1584" ht="15.75" customHeight="1">
      <c r="A1584" s="66" t="s">
        <v>8046</v>
      </c>
    </row>
    <row r="1585" ht="15.75" customHeight="1">
      <c r="A1585" s="66" t="s">
        <v>8047</v>
      </c>
    </row>
    <row r="1586" ht="15.75" customHeight="1">
      <c r="A1586" s="66" t="s">
        <v>8050</v>
      </c>
    </row>
    <row r="1587" ht="15.75" customHeight="1">
      <c r="A1587" s="66" t="s">
        <v>8051</v>
      </c>
    </row>
    <row r="1588" ht="15.75" customHeight="1">
      <c r="A1588" s="66" t="s">
        <v>8053</v>
      </c>
    </row>
    <row r="1589" ht="15.75" customHeight="1">
      <c r="A1589" s="66" t="s">
        <v>8054</v>
      </c>
    </row>
    <row r="1590" ht="15.75" customHeight="1">
      <c r="A1590" s="66" t="s">
        <v>8055</v>
      </c>
    </row>
    <row r="1591" ht="15.75" customHeight="1">
      <c r="A1591" s="66" t="s">
        <v>8056</v>
      </c>
    </row>
    <row r="1592" ht="15.75" customHeight="1">
      <c r="A1592" s="66" t="s">
        <v>8057</v>
      </c>
    </row>
    <row r="1593" ht="15.75" customHeight="1">
      <c r="A1593" s="66" t="s">
        <v>8058</v>
      </c>
    </row>
    <row r="1594" ht="15.75" customHeight="1">
      <c r="A1594" s="66" t="s">
        <v>8059</v>
      </c>
    </row>
    <row r="1595" ht="15.75" customHeight="1">
      <c r="A1595" s="66" t="s">
        <v>8060</v>
      </c>
    </row>
    <row r="1596" ht="15.75" customHeight="1">
      <c r="A1596" s="66" t="s">
        <v>8061</v>
      </c>
    </row>
    <row r="1597" ht="15.75" customHeight="1">
      <c r="A1597" s="66" t="s">
        <v>8062</v>
      </c>
    </row>
    <row r="1598" ht="15.75" customHeight="1">
      <c r="A1598" s="66" t="s">
        <v>8063</v>
      </c>
    </row>
    <row r="1599" ht="15.75" customHeight="1">
      <c r="A1599" s="66" t="s">
        <v>8064</v>
      </c>
    </row>
    <row r="1600" ht="15.75" customHeight="1">
      <c r="A1600" s="66" t="s">
        <v>8065</v>
      </c>
    </row>
    <row r="1601" ht="15.75" customHeight="1">
      <c r="A1601" s="66" t="s">
        <v>8066</v>
      </c>
    </row>
    <row r="1602" ht="15.75" customHeight="1">
      <c r="A1602" s="66" t="s">
        <v>8067</v>
      </c>
    </row>
    <row r="1603" ht="15.75" customHeight="1">
      <c r="A1603" s="66" t="s">
        <v>8068</v>
      </c>
    </row>
    <row r="1604" ht="15.75" customHeight="1">
      <c r="A1604" s="66" t="s">
        <v>8069</v>
      </c>
    </row>
    <row r="1605" ht="15.75" customHeight="1">
      <c r="A1605" s="66" t="s">
        <v>8070</v>
      </c>
    </row>
    <row r="1606" ht="15.75" customHeight="1">
      <c r="A1606" s="66" t="s">
        <v>8071</v>
      </c>
    </row>
    <row r="1607" ht="15.75" customHeight="1">
      <c r="A1607" s="66" t="s">
        <v>8072</v>
      </c>
    </row>
    <row r="1608" ht="15.75" customHeight="1">
      <c r="A1608" s="66" t="s">
        <v>8073</v>
      </c>
    </row>
    <row r="1609" ht="15.75" customHeight="1">
      <c r="A1609" s="66" t="s">
        <v>8074</v>
      </c>
    </row>
    <row r="1610" ht="15.75" customHeight="1">
      <c r="A1610" s="66" t="s">
        <v>8075</v>
      </c>
    </row>
    <row r="1611" ht="15.75" customHeight="1">
      <c r="A1611" s="66" t="s">
        <v>8076</v>
      </c>
    </row>
    <row r="1612" ht="15.75" customHeight="1">
      <c r="A1612" s="66" t="s">
        <v>8077</v>
      </c>
    </row>
    <row r="1613" ht="15.75" customHeight="1">
      <c r="A1613" s="66" t="s">
        <v>8078</v>
      </c>
    </row>
    <row r="1614" ht="15.75" customHeight="1">
      <c r="A1614" s="66" t="s">
        <v>8079</v>
      </c>
    </row>
    <row r="1615" ht="15.75" customHeight="1">
      <c r="A1615" s="66" t="s">
        <v>8080</v>
      </c>
    </row>
    <row r="1616" ht="15.75" customHeight="1">
      <c r="A1616" s="66" t="s">
        <v>8081</v>
      </c>
    </row>
    <row r="1617" ht="15.75" customHeight="1">
      <c r="A1617" s="66" t="s">
        <v>8083</v>
      </c>
    </row>
    <row r="1618" ht="15.75" customHeight="1">
      <c r="A1618" s="66" t="s">
        <v>8084</v>
      </c>
    </row>
    <row r="1619" ht="15.75" customHeight="1">
      <c r="A1619" s="66" t="s">
        <v>8085</v>
      </c>
    </row>
    <row r="1620" ht="15.75" customHeight="1">
      <c r="A1620" s="66" t="s">
        <v>8086</v>
      </c>
    </row>
    <row r="1621" ht="15.75" customHeight="1">
      <c r="A1621" s="66" t="s">
        <v>8087</v>
      </c>
    </row>
    <row r="1622" ht="15.75" customHeight="1">
      <c r="A1622" s="66" t="s">
        <v>8089</v>
      </c>
    </row>
    <row r="1623" ht="15.75" customHeight="1">
      <c r="A1623" s="66" t="s">
        <v>8090</v>
      </c>
    </row>
    <row r="1624" ht="15.75" customHeight="1">
      <c r="A1624" s="66" t="s">
        <v>8091</v>
      </c>
    </row>
    <row r="1625" ht="15.75" customHeight="1">
      <c r="A1625" s="66" t="s">
        <v>8093</v>
      </c>
    </row>
    <row r="1626" ht="15.75" customHeight="1">
      <c r="A1626" s="66" t="s">
        <v>8095</v>
      </c>
    </row>
    <row r="1627" ht="15.75" customHeight="1">
      <c r="A1627" s="66" t="s">
        <v>8096</v>
      </c>
    </row>
    <row r="1628" ht="15.75" customHeight="1">
      <c r="A1628" s="66" t="s">
        <v>8098</v>
      </c>
    </row>
    <row r="1629" ht="15.75" customHeight="1">
      <c r="A1629" s="66" t="s">
        <v>8099</v>
      </c>
    </row>
    <row r="1630" ht="15.75" customHeight="1">
      <c r="A1630" s="66" t="s">
        <v>8100</v>
      </c>
    </row>
    <row r="1631" ht="15.75" customHeight="1">
      <c r="A1631" s="66" t="s">
        <v>8101</v>
      </c>
    </row>
    <row r="1632" ht="15.75" customHeight="1">
      <c r="A1632" s="66" t="s">
        <v>8102</v>
      </c>
    </row>
    <row r="1633" ht="15.75" customHeight="1">
      <c r="A1633" s="66" t="s">
        <v>8103</v>
      </c>
    </row>
    <row r="1634" ht="15.75" customHeight="1">
      <c r="A1634" s="66" t="s">
        <v>8104</v>
      </c>
    </row>
    <row r="1635" ht="15.75" customHeight="1">
      <c r="A1635" s="66" t="s">
        <v>8105</v>
      </c>
    </row>
    <row r="1636" ht="15.75" customHeight="1">
      <c r="A1636" s="66" t="s">
        <v>8106</v>
      </c>
    </row>
    <row r="1637" ht="15.75" customHeight="1">
      <c r="A1637" s="66" t="s">
        <v>8107</v>
      </c>
    </row>
    <row r="1638" ht="15.75" customHeight="1">
      <c r="A1638" s="66" t="s">
        <v>8108</v>
      </c>
    </row>
    <row r="1639" ht="15.75" customHeight="1">
      <c r="A1639" s="66" t="s">
        <v>8109</v>
      </c>
    </row>
    <row r="1640" ht="15.75" customHeight="1">
      <c r="A1640" s="66" t="s">
        <v>8110</v>
      </c>
    </row>
    <row r="1641" ht="15.75" customHeight="1">
      <c r="A1641" s="66" t="s">
        <v>8111</v>
      </c>
    </row>
    <row r="1642" ht="15.75" customHeight="1">
      <c r="A1642" s="66" t="s">
        <v>8112</v>
      </c>
    </row>
    <row r="1643" ht="15.75" customHeight="1">
      <c r="A1643" s="66" t="s">
        <v>8113</v>
      </c>
    </row>
    <row r="1644" ht="15.75" customHeight="1">
      <c r="A1644" s="66" t="s">
        <v>8114</v>
      </c>
    </row>
    <row r="1645" ht="15.75" customHeight="1">
      <c r="A1645" s="66" t="s">
        <v>8115</v>
      </c>
    </row>
    <row r="1646" ht="15.75" customHeight="1">
      <c r="A1646" s="66" t="s">
        <v>8116</v>
      </c>
    </row>
    <row r="1647" ht="15.75" customHeight="1">
      <c r="A1647" s="66" t="s">
        <v>8117</v>
      </c>
    </row>
    <row r="1648" ht="15.75" customHeight="1">
      <c r="A1648" s="66" t="s">
        <v>8118</v>
      </c>
    </row>
    <row r="1649" ht="15.75" customHeight="1">
      <c r="A1649" s="66" t="s">
        <v>8119</v>
      </c>
    </row>
    <row r="1650" ht="15.75" customHeight="1">
      <c r="A1650" s="66" t="s">
        <v>8120</v>
      </c>
    </row>
    <row r="1651" ht="15.75" customHeight="1">
      <c r="A1651" s="66" t="s">
        <v>8121</v>
      </c>
    </row>
    <row r="1652" ht="15.75" customHeight="1">
      <c r="A1652" s="66" t="s">
        <v>8122</v>
      </c>
    </row>
    <row r="1653" ht="15.75" customHeight="1">
      <c r="A1653" s="66" t="s">
        <v>8123</v>
      </c>
    </row>
    <row r="1654" ht="15.75" customHeight="1">
      <c r="A1654" s="66" t="s">
        <v>8124</v>
      </c>
    </row>
    <row r="1655" ht="15.75" customHeight="1">
      <c r="A1655" s="66" t="s">
        <v>8125</v>
      </c>
    </row>
    <row r="1656" ht="15.75" customHeight="1">
      <c r="A1656" s="66" t="s">
        <v>8126</v>
      </c>
    </row>
    <row r="1657" ht="15.75" customHeight="1">
      <c r="A1657" s="66" t="s">
        <v>8127</v>
      </c>
    </row>
    <row r="1658" ht="15.75" customHeight="1">
      <c r="A1658" s="66" t="s">
        <v>8128</v>
      </c>
    </row>
    <row r="1659" ht="15.75" customHeight="1">
      <c r="A1659" s="66" t="s">
        <v>8129</v>
      </c>
    </row>
    <row r="1660" ht="15.75" customHeight="1">
      <c r="A1660" s="66" t="s">
        <v>8130</v>
      </c>
    </row>
    <row r="1661" ht="15.75" customHeight="1">
      <c r="A1661" s="66" t="s">
        <v>8131</v>
      </c>
    </row>
    <row r="1662" ht="15.75" customHeight="1">
      <c r="A1662" s="66" t="s">
        <v>8133</v>
      </c>
    </row>
    <row r="1663" ht="15.75" customHeight="1">
      <c r="A1663" s="66" t="s">
        <v>8135</v>
      </c>
    </row>
    <row r="1664" ht="15.75" customHeight="1">
      <c r="A1664" s="66" t="s">
        <v>8136</v>
      </c>
    </row>
    <row r="1665" ht="15.75" customHeight="1">
      <c r="A1665" s="66" t="s">
        <v>8137</v>
      </c>
    </row>
    <row r="1666" ht="15.75" customHeight="1">
      <c r="A1666" s="66" t="s">
        <v>8139</v>
      </c>
    </row>
    <row r="1667" ht="15.75" customHeight="1">
      <c r="A1667" s="66" t="s">
        <v>8140</v>
      </c>
    </row>
    <row r="1668" ht="15.75" customHeight="1">
      <c r="A1668" s="66" t="s">
        <v>8141</v>
      </c>
    </row>
    <row r="1669" ht="15.75" customHeight="1">
      <c r="A1669" s="66" t="s">
        <v>8142</v>
      </c>
    </row>
    <row r="1670" ht="15.75" customHeight="1">
      <c r="A1670" s="66" t="s">
        <v>8143</v>
      </c>
    </row>
    <row r="1671" ht="15.75" customHeight="1">
      <c r="A1671" s="66" t="s">
        <v>8144</v>
      </c>
    </row>
    <row r="1672" ht="15.75" customHeight="1">
      <c r="A1672" s="66" t="s">
        <v>8145</v>
      </c>
    </row>
    <row r="1673" ht="15.75" customHeight="1">
      <c r="A1673" s="66" t="s">
        <v>8146</v>
      </c>
    </row>
    <row r="1674" ht="15.75" customHeight="1">
      <c r="A1674" s="66" t="s">
        <v>8147</v>
      </c>
    </row>
    <row r="1675" ht="15.75" customHeight="1">
      <c r="A1675" s="66" t="s">
        <v>8148</v>
      </c>
    </row>
    <row r="1676" ht="15.75" customHeight="1">
      <c r="A1676" s="66" t="s">
        <v>8149</v>
      </c>
    </row>
    <row r="1677" ht="15.75" customHeight="1">
      <c r="A1677" s="66" t="s">
        <v>8150</v>
      </c>
    </row>
    <row r="1678" ht="15.75" customHeight="1">
      <c r="A1678" s="66" t="s">
        <v>8151</v>
      </c>
    </row>
    <row r="1679" ht="15.75" customHeight="1">
      <c r="A1679" s="66" t="s">
        <v>8152</v>
      </c>
    </row>
    <row r="1680" ht="15.75" customHeight="1">
      <c r="A1680" s="66" t="s">
        <v>8153</v>
      </c>
    </row>
    <row r="1681" ht="15.75" customHeight="1">
      <c r="A1681" s="66" t="s">
        <v>8154</v>
      </c>
    </row>
    <row r="1682" ht="15.75" customHeight="1">
      <c r="A1682" s="66" t="s">
        <v>8155</v>
      </c>
    </row>
    <row r="1683" ht="15.75" customHeight="1">
      <c r="A1683" s="66" t="s">
        <v>8156</v>
      </c>
    </row>
    <row r="1684" ht="15.75" customHeight="1">
      <c r="A1684" s="66" t="s">
        <v>8157</v>
      </c>
    </row>
    <row r="1685" ht="15.75" customHeight="1">
      <c r="A1685" s="66" t="s">
        <v>8158</v>
      </c>
    </row>
    <row r="1686" ht="15.75" customHeight="1">
      <c r="A1686" s="66" t="s">
        <v>8159</v>
      </c>
    </row>
    <row r="1687" ht="15.75" customHeight="1">
      <c r="A1687" s="66" t="s">
        <v>8160</v>
      </c>
    </row>
    <row r="1688" ht="15.75" customHeight="1">
      <c r="A1688" s="66" t="s">
        <v>8161</v>
      </c>
    </row>
    <row r="1689" ht="15.75" customHeight="1">
      <c r="A1689" s="66" t="s">
        <v>8162</v>
      </c>
    </row>
    <row r="1690" ht="15.75" customHeight="1">
      <c r="A1690" s="66" t="s">
        <v>8163</v>
      </c>
    </row>
    <row r="1691" ht="15.75" customHeight="1">
      <c r="A1691" s="66" t="s">
        <v>8164</v>
      </c>
    </row>
    <row r="1692" ht="15.75" customHeight="1">
      <c r="A1692" s="66" t="s">
        <v>8165</v>
      </c>
    </row>
    <row r="1693" ht="15.75" customHeight="1">
      <c r="A1693" s="66" t="s">
        <v>8166</v>
      </c>
    </row>
    <row r="1694" ht="15.75" customHeight="1">
      <c r="A1694" s="66" t="s">
        <v>8167</v>
      </c>
    </row>
    <row r="1695" ht="15.75" customHeight="1">
      <c r="A1695" s="66" t="s">
        <v>8168</v>
      </c>
    </row>
    <row r="1696" ht="15.75" customHeight="1">
      <c r="A1696" s="66" t="s">
        <v>8169</v>
      </c>
    </row>
    <row r="1697" ht="15.75" customHeight="1">
      <c r="A1697" s="66" t="s">
        <v>8170</v>
      </c>
    </row>
    <row r="1698" ht="15.75" customHeight="1">
      <c r="A1698" s="66" t="s">
        <v>8171</v>
      </c>
    </row>
    <row r="1699" ht="15.75" customHeight="1">
      <c r="A1699" s="66" t="s">
        <v>8172</v>
      </c>
    </row>
    <row r="1700" ht="15.75" customHeight="1">
      <c r="A1700" s="66" t="s">
        <v>8173</v>
      </c>
    </row>
    <row r="1701" ht="15.75" customHeight="1">
      <c r="A1701" s="66" t="s">
        <v>8174</v>
      </c>
    </row>
    <row r="1702" ht="15.75" customHeight="1">
      <c r="A1702" s="66" t="s">
        <v>8175</v>
      </c>
    </row>
    <row r="1703" ht="15.75" customHeight="1">
      <c r="A1703" s="66" t="s">
        <v>8176</v>
      </c>
    </row>
    <row r="1704" ht="15.75" customHeight="1">
      <c r="A1704" s="66" t="s">
        <v>8177</v>
      </c>
    </row>
    <row r="1705" ht="15.75" customHeight="1">
      <c r="A1705" s="66" t="s">
        <v>8178</v>
      </c>
    </row>
    <row r="1706" ht="15.75" customHeight="1">
      <c r="A1706" s="66" t="s">
        <v>8179</v>
      </c>
    </row>
    <row r="1707" ht="15.75" customHeight="1">
      <c r="A1707" s="66" t="s">
        <v>8180</v>
      </c>
    </row>
    <row r="1708" ht="15.75" customHeight="1">
      <c r="A1708" s="66" t="s">
        <v>8181</v>
      </c>
    </row>
    <row r="1709" ht="15.75" customHeight="1">
      <c r="A1709" s="66" t="s">
        <v>8182</v>
      </c>
    </row>
    <row r="1710" ht="15.75" customHeight="1">
      <c r="A1710" s="66" t="s">
        <v>8183</v>
      </c>
    </row>
    <row r="1711" ht="15.75" customHeight="1">
      <c r="A1711" s="66" t="s">
        <v>8184</v>
      </c>
    </row>
    <row r="1712" ht="15.75" customHeight="1">
      <c r="A1712" s="66" t="s">
        <v>8185</v>
      </c>
    </row>
    <row r="1713" ht="15.75" customHeight="1">
      <c r="A1713" s="66" t="s">
        <v>8186</v>
      </c>
    </row>
    <row r="1714" ht="15.75" customHeight="1">
      <c r="A1714" s="66" t="s">
        <v>8187</v>
      </c>
    </row>
    <row r="1715" ht="15.75" customHeight="1">
      <c r="A1715" s="66" t="s">
        <v>8188</v>
      </c>
    </row>
    <row r="1716" ht="15.75" customHeight="1">
      <c r="A1716" s="66" t="s">
        <v>8189</v>
      </c>
    </row>
    <row r="1717" ht="15.75" customHeight="1">
      <c r="A1717" s="66" t="s">
        <v>8190</v>
      </c>
    </row>
    <row r="1718" ht="15.75" customHeight="1">
      <c r="A1718" s="66" t="s">
        <v>8191</v>
      </c>
    </row>
    <row r="1719" ht="15.75" customHeight="1">
      <c r="A1719" s="66" t="s">
        <v>8192</v>
      </c>
    </row>
    <row r="1720" ht="15.75" customHeight="1">
      <c r="A1720" s="66" t="s">
        <v>8193</v>
      </c>
    </row>
    <row r="1721" ht="15.75" customHeight="1">
      <c r="A1721" s="66" t="s">
        <v>8194</v>
      </c>
    </row>
    <row r="1722" ht="15.75" customHeight="1">
      <c r="A1722" s="66" t="s">
        <v>8195</v>
      </c>
    </row>
    <row r="1723" ht="15.75" customHeight="1">
      <c r="A1723" s="66" t="s">
        <v>8196</v>
      </c>
    </row>
    <row r="1724" ht="15.75" customHeight="1">
      <c r="A1724" s="66" t="s">
        <v>8197</v>
      </c>
    </row>
    <row r="1725" ht="15.75" customHeight="1">
      <c r="A1725" s="66" t="s">
        <v>8198</v>
      </c>
    </row>
    <row r="1726" ht="15.75" customHeight="1">
      <c r="A1726" s="66" t="s">
        <v>8199</v>
      </c>
    </row>
    <row r="1727" ht="15.75" customHeight="1">
      <c r="A1727" s="66" t="s">
        <v>8200</v>
      </c>
    </row>
    <row r="1728" ht="15.75" customHeight="1">
      <c r="A1728" s="66" t="s">
        <v>8201</v>
      </c>
    </row>
    <row r="1729" ht="15.75" customHeight="1">
      <c r="A1729" s="66" t="s">
        <v>8202</v>
      </c>
    </row>
    <row r="1730" ht="15.75" customHeight="1">
      <c r="A1730" s="66" t="s">
        <v>8203</v>
      </c>
    </row>
    <row r="1731" ht="15.75" customHeight="1">
      <c r="A1731" s="66" t="s">
        <v>8204</v>
      </c>
    </row>
    <row r="1732" ht="15.75" customHeight="1">
      <c r="A1732" s="66" t="s">
        <v>8205</v>
      </c>
    </row>
    <row r="1733" ht="15.75" customHeight="1">
      <c r="A1733" s="66" t="s">
        <v>8206</v>
      </c>
    </row>
    <row r="1734" ht="15.75" customHeight="1">
      <c r="A1734" s="66" t="s">
        <v>8207</v>
      </c>
    </row>
    <row r="1735" ht="15.75" customHeight="1">
      <c r="A1735" s="66" t="s">
        <v>8208</v>
      </c>
    </row>
    <row r="1736" ht="15.75" customHeight="1">
      <c r="A1736" s="66" t="s">
        <v>8209</v>
      </c>
    </row>
    <row r="1737" ht="15.75" customHeight="1">
      <c r="A1737" s="66" t="s">
        <v>8210</v>
      </c>
    </row>
    <row r="1738" ht="15.75" customHeight="1">
      <c r="A1738" s="66" t="s">
        <v>8211</v>
      </c>
    </row>
    <row r="1739" ht="15.75" customHeight="1">
      <c r="A1739" s="66" t="s">
        <v>8212</v>
      </c>
    </row>
    <row r="1740" ht="15.75" customHeight="1">
      <c r="A1740" s="66" t="s">
        <v>8213</v>
      </c>
    </row>
    <row r="1741" ht="15.75" customHeight="1">
      <c r="A1741" s="66" t="s">
        <v>8214</v>
      </c>
    </row>
    <row r="1742" ht="15.75" customHeight="1">
      <c r="A1742" s="66" t="s">
        <v>8215</v>
      </c>
    </row>
    <row r="1743" ht="15.75" customHeight="1">
      <c r="A1743" s="66" t="s">
        <v>8216</v>
      </c>
    </row>
    <row r="1744" ht="15.75" customHeight="1">
      <c r="A1744" s="66" t="s">
        <v>8217</v>
      </c>
    </row>
    <row r="1745" ht="15.75" customHeight="1">
      <c r="A1745" s="66" t="s">
        <v>8218</v>
      </c>
    </row>
    <row r="1746" ht="15.75" customHeight="1">
      <c r="A1746" s="66" t="s">
        <v>8219</v>
      </c>
    </row>
    <row r="1747" ht="15.75" customHeight="1">
      <c r="A1747" s="66" t="s">
        <v>8220</v>
      </c>
    </row>
    <row r="1748" ht="15.75" customHeight="1">
      <c r="A1748" s="66" t="s">
        <v>8221</v>
      </c>
    </row>
    <row r="1749" ht="15.75" customHeight="1">
      <c r="A1749" s="66" t="s">
        <v>8222</v>
      </c>
    </row>
    <row r="1750" ht="15.75" customHeight="1">
      <c r="A1750" s="66" t="s">
        <v>8223</v>
      </c>
    </row>
    <row r="1751" ht="15.75" customHeight="1">
      <c r="A1751" s="66" t="s">
        <v>8224</v>
      </c>
    </row>
    <row r="1752" ht="15.75" customHeight="1">
      <c r="A1752" s="66" t="s">
        <v>8225</v>
      </c>
    </row>
    <row r="1753" ht="15.75" customHeight="1">
      <c r="A1753" s="66" t="s">
        <v>8226</v>
      </c>
    </row>
    <row r="1754" ht="15.75" customHeight="1">
      <c r="A1754" s="66" t="s">
        <v>8227</v>
      </c>
    </row>
    <row r="1755" ht="15.75" customHeight="1">
      <c r="A1755" s="66" t="s">
        <v>8228</v>
      </c>
    </row>
    <row r="1756" ht="15.75" customHeight="1">
      <c r="A1756" s="66" t="s">
        <v>8229</v>
      </c>
    </row>
    <row r="1757" ht="15.75" customHeight="1">
      <c r="A1757" s="66" t="s">
        <v>8230</v>
      </c>
    </row>
    <row r="1758" ht="15.75" customHeight="1">
      <c r="A1758" s="66" t="s">
        <v>8231</v>
      </c>
    </row>
    <row r="1759" ht="15.75" customHeight="1">
      <c r="A1759" s="66" t="s">
        <v>8232</v>
      </c>
    </row>
    <row r="1760" ht="15.75" customHeight="1">
      <c r="A1760" s="66" t="s">
        <v>8233</v>
      </c>
    </row>
    <row r="1761" ht="15.75" customHeight="1">
      <c r="A1761" s="66" t="s">
        <v>8234</v>
      </c>
    </row>
    <row r="1762" ht="15.75" customHeight="1">
      <c r="A1762" s="66" t="s">
        <v>8235</v>
      </c>
    </row>
    <row r="1763" ht="15.75" customHeight="1">
      <c r="A1763" s="66" t="s">
        <v>8236</v>
      </c>
    </row>
    <row r="1764" ht="15.75" customHeight="1">
      <c r="A1764" s="66" t="s">
        <v>8237</v>
      </c>
    </row>
    <row r="1765" ht="15.75" customHeight="1">
      <c r="A1765" s="66" t="s">
        <v>8238</v>
      </c>
    </row>
    <row r="1766" ht="15.75" customHeight="1">
      <c r="A1766" s="66" t="s">
        <v>8239</v>
      </c>
    </row>
    <row r="1767" ht="15.75" customHeight="1">
      <c r="A1767" s="66" t="s">
        <v>8240</v>
      </c>
    </row>
    <row r="1768" ht="15.75" customHeight="1">
      <c r="A1768" s="66" t="s">
        <v>8241</v>
      </c>
    </row>
    <row r="1769" ht="15.75" customHeight="1">
      <c r="A1769" s="66" t="s">
        <v>8242</v>
      </c>
    </row>
    <row r="1770" ht="15.75" customHeight="1">
      <c r="A1770" s="66" t="s">
        <v>8243</v>
      </c>
    </row>
    <row r="1771" ht="15.75" customHeight="1">
      <c r="A1771" s="66" t="s">
        <v>8244</v>
      </c>
    </row>
    <row r="1772" ht="15.75" customHeight="1">
      <c r="A1772" s="66" t="s">
        <v>8245</v>
      </c>
    </row>
    <row r="1773" ht="15.75" customHeight="1">
      <c r="A1773" s="66" t="s">
        <v>8246</v>
      </c>
    </row>
    <row r="1774" ht="15.75" customHeight="1">
      <c r="A1774" s="66" t="s">
        <v>8247</v>
      </c>
    </row>
    <row r="1775" ht="15.75" customHeight="1">
      <c r="A1775" s="66" t="s">
        <v>8248</v>
      </c>
    </row>
    <row r="1776" ht="15.75" customHeight="1">
      <c r="A1776" s="66" t="s">
        <v>8249</v>
      </c>
    </row>
    <row r="1777" ht="15.75" customHeight="1">
      <c r="A1777" s="66" t="s">
        <v>8251</v>
      </c>
    </row>
    <row r="1778" ht="15.75" customHeight="1">
      <c r="A1778" s="66" t="s">
        <v>8252</v>
      </c>
    </row>
    <row r="1779" ht="15.75" customHeight="1">
      <c r="A1779" s="66" t="s">
        <v>8253</v>
      </c>
    </row>
    <row r="1780" ht="15.75" customHeight="1">
      <c r="A1780" s="66" t="s">
        <v>8254</v>
      </c>
    </row>
    <row r="1781" ht="15.75" customHeight="1">
      <c r="A1781" s="66" t="s">
        <v>8255</v>
      </c>
    </row>
    <row r="1782" ht="15.75" customHeight="1">
      <c r="A1782" s="66" t="s">
        <v>8256</v>
      </c>
    </row>
    <row r="1783" ht="15.75" customHeight="1">
      <c r="A1783" s="66" t="s">
        <v>8257</v>
      </c>
    </row>
    <row r="1784" ht="15.75" customHeight="1">
      <c r="A1784" s="66" t="s">
        <v>8258</v>
      </c>
    </row>
    <row r="1785" ht="15.75" customHeight="1">
      <c r="A1785" s="66" t="s">
        <v>8259</v>
      </c>
    </row>
    <row r="1786" ht="15.75" customHeight="1">
      <c r="A1786" s="66" t="s">
        <v>8260</v>
      </c>
    </row>
    <row r="1787" ht="15.75" customHeight="1">
      <c r="A1787" s="66" t="s">
        <v>8262</v>
      </c>
    </row>
    <row r="1788" ht="15.75" customHeight="1">
      <c r="A1788" s="66" t="s">
        <v>8264</v>
      </c>
    </row>
    <row r="1789" ht="15.75" customHeight="1">
      <c r="A1789" s="66" t="s">
        <v>8265</v>
      </c>
    </row>
    <row r="1790" ht="15.75" customHeight="1">
      <c r="A1790" s="66" t="s">
        <v>8267</v>
      </c>
    </row>
    <row r="1791" ht="15.75" customHeight="1">
      <c r="A1791" s="66" t="s">
        <v>8268</v>
      </c>
    </row>
    <row r="1792" ht="15.75" customHeight="1">
      <c r="A1792" s="66" t="s">
        <v>8269</v>
      </c>
    </row>
    <row r="1793" ht="15.75" customHeight="1">
      <c r="A1793" s="66" t="s">
        <v>8270</v>
      </c>
    </row>
    <row r="1794" ht="15.75" customHeight="1">
      <c r="A1794" s="66" t="s">
        <v>8271</v>
      </c>
    </row>
    <row r="1795" ht="15.75" customHeight="1">
      <c r="A1795" s="66" t="s">
        <v>8272</v>
      </c>
    </row>
    <row r="1796" ht="15.75" customHeight="1">
      <c r="A1796" s="66" t="s">
        <v>8273</v>
      </c>
    </row>
    <row r="1797" ht="15.75" customHeight="1">
      <c r="A1797" s="66" t="s">
        <v>8274</v>
      </c>
    </row>
    <row r="1798" ht="15.75" customHeight="1">
      <c r="A1798" s="66" t="s">
        <v>8275</v>
      </c>
    </row>
    <row r="1799" ht="15.75" customHeight="1">
      <c r="A1799" s="66" t="s">
        <v>8276</v>
      </c>
    </row>
    <row r="1800" ht="15.75" customHeight="1">
      <c r="A1800" s="66" t="s">
        <v>8277</v>
      </c>
    </row>
    <row r="1801" ht="15.75" customHeight="1">
      <c r="A1801" s="66" t="s">
        <v>8278</v>
      </c>
    </row>
    <row r="1802" ht="15.75" customHeight="1">
      <c r="A1802" s="66" t="s">
        <v>8279</v>
      </c>
    </row>
    <row r="1803" ht="15.75" customHeight="1">
      <c r="A1803" s="66" t="s">
        <v>8280</v>
      </c>
    </row>
    <row r="1804" ht="15.75" customHeight="1">
      <c r="A1804" s="66" t="s">
        <v>8281</v>
      </c>
    </row>
    <row r="1805" ht="15.75" customHeight="1">
      <c r="A1805" s="66" t="s">
        <v>8282</v>
      </c>
    </row>
    <row r="1806" ht="15.75" customHeight="1">
      <c r="A1806" s="66" t="s">
        <v>8283</v>
      </c>
    </row>
    <row r="1807" ht="15.75" customHeight="1">
      <c r="A1807" s="66" t="s">
        <v>8284</v>
      </c>
    </row>
    <row r="1808" ht="15.75" customHeight="1">
      <c r="A1808" s="66" t="s">
        <v>8285</v>
      </c>
    </row>
    <row r="1809" ht="15.75" customHeight="1">
      <c r="A1809" s="66" t="s">
        <v>8286</v>
      </c>
    </row>
    <row r="1810" ht="15.75" customHeight="1">
      <c r="A1810" s="66" t="s">
        <v>8287</v>
      </c>
    </row>
    <row r="1811" ht="15.75" customHeight="1">
      <c r="A1811" s="66" t="s">
        <v>8288</v>
      </c>
    </row>
    <row r="1812" ht="15.75" customHeight="1">
      <c r="A1812" s="66" t="s">
        <v>8289</v>
      </c>
    </row>
    <row r="1813" ht="15.75" customHeight="1">
      <c r="A1813" s="66" t="s">
        <v>8290</v>
      </c>
    </row>
    <row r="1814" ht="15.75" customHeight="1">
      <c r="A1814" s="66" t="s">
        <v>8291</v>
      </c>
    </row>
    <row r="1815" ht="15.75" customHeight="1">
      <c r="A1815" s="66" t="s">
        <v>8292</v>
      </c>
    </row>
    <row r="1816" ht="15.75" customHeight="1">
      <c r="A1816" s="66" t="s">
        <v>8293</v>
      </c>
    </row>
    <row r="1817" ht="15.75" customHeight="1">
      <c r="A1817" s="66" t="s">
        <v>8294</v>
      </c>
    </row>
    <row r="1818" ht="15.75" customHeight="1">
      <c r="A1818" s="66" t="s">
        <v>8295</v>
      </c>
    </row>
    <row r="1819" ht="15.75" customHeight="1">
      <c r="A1819" s="66" t="s">
        <v>8296</v>
      </c>
    </row>
    <row r="1820" ht="15.75" customHeight="1">
      <c r="A1820" s="66" t="s">
        <v>8297</v>
      </c>
    </row>
    <row r="1821" ht="15.75" customHeight="1">
      <c r="A1821" s="66" t="s">
        <v>8298</v>
      </c>
    </row>
    <row r="1822" ht="15.75" customHeight="1">
      <c r="A1822" s="66" t="s">
        <v>8299</v>
      </c>
    </row>
    <row r="1823" ht="15.75" customHeight="1">
      <c r="A1823" s="66" t="s">
        <v>8300</v>
      </c>
    </row>
    <row r="1824" ht="15.75" customHeight="1">
      <c r="A1824" s="66" t="s">
        <v>8301</v>
      </c>
    </row>
    <row r="1825" ht="15.75" customHeight="1">
      <c r="A1825" s="66" t="s">
        <v>8302</v>
      </c>
    </row>
    <row r="1826" ht="15.75" customHeight="1">
      <c r="A1826" s="66" t="s">
        <v>8303</v>
      </c>
    </row>
    <row r="1827" ht="15.75" customHeight="1">
      <c r="A1827" s="66" t="s">
        <v>8304</v>
      </c>
    </row>
    <row r="1828" ht="15.75" customHeight="1">
      <c r="A1828" s="66" t="s">
        <v>8305</v>
      </c>
    </row>
    <row r="1829" ht="15.75" customHeight="1">
      <c r="A1829" s="66" t="s">
        <v>8307</v>
      </c>
    </row>
    <row r="1830" ht="15.75" customHeight="1">
      <c r="A1830" s="66" t="s">
        <v>8309</v>
      </c>
    </row>
    <row r="1831" ht="15.75" customHeight="1">
      <c r="A1831" s="66" t="s">
        <v>8311</v>
      </c>
    </row>
    <row r="1832" ht="15.75" customHeight="1">
      <c r="A1832" s="66" t="s">
        <v>8313</v>
      </c>
    </row>
    <row r="1833" ht="15.75" customHeight="1">
      <c r="A1833" s="66" t="s">
        <v>8314</v>
      </c>
    </row>
    <row r="1834" ht="15.75" customHeight="1">
      <c r="A1834" s="66" t="s">
        <v>8316</v>
      </c>
    </row>
    <row r="1835" ht="15.75" customHeight="1">
      <c r="A1835" s="66" t="s">
        <v>8318</v>
      </c>
    </row>
    <row r="1836" ht="15.75" customHeight="1">
      <c r="A1836" s="66" t="s">
        <v>8319</v>
      </c>
    </row>
    <row r="1837" ht="15.75" customHeight="1">
      <c r="A1837" s="66" t="s">
        <v>8321</v>
      </c>
    </row>
    <row r="1838" ht="15.75" customHeight="1">
      <c r="A1838" s="66" t="s">
        <v>8322</v>
      </c>
    </row>
    <row r="1839" ht="15.75" customHeight="1">
      <c r="A1839" s="66" t="s">
        <v>8323</v>
      </c>
    </row>
    <row r="1840" ht="15.75" customHeight="1">
      <c r="A1840" s="66" t="s">
        <v>8324</v>
      </c>
    </row>
    <row r="1841" ht="15.75" customHeight="1">
      <c r="A1841" s="66" t="s">
        <v>8325</v>
      </c>
    </row>
    <row r="1842" ht="15.75" customHeight="1">
      <c r="A1842" s="66" t="s">
        <v>8326</v>
      </c>
    </row>
    <row r="1843" ht="15.75" customHeight="1">
      <c r="A1843" s="66" t="s">
        <v>8327</v>
      </c>
    </row>
    <row r="1844" ht="15.75" customHeight="1">
      <c r="A1844" s="66" t="s">
        <v>8328</v>
      </c>
    </row>
    <row r="1845" ht="15.75" customHeight="1">
      <c r="A1845" s="66" t="s">
        <v>8329</v>
      </c>
    </row>
    <row r="1846" ht="15.75" customHeight="1">
      <c r="A1846" s="66" t="s">
        <v>8330</v>
      </c>
    </row>
    <row r="1847" ht="15.75" customHeight="1">
      <c r="A1847" s="66" t="s">
        <v>8331</v>
      </c>
    </row>
    <row r="1848" ht="15.75" customHeight="1">
      <c r="A1848" s="66" t="s">
        <v>8332</v>
      </c>
    </row>
    <row r="1849" ht="15.75" customHeight="1">
      <c r="A1849" s="66" t="s">
        <v>8333</v>
      </c>
    </row>
    <row r="1850" ht="15.75" customHeight="1">
      <c r="A1850" s="66" t="s">
        <v>8334</v>
      </c>
    </row>
    <row r="1851" ht="15.75" customHeight="1">
      <c r="A1851" s="66" t="s">
        <v>8335</v>
      </c>
    </row>
    <row r="1852" ht="15.75" customHeight="1">
      <c r="A1852" s="66" t="s">
        <v>8336</v>
      </c>
    </row>
    <row r="1853" ht="15.75" customHeight="1">
      <c r="A1853" s="66" t="s">
        <v>8337</v>
      </c>
    </row>
    <row r="1854" ht="15.75" customHeight="1">
      <c r="A1854" s="66" t="s">
        <v>8338</v>
      </c>
    </row>
    <row r="1855" ht="15.75" customHeight="1">
      <c r="A1855" s="66" t="s">
        <v>8339</v>
      </c>
    </row>
    <row r="1856" ht="15.75" customHeight="1">
      <c r="A1856" s="66" t="s">
        <v>8340</v>
      </c>
    </row>
    <row r="1857" ht="15.75" customHeight="1">
      <c r="A1857" s="66" t="s">
        <v>8341</v>
      </c>
    </row>
    <row r="1858" ht="15.75" customHeight="1">
      <c r="A1858" s="66" t="s">
        <v>8342</v>
      </c>
    </row>
    <row r="1859" ht="15.75" customHeight="1">
      <c r="A1859" s="66" t="s">
        <v>8343</v>
      </c>
    </row>
    <row r="1860" ht="15.75" customHeight="1">
      <c r="A1860" s="66" t="s">
        <v>8344</v>
      </c>
    </row>
    <row r="1861" ht="15.75" customHeight="1">
      <c r="A1861" s="66" t="s">
        <v>8345</v>
      </c>
    </row>
    <row r="1862" ht="15.75" customHeight="1">
      <c r="A1862" s="66" t="s">
        <v>8346</v>
      </c>
    </row>
    <row r="1863" ht="15.75" customHeight="1">
      <c r="A1863" s="66" t="s">
        <v>8347</v>
      </c>
    </row>
    <row r="1864" ht="15.75" customHeight="1">
      <c r="A1864" s="66" t="s">
        <v>8348</v>
      </c>
    </row>
    <row r="1865" ht="15.75" customHeight="1">
      <c r="A1865" s="66" t="s">
        <v>8349</v>
      </c>
    </row>
    <row r="1866" ht="15.75" customHeight="1">
      <c r="A1866" s="66" t="s">
        <v>8350</v>
      </c>
    </row>
    <row r="1867" ht="15.75" customHeight="1">
      <c r="A1867" s="66" t="s">
        <v>8352</v>
      </c>
    </row>
    <row r="1868" ht="15.75" customHeight="1">
      <c r="A1868" s="66" t="s">
        <v>8354</v>
      </c>
    </row>
    <row r="1869" ht="15.75" customHeight="1">
      <c r="A1869" s="66" t="s">
        <v>8355</v>
      </c>
    </row>
    <row r="1870" ht="15.75" customHeight="1">
      <c r="A1870" s="66" t="s">
        <v>8357</v>
      </c>
    </row>
    <row r="1871" ht="15.75" customHeight="1">
      <c r="A1871" s="66" t="s">
        <v>8359</v>
      </c>
    </row>
    <row r="1872" ht="15.75" customHeight="1">
      <c r="A1872" s="66" t="s">
        <v>8361</v>
      </c>
    </row>
    <row r="1873" ht="15.75" customHeight="1">
      <c r="A1873" s="66" t="s">
        <v>8362</v>
      </c>
    </row>
    <row r="1874" ht="15.75" customHeight="1">
      <c r="A1874" s="66" t="s">
        <v>8363</v>
      </c>
    </row>
    <row r="1875" ht="15.75" customHeight="1">
      <c r="A1875" s="66" t="s">
        <v>8364</v>
      </c>
    </row>
    <row r="1876" ht="15.75" customHeight="1">
      <c r="A1876" s="66" t="s">
        <v>8365</v>
      </c>
    </row>
    <row r="1877" ht="15.75" customHeight="1">
      <c r="A1877" s="66" t="s">
        <v>8366</v>
      </c>
    </row>
    <row r="1878" ht="15.75" customHeight="1">
      <c r="A1878" s="66" t="s">
        <v>8367</v>
      </c>
    </row>
    <row r="1879" ht="15.75" customHeight="1">
      <c r="A1879" s="66" t="s">
        <v>8368</v>
      </c>
    </row>
    <row r="1880" ht="15.75" customHeight="1">
      <c r="A1880" s="66" t="s">
        <v>8369</v>
      </c>
    </row>
    <row r="1881" ht="15.75" customHeight="1">
      <c r="A1881" s="66" t="s">
        <v>8370</v>
      </c>
    </row>
    <row r="1882" ht="15.75" customHeight="1">
      <c r="A1882" s="66" t="s">
        <v>8371</v>
      </c>
    </row>
    <row r="1883" ht="15.75" customHeight="1">
      <c r="A1883" s="66" t="s">
        <v>8372</v>
      </c>
    </row>
    <row r="1884" ht="15.75" customHeight="1">
      <c r="A1884" s="66" t="s">
        <v>8373</v>
      </c>
    </row>
    <row r="1885" ht="15.75" customHeight="1">
      <c r="A1885" s="66" t="s">
        <v>8374</v>
      </c>
    </row>
    <row r="1886" ht="15.75" customHeight="1">
      <c r="A1886" s="66" t="s">
        <v>8375</v>
      </c>
    </row>
    <row r="1887" ht="15.75" customHeight="1">
      <c r="A1887" s="66" t="s">
        <v>8376</v>
      </c>
    </row>
    <row r="1888" ht="15.75" customHeight="1">
      <c r="A1888" s="66" t="s">
        <v>8377</v>
      </c>
    </row>
    <row r="1889" ht="15.75" customHeight="1">
      <c r="A1889" s="66" t="s">
        <v>8378</v>
      </c>
    </row>
    <row r="1890" ht="15.75" customHeight="1">
      <c r="A1890" s="66" t="s">
        <v>8379</v>
      </c>
    </row>
    <row r="1891" ht="15.75" customHeight="1">
      <c r="A1891" s="66" t="s">
        <v>8380</v>
      </c>
    </row>
    <row r="1892" ht="15.75" customHeight="1">
      <c r="A1892" s="66" t="s">
        <v>8381</v>
      </c>
    </row>
    <row r="1893" ht="15.75" customHeight="1">
      <c r="A1893" s="66" t="s">
        <v>8383</v>
      </c>
    </row>
    <row r="1894" ht="15.75" customHeight="1">
      <c r="A1894" s="66" t="s">
        <v>8384</v>
      </c>
    </row>
    <row r="1895" ht="15.75" customHeight="1">
      <c r="A1895" s="66" t="s">
        <v>8387</v>
      </c>
    </row>
    <row r="1896" ht="15.75" customHeight="1">
      <c r="A1896" s="66" t="s">
        <v>8388</v>
      </c>
    </row>
    <row r="1897" ht="15.75" customHeight="1">
      <c r="A1897" s="66" t="s">
        <v>8389</v>
      </c>
    </row>
    <row r="1898" ht="15.75" customHeight="1">
      <c r="A1898" s="66" t="s">
        <v>8391</v>
      </c>
    </row>
    <row r="1899" ht="15.75" customHeight="1">
      <c r="A1899" s="66" t="s">
        <v>8393</v>
      </c>
    </row>
    <row r="1900" ht="15.75" customHeight="1">
      <c r="A1900" s="66" t="s">
        <v>8395</v>
      </c>
    </row>
    <row r="1901" ht="15.75" customHeight="1">
      <c r="A1901" s="66" t="s">
        <v>8396</v>
      </c>
    </row>
    <row r="1902" ht="15.75" customHeight="1">
      <c r="A1902" s="66" t="s">
        <v>8397</v>
      </c>
    </row>
    <row r="1903" ht="15.75" customHeight="1">
      <c r="A1903" s="66" t="s">
        <v>8398</v>
      </c>
    </row>
    <row r="1904" ht="15.75" customHeight="1">
      <c r="A1904" s="66" t="s">
        <v>8399</v>
      </c>
    </row>
    <row r="1905" ht="15.75" customHeight="1">
      <c r="A1905" s="66" t="s">
        <v>8400</v>
      </c>
    </row>
    <row r="1906" ht="15.75" customHeight="1">
      <c r="A1906" s="66" t="s">
        <v>8401</v>
      </c>
    </row>
    <row r="1907" ht="15.75" customHeight="1">
      <c r="A1907" s="66" t="s">
        <v>8402</v>
      </c>
    </row>
    <row r="1908" ht="15.75" customHeight="1">
      <c r="A1908" s="66" t="s">
        <v>8403</v>
      </c>
    </row>
    <row r="1909" ht="15.75" customHeight="1">
      <c r="A1909" s="66" t="s">
        <v>8404</v>
      </c>
    </row>
    <row r="1910" ht="15.75" customHeight="1">
      <c r="A1910" s="66" t="s">
        <v>8405</v>
      </c>
    </row>
    <row r="1911" ht="15.75" customHeight="1">
      <c r="A1911" s="66" t="s">
        <v>8406</v>
      </c>
    </row>
    <row r="1912" ht="15.75" customHeight="1">
      <c r="A1912" s="66" t="s">
        <v>8407</v>
      </c>
    </row>
    <row r="1913" ht="15.75" customHeight="1">
      <c r="A1913" s="66" t="s">
        <v>8408</v>
      </c>
    </row>
    <row r="1914" ht="15.75" customHeight="1">
      <c r="A1914" s="66" t="s">
        <v>8409</v>
      </c>
    </row>
    <row r="1915" ht="15.75" customHeight="1">
      <c r="A1915" s="66" t="s">
        <v>8410</v>
      </c>
    </row>
    <row r="1916" ht="15.75" customHeight="1">
      <c r="A1916" s="66" t="s">
        <v>8411</v>
      </c>
    </row>
    <row r="1917" ht="15.75" customHeight="1">
      <c r="A1917" s="66" t="s">
        <v>8412</v>
      </c>
    </row>
    <row r="1918" ht="15.75" customHeight="1">
      <c r="A1918" s="66" t="s">
        <v>8413</v>
      </c>
    </row>
    <row r="1919" ht="15.75" customHeight="1">
      <c r="A1919" s="66" t="s">
        <v>8414</v>
      </c>
    </row>
    <row r="1920" ht="15.75" customHeight="1">
      <c r="A1920" s="66" t="s">
        <v>8415</v>
      </c>
    </row>
    <row r="1921" ht="15.75" customHeight="1">
      <c r="A1921" s="66" t="s">
        <v>8416</v>
      </c>
    </row>
    <row r="1922" ht="15.75" customHeight="1">
      <c r="A1922" s="66" t="s">
        <v>8417</v>
      </c>
    </row>
    <row r="1923" ht="15.75" customHeight="1">
      <c r="A1923" s="66" t="s">
        <v>8418</v>
      </c>
    </row>
    <row r="1924" ht="15.75" customHeight="1">
      <c r="A1924" s="66" t="s">
        <v>8419</v>
      </c>
    </row>
    <row r="1925" ht="15.75" customHeight="1">
      <c r="A1925" s="66" t="s">
        <v>8420</v>
      </c>
    </row>
    <row r="1926" ht="15.75" customHeight="1">
      <c r="A1926" s="66" t="s">
        <v>8421</v>
      </c>
    </row>
    <row r="1927" ht="15.75" customHeight="1">
      <c r="A1927" s="66" t="s">
        <v>8422</v>
      </c>
    </row>
    <row r="1928" ht="15.75" customHeight="1">
      <c r="A1928" s="66" t="s">
        <v>8423</v>
      </c>
    </row>
    <row r="1929" ht="15.75" customHeight="1">
      <c r="A1929" s="66" t="s">
        <v>8424</v>
      </c>
    </row>
    <row r="1930" ht="15.75" customHeight="1">
      <c r="A1930" s="66" t="s">
        <v>8425</v>
      </c>
    </row>
    <row r="1931" ht="15.75" customHeight="1">
      <c r="A1931" s="66" t="s">
        <v>8426</v>
      </c>
    </row>
    <row r="1932" ht="15.75" customHeight="1">
      <c r="A1932" s="66" t="s">
        <v>8427</v>
      </c>
    </row>
    <row r="1933" ht="15.75" customHeight="1">
      <c r="A1933" s="66" t="s">
        <v>8428</v>
      </c>
    </row>
    <row r="1934" ht="15.75" customHeight="1">
      <c r="A1934" s="66" t="s">
        <v>8429</v>
      </c>
    </row>
    <row r="1935" ht="15.75" customHeight="1">
      <c r="A1935" s="66" t="s">
        <v>8430</v>
      </c>
    </row>
    <row r="1936" ht="15.75" customHeight="1">
      <c r="A1936" s="66" t="s">
        <v>8431</v>
      </c>
    </row>
    <row r="1937" ht="15.75" customHeight="1">
      <c r="A1937" s="66" t="s">
        <v>8432</v>
      </c>
    </row>
    <row r="1938" ht="15.75" customHeight="1">
      <c r="A1938" s="66" t="s">
        <v>8433</v>
      </c>
    </row>
    <row r="1939" ht="15.75" customHeight="1">
      <c r="A1939" s="66" t="s">
        <v>8434</v>
      </c>
    </row>
    <row r="1940" ht="15.75" customHeight="1">
      <c r="A1940" s="66" t="s">
        <v>8435</v>
      </c>
    </row>
    <row r="1941" ht="15.75" customHeight="1">
      <c r="A1941" s="66" t="s">
        <v>8436</v>
      </c>
    </row>
    <row r="1942" ht="15.75" customHeight="1">
      <c r="A1942" s="66" t="s">
        <v>8437</v>
      </c>
    </row>
    <row r="1943" ht="15.75" customHeight="1">
      <c r="A1943" s="66" t="s">
        <v>8438</v>
      </c>
    </row>
    <row r="1944" ht="15.75" customHeight="1">
      <c r="A1944" s="66" t="s">
        <v>8439</v>
      </c>
    </row>
    <row r="1945" ht="15.75" customHeight="1">
      <c r="A1945" s="66" t="s">
        <v>8440</v>
      </c>
    </row>
    <row r="1946" ht="15.75" customHeight="1">
      <c r="A1946" s="66" t="s">
        <v>8441</v>
      </c>
    </row>
    <row r="1947" ht="15.75" customHeight="1">
      <c r="A1947" s="66" t="s">
        <v>8443</v>
      </c>
    </row>
    <row r="1948" ht="15.75" customHeight="1">
      <c r="A1948" s="66" t="s">
        <v>8445</v>
      </c>
    </row>
    <row r="1949" ht="15.75" customHeight="1">
      <c r="A1949" s="66" t="s">
        <v>8447</v>
      </c>
    </row>
    <row r="1950" ht="15.75" customHeight="1">
      <c r="A1950" s="66" t="s">
        <v>8448</v>
      </c>
    </row>
    <row r="1951" ht="15.75" customHeight="1">
      <c r="A1951" s="66" t="s">
        <v>8450</v>
      </c>
    </row>
    <row r="1952" ht="15.75" customHeight="1">
      <c r="A1952" s="66" t="s">
        <v>8452</v>
      </c>
    </row>
    <row r="1953" ht="15.75" customHeight="1">
      <c r="A1953" s="66" t="s">
        <v>8454</v>
      </c>
    </row>
    <row r="1954" ht="15.75" customHeight="1">
      <c r="A1954" s="66" t="s">
        <v>8455</v>
      </c>
    </row>
    <row r="1955" ht="15.75" customHeight="1">
      <c r="A1955" s="66" t="s">
        <v>8456</v>
      </c>
    </row>
    <row r="1956" ht="15.75" customHeight="1">
      <c r="A1956" s="66" t="s">
        <v>8457</v>
      </c>
    </row>
    <row r="1957" ht="15.75" customHeight="1">
      <c r="A1957" s="66" t="s">
        <v>8458</v>
      </c>
    </row>
    <row r="1958" ht="15.75" customHeight="1">
      <c r="A1958" s="66" t="s">
        <v>8459</v>
      </c>
    </row>
    <row r="1959" ht="15.75" customHeight="1">
      <c r="A1959" s="66" t="s">
        <v>8460</v>
      </c>
    </row>
    <row r="1960" ht="15.75" customHeight="1">
      <c r="A1960" s="66" t="s">
        <v>8461</v>
      </c>
    </row>
    <row r="1961" ht="15.75" customHeight="1">
      <c r="A1961" s="66" t="s">
        <v>8462</v>
      </c>
    </row>
    <row r="1962" ht="15.75" customHeight="1">
      <c r="A1962" s="66" t="s">
        <v>8463</v>
      </c>
    </row>
    <row r="1963" ht="15.75" customHeight="1">
      <c r="A1963" s="66" t="s">
        <v>8464</v>
      </c>
    </row>
    <row r="1964" ht="15.75" customHeight="1">
      <c r="A1964" s="66" t="s">
        <v>8465</v>
      </c>
    </row>
    <row r="1965" ht="15.75" customHeight="1">
      <c r="A1965" s="66" t="s">
        <v>8466</v>
      </c>
    </row>
    <row r="1966" ht="15.75" customHeight="1">
      <c r="A1966" s="66" t="s">
        <v>8467</v>
      </c>
    </row>
    <row r="1967" ht="15.75" customHeight="1">
      <c r="A1967" s="66" t="s">
        <v>8468</v>
      </c>
    </row>
    <row r="1968" ht="15.75" customHeight="1">
      <c r="A1968" s="66" t="s">
        <v>8469</v>
      </c>
    </row>
    <row r="1969" ht="15.75" customHeight="1">
      <c r="A1969" s="66" t="s">
        <v>8470</v>
      </c>
    </row>
    <row r="1970" ht="15.75" customHeight="1">
      <c r="A1970" s="66" t="s">
        <v>8471</v>
      </c>
    </row>
    <row r="1971" ht="15.75" customHeight="1">
      <c r="A1971" s="66" t="s">
        <v>8472</v>
      </c>
    </row>
    <row r="1972" ht="15.75" customHeight="1">
      <c r="A1972" s="66" t="s">
        <v>8473</v>
      </c>
    </row>
    <row r="1973" ht="15.75" customHeight="1">
      <c r="A1973" s="66" t="s">
        <v>8474</v>
      </c>
    </row>
    <row r="1974" ht="15.75" customHeight="1">
      <c r="A1974" s="66" t="s">
        <v>8475</v>
      </c>
    </row>
    <row r="1975" ht="15.75" customHeight="1">
      <c r="A1975" s="66" t="s">
        <v>8476</v>
      </c>
    </row>
    <row r="1976" ht="15.75" customHeight="1">
      <c r="A1976" s="66" t="s">
        <v>8477</v>
      </c>
    </row>
    <row r="1977" ht="15.75" customHeight="1">
      <c r="A1977" s="66" t="s">
        <v>8478</v>
      </c>
    </row>
    <row r="1978" ht="15.75" customHeight="1">
      <c r="A1978" s="66" t="s">
        <v>8479</v>
      </c>
    </row>
    <row r="1979" ht="15.75" customHeight="1">
      <c r="A1979" s="66" t="s">
        <v>8480</v>
      </c>
    </row>
    <row r="1980" ht="15.75" customHeight="1">
      <c r="A1980" s="66" t="s">
        <v>8481</v>
      </c>
    </row>
    <row r="1981" ht="15.75" customHeight="1">
      <c r="A1981" s="66" t="s">
        <v>8483</v>
      </c>
    </row>
    <row r="1982" ht="15.75" customHeight="1">
      <c r="A1982" s="66" t="s">
        <v>8485</v>
      </c>
    </row>
    <row r="1983" ht="15.75" customHeight="1">
      <c r="A1983" s="66" t="s">
        <v>8486</v>
      </c>
    </row>
    <row r="1984" ht="15.75" customHeight="1">
      <c r="A1984" s="66" t="s">
        <v>8488</v>
      </c>
    </row>
    <row r="1985" ht="15.75" customHeight="1">
      <c r="A1985" s="66" t="s">
        <v>8489</v>
      </c>
    </row>
    <row r="1986" ht="15.75" customHeight="1">
      <c r="A1986" s="66" t="s">
        <v>8491</v>
      </c>
    </row>
    <row r="1987" ht="15.75" customHeight="1">
      <c r="A1987" s="66" t="s">
        <v>8493</v>
      </c>
    </row>
    <row r="1988" ht="15.75" customHeight="1">
      <c r="A1988" s="66" t="s">
        <v>8494</v>
      </c>
    </row>
    <row r="1989" ht="15.75" customHeight="1">
      <c r="A1989" s="66" t="s">
        <v>8496</v>
      </c>
    </row>
    <row r="1990" ht="15.75" customHeight="1">
      <c r="A1990" s="66" t="s">
        <v>8497</v>
      </c>
    </row>
    <row r="1991" ht="15.75" customHeight="1">
      <c r="A1991" s="66" t="s">
        <v>8498</v>
      </c>
    </row>
    <row r="1992" ht="15.75" customHeight="1">
      <c r="A1992" s="66" t="s">
        <v>8499</v>
      </c>
    </row>
    <row r="1993" ht="15.75" customHeight="1">
      <c r="A1993" s="66" t="s">
        <v>8500</v>
      </c>
    </row>
    <row r="1994" ht="15.75" customHeight="1">
      <c r="A1994" s="66" t="s">
        <v>8501</v>
      </c>
    </row>
    <row r="1995" ht="15.75" customHeight="1">
      <c r="A1995" s="66" t="s">
        <v>8502</v>
      </c>
    </row>
    <row r="1996" ht="15.75" customHeight="1">
      <c r="A1996" s="66" t="s">
        <v>8503</v>
      </c>
    </row>
    <row r="1997" ht="15.75" customHeight="1">
      <c r="A1997" s="66" t="s">
        <v>8504</v>
      </c>
    </row>
    <row r="1998" ht="15.75" customHeight="1">
      <c r="A1998" s="66" t="s">
        <v>8505</v>
      </c>
    </row>
    <row r="1999" ht="15.75" customHeight="1">
      <c r="A1999" s="66" t="s">
        <v>8506</v>
      </c>
    </row>
    <row r="2000" ht="15.75" customHeight="1">
      <c r="A2000" s="66" t="s">
        <v>8507</v>
      </c>
    </row>
    <row r="2001" ht="15.75" customHeight="1">
      <c r="A2001" s="66" t="s">
        <v>8508</v>
      </c>
    </row>
    <row r="2002" ht="15.75" customHeight="1">
      <c r="A2002" s="66" t="s">
        <v>8512</v>
      </c>
    </row>
    <row r="2003" ht="15.75" customHeight="1">
      <c r="A2003" s="66" t="s">
        <v>8514</v>
      </c>
    </row>
    <row r="2004" ht="15.75" customHeight="1">
      <c r="A2004" s="66" t="s">
        <v>8516</v>
      </c>
    </row>
    <row r="2005" ht="15.75" customHeight="1">
      <c r="A2005" s="66" t="s">
        <v>8518</v>
      </c>
    </row>
    <row r="2006" ht="15.75" customHeight="1">
      <c r="A2006" s="66" t="s">
        <v>8519</v>
      </c>
    </row>
    <row r="2007" ht="15.75" customHeight="1">
      <c r="A2007" s="66" t="s">
        <v>8520</v>
      </c>
    </row>
    <row r="2008" ht="15.75" customHeight="1">
      <c r="A2008" s="66" t="s">
        <v>8521</v>
      </c>
    </row>
    <row r="2009" ht="15.75" customHeight="1">
      <c r="A2009" s="66" t="s">
        <v>8522</v>
      </c>
    </row>
    <row r="2010" ht="15.75" customHeight="1">
      <c r="A2010" s="66" t="s">
        <v>8523</v>
      </c>
    </row>
    <row r="2011" ht="15.75" customHeight="1">
      <c r="A2011" s="66" t="s">
        <v>8524</v>
      </c>
    </row>
    <row r="2012" ht="15.75" customHeight="1">
      <c r="A2012" s="66" t="s">
        <v>8525</v>
      </c>
    </row>
    <row r="2013" ht="15.75" customHeight="1">
      <c r="A2013" s="66" t="s">
        <v>8526</v>
      </c>
    </row>
    <row r="2014" ht="15.75" customHeight="1">
      <c r="A2014" s="66" t="s">
        <v>8527</v>
      </c>
    </row>
    <row r="2015" ht="15.75" customHeight="1">
      <c r="A2015" s="66" t="s">
        <v>8528</v>
      </c>
    </row>
    <row r="2016" ht="15.75" customHeight="1">
      <c r="A2016" s="66" t="s">
        <v>8529</v>
      </c>
    </row>
    <row r="2017" ht="15.75" customHeight="1">
      <c r="A2017" s="66" t="s">
        <v>8530</v>
      </c>
    </row>
    <row r="2018" ht="15.75" customHeight="1">
      <c r="A2018" s="66" t="s">
        <v>8531</v>
      </c>
    </row>
    <row r="2019" ht="15.75" customHeight="1">
      <c r="A2019" s="66" t="s">
        <v>8532</v>
      </c>
    </row>
    <row r="2020" ht="15.75" customHeight="1">
      <c r="A2020" s="66" t="s">
        <v>8533</v>
      </c>
    </row>
    <row r="2021" ht="15.75" customHeight="1">
      <c r="A2021" s="66" t="s">
        <v>8534</v>
      </c>
    </row>
    <row r="2022" ht="15.75" customHeight="1">
      <c r="A2022" s="66" t="s">
        <v>8535</v>
      </c>
    </row>
    <row r="2023" ht="15.75" customHeight="1">
      <c r="A2023" s="66" t="s">
        <v>8536</v>
      </c>
    </row>
    <row r="2024" ht="15.75" customHeight="1">
      <c r="A2024" s="66" t="s">
        <v>8537</v>
      </c>
    </row>
    <row r="2025" ht="15.75" customHeight="1">
      <c r="A2025" s="66" t="s">
        <v>8538</v>
      </c>
    </row>
    <row r="2026" ht="15.75" customHeight="1">
      <c r="A2026" s="66" t="s">
        <v>8539</v>
      </c>
    </row>
    <row r="2027" ht="15.75" customHeight="1">
      <c r="A2027" s="66" t="s">
        <v>8540</v>
      </c>
    </row>
    <row r="2028" ht="15.75" customHeight="1">
      <c r="A2028" s="66" t="s">
        <v>8541</v>
      </c>
    </row>
    <row r="2029" ht="15.75" customHeight="1">
      <c r="A2029" s="66" t="s">
        <v>8542</v>
      </c>
    </row>
    <row r="2030" ht="15.75" customHeight="1">
      <c r="A2030" s="66" t="s">
        <v>8543</v>
      </c>
    </row>
    <row r="2031" ht="15.75" customHeight="1">
      <c r="A2031" s="66" t="s">
        <v>8545</v>
      </c>
    </row>
    <row r="2032" ht="15.75" customHeight="1">
      <c r="A2032" s="66" t="s">
        <v>8546</v>
      </c>
    </row>
    <row r="2033" ht="15.75" customHeight="1">
      <c r="A2033" s="66" t="s">
        <v>8547</v>
      </c>
    </row>
    <row r="2034" ht="15.75" customHeight="1">
      <c r="A2034" s="66" t="s">
        <v>8548</v>
      </c>
    </row>
    <row r="2035" ht="15.75" customHeight="1">
      <c r="A2035" s="66" t="s">
        <v>8551</v>
      </c>
    </row>
    <row r="2036" ht="15.75" customHeight="1">
      <c r="A2036" s="66" t="s">
        <v>8552</v>
      </c>
    </row>
    <row r="2037" ht="15.75" customHeight="1">
      <c r="A2037" s="66" t="s">
        <v>8554</v>
      </c>
    </row>
    <row r="2038" ht="15.75" customHeight="1">
      <c r="A2038" s="66" t="s">
        <v>8555</v>
      </c>
    </row>
    <row r="2039" ht="15.75" customHeight="1">
      <c r="A2039" s="66" t="s">
        <v>8556</v>
      </c>
    </row>
    <row r="2040" ht="15.75" customHeight="1">
      <c r="A2040" s="66" t="s">
        <v>8557</v>
      </c>
    </row>
    <row r="2041" ht="15.75" customHeight="1">
      <c r="A2041" s="66" t="s">
        <v>8558</v>
      </c>
    </row>
    <row r="2042" ht="15.75" customHeight="1">
      <c r="A2042" s="66" t="s">
        <v>8559</v>
      </c>
    </row>
    <row r="2043" ht="15.75" customHeight="1">
      <c r="A2043" s="66" t="s">
        <v>8560</v>
      </c>
    </row>
    <row r="2044" ht="15.75" customHeight="1">
      <c r="A2044" s="66" t="s">
        <v>8561</v>
      </c>
    </row>
    <row r="2045" ht="15.75" customHeight="1">
      <c r="A2045" s="66" t="s">
        <v>8562</v>
      </c>
    </row>
    <row r="2046" ht="15.75" customHeight="1">
      <c r="A2046" s="66" t="s">
        <v>8563</v>
      </c>
    </row>
    <row r="2047" ht="15.75" customHeight="1">
      <c r="A2047" s="66" t="s">
        <v>8564</v>
      </c>
    </row>
    <row r="2048" ht="15.75" customHeight="1">
      <c r="A2048" s="66" t="s">
        <v>8565</v>
      </c>
    </row>
    <row r="2049" ht="15.75" customHeight="1">
      <c r="A2049" s="66" t="s">
        <v>8566</v>
      </c>
    </row>
    <row r="2050" ht="15.75" customHeight="1">
      <c r="A2050" s="66" t="s">
        <v>8567</v>
      </c>
    </row>
    <row r="2051" ht="15.75" customHeight="1">
      <c r="A2051" s="66" t="s">
        <v>8568</v>
      </c>
    </row>
    <row r="2052" ht="15.75" customHeight="1">
      <c r="A2052" s="66" t="s">
        <v>8569</v>
      </c>
    </row>
    <row r="2053" ht="15.75" customHeight="1">
      <c r="A2053" s="66" t="s">
        <v>8570</v>
      </c>
    </row>
    <row r="2054" ht="15.75" customHeight="1">
      <c r="A2054" s="66" t="s">
        <v>8571</v>
      </c>
    </row>
    <row r="2055" ht="15.75" customHeight="1">
      <c r="A2055" s="66" t="s">
        <v>8572</v>
      </c>
    </row>
    <row r="2056" ht="15.75" customHeight="1">
      <c r="A2056" s="66" t="s">
        <v>8573</v>
      </c>
    </row>
    <row r="2057" ht="15.75" customHeight="1">
      <c r="A2057" s="66" t="s">
        <v>8574</v>
      </c>
    </row>
    <row r="2058" ht="15.75" customHeight="1">
      <c r="A2058" s="66" t="s">
        <v>8575</v>
      </c>
    </row>
    <row r="2059" ht="15.75" customHeight="1">
      <c r="A2059" s="66" t="s">
        <v>8576</v>
      </c>
    </row>
    <row r="2060" ht="15.75" customHeight="1">
      <c r="A2060" s="66" t="s">
        <v>8577</v>
      </c>
    </row>
    <row r="2061" ht="15.75" customHeight="1">
      <c r="A2061" s="66" t="s">
        <v>8578</v>
      </c>
    </row>
    <row r="2062" ht="15.75" customHeight="1">
      <c r="A2062" s="66" t="s">
        <v>8579</v>
      </c>
    </row>
    <row r="2063" ht="15.75" customHeight="1">
      <c r="A2063" s="66" t="s">
        <v>8580</v>
      </c>
    </row>
    <row r="2064" ht="15.75" customHeight="1">
      <c r="A2064" s="66" t="s">
        <v>8581</v>
      </c>
    </row>
    <row r="2065" ht="15.75" customHeight="1">
      <c r="A2065" s="66" t="s">
        <v>8583</v>
      </c>
    </row>
    <row r="2066" ht="15.75" customHeight="1">
      <c r="A2066" s="66" t="s">
        <v>8585</v>
      </c>
    </row>
    <row r="2067" ht="15.75" customHeight="1">
      <c r="A2067" s="66" t="s">
        <v>8588</v>
      </c>
    </row>
    <row r="2068" ht="15.75" customHeight="1">
      <c r="A2068" s="66" t="s">
        <v>8589</v>
      </c>
    </row>
    <row r="2069" ht="15.75" customHeight="1">
      <c r="A2069" s="66" t="s">
        <v>8591</v>
      </c>
    </row>
    <row r="2070" ht="15.75" customHeight="1">
      <c r="A2070" s="66" t="s">
        <v>8593</v>
      </c>
    </row>
    <row r="2071" ht="15.75" customHeight="1">
      <c r="A2071" s="66" t="s">
        <v>8595</v>
      </c>
    </row>
    <row r="2072" ht="15.75" customHeight="1">
      <c r="A2072" s="66" t="s">
        <v>8596</v>
      </c>
    </row>
    <row r="2073" ht="15.75" customHeight="1">
      <c r="A2073" s="66" t="s">
        <v>8597</v>
      </c>
    </row>
    <row r="2074" ht="15.75" customHeight="1">
      <c r="A2074" s="66" t="s">
        <v>8598</v>
      </c>
    </row>
    <row r="2075" ht="15.75" customHeight="1">
      <c r="A2075" s="66" t="s">
        <v>8599</v>
      </c>
    </row>
    <row r="2076" ht="15.75" customHeight="1">
      <c r="A2076" s="66" t="s">
        <v>8600</v>
      </c>
    </row>
    <row r="2077" ht="15.75" customHeight="1">
      <c r="A2077" s="66" t="s">
        <v>8601</v>
      </c>
    </row>
    <row r="2078" ht="15.75" customHeight="1">
      <c r="A2078" s="66" t="s">
        <v>8602</v>
      </c>
    </row>
    <row r="2079" ht="15.75" customHeight="1">
      <c r="A2079" s="66" t="s">
        <v>8603</v>
      </c>
    </row>
    <row r="2080" ht="15.75" customHeight="1">
      <c r="A2080" s="66" t="s">
        <v>8604</v>
      </c>
    </row>
    <row r="2081" ht="15.75" customHeight="1">
      <c r="A2081" s="66" t="s">
        <v>8605</v>
      </c>
    </row>
    <row r="2082" ht="15.75" customHeight="1">
      <c r="A2082" s="66" t="s">
        <v>8606</v>
      </c>
    </row>
    <row r="2083" ht="15.75" customHeight="1">
      <c r="A2083" s="66" t="s">
        <v>8607</v>
      </c>
    </row>
    <row r="2084" ht="15.75" customHeight="1">
      <c r="A2084" s="66" t="s">
        <v>8608</v>
      </c>
    </row>
    <row r="2085" ht="15.75" customHeight="1">
      <c r="A2085" s="66" t="s">
        <v>8609</v>
      </c>
    </row>
    <row r="2086" ht="15.75" customHeight="1">
      <c r="A2086" s="66" t="s">
        <v>8610</v>
      </c>
    </row>
    <row r="2087" ht="15.75" customHeight="1">
      <c r="A2087" s="66" t="s">
        <v>8611</v>
      </c>
    </row>
    <row r="2088" ht="15.75" customHeight="1">
      <c r="A2088" s="66" t="s">
        <v>8612</v>
      </c>
    </row>
    <row r="2089" ht="15.75" customHeight="1">
      <c r="A2089" s="66" t="s">
        <v>8613</v>
      </c>
    </row>
    <row r="2090" ht="15.75" customHeight="1">
      <c r="A2090" s="66" t="s">
        <v>8614</v>
      </c>
    </row>
    <row r="2091" ht="15.75" customHeight="1">
      <c r="A2091" s="66" t="s">
        <v>8615</v>
      </c>
    </row>
    <row r="2092" ht="15.75" customHeight="1">
      <c r="A2092" s="66" t="s">
        <v>8616</v>
      </c>
    </row>
    <row r="2093" ht="15.75" customHeight="1">
      <c r="A2093" s="66" t="s">
        <v>8617</v>
      </c>
    </row>
    <row r="2094" ht="15.75" customHeight="1">
      <c r="A2094" s="66" t="s">
        <v>8618</v>
      </c>
    </row>
    <row r="2095" ht="15.75" customHeight="1">
      <c r="A2095" s="66" t="s">
        <v>8619</v>
      </c>
    </row>
    <row r="2096" ht="15.75" customHeight="1">
      <c r="A2096" s="66" t="s">
        <v>8620</v>
      </c>
    </row>
    <row r="2097" ht="15.75" customHeight="1">
      <c r="A2097" s="66" t="s">
        <v>8621</v>
      </c>
    </row>
    <row r="2098" ht="15.75" customHeight="1">
      <c r="A2098" s="66" t="s">
        <v>8623</v>
      </c>
    </row>
    <row r="2099" ht="15.75" customHeight="1">
      <c r="A2099" s="66" t="s">
        <v>8625</v>
      </c>
    </row>
    <row r="2100" ht="15.75" customHeight="1">
      <c r="A2100" s="66" t="s">
        <v>8627</v>
      </c>
    </row>
    <row r="2101" ht="15.75" customHeight="1">
      <c r="A2101" s="66" t="s">
        <v>8628</v>
      </c>
    </row>
    <row r="2102" ht="15.75" customHeight="1">
      <c r="A2102" s="66" t="s">
        <v>8630</v>
      </c>
    </row>
    <row r="2103" ht="15.75" customHeight="1">
      <c r="A2103" s="66" t="s">
        <v>8632</v>
      </c>
    </row>
    <row r="2104" ht="15.75" customHeight="1">
      <c r="A2104" s="66" t="s">
        <v>8634</v>
      </c>
    </row>
    <row r="2105" ht="15.75" customHeight="1">
      <c r="A2105" s="66" t="s">
        <v>8635</v>
      </c>
    </row>
    <row r="2106" ht="15.75" customHeight="1">
      <c r="A2106" s="66" t="s">
        <v>8636</v>
      </c>
    </row>
    <row r="2107" ht="15.75" customHeight="1">
      <c r="A2107" s="66" t="s">
        <v>8637</v>
      </c>
    </row>
    <row r="2108" ht="15.75" customHeight="1">
      <c r="A2108" s="66" t="s">
        <v>8638</v>
      </c>
    </row>
    <row r="2109" ht="15.75" customHeight="1">
      <c r="A2109" s="66" t="s">
        <v>8639</v>
      </c>
    </row>
    <row r="2110" ht="15.75" customHeight="1">
      <c r="A2110" s="66" t="s">
        <v>8640</v>
      </c>
    </row>
    <row r="2111" ht="15.75" customHeight="1">
      <c r="A2111" s="66" t="s">
        <v>8641</v>
      </c>
    </row>
    <row r="2112" ht="15.75" customHeight="1">
      <c r="A2112" s="66" t="s">
        <v>8642</v>
      </c>
    </row>
    <row r="2113" ht="15.75" customHeight="1">
      <c r="A2113" s="66" t="s">
        <v>8643</v>
      </c>
    </row>
    <row r="2114" ht="15.75" customHeight="1">
      <c r="A2114" s="66" t="s">
        <v>8644</v>
      </c>
    </row>
    <row r="2115" ht="15.75" customHeight="1">
      <c r="A2115" s="66" t="s">
        <v>8645</v>
      </c>
    </row>
    <row r="2116" ht="15.75" customHeight="1">
      <c r="A2116" s="66" t="s">
        <v>8646</v>
      </c>
    </row>
    <row r="2117" ht="15.75" customHeight="1">
      <c r="A2117" s="66" t="s">
        <v>8647</v>
      </c>
    </row>
    <row r="2118" ht="15.75" customHeight="1">
      <c r="A2118" s="66" t="s">
        <v>8648</v>
      </c>
    </row>
    <row r="2119" ht="15.75" customHeight="1">
      <c r="A2119" s="66" t="s">
        <v>8649</v>
      </c>
    </row>
    <row r="2120" ht="15.75" customHeight="1">
      <c r="A2120" s="66" t="s">
        <v>8650</v>
      </c>
    </row>
    <row r="2121" ht="15.75" customHeight="1">
      <c r="A2121" s="66" t="s">
        <v>8651</v>
      </c>
    </row>
    <row r="2122" ht="15.75" customHeight="1">
      <c r="A2122" s="66" t="s">
        <v>8652</v>
      </c>
    </row>
    <row r="2123" ht="15.75" customHeight="1">
      <c r="A2123" s="66" t="s">
        <v>8653</v>
      </c>
    </row>
    <row r="2124" ht="15.75" customHeight="1">
      <c r="A2124" s="66" t="s">
        <v>8654</v>
      </c>
    </row>
    <row r="2125" ht="15.75" customHeight="1">
      <c r="A2125" s="66" t="s">
        <v>8655</v>
      </c>
    </row>
    <row r="2126" ht="15.75" customHeight="1">
      <c r="A2126" s="66" t="s">
        <v>8656</v>
      </c>
    </row>
    <row r="2127" ht="15.75" customHeight="1">
      <c r="A2127" s="66" t="s">
        <v>8657</v>
      </c>
    </row>
    <row r="2128" ht="15.75" customHeight="1">
      <c r="A2128" s="66" t="s">
        <v>8659</v>
      </c>
    </row>
    <row r="2129" ht="15.75" customHeight="1">
      <c r="A2129" s="66" t="s">
        <v>8661</v>
      </c>
    </row>
    <row r="2130" ht="15.75" customHeight="1">
      <c r="A2130" s="66" t="s">
        <v>8664</v>
      </c>
    </row>
    <row r="2131" ht="15.75" customHeight="1">
      <c r="A2131" s="66" t="s">
        <v>8665</v>
      </c>
    </row>
    <row r="2132" ht="15.75" customHeight="1">
      <c r="A2132" s="66" t="s">
        <v>8667</v>
      </c>
    </row>
    <row r="2133" ht="15.75" customHeight="1">
      <c r="A2133" s="66" t="s">
        <v>8669</v>
      </c>
    </row>
    <row r="2134" ht="15.75" customHeight="1">
      <c r="A2134" s="66" t="s">
        <v>8671</v>
      </c>
    </row>
    <row r="2135" ht="15.75" customHeight="1">
      <c r="A2135" s="66" t="s">
        <v>8672</v>
      </c>
    </row>
    <row r="2136" ht="15.75" customHeight="1">
      <c r="A2136" s="66" t="s">
        <v>8673</v>
      </c>
    </row>
    <row r="2137" ht="15.75" customHeight="1">
      <c r="A2137" s="66" t="s">
        <v>8674</v>
      </c>
    </row>
    <row r="2138" ht="15.75" customHeight="1">
      <c r="A2138" s="66" t="s">
        <v>8675</v>
      </c>
    </row>
    <row r="2139" ht="15.75" customHeight="1">
      <c r="A2139" s="66" t="s">
        <v>8676</v>
      </c>
    </row>
    <row r="2140" ht="15.75" customHeight="1">
      <c r="A2140" s="66" t="s">
        <v>8677</v>
      </c>
    </row>
    <row r="2141" ht="15.75" customHeight="1">
      <c r="A2141" s="66" t="s">
        <v>8678</v>
      </c>
    </row>
    <row r="2142" ht="15.75" customHeight="1">
      <c r="A2142" s="66" t="s">
        <v>8679</v>
      </c>
    </row>
    <row r="2143" ht="15.75" customHeight="1">
      <c r="A2143" s="66" t="s">
        <v>8680</v>
      </c>
    </row>
    <row r="2144" ht="15.75" customHeight="1">
      <c r="A2144" s="66" t="s">
        <v>8681</v>
      </c>
    </row>
    <row r="2145" ht="15.75" customHeight="1">
      <c r="A2145" s="66" t="s">
        <v>8682</v>
      </c>
    </row>
    <row r="2146" ht="15.75" customHeight="1">
      <c r="A2146" s="66" t="s">
        <v>8683</v>
      </c>
    </row>
    <row r="2147" ht="15.75" customHeight="1">
      <c r="A2147" s="66" t="s">
        <v>8684</v>
      </c>
    </row>
    <row r="2148" ht="15.75" customHeight="1">
      <c r="A2148" s="66" t="s">
        <v>8685</v>
      </c>
    </row>
    <row r="2149" ht="15.75" customHeight="1">
      <c r="A2149" s="66" t="s">
        <v>8686</v>
      </c>
    </row>
    <row r="2150" ht="15.75" customHeight="1">
      <c r="A2150" s="66" t="s">
        <v>8687</v>
      </c>
    </row>
    <row r="2151" ht="15.75" customHeight="1">
      <c r="A2151" s="66" t="s">
        <v>8688</v>
      </c>
    </row>
    <row r="2152" ht="15.75" customHeight="1">
      <c r="A2152" s="66" t="s">
        <v>8689</v>
      </c>
    </row>
    <row r="2153" ht="15.75" customHeight="1">
      <c r="A2153" s="66" t="s">
        <v>8690</v>
      </c>
    </row>
    <row r="2154" ht="15.75" customHeight="1">
      <c r="A2154" s="66" t="s">
        <v>8691</v>
      </c>
    </row>
    <row r="2155" ht="15.75" customHeight="1">
      <c r="A2155" s="66" t="s">
        <v>8692</v>
      </c>
    </row>
    <row r="2156" ht="15.75" customHeight="1">
      <c r="A2156" s="66" t="s">
        <v>8693</v>
      </c>
    </row>
    <row r="2157" ht="15.75" customHeight="1">
      <c r="A2157" s="66" t="s">
        <v>8700</v>
      </c>
    </row>
    <row r="2158" ht="15.75" customHeight="1">
      <c r="A2158" s="66" t="s">
        <v>8701</v>
      </c>
    </row>
    <row r="2159" ht="15.75" customHeight="1">
      <c r="A2159" s="66" t="s">
        <v>8702</v>
      </c>
    </row>
    <row r="2160" ht="15.75" customHeight="1">
      <c r="A2160" s="66" t="s">
        <v>8703</v>
      </c>
    </row>
    <row r="2161" ht="15.75" customHeight="1">
      <c r="A2161" s="66" t="s">
        <v>8704</v>
      </c>
    </row>
    <row r="2162" ht="15.75" customHeight="1">
      <c r="A2162" s="66" t="s">
        <v>8705</v>
      </c>
    </row>
    <row r="2163" ht="15.75" customHeight="1">
      <c r="A2163" s="66" t="s">
        <v>8706</v>
      </c>
    </row>
    <row r="2164" ht="15.75" customHeight="1">
      <c r="A2164" s="66" t="s">
        <v>8707</v>
      </c>
    </row>
    <row r="2165" ht="15.75" customHeight="1">
      <c r="A2165" s="66" t="s">
        <v>8708</v>
      </c>
    </row>
    <row r="2166" ht="15.75" customHeight="1">
      <c r="A2166" s="66" t="s">
        <v>8709</v>
      </c>
    </row>
    <row r="2167" ht="15.75" customHeight="1">
      <c r="A2167" s="66" t="s">
        <v>8710</v>
      </c>
    </row>
    <row r="2168" ht="15.75" customHeight="1">
      <c r="A2168" s="66" t="s">
        <v>8711</v>
      </c>
    </row>
    <row r="2169" ht="15.75" customHeight="1">
      <c r="A2169" s="66" t="s">
        <v>8712</v>
      </c>
    </row>
    <row r="2170" ht="15.75" customHeight="1">
      <c r="A2170" s="66" t="s">
        <v>8713</v>
      </c>
    </row>
    <row r="2171" ht="15.75" customHeight="1">
      <c r="A2171" s="66" t="s">
        <v>8714</v>
      </c>
    </row>
    <row r="2172" ht="15.75" customHeight="1">
      <c r="A2172" s="66" t="s">
        <v>8715</v>
      </c>
    </row>
    <row r="2173" ht="15.75" customHeight="1">
      <c r="A2173" s="66" t="s">
        <v>8716</v>
      </c>
    </row>
    <row r="2174" ht="15.75" customHeight="1">
      <c r="A2174" s="66" t="s">
        <v>8717</v>
      </c>
    </row>
    <row r="2175" ht="15.75" customHeight="1">
      <c r="A2175" s="66" t="s">
        <v>8718</v>
      </c>
    </row>
    <row r="2176" ht="15.75" customHeight="1">
      <c r="A2176" s="66" t="s">
        <v>8719</v>
      </c>
    </row>
    <row r="2177" ht="15.75" customHeight="1">
      <c r="A2177" s="66" t="s">
        <v>8720</v>
      </c>
    </row>
    <row r="2178" ht="15.75" customHeight="1">
      <c r="A2178" s="66" t="s">
        <v>8721</v>
      </c>
    </row>
    <row r="2179" ht="15.75" customHeight="1">
      <c r="A2179" s="66" t="s">
        <v>8722</v>
      </c>
    </row>
    <row r="2180" ht="15.75" customHeight="1">
      <c r="A2180" s="66" t="s">
        <v>8723</v>
      </c>
    </row>
    <row r="2181" ht="15.75" customHeight="1">
      <c r="A2181" s="66" t="s">
        <v>8724</v>
      </c>
    </row>
    <row r="2182" ht="15.75" customHeight="1">
      <c r="A2182" s="66" t="s">
        <v>8725</v>
      </c>
    </row>
    <row r="2183" ht="15.75" customHeight="1">
      <c r="A2183" s="66" t="s">
        <v>8726</v>
      </c>
    </row>
    <row r="2184" ht="15.75" customHeight="1">
      <c r="A2184" s="66" t="s">
        <v>8727</v>
      </c>
    </row>
    <row r="2185" ht="15.75" customHeight="1">
      <c r="A2185" s="66" t="s">
        <v>8728</v>
      </c>
    </row>
    <row r="2186" ht="15.75" customHeight="1">
      <c r="A2186" s="66" t="s">
        <v>8729</v>
      </c>
    </row>
    <row r="2187" ht="15.75" customHeight="1">
      <c r="A2187" s="66" t="s">
        <v>8730</v>
      </c>
    </row>
    <row r="2188" ht="15.75" customHeight="1">
      <c r="A2188" s="66" t="s">
        <v>8731</v>
      </c>
    </row>
    <row r="2189" ht="15.75" customHeight="1">
      <c r="A2189" s="66" t="s">
        <v>8732</v>
      </c>
    </row>
    <row r="2190" ht="15.75" customHeight="1">
      <c r="A2190" s="66" t="s">
        <v>8733</v>
      </c>
    </row>
    <row r="2191" ht="15.75" customHeight="1">
      <c r="A2191" s="66" t="s">
        <v>8734</v>
      </c>
    </row>
    <row r="2192" ht="15.75" customHeight="1">
      <c r="A2192" s="66" t="s">
        <v>8735</v>
      </c>
    </row>
    <row r="2193" ht="15.75" customHeight="1">
      <c r="A2193" s="66" t="s">
        <v>8736</v>
      </c>
    </row>
    <row r="2194" ht="15.75" customHeight="1">
      <c r="A2194" s="66" t="s">
        <v>8737</v>
      </c>
    </row>
    <row r="2195" ht="15.75" customHeight="1">
      <c r="A2195" s="66" t="s">
        <v>8738</v>
      </c>
    </row>
    <row r="2196" ht="15.75" customHeight="1">
      <c r="A2196" s="66" t="s">
        <v>8739</v>
      </c>
    </row>
    <row r="2197" ht="15.75" customHeight="1">
      <c r="A2197" s="66" t="s">
        <v>8741</v>
      </c>
    </row>
    <row r="2198" ht="15.75" customHeight="1">
      <c r="A2198" s="66" t="s">
        <v>8743</v>
      </c>
    </row>
    <row r="2199" ht="15.75" customHeight="1">
      <c r="A2199" s="66" t="s">
        <v>8745</v>
      </c>
    </row>
    <row r="2200" ht="15.75" customHeight="1">
      <c r="A2200" s="66" t="s">
        <v>8747</v>
      </c>
    </row>
    <row r="2201" ht="15.75" customHeight="1">
      <c r="A2201" s="66" t="s">
        <v>8748</v>
      </c>
    </row>
    <row r="2202" ht="15.75" customHeight="1">
      <c r="A2202" s="66" t="s">
        <v>8750</v>
      </c>
    </row>
    <row r="2203" ht="15.75" customHeight="1">
      <c r="A2203" s="66" t="s">
        <v>8752</v>
      </c>
    </row>
    <row r="2204" ht="15.75" customHeight="1">
      <c r="A2204" s="66" t="s">
        <v>8753</v>
      </c>
    </row>
    <row r="2205" ht="15.75" customHeight="1">
      <c r="A2205" s="66" t="s">
        <v>8755</v>
      </c>
    </row>
    <row r="2206" ht="15.75" customHeight="1">
      <c r="A2206" s="66" t="s">
        <v>8756</v>
      </c>
    </row>
    <row r="2207" ht="15.75" customHeight="1">
      <c r="A2207" s="66" t="s">
        <v>8757</v>
      </c>
    </row>
    <row r="2208" ht="15.75" customHeight="1">
      <c r="A2208" s="66" t="s">
        <v>8758</v>
      </c>
    </row>
    <row r="2209" ht="15.75" customHeight="1">
      <c r="A2209" s="66" t="s">
        <v>8759</v>
      </c>
    </row>
    <row r="2210" ht="15.75" customHeight="1">
      <c r="A2210" s="66" t="s">
        <v>8760</v>
      </c>
    </row>
    <row r="2211" ht="15.75" customHeight="1">
      <c r="A2211" s="66" t="s">
        <v>8761</v>
      </c>
    </row>
    <row r="2212" ht="15.75" customHeight="1">
      <c r="A2212" s="66" t="s">
        <v>8762</v>
      </c>
    </row>
    <row r="2213" ht="15.75" customHeight="1">
      <c r="A2213" s="66" t="s">
        <v>8763</v>
      </c>
    </row>
    <row r="2214" ht="15.75" customHeight="1">
      <c r="A2214" s="66" t="s">
        <v>8764</v>
      </c>
    </row>
    <row r="2215" ht="15.75" customHeight="1">
      <c r="A2215" s="66" t="s">
        <v>8765</v>
      </c>
    </row>
    <row r="2216" ht="15.75" customHeight="1">
      <c r="A2216" s="66" t="s">
        <v>8766</v>
      </c>
    </row>
    <row r="2217" ht="15.75" customHeight="1">
      <c r="A2217" s="66" t="s">
        <v>8767</v>
      </c>
    </row>
    <row r="2218" ht="15.75" customHeight="1">
      <c r="A2218" s="66" t="s">
        <v>8768</v>
      </c>
    </row>
    <row r="2219" ht="15.75" customHeight="1">
      <c r="A2219" s="66" t="s">
        <v>8769</v>
      </c>
    </row>
    <row r="2220" ht="15.75" customHeight="1">
      <c r="A2220" s="66" t="s">
        <v>8770</v>
      </c>
    </row>
    <row r="2221" ht="15.75" customHeight="1">
      <c r="A2221" s="66" t="s">
        <v>8771</v>
      </c>
    </row>
    <row r="2222" ht="15.75" customHeight="1">
      <c r="A2222" s="66" t="s">
        <v>8772</v>
      </c>
    </row>
    <row r="2223" ht="15.75" customHeight="1">
      <c r="A2223" s="66" t="s">
        <v>8773</v>
      </c>
    </row>
    <row r="2224" ht="15.75" customHeight="1">
      <c r="A2224" s="66" t="s">
        <v>8774</v>
      </c>
    </row>
    <row r="2225" ht="15.75" customHeight="1">
      <c r="A2225" s="66" t="s">
        <v>8775</v>
      </c>
    </row>
    <row r="2226" ht="15.75" customHeight="1">
      <c r="A2226" s="66" t="s">
        <v>8776</v>
      </c>
    </row>
    <row r="2227" ht="15.75" customHeight="1">
      <c r="A2227" s="66" t="s">
        <v>8777</v>
      </c>
    </row>
    <row r="2228" ht="15.75" customHeight="1">
      <c r="A2228" s="66" t="s">
        <v>8778</v>
      </c>
    </row>
    <row r="2229" ht="15.75" customHeight="1">
      <c r="A2229" s="66" t="s">
        <v>8779</v>
      </c>
    </row>
    <row r="2230" ht="15.75" customHeight="1">
      <c r="A2230" s="66" t="s">
        <v>8780</v>
      </c>
    </row>
    <row r="2231" ht="15.75" customHeight="1">
      <c r="A2231" s="66" t="s">
        <v>8781</v>
      </c>
    </row>
    <row r="2232" ht="15.75" customHeight="1">
      <c r="A2232" s="66" t="s">
        <v>8782</v>
      </c>
    </row>
    <row r="2233" ht="15.75" customHeight="1">
      <c r="A2233" s="66" t="s">
        <v>8783</v>
      </c>
    </row>
    <row r="2234" ht="15.75" customHeight="1">
      <c r="A2234" s="66" t="s">
        <v>8784</v>
      </c>
    </row>
    <row r="2235" ht="15.75" customHeight="1">
      <c r="A2235" s="66" t="s">
        <v>8785</v>
      </c>
    </row>
    <row r="2236" ht="15.75" customHeight="1">
      <c r="A2236" s="66" t="s">
        <v>8786</v>
      </c>
    </row>
    <row r="2237" ht="15.75" customHeight="1">
      <c r="A2237" s="66" t="s">
        <v>8787</v>
      </c>
    </row>
    <row r="2238" ht="15.75" customHeight="1">
      <c r="A2238" s="66" t="s">
        <v>8788</v>
      </c>
    </row>
    <row r="2239" ht="15.75" customHeight="1">
      <c r="A2239" s="66" t="s">
        <v>8790</v>
      </c>
    </row>
    <row r="2240" ht="15.75" customHeight="1">
      <c r="A2240" s="66" t="s">
        <v>8792</v>
      </c>
    </row>
    <row r="2241" ht="15.75" customHeight="1">
      <c r="A2241" s="66" t="s">
        <v>8794</v>
      </c>
    </row>
    <row r="2242" ht="15.75" customHeight="1">
      <c r="A2242" s="66" t="s">
        <v>8796</v>
      </c>
    </row>
    <row r="2243" ht="15.75" customHeight="1">
      <c r="A2243" s="66" t="s">
        <v>8797</v>
      </c>
    </row>
    <row r="2244" ht="15.75" customHeight="1">
      <c r="A2244" s="66" t="s">
        <v>8799</v>
      </c>
    </row>
    <row r="2245" ht="15.75" customHeight="1">
      <c r="A2245" s="66" t="s">
        <v>8801</v>
      </c>
    </row>
    <row r="2246" ht="15.75" customHeight="1">
      <c r="A2246" s="66" t="s">
        <v>8803</v>
      </c>
    </row>
    <row r="2247" ht="15.75" customHeight="1">
      <c r="A2247" s="66" t="s">
        <v>8804</v>
      </c>
    </row>
    <row r="2248" ht="15.75" customHeight="1">
      <c r="A2248" s="66" t="s">
        <v>8805</v>
      </c>
    </row>
    <row r="2249" ht="15.75" customHeight="1">
      <c r="A2249" s="66" t="s">
        <v>8806</v>
      </c>
    </row>
    <row r="2250" ht="15.75" customHeight="1">
      <c r="A2250" s="66" t="s">
        <v>8807</v>
      </c>
    </row>
    <row r="2251" ht="15.75" customHeight="1">
      <c r="A2251" s="66" t="s">
        <v>8808</v>
      </c>
    </row>
    <row r="2252" ht="15.75" customHeight="1">
      <c r="A2252" s="66" t="s">
        <v>8809</v>
      </c>
    </row>
    <row r="2253" ht="15.75" customHeight="1">
      <c r="A2253" s="66" t="s">
        <v>8810</v>
      </c>
    </row>
    <row r="2254" ht="15.75" customHeight="1">
      <c r="A2254" s="66" t="s">
        <v>8811</v>
      </c>
    </row>
    <row r="2255" ht="15.75" customHeight="1">
      <c r="A2255" s="66" t="s">
        <v>8812</v>
      </c>
    </row>
    <row r="2256" ht="15.75" customHeight="1">
      <c r="A2256" s="66" t="s">
        <v>8813</v>
      </c>
    </row>
    <row r="2257" ht="15.75" customHeight="1">
      <c r="A2257" s="66" t="s">
        <v>8814</v>
      </c>
    </row>
    <row r="2258" ht="15.75" customHeight="1">
      <c r="A2258" s="66" t="s">
        <v>8815</v>
      </c>
    </row>
    <row r="2259" ht="15.75" customHeight="1">
      <c r="A2259" s="66" t="s">
        <v>8816</v>
      </c>
    </row>
    <row r="2260" ht="15.75" customHeight="1">
      <c r="A2260" s="66" t="s">
        <v>8817</v>
      </c>
    </row>
    <row r="2261" ht="15.75" customHeight="1">
      <c r="A2261" s="66" t="s">
        <v>8818</v>
      </c>
    </row>
    <row r="2262" ht="15.75" customHeight="1">
      <c r="A2262" s="66" t="s">
        <v>8819</v>
      </c>
    </row>
    <row r="2263" ht="15.75" customHeight="1">
      <c r="A2263" s="66" t="s">
        <v>8820</v>
      </c>
    </row>
    <row r="2264" ht="15.75" customHeight="1">
      <c r="A2264" s="66" t="s">
        <v>8821</v>
      </c>
    </row>
    <row r="2265" ht="15.75" customHeight="1">
      <c r="A2265" s="66" t="s">
        <v>8822</v>
      </c>
    </row>
    <row r="2266" ht="15.75" customHeight="1">
      <c r="A2266" s="66" t="s">
        <v>8823</v>
      </c>
    </row>
    <row r="2267" ht="15.75" customHeight="1">
      <c r="A2267" s="66" t="s">
        <v>8824</v>
      </c>
    </row>
    <row r="2268" ht="15.75" customHeight="1">
      <c r="A2268" s="66" t="s">
        <v>8825</v>
      </c>
    </row>
    <row r="2269" ht="15.75" customHeight="1">
      <c r="A2269" s="66" t="s">
        <v>8826</v>
      </c>
    </row>
    <row r="2270" ht="15.75" customHeight="1">
      <c r="A2270" s="66" t="s">
        <v>8827</v>
      </c>
    </row>
    <row r="2271" ht="15.75" customHeight="1">
      <c r="A2271" s="66" t="s">
        <v>8828</v>
      </c>
    </row>
    <row r="2272" ht="15.75" customHeight="1">
      <c r="A2272" s="66" t="s">
        <v>8829</v>
      </c>
    </row>
    <row r="2273" ht="15.75" customHeight="1">
      <c r="A2273" s="66" t="s">
        <v>8830</v>
      </c>
    </row>
    <row r="2274" ht="15.75" customHeight="1">
      <c r="A2274" s="66" t="s">
        <v>8831</v>
      </c>
    </row>
    <row r="2275" ht="15.75" customHeight="1">
      <c r="A2275" s="66" t="s">
        <v>8832</v>
      </c>
    </row>
    <row r="2276" ht="15.75" customHeight="1">
      <c r="A2276" s="66" t="s">
        <v>8833</v>
      </c>
    </row>
    <row r="2277" ht="15.75" customHeight="1">
      <c r="A2277" s="66" t="s">
        <v>8834</v>
      </c>
    </row>
    <row r="2278" ht="15.75" customHeight="1">
      <c r="A2278" s="66" t="s">
        <v>8835</v>
      </c>
    </row>
    <row r="2279" ht="15.75" customHeight="1">
      <c r="A2279" s="66" t="s">
        <v>8836</v>
      </c>
    </row>
    <row r="2280" ht="15.75" customHeight="1">
      <c r="A2280" s="66" t="s">
        <v>8837</v>
      </c>
    </row>
    <row r="2281" ht="15.75" customHeight="1">
      <c r="A2281" s="66" t="s">
        <v>8838</v>
      </c>
    </row>
    <row r="2282" ht="15.75" customHeight="1">
      <c r="A2282" s="66" t="s">
        <v>8839</v>
      </c>
    </row>
    <row r="2283" ht="15.75" customHeight="1">
      <c r="A2283" s="66" t="s">
        <v>8840</v>
      </c>
    </row>
    <row r="2284" ht="15.75" customHeight="1">
      <c r="A2284" s="66" t="s">
        <v>8841</v>
      </c>
    </row>
    <row r="2285" ht="15.75" customHeight="1">
      <c r="A2285" s="66" t="s">
        <v>8842</v>
      </c>
    </row>
    <row r="2286" ht="15.75" customHeight="1">
      <c r="A2286" s="66" t="s">
        <v>8843</v>
      </c>
    </row>
    <row r="2287" ht="15.75" customHeight="1">
      <c r="A2287" s="66" t="s">
        <v>8844</v>
      </c>
    </row>
    <row r="2288" ht="15.75" customHeight="1">
      <c r="A2288" s="66" t="s">
        <v>8845</v>
      </c>
    </row>
    <row r="2289" ht="15.75" customHeight="1">
      <c r="A2289" s="66" t="s">
        <v>8846</v>
      </c>
    </row>
    <row r="2290" ht="15.75" customHeight="1">
      <c r="A2290" s="66" t="s">
        <v>8847</v>
      </c>
    </row>
    <row r="2291" ht="15.75" customHeight="1">
      <c r="A2291" s="66" t="s">
        <v>8848</v>
      </c>
    </row>
    <row r="2292" ht="15.75" customHeight="1">
      <c r="A2292" s="66" t="s">
        <v>8849</v>
      </c>
    </row>
    <row r="2293" ht="15.75" customHeight="1">
      <c r="A2293" s="66" t="s">
        <v>8850</v>
      </c>
    </row>
    <row r="2294" ht="15.75" customHeight="1">
      <c r="A2294" s="66" t="s">
        <v>8851</v>
      </c>
    </row>
    <row r="2295" ht="15.75" customHeight="1">
      <c r="A2295" s="66" t="s">
        <v>8852</v>
      </c>
    </row>
    <row r="2296" ht="15.75" customHeight="1">
      <c r="A2296" s="66" t="s">
        <v>8853</v>
      </c>
    </row>
    <row r="2297" ht="15.75" customHeight="1">
      <c r="A2297" s="66" t="s">
        <v>8854</v>
      </c>
    </row>
    <row r="2298" ht="15.75" customHeight="1">
      <c r="A2298" s="66" t="s">
        <v>8855</v>
      </c>
    </row>
    <row r="2299" ht="15.75" customHeight="1">
      <c r="A2299" s="66" t="s">
        <v>8856</v>
      </c>
    </row>
    <row r="2300" ht="15.75" customHeight="1">
      <c r="A2300" s="66" t="s">
        <v>8857</v>
      </c>
    </row>
    <row r="2301" ht="15.75" customHeight="1">
      <c r="A2301" s="66" t="s">
        <v>8858</v>
      </c>
    </row>
    <row r="2302" ht="15.75" customHeight="1">
      <c r="A2302" s="66" t="s">
        <v>8859</v>
      </c>
    </row>
    <row r="2303" ht="15.75" customHeight="1">
      <c r="A2303" s="66" t="s">
        <v>8860</v>
      </c>
    </row>
    <row r="2304" ht="15.75" customHeight="1">
      <c r="A2304" s="66" t="s">
        <v>8861</v>
      </c>
    </row>
    <row r="2305" ht="15.75" customHeight="1">
      <c r="A2305" s="66" t="s">
        <v>8862</v>
      </c>
    </row>
    <row r="2306" ht="15.75" customHeight="1">
      <c r="A2306" s="66" t="s">
        <v>8863</v>
      </c>
    </row>
    <row r="2307" ht="15.75" customHeight="1">
      <c r="A2307" s="66" t="s">
        <v>8864</v>
      </c>
    </row>
    <row r="2308" ht="15.75" customHeight="1">
      <c r="A2308" s="66" t="s">
        <v>8865</v>
      </c>
    </row>
    <row r="2309" ht="15.75" customHeight="1">
      <c r="A2309" s="66" t="s">
        <v>8866</v>
      </c>
    </row>
    <row r="2310" ht="15.75" customHeight="1">
      <c r="A2310" s="66" t="s">
        <v>8867</v>
      </c>
    </row>
    <row r="2311" ht="15.75" customHeight="1">
      <c r="A2311" s="66" t="s">
        <v>8868</v>
      </c>
    </row>
    <row r="2312" ht="15.75" customHeight="1">
      <c r="A2312" s="66" t="s">
        <v>8869</v>
      </c>
    </row>
    <row r="2313" ht="15.75" customHeight="1">
      <c r="A2313" s="66" t="s">
        <v>8870</v>
      </c>
    </row>
    <row r="2314" ht="15.75" customHeight="1">
      <c r="A2314" s="66" t="s">
        <v>8871</v>
      </c>
    </row>
    <row r="2315" ht="15.75" customHeight="1">
      <c r="A2315" s="66" t="s">
        <v>8872</v>
      </c>
    </row>
    <row r="2316" ht="15.75" customHeight="1">
      <c r="A2316" s="66" t="s">
        <v>8873</v>
      </c>
    </row>
    <row r="2317" ht="15.75" customHeight="1">
      <c r="A2317" s="66" t="s">
        <v>8874</v>
      </c>
    </row>
    <row r="2318" ht="15.75" customHeight="1">
      <c r="A2318" s="66" t="s">
        <v>8875</v>
      </c>
    </row>
    <row r="2319" ht="15.75" customHeight="1">
      <c r="A2319" s="66" t="s">
        <v>8876</v>
      </c>
    </row>
    <row r="2320" ht="15.75" customHeight="1">
      <c r="A2320" s="66" t="s">
        <v>8877</v>
      </c>
    </row>
    <row r="2321" ht="15.75" customHeight="1">
      <c r="A2321" s="66" t="s">
        <v>8878</v>
      </c>
    </row>
    <row r="2322" ht="15.75" customHeight="1">
      <c r="A2322" s="66" t="s">
        <v>8879</v>
      </c>
    </row>
    <row r="2323" ht="15.75" customHeight="1">
      <c r="A2323" s="66" t="s">
        <v>8880</v>
      </c>
    </row>
    <row r="2324" ht="15.75" customHeight="1">
      <c r="A2324" s="66" t="s">
        <v>8881</v>
      </c>
    </row>
    <row r="2325" ht="15.75" customHeight="1">
      <c r="A2325" s="66" t="s">
        <v>8882</v>
      </c>
    </row>
    <row r="2326" ht="15.75" customHeight="1">
      <c r="A2326" s="66" t="s">
        <v>8883</v>
      </c>
    </row>
    <row r="2327" ht="15.75" customHeight="1">
      <c r="A2327" s="66" t="s">
        <v>8884</v>
      </c>
    </row>
    <row r="2328" ht="15.75" customHeight="1">
      <c r="A2328" s="66" t="s">
        <v>8885</v>
      </c>
    </row>
    <row r="2329" ht="15.75" customHeight="1">
      <c r="A2329" s="66" t="s">
        <v>8886</v>
      </c>
    </row>
    <row r="2330" ht="15.75" customHeight="1">
      <c r="A2330" s="66" t="s">
        <v>8887</v>
      </c>
    </row>
    <row r="2331" ht="15.75" customHeight="1">
      <c r="A2331" s="66" t="s">
        <v>8888</v>
      </c>
    </row>
    <row r="2332" ht="15.75" customHeight="1">
      <c r="A2332" s="66" t="s">
        <v>8889</v>
      </c>
    </row>
    <row r="2333" ht="15.75" customHeight="1">
      <c r="A2333" s="66" t="s">
        <v>8890</v>
      </c>
    </row>
    <row r="2334" ht="15.75" customHeight="1">
      <c r="A2334" s="66" t="s">
        <v>8891</v>
      </c>
    </row>
    <row r="2335" ht="15.75" customHeight="1">
      <c r="A2335" s="66" t="s">
        <v>8892</v>
      </c>
    </row>
    <row r="2336" ht="15.75" customHeight="1">
      <c r="A2336" s="66" t="s">
        <v>8893</v>
      </c>
    </row>
    <row r="2337" ht="15.75" customHeight="1">
      <c r="A2337" s="66" t="s">
        <v>8894</v>
      </c>
    </row>
    <row r="2338" ht="15.75" customHeight="1">
      <c r="A2338" s="66" t="s">
        <v>8895</v>
      </c>
    </row>
    <row r="2339" ht="15.75" customHeight="1">
      <c r="A2339" s="66" t="s">
        <v>8896</v>
      </c>
    </row>
    <row r="2340" ht="15.75" customHeight="1">
      <c r="A2340" s="66" t="s">
        <v>8897</v>
      </c>
    </row>
    <row r="2341" ht="15.75" customHeight="1">
      <c r="A2341" s="66" t="s">
        <v>4987</v>
      </c>
    </row>
    <row r="2342" ht="15.75" customHeight="1">
      <c r="A2342" s="66" t="s">
        <v>8898</v>
      </c>
    </row>
    <row r="2343" ht="15.75" customHeight="1">
      <c r="A2343" s="66" t="s">
        <v>8899</v>
      </c>
    </row>
    <row r="2344" ht="15.75" customHeight="1">
      <c r="A2344" s="66" t="s">
        <v>8900</v>
      </c>
    </row>
    <row r="2345" ht="15.75" customHeight="1">
      <c r="A2345" s="66" t="s">
        <v>8901</v>
      </c>
    </row>
    <row r="2346" ht="15.75" customHeight="1">
      <c r="A2346" s="66" t="s">
        <v>8902</v>
      </c>
    </row>
    <row r="2347" ht="15.75" customHeight="1">
      <c r="A2347" s="66" t="s">
        <v>8903</v>
      </c>
    </row>
    <row r="2348" ht="15.75" customHeight="1">
      <c r="A2348" s="66" t="s">
        <v>8904</v>
      </c>
    </row>
    <row r="2349" ht="15.75" customHeight="1">
      <c r="A2349" s="66" t="s">
        <v>8905</v>
      </c>
    </row>
    <row r="2350" ht="15.75" customHeight="1">
      <c r="A2350" s="66" t="s">
        <v>8906</v>
      </c>
    </row>
    <row r="2351" ht="15.75" customHeight="1">
      <c r="A2351" s="66" t="s">
        <v>8907</v>
      </c>
    </row>
    <row r="2352" ht="15.75" customHeight="1">
      <c r="A2352" s="66" t="s">
        <v>8908</v>
      </c>
    </row>
    <row r="2353" ht="15.75" customHeight="1">
      <c r="A2353" s="66" t="s">
        <v>8909</v>
      </c>
    </row>
    <row r="2354" ht="15.75" customHeight="1">
      <c r="A2354" s="66" t="s">
        <v>8910</v>
      </c>
    </row>
    <row r="2355" ht="15.75" customHeight="1">
      <c r="A2355" s="66" t="s">
        <v>8911</v>
      </c>
    </row>
    <row r="2356" ht="15.75" customHeight="1">
      <c r="A2356" s="66" t="s">
        <v>8912</v>
      </c>
    </row>
    <row r="2357" ht="15.75" customHeight="1">
      <c r="A2357" s="66" t="s">
        <v>8913</v>
      </c>
    </row>
    <row r="2358" ht="15.75" customHeight="1">
      <c r="A2358" s="66" t="s">
        <v>8914</v>
      </c>
    </row>
    <row r="2359" ht="15.75" customHeight="1">
      <c r="A2359" s="66" t="s">
        <v>8915</v>
      </c>
    </row>
    <row r="2360" ht="15.75" customHeight="1">
      <c r="A2360" s="66" t="s">
        <v>8916</v>
      </c>
    </row>
    <row r="2361" ht="15.75" customHeight="1">
      <c r="A2361" s="66" t="s">
        <v>8917</v>
      </c>
    </row>
    <row r="2362" ht="15.75" customHeight="1">
      <c r="A2362" s="66" t="s">
        <v>8918</v>
      </c>
    </row>
    <row r="2363" ht="15.75" customHeight="1">
      <c r="A2363" s="66" t="s">
        <v>8919</v>
      </c>
    </row>
    <row r="2364" ht="15.75" customHeight="1">
      <c r="A2364" s="66" t="s">
        <v>8920</v>
      </c>
    </row>
    <row r="2365" ht="15.75" customHeight="1">
      <c r="A2365" s="66" t="s">
        <v>8921</v>
      </c>
    </row>
    <row r="2366" ht="15.75" customHeight="1">
      <c r="A2366" s="66" t="s">
        <v>8922</v>
      </c>
    </row>
    <row r="2367" ht="15.75" customHeight="1">
      <c r="A2367" s="66" t="s">
        <v>8923</v>
      </c>
    </row>
    <row r="2368" ht="15.75" customHeight="1">
      <c r="A2368" s="66" t="s">
        <v>8924</v>
      </c>
    </row>
    <row r="2369" ht="15.75" customHeight="1">
      <c r="A2369" s="66" t="s">
        <v>8925</v>
      </c>
    </row>
    <row r="2370" ht="15.75" customHeight="1">
      <c r="A2370" s="66" t="s">
        <v>8926</v>
      </c>
    </row>
    <row r="2371" ht="15.75" customHeight="1">
      <c r="A2371" s="66" t="s">
        <v>8927</v>
      </c>
    </row>
    <row r="2372" ht="15.75" customHeight="1">
      <c r="A2372" s="66" t="s">
        <v>8928</v>
      </c>
    </row>
    <row r="2373" ht="15.75" customHeight="1">
      <c r="A2373" s="66" t="s">
        <v>8929</v>
      </c>
    </row>
    <row r="2374" ht="15.75" customHeight="1">
      <c r="A2374" s="66" t="s">
        <v>8930</v>
      </c>
    </row>
    <row r="2375" ht="15.75" customHeight="1">
      <c r="A2375" s="66" t="s">
        <v>8931</v>
      </c>
    </row>
    <row r="2376" ht="15.75" customHeight="1">
      <c r="A2376" s="66" t="s">
        <v>8932</v>
      </c>
    </row>
    <row r="2377" ht="15.75" customHeight="1">
      <c r="A2377" s="66" t="s">
        <v>8933</v>
      </c>
    </row>
    <row r="2378" ht="15.75" customHeight="1">
      <c r="A2378" s="66" t="s">
        <v>8934</v>
      </c>
    </row>
    <row r="2379" ht="15.75" customHeight="1">
      <c r="A2379" s="66" t="s">
        <v>8935</v>
      </c>
    </row>
    <row r="2380" ht="15.75" customHeight="1">
      <c r="A2380" s="66" t="s">
        <v>8936</v>
      </c>
    </row>
    <row r="2381" ht="15.75" customHeight="1">
      <c r="A2381" s="66" t="s">
        <v>8937</v>
      </c>
    </row>
    <row r="2382" ht="15.75" customHeight="1">
      <c r="A2382" s="66" t="s">
        <v>8938</v>
      </c>
    </row>
    <row r="2383" ht="15.75" customHeight="1">
      <c r="A2383" s="66" t="s">
        <v>8939</v>
      </c>
    </row>
    <row r="2384" ht="15.75" customHeight="1">
      <c r="A2384" s="66" t="s">
        <v>8940</v>
      </c>
    </row>
    <row r="2385" ht="15.75" customHeight="1">
      <c r="A2385" s="66" t="s">
        <v>8941</v>
      </c>
    </row>
    <row r="2386" ht="15.75" customHeight="1">
      <c r="A2386" s="66" t="s">
        <v>8942</v>
      </c>
    </row>
    <row r="2387" ht="15.75" customHeight="1">
      <c r="A2387" s="66" t="s">
        <v>8943</v>
      </c>
    </row>
    <row r="2388" ht="15.75" customHeight="1">
      <c r="A2388" s="66" t="s">
        <v>8944</v>
      </c>
    </row>
    <row r="2389" ht="15.75" customHeight="1">
      <c r="A2389" s="66" t="s">
        <v>8945</v>
      </c>
    </row>
    <row r="2390" ht="15.75" customHeight="1">
      <c r="A2390" s="66" t="s">
        <v>8946</v>
      </c>
    </row>
    <row r="2391" ht="15.75" customHeight="1">
      <c r="A2391" s="66" t="s">
        <v>8947</v>
      </c>
    </row>
    <row r="2392" ht="15.75" customHeight="1">
      <c r="A2392" s="66" t="s">
        <v>8948</v>
      </c>
    </row>
    <row r="2393" ht="15.75" customHeight="1">
      <c r="A2393" s="66" t="s">
        <v>8949</v>
      </c>
    </row>
    <row r="2394" ht="15.75" customHeight="1">
      <c r="A2394" s="66" t="s">
        <v>8950</v>
      </c>
    </row>
    <row r="2395" ht="15.75" customHeight="1">
      <c r="A2395" s="66" t="s">
        <v>8951</v>
      </c>
    </row>
    <row r="2396" ht="15.75" customHeight="1">
      <c r="A2396" s="66" t="s">
        <v>8952</v>
      </c>
    </row>
    <row r="2397" ht="15.75" customHeight="1">
      <c r="A2397" s="66" t="s">
        <v>8953</v>
      </c>
    </row>
    <row r="2398" ht="15.75" customHeight="1">
      <c r="A2398" s="66" t="s">
        <v>8954</v>
      </c>
    </row>
    <row r="2399" ht="15.75" customHeight="1">
      <c r="A2399" s="66" t="s">
        <v>8955</v>
      </c>
    </row>
    <row r="2400" ht="15.75" customHeight="1">
      <c r="A2400" s="66" t="s">
        <v>8956</v>
      </c>
    </row>
    <row r="2401" ht="15.75" customHeight="1">
      <c r="A2401" s="66" t="s">
        <v>8957</v>
      </c>
    </row>
    <row r="2402" ht="15.75" customHeight="1">
      <c r="A2402" s="66" t="s">
        <v>8958</v>
      </c>
    </row>
    <row r="2403" ht="15.75" customHeight="1">
      <c r="A2403" s="66" t="s">
        <v>8959</v>
      </c>
    </row>
    <row r="2404" ht="15.75" customHeight="1">
      <c r="A2404" s="66" t="s">
        <v>8960</v>
      </c>
    </row>
    <row r="2405" ht="15.75" customHeight="1">
      <c r="A2405" s="66" t="s">
        <v>8961</v>
      </c>
    </row>
    <row r="2406" ht="15.75" customHeight="1">
      <c r="A2406" s="66" t="s">
        <v>8962</v>
      </c>
    </row>
    <row r="2407" ht="15.75" customHeight="1">
      <c r="A2407" s="66" t="s">
        <v>8963</v>
      </c>
    </row>
    <row r="2408" ht="15.75" customHeight="1">
      <c r="A2408" s="66" t="s">
        <v>8964</v>
      </c>
    </row>
    <row r="2409" ht="15.75" customHeight="1">
      <c r="A2409" s="66" t="s">
        <v>8965</v>
      </c>
    </row>
    <row r="2410" ht="15.75" customHeight="1">
      <c r="A2410" s="66" t="s">
        <v>8966</v>
      </c>
    </row>
    <row r="2411" ht="15.75" customHeight="1">
      <c r="A2411" s="66" t="s">
        <v>8967</v>
      </c>
    </row>
    <row r="2412" ht="15.75" customHeight="1">
      <c r="A2412" s="66" t="s">
        <v>8968</v>
      </c>
    </row>
    <row r="2413" ht="15.75" customHeight="1">
      <c r="A2413" s="66" t="s">
        <v>8969</v>
      </c>
    </row>
    <row r="2414" ht="15.75" customHeight="1">
      <c r="A2414" s="66" t="s">
        <v>8970</v>
      </c>
    </row>
    <row r="2415" ht="15.75" customHeight="1">
      <c r="A2415" s="66" t="s">
        <v>8971</v>
      </c>
    </row>
    <row r="2416" ht="15.75" customHeight="1">
      <c r="A2416" s="66" t="s">
        <v>8972</v>
      </c>
    </row>
    <row r="2417" ht="15.75" customHeight="1">
      <c r="A2417" s="66" t="s">
        <v>8973</v>
      </c>
    </row>
    <row r="2418" ht="15.75" customHeight="1">
      <c r="A2418" s="66" t="s">
        <v>8974</v>
      </c>
    </row>
    <row r="2419" ht="15.75" customHeight="1">
      <c r="A2419" s="66" t="s">
        <v>8975</v>
      </c>
    </row>
    <row r="2420" ht="15.75" customHeight="1">
      <c r="A2420" s="66" t="s">
        <v>8976</v>
      </c>
    </row>
    <row r="2421" ht="15.75" customHeight="1">
      <c r="A2421" s="66" t="s">
        <v>8977</v>
      </c>
    </row>
    <row r="2422" ht="15.75" customHeight="1">
      <c r="A2422" s="66" t="s">
        <v>8978</v>
      </c>
    </row>
    <row r="2423" ht="15.75" customHeight="1">
      <c r="A2423" s="66" t="s">
        <v>8979</v>
      </c>
    </row>
    <row r="2424" ht="15.75" customHeight="1">
      <c r="A2424" s="66" t="s">
        <v>8980</v>
      </c>
    </row>
    <row r="2425" ht="15.75" customHeight="1">
      <c r="A2425" s="66" t="s">
        <v>8981</v>
      </c>
    </row>
    <row r="2426" ht="15.75" customHeight="1">
      <c r="A2426" s="66" t="s">
        <v>8982</v>
      </c>
    </row>
    <row r="2427" ht="15.75" customHeight="1">
      <c r="A2427" s="66" t="s">
        <v>8983</v>
      </c>
    </row>
    <row r="2428" ht="15.75" customHeight="1">
      <c r="A2428" s="66" t="s">
        <v>8984</v>
      </c>
    </row>
    <row r="2429" ht="15.75" customHeight="1">
      <c r="A2429" s="66" t="s">
        <v>8985</v>
      </c>
    </row>
    <row r="2430" ht="15.75" customHeight="1">
      <c r="A2430" s="66" t="s">
        <v>8986</v>
      </c>
    </row>
    <row r="2431" ht="15.75" customHeight="1">
      <c r="A2431" s="66" t="s">
        <v>8987</v>
      </c>
    </row>
    <row r="2432" ht="15.75" customHeight="1">
      <c r="A2432" s="66" t="s">
        <v>8988</v>
      </c>
    </row>
    <row r="2433" ht="15.75" customHeight="1">
      <c r="A2433" s="66" t="s">
        <v>8989</v>
      </c>
    </row>
    <row r="2434" ht="15.75" customHeight="1">
      <c r="A2434" s="66" t="s">
        <v>8990</v>
      </c>
    </row>
    <row r="2435" ht="15.75" customHeight="1">
      <c r="A2435" s="66" t="s">
        <v>8991</v>
      </c>
    </row>
    <row r="2436" ht="15.75" customHeight="1">
      <c r="A2436" s="66" t="s">
        <v>8992</v>
      </c>
    </row>
    <row r="2437" ht="15.75" customHeight="1">
      <c r="A2437" s="66" t="s">
        <v>8993</v>
      </c>
    </row>
    <row r="2438" ht="15.75" customHeight="1">
      <c r="A2438" s="66" t="s">
        <v>8994</v>
      </c>
    </row>
    <row r="2439" ht="15.75" customHeight="1">
      <c r="A2439" s="66" t="s">
        <v>8995</v>
      </c>
    </row>
    <row r="2440" ht="15.75" customHeight="1">
      <c r="A2440" s="66" t="s">
        <v>8996</v>
      </c>
    </row>
    <row r="2441" ht="15.75" customHeight="1">
      <c r="A2441" s="66" t="s">
        <v>8997</v>
      </c>
    </row>
    <row r="2442" ht="15.75" customHeight="1">
      <c r="A2442" s="66" t="s">
        <v>8998</v>
      </c>
    </row>
    <row r="2443" ht="15.75" customHeight="1">
      <c r="A2443" s="66" t="s">
        <v>8999</v>
      </c>
    </row>
    <row r="2444" ht="15.75" customHeight="1">
      <c r="A2444" s="66" t="s">
        <v>9000</v>
      </c>
    </row>
    <row r="2445" ht="15.75" customHeight="1">
      <c r="A2445" s="66" t="s">
        <v>9001</v>
      </c>
    </row>
    <row r="2446" ht="15.75" customHeight="1">
      <c r="A2446" s="66" t="s">
        <v>9002</v>
      </c>
    </row>
    <row r="2447" ht="15.75" customHeight="1">
      <c r="A2447" s="66" t="s">
        <v>9003</v>
      </c>
    </row>
    <row r="2448" ht="15.75" customHeight="1">
      <c r="A2448" s="66" t="s">
        <v>9004</v>
      </c>
    </row>
    <row r="2449" ht="15.75" customHeight="1">
      <c r="A2449" s="66" t="s">
        <v>9005</v>
      </c>
    </row>
    <row r="2450" ht="15.75" customHeight="1">
      <c r="A2450" s="66" t="s">
        <v>9006</v>
      </c>
    </row>
    <row r="2451" ht="15.75" customHeight="1">
      <c r="A2451" s="66" t="s">
        <v>9007</v>
      </c>
    </row>
    <row r="2452" ht="15.75" customHeight="1">
      <c r="A2452" s="66" t="s">
        <v>9008</v>
      </c>
    </row>
    <row r="2453" ht="15.75" customHeight="1">
      <c r="A2453" s="66" t="s">
        <v>9009</v>
      </c>
    </row>
    <row r="2454" ht="15.75" customHeight="1">
      <c r="A2454" s="66" t="s">
        <v>9010</v>
      </c>
    </row>
    <row r="2455" ht="15.75" customHeight="1">
      <c r="A2455" s="66" t="s">
        <v>9011</v>
      </c>
    </row>
    <row r="2456" ht="15.75" customHeight="1">
      <c r="A2456" s="66" t="s">
        <v>9012</v>
      </c>
    </row>
    <row r="2457" ht="15.75" customHeight="1">
      <c r="A2457" s="66" t="s">
        <v>9013</v>
      </c>
    </row>
    <row r="2458" ht="15.75" customHeight="1">
      <c r="A2458" s="66" t="s">
        <v>9014</v>
      </c>
    </row>
    <row r="2459" ht="15.75" customHeight="1">
      <c r="A2459" s="66" t="s">
        <v>9015</v>
      </c>
    </row>
    <row r="2460" ht="15.75" customHeight="1">
      <c r="A2460" s="66" t="s">
        <v>9016</v>
      </c>
    </row>
    <row r="2461" ht="15.75" customHeight="1">
      <c r="A2461" s="66" t="s">
        <v>9017</v>
      </c>
    </row>
    <row r="2462" ht="15.75" customHeight="1">
      <c r="A2462" s="66" t="s">
        <v>9018</v>
      </c>
    </row>
    <row r="2463" ht="15.75" customHeight="1">
      <c r="A2463" s="66" t="s">
        <v>9019</v>
      </c>
    </row>
    <row r="2464" ht="15.75" customHeight="1">
      <c r="A2464" s="66" t="s">
        <v>9020</v>
      </c>
    </row>
    <row r="2465" ht="15.75" customHeight="1">
      <c r="A2465" s="66" t="s">
        <v>9021</v>
      </c>
    </row>
    <row r="2466" ht="15.75" customHeight="1">
      <c r="A2466" s="66" t="s">
        <v>9022</v>
      </c>
    </row>
    <row r="2467" ht="15.75" customHeight="1">
      <c r="A2467" s="66" t="s">
        <v>9023</v>
      </c>
    </row>
    <row r="2468" ht="15.75" customHeight="1">
      <c r="A2468" s="66" t="s">
        <v>9024</v>
      </c>
    </row>
    <row r="2469" ht="15.75" customHeight="1">
      <c r="A2469" s="66" t="s">
        <v>9025</v>
      </c>
    </row>
    <row r="2470" ht="15.75" customHeight="1">
      <c r="A2470" s="66" t="s">
        <v>9026</v>
      </c>
    </row>
    <row r="2471" ht="15.75" customHeight="1">
      <c r="A2471" s="66" t="s">
        <v>9027</v>
      </c>
    </row>
    <row r="2472" ht="15.75" customHeight="1">
      <c r="A2472" s="66" t="s">
        <v>9028</v>
      </c>
    </row>
    <row r="2473" ht="15.75" customHeight="1">
      <c r="A2473" s="66" t="s">
        <v>9029</v>
      </c>
    </row>
    <row r="2474" ht="15.75" customHeight="1">
      <c r="A2474" s="66" t="s">
        <v>9030</v>
      </c>
    </row>
    <row r="2475" ht="15.75" customHeight="1">
      <c r="A2475" s="66" t="s">
        <v>9031</v>
      </c>
    </row>
    <row r="2476" ht="15.75" customHeight="1">
      <c r="A2476" s="66" t="s">
        <v>9032</v>
      </c>
    </row>
    <row r="2477" ht="15.75" customHeight="1">
      <c r="A2477" s="66" t="s">
        <v>9033</v>
      </c>
    </row>
    <row r="2478" ht="15.75" customHeight="1">
      <c r="A2478" s="66" t="s">
        <v>9034</v>
      </c>
    </row>
    <row r="2479" ht="15.75" customHeight="1">
      <c r="A2479" s="66" t="s">
        <v>9035</v>
      </c>
    </row>
    <row r="2480" ht="15.75" customHeight="1">
      <c r="A2480" s="66" t="s">
        <v>9036</v>
      </c>
    </row>
    <row r="2481" ht="15.75" customHeight="1">
      <c r="A2481" s="66" t="s">
        <v>9037</v>
      </c>
    </row>
    <row r="2482" ht="15.75" customHeight="1">
      <c r="A2482" s="66" t="s">
        <v>9038</v>
      </c>
    </row>
    <row r="2483" ht="15.75" customHeight="1">
      <c r="A2483" s="66" t="s">
        <v>9039</v>
      </c>
    </row>
    <row r="2484" ht="15.75" customHeight="1">
      <c r="A2484" s="66" t="s">
        <v>9040</v>
      </c>
    </row>
    <row r="2485" ht="15.75" customHeight="1">
      <c r="A2485" s="66" t="s">
        <v>9041</v>
      </c>
    </row>
    <row r="2486" ht="15.75" customHeight="1">
      <c r="A2486" s="66" t="s">
        <v>9042</v>
      </c>
    </row>
    <row r="2487" ht="15.75" customHeight="1">
      <c r="A2487" s="66" t="s">
        <v>9043</v>
      </c>
    </row>
    <row r="2488" ht="15.75" customHeight="1">
      <c r="A2488" s="66" t="s">
        <v>9044</v>
      </c>
    </row>
    <row r="2489" ht="15.75" customHeight="1">
      <c r="A2489" s="66" t="s">
        <v>9045</v>
      </c>
    </row>
    <row r="2490" ht="15.75" customHeight="1">
      <c r="A2490" s="66" t="s">
        <v>9046</v>
      </c>
    </row>
    <row r="2491" ht="15.75" customHeight="1">
      <c r="A2491" s="66" t="s">
        <v>9047</v>
      </c>
    </row>
    <row r="2492" ht="15.75" customHeight="1">
      <c r="A2492" s="66" t="s">
        <v>9048</v>
      </c>
    </row>
    <row r="2493" ht="15.75" customHeight="1">
      <c r="A2493" s="66" t="s">
        <v>9049</v>
      </c>
    </row>
    <row r="2494" ht="15.75" customHeight="1">
      <c r="A2494" s="66" t="s">
        <v>9050</v>
      </c>
    </row>
    <row r="2495" ht="15.75" customHeight="1">
      <c r="A2495" s="66" t="s">
        <v>9051</v>
      </c>
    </row>
    <row r="2496" ht="15.75" customHeight="1">
      <c r="A2496" s="66" t="s">
        <v>9052</v>
      </c>
    </row>
    <row r="2497" ht="15.75" customHeight="1">
      <c r="A2497" s="66" t="s">
        <v>9054</v>
      </c>
    </row>
    <row r="2498" ht="15.75" customHeight="1">
      <c r="A2498" s="66" t="s">
        <v>9055</v>
      </c>
    </row>
    <row r="2499" ht="15.75" customHeight="1">
      <c r="A2499" s="66" t="s">
        <v>9058</v>
      </c>
    </row>
    <row r="2500" ht="15.75" customHeight="1">
      <c r="A2500" s="66" t="s">
        <v>9059</v>
      </c>
    </row>
    <row r="2501" ht="15.75" customHeight="1">
      <c r="A2501" s="66" t="s">
        <v>9060</v>
      </c>
    </row>
    <row r="2502" ht="15.75" customHeight="1">
      <c r="A2502" s="66" t="s">
        <v>9061</v>
      </c>
    </row>
    <row r="2503" ht="15.75" customHeight="1">
      <c r="A2503" s="66" t="s">
        <v>9062</v>
      </c>
    </row>
    <row r="2504" ht="15.75" customHeight="1">
      <c r="A2504" s="66" t="s">
        <v>9063</v>
      </c>
    </row>
    <row r="2505" ht="15.75" customHeight="1">
      <c r="A2505" s="66" t="s">
        <v>9064</v>
      </c>
    </row>
    <row r="2506" ht="15.75" customHeight="1">
      <c r="A2506" s="66" t="s">
        <v>9065</v>
      </c>
    </row>
    <row r="2507" ht="15.75" customHeight="1">
      <c r="A2507" s="66" t="s">
        <v>9066</v>
      </c>
    </row>
    <row r="2508" ht="15.75" customHeight="1">
      <c r="A2508" s="66" t="s">
        <v>9067</v>
      </c>
    </row>
    <row r="2509" ht="15.75" customHeight="1">
      <c r="A2509" s="66" t="s">
        <v>9068</v>
      </c>
    </row>
    <row r="2510" ht="15.75" customHeight="1">
      <c r="A2510" s="66" t="s">
        <v>9069</v>
      </c>
    </row>
    <row r="2511" ht="15.75" customHeight="1">
      <c r="A2511" s="66" t="s">
        <v>9070</v>
      </c>
    </row>
    <row r="2512" ht="15.75" customHeight="1">
      <c r="A2512" s="66" t="s">
        <v>9071</v>
      </c>
    </row>
    <row r="2513" ht="15.75" customHeight="1">
      <c r="A2513" s="66" t="s">
        <v>9072</v>
      </c>
    </row>
    <row r="2514" ht="15.75" customHeight="1">
      <c r="A2514" s="66" t="s">
        <v>9073</v>
      </c>
    </row>
    <row r="2515" ht="15.75" customHeight="1">
      <c r="A2515" s="66" t="s">
        <v>9074</v>
      </c>
    </row>
    <row r="2516" ht="15.75" customHeight="1">
      <c r="A2516" s="66" t="s">
        <v>9075</v>
      </c>
    </row>
    <row r="2517" ht="15.75" customHeight="1">
      <c r="A2517" s="66" t="s">
        <v>9076</v>
      </c>
    </row>
    <row r="2518" ht="15.75" customHeight="1">
      <c r="A2518" s="66" t="s">
        <v>9077</v>
      </c>
    </row>
    <row r="2519" ht="15.75" customHeight="1">
      <c r="A2519" s="66" t="s">
        <v>9078</v>
      </c>
    </row>
    <row r="2520" ht="15.75" customHeight="1">
      <c r="A2520" s="66" t="s">
        <v>9079</v>
      </c>
    </row>
    <row r="2521" ht="15.75" customHeight="1">
      <c r="A2521" s="66" t="s">
        <v>9080</v>
      </c>
    </row>
    <row r="2522" ht="15.75" customHeight="1">
      <c r="A2522" s="66" t="s">
        <v>9081</v>
      </c>
    </row>
    <row r="2523" ht="15.75" customHeight="1">
      <c r="A2523" s="66" t="s">
        <v>9082</v>
      </c>
    </row>
    <row r="2524" ht="15.75" customHeight="1">
      <c r="A2524" s="66" t="s">
        <v>9083</v>
      </c>
    </row>
    <row r="2525" ht="15.75" customHeight="1">
      <c r="A2525" s="66" t="s">
        <v>9084</v>
      </c>
    </row>
    <row r="2526" ht="15.75" customHeight="1">
      <c r="A2526" s="66" t="s">
        <v>9085</v>
      </c>
    </row>
    <row r="2527" ht="15.75" customHeight="1">
      <c r="A2527" s="66" t="s">
        <v>9086</v>
      </c>
    </row>
    <row r="2528" ht="15.75" customHeight="1">
      <c r="A2528" s="66" t="s">
        <v>9087</v>
      </c>
    </row>
    <row r="2529" ht="15.75" customHeight="1">
      <c r="A2529" s="66" t="s">
        <v>9088</v>
      </c>
    </row>
    <row r="2530" ht="15.75" customHeight="1">
      <c r="A2530" s="66" t="s">
        <v>9089</v>
      </c>
    </row>
    <row r="2531" ht="15.75" customHeight="1">
      <c r="A2531" s="66" t="s">
        <v>9091</v>
      </c>
    </row>
    <row r="2532" ht="15.75" customHeight="1">
      <c r="A2532" s="66" t="s">
        <v>9092</v>
      </c>
    </row>
    <row r="2533" ht="15.75" customHeight="1">
      <c r="A2533" s="66" t="s">
        <v>9093</v>
      </c>
    </row>
    <row r="2534" ht="15.75" customHeight="1">
      <c r="A2534" s="66" t="s">
        <v>9095</v>
      </c>
    </row>
    <row r="2535" ht="15.75" customHeight="1">
      <c r="A2535" s="66" t="s">
        <v>9097</v>
      </c>
    </row>
    <row r="2536" ht="15.75" customHeight="1">
      <c r="A2536" s="66" t="s">
        <v>9098</v>
      </c>
    </row>
    <row r="2537" ht="15.75" customHeight="1">
      <c r="A2537" s="66" t="s">
        <v>9099</v>
      </c>
    </row>
    <row r="2538" ht="15.75" customHeight="1">
      <c r="A2538" s="66" t="s">
        <v>9100</v>
      </c>
    </row>
    <row r="2539" ht="15.75" customHeight="1">
      <c r="A2539" s="66" t="s">
        <v>9101</v>
      </c>
    </row>
    <row r="2540" ht="15.75" customHeight="1">
      <c r="A2540" s="66" t="s">
        <v>9102</v>
      </c>
    </row>
    <row r="2541" ht="15.75" customHeight="1">
      <c r="A2541" s="66" t="s">
        <v>9103</v>
      </c>
    </row>
    <row r="2542" ht="15.75" customHeight="1">
      <c r="A2542" s="66" t="s">
        <v>9104</v>
      </c>
    </row>
    <row r="2543" ht="15.75" customHeight="1">
      <c r="A2543" s="66" t="s">
        <v>9105</v>
      </c>
    </row>
    <row r="2544" ht="15.75" customHeight="1">
      <c r="A2544" s="66" t="s">
        <v>9106</v>
      </c>
    </row>
    <row r="2545" ht="15.75" customHeight="1">
      <c r="A2545" s="66" t="s">
        <v>9107</v>
      </c>
    </row>
    <row r="2546" ht="15.75" customHeight="1">
      <c r="A2546" s="66" t="s">
        <v>9108</v>
      </c>
    </row>
    <row r="2547" ht="15.75" customHeight="1">
      <c r="A2547" s="66" t="s">
        <v>9109</v>
      </c>
    </row>
    <row r="2548" ht="15.75" customHeight="1">
      <c r="A2548" s="66" t="s">
        <v>9110</v>
      </c>
    </row>
    <row r="2549" ht="15.75" customHeight="1">
      <c r="A2549" s="66" t="s">
        <v>9111</v>
      </c>
    </row>
    <row r="2550" ht="15.75" customHeight="1">
      <c r="A2550" s="66" t="s">
        <v>9112</v>
      </c>
    </row>
    <row r="2551" ht="15.75" customHeight="1">
      <c r="A2551" s="66" t="s">
        <v>9113</v>
      </c>
    </row>
    <row r="2552" ht="15.75" customHeight="1">
      <c r="A2552" s="66" t="s">
        <v>9114</v>
      </c>
    </row>
    <row r="2553" ht="15.75" customHeight="1">
      <c r="A2553" s="66" t="s">
        <v>9115</v>
      </c>
    </row>
    <row r="2554" ht="15.75" customHeight="1">
      <c r="A2554" s="66" t="s">
        <v>9116</v>
      </c>
    </row>
    <row r="2555" ht="15.75" customHeight="1">
      <c r="A2555" s="66" t="s">
        <v>9117</v>
      </c>
    </row>
    <row r="2556" ht="15.75" customHeight="1">
      <c r="A2556" s="66" t="s">
        <v>9118</v>
      </c>
    </row>
    <row r="2557" ht="15.75" customHeight="1">
      <c r="A2557" s="66" t="s">
        <v>9119</v>
      </c>
    </row>
    <row r="2558" ht="15.75" customHeight="1">
      <c r="A2558" s="66" t="s">
        <v>9120</v>
      </c>
    </row>
    <row r="2559" ht="15.75" customHeight="1">
      <c r="A2559" s="66" t="s">
        <v>9121</v>
      </c>
    </row>
    <row r="2560" ht="15.75" customHeight="1">
      <c r="A2560" s="66" t="s">
        <v>9122</v>
      </c>
    </row>
    <row r="2561" ht="15.75" customHeight="1">
      <c r="A2561" s="66" t="s">
        <v>9123</v>
      </c>
    </row>
    <row r="2562" ht="15.75" customHeight="1">
      <c r="A2562" s="66" t="s">
        <v>9124</v>
      </c>
    </row>
    <row r="2563" ht="15.75" customHeight="1">
      <c r="A2563" s="66" t="s">
        <v>9125</v>
      </c>
    </row>
    <row r="2564" ht="15.75" customHeight="1">
      <c r="A2564" s="66" t="s">
        <v>9126</v>
      </c>
    </row>
    <row r="2565" ht="15.75" customHeight="1">
      <c r="A2565" s="66" t="s">
        <v>9127</v>
      </c>
    </row>
    <row r="2566" ht="15.75" customHeight="1">
      <c r="A2566" s="66" t="s">
        <v>9128</v>
      </c>
    </row>
    <row r="2567" ht="15.75" customHeight="1">
      <c r="A2567" s="66" t="s">
        <v>9129</v>
      </c>
    </row>
    <row r="2568" ht="15.75" customHeight="1">
      <c r="A2568" s="66" t="s">
        <v>9130</v>
      </c>
    </row>
    <row r="2569" ht="15.75" customHeight="1">
      <c r="A2569" s="66" t="s">
        <v>9131</v>
      </c>
    </row>
    <row r="2570" ht="15.75" customHeight="1">
      <c r="A2570" s="66" t="s">
        <v>9132</v>
      </c>
    </row>
    <row r="2571" ht="15.75" customHeight="1">
      <c r="A2571" s="66" t="s">
        <v>9134</v>
      </c>
    </row>
    <row r="2572" ht="15.75" customHeight="1">
      <c r="A2572" s="66" t="s">
        <v>9135</v>
      </c>
    </row>
    <row r="2573" ht="15.75" customHeight="1">
      <c r="A2573" s="66" t="s">
        <v>9136</v>
      </c>
    </row>
    <row r="2574" ht="15.75" customHeight="1">
      <c r="A2574" s="66" t="s">
        <v>9138</v>
      </c>
    </row>
    <row r="2575" ht="15.75" customHeight="1">
      <c r="A2575" s="66" t="s">
        <v>9139</v>
      </c>
    </row>
    <row r="2576" ht="15.75" customHeight="1">
      <c r="A2576" s="66" t="s">
        <v>9140</v>
      </c>
    </row>
    <row r="2577" ht="15.75" customHeight="1">
      <c r="A2577" s="66" t="s">
        <v>9141</v>
      </c>
    </row>
    <row r="2578" ht="15.75" customHeight="1">
      <c r="A2578" s="66" t="s">
        <v>9142</v>
      </c>
    </row>
    <row r="2579" ht="15.75" customHeight="1">
      <c r="A2579" s="66" t="s">
        <v>9143</v>
      </c>
    </row>
    <row r="2580" ht="15.75" customHeight="1">
      <c r="A2580" s="66" t="s">
        <v>9144</v>
      </c>
    </row>
    <row r="2581" ht="15.75" customHeight="1">
      <c r="A2581" s="66" t="s">
        <v>9145</v>
      </c>
    </row>
    <row r="2582" ht="15.75" customHeight="1">
      <c r="A2582" s="66" t="s">
        <v>9146</v>
      </c>
    </row>
    <row r="2583" ht="15.75" customHeight="1">
      <c r="A2583" s="66" t="s">
        <v>9147</v>
      </c>
    </row>
    <row r="2584" ht="15.75" customHeight="1">
      <c r="A2584" s="66" t="s">
        <v>9148</v>
      </c>
    </row>
    <row r="2585" ht="15.75" customHeight="1">
      <c r="A2585" s="66" t="s">
        <v>9149</v>
      </c>
    </row>
    <row r="2586" ht="15.75" customHeight="1">
      <c r="A2586" s="66" t="s">
        <v>9150</v>
      </c>
    </row>
    <row r="2587" ht="15.75" customHeight="1">
      <c r="A2587" s="66" t="s">
        <v>9151</v>
      </c>
    </row>
    <row r="2588" ht="15.75" customHeight="1">
      <c r="A2588" s="66" t="s">
        <v>9152</v>
      </c>
    </row>
    <row r="2589" ht="15.75" customHeight="1">
      <c r="A2589" s="66" t="s">
        <v>9153</v>
      </c>
    </row>
    <row r="2590" ht="15.75" customHeight="1">
      <c r="A2590" s="66" t="s">
        <v>9154</v>
      </c>
    </row>
    <row r="2591" ht="15.75" customHeight="1">
      <c r="A2591" s="66" t="s">
        <v>9155</v>
      </c>
    </row>
    <row r="2592" ht="15.75" customHeight="1">
      <c r="A2592" s="66" t="s">
        <v>9156</v>
      </c>
    </row>
    <row r="2593" ht="15.75" customHeight="1">
      <c r="A2593" s="66" t="s">
        <v>9157</v>
      </c>
    </row>
    <row r="2594" ht="15.75" customHeight="1">
      <c r="A2594" s="66" t="s">
        <v>9158</v>
      </c>
    </row>
    <row r="2595" ht="15.75" customHeight="1">
      <c r="A2595" s="66" t="s">
        <v>9159</v>
      </c>
    </row>
    <row r="2596" ht="15.75" customHeight="1">
      <c r="A2596" s="66" t="s">
        <v>9160</v>
      </c>
    </row>
    <row r="2597" ht="15.75" customHeight="1">
      <c r="A2597" s="66" t="s">
        <v>9161</v>
      </c>
    </row>
    <row r="2598" ht="15.75" customHeight="1">
      <c r="A2598" s="66" t="s">
        <v>9162</v>
      </c>
    </row>
    <row r="2599" ht="15.75" customHeight="1">
      <c r="A2599" s="66" t="s">
        <v>9163</v>
      </c>
    </row>
    <row r="2600" ht="15.75" customHeight="1">
      <c r="A2600" s="66" t="s">
        <v>9164</v>
      </c>
    </row>
    <row r="2601" ht="15.75" customHeight="1">
      <c r="A2601" s="66" t="s">
        <v>9165</v>
      </c>
    </row>
    <row r="2602" ht="15.75" customHeight="1">
      <c r="A2602" s="66" t="s">
        <v>9166</v>
      </c>
    </row>
    <row r="2603" ht="15.75" customHeight="1">
      <c r="A2603" s="66" t="s">
        <v>9167</v>
      </c>
    </row>
    <row r="2604" ht="15.75" customHeight="1">
      <c r="A2604" s="66" t="s">
        <v>9168</v>
      </c>
    </row>
    <row r="2605" ht="15.75" customHeight="1">
      <c r="A2605" s="66" t="s">
        <v>9169</v>
      </c>
    </row>
    <row r="2606" ht="15.75" customHeight="1">
      <c r="A2606" s="66" t="s">
        <v>9170</v>
      </c>
    </row>
    <row r="2607" ht="15.75" customHeight="1">
      <c r="A2607" s="66" t="s">
        <v>9171</v>
      </c>
    </row>
    <row r="2608" ht="15.75" customHeight="1">
      <c r="A2608" s="66" t="s">
        <v>9172</v>
      </c>
    </row>
    <row r="2609" ht="15.75" customHeight="1">
      <c r="A2609" s="66" t="s">
        <v>9173</v>
      </c>
    </row>
    <row r="2610" ht="15.75" customHeight="1">
      <c r="A2610" s="66" t="s">
        <v>9174</v>
      </c>
    </row>
    <row r="2611" ht="15.75" customHeight="1">
      <c r="A2611" s="66" t="s">
        <v>9175</v>
      </c>
    </row>
    <row r="2612" ht="15.75" customHeight="1">
      <c r="A2612" s="66" t="s">
        <v>9176</v>
      </c>
    </row>
    <row r="2613" ht="15.75" customHeight="1">
      <c r="A2613" s="66" t="s">
        <v>9177</v>
      </c>
    </row>
    <row r="2614" ht="15.75" customHeight="1">
      <c r="A2614" s="66" t="s">
        <v>9179</v>
      </c>
    </row>
    <row r="2615" ht="15.75" customHeight="1">
      <c r="A2615" s="66" t="s">
        <v>9180</v>
      </c>
    </row>
    <row r="2616" ht="15.75" customHeight="1">
      <c r="A2616" s="66" t="s">
        <v>9182</v>
      </c>
    </row>
    <row r="2617" ht="15.75" customHeight="1">
      <c r="A2617" s="66" t="s">
        <v>9184</v>
      </c>
    </row>
    <row r="2618" ht="15.75" customHeight="1">
      <c r="A2618" s="66" t="s">
        <v>9185</v>
      </c>
    </row>
    <row r="2619" ht="15.75" customHeight="1">
      <c r="A2619" s="66" t="s">
        <v>9186</v>
      </c>
    </row>
    <row r="2620" ht="15.75" customHeight="1">
      <c r="A2620" s="66" t="s">
        <v>9187</v>
      </c>
    </row>
    <row r="2621" ht="15.75" customHeight="1">
      <c r="A2621" s="66" t="s">
        <v>9188</v>
      </c>
    </row>
    <row r="2622" ht="15.75" customHeight="1">
      <c r="A2622" s="66" t="s">
        <v>9189</v>
      </c>
    </row>
    <row r="2623" ht="15.75" customHeight="1">
      <c r="A2623" s="66" t="s">
        <v>9190</v>
      </c>
    </row>
    <row r="2624" ht="15.75" customHeight="1">
      <c r="A2624" s="66" t="s">
        <v>9191</v>
      </c>
    </row>
    <row r="2625" ht="15.75" customHeight="1">
      <c r="A2625" s="66" t="s">
        <v>9192</v>
      </c>
    </row>
    <row r="2626" ht="15.75" customHeight="1">
      <c r="A2626" s="66" t="s">
        <v>9193</v>
      </c>
    </row>
    <row r="2627" ht="15.75" customHeight="1">
      <c r="A2627" s="66" t="s">
        <v>9194</v>
      </c>
    </row>
    <row r="2628" ht="15.75" customHeight="1">
      <c r="A2628" s="66" t="s">
        <v>9195</v>
      </c>
    </row>
    <row r="2629" ht="15.75" customHeight="1">
      <c r="A2629" s="66" t="s">
        <v>9196</v>
      </c>
    </row>
    <row r="2630" ht="15.75" customHeight="1">
      <c r="A2630" s="66" t="s">
        <v>9197</v>
      </c>
    </row>
    <row r="2631" ht="15.75" customHeight="1">
      <c r="A2631" s="66" t="s">
        <v>9198</v>
      </c>
    </row>
    <row r="2632" ht="15.75" customHeight="1">
      <c r="A2632" s="66" t="s">
        <v>9199</v>
      </c>
    </row>
    <row r="2633" ht="15.75" customHeight="1">
      <c r="A2633" s="66" t="s">
        <v>9200</v>
      </c>
    </row>
    <row r="2634" ht="15.75" customHeight="1">
      <c r="A2634" s="66" t="s">
        <v>9201</v>
      </c>
    </row>
    <row r="2635" ht="15.75" customHeight="1">
      <c r="A2635" s="66" t="s">
        <v>9202</v>
      </c>
    </row>
    <row r="2636" ht="15.75" customHeight="1">
      <c r="A2636" s="66" t="s">
        <v>9203</v>
      </c>
    </row>
    <row r="2637" ht="15.75" customHeight="1">
      <c r="A2637" s="66" t="s">
        <v>9204</v>
      </c>
    </row>
    <row r="2638" ht="15.75" customHeight="1">
      <c r="A2638" s="66" t="s">
        <v>9205</v>
      </c>
    </row>
    <row r="2639" ht="15.75" customHeight="1">
      <c r="A2639" s="66" t="s">
        <v>9206</v>
      </c>
    </row>
    <row r="2640" ht="15.75" customHeight="1">
      <c r="A2640" s="66" t="s">
        <v>9207</v>
      </c>
    </row>
    <row r="2641" ht="15.75" customHeight="1">
      <c r="A2641" s="66" t="s">
        <v>9208</v>
      </c>
    </row>
    <row r="2642" ht="15.75" customHeight="1">
      <c r="A2642" s="66" t="s">
        <v>9209</v>
      </c>
    </row>
    <row r="2643" ht="15.75" customHeight="1">
      <c r="A2643" s="66" t="s">
        <v>9210</v>
      </c>
    </row>
    <row r="2644" ht="15.75" customHeight="1">
      <c r="A2644" s="66" t="s">
        <v>9211</v>
      </c>
    </row>
    <row r="2645" ht="15.75" customHeight="1">
      <c r="A2645" s="66" t="s">
        <v>9212</v>
      </c>
    </row>
    <row r="2646" ht="15.75" customHeight="1">
      <c r="A2646" s="66" t="s">
        <v>9213</v>
      </c>
    </row>
    <row r="2647" ht="15.75" customHeight="1">
      <c r="A2647" s="66" t="s">
        <v>9215</v>
      </c>
    </row>
    <row r="2648" ht="15.75" customHeight="1">
      <c r="A2648" s="66" t="s">
        <v>9217</v>
      </c>
    </row>
    <row r="2649" ht="15.75" customHeight="1">
      <c r="A2649" s="66" t="s">
        <v>9218</v>
      </c>
    </row>
    <row r="2650" ht="15.75" customHeight="1">
      <c r="A2650" s="66" t="s">
        <v>9219</v>
      </c>
    </row>
    <row r="2651" ht="15.75" customHeight="1">
      <c r="A2651" s="66" t="s">
        <v>9220</v>
      </c>
    </row>
    <row r="2652" ht="15.75" customHeight="1">
      <c r="A2652" s="66" t="s">
        <v>9221</v>
      </c>
    </row>
    <row r="2653" ht="15.75" customHeight="1">
      <c r="A2653" s="66" t="s">
        <v>9222</v>
      </c>
    </row>
    <row r="2654" ht="15.75" customHeight="1">
      <c r="A2654" s="66" t="s">
        <v>9223</v>
      </c>
    </row>
    <row r="2655" ht="15.75" customHeight="1">
      <c r="A2655" s="66" t="s">
        <v>9224</v>
      </c>
    </row>
    <row r="2656" ht="15.75" customHeight="1">
      <c r="A2656" s="66" t="s">
        <v>9225</v>
      </c>
    </row>
    <row r="2657" ht="15.75" customHeight="1">
      <c r="A2657" s="66" t="s">
        <v>9226</v>
      </c>
    </row>
    <row r="2658" ht="15.75" customHeight="1">
      <c r="A2658" s="66" t="s">
        <v>9227</v>
      </c>
    </row>
    <row r="2659" ht="15.75" customHeight="1">
      <c r="A2659" s="66" t="s">
        <v>9228</v>
      </c>
    </row>
    <row r="2660" ht="15.75" customHeight="1">
      <c r="A2660" s="66" t="s">
        <v>9229</v>
      </c>
    </row>
    <row r="2661" ht="15.75" customHeight="1">
      <c r="A2661" s="66" t="s">
        <v>9230</v>
      </c>
    </row>
    <row r="2662" ht="15.75" customHeight="1">
      <c r="A2662" s="66" t="s">
        <v>9231</v>
      </c>
    </row>
    <row r="2663" ht="15.75" customHeight="1">
      <c r="A2663" s="66" t="s">
        <v>9232</v>
      </c>
    </row>
    <row r="2664" ht="15.75" customHeight="1">
      <c r="A2664" s="66" t="s">
        <v>9233</v>
      </c>
    </row>
    <row r="2665" ht="15.75" customHeight="1">
      <c r="A2665" s="66" t="s">
        <v>9234</v>
      </c>
    </row>
    <row r="2666" ht="15.75" customHeight="1">
      <c r="A2666" s="66" t="s">
        <v>9235</v>
      </c>
    </row>
    <row r="2667" ht="15.75" customHeight="1">
      <c r="A2667" s="66" t="s">
        <v>9236</v>
      </c>
    </row>
    <row r="2668" ht="15.75" customHeight="1">
      <c r="A2668" s="66" t="s">
        <v>9237</v>
      </c>
    </row>
    <row r="2669" ht="15.75" customHeight="1">
      <c r="A2669" s="66" t="s">
        <v>9238</v>
      </c>
    </row>
    <row r="2670" ht="15.75" customHeight="1">
      <c r="A2670" s="66" t="s">
        <v>9239</v>
      </c>
    </row>
    <row r="2671" ht="15.75" customHeight="1">
      <c r="A2671" s="66" t="s">
        <v>9240</v>
      </c>
    </row>
    <row r="2672" ht="15.75" customHeight="1">
      <c r="A2672" s="66" t="s">
        <v>9241</v>
      </c>
    </row>
    <row r="2673" ht="15.75" customHeight="1">
      <c r="A2673" s="66" t="s">
        <v>9242</v>
      </c>
    </row>
    <row r="2674" ht="15.75" customHeight="1">
      <c r="A2674" s="66" t="s">
        <v>9243</v>
      </c>
    </row>
    <row r="2675" ht="15.75" customHeight="1">
      <c r="A2675" s="66" t="s">
        <v>9244</v>
      </c>
    </row>
    <row r="2676" ht="15.75" customHeight="1">
      <c r="A2676" s="66" t="s">
        <v>9246</v>
      </c>
    </row>
    <row r="2677" ht="15.75" customHeight="1">
      <c r="A2677" s="66" t="s">
        <v>9248</v>
      </c>
    </row>
    <row r="2678" ht="15.75" customHeight="1">
      <c r="A2678" s="66" t="s">
        <v>9250</v>
      </c>
    </row>
    <row r="2679" ht="15.75" customHeight="1">
      <c r="A2679" s="66" t="s">
        <v>9251</v>
      </c>
    </row>
    <row r="2680" ht="15.75" customHeight="1">
      <c r="A2680" s="66" t="s">
        <v>9252</v>
      </c>
    </row>
    <row r="2681" ht="15.75" customHeight="1">
      <c r="A2681" s="66" t="s">
        <v>9253</v>
      </c>
    </row>
    <row r="2682" ht="15.75" customHeight="1">
      <c r="A2682" s="66" t="s">
        <v>9254</v>
      </c>
    </row>
    <row r="2683" ht="15.75" customHeight="1">
      <c r="A2683" s="66" t="s">
        <v>9255</v>
      </c>
    </row>
    <row r="2684" ht="15.75" customHeight="1">
      <c r="A2684" s="66" t="s">
        <v>9256</v>
      </c>
    </row>
    <row r="2685" ht="15.75" customHeight="1">
      <c r="A2685" s="66" t="s">
        <v>9257</v>
      </c>
    </row>
    <row r="2686" ht="15.75" customHeight="1">
      <c r="A2686" s="66" t="s">
        <v>9258</v>
      </c>
    </row>
    <row r="2687" ht="15.75" customHeight="1">
      <c r="A2687" s="66" t="s">
        <v>9259</v>
      </c>
    </row>
    <row r="2688" ht="15.75" customHeight="1">
      <c r="A2688" s="66" t="s">
        <v>9260</v>
      </c>
    </row>
    <row r="2689" ht="15.75" customHeight="1">
      <c r="A2689" s="66" t="s">
        <v>9261</v>
      </c>
    </row>
    <row r="2690" ht="15.75" customHeight="1">
      <c r="A2690" s="66" t="s">
        <v>9262</v>
      </c>
    </row>
    <row r="2691" ht="15.75" customHeight="1">
      <c r="A2691" s="66" t="s">
        <v>9263</v>
      </c>
    </row>
    <row r="2692" ht="15.75" customHeight="1">
      <c r="A2692" s="66" t="s">
        <v>9264</v>
      </c>
    </row>
    <row r="2693" ht="15.75" customHeight="1">
      <c r="A2693" s="66" t="s">
        <v>9265</v>
      </c>
    </row>
    <row r="2694" ht="15.75" customHeight="1">
      <c r="A2694" s="66" t="s">
        <v>9266</v>
      </c>
    </row>
    <row r="2695" ht="15.75" customHeight="1">
      <c r="A2695" s="66" t="s">
        <v>9267</v>
      </c>
    </row>
    <row r="2696" ht="15.75" customHeight="1">
      <c r="A2696" s="66" t="s">
        <v>9268</v>
      </c>
    </row>
    <row r="2697" ht="15.75" customHeight="1">
      <c r="A2697" s="66" t="s">
        <v>9269</v>
      </c>
    </row>
    <row r="2698" ht="15.75" customHeight="1">
      <c r="A2698" s="66" t="s">
        <v>9270</v>
      </c>
    </row>
    <row r="2699" ht="15.75" customHeight="1">
      <c r="A2699" s="66" t="s">
        <v>9271</v>
      </c>
    </row>
    <row r="2700" ht="15.75" customHeight="1">
      <c r="A2700" s="66" t="s">
        <v>9272</v>
      </c>
    </row>
    <row r="2701" ht="15.75" customHeight="1">
      <c r="A2701" s="66" t="s">
        <v>9273</v>
      </c>
    </row>
    <row r="2702" ht="15.75" customHeight="1">
      <c r="A2702" s="66" t="s">
        <v>9274</v>
      </c>
    </row>
    <row r="2703" ht="15.75" customHeight="1">
      <c r="A2703" s="66" t="s">
        <v>9276</v>
      </c>
    </row>
    <row r="2704" ht="15.75" customHeight="1">
      <c r="A2704" s="66" t="s">
        <v>9278</v>
      </c>
    </row>
    <row r="2705" ht="15.75" customHeight="1">
      <c r="A2705" s="66" t="s">
        <v>9279</v>
      </c>
    </row>
    <row r="2706" ht="15.75" customHeight="1">
      <c r="A2706" s="66" t="s">
        <v>9280</v>
      </c>
    </row>
    <row r="2707" ht="15.75" customHeight="1">
      <c r="A2707" s="66" t="s">
        <v>9281</v>
      </c>
    </row>
    <row r="2708" ht="15.75" customHeight="1">
      <c r="A2708" s="66" t="s">
        <v>9282</v>
      </c>
    </row>
    <row r="2709" ht="15.75" customHeight="1">
      <c r="A2709" s="66" t="s">
        <v>9283</v>
      </c>
    </row>
    <row r="2710" ht="15.75" customHeight="1">
      <c r="A2710" s="66" t="s">
        <v>9284</v>
      </c>
    </row>
    <row r="2711" ht="15.75" customHeight="1">
      <c r="A2711" s="66" t="s">
        <v>9285</v>
      </c>
    </row>
    <row r="2712" ht="15.75" customHeight="1">
      <c r="A2712" s="66" t="s">
        <v>9286</v>
      </c>
    </row>
    <row r="2713" ht="15.75" customHeight="1">
      <c r="A2713" s="66" t="s">
        <v>9287</v>
      </c>
    </row>
    <row r="2714" ht="15.75" customHeight="1">
      <c r="A2714" s="66" t="s">
        <v>9288</v>
      </c>
    </row>
    <row r="2715" ht="15.75" customHeight="1">
      <c r="A2715" s="66" t="s">
        <v>9289</v>
      </c>
    </row>
    <row r="2716" ht="15.75" customHeight="1">
      <c r="A2716" s="66" t="s">
        <v>9290</v>
      </c>
    </row>
    <row r="2717" ht="15.75" customHeight="1">
      <c r="A2717" s="66" t="s">
        <v>9291</v>
      </c>
    </row>
    <row r="2718" ht="15.75" customHeight="1">
      <c r="A2718" s="66" t="s">
        <v>9292</v>
      </c>
    </row>
    <row r="2719" ht="15.75" customHeight="1">
      <c r="A2719" s="66" t="s">
        <v>9293</v>
      </c>
    </row>
    <row r="2720" ht="15.75" customHeight="1">
      <c r="A2720" s="66" t="s">
        <v>9294</v>
      </c>
    </row>
    <row r="2721" ht="15.75" customHeight="1">
      <c r="A2721" s="66" t="s">
        <v>9295</v>
      </c>
    </row>
    <row r="2722" ht="15.75" customHeight="1">
      <c r="A2722" s="66" t="s">
        <v>9296</v>
      </c>
    </row>
    <row r="2723" ht="15.75" customHeight="1">
      <c r="A2723" s="66" t="s">
        <v>9297</v>
      </c>
    </row>
    <row r="2724" ht="15.75" customHeight="1">
      <c r="A2724" s="66" t="s">
        <v>9298</v>
      </c>
    </row>
    <row r="2725" ht="15.75" customHeight="1">
      <c r="A2725" s="66" t="s">
        <v>9299</v>
      </c>
    </row>
    <row r="2726" ht="15.75" customHeight="1">
      <c r="A2726" s="66" t="s">
        <v>9300</v>
      </c>
    </row>
    <row r="2727" ht="15.75" customHeight="1">
      <c r="A2727" s="66" t="s">
        <v>9301</v>
      </c>
    </row>
    <row r="2728" ht="15.75" customHeight="1">
      <c r="A2728" s="66" t="s">
        <v>9302</v>
      </c>
    </row>
    <row r="2729" ht="15.75" customHeight="1">
      <c r="A2729" s="66" t="s">
        <v>9303</v>
      </c>
    </row>
    <row r="2730" ht="15.75" customHeight="1">
      <c r="A2730" s="66" t="s">
        <v>9304</v>
      </c>
    </row>
    <row r="2731" ht="15.75" customHeight="1">
      <c r="A2731" s="66" t="s">
        <v>9305</v>
      </c>
    </row>
    <row r="2732" ht="15.75" customHeight="1">
      <c r="A2732" s="66" t="s">
        <v>9307</v>
      </c>
    </row>
    <row r="2733" ht="15.75" customHeight="1">
      <c r="A2733" s="66" t="s">
        <v>9308</v>
      </c>
    </row>
    <row r="2734" ht="15.75" customHeight="1">
      <c r="A2734" s="66" t="s">
        <v>9309</v>
      </c>
    </row>
    <row r="2735" ht="15.75" customHeight="1">
      <c r="A2735" s="66" t="s">
        <v>9311</v>
      </c>
    </row>
    <row r="2736" ht="15.75" customHeight="1">
      <c r="A2736" s="66" t="s">
        <v>9313</v>
      </c>
    </row>
    <row r="2737" ht="15.75" customHeight="1">
      <c r="A2737" s="66" t="s">
        <v>9314</v>
      </c>
    </row>
    <row r="2738" ht="15.75" customHeight="1">
      <c r="A2738" s="66" t="s">
        <v>9315</v>
      </c>
    </row>
    <row r="2739" ht="15.75" customHeight="1">
      <c r="A2739" s="66" t="s">
        <v>9316</v>
      </c>
    </row>
    <row r="2740" ht="15.75" customHeight="1">
      <c r="A2740" s="66" t="s">
        <v>9317</v>
      </c>
    </row>
    <row r="2741" ht="15.75" customHeight="1">
      <c r="A2741" s="66" t="s">
        <v>9318</v>
      </c>
    </row>
    <row r="2742" ht="15.75" customHeight="1">
      <c r="A2742" s="66" t="s">
        <v>9319</v>
      </c>
    </row>
    <row r="2743" ht="15.75" customHeight="1">
      <c r="A2743" s="66" t="s">
        <v>9320</v>
      </c>
    </row>
    <row r="2744" ht="15.75" customHeight="1">
      <c r="A2744" s="66" t="s">
        <v>9321</v>
      </c>
    </row>
    <row r="2745" ht="15.75" customHeight="1">
      <c r="A2745" s="66" t="s">
        <v>9322</v>
      </c>
    </row>
    <row r="2746" ht="15.75" customHeight="1">
      <c r="A2746" s="66" t="s">
        <v>9323</v>
      </c>
    </row>
    <row r="2747" ht="15.75" customHeight="1">
      <c r="A2747" s="66" t="s">
        <v>9325</v>
      </c>
    </row>
    <row r="2748" ht="15.75" customHeight="1">
      <c r="A2748" s="66" t="s">
        <v>9327</v>
      </c>
    </row>
    <row r="2749" ht="15.75" customHeight="1">
      <c r="A2749" s="66" t="s">
        <v>9329</v>
      </c>
    </row>
    <row r="2750" ht="15.75" customHeight="1">
      <c r="A2750" s="66" t="s">
        <v>9331</v>
      </c>
    </row>
    <row r="2751" ht="15.75" customHeight="1">
      <c r="A2751" s="66" t="s">
        <v>9332</v>
      </c>
    </row>
    <row r="2752" ht="15.75" customHeight="1">
      <c r="A2752" s="66" t="s">
        <v>9333</v>
      </c>
    </row>
    <row r="2753" ht="15.75" customHeight="1">
      <c r="A2753" s="66" t="s">
        <v>9335</v>
      </c>
    </row>
    <row r="2754" ht="15.75" customHeight="1">
      <c r="A2754" s="66" t="s">
        <v>9337</v>
      </c>
    </row>
    <row r="2755" ht="15.75" customHeight="1">
      <c r="A2755" s="66" t="s">
        <v>9338</v>
      </c>
    </row>
    <row r="2756" ht="15.75" customHeight="1">
      <c r="A2756" s="66" t="s">
        <v>9339</v>
      </c>
    </row>
    <row r="2757" ht="15.75" customHeight="1">
      <c r="A2757" s="66" t="s">
        <v>9340</v>
      </c>
    </row>
    <row r="2758" ht="15.75" customHeight="1">
      <c r="A2758" s="66" t="s">
        <v>9341</v>
      </c>
    </row>
    <row r="2759" ht="15.75" customHeight="1">
      <c r="A2759" s="66" t="s">
        <v>9343</v>
      </c>
    </row>
    <row r="2760" ht="15.75" customHeight="1">
      <c r="A2760" s="66" t="s">
        <v>9344</v>
      </c>
    </row>
    <row r="2761" ht="15.75" customHeight="1">
      <c r="A2761" s="66" t="s">
        <v>9345</v>
      </c>
    </row>
    <row r="2762" ht="15.75" customHeight="1">
      <c r="A2762" s="66" t="s">
        <v>9346</v>
      </c>
    </row>
    <row r="2763" ht="15.75" customHeight="1">
      <c r="A2763" s="66" t="s">
        <v>9347</v>
      </c>
    </row>
    <row r="2764" ht="15.75" customHeight="1">
      <c r="A2764" s="66" t="s">
        <v>9348</v>
      </c>
    </row>
    <row r="2765" ht="15.75" customHeight="1">
      <c r="A2765" s="66" t="s">
        <v>9349</v>
      </c>
    </row>
    <row r="2766" ht="15.75" customHeight="1">
      <c r="A2766" s="66" t="s">
        <v>9350</v>
      </c>
    </row>
    <row r="2767" ht="15.75" customHeight="1">
      <c r="A2767" s="66" t="s">
        <v>9351</v>
      </c>
    </row>
    <row r="2768" ht="15.75" customHeight="1">
      <c r="A2768" s="66" t="s">
        <v>9352</v>
      </c>
    </row>
    <row r="2769" ht="15.75" customHeight="1">
      <c r="A2769" s="66" t="s">
        <v>9353</v>
      </c>
    </row>
    <row r="2770" ht="15.75" customHeight="1">
      <c r="A2770" s="66" t="s">
        <v>9354</v>
      </c>
    </row>
    <row r="2771" ht="15.75" customHeight="1">
      <c r="A2771" s="66" t="s">
        <v>9355</v>
      </c>
    </row>
    <row r="2772" ht="15.75" customHeight="1">
      <c r="A2772" s="66" t="s">
        <v>9356</v>
      </c>
    </row>
    <row r="2773" ht="15.75" customHeight="1">
      <c r="A2773" s="66" t="s">
        <v>9357</v>
      </c>
    </row>
    <row r="2774" ht="15.75" customHeight="1">
      <c r="A2774" s="66" t="s">
        <v>9358</v>
      </c>
    </row>
    <row r="2775" ht="15.75" customHeight="1">
      <c r="A2775" s="66" t="s">
        <v>9359</v>
      </c>
    </row>
    <row r="2776" ht="15.75" customHeight="1">
      <c r="A2776" s="66" t="s">
        <v>9360</v>
      </c>
    </row>
    <row r="2777" ht="15.75" customHeight="1">
      <c r="A2777" s="66" t="s">
        <v>9361</v>
      </c>
    </row>
    <row r="2778" ht="15.75" customHeight="1">
      <c r="A2778" s="66" t="s">
        <v>9362</v>
      </c>
    </row>
    <row r="2779" ht="15.75" customHeight="1">
      <c r="A2779" s="66" t="s">
        <v>9363</v>
      </c>
    </row>
    <row r="2780" ht="15.75" customHeight="1">
      <c r="A2780" s="66" t="s">
        <v>9364</v>
      </c>
    </row>
    <row r="2781" ht="15.75" customHeight="1">
      <c r="A2781" s="66" t="s">
        <v>9365</v>
      </c>
    </row>
    <row r="2782" ht="15.75" customHeight="1">
      <c r="A2782" s="66" t="s">
        <v>9366</v>
      </c>
    </row>
    <row r="2783" ht="15.75" customHeight="1">
      <c r="A2783" s="66" t="s">
        <v>9368</v>
      </c>
    </row>
    <row r="2784" ht="15.75" customHeight="1">
      <c r="A2784" s="66" t="s">
        <v>9369</v>
      </c>
    </row>
    <row r="2785" ht="15.75" customHeight="1">
      <c r="A2785" s="66" t="s">
        <v>9371</v>
      </c>
    </row>
    <row r="2786" ht="15.75" customHeight="1">
      <c r="A2786" s="66" t="s">
        <v>9372</v>
      </c>
    </row>
    <row r="2787" ht="15.75" customHeight="1">
      <c r="A2787" s="66" t="s">
        <v>9373</v>
      </c>
    </row>
    <row r="2788" ht="15.75" customHeight="1">
      <c r="A2788" s="66" t="s">
        <v>9374</v>
      </c>
    </row>
    <row r="2789" ht="15.75" customHeight="1">
      <c r="A2789" s="66" t="s">
        <v>9375</v>
      </c>
    </row>
    <row r="2790" ht="15.75" customHeight="1">
      <c r="A2790" s="66" t="s">
        <v>9376</v>
      </c>
    </row>
    <row r="2791" ht="15.75" customHeight="1">
      <c r="A2791" s="66" t="s">
        <v>9377</v>
      </c>
    </row>
    <row r="2792" ht="15.75" customHeight="1">
      <c r="A2792" s="66" t="s">
        <v>9378</v>
      </c>
    </row>
    <row r="2793" ht="15.75" customHeight="1">
      <c r="A2793" s="66" t="s">
        <v>9379</v>
      </c>
    </row>
    <row r="2794" ht="15.75" customHeight="1">
      <c r="A2794" s="66" t="s">
        <v>9380</v>
      </c>
    </row>
    <row r="2795" ht="15.75" customHeight="1">
      <c r="A2795" s="66" t="s">
        <v>9381</v>
      </c>
    </row>
    <row r="2796" ht="15.75" customHeight="1">
      <c r="A2796" s="66" t="s">
        <v>9382</v>
      </c>
    </row>
    <row r="2797" ht="15.75" customHeight="1">
      <c r="A2797" s="66" t="s">
        <v>9383</v>
      </c>
    </row>
    <row r="2798" ht="15.75" customHeight="1">
      <c r="A2798" s="66" t="s">
        <v>9384</v>
      </c>
    </row>
    <row r="2799" ht="15.75" customHeight="1">
      <c r="A2799" s="66" t="s">
        <v>9385</v>
      </c>
    </row>
    <row r="2800" ht="15.75" customHeight="1">
      <c r="A2800" s="66" t="s">
        <v>9386</v>
      </c>
    </row>
    <row r="2801" ht="15.75" customHeight="1">
      <c r="A2801" s="66" t="s">
        <v>9387</v>
      </c>
    </row>
    <row r="2802" ht="15.75" customHeight="1">
      <c r="A2802" s="66" t="s">
        <v>9388</v>
      </c>
    </row>
    <row r="2803" ht="15.75" customHeight="1">
      <c r="A2803" s="66" t="s">
        <v>9389</v>
      </c>
    </row>
    <row r="2804" ht="15.75" customHeight="1">
      <c r="A2804" s="66" t="s">
        <v>9390</v>
      </c>
    </row>
    <row r="2805" ht="15.75" customHeight="1">
      <c r="A2805" s="66" t="s">
        <v>9391</v>
      </c>
    </row>
    <row r="2806" ht="15.75" customHeight="1">
      <c r="A2806" s="66" t="s">
        <v>9392</v>
      </c>
    </row>
    <row r="2807" ht="15.75" customHeight="1">
      <c r="A2807" s="66" t="s">
        <v>9394</v>
      </c>
    </row>
    <row r="2808" ht="15.75" customHeight="1">
      <c r="A2808" s="66" t="s">
        <v>9396</v>
      </c>
    </row>
    <row r="2809" ht="15.75" customHeight="1">
      <c r="A2809" s="66" t="s">
        <v>9398</v>
      </c>
    </row>
    <row r="2810" ht="15.75" customHeight="1">
      <c r="A2810" s="66" t="s">
        <v>9399</v>
      </c>
    </row>
    <row r="2811" ht="15.75" customHeight="1">
      <c r="A2811" s="66" t="s">
        <v>9400</v>
      </c>
    </row>
    <row r="2812" ht="15.75" customHeight="1">
      <c r="A2812" s="66" t="s">
        <v>9402</v>
      </c>
    </row>
    <row r="2813" ht="15.75" customHeight="1">
      <c r="A2813" s="66" t="s">
        <v>9403</v>
      </c>
    </row>
    <row r="2814" ht="15.75" customHeight="1">
      <c r="A2814" s="66" t="s">
        <v>9404</v>
      </c>
    </row>
    <row r="2815" ht="15.75" customHeight="1">
      <c r="A2815" s="66" t="s">
        <v>9406</v>
      </c>
    </row>
    <row r="2816" ht="15.75" customHeight="1">
      <c r="A2816" s="66" t="s">
        <v>9407</v>
      </c>
    </row>
    <row r="2817" ht="15.75" customHeight="1">
      <c r="A2817" s="66" t="s">
        <v>9409</v>
      </c>
    </row>
    <row r="2818" ht="15.75" customHeight="1">
      <c r="A2818" s="66" t="s">
        <v>9410</v>
      </c>
    </row>
    <row r="2819" ht="15.75" customHeight="1">
      <c r="A2819" s="66" t="s">
        <v>9411</v>
      </c>
    </row>
    <row r="2820" ht="15.75" customHeight="1">
      <c r="A2820" s="66" t="s">
        <v>4077</v>
      </c>
    </row>
    <row r="2821" ht="15.75" customHeight="1">
      <c r="A2821" s="66" t="s">
        <v>9412</v>
      </c>
    </row>
    <row r="2822" ht="15.75" customHeight="1">
      <c r="A2822" s="66" t="s">
        <v>9413</v>
      </c>
    </row>
    <row r="2823" ht="15.75" customHeight="1">
      <c r="A2823" s="66" t="s">
        <v>9414</v>
      </c>
    </row>
    <row r="2824" ht="15.75" customHeight="1">
      <c r="A2824" s="66" t="s">
        <v>9415</v>
      </c>
    </row>
    <row r="2825" ht="15.75" customHeight="1">
      <c r="A2825" s="66" t="s">
        <v>9416</v>
      </c>
    </row>
    <row r="2826" ht="15.75" customHeight="1">
      <c r="A2826" s="66" t="s">
        <v>9417</v>
      </c>
    </row>
    <row r="2827" ht="15.75" customHeight="1">
      <c r="A2827" s="66" t="s">
        <v>9418</v>
      </c>
    </row>
    <row r="2828" ht="15.75" customHeight="1">
      <c r="A2828" s="66" t="s">
        <v>9420</v>
      </c>
    </row>
    <row r="2829" ht="15.75" customHeight="1">
      <c r="A2829" s="66" t="s">
        <v>9421</v>
      </c>
    </row>
    <row r="2830" ht="15.75" customHeight="1">
      <c r="A2830" s="66" t="s">
        <v>9423</v>
      </c>
    </row>
    <row r="2831" ht="15.75" customHeight="1">
      <c r="A2831" s="66" t="s">
        <v>9424</v>
      </c>
    </row>
    <row r="2832" ht="15.75" customHeight="1">
      <c r="A2832" s="66" t="s">
        <v>9425</v>
      </c>
    </row>
    <row r="2833" ht="15.75" customHeight="1">
      <c r="A2833" s="66" t="s">
        <v>9426</v>
      </c>
    </row>
    <row r="2834" ht="15.75" customHeight="1">
      <c r="A2834" s="66" t="s">
        <v>9427</v>
      </c>
    </row>
    <row r="2835" ht="15.75" customHeight="1">
      <c r="A2835" s="66" t="s">
        <v>9428</v>
      </c>
    </row>
    <row r="2836" ht="15.75" customHeight="1">
      <c r="A2836" s="66" t="s">
        <v>9429</v>
      </c>
    </row>
    <row r="2837" ht="15.75" customHeight="1">
      <c r="A2837" s="66" t="s">
        <v>9431</v>
      </c>
    </row>
    <row r="2838" ht="15.75" customHeight="1">
      <c r="A2838" s="66" t="s">
        <v>9433</v>
      </c>
    </row>
    <row r="2839" ht="15.75" customHeight="1">
      <c r="A2839" s="66" t="s">
        <v>9435</v>
      </c>
    </row>
    <row r="2840" ht="15.75" customHeight="1">
      <c r="A2840" s="66" t="s">
        <v>9437</v>
      </c>
    </row>
    <row r="2841" ht="15.75" customHeight="1">
      <c r="A2841" s="66" t="s">
        <v>9438</v>
      </c>
    </row>
    <row r="2842" ht="15.75" customHeight="1">
      <c r="A2842" s="66" t="s">
        <v>9440</v>
      </c>
    </row>
    <row r="2843" ht="15.75" customHeight="1">
      <c r="A2843" s="66" t="s">
        <v>9442</v>
      </c>
    </row>
    <row r="2844" ht="15.75" customHeight="1">
      <c r="A2844" s="66" t="s">
        <v>9444</v>
      </c>
    </row>
    <row r="2845" ht="15.75" customHeight="1">
      <c r="A2845" s="66" t="s">
        <v>9445</v>
      </c>
    </row>
    <row r="2846" ht="15.75" customHeight="1">
      <c r="A2846" s="66" t="s">
        <v>9446</v>
      </c>
    </row>
    <row r="2847" ht="15.75" customHeight="1">
      <c r="A2847" s="66" t="s">
        <v>9447</v>
      </c>
    </row>
    <row r="2848" ht="15.75" customHeight="1">
      <c r="A2848" s="66" t="s">
        <v>9448</v>
      </c>
    </row>
    <row r="2849" ht="15.75" customHeight="1">
      <c r="A2849" s="66" t="s">
        <v>9449</v>
      </c>
    </row>
    <row r="2850" ht="15.75" customHeight="1">
      <c r="A2850" s="66" t="s">
        <v>9450</v>
      </c>
    </row>
    <row r="2851" ht="15.75" customHeight="1">
      <c r="A2851" s="66" t="s">
        <v>9451</v>
      </c>
    </row>
    <row r="2852" ht="15.75" customHeight="1">
      <c r="A2852" s="66" t="s">
        <v>9452</v>
      </c>
    </row>
    <row r="2853" ht="15.75" customHeight="1">
      <c r="A2853" s="66" t="s">
        <v>9453</v>
      </c>
    </row>
    <row r="2854" ht="15.75" customHeight="1">
      <c r="A2854" s="66" t="s">
        <v>9454</v>
      </c>
    </row>
    <row r="2855" ht="15.75" customHeight="1">
      <c r="A2855" s="66" t="s">
        <v>9455</v>
      </c>
    </row>
    <row r="2856" ht="15.75" customHeight="1">
      <c r="A2856" s="66" t="s">
        <v>9456</v>
      </c>
    </row>
    <row r="2857" ht="15.75" customHeight="1">
      <c r="A2857" s="66" t="s">
        <v>9457</v>
      </c>
    </row>
    <row r="2858" ht="15.75" customHeight="1">
      <c r="A2858" s="66" t="s">
        <v>9458</v>
      </c>
    </row>
    <row r="2859" ht="15.75" customHeight="1">
      <c r="A2859" s="66" t="s">
        <v>9459</v>
      </c>
    </row>
    <row r="2860" ht="15.75" customHeight="1">
      <c r="A2860" s="66" t="s">
        <v>9460</v>
      </c>
    </row>
    <row r="2861" ht="15.75" customHeight="1">
      <c r="A2861" s="66" t="s">
        <v>9461</v>
      </c>
    </row>
    <row r="2862" ht="15.75" customHeight="1">
      <c r="A2862" s="66" t="s">
        <v>9463</v>
      </c>
    </row>
    <row r="2863" ht="15.75" customHeight="1">
      <c r="A2863" s="66" t="s">
        <v>9464</v>
      </c>
    </row>
    <row r="2864" ht="15.75" customHeight="1">
      <c r="A2864" s="66" t="s">
        <v>9467</v>
      </c>
    </row>
    <row r="2865" ht="15.75" customHeight="1">
      <c r="A2865" s="66" t="s">
        <v>9468</v>
      </c>
    </row>
    <row r="2866" ht="15.75" customHeight="1">
      <c r="A2866" s="66" t="s">
        <v>9469</v>
      </c>
    </row>
    <row r="2867" ht="15.75" customHeight="1">
      <c r="A2867" s="66" t="s">
        <v>9470</v>
      </c>
    </row>
    <row r="2868" ht="15.75" customHeight="1">
      <c r="A2868" s="66" t="s">
        <v>9471</v>
      </c>
    </row>
    <row r="2869" ht="15.75" customHeight="1">
      <c r="A2869" s="66" t="s">
        <v>9472</v>
      </c>
    </row>
    <row r="2870" ht="15.75" customHeight="1">
      <c r="A2870" s="66" t="s">
        <v>9473</v>
      </c>
    </row>
    <row r="2871" ht="15.75" customHeight="1">
      <c r="A2871" s="66" t="s">
        <v>9474</v>
      </c>
    </row>
    <row r="2872" ht="15.75" customHeight="1">
      <c r="A2872" s="66" t="s">
        <v>9475</v>
      </c>
    </row>
    <row r="2873" ht="15.75" customHeight="1">
      <c r="A2873" s="66" t="s">
        <v>9476</v>
      </c>
    </row>
    <row r="2874" ht="15.75" customHeight="1">
      <c r="A2874" s="66" t="s">
        <v>9480</v>
      </c>
    </row>
    <row r="2875" ht="15.75" customHeight="1">
      <c r="A2875" s="66" t="s">
        <v>9482</v>
      </c>
    </row>
    <row r="2876" ht="15.75" customHeight="1">
      <c r="A2876" s="66" t="s">
        <v>9483</v>
      </c>
    </row>
    <row r="2877" ht="15.75" customHeight="1">
      <c r="A2877" s="66" t="s">
        <v>9485</v>
      </c>
    </row>
    <row r="2878" ht="15.75" customHeight="1">
      <c r="A2878" s="66" t="s">
        <v>9487</v>
      </c>
    </row>
    <row r="2879" ht="15.75" customHeight="1">
      <c r="A2879" s="66" t="s">
        <v>9489</v>
      </c>
    </row>
    <row r="2880" ht="15.75" customHeight="1">
      <c r="A2880" s="66" t="s">
        <v>9490</v>
      </c>
    </row>
    <row r="2881" ht="15.75" customHeight="1">
      <c r="A2881" s="66" t="s">
        <v>9491</v>
      </c>
    </row>
    <row r="2882" ht="15.75" customHeight="1">
      <c r="A2882" s="66" t="s">
        <v>9492</v>
      </c>
    </row>
    <row r="2883" ht="15.75" customHeight="1">
      <c r="A2883" s="66" t="s">
        <v>9493</v>
      </c>
    </row>
    <row r="2884" ht="15.75" customHeight="1">
      <c r="A2884" s="66" t="s">
        <v>9494</v>
      </c>
    </row>
    <row r="2885" ht="15.75" customHeight="1">
      <c r="A2885" s="66" t="s">
        <v>9495</v>
      </c>
    </row>
    <row r="2886" ht="15.75" customHeight="1">
      <c r="A2886" s="66" t="s">
        <v>9496</v>
      </c>
    </row>
    <row r="2887" ht="15.75" customHeight="1">
      <c r="A2887" s="66" t="s">
        <v>9497</v>
      </c>
    </row>
    <row r="2888" ht="15.75" customHeight="1">
      <c r="A2888" s="66" t="s">
        <v>9498</v>
      </c>
    </row>
    <row r="2889" ht="15.75" customHeight="1">
      <c r="A2889" s="66" t="s">
        <v>9499</v>
      </c>
    </row>
    <row r="2890" ht="15.75" customHeight="1">
      <c r="A2890" s="66" t="s">
        <v>9500</v>
      </c>
    </row>
    <row r="2891" ht="15.75" customHeight="1">
      <c r="A2891" s="66" t="s">
        <v>9501</v>
      </c>
    </row>
    <row r="2892" ht="15.75" customHeight="1">
      <c r="A2892" s="66" t="s">
        <v>9502</v>
      </c>
    </row>
    <row r="2893" ht="15.75" customHeight="1">
      <c r="A2893" s="66" t="s">
        <v>9503</v>
      </c>
    </row>
    <row r="2894" ht="15.75" customHeight="1">
      <c r="A2894" s="66" t="s">
        <v>9504</v>
      </c>
    </row>
    <row r="2895" ht="15.75" customHeight="1">
      <c r="A2895" s="66" t="s">
        <v>9505</v>
      </c>
    </row>
    <row r="2896" ht="15.75" customHeight="1">
      <c r="A2896" s="66" t="s">
        <v>9506</v>
      </c>
    </row>
    <row r="2897" ht="15.75" customHeight="1">
      <c r="A2897" s="66" t="s">
        <v>9507</v>
      </c>
    </row>
    <row r="2898" ht="15.75" customHeight="1">
      <c r="A2898" s="66" t="s">
        <v>9508</v>
      </c>
    </row>
    <row r="2899" ht="15.75" customHeight="1">
      <c r="A2899" s="66" t="s">
        <v>9509</v>
      </c>
    </row>
    <row r="2900" ht="15.75" customHeight="1">
      <c r="A2900" s="66" t="s">
        <v>9510</v>
      </c>
    </row>
    <row r="2901" ht="15.75" customHeight="1">
      <c r="A2901" s="66" t="s">
        <v>9511</v>
      </c>
    </row>
    <row r="2902" ht="15.75" customHeight="1">
      <c r="A2902" s="66" t="s">
        <v>9512</v>
      </c>
    </row>
    <row r="2903" ht="15.75" customHeight="1">
      <c r="A2903" s="66" t="s">
        <v>9514</v>
      </c>
    </row>
    <row r="2904" ht="15.75" customHeight="1">
      <c r="A2904" s="66" t="s">
        <v>9515</v>
      </c>
    </row>
    <row r="2905" ht="15.75" customHeight="1">
      <c r="A2905" s="66" t="s">
        <v>9517</v>
      </c>
    </row>
    <row r="2906" ht="15.75" customHeight="1">
      <c r="A2906" s="66" t="s">
        <v>9518</v>
      </c>
    </row>
    <row r="2907" ht="15.75" customHeight="1">
      <c r="A2907" s="66" t="s">
        <v>9519</v>
      </c>
    </row>
    <row r="2908" ht="15.75" customHeight="1">
      <c r="A2908" s="66" t="s">
        <v>9520</v>
      </c>
    </row>
    <row r="2909" ht="15.75" customHeight="1">
      <c r="A2909" s="66" t="s">
        <v>9521</v>
      </c>
    </row>
    <row r="2910" ht="15.75" customHeight="1">
      <c r="A2910" s="66" t="s">
        <v>9523</v>
      </c>
    </row>
    <row r="2911" ht="15.75" customHeight="1">
      <c r="A2911" s="66" t="s">
        <v>9525</v>
      </c>
    </row>
    <row r="2912" ht="15.75" customHeight="1">
      <c r="A2912" s="66" t="s">
        <v>9527</v>
      </c>
    </row>
    <row r="2913" ht="15.75" customHeight="1">
      <c r="A2913" s="66" t="s">
        <v>9528</v>
      </c>
    </row>
    <row r="2914" ht="15.75" customHeight="1">
      <c r="A2914" s="66" t="s">
        <v>9529</v>
      </c>
    </row>
    <row r="2915" ht="15.75" customHeight="1">
      <c r="A2915" s="66" t="s">
        <v>9530</v>
      </c>
    </row>
    <row r="2916" ht="15.75" customHeight="1">
      <c r="A2916" s="66" t="s">
        <v>9532</v>
      </c>
    </row>
    <row r="2917" ht="15.75" customHeight="1">
      <c r="A2917" s="66" t="s">
        <v>9534</v>
      </c>
    </row>
    <row r="2918" ht="15.75" customHeight="1">
      <c r="A2918" s="66" t="s">
        <v>9535</v>
      </c>
    </row>
    <row r="2919" ht="15.75" customHeight="1">
      <c r="A2919" s="66" t="s">
        <v>9537</v>
      </c>
    </row>
    <row r="2920" ht="15.75" customHeight="1">
      <c r="A2920" s="66" t="s">
        <v>9538</v>
      </c>
    </row>
    <row r="2921" ht="15.75" customHeight="1">
      <c r="A2921" s="66" t="s">
        <v>9539</v>
      </c>
    </row>
    <row r="2922" ht="15.75" customHeight="1">
      <c r="A2922" s="66" t="s">
        <v>9540</v>
      </c>
    </row>
    <row r="2923" ht="15.75" customHeight="1">
      <c r="A2923" s="66" t="s">
        <v>9541</v>
      </c>
    </row>
    <row r="2924" ht="15.75" customHeight="1">
      <c r="A2924" s="66" t="s">
        <v>9542</v>
      </c>
    </row>
    <row r="2925" ht="15.75" customHeight="1">
      <c r="A2925" s="66" t="s">
        <v>9543</v>
      </c>
    </row>
    <row r="2926" ht="15.75" customHeight="1">
      <c r="A2926" s="66" t="s">
        <v>9544</v>
      </c>
    </row>
    <row r="2927" ht="15.75" customHeight="1">
      <c r="A2927" s="66" t="s">
        <v>9545</v>
      </c>
    </row>
    <row r="2928" ht="15.75" customHeight="1">
      <c r="A2928" s="66" t="s">
        <v>9546</v>
      </c>
    </row>
    <row r="2929" ht="15.75" customHeight="1">
      <c r="A2929" s="66" t="s">
        <v>9547</v>
      </c>
    </row>
    <row r="2930" ht="15.75" customHeight="1">
      <c r="A2930" s="66" t="s">
        <v>9548</v>
      </c>
    </row>
    <row r="2931" ht="15.75" customHeight="1">
      <c r="A2931" s="66" t="s">
        <v>9549</v>
      </c>
    </row>
    <row r="2932" ht="15.75" customHeight="1">
      <c r="A2932" s="66" t="s">
        <v>9550</v>
      </c>
    </row>
    <row r="2933" ht="15.75" customHeight="1">
      <c r="A2933" s="66" t="s">
        <v>9551</v>
      </c>
    </row>
    <row r="2934" ht="15.75" customHeight="1">
      <c r="A2934" s="66" t="s">
        <v>9552</v>
      </c>
    </row>
    <row r="2935" ht="15.75" customHeight="1">
      <c r="A2935" s="66" t="s">
        <v>9553</v>
      </c>
    </row>
    <row r="2936" ht="15.75" customHeight="1">
      <c r="A2936" s="66" t="s">
        <v>9554</v>
      </c>
    </row>
    <row r="2937" ht="15.75" customHeight="1">
      <c r="A2937" s="66" t="s">
        <v>9555</v>
      </c>
    </row>
    <row r="2938" ht="15.75" customHeight="1">
      <c r="A2938" s="66" t="s">
        <v>9556</v>
      </c>
    </row>
    <row r="2939" ht="15.75" customHeight="1">
      <c r="A2939" s="66" t="s">
        <v>9557</v>
      </c>
    </row>
    <row r="2940" ht="15.75" customHeight="1">
      <c r="A2940" s="66" t="s">
        <v>9558</v>
      </c>
    </row>
    <row r="2941" ht="15.75" customHeight="1">
      <c r="A2941" s="66" t="s">
        <v>9559</v>
      </c>
    </row>
    <row r="2942" ht="15.75" customHeight="1">
      <c r="A2942" s="66" t="s">
        <v>9560</v>
      </c>
    </row>
    <row r="2943" ht="15.75" customHeight="1">
      <c r="A2943" s="66" t="s">
        <v>9561</v>
      </c>
    </row>
    <row r="2944" ht="15.75" customHeight="1">
      <c r="A2944" s="66" t="s">
        <v>9562</v>
      </c>
    </row>
    <row r="2945" ht="15.75" customHeight="1">
      <c r="A2945" s="66" t="s">
        <v>9563</v>
      </c>
    </row>
    <row r="2946" ht="15.75" customHeight="1">
      <c r="A2946" s="66" t="s">
        <v>9564</v>
      </c>
    </row>
    <row r="2947" ht="15.75" customHeight="1">
      <c r="A2947" s="66" t="s">
        <v>9565</v>
      </c>
    </row>
    <row r="2948" ht="15.75" customHeight="1">
      <c r="A2948" s="66" t="s">
        <v>9566</v>
      </c>
    </row>
    <row r="2949" ht="15.75" customHeight="1">
      <c r="A2949" s="66" t="s">
        <v>9567</v>
      </c>
    </row>
    <row r="2950" ht="15.75" customHeight="1">
      <c r="A2950" s="66" t="s">
        <v>9568</v>
      </c>
    </row>
    <row r="2951" ht="15.75" customHeight="1">
      <c r="A2951" s="66" t="s">
        <v>9570</v>
      </c>
    </row>
    <row r="2952" ht="15.75" customHeight="1">
      <c r="A2952" s="66" t="s">
        <v>9573</v>
      </c>
    </row>
    <row r="2953" ht="15.75" customHeight="1">
      <c r="A2953" s="66" t="s">
        <v>9574</v>
      </c>
    </row>
    <row r="2954" ht="15.75" customHeight="1">
      <c r="A2954" s="66" t="s">
        <v>9577</v>
      </c>
    </row>
    <row r="2955" ht="15.75" customHeight="1">
      <c r="A2955" s="66" t="s">
        <v>9578</v>
      </c>
    </row>
    <row r="2956" ht="15.75" customHeight="1">
      <c r="A2956" s="66" t="s">
        <v>9580</v>
      </c>
    </row>
    <row r="2957" ht="15.75" customHeight="1">
      <c r="A2957" s="66" t="s">
        <v>9582</v>
      </c>
    </row>
    <row r="2958" ht="15.75" customHeight="1">
      <c r="A2958" s="66" t="s">
        <v>9584</v>
      </c>
    </row>
    <row r="2959" ht="15.75" customHeight="1">
      <c r="A2959" s="66" t="s">
        <v>9585</v>
      </c>
    </row>
    <row r="2960" ht="15.75" customHeight="1">
      <c r="A2960" s="66" t="s">
        <v>9586</v>
      </c>
    </row>
    <row r="2961" ht="15.75" customHeight="1">
      <c r="A2961" s="66" t="s">
        <v>9587</v>
      </c>
    </row>
    <row r="2962" ht="15.75" customHeight="1">
      <c r="A2962" s="66" t="s">
        <v>9588</v>
      </c>
    </row>
    <row r="2963" ht="15.75" customHeight="1">
      <c r="A2963" s="66" t="s">
        <v>9589</v>
      </c>
    </row>
    <row r="2964" ht="15.75" customHeight="1">
      <c r="A2964" s="66" t="s">
        <v>9590</v>
      </c>
    </row>
    <row r="2965" ht="15.75" customHeight="1">
      <c r="A2965" s="66" t="s">
        <v>9591</v>
      </c>
    </row>
    <row r="2966" ht="15.75" customHeight="1">
      <c r="A2966" s="66" t="s">
        <v>9592</v>
      </c>
    </row>
    <row r="2967" ht="15.75" customHeight="1">
      <c r="A2967" s="66" t="s">
        <v>9593</v>
      </c>
    </row>
    <row r="2968" ht="15.75" customHeight="1">
      <c r="A2968" s="66" t="s">
        <v>9594</v>
      </c>
    </row>
    <row r="2969" ht="15.75" customHeight="1">
      <c r="A2969" s="66" t="s">
        <v>9595</v>
      </c>
    </row>
    <row r="2970" ht="15.75" customHeight="1">
      <c r="A2970" s="66" t="s">
        <v>9596</v>
      </c>
    </row>
    <row r="2971" ht="15.75" customHeight="1">
      <c r="A2971" s="66" t="s">
        <v>9597</v>
      </c>
    </row>
    <row r="2972" ht="15.75" customHeight="1">
      <c r="A2972" s="66" t="s">
        <v>9598</v>
      </c>
    </row>
    <row r="2973" ht="15.75" customHeight="1">
      <c r="A2973" s="66" t="s">
        <v>9599</v>
      </c>
    </row>
    <row r="2974" ht="15.75" customHeight="1">
      <c r="A2974" s="66" t="s">
        <v>9600</v>
      </c>
    </row>
    <row r="2975" ht="15.75" customHeight="1">
      <c r="A2975" s="66" t="s">
        <v>9601</v>
      </c>
    </row>
    <row r="2976" ht="15.75" customHeight="1">
      <c r="A2976" s="66" t="s">
        <v>9602</v>
      </c>
    </row>
    <row r="2977" ht="15.75" customHeight="1">
      <c r="A2977" s="66" t="s">
        <v>9603</v>
      </c>
    </row>
    <row r="2978" ht="15.75" customHeight="1">
      <c r="A2978" s="66" t="s">
        <v>9604</v>
      </c>
    </row>
    <row r="2979" ht="15.75" customHeight="1">
      <c r="A2979" s="66" t="s">
        <v>9605</v>
      </c>
    </row>
    <row r="2980" ht="15.75" customHeight="1">
      <c r="A2980" s="66" t="s">
        <v>9606</v>
      </c>
    </row>
    <row r="2981" ht="15.75" customHeight="1">
      <c r="A2981" s="66" t="s">
        <v>9607</v>
      </c>
    </row>
    <row r="2982" ht="15.75" customHeight="1">
      <c r="A2982" s="66" t="s">
        <v>9608</v>
      </c>
    </row>
    <row r="2983" ht="15.75" customHeight="1">
      <c r="A2983" s="66" t="s">
        <v>9609</v>
      </c>
    </row>
    <row r="2984" ht="15.75" customHeight="1">
      <c r="A2984" s="66" t="s">
        <v>9610</v>
      </c>
    </row>
    <row r="2985" ht="15.75" customHeight="1">
      <c r="A2985" s="66" t="s">
        <v>9611</v>
      </c>
    </row>
    <row r="2986" ht="15.75" customHeight="1">
      <c r="A2986" s="66" t="s">
        <v>9613</v>
      </c>
    </row>
    <row r="2987" ht="15.75" customHeight="1">
      <c r="A2987" s="66" t="s">
        <v>9615</v>
      </c>
    </row>
    <row r="2988" ht="15.75" customHeight="1">
      <c r="A2988" s="66" t="s">
        <v>9617</v>
      </c>
    </row>
    <row r="2989" ht="15.75" customHeight="1">
      <c r="A2989" s="66" t="s">
        <v>9619</v>
      </c>
    </row>
    <row r="2990" ht="15.75" customHeight="1">
      <c r="A2990" s="66" t="s">
        <v>9620</v>
      </c>
    </row>
    <row r="2991" ht="15.75" customHeight="1">
      <c r="A2991" s="66" t="s">
        <v>9622</v>
      </c>
    </row>
    <row r="2992" ht="15.75" customHeight="1">
      <c r="A2992" s="66" t="s">
        <v>9624</v>
      </c>
    </row>
    <row r="2993" ht="15.75" customHeight="1">
      <c r="A2993" s="66" t="s">
        <v>9627</v>
      </c>
    </row>
    <row r="2994" ht="15.75" customHeight="1">
      <c r="A2994" s="66" t="s">
        <v>9628</v>
      </c>
    </row>
    <row r="2995" ht="15.75" customHeight="1">
      <c r="A2995" s="66" t="s">
        <v>9631</v>
      </c>
    </row>
    <row r="2996" ht="15.75" customHeight="1">
      <c r="A2996" s="66" t="s">
        <v>9632</v>
      </c>
    </row>
    <row r="2997" ht="15.75" customHeight="1">
      <c r="A2997" s="66" t="s">
        <v>9633</v>
      </c>
    </row>
    <row r="2998" ht="15.75" customHeight="1">
      <c r="A2998" s="66" t="s">
        <v>9634</v>
      </c>
    </row>
    <row r="2999" ht="15.75" customHeight="1">
      <c r="A2999" s="66" t="s">
        <v>9635</v>
      </c>
    </row>
    <row r="3000" ht="15.75" customHeight="1">
      <c r="A3000" s="66" t="s">
        <v>9636</v>
      </c>
    </row>
    <row r="3001" ht="15.75" customHeight="1">
      <c r="A3001" s="66" t="s">
        <v>9637</v>
      </c>
    </row>
    <row r="3002" ht="15.75" customHeight="1">
      <c r="A3002" s="66" t="s">
        <v>9638</v>
      </c>
    </row>
    <row r="3003" ht="15.75" customHeight="1">
      <c r="A3003" s="66" t="s">
        <v>9639</v>
      </c>
    </row>
    <row r="3004" ht="15.75" customHeight="1">
      <c r="A3004" s="66" t="s">
        <v>9640</v>
      </c>
    </row>
    <row r="3005" ht="15.75" customHeight="1">
      <c r="A3005" s="66" t="s">
        <v>9641</v>
      </c>
    </row>
    <row r="3006" ht="15.75" customHeight="1">
      <c r="A3006" s="66" t="s">
        <v>9642</v>
      </c>
    </row>
    <row r="3007" ht="15.75" customHeight="1">
      <c r="A3007" s="66" t="s">
        <v>9643</v>
      </c>
    </row>
    <row r="3008" ht="15.75" customHeight="1">
      <c r="A3008" s="66" t="s">
        <v>9644</v>
      </c>
    </row>
    <row r="3009" ht="15.75" customHeight="1">
      <c r="A3009" s="66" t="s">
        <v>9645</v>
      </c>
    </row>
    <row r="3010" ht="15.75" customHeight="1">
      <c r="A3010" s="66" t="s">
        <v>9646</v>
      </c>
    </row>
    <row r="3011" ht="15.75" customHeight="1">
      <c r="A3011" s="66" t="s">
        <v>9647</v>
      </c>
    </row>
    <row r="3012" ht="15.75" customHeight="1">
      <c r="A3012" s="66" t="s">
        <v>9648</v>
      </c>
    </row>
    <row r="3013" ht="15.75" customHeight="1">
      <c r="A3013" s="66" t="s">
        <v>9649</v>
      </c>
    </row>
    <row r="3014" ht="15.75" customHeight="1">
      <c r="A3014" s="66" t="s">
        <v>9650</v>
      </c>
    </row>
    <row r="3015" ht="15.75" customHeight="1">
      <c r="A3015" s="66" t="s">
        <v>9651</v>
      </c>
    </row>
    <row r="3016" ht="15.75" customHeight="1">
      <c r="A3016" s="66" t="s">
        <v>9652</v>
      </c>
    </row>
    <row r="3017" ht="15.75" customHeight="1">
      <c r="A3017" s="66" t="s">
        <v>9653</v>
      </c>
    </row>
    <row r="3018" ht="15.75" customHeight="1">
      <c r="A3018" s="66" t="s">
        <v>9655</v>
      </c>
    </row>
    <row r="3019" ht="15.75" customHeight="1">
      <c r="A3019" s="66" t="s">
        <v>9656</v>
      </c>
    </row>
    <row r="3020" ht="15.75" customHeight="1">
      <c r="A3020" s="66" t="s">
        <v>9658</v>
      </c>
    </row>
    <row r="3021" ht="15.75" customHeight="1">
      <c r="A3021" s="66" t="s">
        <v>9659</v>
      </c>
    </row>
    <row r="3022" ht="15.75" customHeight="1">
      <c r="A3022" s="66" t="s">
        <v>9661</v>
      </c>
    </row>
    <row r="3023" ht="15.75" customHeight="1">
      <c r="A3023" s="66" t="s">
        <v>9663</v>
      </c>
    </row>
    <row r="3024" ht="15.75" customHeight="1">
      <c r="A3024" s="66" t="s">
        <v>9665</v>
      </c>
    </row>
    <row r="3025" ht="15.75" customHeight="1">
      <c r="A3025" s="66" t="s">
        <v>9666</v>
      </c>
    </row>
    <row r="3026" ht="15.75" customHeight="1">
      <c r="A3026" s="66" t="s">
        <v>9667</v>
      </c>
    </row>
    <row r="3027" ht="15.75" customHeight="1">
      <c r="A3027" s="66" t="s">
        <v>9668</v>
      </c>
    </row>
    <row r="3028" ht="15.75" customHeight="1">
      <c r="A3028" s="66" t="s">
        <v>9669</v>
      </c>
    </row>
    <row r="3029" ht="15.75" customHeight="1">
      <c r="A3029" s="66" t="s">
        <v>9670</v>
      </c>
    </row>
    <row r="3030" ht="15.75" customHeight="1">
      <c r="A3030" s="66" t="s">
        <v>9671</v>
      </c>
    </row>
    <row r="3031" ht="15.75" customHeight="1">
      <c r="A3031" s="66" t="s">
        <v>9672</v>
      </c>
    </row>
    <row r="3032" ht="15.75" customHeight="1">
      <c r="A3032" s="66" t="s">
        <v>9673</v>
      </c>
    </row>
    <row r="3033" ht="15.75" customHeight="1">
      <c r="A3033" s="66" t="s">
        <v>9674</v>
      </c>
    </row>
    <row r="3034" ht="15.75" customHeight="1">
      <c r="A3034" s="66" t="s">
        <v>9675</v>
      </c>
    </row>
    <row r="3035" ht="15.75" customHeight="1">
      <c r="A3035" s="66" t="s">
        <v>9676</v>
      </c>
    </row>
    <row r="3036" ht="15.75" customHeight="1">
      <c r="A3036" s="66" t="s">
        <v>9677</v>
      </c>
    </row>
    <row r="3037" ht="15.75" customHeight="1">
      <c r="A3037" s="66" t="s">
        <v>9678</v>
      </c>
    </row>
    <row r="3038" ht="15.75" customHeight="1">
      <c r="A3038" s="66" t="s">
        <v>9679</v>
      </c>
    </row>
    <row r="3039" ht="15.75" customHeight="1">
      <c r="A3039" s="66" t="s">
        <v>9680</v>
      </c>
    </row>
    <row r="3040" ht="15.75" customHeight="1">
      <c r="A3040" s="66" t="s">
        <v>9681</v>
      </c>
    </row>
    <row r="3041" ht="15.75" customHeight="1">
      <c r="A3041" s="66" t="s">
        <v>9682</v>
      </c>
    </row>
    <row r="3042" ht="15.75" customHeight="1">
      <c r="A3042" s="66" t="s">
        <v>9683</v>
      </c>
    </row>
    <row r="3043" ht="15.75" customHeight="1">
      <c r="A3043" s="66" t="s">
        <v>9684</v>
      </c>
    </row>
    <row r="3044" ht="15.75" customHeight="1">
      <c r="A3044" s="66" t="s">
        <v>9685</v>
      </c>
    </row>
    <row r="3045" ht="15.75" customHeight="1">
      <c r="A3045" s="66" t="s">
        <v>9686</v>
      </c>
    </row>
    <row r="3046" ht="15.75" customHeight="1">
      <c r="A3046" s="66" t="s">
        <v>9687</v>
      </c>
    </row>
    <row r="3047" ht="15.75" customHeight="1">
      <c r="A3047" s="66" t="s">
        <v>9688</v>
      </c>
    </row>
    <row r="3048" ht="15.75" customHeight="1">
      <c r="A3048" s="66" t="s">
        <v>9690</v>
      </c>
    </row>
    <row r="3049" ht="15.75" customHeight="1">
      <c r="A3049" s="66" t="s">
        <v>9691</v>
      </c>
    </row>
    <row r="3050" ht="15.75" customHeight="1">
      <c r="A3050" s="66" t="s">
        <v>9693</v>
      </c>
    </row>
    <row r="3051" ht="15.75" customHeight="1">
      <c r="A3051" s="66" t="s">
        <v>9694</v>
      </c>
    </row>
    <row r="3052" ht="15.75" customHeight="1">
      <c r="A3052" s="66" t="s">
        <v>9695</v>
      </c>
    </row>
    <row r="3053" ht="15.75" customHeight="1">
      <c r="A3053" s="66" t="s">
        <v>9696</v>
      </c>
    </row>
    <row r="3054" ht="15.75" customHeight="1">
      <c r="A3054" s="66" t="s">
        <v>9697</v>
      </c>
    </row>
    <row r="3055" ht="15.75" customHeight="1">
      <c r="A3055" s="66" t="s">
        <v>9698</v>
      </c>
    </row>
    <row r="3056" ht="15.75" customHeight="1">
      <c r="A3056" s="66" t="s">
        <v>9699</v>
      </c>
    </row>
    <row r="3057" ht="15.75" customHeight="1">
      <c r="A3057" s="66" t="s">
        <v>9700</v>
      </c>
    </row>
    <row r="3058" ht="15.75" customHeight="1">
      <c r="A3058" s="66" t="s">
        <v>9701</v>
      </c>
    </row>
    <row r="3059" ht="15.75" customHeight="1">
      <c r="A3059" s="66" t="s">
        <v>9702</v>
      </c>
    </row>
    <row r="3060" ht="15.75" customHeight="1">
      <c r="A3060" s="66" t="s">
        <v>9703</v>
      </c>
    </row>
    <row r="3061" ht="15.75" customHeight="1">
      <c r="A3061" s="66" t="s">
        <v>9704</v>
      </c>
    </row>
    <row r="3062" ht="15.75" customHeight="1">
      <c r="A3062" s="66" t="s">
        <v>9705</v>
      </c>
    </row>
    <row r="3063" ht="15.75" customHeight="1">
      <c r="A3063" s="66" t="s">
        <v>9706</v>
      </c>
    </row>
    <row r="3064" ht="15.75" customHeight="1">
      <c r="A3064" s="66" t="s">
        <v>9707</v>
      </c>
    </row>
    <row r="3065" ht="15.75" customHeight="1">
      <c r="A3065" s="66" t="s">
        <v>9708</v>
      </c>
    </row>
    <row r="3066" ht="15.75" customHeight="1">
      <c r="A3066" s="66" t="s">
        <v>9709</v>
      </c>
    </row>
    <row r="3067" ht="15.75" customHeight="1">
      <c r="A3067" s="66" t="s">
        <v>9710</v>
      </c>
    </row>
    <row r="3068" ht="15.75" customHeight="1">
      <c r="A3068" s="66" t="s">
        <v>9711</v>
      </c>
    </row>
    <row r="3069" ht="15.75" customHeight="1">
      <c r="A3069" s="66" t="s">
        <v>9712</v>
      </c>
    </row>
    <row r="3070" ht="15.75" customHeight="1">
      <c r="A3070" s="66" t="s">
        <v>9713</v>
      </c>
    </row>
    <row r="3071" ht="15.75" customHeight="1">
      <c r="A3071" s="66" t="s">
        <v>9715</v>
      </c>
    </row>
    <row r="3072" ht="15.75" customHeight="1">
      <c r="A3072" s="66" t="s">
        <v>9717</v>
      </c>
    </row>
    <row r="3073" ht="15.75" customHeight="1">
      <c r="A3073" s="66" t="s">
        <v>9718</v>
      </c>
    </row>
    <row r="3074" ht="15.75" customHeight="1">
      <c r="A3074" s="66" t="s">
        <v>9719</v>
      </c>
    </row>
    <row r="3075" ht="15.75" customHeight="1">
      <c r="A3075" s="66" t="s">
        <v>9722</v>
      </c>
    </row>
    <row r="3076" ht="15.75" customHeight="1">
      <c r="A3076" s="66" t="s">
        <v>9724</v>
      </c>
    </row>
    <row r="3077" ht="15.75" customHeight="1">
      <c r="A3077" s="66" t="s">
        <v>9725</v>
      </c>
    </row>
    <row r="3078" ht="15.75" customHeight="1">
      <c r="A3078" s="66" t="s">
        <v>9726</v>
      </c>
    </row>
    <row r="3079" ht="15.75" customHeight="1">
      <c r="A3079" s="66" t="s">
        <v>9727</v>
      </c>
    </row>
    <row r="3080" ht="15.75" customHeight="1">
      <c r="A3080" s="66" t="s">
        <v>9728</v>
      </c>
    </row>
    <row r="3081" ht="15.75" customHeight="1">
      <c r="A3081" s="66" t="s">
        <v>9729</v>
      </c>
    </row>
    <row r="3082" ht="15.75" customHeight="1">
      <c r="A3082" s="66" t="s">
        <v>9730</v>
      </c>
    </row>
    <row r="3083" ht="15.75" customHeight="1">
      <c r="A3083" s="66" t="s">
        <v>9731</v>
      </c>
    </row>
    <row r="3084" ht="15.75" customHeight="1">
      <c r="A3084" s="66" t="s">
        <v>9732</v>
      </c>
    </row>
    <row r="3085" ht="15.75" customHeight="1">
      <c r="A3085" s="66" t="s">
        <v>9733</v>
      </c>
    </row>
    <row r="3086" ht="15.75" customHeight="1">
      <c r="A3086" s="66" t="s">
        <v>9734</v>
      </c>
    </row>
    <row r="3087" ht="15.75" customHeight="1">
      <c r="A3087" s="66" t="s">
        <v>9735</v>
      </c>
    </row>
    <row r="3088" ht="15.75" customHeight="1">
      <c r="A3088" s="66" t="s">
        <v>9736</v>
      </c>
    </row>
    <row r="3089" ht="15.75" customHeight="1">
      <c r="A3089" s="66" t="s">
        <v>9737</v>
      </c>
    </row>
    <row r="3090" ht="15.75" customHeight="1">
      <c r="A3090" s="66" t="s">
        <v>9738</v>
      </c>
    </row>
    <row r="3091" ht="15.75" customHeight="1">
      <c r="A3091" s="66" t="s">
        <v>9739</v>
      </c>
    </row>
    <row r="3092" ht="15.75" customHeight="1">
      <c r="A3092" s="66" t="s">
        <v>9740</v>
      </c>
    </row>
    <row r="3093" ht="15.75" customHeight="1">
      <c r="A3093" s="66" t="s">
        <v>9741</v>
      </c>
    </row>
    <row r="3094" ht="15.75" customHeight="1">
      <c r="A3094" s="66" t="s">
        <v>9742</v>
      </c>
    </row>
    <row r="3095" ht="15.75" customHeight="1">
      <c r="A3095" s="66" t="s">
        <v>9743</v>
      </c>
    </row>
    <row r="3096" ht="15.75" customHeight="1">
      <c r="A3096" s="66" t="s">
        <v>9744</v>
      </c>
    </row>
    <row r="3097" ht="15.75" customHeight="1">
      <c r="A3097" s="66" t="s">
        <v>9746</v>
      </c>
    </row>
    <row r="3098" ht="15.75" customHeight="1">
      <c r="A3098" s="66" t="s">
        <v>9747</v>
      </c>
    </row>
    <row r="3099" ht="15.75" customHeight="1">
      <c r="A3099" s="66" t="s">
        <v>9749</v>
      </c>
    </row>
    <row r="3100" ht="15.75" customHeight="1">
      <c r="A3100" s="66" t="s">
        <v>9750</v>
      </c>
    </row>
    <row r="3101" ht="15.75" customHeight="1">
      <c r="A3101" s="66" t="s">
        <v>9751</v>
      </c>
    </row>
    <row r="3102" ht="15.75" customHeight="1">
      <c r="A3102" s="66" t="s">
        <v>9753</v>
      </c>
    </row>
    <row r="3103" ht="15.75" customHeight="1">
      <c r="A3103" s="66" t="s">
        <v>9755</v>
      </c>
    </row>
    <row r="3104" ht="15.75" customHeight="1">
      <c r="A3104" s="66" t="s">
        <v>9757</v>
      </c>
    </row>
    <row r="3105" ht="15.75" customHeight="1">
      <c r="A3105" s="66" t="s">
        <v>9758</v>
      </c>
    </row>
    <row r="3106" ht="15.75" customHeight="1">
      <c r="A3106" s="66" t="s">
        <v>9760</v>
      </c>
    </row>
    <row r="3107" ht="15.75" customHeight="1">
      <c r="A3107" s="66" t="s">
        <v>9762</v>
      </c>
    </row>
    <row r="3108" ht="15.75" customHeight="1">
      <c r="A3108" s="66" t="s">
        <v>9764</v>
      </c>
    </row>
    <row r="3109" ht="15.75" customHeight="1">
      <c r="A3109" s="66" t="s">
        <v>9765</v>
      </c>
    </row>
    <row r="3110" ht="15.75" customHeight="1">
      <c r="A3110" s="66" t="s">
        <v>9766</v>
      </c>
    </row>
    <row r="3111" ht="15.75" customHeight="1">
      <c r="A3111" s="66" t="s">
        <v>9767</v>
      </c>
    </row>
    <row r="3112" ht="15.75" customHeight="1">
      <c r="A3112" s="66" t="s">
        <v>9768</v>
      </c>
    </row>
    <row r="3113" ht="15.75" customHeight="1">
      <c r="A3113" s="66" t="s">
        <v>9769</v>
      </c>
    </row>
    <row r="3114" ht="15.75" customHeight="1">
      <c r="A3114" s="66" t="s">
        <v>9770</v>
      </c>
    </row>
    <row r="3115" ht="15.75" customHeight="1">
      <c r="A3115" s="66" t="s">
        <v>9771</v>
      </c>
    </row>
    <row r="3116" ht="15.75" customHeight="1">
      <c r="A3116" s="66" t="s">
        <v>9772</v>
      </c>
    </row>
    <row r="3117" ht="15.75" customHeight="1">
      <c r="A3117" s="66" t="s">
        <v>9773</v>
      </c>
    </row>
    <row r="3118" ht="15.75" customHeight="1">
      <c r="A3118" s="66" t="s">
        <v>9774</v>
      </c>
    </row>
    <row r="3119" ht="15.75" customHeight="1">
      <c r="A3119" s="66" t="s">
        <v>9775</v>
      </c>
    </row>
    <row r="3120" ht="15.75" customHeight="1">
      <c r="A3120" s="66" t="s">
        <v>9776</v>
      </c>
    </row>
    <row r="3121" ht="15.75" customHeight="1">
      <c r="A3121" s="66" t="s">
        <v>9777</v>
      </c>
    </row>
    <row r="3122" ht="15.75" customHeight="1">
      <c r="A3122" s="66" t="s">
        <v>9778</v>
      </c>
    </row>
    <row r="3123" ht="15.75" customHeight="1">
      <c r="A3123" s="66" t="s">
        <v>9779</v>
      </c>
    </row>
    <row r="3124" ht="15.75" customHeight="1">
      <c r="A3124" s="66" t="s">
        <v>9780</v>
      </c>
    </row>
    <row r="3125" ht="15.75" customHeight="1">
      <c r="A3125" s="66" t="s">
        <v>9781</v>
      </c>
    </row>
    <row r="3126" ht="15.75" customHeight="1">
      <c r="A3126" s="66" t="s">
        <v>9782</v>
      </c>
    </row>
    <row r="3127" ht="15.75" customHeight="1">
      <c r="A3127" s="66" t="s">
        <v>9783</v>
      </c>
    </row>
    <row r="3128" ht="15.75" customHeight="1">
      <c r="A3128" s="66" t="s">
        <v>9784</v>
      </c>
    </row>
    <row r="3129" ht="15.75" customHeight="1">
      <c r="A3129" s="66" t="s">
        <v>9785</v>
      </c>
    </row>
    <row r="3130" ht="15.75" customHeight="1">
      <c r="A3130" s="66" t="s">
        <v>9786</v>
      </c>
    </row>
    <row r="3131" ht="15.75" customHeight="1">
      <c r="A3131" s="66" t="s">
        <v>9787</v>
      </c>
    </row>
    <row r="3132" ht="15.75" customHeight="1">
      <c r="A3132" s="66" t="s">
        <v>9788</v>
      </c>
    </row>
    <row r="3133" ht="15.75" customHeight="1">
      <c r="A3133" s="66" t="s">
        <v>9789</v>
      </c>
    </row>
    <row r="3134" ht="15.75" customHeight="1">
      <c r="A3134" s="66" t="s">
        <v>9790</v>
      </c>
    </row>
    <row r="3135" ht="15.75" customHeight="1">
      <c r="A3135" s="66" t="s">
        <v>9791</v>
      </c>
    </row>
    <row r="3136" ht="15.75" customHeight="1">
      <c r="A3136" s="66" t="s">
        <v>9792</v>
      </c>
    </row>
    <row r="3137" ht="15.75" customHeight="1">
      <c r="A3137" s="66" t="s">
        <v>9793</v>
      </c>
    </row>
    <row r="3138" ht="15.75" customHeight="1">
      <c r="A3138" s="66" t="s">
        <v>9795</v>
      </c>
    </row>
    <row r="3139" ht="15.75" customHeight="1">
      <c r="A3139" s="66" t="s">
        <v>9796</v>
      </c>
    </row>
    <row r="3140" ht="15.75" customHeight="1">
      <c r="A3140" s="66" t="s">
        <v>9798</v>
      </c>
    </row>
    <row r="3141" ht="15.75" customHeight="1">
      <c r="A3141" s="66" t="s">
        <v>9799</v>
      </c>
    </row>
    <row r="3142" ht="15.75" customHeight="1">
      <c r="A3142" s="66" t="s">
        <v>9800</v>
      </c>
    </row>
    <row r="3143" ht="15.75" customHeight="1">
      <c r="A3143" s="66" t="s">
        <v>9802</v>
      </c>
    </row>
    <row r="3144" ht="15.75" customHeight="1">
      <c r="A3144" s="66" t="s">
        <v>9804</v>
      </c>
    </row>
    <row r="3145" ht="15.75" customHeight="1">
      <c r="A3145" s="66" t="s">
        <v>9807</v>
      </c>
    </row>
    <row r="3146" ht="15.75" customHeight="1">
      <c r="A3146" s="66" t="s">
        <v>9809</v>
      </c>
    </row>
    <row r="3147" ht="15.75" customHeight="1">
      <c r="A3147" s="66" t="s">
        <v>9811</v>
      </c>
    </row>
    <row r="3148" ht="15.75" customHeight="1">
      <c r="A3148" s="66" t="s">
        <v>9813</v>
      </c>
    </row>
    <row r="3149" ht="15.75" customHeight="1">
      <c r="A3149" s="66" t="s">
        <v>9814</v>
      </c>
    </row>
    <row r="3150" ht="15.75" customHeight="1">
      <c r="A3150" s="66" t="s">
        <v>9815</v>
      </c>
    </row>
    <row r="3151" ht="15.75" customHeight="1">
      <c r="A3151" s="66" t="s">
        <v>9816</v>
      </c>
    </row>
    <row r="3152" ht="15.75" customHeight="1">
      <c r="A3152" s="66" t="s">
        <v>9817</v>
      </c>
    </row>
    <row r="3153" ht="15.75" customHeight="1">
      <c r="A3153" s="66" t="s">
        <v>9818</v>
      </c>
    </row>
    <row r="3154" ht="15.75" customHeight="1">
      <c r="A3154" s="66" t="s">
        <v>9819</v>
      </c>
    </row>
    <row r="3155" ht="15.75" customHeight="1">
      <c r="A3155" s="66" t="s">
        <v>9820</v>
      </c>
    </row>
    <row r="3156" ht="15.75" customHeight="1">
      <c r="A3156" s="66" t="s">
        <v>9821</v>
      </c>
    </row>
    <row r="3157" ht="15.75" customHeight="1">
      <c r="A3157" s="66" t="s">
        <v>9822</v>
      </c>
    </row>
    <row r="3158" ht="15.75" customHeight="1">
      <c r="A3158" s="66" t="s">
        <v>9823</v>
      </c>
    </row>
    <row r="3159" ht="15.75" customHeight="1">
      <c r="A3159" s="66" t="s">
        <v>9824</v>
      </c>
    </row>
    <row r="3160" ht="15.75" customHeight="1">
      <c r="A3160" s="66" t="s">
        <v>9825</v>
      </c>
    </row>
    <row r="3161" ht="15.75" customHeight="1">
      <c r="A3161" s="66" t="s">
        <v>9826</v>
      </c>
    </row>
    <row r="3162" ht="15.75" customHeight="1">
      <c r="A3162" s="66" t="s">
        <v>9827</v>
      </c>
    </row>
    <row r="3163" ht="15.75" customHeight="1">
      <c r="A3163" s="66" t="s">
        <v>9828</v>
      </c>
    </row>
    <row r="3164" ht="15.75" customHeight="1">
      <c r="A3164" s="66" t="s">
        <v>9829</v>
      </c>
    </row>
    <row r="3165" ht="15.75" customHeight="1">
      <c r="A3165" s="66" t="s">
        <v>9830</v>
      </c>
    </row>
    <row r="3166" ht="15.75" customHeight="1">
      <c r="A3166" s="66" t="s">
        <v>9831</v>
      </c>
    </row>
    <row r="3167" ht="15.75" customHeight="1">
      <c r="A3167" s="66" t="s">
        <v>9832</v>
      </c>
    </row>
    <row r="3168" ht="15.75" customHeight="1">
      <c r="A3168" s="66" t="s">
        <v>9833</v>
      </c>
    </row>
    <row r="3169" ht="15.75" customHeight="1">
      <c r="A3169" s="66" t="s">
        <v>9834</v>
      </c>
    </row>
    <row r="3170" ht="15.75" customHeight="1">
      <c r="A3170" s="66" t="s">
        <v>9835</v>
      </c>
    </row>
    <row r="3171" ht="15.75" customHeight="1">
      <c r="A3171" s="66" t="s">
        <v>9836</v>
      </c>
    </row>
    <row r="3172" ht="15.75" customHeight="1">
      <c r="A3172" s="66" t="s">
        <v>9837</v>
      </c>
    </row>
    <row r="3173" ht="15.75" customHeight="1">
      <c r="A3173" s="66" t="s">
        <v>9838</v>
      </c>
    </row>
    <row r="3174" ht="15.75" customHeight="1">
      <c r="A3174" s="66" t="s">
        <v>9839</v>
      </c>
    </row>
    <row r="3175" ht="15.75" customHeight="1">
      <c r="A3175" s="66" t="s">
        <v>9840</v>
      </c>
    </row>
    <row r="3176" ht="15.75" customHeight="1">
      <c r="A3176" s="66" t="s">
        <v>9841</v>
      </c>
    </row>
    <row r="3177" ht="15.75" customHeight="1">
      <c r="A3177" s="66" t="s">
        <v>9842</v>
      </c>
    </row>
    <row r="3178" ht="15.75" customHeight="1">
      <c r="A3178" s="66" t="s">
        <v>9843</v>
      </c>
    </row>
    <row r="3179" ht="15.75" customHeight="1">
      <c r="A3179" s="66" t="s">
        <v>9844</v>
      </c>
    </row>
    <row r="3180" ht="15.75" customHeight="1">
      <c r="A3180" s="66" t="s">
        <v>9845</v>
      </c>
    </row>
    <row r="3181" ht="15.75" customHeight="1">
      <c r="A3181" s="66" t="s">
        <v>9846</v>
      </c>
    </row>
    <row r="3182" ht="15.75" customHeight="1">
      <c r="A3182" s="66" t="s">
        <v>9847</v>
      </c>
    </row>
    <row r="3183" ht="15.75" customHeight="1">
      <c r="A3183" s="66" t="s">
        <v>9848</v>
      </c>
    </row>
    <row r="3184" ht="15.75" customHeight="1">
      <c r="A3184" s="66" t="s">
        <v>9849</v>
      </c>
    </row>
    <row r="3185" ht="15.75" customHeight="1">
      <c r="A3185" s="66" t="s">
        <v>9850</v>
      </c>
    </row>
    <row r="3186" ht="15.75" customHeight="1">
      <c r="A3186" s="66" t="s">
        <v>9853</v>
      </c>
    </row>
    <row r="3187" ht="15.75" customHeight="1">
      <c r="A3187" s="66" t="s">
        <v>9854</v>
      </c>
    </row>
    <row r="3188" ht="15.75" customHeight="1">
      <c r="A3188" s="66" t="s">
        <v>9856</v>
      </c>
    </row>
    <row r="3189" ht="15.75" customHeight="1">
      <c r="A3189" s="66" t="s">
        <v>9857</v>
      </c>
    </row>
    <row r="3190" ht="15.75" customHeight="1">
      <c r="A3190" s="66" t="s">
        <v>9859</v>
      </c>
    </row>
    <row r="3191" ht="15.75" customHeight="1">
      <c r="A3191" s="66" t="s">
        <v>9862</v>
      </c>
    </row>
    <row r="3192" ht="15.75" customHeight="1">
      <c r="A3192" s="66" t="s">
        <v>9864</v>
      </c>
    </row>
    <row r="3193" ht="15.75" customHeight="1">
      <c r="A3193" s="66" t="s">
        <v>9865</v>
      </c>
    </row>
    <row r="3194" ht="15.75" customHeight="1">
      <c r="A3194" s="66" t="s">
        <v>9866</v>
      </c>
    </row>
    <row r="3195" ht="15.75" customHeight="1">
      <c r="A3195" s="66" t="s">
        <v>9867</v>
      </c>
    </row>
    <row r="3196" ht="15.75" customHeight="1">
      <c r="A3196" s="66" t="s">
        <v>9868</v>
      </c>
    </row>
    <row r="3197" ht="15.75" customHeight="1">
      <c r="A3197" s="66" t="s">
        <v>9870</v>
      </c>
    </row>
    <row r="3198" ht="15.75" customHeight="1">
      <c r="A3198" s="66" t="s">
        <v>9871</v>
      </c>
    </row>
    <row r="3199" ht="15.75" customHeight="1">
      <c r="A3199" s="66" t="s">
        <v>9872</v>
      </c>
    </row>
    <row r="3200" ht="15.75" customHeight="1">
      <c r="A3200" s="66" t="s">
        <v>9873</v>
      </c>
    </row>
    <row r="3201" ht="15.75" customHeight="1">
      <c r="A3201" s="66" t="s">
        <v>9874</v>
      </c>
    </row>
    <row r="3202" ht="15.75" customHeight="1">
      <c r="A3202" s="66" t="s">
        <v>9875</v>
      </c>
    </row>
    <row r="3203" ht="15.75" customHeight="1">
      <c r="A3203" s="66" t="s">
        <v>9876</v>
      </c>
    </row>
    <row r="3204" ht="15.75" customHeight="1">
      <c r="A3204" s="66" t="s">
        <v>9877</v>
      </c>
    </row>
    <row r="3205" ht="15.75" customHeight="1">
      <c r="A3205" s="66" t="s">
        <v>9878</v>
      </c>
    </row>
    <row r="3206" ht="15.75" customHeight="1">
      <c r="A3206" s="66" t="s">
        <v>9879</v>
      </c>
    </row>
    <row r="3207" ht="15.75" customHeight="1">
      <c r="A3207" s="66" t="s">
        <v>9880</v>
      </c>
    </row>
    <row r="3208" ht="15.75" customHeight="1">
      <c r="A3208" s="66" t="s">
        <v>9881</v>
      </c>
    </row>
    <row r="3209" ht="15.75" customHeight="1">
      <c r="A3209" s="66" t="s">
        <v>9882</v>
      </c>
    </row>
    <row r="3210" ht="15.75" customHeight="1">
      <c r="A3210" s="66" t="s">
        <v>9883</v>
      </c>
    </row>
    <row r="3211" ht="15.75" customHeight="1">
      <c r="A3211" s="66" t="s">
        <v>9884</v>
      </c>
    </row>
    <row r="3212" ht="15.75" customHeight="1">
      <c r="A3212" s="66" t="s">
        <v>9885</v>
      </c>
    </row>
    <row r="3213" ht="15.75" customHeight="1">
      <c r="A3213" s="66" t="s">
        <v>9886</v>
      </c>
    </row>
    <row r="3214" ht="15.75" customHeight="1">
      <c r="A3214" s="66" t="s">
        <v>9887</v>
      </c>
    </row>
    <row r="3215" ht="15.75" customHeight="1">
      <c r="A3215" s="66" t="s">
        <v>9888</v>
      </c>
    </row>
    <row r="3216" ht="15.75" customHeight="1">
      <c r="A3216" s="66" t="s">
        <v>9889</v>
      </c>
    </row>
    <row r="3217" ht="15.75" customHeight="1">
      <c r="A3217" s="66" t="s">
        <v>9890</v>
      </c>
    </row>
    <row r="3218" ht="15.75" customHeight="1">
      <c r="A3218" s="66" t="s">
        <v>9891</v>
      </c>
    </row>
    <row r="3219" ht="15.75" customHeight="1">
      <c r="A3219" s="66" t="s">
        <v>9892</v>
      </c>
    </row>
    <row r="3220" ht="15.75" customHeight="1">
      <c r="A3220" s="66" t="s">
        <v>9893</v>
      </c>
    </row>
    <row r="3221" ht="15.75" customHeight="1">
      <c r="A3221" s="66" t="s">
        <v>9894</v>
      </c>
    </row>
    <row r="3222" ht="15.75" customHeight="1">
      <c r="A3222" s="66" t="s">
        <v>9895</v>
      </c>
    </row>
    <row r="3223" ht="15.75" customHeight="1">
      <c r="A3223" s="66" t="s">
        <v>9896</v>
      </c>
    </row>
    <row r="3224" ht="15.75" customHeight="1">
      <c r="A3224" s="66" t="s">
        <v>9897</v>
      </c>
    </row>
    <row r="3225" ht="15.75" customHeight="1">
      <c r="A3225" s="66" t="s">
        <v>9898</v>
      </c>
    </row>
    <row r="3226" ht="15.75" customHeight="1">
      <c r="A3226" s="66" t="s">
        <v>9899</v>
      </c>
    </row>
    <row r="3227" ht="15.75" customHeight="1">
      <c r="A3227" s="66" t="s">
        <v>9900</v>
      </c>
    </row>
    <row r="3228" ht="15.75" customHeight="1">
      <c r="A3228" s="66" t="s">
        <v>9901</v>
      </c>
    </row>
    <row r="3229" ht="15.75" customHeight="1">
      <c r="A3229" s="66" t="s">
        <v>9902</v>
      </c>
    </row>
    <row r="3230" ht="15.75" customHeight="1">
      <c r="A3230" s="66" t="s">
        <v>9904</v>
      </c>
    </row>
    <row r="3231" ht="15.75" customHeight="1">
      <c r="A3231" s="66" t="s">
        <v>9905</v>
      </c>
    </row>
    <row r="3232" ht="15.75" customHeight="1">
      <c r="A3232" s="66" t="s">
        <v>9906</v>
      </c>
    </row>
    <row r="3233" ht="15.75" customHeight="1">
      <c r="A3233" s="66" t="s">
        <v>9909</v>
      </c>
    </row>
    <row r="3234" ht="15.75" customHeight="1">
      <c r="A3234" s="66" t="s">
        <v>9910</v>
      </c>
    </row>
    <row r="3235" ht="15.75" customHeight="1">
      <c r="A3235" s="66" t="s">
        <v>9913</v>
      </c>
    </row>
    <row r="3236" ht="15.75" customHeight="1">
      <c r="A3236" s="66" t="s">
        <v>9915</v>
      </c>
    </row>
    <row r="3237" ht="15.75" customHeight="1">
      <c r="A3237" s="66" t="s">
        <v>9917</v>
      </c>
    </row>
    <row r="3238" ht="15.75" customHeight="1">
      <c r="A3238" s="66" t="s">
        <v>9918</v>
      </c>
    </row>
    <row r="3239" ht="15.75" customHeight="1">
      <c r="A3239" s="66" t="s">
        <v>9919</v>
      </c>
    </row>
    <row r="3240" ht="15.75" customHeight="1">
      <c r="A3240" s="66" t="s">
        <v>9920</v>
      </c>
    </row>
    <row r="3241" ht="15.75" customHeight="1">
      <c r="A3241" s="66" t="s">
        <v>9921</v>
      </c>
    </row>
    <row r="3242" ht="15.75" customHeight="1">
      <c r="A3242" s="66" t="s">
        <v>9922</v>
      </c>
    </row>
    <row r="3243" ht="15.75" customHeight="1">
      <c r="A3243" s="66" t="s">
        <v>9923</v>
      </c>
    </row>
    <row r="3244" ht="15.75" customHeight="1">
      <c r="A3244" s="66" t="s">
        <v>9924</v>
      </c>
    </row>
    <row r="3245" ht="15.75" customHeight="1">
      <c r="A3245" s="66" t="s">
        <v>9925</v>
      </c>
    </row>
    <row r="3246" ht="15.75" customHeight="1">
      <c r="A3246" s="66" t="s">
        <v>9926</v>
      </c>
    </row>
    <row r="3247" ht="15.75" customHeight="1">
      <c r="A3247" s="66" t="s">
        <v>9927</v>
      </c>
    </row>
    <row r="3248" ht="15.75" customHeight="1">
      <c r="A3248" s="66" t="s">
        <v>9928</v>
      </c>
    </row>
    <row r="3249" ht="15.75" customHeight="1">
      <c r="A3249" s="66" t="s">
        <v>9929</v>
      </c>
    </row>
    <row r="3250" ht="15.75" customHeight="1">
      <c r="A3250" s="66" t="s">
        <v>9930</v>
      </c>
    </row>
    <row r="3251" ht="15.75" customHeight="1">
      <c r="A3251" s="66" t="s">
        <v>9931</v>
      </c>
    </row>
    <row r="3252" ht="15.75" customHeight="1">
      <c r="A3252" s="66" t="s">
        <v>9932</v>
      </c>
    </row>
    <row r="3253" ht="15.75" customHeight="1">
      <c r="A3253" s="66" t="s">
        <v>9933</v>
      </c>
    </row>
    <row r="3254" ht="15.75" customHeight="1">
      <c r="A3254" s="66" t="s">
        <v>9934</v>
      </c>
    </row>
    <row r="3255" ht="15.75" customHeight="1">
      <c r="A3255" s="66" t="s">
        <v>9935</v>
      </c>
    </row>
    <row r="3256" ht="15.75" customHeight="1">
      <c r="A3256" s="66" t="s">
        <v>9936</v>
      </c>
    </row>
    <row r="3257" ht="15.75" customHeight="1">
      <c r="A3257" s="66" t="s">
        <v>9937</v>
      </c>
    </row>
    <row r="3258" ht="15.75" customHeight="1">
      <c r="A3258" s="66" t="s">
        <v>9938</v>
      </c>
    </row>
    <row r="3259" ht="15.75" customHeight="1">
      <c r="A3259" s="66" t="s">
        <v>9939</v>
      </c>
    </row>
    <row r="3260" ht="15.75" customHeight="1">
      <c r="A3260" s="66" t="s">
        <v>9940</v>
      </c>
    </row>
    <row r="3261" ht="15.75" customHeight="1">
      <c r="A3261" s="66" t="s">
        <v>9941</v>
      </c>
    </row>
    <row r="3262" ht="15.75" customHeight="1">
      <c r="A3262" s="66" t="s">
        <v>9942</v>
      </c>
    </row>
    <row r="3263" ht="15.75" customHeight="1">
      <c r="A3263" s="66" t="s">
        <v>9943</v>
      </c>
    </row>
    <row r="3264" ht="15.75" customHeight="1">
      <c r="A3264" s="66" t="s">
        <v>9944</v>
      </c>
    </row>
    <row r="3265" ht="15.75" customHeight="1">
      <c r="A3265" s="66" t="s">
        <v>9945</v>
      </c>
    </row>
    <row r="3266" ht="15.75" customHeight="1">
      <c r="A3266" s="66" t="s">
        <v>9946</v>
      </c>
    </row>
    <row r="3267" ht="15.75" customHeight="1">
      <c r="A3267" s="66" t="s">
        <v>9947</v>
      </c>
    </row>
    <row r="3268" ht="15.75" customHeight="1">
      <c r="A3268" s="66" t="s">
        <v>9949</v>
      </c>
    </row>
    <row r="3269" ht="15.75" customHeight="1">
      <c r="A3269" s="66" t="s">
        <v>9951</v>
      </c>
    </row>
    <row r="3270" ht="15.75" customHeight="1">
      <c r="A3270" s="66" t="s">
        <v>9953</v>
      </c>
    </row>
    <row r="3271" ht="15.75" customHeight="1">
      <c r="A3271" s="66" t="s">
        <v>9959</v>
      </c>
    </row>
    <row r="3272" ht="15.75" customHeight="1">
      <c r="A3272" s="66" t="s">
        <v>9961</v>
      </c>
    </row>
    <row r="3273" ht="15.75" customHeight="1">
      <c r="A3273" s="66" t="s">
        <v>9963</v>
      </c>
    </row>
    <row r="3274" ht="15.75" customHeight="1">
      <c r="A3274" s="66" t="s">
        <v>9964</v>
      </c>
    </row>
    <row r="3275" ht="15.75" customHeight="1">
      <c r="A3275" s="66" t="s">
        <v>9965</v>
      </c>
    </row>
    <row r="3276" ht="15.75" customHeight="1">
      <c r="A3276" s="66" t="s">
        <v>9966</v>
      </c>
    </row>
    <row r="3277" ht="15.75" customHeight="1">
      <c r="A3277" s="66" t="s">
        <v>9967</v>
      </c>
    </row>
    <row r="3278" ht="15.75" customHeight="1">
      <c r="A3278" s="66" t="s">
        <v>9968</v>
      </c>
    </row>
    <row r="3279" ht="15.75" customHeight="1">
      <c r="A3279" s="66" t="s">
        <v>9969</v>
      </c>
    </row>
    <row r="3280" ht="15.75" customHeight="1">
      <c r="A3280" s="66" t="s">
        <v>9970</v>
      </c>
    </row>
    <row r="3281" ht="15.75" customHeight="1">
      <c r="A3281" s="66" t="s">
        <v>9971</v>
      </c>
    </row>
    <row r="3282" ht="15.75" customHeight="1">
      <c r="A3282" s="66" t="s">
        <v>9972</v>
      </c>
    </row>
    <row r="3283" ht="15.75" customHeight="1">
      <c r="A3283" s="66" t="s">
        <v>9973</v>
      </c>
    </row>
    <row r="3284" ht="15.75" customHeight="1">
      <c r="A3284" s="66" t="s">
        <v>9974</v>
      </c>
    </row>
    <row r="3285" ht="15.75" customHeight="1">
      <c r="A3285" s="66" t="s">
        <v>9975</v>
      </c>
    </row>
    <row r="3286" ht="15.75" customHeight="1">
      <c r="A3286" s="66" t="s">
        <v>9976</v>
      </c>
    </row>
    <row r="3287" ht="15.75" customHeight="1">
      <c r="A3287" s="66" t="s">
        <v>9977</v>
      </c>
    </row>
    <row r="3288" ht="15.75" customHeight="1">
      <c r="A3288" s="66" t="s">
        <v>9978</v>
      </c>
    </row>
    <row r="3289" ht="15.75" customHeight="1">
      <c r="A3289" s="66" t="s">
        <v>9979</v>
      </c>
    </row>
    <row r="3290" ht="15.75" customHeight="1">
      <c r="A3290" s="66" t="s">
        <v>9980</v>
      </c>
    </row>
    <row r="3291" ht="15.75" customHeight="1">
      <c r="A3291" s="66" t="s">
        <v>9981</v>
      </c>
    </row>
    <row r="3292" ht="15.75" customHeight="1">
      <c r="A3292" s="66" t="s">
        <v>9983</v>
      </c>
    </row>
    <row r="3293" ht="15.75" customHeight="1">
      <c r="A3293" s="66" t="s">
        <v>9984</v>
      </c>
    </row>
    <row r="3294" ht="15.75" customHeight="1">
      <c r="A3294" s="66" t="s">
        <v>9986</v>
      </c>
    </row>
    <row r="3295" ht="15.75" customHeight="1">
      <c r="A3295" s="66" t="s">
        <v>9988</v>
      </c>
    </row>
    <row r="3296" ht="15.75" customHeight="1">
      <c r="A3296" s="66" t="s">
        <v>9989</v>
      </c>
    </row>
    <row r="3297" ht="15.75" customHeight="1">
      <c r="A3297" s="66" t="s">
        <v>9991</v>
      </c>
    </row>
    <row r="3298" ht="15.75" customHeight="1">
      <c r="A3298" s="66" t="s">
        <v>9992</v>
      </c>
    </row>
    <row r="3299" ht="15.75" customHeight="1">
      <c r="A3299" s="66" t="s">
        <v>9995</v>
      </c>
    </row>
    <row r="3300" ht="15.75" customHeight="1">
      <c r="A3300" s="66" t="s">
        <v>9996</v>
      </c>
    </row>
    <row r="3301" ht="15.75" customHeight="1">
      <c r="A3301" s="66" t="s">
        <v>9997</v>
      </c>
    </row>
    <row r="3302" ht="15.75" customHeight="1">
      <c r="A3302" s="66" t="s">
        <v>9998</v>
      </c>
    </row>
    <row r="3303" ht="15.75" customHeight="1">
      <c r="A3303" s="66" t="s">
        <v>9999</v>
      </c>
    </row>
    <row r="3304" ht="15.75" customHeight="1">
      <c r="A3304" s="66" t="s">
        <v>10000</v>
      </c>
    </row>
    <row r="3305" ht="15.75" customHeight="1">
      <c r="A3305" s="66" t="s">
        <v>10001</v>
      </c>
    </row>
    <row r="3306" ht="15.75" customHeight="1">
      <c r="A3306" s="66" t="s">
        <v>10002</v>
      </c>
    </row>
    <row r="3307" ht="15.75" customHeight="1">
      <c r="A3307" s="66" t="s">
        <v>10003</v>
      </c>
    </row>
    <row r="3308" ht="15.75" customHeight="1">
      <c r="A3308" s="66" t="s">
        <v>10004</v>
      </c>
    </row>
    <row r="3309" ht="15.75" customHeight="1">
      <c r="A3309" s="66" t="s">
        <v>10005</v>
      </c>
    </row>
    <row r="3310" ht="15.75" customHeight="1">
      <c r="A3310" s="66" t="s">
        <v>10006</v>
      </c>
    </row>
    <row r="3311" ht="15.75" customHeight="1">
      <c r="A3311" s="66" t="s">
        <v>10007</v>
      </c>
    </row>
    <row r="3312" ht="15.75" customHeight="1">
      <c r="A3312" s="66" t="s">
        <v>10008</v>
      </c>
    </row>
    <row r="3313" ht="15.75" customHeight="1">
      <c r="A3313" s="66" t="s">
        <v>10010</v>
      </c>
    </row>
    <row r="3314" ht="15.75" customHeight="1">
      <c r="A3314" s="66" t="s">
        <v>10012</v>
      </c>
    </row>
    <row r="3315" ht="15.75" customHeight="1">
      <c r="A3315" s="66" t="s">
        <v>10013</v>
      </c>
    </row>
    <row r="3316" ht="15.75" customHeight="1">
      <c r="A3316" s="66" t="s">
        <v>10014</v>
      </c>
    </row>
    <row r="3317" ht="15.75" customHeight="1">
      <c r="A3317" s="66" t="s">
        <v>10015</v>
      </c>
    </row>
    <row r="3318" ht="15.75" customHeight="1">
      <c r="A3318" s="66" t="s">
        <v>10016</v>
      </c>
    </row>
    <row r="3319" ht="15.75" customHeight="1">
      <c r="A3319" s="66" t="s">
        <v>10017</v>
      </c>
    </row>
    <row r="3320" ht="15.75" customHeight="1">
      <c r="A3320" s="66" t="s">
        <v>10018</v>
      </c>
    </row>
    <row r="3321" ht="15.75" customHeight="1">
      <c r="A3321" s="66" t="s">
        <v>10019</v>
      </c>
    </row>
    <row r="3322" ht="15.75" customHeight="1">
      <c r="A3322" s="66" t="s">
        <v>10020</v>
      </c>
    </row>
    <row r="3323" ht="15.75" customHeight="1">
      <c r="A3323" s="66" t="s">
        <v>10021</v>
      </c>
    </row>
    <row r="3324" ht="15.75" customHeight="1">
      <c r="A3324" s="66" t="s">
        <v>10022</v>
      </c>
    </row>
    <row r="3325" ht="15.75" customHeight="1">
      <c r="A3325" s="66" t="s">
        <v>10023</v>
      </c>
    </row>
    <row r="3326" ht="15.75" customHeight="1">
      <c r="A3326" s="66" t="s">
        <v>10024</v>
      </c>
    </row>
    <row r="3327" ht="15.75" customHeight="1">
      <c r="A3327" s="66" t="s">
        <v>10025</v>
      </c>
    </row>
    <row r="3328" ht="15.75" customHeight="1">
      <c r="A3328" s="66" t="s">
        <v>10027</v>
      </c>
    </row>
    <row r="3329" ht="15.75" customHeight="1">
      <c r="A3329" s="66" t="s">
        <v>10028</v>
      </c>
    </row>
    <row r="3330" ht="15.75" customHeight="1">
      <c r="A3330" s="66" t="s">
        <v>10031</v>
      </c>
    </row>
    <row r="3331" ht="15.75" customHeight="1">
      <c r="A3331" s="66" t="s">
        <v>10032</v>
      </c>
    </row>
    <row r="3332" ht="15.75" customHeight="1">
      <c r="A3332" s="66" t="s">
        <v>10034</v>
      </c>
    </row>
    <row r="3333" ht="15.75" customHeight="1">
      <c r="A3333" s="66" t="s">
        <v>10036</v>
      </c>
    </row>
    <row r="3334" ht="15.75" customHeight="1">
      <c r="A3334" s="66" t="s">
        <v>10038</v>
      </c>
    </row>
    <row r="3335" ht="15.75" customHeight="1">
      <c r="A3335" s="66" t="s">
        <v>10039</v>
      </c>
    </row>
    <row r="3336" ht="15.75" customHeight="1">
      <c r="A3336" s="66" t="s">
        <v>10040</v>
      </c>
    </row>
    <row r="3337" ht="15.75" customHeight="1">
      <c r="A3337" s="66" t="s">
        <v>10041</v>
      </c>
    </row>
    <row r="3338" ht="15.75" customHeight="1">
      <c r="A3338" s="66" t="s">
        <v>10042</v>
      </c>
    </row>
    <row r="3339" ht="15.75" customHeight="1">
      <c r="A3339" s="66" t="s">
        <v>10043</v>
      </c>
    </row>
    <row r="3340" ht="15.75" customHeight="1">
      <c r="A3340" s="66" t="s">
        <v>10044</v>
      </c>
    </row>
    <row r="3341" ht="15.75" customHeight="1">
      <c r="A3341" s="66" t="s">
        <v>10045</v>
      </c>
    </row>
    <row r="3342" ht="15.75" customHeight="1">
      <c r="A3342" s="66" t="s">
        <v>10046</v>
      </c>
    </row>
    <row r="3343" ht="15.75" customHeight="1">
      <c r="A3343" s="66" t="s">
        <v>10047</v>
      </c>
    </row>
    <row r="3344" ht="15.75" customHeight="1">
      <c r="A3344" s="66" t="s">
        <v>10048</v>
      </c>
    </row>
    <row r="3345" ht="15.75" customHeight="1">
      <c r="A3345" s="66" t="s">
        <v>10049</v>
      </c>
    </row>
    <row r="3346" ht="15.75" customHeight="1">
      <c r="A3346" s="66" t="s">
        <v>10050</v>
      </c>
    </row>
    <row r="3347" ht="15.75" customHeight="1">
      <c r="A3347" s="66" t="s">
        <v>10051</v>
      </c>
    </row>
    <row r="3348" ht="15.75" customHeight="1">
      <c r="A3348" s="66" t="s">
        <v>10052</v>
      </c>
    </row>
    <row r="3349" ht="15.75" customHeight="1">
      <c r="A3349" s="66" t="s">
        <v>10053</v>
      </c>
    </row>
    <row r="3350" ht="15.75" customHeight="1">
      <c r="A3350" s="66" t="s">
        <v>10054</v>
      </c>
    </row>
    <row r="3351" ht="15.75" customHeight="1">
      <c r="A3351" s="66" t="s">
        <v>10055</v>
      </c>
    </row>
    <row r="3352" ht="15.75" customHeight="1">
      <c r="A3352" s="66" t="s">
        <v>10056</v>
      </c>
    </row>
    <row r="3353" ht="15.75" customHeight="1">
      <c r="A3353" s="66" t="s">
        <v>10057</v>
      </c>
    </row>
    <row r="3354" ht="15.75" customHeight="1">
      <c r="A3354" s="66" t="s">
        <v>10058</v>
      </c>
    </row>
    <row r="3355" ht="15.75" customHeight="1">
      <c r="A3355" s="66" t="s">
        <v>10059</v>
      </c>
    </row>
    <row r="3356" ht="15.75" customHeight="1">
      <c r="A3356" s="66" t="s">
        <v>10060</v>
      </c>
    </row>
    <row r="3357" ht="15.75" customHeight="1">
      <c r="A3357" s="66" t="s">
        <v>10061</v>
      </c>
    </row>
    <row r="3358" ht="15.75" customHeight="1">
      <c r="A3358" s="66" t="s">
        <v>10062</v>
      </c>
    </row>
    <row r="3359" ht="15.75" customHeight="1">
      <c r="A3359" s="66" t="s">
        <v>10064</v>
      </c>
    </row>
    <row r="3360" ht="15.75" customHeight="1">
      <c r="A3360" s="66" t="s">
        <v>10065</v>
      </c>
    </row>
    <row r="3361" ht="15.75" customHeight="1">
      <c r="A3361" s="66" t="s">
        <v>10066</v>
      </c>
    </row>
    <row r="3362" ht="15.75" customHeight="1">
      <c r="A3362" s="66" t="s">
        <v>10068</v>
      </c>
    </row>
    <row r="3363" ht="15.75" customHeight="1">
      <c r="A3363" s="66" t="s">
        <v>10070</v>
      </c>
    </row>
    <row r="3364" ht="15.75" customHeight="1">
      <c r="A3364" s="66" t="s">
        <v>10072</v>
      </c>
    </row>
    <row r="3365" ht="15.75" customHeight="1">
      <c r="A3365" s="66" t="s">
        <v>10074</v>
      </c>
    </row>
    <row r="3366" ht="15.75" customHeight="1">
      <c r="A3366" s="66" t="s">
        <v>10075</v>
      </c>
    </row>
    <row r="3367" ht="15.75" customHeight="1">
      <c r="A3367" s="66" t="s">
        <v>10076</v>
      </c>
    </row>
    <row r="3368" ht="15.75" customHeight="1">
      <c r="A3368" s="66" t="s">
        <v>10079</v>
      </c>
    </row>
    <row r="3369" ht="15.75" customHeight="1">
      <c r="A3369" s="66" t="s">
        <v>10081</v>
      </c>
    </row>
    <row r="3370" ht="15.75" customHeight="1">
      <c r="A3370" s="66" t="s">
        <v>10082</v>
      </c>
    </row>
    <row r="3371" ht="15.75" customHeight="1">
      <c r="A3371" s="66" t="s">
        <v>10083</v>
      </c>
    </row>
    <row r="3372" ht="15.75" customHeight="1">
      <c r="A3372" s="66" t="s">
        <v>10084</v>
      </c>
    </row>
    <row r="3373" ht="15.75" customHeight="1">
      <c r="A3373" s="66" t="s">
        <v>10085</v>
      </c>
    </row>
    <row r="3374" ht="15.75" customHeight="1">
      <c r="A3374" s="66" t="s">
        <v>10086</v>
      </c>
    </row>
    <row r="3375" ht="15.75" customHeight="1">
      <c r="A3375" s="66" t="s">
        <v>10087</v>
      </c>
    </row>
    <row r="3376" ht="15.75" customHeight="1">
      <c r="A3376" s="66" t="s">
        <v>10088</v>
      </c>
    </row>
    <row r="3377" ht="15.75" customHeight="1">
      <c r="A3377" s="66" t="s">
        <v>10089</v>
      </c>
    </row>
    <row r="3378" ht="15.75" customHeight="1">
      <c r="A3378" s="66" t="s">
        <v>10090</v>
      </c>
    </row>
    <row r="3379" ht="15.75" customHeight="1">
      <c r="A3379" s="66" t="s">
        <v>10091</v>
      </c>
    </row>
    <row r="3380" ht="15.75" customHeight="1">
      <c r="A3380" s="66" t="s">
        <v>10092</v>
      </c>
    </row>
    <row r="3381" ht="15.75" customHeight="1">
      <c r="A3381" s="66" t="s">
        <v>10093</v>
      </c>
    </row>
    <row r="3382" ht="15.75" customHeight="1">
      <c r="A3382" s="66" t="s">
        <v>10094</v>
      </c>
    </row>
    <row r="3383" ht="15.75" customHeight="1">
      <c r="A3383" s="66" t="s">
        <v>10095</v>
      </c>
    </row>
    <row r="3384" ht="15.75" customHeight="1">
      <c r="A3384" s="66" t="s">
        <v>10096</v>
      </c>
    </row>
    <row r="3385" ht="15.75" customHeight="1">
      <c r="A3385" s="66" t="s">
        <v>10097</v>
      </c>
    </row>
    <row r="3386" ht="15.75" customHeight="1">
      <c r="A3386" s="66" t="s">
        <v>10098</v>
      </c>
    </row>
    <row r="3387" ht="15.75" customHeight="1">
      <c r="A3387" s="66" t="s">
        <v>10099</v>
      </c>
    </row>
    <row r="3388" ht="15.75" customHeight="1">
      <c r="A3388" s="66" t="s">
        <v>10100</v>
      </c>
    </row>
    <row r="3389" ht="15.75" customHeight="1">
      <c r="A3389" s="66" t="s">
        <v>10101</v>
      </c>
    </row>
    <row r="3390" ht="15.75" customHeight="1">
      <c r="A3390" s="66" t="s">
        <v>10102</v>
      </c>
    </row>
    <row r="3391" ht="15.75" customHeight="1">
      <c r="A3391" s="66" t="s">
        <v>10103</v>
      </c>
    </row>
    <row r="3392" ht="15.75" customHeight="1">
      <c r="A3392" s="66" t="s">
        <v>10104</v>
      </c>
    </row>
    <row r="3393" ht="15.75" customHeight="1">
      <c r="A3393" s="66" t="s">
        <v>10105</v>
      </c>
    </row>
    <row r="3394" ht="15.75" customHeight="1">
      <c r="A3394" s="66" t="s">
        <v>10106</v>
      </c>
    </row>
    <row r="3395" ht="15.75" customHeight="1">
      <c r="A3395" s="66" t="s">
        <v>10107</v>
      </c>
    </row>
    <row r="3396" ht="15.75" customHeight="1">
      <c r="A3396" s="66" t="s">
        <v>10108</v>
      </c>
    </row>
    <row r="3397" ht="15.75" customHeight="1">
      <c r="A3397" s="66" t="s">
        <v>10109</v>
      </c>
    </row>
    <row r="3398" ht="15.75" customHeight="1">
      <c r="A3398" s="66" t="s">
        <v>10110</v>
      </c>
    </row>
    <row r="3399" ht="15.75" customHeight="1">
      <c r="A3399" s="66" t="s">
        <v>10111</v>
      </c>
    </row>
    <row r="3400" ht="15.75" customHeight="1">
      <c r="A3400" s="66" t="s">
        <v>10112</v>
      </c>
    </row>
    <row r="3401" ht="15.75" customHeight="1">
      <c r="A3401" s="66" t="s">
        <v>10113</v>
      </c>
    </row>
    <row r="3402" ht="15.75" customHeight="1">
      <c r="A3402" s="66" t="s">
        <v>10114</v>
      </c>
    </row>
    <row r="3403" ht="15.75" customHeight="1">
      <c r="A3403" s="66" t="s">
        <v>10115</v>
      </c>
    </row>
    <row r="3404" ht="15.75" customHeight="1">
      <c r="A3404" s="66" t="s">
        <v>10116</v>
      </c>
    </row>
    <row r="3405" ht="15.75" customHeight="1">
      <c r="A3405" s="66" t="s">
        <v>10117</v>
      </c>
    </row>
    <row r="3406" ht="15.75" customHeight="1">
      <c r="A3406" s="66" t="s">
        <v>10118</v>
      </c>
    </row>
    <row r="3407" ht="15.75" customHeight="1">
      <c r="A3407" s="66" t="s">
        <v>10119</v>
      </c>
    </row>
    <row r="3408" ht="15.75" customHeight="1">
      <c r="A3408" s="66" t="s">
        <v>10121</v>
      </c>
    </row>
    <row r="3409" ht="15.75" customHeight="1">
      <c r="A3409" s="66" t="s">
        <v>10123</v>
      </c>
    </row>
    <row r="3410" ht="15.75" customHeight="1">
      <c r="A3410" s="66" t="s">
        <v>10126</v>
      </c>
    </row>
    <row r="3411" ht="15.75" customHeight="1">
      <c r="A3411" s="66" t="s">
        <v>10127</v>
      </c>
    </row>
    <row r="3412" ht="15.75" customHeight="1">
      <c r="A3412" s="66" t="s">
        <v>10128</v>
      </c>
    </row>
    <row r="3413" ht="15.75" customHeight="1">
      <c r="A3413" s="66" t="s">
        <v>10129</v>
      </c>
    </row>
    <row r="3414" ht="15.75" customHeight="1">
      <c r="A3414" s="66" t="s">
        <v>10131</v>
      </c>
    </row>
    <row r="3415" ht="15.75" customHeight="1">
      <c r="A3415" s="66" t="s">
        <v>10133</v>
      </c>
    </row>
    <row r="3416" ht="15.75" customHeight="1">
      <c r="A3416" s="66" t="s">
        <v>10135</v>
      </c>
    </row>
    <row r="3417" ht="15.75" customHeight="1">
      <c r="A3417" s="66" t="s">
        <v>10136</v>
      </c>
    </row>
    <row r="3418" ht="15.75" customHeight="1">
      <c r="A3418" s="66" t="s">
        <v>10138</v>
      </c>
    </row>
    <row r="3419" ht="15.75" customHeight="1">
      <c r="A3419" s="66" t="s">
        <v>10140</v>
      </c>
    </row>
    <row r="3420" ht="15.75" customHeight="1">
      <c r="A3420" s="66" t="s">
        <v>10142</v>
      </c>
    </row>
    <row r="3421" ht="15.75" customHeight="1">
      <c r="A3421" s="66" t="s">
        <v>10143</v>
      </c>
    </row>
    <row r="3422" ht="15.75" customHeight="1">
      <c r="A3422" s="66" t="s">
        <v>10144</v>
      </c>
    </row>
    <row r="3423" ht="15.75" customHeight="1">
      <c r="A3423" s="66" t="s">
        <v>10145</v>
      </c>
    </row>
    <row r="3424" ht="15.75" customHeight="1">
      <c r="A3424" s="66" t="s">
        <v>10146</v>
      </c>
    </row>
    <row r="3425" ht="15.75" customHeight="1">
      <c r="A3425" s="66" t="s">
        <v>10147</v>
      </c>
    </row>
    <row r="3426" ht="15.75" customHeight="1">
      <c r="A3426" s="66" t="s">
        <v>10148</v>
      </c>
    </row>
    <row r="3427" ht="15.75" customHeight="1">
      <c r="A3427" s="66" t="s">
        <v>10149</v>
      </c>
    </row>
    <row r="3428" ht="15.75" customHeight="1">
      <c r="A3428" s="66" t="s">
        <v>10150</v>
      </c>
    </row>
    <row r="3429" ht="15.75" customHeight="1">
      <c r="A3429" s="66" t="s">
        <v>10151</v>
      </c>
    </row>
    <row r="3430" ht="15.75" customHeight="1">
      <c r="A3430" s="66" t="s">
        <v>10152</v>
      </c>
    </row>
    <row r="3431" ht="15.75" customHeight="1">
      <c r="A3431" s="66" t="s">
        <v>10153</v>
      </c>
    </row>
    <row r="3432" ht="15.75" customHeight="1">
      <c r="A3432" s="66" t="s">
        <v>10154</v>
      </c>
    </row>
    <row r="3433" ht="15.75" customHeight="1">
      <c r="A3433" s="66" t="s">
        <v>10155</v>
      </c>
    </row>
    <row r="3434" ht="15.75" customHeight="1">
      <c r="A3434" s="66" t="s">
        <v>10156</v>
      </c>
    </row>
    <row r="3435" ht="15.75" customHeight="1">
      <c r="A3435" s="66" t="s">
        <v>10157</v>
      </c>
    </row>
    <row r="3436" ht="15.75" customHeight="1">
      <c r="A3436" s="66" t="s">
        <v>10158</v>
      </c>
    </row>
    <row r="3437" ht="15.75" customHeight="1">
      <c r="A3437" s="66" t="s">
        <v>10159</v>
      </c>
    </row>
    <row r="3438" ht="15.75" customHeight="1">
      <c r="A3438" s="66" t="s">
        <v>10160</v>
      </c>
    </row>
    <row r="3439" ht="15.75" customHeight="1">
      <c r="A3439" s="66" t="s">
        <v>10161</v>
      </c>
    </row>
    <row r="3440" ht="15.75" customHeight="1">
      <c r="A3440" s="66" t="s">
        <v>10162</v>
      </c>
    </row>
    <row r="3441" ht="15.75" customHeight="1">
      <c r="A3441" s="66" t="s">
        <v>10163</v>
      </c>
    </row>
    <row r="3442" ht="15.75" customHeight="1">
      <c r="A3442" s="66" t="s">
        <v>10164</v>
      </c>
    </row>
    <row r="3443" ht="15.75" customHeight="1">
      <c r="A3443" s="66" t="s">
        <v>10165</v>
      </c>
    </row>
    <row r="3444" ht="15.75" customHeight="1">
      <c r="A3444" s="66" t="s">
        <v>10166</v>
      </c>
    </row>
    <row r="3445" ht="15.75" customHeight="1">
      <c r="A3445" s="66" t="s">
        <v>10167</v>
      </c>
    </row>
    <row r="3446" ht="15.75" customHeight="1">
      <c r="A3446" s="66" t="s">
        <v>10168</v>
      </c>
    </row>
    <row r="3447" ht="15.75" customHeight="1">
      <c r="A3447" s="66" t="s">
        <v>10169</v>
      </c>
    </row>
    <row r="3448" ht="15.75" customHeight="1">
      <c r="A3448" s="66" t="s">
        <v>10170</v>
      </c>
    </row>
    <row r="3449" ht="15.75" customHeight="1">
      <c r="A3449" s="66" t="s">
        <v>10171</v>
      </c>
    </row>
    <row r="3450" ht="15.75" customHeight="1">
      <c r="A3450" s="66" t="s">
        <v>10172</v>
      </c>
    </row>
    <row r="3451" ht="15.75" customHeight="1">
      <c r="A3451" s="66" t="s">
        <v>10173</v>
      </c>
    </row>
    <row r="3452" ht="15.75" customHeight="1">
      <c r="A3452" s="66" t="s">
        <v>10177</v>
      </c>
    </row>
    <row r="3453" ht="15.75" customHeight="1">
      <c r="A3453" s="66" t="s">
        <v>10178</v>
      </c>
    </row>
    <row r="3454" ht="15.75" customHeight="1">
      <c r="A3454" s="66" t="s">
        <v>10181</v>
      </c>
    </row>
    <row r="3455" ht="15.75" customHeight="1">
      <c r="A3455" s="66" t="s">
        <v>10182</v>
      </c>
    </row>
    <row r="3456" ht="15.75" customHeight="1">
      <c r="A3456" s="66" t="s">
        <v>10184</v>
      </c>
    </row>
    <row r="3457" ht="15.75" customHeight="1">
      <c r="A3457" s="66" t="s">
        <v>10186</v>
      </c>
    </row>
    <row r="3458" ht="15.75" customHeight="1">
      <c r="A3458" s="66" t="s">
        <v>10188</v>
      </c>
    </row>
    <row r="3459" ht="15.75" customHeight="1">
      <c r="A3459" s="66" t="s">
        <v>10189</v>
      </c>
    </row>
    <row r="3460" ht="15.75" customHeight="1">
      <c r="A3460" s="66" t="s">
        <v>10190</v>
      </c>
    </row>
    <row r="3461" ht="15.75" customHeight="1">
      <c r="A3461" s="66" t="s">
        <v>10191</v>
      </c>
    </row>
    <row r="3462" ht="15.75" customHeight="1">
      <c r="A3462" s="66" t="s">
        <v>10192</v>
      </c>
    </row>
    <row r="3463" ht="15.75" customHeight="1">
      <c r="A3463" s="66" t="s">
        <v>10193</v>
      </c>
    </row>
    <row r="3464" ht="15.75" customHeight="1">
      <c r="A3464" s="66" t="s">
        <v>10194</v>
      </c>
    </row>
    <row r="3465" ht="15.75" customHeight="1">
      <c r="A3465" s="66" t="s">
        <v>10195</v>
      </c>
    </row>
    <row r="3466" ht="15.75" customHeight="1">
      <c r="A3466" s="66" t="s">
        <v>10196</v>
      </c>
    </row>
    <row r="3467" ht="15.75" customHeight="1">
      <c r="A3467" s="66" t="s">
        <v>10197</v>
      </c>
    </row>
    <row r="3468" ht="15.75" customHeight="1">
      <c r="A3468" s="66" t="s">
        <v>10198</v>
      </c>
    </row>
    <row r="3469" ht="15.75" customHeight="1">
      <c r="A3469" s="66" t="s">
        <v>10199</v>
      </c>
    </row>
    <row r="3470" ht="15.75" customHeight="1">
      <c r="A3470" s="66" t="s">
        <v>10200</v>
      </c>
    </row>
    <row r="3471" ht="15.75" customHeight="1">
      <c r="A3471" s="66" t="s">
        <v>10201</v>
      </c>
    </row>
    <row r="3472" ht="15.75" customHeight="1">
      <c r="A3472" s="66" t="s">
        <v>10202</v>
      </c>
    </row>
    <row r="3473" ht="15.75" customHeight="1">
      <c r="A3473" s="66" t="s">
        <v>10203</v>
      </c>
    </row>
    <row r="3474" ht="15.75" customHeight="1">
      <c r="A3474" s="66" t="s">
        <v>10204</v>
      </c>
    </row>
    <row r="3475" ht="15.75" customHeight="1">
      <c r="A3475" s="66" t="s">
        <v>10205</v>
      </c>
    </row>
    <row r="3476" ht="15.75" customHeight="1">
      <c r="A3476" s="66" t="s">
        <v>10206</v>
      </c>
    </row>
    <row r="3477" ht="15.75" customHeight="1">
      <c r="A3477" s="66" t="s">
        <v>10207</v>
      </c>
    </row>
    <row r="3478" ht="15.75" customHeight="1">
      <c r="A3478" s="66" t="s">
        <v>10208</v>
      </c>
    </row>
    <row r="3479" ht="15.75" customHeight="1">
      <c r="A3479" s="66" t="s">
        <v>10209</v>
      </c>
    </row>
    <row r="3480" ht="15.75" customHeight="1">
      <c r="A3480" s="66" t="s">
        <v>10210</v>
      </c>
    </row>
    <row r="3481" ht="15.75" customHeight="1">
      <c r="A3481" s="66" t="s">
        <v>10211</v>
      </c>
    </row>
    <row r="3482" ht="15.75" customHeight="1">
      <c r="A3482" s="66" t="s">
        <v>10212</v>
      </c>
    </row>
    <row r="3483" ht="15.75" customHeight="1">
      <c r="A3483" s="66" t="s">
        <v>10213</v>
      </c>
    </row>
    <row r="3484" ht="15.75" customHeight="1">
      <c r="A3484" s="66" t="s">
        <v>10214</v>
      </c>
    </row>
    <row r="3485" ht="15.75" customHeight="1">
      <c r="A3485" s="66" t="s">
        <v>10215</v>
      </c>
    </row>
    <row r="3486" ht="15.75" customHeight="1">
      <c r="A3486" s="66" t="s">
        <v>10217</v>
      </c>
    </row>
    <row r="3487" ht="15.75" customHeight="1">
      <c r="A3487" s="66" t="s">
        <v>10219</v>
      </c>
    </row>
    <row r="3488" ht="15.75" customHeight="1">
      <c r="A3488" s="66" t="s">
        <v>10222</v>
      </c>
    </row>
    <row r="3489" ht="15.75" customHeight="1">
      <c r="A3489" s="66" t="s">
        <v>10223</v>
      </c>
    </row>
    <row r="3490" ht="15.75" customHeight="1">
      <c r="A3490" s="66" t="s">
        <v>10224</v>
      </c>
    </row>
    <row r="3491" ht="15.75" customHeight="1">
      <c r="A3491" s="66" t="s">
        <v>10227</v>
      </c>
    </row>
    <row r="3492" ht="15.75" customHeight="1">
      <c r="A3492" s="66" t="s">
        <v>10230</v>
      </c>
    </row>
    <row r="3493" ht="15.75" customHeight="1">
      <c r="A3493" s="66" t="s">
        <v>10232</v>
      </c>
    </row>
    <row r="3494" ht="15.75" customHeight="1">
      <c r="A3494" s="66" t="s">
        <v>10234</v>
      </c>
    </row>
    <row r="3495" ht="15.75" customHeight="1">
      <c r="A3495" s="66" t="s">
        <v>10235</v>
      </c>
    </row>
    <row r="3496" ht="15.75" customHeight="1">
      <c r="A3496" s="66" t="s">
        <v>10236</v>
      </c>
    </row>
    <row r="3497" ht="15.75" customHeight="1">
      <c r="A3497" s="66" t="s">
        <v>10237</v>
      </c>
    </row>
    <row r="3498" ht="15.75" customHeight="1">
      <c r="A3498" s="66" t="s">
        <v>10238</v>
      </c>
    </row>
    <row r="3499" ht="15.75" customHeight="1">
      <c r="A3499" s="66" t="s">
        <v>10239</v>
      </c>
    </row>
    <row r="3500" ht="15.75" customHeight="1">
      <c r="A3500" s="66" t="s">
        <v>10240</v>
      </c>
    </row>
    <row r="3501" ht="15.75" customHeight="1">
      <c r="A3501" s="66" t="s">
        <v>10241</v>
      </c>
    </row>
    <row r="3502" ht="15.75" customHeight="1">
      <c r="A3502" s="66" t="s">
        <v>10242</v>
      </c>
    </row>
    <row r="3503" ht="15.75" customHeight="1">
      <c r="A3503" s="66" t="s">
        <v>10243</v>
      </c>
    </row>
    <row r="3504" ht="15.75" customHeight="1">
      <c r="A3504" s="66" t="s">
        <v>10244</v>
      </c>
    </row>
    <row r="3505" ht="15.75" customHeight="1">
      <c r="A3505" s="66" t="s">
        <v>10245</v>
      </c>
    </row>
    <row r="3506" ht="15.75" customHeight="1">
      <c r="A3506" s="66" t="s">
        <v>10246</v>
      </c>
    </row>
    <row r="3507" ht="15.75" customHeight="1">
      <c r="A3507" s="66" t="s">
        <v>10247</v>
      </c>
    </row>
    <row r="3508" ht="15.75" customHeight="1">
      <c r="A3508" s="66" t="s">
        <v>10248</v>
      </c>
    </row>
    <row r="3509" ht="15.75" customHeight="1">
      <c r="A3509" s="66" t="s">
        <v>10249</v>
      </c>
    </row>
    <row r="3510" ht="15.75" customHeight="1">
      <c r="A3510" s="66" t="s">
        <v>10250</v>
      </c>
    </row>
    <row r="3511" ht="15.75" customHeight="1">
      <c r="A3511" s="66" t="s">
        <v>10251</v>
      </c>
    </row>
    <row r="3512" ht="15.75" customHeight="1">
      <c r="A3512" s="66" t="s">
        <v>10252</v>
      </c>
    </row>
    <row r="3513" ht="15.75" customHeight="1">
      <c r="A3513" s="66" t="s">
        <v>10253</v>
      </c>
    </row>
    <row r="3514" ht="15.75" customHeight="1">
      <c r="A3514" s="66" t="s">
        <v>10254</v>
      </c>
    </row>
    <row r="3515" ht="15.75" customHeight="1">
      <c r="A3515" s="66" t="s">
        <v>10255</v>
      </c>
    </row>
    <row r="3516" ht="15.75" customHeight="1">
      <c r="A3516" s="66" t="s">
        <v>10256</v>
      </c>
    </row>
    <row r="3517" ht="15.75" customHeight="1">
      <c r="A3517" s="66" t="s">
        <v>10257</v>
      </c>
    </row>
    <row r="3518" ht="15.75" customHeight="1">
      <c r="A3518" s="66" t="s">
        <v>10260</v>
      </c>
    </row>
    <row r="3519" ht="15.75" customHeight="1">
      <c r="A3519" s="66" t="s">
        <v>10263</v>
      </c>
    </row>
    <row r="3520" ht="15.75" customHeight="1">
      <c r="A3520" s="66" t="s">
        <v>10264</v>
      </c>
    </row>
    <row r="3521" ht="15.75" customHeight="1">
      <c r="A3521" s="66" t="s">
        <v>10267</v>
      </c>
    </row>
    <row r="3522" ht="15.75" customHeight="1">
      <c r="A3522" s="66" t="s">
        <v>10268</v>
      </c>
    </row>
    <row r="3523" ht="15.75" customHeight="1">
      <c r="A3523" s="66" t="s">
        <v>10270</v>
      </c>
    </row>
    <row r="3524" ht="15.75" customHeight="1">
      <c r="A3524" s="66" t="s">
        <v>10271</v>
      </c>
    </row>
    <row r="3525" ht="15.75" customHeight="1">
      <c r="A3525" s="66" t="s">
        <v>10272</v>
      </c>
    </row>
    <row r="3526" ht="15.75" customHeight="1">
      <c r="A3526" s="66" t="s">
        <v>10273</v>
      </c>
    </row>
    <row r="3527" ht="15.75" customHeight="1">
      <c r="A3527" s="66" t="s">
        <v>10274</v>
      </c>
    </row>
    <row r="3528" ht="15.75" customHeight="1">
      <c r="A3528" s="66" t="s">
        <v>10275</v>
      </c>
    </row>
    <row r="3529" ht="15.75" customHeight="1">
      <c r="A3529" s="66" t="s">
        <v>10276</v>
      </c>
    </row>
    <row r="3530" ht="15.75" customHeight="1">
      <c r="A3530" s="66" t="s">
        <v>10277</v>
      </c>
    </row>
    <row r="3531" ht="15.75" customHeight="1">
      <c r="A3531" s="66" t="s">
        <v>10278</v>
      </c>
    </row>
    <row r="3532" ht="15.75" customHeight="1">
      <c r="A3532" s="66" t="s">
        <v>10279</v>
      </c>
    </row>
    <row r="3533" ht="15.75" customHeight="1">
      <c r="A3533" s="66" t="s">
        <v>10280</v>
      </c>
    </row>
    <row r="3534" ht="15.75" customHeight="1">
      <c r="A3534" s="66" t="s">
        <v>10281</v>
      </c>
    </row>
    <row r="3535" ht="15.75" customHeight="1">
      <c r="A3535" s="66" t="s">
        <v>10282</v>
      </c>
    </row>
    <row r="3536" ht="15.75" customHeight="1">
      <c r="A3536" s="66" t="s">
        <v>10283</v>
      </c>
    </row>
    <row r="3537" ht="15.75" customHeight="1">
      <c r="A3537" s="66" t="s">
        <v>10284</v>
      </c>
    </row>
    <row r="3538" ht="15.75" customHeight="1">
      <c r="A3538" s="66" t="s">
        <v>10285</v>
      </c>
    </row>
    <row r="3539" ht="15.75" customHeight="1">
      <c r="A3539" s="66" t="s">
        <v>10286</v>
      </c>
    </row>
    <row r="3540" ht="15.75" customHeight="1">
      <c r="A3540" s="66" t="s">
        <v>10287</v>
      </c>
    </row>
    <row r="3541" ht="15.75" customHeight="1">
      <c r="A3541" s="66" t="s">
        <v>10288</v>
      </c>
    </row>
    <row r="3542" ht="15.75" customHeight="1">
      <c r="A3542" s="66" t="s">
        <v>10289</v>
      </c>
    </row>
    <row r="3543" ht="15.75" customHeight="1">
      <c r="A3543" s="66" t="s">
        <v>10290</v>
      </c>
    </row>
    <row r="3544" ht="15.75" customHeight="1">
      <c r="A3544" s="66" t="s">
        <v>10291</v>
      </c>
    </row>
    <row r="3545" ht="15.75" customHeight="1">
      <c r="A3545" s="66" t="s">
        <v>10292</v>
      </c>
    </row>
    <row r="3546" ht="15.75" customHeight="1">
      <c r="A3546" s="66" t="s">
        <v>10293</v>
      </c>
    </row>
    <row r="3547" ht="15.75" customHeight="1">
      <c r="A3547" s="66" t="s">
        <v>10294</v>
      </c>
    </row>
    <row r="3548" ht="15.75" customHeight="1">
      <c r="A3548" s="66" t="s">
        <v>10295</v>
      </c>
    </row>
    <row r="3549" ht="15.75" customHeight="1">
      <c r="A3549" s="66" t="s">
        <v>10296</v>
      </c>
    </row>
    <row r="3550" ht="15.75" customHeight="1">
      <c r="A3550" s="66" t="s">
        <v>10297</v>
      </c>
    </row>
    <row r="3551" ht="15.75" customHeight="1">
      <c r="A3551" s="66" t="s">
        <v>10298</v>
      </c>
    </row>
    <row r="3552" ht="15.75" customHeight="1">
      <c r="A3552" s="66" t="s">
        <v>10299</v>
      </c>
    </row>
    <row r="3553" ht="15.75" customHeight="1">
      <c r="A3553" s="66" t="s">
        <v>10300</v>
      </c>
    </row>
    <row r="3554" ht="15.75" customHeight="1">
      <c r="A3554" s="66" t="s">
        <v>10301</v>
      </c>
    </row>
    <row r="3555" ht="15.75" customHeight="1">
      <c r="A3555" s="66" t="s">
        <v>10302</v>
      </c>
    </row>
    <row r="3556" ht="15.75" customHeight="1">
      <c r="A3556" s="66" t="s">
        <v>10303</v>
      </c>
    </row>
    <row r="3557" ht="15.75" customHeight="1">
      <c r="A3557" s="66" t="s">
        <v>10304</v>
      </c>
    </row>
    <row r="3558" ht="15.75" customHeight="1">
      <c r="A3558" s="66" t="s">
        <v>10305</v>
      </c>
    </row>
    <row r="3559" ht="15.75" customHeight="1">
      <c r="A3559" s="66" t="s">
        <v>10306</v>
      </c>
    </row>
    <row r="3560" ht="15.75" customHeight="1">
      <c r="A3560" s="66" t="s">
        <v>10307</v>
      </c>
    </row>
    <row r="3561" ht="15.75" customHeight="1">
      <c r="A3561" s="66" t="s">
        <v>10308</v>
      </c>
    </row>
    <row r="3562" ht="15.75" customHeight="1">
      <c r="A3562" s="66" t="s">
        <v>10309</v>
      </c>
    </row>
    <row r="3563" ht="15.75" customHeight="1">
      <c r="A3563" s="66" t="s">
        <v>10310</v>
      </c>
    </row>
    <row r="3564" ht="15.75" customHeight="1">
      <c r="A3564" s="66" t="s">
        <v>10311</v>
      </c>
    </row>
    <row r="3565" ht="15.75" customHeight="1">
      <c r="A3565" s="66" t="s">
        <v>10312</v>
      </c>
    </row>
    <row r="3566" ht="15.75" customHeight="1">
      <c r="A3566" s="66" t="s">
        <v>10313</v>
      </c>
    </row>
    <row r="3567" ht="15.75" customHeight="1">
      <c r="A3567" s="66" t="s">
        <v>10314</v>
      </c>
    </row>
    <row r="3568" ht="15.75" customHeight="1">
      <c r="A3568" s="66" t="s">
        <v>10315</v>
      </c>
    </row>
    <row r="3569" ht="15.75" customHeight="1">
      <c r="A3569" s="66" t="s">
        <v>10316</v>
      </c>
    </row>
    <row r="3570" ht="15.75" customHeight="1">
      <c r="A3570" s="66" t="s">
        <v>10317</v>
      </c>
    </row>
    <row r="3571" ht="15.75" customHeight="1">
      <c r="A3571" s="66" t="s">
        <v>10318</v>
      </c>
    </row>
    <row r="3572" ht="15.75" customHeight="1">
      <c r="A3572" s="66" t="s">
        <v>10319</v>
      </c>
    </row>
    <row r="3573" ht="15.75" customHeight="1">
      <c r="A3573" s="66" t="s">
        <v>10320</v>
      </c>
    </row>
    <row r="3574" ht="15.75" customHeight="1">
      <c r="A3574" s="66" t="s">
        <v>10321</v>
      </c>
    </row>
    <row r="3575" ht="15.75" customHeight="1">
      <c r="A3575" s="66" t="s">
        <v>10322</v>
      </c>
    </row>
    <row r="3576" ht="15.75" customHeight="1">
      <c r="A3576" s="66" t="s">
        <v>10323</v>
      </c>
    </row>
    <row r="3577" ht="15.75" customHeight="1">
      <c r="A3577" s="66" t="s">
        <v>10324</v>
      </c>
    </row>
    <row r="3578" ht="15.75" customHeight="1">
      <c r="A3578" s="66" t="s">
        <v>10325</v>
      </c>
    </row>
    <row r="3579" ht="15.75" customHeight="1">
      <c r="A3579" s="66" t="s">
        <v>10326</v>
      </c>
    </row>
    <row r="3580" ht="15.75" customHeight="1">
      <c r="A3580" s="66" t="s">
        <v>10327</v>
      </c>
    </row>
    <row r="3581" ht="15.75" customHeight="1">
      <c r="A3581" s="66" t="s">
        <v>10328</v>
      </c>
    </row>
    <row r="3582" ht="15.75" customHeight="1">
      <c r="A3582" s="66" t="s">
        <v>10329</v>
      </c>
    </row>
    <row r="3583" ht="15.75" customHeight="1">
      <c r="A3583" s="66" t="s">
        <v>10330</v>
      </c>
    </row>
    <row r="3584" ht="15.75" customHeight="1">
      <c r="A3584" s="66" t="s">
        <v>10331</v>
      </c>
    </row>
    <row r="3585" ht="15.75" customHeight="1">
      <c r="A3585" s="66" t="s">
        <v>10332</v>
      </c>
    </row>
    <row r="3586" ht="15.75" customHeight="1">
      <c r="A3586" s="66" t="s">
        <v>10333</v>
      </c>
    </row>
    <row r="3587" ht="15.75" customHeight="1">
      <c r="A3587" s="66" t="s">
        <v>10334</v>
      </c>
    </row>
    <row r="3588" ht="15.75" customHeight="1">
      <c r="A3588" s="66" t="s">
        <v>10335</v>
      </c>
    </row>
    <row r="3589" ht="15.75" customHeight="1">
      <c r="A3589" s="66" t="s">
        <v>10336</v>
      </c>
    </row>
    <row r="3590" ht="15.75" customHeight="1">
      <c r="A3590" s="66" t="s">
        <v>10337</v>
      </c>
    </row>
    <row r="3591" ht="15.75" customHeight="1">
      <c r="A3591" s="66" t="s">
        <v>10338</v>
      </c>
    </row>
    <row r="3592" ht="15.75" customHeight="1">
      <c r="A3592" s="66" t="s">
        <v>10339</v>
      </c>
    </row>
    <row r="3593" ht="15.75" customHeight="1">
      <c r="A3593" s="66" t="s">
        <v>10340</v>
      </c>
    </row>
    <row r="3594" ht="15.75" customHeight="1">
      <c r="A3594" s="66" t="s">
        <v>10341</v>
      </c>
    </row>
    <row r="3595" ht="15.75" customHeight="1">
      <c r="A3595" s="66" t="s">
        <v>10342</v>
      </c>
    </row>
    <row r="3596" ht="15.75" customHeight="1">
      <c r="A3596" s="66" t="s">
        <v>10343</v>
      </c>
    </row>
    <row r="3597" ht="15.75" customHeight="1">
      <c r="A3597" s="66" t="s">
        <v>10344</v>
      </c>
    </row>
    <row r="3598" ht="15.75" customHeight="1">
      <c r="A3598" s="66" t="s">
        <v>10345</v>
      </c>
    </row>
    <row r="3599" ht="15.75" customHeight="1">
      <c r="A3599" s="66" t="s">
        <v>10346</v>
      </c>
    </row>
    <row r="3600" ht="15.75" customHeight="1">
      <c r="A3600" s="66" t="s">
        <v>10348</v>
      </c>
    </row>
    <row r="3601" ht="15.75" customHeight="1">
      <c r="A3601" s="66" t="s">
        <v>10349</v>
      </c>
    </row>
    <row r="3602" ht="15.75" customHeight="1">
      <c r="A3602" s="66" t="s">
        <v>10351</v>
      </c>
    </row>
    <row r="3603" ht="15.75" customHeight="1">
      <c r="A3603" s="66" t="s">
        <v>10352</v>
      </c>
    </row>
    <row r="3604" ht="15.75" customHeight="1">
      <c r="A3604" s="66" t="s">
        <v>10353</v>
      </c>
    </row>
    <row r="3605" ht="15.75" customHeight="1">
      <c r="A3605" s="66" t="s">
        <v>10354</v>
      </c>
    </row>
    <row r="3606" ht="15.75" customHeight="1">
      <c r="A3606" s="66" t="s">
        <v>10355</v>
      </c>
    </row>
    <row r="3607" ht="15.75" customHeight="1">
      <c r="A3607" s="66" t="s">
        <v>10356</v>
      </c>
    </row>
    <row r="3608" ht="15.75" customHeight="1">
      <c r="A3608" s="66" t="s">
        <v>10357</v>
      </c>
    </row>
    <row r="3609" ht="15.75" customHeight="1">
      <c r="A3609" s="66" t="s">
        <v>10358</v>
      </c>
    </row>
    <row r="3610" ht="15.75" customHeight="1">
      <c r="A3610" s="66" t="s">
        <v>10359</v>
      </c>
    </row>
    <row r="3611" ht="15.75" customHeight="1">
      <c r="A3611" s="66" t="s">
        <v>10360</v>
      </c>
    </row>
    <row r="3612" ht="15.75" customHeight="1">
      <c r="A3612" s="66" t="s">
        <v>10361</v>
      </c>
    </row>
    <row r="3613" ht="15.75" customHeight="1">
      <c r="A3613" s="66" t="s">
        <v>10362</v>
      </c>
    </row>
    <row r="3614" ht="15.75" customHeight="1">
      <c r="A3614" s="66" t="s">
        <v>10363</v>
      </c>
    </row>
    <row r="3615" ht="15.75" customHeight="1">
      <c r="A3615" s="66" t="s">
        <v>10364</v>
      </c>
    </row>
    <row r="3616" ht="15.75" customHeight="1">
      <c r="A3616" s="66" t="s">
        <v>10365</v>
      </c>
    </row>
    <row r="3617" ht="15.75" customHeight="1">
      <c r="A3617" s="66" t="s">
        <v>10366</v>
      </c>
    </row>
    <row r="3618" ht="15.75" customHeight="1">
      <c r="A3618" s="66" t="s">
        <v>10367</v>
      </c>
    </row>
    <row r="3619" ht="15.75" customHeight="1">
      <c r="A3619" s="66" t="s">
        <v>10368</v>
      </c>
    </row>
    <row r="3620" ht="15.75" customHeight="1">
      <c r="A3620" s="66" t="s">
        <v>10369</v>
      </c>
    </row>
    <row r="3621" ht="15.75" customHeight="1">
      <c r="A3621" s="66" t="s">
        <v>10370</v>
      </c>
    </row>
    <row r="3622" ht="15.75" customHeight="1">
      <c r="A3622" s="66" t="s">
        <v>10371</v>
      </c>
    </row>
    <row r="3623" ht="15.75" customHeight="1">
      <c r="A3623" s="66" t="s">
        <v>10372</v>
      </c>
    </row>
    <row r="3624" ht="15.75" customHeight="1">
      <c r="A3624" s="66" t="s">
        <v>10373</v>
      </c>
    </row>
    <row r="3625" ht="15.75" customHeight="1">
      <c r="A3625" s="66" t="s">
        <v>10374</v>
      </c>
    </row>
    <row r="3626" ht="15.75" customHeight="1">
      <c r="A3626" s="66" t="s">
        <v>10375</v>
      </c>
    </row>
    <row r="3627" ht="15.75" customHeight="1">
      <c r="A3627" s="66" t="s">
        <v>10376</v>
      </c>
    </row>
    <row r="3628" ht="15.75" customHeight="1">
      <c r="A3628" s="66" t="s">
        <v>10377</v>
      </c>
    </row>
    <row r="3629" ht="15.75" customHeight="1">
      <c r="A3629" s="66" t="s">
        <v>10378</v>
      </c>
    </row>
    <row r="3630" ht="15.75" customHeight="1">
      <c r="A3630" s="66" t="s">
        <v>10379</v>
      </c>
    </row>
    <row r="3631" ht="15.75" customHeight="1">
      <c r="A3631" s="66" t="s">
        <v>10380</v>
      </c>
    </row>
    <row r="3632" ht="15.75" customHeight="1">
      <c r="A3632" s="66" t="s">
        <v>10381</v>
      </c>
    </row>
    <row r="3633" ht="15.75" customHeight="1">
      <c r="A3633" s="66" t="s">
        <v>10382</v>
      </c>
    </row>
    <row r="3634" ht="15.75" customHeight="1">
      <c r="A3634" s="66" t="s">
        <v>10383</v>
      </c>
    </row>
    <row r="3635" ht="15.75" customHeight="1">
      <c r="A3635" s="66" t="s">
        <v>10384</v>
      </c>
    </row>
    <row r="3636" ht="15.75" customHeight="1">
      <c r="A3636" s="66" t="s">
        <v>10385</v>
      </c>
    </row>
    <row r="3637" ht="15.75" customHeight="1">
      <c r="A3637" s="66" t="s">
        <v>10386</v>
      </c>
    </row>
    <row r="3638" ht="15.75" customHeight="1">
      <c r="A3638" s="66" t="s">
        <v>10387</v>
      </c>
    </row>
    <row r="3639" ht="15.75" customHeight="1">
      <c r="A3639" s="66" t="s">
        <v>10388</v>
      </c>
    </row>
    <row r="3640" ht="15.75" customHeight="1">
      <c r="A3640" s="66" t="s">
        <v>10389</v>
      </c>
    </row>
    <row r="3641" ht="15.75" customHeight="1">
      <c r="A3641" s="66" t="s">
        <v>10390</v>
      </c>
    </row>
    <row r="3642" ht="15.75" customHeight="1">
      <c r="A3642" s="66" t="s">
        <v>10392</v>
      </c>
    </row>
    <row r="3643" ht="15.75" customHeight="1">
      <c r="A3643" s="66" t="s">
        <v>10394</v>
      </c>
    </row>
    <row r="3644" ht="15.75" customHeight="1">
      <c r="A3644" s="66" t="s">
        <v>10396</v>
      </c>
    </row>
    <row r="3645" ht="15.75" customHeight="1">
      <c r="A3645" s="66" t="s">
        <v>10397</v>
      </c>
    </row>
    <row r="3646" ht="15.75" customHeight="1">
      <c r="A3646" s="66" t="s">
        <v>10398</v>
      </c>
    </row>
    <row r="3647" ht="15.75" customHeight="1">
      <c r="A3647" s="66" t="s">
        <v>10399</v>
      </c>
    </row>
    <row r="3648" ht="15.75" customHeight="1">
      <c r="A3648" s="66" t="s">
        <v>10400</v>
      </c>
    </row>
    <row r="3649" ht="15.75" customHeight="1">
      <c r="A3649" s="66" t="s">
        <v>10401</v>
      </c>
    </row>
    <row r="3650" ht="15.75" customHeight="1">
      <c r="A3650" s="66" t="s">
        <v>10402</v>
      </c>
    </row>
    <row r="3651" ht="15.75" customHeight="1">
      <c r="A3651" s="66" t="s">
        <v>10403</v>
      </c>
    </row>
    <row r="3652" ht="15.75" customHeight="1">
      <c r="A3652" s="66" t="s">
        <v>10404</v>
      </c>
    </row>
    <row r="3653" ht="15.75" customHeight="1">
      <c r="A3653" s="66" t="s">
        <v>10405</v>
      </c>
    </row>
    <row r="3654" ht="15.75" customHeight="1">
      <c r="A3654" s="66" t="s">
        <v>10406</v>
      </c>
    </row>
    <row r="3655" ht="15.75" customHeight="1">
      <c r="A3655" s="66" t="s">
        <v>10407</v>
      </c>
    </row>
    <row r="3656" ht="15.75" customHeight="1">
      <c r="A3656" s="66" t="s">
        <v>10408</v>
      </c>
    </row>
    <row r="3657" ht="15.75" customHeight="1">
      <c r="A3657" s="66" t="s">
        <v>10409</v>
      </c>
    </row>
    <row r="3658" ht="15.75" customHeight="1">
      <c r="A3658" s="66" t="s">
        <v>10410</v>
      </c>
    </row>
    <row r="3659" ht="15.75" customHeight="1">
      <c r="A3659" s="66" t="s">
        <v>10411</v>
      </c>
    </row>
    <row r="3660" ht="15.75" customHeight="1">
      <c r="A3660" s="66" t="s">
        <v>10412</v>
      </c>
    </row>
    <row r="3661" ht="15.75" customHeight="1">
      <c r="A3661" s="66" t="s">
        <v>10413</v>
      </c>
    </row>
    <row r="3662" ht="15.75" customHeight="1">
      <c r="A3662" s="66" t="s">
        <v>10414</v>
      </c>
    </row>
    <row r="3663" ht="15.75" customHeight="1">
      <c r="A3663" s="66" t="s">
        <v>10415</v>
      </c>
    </row>
    <row r="3664" ht="15.75" customHeight="1">
      <c r="A3664" s="66" t="s">
        <v>10416</v>
      </c>
    </row>
    <row r="3665" ht="15.75" customHeight="1">
      <c r="A3665" s="66" t="s">
        <v>10417</v>
      </c>
    </row>
    <row r="3666" ht="15.75" customHeight="1">
      <c r="A3666" s="66" t="s">
        <v>10418</v>
      </c>
    </row>
    <row r="3667" ht="15.75" customHeight="1">
      <c r="A3667" s="66" t="s">
        <v>10419</v>
      </c>
    </row>
    <row r="3668" ht="15.75" customHeight="1">
      <c r="A3668" s="66" t="s">
        <v>10420</v>
      </c>
    </row>
    <row r="3669" ht="15.75" customHeight="1">
      <c r="A3669" s="66" t="s">
        <v>10421</v>
      </c>
    </row>
    <row r="3670" ht="15.75" customHeight="1">
      <c r="A3670" s="66" t="s">
        <v>10422</v>
      </c>
    </row>
    <row r="3671" ht="15.75" customHeight="1">
      <c r="A3671" s="66" t="s">
        <v>10423</v>
      </c>
    </row>
    <row r="3672" ht="15.75" customHeight="1">
      <c r="A3672" s="66" t="s">
        <v>10424</v>
      </c>
    </row>
    <row r="3673" ht="15.75" customHeight="1">
      <c r="A3673" s="66" t="s">
        <v>10425</v>
      </c>
    </row>
    <row r="3674" ht="15.75" customHeight="1">
      <c r="A3674" s="66" t="s">
        <v>10426</v>
      </c>
    </row>
    <row r="3675" ht="15.75" customHeight="1">
      <c r="A3675" s="66" t="s">
        <v>10427</v>
      </c>
    </row>
    <row r="3676" ht="15.75" customHeight="1">
      <c r="A3676" s="66" t="s">
        <v>10428</v>
      </c>
    </row>
    <row r="3677" ht="15.75" customHeight="1">
      <c r="A3677" s="66" t="s">
        <v>10429</v>
      </c>
    </row>
    <row r="3678" ht="15.75" customHeight="1">
      <c r="A3678" s="66" t="s">
        <v>10430</v>
      </c>
    </row>
    <row r="3679" ht="15.75" customHeight="1">
      <c r="A3679" s="66" t="s">
        <v>10431</v>
      </c>
    </row>
    <row r="3680" ht="15.75" customHeight="1">
      <c r="A3680" s="66" t="s">
        <v>10432</v>
      </c>
    </row>
    <row r="3681" ht="15.75" customHeight="1">
      <c r="A3681" s="66" t="s">
        <v>10433</v>
      </c>
    </row>
    <row r="3682" ht="15.75" customHeight="1">
      <c r="A3682" s="66" t="s">
        <v>10434</v>
      </c>
    </row>
    <row r="3683" ht="15.75" customHeight="1">
      <c r="A3683" s="66" t="s">
        <v>10435</v>
      </c>
    </row>
    <row r="3684" ht="15.75" customHeight="1">
      <c r="A3684" s="66" t="s">
        <v>10436</v>
      </c>
    </row>
    <row r="3685" ht="15.75" customHeight="1">
      <c r="A3685" s="66" t="s">
        <v>10437</v>
      </c>
    </row>
    <row r="3686" ht="15.75" customHeight="1">
      <c r="A3686" s="66" t="s">
        <v>10438</v>
      </c>
    </row>
    <row r="3687" ht="15.75" customHeight="1">
      <c r="A3687" s="66" t="s">
        <v>10439</v>
      </c>
    </row>
    <row r="3688" ht="15.75" customHeight="1">
      <c r="A3688" s="66" t="s">
        <v>10440</v>
      </c>
    </row>
    <row r="3689" ht="15.75" customHeight="1">
      <c r="A3689" s="66" t="s">
        <v>10441</v>
      </c>
    </row>
    <row r="3690" ht="15.75" customHeight="1">
      <c r="A3690" s="66" t="s">
        <v>10442</v>
      </c>
    </row>
    <row r="3691" ht="15.75" customHeight="1">
      <c r="A3691" s="66" t="s">
        <v>10443</v>
      </c>
    </row>
    <row r="3692" ht="15.75" customHeight="1">
      <c r="A3692" s="66" t="s">
        <v>10444</v>
      </c>
    </row>
    <row r="3693" ht="15.75" customHeight="1">
      <c r="A3693" s="66" t="s">
        <v>10445</v>
      </c>
    </row>
    <row r="3694" ht="15.75" customHeight="1">
      <c r="A3694" s="66" t="s">
        <v>10446</v>
      </c>
    </row>
    <row r="3695" ht="15.75" customHeight="1">
      <c r="A3695" s="66" t="s">
        <v>10447</v>
      </c>
    </row>
    <row r="3696" ht="15.75" customHeight="1">
      <c r="A3696" s="66" t="s">
        <v>10448</v>
      </c>
    </row>
    <row r="3697" ht="15.75" customHeight="1">
      <c r="A3697" s="66" t="s">
        <v>10449</v>
      </c>
    </row>
    <row r="3698" ht="15.75" customHeight="1">
      <c r="A3698" s="66" t="s">
        <v>10451</v>
      </c>
    </row>
    <row r="3699" ht="15.75" customHeight="1">
      <c r="A3699" s="66" t="s">
        <v>10452</v>
      </c>
    </row>
    <row r="3700" ht="15.75" customHeight="1">
      <c r="A3700" s="66" t="s">
        <v>10453</v>
      </c>
    </row>
    <row r="3701" ht="15.75" customHeight="1">
      <c r="A3701" s="66" t="s">
        <v>10454</v>
      </c>
    </row>
    <row r="3702" ht="15.75" customHeight="1">
      <c r="A3702" s="66" t="s">
        <v>10455</v>
      </c>
    </row>
    <row r="3703" ht="15.75" customHeight="1">
      <c r="A3703" s="66" t="s">
        <v>10456</v>
      </c>
    </row>
    <row r="3704" ht="15.75" customHeight="1">
      <c r="A3704" s="66" t="s">
        <v>10457</v>
      </c>
    </row>
    <row r="3705" ht="15.75" customHeight="1">
      <c r="A3705" s="66" t="s">
        <v>10459</v>
      </c>
    </row>
    <row r="3706" ht="15.75" customHeight="1">
      <c r="A3706" s="66" t="s">
        <v>10461</v>
      </c>
    </row>
    <row r="3707" ht="15.75" customHeight="1">
      <c r="A3707" s="66" t="s">
        <v>10462</v>
      </c>
    </row>
    <row r="3708" ht="15.75" customHeight="1">
      <c r="A3708" s="66" t="s">
        <v>10463</v>
      </c>
    </row>
    <row r="3709" ht="15.75" customHeight="1">
      <c r="A3709" s="66" t="s">
        <v>10464</v>
      </c>
    </row>
    <row r="3710" ht="15.75" customHeight="1">
      <c r="A3710" s="66" t="s">
        <v>10465</v>
      </c>
    </row>
    <row r="3711" ht="15.75" customHeight="1">
      <c r="A3711" s="66" t="s">
        <v>10466</v>
      </c>
    </row>
    <row r="3712" ht="15.75" customHeight="1">
      <c r="A3712" s="66" t="s">
        <v>10467</v>
      </c>
    </row>
    <row r="3713" ht="15.75" customHeight="1">
      <c r="A3713" s="66" t="s">
        <v>10468</v>
      </c>
    </row>
    <row r="3714" ht="15.75" customHeight="1">
      <c r="A3714" s="66" t="s">
        <v>10469</v>
      </c>
    </row>
    <row r="3715" ht="15.75" customHeight="1">
      <c r="A3715" s="66" t="s">
        <v>10470</v>
      </c>
    </row>
    <row r="3716" ht="15.75" customHeight="1">
      <c r="A3716" s="66" t="s">
        <v>10471</v>
      </c>
    </row>
    <row r="3717" ht="15.75" customHeight="1">
      <c r="A3717" s="66" t="s">
        <v>10472</v>
      </c>
    </row>
    <row r="3718" ht="15.75" customHeight="1">
      <c r="A3718" s="66" t="s">
        <v>10473</v>
      </c>
    </row>
    <row r="3719" ht="15.75" customHeight="1">
      <c r="A3719" s="66" t="s">
        <v>10474</v>
      </c>
    </row>
    <row r="3720" ht="15.75" customHeight="1">
      <c r="A3720" s="66" t="s">
        <v>10475</v>
      </c>
    </row>
    <row r="3721" ht="15.75" customHeight="1">
      <c r="A3721" s="66" t="s">
        <v>10476</v>
      </c>
    </row>
    <row r="3722" ht="15.75" customHeight="1">
      <c r="A3722" s="66" t="s">
        <v>10477</v>
      </c>
    </row>
    <row r="3723" ht="15.75" customHeight="1">
      <c r="A3723" s="66" t="s">
        <v>10478</v>
      </c>
    </row>
    <row r="3724" ht="15.75" customHeight="1">
      <c r="A3724" s="66" t="s">
        <v>10479</v>
      </c>
    </row>
    <row r="3725" ht="15.75" customHeight="1">
      <c r="A3725" s="66" t="s">
        <v>10480</v>
      </c>
    </row>
    <row r="3726" ht="15.75" customHeight="1">
      <c r="A3726" s="66" t="s">
        <v>10481</v>
      </c>
    </row>
    <row r="3727" ht="15.75" customHeight="1">
      <c r="A3727" s="66" t="s">
        <v>10482</v>
      </c>
    </row>
    <row r="3728" ht="15.75" customHeight="1">
      <c r="A3728" s="66" t="s">
        <v>10483</v>
      </c>
    </row>
    <row r="3729" ht="15.75" customHeight="1">
      <c r="A3729" s="66" t="s">
        <v>10484</v>
      </c>
    </row>
    <row r="3730" ht="15.75" customHeight="1">
      <c r="A3730" s="66" t="s">
        <v>10485</v>
      </c>
    </row>
    <row r="3731" ht="15.75" customHeight="1">
      <c r="A3731" s="66" t="s">
        <v>10486</v>
      </c>
    </row>
    <row r="3732" ht="15.75" customHeight="1">
      <c r="A3732" s="66" t="s">
        <v>10487</v>
      </c>
    </row>
    <row r="3733" ht="15.75" customHeight="1">
      <c r="A3733" s="66" t="s">
        <v>10488</v>
      </c>
    </row>
    <row r="3734" ht="15.75" customHeight="1">
      <c r="A3734" s="66" t="s">
        <v>10489</v>
      </c>
    </row>
    <row r="3735" ht="15.75" customHeight="1">
      <c r="A3735" s="66" t="s">
        <v>10490</v>
      </c>
    </row>
    <row r="3736" ht="15.75" customHeight="1">
      <c r="A3736" s="66" t="s">
        <v>10491</v>
      </c>
    </row>
    <row r="3737" ht="15.75" customHeight="1">
      <c r="A3737" s="66" t="s">
        <v>10492</v>
      </c>
    </row>
    <row r="3738" ht="15.75" customHeight="1">
      <c r="A3738" s="66" t="s">
        <v>10493</v>
      </c>
    </row>
    <row r="3739" ht="15.75" customHeight="1">
      <c r="A3739" s="66" t="s">
        <v>10494</v>
      </c>
    </row>
    <row r="3740" ht="15.75" customHeight="1">
      <c r="A3740" s="66" t="s">
        <v>10495</v>
      </c>
    </row>
    <row r="3741" ht="15.75" customHeight="1">
      <c r="A3741" s="66" t="s">
        <v>10496</v>
      </c>
    </row>
    <row r="3742" ht="15.75" customHeight="1">
      <c r="A3742" s="66" t="s">
        <v>10497</v>
      </c>
    </row>
    <row r="3743" ht="15.75" customHeight="1">
      <c r="A3743" s="66" t="s">
        <v>10498</v>
      </c>
    </row>
    <row r="3744" ht="15.75" customHeight="1">
      <c r="A3744" s="66" t="s">
        <v>10499</v>
      </c>
    </row>
    <row r="3745" ht="15.75" customHeight="1">
      <c r="A3745" s="66" t="s">
        <v>10500</v>
      </c>
    </row>
    <row r="3746" ht="15.75" customHeight="1">
      <c r="A3746" s="66" t="s">
        <v>10501</v>
      </c>
    </row>
    <row r="3747" ht="15.75" customHeight="1">
      <c r="A3747" s="66" t="s">
        <v>10502</v>
      </c>
    </row>
    <row r="3748" ht="15.75" customHeight="1">
      <c r="A3748" s="66" t="s">
        <v>10503</v>
      </c>
    </row>
    <row r="3749" ht="15.75" customHeight="1">
      <c r="A3749" s="66" t="s">
        <v>10504</v>
      </c>
    </row>
    <row r="3750" ht="15.75" customHeight="1">
      <c r="A3750" s="66" t="s">
        <v>10506</v>
      </c>
    </row>
    <row r="3751" ht="15.75" customHeight="1">
      <c r="A3751" s="66" t="s">
        <v>10507</v>
      </c>
    </row>
    <row r="3752" ht="15.75" customHeight="1">
      <c r="A3752" s="66" t="s">
        <v>10509</v>
      </c>
    </row>
    <row r="3753" ht="15.75" customHeight="1">
      <c r="A3753" s="66" t="s">
        <v>10510</v>
      </c>
    </row>
    <row r="3754" ht="15.75" customHeight="1">
      <c r="A3754" s="66" t="s">
        <v>10511</v>
      </c>
    </row>
    <row r="3755" ht="15.75" customHeight="1">
      <c r="A3755" s="66" t="s">
        <v>10512</v>
      </c>
    </row>
    <row r="3756" ht="15.75" customHeight="1">
      <c r="A3756" s="66" t="s">
        <v>10513</v>
      </c>
    </row>
    <row r="3757" ht="15.75" customHeight="1">
      <c r="A3757" s="66" t="s">
        <v>10514</v>
      </c>
    </row>
    <row r="3758" ht="15.75" customHeight="1">
      <c r="A3758" s="66" t="s">
        <v>10515</v>
      </c>
    </row>
    <row r="3759" ht="15.75" customHeight="1">
      <c r="A3759" s="66" t="s">
        <v>10516</v>
      </c>
    </row>
    <row r="3760" ht="15.75" customHeight="1">
      <c r="A3760" s="66" t="s">
        <v>10517</v>
      </c>
    </row>
    <row r="3761" ht="15.75" customHeight="1">
      <c r="A3761" s="66" t="s">
        <v>10518</v>
      </c>
    </row>
    <row r="3762" ht="15.75" customHeight="1">
      <c r="A3762" s="66" t="s">
        <v>10519</v>
      </c>
    </row>
    <row r="3763" ht="15.75" customHeight="1">
      <c r="A3763" s="66" t="s">
        <v>10520</v>
      </c>
    </row>
    <row r="3764" ht="15.75" customHeight="1">
      <c r="A3764" s="66" t="s">
        <v>10521</v>
      </c>
    </row>
    <row r="3765" ht="15.75" customHeight="1">
      <c r="A3765" s="66" t="s">
        <v>10522</v>
      </c>
    </row>
    <row r="3766" ht="15.75" customHeight="1">
      <c r="A3766" s="66" t="s">
        <v>10523</v>
      </c>
    </row>
    <row r="3767" ht="15.75" customHeight="1">
      <c r="A3767" s="66" t="s">
        <v>10524</v>
      </c>
    </row>
    <row r="3768" ht="15.75" customHeight="1">
      <c r="A3768" s="66" t="s">
        <v>10525</v>
      </c>
    </row>
    <row r="3769" ht="15.75" customHeight="1">
      <c r="A3769" s="66" t="s">
        <v>10526</v>
      </c>
    </row>
    <row r="3770" ht="15.75" customHeight="1">
      <c r="A3770" s="66" t="s">
        <v>10527</v>
      </c>
    </row>
    <row r="3771" ht="15.75" customHeight="1">
      <c r="A3771" s="66" t="s">
        <v>10529</v>
      </c>
    </row>
    <row r="3772" ht="15.75" customHeight="1">
      <c r="A3772" s="66" t="s">
        <v>10531</v>
      </c>
    </row>
    <row r="3773" ht="15.75" customHeight="1">
      <c r="A3773" s="66" t="s">
        <v>10532</v>
      </c>
    </row>
    <row r="3774" ht="15.75" customHeight="1">
      <c r="A3774" s="66" t="s">
        <v>10535</v>
      </c>
    </row>
    <row r="3775" ht="15.75" customHeight="1">
      <c r="A3775" s="66" t="s">
        <v>10536</v>
      </c>
    </row>
    <row r="3776" ht="15.75" customHeight="1">
      <c r="A3776" s="66" t="s">
        <v>10538</v>
      </c>
    </row>
    <row r="3777" ht="15.75" customHeight="1">
      <c r="A3777" s="66" t="s">
        <v>10540</v>
      </c>
    </row>
    <row r="3778" ht="15.75" customHeight="1">
      <c r="A3778" s="66" t="s">
        <v>10541</v>
      </c>
    </row>
    <row r="3779" ht="15.75" customHeight="1">
      <c r="A3779" s="66" t="s">
        <v>10543</v>
      </c>
    </row>
    <row r="3780" ht="15.75" customHeight="1">
      <c r="A3780" s="66" t="s">
        <v>10544</v>
      </c>
    </row>
    <row r="3781" ht="15.75" customHeight="1">
      <c r="A3781" s="66" t="s">
        <v>10545</v>
      </c>
    </row>
    <row r="3782" ht="15.75" customHeight="1">
      <c r="A3782" s="66" t="s">
        <v>10546</v>
      </c>
    </row>
    <row r="3783" ht="15.75" customHeight="1">
      <c r="A3783" s="66" t="s">
        <v>10547</v>
      </c>
    </row>
    <row r="3784" ht="15.75" customHeight="1">
      <c r="A3784" s="66" t="s">
        <v>10548</v>
      </c>
    </row>
    <row r="3785" ht="15.75" customHeight="1">
      <c r="A3785" s="66" t="s">
        <v>10549</v>
      </c>
    </row>
    <row r="3786" ht="15.75" customHeight="1">
      <c r="A3786" s="66" t="s">
        <v>10550</v>
      </c>
    </row>
    <row r="3787" ht="15.75" customHeight="1">
      <c r="A3787" s="66" t="s">
        <v>10551</v>
      </c>
    </row>
    <row r="3788" ht="15.75" customHeight="1">
      <c r="A3788" s="66" t="s">
        <v>10552</v>
      </c>
    </row>
    <row r="3789" ht="15.75" customHeight="1">
      <c r="A3789" s="66" t="s">
        <v>10553</v>
      </c>
    </row>
    <row r="3790" ht="15.75" customHeight="1">
      <c r="A3790" s="66" t="s">
        <v>10554</v>
      </c>
    </row>
    <row r="3791" ht="15.75" customHeight="1">
      <c r="A3791" s="66" t="s">
        <v>10555</v>
      </c>
    </row>
    <row r="3792" ht="15.75" customHeight="1">
      <c r="A3792" s="66" t="s">
        <v>10556</v>
      </c>
    </row>
    <row r="3793" ht="15.75" customHeight="1">
      <c r="A3793" s="66" t="s">
        <v>10557</v>
      </c>
    </row>
    <row r="3794" ht="15.75" customHeight="1">
      <c r="A3794" s="66" t="s">
        <v>10558</v>
      </c>
    </row>
    <row r="3795" ht="15.75" customHeight="1">
      <c r="A3795" s="66" t="s">
        <v>10559</v>
      </c>
    </row>
    <row r="3796" ht="15.75" customHeight="1">
      <c r="A3796" s="66" t="s">
        <v>10560</v>
      </c>
    </row>
    <row r="3797" ht="15.75" customHeight="1">
      <c r="A3797" s="66" t="s">
        <v>10561</v>
      </c>
    </row>
    <row r="3798" ht="15.75" customHeight="1">
      <c r="A3798" s="66" t="s">
        <v>10562</v>
      </c>
    </row>
    <row r="3799" ht="15.75" customHeight="1">
      <c r="A3799" s="66" t="s">
        <v>10563</v>
      </c>
    </row>
    <row r="3800" ht="15.75" customHeight="1">
      <c r="A3800" s="66" t="s">
        <v>10564</v>
      </c>
    </row>
    <row r="3801" ht="15.75" customHeight="1">
      <c r="A3801" s="66" t="s">
        <v>10565</v>
      </c>
    </row>
    <row r="3802" ht="15.75" customHeight="1">
      <c r="A3802" s="66" t="s">
        <v>10566</v>
      </c>
    </row>
    <row r="3803" ht="15.75" customHeight="1">
      <c r="A3803" s="66" t="s">
        <v>10567</v>
      </c>
    </row>
    <row r="3804" ht="15.75" customHeight="1">
      <c r="A3804" s="66" t="s">
        <v>10568</v>
      </c>
    </row>
    <row r="3805" ht="15.75" customHeight="1">
      <c r="A3805" s="66" t="s">
        <v>10569</v>
      </c>
    </row>
    <row r="3806" ht="15.75" customHeight="1">
      <c r="A3806" s="66" t="s">
        <v>10570</v>
      </c>
    </row>
    <row r="3807" ht="15.75" customHeight="1">
      <c r="A3807" s="66" t="s">
        <v>10571</v>
      </c>
    </row>
    <row r="3808" ht="15.75" customHeight="1">
      <c r="A3808" s="66" t="s">
        <v>10572</v>
      </c>
    </row>
    <row r="3809" ht="15.75" customHeight="1">
      <c r="A3809" s="66" t="s">
        <v>10573</v>
      </c>
    </row>
    <row r="3810" ht="15.75" customHeight="1">
      <c r="A3810" s="66" t="s">
        <v>10574</v>
      </c>
    </row>
    <row r="3811" ht="15.75" customHeight="1">
      <c r="A3811" s="66" t="s">
        <v>10575</v>
      </c>
    </row>
    <row r="3812" ht="15.75" customHeight="1">
      <c r="A3812" s="66" t="s">
        <v>10576</v>
      </c>
    </row>
    <row r="3813" ht="15.75" customHeight="1">
      <c r="A3813" s="66" t="s">
        <v>10577</v>
      </c>
    </row>
    <row r="3814" ht="15.75" customHeight="1">
      <c r="A3814" s="66" t="s">
        <v>10579</v>
      </c>
    </row>
    <row r="3815" ht="15.75" customHeight="1">
      <c r="A3815" s="66" t="s">
        <v>10580</v>
      </c>
    </row>
    <row r="3816" ht="15.75" customHeight="1">
      <c r="A3816" s="66" t="s">
        <v>10581</v>
      </c>
    </row>
    <row r="3817" ht="15.75" customHeight="1">
      <c r="A3817" s="66" t="s">
        <v>10583</v>
      </c>
    </row>
    <row r="3818" ht="15.75" customHeight="1">
      <c r="A3818" s="66" t="s">
        <v>10584</v>
      </c>
    </row>
    <row r="3819" ht="15.75" customHeight="1">
      <c r="A3819" s="66" t="s">
        <v>10585</v>
      </c>
    </row>
    <row r="3820" ht="15.75" customHeight="1">
      <c r="A3820" s="66" t="s">
        <v>10589</v>
      </c>
    </row>
    <row r="3821" ht="15.75" customHeight="1">
      <c r="A3821" s="66" t="s">
        <v>10593</v>
      </c>
    </row>
    <row r="3822" ht="15.75" customHeight="1">
      <c r="A3822" s="66" t="s">
        <v>10594</v>
      </c>
    </row>
    <row r="3823" ht="15.75" customHeight="1">
      <c r="A3823" s="66" t="s">
        <v>10595</v>
      </c>
    </row>
    <row r="3824" ht="15.75" customHeight="1">
      <c r="A3824" s="66" t="s">
        <v>10596</v>
      </c>
    </row>
    <row r="3825" ht="15.75" customHeight="1">
      <c r="A3825" s="66" t="s">
        <v>10597</v>
      </c>
    </row>
    <row r="3826" ht="15.75" customHeight="1">
      <c r="A3826" s="66" t="s">
        <v>10598</v>
      </c>
    </row>
    <row r="3827" ht="15.75" customHeight="1">
      <c r="A3827" s="66" t="s">
        <v>10599</v>
      </c>
    </row>
    <row r="3828" ht="15.75" customHeight="1">
      <c r="A3828" s="66" t="s">
        <v>10600</v>
      </c>
    </row>
    <row r="3829" ht="15.75" customHeight="1">
      <c r="A3829" s="66" t="s">
        <v>10601</v>
      </c>
    </row>
    <row r="3830" ht="15.75" customHeight="1">
      <c r="A3830" s="66" t="s">
        <v>10602</v>
      </c>
    </row>
    <row r="3831" ht="15.75" customHeight="1">
      <c r="A3831" s="66" t="s">
        <v>10603</v>
      </c>
    </row>
    <row r="3832" ht="15.75" customHeight="1">
      <c r="A3832" s="66" t="s">
        <v>10604</v>
      </c>
    </row>
    <row r="3833" ht="15.75" customHeight="1">
      <c r="A3833" s="66" t="s">
        <v>10605</v>
      </c>
    </row>
    <row r="3834" ht="15.75" customHeight="1">
      <c r="A3834" s="66" t="s">
        <v>10606</v>
      </c>
    </row>
    <row r="3835" ht="15.75" customHeight="1">
      <c r="A3835" s="66" t="s">
        <v>10607</v>
      </c>
    </row>
    <row r="3836" ht="15.75" customHeight="1">
      <c r="A3836" s="66" t="s">
        <v>10608</v>
      </c>
    </row>
    <row r="3837" ht="15.75" customHeight="1">
      <c r="A3837" s="66" t="s">
        <v>10609</v>
      </c>
    </row>
    <row r="3838" ht="15.75" customHeight="1">
      <c r="A3838" s="66" t="s">
        <v>10610</v>
      </c>
    </row>
    <row r="3839" ht="15.75" customHeight="1">
      <c r="A3839" s="66" t="s">
        <v>10611</v>
      </c>
    </row>
    <row r="3840" ht="15.75" customHeight="1">
      <c r="A3840" s="66" t="s">
        <v>10612</v>
      </c>
    </row>
    <row r="3841" ht="15.75" customHeight="1">
      <c r="A3841" s="66" t="s">
        <v>10613</v>
      </c>
    </row>
    <row r="3842" ht="15.75" customHeight="1">
      <c r="A3842" s="66" t="s">
        <v>10614</v>
      </c>
    </row>
    <row r="3843" ht="15.75" customHeight="1">
      <c r="A3843" s="66" t="s">
        <v>10615</v>
      </c>
    </row>
    <row r="3844" ht="15.75" customHeight="1">
      <c r="A3844" s="66" t="s">
        <v>10616</v>
      </c>
    </row>
    <row r="3845" ht="15.75" customHeight="1">
      <c r="A3845" s="66" t="s">
        <v>10617</v>
      </c>
    </row>
    <row r="3846" ht="15.75" customHeight="1">
      <c r="A3846" s="66" t="s">
        <v>10618</v>
      </c>
    </row>
    <row r="3847" ht="15.75" customHeight="1">
      <c r="A3847" s="66" t="s">
        <v>10619</v>
      </c>
    </row>
    <row r="3848" ht="15.75" customHeight="1">
      <c r="A3848" s="66" t="s">
        <v>10620</v>
      </c>
    </row>
    <row r="3849" ht="15.75" customHeight="1">
      <c r="A3849" s="66" t="s">
        <v>10621</v>
      </c>
    </row>
    <row r="3850" ht="15.75" customHeight="1">
      <c r="A3850" s="66" t="s">
        <v>10622</v>
      </c>
    </row>
    <row r="3851" ht="15.75" customHeight="1">
      <c r="A3851" s="66" t="s">
        <v>10624</v>
      </c>
    </row>
    <row r="3852" ht="15.75" customHeight="1">
      <c r="A3852" s="66" t="s">
        <v>10626</v>
      </c>
    </row>
    <row r="3853" ht="15.75" customHeight="1">
      <c r="A3853" s="66" t="s">
        <v>10627</v>
      </c>
    </row>
    <row r="3854" ht="15.75" customHeight="1">
      <c r="A3854" s="66" t="s">
        <v>10629</v>
      </c>
    </row>
    <row r="3855" ht="15.75" customHeight="1">
      <c r="A3855" s="66" t="s">
        <v>10630</v>
      </c>
    </row>
    <row r="3856" ht="15.75" customHeight="1">
      <c r="A3856" s="66" t="s">
        <v>10632</v>
      </c>
    </row>
    <row r="3857" ht="15.75" customHeight="1">
      <c r="A3857" s="66" t="s">
        <v>10634</v>
      </c>
    </row>
    <row r="3858" ht="15.75" customHeight="1">
      <c r="A3858" s="66" t="s">
        <v>10635</v>
      </c>
    </row>
    <row r="3859" ht="15.75" customHeight="1">
      <c r="A3859" s="66" t="s">
        <v>10637</v>
      </c>
    </row>
    <row r="3860" ht="15.75" customHeight="1">
      <c r="A3860" s="66" t="s">
        <v>10639</v>
      </c>
    </row>
    <row r="3861" ht="15.75" customHeight="1">
      <c r="A3861" s="66" t="s">
        <v>10641</v>
      </c>
    </row>
    <row r="3862" ht="15.75" customHeight="1">
      <c r="A3862" s="66" t="s">
        <v>10642</v>
      </c>
    </row>
    <row r="3863" ht="15.75" customHeight="1">
      <c r="A3863" s="66" t="s">
        <v>10643</v>
      </c>
    </row>
    <row r="3864" ht="15.75" customHeight="1">
      <c r="A3864" s="66" t="s">
        <v>10644</v>
      </c>
    </row>
    <row r="3865" ht="15.75" customHeight="1">
      <c r="A3865" s="66" t="s">
        <v>10645</v>
      </c>
    </row>
    <row r="3866" ht="15.75" customHeight="1">
      <c r="A3866" s="66" t="s">
        <v>10646</v>
      </c>
    </row>
    <row r="3867" ht="15.75" customHeight="1">
      <c r="A3867" s="66" t="s">
        <v>10647</v>
      </c>
    </row>
    <row r="3868" ht="15.75" customHeight="1">
      <c r="A3868" s="66" t="s">
        <v>10648</v>
      </c>
    </row>
    <row r="3869" ht="15.75" customHeight="1">
      <c r="A3869" s="66" t="s">
        <v>10649</v>
      </c>
    </row>
    <row r="3870" ht="15.75" customHeight="1">
      <c r="A3870" s="66" t="s">
        <v>10650</v>
      </c>
    </row>
    <row r="3871" ht="15.75" customHeight="1">
      <c r="A3871" s="66" t="s">
        <v>10651</v>
      </c>
    </row>
    <row r="3872" ht="15.75" customHeight="1">
      <c r="A3872" s="66" t="s">
        <v>10652</v>
      </c>
    </row>
    <row r="3873" ht="15.75" customHeight="1">
      <c r="A3873" s="66" t="s">
        <v>10653</v>
      </c>
    </row>
    <row r="3874" ht="15.75" customHeight="1">
      <c r="A3874" s="66" t="s">
        <v>10654</v>
      </c>
    </row>
    <row r="3875" ht="15.75" customHeight="1">
      <c r="A3875" s="66" t="s">
        <v>10655</v>
      </c>
    </row>
    <row r="3876" ht="15.75" customHeight="1">
      <c r="A3876" s="66" t="s">
        <v>10656</v>
      </c>
    </row>
    <row r="3877" ht="15.75" customHeight="1">
      <c r="A3877" s="66" t="s">
        <v>10657</v>
      </c>
    </row>
    <row r="3878" ht="15.75" customHeight="1">
      <c r="A3878" s="66" t="s">
        <v>10658</v>
      </c>
    </row>
    <row r="3879" ht="15.75" customHeight="1">
      <c r="A3879" s="66" t="s">
        <v>10659</v>
      </c>
    </row>
    <row r="3880" ht="15.75" customHeight="1">
      <c r="A3880" s="66" t="s">
        <v>10660</v>
      </c>
    </row>
    <row r="3881" ht="15.75" customHeight="1">
      <c r="A3881" s="66" t="s">
        <v>10661</v>
      </c>
    </row>
    <row r="3882" ht="15.75" customHeight="1">
      <c r="A3882" s="66" t="s">
        <v>10662</v>
      </c>
    </row>
    <row r="3883" ht="15.75" customHeight="1">
      <c r="A3883" s="66" t="s">
        <v>10663</v>
      </c>
    </row>
    <row r="3884" ht="15.75" customHeight="1">
      <c r="A3884" s="66" t="s">
        <v>10664</v>
      </c>
    </row>
    <row r="3885" ht="15.75" customHeight="1">
      <c r="A3885" s="66" t="s">
        <v>10665</v>
      </c>
    </row>
    <row r="3886" ht="15.75" customHeight="1">
      <c r="A3886" s="66" t="s">
        <v>10666</v>
      </c>
    </row>
    <row r="3887" ht="15.75" customHeight="1">
      <c r="A3887" s="66" t="s">
        <v>10667</v>
      </c>
    </row>
    <row r="3888" ht="15.75" customHeight="1">
      <c r="A3888" s="66" t="s">
        <v>10668</v>
      </c>
    </row>
    <row r="3889" ht="15.75" customHeight="1">
      <c r="A3889" s="66" t="s">
        <v>10669</v>
      </c>
    </row>
    <row r="3890" ht="15.75" customHeight="1">
      <c r="A3890" s="66" t="s">
        <v>10670</v>
      </c>
    </row>
    <row r="3891" ht="15.75" customHeight="1">
      <c r="A3891" s="66" t="s">
        <v>10671</v>
      </c>
    </row>
    <row r="3892" ht="15.75" customHeight="1">
      <c r="A3892" s="66" t="s">
        <v>10679</v>
      </c>
    </row>
    <row r="3893" ht="15.75" customHeight="1">
      <c r="A3893" s="66" t="s">
        <v>10681</v>
      </c>
    </row>
    <row r="3894" ht="15.75" customHeight="1">
      <c r="A3894" s="66" t="s">
        <v>10683</v>
      </c>
    </row>
    <row r="3895" ht="15.75" customHeight="1">
      <c r="A3895" s="66" t="s">
        <v>10684</v>
      </c>
    </row>
    <row r="3896" ht="15.75" customHeight="1">
      <c r="A3896" s="66" t="s">
        <v>10685</v>
      </c>
    </row>
    <row r="3897" ht="15.75" customHeight="1">
      <c r="A3897" s="66" t="s">
        <v>10686</v>
      </c>
    </row>
    <row r="3898" ht="15.75" customHeight="1">
      <c r="A3898" s="66" t="s">
        <v>10687</v>
      </c>
    </row>
    <row r="3899" ht="15.75" customHeight="1">
      <c r="A3899" s="66" t="s">
        <v>10688</v>
      </c>
    </row>
    <row r="3900" ht="15.75" customHeight="1">
      <c r="A3900" s="66" t="s">
        <v>10689</v>
      </c>
    </row>
    <row r="3901" ht="15.75" customHeight="1">
      <c r="A3901" s="66" t="s">
        <v>10690</v>
      </c>
    </row>
    <row r="3902" ht="15.75" customHeight="1">
      <c r="A3902" s="66" t="s">
        <v>10691</v>
      </c>
    </row>
    <row r="3903" ht="15.75" customHeight="1">
      <c r="A3903" s="66" t="s">
        <v>10692</v>
      </c>
    </row>
    <row r="3904" ht="15.75" customHeight="1">
      <c r="A3904" s="66" t="s">
        <v>10693</v>
      </c>
    </row>
    <row r="3905" ht="15.75" customHeight="1">
      <c r="A3905" s="66" t="s">
        <v>10694</v>
      </c>
    </row>
    <row r="3906" ht="15.75" customHeight="1">
      <c r="A3906" s="66" t="s">
        <v>10695</v>
      </c>
    </row>
    <row r="3907" ht="15.75" customHeight="1">
      <c r="A3907" s="66" t="s">
        <v>10696</v>
      </c>
    </row>
    <row r="3908" ht="15.75" customHeight="1">
      <c r="A3908" s="66" t="s">
        <v>10697</v>
      </c>
    </row>
    <row r="3909" ht="15.75" customHeight="1">
      <c r="A3909" s="66" t="s">
        <v>10698</v>
      </c>
    </row>
    <row r="3910" ht="15.75" customHeight="1">
      <c r="A3910" s="66" t="s">
        <v>10699</v>
      </c>
    </row>
    <row r="3911" ht="15.75" customHeight="1">
      <c r="A3911" s="66" t="s">
        <v>10700</v>
      </c>
    </row>
    <row r="3912" ht="15.75" customHeight="1">
      <c r="A3912" s="66" t="s">
        <v>10701</v>
      </c>
    </row>
    <row r="3913" ht="15.75" customHeight="1">
      <c r="A3913" s="66" t="s">
        <v>10702</v>
      </c>
    </row>
    <row r="3914" ht="15.75" customHeight="1">
      <c r="A3914" s="66" t="s">
        <v>10703</v>
      </c>
    </row>
    <row r="3915" ht="15.75" customHeight="1">
      <c r="A3915" s="66" t="s">
        <v>10704</v>
      </c>
    </row>
    <row r="3916" ht="15.75" customHeight="1">
      <c r="A3916" s="66" t="s">
        <v>10705</v>
      </c>
    </row>
    <row r="3917" ht="15.75" customHeight="1">
      <c r="A3917" s="66" t="s">
        <v>10706</v>
      </c>
    </row>
    <row r="3918" ht="15.75" customHeight="1">
      <c r="A3918" s="66" t="s">
        <v>10708</v>
      </c>
    </row>
    <row r="3919" ht="15.75" customHeight="1">
      <c r="A3919" s="66" t="s">
        <v>10710</v>
      </c>
    </row>
    <row r="3920" ht="15.75" customHeight="1">
      <c r="A3920" s="66" t="s">
        <v>10713</v>
      </c>
    </row>
    <row r="3921" ht="15.75" customHeight="1">
      <c r="A3921" s="66" t="s">
        <v>10714</v>
      </c>
    </row>
    <row r="3922" ht="15.75" customHeight="1">
      <c r="A3922" s="66" t="s">
        <v>10715</v>
      </c>
    </row>
    <row r="3923" ht="15.75" customHeight="1">
      <c r="A3923" s="66" t="s">
        <v>10717</v>
      </c>
    </row>
    <row r="3924" ht="15.75" customHeight="1">
      <c r="A3924" s="66" t="s">
        <v>10719</v>
      </c>
    </row>
    <row r="3925" ht="15.75" customHeight="1">
      <c r="A3925" s="66" t="s">
        <v>10721</v>
      </c>
    </row>
    <row r="3926" ht="15.75" customHeight="1">
      <c r="A3926" s="66" t="s">
        <v>10722</v>
      </c>
    </row>
    <row r="3927" ht="15.75" customHeight="1">
      <c r="A3927" s="66" t="s">
        <v>10723</v>
      </c>
    </row>
    <row r="3928" ht="15.75" customHeight="1">
      <c r="A3928" s="66" t="s">
        <v>10724</v>
      </c>
    </row>
    <row r="3929" ht="15.75" customHeight="1">
      <c r="A3929" s="66" t="s">
        <v>10725</v>
      </c>
    </row>
    <row r="3930" ht="15.75" customHeight="1">
      <c r="A3930" s="66" t="s">
        <v>10726</v>
      </c>
    </row>
    <row r="3931" ht="15.75" customHeight="1">
      <c r="A3931" s="66" t="s">
        <v>10727</v>
      </c>
    </row>
    <row r="3932" ht="15.75" customHeight="1">
      <c r="A3932" s="66" t="s">
        <v>10728</v>
      </c>
    </row>
    <row r="3933" ht="15.75" customHeight="1">
      <c r="A3933" s="66" t="s">
        <v>10729</v>
      </c>
    </row>
    <row r="3934" ht="15.75" customHeight="1">
      <c r="A3934" s="66" t="s">
        <v>10730</v>
      </c>
    </row>
    <row r="3935" ht="15.75" customHeight="1">
      <c r="A3935" s="66" t="s">
        <v>10731</v>
      </c>
    </row>
    <row r="3936" ht="15.75" customHeight="1">
      <c r="A3936" s="66" t="s">
        <v>10732</v>
      </c>
    </row>
    <row r="3937" ht="15.75" customHeight="1">
      <c r="A3937" s="66" t="s">
        <v>10733</v>
      </c>
    </row>
    <row r="3938" ht="15.75" customHeight="1">
      <c r="A3938" s="66" t="s">
        <v>10734</v>
      </c>
    </row>
    <row r="3939" ht="15.75" customHeight="1">
      <c r="A3939" s="66" t="s">
        <v>10735</v>
      </c>
    </row>
    <row r="3940" ht="15.75" customHeight="1">
      <c r="A3940" s="66" t="s">
        <v>10736</v>
      </c>
    </row>
    <row r="3941" ht="15.75" customHeight="1">
      <c r="A3941" s="66" t="s">
        <v>10737</v>
      </c>
    </row>
    <row r="3942" ht="15.75" customHeight="1">
      <c r="A3942" s="66" t="s">
        <v>10738</v>
      </c>
    </row>
    <row r="3943" ht="15.75" customHeight="1">
      <c r="A3943" s="66" t="s">
        <v>10739</v>
      </c>
    </row>
    <row r="3944" ht="15.75" customHeight="1">
      <c r="A3944" s="66" t="s">
        <v>10740</v>
      </c>
    </row>
    <row r="3945" ht="15.75" customHeight="1">
      <c r="A3945" s="66" t="s">
        <v>10741</v>
      </c>
    </row>
    <row r="3946" ht="15.75" customHeight="1">
      <c r="A3946" s="66" t="s">
        <v>10742</v>
      </c>
    </row>
    <row r="3947" ht="15.75" customHeight="1">
      <c r="A3947" s="66" t="s">
        <v>10743</v>
      </c>
    </row>
    <row r="3948" ht="15.75" customHeight="1">
      <c r="A3948" s="66" t="s">
        <v>10744</v>
      </c>
    </row>
    <row r="3949" ht="15.75" customHeight="1">
      <c r="A3949" s="66" t="s">
        <v>10745</v>
      </c>
    </row>
    <row r="3950" ht="15.75" customHeight="1">
      <c r="A3950" s="66" t="s">
        <v>10746</v>
      </c>
    </row>
    <row r="3951" ht="15.75" customHeight="1">
      <c r="A3951" s="66" t="s">
        <v>10747</v>
      </c>
    </row>
    <row r="3952" ht="15.75" customHeight="1">
      <c r="A3952" s="66" t="s">
        <v>10748</v>
      </c>
    </row>
    <row r="3953" ht="15.75" customHeight="1">
      <c r="A3953" s="66" t="s">
        <v>10750</v>
      </c>
    </row>
    <row r="3954" ht="15.75" customHeight="1">
      <c r="A3954" s="66" t="s">
        <v>10751</v>
      </c>
    </row>
    <row r="3955" ht="15.75" customHeight="1">
      <c r="A3955" s="66" t="s">
        <v>10753</v>
      </c>
    </row>
    <row r="3956" ht="15.75" customHeight="1">
      <c r="A3956" s="66" t="s">
        <v>10755</v>
      </c>
    </row>
    <row r="3957" ht="15.75" customHeight="1">
      <c r="A3957" s="66" t="s">
        <v>10756</v>
      </c>
    </row>
    <row r="3958" ht="15.75" customHeight="1">
      <c r="A3958" s="66" t="s">
        <v>10757</v>
      </c>
    </row>
    <row r="3959" ht="15.75" customHeight="1">
      <c r="A3959" s="66" t="s">
        <v>10758</v>
      </c>
    </row>
    <row r="3960" ht="15.75" customHeight="1">
      <c r="A3960" s="66" t="s">
        <v>10759</v>
      </c>
    </row>
    <row r="3961" ht="15.75" customHeight="1">
      <c r="A3961" s="66" t="s">
        <v>10760</v>
      </c>
    </row>
    <row r="3962" ht="15.75" customHeight="1">
      <c r="A3962" s="66" t="s">
        <v>10761</v>
      </c>
    </row>
    <row r="3963" ht="15.75" customHeight="1">
      <c r="A3963" s="66" t="s">
        <v>10762</v>
      </c>
    </row>
    <row r="3964" ht="15.75" customHeight="1">
      <c r="A3964" s="66" t="s">
        <v>10763</v>
      </c>
    </row>
    <row r="3965" ht="15.75" customHeight="1">
      <c r="A3965" s="66" t="s">
        <v>10764</v>
      </c>
    </row>
    <row r="3966" ht="15.75" customHeight="1">
      <c r="A3966" s="66" t="s">
        <v>10765</v>
      </c>
    </row>
    <row r="3967" ht="15.75" customHeight="1">
      <c r="A3967" s="66" t="s">
        <v>10766</v>
      </c>
    </row>
    <row r="3968" ht="15.75" customHeight="1">
      <c r="A3968" s="66" t="s">
        <v>10767</v>
      </c>
    </row>
    <row r="3969" ht="15.75" customHeight="1">
      <c r="A3969" s="66" t="s">
        <v>10768</v>
      </c>
    </row>
    <row r="3970" ht="15.75" customHeight="1">
      <c r="A3970" s="66" t="s">
        <v>10769</v>
      </c>
    </row>
    <row r="3971" ht="15.75" customHeight="1">
      <c r="A3971" s="66" t="s">
        <v>10770</v>
      </c>
    </row>
    <row r="3972" ht="15.75" customHeight="1">
      <c r="A3972" s="66" t="s">
        <v>10771</v>
      </c>
    </row>
    <row r="3973" ht="15.75" customHeight="1">
      <c r="A3973" s="66" t="s">
        <v>10772</v>
      </c>
    </row>
    <row r="3974" ht="15.75" customHeight="1">
      <c r="A3974" s="66" t="s">
        <v>10773</v>
      </c>
    </row>
    <row r="3975" ht="15.75" customHeight="1">
      <c r="A3975" s="66" t="s">
        <v>10774</v>
      </c>
    </row>
    <row r="3976" ht="15.75" customHeight="1">
      <c r="A3976" s="66" t="s">
        <v>10775</v>
      </c>
    </row>
    <row r="3977" ht="15.75" customHeight="1">
      <c r="A3977" s="66" t="s">
        <v>10776</v>
      </c>
    </row>
    <row r="3978" ht="15.75" customHeight="1">
      <c r="A3978" s="66" t="s">
        <v>10777</v>
      </c>
    </row>
    <row r="3979" ht="15.75" customHeight="1">
      <c r="A3979" s="66" t="s">
        <v>10778</v>
      </c>
    </row>
    <row r="3980" ht="15.75" customHeight="1">
      <c r="A3980" s="66" t="s">
        <v>10780</v>
      </c>
    </row>
    <row r="3981" ht="15.75" customHeight="1">
      <c r="A3981" s="66" t="s">
        <v>10781</v>
      </c>
    </row>
    <row r="3982" ht="15.75" customHeight="1">
      <c r="A3982" s="66" t="s">
        <v>10782</v>
      </c>
    </row>
    <row r="3983" ht="15.75" customHeight="1">
      <c r="A3983" s="66" t="s">
        <v>10785</v>
      </c>
    </row>
    <row r="3984" ht="15.75" customHeight="1">
      <c r="A3984" s="66" t="s">
        <v>10786</v>
      </c>
    </row>
    <row r="3985" ht="15.75" customHeight="1">
      <c r="A3985" s="66" t="s">
        <v>10788</v>
      </c>
    </row>
    <row r="3986" ht="15.75" customHeight="1">
      <c r="A3986" s="66" t="s">
        <v>10789</v>
      </c>
    </row>
    <row r="3987" ht="15.75" customHeight="1">
      <c r="A3987" s="66" t="s">
        <v>10790</v>
      </c>
    </row>
    <row r="3988" ht="15.75" customHeight="1">
      <c r="A3988" s="66" t="s">
        <v>10791</v>
      </c>
    </row>
    <row r="3989" ht="15.75" customHeight="1">
      <c r="A3989" s="66" t="s">
        <v>10792</v>
      </c>
    </row>
    <row r="3990" ht="15.75" customHeight="1">
      <c r="A3990" s="66" t="s">
        <v>10793</v>
      </c>
    </row>
    <row r="3991" ht="15.75" customHeight="1">
      <c r="A3991" s="66" t="s">
        <v>10794</v>
      </c>
    </row>
    <row r="3992" ht="15.75" customHeight="1">
      <c r="A3992" s="66" t="s">
        <v>10795</v>
      </c>
    </row>
    <row r="3993" ht="15.75" customHeight="1">
      <c r="A3993" s="66" t="s">
        <v>10796</v>
      </c>
    </row>
    <row r="3994" ht="15.75" customHeight="1">
      <c r="A3994" s="66" t="s">
        <v>10797</v>
      </c>
    </row>
    <row r="3995" ht="15.75" customHeight="1">
      <c r="A3995" s="66" t="s">
        <v>10798</v>
      </c>
    </row>
    <row r="3996" ht="15.75" customHeight="1">
      <c r="A3996" s="66" t="s">
        <v>10799</v>
      </c>
    </row>
    <row r="3997" ht="15.75" customHeight="1">
      <c r="A3997" s="66" t="s">
        <v>10800</v>
      </c>
    </row>
    <row r="3998" ht="15.75" customHeight="1">
      <c r="A3998" s="66" t="s">
        <v>10801</v>
      </c>
    </row>
    <row r="3999" ht="15.75" customHeight="1">
      <c r="A3999" s="66" t="s">
        <v>10802</v>
      </c>
    </row>
    <row r="4000" ht="15.75" customHeight="1">
      <c r="A4000" s="66" t="s">
        <v>10803</v>
      </c>
    </row>
    <row r="4001" ht="15.75" customHeight="1">
      <c r="A4001" s="66" t="s">
        <v>10804</v>
      </c>
    </row>
    <row r="4002" ht="15.75" customHeight="1">
      <c r="A4002" s="66" t="s">
        <v>10806</v>
      </c>
    </row>
    <row r="4003" ht="15.75" customHeight="1">
      <c r="A4003" s="66" t="s">
        <v>10807</v>
      </c>
    </row>
    <row r="4004" ht="15.75" customHeight="1">
      <c r="A4004" s="66" t="s">
        <v>10809</v>
      </c>
    </row>
    <row r="4005" ht="15.75" customHeight="1">
      <c r="A4005" s="66" t="s">
        <v>10811</v>
      </c>
    </row>
    <row r="4006" ht="15.75" customHeight="1">
      <c r="A4006" s="66" t="s">
        <v>10812</v>
      </c>
    </row>
    <row r="4007" ht="15.75" customHeight="1">
      <c r="A4007" s="66" t="s">
        <v>10813</v>
      </c>
    </row>
    <row r="4008" ht="15.75" customHeight="1">
      <c r="A4008" s="66" t="s">
        <v>10814</v>
      </c>
    </row>
    <row r="4009" ht="15.75" customHeight="1">
      <c r="A4009" s="66" t="s">
        <v>10815</v>
      </c>
    </row>
    <row r="4010" ht="15.75" customHeight="1">
      <c r="A4010" s="66" t="s">
        <v>10816</v>
      </c>
    </row>
    <row r="4011" ht="15.75" customHeight="1">
      <c r="A4011" s="66" t="s">
        <v>10817</v>
      </c>
    </row>
    <row r="4012" ht="15.75" customHeight="1">
      <c r="A4012" s="66" t="s">
        <v>10818</v>
      </c>
    </row>
    <row r="4013" ht="15.75" customHeight="1">
      <c r="A4013" s="66" t="s">
        <v>10820</v>
      </c>
    </row>
    <row r="4014" ht="15.75" customHeight="1">
      <c r="A4014" s="66" t="s">
        <v>10821</v>
      </c>
    </row>
    <row r="4015" ht="15.75" customHeight="1">
      <c r="A4015" s="66" t="s">
        <v>10823</v>
      </c>
    </row>
    <row r="4016" ht="15.75" customHeight="1">
      <c r="A4016" s="66" t="s">
        <v>10824</v>
      </c>
    </row>
    <row r="4017" ht="15.75" customHeight="1">
      <c r="A4017" s="66" t="s">
        <v>10826</v>
      </c>
    </row>
    <row r="4018" ht="15.75" customHeight="1">
      <c r="A4018" s="66" t="s">
        <v>10828</v>
      </c>
    </row>
    <row r="4019" ht="15.75" customHeight="1">
      <c r="A4019" s="66" t="s">
        <v>10830</v>
      </c>
    </row>
    <row r="4020" ht="15.75" customHeight="1">
      <c r="A4020" s="66" t="s">
        <v>10831</v>
      </c>
    </row>
    <row r="4021" ht="15.75" customHeight="1">
      <c r="A4021" s="66" t="s">
        <v>10832</v>
      </c>
    </row>
    <row r="4022" ht="15.75" customHeight="1">
      <c r="A4022" s="66" t="s">
        <v>10833</v>
      </c>
    </row>
    <row r="4023" ht="15.75" customHeight="1">
      <c r="A4023" s="66" t="s">
        <v>10834</v>
      </c>
    </row>
    <row r="4024" ht="15.75" customHeight="1">
      <c r="A4024" s="66" t="s">
        <v>10835</v>
      </c>
    </row>
    <row r="4025" ht="15.75" customHeight="1">
      <c r="A4025" s="66" t="s">
        <v>10836</v>
      </c>
    </row>
    <row r="4026" ht="15.75" customHeight="1">
      <c r="A4026" s="66" t="s">
        <v>10837</v>
      </c>
    </row>
    <row r="4027" ht="15.75" customHeight="1">
      <c r="A4027" s="66" t="s">
        <v>10838</v>
      </c>
    </row>
    <row r="4028" ht="15.75" customHeight="1">
      <c r="A4028" s="66" t="s">
        <v>10839</v>
      </c>
    </row>
    <row r="4029" ht="15.75" customHeight="1">
      <c r="A4029" s="66" t="s">
        <v>10840</v>
      </c>
    </row>
    <row r="4030" ht="15.75" customHeight="1">
      <c r="A4030" s="66" t="s">
        <v>10841</v>
      </c>
    </row>
    <row r="4031" ht="15.75" customHeight="1">
      <c r="A4031" s="66" t="s">
        <v>10842</v>
      </c>
    </row>
    <row r="4032" ht="15.75" customHeight="1">
      <c r="A4032" s="66" t="s">
        <v>10843</v>
      </c>
    </row>
    <row r="4033" ht="15.75" customHeight="1">
      <c r="A4033" s="66" t="s">
        <v>10844</v>
      </c>
    </row>
    <row r="4034" ht="15.75" customHeight="1">
      <c r="A4034" s="66" t="s">
        <v>10845</v>
      </c>
    </row>
    <row r="4035" ht="15.75" customHeight="1">
      <c r="A4035" s="66" t="s">
        <v>10846</v>
      </c>
    </row>
    <row r="4036" ht="15.75" customHeight="1">
      <c r="A4036" s="66" t="s">
        <v>10847</v>
      </c>
    </row>
    <row r="4037" ht="15.75" customHeight="1">
      <c r="A4037" s="66" t="s">
        <v>10848</v>
      </c>
    </row>
    <row r="4038" ht="15.75" customHeight="1">
      <c r="A4038" s="66" t="s">
        <v>10849</v>
      </c>
    </row>
    <row r="4039" ht="15.75" customHeight="1">
      <c r="A4039" s="66" t="s">
        <v>10850</v>
      </c>
    </row>
    <row r="4040" ht="15.75" customHeight="1">
      <c r="A4040" s="66" t="s">
        <v>10851</v>
      </c>
    </row>
    <row r="4041" ht="15.75" customHeight="1">
      <c r="A4041" s="66" t="s">
        <v>10853</v>
      </c>
    </row>
    <row r="4042" ht="15.75" customHeight="1">
      <c r="A4042" s="66" t="s">
        <v>10854</v>
      </c>
    </row>
    <row r="4043" ht="15.75" customHeight="1">
      <c r="A4043" s="66" t="s">
        <v>10855</v>
      </c>
    </row>
    <row r="4044" ht="15.75" customHeight="1">
      <c r="A4044" s="66" t="s">
        <v>10856</v>
      </c>
    </row>
    <row r="4045" ht="15.75" customHeight="1">
      <c r="A4045" s="66" t="s">
        <v>10858</v>
      </c>
    </row>
    <row r="4046" ht="15.75" customHeight="1">
      <c r="A4046" s="66" t="s">
        <v>10860</v>
      </c>
    </row>
    <row r="4047" ht="15.75" customHeight="1">
      <c r="A4047" s="66" t="s">
        <v>10862</v>
      </c>
    </row>
    <row r="4048" ht="15.75" customHeight="1">
      <c r="A4048" s="66" t="s">
        <v>10863</v>
      </c>
    </row>
    <row r="4049" ht="15.75" customHeight="1">
      <c r="A4049" s="66" t="s">
        <v>10865</v>
      </c>
    </row>
    <row r="4050" ht="15.75" customHeight="1">
      <c r="A4050" s="66" t="s">
        <v>10866</v>
      </c>
    </row>
    <row r="4051" ht="15.75" customHeight="1">
      <c r="A4051" s="66" t="s">
        <v>10868</v>
      </c>
    </row>
    <row r="4052" ht="15.75" customHeight="1">
      <c r="A4052" s="66" t="s">
        <v>10869</v>
      </c>
    </row>
    <row r="4053" ht="15.75" customHeight="1">
      <c r="A4053" s="66" t="s">
        <v>10871</v>
      </c>
    </row>
    <row r="4054" ht="15.75" customHeight="1">
      <c r="A4054" s="66" t="s">
        <v>10872</v>
      </c>
    </row>
    <row r="4055" ht="15.75" customHeight="1">
      <c r="A4055" s="66" t="s">
        <v>10873</v>
      </c>
    </row>
    <row r="4056" ht="15.75" customHeight="1">
      <c r="A4056" s="66" t="s">
        <v>10874</v>
      </c>
    </row>
    <row r="4057" ht="15.75" customHeight="1">
      <c r="A4057" s="66" t="s">
        <v>10875</v>
      </c>
    </row>
    <row r="4058" ht="15.75" customHeight="1">
      <c r="A4058" s="66" t="s">
        <v>10876</v>
      </c>
    </row>
    <row r="4059" ht="15.75" customHeight="1">
      <c r="A4059" s="66" t="s">
        <v>10877</v>
      </c>
    </row>
    <row r="4060" ht="15.75" customHeight="1">
      <c r="A4060" s="66" t="s">
        <v>10878</v>
      </c>
    </row>
    <row r="4061" ht="15.75" customHeight="1">
      <c r="A4061" s="66" t="s">
        <v>10879</v>
      </c>
    </row>
    <row r="4062" ht="15.75" customHeight="1">
      <c r="A4062" s="66" t="s">
        <v>10880</v>
      </c>
    </row>
    <row r="4063" ht="15.75" customHeight="1">
      <c r="A4063" s="66" t="s">
        <v>10881</v>
      </c>
    </row>
    <row r="4064" ht="15.75" customHeight="1">
      <c r="A4064" s="66" t="s">
        <v>10882</v>
      </c>
    </row>
    <row r="4065" ht="15.75" customHeight="1">
      <c r="A4065" s="66" t="s">
        <v>10883</v>
      </c>
    </row>
    <row r="4066" ht="15.75" customHeight="1">
      <c r="A4066" s="66" t="s">
        <v>10884</v>
      </c>
    </row>
    <row r="4067" ht="15.75" customHeight="1">
      <c r="A4067" s="66" t="s">
        <v>10885</v>
      </c>
    </row>
    <row r="4068" ht="15.75" customHeight="1">
      <c r="A4068" s="66" t="s">
        <v>10886</v>
      </c>
    </row>
    <row r="4069" ht="15.75" customHeight="1">
      <c r="A4069" s="66" t="s">
        <v>10887</v>
      </c>
    </row>
    <row r="4070" ht="15.75" customHeight="1">
      <c r="A4070" s="66" t="s">
        <v>10888</v>
      </c>
    </row>
    <row r="4071" ht="15.75" customHeight="1">
      <c r="A4071" s="66" t="s">
        <v>10889</v>
      </c>
    </row>
    <row r="4072" ht="15.75" customHeight="1">
      <c r="A4072" s="66" t="s">
        <v>10890</v>
      </c>
    </row>
    <row r="4073" ht="15.75" customHeight="1">
      <c r="A4073" s="66" t="s">
        <v>10891</v>
      </c>
    </row>
    <row r="4074" ht="15.75" customHeight="1">
      <c r="A4074" s="66" t="s">
        <v>10892</v>
      </c>
    </row>
    <row r="4075" ht="15.75" customHeight="1">
      <c r="A4075" s="66" t="s">
        <v>10893</v>
      </c>
    </row>
    <row r="4076" ht="15.75" customHeight="1">
      <c r="A4076" s="66" t="s">
        <v>10894</v>
      </c>
    </row>
    <row r="4077" ht="15.75" customHeight="1">
      <c r="A4077" s="66" t="s">
        <v>10896</v>
      </c>
    </row>
    <row r="4078" ht="15.75" customHeight="1">
      <c r="A4078" s="66" t="s">
        <v>10898</v>
      </c>
    </row>
    <row r="4079" ht="15.75" customHeight="1">
      <c r="A4079" s="66" t="s">
        <v>10899</v>
      </c>
    </row>
    <row r="4080" ht="15.75" customHeight="1">
      <c r="A4080" s="66" t="s">
        <v>10900</v>
      </c>
    </row>
    <row r="4081" ht="15.75" customHeight="1">
      <c r="A4081" s="66" t="s">
        <v>10901</v>
      </c>
    </row>
    <row r="4082" ht="15.75" customHeight="1">
      <c r="A4082" s="66" t="s">
        <v>10902</v>
      </c>
    </row>
    <row r="4083" ht="15.75" customHeight="1">
      <c r="A4083" s="66" t="s">
        <v>10903</v>
      </c>
    </row>
    <row r="4084" ht="15.75" customHeight="1">
      <c r="A4084" s="66" t="s">
        <v>10904</v>
      </c>
    </row>
    <row r="4085" ht="15.75" customHeight="1">
      <c r="A4085" s="66" t="s">
        <v>10905</v>
      </c>
    </row>
    <row r="4086" ht="15.75" customHeight="1">
      <c r="A4086" s="66" t="s">
        <v>10910</v>
      </c>
    </row>
    <row r="4087" ht="15.75" customHeight="1">
      <c r="A4087" s="66" t="s">
        <v>10912</v>
      </c>
    </row>
    <row r="4088" ht="15.75" customHeight="1">
      <c r="A4088" s="66" t="s">
        <v>10914</v>
      </c>
    </row>
    <row r="4089" ht="15.75" customHeight="1">
      <c r="A4089" s="66" t="s">
        <v>10915</v>
      </c>
    </row>
    <row r="4090" ht="15.75" customHeight="1">
      <c r="A4090" s="66" t="s">
        <v>10916</v>
      </c>
    </row>
    <row r="4091" ht="15.75" customHeight="1">
      <c r="A4091" s="66" t="s">
        <v>10917</v>
      </c>
    </row>
    <row r="4092" ht="15.75" customHeight="1">
      <c r="A4092" s="66" t="s">
        <v>10918</v>
      </c>
    </row>
    <row r="4093" ht="15.75" customHeight="1">
      <c r="A4093" s="66" t="s">
        <v>10919</v>
      </c>
    </row>
    <row r="4094" ht="15.75" customHeight="1">
      <c r="A4094" s="66" t="s">
        <v>10920</v>
      </c>
    </row>
    <row r="4095" ht="15.75" customHeight="1">
      <c r="A4095" s="66" t="s">
        <v>10921</v>
      </c>
    </row>
    <row r="4096" ht="15.75" customHeight="1">
      <c r="A4096" s="66" t="s">
        <v>10922</v>
      </c>
    </row>
    <row r="4097" ht="15.75" customHeight="1">
      <c r="A4097" s="66" t="s">
        <v>10923</v>
      </c>
    </row>
    <row r="4098" ht="15.75" customHeight="1">
      <c r="A4098" s="66" t="s">
        <v>10924</v>
      </c>
    </row>
    <row r="4099" ht="15.75" customHeight="1">
      <c r="A4099" s="66" t="s">
        <v>10925</v>
      </c>
    </row>
    <row r="4100" ht="15.75" customHeight="1">
      <c r="A4100" s="66" t="s">
        <v>10926</v>
      </c>
    </row>
    <row r="4101" ht="15.75" customHeight="1">
      <c r="A4101" s="66" t="s">
        <v>10927</v>
      </c>
    </row>
    <row r="4102" ht="15.75" customHeight="1">
      <c r="A4102" s="66" t="s">
        <v>10928</v>
      </c>
    </row>
    <row r="4103" ht="15.75" customHeight="1">
      <c r="A4103" s="66" t="s">
        <v>10929</v>
      </c>
    </row>
    <row r="4104" ht="15.75" customHeight="1">
      <c r="A4104" s="66" t="s">
        <v>10930</v>
      </c>
    </row>
    <row r="4105" ht="15.75" customHeight="1">
      <c r="A4105" s="66" t="s">
        <v>10931</v>
      </c>
    </row>
    <row r="4106" ht="15.75" customHeight="1">
      <c r="A4106" s="66" t="s">
        <v>10932</v>
      </c>
    </row>
    <row r="4107" ht="15.75" customHeight="1">
      <c r="A4107" s="66" t="s">
        <v>10934</v>
      </c>
    </row>
    <row r="4108" ht="15.75" customHeight="1">
      <c r="A4108" s="66" t="s">
        <v>10935</v>
      </c>
    </row>
    <row r="4109" ht="15.75" customHeight="1">
      <c r="A4109" s="66" t="s">
        <v>10937</v>
      </c>
    </row>
    <row r="4110" ht="15.75" customHeight="1">
      <c r="A4110" s="66" t="s">
        <v>10938</v>
      </c>
    </row>
    <row r="4111" ht="15.75" customHeight="1">
      <c r="A4111" s="66" t="s">
        <v>10939</v>
      </c>
    </row>
    <row r="4112" ht="15.75" customHeight="1">
      <c r="A4112" s="66" t="s">
        <v>10940</v>
      </c>
    </row>
    <row r="4113" ht="15.75" customHeight="1">
      <c r="A4113" s="66" t="s">
        <v>10941</v>
      </c>
    </row>
    <row r="4114" ht="15.75" customHeight="1">
      <c r="A4114" s="66" t="s">
        <v>10942</v>
      </c>
    </row>
    <row r="4115" ht="15.75" customHeight="1">
      <c r="A4115" s="66" t="s">
        <v>10943</v>
      </c>
    </row>
    <row r="4116" ht="15.75" customHeight="1">
      <c r="A4116" s="66" t="s">
        <v>10947</v>
      </c>
    </row>
    <row r="4117" ht="15.75" customHeight="1">
      <c r="A4117" s="66" t="s">
        <v>10949</v>
      </c>
    </row>
    <row r="4118" ht="15.75" customHeight="1">
      <c r="A4118" s="66" t="s">
        <v>10951</v>
      </c>
    </row>
    <row r="4119" ht="15.75" customHeight="1">
      <c r="A4119" s="66" t="s">
        <v>10953</v>
      </c>
    </row>
    <row r="4120" ht="15.75" customHeight="1">
      <c r="A4120" s="66" t="s">
        <v>10954</v>
      </c>
    </row>
    <row r="4121" ht="15.75" customHeight="1">
      <c r="A4121" s="66" t="s">
        <v>10955</v>
      </c>
    </row>
    <row r="4122" ht="15.75" customHeight="1">
      <c r="A4122" s="66" t="s">
        <v>10956</v>
      </c>
    </row>
    <row r="4123" ht="15.75" customHeight="1">
      <c r="A4123" s="66" t="s">
        <v>10957</v>
      </c>
    </row>
    <row r="4124" ht="15.75" customHeight="1">
      <c r="A4124" s="66" t="s">
        <v>10958</v>
      </c>
    </row>
    <row r="4125" ht="15.75" customHeight="1">
      <c r="A4125" s="66" t="s">
        <v>10959</v>
      </c>
    </row>
    <row r="4126" ht="15.75" customHeight="1">
      <c r="A4126" s="66" t="s">
        <v>10960</v>
      </c>
    </row>
    <row r="4127" ht="15.75" customHeight="1">
      <c r="A4127" s="66" t="s">
        <v>10961</v>
      </c>
    </row>
    <row r="4128" ht="15.75" customHeight="1">
      <c r="A4128" s="66" t="s">
        <v>10962</v>
      </c>
    </row>
    <row r="4129" ht="15.75" customHeight="1">
      <c r="A4129" s="66" t="s">
        <v>10963</v>
      </c>
    </row>
    <row r="4130" ht="15.75" customHeight="1">
      <c r="A4130" s="66" t="s">
        <v>10964</v>
      </c>
    </row>
    <row r="4131" ht="15.75" customHeight="1">
      <c r="A4131" s="66" t="s">
        <v>10965</v>
      </c>
    </row>
    <row r="4132" ht="15.75" customHeight="1">
      <c r="A4132" s="66" t="s">
        <v>10966</v>
      </c>
    </row>
    <row r="4133" ht="15.75" customHeight="1">
      <c r="A4133" s="66" t="s">
        <v>10967</v>
      </c>
    </row>
    <row r="4134" ht="15.75" customHeight="1">
      <c r="A4134" s="66" t="s">
        <v>10968</v>
      </c>
    </row>
    <row r="4135" ht="15.75" customHeight="1">
      <c r="A4135" s="66" t="s">
        <v>10969</v>
      </c>
    </row>
    <row r="4136" ht="15.75" customHeight="1">
      <c r="A4136" s="66" t="s">
        <v>10970</v>
      </c>
    </row>
    <row r="4137" ht="15.75" customHeight="1">
      <c r="A4137" s="66" t="s">
        <v>10971</v>
      </c>
    </row>
    <row r="4138" ht="15.75" customHeight="1">
      <c r="A4138" s="66" t="s">
        <v>10972</v>
      </c>
    </row>
    <row r="4139" ht="15.75" customHeight="1">
      <c r="A4139" s="66" t="s">
        <v>10973</v>
      </c>
    </row>
    <row r="4140" ht="15.75" customHeight="1">
      <c r="A4140" s="66" t="s">
        <v>10974</v>
      </c>
    </row>
    <row r="4141" ht="15.75" customHeight="1">
      <c r="A4141" s="66" t="s">
        <v>10975</v>
      </c>
    </row>
    <row r="4142" ht="15.75" customHeight="1">
      <c r="A4142" s="66" t="s">
        <v>10977</v>
      </c>
    </row>
    <row r="4143" ht="15.75" customHeight="1">
      <c r="A4143" s="66" t="s">
        <v>10978</v>
      </c>
    </row>
    <row r="4144" ht="15.75" customHeight="1">
      <c r="A4144" s="66" t="s">
        <v>10980</v>
      </c>
    </row>
    <row r="4145" ht="15.75" customHeight="1">
      <c r="A4145" s="66" t="s">
        <v>10982</v>
      </c>
    </row>
    <row r="4146" ht="15.75" customHeight="1">
      <c r="A4146" s="66" t="s">
        <v>10984</v>
      </c>
    </row>
    <row r="4147" ht="15.75" customHeight="1">
      <c r="A4147" s="66" t="s">
        <v>10986</v>
      </c>
    </row>
    <row r="4148" ht="15.75" customHeight="1">
      <c r="A4148" s="66" t="s">
        <v>10987</v>
      </c>
    </row>
    <row r="4149" ht="15.75" customHeight="1">
      <c r="A4149" s="66" t="s">
        <v>10989</v>
      </c>
    </row>
    <row r="4150" ht="15.75" customHeight="1">
      <c r="A4150" s="66" t="s">
        <v>10990</v>
      </c>
    </row>
    <row r="4151" ht="15.75" customHeight="1">
      <c r="A4151" s="66" t="s">
        <v>10991</v>
      </c>
    </row>
    <row r="4152" ht="15.75" customHeight="1">
      <c r="A4152" s="66" t="s">
        <v>10994</v>
      </c>
    </row>
    <row r="4153" ht="15.75" customHeight="1">
      <c r="A4153" s="66" t="s">
        <v>10995</v>
      </c>
    </row>
    <row r="4154" ht="15.75" customHeight="1">
      <c r="A4154" s="66" t="s">
        <v>10997</v>
      </c>
    </row>
    <row r="4155" ht="15.75" customHeight="1">
      <c r="A4155" s="66" t="s">
        <v>10998</v>
      </c>
    </row>
    <row r="4156" ht="15.75" customHeight="1">
      <c r="A4156" s="66" t="s">
        <v>10999</v>
      </c>
    </row>
    <row r="4157" ht="15.75" customHeight="1">
      <c r="A4157" s="66" t="s">
        <v>11000</v>
      </c>
    </row>
    <row r="4158" ht="15.75" customHeight="1">
      <c r="A4158" s="66" t="s">
        <v>11001</v>
      </c>
    </row>
    <row r="4159" ht="15.75" customHeight="1">
      <c r="A4159" s="66" t="s">
        <v>11002</v>
      </c>
    </row>
    <row r="4160" ht="15.75" customHeight="1">
      <c r="A4160" s="66" t="s">
        <v>11003</v>
      </c>
    </row>
    <row r="4161" ht="15.75" customHeight="1">
      <c r="A4161" s="66" t="s">
        <v>11004</v>
      </c>
    </row>
    <row r="4162" ht="15.75" customHeight="1">
      <c r="A4162" s="66" t="s">
        <v>11005</v>
      </c>
    </row>
    <row r="4163" ht="15.75" customHeight="1">
      <c r="A4163" s="66" t="s">
        <v>11006</v>
      </c>
    </row>
    <row r="4164" ht="15.75" customHeight="1">
      <c r="A4164" s="66" t="s">
        <v>11007</v>
      </c>
    </row>
    <row r="4165" ht="15.75" customHeight="1">
      <c r="A4165" s="66" t="s">
        <v>11008</v>
      </c>
    </row>
    <row r="4166" ht="15.75" customHeight="1">
      <c r="A4166" s="66" t="s">
        <v>11009</v>
      </c>
    </row>
    <row r="4167" ht="15.75" customHeight="1">
      <c r="A4167" s="66" t="s">
        <v>11010</v>
      </c>
    </row>
    <row r="4168" ht="15.75" customHeight="1">
      <c r="A4168" s="66" t="s">
        <v>11011</v>
      </c>
    </row>
    <row r="4169" ht="15.75" customHeight="1">
      <c r="A4169" s="66" t="s">
        <v>11012</v>
      </c>
    </row>
    <row r="4170" ht="15.75" customHeight="1">
      <c r="A4170" s="66" t="s">
        <v>11013</v>
      </c>
    </row>
    <row r="4171" ht="15.75" customHeight="1">
      <c r="A4171" s="66" t="s">
        <v>11014</v>
      </c>
    </row>
    <row r="4172" ht="15.75" customHeight="1">
      <c r="A4172" s="66" t="s">
        <v>11015</v>
      </c>
    </row>
    <row r="4173" ht="15.75" customHeight="1">
      <c r="A4173" s="66" t="s">
        <v>11016</v>
      </c>
    </row>
    <row r="4174" ht="15.75" customHeight="1">
      <c r="A4174" s="66" t="s">
        <v>11017</v>
      </c>
    </row>
    <row r="4175" ht="15.75" customHeight="1">
      <c r="A4175" s="66" t="s">
        <v>11018</v>
      </c>
    </row>
    <row r="4176" ht="15.75" customHeight="1">
      <c r="A4176" s="66" t="s">
        <v>11019</v>
      </c>
    </row>
    <row r="4177" ht="15.75" customHeight="1">
      <c r="A4177" s="66" t="s">
        <v>11020</v>
      </c>
    </row>
    <row r="4178" ht="15.75" customHeight="1">
      <c r="A4178" s="66" t="s">
        <v>11021</v>
      </c>
    </row>
    <row r="4179" ht="15.75" customHeight="1">
      <c r="A4179" s="66" t="s">
        <v>11023</v>
      </c>
    </row>
    <row r="4180" ht="15.75" customHeight="1">
      <c r="A4180" s="66" t="s">
        <v>11024</v>
      </c>
    </row>
    <row r="4181" ht="15.75" customHeight="1">
      <c r="A4181" s="66" t="s">
        <v>11026</v>
      </c>
    </row>
    <row r="4182" ht="15.75" customHeight="1">
      <c r="A4182" s="66" t="s">
        <v>11027</v>
      </c>
    </row>
    <row r="4183" ht="15.75" customHeight="1">
      <c r="A4183" s="66" t="s">
        <v>11028</v>
      </c>
    </row>
    <row r="4184" ht="15.75" customHeight="1">
      <c r="A4184" s="66" t="s">
        <v>11029</v>
      </c>
    </row>
    <row r="4185" ht="15.75" customHeight="1">
      <c r="A4185" s="66" t="s">
        <v>11031</v>
      </c>
    </row>
    <row r="4186" ht="15.75" customHeight="1">
      <c r="A4186" s="66" t="s">
        <v>11032</v>
      </c>
    </row>
    <row r="4187" ht="15.75" customHeight="1">
      <c r="A4187" s="66" t="s">
        <v>11034</v>
      </c>
    </row>
    <row r="4188" ht="15.75" customHeight="1">
      <c r="A4188" s="66" t="s">
        <v>11035</v>
      </c>
    </row>
    <row r="4189" ht="15.75" customHeight="1">
      <c r="A4189" s="66" t="s">
        <v>11036</v>
      </c>
    </row>
    <row r="4190" ht="15.75" customHeight="1">
      <c r="A4190" s="66" t="s">
        <v>11037</v>
      </c>
    </row>
    <row r="4191" ht="15.75" customHeight="1">
      <c r="A4191" s="66" t="s">
        <v>11039</v>
      </c>
    </row>
    <row r="4192" ht="15.75" customHeight="1">
      <c r="A4192" s="66" t="s">
        <v>11041</v>
      </c>
    </row>
    <row r="4193" ht="15.75" customHeight="1">
      <c r="A4193" s="66" t="s">
        <v>11043</v>
      </c>
    </row>
    <row r="4194" ht="15.75" customHeight="1">
      <c r="A4194" s="66" t="s">
        <v>11044</v>
      </c>
    </row>
    <row r="4195" ht="15.75" customHeight="1">
      <c r="A4195" s="66" t="s">
        <v>11045</v>
      </c>
    </row>
    <row r="4196" ht="15.75" customHeight="1">
      <c r="A4196" s="66" t="s">
        <v>11046</v>
      </c>
    </row>
    <row r="4197" ht="15.75" customHeight="1">
      <c r="A4197" s="66" t="s">
        <v>11047</v>
      </c>
    </row>
    <row r="4198" ht="15.75" customHeight="1">
      <c r="A4198" s="66" t="s">
        <v>11048</v>
      </c>
    </row>
    <row r="4199" ht="15.75" customHeight="1">
      <c r="A4199" s="66" t="s">
        <v>11049</v>
      </c>
    </row>
    <row r="4200" ht="15.75" customHeight="1">
      <c r="A4200" s="66" t="s">
        <v>11050</v>
      </c>
    </row>
    <row r="4201" ht="15.75" customHeight="1">
      <c r="A4201" s="66" t="s">
        <v>11051</v>
      </c>
    </row>
    <row r="4202" ht="15.75" customHeight="1">
      <c r="A4202" s="66" t="s">
        <v>11052</v>
      </c>
    </row>
    <row r="4203" ht="15.75" customHeight="1">
      <c r="A4203" s="66" t="s">
        <v>11053</v>
      </c>
    </row>
    <row r="4204" ht="15.75" customHeight="1">
      <c r="A4204" s="66" t="s">
        <v>11054</v>
      </c>
    </row>
    <row r="4205" ht="15.75" customHeight="1">
      <c r="A4205" s="66" t="s">
        <v>11055</v>
      </c>
    </row>
    <row r="4206" ht="15.75" customHeight="1">
      <c r="A4206" s="66" t="s">
        <v>11056</v>
      </c>
    </row>
    <row r="4207" ht="15.75" customHeight="1">
      <c r="A4207" s="66" t="s">
        <v>11057</v>
      </c>
    </row>
    <row r="4208" ht="15.75" customHeight="1">
      <c r="A4208" s="66" t="s">
        <v>11058</v>
      </c>
    </row>
    <row r="4209" ht="15.75" customHeight="1">
      <c r="A4209" s="66" t="s">
        <v>11059</v>
      </c>
    </row>
    <row r="4210" ht="15.75" customHeight="1">
      <c r="A4210" s="66" t="s">
        <v>11060</v>
      </c>
    </row>
    <row r="4211" ht="15.75" customHeight="1">
      <c r="A4211" s="66" t="s">
        <v>11061</v>
      </c>
    </row>
    <row r="4212" ht="15.75" customHeight="1">
      <c r="A4212" s="66" t="s">
        <v>11062</v>
      </c>
    </row>
    <row r="4213" ht="15.75" customHeight="1">
      <c r="A4213" s="66" t="s">
        <v>11063</v>
      </c>
    </row>
    <row r="4214" ht="15.75" customHeight="1">
      <c r="A4214" s="66" t="s">
        <v>11064</v>
      </c>
    </row>
    <row r="4215" ht="15.75" customHeight="1">
      <c r="A4215" s="66" t="s">
        <v>11065</v>
      </c>
    </row>
    <row r="4216" ht="15.75" customHeight="1">
      <c r="A4216" s="66" t="s">
        <v>11066</v>
      </c>
    </row>
    <row r="4217" ht="15.75" customHeight="1">
      <c r="A4217" s="66" t="s">
        <v>11067</v>
      </c>
    </row>
    <row r="4218" ht="15.75" customHeight="1">
      <c r="A4218" s="66" t="s">
        <v>11069</v>
      </c>
    </row>
    <row r="4219" ht="15.75" customHeight="1">
      <c r="A4219" s="66" t="s">
        <v>11070</v>
      </c>
    </row>
    <row r="4220" ht="15.75" customHeight="1">
      <c r="A4220" s="66" t="s">
        <v>11073</v>
      </c>
    </row>
    <row r="4221" ht="15.75" customHeight="1">
      <c r="A4221" s="66" t="s">
        <v>11075</v>
      </c>
    </row>
    <row r="4222" ht="15.75" customHeight="1">
      <c r="A4222" s="66" t="s">
        <v>11077</v>
      </c>
    </row>
    <row r="4223" ht="15.75" customHeight="1">
      <c r="A4223" s="66" t="s">
        <v>11079</v>
      </c>
    </row>
    <row r="4224" ht="15.75" customHeight="1">
      <c r="A4224" s="66" t="s">
        <v>11080</v>
      </c>
    </row>
    <row r="4225" ht="15.75" customHeight="1">
      <c r="A4225" s="66" t="s">
        <v>11082</v>
      </c>
    </row>
    <row r="4226" ht="15.75" customHeight="1">
      <c r="A4226" s="66" t="s">
        <v>11084</v>
      </c>
    </row>
    <row r="4227" ht="15.75" customHeight="1">
      <c r="A4227" s="66" t="s">
        <v>11086</v>
      </c>
    </row>
    <row r="4228" ht="15.75" customHeight="1">
      <c r="A4228" s="66" t="s">
        <v>11087</v>
      </c>
    </row>
    <row r="4229" ht="15.75" customHeight="1">
      <c r="A4229" s="66" t="s">
        <v>11088</v>
      </c>
    </row>
    <row r="4230" ht="15.75" customHeight="1">
      <c r="A4230" s="66" t="s">
        <v>11089</v>
      </c>
    </row>
    <row r="4231" ht="15.75" customHeight="1">
      <c r="A4231" s="66" t="s">
        <v>11090</v>
      </c>
    </row>
    <row r="4232" ht="15.75" customHeight="1">
      <c r="A4232" s="66" t="s">
        <v>11091</v>
      </c>
    </row>
    <row r="4233" ht="15.75" customHeight="1">
      <c r="A4233" s="66" t="s">
        <v>11092</v>
      </c>
    </row>
    <row r="4234" ht="15.75" customHeight="1">
      <c r="A4234" s="66" t="s">
        <v>11093</v>
      </c>
    </row>
    <row r="4235" ht="15.75" customHeight="1">
      <c r="A4235" s="66" t="s">
        <v>11094</v>
      </c>
    </row>
    <row r="4236" ht="15.75" customHeight="1">
      <c r="A4236" s="66" t="s">
        <v>11095</v>
      </c>
    </row>
    <row r="4237" ht="15.75" customHeight="1">
      <c r="A4237" s="66" t="s">
        <v>11096</v>
      </c>
    </row>
    <row r="4238" ht="15.75" customHeight="1">
      <c r="A4238" s="66" t="s">
        <v>11097</v>
      </c>
    </row>
    <row r="4239" ht="15.75" customHeight="1">
      <c r="A4239" s="66" t="s">
        <v>11098</v>
      </c>
    </row>
    <row r="4240" ht="15.75" customHeight="1">
      <c r="A4240" s="66" t="s">
        <v>11099</v>
      </c>
    </row>
    <row r="4241" ht="15.75" customHeight="1">
      <c r="A4241" s="66" t="s">
        <v>11100</v>
      </c>
    </row>
    <row r="4242" ht="15.75" customHeight="1">
      <c r="A4242" s="66" t="s">
        <v>11101</v>
      </c>
    </row>
    <row r="4243" ht="15.75" customHeight="1">
      <c r="A4243" s="66" t="s">
        <v>11102</v>
      </c>
    </row>
    <row r="4244" ht="15.75" customHeight="1">
      <c r="A4244" s="66" t="s">
        <v>11103</v>
      </c>
    </row>
    <row r="4245" ht="15.75" customHeight="1">
      <c r="A4245" s="66" t="s">
        <v>11104</v>
      </c>
    </row>
    <row r="4246" ht="15.75" customHeight="1">
      <c r="A4246" s="66" t="s">
        <v>11105</v>
      </c>
    </row>
    <row r="4247" ht="15.75" customHeight="1">
      <c r="A4247" s="66" t="s">
        <v>11106</v>
      </c>
    </row>
    <row r="4248" ht="15.75" customHeight="1">
      <c r="A4248" s="66" t="s">
        <v>11107</v>
      </c>
    </row>
    <row r="4249" ht="15.75" customHeight="1">
      <c r="A4249" s="66" t="s">
        <v>11108</v>
      </c>
    </row>
    <row r="4250" ht="15.75" customHeight="1">
      <c r="A4250" s="66" t="s">
        <v>11109</v>
      </c>
    </row>
    <row r="4251" ht="15.75" customHeight="1">
      <c r="A4251" s="66" t="s">
        <v>11110</v>
      </c>
    </row>
    <row r="4252" ht="15.75" customHeight="1">
      <c r="A4252" s="66" t="s">
        <v>11111</v>
      </c>
    </row>
    <row r="4253" ht="15.75" customHeight="1">
      <c r="A4253" s="66" t="s">
        <v>11112</v>
      </c>
    </row>
    <row r="4254" ht="15.75" customHeight="1">
      <c r="A4254" s="66" t="s">
        <v>11113</v>
      </c>
    </row>
    <row r="4255" ht="15.75" customHeight="1">
      <c r="A4255" s="66" t="s">
        <v>11114</v>
      </c>
    </row>
    <row r="4256" ht="15.75" customHeight="1">
      <c r="A4256" s="66" t="s">
        <v>11115</v>
      </c>
    </row>
    <row r="4257" ht="15.75" customHeight="1">
      <c r="A4257" s="66" t="s">
        <v>11118</v>
      </c>
    </row>
    <row r="4258" ht="15.75" customHeight="1">
      <c r="A4258" s="66" t="s">
        <v>11119</v>
      </c>
    </row>
    <row r="4259" ht="15.75" customHeight="1">
      <c r="A4259" s="66" t="s">
        <v>11122</v>
      </c>
    </row>
    <row r="4260" ht="15.75" customHeight="1">
      <c r="A4260" s="66" t="s">
        <v>11125</v>
      </c>
    </row>
    <row r="4261" ht="15.75" customHeight="1">
      <c r="A4261" s="66" t="s">
        <v>11126</v>
      </c>
    </row>
    <row r="4262" ht="15.75" customHeight="1">
      <c r="A4262" s="66" t="s">
        <v>11127</v>
      </c>
    </row>
    <row r="4263" ht="15.75" customHeight="1">
      <c r="A4263" s="66" t="s">
        <v>11131</v>
      </c>
    </row>
    <row r="4264" ht="15.75" customHeight="1">
      <c r="A4264" s="66" t="s">
        <v>11141</v>
      </c>
    </row>
    <row r="4265" ht="15.75" customHeight="1">
      <c r="A4265" s="66" t="s">
        <v>11142</v>
      </c>
    </row>
    <row r="4266" ht="15.75" customHeight="1">
      <c r="A4266" s="66" t="s">
        <v>11143</v>
      </c>
    </row>
    <row r="4267" ht="15.75" customHeight="1">
      <c r="A4267" s="66" t="s">
        <v>11144</v>
      </c>
    </row>
    <row r="4268" ht="15.75" customHeight="1">
      <c r="A4268" s="66" t="s">
        <v>11145</v>
      </c>
    </row>
    <row r="4269" ht="15.75" customHeight="1">
      <c r="A4269" s="66" t="s">
        <v>11146</v>
      </c>
    </row>
    <row r="4270" ht="15.75" customHeight="1">
      <c r="A4270" s="66" t="s">
        <v>11147</v>
      </c>
    </row>
    <row r="4271" ht="15.75" customHeight="1">
      <c r="A4271" s="66" t="s">
        <v>11148</v>
      </c>
    </row>
    <row r="4272" ht="15.75" customHeight="1">
      <c r="A4272" s="66" t="s">
        <v>11149</v>
      </c>
    </row>
    <row r="4273" ht="15.75" customHeight="1">
      <c r="A4273" s="66" t="s">
        <v>11150</v>
      </c>
    </row>
    <row r="4274" ht="15.75" customHeight="1">
      <c r="A4274" s="66" t="s">
        <v>11151</v>
      </c>
    </row>
    <row r="4275" ht="15.75" customHeight="1">
      <c r="A4275" s="66" t="s">
        <v>11152</v>
      </c>
    </row>
    <row r="4276" ht="15.75" customHeight="1">
      <c r="A4276" s="66" t="s">
        <v>11153</v>
      </c>
    </row>
    <row r="4277" ht="15.75" customHeight="1">
      <c r="A4277" s="66" t="s">
        <v>11155</v>
      </c>
    </row>
    <row r="4278" ht="15.75" customHeight="1">
      <c r="A4278" s="66" t="s">
        <v>11157</v>
      </c>
    </row>
    <row r="4279" ht="15.75" customHeight="1">
      <c r="A4279" s="66" t="s">
        <v>11160</v>
      </c>
    </row>
    <row r="4280" ht="15.75" customHeight="1">
      <c r="A4280" s="66" t="s">
        <v>11162</v>
      </c>
    </row>
    <row r="4281" ht="15.75" customHeight="1">
      <c r="A4281" s="66" t="s">
        <v>11163</v>
      </c>
    </row>
    <row r="4282" ht="15.75" customHeight="1">
      <c r="A4282" s="66" t="s">
        <v>11165</v>
      </c>
    </row>
    <row r="4283" ht="15.75" customHeight="1">
      <c r="A4283" s="66" t="s">
        <v>11167</v>
      </c>
    </row>
    <row r="4284" ht="15.75" customHeight="1">
      <c r="A4284" s="66" t="s">
        <v>11168</v>
      </c>
    </row>
    <row r="4285" ht="15.75" customHeight="1">
      <c r="A4285" s="66" t="s">
        <v>11169</v>
      </c>
    </row>
    <row r="4286" ht="15.75" customHeight="1">
      <c r="A4286" s="66" t="s">
        <v>11170</v>
      </c>
    </row>
    <row r="4287" ht="15.75" customHeight="1">
      <c r="A4287" s="66" t="s">
        <v>11171</v>
      </c>
    </row>
    <row r="4288" ht="15.75" customHeight="1">
      <c r="A4288" s="66" t="s">
        <v>11172</v>
      </c>
    </row>
    <row r="4289" ht="15.75" customHeight="1">
      <c r="A4289" s="66" t="s">
        <v>11173</v>
      </c>
    </row>
    <row r="4290" ht="15.75" customHeight="1">
      <c r="A4290" s="66" t="s">
        <v>11174</v>
      </c>
    </row>
    <row r="4291" ht="15.75" customHeight="1">
      <c r="A4291" s="66" t="s">
        <v>11175</v>
      </c>
    </row>
    <row r="4292" ht="15.75" customHeight="1">
      <c r="A4292" s="66" t="s">
        <v>11176</v>
      </c>
    </row>
    <row r="4293" ht="15.75" customHeight="1">
      <c r="A4293" s="66" t="s">
        <v>11178</v>
      </c>
    </row>
    <row r="4294" ht="15.75" customHeight="1">
      <c r="A4294" s="66" t="s">
        <v>11179</v>
      </c>
    </row>
    <row r="4295" ht="15.75" customHeight="1">
      <c r="A4295" s="66" t="s">
        <v>11180</v>
      </c>
    </row>
    <row r="4296" ht="15.75" customHeight="1">
      <c r="A4296" s="66" t="s">
        <v>11181</v>
      </c>
    </row>
    <row r="4297" ht="15.75" customHeight="1">
      <c r="A4297" s="66" t="s">
        <v>11182</v>
      </c>
    </row>
    <row r="4298" ht="15.75" customHeight="1">
      <c r="A4298" s="66" t="s">
        <v>11183</v>
      </c>
    </row>
    <row r="4299" ht="15.75" customHeight="1">
      <c r="A4299" s="66" t="s">
        <v>11184</v>
      </c>
    </row>
    <row r="4300" ht="15.75" customHeight="1">
      <c r="A4300" s="66" t="s">
        <v>11185</v>
      </c>
    </row>
    <row r="4301" ht="15.75" customHeight="1">
      <c r="A4301" s="66" t="s">
        <v>11186</v>
      </c>
    </row>
    <row r="4302" ht="15.75" customHeight="1">
      <c r="A4302" s="66" t="s">
        <v>11187</v>
      </c>
    </row>
    <row r="4303" ht="15.75" customHeight="1">
      <c r="A4303" s="66" t="s">
        <v>11188</v>
      </c>
    </row>
    <row r="4304" ht="15.75" customHeight="1">
      <c r="A4304" s="66" t="s">
        <v>11189</v>
      </c>
    </row>
    <row r="4305" ht="15.75" customHeight="1">
      <c r="A4305" s="66" t="s">
        <v>11190</v>
      </c>
    </row>
    <row r="4306" ht="15.75" customHeight="1">
      <c r="A4306" s="66" t="s">
        <v>11191</v>
      </c>
    </row>
    <row r="4307" ht="15.75" customHeight="1">
      <c r="A4307" s="66" t="s">
        <v>11192</v>
      </c>
    </row>
    <row r="4308" ht="15.75" customHeight="1">
      <c r="A4308" s="66" t="s">
        <v>11193</v>
      </c>
    </row>
    <row r="4309" ht="15.75" customHeight="1">
      <c r="A4309" s="66" t="s">
        <v>11194</v>
      </c>
    </row>
    <row r="4310" ht="15.75" customHeight="1">
      <c r="A4310" s="66" t="s">
        <v>11195</v>
      </c>
    </row>
    <row r="4311" ht="15.75" customHeight="1">
      <c r="A4311" s="66" t="s">
        <v>11196</v>
      </c>
    </row>
    <row r="4312" ht="15.75" customHeight="1">
      <c r="A4312" s="66" t="s">
        <v>11197</v>
      </c>
    </row>
    <row r="4313" ht="15.75" customHeight="1">
      <c r="A4313" s="66" t="s">
        <v>11198</v>
      </c>
    </row>
    <row r="4314" ht="15.75" customHeight="1">
      <c r="A4314" s="66" t="s">
        <v>11199</v>
      </c>
    </row>
    <row r="4315" ht="15.75" customHeight="1">
      <c r="A4315" s="66" t="s">
        <v>11200</v>
      </c>
    </row>
    <row r="4316" ht="15.75" customHeight="1">
      <c r="A4316" s="66" t="s">
        <v>11201</v>
      </c>
    </row>
    <row r="4317" ht="15.75" customHeight="1">
      <c r="A4317" s="66" t="s">
        <v>11203</v>
      </c>
    </row>
    <row r="4318" ht="15.75" customHeight="1">
      <c r="A4318" s="66" t="s">
        <v>11205</v>
      </c>
    </row>
    <row r="4319" ht="15.75" customHeight="1">
      <c r="A4319" s="66" t="s">
        <v>11206</v>
      </c>
    </row>
    <row r="4320" ht="15.75" customHeight="1">
      <c r="A4320" s="66" t="s">
        <v>11207</v>
      </c>
    </row>
    <row r="4321" ht="15.75" customHeight="1">
      <c r="A4321" s="66" t="s">
        <v>11208</v>
      </c>
    </row>
    <row r="4322" ht="15.75" customHeight="1">
      <c r="A4322" s="66" t="s">
        <v>11209</v>
      </c>
    </row>
    <row r="4323" ht="15.75" customHeight="1">
      <c r="A4323" s="66" t="s">
        <v>11210</v>
      </c>
    </row>
    <row r="4324" ht="15.75" customHeight="1">
      <c r="A4324" s="66" t="s">
        <v>11211</v>
      </c>
    </row>
    <row r="4325" ht="15.75" customHeight="1">
      <c r="A4325" s="66" t="s">
        <v>11213</v>
      </c>
    </row>
    <row r="4326" ht="15.75" customHeight="1">
      <c r="A4326" s="66" t="s">
        <v>11214</v>
      </c>
    </row>
    <row r="4327" ht="15.75" customHeight="1">
      <c r="A4327" s="66" t="s">
        <v>11216</v>
      </c>
    </row>
    <row r="4328" ht="15.75" customHeight="1">
      <c r="A4328" s="66" t="s">
        <v>11217</v>
      </c>
    </row>
    <row r="4329" ht="15.75" customHeight="1">
      <c r="A4329" s="66" t="s">
        <v>11219</v>
      </c>
    </row>
    <row r="4330" ht="15.75" customHeight="1">
      <c r="A4330" s="66" t="s">
        <v>11221</v>
      </c>
    </row>
    <row r="4331" ht="15.75" customHeight="1">
      <c r="A4331" s="66" t="s">
        <v>11223</v>
      </c>
    </row>
    <row r="4332" ht="15.75" customHeight="1">
      <c r="A4332" s="66" t="s">
        <v>11224</v>
      </c>
    </row>
    <row r="4333" ht="15.75" customHeight="1">
      <c r="A4333" s="66" t="s">
        <v>11225</v>
      </c>
    </row>
    <row r="4334" ht="15.75" customHeight="1">
      <c r="A4334" s="66" t="s">
        <v>11226</v>
      </c>
    </row>
    <row r="4335" ht="15.75" customHeight="1">
      <c r="A4335" s="66" t="s">
        <v>11227</v>
      </c>
    </row>
    <row r="4336" ht="15.75" customHeight="1">
      <c r="A4336" s="66" t="s">
        <v>11228</v>
      </c>
    </row>
    <row r="4337" ht="15.75" customHeight="1">
      <c r="A4337" s="66" t="s">
        <v>11229</v>
      </c>
    </row>
    <row r="4338" ht="15.75" customHeight="1">
      <c r="A4338" s="66" t="s">
        <v>11230</v>
      </c>
    </row>
    <row r="4339" ht="15.75" customHeight="1">
      <c r="A4339" s="66" t="s">
        <v>11231</v>
      </c>
    </row>
    <row r="4340" ht="15.75" customHeight="1">
      <c r="A4340" s="66" t="s">
        <v>11232</v>
      </c>
    </row>
    <row r="4341" ht="15.75" customHeight="1">
      <c r="A4341" s="66" t="s">
        <v>11233</v>
      </c>
    </row>
    <row r="4342" ht="15.75" customHeight="1">
      <c r="A4342" s="66" t="s">
        <v>11234</v>
      </c>
    </row>
    <row r="4343" ht="15.75" customHeight="1">
      <c r="A4343" s="66" t="s">
        <v>11235</v>
      </c>
    </row>
    <row r="4344" ht="15.75" customHeight="1">
      <c r="A4344" s="66" t="s">
        <v>11236</v>
      </c>
    </row>
    <row r="4345" ht="15.75" customHeight="1">
      <c r="A4345" s="66" t="s">
        <v>11237</v>
      </c>
    </row>
    <row r="4346" ht="15.75" customHeight="1">
      <c r="A4346" s="66" t="s">
        <v>11238</v>
      </c>
    </row>
    <row r="4347" ht="15.75" customHeight="1">
      <c r="A4347" s="66" t="s">
        <v>11239</v>
      </c>
    </row>
    <row r="4348" ht="15.75" customHeight="1">
      <c r="A4348" s="66" t="s">
        <v>11240</v>
      </c>
    </row>
    <row r="4349" ht="15.75" customHeight="1">
      <c r="A4349" s="66" t="s">
        <v>11241</v>
      </c>
    </row>
    <row r="4350" ht="15.75" customHeight="1">
      <c r="A4350" s="66" t="s">
        <v>11242</v>
      </c>
    </row>
    <row r="4351" ht="15.75" customHeight="1">
      <c r="A4351" s="66" t="s">
        <v>11243</v>
      </c>
    </row>
    <row r="4352" ht="15.75" customHeight="1">
      <c r="A4352" s="66" t="s">
        <v>11244</v>
      </c>
    </row>
    <row r="4353" ht="15.75" customHeight="1">
      <c r="A4353" s="66" t="s">
        <v>11245</v>
      </c>
    </row>
    <row r="4354" ht="15.75" customHeight="1">
      <c r="A4354" s="66" t="s">
        <v>11246</v>
      </c>
    </row>
    <row r="4355" ht="15.75" customHeight="1">
      <c r="A4355" s="66" t="s">
        <v>11248</v>
      </c>
    </row>
    <row r="4356" ht="15.75" customHeight="1">
      <c r="A4356" s="66" t="s">
        <v>11249</v>
      </c>
    </row>
    <row r="4357" ht="15.75" customHeight="1">
      <c r="A4357" s="66" t="s">
        <v>11250</v>
      </c>
    </row>
    <row r="4358" ht="15.75" customHeight="1">
      <c r="A4358" s="66" t="s">
        <v>11251</v>
      </c>
    </row>
    <row r="4359" ht="15.75" customHeight="1">
      <c r="A4359" s="66" t="s">
        <v>11252</v>
      </c>
    </row>
    <row r="4360" ht="15.75" customHeight="1">
      <c r="A4360" s="66" t="s">
        <v>11253</v>
      </c>
    </row>
    <row r="4361" ht="15.75" customHeight="1">
      <c r="A4361" s="66" t="s">
        <v>11254</v>
      </c>
    </row>
    <row r="4362" ht="15.75" customHeight="1">
      <c r="A4362" s="66" t="s">
        <v>11255</v>
      </c>
    </row>
    <row r="4363" ht="15.75" customHeight="1">
      <c r="A4363" s="66" t="s">
        <v>11256</v>
      </c>
    </row>
    <row r="4364" ht="15.75" customHeight="1">
      <c r="A4364" s="66" t="s">
        <v>11258</v>
      </c>
    </row>
    <row r="4365" ht="15.75" customHeight="1">
      <c r="A4365" s="66" t="s">
        <v>11259</v>
      </c>
    </row>
    <row r="4366" ht="15.75" customHeight="1">
      <c r="A4366" s="66" t="s">
        <v>11261</v>
      </c>
    </row>
    <row r="4367" ht="15.75" customHeight="1">
      <c r="A4367" s="66" t="s">
        <v>11262</v>
      </c>
    </row>
    <row r="4368" ht="15.75" customHeight="1">
      <c r="A4368" s="66" t="s">
        <v>11264</v>
      </c>
    </row>
    <row r="4369" ht="15.75" customHeight="1">
      <c r="A4369" s="66" t="s">
        <v>11266</v>
      </c>
    </row>
    <row r="4370" ht="15.75" customHeight="1">
      <c r="A4370" s="66" t="s">
        <v>11268</v>
      </c>
    </row>
    <row r="4371" ht="15.75" customHeight="1">
      <c r="A4371" s="66" t="s">
        <v>11269</v>
      </c>
    </row>
    <row r="4372" ht="15.75" customHeight="1">
      <c r="A4372" s="66" t="s">
        <v>11270</v>
      </c>
    </row>
    <row r="4373" ht="15.75" customHeight="1">
      <c r="A4373" s="66" t="s">
        <v>11271</v>
      </c>
    </row>
    <row r="4374" ht="15.75" customHeight="1">
      <c r="A4374" s="66" t="s">
        <v>11272</v>
      </c>
    </row>
    <row r="4375" ht="15.75" customHeight="1">
      <c r="A4375" s="66" t="s">
        <v>11273</v>
      </c>
    </row>
    <row r="4376" ht="15.75" customHeight="1">
      <c r="A4376" s="66" t="s">
        <v>11274</v>
      </c>
    </row>
    <row r="4377" ht="15.75" customHeight="1">
      <c r="A4377" s="66" t="s">
        <v>11275</v>
      </c>
    </row>
    <row r="4378" ht="15.75" customHeight="1">
      <c r="A4378" s="66" t="s">
        <v>11276</v>
      </c>
    </row>
    <row r="4379" ht="15.75" customHeight="1">
      <c r="A4379" s="66" t="s">
        <v>11277</v>
      </c>
    </row>
    <row r="4380" ht="15.75" customHeight="1">
      <c r="A4380" s="66" t="s">
        <v>11278</v>
      </c>
    </row>
    <row r="4381" ht="15.75" customHeight="1">
      <c r="A4381" s="66" t="s">
        <v>11279</v>
      </c>
    </row>
    <row r="4382" ht="15.75" customHeight="1">
      <c r="A4382" s="66" t="s">
        <v>11280</v>
      </c>
    </row>
    <row r="4383" ht="15.75" customHeight="1">
      <c r="A4383" s="66" t="s">
        <v>11281</v>
      </c>
    </row>
    <row r="4384" ht="15.75" customHeight="1">
      <c r="A4384" s="66" t="s">
        <v>11282</v>
      </c>
    </row>
    <row r="4385" ht="15.75" customHeight="1">
      <c r="A4385" s="66" t="s">
        <v>11283</v>
      </c>
    </row>
    <row r="4386" ht="15.75" customHeight="1">
      <c r="A4386" s="66" t="s">
        <v>11284</v>
      </c>
    </row>
    <row r="4387" ht="15.75" customHeight="1">
      <c r="A4387" s="66" t="s">
        <v>11285</v>
      </c>
    </row>
    <row r="4388" ht="15.75" customHeight="1">
      <c r="A4388" s="66" t="s">
        <v>11286</v>
      </c>
    </row>
    <row r="4389" ht="15.75" customHeight="1">
      <c r="A4389" s="66" t="s">
        <v>11287</v>
      </c>
    </row>
    <row r="4390" ht="15.75" customHeight="1">
      <c r="A4390" s="66" t="s">
        <v>11288</v>
      </c>
    </row>
    <row r="4391" ht="15.75" customHeight="1">
      <c r="A4391" s="66" t="s">
        <v>11289</v>
      </c>
    </row>
    <row r="4392" ht="15.75" customHeight="1">
      <c r="A4392" s="66" t="s">
        <v>11290</v>
      </c>
    </row>
    <row r="4393" ht="15.75" customHeight="1">
      <c r="A4393" s="66" t="s">
        <v>11291</v>
      </c>
    </row>
    <row r="4394" ht="15.75" customHeight="1">
      <c r="A4394" s="66" t="s">
        <v>11292</v>
      </c>
    </row>
    <row r="4395" ht="15.75" customHeight="1">
      <c r="A4395" s="66" t="s">
        <v>11293</v>
      </c>
    </row>
    <row r="4396" ht="15.75" customHeight="1">
      <c r="A4396" s="66" t="s">
        <v>11294</v>
      </c>
    </row>
    <row r="4397" ht="15.75" customHeight="1">
      <c r="A4397" s="66" t="s">
        <v>11296</v>
      </c>
    </row>
    <row r="4398" ht="15.75" customHeight="1">
      <c r="A4398" s="66" t="s">
        <v>11297</v>
      </c>
    </row>
    <row r="4399" ht="15.75" customHeight="1">
      <c r="A4399" s="66" t="s">
        <v>11299</v>
      </c>
    </row>
    <row r="4400" ht="15.75" customHeight="1">
      <c r="A4400" s="66" t="s">
        <v>11301</v>
      </c>
    </row>
    <row r="4401" ht="15.75" customHeight="1">
      <c r="A4401" s="66" t="s">
        <v>11302</v>
      </c>
    </row>
    <row r="4402" ht="15.75" customHeight="1">
      <c r="A4402" s="66" t="s">
        <v>11303</v>
      </c>
    </row>
    <row r="4403" ht="15.75" customHeight="1">
      <c r="A4403" s="66" t="s">
        <v>11304</v>
      </c>
    </row>
    <row r="4404" ht="15.75" customHeight="1">
      <c r="A4404" s="66" t="s">
        <v>11305</v>
      </c>
    </row>
    <row r="4405" ht="15.75" customHeight="1">
      <c r="A4405" s="66" t="s">
        <v>11306</v>
      </c>
    </row>
    <row r="4406" ht="15.75" customHeight="1">
      <c r="A4406" s="66" t="s">
        <v>11307</v>
      </c>
    </row>
    <row r="4407" ht="15.75" customHeight="1">
      <c r="A4407" s="66" t="s">
        <v>11308</v>
      </c>
    </row>
    <row r="4408" ht="15.75" customHeight="1">
      <c r="A4408" s="66" t="s">
        <v>11309</v>
      </c>
    </row>
    <row r="4409" ht="15.75" customHeight="1">
      <c r="A4409" s="66" t="s">
        <v>11310</v>
      </c>
    </row>
    <row r="4410" ht="15.75" customHeight="1">
      <c r="A4410" s="66" t="s">
        <v>11311</v>
      </c>
    </row>
    <row r="4411" ht="15.75" customHeight="1">
      <c r="A4411" s="66" t="s">
        <v>11312</v>
      </c>
    </row>
    <row r="4412" ht="15.75" customHeight="1">
      <c r="A4412" s="66" t="s">
        <v>11313</v>
      </c>
    </row>
    <row r="4413" ht="15.75" customHeight="1">
      <c r="A4413" s="66" t="s">
        <v>11314</v>
      </c>
    </row>
    <row r="4414" ht="15.75" customHeight="1">
      <c r="A4414" s="66" t="s">
        <v>11315</v>
      </c>
    </row>
    <row r="4415" ht="15.75" customHeight="1">
      <c r="A4415" s="66" t="s">
        <v>11316</v>
      </c>
    </row>
    <row r="4416" ht="15.75" customHeight="1">
      <c r="A4416" s="66" t="s">
        <v>11317</v>
      </c>
    </row>
    <row r="4417" ht="15.75" customHeight="1">
      <c r="A4417" s="66" t="s">
        <v>11318</v>
      </c>
    </row>
    <row r="4418" ht="15.75" customHeight="1">
      <c r="A4418" s="66" t="s">
        <v>11320</v>
      </c>
    </row>
    <row r="4419" ht="15.75" customHeight="1">
      <c r="A4419" s="66" t="s">
        <v>11322</v>
      </c>
    </row>
    <row r="4420" ht="15.75" customHeight="1">
      <c r="A4420" s="66" t="s">
        <v>11323</v>
      </c>
    </row>
    <row r="4421" ht="15.75" customHeight="1">
      <c r="A4421" s="66" t="s">
        <v>11325</v>
      </c>
    </row>
    <row r="4422" ht="15.75" customHeight="1">
      <c r="A4422" s="66" t="s">
        <v>11327</v>
      </c>
    </row>
    <row r="4423" ht="15.75" customHeight="1">
      <c r="A4423" s="66" t="s">
        <v>11328</v>
      </c>
    </row>
    <row r="4424" ht="15.75" customHeight="1">
      <c r="A4424" s="66" t="s">
        <v>11330</v>
      </c>
    </row>
    <row r="4425" ht="15.75" customHeight="1">
      <c r="A4425" s="66" t="s">
        <v>11331</v>
      </c>
    </row>
    <row r="4426" ht="15.75" customHeight="1">
      <c r="A4426" s="66" t="s">
        <v>11332</v>
      </c>
    </row>
    <row r="4427" ht="15.75" customHeight="1">
      <c r="A4427" s="66" t="s">
        <v>11333</v>
      </c>
    </row>
    <row r="4428" ht="15.75" customHeight="1">
      <c r="A4428" s="66" t="s">
        <v>11334</v>
      </c>
    </row>
    <row r="4429" ht="15.75" customHeight="1">
      <c r="A4429" s="66" t="s">
        <v>11335</v>
      </c>
    </row>
    <row r="4430" ht="15.75" customHeight="1">
      <c r="A4430" s="66" t="s">
        <v>11336</v>
      </c>
    </row>
    <row r="4431" ht="15.75" customHeight="1">
      <c r="A4431" s="66" t="s">
        <v>11337</v>
      </c>
    </row>
    <row r="4432" ht="15.75" customHeight="1">
      <c r="A4432" s="66" t="s">
        <v>11338</v>
      </c>
    </row>
    <row r="4433" ht="15.75" customHeight="1">
      <c r="A4433" s="66" t="s">
        <v>11339</v>
      </c>
    </row>
    <row r="4434" ht="15.75" customHeight="1">
      <c r="A4434" s="66" t="s">
        <v>11340</v>
      </c>
    </row>
    <row r="4435" ht="15.75" customHeight="1">
      <c r="A4435" s="66" t="s">
        <v>11341</v>
      </c>
    </row>
    <row r="4436" ht="15.75" customHeight="1">
      <c r="A4436" s="66" t="s">
        <v>11342</v>
      </c>
    </row>
    <row r="4437" ht="15.75" customHeight="1">
      <c r="A4437" s="66" t="s">
        <v>11343</v>
      </c>
    </row>
    <row r="4438" ht="15.75" customHeight="1">
      <c r="A4438" s="66" t="s">
        <v>11344</v>
      </c>
    </row>
    <row r="4439" ht="15.75" customHeight="1">
      <c r="A4439" s="66" t="s">
        <v>11345</v>
      </c>
    </row>
    <row r="4440" ht="15.75" customHeight="1">
      <c r="A4440" s="66" t="s">
        <v>11346</v>
      </c>
    </row>
    <row r="4441" ht="15.75" customHeight="1">
      <c r="A4441" s="66" t="s">
        <v>11347</v>
      </c>
    </row>
    <row r="4442" ht="15.75" customHeight="1">
      <c r="A4442" s="66" t="s">
        <v>11348</v>
      </c>
    </row>
    <row r="4443" ht="15.75" customHeight="1">
      <c r="A4443" s="66" t="s">
        <v>11349</v>
      </c>
    </row>
    <row r="4444" ht="15.75" customHeight="1">
      <c r="A4444" s="66" t="s">
        <v>11350</v>
      </c>
    </row>
    <row r="4445" ht="15.75" customHeight="1">
      <c r="A4445" s="66" t="s">
        <v>11351</v>
      </c>
    </row>
    <row r="4446" ht="15.75" customHeight="1">
      <c r="A4446" s="66" t="s">
        <v>11352</v>
      </c>
    </row>
    <row r="4447" ht="15.75" customHeight="1">
      <c r="A4447" s="66" t="s">
        <v>11353</v>
      </c>
    </row>
    <row r="4448" ht="15.75" customHeight="1">
      <c r="A4448" s="66" t="s">
        <v>11354</v>
      </c>
    </row>
    <row r="4449" ht="15.75" customHeight="1">
      <c r="A4449" s="66" t="s">
        <v>11355</v>
      </c>
    </row>
    <row r="4450" ht="15.75" customHeight="1">
      <c r="A4450" s="66" t="s">
        <v>11356</v>
      </c>
    </row>
    <row r="4451" ht="15.75" customHeight="1">
      <c r="A4451" s="66" t="s">
        <v>11357</v>
      </c>
    </row>
    <row r="4452" ht="15.75" customHeight="1">
      <c r="A4452" s="66" t="s">
        <v>11358</v>
      </c>
    </row>
    <row r="4453" ht="15.75" customHeight="1">
      <c r="A4453" s="66" t="s">
        <v>11359</v>
      </c>
    </row>
    <row r="4454" ht="15.75" customHeight="1">
      <c r="A4454" s="66" t="s">
        <v>11360</v>
      </c>
    </row>
    <row r="4455" ht="15.75" customHeight="1">
      <c r="A4455" s="66" t="s">
        <v>11361</v>
      </c>
    </row>
    <row r="4456" ht="15.75" customHeight="1">
      <c r="A4456" s="66" t="s">
        <v>11362</v>
      </c>
    </row>
    <row r="4457" ht="15.75" customHeight="1">
      <c r="A4457" s="66" t="s">
        <v>11363</v>
      </c>
    </row>
    <row r="4458" ht="15.75" customHeight="1">
      <c r="A4458" s="66" t="s">
        <v>11364</v>
      </c>
    </row>
    <row r="4459" ht="15.75" customHeight="1">
      <c r="A4459" s="66" t="s">
        <v>11365</v>
      </c>
    </row>
    <row r="4460" ht="15.75" customHeight="1">
      <c r="A4460" s="66" t="s">
        <v>11366</v>
      </c>
    </row>
    <row r="4461" ht="15.75" customHeight="1">
      <c r="A4461" s="66" t="s">
        <v>11367</v>
      </c>
    </row>
    <row r="4462" ht="15.75" customHeight="1">
      <c r="A4462" s="66" t="s">
        <v>11368</v>
      </c>
    </row>
    <row r="4463" ht="15.75" customHeight="1">
      <c r="A4463" s="66" t="s">
        <v>11369</v>
      </c>
    </row>
    <row r="4464" ht="15.75" customHeight="1">
      <c r="A4464" s="66" t="s">
        <v>11370</v>
      </c>
    </row>
    <row r="4465" ht="15.75" customHeight="1">
      <c r="A4465" s="66" t="s">
        <v>11371</v>
      </c>
    </row>
    <row r="4466" ht="15.75" customHeight="1">
      <c r="A4466" s="66" t="s">
        <v>11372</v>
      </c>
    </row>
    <row r="4467" ht="15.75" customHeight="1">
      <c r="A4467" s="66" t="s">
        <v>11373</v>
      </c>
    </row>
    <row r="4468" ht="15.75" customHeight="1">
      <c r="A4468" s="66" t="s">
        <v>11374</v>
      </c>
    </row>
    <row r="4469" ht="15.75" customHeight="1">
      <c r="A4469" s="66" t="s">
        <v>11376</v>
      </c>
    </row>
    <row r="4470" ht="15.75" customHeight="1">
      <c r="A4470" s="66" t="s">
        <v>11378</v>
      </c>
    </row>
    <row r="4471" ht="15.75" customHeight="1">
      <c r="A4471" s="66" t="s">
        <v>11379</v>
      </c>
    </row>
    <row r="4472" ht="15.75" customHeight="1">
      <c r="A4472" s="66" t="s">
        <v>11381</v>
      </c>
    </row>
    <row r="4473" ht="15.75" customHeight="1">
      <c r="A4473" s="66" t="s">
        <v>11383</v>
      </c>
    </row>
    <row r="4474" ht="15.75" customHeight="1">
      <c r="A4474" s="66" t="s">
        <v>11385</v>
      </c>
    </row>
    <row r="4475" ht="15.75" customHeight="1">
      <c r="A4475" s="66" t="s">
        <v>11386</v>
      </c>
    </row>
    <row r="4476" ht="15.75" customHeight="1">
      <c r="A4476" s="66" t="s">
        <v>11387</v>
      </c>
    </row>
    <row r="4477" ht="15.75" customHeight="1">
      <c r="A4477" s="66" t="s">
        <v>11388</v>
      </c>
    </row>
    <row r="4478" ht="15.75" customHeight="1">
      <c r="A4478" s="66" t="s">
        <v>11389</v>
      </c>
    </row>
    <row r="4479" ht="15.75" customHeight="1">
      <c r="A4479" s="66" t="s">
        <v>11390</v>
      </c>
    </row>
    <row r="4480" ht="15.75" customHeight="1">
      <c r="A4480" s="66" t="s">
        <v>11391</v>
      </c>
    </row>
    <row r="4481" ht="15.75" customHeight="1">
      <c r="A4481" s="66" t="s">
        <v>11392</v>
      </c>
    </row>
    <row r="4482" ht="15.75" customHeight="1">
      <c r="A4482" s="66" t="s">
        <v>11393</v>
      </c>
    </row>
    <row r="4483" ht="15.75" customHeight="1">
      <c r="A4483" s="66" t="s">
        <v>11394</v>
      </c>
    </row>
    <row r="4484" ht="15.75" customHeight="1">
      <c r="A4484" s="66" t="s">
        <v>11395</v>
      </c>
    </row>
    <row r="4485" ht="15.75" customHeight="1">
      <c r="A4485" s="66" t="s">
        <v>11396</v>
      </c>
    </row>
    <row r="4486" ht="15.75" customHeight="1">
      <c r="A4486" s="66" t="s">
        <v>11397</v>
      </c>
    </row>
    <row r="4487" ht="15.75" customHeight="1">
      <c r="A4487" s="66" t="s">
        <v>11398</v>
      </c>
    </row>
    <row r="4488" ht="15.75" customHeight="1">
      <c r="A4488" s="66" t="s">
        <v>11399</v>
      </c>
    </row>
    <row r="4489" ht="15.75" customHeight="1">
      <c r="A4489" s="66" t="s">
        <v>11400</v>
      </c>
    </row>
    <row r="4490" ht="15.75" customHeight="1">
      <c r="A4490" s="66" t="s">
        <v>11401</v>
      </c>
    </row>
    <row r="4491" ht="15.75" customHeight="1">
      <c r="A4491" s="66" t="s">
        <v>11402</v>
      </c>
    </row>
    <row r="4492" ht="15.75" customHeight="1">
      <c r="A4492" s="66" t="s">
        <v>11403</v>
      </c>
    </row>
    <row r="4493" ht="15.75" customHeight="1">
      <c r="A4493" s="66" t="s">
        <v>11404</v>
      </c>
    </row>
    <row r="4494" ht="15.75" customHeight="1">
      <c r="A4494" s="66" t="s">
        <v>11405</v>
      </c>
    </row>
    <row r="4495" ht="15.75" customHeight="1">
      <c r="A4495" s="66" t="s">
        <v>11406</v>
      </c>
    </row>
    <row r="4496" ht="15.75" customHeight="1">
      <c r="A4496" s="66" t="s">
        <v>11407</v>
      </c>
    </row>
    <row r="4497" ht="15.75" customHeight="1">
      <c r="A4497" s="66" t="s">
        <v>11408</v>
      </c>
    </row>
    <row r="4498" ht="15.75" customHeight="1">
      <c r="A4498" s="66" t="s">
        <v>11409</v>
      </c>
    </row>
    <row r="4499" ht="15.75" customHeight="1">
      <c r="A4499" s="66" t="s">
        <v>11410</v>
      </c>
    </row>
    <row r="4500" ht="15.75" customHeight="1">
      <c r="A4500" s="66" t="s">
        <v>11413</v>
      </c>
    </row>
    <row r="4501" ht="15.75" customHeight="1">
      <c r="A4501" s="66" t="s">
        <v>11414</v>
      </c>
    </row>
    <row r="4502" ht="15.75" customHeight="1">
      <c r="A4502" s="66" t="s">
        <v>11415</v>
      </c>
    </row>
    <row r="4503" ht="15.75" customHeight="1">
      <c r="A4503" s="66" t="s">
        <v>11418</v>
      </c>
    </row>
    <row r="4504" ht="15.75" customHeight="1">
      <c r="A4504" s="66" t="s">
        <v>11419</v>
      </c>
    </row>
    <row r="4505" ht="15.75" customHeight="1">
      <c r="A4505" s="66" t="s">
        <v>11421</v>
      </c>
    </row>
    <row r="4506" ht="15.75" customHeight="1">
      <c r="A4506" s="66" t="s">
        <v>11422</v>
      </c>
    </row>
    <row r="4507" ht="15.75" customHeight="1">
      <c r="A4507" s="66" t="s">
        <v>11423</v>
      </c>
    </row>
    <row r="4508" ht="15.75" customHeight="1">
      <c r="A4508" s="66" t="s">
        <v>11424</v>
      </c>
    </row>
    <row r="4509" ht="15.75" customHeight="1">
      <c r="A4509" s="66" t="s">
        <v>11425</v>
      </c>
    </row>
    <row r="4510" ht="15.75" customHeight="1">
      <c r="A4510" s="66" t="s">
        <v>11426</v>
      </c>
    </row>
    <row r="4511" ht="15.75" customHeight="1">
      <c r="A4511" s="66" t="s">
        <v>11427</v>
      </c>
    </row>
    <row r="4512" ht="15.75" customHeight="1">
      <c r="A4512" s="66" t="s">
        <v>11428</v>
      </c>
    </row>
    <row r="4513" ht="15.75" customHeight="1">
      <c r="A4513" s="66" t="s">
        <v>11429</v>
      </c>
    </row>
    <row r="4514" ht="15.75" customHeight="1">
      <c r="A4514" s="66" t="s">
        <v>11430</v>
      </c>
    </row>
    <row r="4515" ht="15.75" customHeight="1">
      <c r="A4515" s="66" t="s">
        <v>11431</v>
      </c>
    </row>
    <row r="4516" ht="15.75" customHeight="1">
      <c r="A4516" s="66" t="s">
        <v>11432</v>
      </c>
    </row>
    <row r="4517" ht="15.75" customHeight="1">
      <c r="A4517" s="66" t="s">
        <v>11433</v>
      </c>
    </row>
    <row r="4518" ht="15.75" customHeight="1">
      <c r="A4518" s="66" t="s">
        <v>11434</v>
      </c>
    </row>
    <row r="4519" ht="15.75" customHeight="1">
      <c r="A4519" s="66" t="s">
        <v>11435</v>
      </c>
    </row>
    <row r="4520" ht="15.75" customHeight="1">
      <c r="A4520" s="66" t="s">
        <v>11436</v>
      </c>
    </row>
    <row r="4521" ht="15.75" customHeight="1">
      <c r="A4521" s="66" t="s">
        <v>11437</v>
      </c>
    </row>
    <row r="4522" ht="15.75" customHeight="1">
      <c r="A4522" s="66" t="s">
        <v>11438</v>
      </c>
    </row>
    <row r="4523" ht="15.75" customHeight="1">
      <c r="A4523" s="66" t="s">
        <v>11439</v>
      </c>
    </row>
    <row r="4524" ht="15.75" customHeight="1">
      <c r="A4524" s="66" t="s">
        <v>11440</v>
      </c>
    </row>
    <row r="4525" ht="15.75" customHeight="1">
      <c r="A4525" s="66" t="s">
        <v>11441</v>
      </c>
    </row>
    <row r="4526" ht="15.75" customHeight="1">
      <c r="A4526" s="66" t="s">
        <v>11442</v>
      </c>
    </row>
    <row r="4527" ht="15.75" customHeight="1">
      <c r="A4527" s="66" t="s">
        <v>11443</v>
      </c>
    </row>
    <row r="4528" ht="15.75" customHeight="1">
      <c r="A4528" s="66" t="s">
        <v>11444</v>
      </c>
    </row>
    <row r="4529" ht="15.75" customHeight="1">
      <c r="A4529" s="66" t="s">
        <v>11445</v>
      </c>
    </row>
    <row r="4530" ht="15.75" customHeight="1">
      <c r="A4530" s="66" t="s">
        <v>11446</v>
      </c>
    </row>
    <row r="4531" ht="15.75" customHeight="1">
      <c r="A4531" s="66" t="s">
        <v>11447</v>
      </c>
    </row>
    <row r="4532" ht="15.75" customHeight="1">
      <c r="A4532" s="66" t="s">
        <v>11448</v>
      </c>
    </row>
    <row r="4533" ht="15.75" customHeight="1">
      <c r="A4533" s="66" t="s">
        <v>11449</v>
      </c>
    </row>
    <row r="4534" ht="15.75" customHeight="1">
      <c r="A4534" s="66" t="s">
        <v>11450</v>
      </c>
    </row>
    <row r="4535" ht="15.75" customHeight="1">
      <c r="A4535" s="66" t="s">
        <v>11451</v>
      </c>
    </row>
    <row r="4536" ht="15.75" customHeight="1">
      <c r="A4536" s="66" t="s">
        <v>11452</v>
      </c>
    </row>
    <row r="4537" ht="15.75" customHeight="1">
      <c r="A4537" s="66" t="s">
        <v>11453</v>
      </c>
    </row>
    <row r="4538" ht="15.75" customHeight="1">
      <c r="A4538" s="66" t="s">
        <v>11454</v>
      </c>
    </row>
    <row r="4539" ht="15.75" customHeight="1">
      <c r="A4539" s="66" t="s">
        <v>11455</v>
      </c>
    </row>
    <row r="4540" ht="15.75" customHeight="1">
      <c r="A4540" s="66" t="s">
        <v>11456</v>
      </c>
    </row>
    <row r="4541" ht="15.75" customHeight="1">
      <c r="A4541" s="66" t="s">
        <v>11457</v>
      </c>
    </row>
    <row r="4542" ht="15.75" customHeight="1">
      <c r="A4542" s="66" t="s">
        <v>11458</v>
      </c>
    </row>
    <row r="4543" ht="15.75" customHeight="1">
      <c r="A4543" s="66" t="s">
        <v>11459</v>
      </c>
    </row>
    <row r="4544" ht="15.75" customHeight="1">
      <c r="A4544" s="66" t="s">
        <v>11460</v>
      </c>
    </row>
    <row r="4545" ht="15.75" customHeight="1">
      <c r="A4545" s="66" t="s">
        <v>11461</v>
      </c>
    </row>
    <row r="4546" ht="15.75" customHeight="1">
      <c r="A4546" s="66" t="s">
        <v>11462</v>
      </c>
    </row>
    <row r="4547" ht="15.75" customHeight="1">
      <c r="A4547" s="66" t="s">
        <v>11463</v>
      </c>
    </row>
    <row r="4548" ht="15.75" customHeight="1">
      <c r="A4548" s="66" t="s">
        <v>11465</v>
      </c>
    </row>
    <row r="4549" ht="15.75" customHeight="1">
      <c r="A4549" s="66" t="s">
        <v>11466</v>
      </c>
    </row>
    <row r="4550" ht="15.75" customHeight="1">
      <c r="A4550" s="66" t="s">
        <v>11468</v>
      </c>
    </row>
    <row r="4551" ht="15.75" customHeight="1">
      <c r="A4551" s="66" t="s">
        <v>11469</v>
      </c>
    </row>
    <row r="4552" ht="15.75" customHeight="1">
      <c r="A4552" s="66" t="s">
        <v>11470</v>
      </c>
    </row>
    <row r="4553" ht="15.75" customHeight="1">
      <c r="A4553" s="66" t="s">
        <v>11472</v>
      </c>
    </row>
    <row r="4554" ht="15.75" customHeight="1">
      <c r="A4554" s="66" t="s">
        <v>11474</v>
      </c>
    </row>
    <row r="4555" ht="15.75" customHeight="1">
      <c r="A4555" s="66" t="s">
        <v>11476</v>
      </c>
    </row>
    <row r="4556" ht="15.75" customHeight="1">
      <c r="A4556" s="66" t="s">
        <v>11477</v>
      </c>
    </row>
    <row r="4557" ht="15.75" customHeight="1">
      <c r="A4557" s="66" t="s">
        <v>11478</v>
      </c>
    </row>
    <row r="4558" ht="15.75" customHeight="1">
      <c r="A4558" s="66" t="s">
        <v>11479</v>
      </c>
    </row>
    <row r="4559" ht="15.75" customHeight="1">
      <c r="A4559" s="66" t="s">
        <v>11480</v>
      </c>
    </row>
    <row r="4560" ht="15.75" customHeight="1">
      <c r="A4560" s="66" t="s">
        <v>11481</v>
      </c>
    </row>
    <row r="4561" ht="15.75" customHeight="1">
      <c r="A4561" s="66" t="s">
        <v>11482</v>
      </c>
    </row>
    <row r="4562" ht="15.75" customHeight="1">
      <c r="A4562" s="66" t="s">
        <v>11483</v>
      </c>
    </row>
    <row r="4563" ht="15.75" customHeight="1">
      <c r="A4563" s="66" t="s">
        <v>11484</v>
      </c>
    </row>
    <row r="4564" ht="15.75" customHeight="1">
      <c r="A4564" s="66" t="s">
        <v>11485</v>
      </c>
    </row>
    <row r="4565" ht="15.75" customHeight="1">
      <c r="A4565" s="66" t="s">
        <v>11486</v>
      </c>
    </row>
    <row r="4566" ht="15.75" customHeight="1">
      <c r="A4566" s="66" t="s">
        <v>11487</v>
      </c>
    </row>
    <row r="4567" ht="15.75" customHeight="1">
      <c r="A4567" s="66" t="s">
        <v>11488</v>
      </c>
    </row>
    <row r="4568" ht="15.75" customHeight="1">
      <c r="A4568" s="66" t="s">
        <v>11489</v>
      </c>
    </row>
    <row r="4569" ht="15.75" customHeight="1">
      <c r="A4569" s="66" t="s">
        <v>11490</v>
      </c>
    </row>
    <row r="4570" ht="15.75" customHeight="1">
      <c r="A4570" s="66" t="s">
        <v>11491</v>
      </c>
    </row>
    <row r="4571" ht="15.75" customHeight="1">
      <c r="A4571" s="66" t="s">
        <v>11492</v>
      </c>
    </row>
    <row r="4572" ht="15.75" customHeight="1">
      <c r="A4572" s="66" t="s">
        <v>11493</v>
      </c>
    </row>
    <row r="4573" ht="15.75" customHeight="1">
      <c r="A4573" s="66" t="s">
        <v>11494</v>
      </c>
    </row>
    <row r="4574" ht="15.75" customHeight="1">
      <c r="A4574" s="66" t="s">
        <v>11495</v>
      </c>
    </row>
    <row r="4575" ht="15.75" customHeight="1">
      <c r="A4575" s="66" t="s">
        <v>11496</v>
      </c>
    </row>
    <row r="4576" ht="15.75" customHeight="1">
      <c r="A4576" s="66" t="s">
        <v>11497</v>
      </c>
    </row>
    <row r="4577" ht="15.75" customHeight="1">
      <c r="A4577" s="66" t="s">
        <v>11498</v>
      </c>
    </row>
    <row r="4578" ht="15.75" customHeight="1">
      <c r="A4578" s="66" t="s">
        <v>11499</v>
      </c>
    </row>
    <row r="4579" ht="15.75" customHeight="1">
      <c r="A4579" s="66" t="s">
        <v>11500</v>
      </c>
    </row>
    <row r="4580" ht="15.75" customHeight="1">
      <c r="A4580" s="66" t="s">
        <v>11501</v>
      </c>
    </row>
    <row r="4581" ht="15.75" customHeight="1">
      <c r="A4581" s="66" t="s">
        <v>11502</v>
      </c>
    </row>
    <row r="4582" ht="15.75" customHeight="1">
      <c r="A4582" s="66" t="s">
        <v>11503</v>
      </c>
    </row>
    <row r="4583" ht="15.75" customHeight="1">
      <c r="A4583" s="66" t="s">
        <v>11504</v>
      </c>
    </row>
    <row r="4584" ht="15.75" customHeight="1">
      <c r="A4584" s="66" t="s">
        <v>11505</v>
      </c>
    </row>
    <row r="4585" ht="15.75" customHeight="1">
      <c r="A4585" s="66" t="s">
        <v>11506</v>
      </c>
    </row>
    <row r="4586" ht="15.75" customHeight="1">
      <c r="A4586" s="66" t="s">
        <v>11508</v>
      </c>
    </row>
    <row r="4587" ht="15.75" customHeight="1">
      <c r="A4587" s="66" t="s">
        <v>11510</v>
      </c>
    </row>
    <row r="4588" ht="15.75" customHeight="1">
      <c r="A4588" s="66" t="s">
        <v>11511</v>
      </c>
    </row>
    <row r="4589" ht="15.75" customHeight="1">
      <c r="A4589" s="66" t="s">
        <v>11513</v>
      </c>
    </row>
    <row r="4590" ht="15.75" customHeight="1">
      <c r="A4590" s="66" t="s">
        <v>11515</v>
      </c>
    </row>
    <row r="4591" ht="15.75" customHeight="1">
      <c r="A4591" s="66" t="s">
        <v>11517</v>
      </c>
    </row>
    <row r="4592" ht="15.75" customHeight="1">
      <c r="A4592" s="66" t="s">
        <v>11518</v>
      </c>
    </row>
    <row r="4593" ht="15.75" customHeight="1">
      <c r="A4593" s="66" t="s">
        <v>11519</v>
      </c>
    </row>
    <row r="4594" ht="15.75" customHeight="1">
      <c r="A4594" s="66" t="s">
        <v>11520</v>
      </c>
    </row>
    <row r="4595" ht="15.75" customHeight="1">
      <c r="A4595" s="66" t="s">
        <v>11521</v>
      </c>
    </row>
    <row r="4596" ht="15.75" customHeight="1">
      <c r="A4596" s="66" t="s">
        <v>11522</v>
      </c>
    </row>
    <row r="4597" ht="15.75" customHeight="1">
      <c r="A4597" s="66" t="s">
        <v>11523</v>
      </c>
    </row>
    <row r="4598" ht="15.75" customHeight="1">
      <c r="A4598" s="66" t="s">
        <v>11524</v>
      </c>
    </row>
    <row r="4599" ht="15.75" customHeight="1">
      <c r="A4599" s="66" t="s">
        <v>11525</v>
      </c>
    </row>
    <row r="4600" ht="15.75" customHeight="1">
      <c r="A4600" s="66" t="s">
        <v>11526</v>
      </c>
    </row>
    <row r="4601" ht="15.75" customHeight="1">
      <c r="A4601" s="66" t="s">
        <v>11527</v>
      </c>
    </row>
    <row r="4602" ht="15.75" customHeight="1">
      <c r="A4602" s="66" t="s">
        <v>11528</v>
      </c>
    </row>
    <row r="4603" ht="15.75" customHeight="1">
      <c r="A4603" s="66" t="s">
        <v>11529</v>
      </c>
    </row>
    <row r="4604" ht="15.75" customHeight="1">
      <c r="A4604" s="66" t="s">
        <v>11530</v>
      </c>
    </row>
    <row r="4605" ht="15.75" customHeight="1">
      <c r="A4605" s="66" t="s">
        <v>11531</v>
      </c>
    </row>
    <row r="4606" ht="15.75" customHeight="1">
      <c r="A4606" s="66" t="s">
        <v>11532</v>
      </c>
    </row>
    <row r="4607" ht="15.75" customHeight="1">
      <c r="A4607" s="66" t="s">
        <v>11533</v>
      </c>
    </row>
    <row r="4608" ht="15.75" customHeight="1">
      <c r="A4608" s="66" t="s">
        <v>11534</v>
      </c>
    </row>
    <row r="4609" ht="15.75" customHeight="1">
      <c r="A4609" s="66" t="s">
        <v>11537</v>
      </c>
    </row>
    <row r="4610" ht="15.75" customHeight="1">
      <c r="A4610" s="66" t="s">
        <v>11538</v>
      </c>
    </row>
    <row r="4611" ht="15.75" customHeight="1">
      <c r="A4611" s="66" t="s">
        <v>11540</v>
      </c>
    </row>
    <row r="4612" ht="15.75" customHeight="1">
      <c r="A4612" s="66" t="s">
        <v>11542</v>
      </c>
    </row>
    <row r="4613" ht="15.75" customHeight="1">
      <c r="A4613" s="66" t="s">
        <v>11544</v>
      </c>
    </row>
    <row r="4614" ht="15.75" customHeight="1">
      <c r="A4614" s="66" t="s">
        <v>11545</v>
      </c>
    </row>
    <row r="4615" ht="15.75" customHeight="1">
      <c r="A4615" s="66" t="s">
        <v>11546</v>
      </c>
    </row>
    <row r="4616" ht="15.75" customHeight="1">
      <c r="A4616" s="66" t="s">
        <v>11547</v>
      </c>
    </row>
    <row r="4617" ht="15.75" customHeight="1">
      <c r="A4617" s="66" t="s">
        <v>11548</v>
      </c>
    </row>
    <row r="4618" ht="15.75" customHeight="1">
      <c r="A4618" s="66" t="s">
        <v>11549</v>
      </c>
    </row>
    <row r="4619" ht="15.75" customHeight="1">
      <c r="A4619" s="66" t="s">
        <v>11550</v>
      </c>
    </row>
    <row r="4620" ht="15.75" customHeight="1">
      <c r="A4620" s="66" t="s">
        <v>11551</v>
      </c>
    </row>
    <row r="4621" ht="15.75" customHeight="1">
      <c r="A4621" s="66" t="s">
        <v>11552</v>
      </c>
    </row>
    <row r="4622" ht="15.75" customHeight="1">
      <c r="A4622" s="66" t="s">
        <v>11553</v>
      </c>
    </row>
    <row r="4623" ht="15.75" customHeight="1">
      <c r="A4623" s="66" t="s">
        <v>11554</v>
      </c>
    </row>
    <row r="4624" ht="15.75" customHeight="1">
      <c r="A4624" s="66" t="s">
        <v>11555</v>
      </c>
    </row>
    <row r="4625" ht="15.75" customHeight="1">
      <c r="A4625" s="66" t="s">
        <v>11556</v>
      </c>
    </row>
    <row r="4626" ht="15.75" customHeight="1">
      <c r="A4626" s="66" t="s">
        <v>11557</v>
      </c>
    </row>
    <row r="4627" ht="15.75" customHeight="1">
      <c r="A4627" s="66" t="s">
        <v>11558</v>
      </c>
    </row>
    <row r="4628" ht="15.75" customHeight="1">
      <c r="A4628" s="66" t="s">
        <v>11559</v>
      </c>
    </row>
    <row r="4629" ht="15.75" customHeight="1">
      <c r="A4629" s="66" t="s">
        <v>11560</v>
      </c>
    </row>
    <row r="4630" ht="15.75" customHeight="1">
      <c r="A4630" s="66" t="s">
        <v>11561</v>
      </c>
    </row>
    <row r="4631" ht="15.75" customHeight="1">
      <c r="A4631" s="66" t="s">
        <v>11562</v>
      </c>
    </row>
    <row r="4632" ht="15.75" customHeight="1">
      <c r="A4632" s="66" t="s">
        <v>11563</v>
      </c>
    </row>
    <row r="4633" ht="15.75" customHeight="1">
      <c r="A4633" s="66" t="s">
        <v>11564</v>
      </c>
    </row>
    <row r="4634" ht="15.75" customHeight="1">
      <c r="A4634" s="66" t="s">
        <v>11565</v>
      </c>
    </row>
    <row r="4635" ht="15.75" customHeight="1">
      <c r="A4635" s="66" t="s">
        <v>11566</v>
      </c>
    </row>
    <row r="4636" ht="15.75" customHeight="1">
      <c r="A4636" s="66" t="s">
        <v>11567</v>
      </c>
    </row>
    <row r="4637" ht="15.75" customHeight="1">
      <c r="A4637" s="66" t="s">
        <v>11568</v>
      </c>
    </row>
    <row r="4638" ht="15.75" customHeight="1">
      <c r="A4638" s="66" t="s">
        <v>11569</v>
      </c>
    </row>
    <row r="4639" ht="15.75" customHeight="1">
      <c r="A4639" s="66" t="s">
        <v>11570</v>
      </c>
    </row>
    <row r="4640" ht="15.75" customHeight="1">
      <c r="A4640" s="66" t="s">
        <v>11571</v>
      </c>
    </row>
    <row r="4641" ht="15.75" customHeight="1">
      <c r="A4641" s="66" t="s">
        <v>11572</v>
      </c>
    </row>
    <row r="4642" ht="15.75" customHeight="1">
      <c r="A4642" s="66" t="s">
        <v>11573</v>
      </c>
    </row>
    <row r="4643" ht="15.75" customHeight="1">
      <c r="A4643" s="66" t="s">
        <v>11574</v>
      </c>
    </row>
    <row r="4644" ht="15.75" customHeight="1">
      <c r="A4644" s="66" t="s">
        <v>11575</v>
      </c>
    </row>
    <row r="4645" ht="15.75" customHeight="1">
      <c r="A4645" s="66" t="s">
        <v>11576</v>
      </c>
    </row>
    <row r="4646" ht="15.75" customHeight="1">
      <c r="A4646" s="66" t="s">
        <v>11577</v>
      </c>
    </row>
    <row r="4647" ht="15.75" customHeight="1">
      <c r="A4647" s="66" t="s">
        <v>11578</v>
      </c>
    </row>
    <row r="4648" ht="15.75" customHeight="1">
      <c r="A4648" s="66" t="s">
        <v>11579</v>
      </c>
    </row>
    <row r="4649" ht="15.75" customHeight="1">
      <c r="A4649" s="66" t="s">
        <v>11580</v>
      </c>
    </row>
    <row r="4650" ht="15.75" customHeight="1">
      <c r="A4650" s="66" t="s">
        <v>11582</v>
      </c>
    </row>
    <row r="4651" ht="15.75" customHeight="1">
      <c r="A4651" s="66" t="s">
        <v>11583</v>
      </c>
    </row>
    <row r="4652" ht="15.75" customHeight="1">
      <c r="A4652" s="66" t="s">
        <v>11584</v>
      </c>
    </row>
    <row r="4653" ht="15.75" customHeight="1">
      <c r="A4653" s="66" t="s">
        <v>11585</v>
      </c>
    </row>
    <row r="4654" ht="15.75" customHeight="1">
      <c r="A4654" s="66" t="s">
        <v>11586</v>
      </c>
    </row>
    <row r="4655" ht="15.75" customHeight="1">
      <c r="A4655" s="66" t="s">
        <v>11587</v>
      </c>
    </row>
    <row r="4656" ht="15.75" customHeight="1">
      <c r="A4656" s="66" t="s">
        <v>11590</v>
      </c>
    </row>
    <row r="4657" ht="15.75" customHeight="1">
      <c r="A4657" s="66" t="s">
        <v>11592</v>
      </c>
    </row>
    <row r="4658" ht="15.75" customHeight="1">
      <c r="A4658" s="66" t="s">
        <v>11593</v>
      </c>
    </row>
    <row r="4659" ht="15.75" customHeight="1">
      <c r="A4659" s="66" t="s">
        <v>11594</v>
      </c>
    </row>
    <row r="4660" ht="15.75" customHeight="1">
      <c r="A4660" s="66" t="s">
        <v>11595</v>
      </c>
    </row>
    <row r="4661" ht="15.75" customHeight="1">
      <c r="A4661" s="66" t="s">
        <v>11596</v>
      </c>
    </row>
    <row r="4662" ht="15.75" customHeight="1">
      <c r="A4662" s="66" t="s">
        <v>11597</v>
      </c>
    </row>
    <row r="4663" ht="15.75" customHeight="1">
      <c r="A4663" s="66" t="s">
        <v>11598</v>
      </c>
    </row>
    <row r="4664" ht="15.75" customHeight="1">
      <c r="A4664" s="66" t="s">
        <v>11599</v>
      </c>
    </row>
    <row r="4665" ht="15.75" customHeight="1">
      <c r="A4665" s="66" t="s">
        <v>11600</v>
      </c>
    </row>
    <row r="4666" ht="15.75" customHeight="1">
      <c r="A4666" s="66" t="s">
        <v>11601</v>
      </c>
    </row>
    <row r="4667" ht="15.75" customHeight="1">
      <c r="A4667" s="66" t="s">
        <v>11602</v>
      </c>
    </row>
    <row r="4668" ht="15.75" customHeight="1">
      <c r="A4668" s="66" t="s">
        <v>11603</v>
      </c>
    </row>
    <row r="4669" ht="15.75" customHeight="1">
      <c r="A4669" s="66" t="s">
        <v>11604</v>
      </c>
    </row>
    <row r="4670" ht="15.75" customHeight="1">
      <c r="A4670" s="66" t="s">
        <v>11605</v>
      </c>
    </row>
    <row r="4671" ht="15.75" customHeight="1">
      <c r="A4671" s="66" t="s">
        <v>11606</v>
      </c>
    </row>
    <row r="4672" ht="15.75" customHeight="1">
      <c r="A4672" s="66" t="s">
        <v>11607</v>
      </c>
    </row>
    <row r="4673" ht="15.75" customHeight="1">
      <c r="A4673" s="66" t="s">
        <v>11608</v>
      </c>
    </row>
    <row r="4674" ht="15.75" customHeight="1">
      <c r="A4674" s="66" t="s">
        <v>11609</v>
      </c>
    </row>
    <row r="4675" ht="15.75" customHeight="1">
      <c r="A4675" s="66" t="s">
        <v>11610</v>
      </c>
    </row>
    <row r="4676" ht="15.75" customHeight="1">
      <c r="A4676" s="66" t="s">
        <v>11611</v>
      </c>
    </row>
    <row r="4677" ht="15.75" customHeight="1">
      <c r="A4677" s="66" t="s">
        <v>11612</v>
      </c>
    </row>
    <row r="4678" ht="15.75" customHeight="1">
      <c r="A4678" s="66" t="s">
        <v>11613</v>
      </c>
    </row>
    <row r="4679" ht="15.75" customHeight="1">
      <c r="A4679" s="66" t="s">
        <v>11614</v>
      </c>
    </row>
    <row r="4680" ht="15.75" customHeight="1">
      <c r="A4680" s="66" t="s">
        <v>11615</v>
      </c>
    </row>
    <row r="4681" ht="15.75" customHeight="1">
      <c r="A4681" s="66" t="s">
        <v>11616</v>
      </c>
    </row>
    <row r="4682" ht="15.75" customHeight="1">
      <c r="A4682" s="66" t="s">
        <v>11617</v>
      </c>
    </row>
    <row r="4683" ht="15.75" customHeight="1">
      <c r="A4683" s="66" t="s">
        <v>11618</v>
      </c>
    </row>
    <row r="4684" ht="15.75" customHeight="1">
      <c r="A4684" s="66" t="s">
        <v>11619</v>
      </c>
    </row>
    <row r="4685" ht="15.75" customHeight="1">
      <c r="A4685" s="66" t="s">
        <v>11620</v>
      </c>
    </row>
    <row r="4686" ht="15.75" customHeight="1">
      <c r="A4686" s="66" t="s">
        <v>11621</v>
      </c>
    </row>
    <row r="4687" ht="15.75" customHeight="1">
      <c r="A4687" s="66" t="s">
        <v>11623</v>
      </c>
    </row>
    <row r="4688" ht="15.75" customHeight="1">
      <c r="A4688" s="66" t="s">
        <v>11624</v>
      </c>
    </row>
    <row r="4689" ht="15.75" customHeight="1">
      <c r="A4689" s="66" t="s">
        <v>11626</v>
      </c>
    </row>
    <row r="4690" ht="15.75" customHeight="1">
      <c r="A4690" s="66" t="s">
        <v>11627</v>
      </c>
    </row>
    <row r="4691" ht="15.75" customHeight="1">
      <c r="A4691" s="66" t="s">
        <v>11628</v>
      </c>
    </row>
    <row r="4692" ht="15.75" customHeight="1">
      <c r="A4692" s="66" t="s">
        <v>11629</v>
      </c>
    </row>
    <row r="4693" ht="15.75" customHeight="1">
      <c r="A4693" s="66" t="s">
        <v>11631</v>
      </c>
    </row>
    <row r="4694" ht="15.75" customHeight="1">
      <c r="A4694" s="66" t="s">
        <v>11633</v>
      </c>
    </row>
    <row r="4695" ht="15.75" customHeight="1">
      <c r="A4695" s="66" t="s">
        <v>11634</v>
      </c>
    </row>
    <row r="4696" ht="15.75" customHeight="1">
      <c r="A4696" s="66" t="s">
        <v>11636</v>
      </c>
    </row>
    <row r="4697" ht="15.75" customHeight="1">
      <c r="A4697" s="66" t="s">
        <v>11637</v>
      </c>
    </row>
    <row r="4698" ht="15.75" customHeight="1">
      <c r="A4698" s="66" t="s">
        <v>11638</v>
      </c>
    </row>
    <row r="4699" ht="15.75" customHeight="1">
      <c r="A4699" s="66" t="s">
        <v>11639</v>
      </c>
    </row>
    <row r="4700" ht="15.75" customHeight="1">
      <c r="A4700" s="66" t="s">
        <v>11640</v>
      </c>
    </row>
    <row r="4701" ht="15.75" customHeight="1">
      <c r="A4701" s="66" t="s">
        <v>11641</v>
      </c>
    </row>
    <row r="4702" ht="15.75" customHeight="1">
      <c r="A4702" s="66" t="s">
        <v>11642</v>
      </c>
    </row>
    <row r="4703" ht="15.75" customHeight="1">
      <c r="A4703" s="66" t="s">
        <v>11643</v>
      </c>
    </row>
    <row r="4704" ht="15.75" customHeight="1">
      <c r="A4704" s="66" t="s">
        <v>11644</v>
      </c>
    </row>
    <row r="4705" ht="15.75" customHeight="1">
      <c r="A4705" s="66" t="s">
        <v>11645</v>
      </c>
    </row>
    <row r="4706" ht="15.75" customHeight="1">
      <c r="A4706" s="66" t="s">
        <v>11646</v>
      </c>
    </row>
    <row r="4707" ht="15.75" customHeight="1">
      <c r="A4707" s="66" t="s">
        <v>11647</v>
      </c>
    </row>
    <row r="4708" ht="15.75" customHeight="1">
      <c r="A4708" s="66" t="s">
        <v>11648</v>
      </c>
    </row>
    <row r="4709" ht="15.75" customHeight="1">
      <c r="A4709" s="66" t="s">
        <v>11649</v>
      </c>
    </row>
    <row r="4710" ht="15.75" customHeight="1">
      <c r="A4710" s="66" t="s">
        <v>11650</v>
      </c>
    </row>
    <row r="4711" ht="15.75" customHeight="1">
      <c r="A4711" s="66" t="s">
        <v>11651</v>
      </c>
    </row>
    <row r="4712" ht="15.75" customHeight="1">
      <c r="A4712" s="66" t="s">
        <v>11652</v>
      </c>
    </row>
    <row r="4713" ht="15.75" customHeight="1">
      <c r="A4713" s="66" t="s">
        <v>11653</v>
      </c>
    </row>
    <row r="4714" ht="15.75" customHeight="1">
      <c r="A4714" s="66" t="s">
        <v>11654</v>
      </c>
    </row>
    <row r="4715" ht="15.75" customHeight="1">
      <c r="A4715" s="66" t="s">
        <v>11655</v>
      </c>
    </row>
    <row r="4716" ht="15.75" customHeight="1">
      <c r="A4716" s="66" t="s">
        <v>11656</v>
      </c>
    </row>
    <row r="4717" ht="15.75" customHeight="1">
      <c r="A4717" s="66" t="s">
        <v>11657</v>
      </c>
    </row>
    <row r="4718" ht="15.75" customHeight="1">
      <c r="A4718" s="66" t="s">
        <v>11658</v>
      </c>
    </row>
    <row r="4719" ht="15.75" customHeight="1">
      <c r="A4719" s="66" t="s">
        <v>11659</v>
      </c>
    </row>
    <row r="4720" ht="15.75" customHeight="1">
      <c r="A4720" s="66" t="s">
        <v>11660</v>
      </c>
    </row>
    <row r="4721" ht="15.75" customHeight="1">
      <c r="A4721" s="66" t="s">
        <v>11661</v>
      </c>
    </row>
    <row r="4722" ht="15.75" customHeight="1">
      <c r="A4722" s="66" t="s">
        <v>11662</v>
      </c>
    </row>
    <row r="4723" ht="15.75" customHeight="1">
      <c r="A4723" s="66" t="s">
        <v>11663</v>
      </c>
    </row>
    <row r="4724" ht="15.75" customHeight="1">
      <c r="A4724" s="66" t="s">
        <v>11664</v>
      </c>
    </row>
    <row r="4725" ht="15.75" customHeight="1">
      <c r="A4725" s="66" t="s">
        <v>11665</v>
      </c>
    </row>
    <row r="4726" ht="15.75" customHeight="1">
      <c r="A4726" s="66" t="s">
        <v>11666</v>
      </c>
    </row>
    <row r="4727" ht="15.75" customHeight="1">
      <c r="A4727" s="66" t="s">
        <v>11667</v>
      </c>
    </row>
    <row r="4728" ht="15.75" customHeight="1">
      <c r="A4728" s="66" t="s">
        <v>11669</v>
      </c>
    </row>
    <row r="4729" ht="15.75" customHeight="1">
      <c r="A4729" s="66" t="s">
        <v>11671</v>
      </c>
    </row>
    <row r="4730" ht="15.75" customHeight="1">
      <c r="A4730" s="66" t="s">
        <v>11672</v>
      </c>
    </row>
    <row r="4731" ht="15.75" customHeight="1">
      <c r="A4731" s="66" t="s">
        <v>11673</v>
      </c>
    </row>
    <row r="4732" ht="15.75" customHeight="1">
      <c r="A4732" s="66" t="s">
        <v>11675</v>
      </c>
    </row>
    <row r="4733" ht="15.75" customHeight="1">
      <c r="A4733" s="66" t="s">
        <v>11677</v>
      </c>
    </row>
    <row r="4734" ht="15.75" customHeight="1">
      <c r="A4734" s="66" t="s">
        <v>11679</v>
      </c>
    </row>
    <row r="4735" ht="15.75" customHeight="1">
      <c r="A4735" s="66" t="s">
        <v>11680</v>
      </c>
    </row>
    <row r="4736" ht="15.75" customHeight="1">
      <c r="A4736" s="66" t="s">
        <v>11681</v>
      </c>
    </row>
    <row r="4737" ht="15.75" customHeight="1">
      <c r="A4737" s="66" t="s">
        <v>11682</v>
      </c>
    </row>
    <row r="4738" ht="15.75" customHeight="1">
      <c r="A4738" s="66" t="s">
        <v>11683</v>
      </c>
    </row>
    <row r="4739" ht="15.75" customHeight="1">
      <c r="A4739" s="66" t="s">
        <v>11684</v>
      </c>
    </row>
    <row r="4740" ht="15.75" customHeight="1">
      <c r="A4740" s="66" t="s">
        <v>11685</v>
      </c>
    </row>
    <row r="4741" ht="15.75" customHeight="1">
      <c r="A4741" s="66" t="s">
        <v>11686</v>
      </c>
    </row>
    <row r="4742" ht="15.75" customHeight="1">
      <c r="A4742" s="66" t="s">
        <v>11687</v>
      </c>
    </row>
    <row r="4743" ht="15.75" customHeight="1">
      <c r="A4743" s="66" t="s">
        <v>11688</v>
      </c>
    </row>
    <row r="4744" ht="15.75" customHeight="1">
      <c r="A4744" s="66" t="s">
        <v>11689</v>
      </c>
    </row>
    <row r="4745" ht="15.75" customHeight="1">
      <c r="A4745" s="66" t="s">
        <v>11690</v>
      </c>
    </row>
    <row r="4746" ht="15.75" customHeight="1">
      <c r="A4746" s="66" t="s">
        <v>11691</v>
      </c>
    </row>
    <row r="4747" ht="15.75" customHeight="1">
      <c r="A4747" s="66" t="s">
        <v>11692</v>
      </c>
    </row>
    <row r="4748" ht="15.75" customHeight="1">
      <c r="A4748" s="66" t="s">
        <v>11693</v>
      </c>
    </row>
    <row r="4749" ht="15.75" customHeight="1">
      <c r="A4749" s="66" t="s">
        <v>11694</v>
      </c>
    </row>
    <row r="4750" ht="15.75" customHeight="1">
      <c r="A4750" s="66" t="s">
        <v>11695</v>
      </c>
    </row>
    <row r="4751" ht="15.75" customHeight="1">
      <c r="A4751" s="66" t="s">
        <v>11696</v>
      </c>
    </row>
    <row r="4752" ht="15.75" customHeight="1">
      <c r="A4752" s="66" t="s">
        <v>11697</v>
      </c>
    </row>
    <row r="4753" ht="15.75" customHeight="1">
      <c r="A4753" s="66" t="s">
        <v>11698</v>
      </c>
    </row>
    <row r="4754" ht="15.75" customHeight="1">
      <c r="A4754" s="66" t="s">
        <v>11699</v>
      </c>
    </row>
    <row r="4755" ht="15.75" customHeight="1">
      <c r="A4755" s="66" t="s">
        <v>11700</v>
      </c>
    </row>
    <row r="4756" ht="15.75" customHeight="1">
      <c r="A4756" s="66" t="s">
        <v>11701</v>
      </c>
    </row>
    <row r="4757" ht="15.75" customHeight="1">
      <c r="A4757" s="66" t="s">
        <v>11702</v>
      </c>
    </row>
    <row r="4758" ht="15.75" customHeight="1">
      <c r="A4758" s="66" t="s">
        <v>11703</v>
      </c>
    </row>
    <row r="4759" ht="15.75" customHeight="1">
      <c r="A4759" s="66" t="s">
        <v>11704</v>
      </c>
    </row>
    <row r="4760" ht="15.75" customHeight="1">
      <c r="A4760" s="66" t="s">
        <v>11705</v>
      </c>
    </row>
    <row r="4761" ht="15.75" customHeight="1">
      <c r="A4761" s="66" t="s">
        <v>11706</v>
      </c>
    </row>
    <row r="4762" ht="15.75" customHeight="1">
      <c r="A4762" s="66" t="s">
        <v>11707</v>
      </c>
    </row>
    <row r="4763" ht="15.75" customHeight="1">
      <c r="A4763" s="66" t="s">
        <v>11708</v>
      </c>
    </row>
    <row r="4764" ht="15.75" customHeight="1">
      <c r="A4764" s="66" t="s">
        <v>11710</v>
      </c>
    </row>
    <row r="4765" ht="15.75" customHeight="1">
      <c r="A4765" s="66" t="s">
        <v>11713</v>
      </c>
    </row>
    <row r="4766" ht="15.75" customHeight="1">
      <c r="A4766" s="66" t="s">
        <v>11714</v>
      </c>
    </row>
    <row r="4767" ht="15.75" customHeight="1">
      <c r="A4767" s="66" t="s">
        <v>11715</v>
      </c>
    </row>
    <row r="4768" ht="15.75" customHeight="1">
      <c r="A4768" s="66" t="s">
        <v>11717</v>
      </c>
    </row>
    <row r="4769" ht="15.75" customHeight="1">
      <c r="A4769" s="66" t="s">
        <v>11719</v>
      </c>
    </row>
    <row r="4770" ht="15.75" customHeight="1">
      <c r="A4770" s="66" t="s">
        <v>11721</v>
      </c>
    </row>
    <row r="4771" ht="15.75" customHeight="1">
      <c r="A4771" s="66" t="s">
        <v>11722</v>
      </c>
    </row>
    <row r="4772" ht="15.75" customHeight="1">
      <c r="A4772" s="66" t="s">
        <v>11723</v>
      </c>
    </row>
    <row r="4773" ht="15.75" customHeight="1">
      <c r="A4773" s="66" t="s">
        <v>11724</v>
      </c>
    </row>
    <row r="4774" ht="15.75" customHeight="1">
      <c r="A4774" s="66" t="s">
        <v>11725</v>
      </c>
    </row>
    <row r="4775" ht="15.75" customHeight="1">
      <c r="A4775" s="66" t="s">
        <v>11726</v>
      </c>
    </row>
    <row r="4776" ht="15.75" customHeight="1">
      <c r="A4776" s="66" t="s">
        <v>11727</v>
      </c>
    </row>
    <row r="4777" ht="15.75" customHeight="1">
      <c r="A4777" s="66" t="s">
        <v>11728</v>
      </c>
    </row>
    <row r="4778" ht="15.75" customHeight="1">
      <c r="A4778" s="66" t="s">
        <v>11729</v>
      </c>
    </row>
    <row r="4779" ht="15.75" customHeight="1">
      <c r="A4779" s="66" t="s">
        <v>11730</v>
      </c>
    </row>
    <row r="4780" ht="15.75" customHeight="1">
      <c r="A4780" s="66" t="s">
        <v>11731</v>
      </c>
    </row>
    <row r="4781" ht="15.75" customHeight="1">
      <c r="A4781" s="66" t="s">
        <v>11732</v>
      </c>
    </row>
    <row r="4782" ht="15.75" customHeight="1">
      <c r="A4782" s="66" t="s">
        <v>11733</v>
      </c>
    </row>
    <row r="4783" ht="15.75" customHeight="1">
      <c r="A4783" s="66" t="s">
        <v>11734</v>
      </c>
    </row>
    <row r="4784" ht="15.75" customHeight="1">
      <c r="A4784" s="66" t="s">
        <v>11735</v>
      </c>
    </row>
    <row r="4785" ht="15.75" customHeight="1">
      <c r="A4785" s="66" t="s">
        <v>11736</v>
      </c>
    </row>
    <row r="4786" ht="15.75" customHeight="1">
      <c r="A4786" s="66" t="s">
        <v>11737</v>
      </c>
    </row>
    <row r="4787" ht="15.75" customHeight="1">
      <c r="A4787" s="66" t="s">
        <v>11738</v>
      </c>
    </row>
    <row r="4788" ht="15.75" customHeight="1">
      <c r="A4788" s="66" t="s">
        <v>11739</v>
      </c>
    </row>
    <row r="4789" ht="15.75" customHeight="1">
      <c r="A4789" s="66" t="s">
        <v>11740</v>
      </c>
    </row>
    <row r="4790" ht="15.75" customHeight="1">
      <c r="A4790" s="66" t="s">
        <v>11741</v>
      </c>
    </row>
    <row r="4791" ht="15.75" customHeight="1">
      <c r="A4791" s="66" t="s">
        <v>11742</v>
      </c>
    </row>
    <row r="4792" ht="15.75" customHeight="1">
      <c r="A4792" s="66" t="s">
        <v>11743</v>
      </c>
    </row>
    <row r="4793" ht="15.75" customHeight="1">
      <c r="A4793" s="66" t="s">
        <v>11744</v>
      </c>
    </row>
    <row r="4794" ht="15.75" customHeight="1">
      <c r="A4794" s="66" t="s">
        <v>11745</v>
      </c>
    </row>
    <row r="4795" ht="15.75" customHeight="1">
      <c r="A4795" s="66" t="s">
        <v>11746</v>
      </c>
    </row>
    <row r="4796" ht="15.75" customHeight="1">
      <c r="A4796" s="66" t="s">
        <v>11747</v>
      </c>
    </row>
    <row r="4797" ht="15.75" customHeight="1">
      <c r="A4797" s="66" t="s">
        <v>11748</v>
      </c>
    </row>
    <row r="4798" ht="15.75" customHeight="1">
      <c r="A4798" s="66" t="s">
        <v>11749</v>
      </c>
    </row>
    <row r="4799" ht="15.75" customHeight="1">
      <c r="A4799" s="66" t="s">
        <v>11750</v>
      </c>
    </row>
    <row r="4800" ht="15.75" customHeight="1">
      <c r="A4800" s="66" t="s">
        <v>11751</v>
      </c>
    </row>
    <row r="4801" ht="15.75" customHeight="1">
      <c r="A4801" s="66" t="s">
        <v>11752</v>
      </c>
    </row>
    <row r="4802" ht="15.75" customHeight="1">
      <c r="A4802" s="66" t="s">
        <v>11753</v>
      </c>
    </row>
    <row r="4803" ht="15.75" customHeight="1">
      <c r="A4803" s="66" t="s">
        <v>11754</v>
      </c>
    </row>
    <row r="4804" ht="15.75" customHeight="1">
      <c r="A4804" s="66" t="s">
        <v>11756</v>
      </c>
    </row>
    <row r="4805" ht="15.75" customHeight="1">
      <c r="A4805" s="66" t="s">
        <v>11757</v>
      </c>
    </row>
    <row r="4806" ht="15.75" customHeight="1">
      <c r="A4806" s="66" t="s">
        <v>11759</v>
      </c>
    </row>
    <row r="4807" ht="15.75" customHeight="1">
      <c r="A4807" s="66" t="s">
        <v>11761</v>
      </c>
    </row>
    <row r="4808" ht="15.75" customHeight="1">
      <c r="A4808" s="66" t="s">
        <v>11762</v>
      </c>
    </row>
    <row r="4809" ht="15.75" customHeight="1">
      <c r="A4809" s="66" t="s">
        <v>11764</v>
      </c>
    </row>
    <row r="4810" ht="15.75" customHeight="1">
      <c r="A4810" s="66" t="s">
        <v>11766</v>
      </c>
    </row>
    <row r="4811" ht="15.75" customHeight="1">
      <c r="A4811" s="66" t="s">
        <v>11768</v>
      </c>
    </row>
    <row r="4812" ht="15.75" customHeight="1">
      <c r="A4812" s="66" t="s">
        <v>11769</v>
      </c>
    </row>
    <row r="4813" ht="15.75" customHeight="1">
      <c r="A4813" s="66" t="s">
        <v>11770</v>
      </c>
    </row>
    <row r="4814" ht="15.75" customHeight="1">
      <c r="A4814" s="66" t="s">
        <v>11771</v>
      </c>
    </row>
    <row r="4815" ht="15.75" customHeight="1">
      <c r="A4815" s="66" t="s">
        <v>11772</v>
      </c>
    </row>
    <row r="4816" ht="15.75" customHeight="1">
      <c r="A4816" s="66" t="s">
        <v>11773</v>
      </c>
    </row>
    <row r="4817" ht="15.75" customHeight="1">
      <c r="A4817" s="66" t="s">
        <v>11774</v>
      </c>
    </row>
    <row r="4818" ht="15.75" customHeight="1">
      <c r="A4818" s="66" t="s">
        <v>11775</v>
      </c>
    </row>
    <row r="4819" ht="15.75" customHeight="1">
      <c r="A4819" s="66" t="s">
        <v>11776</v>
      </c>
    </row>
    <row r="4820" ht="15.75" customHeight="1">
      <c r="A4820" s="66" t="s">
        <v>11777</v>
      </c>
    </row>
    <row r="4821" ht="15.75" customHeight="1">
      <c r="A4821" s="66" t="s">
        <v>11778</v>
      </c>
    </row>
    <row r="4822" ht="15.75" customHeight="1">
      <c r="A4822" s="66" t="s">
        <v>11779</v>
      </c>
    </row>
    <row r="4823" ht="15.75" customHeight="1">
      <c r="A4823" s="66" t="s">
        <v>11780</v>
      </c>
    </row>
    <row r="4824" ht="15.75" customHeight="1">
      <c r="A4824" s="66" t="s">
        <v>11781</v>
      </c>
    </row>
    <row r="4825" ht="15.75" customHeight="1">
      <c r="A4825" s="66" t="s">
        <v>11782</v>
      </c>
    </row>
    <row r="4826" ht="15.75" customHeight="1">
      <c r="A4826" s="66" t="s">
        <v>11783</v>
      </c>
    </row>
    <row r="4827" ht="15.75" customHeight="1">
      <c r="A4827" s="66" t="s">
        <v>11784</v>
      </c>
    </row>
    <row r="4828" ht="15.75" customHeight="1">
      <c r="A4828" s="66" t="s">
        <v>11785</v>
      </c>
    </row>
    <row r="4829" ht="15.75" customHeight="1">
      <c r="A4829" s="66" t="s">
        <v>11786</v>
      </c>
    </row>
    <row r="4830" ht="15.75" customHeight="1">
      <c r="A4830" s="66" t="s">
        <v>11787</v>
      </c>
    </row>
    <row r="4831" ht="15.75" customHeight="1">
      <c r="A4831" s="66" t="s">
        <v>11788</v>
      </c>
    </row>
    <row r="4832" ht="15.75" customHeight="1">
      <c r="A4832" s="66" t="s">
        <v>11789</v>
      </c>
    </row>
    <row r="4833" ht="15.75" customHeight="1">
      <c r="A4833" s="66" t="s">
        <v>11790</v>
      </c>
    </row>
    <row r="4834" ht="15.75" customHeight="1">
      <c r="A4834" s="66" t="s">
        <v>11791</v>
      </c>
    </row>
    <row r="4835" ht="15.75" customHeight="1">
      <c r="A4835" s="66" t="s">
        <v>11792</v>
      </c>
    </row>
    <row r="4836" ht="15.75" customHeight="1">
      <c r="A4836" s="66" t="s">
        <v>11793</v>
      </c>
    </row>
    <row r="4837" ht="15.75" customHeight="1">
      <c r="A4837" s="66" t="s">
        <v>11794</v>
      </c>
    </row>
    <row r="4838" ht="15.75" customHeight="1">
      <c r="A4838" s="66" t="s">
        <v>11795</v>
      </c>
    </row>
    <row r="4839" ht="15.75" customHeight="1">
      <c r="A4839" s="66" t="s">
        <v>11796</v>
      </c>
    </row>
    <row r="4840" ht="15.75" customHeight="1">
      <c r="A4840" s="66" t="s">
        <v>11798</v>
      </c>
    </row>
    <row r="4841" ht="15.75" customHeight="1">
      <c r="A4841" s="66" t="s">
        <v>11799</v>
      </c>
    </row>
    <row r="4842" ht="15.75" customHeight="1">
      <c r="A4842" s="66" t="s">
        <v>11800</v>
      </c>
    </row>
    <row r="4843" ht="15.75" customHeight="1">
      <c r="A4843" s="66" t="s">
        <v>11802</v>
      </c>
    </row>
    <row r="4844" ht="15.75" customHeight="1">
      <c r="A4844" s="66" t="s">
        <v>11804</v>
      </c>
    </row>
    <row r="4845" ht="15.75" customHeight="1">
      <c r="A4845" s="66" t="s">
        <v>11806</v>
      </c>
    </row>
    <row r="4846" ht="15.75" customHeight="1">
      <c r="A4846" s="66" t="s">
        <v>11807</v>
      </c>
    </row>
    <row r="4847" ht="15.75" customHeight="1">
      <c r="A4847" s="66" t="s">
        <v>11808</v>
      </c>
    </row>
    <row r="4848" ht="15.75" customHeight="1">
      <c r="A4848" s="66" t="s">
        <v>11809</v>
      </c>
    </row>
    <row r="4849" ht="15.75" customHeight="1">
      <c r="A4849" s="66" t="s">
        <v>11810</v>
      </c>
    </row>
    <row r="4850" ht="15.75" customHeight="1">
      <c r="A4850" s="66" t="s">
        <v>11811</v>
      </c>
    </row>
    <row r="4851" ht="15.75" customHeight="1">
      <c r="A4851" s="66" t="s">
        <v>11812</v>
      </c>
    </row>
    <row r="4852" ht="15.75" customHeight="1">
      <c r="A4852" s="66" t="s">
        <v>11813</v>
      </c>
    </row>
    <row r="4853" ht="15.75" customHeight="1">
      <c r="A4853" s="66" t="s">
        <v>11814</v>
      </c>
    </row>
    <row r="4854" ht="15.75" customHeight="1">
      <c r="A4854" s="66" t="s">
        <v>11815</v>
      </c>
    </row>
    <row r="4855" ht="15.75" customHeight="1">
      <c r="A4855" s="66" t="s">
        <v>11816</v>
      </c>
    </row>
    <row r="4856" ht="15.75" customHeight="1">
      <c r="A4856" s="66" t="s">
        <v>11817</v>
      </c>
    </row>
    <row r="4857" ht="15.75" customHeight="1">
      <c r="A4857" s="66" t="s">
        <v>11818</v>
      </c>
    </row>
    <row r="4858" ht="15.75" customHeight="1">
      <c r="A4858" s="66" t="s">
        <v>11819</v>
      </c>
    </row>
    <row r="4859" ht="15.75" customHeight="1">
      <c r="A4859" s="66" t="s">
        <v>11820</v>
      </c>
    </row>
    <row r="4860" ht="15.75" customHeight="1">
      <c r="A4860" s="66" t="s">
        <v>11821</v>
      </c>
    </row>
    <row r="4861" ht="15.75" customHeight="1">
      <c r="A4861" s="66" t="s">
        <v>11822</v>
      </c>
    </row>
    <row r="4862" ht="15.75" customHeight="1">
      <c r="A4862" s="66" t="s">
        <v>11823</v>
      </c>
    </row>
    <row r="4863" ht="15.75" customHeight="1">
      <c r="A4863" s="66" t="s">
        <v>11824</v>
      </c>
    </row>
    <row r="4864" ht="15.75" customHeight="1">
      <c r="A4864" s="66" t="s">
        <v>11825</v>
      </c>
    </row>
    <row r="4865" ht="15.75" customHeight="1">
      <c r="A4865" s="66" t="s">
        <v>11826</v>
      </c>
    </row>
    <row r="4866" ht="15.75" customHeight="1">
      <c r="A4866" s="66" t="s">
        <v>11827</v>
      </c>
    </row>
    <row r="4867" ht="15.75" customHeight="1">
      <c r="A4867" s="66" t="s">
        <v>11828</v>
      </c>
    </row>
    <row r="4868" ht="15.75" customHeight="1">
      <c r="A4868" s="66" t="s">
        <v>11829</v>
      </c>
    </row>
    <row r="4869" ht="15.75" customHeight="1">
      <c r="A4869" s="66" t="s">
        <v>11830</v>
      </c>
    </row>
    <row r="4870" ht="15.75" customHeight="1">
      <c r="A4870" s="66" t="s">
        <v>11831</v>
      </c>
    </row>
    <row r="4871" ht="15.75" customHeight="1">
      <c r="A4871" s="66" t="s">
        <v>11832</v>
      </c>
    </row>
    <row r="4872" ht="15.75" customHeight="1">
      <c r="A4872" s="66" t="s">
        <v>11833</v>
      </c>
    </row>
    <row r="4873" ht="15.75" customHeight="1">
      <c r="A4873" s="66" t="s">
        <v>11834</v>
      </c>
    </row>
    <row r="4874" ht="15.75" customHeight="1">
      <c r="A4874" s="66" t="s">
        <v>11835</v>
      </c>
    </row>
    <row r="4875" ht="15.75" customHeight="1">
      <c r="A4875" s="66" t="s">
        <v>11837</v>
      </c>
    </row>
    <row r="4876" ht="15.75" customHeight="1">
      <c r="A4876" s="66" t="s">
        <v>11838</v>
      </c>
    </row>
    <row r="4877" ht="15.75" customHeight="1">
      <c r="A4877" s="66" t="s">
        <v>11840</v>
      </c>
    </row>
    <row r="4878" ht="15.75" customHeight="1">
      <c r="A4878" s="66" t="s">
        <v>11841</v>
      </c>
    </row>
    <row r="4879" ht="15.75" customHeight="1">
      <c r="A4879" s="66" t="s">
        <v>11843</v>
      </c>
    </row>
    <row r="4880" ht="15.75" customHeight="1">
      <c r="A4880" s="66" t="s">
        <v>11845</v>
      </c>
    </row>
    <row r="4881" ht="15.75" customHeight="1">
      <c r="A4881" s="66" t="s">
        <v>11847</v>
      </c>
    </row>
    <row r="4882" ht="15.75" customHeight="1">
      <c r="A4882" s="66" t="s">
        <v>11848</v>
      </c>
    </row>
    <row r="4883" ht="15.75" customHeight="1">
      <c r="A4883" s="66" t="s">
        <v>11849</v>
      </c>
    </row>
    <row r="4884" ht="15.75" customHeight="1">
      <c r="A4884" s="66" t="s">
        <v>11850</v>
      </c>
    </row>
    <row r="4885" ht="15.75" customHeight="1">
      <c r="A4885" s="66" t="s">
        <v>11851</v>
      </c>
    </row>
    <row r="4886" ht="15.75" customHeight="1">
      <c r="A4886" s="66" t="s">
        <v>11852</v>
      </c>
    </row>
    <row r="4887" ht="15.75" customHeight="1">
      <c r="A4887" s="66" t="s">
        <v>11853</v>
      </c>
    </row>
    <row r="4888" ht="15.75" customHeight="1">
      <c r="A4888" s="66" t="s">
        <v>11854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8" width="14.43"/>
  </cols>
  <sheetData>
    <row r="1" ht="15.75" customHeight="1">
      <c r="A1" s="66">
        <f>'Main dataset (DEPRECATED)'!Q2</f>
        <v>7192699</v>
      </c>
      <c r="B1" s="66" t="str">
        <f>IFERROR(__xludf.DUMMYFUNCTION("SPLIT('Main dataset (DEPRECATED2)'!N2,"";"")"),"National Center for Supercomputing Applications")</f>
        <v>National Center for Supercomputing Applications</v>
      </c>
      <c r="C1" s="66" t="s">
        <v>10089</v>
      </c>
      <c r="D1" s="66" t="s">
        <v>7230</v>
      </c>
      <c r="E1" s="66" t="s">
        <v>10343</v>
      </c>
    </row>
    <row r="2" ht="15.75" customHeight="1">
      <c r="A2" s="66">
        <f>'Main dataset (DEPRECATED)'!Q3</f>
        <v>7192709</v>
      </c>
      <c r="B2" s="66" t="str">
        <f>IFERROR(__xludf.DUMMYFUNCTION("SPLIT('Main dataset (DEPRECATED2)'!N3,"";"")"),"Stanford University Stanford##Stanford University Stanford")</f>
        <v>Stanford University Stanford##Stanford University Stanford</v>
      </c>
      <c r="C2" s="66" t="s">
        <v>10824</v>
      </c>
    </row>
    <row r="3" ht="15.75" customHeight="1">
      <c r="A3" s="66">
        <f>'Main dataset (DEPRECATED)'!Q4</f>
        <v>7194845</v>
      </c>
      <c r="B3" s="66" t="str">
        <f>IFERROR(__xludf.DUMMYFUNCTION("SPLIT('Main dataset (DEPRECATED2)'!N4,"";"")"),"Sterling Federal Systems Inc##Sterling Federal Systems Inc##Sterling Federal Systems Inc##Sterling Federal Systems Inc##Sterling Federal Systems Inc##Sterling Federal Systems Inc")</f>
        <v>Sterling Federal Systems Inc##Sterling Federal Systems Inc##Sterling Federal Systems Inc##Sterling Federal Systems Inc##Sterling Federal Systems Inc##Sterling Federal Systems Inc</v>
      </c>
      <c r="C3" s="66" t="s">
        <v>8257</v>
      </c>
    </row>
    <row r="4" ht="15.75" customHeight="1">
      <c r="A4" s="66">
        <f>'Main dataset (DEPRECATED)'!Q5</f>
        <v>7192693</v>
      </c>
      <c r="B4" s="66" t="str">
        <f>IFERROR(__xludf.DUMMYFUNCTION("SPLIT('Main dataset (DEPRECATED2)'!N5,"";"")"),"University of Wisconsin -Madison##University of Wisconsin -Madison")</f>
        <v>University of Wisconsin -Madison##University of Wisconsin -Madison</v>
      </c>
      <c r="C4" s="66" t="s">
        <v>6256</v>
      </c>
      <c r="D4" s="66" t="s">
        <v>10392</v>
      </c>
    </row>
    <row r="5" ht="15.75" customHeight="1">
      <c r="A5" s="66">
        <f>'Main dataset (DEPRECATED)'!Q6</f>
        <v>7192636</v>
      </c>
      <c r="B5" s="66" t="str">
        <f>IFERROR(__xludf.DUMMYFUNCTION("SPLIT('Main dataset (DEPRECATED2)'!N6,"";"")"),"Alliant Comput. Syst., Littleton, MA, USA|c|")</f>
        <v>Alliant Comput. Syst., Littleton, MA, USA|c|</v>
      </c>
      <c r="C5" s="66" t="s">
        <v>6246</v>
      </c>
      <c r="D5" s="66" t="s">
        <v>11457</v>
      </c>
    </row>
    <row r="6" ht="15.75" customHeight="1">
      <c r="A6" s="66">
        <f>'Main dataset (DEPRECATED)'!Q7</f>
        <v>7194854</v>
      </c>
      <c r="B6" s="66" t="str">
        <f>IFERROR(__xludf.DUMMYFUNCTION("SPLIT('Main dataset (DEPRECATED2)'!N7,"";"")"),"Arizona State University Tempe##Arizona State University Tempe")</f>
        <v>Arizona State University Tempe##Arizona State University Tempe</v>
      </c>
      <c r="C6" s="66" t="s">
        <v>7395</v>
      </c>
      <c r="D6" s="66" t="s">
        <v>6415</v>
      </c>
    </row>
    <row r="7" ht="15.75" customHeight="1">
      <c r="A7" s="66">
        <f>'Main dataset (DEPRECATED)'!Q8</f>
        <v>7192724</v>
      </c>
      <c r="B7" s="66" t="str">
        <f>IFERROR(__xludf.DUMMYFUNCTION("SPLIT('Main dataset (DEPRECATED2)'!N8,"";"")"),"University of Maryland College Park")</f>
        <v>University of Maryland College Park</v>
      </c>
      <c r="C7" s="66" t="s">
        <v>10022</v>
      </c>
      <c r="D7" s="66" t="s">
        <v>6256</v>
      </c>
      <c r="E7" s="66" t="s">
        <v>11804</v>
      </c>
      <c r="F7" s="66" t="s">
        <v>9412</v>
      </c>
      <c r="G7" s="66" t="s">
        <v>10651</v>
      </c>
      <c r="H7" s="66" t="s">
        <v>8287</v>
      </c>
    </row>
    <row r="8" ht="15.75" customHeight="1">
      <c r="A8" s="66">
        <f>'Main dataset (DEPRECATED)'!Q9</f>
        <v>7192658</v>
      </c>
      <c r="B8" s="66" t="str">
        <f>IFERROR(__xludf.DUMMYFUNCTION("SPLIT('Main dataset (DEPRECATED2)'!N9,"";"")"),"State University of New York at Stony Brook Stony Brook##State University of New York at Stony Brook Stony Brook")</f>
        <v>State University of New York at Stony Brook Stony Brook##State University of New York at Stony Brook Stony Brook</v>
      </c>
      <c r="C8" s="66" t="s">
        <v>10943</v>
      </c>
    </row>
    <row r="9" ht="15.75" customHeight="1">
      <c r="A9" s="66">
        <f>'Main dataset (DEPRECATED)'!Q10</f>
        <v>7192646</v>
      </c>
      <c r="B9" s="66" t="str">
        <f>IFERROR(__xludf.DUMMYFUNCTION("SPLIT('Main dataset (DEPRECATED2)'!N10,"";"")"),"Monash University")</f>
        <v>Monash University</v>
      </c>
      <c r="C9" s="66" t="s">
        <v>6753</v>
      </c>
      <c r="D9" s="66" t="s">
        <v>9578</v>
      </c>
      <c r="E9" s="66" t="s">
        <v>6320</v>
      </c>
      <c r="F9" s="66" t="s">
        <v>11664</v>
      </c>
      <c r="G9" s="66" t="s">
        <v>6574</v>
      </c>
      <c r="H9" s="66" t="s">
        <v>9891</v>
      </c>
      <c r="I9" s="66" t="s">
        <v>9712</v>
      </c>
    </row>
    <row r="10" ht="15.75" customHeight="1">
      <c r="A10" s="66">
        <f>'Main dataset (DEPRECATED)'!Q11</f>
        <v>7192661</v>
      </c>
      <c r="B10" s="66" t="str">
        <f>IFERROR(__xludf.DUMMYFUNCTION("SPLIT('Main dataset (DEPRECATED2)'!N11,"";"")"),"Rensselaer Design Research Center Rensselaer Polytechnic Institute Troy##Rensselaer Design Research Center Rensselaer Polytechnic Institute Troy##Rensselaer Design Research Center Rensselaer Polytechnic Institute Troy")</f>
        <v>Rensselaer Design Research Center Rensselaer Polytechnic Institute Troy##Rensselaer Design Research Center Rensselaer Polytechnic Institute Troy##Rensselaer Design Research Center Rensselaer Polytechnic Institute Troy</v>
      </c>
      <c r="C10" s="66" t="s">
        <v>8112</v>
      </c>
    </row>
    <row r="11" ht="15.75" customHeight="1">
      <c r="A11" s="66">
        <f>'Main dataset (DEPRECATED)'!Q12</f>
        <v>7192677</v>
      </c>
      <c r="B11" s="66" t="str">
        <f>IFERROR(__xludf.DUMMYFUNCTION("SPLIT('Main dataset (DEPRECATED2)'!N12,"";"")"),"Carnegie Mellon University Pittsburgh##lon University")</f>
        <v>Carnegie Mellon University Pittsburgh##lon University</v>
      </c>
      <c r="C11" s="66" t="s">
        <v>7581</v>
      </c>
    </row>
    <row r="12" ht="15.75" customHeight="1">
      <c r="A12" s="66">
        <f>'Main dataset (DEPRECATED)'!Q13</f>
        <v>7192718</v>
      </c>
      <c r="B12" s="66" t="str">
        <f>IFERROR(__xludf.DUMMYFUNCTION("SPLIT('Main dataset (DEPRECATED2)'!N13,"";"")"),"AT&amp;T Bell Laboratories Murray Hill##AT&amp;T Bell Laboratories Murray Hill##AT&amp;T Bell Laboratories Murray Hill##AT&amp;T Bell Laboratories Murray Hill")</f>
        <v>AT&amp;T Bell Laboratories Murray Hill##AT&amp;T Bell Laboratories Murray Hill##AT&amp;T Bell Laboratories Murray Hill##AT&amp;T Bell Laboratories Murray Hill</v>
      </c>
      <c r="C12" s="66" t="s">
        <v>9696</v>
      </c>
      <c r="D12" s="66" t="s">
        <v>6711</v>
      </c>
      <c r="E12" s="66" t="s">
        <v>10426</v>
      </c>
      <c r="F12" s="66" t="s">
        <v>9891</v>
      </c>
    </row>
    <row r="13" ht="15.75" customHeight="1">
      <c r="A13" s="66">
        <f>'Main dataset (DEPRECATED)'!Q14</f>
        <v>7192733</v>
      </c>
      <c r="B13" s="66" t="str">
        <f>IFERROR(__xludf.DUMMYFUNCTION("SPLIT('Main dataset (DEPRECATED2)'!N14,"";"")"),"Applications Indiana University##Applications Indiana University##Applications Indiana University")</f>
        <v>Applications Indiana University##Applications Indiana University##Applications Indiana University</v>
      </c>
      <c r="C13" s="66" t="s">
        <v>7348</v>
      </c>
      <c r="D13" s="66" t="s">
        <v>7678</v>
      </c>
      <c r="E13" s="66" t="s">
        <v>8711</v>
      </c>
      <c r="F13" s="66" t="s">
        <v>8758</v>
      </c>
      <c r="G13" s="66" t="s">
        <v>9239</v>
      </c>
    </row>
    <row r="14" ht="15.75" customHeight="1">
      <c r="A14" s="66">
        <f>'Main dataset (DEPRECATED)'!Q15</f>
        <v>7192690</v>
      </c>
      <c r="B14" s="66" t="str">
        <f>IFERROR(__xludf.DUMMYFUNCTION("SPLIT('Main dataset (DEPRECATED2)'!N15,"";"")"),"IBM Thomas J. Watson Research Center##IBM Thomas J. Watson Research Center##IBM Thomas J. Watson Research Center")</f>
        <v>IBM Thomas J. Watson Research Center##IBM Thomas J. Watson Research Center##IBM Thomas J. Watson Research Center</v>
      </c>
      <c r="C14" s="66" t="s">
        <v>7348</v>
      </c>
      <c r="D14" s="66" t="s">
        <v>9239</v>
      </c>
      <c r="E14" s="66" t="s">
        <v>11568</v>
      </c>
    </row>
    <row r="15" ht="15.75" customHeight="1">
      <c r="A15" s="66">
        <f>'Main dataset (DEPRECATED)'!Q16</f>
        <v>7192668</v>
      </c>
      <c r="B15" s="66" t="str">
        <f>IFERROR(__xludf.DUMMYFUNCTION("SPLIT('Main dataset (DEPRECATED2)'!N16,"";"")"),"CSIRO, Canberra, ACT, Australia|c|")</f>
        <v>CSIRO, Canberra, ACT, Australia|c|</v>
      </c>
      <c r="C15" s="66" t="s">
        <v>10884</v>
      </c>
      <c r="D15" s="66" t="s">
        <v>11623</v>
      </c>
      <c r="E15" s="66" t="s">
        <v>8912</v>
      </c>
      <c r="F15" s="66" t="s">
        <v>11713</v>
      </c>
      <c r="G15" s="66" t="s">
        <v>8459</v>
      </c>
    </row>
    <row r="16" ht="15.75" customHeight="1">
      <c r="A16" s="66">
        <f>'Main dataset (DEPRECATED)'!Q17</f>
        <v>7192720</v>
      </c>
      <c r="B16" s="66" t="str">
        <f>IFERROR(__xludf.DUMMYFUNCTION("SPLIT('Main dataset (DEPRECATED2)'!N17,"";"")"),"Tektronix Labs., Beaverton, OR, USA|c|")</f>
        <v>Tektronix Labs., Beaverton, OR, USA|c|</v>
      </c>
      <c r="C16" s="66" t="s">
        <v>9835</v>
      </c>
      <c r="D16" s="66" t="s">
        <v>8077</v>
      </c>
      <c r="E16" s="66" t="s">
        <v>6164</v>
      </c>
      <c r="F16" s="66" t="s">
        <v>11834</v>
      </c>
      <c r="G16" s="66" t="s">
        <v>10982</v>
      </c>
      <c r="H16" s="66" t="s">
        <v>8030</v>
      </c>
      <c r="I16" s="66" t="s">
        <v>6832</v>
      </c>
    </row>
    <row r="17" ht="15.75" customHeight="1">
      <c r="A17" s="66">
        <f>'Main dataset (DEPRECATED)'!Q18</f>
        <v>7225156</v>
      </c>
      <c r="B17" s="66" t="str">
        <f>IFERROR(__xludf.DUMMYFUNCTION("SPLIT('Main dataset (DEPRECATED2)'!N18,"";"")"),"Cognitive Sci. &amp; Machine Intelligence Lab., Michigan Univ., Ann Arbor, MI, USA|c|")</f>
        <v>Cognitive Sci. &amp; Machine Intelligence Lab., Michigan Univ., Ann Arbor, MI, USA|c|</v>
      </c>
      <c r="C17" s="66" t="s">
        <v>9622</v>
      </c>
      <c r="D17" s="66" t="s">
        <v>10971</v>
      </c>
      <c r="E17" s="66" t="s">
        <v>9549</v>
      </c>
    </row>
    <row r="18" ht="15.75" customHeight="1">
      <c r="A18" s="66">
        <f>'Main dataset (DEPRECATED)'!Q19</f>
        <v>7192648</v>
      </c>
      <c r="B18" s="66" t="str">
        <f>IFERROR(__xludf.DUMMYFUNCTION("SPLIT('Main dataset (DEPRECATED2)'!N19,"";"")"),"University of Colorado##University of Colorado")</f>
        <v>University of Colorado##University of Colorado</v>
      </c>
      <c r="C18" s="66" t="s">
        <v>8927</v>
      </c>
      <c r="D18" s="66" t="s">
        <v>6324</v>
      </c>
      <c r="E18" s="66" t="s">
        <v>10048</v>
      </c>
    </row>
    <row r="19" ht="15.75" customHeight="1">
      <c r="A19" s="66">
        <f>'Main dataset (DEPRECATED)'!Q20</f>
        <v>7192684</v>
      </c>
      <c r="B19" s="66" t="str">
        <f>IFERROR(__xludf.DUMMYFUNCTION("SPLIT('Main dataset (DEPRECATED2)'!N20,"";"")"),"The MITRE Corporation")</f>
        <v>The MITRE Corporation</v>
      </c>
      <c r="C19" s="66" t="s">
        <v>11014</v>
      </c>
    </row>
    <row r="20" ht="15.75" customHeight="1">
      <c r="A20" s="66">
        <f>'Main dataset (DEPRECATED)'!Q21</f>
        <v>7192696</v>
      </c>
      <c r="B20" s="66" t="str">
        <f>IFERROR(__xludf.DUMMYFUNCTION("SPLIT('Main dataset (DEPRECATED2)'!N21,"";"")"),"The University of Texas at Austin Austin##The University of Texas at Austin Austin##The University of Texas at Austin")</f>
        <v>The University of Texas at Austin Austin##The University of Texas at Austin Austin##The University of Texas at Austin</v>
      </c>
      <c r="C20" s="66" t="s">
        <v>7382</v>
      </c>
      <c r="D20" s="66" t="s">
        <v>6642</v>
      </c>
      <c r="E20" s="66" t="s">
        <v>7381</v>
      </c>
      <c r="F20" s="66" t="s">
        <v>11250</v>
      </c>
    </row>
    <row r="21" ht="15.75" customHeight="1">
      <c r="A21" s="66">
        <f>'Main dataset (DEPRECATED)'!Q22</f>
        <v>7192712</v>
      </c>
      <c r="B21" s="66" t="str">
        <f>IFERROR(__xludf.DUMMYFUNCTION("SPLIT('Main dataset (DEPRECATED2)'!N22,"";"")"),"Dept. of Comput. Sci., State Univ. of New York, Stony Brook, NY, USA|c|")</f>
        <v>Dept. of Comput. Sci., State Univ. of New York, Stony Brook, NY, USA|c|</v>
      </c>
      <c r="C21" s="66" t="s">
        <v>8994</v>
      </c>
      <c r="D21" s="66" t="s">
        <v>6986</v>
      </c>
      <c r="E21" s="66" t="s">
        <v>9377</v>
      </c>
    </row>
    <row r="22" ht="15.75" customHeight="1">
      <c r="A22" s="66">
        <f>'Main dataset (DEPRECATED)'!Q23</f>
        <v>7192695</v>
      </c>
      <c r="B22" s="66" t="str">
        <f>IFERROR(__xludf.DUMMYFUNCTION("SPLIT('Main dataset (DEPRECATED2)'!N23,"";"")"),"Woodbury Rd. Woodbury")</f>
        <v>Woodbury Rd. Woodbury</v>
      </c>
      <c r="C22" s="66" t="s">
        <v>7295</v>
      </c>
      <c r="D22" s="66" t="s">
        <v>9541</v>
      </c>
      <c r="E22" s="66" t="s">
        <v>11021</v>
      </c>
    </row>
    <row r="23" ht="15.75" customHeight="1">
      <c r="A23" s="66">
        <f>'Main dataset (DEPRECATED)'!Q24</f>
        <v>7192704</v>
      </c>
      <c r="B23" s="66" t="str">
        <f>IFERROR(__xludf.DUMMYFUNCTION("SPLIT('Main dataset (DEPRECATED2)'!N24,"";"")"),"SAR at National SDace Science Data Center NASA/Goddarh Space Flight Center Greenbelt")</f>
        <v>SAR at National SDace Science Data Center NASA/Goddarh Space Flight Center Greenbelt</v>
      </c>
      <c r="C23" s="66" t="s">
        <v>10303</v>
      </c>
      <c r="D23" s="66" t="s">
        <v>8222</v>
      </c>
      <c r="E23" s="66" t="s">
        <v>8112</v>
      </c>
    </row>
    <row r="24" ht="15.75" customHeight="1">
      <c r="A24" s="66">
        <f>'Main dataset (DEPRECATED)'!Q25</f>
        <v>7192681</v>
      </c>
      <c r="B24" s="66" t="str">
        <f>IFERROR(__xludf.DUMMYFUNCTION("SPLIT('Main dataset (DEPRECATED2)'!N25,"";"")"),"Universitat Kaiserslautern FB-Informatik##Universitat Kaiserslautern FB-Informatik##Universitat Kaiserslautern FB-Informatik")</f>
        <v>Universitat Kaiserslautern FB-Informatik##Universitat Kaiserslautern FB-Informatik##Universitat Kaiserslautern FB-Informatik</v>
      </c>
      <c r="C24" s="66" t="s">
        <v>9098</v>
      </c>
      <c r="D24" s="66" t="s">
        <v>6319</v>
      </c>
      <c r="E24" s="66" t="s">
        <v>7357</v>
      </c>
      <c r="F24" s="66" t="s">
        <v>8971</v>
      </c>
    </row>
    <row r="25" ht="15.75" customHeight="1">
      <c r="A25" s="66">
        <f>'Main dataset (DEPRECATED)'!Q26</f>
        <v>7192707</v>
      </c>
      <c r="B25" s="66" t="str">
        <f>IFERROR(__xludf.DUMMYFUNCTION("SPLIT('Main dataset (DEPRECATED2)'!N26,"";"")"),"The Ohio State University##The Ohio State University")</f>
        <v>The Ohio State University##The Ohio State University</v>
      </c>
      <c r="C25" s="66" t="s">
        <v>8106</v>
      </c>
      <c r="D25" s="66" t="s">
        <v>10164</v>
      </c>
    </row>
    <row r="26" ht="15.75" customHeight="1">
      <c r="A26" s="66">
        <f>'Main dataset (DEPRECATED)'!Q27</f>
        <v>7217849</v>
      </c>
      <c r="B26" s="66" t="str">
        <f>IFERROR(__xludf.DUMMYFUNCTION("SPLIT('Main dataset (DEPRECATED2)'!N27,"";"")"),"Monash University")</f>
        <v>Monash University</v>
      </c>
      <c r="C26" s="66" t="s">
        <v>8223</v>
      </c>
    </row>
    <row r="27" ht="15.75" customHeight="1">
      <c r="A27" s="66">
        <f>'Main dataset (DEPRECATED)'!Q28</f>
        <v>7192666</v>
      </c>
      <c r="B27" s="66" t="str">
        <f>IFERROR(__xludf.DUMMYFUNCTION("SPLIT('Main dataset (DEPRECATED2)'!N28,"";"")"),"Electron. Visualization Lab., Illinois Univ., Chicago, IL, USA|c|")</f>
        <v>Electron. Visualization Lab., Illinois Univ., Chicago, IL, USA|c|</v>
      </c>
      <c r="C27" s="66" t="s">
        <v>7577</v>
      </c>
      <c r="D27" s="66" t="s">
        <v>9520</v>
      </c>
    </row>
    <row r="28" ht="15.75" customHeight="1">
      <c r="A28" s="66">
        <f>'Main dataset (DEPRECATED)'!Q29</f>
        <v>7192637</v>
      </c>
      <c r="B28" s="66" t="str">
        <f>IFERROR(__xludf.DUMMYFUNCTION("SPLIT('Main dataset (DEPRECATED2)'!N29,"";"")"),"University of Saskatchewan Saskatoon##Johns Hopkins University Baltimore")</f>
        <v>University of Saskatchewan Saskatoon##Johns Hopkins University Baltimore</v>
      </c>
      <c r="C28" s="66" t="s">
        <v>7448</v>
      </c>
      <c r="D28" s="66" t="s">
        <v>7213</v>
      </c>
      <c r="E28" s="66" t="s">
        <v>7497</v>
      </c>
    </row>
    <row r="29" ht="15.75" customHeight="1">
      <c r="A29" s="66">
        <f>'Main dataset (DEPRECATED)'!Q30</f>
        <v>7192639</v>
      </c>
      <c r="B29" s="66" t="str">
        <f>IFERROR(__xludf.DUMMYFUNCTION("SPLIT('Main dataset (DEPRECATED2)'!N30,"";"")"),"Worcester Polytech. Inst., MA, USA|c|")</f>
        <v>Worcester Polytech. Inst., MA, USA|c|</v>
      </c>
      <c r="C29" s="66" t="s">
        <v>7001</v>
      </c>
      <c r="D29" s="66" t="s">
        <v>8170</v>
      </c>
      <c r="E29" s="66" t="s">
        <v>9185</v>
      </c>
      <c r="F29" s="66" t="s">
        <v>7840</v>
      </c>
      <c r="G29" s="66" t="s">
        <v>7306</v>
      </c>
    </row>
    <row r="30" ht="15.75" customHeight="1">
      <c r="A30" s="66">
        <f>'Main dataset (DEPRECATED)'!Q31</f>
        <v>7192735</v>
      </c>
      <c r="B30" s="66" t="str">
        <f>IFERROR(__xludf.DUMMYFUNCTION("SPLIT('Main dataset (DEPRECATED2)'!N31,"";"")"),"Microsimulations Research")</f>
        <v>Microsimulations Research</v>
      </c>
      <c r="C30" s="66" t="s">
        <v>6571</v>
      </c>
      <c r="D30" s="66" t="s">
        <v>8545</v>
      </c>
    </row>
    <row r="31" ht="15.75" customHeight="1">
      <c r="A31" s="66">
        <f>'Main dataset (DEPRECATED)'!Q32</f>
        <v>7192713</v>
      </c>
      <c r="B31" s="66" t="str">
        <f>IFERROR(__xludf.DUMMYFUNCTION("SPLIT('Main dataset (DEPRECATED2)'!N32,"";"")"),"Arizona State University Tempe##Arizona State University Tempe")</f>
        <v>Arizona State University Tempe##Arizona State University Tempe</v>
      </c>
      <c r="C31" s="66" t="s">
        <v>9866</v>
      </c>
      <c r="D31" s="66" t="s">
        <v>8607</v>
      </c>
      <c r="E31" s="66" t="s">
        <v>8183</v>
      </c>
      <c r="F31" s="66" t="s">
        <v>6786</v>
      </c>
    </row>
    <row r="32" ht="15.75" customHeight="1">
      <c r="A32" s="66">
        <f>'Main dataset (DEPRECATED)'!Q33</f>
        <v>7192691</v>
      </c>
      <c r="B32" s="66" t="str">
        <f>IFERROR(__xludf.DUMMYFUNCTION("SPLIT('Main dataset (DEPRECATED2)'!N33,"";"")"),"Temple University##Temple University##Temple University##Temple University")</f>
        <v>Temple University##Temple University##Temple University##Temple University</v>
      </c>
      <c r="C32" s="66" t="s">
        <v>6212</v>
      </c>
      <c r="D32" s="66" t="s">
        <v>6592</v>
      </c>
      <c r="E32" s="66" t="s">
        <v>9881</v>
      </c>
      <c r="F32" s="66" t="s">
        <v>6578</v>
      </c>
      <c r="G32" s="66" t="s">
        <v>9891</v>
      </c>
      <c r="H32" s="66" t="s">
        <v>9025</v>
      </c>
    </row>
    <row r="33" ht="15.75" customHeight="1">
      <c r="A33" s="66">
        <f>'Main dataset (DEPRECATED)'!Q34</f>
        <v>7192667</v>
      </c>
      <c r="B33" s="66" t="str">
        <f>IFERROR(__xludf.DUMMYFUNCTION("SPLIT('Main dataset (DEPRECATED2)'!N34,"";"")"),"Sandia Nat. Lab., Albuquerque, NM, USA|c|")</f>
        <v>Sandia Nat. Lab., Albuquerque, NM, USA|c|</v>
      </c>
      <c r="C33" s="66" t="s">
        <v>6546</v>
      </c>
      <c r="D33" s="66" t="s">
        <v>7487</v>
      </c>
      <c r="E33" s="66" t="s">
        <v>9391</v>
      </c>
    </row>
    <row r="34" ht="15.75" customHeight="1">
      <c r="A34" s="66">
        <f>'Main dataset (DEPRECATED)'!Q35</f>
        <v>7192708</v>
      </c>
      <c r="B34" s="66" t="str">
        <f>IFERROR(__xludf.DUMMYFUNCTION("SPLIT('Main dataset (DEPRECATED2)'!N35,"";"")"),"ART+COM e.V., Berlin, Germany|c|")</f>
        <v>ART+COM e.V., Berlin, Germany|c|</v>
      </c>
      <c r="C34" s="66" t="s">
        <v>6400</v>
      </c>
      <c r="D34" s="66" t="s">
        <v>8333</v>
      </c>
      <c r="E34" s="66" t="s">
        <v>6786</v>
      </c>
    </row>
    <row r="35" ht="15.75" customHeight="1">
      <c r="A35" s="66">
        <f>'Main dataset (DEPRECATED)'!Q36</f>
        <v>7192701</v>
      </c>
      <c r="B35" s="66" t="str">
        <f>IFERROR(__xludf.DUMMYFUNCTION("SPLIT('Main dataset (DEPRECATED2)'!N36,"";"")"),"Institut Franqais du Pktrole 1##")</f>
        <v>Institut Franqais du Pktrole 1##</v>
      </c>
      <c r="C35" s="66" t="s">
        <v>8335</v>
      </c>
      <c r="D35" s="66" t="s">
        <v>11178</v>
      </c>
      <c r="E35" s="66" t="s">
        <v>11200</v>
      </c>
    </row>
    <row r="36" ht="15.75" customHeight="1">
      <c r="A36" s="66">
        <f>'Main dataset (DEPRECATED)'!Q37</f>
        <v>7192660</v>
      </c>
      <c r="B36" s="66" t="str">
        <f>IFERROR(__xludf.DUMMYFUNCTION("SPLIT('Main dataset (DEPRECATED2)'!N37,"";"")"),"Princeton University Princeton##Princeton University Princeton##Princeton University Princeton")</f>
        <v>Princeton University Princeton##Princeton University Princeton##Princeton University Princeton</v>
      </c>
      <c r="C36" s="66" t="s">
        <v>7353</v>
      </c>
      <c r="D36" s="66" t="s">
        <v>10663</v>
      </c>
      <c r="E36" s="66" t="s">
        <v>11114</v>
      </c>
    </row>
    <row r="37" ht="15.75" customHeight="1">
      <c r="A37" s="66">
        <f>'Main dataset (DEPRECATED)'!Q38</f>
        <v>7192710</v>
      </c>
      <c r="B37" s="66" t="str">
        <f>IFERROR(__xludf.DUMMYFUNCTION("SPLIT('Main dataset (DEPRECATED2)'!N38,"";"")"),"University of Florida Gainesville##University of Florida Gainesville")</f>
        <v>University of Florida Gainesville##University of Florida Gainesville</v>
      </c>
      <c r="C37" s="66" t="s">
        <v>9377</v>
      </c>
    </row>
    <row r="38" ht="15.75" customHeight="1">
      <c r="A38" s="66">
        <f>'Main dataset (DEPRECATED)'!Q39</f>
        <v>7192728</v>
      </c>
      <c r="B38" s="66" t="str">
        <f>IFERROR(__xludf.DUMMYFUNCTION("SPLIT('Main dataset (DEPRECATED2)'!N39,"";"")"),"University of Utah Salt Lake City##University of Utah Salt Lake City")</f>
        <v>University of Utah Salt Lake City##University of Utah Salt Lake City</v>
      </c>
      <c r="C38" s="66" t="s">
        <v>9505</v>
      </c>
      <c r="D38" s="66" t="s">
        <v>6224</v>
      </c>
      <c r="E38" s="66" t="s">
        <v>9176</v>
      </c>
      <c r="F38" s="66" t="s">
        <v>8275</v>
      </c>
      <c r="G38" s="66" t="s">
        <v>8112</v>
      </c>
    </row>
    <row r="39" ht="15.75" customHeight="1">
      <c r="A39" s="66">
        <f>'Main dataset (DEPRECATED)'!Q40</f>
        <v>7429504</v>
      </c>
      <c r="B39" s="66" t="str">
        <f>IFERROR(__xludf.DUMMYFUNCTION("SPLIT('Main dataset (DEPRECATED2)'!N40,"";"")"),"Arizona State University Tempe")</f>
        <v>Arizona State University Tempe</v>
      </c>
      <c r="C39" s="66" t="s">
        <v>9613</v>
      </c>
      <c r="D39" s="66" t="s">
        <v>10421</v>
      </c>
      <c r="E39" s="66" t="s">
        <v>9237</v>
      </c>
    </row>
    <row r="40" ht="15.75" customHeight="1">
      <c r="A40" s="66">
        <f>'Main dataset (DEPRECATED)'!Q41</f>
        <v>7429510</v>
      </c>
      <c r="B40" s="66" t="str">
        <f>IFERROR(__xludf.DUMMYFUNCTION("SPLIT('Main dataset (DEPRECATED2)'!N41,"";"")"),"Wavefront Technologies##Wavefront Technologies##Wavefront Technologies##Wavefront Technologies")</f>
        <v>Wavefront Technologies##Wavefront Technologies##Wavefront Technologies##Wavefront Technologies</v>
      </c>
      <c r="C40" s="66" t="s">
        <v>7948</v>
      </c>
      <c r="D40" s="66" t="s">
        <v>11594</v>
      </c>
    </row>
    <row r="41" ht="15.75" customHeight="1">
      <c r="A41" s="66">
        <f>'Main dataset (DEPRECATED)'!Q42</f>
        <v>7429485</v>
      </c>
      <c r="B41" s="66" t="str">
        <f>IFERROR(__xludf.DUMMYFUNCTION("SPLIT('Main dataset (DEPRECATED2)'!N42,"";"")"),"NASA-Ames Research Center##NASA-Ames Research Center")</f>
        <v>NASA-Ames Research Center##NASA-Ames Research Center</v>
      </c>
      <c r="C41" s="66" t="s">
        <v>6605</v>
      </c>
      <c r="D41" s="66" t="s">
        <v>8908</v>
      </c>
      <c r="E41" s="66" t="s">
        <v>10697</v>
      </c>
    </row>
    <row r="42" ht="15.75" customHeight="1">
      <c r="A42" s="66">
        <f>'Main dataset (DEPRECATED)'!Q43</f>
        <v>7429511</v>
      </c>
      <c r="B42" s="66" t="str">
        <f>IFERROR(__xludf.DUMMYFUNCTION("SPLIT('Main dataset (DEPRECATED2)'!N43,"";"")"),"Los Alamos Nat. Lab., NM, USA|c|")</f>
        <v>Los Alamos Nat. Lab., NM, USA|c|</v>
      </c>
      <c r="C42" s="66" t="s">
        <v>7179</v>
      </c>
      <c r="D42" s="66" t="s">
        <v>6179</v>
      </c>
    </row>
    <row r="43" ht="15.75" customHeight="1">
      <c r="A43" s="66">
        <f>'Main dataset (DEPRECATED)'!Q44</f>
        <v>7429488</v>
      </c>
      <c r="B43" s="66" t="str">
        <f>IFERROR(__xludf.DUMMYFUNCTION("SPLIT('Main dataset (DEPRECATED2)'!N44,"";"")"),"University of Illinois at Chicago")</f>
        <v>University of Illinois at Chicago</v>
      </c>
      <c r="C43" s="66" t="s">
        <v>11563</v>
      </c>
      <c r="D43" s="66" t="s">
        <v>6855</v>
      </c>
      <c r="E43" s="66" t="s">
        <v>8026</v>
      </c>
      <c r="F43" s="66" t="s">
        <v>11331</v>
      </c>
      <c r="G43" s="66" t="s">
        <v>7113</v>
      </c>
      <c r="H43" s="66" t="s">
        <v>11774</v>
      </c>
      <c r="I43" s="66" t="s">
        <v>6861</v>
      </c>
    </row>
    <row r="44" ht="15.75" customHeight="1">
      <c r="A44" s="66">
        <f>'Main dataset (DEPRECATED)'!Q45</f>
        <v>7192678</v>
      </c>
      <c r="B44" s="66" t="str">
        <f>IFERROR(__xludf.DUMMYFUNCTION("SPLIT('Main dataset (DEPRECATED2)'!N45,"";"")"),"Silicon Graphics Comput. Syst., Mountain View, CA, USA|c|")</f>
        <v>Silicon Graphics Comput. Syst., Mountain View, CA, USA|c|</v>
      </c>
      <c r="C44" s="66" t="s">
        <v>10455</v>
      </c>
      <c r="D44" s="66" t="s">
        <v>10444</v>
      </c>
      <c r="E44" s="66" t="s">
        <v>8759</v>
      </c>
    </row>
    <row r="45" ht="15.75" customHeight="1">
      <c r="A45" s="66">
        <f>'Main dataset (DEPRECATED)'!Q46</f>
        <v>7192734</v>
      </c>
      <c r="B45" s="66" t="str">
        <f>IFERROR(__xludf.DUMMYFUNCTION("SPLIT('Main dataset (DEPRECATED2)'!N46,"";"")"),"IBM Scientific Center &amp;####IBM Scientific Center &amp;##Wilshire Boulevard University of Southern California Los Angeles")</f>
        <v>IBM Scientific Center &amp;####IBM Scientific Center &amp;##Wilshire Boulevard University of Southern California Los Angeles</v>
      </c>
      <c r="C45" s="66" t="s">
        <v>9072</v>
      </c>
    </row>
    <row r="46" ht="15.75" customHeight="1">
      <c r="A46" s="66">
        <f>'Main dataset (DEPRECATED)'!Q47</f>
        <v>7429507</v>
      </c>
      <c r="B46" s="66" t="str">
        <f>IFERROR(__xludf.DUMMYFUNCTION("SPLIT('Main dataset (DEPRECATED2)'!N47,"";"")"),"Universitat Kaiserslaut-ern")</f>
        <v>Universitat Kaiserslaut-ern</v>
      </c>
      <c r="C46" s="66" t="s">
        <v>6554</v>
      </c>
      <c r="D46" s="66" t="s">
        <v>8908</v>
      </c>
    </row>
    <row r="47" ht="15.75" customHeight="1">
      <c r="A47" s="66">
        <f>'Main dataset (DEPRECATED)'!Q48</f>
        <v>7194835</v>
      </c>
      <c r="B47" s="66" t="str">
        <f>IFERROR(__xludf.DUMMYFUNCTION("SPLIT('Main dataset (DEPRECATED2)'!N48,"";"")"),"Boeing Computer Services Seattle")</f>
        <v>Boeing Computer Services Seattle</v>
      </c>
      <c r="C47" s="66" t="s">
        <v>8965</v>
      </c>
      <c r="D47" s="66" t="s">
        <v>7887</v>
      </c>
      <c r="E47" s="66" t="s">
        <v>11254</v>
      </c>
      <c r="F47" s="66" t="s">
        <v>8839</v>
      </c>
    </row>
    <row r="48" ht="15.75" customHeight="1">
      <c r="A48" s="66">
        <f>'Main dataset (DEPRECATED)'!Q49</f>
        <v>7194844</v>
      </c>
      <c r="B48" s="66" t="str">
        <f>IFERROR(__xludf.DUMMYFUNCTION("SPLIT('Main dataset (DEPRECATED2)'!N49,"";"")"),"Washington University School of Medicine")</f>
        <v>Washington University School of Medicine</v>
      </c>
      <c r="C48" s="66" t="s">
        <v>7107</v>
      </c>
    </row>
    <row r="49" ht="15.75" customHeight="1">
      <c r="A49" s="66">
        <f>'Main dataset (DEPRECATED)'!Q50</f>
        <v>7192697</v>
      </c>
      <c r="B49" s="66" t="str">
        <f>IFERROR(__xludf.DUMMYFUNCTION("SPLIT('Main dataset (DEPRECATED2)'!N50,"";"")"),"Pacific Interface, New York, NY, USA|c|")</f>
        <v>Pacific Interface, New York, NY, USA|c|</v>
      </c>
      <c r="C49" s="66" t="s">
        <v>4285</v>
      </c>
    </row>
    <row r="50" ht="15.75" customHeight="1">
      <c r="A50" s="66">
        <f>'Main dataset (DEPRECATED)'!Q51</f>
        <v>7429493</v>
      </c>
      <c r="B50" s="66" t="str">
        <f>IFERROR(__xludf.DUMMYFUNCTION("SPLIT('Main dataset (DEPRECATED2)'!N51,"";"")"),"Research Computing Services 120 Hinds Hall Syracuse University Syracuse##Research Computing Services 120 Hinds Hall Syracuse University Syracuse##Research Computing Services 120 Hinds Hall Syracuse University Syracuse")</f>
        <v>Research Computing Services 120 Hinds Hall Syracuse University Syracuse##Research Computing Services 120 Hinds Hall Syracuse University Syracuse##Research Computing Services 120 Hinds Hall Syracuse University Syracuse</v>
      </c>
      <c r="C50" s="66" t="s">
        <v>10502</v>
      </c>
      <c r="D50" s="66" t="s">
        <v>6815</v>
      </c>
      <c r="E50" s="66" t="s">
        <v>9658</v>
      </c>
    </row>
    <row r="51" ht="15.75" customHeight="1">
      <c r="A51" s="66">
        <f>'Main dataset (DEPRECATED)'!Q52</f>
        <v>7429509</v>
      </c>
      <c r="B51" s="66" t="str">
        <f>IFERROR(__xludf.DUMMYFUNCTION("SPLIT('Main dataset (DEPRECATED2)'!N52,"";"")"),"#VALUE!")</f>
        <v>#VALUE!</v>
      </c>
      <c r="C51" s="66" t="s">
        <v>7221</v>
      </c>
    </row>
    <row r="52" ht="15.75" customHeight="1">
      <c r="A52" s="66">
        <f>'Main dataset (DEPRECATED)'!Q53</f>
        <v>7192726</v>
      </c>
      <c r="B52" s="66" t="str">
        <f>IFERROR(__xludf.DUMMYFUNCTION("SPLIT('Main dataset (DEPRECATED2)'!N53,"";"")"),"Precision Visuals, Inc")</f>
        <v>Precision Visuals, Inc</v>
      </c>
      <c r="C52" s="66" t="s">
        <v>7372</v>
      </c>
      <c r="D52" s="66" t="s">
        <v>8372</v>
      </c>
      <c r="E52" s="66" t="s">
        <v>8373</v>
      </c>
    </row>
    <row r="53" ht="15.75" customHeight="1">
      <c r="A53" s="66">
        <f>'Main dataset (DEPRECATED)'!Q54</f>
        <v>7192711</v>
      </c>
      <c r="B53" s="66" t="str">
        <f>IFERROR(__xludf.DUMMYFUNCTION("SPLIT('Main dataset (DEPRECATED2)'!N54,"";"")"),"Johns Hopkins University##Johns Hopkins University##Johns Hopkins University##Johns Hopkins University##Johns Hopkins University")</f>
        <v>Johns Hopkins University##Johns Hopkins University##Johns Hopkins University##Johns Hopkins University##Johns Hopkins University</v>
      </c>
      <c r="C53" s="66" t="s">
        <v>6808</v>
      </c>
      <c r="D53" s="66" t="s">
        <v>8423</v>
      </c>
      <c r="E53" s="66" t="s">
        <v>9984</v>
      </c>
    </row>
    <row r="54" ht="15.75" customHeight="1">
      <c r="A54" s="66">
        <f>'Main dataset (DEPRECATED)'!Q55</f>
        <v>7429502</v>
      </c>
      <c r="B54" s="66" t="str">
        <f>IFERROR(__xludf.DUMMYFUNCTION("SPLIT('Main dataset (DEPRECATED2)'!N55,"";"")"),"University of New##University of New")</f>
        <v>University of New##University of New</v>
      </c>
    </row>
    <row r="55" ht="15.75" customHeight="1">
      <c r="A55" s="66">
        <f>'Main dataset (DEPRECATED)'!Q56</f>
        <v>7429492</v>
      </c>
      <c r="B55" s="66" t="str">
        <f>IFERROR(__xludf.DUMMYFUNCTION("SPLIT('Main dataset (DEPRECATED2)'!N56,"";"")"),"Nato Centre for Supercomput. Appls., Champaign, IL, USA|c|")</f>
        <v>Nato Centre for Supercomput. Appls., Champaign, IL, USA|c|</v>
      </c>
      <c r="C55" s="66" t="s">
        <v>8778</v>
      </c>
      <c r="D55" s="66" t="s">
        <v>8531</v>
      </c>
      <c r="E55" s="66" t="s">
        <v>11162</v>
      </c>
      <c r="F55" s="66" t="s">
        <v>9807</v>
      </c>
      <c r="G55" s="66" t="s">
        <v>9780</v>
      </c>
    </row>
    <row r="56" ht="15.75" customHeight="1">
      <c r="A56" s="66">
        <f>'Main dataset (DEPRECATED)'!Q57</f>
        <v>7192663</v>
      </c>
      <c r="B56" s="66" t="str">
        <f>IFERROR(__xludf.DUMMYFUNCTION("SPLIT('Main dataset (DEPRECATED2)'!N57,"";"")"),"Rutgers University Piscataway##Rutgers University Piscataway")</f>
        <v>Rutgers University Piscataway##Rutgers University Piscataway</v>
      </c>
      <c r="C56" s="66" t="s">
        <v>6901</v>
      </c>
      <c r="D56" s="66" t="s">
        <v>10492</v>
      </c>
      <c r="E56" s="66" t="s">
        <v>10341</v>
      </c>
      <c r="F56" s="66" t="s">
        <v>10126</v>
      </c>
    </row>
    <row r="57" ht="15.75" customHeight="1">
      <c r="A57" s="66">
        <f>'Main dataset (DEPRECATED)'!Q58</f>
        <v>7192664</v>
      </c>
      <c r="B57" s="66" t="str">
        <f>IFERROR(__xludf.DUMMYFUNCTION("SPLIT('Main dataset (DEPRECATED2)'!N58,"";"")"),"NASA Ames Res. Center, Moffett Field, CA, USA|c|")</f>
        <v>NASA Ames Res. Center, Moffett Field, CA, USA|c|</v>
      </c>
      <c r="C57" s="66" t="s">
        <v>4285</v>
      </c>
    </row>
    <row r="58" ht="15.75" customHeight="1">
      <c r="A58" s="66">
        <f>'Main dataset (DEPRECATED)'!Q59</f>
        <v>7194852</v>
      </c>
      <c r="B58" s="66" t="str">
        <f>IFERROR(__xludf.DUMMYFUNCTION("SPLIT('Main dataset (DEPRECATED2)'!N59,"";"")"),"University of Colorado Colorado Springs##University of Colorado Colorado Springs")</f>
        <v>University of Colorado Colorado Springs##University of Colorado Colorado Springs</v>
      </c>
      <c r="C58" s="66" t="s">
        <v>8107</v>
      </c>
      <c r="D58" s="66" t="s">
        <v>6387</v>
      </c>
    </row>
    <row r="59" ht="15.75" customHeight="1">
      <c r="A59" s="66">
        <f>'Main dataset (DEPRECATED)'!Q60</f>
        <v>7194846</v>
      </c>
      <c r="B59" s="66" t="str">
        <f>IFERROR(__xludf.DUMMYFUNCTION("SPLIT('Main dataset (DEPRECATED2)'!N60,"";"")"),"Computer Sciences Corporation1 C. Levit")</f>
        <v>Computer Sciences Corporation1 C. Levit</v>
      </c>
      <c r="C59" s="66" t="s">
        <v>10800</v>
      </c>
    </row>
    <row r="60" ht="15.75" customHeight="1">
      <c r="A60" s="66">
        <f>'Main dataset (DEPRECATED)'!Q61</f>
        <v>7429490</v>
      </c>
      <c r="B60" s="66" t="str">
        <f>IFERROR(__xludf.DUMMYFUNCTION("SPLIT('Main dataset (DEPRECATED2)'!N61,"";"")"),"Samsung Advanced Institute of Technology####Samsung Advanced Institute of Technology######University of Washington Seattle")</f>
        <v>Samsung Advanced Institute of Technology####Samsung Advanced Institute of Technology######University of Washington Seattle</v>
      </c>
      <c r="C60" s="66" t="s">
        <v>8870</v>
      </c>
    </row>
    <row r="61" ht="15.75" customHeight="1">
      <c r="A61" s="66">
        <f>'Main dataset (DEPRECATED)'!Q62</f>
        <v>7192679</v>
      </c>
      <c r="B61" s="66" t="str">
        <f>IFERROR(__xludf.DUMMYFUNCTION("SPLIT('Main dataset (DEPRECATED2)'!N62,"";"")"),"Thinking Machines Corporation##Thinking Machines Corporation")</f>
        <v>Thinking Machines Corporation##Thinking Machines Corporation</v>
      </c>
      <c r="C61" s="66" t="s">
        <v>9895</v>
      </c>
      <c r="D61" s="66" t="s">
        <v>9876</v>
      </c>
      <c r="E61" s="66" t="s">
        <v>8637</v>
      </c>
      <c r="F61" s="66" t="s">
        <v>7778</v>
      </c>
    </row>
    <row r="62" ht="15.75" customHeight="1">
      <c r="A62" s="66">
        <f>'Main dataset (DEPRECATED)'!Q63</f>
        <v>7429491</v>
      </c>
      <c r="B62" s="66" t="str">
        <f>IFERROR(__xludf.DUMMYFUNCTION("SPLIT('Main dataset (DEPRECATED2)'!N63,"";"")"),"University of North Carolina Chapel Hill##University of North Carolina Chapel Hill##University of North Carolina Chapel Hill##University of North Carolina Chapel Hill##University of North Carolina Chapel Hill##University of North Carolina Chapel Hill##Uni"&amp;"versity of North Carolina Chapel Hill")</f>
        <v>University of North Carolina Chapel Hill##University of North Carolina Chapel Hill##University of North Carolina Chapel Hill##University of North Carolina Chapel Hill##University of North Carolina Chapel Hill##University of North Carolina Chapel Hill##University of North Carolina Chapel Hill</v>
      </c>
      <c r="C62" s="66" t="s">
        <v>10820</v>
      </c>
      <c r="D62" s="66" t="s">
        <v>10399</v>
      </c>
    </row>
    <row r="63" ht="15.75" customHeight="1">
      <c r="A63" s="66">
        <f>'Main dataset (DEPRECATED)'!Q64</f>
        <v>7194851</v>
      </c>
      <c r="B63" s="66" t="str">
        <f>IFERROR(__xludf.DUMMYFUNCTION("SPLIT('Main dataset (DEPRECATED2)'!N64,"";"")"),"Swanson Analysis Systems, Inc. Houston")</f>
        <v>Swanson Analysis Systems, Inc. Houston</v>
      </c>
      <c r="C63" s="66" t="s">
        <v>8200</v>
      </c>
      <c r="D63" s="66" t="s">
        <v>8121</v>
      </c>
      <c r="E63" s="66" t="s">
        <v>6715</v>
      </c>
      <c r="F63" s="66" t="s">
        <v>7432</v>
      </c>
      <c r="G63" s="66" t="s">
        <v>11396</v>
      </c>
    </row>
    <row r="64" ht="15.75" customHeight="1">
      <c r="A64" s="66">
        <f>'Main dataset (DEPRECATED)'!Q65</f>
        <v>7192722</v>
      </c>
      <c r="B64" s="66" t="str">
        <f>IFERROR(__xludf.DUMMYFUNCTION("SPLIT('Main dataset (DEPRECATED2)'!N65,"";"")"),"IBM European Visualization Centre IBM UIi Scientific Centre Winchester##IBM European Visualization Centre IBM UIi Scientific Centre Winchester##IBM European Visualization Centre IBM UIi Scientific Centre Winchester##IBM European Visualization Centre IBM U"&amp;"Ii Scientific Centre Winchester")</f>
        <v>IBM European Visualization Centre IBM UIi Scientific Centre Winchester##IBM European Visualization Centre IBM UIi Scientific Centre Winchester##IBM European Visualization Centre IBM UIi Scientific Centre Winchester##IBM European Visualization Centre IBM UIi Scientific Centre Winchester</v>
      </c>
      <c r="C64" s="66" t="s">
        <v>10444</v>
      </c>
      <c r="D64" s="66" t="s">
        <v>8955</v>
      </c>
      <c r="E64" s="66" t="s">
        <v>7381</v>
      </c>
      <c r="F64" s="66" t="s">
        <v>11250</v>
      </c>
    </row>
    <row r="65" ht="15.75" customHeight="1">
      <c r="A65" s="66">
        <f>'Main dataset (DEPRECATED)'!Q66</f>
        <v>7429515</v>
      </c>
      <c r="B65" s="66" t="str">
        <f>IFERROR(__xludf.DUMMYFUNCTION("SPLIT('Main dataset (DEPRECATED2)'!N66,"";"")"),"Arizona State University Tempe##Arizona State University Tempe")</f>
        <v>Arizona State University Tempe##Arizona State University Tempe</v>
      </c>
      <c r="C65" s="66" t="s">
        <v>7948</v>
      </c>
      <c r="D65" s="66" t="s">
        <v>11594</v>
      </c>
    </row>
    <row r="66" ht="15.75" customHeight="1">
      <c r="A66" s="66">
        <f>'Main dataset (DEPRECATED)'!Q67</f>
        <v>7192723</v>
      </c>
      <c r="B66" s="66" t="str">
        <f>IFERROR(__xludf.DUMMYFUNCTION("SPLIT('Main dataset (DEPRECATED2)'!N67,"";"")"),"University of Washington######")</f>
        <v>University of Washington######</v>
      </c>
      <c r="C66" s="66" t="s">
        <v>9880</v>
      </c>
      <c r="D66" s="66" t="s">
        <v>10412</v>
      </c>
      <c r="E66" s="66" t="s">
        <v>9811</v>
      </c>
      <c r="F66" s="66" t="s">
        <v>6178</v>
      </c>
      <c r="G66" s="66" t="s">
        <v>7996</v>
      </c>
    </row>
    <row r="67" ht="15.75" customHeight="1">
      <c r="A67" s="66">
        <f>'Main dataset (DEPRECATED)'!Q68</f>
        <v>7192700</v>
      </c>
      <c r="B67" s="66" t="str">
        <f>IFERROR(__xludf.DUMMYFUNCTION("SPLIT('Main dataset (DEPRECATED2)'!N68,"";"")"),"University of California")</f>
        <v>University of California</v>
      </c>
      <c r="C67" s="66" t="s">
        <v>10320</v>
      </c>
      <c r="D67" s="66" t="s">
        <v>6790</v>
      </c>
      <c r="E67" s="66" t="s">
        <v>8277</v>
      </c>
      <c r="F67" s="66" t="s">
        <v>11639</v>
      </c>
      <c r="G67" s="66" t="s">
        <v>7337</v>
      </c>
      <c r="H67" s="66" t="s">
        <v>10937</v>
      </c>
    </row>
    <row r="68" ht="15.75" customHeight="1">
      <c r="A68" s="66">
        <f>'Main dataset (DEPRECATED)'!Q69</f>
        <v>7192674</v>
      </c>
      <c r="B68" s="66" t="str">
        <f>IFERROR(__xludf.DUMMYFUNCTION("SPLIT('Main dataset (DEPRECATED2)'!N69,"";"")"),"T. J. Watson Res. Ctr. MIT Yorktown Heights##T. J. Watson Res. Ctr. MIT Yorktown Heights##T. J. Watson Res. Ctr. MIT Yorktown Heights##T. J. Watson Res. Ctr. MIT Yorktown Heights##T. J. Watson Res. Ctr. MIT Yorktown Heights##T. J. Watson Res. Ctr. MIT Yor"&amp;"ktown Heights")</f>
        <v>T. J. Watson Res. Ctr. MIT Yorktown Heights##T. J. Watson Res. Ctr. MIT Yorktown Heights##T. J. Watson Res. Ctr. MIT Yorktown Heights##T. J. Watson Res. Ctr. MIT Yorktown Heights##T. J. Watson Res. Ctr. MIT Yorktown Heights##T. J. Watson Res. Ctr. MIT Yorktown Heights</v>
      </c>
      <c r="C68" s="66" t="s">
        <v>8778</v>
      </c>
      <c r="D68" s="66" t="s">
        <v>6937</v>
      </c>
      <c r="E68" s="66" t="s">
        <v>6423</v>
      </c>
    </row>
    <row r="69" ht="15.75" customHeight="1">
      <c r="A69" s="66">
        <f>'Main dataset (DEPRECATED)'!Q70</f>
        <v>7192682</v>
      </c>
      <c r="B69" s="66" t="str">
        <f>IFERROR(__xludf.DUMMYFUNCTION("SPLIT('Main dataset (DEPRECATED2)'!N70,"";"")"),"General Electric Company Corporate Research and Development Schenectady##General Electric Company Corporate Research and Development Schenectady")</f>
        <v>General Electric Company Corporate Research and Development Schenectady##General Electric Company Corporate Research and Development Schenectady</v>
      </c>
      <c r="C69" s="66" t="s">
        <v>7461</v>
      </c>
      <c r="D69" s="66" t="s">
        <v>11694</v>
      </c>
    </row>
    <row r="70" ht="15.75" customHeight="1">
      <c r="A70" s="66">
        <f>'Main dataset (DEPRECATED)'!Q71</f>
        <v>7429514</v>
      </c>
      <c r="B70" s="66" t="str">
        <f>IFERROR(__xludf.DUMMYFUNCTION("SPLIT('Main dataset (DEPRECATED2)'!N71,"";"")"),"General Electric Corp. Res. &amp; Dev., Schenectady, NY, USA|c|")</f>
        <v>General Electric Corp. Res. &amp; Dev., Schenectady, NY, USA|c|</v>
      </c>
      <c r="C70" s="66" t="s">
        <v>10793</v>
      </c>
      <c r="D70" s="66" t="s">
        <v>8836</v>
      </c>
      <c r="E70" s="66" t="s">
        <v>8551</v>
      </c>
      <c r="F70" s="66" t="s">
        <v>7408</v>
      </c>
      <c r="G70" s="66" t="s">
        <v>7461</v>
      </c>
      <c r="H70" s="66" t="s">
        <v>10219</v>
      </c>
    </row>
    <row r="71" ht="15.75" customHeight="1">
      <c r="A71" s="66">
        <f>'Main dataset (DEPRECATED)'!Q72</f>
        <v>7192629</v>
      </c>
      <c r="B71" s="66" t="str">
        <f>IFERROR(__xludf.DUMMYFUNCTION("SPLIT('Main dataset (DEPRECATED2)'!N72,"";"")"),"IBM Watson Research Ceder##IBM Watson Research Ceder")</f>
        <v>IBM Watson Research Ceder##IBM Watson Research Ceder</v>
      </c>
      <c r="C71" s="66" t="s">
        <v>10332</v>
      </c>
      <c r="D71" s="66" t="s">
        <v>7412</v>
      </c>
    </row>
    <row r="72" ht="15.75" customHeight="1">
      <c r="A72" s="66">
        <f>'Main dataset (DEPRECATED)'!Q73</f>
        <v>7192686</v>
      </c>
      <c r="B72" s="66" t="str">
        <f>IFERROR(__xludf.DUMMYFUNCTION("SPLIT('Main dataset (DEPRECATED2)'!N73,"";"")"),"San Diego State University")</f>
        <v>San Diego State University</v>
      </c>
      <c r="C72" s="66" t="s">
        <v>6685</v>
      </c>
      <c r="D72" s="66" t="s">
        <v>7887</v>
      </c>
      <c r="E72" s="66" t="s">
        <v>7985</v>
      </c>
      <c r="F72" s="66" t="s">
        <v>10085</v>
      </c>
    </row>
    <row r="73" ht="15.75" customHeight="1">
      <c r="A73" s="66">
        <f>'Main dataset (DEPRECATED)'!Q74</f>
        <v>7194853</v>
      </c>
      <c r="B73" s="66" t="str">
        <f>IFERROR(__xludf.DUMMYFUNCTION("SPLIT('Main dataset (DEPRECATED2)'!N74,"";"")"),"SOO Phillips Rd##SOO Phillips Rd")</f>
        <v>SOO Phillips Rd##SOO Phillips Rd</v>
      </c>
      <c r="C73" s="66" t="s">
        <v>6844</v>
      </c>
      <c r="D73" s="66" t="s">
        <v>9876</v>
      </c>
      <c r="E73" s="66" t="s">
        <v>8399</v>
      </c>
      <c r="F73" s="66" t="s">
        <v>10512</v>
      </c>
    </row>
    <row r="74" ht="15.75" customHeight="1">
      <c r="A74" s="66">
        <f>'Main dataset (DEPRECATED)'!Q75</f>
        <v>7192721</v>
      </c>
      <c r="B74" s="66" t="str">
        <f>IFERROR(__xludf.DUMMYFUNCTION("SPLIT('Main dataset (DEPRECATED2)'!N75,"";"")"),"U. of Washington Morristown##U. of Washington Morristown##U. of Washington Morristown##U. of Washington Morristown")</f>
        <v>U. of Washington Morristown##U. of Washington Morristown##U. of Washington Morristown##U. of Washington Morristown</v>
      </c>
      <c r="C74" s="66" t="s">
        <v>10481</v>
      </c>
      <c r="D74" s="66" t="s">
        <v>11393</v>
      </c>
    </row>
    <row r="75" ht="15.75" customHeight="1">
      <c r="A75" s="66">
        <f>'Main dataset (DEPRECATED)'!Q76</f>
        <v>7429508</v>
      </c>
      <c r="B75" s="66" t="str">
        <f>IFERROR(__xludf.DUMMYFUNCTION("SPLIT('Main dataset (DEPRECATED2)'!N76,"";"")"),"University of Lowell Lowell")</f>
        <v>University of Lowell Lowell</v>
      </c>
      <c r="C75" s="66" t="s">
        <v>6199</v>
      </c>
      <c r="D75" s="66" t="s">
        <v>10197</v>
      </c>
      <c r="E75" s="66" t="s">
        <v>6965</v>
      </c>
      <c r="F75" s="66" t="s">
        <v>9197</v>
      </c>
      <c r="G75" s="66" t="s">
        <v>10338</v>
      </c>
    </row>
    <row r="76" ht="15.75" customHeight="1">
      <c r="A76" s="66">
        <f>'Main dataset (DEPRECATED)'!Q77</f>
        <v>7192653</v>
      </c>
      <c r="B76" s="66" t="str">
        <f>IFERROR(__xludf.DUMMYFUNCTION("SPLIT('Main dataset (DEPRECATED2)'!N77,"";"")"),"Mihalisin Associates, Ambler, PA, USA|c|")</f>
        <v>Mihalisin Associates, Ambler, PA, USA|c|</v>
      </c>
      <c r="C76" s="66" t="s">
        <v>6483</v>
      </c>
      <c r="D76" s="66" t="s">
        <v>7986</v>
      </c>
      <c r="E76" s="66" t="s">
        <v>8641</v>
      </c>
      <c r="F76" s="66" t="s">
        <v>9048</v>
      </c>
      <c r="G76" s="66" t="s">
        <v>9891</v>
      </c>
      <c r="H76" s="66" t="s">
        <v>7985</v>
      </c>
    </row>
    <row r="77" ht="15.75" customHeight="1">
      <c r="A77" s="66">
        <f>'Main dataset (DEPRECATED)'!Q78</f>
        <v>7194839</v>
      </c>
      <c r="B77" s="66" t="str">
        <f>IFERROR(__xludf.DUMMYFUNCTION("SPLIT('Main dataset (DEPRECATED2)'!N78,"";"")"),"Worcester Polytechnic Inst. Worcester")</f>
        <v>Worcester Polytechnic Inst. Worcester</v>
      </c>
      <c r="C77" s="66" t="s">
        <v>7775</v>
      </c>
      <c r="D77" s="66" t="s">
        <v>11250</v>
      </c>
      <c r="E77" s="66" t="s">
        <v>9984</v>
      </c>
      <c r="F77" s="66" t="s">
        <v>8373</v>
      </c>
    </row>
    <row r="78" ht="15.75" customHeight="1">
      <c r="A78" s="66">
        <f>'Main dataset (DEPRECATED)'!Q79</f>
        <v>7429503</v>
      </c>
      <c r="B78" s="66" t="str">
        <f>IFERROR(__xludf.DUMMYFUNCTION("SPLIT('Main dataset (DEPRECATED2)'!N79,"";"")"),"The MITRE Corporation McLean")</f>
        <v>The MITRE Corporation McLean</v>
      </c>
      <c r="C78" s="66" t="s">
        <v>9231</v>
      </c>
      <c r="D78" s="66" t="s">
        <v>8716</v>
      </c>
      <c r="E78" s="66" t="s">
        <v>7401</v>
      </c>
      <c r="F78" s="66" t="s">
        <v>11694</v>
      </c>
    </row>
    <row r="79" ht="15.75" customHeight="1">
      <c r="A79" s="66">
        <f>'Main dataset (DEPRECATED)'!Q80</f>
        <v>7429512</v>
      </c>
      <c r="B79" s="66" t="str">
        <f>IFERROR(__xludf.DUMMYFUNCTION("SPLIT('Main dataset (DEPRECATED2)'!N80,"";"")"),"Tulane University##LCS")</f>
        <v>Tulane University##LCS</v>
      </c>
      <c r="C79" s="66" t="s">
        <v>7985</v>
      </c>
      <c r="D79" s="66" t="s">
        <v>10748</v>
      </c>
    </row>
    <row r="80" ht="15.75" customHeight="1">
      <c r="A80" s="66">
        <f>'Main dataset (DEPRECATED)'!Q81</f>
        <v>7192698</v>
      </c>
      <c r="B80" s="66" t="str">
        <f>IFERROR(__xludf.DUMMYFUNCTION("SPLIT('Main dataset (DEPRECATED2)'!N81,"";"")"),"London University##London University##London University##London University##London University##London University")</f>
        <v>London University##London University##London University##London University##London University##London University</v>
      </c>
      <c r="C80" s="66" t="s">
        <v>8645</v>
      </c>
    </row>
    <row r="81" ht="15.75" customHeight="1">
      <c r="A81" s="66">
        <f>'Main dataset (DEPRECATED)'!Q82</f>
        <v>7429505</v>
      </c>
      <c r="B81" s="66" t="str">
        <f>IFERROR(__xludf.DUMMYFUNCTION("SPLIT('Main dataset (DEPRECATED2)'!N82,"";"")"),"Dept. of Sci. &amp; Technol., Christian Michelsen Inst., Fantoft, Norway|c|")</f>
        <v>Dept. of Sci. &amp; Technol., Christian Michelsen Inst., Fantoft, Norway|c|</v>
      </c>
      <c r="C81" s="66" t="s">
        <v>7843</v>
      </c>
      <c r="D81" s="66" t="s">
        <v>7652</v>
      </c>
      <c r="E81" s="66" t="s">
        <v>11323</v>
      </c>
      <c r="F81" s="66" t="s">
        <v>7394</v>
      </c>
    </row>
    <row r="82" ht="15.75" customHeight="1">
      <c r="A82" s="66">
        <f>'Main dataset (DEPRECATED)'!Q83</f>
        <v>7192702</v>
      </c>
      <c r="B82" s="66" t="str">
        <f>IFERROR(__xludf.DUMMYFUNCTION("SPLIT('Main dataset (DEPRECATED2)'!N83,"";"")"),"Arizona State University Tempe")</f>
        <v>Arizona State University Tempe</v>
      </c>
      <c r="C82" s="66" t="s">
        <v>11219</v>
      </c>
      <c r="D82" s="66" t="s">
        <v>7917</v>
      </c>
      <c r="E82" s="66" t="s">
        <v>10219</v>
      </c>
    </row>
    <row r="83" ht="15.75" customHeight="1">
      <c r="A83" s="66">
        <f>'Main dataset (DEPRECATED)'!Q84</f>
        <v>7429489</v>
      </c>
      <c r="B83" s="66" t="str">
        <f>IFERROR(__xludf.DUMMYFUNCTION("SPLIT('Main dataset (DEPRECATED2)'!N84,"";"")"),"State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83" s="66" t="s">
        <v>7180</v>
      </c>
      <c r="D83" s="66" t="s">
        <v>8145</v>
      </c>
      <c r="E83" s="66" t="s">
        <v>6401</v>
      </c>
      <c r="F83" s="66" t="s">
        <v>9594</v>
      </c>
    </row>
    <row r="84" ht="15.75" customHeight="1">
      <c r="A84" s="66">
        <f>'Main dataset (DEPRECATED)'!Q85</f>
        <v>7210213</v>
      </c>
      <c r="B84" s="66" t="str">
        <f>IFERROR(__xludf.DUMMYFUNCTION("SPLIT('Main dataset (DEPRECATED2)'!N85,"";"")"),"National University of Singapore Kent Ridge##National University of Singapore Kent Ridge")</f>
        <v>National University of Singapore Kent Ridge##National University of Singapore Kent Ridge</v>
      </c>
      <c r="C84" s="66" t="s">
        <v>10459</v>
      </c>
      <c r="D84" s="66" t="s">
        <v>7940</v>
      </c>
      <c r="E84" s="66" t="s">
        <v>8304</v>
      </c>
      <c r="F84" s="66" t="s">
        <v>9001</v>
      </c>
      <c r="G84" s="66" t="s">
        <v>8997</v>
      </c>
    </row>
    <row r="85" ht="15.75" customHeight="1">
      <c r="A85" s="66">
        <f>'Main dataset (DEPRECATED)'!Q86</f>
        <v>7192689</v>
      </c>
      <c r="B85" s="66" t="str">
        <f>IFERROR(__xludf.DUMMYFUNCTION("SPLIT('Main dataset (DEPRECATED2)'!N86,"";"")"),"San Diego Supercomput. Center, Adv. Sci. Visualization Lab., CA, USA|c|")</f>
        <v>San Diego Supercomput. Center, Adv. Sci. Visualization Lab., CA, USA|c|</v>
      </c>
      <c r="C85" s="66" t="s">
        <v>10449</v>
      </c>
      <c r="D85" s="66" t="s">
        <v>11014</v>
      </c>
    </row>
    <row r="86" ht="15.75" customHeight="1">
      <c r="A86" s="66">
        <f>'Main dataset (DEPRECATED)'!Q87</f>
        <v>7192675</v>
      </c>
      <c r="B86" s="66" t="str">
        <f>IFERROR(__xludf.DUMMYFUNCTION("SPLIT('Main dataset (DEPRECATED2)'!N87,"";"")"),"University of Lowell Lowell##University of Lowell Lowell##University of Lowell Lowell")</f>
        <v>University of Lowell Lowell##University of Lowell Lowell##University of Lowell Lowell</v>
      </c>
      <c r="C86" s="66" t="s">
        <v>6719</v>
      </c>
      <c r="D86" s="66" t="s">
        <v>11431</v>
      </c>
    </row>
    <row r="87" ht="15.75" customHeight="1">
      <c r="A87" s="66">
        <f>'Main dataset (DEPRECATED)'!Q88</f>
        <v>7192730</v>
      </c>
      <c r="B87" s="66" t="str">
        <f>IFERROR(__xludf.DUMMYFUNCTION("SPLIT('Main dataset (DEPRECATED2)'!N88,"";"")"),"University of Illinois at Urbana-Champaign Urbana##University of Illinois at Urbana-Champaign Urbana##University of Illinois at Urbana-Champaign Urbana")</f>
        <v>University of Illinois at Urbana-Champaign Urbana##University of Illinois at Urbana-Champaign Urbana##University of Illinois at Urbana-Champaign Urbana</v>
      </c>
      <c r="C87" s="66" t="s">
        <v>8480</v>
      </c>
      <c r="D87" s="66" t="s">
        <v>8011</v>
      </c>
      <c r="E87" s="66" t="s">
        <v>11692</v>
      </c>
      <c r="F87" s="66" t="s">
        <v>8287</v>
      </c>
      <c r="G87" s="66" t="s">
        <v>6503</v>
      </c>
      <c r="H87" s="66" t="s">
        <v>9426</v>
      </c>
      <c r="I87" s="66" t="s">
        <v>9635</v>
      </c>
    </row>
    <row r="88" ht="15.75" customHeight="1">
      <c r="A88" s="66">
        <f>'Main dataset (DEPRECATED)'!Q89</f>
        <v>7429486</v>
      </c>
      <c r="B88" s="66" t="str">
        <f>IFERROR(__xludf.DUMMYFUNCTION("SPLIT('Main dataset (DEPRECATED2)'!N89,"";"")"),"Lawrence Livermore National Laboratory Livermore##Lawrence Livermore National Laboratory Livermore")</f>
        <v>Lawrence Livermore National Laboratory Livermore##Lawrence Livermore National Laboratory Livermore</v>
      </c>
      <c r="C88" s="66" t="s">
        <v>7289</v>
      </c>
      <c r="D88" s="66" t="s">
        <v>10942</v>
      </c>
      <c r="E88" s="66" t="s">
        <v>9504</v>
      </c>
      <c r="F88" s="66" t="s">
        <v>10621</v>
      </c>
    </row>
    <row r="89" ht="15.75" customHeight="1">
      <c r="A89" s="66">
        <f>'Main dataset (DEPRECATED)'!Q90</f>
        <v>7429487</v>
      </c>
      <c r="B89" s="66" t="str">
        <f>IFERROR(__xludf.DUMMYFUNCTION("SPLIT('Main dataset (DEPRECATED2)'!N90,"";"")"),"University of Stuttgart Computer Center##University of Stuttgart Computer Center##University of Stuttgart Computer Center")</f>
        <v>University of Stuttgart Computer Center##University of Stuttgart Computer Center##University of Stuttgart Computer Center</v>
      </c>
      <c r="C89" s="66" t="s">
        <v>9849</v>
      </c>
      <c r="D89" s="66" t="s">
        <v>9289</v>
      </c>
      <c r="E89" s="66" t="s">
        <v>10081</v>
      </c>
      <c r="F89" s="66" t="s">
        <v>10219</v>
      </c>
      <c r="G89" s="66" t="s">
        <v>11694</v>
      </c>
    </row>
    <row r="90" ht="15.75" customHeight="1">
      <c r="A90" s="66">
        <f>'Main dataset (DEPRECATED)'!Q91</f>
        <v>7192672</v>
      </c>
      <c r="B90" s="66" t="str">
        <f>IFERROR(__xludf.DUMMYFUNCTION("SPLIT('Main dataset (DEPRECATED2)'!N91,"";"")"),"San Diego Supercomput. Center, CA, USA|c|")</f>
        <v>San Diego Supercomput. Center, CA, USA|c|</v>
      </c>
      <c r="C90" s="66" t="s">
        <v>7347</v>
      </c>
      <c r="D90" s="66" t="s">
        <v>11595</v>
      </c>
      <c r="E90" s="66" t="s">
        <v>8124</v>
      </c>
      <c r="F90" s="66" t="s">
        <v>4285</v>
      </c>
      <c r="G90" s="66" t="s">
        <v>8440</v>
      </c>
    </row>
    <row r="91" ht="15.75" customHeight="1">
      <c r="A91" s="66">
        <f>'Main dataset (DEPRECATED)'!Q92</f>
        <v>7185456</v>
      </c>
      <c r="B91" s="66" t="str">
        <f>IFERROR(__xludf.DUMMYFUNCTION("SPLIT('Main dataset (DEPRECATED2)'!N92,"";"")"),"Laboratory University of Maryland##Laboratory University of Maryland##Laboratory University of Maryland")</f>
        <v>Laboratory University of Maryland##Laboratory University of Maryland##Laboratory University of Maryland</v>
      </c>
      <c r="C91" s="66" t="s">
        <v>8654</v>
      </c>
    </row>
    <row r="92" ht="15.75" customHeight="1">
      <c r="A92" s="66">
        <f>'Main dataset (DEPRECATED)'!Q93</f>
        <v>7429513</v>
      </c>
      <c r="B92" s="66" t="str">
        <f>IFERROR(__xludf.DUMMYFUNCTION("SPLIT('Main dataset (DEPRECATED2)'!N93,"";"")"),"AT&amp;T Bell Laboratories Murray Hill")</f>
        <v>AT&amp;T Bell Laboratories Murray Hill</v>
      </c>
      <c r="C92" s="66" t="s">
        <v>10800</v>
      </c>
    </row>
    <row r="93" ht="15.75" customHeight="1">
      <c r="A93" s="66">
        <f>'Main dataset (DEPRECATED)'!Q94</f>
        <v>7429506</v>
      </c>
      <c r="B93" s="66" t="str">
        <f>IFERROR(__xludf.DUMMYFUNCTION("SPLIT('Main dataset (DEPRECATED2)'!N94,"";"")"),"Dept. of Theor. &amp; Appl. Mech., Illinois Univ., Urbana, IL, USA|c|")</f>
        <v>Dept. of Theor. &amp; Appl. Mech., Illinois Univ., Urbana, IL, USA|c|</v>
      </c>
      <c r="C93" s="66" t="s">
        <v>10102</v>
      </c>
      <c r="D93" s="66" t="s">
        <v>8201</v>
      </c>
    </row>
    <row r="94" ht="15.75" customHeight="1">
      <c r="A94" s="66">
        <f>'Main dataset (DEPRECATED)'!Q95</f>
        <v>7192624</v>
      </c>
      <c r="B94" s="66" t="str">
        <f>IFERROR(__xludf.DUMMYFUNCTION("SPLIT('Main dataset (DEPRECATED2)'!N95,"";"")"),"Harvard University##Harvard University##Harvard University")</f>
        <v>Harvard University##Harvard University##Harvard University</v>
      </c>
      <c r="C94" s="66" t="s">
        <v>11449</v>
      </c>
      <c r="D94" s="66" t="s">
        <v>8157</v>
      </c>
      <c r="E94" s="66" t="s">
        <v>10444</v>
      </c>
    </row>
    <row r="95" ht="15.75" customHeight="1">
      <c r="A95" s="66">
        <f>'Main dataset (DEPRECATED)'!Q96</f>
        <v>7194847</v>
      </c>
      <c r="B95" s="66" t="str">
        <f>IFERROR(__xludf.DUMMYFUNCTION("SPLIT('Main dataset (DEPRECATED2)'!N96,"";"")"),"#VALUE!")</f>
        <v>#VALUE!</v>
      </c>
      <c r="C95" s="66" t="s">
        <v>8955</v>
      </c>
      <c r="D95" s="66" t="s">
        <v>7775</v>
      </c>
      <c r="E95" s="66" t="s">
        <v>9641</v>
      </c>
      <c r="F95" s="66" t="s">
        <v>8116</v>
      </c>
      <c r="G95" s="66" t="s">
        <v>11274</v>
      </c>
      <c r="H95" s="66" t="s">
        <v>9984</v>
      </c>
    </row>
    <row r="96" ht="15.75" customHeight="1">
      <c r="A96" s="66">
        <f>'Main dataset (DEPRECATED)'!Q97</f>
        <v>7192662</v>
      </c>
      <c r="B96" s="66" t="str">
        <f>IFERROR(__xludf.DUMMYFUNCTION("SPLIT('Main dataset (DEPRECATED2)'!N97,"";"")"),"Indiana University Bloomington##Indiana University Bloomington")</f>
        <v>Indiana University Bloomington##Indiana University Bloomington</v>
      </c>
      <c r="C96" s="66" t="s">
        <v>7808</v>
      </c>
      <c r="D96" s="66" t="s">
        <v>11834</v>
      </c>
      <c r="E96" s="66" t="s">
        <v>8908</v>
      </c>
    </row>
    <row r="97" ht="15.75" customHeight="1">
      <c r="A97" s="66">
        <f>'Main dataset (DEPRECATED)'!Q98</f>
        <v>7347674</v>
      </c>
      <c r="B97" s="66" t="str">
        <f>IFERROR(__xludf.DUMMYFUNCTION("SPLIT('Main dataset (DEPRECATED2)'!N98,"";"")"),"#VALUE!")</f>
        <v>#VALUE!</v>
      </c>
      <c r="C97" s="66" t="s">
        <v>10422</v>
      </c>
      <c r="D97" s="66" t="s">
        <v>11440</v>
      </c>
    </row>
    <row r="98" ht="15.75" customHeight="1">
      <c r="A98" s="66">
        <f>'Main dataset (DEPRECATED)'!Q99</f>
        <v>7347677</v>
      </c>
      <c r="B98" s="66" t="str">
        <f>IFERROR(__xludf.DUMMYFUNCTION("SPLIT('Main dataset (DEPRECATED2)'!N99,"";"")"),"Inst. for Visualization &amp; Perception Res., Lowell Univ., MA, USA|c|")</f>
        <v>Inst. for Visualization &amp; Perception Res., Lowell Univ., MA, USA|c|</v>
      </c>
      <c r="C98" s="66" t="s">
        <v>11697</v>
      </c>
      <c r="D98" s="66" t="s">
        <v>11079</v>
      </c>
      <c r="E98" s="66" t="s">
        <v>8748</v>
      </c>
    </row>
    <row r="99" ht="15.75" customHeight="1">
      <c r="A99" s="66">
        <f>'Main dataset (DEPRECATED)'!Q100</f>
        <v>7192694</v>
      </c>
      <c r="B99" s="66" t="str">
        <f>IFERROR(__xludf.DUMMYFUNCTION("SPLIT('Main dataset (DEPRECATED2)'!N100,"";"")"),"Washington Univ., St. Louis, WA|c|")</f>
        <v>Washington Univ., St. Louis, WA|c|</v>
      </c>
      <c r="C99" s="66" t="s">
        <v>10595</v>
      </c>
      <c r="D99" s="66" t="s">
        <v>11616</v>
      </c>
      <c r="E99" s="66" t="s">
        <v>10027</v>
      </c>
      <c r="F99" s="66" t="s">
        <v>7648</v>
      </c>
      <c r="G99" s="66" t="s">
        <v>10580</v>
      </c>
    </row>
    <row r="100" ht="15.75" customHeight="1">
      <c r="A100" s="66">
        <f>'Main dataset (DEPRECATED)'!Q101</f>
        <v>7192715</v>
      </c>
      <c r="B100" s="66" t="str">
        <f>IFERROR(__xludf.DUMMYFUNCTION("SPLIT('Main dataset (DEPRECATED2)'!N101,"";"")"),"#VALUE!")</f>
        <v>#VALUE!</v>
      </c>
      <c r="C100" s="66" t="s">
        <v>9853</v>
      </c>
      <c r="D100" s="66" t="s">
        <v>9667</v>
      </c>
      <c r="E100" s="66" t="s">
        <v>10057</v>
      </c>
    </row>
    <row r="101" ht="15.75" customHeight="1">
      <c r="A101" s="66">
        <f>'Main dataset (DEPRECATED)'!Q102</f>
        <v>7192714</v>
      </c>
      <c r="B101" s="66" t="str">
        <f>IFERROR(__xludf.DUMMYFUNCTION("SPLIT('Main dataset (DEPRECATED2)'!N102,"";"")"),"#VALUE!")</f>
        <v>#VALUE!</v>
      </c>
      <c r="C101" s="66" t="s">
        <v>7403</v>
      </c>
      <c r="D101" s="66" t="s">
        <v>10362</v>
      </c>
      <c r="E101" s="66" t="s">
        <v>8462</v>
      </c>
    </row>
    <row r="102" ht="15.75" customHeight="1">
      <c r="A102" s="66">
        <f>'Main dataset (DEPRECATED)'!Q103</f>
        <v>7192685</v>
      </c>
      <c r="B102" s="66" t="str">
        <f>IFERROR(__xludf.DUMMYFUNCTION("SPLIT('Main dataset (DEPRECATED2)'!N103,"";"")"),"#VALUE!")</f>
        <v>#VALUE!</v>
      </c>
      <c r="C102" s="66" t="s">
        <v>10014</v>
      </c>
      <c r="D102" s="66" t="s">
        <v>8785</v>
      </c>
    </row>
    <row r="103" ht="15.75" customHeight="1">
      <c r="A103" s="66">
        <f>'Main dataset (DEPRECATED)'!Q104</f>
        <v>7347627</v>
      </c>
      <c r="B103" s="66" t="str">
        <f>IFERROR(__xludf.DUMMYFUNCTION("SPLIT('Main dataset (DEPRECATED2)'!N104,"";"")"),"CSIRO Division of Information Technology GPO")</f>
        <v>CSIRO Division of Information Technology GPO</v>
      </c>
      <c r="C103" s="66" t="s">
        <v>10392</v>
      </c>
      <c r="D103" s="66" t="s">
        <v>11155</v>
      </c>
      <c r="E103" s="66" t="s">
        <v>11540</v>
      </c>
    </row>
    <row r="104" ht="15.75" customHeight="1">
      <c r="A104" s="66">
        <f>'Main dataset (DEPRECATED)'!Q105</f>
        <v>7347634</v>
      </c>
      <c r="B104" s="66" t="str">
        <f>IFERROR(__xludf.DUMMYFUNCTION("SPLIT('Main dataset (DEPRECATED2)'!N105,"";"")"),"NASA Ames Chemistry##NASA Ames Chemistry##NASA Ames Chemistry")</f>
        <v>NASA Ames Chemistry##NASA Ames Chemistry##NASA Ames Chemistry</v>
      </c>
      <c r="C104" s="66" t="s">
        <v>7191</v>
      </c>
      <c r="D104" s="66" t="s">
        <v>8661</v>
      </c>
      <c r="E104" s="66" t="s">
        <v>11431</v>
      </c>
    </row>
    <row r="105" ht="15.75" customHeight="1">
      <c r="A105" s="66">
        <f>'Main dataset (DEPRECATED)'!Q106</f>
        <v>7347631</v>
      </c>
      <c r="B105" s="66" t="str">
        <f>IFERROR(__xludf.DUMMYFUNCTION("SPLIT('Main dataset (DEPRECATED2)'!N106,"";"")"),"Johns Hopkins University Laurel")</f>
        <v>Johns Hopkins University Laurel</v>
      </c>
      <c r="C105" s="66" t="s">
        <v>6903</v>
      </c>
      <c r="D105" s="66" t="s">
        <v>7399</v>
      </c>
      <c r="E105" s="66" t="s">
        <v>8408</v>
      </c>
      <c r="F105" s="66" t="s">
        <v>11599</v>
      </c>
      <c r="G105" s="66" t="s">
        <v>10140</v>
      </c>
    </row>
    <row r="106" ht="15.75" customHeight="1">
      <c r="A106" s="66">
        <f>'Main dataset (DEPRECATED)'!Q107</f>
        <v>7347632</v>
      </c>
      <c r="B106" s="66" t="str">
        <f>IFERROR(__xludf.DUMMYFUNCTION("SPLIT('Main dataset (DEPRECATED2)'!N107,"";"")"),"Intelligent Light")</f>
        <v>Intelligent Light</v>
      </c>
      <c r="C106" s="66" t="s">
        <v>11680</v>
      </c>
      <c r="D106" s="66" t="s">
        <v>8988</v>
      </c>
      <c r="E106" s="66" t="s">
        <v>11611</v>
      </c>
      <c r="F106" s="66" t="s">
        <v>11747</v>
      </c>
      <c r="G106" s="66" t="s">
        <v>8489</v>
      </c>
    </row>
    <row r="107" ht="15.75" customHeight="1">
      <c r="A107" s="66">
        <f>'Main dataset (DEPRECATED)'!Q108</f>
        <v>7192725</v>
      </c>
      <c r="B107" s="66" t="str">
        <f>IFERROR(__xludf.DUMMYFUNCTION("SPLIT('Main dataset (DEPRECATED2)'!N108,"";"")"),"University of California##University of California##University of California##University of California##University of California##University of California")</f>
        <v>University of California##University of California##University of California##University of California##University of California##University of California</v>
      </c>
      <c r="C107" s="66" t="s">
        <v>9925</v>
      </c>
      <c r="D107" s="66" t="s">
        <v>8467</v>
      </c>
      <c r="E107" s="66" t="s">
        <v>10651</v>
      </c>
      <c r="F107" s="66" t="s">
        <v>7952</v>
      </c>
      <c r="G107" s="66" t="s">
        <v>8287</v>
      </c>
    </row>
    <row r="108" ht="15.75" customHeight="1">
      <c r="A108" s="66">
        <f>'Main dataset (DEPRECATED)'!Q109</f>
        <v>7347687</v>
      </c>
      <c r="B108" s="66" t="str">
        <f>IFERROR(__xludf.DUMMYFUNCTION("SPLIT('Main dataset (DEPRECATED2)'!N109,"";"")"),"Technology Applications, Inc")</f>
        <v>Technology Applications, Inc</v>
      </c>
      <c r="C108" s="66" t="s">
        <v>7586</v>
      </c>
      <c r="D108" s="66" t="s">
        <v>7387</v>
      </c>
      <c r="E108" s="66" t="s">
        <v>8448</v>
      </c>
    </row>
    <row r="109" ht="15.75" customHeight="1">
      <c r="A109" s="66">
        <f>'Main dataset (DEPRECATED)'!Q110</f>
        <v>7192705</v>
      </c>
      <c r="B109" s="66" t="str">
        <f>IFERROR(__xludf.DUMMYFUNCTION("SPLIT('Main dataset (DEPRECATED2)'!N110,"";"")"),"Dept. of Comput. Sci., Rochester Inst. of Technol., NY, USA|c|")</f>
        <v>Dept. of Comput. Sci., Rochester Inst. of Technol., NY, USA|c|</v>
      </c>
      <c r="C109" s="66" t="s">
        <v>10798</v>
      </c>
      <c r="D109" s="66" t="s">
        <v>6726</v>
      </c>
      <c r="E109" s="66" t="s">
        <v>8241</v>
      </c>
      <c r="F109" s="66" t="s">
        <v>8518</v>
      </c>
      <c r="G109" s="66" t="s">
        <v>7160</v>
      </c>
      <c r="H109" s="66" t="s">
        <v>9489</v>
      </c>
      <c r="I109" s="66" t="s">
        <v>7024</v>
      </c>
      <c r="J109" s="66" t="s">
        <v>9171</v>
      </c>
    </row>
    <row r="110" ht="15.75" customHeight="1">
      <c r="A110" s="66">
        <f>'Main dataset (DEPRECATED)'!Q111</f>
        <v>7347637</v>
      </c>
      <c r="B110" s="66" t="str">
        <f>IFERROR(__xludf.DUMMYFUNCTION("SPLIT('Main dataset (DEPRECATED2)'!N111,"";"")"),"Massachusetts Institute of Technology##Massachusetts Institute of Technology")</f>
        <v>Massachusetts Institute of Technology##Massachusetts Institute of Technology</v>
      </c>
      <c r="C110" s="66" t="s">
        <v>6220</v>
      </c>
      <c r="D110" s="66" t="s">
        <v>6559</v>
      </c>
      <c r="E110" s="66" t="s">
        <v>7316</v>
      </c>
      <c r="F110" s="66" t="s">
        <v>8625</v>
      </c>
      <c r="G110" s="66" t="s">
        <v>10626</v>
      </c>
    </row>
    <row r="111" ht="15.75" customHeight="1">
      <c r="A111" s="66">
        <f>'Main dataset (DEPRECATED)'!Q112</f>
        <v>7347628</v>
      </c>
      <c r="B111" s="66" t="str">
        <f>IFERROR(__xludf.DUMMYFUNCTION("SPLIT('Main dataset (DEPRECATED2)'!N112,"";"")"),"Mitre Corp., McLean, VA, USA|c|")</f>
        <v>Mitre Corp., McLean, VA, USA|c|</v>
      </c>
      <c r="C111" s="66" t="s">
        <v>9667</v>
      </c>
      <c r="D111" s="66" t="s">
        <v>8556</v>
      </c>
      <c r="E111" s="66" t="s">
        <v>8462</v>
      </c>
    </row>
    <row r="112" ht="15.75" customHeight="1">
      <c r="A112" s="66">
        <f>'Main dataset (DEPRECATED)'!Q113</f>
        <v>7347633</v>
      </c>
      <c r="B112" s="66" t="str">
        <f>IFERROR(__xludf.DUMMYFUNCTION("SPLIT('Main dataset (DEPRECATED2)'!N113,"";"")"),"USACE Waterways Exp. Station, Vicksburg, MS, USA|c|")</f>
        <v>USACE Waterways Exp. Station, Vicksburg, MS, USA|c|</v>
      </c>
      <c r="C112" s="66" t="s">
        <v>9854</v>
      </c>
      <c r="D112" s="66" t="s">
        <v>8287</v>
      </c>
    </row>
    <row r="113" ht="15.75" customHeight="1">
      <c r="A113" s="66">
        <f>'Main dataset (DEPRECATED)'!Q114</f>
        <v>7347675</v>
      </c>
      <c r="B113" s="66" t="str">
        <f>IFERROR(__xludf.DUMMYFUNCTION("SPLIT('Main dataset (DEPRECATED2)'!N114,"";"")"),"CAIP Rutgers University Rut gers University Piscataway##CAIP Rutgers University Rut gers University Piscataway")</f>
        <v>CAIP Rutgers University Rut gers University Piscataway##CAIP Rutgers University Rut gers University Piscataway</v>
      </c>
      <c r="C113" s="66" t="s">
        <v>10620</v>
      </c>
      <c r="D113" s="66" t="s">
        <v>10605</v>
      </c>
      <c r="E113" s="66" t="s">
        <v>7490</v>
      </c>
      <c r="F113" s="66" t="s">
        <v>11736</v>
      </c>
    </row>
    <row r="114" ht="15.75" customHeight="1">
      <c r="A114" s="66">
        <f>'Main dataset (DEPRECATED)'!Q115</f>
        <v>7347626</v>
      </c>
      <c r="B114" s="66" t="str">
        <f>IFERROR(__xludf.DUMMYFUNCTION("SPLIT('Main dataset (DEPRECATED2)'!N115,"";"")"),"U.S. EPA Scientific Visualization Center NASA Marshall Space Flight Center Florida State University University of Wisconsin at Madison IBM T J. Watson Research Center")</f>
        <v>U.S. EPA Scientific Visualization Center NASA Marshall Space Flight Center Florida State University University of Wisconsin at Madison IBM T J. Watson Research Center</v>
      </c>
      <c r="C114" s="66" t="s">
        <v>11619</v>
      </c>
      <c r="D114" s="66" t="s">
        <v>9458</v>
      </c>
      <c r="E114" s="66" t="s">
        <v>4987</v>
      </c>
    </row>
    <row r="115" ht="15.75" customHeight="1">
      <c r="A115" s="66">
        <f>'Main dataset (DEPRECATED)'!Q116</f>
        <v>7347676</v>
      </c>
      <c r="B115" s="66" t="str">
        <f>IFERROR(__xludf.DUMMYFUNCTION("SPLIT('Main dataset (DEPRECATED2)'!N116,"";"")"),"San Diego Supercomput. Center, CA, USA|c|")</f>
        <v>San Diego Supercomput. Center, CA, USA|c|</v>
      </c>
      <c r="C115" s="66" t="s">
        <v>7691</v>
      </c>
      <c r="D115" s="66" t="s">
        <v>7518</v>
      </c>
      <c r="E115" s="66" t="s">
        <v>6801</v>
      </c>
      <c r="F115" s="66" t="s">
        <v>6522</v>
      </c>
      <c r="G115" s="66" t="s">
        <v>7887</v>
      </c>
      <c r="H115" s="66" t="s">
        <v>9269</v>
      </c>
    </row>
    <row r="116" ht="15.75" customHeight="1">
      <c r="A116" s="66">
        <f>'Main dataset (DEPRECATED)'!Q117</f>
        <v>7192688</v>
      </c>
      <c r="B116" s="66" t="str">
        <f>IFERROR(__xludf.DUMMYFUNCTION("SPLIT('Main dataset (DEPRECATED2)'!N117,"";"")"),"San Diego Supercomput. Center, CA, USA|c|")</f>
        <v>San Diego Supercomput. Center, CA, USA|c|</v>
      </c>
      <c r="C116" s="66" t="s">
        <v>11594</v>
      </c>
      <c r="D116" s="66" t="s">
        <v>11793</v>
      </c>
      <c r="E116" s="66" t="s">
        <v>6998</v>
      </c>
      <c r="F116" s="66" t="s">
        <v>8485</v>
      </c>
      <c r="G116" s="66" t="s">
        <v>11851</v>
      </c>
      <c r="H116" s="66" t="s">
        <v>11585</v>
      </c>
      <c r="I116" s="66" t="s">
        <v>8478</v>
      </c>
    </row>
    <row r="117" ht="15.75" customHeight="1">
      <c r="A117" s="66">
        <f>'Main dataset (DEPRECATED)'!Q118</f>
        <v>7192680</v>
      </c>
      <c r="B117" s="66" t="str">
        <f>IFERROR(__xludf.DUMMYFUNCTION("SPLIT('Main dataset (DEPRECATED2)'!N118,"";"")"),"University of Utah##University of Utah##University of Utah##University of Utah##University of Utah##University of Utah##University of Utah")</f>
        <v>University of Utah##University of Utah##University of Utah##University of Utah##University of Utah##University of Utah##University of Utah</v>
      </c>
      <c r="C117" s="66" t="s">
        <v>7562</v>
      </c>
      <c r="D117" s="66" t="s">
        <v>10399</v>
      </c>
    </row>
    <row r="118" ht="15.75" customHeight="1">
      <c r="A118" s="66">
        <f>'Main dataset (DEPRECATED)'!Q119</f>
        <v>7347635</v>
      </c>
      <c r="B118" s="66" t="str">
        <f>IFERROR(__xludf.DUMMYFUNCTION("SPLIT('Main dataset (DEPRECATED2)'!N119,"";"")"),"The City University of New York######IBM T.J. Watson Research Center")</f>
        <v>The City University of New York######IBM T.J. Watson Research Center</v>
      </c>
      <c r="C118" s="66" t="s">
        <v>9269</v>
      </c>
      <c r="D118" s="66" t="s">
        <v>7843</v>
      </c>
      <c r="E118" s="66" t="s">
        <v>8439</v>
      </c>
      <c r="F118" s="66" t="s">
        <v>8093</v>
      </c>
    </row>
    <row r="119" ht="15.75" customHeight="1">
      <c r="A119" s="66">
        <f>'Main dataset (DEPRECATED)'!Q120</f>
        <v>7192671</v>
      </c>
      <c r="B119" s="66" t="str">
        <f>IFERROR(__xludf.DUMMYFUNCTION("SPLIT('Main dataset (DEPRECATED2)'!N120,"";"")"),"Rutherford Appleton Laboratory Chilton")</f>
        <v>Rutherford Appleton Laboratory Chilton</v>
      </c>
      <c r="C119" s="66" t="s">
        <v>8408</v>
      </c>
      <c r="D119" s="66" t="s">
        <v>7988</v>
      </c>
      <c r="E119" s="66" t="s">
        <v>7403</v>
      </c>
    </row>
    <row r="120" ht="15.75" customHeight="1">
      <c r="A120" s="66">
        <f>'Main dataset (DEPRECATED)'!Q121</f>
        <v>7347630</v>
      </c>
      <c r="B120" s="66" t="str">
        <f>IFERROR(__xludf.DUMMYFUNCTION("SPLIT('Main dataset (DEPRECATED2)'!N121,"";"")"),"Har var d-Smi t hsonian Cent er for Astrophysics Cambridge##Har var d-Smi t hsonian Cent er for Astrophysics Cambridge##Har var d-Smi t hsonian Cent er for Astrophysics Cambridge##Har var d-Smi t hsonian Cent er for Astrophysics Cambridge")</f>
        <v>Har var d-Smi t hsonian Cent er for Astrophysics Cambridge##Har var d-Smi t hsonian Cent er for Astrophysics Cambridge##Har var d-Smi t hsonian Cent er for Astrophysics Cambridge##Har var d-Smi t hsonian Cent er for Astrophysics Cambridge</v>
      </c>
      <c r="C120" s="66" t="s">
        <v>11370</v>
      </c>
      <c r="D120" s="66" t="s">
        <v>11579</v>
      </c>
      <c r="E120" s="66" t="s">
        <v>7922</v>
      </c>
      <c r="F120" s="66" t="s">
        <v>11361</v>
      </c>
      <c r="G120" s="66" t="s">
        <v>10479</v>
      </c>
      <c r="H120" s="66" t="s">
        <v>11816</v>
      </c>
      <c r="I120" s="66" t="s">
        <v>6274</v>
      </c>
      <c r="J120" s="66" t="s">
        <v>8314</v>
      </c>
    </row>
    <row r="121" ht="15.75" customHeight="1">
      <c r="A121" s="66">
        <f>'Main dataset (DEPRECATED)'!Q122</f>
        <v>7192703</v>
      </c>
      <c r="B121" s="66" t="str">
        <f>IFERROR(__xludf.DUMMYFUNCTION("SPLIT('Main dataset (DEPRECATED2)'!N122,"";"")"),"#VALUE!")</f>
        <v>#VALUE!</v>
      </c>
      <c r="C121" s="66" t="s">
        <v>9730</v>
      </c>
      <c r="D121" s="66" t="s">
        <v>9151</v>
      </c>
      <c r="E121" s="66" t="s">
        <v>10466</v>
      </c>
      <c r="F121" s="66" t="s">
        <v>7887</v>
      </c>
      <c r="G121" s="66" t="s">
        <v>9923</v>
      </c>
    </row>
    <row r="122" ht="15.75" customHeight="1">
      <c r="A122" s="66">
        <f>'Main dataset (DEPRECATED)'!Q123</f>
        <v>7347625</v>
      </c>
      <c r="B122" s="66" t="str">
        <f>IFERROR(__xludf.DUMMYFUNCTION("SPLIT('Main dataset (DEPRECATED2)'!N123,"";"")"),"E.K. Shriver Center, Harvard Program in Neurosci., Boston, MA, USA|c|")</f>
        <v>E.K. Shriver Center, Harvard Program in Neurosci., Boston, MA, USA|c|</v>
      </c>
      <c r="C122" s="66" t="s">
        <v>7058</v>
      </c>
      <c r="D122" s="66" t="s">
        <v>8379</v>
      </c>
      <c r="E122" s="66" t="s">
        <v>11521</v>
      </c>
      <c r="F122" s="66" t="s">
        <v>6684</v>
      </c>
      <c r="G122" s="66" t="s">
        <v>6732</v>
      </c>
      <c r="H122" s="66" t="s">
        <v>7403</v>
      </c>
    </row>
    <row r="123" ht="15.75" customHeight="1">
      <c r="A123" s="66">
        <f>'Main dataset (DEPRECATED)'!Q124</f>
        <v>7192732</v>
      </c>
      <c r="B123" s="66" t="str">
        <f>IFERROR(__xludf.DUMMYFUNCTION("SPLIT('Main dataset (DEPRECATED2)'!N124,"";"")"),"#VALUE!")</f>
        <v>#VALUE!</v>
      </c>
      <c r="C123" s="66" t="s">
        <v>6667</v>
      </c>
      <c r="D123" s="66" t="s">
        <v>10242</v>
      </c>
      <c r="E123" s="66" t="s">
        <v>6239</v>
      </c>
      <c r="F123" s="66" t="s">
        <v>6238</v>
      </c>
      <c r="G123" s="66" t="s">
        <v>8689</v>
      </c>
    </row>
    <row r="124" ht="15.75" customHeight="1">
      <c r="A124" s="66">
        <f>'Main dataset (DEPRECATED)'!Q125</f>
        <v>7194831</v>
      </c>
      <c r="B124" s="66" t="str">
        <f>IFERROR(__xludf.DUMMYFUNCTION("SPLIT('Main dataset (DEPRECATED2)'!N125,"";"")"),"Dept. of Psychol., Harvard Univ., Cambridge, MA, USA|c|")</f>
        <v>Dept. of Psychol., Harvard Univ., Cambridge, MA, USA|c|</v>
      </c>
      <c r="C124" s="66" t="s">
        <v>7395</v>
      </c>
      <c r="D124" s="66" t="s">
        <v>10060</v>
      </c>
    </row>
    <row r="125" ht="15.75" customHeight="1">
      <c r="A125" s="66">
        <f>'Main dataset (DEPRECATED)'!Q126</f>
        <v>7192670</v>
      </c>
      <c r="B125" s="66" t="str">
        <f>IFERROR(__xludf.DUMMYFUNCTION("SPLIT('Main dataset (DEPRECATED2)'!N126,"";"")"),"IBM Thomas. J. Watson Res. Center, Yorktown Heights, NY, USA|c|")</f>
        <v>IBM Thomas. J. Watson Res. Center, Yorktown Heights, NY, USA|c|</v>
      </c>
      <c r="C125" s="66" t="s">
        <v>8027</v>
      </c>
      <c r="D125" s="66" t="s">
        <v>6876</v>
      </c>
      <c r="E125" s="66" t="s">
        <v>6651</v>
      </c>
      <c r="F125" s="66" t="s">
        <v>8705</v>
      </c>
      <c r="G125" s="66" t="s">
        <v>11452</v>
      </c>
      <c r="H125" s="66" t="s">
        <v>6686</v>
      </c>
    </row>
    <row r="126" ht="15.75" customHeight="1">
      <c r="A126" s="66">
        <f>'Main dataset (DEPRECATED)'!Q127</f>
        <v>7192717</v>
      </c>
      <c r="B126" s="66" t="str">
        <f>IFERROR(__xludf.DUMMYFUNCTION("SPLIT('Main dataset (DEPRECATED2)'!N127,"";"")"),"#VALUE!")</f>
        <v>#VALUE!</v>
      </c>
      <c r="C126" s="66" t="s">
        <v>8235</v>
      </c>
      <c r="D126" s="66" t="s">
        <v>6524</v>
      </c>
      <c r="E126" s="66" t="s">
        <v>11200</v>
      </c>
    </row>
    <row r="127" ht="15.75" customHeight="1">
      <c r="A127" s="66">
        <f>'Main dataset (DEPRECATED)'!Q128</f>
        <v>7194834</v>
      </c>
      <c r="B127" s="66" t="str">
        <f>IFERROR(__xludf.DUMMYFUNCTION("SPLIT('Main dataset (DEPRECATED2)'!N128,"";"")"),"Harvard University")</f>
        <v>Harvard University</v>
      </c>
      <c r="C127" s="66" t="s">
        <v>8599</v>
      </c>
      <c r="D127" s="66" t="s">
        <v>11437</v>
      </c>
      <c r="E127" s="66" t="s">
        <v>11523</v>
      </c>
      <c r="F127" s="66" t="s">
        <v>6282</v>
      </c>
      <c r="G127" s="66" t="s">
        <v>7527</v>
      </c>
    </row>
    <row r="128" ht="15.75" customHeight="1">
      <c r="A128" s="66">
        <f>'Main dataset (DEPRECATED)'!Q129</f>
        <v>7347684</v>
      </c>
      <c r="B128" s="66" t="str">
        <f>IFERROR(__xludf.DUMMYFUNCTION("SPLIT('Main dataset (DEPRECATED2)'!N129,"";"")"),"Princeton University##Princeton University##Princeton University##Princeton University##Princeton University")</f>
        <v>Princeton University##Princeton University##Princeton University##Princeton University##Princeton University</v>
      </c>
      <c r="C128" s="66" t="s">
        <v>9141</v>
      </c>
      <c r="D128" s="66" t="s">
        <v>10203</v>
      </c>
      <c r="E128" s="66" t="s">
        <v>10453</v>
      </c>
    </row>
    <row r="129" ht="15.75" customHeight="1">
      <c r="A129" s="66">
        <f>'Main dataset (DEPRECATED)'!Q130</f>
        <v>7347673</v>
      </c>
      <c r="B129" s="66" t="str">
        <f>IFERROR(__xludf.DUMMYFUNCTION("SPLIT('Main dataset (DEPRECATED2)'!N130,"";"")"),"Hughes Training, Inc. West Covina##Hughes Training, Inc. West Covina")</f>
        <v>Hughes Training, Inc. West Covina##Hughes Training, Inc. West Covina</v>
      </c>
      <c r="C129" s="66" t="s">
        <v>11732</v>
      </c>
      <c r="D129" s="66" t="s">
        <v>7126</v>
      </c>
      <c r="E129" s="66" t="s">
        <v>11802</v>
      </c>
      <c r="F129" s="66" t="s">
        <v>9529</v>
      </c>
    </row>
    <row r="130" ht="15.75" customHeight="1">
      <c r="A130" s="66">
        <f>'Main dataset (DEPRECATED)'!Q131</f>
        <v>7347629</v>
      </c>
      <c r="B130" s="66" t="str">
        <f>IFERROR(__xludf.DUMMYFUNCTION("SPLIT('Main dataset (DEPRECATED2)'!N131,"";"")"),"Grumman Data Systems, Woodbury, NY, USA|c|")</f>
        <v>Grumman Data Systems, Woodbury, NY, USA|c|</v>
      </c>
      <c r="C130" s="66" t="s">
        <v>9141</v>
      </c>
      <c r="D130" s="66" t="s">
        <v>8868</v>
      </c>
      <c r="E130" s="66" t="s">
        <v>8741</v>
      </c>
      <c r="F130" s="66" t="s">
        <v>10453</v>
      </c>
      <c r="G130" s="66" t="s">
        <v>6545</v>
      </c>
      <c r="H130" s="66" t="s">
        <v>6212</v>
      </c>
      <c r="I130" s="66" t="s">
        <v>9391</v>
      </c>
    </row>
    <row r="131" ht="15.75" customHeight="1">
      <c r="A131" s="66">
        <f>'Main dataset (DEPRECATED)'!Q132</f>
        <v>7192665</v>
      </c>
      <c r="B131" s="66" t="str">
        <f>IFERROR(__xludf.DUMMYFUNCTION("SPLIT('Main dataset (DEPRECATED2)'!N132,"";"")"),"Lawrence Livermore National Laboratory##Lawrence Livermore National Laboratory")</f>
        <v>Lawrence Livermore National Laboratory##Lawrence Livermore National Laboratory</v>
      </c>
      <c r="C131" s="66" t="s">
        <v>9865</v>
      </c>
      <c r="D131" s="66" t="s">
        <v>10772</v>
      </c>
    </row>
    <row r="132" ht="15.75" customHeight="1">
      <c r="A132" s="66">
        <f>'Main dataset (DEPRECATED)'!Q133</f>
        <v>7185421</v>
      </c>
      <c r="B132" s="66" t="str">
        <f>IFERROR(__xludf.DUMMYFUNCTION("SPLIT('Main dataset (DEPRECATED2)'!N133,"";"")"),"Stanford University Stanford")</f>
        <v>Stanford University Stanford</v>
      </c>
      <c r="C132" s="66" t="s">
        <v>7001</v>
      </c>
      <c r="D132" s="66" t="s">
        <v>9064</v>
      </c>
      <c r="E132" s="66" t="s">
        <v>8488</v>
      </c>
      <c r="F132" s="66" t="s">
        <v>11723</v>
      </c>
      <c r="G132" s="66" t="s">
        <v>6897</v>
      </c>
    </row>
    <row r="133" ht="15.75" customHeight="1">
      <c r="A133" s="66">
        <f>'Main dataset (DEPRECATED)'!Q134</f>
        <v>7194832</v>
      </c>
      <c r="B133" s="66" t="str">
        <f>IFERROR(__xludf.DUMMYFUNCTION("SPLIT('Main dataset (DEPRECATED2)'!N134,"";"")"),"Digital Equipment Corporation Maynard")</f>
        <v>Digital Equipment Corporation Maynard</v>
      </c>
      <c r="C133" s="66" t="s">
        <v>7780</v>
      </c>
    </row>
    <row r="134" ht="15.75" customHeight="1">
      <c r="A134" s="66">
        <f>'Main dataset (DEPRECATED)'!Q135</f>
        <v>7347683</v>
      </c>
      <c r="B134" s="66" t="str">
        <f>IFERROR(__xludf.DUMMYFUNCTION("SPLIT('Main dataset (DEPRECATED2)'!N135,"";"")"),"Adv. Sci. Visualization Lab., San Diego, CA, USA|c|")</f>
        <v>Adv. Sci. Visualization Lab., San Diego, CA, USA|c|</v>
      </c>
      <c r="C134" s="66" t="s">
        <v>7813</v>
      </c>
      <c r="D134" s="66" t="s">
        <v>8993</v>
      </c>
      <c r="E134" s="66" t="s">
        <v>9780</v>
      </c>
    </row>
    <row r="135" ht="15.75" customHeight="1">
      <c r="A135" s="66">
        <f>'Main dataset (DEPRECATED)'!Q136</f>
        <v>7192673</v>
      </c>
      <c r="B135" s="66" t="str">
        <f>IFERROR(__xludf.DUMMYFUNCTION("SPLIT('Main dataset (DEPRECATED2)'!N136,"";"")"),"NASA Ames Res. Center, Moffett Field, CA, USA|c|")</f>
        <v>NASA Ames Res. Center, Moffett Field, CA, USA|c|</v>
      </c>
      <c r="C135" s="66" t="s">
        <v>7537</v>
      </c>
      <c r="D135" s="66" t="s">
        <v>10426</v>
      </c>
      <c r="E135" s="66" t="s">
        <v>8664</v>
      </c>
    </row>
    <row r="136" ht="15.75" customHeight="1">
      <c r="A136" s="66">
        <f>'Main dataset (DEPRECATED)'!Q137</f>
        <v>7194836</v>
      </c>
      <c r="B136" s="66" t="str">
        <f>IFERROR(__xludf.DUMMYFUNCTION("SPLIT('Main dataset (DEPRECATED2)'!N137,"";"")"),"Columbia University New York##Columbia University New York")</f>
        <v>Columbia University New York##Columbia University New York</v>
      </c>
      <c r="C136" s="66" t="s">
        <v>9529</v>
      </c>
    </row>
    <row r="137" ht="15.75" customHeight="1">
      <c r="A137" s="66">
        <f>'Main dataset (DEPRECATED)'!Q138</f>
        <v>7192716</v>
      </c>
      <c r="B137" s="66" t="str">
        <f>IFERROR(__xludf.DUMMYFUNCTION("SPLIT('Main dataset (DEPRECATED2)'!N138,"";"")"),"Center for Computerized Legal Research Pace University White Plains")</f>
        <v>Center for Computerized Legal Research Pace University White Plains</v>
      </c>
      <c r="C137" s="66" t="s">
        <v>10496</v>
      </c>
      <c r="D137" s="66" t="s">
        <v>6711</v>
      </c>
      <c r="E137" s="66" t="s">
        <v>7391</v>
      </c>
      <c r="F137" s="66" t="s">
        <v>8664</v>
      </c>
    </row>
    <row r="138" ht="15.75" customHeight="1">
      <c r="A138" s="66">
        <f>'Main dataset (DEPRECATED)'!Q139</f>
        <v>7192729</v>
      </c>
      <c r="B138" s="66" t="str">
        <f>IFERROR(__xludf.DUMMYFUNCTION("SPLIT('Main dataset (DEPRECATED2)'!N139,"";"")"),"The MITRE Corporation")</f>
        <v>The MITRE Corporation</v>
      </c>
      <c r="C138" s="66" t="s">
        <v>9529</v>
      </c>
    </row>
    <row r="139" ht="15.75" customHeight="1">
      <c r="A139" s="66">
        <f>'Main dataset (DEPRECATED)'!Q140</f>
        <v>7192669</v>
      </c>
      <c r="B139" s="66" t="str">
        <f>IFERROR(__xludf.DUMMYFUNCTION("SPLIT('Main dataset (DEPRECATED2)'!N140,"";"")"),"University of New Hampshire##University of New Hampshire##University of New Hampshire##University of New Hampshire")</f>
        <v>University of New Hampshire##University of New Hampshire##University of New Hampshire##University of New Hampshire</v>
      </c>
      <c r="C139" s="66" t="s">
        <v>6643</v>
      </c>
      <c r="D139" s="66" t="s">
        <v>9549</v>
      </c>
    </row>
    <row r="140" ht="15.75" customHeight="1">
      <c r="A140" s="66">
        <f>'Main dataset (DEPRECATED)'!Q141</f>
        <v>7347682</v>
      </c>
      <c r="B140" s="66" t="str">
        <f>IFERROR(__xludf.DUMMYFUNCTION("SPLIT('Main dataset (DEPRECATED2)'!N141,"";"")"),"University of North Carolina Chapel Hill")</f>
        <v>University of North Carolina Chapel Hill</v>
      </c>
      <c r="C140" s="66" t="s">
        <v>10540</v>
      </c>
      <c r="D140" s="66" t="s">
        <v>9431</v>
      </c>
      <c r="E140" s="66" t="s">
        <v>10552</v>
      </c>
      <c r="F140" s="66" t="s">
        <v>7332</v>
      </c>
    </row>
    <row r="141" ht="15.75" customHeight="1">
      <c r="A141" s="66">
        <f>'Main dataset (DEPRECATED)'!Q142</f>
        <v>7347681</v>
      </c>
      <c r="B141" s="66" t="str">
        <f>IFERROR(__xludf.DUMMYFUNCTION("SPLIT('Main dataset (DEPRECATED2)'!N142,"";"")"),"NASA Ames Res. Center, Moffett Field, CA, USA|c|")</f>
        <v>NASA Ames Res. Center, Moffett Field, CA, USA|c|</v>
      </c>
      <c r="C141" s="66" t="s">
        <v>10925</v>
      </c>
      <c r="D141" s="66" t="s">
        <v>8521</v>
      </c>
      <c r="E141" s="66" t="s">
        <v>7227</v>
      </c>
    </row>
    <row r="142" ht="15.75" customHeight="1">
      <c r="A142" s="66">
        <f>'Main dataset (DEPRECATED)'!Q143</f>
        <v>7192687</v>
      </c>
      <c r="B142" s="66" t="str">
        <f>IFERROR(__xludf.DUMMYFUNCTION("SPLIT('Main dataset (DEPRECATED2)'!N143,"";"")"),"Lawrence Livermore National Laboratory##Lawrence Livermore National Laboratory##Lawrence Livermore National Laboratory")</f>
        <v>Lawrence Livermore National Laboratory##Lawrence Livermore National Laboratory##Lawrence Livermore National Laboratory</v>
      </c>
      <c r="C142" s="66" t="s">
        <v>11662</v>
      </c>
      <c r="D142" s="66" t="s">
        <v>8505</v>
      </c>
      <c r="E142" s="66" t="s">
        <v>6910</v>
      </c>
      <c r="F142" s="66" t="s">
        <v>6840</v>
      </c>
      <c r="G142" s="66" t="s">
        <v>11610</v>
      </c>
    </row>
    <row r="143" ht="15.75" customHeight="1">
      <c r="A143" s="66">
        <f>'Main dataset (DEPRECATED)'!Q144</f>
        <v>7347688</v>
      </c>
      <c r="B143" s="66" t="str">
        <f>IFERROR(__xludf.DUMMYFUNCTION("SPLIT('Main dataset (DEPRECATED2)'!N144,"";"")"),"IBM T . J . Watson Research Center")</f>
        <v>IBM T . J . Watson Research Center</v>
      </c>
      <c r="C143" s="66" t="s">
        <v>9043</v>
      </c>
      <c r="D143" s="66" t="s">
        <v>11406</v>
      </c>
      <c r="E143" s="66" t="s">
        <v>11681</v>
      </c>
      <c r="F143" s="66" t="s">
        <v>8282</v>
      </c>
      <c r="G143" s="66" t="s">
        <v>11405</v>
      </c>
    </row>
    <row r="144" ht="15.75" customHeight="1">
      <c r="A144" s="66">
        <f>'Main dataset (DEPRECATED)'!Q145</f>
        <v>7347686</v>
      </c>
      <c r="B144" s="66" t="str">
        <f>IFERROR(__xludf.DUMMYFUNCTION("SPLIT('Main dataset (DEPRECATED2)'!N145,"";"")"),"GE Corp. Res. &amp; Dev., Schenectady, NY, USA|c|")</f>
        <v>GE Corp. Res. &amp; Dev., Schenectady, NY, USA|c|</v>
      </c>
      <c r="C144" s="66" t="s">
        <v>10311</v>
      </c>
      <c r="D144" s="66" t="s">
        <v>11221</v>
      </c>
    </row>
    <row r="145" ht="15.75" customHeight="1">
      <c r="A145" s="66">
        <f>'Main dataset (DEPRECATED)'!Q146</f>
        <v>7347636</v>
      </c>
      <c r="B145" s="66" t="str">
        <f>IFERROR(__xludf.DUMMYFUNCTION("SPLIT('Main dataset (DEPRECATED2)'!N146,"";"")"),"AT&amp;T Bell Lab., Murray Hill, NJ, USA|c|")</f>
        <v>AT&amp;T Bell Lab., Murray Hill, NJ, USA|c|</v>
      </c>
      <c r="C145" s="66" t="s">
        <v>8905</v>
      </c>
      <c r="D145" s="66" t="s">
        <v>7289</v>
      </c>
      <c r="E145" s="66" t="s">
        <v>11264</v>
      </c>
      <c r="F145" s="66" t="s">
        <v>11489</v>
      </c>
      <c r="G145" s="66" t="s">
        <v>11419</v>
      </c>
      <c r="H145" s="66" t="s">
        <v>9788</v>
      </c>
      <c r="I145" s="66" t="s">
        <v>10621</v>
      </c>
    </row>
    <row r="146" ht="15.75" customHeight="1">
      <c r="A146" s="66">
        <f>'Main dataset (DEPRECATED)'!Q147</f>
        <v>7347680</v>
      </c>
      <c r="B146" s="66" t="str">
        <f>IFERROR(__xludf.DUMMYFUNCTION("SPLIT('Main dataset (DEPRECATED2)'!N147,"";"")"),"University of New Mexico Albuquerque##University of New Mexico Albuquerque")</f>
        <v>University of New Mexico Albuquerque##University of New Mexico Albuquerque</v>
      </c>
      <c r="C146" s="66" t="s">
        <v>11653</v>
      </c>
    </row>
    <row r="147" ht="15.75" customHeight="1">
      <c r="A147" s="66">
        <f>'Main dataset (DEPRECATED)'!Q148</f>
        <v>7192649</v>
      </c>
      <c r="B147" s="66" t="str">
        <f>IFERROR(__xludf.DUMMYFUNCTION("SPLIT('Main dataset (DEPRECATED2)'!N148,"";"")"),"Universitiit Munchen Leopoldstr")</f>
        <v>Universitiit Munchen Leopoldstr</v>
      </c>
      <c r="C147" s="66" t="s">
        <v>8526</v>
      </c>
      <c r="D147" s="66" t="s">
        <v>8895</v>
      </c>
      <c r="E147" s="66" t="s">
        <v>8785</v>
      </c>
      <c r="F147" s="66" t="s">
        <v>7432</v>
      </c>
    </row>
    <row r="148" ht="15.75" customHeight="1">
      <c r="A148" s="66">
        <f>'Main dataset (DEPRECATED)'!Q149</f>
        <v>7192676</v>
      </c>
      <c r="B148" s="66" t="str">
        <f>IFERROR(__xludf.DUMMYFUNCTION("SPLIT('Main dataset (DEPRECATED2)'!N149,"";"")"),"University of Massachusetts##University of Massachusetts##University of Massachusetts")</f>
        <v>University of Massachusetts##University of Massachusetts##University of Massachusetts</v>
      </c>
      <c r="C148" s="66" t="s">
        <v>11435</v>
      </c>
      <c r="D148" s="66" t="s">
        <v>11322</v>
      </c>
      <c r="E148" s="66" t="s">
        <v>10373</v>
      </c>
      <c r="F148" s="66" t="s">
        <v>10140</v>
      </c>
    </row>
    <row r="149" ht="15.75" customHeight="1">
      <c r="A149" s="66">
        <f>'Main dataset (DEPRECATED)'!Q150</f>
        <v>7192692</v>
      </c>
      <c r="B149" s="66" t="str">
        <f>IFERROR(__xludf.DUMMYFUNCTION("SPLIT('Main dataset (DEPRECATED2)'!N150,"";"")"),"Lawrence Livennore National Laboratory Livermore##Lawrence Livennore National Laboratory Livermore##Lawrence Livennore National Laboratory Livermore")</f>
        <v>Lawrence Livennore National Laboratory Livermore##Lawrence Livennore National Laboratory Livermore##Lawrence Livennore National Laboratory Livermore</v>
      </c>
      <c r="C149" s="66" t="s">
        <v>7962</v>
      </c>
      <c r="D149" s="66" t="s">
        <v>8645</v>
      </c>
    </row>
    <row r="150" ht="15.75" customHeight="1">
      <c r="A150" s="66">
        <f>'Main dataset (DEPRECATED)'!Q151</f>
        <v>7192683</v>
      </c>
      <c r="B150" s="66" t="str">
        <f>IFERROR(__xludf.DUMMYFUNCTION("SPLIT('Main dataset (DEPRECATED2)'!N151,"";"")"),"NASA Ames Res. Center, Moffett Field, CA, USA|c|")</f>
        <v>NASA Ames Res. Center, Moffett Field, CA, USA|c|</v>
      </c>
      <c r="C150" s="66" t="s">
        <v>10884</v>
      </c>
      <c r="D150" s="66" t="s">
        <v>10872</v>
      </c>
      <c r="E150" s="66" t="s">
        <v>8408</v>
      </c>
      <c r="F150" s="66" t="s">
        <v>8500</v>
      </c>
      <c r="G150" s="66" t="s">
        <v>8459</v>
      </c>
    </row>
    <row r="151" ht="15.75" customHeight="1">
      <c r="A151" s="66">
        <f>'Main dataset (DEPRECATED)'!Q152</f>
        <v>7192633</v>
      </c>
      <c r="B151" s="66" t="str">
        <f>IFERROR(__xludf.DUMMYFUNCTION("SPLIT('Main dataset (DEPRECATED2)'!N152,"";"")"),"Naval Research Laboratory####")</f>
        <v>Naval Research Laboratory####</v>
      </c>
      <c r="C151" s="66" t="s">
        <v>8785</v>
      </c>
      <c r="D151" s="66" t="s">
        <v>11396</v>
      </c>
    </row>
    <row r="152" ht="15.75" customHeight="1">
      <c r="A152" s="66">
        <f>'Main dataset (DEPRECATED)'!Q153</f>
        <v>7347679</v>
      </c>
      <c r="B152" s="66" t="str">
        <f>IFERROR(__xludf.DUMMYFUNCTION("SPLIT('Main dataset (DEPRECATED2)'!N153,"";"")"),"IBM Japan Ltd")</f>
        <v>IBM Japan Ltd</v>
      </c>
      <c r="C152" s="66" t="s">
        <v>6936</v>
      </c>
      <c r="D152" s="66" t="s">
        <v>11660</v>
      </c>
      <c r="E152" s="66" t="s">
        <v>8485</v>
      </c>
      <c r="F152" s="66" t="s">
        <v>11594</v>
      </c>
    </row>
    <row r="153" ht="15.75" customHeight="1">
      <c r="A153" s="66">
        <f>'Main dataset (DEPRECATED)'!Q154</f>
        <v>7192719</v>
      </c>
      <c r="B153" s="66" t="str">
        <f>IFERROR(__xludf.DUMMYFUNCTION("SPLIT('Main dataset (DEPRECATED2)'!N154,"";"")"),"AT&amp;T Bell Laboratories Murray Hill##AT&amp;T Bell Laboratories Murray Hill")</f>
        <v>AT&amp;T Bell Laboratories Murray Hill##AT&amp;T Bell Laboratories Murray Hill</v>
      </c>
      <c r="C153" s="66" t="s">
        <v>7584</v>
      </c>
      <c r="D153" s="66" t="s">
        <v>6191</v>
      </c>
      <c r="E153" s="66" t="s">
        <v>8845</v>
      </c>
      <c r="F153" s="66" t="s">
        <v>9193</v>
      </c>
    </row>
    <row r="154" ht="15.75" customHeight="1">
      <c r="A154" s="66">
        <f>'Main dataset (DEPRECATED)'!Q155</f>
        <v>7347678</v>
      </c>
      <c r="B154" s="66" t="str">
        <f>IFERROR(__xludf.DUMMYFUNCTION("SPLIT('Main dataset (DEPRECATED2)'!N155,"";"")"),"University of Wisconsin-Madison##University of Wisconsin-Madison##University of Wisconsin-Madison")</f>
        <v>University of Wisconsin-Madison##University of Wisconsin-Madison##University of Wisconsin-Madison</v>
      </c>
      <c r="C154" s="66" t="s">
        <v>7912</v>
      </c>
      <c r="D154" s="66" t="s">
        <v>9391</v>
      </c>
      <c r="E154" s="66" t="s">
        <v>7915</v>
      </c>
      <c r="F154" s="66" t="s">
        <v>8891</v>
      </c>
    </row>
    <row r="155" ht="15.75" customHeight="1">
      <c r="A155" s="66">
        <f>'Main dataset (DEPRECATED)'!Q156</f>
        <v>7347689</v>
      </c>
      <c r="B155" s="66" t="str">
        <f>IFERROR(__xludf.DUMMYFUNCTION("SPLIT('Main dataset (DEPRECATED2)'!N156,"";"")"),"University of Western Ontario London")</f>
        <v>University of Western Ontario London</v>
      </c>
      <c r="C155" s="66" t="s">
        <v>11594</v>
      </c>
      <c r="D155" s="66" t="s">
        <v>11660</v>
      </c>
      <c r="E155" s="66" t="s">
        <v>11710</v>
      </c>
      <c r="F155" s="66" t="s">
        <v>10629</v>
      </c>
      <c r="G155" s="66" t="s">
        <v>8486</v>
      </c>
      <c r="H155" s="66" t="s">
        <v>10028</v>
      </c>
      <c r="I155" s="66" t="s">
        <v>8013</v>
      </c>
      <c r="J155" s="66" t="s">
        <v>11626</v>
      </c>
    </row>
    <row r="156" ht="15.75" customHeight="1">
      <c r="A156" s="66">
        <f>'Main dataset (DEPRECATED)'!Q157</f>
        <v>7347685</v>
      </c>
      <c r="B156" s="66" t="str">
        <f>IFERROR(__xludf.DUMMYFUNCTION("SPLIT('Main dataset (DEPRECATED2)'!N157,"";"")"),"Laboratory University of Maryland##Laboratory University of Maryland")</f>
        <v>Laboratory University of Maryland##Laboratory University of Maryland</v>
      </c>
      <c r="C156" s="66" t="s">
        <v>7868</v>
      </c>
    </row>
    <row r="157" ht="15.75" customHeight="1">
      <c r="A157" s="66">
        <f>'Main dataset (DEPRECATED)'!Q158</f>
        <v>7347671</v>
      </c>
      <c r="B157" s="66" t="str">
        <f>IFERROR(__xludf.DUMMYFUNCTION("SPLIT('Main dataset (DEPRECATED2)'!N158,"";"")"),"University Hospital Eppendorf##University Hospital Eppendorf##University Hospital Eppendorf##University Hospital Eppendorf##University Hospital Eppendorf##University Hospital Eppendorf##University Hospital Eppendorf")</f>
        <v>University Hospital Eppendorf##University Hospital Eppendorf##University Hospital Eppendorf##University Hospital Eppendorf##University Hospital Eppendorf##University Hospital Eppendorf##University Hospital Eppendorf</v>
      </c>
      <c r="C157" s="66" t="s">
        <v>10704</v>
      </c>
      <c r="D157" s="66" t="s">
        <v>9363</v>
      </c>
      <c r="E157" s="66" t="s">
        <v>7350</v>
      </c>
      <c r="F157" s="66" t="s">
        <v>10905</v>
      </c>
    </row>
    <row r="158" ht="15.75" customHeight="1">
      <c r="A158" s="66">
        <f>'Main dataset (DEPRECATED)'!Q159</f>
        <v>7347672</v>
      </c>
      <c r="B158" s="66" t="str">
        <f>IFERROR(__xludf.DUMMYFUNCTION("SPLIT('Main dataset (DEPRECATED2)'!N159,"";"")"),"IBM T. J. Watson Research Center##IBM T. J. Watson Research Center##IBM T. J. Watson Research Center##IBM T. J. Watson Research Center##IBM T. J. Watson Research Center##IBM T. J. Watson Research Center")</f>
        <v>IBM T. J. Watson Research Center##IBM T. J. Watson Research Center##IBM T. J. Watson Research Center##IBM T. J. Watson Research Center##IBM T. J. Watson Research Center##IBM T. J. Watson Research Center</v>
      </c>
      <c r="C158" s="66" t="s">
        <v>7529</v>
      </c>
      <c r="D158" s="66" t="s">
        <v>7912</v>
      </c>
      <c r="E158" s="66" t="s">
        <v>9391</v>
      </c>
      <c r="F158" s="66" t="s">
        <v>6181</v>
      </c>
      <c r="G158" s="66" t="s">
        <v>10161</v>
      </c>
      <c r="H158" s="66" t="s">
        <v>8917</v>
      </c>
    </row>
    <row r="159" ht="15.75" customHeight="1">
      <c r="A159" s="66">
        <f>'Main dataset (DEPRECATED)'!Q160</f>
        <v>7192706</v>
      </c>
      <c r="B159" s="66" t="str">
        <f>IFERROR(__xludf.DUMMYFUNCTION("SPLIT('Main dataset (DEPRECATED2)'!N160,"";"")"),"#VALUE!")</f>
        <v>#VALUE!</v>
      </c>
      <c r="C159" s="66" t="s">
        <v>11771</v>
      </c>
      <c r="D159" s="66" t="s">
        <v>10621</v>
      </c>
      <c r="E159" s="66" t="s">
        <v>7610</v>
      </c>
    </row>
    <row r="160" ht="15.75" customHeight="1">
      <c r="A160" s="66">
        <f>'Main dataset (DEPRECATED)'!Q161</f>
        <v>7347624</v>
      </c>
      <c r="B160" s="66" t="str">
        <f>IFERROR(__xludf.DUMMYFUNCTION("SPLIT('Main dataset (DEPRECATED2)'!N161,"";"")"),"Adv. Sci. Visualization Lab., San Diego, CA, USA|c|")</f>
        <v>Adv. Sci. Visualization Lab., San Diego, CA, USA|c|</v>
      </c>
      <c r="C160" s="66" t="s">
        <v>7229</v>
      </c>
      <c r="D160" s="66" t="s">
        <v>9885</v>
      </c>
      <c r="E160" s="66" t="s">
        <v>10621</v>
      </c>
      <c r="F160" s="66" t="s">
        <v>9663</v>
      </c>
    </row>
    <row r="161" ht="15.75" customHeight="1">
      <c r="A161" s="66">
        <f>'Main dataset (DEPRECATED)'!Q162</f>
        <v>6875906</v>
      </c>
      <c r="B161" s="66" t="str">
        <f>IFERROR(__xludf.DUMMYFUNCTION("SPLIT('Main dataset (DEPRECATED2)'!N162,"";"")"),"CERN CH-1211")</f>
        <v>CERN CH-1211</v>
      </c>
      <c r="C161" s="66" t="s">
        <v>10118</v>
      </c>
      <c r="D161" s="66" t="s">
        <v>6471</v>
      </c>
      <c r="E161" s="66" t="s">
        <v>7497</v>
      </c>
    </row>
    <row r="162" ht="15.75" customHeight="1">
      <c r="A162" s="66">
        <f>'Main dataset (DEPRECATED)'!Q163</f>
        <v>6888482</v>
      </c>
      <c r="B162" s="66" t="str">
        <f>IFERROR(__xludf.DUMMYFUNCTION("SPLIT('Main dataset (DEPRECATED2)'!N163,"";"")"),"Los Alamos Nat. Lab., NM, USA|c|")</f>
        <v>Los Alamos Nat. Lab., NM, USA|c|</v>
      </c>
      <c r="C162" s="66" t="s">
        <v>10930</v>
      </c>
      <c r="D162" s="66" t="s">
        <v>10375</v>
      </c>
      <c r="E162" s="66" t="s">
        <v>8707</v>
      </c>
      <c r="F162" s="66" t="s">
        <v>6746</v>
      </c>
    </row>
    <row r="163" ht="15.75" customHeight="1">
      <c r="A163" s="66">
        <f>'Main dataset (DEPRECATED)'!Q164</f>
        <v>6875930</v>
      </c>
      <c r="B163" s="66" t="str">
        <f>IFERROR(__xludf.DUMMYFUNCTION("SPLIT('Main dataset (DEPRECATED2)'!N164,"";"")"),"Kaiserslautern Univ., Germany|c|")</f>
        <v>Kaiserslautern Univ., Germany|c|</v>
      </c>
      <c r="C163" s="66" t="s">
        <v>10392</v>
      </c>
    </row>
    <row r="164" ht="15.75" customHeight="1">
      <c r="A164" s="66">
        <f>'Main dataset (DEPRECATED)'!Q165</f>
        <v>6875987</v>
      </c>
      <c r="B164" s="66" t="str">
        <f>IFERROR(__xludf.DUMMYFUNCTION("SPLIT('Main dataset (DEPRECATED2)'!N165,"";"")"),"University of Auckland Private Bag##University of Auckland Private Bag")</f>
        <v>University of Auckland Private Bag##University of Auckland Private Bag</v>
      </c>
      <c r="C164" s="66" t="s">
        <v>10663</v>
      </c>
      <c r="D164" s="66" t="s">
        <v>8093</v>
      </c>
      <c r="E164" s="66" t="s">
        <v>11531</v>
      </c>
      <c r="F164" s="66" t="s">
        <v>7353</v>
      </c>
    </row>
    <row r="165" ht="15.75" customHeight="1">
      <c r="A165" s="66">
        <f>'Main dataset (DEPRECATED)'!Q166</f>
        <v>6875998</v>
      </c>
      <c r="B165" s="66" t="str">
        <f>IFERROR(__xludf.DUMMYFUNCTION("SPLIT('Main dataset (DEPRECATED2)'!N166,"";"")"),"Netherlands Energy Res. Found. ECN, Petten, Netherlands|c|")</f>
        <v>Netherlands Energy Res. Found. ECN, Petten, Netherlands|c|</v>
      </c>
      <c r="C165" s="66" t="s">
        <v>10343</v>
      </c>
    </row>
    <row r="166" ht="15.75" customHeight="1">
      <c r="A166" s="66">
        <f>'Main dataset (DEPRECATED)'!Q167</f>
        <v>6876005</v>
      </c>
      <c r="B166" s="66" t="str">
        <f>IFERROR(__xludf.DUMMYFUNCTION("SPLIT('Main dataset (DEPRECATED2)'!N167,"";"")"),"University of Utah Salt Lake City")</f>
        <v>University of Utah Salt Lake City</v>
      </c>
      <c r="C166" s="66" t="s">
        <v>6645</v>
      </c>
      <c r="D166" s="66" t="s">
        <v>8579</v>
      </c>
      <c r="E166" s="66" t="s">
        <v>7671</v>
      </c>
      <c r="F166" s="66" t="s">
        <v>6489</v>
      </c>
      <c r="G166" s="66" t="s">
        <v>10447</v>
      </c>
      <c r="H166" s="66" t="s">
        <v>8023</v>
      </c>
    </row>
    <row r="167" ht="15.75" customHeight="1">
      <c r="A167" s="66">
        <f>'Main dataset (DEPRECATED)'!Q168</f>
        <v>6875968</v>
      </c>
      <c r="B167" s="66" t="str">
        <f>IFERROR(__xludf.DUMMYFUNCTION("SPLIT('Main dataset (DEPRECATED2)'!N168,"";"")"),"University of Illinois at Urbana")</f>
        <v>University of Illinois at Urbana</v>
      </c>
      <c r="C167" s="66" t="s">
        <v>6715</v>
      </c>
      <c r="D167" s="66" t="s">
        <v>11396</v>
      </c>
    </row>
    <row r="168" ht="15.75" customHeight="1">
      <c r="A168" s="66">
        <f>'Main dataset (DEPRECATED)'!Q169</f>
        <v>6875946</v>
      </c>
      <c r="B168" s="66" t="str">
        <f>IFERROR(__xludf.DUMMYFUNCTION("SPLIT('Main dataset (DEPRECATED2)'!N169,"";"")"),"Technische Hochschule Darmstadt##Technische Hochschule Darmstadt")</f>
        <v>Technische Hochschule Darmstadt##Technische Hochschule Darmstadt</v>
      </c>
      <c r="C168" s="66" t="s">
        <v>8430</v>
      </c>
      <c r="D168" s="66" t="s">
        <v>6786</v>
      </c>
    </row>
    <row r="169" ht="15.75" customHeight="1">
      <c r="A169" s="66">
        <f>'Main dataset (DEPRECATED)'!Q170</f>
        <v>6876000</v>
      </c>
      <c r="B169" s="66" t="str">
        <f>IFERROR(__xludf.DUMMYFUNCTION("SPLIT('Main dataset (DEPRECATED2)'!N170,"";"")"),"Image Understanding Section, Electrotech. Lab., Tsukuba, Japan|c|")</f>
        <v>Image Understanding Section, Electrotech. Lab., Tsukuba, Japan|c|</v>
      </c>
      <c r="C169" s="66" t="s">
        <v>9291</v>
      </c>
      <c r="D169" s="66" t="s">
        <v>6171</v>
      </c>
      <c r="E169" s="66" t="s">
        <v>9377</v>
      </c>
    </row>
    <row r="170" ht="15.75" customHeight="1">
      <c r="A170" s="66">
        <f>'Main dataset (DEPRECATED)'!Q171</f>
        <v>6875985</v>
      </c>
      <c r="B170" s="66" t="str">
        <f>IFERROR(__xludf.DUMMYFUNCTION("SPLIT('Main dataset (DEPRECATED2)'!N171,"";"")"),"State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170" s="66" t="s">
        <v>6988</v>
      </c>
    </row>
    <row r="171" ht="15.75" customHeight="1">
      <c r="A171" s="66">
        <f>'Main dataset (DEPRECATED)'!Q172</f>
        <v>6875920</v>
      </c>
      <c r="B171" s="66" t="str">
        <f>IFERROR(__xludf.DUMMYFUNCTION("SPLIT('Main dataset (DEPRECATED2)'!N172,"";"")"),"Stanford University Stanford##Stanford University Stanford")</f>
        <v>Stanford University Stanford##Stanford University Stanford</v>
      </c>
      <c r="C171" s="66" t="s">
        <v>7707</v>
      </c>
      <c r="D171" s="66" t="s">
        <v>9025</v>
      </c>
      <c r="E171" s="66" t="s">
        <v>9891</v>
      </c>
      <c r="F171" s="66" t="s">
        <v>10838</v>
      </c>
    </row>
    <row r="172" ht="15.75" customHeight="1">
      <c r="A172" s="66">
        <f>'Main dataset (DEPRECATED)'!Q173</f>
        <v>6875979</v>
      </c>
      <c r="B172" s="66" t="str">
        <f>IFERROR(__xludf.DUMMYFUNCTION("SPLIT('Main dataset (DEPRECATED2)'!N173,"";"")"),"Lawrence Livermore National Laboratory Livermore##Lawrence Livermore National Laboratory Livermore##Lawrence Livermore National Laboratory Livermore")</f>
        <v>Lawrence Livermore National Laboratory Livermore##Lawrence Livermore National Laboratory Livermore##Lawrence Livermore National Laboratory Livermore</v>
      </c>
      <c r="C172" s="66" t="s">
        <v>11200</v>
      </c>
    </row>
    <row r="173" ht="15.75" customHeight="1">
      <c r="A173" s="66">
        <f>'Main dataset (DEPRECATED)'!Q174</f>
        <v>6875915</v>
      </c>
      <c r="B173" s="66" t="str">
        <f>IFERROR(__xludf.DUMMYFUNCTION("SPLIT('Main dataset (DEPRECATED2)'!N174,"";"")"),"Wilhelm-Schickard-Inst. fuer Inf., Tubingen Univ., Germany|c|")</f>
        <v>Wilhelm-Schickard-Inst. fuer Inf., Tubingen Univ., Germany|c|</v>
      </c>
      <c r="C173" s="66" t="s">
        <v>7780</v>
      </c>
    </row>
    <row r="174" ht="15.75" customHeight="1">
      <c r="A174" s="66">
        <f>'Main dataset (DEPRECATED)'!Q175</f>
        <v>6875917</v>
      </c>
      <c r="B174" s="66" t="str">
        <f>IFERROR(__xludf.DUMMYFUNCTION("SPLIT('Main dataset (DEPRECATED2)'!N175,"";"")"),"NASA Ames Res. Center, Moffett Field, CA, USA|c|")</f>
        <v>NASA Ames Res. Center, Moffett Field, CA, USA|c|</v>
      </c>
      <c r="C174" s="66" t="s">
        <v>11468</v>
      </c>
      <c r="D174" s="66" t="s">
        <v>7497</v>
      </c>
      <c r="E174" s="66" t="s">
        <v>8372</v>
      </c>
    </row>
    <row r="175" ht="15.75" customHeight="1">
      <c r="A175" s="66">
        <f>'Main dataset (DEPRECATED)'!Q176</f>
        <v>6876021</v>
      </c>
      <c r="B175" s="66" t="str">
        <f>IFERROR(__xludf.DUMMYFUNCTION("SPLIT('Main dataset (DEPRECATED2)'!N176,"";"")"),"University of Technology##University of Technology")</f>
        <v>University of Technology##University of Technology</v>
      </c>
      <c r="C175" s="66" t="s">
        <v>10511</v>
      </c>
      <c r="D175" s="66" t="s">
        <v>6224</v>
      </c>
    </row>
    <row r="176" ht="15.75" customHeight="1">
      <c r="A176" s="66">
        <f>'Main dataset (DEPRECATED)'!Q177</f>
        <v>6875969</v>
      </c>
      <c r="B176" s="66" t="str">
        <f>IFERROR(__xludf.DUMMYFUNCTION("SPLIT('Main dataset (DEPRECATED2)'!N177,"";"")"),"Delft University of Technology##Delft University of Technology")</f>
        <v>Delft University of Technology##Delft University of Technology</v>
      </c>
      <c r="C176" s="66" t="s">
        <v>8597</v>
      </c>
      <c r="D176" s="66" t="s">
        <v>11812</v>
      </c>
      <c r="E176" s="66" t="s">
        <v>7564</v>
      </c>
      <c r="F176" s="66" t="s">
        <v>7793</v>
      </c>
      <c r="G176" s="66" t="s">
        <v>10767</v>
      </c>
      <c r="H176" s="66" t="s">
        <v>7332</v>
      </c>
    </row>
    <row r="177" ht="15.75" customHeight="1">
      <c r="A177" s="66">
        <f>'Main dataset (DEPRECATED)'!Q178</f>
        <v>6875938</v>
      </c>
      <c r="B177" s="66" t="str">
        <f>IFERROR(__xludf.DUMMYFUNCTION("SPLIT('Main dataset (DEPRECATED2)'!N178,"";"")"),"Digital Equipment Corporation")</f>
        <v>Digital Equipment Corporation</v>
      </c>
      <c r="C177" s="66" t="s">
        <v>10595</v>
      </c>
      <c r="D177" s="66" t="s">
        <v>11827</v>
      </c>
      <c r="E177" s="66" t="s">
        <v>8056</v>
      </c>
    </row>
    <row r="178" ht="15.75" customHeight="1">
      <c r="A178" s="66">
        <f>'Main dataset (DEPRECATED)'!Q179</f>
        <v>6876042</v>
      </c>
      <c r="B178" s="66" t="str">
        <f>IFERROR(__xludf.DUMMYFUNCTION("SPLIT('Main dataset (DEPRECATED2)'!N179,"";"")"),"The Ohio State University##The Ohio State University")</f>
        <v>The Ohio State University##The Ohio State University</v>
      </c>
      <c r="C178" s="66" t="s">
        <v>8230</v>
      </c>
      <c r="D178" s="66" t="s">
        <v>11594</v>
      </c>
    </row>
    <row r="179" ht="15.75" customHeight="1">
      <c r="A179" s="66">
        <f>'Main dataset (DEPRECATED)'!Q180</f>
        <v>6875950</v>
      </c>
      <c r="B179" s="66" t="str">
        <f>IFERROR(__xludf.DUMMYFUNCTION("SPLIT('Main dataset (DEPRECATED2)'!N180,"";"")"),"University of California##University of California")</f>
        <v>University of California##University of California</v>
      </c>
      <c r="C179" s="66" t="s">
        <v>6463</v>
      </c>
      <c r="D179" s="66" t="s">
        <v>8112</v>
      </c>
    </row>
    <row r="180" ht="15.75" customHeight="1">
      <c r="A180" s="66">
        <f>'Main dataset (DEPRECATED)'!Q181</f>
        <v>6875942</v>
      </c>
      <c r="B180" s="66" t="str">
        <f>IFERROR(__xludf.DUMMYFUNCTION("SPLIT('Main dataset (DEPRECATED2)'!N181,"";"")"),"State University of New York at Stony Brook Stony Brook##State University of New York at Stony Brook Stony Brook")</f>
        <v>State University of New York at Stony Brook Stony Brook##State University of New York at Stony Brook Stony Brook</v>
      </c>
      <c r="C180" s="66" t="s">
        <v>8410</v>
      </c>
      <c r="D180" s="66" t="s">
        <v>8548</v>
      </c>
      <c r="E180" s="66" t="s">
        <v>6549</v>
      </c>
      <c r="F180" s="66" t="s">
        <v>8512</v>
      </c>
    </row>
    <row r="181" ht="15.75" customHeight="1">
      <c r="A181" s="66">
        <f>'Main dataset (DEPRECATED)'!Q182</f>
        <v>6876050</v>
      </c>
      <c r="B181" s="66" t="str">
        <f>IFERROR(__xludf.DUMMYFUNCTION("SPLIT('Main dataset (DEPRECATED2)'!N182,"";"")"),"University of California Berkeley##University of California Berkeley##University of California Berkeley##University of California Berkeley##University of California Berkeley##University of California Berkeley")</f>
        <v>University of California Berkeley##University of California Berkeley##University of California Berkeley##University of California Berkeley##University of California Berkeley##University of California Berkeley</v>
      </c>
      <c r="C181" s="66" t="s">
        <v>6307</v>
      </c>
      <c r="D181" s="66" t="s">
        <v>9737</v>
      </c>
      <c r="E181" s="66" t="s">
        <v>10481</v>
      </c>
      <c r="F181" s="66" t="s">
        <v>11393</v>
      </c>
    </row>
    <row r="182" ht="15.75" customHeight="1">
      <c r="A182" s="66">
        <f>'Main dataset (DEPRECATED)'!Q183</f>
        <v>6875966</v>
      </c>
      <c r="B182" s="66" t="str">
        <f>IFERROR(__xludf.DUMMYFUNCTION("SPLIT('Main dataset (DEPRECATED2)'!N183,"";"")"),"Digital Equipment Corp., San Diego, CA, USA|c|")</f>
        <v>Digital Equipment Corp., San Diego, CA, USA|c|</v>
      </c>
      <c r="C182" s="66" t="s">
        <v>6417</v>
      </c>
      <c r="D182" s="66" t="s">
        <v>7353</v>
      </c>
    </row>
    <row r="183" ht="15.75" customHeight="1">
      <c r="A183" s="66">
        <f>'Main dataset (DEPRECATED)'!Q184</f>
        <v>6875972</v>
      </c>
      <c r="B183" s="66" t="str">
        <f>IFERROR(__xludf.DUMMYFUNCTION("SPLIT('Main dataset (DEPRECATED2)'!N184,"";"")"),"School of Computer S t u d i e s University of Leeds Leeds")</f>
        <v>School of Computer S t u d i e s University of Leeds Leeds</v>
      </c>
      <c r="C183" s="66" t="s">
        <v>11200</v>
      </c>
    </row>
    <row r="184" ht="15.75" customHeight="1">
      <c r="A184" s="66">
        <f>'Main dataset (DEPRECATED)'!Q185</f>
        <v>6875935</v>
      </c>
      <c r="B184" s="66" t="str">
        <f>IFERROR(__xludf.DUMMYFUNCTION("SPLIT('Main dataset (DEPRECATED2)'!N185,"";"")"),"Digital Equipment Corporation")</f>
        <v>Digital Equipment Corporation</v>
      </c>
      <c r="C184" s="66" t="s">
        <v>6483</v>
      </c>
      <c r="D184" s="66" t="s">
        <v>10843</v>
      </c>
      <c r="E184" s="66" t="s">
        <v>8641</v>
      </c>
      <c r="F184" s="66" t="s">
        <v>9048</v>
      </c>
      <c r="G184" s="66" t="s">
        <v>9891</v>
      </c>
      <c r="H184" s="66" t="s">
        <v>7985</v>
      </c>
    </row>
    <row r="185" ht="15.75" customHeight="1">
      <c r="A185" s="66">
        <f>'Main dataset (DEPRECATED)'!Q186</f>
        <v>6876012</v>
      </c>
      <c r="B185" s="66" t="str">
        <f>IFERROR(__xludf.DUMMYFUNCTION("SPLIT('Main dataset (DEPRECATED2)'!N186,"";"")"),"Netherlands Energy Res. Foundation, Petten, Netherlands|c|")</f>
        <v>Netherlands Energy Res. Foundation, Petten, Netherlands|c|</v>
      </c>
      <c r="C185" s="66" t="s">
        <v>10617</v>
      </c>
      <c r="D185" s="66" t="s">
        <v>7477</v>
      </c>
      <c r="E185" s="66" t="s">
        <v>7454</v>
      </c>
      <c r="F185" s="66" t="s">
        <v>9823</v>
      </c>
    </row>
    <row r="186" ht="15.75" customHeight="1">
      <c r="A186" s="66">
        <f>'Main dataset (DEPRECATED)'!Q187</f>
        <v>6876036</v>
      </c>
      <c r="B186" s="66" t="str">
        <f>IFERROR(__xludf.DUMMYFUNCTION("SPLIT('Main dataset (DEPRECATED2)'!N187,"";"")"),"University of Illinois at Urbana-Champaign##University of Illinois at Urbana-Champaign")</f>
        <v>University of Illinois at Urbana-Champaign##University of Illinois at Urbana-Champaign</v>
      </c>
      <c r="C186" s="66" t="s">
        <v>10635</v>
      </c>
      <c r="D186" s="66" t="s">
        <v>8782</v>
      </c>
      <c r="E186" s="66" t="s">
        <v>6577</v>
      </c>
    </row>
    <row r="187" ht="15.75" customHeight="1">
      <c r="A187" s="66">
        <f>'Main dataset (DEPRECATED)'!Q188</f>
        <v>6876026</v>
      </c>
      <c r="B187" s="66" t="str">
        <f>IFERROR(__xludf.DUMMYFUNCTION("SPLIT('Main dataset (DEPRECATED2)'!N188,"";"")"),"Edinburgh Parallel Computing Centre University of Edinburgh Edinburgh##Edinburgh Parallel Computing Centre University of Edinburgh Edinburgh##Edinburgh Parallel Computing Centre University of Edinburgh Edinburgh")</f>
        <v>Edinburgh Parallel Computing Centre University of Edinburgh Edinburgh##Edinburgh Parallel Computing Centre University of Edinburgh Edinburgh##Edinburgh Parallel Computing Centre University of Edinburgh Edinburgh</v>
      </c>
      <c r="C187" s="66" t="s">
        <v>9202</v>
      </c>
      <c r="D187" s="66" t="s">
        <v>7302</v>
      </c>
      <c r="E187" s="66" t="s">
        <v>10767</v>
      </c>
    </row>
    <row r="188" ht="15.75" customHeight="1">
      <c r="A188" s="66">
        <f>'Main dataset (DEPRECATED)'!Q189</f>
        <v>6875940</v>
      </c>
      <c r="B188" s="66" t="str">
        <f>IFERROR(__xludf.DUMMYFUNCTION("SPLIT('Main dataset (DEPRECATED2)'!N189,"";"")"),"State University of New York at Stony Brook Stony Brook##State University of New York at Stony Brook Stony Brook")</f>
        <v>State University of New York at Stony Brook Stony Brook##State University of New York at Stony Brook Stony Brook</v>
      </c>
      <c r="C188" s="66" t="s">
        <v>7178</v>
      </c>
      <c r="D188" s="66" t="s">
        <v>8545</v>
      </c>
    </row>
    <row r="189" ht="15.75" customHeight="1">
      <c r="A189" s="66">
        <f>'Main dataset (DEPRECATED)'!Q190</f>
        <v>6875983</v>
      </c>
      <c r="B189" s="66" t="str">
        <f>IFERROR(__xludf.DUMMYFUNCTION("SPLIT('Main dataset (DEPRECATED2)'!N190,"";"")"),"Center for Educational Comput. Initiatives, MIT, Cambridge, MA, USA|c|")</f>
        <v>Center for Educational Comput. Initiatives, MIT, Cambridge, MA, USA|c|</v>
      </c>
      <c r="C189" s="66" t="s">
        <v>11571</v>
      </c>
    </row>
    <row r="190" ht="15.75" customHeight="1">
      <c r="A190" s="66">
        <f>'Main dataset (DEPRECATED)'!Q191</f>
        <v>6875900</v>
      </c>
      <c r="B190" s="66" t="str">
        <f>IFERROR(__xludf.DUMMYFUNCTION("SPLIT('Main dataset (DEPRECATED2)'!N191,"";"")"),"University of Munich Leopoldstr##University of Munich Leopoldstr##University of Munich Leopoldstr")</f>
        <v>University of Munich Leopoldstr##University of Munich Leopoldstr##University of Munich Leopoldstr</v>
      </c>
      <c r="C190" s="66" t="s">
        <v>8357</v>
      </c>
      <c r="D190" s="66" t="s">
        <v>10835</v>
      </c>
      <c r="E190" s="66" t="s">
        <v>9549</v>
      </c>
    </row>
    <row r="191" ht="15.75" customHeight="1">
      <c r="A191" s="66">
        <f>'Main dataset (DEPRECATED)'!Q192</f>
        <v>6876039</v>
      </c>
      <c r="B191" s="66" t="str">
        <f>IFERROR(__xludf.DUMMYFUNCTION("SPLIT('Main dataset (DEPRECATED2)'!N192,"";"")"),"Oracle Corporation")</f>
        <v>Oracle Corporation</v>
      </c>
      <c r="C191" s="66" t="s">
        <v>11766</v>
      </c>
      <c r="D191" s="66" t="s">
        <v>7316</v>
      </c>
    </row>
    <row r="192" ht="15.75" customHeight="1">
      <c r="A192" s="66">
        <f>'Main dataset (DEPRECATED)'!Q193</f>
        <v>6875978</v>
      </c>
      <c r="B192" s="66" t="str">
        <f>IFERROR(__xludf.DUMMYFUNCTION("SPLIT('Main dataset (DEPRECATED2)'!N193,"";"")"),"Michigan State University##Michigan State University")</f>
        <v>Michigan State University##Michigan State University</v>
      </c>
      <c r="C192" s="66" t="s">
        <v>7644</v>
      </c>
      <c r="D192" s="66" t="s">
        <v>7598</v>
      </c>
      <c r="E192" s="66" t="s">
        <v>6832</v>
      </c>
    </row>
    <row r="193" ht="15.75" customHeight="1">
      <c r="A193" s="66">
        <f>'Main dataset (DEPRECATED)'!Q194</f>
        <v>6875960</v>
      </c>
      <c r="B193" s="66" t="str">
        <f>IFERROR(__xludf.DUMMYFUNCTION("SPLIT('Main dataset (DEPRECATED2)'!N194,"";"")"),"IBM T. J. Watson Res. Center, Yorktown Heights, NY, USA|c|")</f>
        <v>IBM T. J. Watson Res. Center, Yorktown Heights, NY, USA|c|</v>
      </c>
      <c r="C193" s="66" t="s">
        <v>11345</v>
      </c>
    </row>
    <row r="194" ht="15.75" customHeight="1">
      <c r="A194" s="66">
        <f>'Main dataset (DEPRECATED)'!Q195</f>
        <v>6875988</v>
      </c>
      <c r="B194" s="66" t="str">
        <f>IFERROR(__xludf.DUMMYFUNCTION("SPLIT('Main dataset (DEPRECATED2)'!N195,"";"")"),"Los Alamos Nat. Lab., NM, USA|c|")</f>
        <v>Los Alamos Nat. Lab., NM, USA|c|</v>
      </c>
      <c r="C194" s="66" t="s">
        <v>7306</v>
      </c>
      <c r="D194" s="66" t="s">
        <v>7497</v>
      </c>
    </row>
    <row r="195" ht="15.75" customHeight="1">
      <c r="A195" s="66">
        <f>'Main dataset (DEPRECATED)'!Q196</f>
        <v>6876003</v>
      </c>
      <c r="B195" s="66" t="str">
        <f>IFERROR(__xludf.DUMMYFUNCTION("SPLIT('Main dataset (DEPRECATED2)'!N196,"";"")"),"Indiana University Bloomington##Indiana University Bloomington")</f>
        <v>Indiana University Bloomington##Indiana University Bloomington</v>
      </c>
      <c r="C195" s="66" t="s">
        <v>10106</v>
      </c>
      <c r="D195" s="66" t="s">
        <v>10729</v>
      </c>
      <c r="E195" s="66" t="s">
        <v>11531</v>
      </c>
    </row>
    <row r="196" ht="15.75" customHeight="1">
      <c r="A196" s="66">
        <f>'Main dataset (DEPRECATED)'!Q197</f>
        <v>6876044</v>
      </c>
      <c r="B196" s="66" t="str">
        <f>IFERROR(__xludf.DUMMYFUNCTION("SPLIT('Main dataset (DEPRECATED2)'!N197,"";"")"),"AT&amp;T Bell Lab., USA|c|")</f>
        <v>AT&amp;T Bell Lab., USA|c|</v>
      </c>
      <c r="C196" s="66" t="s">
        <v>8505</v>
      </c>
      <c r="D196" s="66" t="s">
        <v>11735</v>
      </c>
      <c r="E196" s="66" t="s">
        <v>11662</v>
      </c>
    </row>
    <row r="197" ht="15.75" customHeight="1">
      <c r="A197" s="66">
        <f>'Main dataset (DEPRECATED)'!Q198</f>
        <v>6876022</v>
      </c>
      <c r="B197" s="66" t="str">
        <f>IFERROR(__xludf.DUMMYFUNCTION("SPLIT('Main dataset (DEPRECATED2)'!N198,"";"")"),"Stanford University Stanford")</f>
        <v>Stanford University Stanford</v>
      </c>
      <c r="C197" s="66" t="s">
        <v>8112</v>
      </c>
    </row>
    <row r="198" ht="15.75" customHeight="1">
      <c r="A198" s="66">
        <f>'Main dataset (DEPRECATED)'!Q199</f>
        <v>6875973</v>
      </c>
      <c r="B198" s="66" t="str">
        <f>IFERROR(__xludf.DUMMYFUNCTION("SPLIT('Main dataset (DEPRECATED2)'!N199,"";"")"),"T. J . Watson Research Ctr")</f>
        <v>T. J . Watson Research Ctr</v>
      </c>
      <c r="C198" s="66" t="s">
        <v>8372</v>
      </c>
      <c r="D198" s="66" t="s">
        <v>6484</v>
      </c>
      <c r="E198" s="66" t="s">
        <v>7537</v>
      </c>
      <c r="F198" s="66" t="s">
        <v>6471</v>
      </c>
    </row>
    <row r="199" ht="15.75" customHeight="1">
      <c r="A199" s="66">
        <f>'Main dataset (DEPRECATED)'!Q200</f>
        <v>6876010</v>
      </c>
      <c r="B199" s="66" t="str">
        <f>IFERROR(__xludf.DUMMYFUNCTION("SPLIT('Main dataset (DEPRECATED2)'!N200,"";"")"),"Lawrence Livermore National Laboratory Livermore")</f>
        <v>Lawrence Livermore National Laboratory Livermore</v>
      </c>
      <c r="C199" s="66" t="s">
        <v>7306</v>
      </c>
      <c r="D199" s="66" t="s">
        <v>7598</v>
      </c>
    </row>
    <row r="200" ht="15.75" customHeight="1">
      <c r="A200" s="66">
        <f>'Main dataset (DEPRECATED)'!Q201</f>
        <v>6876023</v>
      </c>
      <c r="B200" s="66" t="str">
        <f>IFERROR(__xludf.DUMMYFUNCTION("SPLIT('Main dataset (DEPRECATED2)'!N201,"";"")"),"IBM T.J. Watson Res. Center, Yorktown Heights, NY, USA|c|")</f>
        <v>IBM T.J. Watson Res. Center, Yorktown Heights, NY, USA|c|</v>
      </c>
      <c r="C200" s="66" t="s">
        <v>9218</v>
      </c>
      <c r="D200" s="66" t="s">
        <v>9672</v>
      </c>
      <c r="E200" s="66" t="s">
        <v>10370</v>
      </c>
      <c r="F200" s="66" t="s">
        <v>6471</v>
      </c>
    </row>
    <row r="201" ht="15.75" customHeight="1">
      <c r="A201" s="66">
        <f>'Main dataset (DEPRECATED)'!Q202</f>
        <v>6875989</v>
      </c>
      <c r="B201" s="66" t="str">
        <f>IFERROR(__xludf.DUMMYFUNCTION("SPLIT('Main dataset (DEPRECATED2)'!N202,"";"")"),"Netherlands Energy Res. Foundation, Petten, Netherlands|c|")</f>
        <v>Netherlands Energy Res. Foundation, Petten, Netherlands|c|</v>
      </c>
      <c r="C201" s="66" t="s">
        <v>10409</v>
      </c>
      <c r="D201" s="66" t="s">
        <v>8908</v>
      </c>
    </row>
    <row r="202" ht="15.75" customHeight="1">
      <c r="A202" s="66">
        <f>'Main dataset (DEPRECATED)'!Q203</f>
        <v>6875961</v>
      </c>
      <c r="B202" s="66" t="str">
        <f>IFERROR(__xludf.DUMMYFUNCTION("SPLIT('Main dataset (DEPRECATED2)'!N203,"";"")"),"University of Utah Salt Lake City##NASA Langley Research Center Hampton")</f>
        <v>University of Utah Salt Lake City##NASA Langley Research Center Hampton</v>
      </c>
      <c r="C202" s="66" t="s">
        <v>7171</v>
      </c>
    </row>
    <row r="203" ht="15.75" customHeight="1">
      <c r="A203" s="66">
        <f>'Main dataset (DEPRECATED)'!Q204</f>
        <v>6876017</v>
      </c>
      <c r="B203" s="66" t="str">
        <f>IFERROR(__xludf.DUMMYFUNCTION("SPLIT('Main dataset (DEPRECATED2)'!N204,"";"")"),"Lawrence Livemore National Laboratory Livermore##")</f>
        <v>Lawrence Livemore National Laboratory Livermore##</v>
      </c>
      <c r="C203" s="66" t="s">
        <v>7707</v>
      </c>
      <c r="D203" s="66" t="s">
        <v>10843</v>
      </c>
      <c r="E203" s="66" t="s">
        <v>11285</v>
      </c>
      <c r="F203" s="66" t="s">
        <v>9891</v>
      </c>
    </row>
    <row r="204" ht="15.75" customHeight="1">
      <c r="A204" s="66">
        <f>'Main dataset (DEPRECATED)'!Q205</f>
        <v>6876043</v>
      </c>
      <c r="B204" s="66" t="str">
        <f>IFERROR(__xludf.DUMMYFUNCTION("SPLIT('Main dataset (DEPRECATED2)'!N205,"";"")"),"General Electric Company Corporate Research and Development Schenectady")</f>
        <v>General Electric Company Corporate Research and Development Schenectady</v>
      </c>
      <c r="C204" s="66" t="s">
        <v>8127</v>
      </c>
      <c r="D204" s="66" t="s">
        <v>6685</v>
      </c>
      <c r="E204" s="66" t="s">
        <v>9923</v>
      </c>
      <c r="F204" s="66" t="s">
        <v>9472</v>
      </c>
    </row>
    <row r="205" ht="15.75" customHeight="1">
      <c r="A205" s="66">
        <f>'Main dataset (DEPRECATED)'!Q206</f>
        <v>6875927</v>
      </c>
      <c r="B205" s="66" t="str">
        <f>IFERROR(__xludf.DUMMYFUNCTION("SPLIT('Main dataset (DEPRECATED2)'!N206,"";"")"),"Australian National University Canberra##Australian National University Canberra")</f>
        <v>Australian National University Canberra##Australian National University Canberra</v>
      </c>
      <c r="C205" s="66" t="s">
        <v>11348</v>
      </c>
    </row>
    <row r="206" ht="15.75" customHeight="1">
      <c r="A206" s="66">
        <f>'Main dataset (DEPRECATED)'!Q207</f>
        <v>6875965</v>
      </c>
      <c r="B206" s="66" t="str">
        <f>IFERROR(__xludf.DUMMYFUNCTION("SPLIT('Main dataset (DEPRECATED2)'!N207,"";"")"),"University of California##University of California##University of California##University of California")</f>
        <v>University of California##University of California##University of California##University of California</v>
      </c>
      <c r="C206" s="66" t="s">
        <v>9433</v>
      </c>
      <c r="D206" s="66" t="s">
        <v>11617</v>
      </c>
      <c r="E206" s="66" t="s">
        <v>11659</v>
      </c>
    </row>
    <row r="207" ht="15.75" customHeight="1">
      <c r="A207" s="66">
        <f>'Main dataset (DEPRECATED)'!Q208</f>
        <v>6876018</v>
      </c>
      <c r="B207" s="66" t="str">
        <f>IFERROR(__xludf.DUMMYFUNCTION("SPLIT('Main dataset (DEPRECATED2)'!N208,"";"")"),"CSIRO Division of Information Technology GPO##CSIRO Division of Information Technology GPO")</f>
        <v>CSIRO Division of Information Technology GPO##CSIRO Division of Information Technology GPO</v>
      </c>
      <c r="C207" s="66" t="s">
        <v>10726</v>
      </c>
      <c r="D207" s="66" t="s">
        <v>11049</v>
      </c>
      <c r="E207" s="66" t="s">
        <v>10865</v>
      </c>
      <c r="F207" s="66" t="s">
        <v>9984</v>
      </c>
      <c r="G207" s="66" t="s">
        <v>10759</v>
      </c>
    </row>
    <row r="208" ht="15.75" customHeight="1">
      <c r="A208" s="66">
        <f>'Main dataset (DEPRECATED)'!Q209</f>
        <v>6875971</v>
      </c>
      <c r="B208" s="66" t="str">
        <f>IFERROR(__xludf.DUMMYFUNCTION("SPLIT('Main dataset (DEPRECATED2)'!N209,"";"")"),"University of North Carolina at Chapel Hill Chapel Hill##University of North Carolina at Chapel Hill Chapel Hill")</f>
        <v>University of North Carolina at Chapel Hill Chapel Hill##University of North Carolina at Chapel Hill Chapel Hill</v>
      </c>
      <c r="C208" s="66" t="s">
        <v>8470</v>
      </c>
      <c r="D208" s="66" t="s">
        <v>10148</v>
      </c>
      <c r="E208" s="66" t="s">
        <v>9135</v>
      </c>
      <c r="F208" s="66" t="s">
        <v>11594</v>
      </c>
      <c r="G208" s="66" t="s">
        <v>8464</v>
      </c>
      <c r="H208" s="66" t="s">
        <v>11574</v>
      </c>
      <c r="I208" s="66" t="s">
        <v>8507</v>
      </c>
    </row>
    <row r="209" ht="15.75" customHeight="1">
      <c r="A209" s="66">
        <f>'Main dataset (DEPRECATED)'!Q210</f>
        <v>6876019</v>
      </c>
      <c r="B209" s="66" t="str">
        <f>IFERROR(__xludf.DUMMYFUNCTION("SPLIT('Main dataset (DEPRECATED2)'!N210,"";"")"),"Illinois Institute of Technology Chicago")</f>
        <v>Illinois Institute of Technology Chicago</v>
      </c>
      <c r="C209" s="66" t="s">
        <v>8965</v>
      </c>
      <c r="D209" s="66" t="s">
        <v>6461</v>
      </c>
      <c r="E209" s="66" t="s">
        <v>10012</v>
      </c>
      <c r="F209" s="66" t="s">
        <v>11254</v>
      </c>
    </row>
    <row r="210" ht="15.75" customHeight="1">
      <c r="A210" s="66">
        <f>'Main dataset (DEPRECATED)'!Q211</f>
        <v>6876035</v>
      </c>
      <c r="B210" s="66" t="str">
        <f>IFERROR(__xludf.DUMMYFUNCTION("SPLIT('Main dataset (DEPRECATED2)'!N211,"";"")"),"University of Washington")</f>
        <v>University of Washington</v>
      </c>
      <c r="C210" s="66" t="s">
        <v>8551</v>
      </c>
      <c r="D210" s="66" t="s">
        <v>8047</v>
      </c>
      <c r="E210" s="66" t="s">
        <v>11694</v>
      </c>
    </row>
    <row r="211" ht="15.75" customHeight="1">
      <c r="A211" s="66">
        <f>'Main dataset (DEPRECATED)'!Q212</f>
        <v>6875922</v>
      </c>
      <c r="B211" s="66" t="str">
        <f>IFERROR(__xludf.DUMMYFUNCTION("SPLIT('Main dataset (DEPRECATED2)'!N212,"";"")"),"Los Alamos Nat. Lab., NM, USA|c|")</f>
        <v>Los Alamos Nat. Lab., NM, USA|c|</v>
      </c>
      <c r="C211" s="66" t="s">
        <v>6591</v>
      </c>
      <c r="D211" s="66" t="s">
        <v>7007</v>
      </c>
      <c r="E211" s="66" t="s">
        <v>9922</v>
      </c>
      <c r="F211" s="66" t="s">
        <v>11048</v>
      </c>
    </row>
    <row r="212" ht="15.75" customHeight="1">
      <c r="A212" s="66">
        <f>'Main dataset (DEPRECATED)'!Q213</f>
        <v>6875954</v>
      </c>
      <c r="B212" s="66" t="str">
        <f>IFERROR(__xludf.DUMMYFUNCTION("SPLIT('Main dataset (DEPRECATED2)'!N213,"";"")"),"Schlumberger Lab. for Comput. Sci., Austin, TX, USA|c|")</f>
        <v>Schlumberger Lab. for Comput. Sci., Austin, TX, USA|c|</v>
      </c>
      <c r="C212" s="66" t="s">
        <v>7371</v>
      </c>
      <c r="D212" s="66" t="s">
        <v>10058</v>
      </c>
      <c r="E212" s="66" t="s">
        <v>6169</v>
      </c>
    </row>
    <row r="213" ht="15.75" customHeight="1">
      <c r="A213" s="66">
        <f>'Main dataset (DEPRECATED)'!Q214</f>
        <v>6877722</v>
      </c>
      <c r="B213" s="66" t="str">
        <f>IFERROR(__xludf.DUMMYFUNCTION("SPLIT('Main dataset (DEPRECATED2)'!N214,"";"")"),"GeoVisual Systems Ltd##GeoVisual Systems Ltd##GeoVisual Systems Ltd##GeoVisual Systems Ltd")</f>
        <v>GeoVisual Systems Ltd##GeoVisual Systems Ltd##GeoVisual Systems Ltd##GeoVisual Systems Ltd</v>
      </c>
      <c r="C213" s="66" t="s">
        <v>8955</v>
      </c>
      <c r="D213" s="66" t="s">
        <v>8220</v>
      </c>
      <c r="E213" s="66" t="s">
        <v>10653</v>
      </c>
      <c r="F213" s="66" t="s">
        <v>9984</v>
      </c>
    </row>
    <row r="214" ht="15.75" customHeight="1">
      <c r="A214" s="66">
        <f>'Main dataset (DEPRECATED)'!Q215</f>
        <v>6875918</v>
      </c>
      <c r="B214" s="66" t="str">
        <f>IFERROR(__xludf.DUMMYFUNCTION("SPLIT('Main dataset (DEPRECATED2)'!N215,"";"")"),"German Aerospace Research Establishment##German Aerospace Research Establishment")</f>
        <v>German Aerospace Research Establishment##German Aerospace Research Establishment</v>
      </c>
      <c r="C214" s="66" t="s">
        <v>7938</v>
      </c>
      <c r="D214" s="66" t="s">
        <v>9016</v>
      </c>
      <c r="E214" s="66" t="s">
        <v>11048</v>
      </c>
      <c r="F214" s="66" t="s">
        <v>9807</v>
      </c>
    </row>
    <row r="215" ht="15.75" customHeight="1">
      <c r="A215" s="66">
        <f>'Main dataset (DEPRECATED)'!Q216</f>
        <v>6875964</v>
      </c>
      <c r="B215" s="66" t="str">
        <f>IFERROR(__xludf.DUMMYFUNCTION("SPLIT('Main dataset (DEPRECATED2)'!N216,"";"")"),"Boeing Computer Services Research and Technology##Boeing Computer Services Research and Technology")</f>
        <v>Boeing Computer Services Research and Technology##Boeing Computer Services Research and Technology</v>
      </c>
      <c r="C215" s="66" t="s">
        <v>11438</v>
      </c>
      <c r="D215" s="66" t="s">
        <v>8737</v>
      </c>
    </row>
    <row r="216" ht="15.75" customHeight="1">
      <c r="A216" s="66">
        <f>'Main dataset (DEPRECATED)'!Q217</f>
        <v>6875963</v>
      </c>
      <c r="B216" s="66" t="str">
        <f>IFERROR(__xludf.DUMMYFUNCTION("SPLIT('Main dataset (DEPRECATED2)'!N217,"";"")"),"JOANNEUM RESEARCH Institute for Information Systems##JOANNEUM RESEARCH Institute for Information Systems")</f>
        <v>JOANNEUM RESEARCH Institute for Information Systems##JOANNEUM RESEARCH Institute for Information Systems</v>
      </c>
      <c r="C216" s="66" t="s">
        <v>8122</v>
      </c>
      <c r="D216" s="66" t="s">
        <v>7698</v>
      </c>
    </row>
    <row r="217" ht="15.75" customHeight="1">
      <c r="A217" s="66">
        <f>'Main dataset (DEPRECATED)'!Q218</f>
        <v>6875931</v>
      </c>
      <c r="B217" s="66" t="str">
        <f>IFERROR(__xludf.DUMMYFUNCTION("SPLIT('Main dataset (DEPRECATED2)'!N218,"";"")"),"Ecole Polytech., CNRS, France|c|")</f>
        <v>Ecole Polytech., CNRS, France|c|</v>
      </c>
      <c r="C217" s="66" t="s">
        <v>8779</v>
      </c>
      <c r="D217" s="66" t="s">
        <v>10181</v>
      </c>
      <c r="E217" s="66" t="s">
        <v>6483</v>
      </c>
      <c r="F217" s="66" t="s">
        <v>8641</v>
      </c>
      <c r="G217" s="66" t="s">
        <v>9048</v>
      </c>
      <c r="H217" s="66" t="s">
        <v>9891</v>
      </c>
    </row>
    <row r="218" ht="15.75" customHeight="1">
      <c r="A218" s="66">
        <f>'Main dataset (DEPRECATED)'!Q219</f>
        <v>6875962</v>
      </c>
      <c r="B218" s="66" t="str">
        <f>IFERROR(__xludf.DUMMYFUNCTION("SPLIT('Main dataset (DEPRECATED2)'!N219,"";"")"),"CERN Inst .f. Experiment alphysik d. Univ. Niels Bohr Institute##CERN Inst .f. Experiment alphysik d. Univ. Niels Bohr Institute##CERN Inst .f. Experiment alphysik d. Univ. Niels Bohr Institute")</f>
        <v>CERN Inst .f. Experiment alphysik d. Univ. Niels Bohr Institute##CERN Inst .f. Experiment alphysik d. Univ. Niels Bohr Institute##CERN Inst .f. Experiment alphysik d. Univ. Niels Bohr Institute</v>
      </c>
      <c r="C218" s="66" t="s">
        <v>10317</v>
      </c>
      <c r="D218" s="66" t="s">
        <v>9545</v>
      </c>
      <c r="E218" s="66" t="s">
        <v>7432</v>
      </c>
    </row>
    <row r="219" ht="15.75" customHeight="1">
      <c r="A219" s="66">
        <f>'Main dataset (DEPRECATED)'!Q220</f>
        <v>6875939</v>
      </c>
      <c r="B219" s="66" t="str">
        <f>IFERROR(__xludf.DUMMYFUNCTION("SPLIT('Main dataset (DEPRECATED2)'!N220,"";"")"),"IBM Thomas J. Watson Research Center")</f>
        <v>IBM Thomas J. Watson Research Center</v>
      </c>
      <c r="C219" s="66" t="s">
        <v>8402</v>
      </c>
      <c r="D219" s="66" t="s">
        <v>10110</v>
      </c>
      <c r="E219" s="66" t="s">
        <v>10481</v>
      </c>
      <c r="F219" s="66" t="s">
        <v>10719</v>
      </c>
      <c r="G219" s="66" t="s">
        <v>11393</v>
      </c>
    </row>
    <row r="220" ht="15.75" customHeight="1">
      <c r="A220" s="66">
        <f>'Main dataset (DEPRECATED)'!Q221</f>
        <v>6876024</v>
      </c>
      <c r="B220" s="66" t="str">
        <f>IFERROR(__xludf.DUMMYFUNCTION("SPLIT('Main dataset (DEPRECATED2)'!N221,"";"")"),"Fujitsu America, Inc")</f>
        <v>Fujitsu America, Inc</v>
      </c>
    </row>
    <row r="221" ht="15.75" customHeight="1">
      <c r="A221" s="66">
        <f>'Main dataset (DEPRECATED)'!Q222</f>
        <v>6875956</v>
      </c>
      <c r="B221" s="66" t="str">
        <f>IFERROR(__xludf.DUMMYFUNCTION("SPLIT('Main dataset (DEPRECATED2)'!N222,"";"")"),"NSF Engineering Research Center for Computational Field Simulation Mississippi State University Mississippi State##NSF Engineering Research Center for Computational Field Simulation Mississippi State University Mississippi State##NSF Engineering Research "&amp;"Center for Computational Field Simulation Mississippi State University Mississippi State")</f>
        <v>NSF Engineering Research Center for Computational Field Simulation Mississippi State University Mississippi State##NSF Engineering Research Center for Computational Field Simulation Mississippi State University Mississippi State##NSF Engineering Research Center for Computational Field Simulation Mississippi State University Mississippi State</v>
      </c>
      <c r="C221" s="66" t="s">
        <v>6936</v>
      </c>
      <c r="D221" s="66" t="s">
        <v>8045</v>
      </c>
      <c r="E221" s="66" t="s">
        <v>7414</v>
      </c>
      <c r="F221" s="66" t="s">
        <v>11594</v>
      </c>
      <c r="G221" s="66" t="s">
        <v>10619</v>
      </c>
    </row>
    <row r="222" ht="15.75" customHeight="1">
      <c r="A222" s="66">
        <f>'Main dataset (DEPRECATED)'!Q223</f>
        <v>6875936</v>
      </c>
      <c r="B222" s="66" t="str">
        <f>IFERROR(__xludf.DUMMYFUNCTION("SPLIT('Main dataset (DEPRECATED2)'!N223,"";"")"),"General Electric Company Corporate Research and Development Schenectady##General Electric Company Corporate Research and Development Schenectady##General Electric Company Corporate Research and Development Schenectady")</f>
        <v>General Electric Company Corporate Research and Development Schenectady##General Electric Company Corporate Research and Development Schenectady##General Electric Company Corporate Research and Development Schenectady</v>
      </c>
      <c r="C222" s="66" t="s">
        <v>10317</v>
      </c>
      <c r="D222" s="66" t="s">
        <v>4987</v>
      </c>
      <c r="E222" s="66" t="s">
        <v>7432</v>
      </c>
    </row>
    <row r="223" ht="15.75" customHeight="1">
      <c r="A223" s="66">
        <f>'Main dataset (DEPRECATED)'!Q224</f>
        <v>6876051</v>
      </c>
      <c r="B223" s="66" t="str">
        <f>IFERROR(__xludf.DUMMYFUNCTION("SPLIT('Main dataset (DEPRECATED2)'!N224,"";"")"),"I.N.R.I.A., Sophia-Antipolis, France|c|")</f>
        <v>I.N.R.I.A., Sophia-Antipolis, France|c|</v>
      </c>
      <c r="C223" s="66" t="s">
        <v>6394</v>
      </c>
      <c r="D223" s="66" t="s">
        <v>8114</v>
      </c>
    </row>
    <row r="224" ht="15.75" customHeight="1">
      <c r="A224" s="66">
        <f>'Main dataset (DEPRECATED)'!Q225</f>
        <v>6875905</v>
      </c>
      <c r="B224" s="66" t="str">
        <f>IFERROR(__xludf.DUMMYFUNCTION("SPLIT('Main dataset (DEPRECATED2)'!N225,"";"")"),"CNUCE CNR##CNUCE CNR##CNUCE CNR")</f>
        <v>CNUCE CNR##CNUCE CNR##CNUCE CNR</v>
      </c>
      <c r="C224" s="66" t="s">
        <v>10317</v>
      </c>
      <c r="D224" s="66" t="s">
        <v>7107</v>
      </c>
      <c r="E224" s="66" t="s">
        <v>11396</v>
      </c>
    </row>
    <row r="225" ht="15.75" customHeight="1">
      <c r="A225" s="66">
        <f>'Main dataset (DEPRECATED)'!Q226</f>
        <v>6875990</v>
      </c>
      <c r="B225" s="66" t="str">
        <f>IFERROR(__xludf.DUMMYFUNCTION("SPLIT('Main dataset (DEPRECATED2)'!N226,"";"")"),"S.-Petersburg State University##Russian Scientific Center ""Kurchatov Institute""")</f>
        <v>S.-Petersburg State University##Russian Scientific Center "Kurchatov Institute"</v>
      </c>
      <c r="C225" s="66" t="s">
        <v>7233</v>
      </c>
      <c r="D225" s="66" t="s">
        <v>11431</v>
      </c>
    </row>
    <row r="226" ht="15.75" customHeight="1">
      <c r="A226" s="66">
        <f>'Main dataset (DEPRECATED)'!Q227</f>
        <v>6875976</v>
      </c>
      <c r="B226" s="66" t="str">
        <f>IFERROR(__xludf.DUMMYFUNCTION("SPLIT('Main dataset (DEPRECATED2)'!N227,"";"")"),"Martin Marietta/US EPA Visualization Center, USA|c|")</f>
        <v>Martin Marietta/US EPA Visualization Center, USA|c|</v>
      </c>
      <c r="C226" s="66" t="s">
        <v>9591</v>
      </c>
    </row>
    <row r="227" ht="15.75" customHeight="1">
      <c r="A227" s="66">
        <f>'Main dataset (DEPRECATED)'!Q228</f>
        <v>6876031</v>
      </c>
      <c r="B227" s="66" t="str">
        <f>IFERROR(__xludf.DUMMYFUNCTION("SPLIT('Main dataset (DEPRECATED2)'!N228,"";"")"),"NASA Ames Res. Center, Moffett Field, CA, USA|c|")</f>
        <v>NASA Ames Res. Center, Moffett Field, CA, USA|c|</v>
      </c>
      <c r="C227" s="66" t="s">
        <v>6401</v>
      </c>
      <c r="D227" s="66" t="s">
        <v>8625</v>
      </c>
      <c r="E227" s="66" t="s">
        <v>9594</v>
      </c>
    </row>
    <row r="228" ht="15.75" customHeight="1">
      <c r="A228" s="66">
        <f>'Main dataset (DEPRECATED)'!Q229</f>
        <v>6876002</v>
      </c>
      <c r="B228" s="66" t="str">
        <f>IFERROR(__xludf.DUMMYFUNCTION("SPLIT('Main dataset (DEPRECATED2)'!N229,"";"")"),"LORAL Space &amp; Range Syst., Sunnyvale, CA, USA|c|")</f>
        <v>LORAL Space &amp; Range Syst., Sunnyvale, CA, USA|c|</v>
      </c>
      <c r="C228" s="66" t="s">
        <v>8870</v>
      </c>
      <c r="D228" s="66" t="s">
        <v>9472</v>
      </c>
      <c r="E228" s="66" t="s">
        <v>7985</v>
      </c>
    </row>
    <row r="229" ht="15.75" customHeight="1">
      <c r="A229" s="66">
        <f>'Main dataset (DEPRECATED)'!Q230</f>
        <v>6875945</v>
      </c>
      <c r="B229" s="66" t="str">
        <f>IFERROR(__xludf.DUMMYFUNCTION("SPLIT('Main dataset (DEPRECATED2)'!N230,"";"")"),"Dept. of Comput. Sci., California Univ., Los Angeles, CA, USA|c|")</f>
        <v>Dept. of Comput. Sci., California Univ., Los Angeles, CA, USA|c|</v>
      </c>
      <c r="C229" s="66" t="s">
        <v>10882</v>
      </c>
      <c r="D229" s="66" t="s">
        <v>10301</v>
      </c>
      <c r="E229" s="66" t="s">
        <v>8253</v>
      </c>
      <c r="F229" s="66" t="s">
        <v>10290</v>
      </c>
      <c r="G229" s="66" t="s">
        <v>7462</v>
      </c>
      <c r="H229" s="66" t="s">
        <v>7737</v>
      </c>
    </row>
    <row r="230" ht="15.75" customHeight="1">
      <c r="A230" s="66">
        <f>'Main dataset (DEPRECATED)'!Q231</f>
        <v>6875975</v>
      </c>
      <c r="B230" s="66" t="str">
        <f>IFERROR(__xludf.DUMMYFUNCTION("SPLIT('Main dataset (DEPRECATED2)'!N231,"";"")"),"Dept. Image et Traitement de l''Inf., Ecole Nat. Superieure des Telecommun. de Bretagne, Brest, France|c|")</f>
        <v>Dept. Image et Traitement de l''Inf., Ecole Nat. Superieure des Telecommun. de Bretagne, Brest, France|c|</v>
      </c>
      <c r="C230" s="66" t="s">
        <v>8246</v>
      </c>
      <c r="D230" s="66" t="s">
        <v>4987</v>
      </c>
    </row>
    <row r="231" ht="15.75" customHeight="1">
      <c r="A231" s="66">
        <f>'Main dataset (DEPRECATED)'!Q232</f>
        <v>6875981</v>
      </c>
      <c r="B231" s="66" t="str">
        <f>IFERROR(__xludf.DUMMYFUNCTION("SPLIT('Main dataset (DEPRECATED2)'!N232,"";"")"),"Alabama Univ., Huntsville, AL, USA|c|")</f>
        <v>Alabama Univ., Huntsville, AL, USA|c|</v>
      </c>
      <c r="C231" s="66" t="s">
        <v>8831</v>
      </c>
      <c r="D231" s="66" t="s">
        <v>8774</v>
      </c>
      <c r="E231" s="66" t="s">
        <v>11035</v>
      </c>
      <c r="F231" s="66" t="s">
        <v>7390</v>
      </c>
      <c r="G231" s="66" t="s">
        <v>9678</v>
      </c>
      <c r="H231" s="66" t="s">
        <v>6781</v>
      </c>
      <c r="I231" s="66" t="s">
        <v>8654</v>
      </c>
    </row>
    <row r="232" ht="15.75" customHeight="1">
      <c r="A232" s="66">
        <f>'Main dataset (DEPRECATED)'!Q233</f>
        <v>6876004</v>
      </c>
      <c r="B232" s="66" t="str">
        <f>IFERROR(__xludf.DUMMYFUNCTION("SPLIT('Main dataset (DEPRECATED2)'!N233,"";"")"),"Arctic Region Supercomput. Center, Alaska Univ., Fairbanks, AK, USA|c|")</f>
        <v>Arctic Region Supercomput. Center, Alaska Univ., Fairbanks, AK, USA|c|</v>
      </c>
      <c r="C232" s="66" t="s">
        <v>7521</v>
      </c>
      <c r="D232" s="66" t="s">
        <v>7125</v>
      </c>
      <c r="E232" s="66" t="s">
        <v>7610</v>
      </c>
      <c r="F232" s="66" t="s">
        <v>10621</v>
      </c>
    </row>
    <row r="233" ht="15.75" customHeight="1">
      <c r="A233" s="66">
        <f>'Main dataset (DEPRECATED)'!Q234</f>
        <v>6876040</v>
      </c>
      <c r="B233" s="66" t="str">
        <f>IFERROR(__xludf.DUMMYFUNCTION("SPLIT('Main dataset (DEPRECATED2)'!N234,"";"")"),"NIST Gaithersburg##NIST Gaithersburg##NIST Gaithersburg##NIST Gaithersburg")</f>
        <v>NIST Gaithersburg##NIST Gaithersburg##NIST Gaithersburg##NIST Gaithersburg</v>
      </c>
      <c r="C233" s="66" t="s">
        <v>6685</v>
      </c>
      <c r="D233" s="66" t="s">
        <v>7887</v>
      </c>
      <c r="E233" s="66" t="s">
        <v>7985</v>
      </c>
    </row>
    <row r="234" ht="15.75" customHeight="1">
      <c r="A234" s="66">
        <f>'Main dataset (DEPRECATED)'!Q235</f>
        <v>6875910</v>
      </c>
      <c r="B234" s="66" t="str">
        <f>IFERROR(__xludf.DUMMYFUNCTION("SPLIT('Main dataset (DEPRECATED2)'!N235,"";"")"),"University of Washington Seattle##University of Washington Seattle")</f>
        <v>University of Washington Seattle##University of Washington Seattle</v>
      </c>
      <c r="C234" s="66" t="s">
        <v>8461</v>
      </c>
      <c r="D234" s="66" t="s">
        <v>7932</v>
      </c>
      <c r="E234" s="66" t="s">
        <v>11213</v>
      </c>
    </row>
    <row r="235" ht="15.75" customHeight="1">
      <c r="A235" s="66">
        <f>'Main dataset (DEPRECATED)'!Q236</f>
        <v>6887357</v>
      </c>
      <c r="B235" s="66" t="str">
        <f>IFERROR(__xludf.DUMMYFUNCTION("SPLIT('Main dataset (DEPRECATED2)'!N236,"";"")"),"Visualization Lab., Texas A&amp;M Univ., College Station, TX, USA|c|")</f>
        <v>Visualization Lab., Texas A&amp;M Univ., College Station, TX, USA|c|</v>
      </c>
    </row>
    <row r="236" ht="15.75" customHeight="1">
      <c r="A236" s="66">
        <f>'Main dataset (DEPRECATED)'!Q237</f>
        <v>6876027</v>
      </c>
      <c r="B236" s="66" t="str">
        <f>IFERROR(__xludf.DUMMYFUNCTION("SPLIT('Main dataset (DEPRECATED2)'!N237,"";"")"),"Fraunhofer-Inst. for Comput. Graphics, Darmstadt, Germany|c|")</f>
        <v>Fraunhofer-Inst. for Comput. Graphics, Darmstadt, Germany|c|</v>
      </c>
      <c r="C236" s="66" t="s">
        <v>8473</v>
      </c>
      <c r="D236" s="66" t="s">
        <v>7919</v>
      </c>
    </row>
    <row r="237" ht="15.75" customHeight="1">
      <c r="A237" s="66">
        <f>'Main dataset (DEPRECATED)'!Q238</f>
        <v>6875916</v>
      </c>
      <c r="B237" s="66" t="str">
        <f>IFERROR(__xludf.DUMMYFUNCTION("SPLIT('Main dataset (DEPRECATED2)'!N238,"";"")"),"University of North Carolina##University of North Carolina##University of North Carolina##University of North Carolina##University of North Carolina##University of North Carolina##University of North Carolina##University of North Carolina")</f>
        <v>University of North Carolina##University of North Carolina##University of North Carolina##University of North Carolina##University of North Carolina##University of North Carolina##University of North Carolina##University of North Carolina</v>
      </c>
      <c r="C237" s="66" t="s">
        <v>11546</v>
      </c>
      <c r="D237" s="66" t="s">
        <v>11082</v>
      </c>
      <c r="E237" s="66" t="s">
        <v>8180</v>
      </c>
      <c r="F237" s="66" t="s">
        <v>9891</v>
      </c>
      <c r="G237" s="66" t="s">
        <v>11522</v>
      </c>
    </row>
    <row r="238" ht="15.75" customHeight="1">
      <c r="A238" s="66">
        <f>'Main dataset (DEPRECATED)'!Q239</f>
        <v>6875953</v>
      </c>
      <c r="B238" s="66" t="str">
        <f>IFERROR(__xludf.DUMMYFUNCTION("SPLIT('Main dataset (DEPRECATED2)'!N239,"";"")"),"Simon Fraser University##Simon Fraser University##Simon Fraser University")</f>
        <v>Simon Fraser University##Simon Fraser University##Simon Fraser University</v>
      </c>
      <c r="C238" s="66" t="s">
        <v>11850</v>
      </c>
      <c r="D238" s="66" t="s">
        <v>8501</v>
      </c>
    </row>
    <row r="239" ht="15.75" customHeight="1">
      <c r="A239" s="66">
        <f>'Main dataset (DEPRECATED)'!Q240</f>
        <v>6875993</v>
      </c>
      <c r="B239" s="66" t="str">
        <f>IFERROR(__xludf.DUMMYFUNCTION("SPLIT('Main dataset (DEPRECATED2)'!N240,"";"")"),"NSF Engineering Research Center for Computational Field Simulation##NSF Engineering Research Center for Computational Field Simulation##NSF Engineering Research Center for Computational Field Simulation")</f>
        <v>NSF Engineering Research Center for Computational Field Simulation##NSF Engineering Research Center for Computational Field Simulation##NSF Engineering Research Center for Computational Field Simulation</v>
      </c>
      <c r="C239" s="66" t="s">
        <v>11014</v>
      </c>
    </row>
    <row r="240" ht="15.75" customHeight="1">
      <c r="A240" s="66">
        <f>'Main dataset (DEPRECATED)'!Q241</f>
        <v>6876013</v>
      </c>
      <c r="B240" s="66" t="str">
        <f>IFERROR(__xludf.DUMMYFUNCTION("SPLIT('Main dataset (DEPRECATED2)'!N241,"";"")"),"IBM Thomas J. Watson Research Center")</f>
        <v>IBM Thomas J. Watson Research Center</v>
      </c>
      <c r="C240" s="66" t="s">
        <v>9584</v>
      </c>
      <c r="D240" s="66" t="s">
        <v>11788</v>
      </c>
      <c r="E240" s="66" t="s">
        <v>11634</v>
      </c>
      <c r="F240" s="66" t="s">
        <v>11723</v>
      </c>
      <c r="G240" s="66" t="s">
        <v>6988</v>
      </c>
    </row>
    <row r="241" ht="15.75" customHeight="1">
      <c r="A241" s="66">
        <f>'Main dataset (DEPRECATED)'!Q242</f>
        <v>6875974</v>
      </c>
      <c r="B241" s="66" t="str">
        <f>IFERROR(__xludf.DUMMYFUNCTION("SPLIT('Main dataset (DEPRECATED2)'!N242,"";"")"),"Technical University of Budapest")</f>
        <v>Technical University of Budapest</v>
      </c>
      <c r="C241" s="66" t="s">
        <v>9667</v>
      </c>
      <c r="D241" s="66" t="s">
        <v>10057</v>
      </c>
    </row>
    <row r="242" ht="15.75" customHeight="1">
      <c r="A242" s="66">
        <f>'Main dataset (DEPRECATED)'!Q243</f>
        <v>7042479</v>
      </c>
      <c r="B242" s="66" t="str">
        <f>IFERROR(__xludf.DUMMYFUNCTION("SPLIT('Main dataset (DEPRECATED2)'!N243,"";"")"),"Science Applications International Corporation Mckan##Science Applications International Corporation Mckan##Science Applications International Corporation Mckan##Science Applications International Corporation Mckan##Science Applications International Corp"&amp;"oration Mckan##Science Applications International Corporation Mckan##Science Applications International Corporation Mckan")</f>
        <v>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Mckan##Science Applications International Corporation Mckan</v>
      </c>
      <c r="C242" s="66" t="s">
        <v>9527</v>
      </c>
      <c r="D242" s="66" t="s">
        <v>4987</v>
      </c>
    </row>
    <row r="243" ht="15.75" customHeight="1">
      <c r="A243" s="66">
        <f>'Main dataset (DEPRECATED)'!Q244</f>
        <v>7042486</v>
      </c>
      <c r="B243" s="66" t="str">
        <f>IFERROR(__xludf.DUMMYFUNCTION("SPLIT('Main dataset (DEPRECATED2)'!N244,"";"")"),"Plasma Phys. Lab., Princeton Univ., NJ, USA|c|")</f>
        <v>Plasma Phys. Lab., Princeton Univ., NJ, USA|c|</v>
      </c>
      <c r="C243" s="66" t="s">
        <v>11365</v>
      </c>
      <c r="D243" s="66" t="s">
        <v>7494</v>
      </c>
      <c r="E243" s="66" t="s">
        <v>11662</v>
      </c>
      <c r="F243" s="66" t="s">
        <v>8029</v>
      </c>
      <c r="G243" s="66" t="s">
        <v>11045</v>
      </c>
      <c r="H243" s="66" t="s">
        <v>9119</v>
      </c>
      <c r="I243" s="66" t="s">
        <v>10214</v>
      </c>
      <c r="J243" s="66" t="s">
        <v>8321</v>
      </c>
    </row>
    <row r="244" ht="15.75" customHeight="1">
      <c r="A244" s="66">
        <f>'Main dataset (DEPRECATED)'!Q245</f>
        <v>7042482</v>
      </c>
      <c r="B244" s="66" t="str">
        <f>IFERROR(__xludf.DUMMYFUNCTION("SPLIT('Main dataset (DEPRECATED2)'!N245,"";"")"),"Dept. of Comput. Sci., Worcester Polytech. Inst., MA, USA|c|")</f>
        <v>Dept. of Comput. Sci., Worcester Polytech. Inst., MA, USA|c|</v>
      </c>
      <c r="C244" s="66" t="s">
        <v>8284</v>
      </c>
      <c r="D244" s="66" t="s">
        <v>11834</v>
      </c>
      <c r="E244" s="66" t="s">
        <v>8908</v>
      </c>
    </row>
    <row r="245" ht="15.75" customHeight="1">
      <c r="A245" s="66">
        <f>'Main dataset (DEPRECATED)'!Q246</f>
        <v>7042481</v>
      </c>
      <c r="B245" s="66" t="str">
        <f>IFERROR(__xludf.DUMMYFUNCTION("SPLIT('Main dataset (DEPRECATED2)'!N246,"";"")"),"The George Washington University Washington##The George Washington University Washington")</f>
        <v>The George Washington University Washington##The George Washington University Washington</v>
      </c>
      <c r="C245" s="66" t="s">
        <v>10267</v>
      </c>
      <c r="D245" s="66" t="s">
        <v>10405</v>
      </c>
      <c r="E245" s="66" t="s">
        <v>8674</v>
      </c>
      <c r="F245" s="66" t="s">
        <v>9269</v>
      </c>
      <c r="G245" s="66" t="s">
        <v>8933</v>
      </c>
      <c r="H245" s="66" t="s">
        <v>6707</v>
      </c>
    </row>
    <row r="246" ht="15.75" customHeight="1">
      <c r="A246" s="66">
        <f>'Main dataset (DEPRECATED)'!Q247</f>
        <v>7042484</v>
      </c>
      <c r="B246" s="66" t="str">
        <f>IFERROR(__xludf.DUMMYFUNCTION("SPLIT('Main dataset (DEPRECATED2)'!N247,"";"")"),"University of Wisconsin -Madison##University of Wisconsin -Madison##University of Wisconsin -Madison")</f>
        <v>University of Wisconsin -Madison##University of Wisconsin -Madison##University of Wisconsin -Madison</v>
      </c>
      <c r="C246" s="66" t="s">
        <v>6165</v>
      </c>
      <c r="D246" s="66" t="s">
        <v>11315</v>
      </c>
      <c r="E246" s="66" t="s">
        <v>11646</v>
      </c>
      <c r="F246" s="66" t="s">
        <v>8571</v>
      </c>
      <c r="G246" s="66" t="s">
        <v>9207</v>
      </c>
      <c r="H246" s="66" t="s">
        <v>11742</v>
      </c>
      <c r="I246" s="66" t="s">
        <v>6857</v>
      </c>
      <c r="J246" s="66" t="s">
        <v>7361</v>
      </c>
    </row>
    <row r="247" ht="15.75" customHeight="1">
      <c r="A247" s="66">
        <f>'Main dataset (DEPRECATED)'!Q248</f>
        <v>7042478</v>
      </c>
      <c r="B247" s="66" t="str">
        <f>IFERROR(__xludf.DUMMYFUNCTION("SPLIT('Main dataset (DEPRECATED2)'!N248,"";"")"),"University of California##University of California")</f>
        <v>University of California##University of California</v>
      </c>
      <c r="C247" s="66" t="s">
        <v>8824</v>
      </c>
      <c r="D247" s="66" t="s">
        <v>11264</v>
      </c>
      <c r="E247" s="66" t="s">
        <v>10621</v>
      </c>
    </row>
    <row r="248" ht="15.75" customHeight="1">
      <c r="A248" s="66">
        <f>'Main dataset (DEPRECATED)'!Q249</f>
        <v>7042490</v>
      </c>
      <c r="B248" s="66" t="str">
        <f>IFERROR(__xludf.DUMMYFUNCTION("SPLIT('Main dataset (DEPRECATED2)'!N249,"";"")"),"Program of Comput. Graphics, Cornell Univ., Ithaca, NY, USA|c|")</f>
        <v>Program of Comput. Graphics, Cornell Univ., Ithaca, NY, USA|c|</v>
      </c>
      <c r="C248" s="66" t="s">
        <v>11692</v>
      </c>
      <c r="D248" s="66" t="s">
        <v>8287</v>
      </c>
      <c r="E248" s="66" t="s">
        <v>11365</v>
      </c>
      <c r="F248" s="66" t="s">
        <v>7887</v>
      </c>
      <c r="G248" s="66" t="s">
        <v>9081</v>
      </c>
    </row>
    <row r="249" ht="15.75" customHeight="1">
      <c r="A249" s="66">
        <f>'Main dataset (DEPRECATED)'!Q250</f>
        <v>6875994</v>
      </c>
      <c r="B249" s="66" t="str">
        <f>IFERROR(__xludf.DUMMYFUNCTION("SPLIT('Main dataset (DEPRECATED2)'!N250,"";"")"),"Dept. of Comput. Sci., Inst. for High Energy Phys., Moscow, Russia|c|")</f>
        <v>Dept. of Comput. Sci., Inst. for High Energy Phys., Moscow, Russia|c|</v>
      </c>
      <c r="C249" s="66" t="s">
        <v>9025</v>
      </c>
      <c r="D249" s="66" t="s">
        <v>10838</v>
      </c>
      <c r="E249" s="66" t="s">
        <v>10843</v>
      </c>
      <c r="F249" s="66" t="s">
        <v>11342</v>
      </c>
      <c r="G249" s="66" t="s">
        <v>9891</v>
      </c>
      <c r="H249" s="66" t="s">
        <v>10411</v>
      </c>
    </row>
    <row r="250" ht="15.75" customHeight="1">
      <c r="A250" s="66">
        <f>'Main dataset (DEPRECATED)'!Q251</f>
        <v>6875958</v>
      </c>
      <c r="B250" s="66" t="str">
        <f>IFERROR(__xludf.DUMMYFUNCTION("SPLIT('Main dataset (DEPRECATED2)'!N251,"";"")"),"I.E.I. -Consiglio Nazionale delle Ricerche##Studi Superiori Sardegna (CRSI)##CNUCE -Consiglio Nazionale delle Ricerche")</f>
        <v>I.E.I. -Consiglio Nazionale delle Ricerche##Studi Superiori Sardegna (CRSI)##CNUCE -Consiglio Nazionale delle Ricerche</v>
      </c>
      <c r="C250" s="66" t="s">
        <v>8164</v>
      </c>
      <c r="D250" s="66" t="s">
        <v>7887</v>
      </c>
      <c r="E250" s="66" t="s">
        <v>8661</v>
      </c>
    </row>
    <row r="251" ht="15.75" customHeight="1">
      <c r="A251" s="66">
        <f>'Main dataset (DEPRECATED)'!Q252</f>
        <v>6875996</v>
      </c>
      <c r="B251" s="66" t="str">
        <f>IFERROR(__xludf.DUMMYFUNCTION("SPLIT('Main dataset (DEPRECATED2)'!N252,"";"")"),"Cambridge Research Lab Digital Equipment Corporation One Kendall Sq")</f>
        <v>Cambridge Research Lab Digital Equipment Corporation One Kendall Sq</v>
      </c>
      <c r="C251" s="66" t="s">
        <v>10772</v>
      </c>
    </row>
    <row r="252" ht="15.75" customHeight="1">
      <c r="A252" s="66">
        <f>'Main dataset (DEPRECATED)'!Q253</f>
        <v>6876046</v>
      </c>
      <c r="B252" s="66" t="str">
        <f>IFERROR(__xludf.DUMMYFUNCTION("SPLIT('Main dataset (DEPRECATED2)'!N253,"";"")"),"Fluent Inc. Centerra Resource Park Lebanon##Fluent Inc. Centerra Resource Park Lebanon##Fluent Inc. Centerra Resource Park Lebanon")</f>
        <v>Fluent Inc. Centerra Resource Park Lebanon##Fluent Inc. Centerra Resource Park Lebanon##Fluent Inc. Centerra Resource Park Lebanon</v>
      </c>
      <c r="C252" s="66" t="s">
        <v>7395</v>
      </c>
      <c r="D252" s="66" t="s">
        <v>11279</v>
      </c>
      <c r="E252" s="66" t="s">
        <v>11602</v>
      </c>
      <c r="F252" s="66" t="s">
        <v>11737</v>
      </c>
      <c r="G252" s="66" t="s">
        <v>8040</v>
      </c>
      <c r="H252" s="66" t="s">
        <v>11806</v>
      </c>
      <c r="I252" s="66" t="s">
        <v>8539</v>
      </c>
    </row>
    <row r="253" ht="15.75" customHeight="1">
      <c r="A253" s="66">
        <f>'Main dataset (DEPRECATED)'!Q254</f>
        <v>6875992</v>
      </c>
      <c r="B253" s="66" t="str">
        <f>IFERROR(__xludf.DUMMYFUNCTION("SPLIT('Main dataset (DEPRECATED2)'!N254,"";"")"),"Computer Sciences Corporation")</f>
        <v>Computer Sciences Corporation</v>
      </c>
      <c r="C253" s="66" t="s">
        <v>11687</v>
      </c>
      <c r="D253" s="66" t="s">
        <v>10595</v>
      </c>
      <c r="E253" s="66" t="s">
        <v>10934</v>
      </c>
      <c r="F253" s="66" t="s">
        <v>11822</v>
      </c>
      <c r="G253" s="66" t="s">
        <v>10214</v>
      </c>
    </row>
    <row r="254" ht="15.75" customHeight="1">
      <c r="A254" s="66">
        <f>'Main dataset (DEPRECATED)'!Q255</f>
        <v>7042477</v>
      </c>
      <c r="B254" s="66" t="str">
        <f>IFERROR(__xludf.DUMMYFUNCTION("SPLIT('Main dataset (DEPRECATED2)'!N255,"";"")"),"Lawrence Livermore National Laboratory Livermore##Lawrence Livermore National Laboratory Livermore##Lawrence Livermore National Laboratory Livermore")</f>
        <v>Lawrence Livermore National Laboratory Livermore##Lawrence Livermore National Laboratory Livermore##Lawrence Livermore National Laboratory Livermore</v>
      </c>
      <c r="C254" s="66" t="s">
        <v>10312</v>
      </c>
      <c r="D254" s="66" t="s">
        <v>10786</v>
      </c>
      <c r="E254" s="66" t="s">
        <v>10426</v>
      </c>
      <c r="F254" s="66" t="s">
        <v>7214</v>
      </c>
      <c r="G254" s="66" t="s">
        <v>8664</v>
      </c>
    </row>
    <row r="255" ht="15.75" customHeight="1">
      <c r="A255" s="66">
        <f>'Main dataset (DEPRECATED)'!Q256</f>
        <v>7042480</v>
      </c>
      <c r="B255" s="66" t="str">
        <f>IFERROR(__xludf.DUMMYFUNCTION("SPLIT('Main dataset (DEPRECATED2)'!N256,"";"")"),"Computer Sciences Corporation")</f>
        <v>Computer Sciences Corporation</v>
      </c>
      <c r="C255" s="66" t="s">
        <v>8827</v>
      </c>
      <c r="D255" s="66" t="s">
        <v>9061</v>
      </c>
      <c r="E255" s="66" t="s">
        <v>10426</v>
      </c>
    </row>
    <row r="256" ht="15.75" customHeight="1">
      <c r="A256" s="66">
        <f>'Main dataset (DEPRECATED)'!Q257</f>
        <v>6875913</v>
      </c>
      <c r="B256" s="66" t="str">
        <f>IFERROR(__xludf.DUMMYFUNCTION("SPLIT('Main dataset (DEPRECATED2)'!N257,"";"")"),"University of Maryland Baltimore County##The Ohio State University##The Ohio State University")</f>
        <v>University of Maryland Baltimore County##The Ohio State University##The Ohio State University</v>
      </c>
      <c r="C256" s="66" t="s">
        <v>9735</v>
      </c>
      <c r="D256" s="66" t="s">
        <v>11783</v>
      </c>
      <c r="E256" s="66" t="s">
        <v>10038</v>
      </c>
      <c r="F256" s="66" t="s">
        <v>10724</v>
      </c>
      <c r="G256" s="66" t="s">
        <v>7403</v>
      </c>
      <c r="H256" s="66" t="s">
        <v>6832</v>
      </c>
    </row>
    <row r="257" ht="15.75" customHeight="1">
      <c r="A257" s="66">
        <f>'Main dataset (DEPRECATED)'!Q258</f>
        <v>6875947</v>
      </c>
      <c r="B257" s="66" t="str">
        <f>IFERROR(__xludf.DUMMYFUNCTION("SPLIT('Main dataset (DEPRECATED2)'!N258,"";"")"),"Dept. of Comput. Sci., Kaiserslautern Univ., Germany|c|")</f>
        <v>Dept. of Comput. Sci., Kaiserslautern Univ., Germany|c|</v>
      </c>
      <c r="C257" s="66" t="s">
        <v>7124</v>
      </c>
      <c r="D257" s="66" t="s">
        <v>6172</v>
      </c>
      <c r="E257" s="66" t="s">
        <v>6373</v>
      </c>
      <c r="F257" s="66" t="s">
        <v>10645</v>
      </c>
    </row>
    <row r="258" ht="15.75" customHeight="1">
      <c r="A258" s="66">
        <f>'Main dataset (DEPRECATED)'!Q259</f>
        <v>6876028</v>
      </c>
      <c r="B258" s="66" t="str">
        <f>IFERROR(__xludf.DUMMYFUNCTION("SPLIT('Main dataset (DEPRECATED2)'!N259,"";"")"),"University of Paderborn")</f>
        <v>University of Paderborn</v>
      </c>
      <c r="C258" s="66" t="s">
        <v>7289</v>
      </c>
      <c r="D258" s="66" t="s">
        <v>11570</v>
      </c>
      <c r="E258" s="66" t="s">
        <v>9437</v>
      </c>
      <c r="F258" s="66" t="s">
        <v>6271</v>
      </c>
      <c r="G258" s="66" t="s">
        <v>7992</v>
      </c>
      <c r="H258" s="66" t="s">
        <v>9182</v>
      </c>
      <c r="I258" s="66" t="s">
        <v>6562</v>
      </c>
      <c r="J258" s="66" t="s">
        <v>10621</v>
      </c>
    </row>
    <row r="259" ht="15.75" customHeight="1">
      <c r="A259" s="66">
        <f>'Main dataset (DEPRECATED)'!Q260</f>
        <v>7042488</v>
      </c>
      <c r="B259" s="66" t="str">
        <f>IFERROR(__xludf.DUMMYFUNCTION("SPLIT('Main dataset (DEPRECATED2)'!N260,"";"")"),"Hughes STX Corporation##Hughes STX Corporation##Hughes STX Corporation")</f>
        <v>Hughes STX Corporation##Hughes STX Corporation##Hughes STX Corporation</v>
      </c>
      <c r="C259" s="66" t="s">
        <v>7451</v>
      </c>
      <c r="D259" s="66" t="s">
        <v>10336</v>
      </c>
      <c r="E259" s="66" t="s">
        <v>6813</v>
      </c>
      <c r="F259" s="66" t="s">
        <v>8910</v>
      </c>
      <c r="G259" s="66" t="s">
        <v>6631</v>
      </c>
      <c r="H259" s="66" t="s">
        <v>6662</v>
      </c>
      <c r="I259" s="66" t="s">
        <v>8964</v>
      </c>
      <c r="J259" s="66" t="s">
        <v>9953</v>
      </c>
      <c r="K259" s="66" t="s">
        <v>10995</v>
      </c>
    </row>
    <row r="260" ht="15.75" customHeight="1">
      <c r="A260" s="66">
        <f>'Main dataset (DEPRECATED)'!Q261</f>
        <v>6876047</v>
      </c>
      <c r="B260" s="66" t="str">
        <f>IFERROR(__xludf.DUMMYFUNCTION("SPLIT('Main dataset (DEPRECATED2)'!N261,"";"")"),"Brigham Young University##Brigham Young University")</f>
        <v>Brigham Young University##Brigham Young University</v>
      </c>
      <c r="C260" s="66" t="s">
        <v>9865</v>
      </c>
      <c r="D260" s="66" t="s">
        <v>6471</v>
      </c>
    </row>
    <row r="261" ht="15.75" customHeight="1">
      <c r="A261" s="66">
        <f>'Main dataset (DEPRECATED)'!Q262</f>
        <v>7042495</v>
      </c>
      <c r="B261" s="66" t="str">
        <f>IFERROR(__xludf.DUMMYFUNCTION("SPLIT('Main dataset (DEPRECATED2)'!N262,"";"")"),"State University of New York at Stony Brook Stony Brook##State University of New York at Stony Brook Stony Brook")</f>
        <v>State University of New York at Stony Brook Stony Brook##State University of New York at Stony Brook Stony Brook</v>
      </c>
      <c r="C261" s="66" t="s">
        <v>8871</v>
      </c>
      <c r="D261" s="66" t="s">
        <v>11023</v>
      </c>
      <c r="E261" s="66" t="s">
        <v>7507</v>
      </c>
      <c r="F261" s="66" t="s">
        <v>8785</v>
      </c>
      <c r="G261" s="66" t="s">
        <v>7432</v>
      </c>
      <c r="H261" s="66" t="s">
        <v>9171</v>
      </c>
    </row>
    <row r="262" ht="15.75" customHeight="1">
      <c r="A262" s="66">
        <f>'Main dataset (DEPRECATED)'!Q263</f>
        <v>6876009</v>
      </c>
      <c r="B262" s="66" t="str">
        <f>IFERROR(__xludf.DUMMYFUNCTION("SPLIT('Main dataset (DEPRECATED2)'!N263,"";"")"),"Slovak Academy of Sciences")</f>
        <v>Slovak Academy of Sciences</v>
      </c>
      <c r="C262" s="66" t="s">
        <v>9697</v>
      </c>
      <c r="D262" s="66" t="s">
        <v>8955</v>
      </c>
      <c r="E262" s="66" t="s">
        <v>8116</v>
      </c>
      <c r="F262" s="66" t="s">
        <v>11273</v>
      </c>
      <c r="G262" s="66" t="s">
        <v>9984</v>
      </c>
    </row>
    <row r="263" ht="15.75" customHeight="1">
      <c r="A263" s="66">
        <f>'Main dataset (DEPRECATED)'!Q264</f>
        <v>6875967</v>
      </c>
      <c r="B263" s="66" t="str">
        <f>IFERROR(__xludf.DUMMYFUNCTION("SPLIT('Main dataset (DEPRECATED2)'!N264,"";"")"),"University of Utah Salt Lake City##University of Utah Salt Lake City")</f>
        <v>University of Utah Salt Lake City##University of Utah Salt Lake City</v>
      </c>
      <c r="C263" s="66" t="s">
        <v>10812</v>
      </c>
      <c r="D263" s="66" t="s">
        <v>10813</v>
      </c>
      <c r="E263" s="66" t="s">
        <v>6711</v>
      </c>
      <c r="F263" s="66" t="s">
        <v>7391</v>
      </c>
      <c r="G263" s="66" t="s">
        <v>8664</v>
      </c>
    </row>
    <row r="264" ht="15.75" customHeight="1">
      <c r="A264" s="66">
        <f>'Main dataset (DEPRECATED)'!Q265</f>
        <v>6876038</v>
      </c>
      <c r="B264" s="66" t="str">
        <f>IFERROR(__xludf.DUMMYFUNCTION("SPLIT('Main dataset (DEPRECATED2)'!N265,"";"")"),"IBM Thomas J. Watson Research Center Yorktown Heights##IBM Thomas J. Watson Research Center Yorktown Heights##IBM Thomas J. Watson Research Center Yorktown Heights")</f>
        <v>IBM Thomas J. Watson Research Center Yorktown Heights##IBM Thomas J. Watson Research Center Yorktown Heights##IBM Thomas J. Watson Research Center Yorktown Heights</v>
      </c>
      <c r="C264" s="66" t="s">
        <v>11687</v>
      </c>
      <c r="D264" s="66" t="s">
        <v>10595</v>
      </c>
      <c r="E264" s="66" t="s">
        <v>8242</v>
      </c>
      <c r="F264" s="66" t="s">
        <v>8287</v>
      </c>
    </row>
    <row r="265" ht="15.75" customHeight="1">
      <c r="A265" s="66">
        <f>'Main dataset (DEPRECATED)'!Q266</f>
        <v>7042492</v>
      </c>
      <c r="B265" s="66" t="str">
        <f>IFERROR(__xludf.DUMMYFUNCTION("SPLIT('Main dataset (DEPRECATED2)'!N266,"";"")"),"DEC Syst. Res. Center, Palo Alto, CA, USA|c|")</f>
        <v>DEC Syst. Res. Center, Palo Alto, CA, USA|c|</v>
      </c>
      <c r="C265" s="66" t="s">
        <v>9667</v>
      </c>
      <c r="D265" s="66" t="s">
        <v>8271</v>
      </c>
      <c r="E265" s="66" t="s">
        <v>8999</v>
      </c>
    </row>
    <row r="266" ht="15.75" customHeight="1">
      <c r="A266" s="66">
        <f>'Main dataset (DEPRECATED)'!Q267</f>
        <v>6875995</v>
      </c>
      <c r="B266" s="66" t="str">
        <f>IFERROR(__xludf.DUMMYFUNCTION("SPLIT('Main dataset (DEPRECATED2)'!N267,"";"")"),"Indiana University Bloomington##Indiana University Bloomington")</f>
        <v>Indiana University Bloomington##Indiana University Bloomington</v>
      </c>
      <c r="C266" s="66" t="s">
        <v>9923</v>
      </c>
      <c r="D266" s="66" t="s">
        <v>7856</v>
      </c>
      <c r="E266" s="66" t="s">
        <v>10478</v>
      </c>
      <c r="F266" s="66" t="s">
        <v>10838</v>
      </c>
    </row>
    <row r="267" ht="15.75" customHeight="1">
      <c r="A267" s="66">
        <f>'Main dataset (DEPRECATED)'!Q268</f>
        <v>6876032</v>
      </c>
      <c r="B267" s="66" t="str">
        <f>IFERROR(__xludf.DUMMYFUNCTION("SPLIT('Main dataset (DEPRECATED2)'!N268,"";"")"),"Princeton University##Princeton University")</f>
        <v>Princeton University##Princeton University</v>
      </c>
      <c r="C267" s="66" t="s">
        <v>10595</v>
      </c>
      <c r="D267" s="66" t="s">
        <v>8600</v>
      </c>
      <c r="E267" s="66" t="s">
        <v>9360</v>
      </c>
      <c r="F267" s="66" t="s">
        <v>7472</v>
      </c>
    </row>
    <row r="268" ht="15.75" customHeight="1">
      <c r="A268" s="66">
        <f>'Main dataset (DEPRECATED)'!Q269</f>
        <v>7042496</v>
      </c>
      <c r="B268" s="66" t="str">
        <f>IFERROR(__xludf.DUMMYFUNCTION("SPLIT('Main dataset (DEPRECATED2)'!N269,"";"")"),"Dept. of Appl. Phys., Stanford Univ., CA, USA|c|")</f>
        <v>Dept. of Appl. Phys., Stanford Univ., CA, USA|c|</v>
      </c>
      <c r="C268" s="66" t="s">
        <v>9042</v>
      </c>
      <c r="D268" s="66" t="s">
        <v>7489</v>
      </c>
      <c r="E268" s="66" t="s">
        <v>11819</v>
      </c>
    </row>
    <row r="269" ht="15.75" customHeight="1">
      <c r="A269" s="66">
        <f>'Main dataset (DEPRECATED)'!Q270</f>
        <v>6875970</v>
      </c>
      <c r="B269" s="66" t="str">
        <f>IFERROR(__xludf.DUMMYFUNCTION("SPLIT('Main dataset (DEPRECATED2)'!N270,"";"")"),"Inst. for Comput. Applications in Sci. &amp; Eng., NASA Langley Res. Center, Hampton, VA, USA|c|")</f>
        <v>Inst. for Comput. Applications in Sci. &amp; Eng., NASA Langley Res. Center, Hampton, VA, USA|c|</v>
      </c>
      <c r="C269" s="66" t="s">
        <v>9171</v>
      </c>
      <c r="D269" s="66" t="s">
        <v>11075</v>
      </c>
      <c r="E269" s="66" t="s">
        <v>9300</v>
      </c>
      <c r="F269" s="66" t="s">
        <v>7361</v>
      </c>
    </row>
    <row r="270" ht="15.75" customHeight="1">
      <c r="A270" s="66">
        <f>'Main dataset (DEPRECATED)'!Q271</f>
        <v>6876049</v>
      </c>
      <c r="B270" s="66" t="str">
        <f>IFERROR(__xludf.DUMMYFUNCTION("SPLIT('Main dataset (DEPRECATED2)'!N271,"";"")"),"Inst. for Comput. Applications in Sci. &amp; Eng., NASA Langley Res. Center, Hampton, VA, USA|c|")</f>
        <v>Inst. for Comput. Applications in Sci. &amp; Eng., NASA Langley Res. Center, Hampton, VA, USA|c|</v>
      </c>
      <c r="C270" s="66" t="s">
        <v>9865</v>
      </c>
      <c r="D270" s="66" t="s">
        <v>7836</v>
      </c>
    </row>
    <row r="271" ht="15.75" customHeight="1">
      <c r="A271" s="66">
        <f>'Main dataset (DEPRECATED)'!Q272</f>
        <v>6875941</v>
      </c>
      <c r="B271" s="66" t="str">
        <f>IFERROR(__xludf.DUMMYFUNCTION("SPLIT('Main dataset (DEPRECATED2)'!N272,"";"")"),"DLR, German Aerosp. Res. Establ., Gottingen, Germany|c|")</f>
        <v>DLR, German Aerosp. Res. Establ., Gottingen, Germany|c|</v>
      </c>
      <c r="C271" s="66" t="s">
        <v>11340</v>
      </c>
      <c r="D271" s="66" t="s">
        <v>10319</v>
      </c>
      <c r="E271" s="66" t="s">
        <v>7026</v>
      </c>
      <c r="F271" s="66" t="s">
        <v>9864</v>
      </c>
      <c r="G271" s="66" t="s">
        <v>8260</v>
      </c>
      <c r="H271" s="66" t="s">
        <v>7887</v>
      </c>
    </row>
    <row r="272" ht="15.75" customHeight="1">
      <c r="A272" s="66">
        <f>'Main dataset (DEPRECATED)'!Q273</f>
        <v>7042493</v>
      </c>
      <c r="B272" s="66" t="str">
        <f>IFERROR(__xludf.DUMMYFUNCTION("SPLIT('Main dataset (DEPRECATED2)'!N273,"";"")"),"Indiana University Bloomington##Indiana University Bloomington")</f>
        <v>Indiana University Bloomington##Indiana University Bloomington</v>
      </c>
      <c r="C272" s="66" t="s">
        <v>8805</v>
      </c>
      <c r="D272" s="66" t="s">
        <v>11171</v>
      </c>
      <c r="E272" s="66" t="s">
        <v>11506</v>
      </c>
      <c r="F272" s="66" t="s">
        <v>7780</v>
      </c>
    </row>
    <row r="273" ht="15.75" customHeight="1">
      <c r="A273" s="66">
        <f>'Main dataset (DEPRECATED)'!Q274</f>
        <v>6875986</v>
      </c>
      <c r="B273" s="66" t="str">
        <f>IFERROR(__xludf.DUMMYFUNCTION("SPLIT('Main dataset (DEPRECATED2)'!N274,"";"")"),"Come11 University##Come11 University")</f>
        <v>Come11 University##Come11 University</v>
      </c>
      <c r="C273" s="66" t="s">
        <v>11069</v>
      </c>
    </row>
    <row r="274" ht="15.75" customHeight="1">
      <c r="A274" s="66">
        <f>'Main dataset (DEPRECATED)'!Q275</f>
        <v>6875977</v>
      </c>
      <c r="B274" s="66" t="str">
        <f>IFERROR(__xludf.DUMMYFUNCTION("SPLIT('Main dataset (DEPRECATED2)'!N275,"";"")"),"NSF Engineering Research Center for Computational Field Simulation##NSF Engineering Research Center for Computational Field Simulation")</f>
        <v>NSF Engineering Research Center for Computational Field Simulation##NSF Engineering Research Center for Computational Field Simulation</v>
      </c>
      <c r="C274" s="66" t="s">
        <v>7518</v>
      </c>
      <c r="D274" s="66" t="s">
        <v>7692</v>
      </c>
      <c r="E274" s="66" t="s">
        <v>6801</v>
      </c>
      <c r="F274" s="66" t="s">
        <v>6522</v>
      </c>
      <c r="G274" s="66" t="s">
        <v>7887</v>
      </c>
      <c r="H274" s="66" t="s">
        <v>9269</v>
      </c>
    </row>
    <row r="275" ht="15.75" customHeight="1">
      <c r="A275" s="66">
        <f>'Main dataset (DEPRECATED)'!Q276</f>
        <v>7042494</v>
      </c>
      <c r="B275" s="66" t="str">
        <f>IFERROR(__xludf.DUMMYFUNCTION("SPLIT('Main dataset (DEPRECATED2)'!N276,"";"")"),"State University of New York at Stony Brook Stony Brook##")</f>
        <v>State University of New York at Stony Brook Stony Brook##</v>
      </c>
      <c r="C275" s="66" t="s">
        <v>11614</v>
      </c>
      <c r="D275" s="66" t="s">
        <v>8469</v>
      </c>
      <c r="E275" s="66" t="s">
        <v>8568</v>
      </c>
      <c r="F275" s="66" t="s">
        <v>2271</v>
      </c>
    </row>
    <row r="276" ht="15.75" customHeight="1">
      <c r="A276" s="66">
        <f>'Main dataset (DEPRECATED)'!Q277</f>
        <v>7042476</v>
      </c>
      <c r="B276" s="66" t="str">
        <f>IFERROR(__xludf.DUMMYFUNCTION("SPLIT('Main dataset (DEPRECATED2)'!N277,"";"")"),"Res. Lab., IBM Japan Ltd., Tokyo, Japan|c|")</f>
        <v>Res. Lab., IBM Japan Ltd., Tokyo, Japan|c|</v>
      </c>
      <c r="C276" s="66" t="s">
        <v>11548</v>
      </c>
    </row>
    <row r="277" ht="15.75" customHeight="1">
      <c r="A277" s="66">
        <f>'Main dataset (DEPRECATED)'!Q278</f>
        <v>6875999</v>
      </c>
      <c r="B277" s="66" t="str">
        <f>IFERROR(__xludf.DUMMYFUNCTION("SPLIT('Main dataset (DEPRECATED2)'!N278,"";"")"),"Purdue University West Lafayette##Purdue University West Lafayette")</f>
        <v>Purdue University West Lafayette##Purdue University West Lafayette</v>
      </c>
      <c r="C277" s="66" t="s">
        <v>11462</v>
      </c>
    </row>
    <row r="278" ht="15.75" customHeight="1">
      <c r="A278" s="66">
        <f>'Main dataset (DEPRECATED)'!Q279</f>
        <v>7042487</v>
      </c>
      <c r="B278" s="66" t="str">
        <f>IFERROR(__xludf.DUMMYFUNCTION("SPLIT('Main dataset (DEPRECATED2)'!N279,"";"")"),"Dept. of Electrical Engineering Technion -Israel Institute of Technology Haifa 32000")</f>
        <v>Dept. of Electrical Engineering Technion -Israel Institute of Technology Haifa 32000</v>
      </c>
      <c r="C278" s="66" t="s">
        <v>9062</v>
      </c>
    </row>
    <row r="279" ht="15.75" customHeight="1">
      <c r="A279" s="66">
        <f>'Main dataset (DEPRECATED)'!Q280</f>
        <v>6876015</v>
      </c>
      <c r="B279" s="66" t="str">
        <f>IFERROR(__xludf.DUMMYFUNCTION("SPLIT('Main dataset (DEPRECATED2)'!N280,"";"")"),"Dept. of Comput. Sci., Illinois Univ., Urbana, IL, USA|c|")</f>
        <v>Dept. of Comput. Sci., Illinois Univ., Urbana, IL, USA|c|</v>
      </c>
      <c r="C279" s="66" t="s">
        <v>11365</v>
      </c>
      <c r="D279" s="66" t="s">
        <v>11609</v>
      </c>
      <c r="E279" s="66" t="s">
        <v>11735</v>
      </c>
      <c r="F279" s="66" t="s">
        <v>6362</v>
      </c>
      <c r="G279" s="66" t="s">
        <v>8505</v>
      </c>
    </row>
    <row r="280" ht="15.75" customHeight="1">
      <c r="A280" s="66">
        <f>'Main dataset (DEPRECATED)'!Q281</f>
        <v>6875959</v>
      </c>
      <c r="B280" s="66" t="str">
        <f>IFERROR(__xludf.DUMMYFUNCTION("SPLIT('Main dataset (DEPRECATED2)'!N281,"";"")"),"Gen. Electr. Corp. Res. &amp; Dev. Center, Schenectady, NY, USA|c|")</f>
        <v>Gen. Electr. Corp. Res. &amp; Dev. Center, Schenectady, NY, USA|c|</v>
      </c>
      <c r="C280" s="66" t="s">
        <v>8526</v>
      </c>
      <c r="D280" s="66" t="s">
        <v>11547</v>
      </c>
      <c r="E280" s="66" t="s">
        <v>9539</v>
      </c>
      <c r="F280" s="66" t="s">
        <v>7432</v>
      </c>
    </row>
    <row r="281" ht="15.75" customHeight="1">
      <c r="A281" s="66">
        <f>'Main dataset (DEPRECATED)'!Q282</f>
        <v>6875926</v>
      </c>
      <c r="B281" s="66" t="str">
        <f>IFERROR(__xludf.DUMMYFUNCTION("SPLIT('Main dataset (DEPRECATED2)'!N282,"";"")"),"Gen. Electr. Corp. Res. &amp; Dev. Center, Schenectady, NY, USA|c|")</f>
        <v>Gen. Electr. Corp. Res. &amp; Dev. Center, Schenectady, NY, USA|c|</v>
      </c>
      <c r="C281" s="66" t="s">
        <v>8493</v>
      </c>
      <c r="D281" s="66" t="s">
        <v>8504</v>
      </c>
      <c r="E281" s="66" t="s">
        <v>6165</v>
      </c>
      <c r="F281" s="66" t="s">
        <v>11599</v>
      </c>
      <c r="G281" s="66" t="s">
        <v>6153</v>
      </c>
      <c r="H281" s="66" t="s">
        <v>7395</v>
      </c>
      <c r="I281" s="66" t="s">
        <v>8771</v>
      </c>
      <c r="J281" s="66" t="s">
        <v>11196</v>
      </c>
      <c r="K281" s="66" t="s">
        <v>7662</v>
      </c>
      <c r="L281" s="66" t="s">
        <v>8678</v>
      </c>
      <c r="M281" s="66" t="s">
        <v>11060</v>
      </c>
      <c r="N281" s="66" t="s">
        <v>10140</v>
      </c>
      <c r="O281" s="66" t="s">
        <v>7361</v>
      </c>
    </row>
    <row r="282" ht="15.75" customHeight="1">
      <c r="A282" s="66">
        <f>'Main dataset (DEPRECATED)'!Q283</f>
        <v>7042489</v>
      </c>
      <c r="B282" s="66" t="str">
        <f>IFERROR(__xludf.DUMMYFUNCTION("SPLIT('Main dataset (DEPRECATED2)'!N283,"";"")"),"Howard Hughes Medical Institute Stony Brook##University of New York at Stony Brook State University of New York at Stony Brook")</f>
        <v>Howard Hughes Medical Institute Stony Brook##University of New York at Stony Brook State University of New York at Stony Brook</v>
      </c>
      <c r="C282" s="66" t="s">
        <v>8617</v>
      </c>
      <c r="D282" s="66" t="s">
        <v>11782</v>
      </c>
    </row>
    <row r="283" ht="15.75" customHeight="1">
      <c r="A283" s="66">
        <f>'Main dataset (DEPRECATED)'!Q284</f>
        <v>6875982</v>
      </c>
      <c r="B283" s="66" t="str">
        <f>IFERROR(__xludf.DUMMYFUNCTION("SPLIT('Main dataset (DEPRECATED2)'!N284,"";"")"),"Div. of Math. &amp; Comput. Sci., Argonne Nat. Lab., IL, USA|c|")</f>
        <v>Div. of Math. &amp; Comput. Sci., Argonne Nat. Lab., IL, USA|c|</v>
      </c>
      <c r="C283" s="66" t="s">
        <v>11365</v>
      </c>
      <c r="D283" s="66" t="s">
        <v>8247</v>
      </c>
      <c r="E283" s="66" t="s">
        <v>11809</v>
      </c>
      <c r="F283" s="66" t="s">
        <v>8889</v>
      </c>
      <c r="G283" s="66" t="s">
        <v>11383</v>
      </c>
      <c r="H283" s="66" t="s">
        <v>11414</v>
      </c>
      <c r="I283" s="66" t="s">
        <v>4987</v>
      </c>
    </row>
    <row r="284" ht="15.75" customHeight="1">
      <c r="A284" s="66">
        <f>'Main dataset (DEPRECATED)'!Q285</f>
        <v>7042485</v>
      </c>
      <c r="B284" s="66" t="str">
        <f>IFERROR(__xludf.DUMMYFUNCTION("SPLIT('Main dataset (DEPRECATED2)'!N285,"";"")"),"University of California##University of California##University of California##University of California##University of California")</f>
        <v>University of California##University of California##University of California##University of California##University of California</v>
      </c>
      <c r="C284" s="66" t="s">
        <v>8700</v>
      </c>
      <c r="D284" s="66" t="s">
        <v>6646</v>
      </c>
      <c r="E284" s="66" t="s">
        <v>8021</v>
      </c>
      <c r="F284" s="66" t="s">
        <v>11277</v>
      </c>
    </row>
    <row r="285" ht="15.75" customHeight="1">
      <c r="A285" s="66">
        <f>'Main dataset (DEPRECATED)'!Q286</f>
        <v>6876008</v>
      </c>
      <c r="B285" s="66" t="str">
        <f>IFERROR(__xludf.DUMMYFUNCTION("SPLIT('Main dataset (DEPRECATED2)'!N286,"";"")"),"Imperial College of Science, Technology and Medicine London##Imperial College of Science, Technology and Medicine London##Imperial College of Science, Technology and Medicine London##Imperial College of Science, Technology and Medicine London")</f>
        <v>Imperial College of Science, Technology and Medicine London##Imperial College of Science, Technology and Medicine London##Imperial College of Science, Technology and Medicine London##Imperial College of Science, Technology and Medicine London</v>
      </c>
      <c r="C285" s="66" t="s">
        <v>11654</v>
      </c>
      <c r="D285" s="66" t="s">
        <v>8503</v>
      </c>
      <c r="E285" s="66" t="s">
        <v>11629</v>
      </c>
      <c r="F285" s="66" t="s">
        <v>6508</v>
      </c>
      <c r="G285" s="66" t="s">
        <v>9087</v>
      </c>
      <c r="H285" s="66" t="s">
        <v>8514</v>
      </c>
      <c r="I285" s="66" t="s">
        <v>11594</v>
      </c>
    </row>
    <row r="286" ht="15.75" customHeight="1">
      <c r="A286" s="66">
        <f>'Main dataset (DEPRECATED)'!Q287</f>
        <v>6876007</v>
      </c>
      <c r="B286" s="66" t="str">
        <f>IFERROR(__xludf.DUMMYFUNCTION("SPLIT('Main dataset (DEPRECATED2)'!N287,"";"")"),"University of Toronto##University of Toronto##University of Toronto")</f>
        <v>University of Toronto##University of Toronto##University of Toronto</v>
      </c>
      <c r="C286" s="66" t="s">
        <v>10649</v>
      </c>
      <c r="D286" s="66" t="s">
        <v>7270</v>
      </c>
      <c r="E286" s="66" t="s">
        <v>7308</v>
      </c>
    </row>
    <row r="287" ht="15.75" customHeight="1">
      <c r="A287" s="66">
        <f>'Main dataset (DEPRECATED)'!Q288</f>
        <v>6876045</v>
      </c>
      <c r="B287" s="66" t="str">
        <f>IFERROR(__xludf.DUMMYFUNCTION("SPLIT('Main dataset (DEPRECATED2)'!N288,"";"")"),"Visible Decisions Inc. Toronto")</f>
        <v>Visible Decisions Inc. Toronto</v>
      </c>
      <c r="C287" s="66" t="s">
        <v>7843</v>
      </c>
      <c r="D287" s="66" t="s">
        <v>10736</v>
      </c>
      <c r="E287" s="66" t="s">
        <v>8439</v>
      </c>
      <c r="F287" s="66" t="s">
        <v>10781</v>
      </c>
      <c r="G287" s="66" t="s">
        <v>8093</v>
      </c>
      <c r="H287" s="66" t="s">
        <v>10012</v>
      </c>
    </row>
    <row r="288" ht="15.75" customHeight="1">
      <c r="A288" s="66">
        <f>'Main dataset (DEPRECATED)'!Q289</f>
        <v>6876014</v>
      </c>
      <c r="B288" s="66" t="str">
        <f>IFERROR(__xludf.DUMMYFUNCTION("SPLIT('Main dataset (DEPRECATED2)'!N289,"";"")"),"Technische Universitst Braunschweig##Technische Universitst Braunschweig")</f>
        <v>Technische Universitst Braunschweig##Technische Universitst Braunschweig</v>
      </c>
      <c r="C288" s="66" t="s">
        <v>10959</v>
      </c>
      <c r="D288" s="66" t="s">
        <v>9411</v>
      </c>
      <c r="E288" s="66" t="s">
        <v>11594</v>
      </c>
      <c r="F288" s="66" t="s">
        <v>8287</v>
      </c>
      <c r="G288" s="66" t="s">
        <v>11729</v>
      </c>
      <c r="H288" s="66" t="s">
        <v>10021</v>
      </c>
    </row>
    <row r="289" ht="15.75" customHeight="1">
      <c r="A289" s="66">
        <f>'Main dataset (DEPRECATED)'!Q290</f>
        <v>6875957</v>
      </c>
      <c r="B289" s="66" t="str">
        <f>IFERROR(__xludf.DUMMYFUNCTION("SPLIT('Main dataset (DEPRECATED2)'!N290,"";"")"),"Carnegie Mellon University Pittsburgh##Carnegie Mellon University Pittsburgh##Carnegie Mellon University Pittsburgh##Carnegie Mellon University Pittsburgh")</f>
        <v>Carnegie Mellon University Pittsburgh##Carnegie Mellon University Pittsburgh##Carnegie Mellon University Pittsburgh##Carnegie Mellon University Pittsburgh</v>
      </c>
      <c r="C289" s="66" t="s">
        <v>8033</v>
      </c>
      <c r="D289" s="66" t="s">
        <v>8093</v>
      </c>
      <c r="E289" s="66" t="s">
        <v>9391</v>
      </c>
      <c r="F289" s="66" t="s">
        <v>10084</v>
      </c>
    </row>
    <row r="290" ht="15.75" customHeight="1">
      <c r="A290" s="66">
        <f>'Main dataset (DEPRECATED)'!Q291</f>
        <v>6876041</v>
      </c>
      <c r="B290" s="66" t="str">
        <f>IFERROR(__xludf.DUMMYFUNCTION("SPLIT('Main dataset (DEPRECATED2)'!N291,"";"")"),"Usability Center College of Computing Georgia Institute of Technology##Usability Center College of Computing Georgia Institute of Technology")</f>
        <v>Usability Center College of Computing Georgia Institute of Technology##Usability Center College of Computing Georgia Institute of Technology</v>
      </c>
      <c r="C290" s="66" t="s">
        <v>7143</v>
      </c>
      <c r="D290" s="66" t="s">
        <v>11658</v>
      </c>
      <c r="E290" s="66" t="s">
        <v>8068</v>
      </c>
      <c r="F290" s="66" t="s">
        <v>10462</v>
      </c>
      <c r="G290" s="66" t="s">
        <v>8330</v>
      </c>
      <c r="H290" s="66" t="s">
        <v>7014</v>
      </c>
      <c r="I290" s="66" t="s">
        <v>6471</v>
      </c>
      <c r="J290" s="66" t="s">
        <v>10621</v>
      </c>
    </row>
    <row r="291" ht="15.75" customHeight="1">
      <c r="A291" s="66">
        <f>'Main dataset (DEPRECATED)'!Q292</f>
        <v>6876029</v>
      </c>
      <c r="B291" s="66" t="str">
        <f>IFERROR(__xludf.DUMMYFUNCTION("SPLIT('Main dataset (DEPRECATED2)'!N292,"";"")"),"Pacific Northwest Lab., Richland, WA, USA|c|")</f>
        <v>Pacific Northwest Lab., Richland, WA, USA|c|</v>
      </c>
      <c r="C291" s="66" t="s">
        <v>6883</v>
      </c>
      <c r="D291" s="66" t="s">
        <v>6267</v>
      </c>
      <c r="E291" s="66" t="s">
        <v>7420</v>
      </c>
      <c r="F291" s="66" t="s">
        <v>8287</v>
      </c>
    </row>
    <row r="292" ht="15.75" customHeight="1">
      <c r="A292" s="66">
        <f>'Main dataset (DEPRECATED)'!Q293</f>
        <v>7042483</v>
      </c>
      <c r="B292" s="66" t="str">
        <f>IFERROR(__xludf.DUMMYFUNCTION("SPLIT('Main dataset (DEPRECATED2)'!N293,"";"")"),"Boeing Information and Support Services##Boeing Information and Support Services")</f>
        <v>Boeing Information and Support Services##Boeing Information and Support Services</v>
      </c>
      <c r="C292" s="66" t="s">
        <v>8162</v>
      </c>
      <c r="D292" s="66" t="s">
        <v>10762</v>
      </c>
      <c r="E292" s="66" t="s">
        <v>7294</v>
      </c>
      <c r="F292" s="66" t="s">
        <v>11434</v>
      </c>
    </row>
    <row r="293" ht="15.75" customHeight="1">
      <c r="A293" s="66">
        <f>'Main dataset (DEPRECATED)'!Q294</f>
        <v>7042491</v>
      </c>
      <c r="B293" s="66" t="str">
        <f>IFERROR(__xludf.DUMMYFUNCTION("SPLIT('Main dataset (DEPRECATED2)'!N294,"";"")"),"SSKKII Chalmers University of Technology##SSKKII Chalmers University of Technology")</f>
        <v>SSKKII Chalmers University of Technology##SSKKII Chalmers University of Technology</v>
      </c>
      <c r="C293" s="66" t="s">
        <v>9988</v>
      </c>
      <c r="D293" s="66" t="s">
        <v>6292</v>
      </c>
      <c r="E293" s="66" t="s">
        <v>11494</v>
      </c>
      <c r="F293" s="66" t="s">
        <v>7887</v>
      </c>
      <c r="G293" s="66" t="s">
        <v>6685</v>
      </c>
    </row>
    <row r="294" ht="15.75" customHeight="1">
      <c r="A294" s="66">
        <f>'Main dataset (DEPRECATED)'!Q295</f>
        <v>6634182</v>
      </c>
      <c r="B294" s="66" t="str">
        <f>IFERROR(__xludf.DUMMYFUNCTION("SPLIT('Main dataset (DEPRECATED2)'!N295,"";"")"),"University of Waterloo##University of Waterloo")</f>
        <v>University of Waterloo##University of Waterloo</v>
      </c>
      <c r="C294" s="66" t="s">
        <v>7316</v>
      </c>
      <c r="D294" s="66" t="s">
        <v>10147</v>
      </c>
      <c r="E294" s="66" t="s">
        <v>6559</v>
      </c>
      <c r="F294" s="66" t="s">
        <v>7541</v>
      </c>
      <c r="G294" s="66" t="s">
        <v>6163</v>
      </c>
    </row>
    <row r="295" ht="15.75" customHeight="1">
      <c r="A295" s="66">
        <f>'Main dataset (DEPRECATED)'!Q296</f>
        <v>6634156</v>
      </c>
      <c r="B295" s="66" t="str">
        <f>IFERROR(__xludf.DUMMYFUNCTION("SPLIT('Main dataset (DEPRECATED2)'!N296,"";"")"),"AT&amp;T Bell Laboratories##University of Houston")</f>
        <v>AT&amp;T Bell Laboratories##University of Houston</v>
      </c>
      <c r="C295" s="66" t="s">
        <v>9655</v>
      </c>
      <c r="D295" s="66" t="s">
        <v>8130</v>
      </c>
      <c r="E295" s="66" t="s">
        <v>10453</v>
      </c>
    </row>
    <row r="296" ht="15.75" customHeight="1">
      <c r="A296" s="66">
        <f>'Main dataset (DEPRECATED)'!Q297</f>
        <v>6634111</v>
      </c>
      <c r="B296" s="66" t="str">
        <f>IFERROR(__xludf.DUMMYFUNCTION("SPLIT('Main dataset (DEPRECATED2)'!N297,"";"")"),"University of Birmingham##{R.J.Hendley")</f>
        <v>University of Birmingham##{R.J.Hendley</v>
      </c>
      <c r="C296" s="66" t="s">
        <v>9923</v>
      </c>
      <c r="D296" s="66" t="s">
        <v>6452</v>
      </c>
      <c r="E296" s="66" t="s">
        <v>7887</v>
      </c>
    </row>
    <row r="297" ht="15.75" customHeight="1">
      <c r="A297" s="66">
        <f>'Main dataset (DEPRECATED)'!Q298</f>
        <v>6634168</v>
      </c>
      <c r="B297" s="66" t="str">
        <f>IFERROR(__xludf.DUMMYFUNCTION("SPLIT('Main dataset (DEPRECATED2)'!N298,"";"")"),"Graz University of Technology")</f>
        <v>Graz University of Technology</v>
      </c>
      <c r="C297" s="66" t="s">
        <v>9549</v>
      </c>
    </row>
    <row r="298" ht="15.75" customHeight="1">
      <c r="A298" s="66">
        <f>'Main dataset (DEPRECATED)'!Q299</f>
        <v>6634181</v>
      </c>
      <c r="B298" s="66" t="str">
        <f>IFERROR(__xludf.DUMMYFUNCTION("SPLIT('Main dataset (DEPRECATED2)'!N299,"";"")"),"The MITRE Corporation Bedford##The MITRE Corporation Bedford##The MITRE Corporation Bedford")</f>
        <v>The MITRE Corporation Bedford##The MITRE Corporation Bedford##The MITRE Corporation Bedford</v>
      </c>
    </row>
    <row r="299" ht="15.75" customHeight="1">
      <c r="A299" s="66">
        <f>'Main dataset (DEPRECATED)'!Q300</f>
        <v>6634126</v>
      </c>
      <c r="B299" s="66" t="str">
        <f>IFERROR(__xludf.DUMMYFUNCTION("SPLIT('Main dataset (DEPRECATED2)'!N300,"";"")"),"U.S. EPA Scientific Visualization Center##U.S. EPA Scientific Visualization Center")</f>
        <v>U.S. EPA Scientific Visualization Center##U.S. EPA Scientific Visualization Center</v>
      </c>
      <c r="C299" s="66" t="s">
        <v>7306</v>
      </c>
    </row>
    <row r="300" ht="15.75" customHeight="1">
      <c r="A300" s="66">
        <f>'Main dataset (DEPRECATED)'!Q301</f>
        <v>6634099</v>
      </c>
      <c r="B300" s="66" t="str">
        <f>IFERROR(__xludf.DUMMYFUNCTION("SPLIT('Main dataset (DEPRECATED2)'!N301,"";"")"),"The University of Melbourne##The University of Melbourne##The University of Melbourne")</f>
        <v>The University of Melbourne##The University of Melbourne##The University of Melbourne</v>
      </c>
      <c r="C300" s="66" t="s">
        <v>8628</v>
      </c>
      <c r="D300" s="66" t="s">
        <v>9407</v>
      </c>
    </row>
    <row r="301" ht="15.75" customHeight="1">
      <c r="A301" s="66">
        <f>'Main dataset (DEPRECATED)'!Q302</f>
        <v>6634157</v>
      </c>
      <c r="B301" s="66" t="str">
        <f>IFERROR(__xludf.DUMMYFUNCTION("SPLIT('Main dataset (DEPRECATED2)'!N302,"";"")"),"The MITREC Corporation##The MITREC Corporation##The MITREC Corporation##The MITREC Corporation##The MITREC Corporation##The MITREC Corporation")</f>
        <v>The MITREC Corporation##The MITREC Corporation##The MITREC Corporation##The MITREC Corporation##The MITREC Corporation##The MITREC Corporation</v>
      </c>
      <c r="C301" s="66" t="s">
        <v>11229</v>
      </c>
    </row>
    <row r="302" ht="15.75" customHeight="1">
      <c r="A302" s="66">
        <f>'Main dataset (DEPRECATED)'!Q303</f>
        <v>6634166</v>
      </c>
      <c r="B302" s="66" t="str">
        <f>IFERROR(__xludf.DUMMYFUNCTION("SPLIT('Main dataset (DEPRECATED2)'!N303,"";"")"),"AT&amp;T Bell Labs., Naperville, IL, USA|c|")</f>
        <v>AT&amp;T Bell Labs., Naperville, IL, USA|c|</v>
      </c>
      <c r="C302" s="66" t="s">
        <v>7353</v>
      </c>
      <c r="D302" s="66" t="s">
        <v>8546</v>
      </c>
      <c r="E302" s="66" t="s">
        <v>7255</v>
      </c>
      <c r="F302" s="66" t="s">
        <v>7303</v>
      </c>
      <c r="G302" s="66" t="s">
        <v>7334</v>
      </c>
      <c r="H302" s="66" t="s">
        <v>8588</v>
      </c>
      <c r="I302" s="66" t="s">
        <v>10663</v>
      </c>
      <c r="J302" s="66" t="s">
        <v>11531</v>
      </c>
    </row>
    <row r="303" ht="15.75" customHeight="1">
      <c r="A303" s="66">
        <f>'Main dataset (DEPRECATED)'!Q304</f>
        <v>6634116</v>
      </c>
      <c r="B303" s="66" t="str">
        <f>IFERROR(__xludf.DUMMYFUNCTION("SPLIT('Main dataset (DEPRECATED2)'!N304,"";"")"),"University of Toronto Toronto")</f>
        <v>University of Toronto Toronto</v>
      </c>
      <c r="C303" s="66" t="s">
        <v>9313</v>
      </c>
    </row>
    <row r="304" ht="15.75" customHeight="1">
      <c r="A304" s="66">
        <f>'Main dataset (DEPRECATED)'!Q305</f>
        <v>6634155</v>
      </c>
      <c r="B304" s="66" t="str">
        <f>IFERROR(__xludf.DUMMYFUNCTION("SPLIT('Main dataset (DEPRECATED2)'!N305,"";"")"),"Toronto Western Hospital##Toronto Western Hospital##Toronto Western Hospital")</f>
        <v>Toronto Western Hospital##Toronto Western Hospital##Toronto Western Hospital</v>
      </c>
      <c r="C304" s="66" t="s">
        <v>7283</v>
      </c>
      <c r="D304" s="66" t="s">
        <v>11851</v>
      </c>
      <c r="E304" s="66" t="s">
        <v>6998</v>
      </c>
    </row>
    <row r="305" ht="15.75" customHeight="1">
      <c r="A305" s="66">
        <f>'Main dataset (DEPRECATED)'!Q306</f>
        <v>6634098</v>
      </c>
      <c r="B305" s="66" t="str">
        <f>IFERROR(__xludf.DUMMYFUNCTION("SPLIT('Main dataset (DEPRECATED2)'!N306,"";"")"),"Naval Res. Lab., Washington, DC, USA|c|")</f>
        <v>Naval Res. Lab., Washington, DC, USA|c|</v>
      </c>
      <c r="C305" s="66" t="s">
        <v>10147</v>
      </c>
      <c r="D305" s="66" t="s">
        <v>9239</v>
      </c>
      <c r="E305" s="66" t="s">
        <v>9333</v>
      </c>
    </row>
    <row r="306" ht="15.75" customHeight="1">
      <c r="A306" s="66">
        <f>'Main dataset (DEPRECATED)'!Q307</f>
        <v>6634128</v>
      </c>
      <c r="B306" s="66" t="str">
        <f>IFERROR(__xludf.DUMMYFUNCTION("SPLIT('Main dataset (DEPRECATED2)'!N307,"";"")"),"Corp. Res. &amp; Dev., Gen. Electr. Co., Schenectady, NY, USA|c|")</f>
        <v>Corp. Res. &amp; Dev., Gen. Electr. Co., Schenectady, NY, USA|c|</v>
      </c>
      <c r="C306" s="66" t="s">
        <v>9549</v>
      </c>
      <c r="D306" s="66" t="s">
        <v>11069</v>
      </c>
    </row>
    <row r="307" ht="15.75" customHeight="1">
      <c r="A307" s="66">
        <f>'Main dataset (DEPRECATED)'!Q308</f>
        <v>6634190</v>
      </c>
      <c r="B307" s="66" t="str">
        <f>IFERROR(__xludf.DUMMYFUNCTION("SPLIT('Main dataset (DEPRECATED2)'!N308,"";"")"),"State University of New York at Stony Brook University of North Carolina at Chapel Hill Stony Brook##########")</f>
        <v>State University of New York at Stony Brook University of North Carolina at Chapel Hill Stony Brook##########</v>
      </c>
      <c r="C307" s="66" t="s">
        <v>9799</v>
      </c>
      <c r="D307" s="66" t="s">
        <v>8605</v>
      </c>
      <c r="E307" s="66" t="s">
        <v>10838</v>
      </c>
      <c r="F307" s="66" t="s">
        <v>7856</v>
      </c>
      <c r="G307" s="66" t="s">
        <v>11342</v>
      </c>
      <c r="H307" s="66" t="s">
        <v>10411</v>
      </c>
      <c r="I307" s="66" t="s">
        <v>9891</v>
      </c>
    </row>
    <row r="308" ht="15.75" customHeight="1">
      <c r="A308" s="66">
        <f>'Main dataset (DEPRECATED)'!Q309</f>
        <v>6634189</v>
      </c>
      <c r="B308" s="66" t="str">
        <f>IFERROR(__xludf.DUMMYFUNCTION("SPLIT('Main dataset (DEPRECATED2)'!N309,"";"")"),"University of Minnesota##University of Minnesota##University of Minnesota##University of Minnesota##University of Minnesota##University of Minnesota")</f>
        <v>University of Minnesota##University of Minnesota##University of Minnesota##University of Minnesota##University of Minnesota##University of Minnesota</v>
      </c>
      <c r="C308" s="66" t="s">
        <v>11664</v>
      </c>
      <c r="D308" s="66" t="s">
        <v>6613</v>
      </c>
      <c r="E308" s="66" t="s">
        <v>9177</v>
      </c>
      <c r="F308" s="66" t="s">
        <v>7663</v>
      </c>
      <c r="G308" s="66" t="s">
        <v>10491</v>
      </c>
      <c r="H308" s="66" t="s">
        <v>9891</v>
      </c>
    </row>
    <row r="309" ht="15.75" customHeight="1">
      <c r="A309" s="66">
        <f>'Main dataset (DEPRECATED)'!Q310</f>
        <v>6634192</v>
      </c>
      <c r="B309" s="66" t="str">
        <f>IFERROR(__xludf.DUMMYFUNCTION("SPLIT('Main dataset (DEPRECATED2)'!N310,"";"")"),"University of North Carolina at Chapel Hill##University of North Carolina at Chapel Hill##University of North Carolina at Chapel Hill")</f>
        <v>University of North Carolina at Chapel Hill##University of North Carolina at Chapel Hill##University of North Carolina at Chapel Hill</v>
      </c>
      <c r="C309" s="66" t="s">
        <v>9313</v>
      </c>
      <c r="D309" s="66" t="s">
        <v>9009</v>
      </c>
    </row>
    <row r="310" ht="15.75" customHeight="1">
      <c r="A310" s="66">
        <f>'Main dataset (DEPRECATED)'!Q311</f>
        <v>6634173</v>
      </c>
      <c r="B310" s="66" t="str">
        <f>IFERROR(__xludf.DUMMYFUNCTION("SPLIT('Main dataset (DEPRECATED2)'!N311,"";"")"),"State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310" s="66" t="s">
        <v>7306</v>
      </c>
      <c r="D310" s="66" t="s">
        <v>11468</v>
      </c>
      <c r="E310" s="66" t="s">
        <v>6484</v>
      </c>
      <c r="F310" s="66" t="s">
        <v>7497</v>
      </c>
    </row>
    <row r="311" ht="15.75" customHeight="1">
      <c r="A311" s="66">
        <f>'Main dataset (DEPRECATED)'!Q312</f>
        <v>6634094</v>
      </c>
      <c r="B311" s="66" t="str">
        <f>IFERROR(__xludf.DUMMYFUNCTION("SPLIT('Main dataset (DEPRECATED2)'!N312,"";"")"),"Sogang University Seoul##Sogang University Seoul")</f>
        <v>Sogang University Seoul##Sogang University Seoul</v>
      </c>
      <c r="C311" s="66" t="s">
        <v>10323</v>
      </c>
      <c r="D311" s="66" t="s">
        <v>8780</v>
      </c>
      <c r="E311" s="66" t="s">
        <v>8257</v>
      </c>
    </row>
    <row r="312" ht="15.75" customHeight="1">
      <c r="A312" s="66">
        <f>'Main dataset (DEPRECATED)'!Q313</f>
        <v>6634121</v>
      </c>
      <c r="B312" s="66" t="str">
        <f>IFERROR(__xludf.DUMMYFUNCTION("SPLIT('Main dataset (DEPRECATED2)'!N313,"";"")"),"University of California")</f>
        <v>University of California</v>
      </c>
      <c r="C312" s="66" t="s">
        <v>8257</v>
      </c>
    </row>
    <row r="313" ht="15.75" customHeight="1">
      <c r="A313" s="66">
        <f>'Main dataset (DEPRECATED)'!Q314</f>
        <v>6634146</v>
      </c>
      <c r="B313" s="66" t="str">
        <f>IFERROR(__xludf.DUMMYFUNCTION("SPLIT('Main dataset (DEPRECATED2)'!N314,"";"")"),"University of Zurich##University of Zurich")</f>
        <v>University of Zurich##University of Zurich</v>
      </c>
      <c r="C313" s="66" t="s">
        <v>9025</v>
      </c>
      <c r="D313" s="66" t="s">
        <v>7707</v>
      </c>
      <c r="E313" s="66" t="s">
        <v>9891</v>
      </c>
      <c r="F313" s="66" t="s">
        <v>10838</v>
      </c>
    </row>
    <row r="314" ht="15.75" customHeight="1">
      <c r="A314" s="66">
        <f>'Main dataset (DEPRECATED)'!Q315</f>
        <v>6634137</v>
      </c>
      <c r="B314" s="66" t="str">
        <f>IFERROR(__xludf.DUMMYFUNCTION("SPLIT('Main dataset (DEPRECATED2)'!N315,"";"")"),"Usability Center##Tech Research Institute")</f>
        <v>Usability Center##Tech Research Institute</v>
      </c>
      <c r="C314" s="66" t="s">
        <v>8768</v>
      </c>
      <c r="D314" s="66" t="s">
        <v>10392</v>
      </c>
    </row>
    <row r="315" ht="15.75" customHeight="1">
      <c r="A315" s="66">
        <f>'Main dataset (DEPRECATED)'!Q316</f>
        <v>6634131</v>
      </c>
      <c r="B315" s="66" t="str">
        <f>IFERROR(__xludf.DUMMYFUNCTION("SPLIT('Main dataset (DEPRECATED2)'!N316,"";"")"),"The MITRB Corporation Bedford##University of Massachusetts Lowell Lowell")</f>
        <v>The MITRB Corporation Bedford##University of Massachusetts Lowell Lowell</v>
      </c>
      <c r="C315" s="66" t="s">
        <v>11014</v>
      </c>
    </row>
    <row r="316" ht="15.75" customHeight="1">
      <c r="A316" s="66">
        <f>'Main dataset (DEPRECATED)'!Q317</f>
        <v>6634120</v>
      </c>
      <c r="B316" s="66" t="str">
        <f>IFERROR(__xludf.DUMMYFUNCTION("SPLIT('Main dataset (DEPRECATED2)'!N317,"";"")"),"University of East Anglia School of Information Systems Norwich##University of East Anglia School of Information Systems Norwich")</f>
        <v>University of East Anglia School of Information Systems Norwich##University of East Anglia School of Information Systems Norwich</v>
      </c>
      <c r="C316" s="66" t="s">
        <v>7032</v>
      </c>
      <c r="D316" s="66" t="s">
        <v>9670</v>
      </c>
      <c r="E316" s="66" t="s">
        <v>7598</v>
      </c>
    </row>
    <row r="317" ht="15.75" customHeight="1">
      <c r="A317" s="66">
        <f>'Main dataset (DEPRECATED)'!Q318</f>
        <v>6634104</v>
      </c>
      <c r="B317" s="66" t="str">
        <f>IFERROR(__xludf.DUMMYFUNCTION("SPLIT('Main dataset (DEPRECATED2)'!N318,"";"")"),"IBM Thomas J. Watson Research Center Yorktown Heights##IBM Thomas J. Watson Research Center Yorktown Heights##IBM Thomas J. Watson Research Center Yorktown Heights")</f>
        <v>IBM Thomas J. Watson Research Center Yorktown Heights##IBM Thomas J. Watson Research Center Yorktown Heights##IBM Thomas J. Watson Research Center Yorktown Heights</v>
      </c>
      <c r="C317" s="66" t="s">
        <v>6181</v>
      </c>
      <c r="D317" s="66" t="s">
        <v>9391</v>
      </c>
      <c r="E317" s="66" t="s">
        <v>8093</v>
      </c>
    </row>
    <row r="318" ht="15.75" customHeight="1">
      <c r="A318" s="66">
        <f>'Main dataset (DEPRECATED)'!Q319</f>
        <v>6634178</v>
      </c>
      <c r="B318" s="66" t="str">
        <f>IFERROR(__xludf.DUMMYFUNCTION("SPLIT('Main dataset (DEPRECATED2)'!N319,"";"")"),"Indiana University##Indiana University")</f>
        <v>Indiana University##Indiana University</v>
      </c>
      <c r="C318" s="66" t="s">
        <v>8090</v>
      </c>
      <c r="D318" s="66" t="s">
        <v>10738</v>
      </c>
      <c r="E318" s="66" t="s">
        <v>11515</v>
      </c>
    </row>
    <row r="319" ht="15.75" customHeight="1">
      <c r="A319" s="66">
        <f>'Main dataset (DEPRECATED)'!Q320</f>
        <v>6634113</v>
      </c>
      <c r="B319" s="66" t="str">
        <f>IFERROR(__xludf.DUMMYFUNCTION("SPLIT('Main dataset (DEPRECATED2)'!N320,"";"")"),"ETH-Ziirich##ETH-Ziirich##ETH-Ziirich")</f>
        <v>ETH-Ziirich##ETH-Ziirich##ETH-Ziirich</v>
      </c>
      <c r="C319" s="66" t="s">
        <v>8648</v>
      </c>
      <c r="D319" s="66" t="s">
        <v>10681</v>
      </c>
    </row>
    <row r="320" ht="15.75" customHeight="1">
      <c r="A320" s="66">
        <f>'Main dataset (DEPRECATED)'!Q321</f>
        <v>6634087</v>
      </c>
      <c r="B320" s="66" t="str">
        <f>IFERROR(__xludf.DUMMYFUNCTION("SPLIT('Main dataset (DEPRECATED2)'!N321,"";"")"),"University of Utah Salt Lake City##University of Utah Salt Lake City")</f>
        <v>University of Utah Salt Lake City##University of Utah Salt Lake City</v>
      </c>
      <c r="C320" s="66" t="s">
        <v>11285</v>
      </c>
      <c r="D320" s="66" t="s">
        <v>7497</v>
      </c>
    </row>
    <row r="321" ht="15.75" customHeight="1">
      <c r="A321" s="66">
        <f>'Main dataset (DEPRECATED)'!Q322</f>
        <v>6634164</v>
      </c>
      <c r="B321" s="66" t="str">
        <f>IFERROR(__xludf.DUMMYFUNCTION("SPLIT('Main dataset (DEPRECATED2)'!N322,"";"")"),"Ochanomizu University University of Tsukuba Tokyo 112##")</f>
        <v>Ochanomizu University University of Tsukuba Tokyo 112##</v>
      </c>
      <c r="C321" s="66" t="s">
        <v>11687</v>
      </c>
      <c r="D321" s="66" t="s">
        <v>7413</v>
      </c>
      <c r="E321" s="66" t="s">
        <v>9360</v>
      </c>
      <c r="F321" s="66" t="s">
        <v>11645</v>
      </c>
    </row>
    <row r="322" ht="15.75" customHeight="1">
      <c r="A322" s="66">
        <f>'Main dataset (DEPRECATED)'!Q323</f>
        <v>6634088</v>
      </c>
      <c r="B322" s="66" t="str">
        <f>IFERROR(__xludf.DUMMYFUNCTION("SPLIT('Main dataset (DEPRECATED2)'!N323,"";"")"),"Seoul National University")</f>
        <v>Seoul National University</v>
      </c>
      <c r="C322" s="66" t="s">
        <v>6955</v>
      </c>
      <c r="D322" s="66" t="s">
        <v>9361</v>
      </c>
      <c r="E322" s="66" t="s">
        <v>9344</v>
      </c>
      <c r="F322" s="66" t="s">
        <v>10767</v>
      </c>
    </row>
    <row r="323" ht="15.75" customHeight="1">
      <c r="A323" s="66">
        <f>'Main dataset (DEPRECATED)'!Q324</f>
        <v>6634143</v>
      </c>
      <c r="B323" s="66" t="str">
        <f>IFERROR(__xludf.DUMMYFUNCTION("SPLIT('Main dataset (DEPRECATED2)'!N324,"";"")"),"Visualization and Media Systems Design German National Research Center for Computer Science Sankt Augustin")</f>
        <v>Visualization and Media Systems Design German National Research Center for Computer Science Sankt Augustin</v>
      </c>
      <c r="C323" s="66" t="s">
        <v>11285</v>
      </c>
      <c r="D323" s="66" t="s">
        <v>7664</v>
      </c>
    </row>
    <row r="324" ht="15.75" customHeight="1">
      <c r="A324" s="66">
        <f>'Main dataset (DEPRECATED)'!Q325</f>
        <v>6634170</v>
      </c>
      <c r="B324" s="66" t="str">
        <f>IFERROR(__xludf.DUMMYFUNCTION("SPLIT('Main dataset (DEPRECATED2)'!N325,"";"")"),"WSI I GRIS t University of Tiibingen")</f>
        <v>WSI I GRIS t University of Tiibingen</v>
      </c>
      <c r="C324" s="66" t="s">
        <v>9639</v>
      </c>
      <c r="D324" s="66" t="s">
        <v>9549</v>
      </c>
    </row>
    <row r="325" ht="15.75" customHeight="1">
      <c r="A325" s="66">
        <f>'Main dataset (DEPRECATED)'!Q326</f>
        <v>6634198</v>
      </c>
      <c r="B325" s="66" t="str">
        <f>IFERROR(__xludf.DUMMYFUNCTION("SPLIT('Main dataset (DEPRECATED2)'!N326,"";"")"),"University of New Hampshire Durham##University of New Hampshire Durham")</f>
        <v>University of New Hampshire Durham##University of New Hampshire Durham</v>
      </c>
      <c r="C325" s="66" t="s">
        <v>10191</v>
      </c>
      <c r="D325" s="66" t="s">
        <v>10357</v>
      </c>
      <c r="E325" s="66" t="s">
        <v>7154</v>
      </c>
      <c r="F325" s="66" t="s">
        <v>6857</v>
      </c>
    </row>
    <row r="326" ht="15.75" customHeight="1">
      <c r="A326" s="66">
        <f>'Main dataset (DEPRECATED)'!Q327</f>
        <v>6634152</v>
      </c>
      <c r="B326" s="66" t="str">
        <f>IFERROR(__xludf.DUMMYFUNCTION("SPLIT('Main dataset (DEPRECATED2)'!N327,"";"")"),"University of Regina Regina")</f>
        <v>University of Regina Regina</v>
      </c>
      <c r="C326" s="66" t="s">
        <v>11285</v>
      </c>
      <c r="D326" s="66" t="s">
        <v>7497</v>
      </c>
    </row>
    <row r="327" ht="15.75" customHeight="1">
      <c r="A327" s="66">
        <f>'Main dataset (DEPRECATED)'!Q328</f>
        <v>6634092</v>
      </c>
      <c r="B327" s="66" t="str">
        <f>IFERROR(__xludf.DUMMYFUNCTION("SPLIT('Main dataset (DEPRECATED2)'!N328,"";"")"),"Dept. of Comput. Sci., State Univ. of New York, Stony Brook, NY, USA|c|")</f>
        <v>Dept. of Comput. Sci., State Univ. of New York, Stony Brook, NY, USA|c|</v>
      </c>
      <c r="C327" s="66" t="s">
        <v>8501</v>
      </c>
    </row>
    <row r="328" ht="15.75" customHeight="1">
      <c r="A328" s="66">
        <f>'Main dataset (DEPRECATED)'!Q329</f>
        <v>6634101</v>
      </c>
      <c r="B328" s="66" t="str">
        <f>IFERROR(__xludf.DUMMYFUNCTION("SPLIT('Main dataset (DEPRECATED2)'!N329,"";"")"),"The University of Nottingham Nottingham##The University of Nottingham Nottingham")</f>
        <v>The University of Nottingham Nottingham##The University of Nottingham Nottingham</v>
      </c>
      <c r="C328" s="66" t="s">
        <v>9743</v>
      </c>
      <c r="D328" s="66" t="s">
        <v>9930</v>
      </c>
      <c r="E328" s="66" t="s">
        <v>10597</v>
      </c>
    </row>
    <row r="329" ht="15.75" customHeight="1">
      <c r="A329" s="66">
        <f>'Main dataset (DEPRECATED)'!Q330</f>
        <v>6634179</v>
      </c>
      <c r="B329" s="66" t="str">
        <f>IFERROR(__xludf.DUMMYFUNCTION("SPLIT('Main dataset (DEPRECATED2)'!N330,"";"")"),"University of Toronto")</f>
        <v>University of Toronto</v>
      </c>
      <c r="C329" s="66" t="s">
        <v>10109</v>
      </c>
      <c r="D329" s="66" t="s">
        <v>11396</v>
      </c>
    </row>
    <row r="330" ht="15.75" customHeight="1">
      <c r="A330" s="66">
        <f>'Main dataset (DEPRECATED)'!Q331</f>
        <v>6634197</v>
      </c>
      <c r="B330" s="66" t="str">
        <f>IFERROR(__xludf.DUMMYFUNCTION("SPLIT('Main dataset (DEPRECATED2)'!N331,"";"")"),"University of Massachusetts at Amherst##University of Massachusetts at Amherst")</f>
        <v>University of Massachusetts at Amherst##University of Massachusetts at Amherst</v>
      </c>
      <c r="C330" s="66" t="s">
        <v>10523</v>
      </c>
      <c r="D330" s="66" t="s">
        <v>9292</v>
      </c>
      <c r="E330" s="66" t="s">
        <v>7679</v>
      </c>
    </row>
    <row r="331" ht="15.75" customHeight="1">
      <c r="A331" s="66">
        <f>'Main dataset (DEPRECATED)'!Q332</f>
        <v>6634103</v>
      </c>
      <c r="B331" s="66" t="str">
        <f>IFERROR(__xludf.DUMMYFUNCTION("SPLIT('Main dataset (DEPRECATED2)'!N332,"";"")"),"Delft University of Technology##Delft University of Technology")</f>
        <v>Delft University of Technology##Delft University of Technology</v>
      </c>
      <c r="C331" s="66" t="s">
        <v>11262</v>
      </c>
      <c r="D331" s="66" t="s">
        <v>6753</v>
      </c>
      <c r="E331" s="66" t="s">
        <v>8378</v>
      </c>
      <c r="F331" s="66" t="s">
        <v>10890</v>
      </c>
      <c r="G331" s="66" t="s">
        <v>9712</v>
      </c>
      <c r="H331" s="66" t="s">
        <v>9891</v>
      </c>
    </row>
    <row r="332" ht="15.75" customHeight="1">
      <c r="A332" s="66">
        <f>'Main dataset (DEPRECATED)'!Q333</f>
        <v>6651934</v>
      </c>
      <c r="B332" s="66" t="str">
        <f>IFERROR(__xludf.DUMMYFUNCTION("SPLIT('Main dataset (DEPRECATED2)'!N333,"";"")"),"State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332" s="66" t="s">
        <v>11112</v>
      </c>
      <c r="D332" s="66" t="s">
        <v>10434</v>
      </c>
      <c r="E332" s="66" t="s">
        <v>11073</v>
      </c>
      <c r="F332" s="66" t="s">
        <v>8654</v>
      </c>
    </row>
    <row r="333" ht="15.75" customHeight="1">
      <c r="A333" s="66">
        <f>'Main dataset (DEPRECATED)'!Q334</f>
        <v>6634149</v>
      </c>
      <c r="B333" s="66" t="str">
        <f>IFERROR(__xludf.DUMMYFUNCTION("SPLIT('Main dataset (DEPRECATED2)'!N334,"";"")"),"Lawrence Livermore Nat. Lab., CA, USA|c|")</f>
        <v>Lawrence Livermore Nat. Lab., CA, USA|c|</v>
      </c>
      <c r="C333" s="66" t="s">
        <v>11731</v>
      </c>
      <c r="D333" s="66" t="s">
        <v>4987</v>
      </c>
    </row>
    <row r="334" ht="15.75" customHeight="1">
      <c r="A334" s="66">
        <f>'Main dataset (DEPRECATED)'!Q335</f>
        <v>6634108</v>
      </c>
      <c r="B334" s="66" t="str">
        <f>IFERROR(__xludf.DUMMYFUNCTION("SPLIT('Main dataset (DEPRECATED2)'!N335,"";"")"),"University of Alabama at Birmingham 115A Campbell Hall##University of Alabama at Birmingham 115A Campbell Hall")</f>
        <v>University of Alabama at Birmingham 115A Campbell Hall##University of Alabama at Birmingham 115A Campbell Hall</v>
      </c>
      <c r="C334" s="66" t="s">
        <v>8372</v>
      </c>
      <c r="D334" s="66" t="s">
        <v>8462</v>
      </c>
      <c r="E334" s="66" t="s">
        <v>10478</v>
      </c>
      <c r="F334" s="66" t="s">
        <v>9472</v>
      </c>
    </row>
    <row r="335" ht="15.75" customHeight="1">
      <c r="A335" s="66">
        <f>'Main dataset (DEPRECATED)'!Q336</f>
        <v>6634175</v>
      </c>
      <c r="B335" s="66" t="str">
        <f>IFERROR(__xludf.DUMMYFUNCTION("SPLIT('Main dataset (DEPRECATED2)'!N336,"";"")"),"IBM Thomas J. Watson Research Center Post Office##IBM Thomas J. Watson Research Center Post Office")</f>
        <v>IBM Thomas J. Watson Research Center Post Office##IBM Thomas J. Watson Research Center Post Office</v>
      </c>
      <c r="C335" s="66" t="s">
        <v>8645</v>
      </c>
    </row>
    <row r="336" ht="15.75" customHeight="1">
      <c r="A336" s="66">
        <f>'Main dataset (DEPRECATED)'!Q337</f>
        <v>6634133</v>
      </c>
      <c r="B336" s="66" t="str">
        <f>IFERROR(__xludf.DUMMYFUNCTION("SPLIT('Main dataset (DEPRECATED2)'!N337,"";"")"),"#VALUE!")</f>
        <v>#VALUE!</v>
      </c>
      <c r="C336" s="66" t="s">
        <v>11095</v>
      </c>
    </row>
    <row r="337" ht="15.75" customHeight="1">
      <c r="A337" s="66">
        <f>'Main dataset (DEPRECATED)'!Q338</f>
        <v>6634150</v>
      </c>
      <c r="B337" s="66" t="str">
        <f>IFERROR(__xludf.DUMMYFUNCTION("SPLIT('Main dataset (DEPRECATED2)'!N338,"";"")"),"University of Munich Leopoldstr. llB##University of Munich Leopoldstr. llB##University of Munich Leopoldstr. llB")</f>
        <v>University of Munich Leopoldstr. llB##University of Munich Leopoldstr. llB##University of Munich Leopoldstr. llB</v>
      </c>
      <c r="C337" s="66" t="s">
        <v>10317</v>
      </c>
      <c r="D337" s="66" t="s">
        <v>11396</v>
      </c>
    </row>
    <row r="338" ht="15.75" customHeight="1">
      <c r="A338" s="66">
        <f>'Main dataset (DEPRECATED)'!Q339</f>
        <v>6634109</v>
      </c>
      <c r="B338" s="66" t="str">
        <f>IFERROR(__xludf.DUMMYFUNCTION("SPLIT('Main dataset (DEPRECATED2)'!N339,"";"")"),"Delft University of Technology##Delft University of Technology##Delft University of Technology##Delft University of Technology##Delft University of Technology")</f>
        <v>Delft University of Technology##Delft University of Technology##Delft University of Technology##Delft University of Technology##Delft University of Technology</v>
      </c>
      <c r="C338" s="66" t="s">
        <v>9591</v>
      </c>
      <c r="D338" s="66" t="s">
        <v>9586</v>
      </c>
    </row>
    <row r="339" ht="15.75" customHeight="1">
      <c r="A339" s="66">
        <f>'Main dataset (DEPRECATED)'!Q340</f>
        <v>6634187</v>
      </c>
      <c r="B339" s="66" t="str">
        <f>IFERROR(__xludf.DUMMYFUNCTION("SPLIT('Main dataset (DEPRECATED2)'!N340,"";"")"),"State University of New York at Stony Brook Stony Brook##State University of New York at Stony Brook Stony Brook##State University of New York at Stony Brook Stony Brook##State University of New York at Stony Brook Stony Brook##State University of New Yor"&amp;"k at Stony Brook Stony Brook")</f>
        <v>State University of New York at Stony Brook Stony Brook##State University of New York at Stony Brook Stony Brook##State University of New York at Stony Brook Stony Brook##State University of New York at Stony Brook Stony Brook##State University of New York at Stony Brook Stony Brook</v>
      </c>
      <c r="C339" s="66" t="s">
        <v>7347</v>
      </c>
      <c r="D339" s="66" t="s">
        <v>4285</v>
      </c>
      <c r="E339" s="66" t="s">
        <v>11542</v>
      </c>
    </row>
    <row r="340" ht="15.75" customHeight="1">
      <c r="A340" s="66">
        <f>'Main dataset (DEPRECATED)'!Q341</f>
        <v>6634117</v>
      </c>
      <c r="B340" s="66" t="str">
        <f>IFERROR(__xludf.DUMMYFUNCTION("SPLIT('Main dataset (DEPRECATED2)'!N341,"";"")"),"Centre for Math. &amp; Comput. Sci., CWI, Amsterdam, Netherlands|c|")</f>
        <v>Centre for Math. &amp; Comput. Sci., CWI, Amsterdam, Netherlands|c|</v>
      </c>
      <c r="C340" s="66" t="s">
        <v>11792</v>
      </c>
      <c r="D340" s="66" t="s">
        <v>7916</v>
      </c>
      <c r="E340" s="66" t="s">
        <v>8645</v>
      </c>
      <c r="F340" s="66" t="s">
        <v>8465</v>
      </c>
      <c r="G340" s="66" t="s">
        <v>8481</v>
      </c>
      <c r="H340" s="66" t="s">
        <v>7504</v>
      </c>
    </row>
    <row r="341" ht="15.75" customHeight="1">
      <c r="A341" s="66">
        <f>'Main dataset (DEPRECATED)'!Q342</f>
        <v>6634123</v>
      </c>
      <c r="B341" s="66" t="str">
        <f>IFERROR(__xludf.DUMMYFUNCTION("SPLIT('Main dataset (DEPRECATED2)'!N342,"";"")"),"University of Utah Salt Lake City##University of Utah Salt Lake City")</f>
        <v>University of Utah Salt Lake City##University of Utah Salt Lake City</v>
      </c>
      <c r="C341" s="66" t="s">
        <v>6442</v>
      </c>
      <c r="D341" s="66" t="s">
        <v>10007</v>
      </c>
      <c r="E341" s="66" t="s">
        <v>9694</v>
      </c>
      <c r="F341" s="66" t="s">
        <v>8146</v>
      </c>
      <c r="G341" s="66" t="s">
        <v>6894</v>
      </c>
      <c r="H341" s="66" t="s">
        <v>8560</v>
      </c>
    </row>
    <row r="342" ht="15.75" customHeight="1">
      <c r="A342" s="66">
        <f>'Main dataset (DEPRECATED)'!Q343</f>
        <v>6634145</v>
      </c>
      <c r="B342" s="66" t="str">
        <f>IFERROR(__xludf.DUMMYFUNCTION("SPLIT('Main dataset (DEPRECATED2)'!N343,"";"")"),"Computer Sciences Corporation##Computer Sciences Corporation")</f>
        <v>Computer Sciences Corporation##Computer Sciences Corporation</v>
      </c>
      <c r="C342" s="66" t="s">
        <v>10286</v>
      </c>
      <c r="D342" s="66" t="s">
        <v>11372</v>
      </c>
      <c r="E342" s="66" t="s">
        <v>11573</v>
      </c>
      <c r="F342" s="66" t="s">
        <v>8645</v>
      </c>
    </row>
    <row r="343" ht="15.75" customHeight="1">
      <c r="A343" s="66">
        <f>'Main dataset (DEPRECATED)'!Q344</f>
        <v>6634122</v>
      </c>
      <c r="B343" s="66" t="str">
        <f>IFERROR(__xludf.DUMMYFUNCTION("SPLIT('Main dataset (DEPRECATED2)'!N344,"";"")"),"NASA Ames Research Center")</f>
        <v>NASA Ames Research Center</v>
      </c>
      <c r="C343" s="66" t="s">
        <v>9694</v>
      </c>
      <c r="D343" s="66" t="s">
        <v>7698</v>
      </c>
      <c r="E343" s="66" t="s">
        <v>8560</v>
      </c>
    </row>
    <row r="344" ht="15.75" customHeight="1">
      <c r="A344" s="66">
        <f>'Main dataset (DEPRECATED)'!Q345</f>
        <v>6634132</v>
      </c>
      <c r="B344" s="66" t="str">
        <f>IFERROR(__xludf.DUMMYFUNCTION("SPLIT('Main dataset (DEPRECATED2)'!N345,"";"")"),"Simon Fraser University##Simon Fraser University##Simon Fraser University##Simon Fraser University")</f>
        <v>Simon Fraser University##Simon Fraser University##Simon Fraser University##Simon Fraser University</v>
      </c>
      <c r="C344" s="66" t="s">
        <v>6184</v>
      </c>
      <c r="D344" s="66" t="s">
        <v>8641</v>
      </c>
      <c r="E344" s="66" t="s">
        <v>9048</v>
      </c>
      <c r="F344" s="66" t="s">
        <v>9891</v>
      </c>
      <c r="G344" s="66" t="s">
        <v>7985</v>
      </c>
    </row>
    <row r="345" ht="15.75" customHeight="1">
      <c r="A345" s="66">
        <f>'Main dataset (DEPRECATED)'!Q346</f>
        <v>6634129</v>
      </c>
      <c r="B345" s="66" t="str">
        <f>IFERROR(__xludf.DUMMYFUNCTION("SPLIT('Main dataset (DEPRECATED2)'!N346,"";"")"),"Simon Fraser University Burnaby")</f>
        <v>Simon Fraser University Burnaby</v>
      </c>
      <c r="C345" s="66" t="s">
        <v>9438</v>
      </c>
      <c r="D345" s="66" t="s">
        <v>8737</v>
      </c>
    </row>
    <row r="346" ht="15.75" customHeight="1">
      <c r="A346" s="66">
        <f>'Main dataset (DEPRECATED)'!Q347</f>
        <v>6634188</v>
      </c>
      <c r="B346" s="66" t="str">
        <f>IFERROR(__xludf.DUMMYFUNCTION("SPLIT('Main dataset (DEPRECATED2)'!N347,"";"")"),"IWSP")</f>
        <v>IWSP</v>
      </c>
      <c r="C346" s="66" t="s">
        <v>11594</v>
      </c>
      <c r="D346" s="66" t="s">
        <v>8464</v>
      </c>
      <c r="E346" s="66" t="s">
        <v>11586</v>
      </c>
    </row>
    <row r="347" ht="15.75" customHeight="1">
      <c r="A347" s="66">
        <f>'Main dataset (DEPRECATED)'!Q348</f>
        <v>6634138</v>
      </c>
      <c r="B347" s="66" t="str">
        <f>IFERROR(__xludf.DUMMYFUNCTION("SPLIT('Main dataset (DEPRECATED2)'!N348,"";"")"),"Boeing Information and Support Services, Research and Technology")</f>
        <v>Boeing Information and Support Services, Research and Technology</v>
      </c>
      <c r="C347" s="66" t="s">
        <v>6881</v>
      </c>
      <c r="D347" s="66" t="s">
        <v>7421</v>
      </c>
      <c r="E347" s="66" t="s">
        <v>8654</v>
      </c>
    </row>
    <row r="348" ht="15.75" customHeight="1">
      <c r="A348" s="66">
        <f>'Main dataset (DEPRECATED)'!Q349</f>
        <v>6634095</v>
      </c>
      <c r="B348" s="66" t="str">
        <f>IFERROR(__xludf.DUMMYFUNCTION("SPLIT('Main dataset (DEPRECATED2)'!N349,"";"")"),"German Aerosp. Res. Establ., Gottingen, Germany|c|")</f>
        <v>German Aerosp. Res. Establ., Gottingen, Germany|c|</v>
      </c>
      <c r="C348" s="66" t="s">
        <v>9591</v>
      </c>
    </row>
    <row r="349" ht="15.75" customHeight="1">
      <c r="A349" s="66">
        <f>'Main dataset (DEPRECATED)'!Q350</f>
        <v>6634159</v>
      </c>
      <c r="B349" s="66" t="str">
        <f>IFERROR(__xludf.DUMMYFUNCTION("SPLIT('Main dataset (DEPRECATED2)'!N350,"";"")"),"The Ohio State University##The Ohio State University##The Ohio State University##The Ohio State University")</f>
        <v>The Ohio State University##The Ohio State University##The Ohio State University##The Ohio State University</v>
      </c>
      <c r="C349" s="66" t="s">
        <v>4285</v>
      </c>
    </row>
    <row r="350" ht="15.75" customHeight="1">
      <c r="A350" s="66">
        <f>'Main dataset (DEPRECATED)'!Q351</f>
        <v>6634097</v>
      </c>
      <c r="B350" s="66" t="str">
        <f>IFERROR(__xludf.DUMMYFUNCTION("SPLIT('Main dataset (DEPRECATED2)'!N351,"";"")"),"Simon Fraser University Burnaby")</f>
        <v>Simon Fraser University Burnaby</v>
      </c>
      <c r="C350" s="66" t="s">
        <v>11069</v>
      </c>
      <c r="D350" s="66" t="s">
        <v>7445</v>
      </c>
      <c r="E350" s="66" t="s">
        <v>10599</v>
      </c>
    </row>
    <row r="351" ht="15.75" customHeight="1">
      <c r="A351" s="66">
        <f>'Main dataset (DEPRECATED)'!Q352</f>
        <v>6634161</v>
      </c>
      <c r="B351" s="66" t="str">
        <f>IFERROR(__xludf.DUMMYFUNCTION("SPLIT('Main dataset (DEPRECATED2)'!N352,"";"")"),"Corp. Res. &amp; Dev., Gen. Electr. Co., Schenectady, NY, USA|c|")</f>
        <v>Corp. Res. &amp; Dev., Gen. Electr. Co., Schenectady, NY, USA|c|</v>
      </c>
      <c r="C351" s="66" t="s">
        <v>6622</v>
      </c>
    </row>
    <row r="352" ht="15.75" customHeight="1">
      <c r="A352" s="66">
        <f>'Main dataset (DEPRECATED)'!Q353</f>
        <v>6634177</v>
      </c>
      <c r="B352" s="66" t="str">
        <f>IFERROR(__xludf.DUMMYFUNCTION("SPLIT('Main dataset (DEPRECATED2)'!N353,"";"")"),"Macquarie University Sydney##Macquarie University Sydney")</f>
        <v>Macquarie University Sydney##Macquarie University Sydney</v>
      </c>
      <c r="C352" s="66" t="s">
        <v>10061</v>
      </c>
      <c r="D352" s="66" t="s">
        <v>8916</v>
      </c>
      <c r="E352" s="66" t="s">
        <v>8114</v>
      </c>
      <c r="F352" s="66" t="s">
        <v>11749</v>
      </c>
    </row>
    <row r="353" ht="15.75" customHeight="1">
      <c r="A353" s="66">
        <f>'Main dataset (DEPRECATED)'!Q354</f>
        <v>6634119</v>
      </c>
      <c r="B353" s="66" t="str">
        <f>IFERROR(__xludf.DUMMYFUNCTION("SPLIT('Main dataset (DEPRECATED2)'!N354,"";"")"),"German Aerosp. Res. Establ., Gottingen, Germany|c|")</f>
        <v>German Aerosp. Res. Establ., Gottingen, Germany|c|</v>
      </c>
      <c r="C353" s="66" t="s">
        <v>9290</v>
      </c>
      <c r="D353" s="66" t="s">
        <v>8327</v>
      </c>
      <c r="E353" s="66" t="s">
        <v>11525</v>
      </c>
      <c r="F353" s="66" t="s">
        <v>8958</v>
      </c>
      <c r="G353" s="66" t="s">
        <v>6597</v>
      </c>
      <c r="H353" s="66" t="s">
        <v>10222</v>
      </c>
      <c r="I353" s="66" t="s">
        <v>9227</v>
      </c>
    </row>
    <row r="354" ht="15.75" customHeight="1">
      <c r="A354" s="66">
        <f>'Main dataset (DEPRECATED)'!Q355</f>
        <v>6634086</v>
      </c>
      <c r="B354" s="66" t="str">
        <f>IFERROR(__xludf.DUMMYFUNCTION("SPLIT('Main dataset (DEPRECATED2)'!N355,"";"")"),"Coll. of Comput., Georgia Inst. of Technol., Atlanta, GA, USA|c|")</f>
        <v>Coll. of Comput., Georgia Inst. of Technol., Atlanta, GA, USA|c|</v>
      </c>
      <c r="C354" s="66" t="s">
        <v>7790</v>
      </c>
      <c r="D354" s="66" t="s">
        <v>9984</v>
      </c>
      <c r="E354" s="66" t="s">
        <v>10759</v>
      </c>
    </row>
    <row r="355" ht="15.75" customHeight="1">
      <c r="A355" s="66">
        <f>'Main dataset (DEPRECATED)'!Q356</f>
        <v>6634193</v>
      </c>
      <c r="B355" s="66" t="str">
        <f>IFERROR(__xludf.DUMMYFUNCTION("SPLIT('Main dataset (DEPRECATED2)'!N356,"";"")"),"Delft University of Technology University of Groningen##Delft University of Technology University of Groningen##Delft University of Technology University of Groningen")</f>
        <v>Delft University of Technology University of Groningen##Delft University of Technology University of Groningen##Delft University of Technology University of Groningen</v>
      </c>
      <c r="C355" s="66" t="s">
        <v>4987</v>
      </c>
    </row>
    <row r="356" ht="15.75" customHeight="1">
      <c r="A356" s="66">
        <f>'Main dataset (DEPRECATED)'!Q357</f>
        <v>6634144</v>
      </c>
      <c r="B356" s="66" t="str">
        <f>IFERROR(__xludf.DUMMYFUNCTION("SPLIT('Main dataset (DEPRECATED2)'!N357,"";"")"),"EPA Scientific Visualization Laboratory Research Triangle Park##EPA Scientific Visualization Laboratory Research Triangle Park")</f>
        <v>EPA Scientific Visualization Laboratory Research Triangle Park##EPA Scientific Visualization Laboratory Research Triangle Park</v>
      </c>
      <c r="C356" s="66" t="s">
        <v>10875</v>
      </c>
      <c r="D356" s="66" t="s">
        <v>7190</v>
      </c>
      <c r="E356" s="66" t="s">
        <v>6645</v>
      </c>
      <c r="F356" s="66" t="s">
        <v>9807</v>
      </c>
    </row>
    <row r="357" ht="15.75" customHeight="1">
      <c r="A357" s="66">
        <f>'Main dataset (DEPRECATED)'!Q358</f>
        <v>6634106</v>
      </c>
      <c r="B357" s="66" t="str">
        <f>IFERROR(__xludf.DUMMYFUNCTION("SPLIT('Main dataset (DEPRECATED2)'!N358,"";"")"),"University Iof California")</f>
        <v>University Iof California</v>
      </c>
      <c r="C357" s="66" t="s">
        <v>7958</v>
      </c>
      <c r="D357" s="66" t="s">
        <v>8642</v>
      </c>
      <c r="E357" s="66" t="s">
        <v>7887</v>
      </c>
      <c r="F357" s="66" t="s">
        <v>8127</v>
      </c>
    </row>
    <row r="358" ht="15.75" customHeight="1">
      <c r="A358" s="66">
        <f>'Main dataset (DEPRECATED)'!Q359</f>
        <v>6634151</v>
      </c>
      <c r="B358" s="66" t="str">
        <f>IFERROR(__xludf.DUMMYFUNCTION("SPLIT('Main dataset (DEPRECATED2)'!N359,"";"")"),"Visualization Laboratory University of Maryland College Park")</f>
        <v>Visualization Laboratory University of Maryland College Park</v>
      </c>
      <c r="C358" s="66" t="s">
        <v>8603</v>
      </c>
      <c r="D358" s="66" t="s">
        <v>10788</v>
      </c>
      <c r="E358" s="66" t="s">
        <v>10411</v>
      </c>
    </row>
    <row r="359" ht="15.75" customHeight="1">
      <c r="A359" s="66">
        <f>'Main dataset (DEPRECATED)'!Q360</f>
        <v>6634153</v>
      </c>
      <c r="B359" s="66" t="str">
        <f>IFERROR(__xludf.DUMMYFUNCTION("SPLIT('Main dataset (DEPRECATED2)'!N360,"";"")"),"MAYA Design Group, Inc##Carnegie Mellon University")</f>
        <v>MAYA Design Group, Inc##Carnegie Mellon University</v>
      </c>
      <c r="C359" s="66" t="s">
        <v>7700</v>
      </c>
      <c r="D359" s="66" t="s">
        <v>9986</v>
      </c>
      <c r="E359" s="66" t="s">
        <v>11014</v>
      </c>
      <c r="F359" s="66" t="s">
        <v>7961</v>
      </c>
      <c r="G359" s="66" t="s">
        <v>9984</v>
      </c>
    </row>
    <row r="360" ht="15.75" customHeight="1">
      <c r="A360" s="66">
        <f>'Main dataset (DEPRECATED)'!Q361</f>
        <v>6634171</v>
      </c>
      <c r="B360" s="66" t="str">
        <f>IFERROR(__xludf.DUMMYFUNCTION("SPLIT('Main dataset (DEPRECATED2)'!N361,"";"")"),"Columbia University##Columbia University")</f>
        <v>Columbia University##Columbia University</v>
      </c>
      <c r="C360" s="66" t="s">
        <v>7412</v>
      </c>
    </row>
    <row r="361" ht="15.75" customHeight="1">
      <c r="A361" s="66">
        <f>'Main dataset (DEPRECATED)'!Q362</f>
        <v>6634141</v>
      </c>
      <c r="B361" s="66" t="str">
        <f>IFERROR(__xludf.DUMMYFUNCTION("SPLIT('Main dataset (DEPRECATED2)'!N362,"";"")"),"University of Waterloo Waterloo##University of Waterloo Waterloo")</f>
        <v>University of Waterloo Waterloo##University of Waterloo Waterloo</v>
      </c>
      <c r="C361" s="66" t="s">
        <v>9440</v>
      </c>
      <c r="D361" s="66" t="s">
        <v>6308</v>
      </c>
      <c r="E361" s="66" t="s">
        <v>10398</v>
      </c>
      <c r="F361" s="66" t="s">
        <v>8788</v>
      </c>
      <c r="G361" s="66" t="s">
        <v>11493</v>
      </c>
      <c r="H361" s="66" t="s">
        <v>7887</v>
      </c>
      <c r="I361" s="66" t="s">
        <v>6685</v>
      </c>
    </row>
    <row r="362" ht="15.75" customHeight="1">
      <c r="A362" s="66">
        <f>'Main dataset (DEPRECATED)'!Q363</f>
        <v>6634162</v>
      </c>
      <c r="B362" s="66" t="str">
        <f>IFERROR(__xludf.DUMMYFUNCTION("SPLIT('Main dataset (DEPRECATED2)'!N363,"";"")"),"Carnegie Mellon University Pittsburgh##Carnegie Mellon University Pittsburgh")</f>
        <v>Carnegie Mellon University Pittsburgh##Carnegie Mellon University Pittsburgh</v>
      </c>
      <c r="C362" s="66" t="s">
        <v>10648</v>
      </c>
    </row>
    <row r="363" ht="15.75" customHeight="1">
      <c r="A363" s="66">
        <f>'Main dataset (DEPRECATED)'!Q364</f>
        <v>6634169</v>
      </c>
      <c r="B363" s="66" t="str">
        <f>IFERROR(__xludf.DUMMYFUNCTION("SPLIT('Main dataset (DEPRECATED2)'!N364,"";"")"),"Indiana University##Indiana University")</f>
        <v>Indiana University##Indiana University</v>
      </c>
      <c r="C363" s="66" t="s">
        <v>9923</v>
      </c>
    </row>
    <row r="364" ht="15.75" customHeight="1">
      <c r="A364" s="66">
        <f>'Main dataset (DEPRECATED)'!Q365</f>
        <v>6634110</v>
      </c>
      <c r="B364" s="66" t="str">
        <f>IFERROR(__xludf.DUMMYFUNCTION("SPLIT('Main dataset (DEPRECATED2)'!N365,"";"")"),"Sch. of Comput. Sci., Simon Fraser Univ., Burnaby, BC, Canada|c|")</f>
        <v>Sch. of Comput. Sci., Simon Fraser Univ., Burnaby, BC, Canada|c|</v>
      </c>
      <c r="C364" s="66" t="s">
        <v>10663</v>
      </c>
      <c r="D364" s="66" t="s">
        <v>7353</v>
      </c>
      <c r="E364" s="66" t="s">
        <v>8599</v>
      </c>
      <c r="F364" s="66" t="s">
        <v>11531</v>
      </c>
      <c r="G364" s="66" t="s">
        <v>9633</v>
      </c>
      <c r="H364" s="66" t="s">
        <v>10796</v>
      </c>
      <c r="I364" s="66" t="s">
        <v>11523</v>
      </c>
      <c r="J364" s="66" t="s">
        <v>11702</v>
      </c>
    </row>
    <row r="365" ht="15.75" customHeight="1">
      <c r="A365" s="66">
        <f>'Main dataset (DEPRECATED)'!Q366</f>
        <v>6634184</v>
      </c>
      <c r="B365" s="66" t="str">
        <f>IFERROR(__xludf.DUMMYFUNCTION("SPLIT('Main dataset (DEPRECATED2)'!N366,"";"")"),"AT&amp;T Bell Labs., Naperville, IL, USA|c|")</f>
        <v>AT&amp;T Bell Labs., Naperville, IL, USA|c|</v>
      </c>
      <c r="C365" s="66" t="s">
        <v>6390</v>
      </c>
      <c r="D365" s="66" t="s">
        <v>11000</v>
      </c>
      <c r="E365" s="66" t="s">
        <v>7066</v>
      </c>
    </row>
    <row r="366" ht="15.75" customHeight="1">
      <c r="A366" s="66">
        <f>'Main dataset (DEPRECATED)'!Q367</f>
        <v>6634124</v>
      </c>
      <c r="B366" s="66" t="str">
        <f>IFERROR(__xludf.DUMMYFUNCTION("SPLIT('Main dataset (DEPRECATED2)'!N367,"";"")"),"Inst. for Inf. &amp; Comput. Supported New Media, Graz Univ. of Technol., Austria|c|")</f>
        <v>Inst. for Inf. &amp; Comput. Supported New Media, Graz Univ. of Technol., Austria|c|</v>
      </c>
    </row>
    <row r="367" ht="15.75" customHeight="1">
      <c r="A367" s="66">
        <f>'Main dataset (DEPRECATED)'!Q368</f>
        <v>6634160</v>
      </c>
      <c r="B367" s="66" t="str">
        <f>IFERROR(__xludf.DUMMYFUNCTION("SPLIT('Main dataset (DEPRECATED2)'!N368,"";"")"),"NEC USA Inc##NEC USA Inc##NEC USA Inc")</f>
        <v>NEC USA Inc##NEC USA Inc##NEC USA Inc</v>
      </c>
      <c r="C367" s="66" t="s">
        <v>9030</v>
      </c>
      <c r="D367" s="66" t="s">
        <v>11599</v>
      </c>
      <c r="E367" s="66" t="s">
        <v>11810</v>
      </c>
      <c r="F367" s="66" t="s">
        <v>10140</v>
      </c>
    </row>
    <row r="368" ht="15.75" customHeight="1">
      <c r="A368" s="66">
        <f>'Main dataset (DEPRECATED)'!Q369</f>
        <v>6634191</v>
      </c>
      <c r="B368" s="66" t="str">
        <f>IFERROR(__xludf.DUMMYFUNCTION("SPLIT('Main dataset (DEPRECATED2)'!N369,"";"")"),"U. of Maryland Baltimore County##U. of Maryland Baltimore County##U. of Maryland Baltimore County##U. of Maryland Baltimore County##U. of Maryland Baltimore County")</f>
        <v>U. of Maryland Baltimore County##U. of Maryland Baltimore County##U. of Maryland Baltimore County##U. of Maryland Baltimore County##U. of Maryland Baltimore County</v>
      </c>
      <c r="C368" s="66" t="s">
        <v>7756</v>
      </c>
      <c r="D368" s="66" t="s">
        <v>10791</v>
      </c>
      <c r="E368" s="66" t="s">
        <v>8081</v>
      </c>
      <c r="F368" s="66" t="s">
        <v>6169</v>
      </c>
    </row>
    <row r="369" ht="15.75" customHeight="1">
      <c r="A369" s="66">
        <f>'Main dataset (DEPRECATED)'!Q370</f>
        <v>6634163</v>
      </c>
      <c r="B369" s="66" t="str">
        <f>IFERROR(__xludf.DUMMYFUNCTION("SPLIT('Main dataset (DEPRECATED2)'!N370,"";"")"),"Lucent Technologies##Oregon State University Corvallis")</f>
        <v>Lucent Technologies##Oregon State University Corvallis</v>
      </c>
      <c r="C369" s="66" t="s">
        <v>6988</v>
      </c>
      <c r="D369" s="66" t="s">
        <v>6876</v>
      </c>
      <c r="E369" s="66" t="s">
        <v>6331</v>
      </c>
    </row>
    <row r="370" ht="15.75" customHeight="1">
      <c r="A370" s="66">
        <f>'Main dataset (DEPRECATED)'!Q371</f>
        <v>6634090</v>
      </c>
      <c r="B370" s="66" t="str">
        <f>IFERROR(__xludf.DUMMYFUNCTION("SPLIT('Main dataset (DEPRECATED2)'!N371,"";"")"),"State University of New York at Stony Brook Stony Brook##State University of New York at Stony Brook Stony Brook")</f>
        <v>State University of New York at Stony Brook Stony Brook##State University of New York at Stony Brook Stony Brook</v>
      </c>
      <c r="C370" s="66" t="s">
        <v>8367</v>
      </c>
    </row>
    <row r="371" ht="15.75" customHeight="1">
      <c r="A371" s="66">
        <f>'Main dataset (DEPRECATED)'!Q372</f>
        <v>6634102</v>
      </c>
      <c r="B371" s="66" t="str">
        <f>IFERROR(__xludf.DUMMYFUNCTION("SPLIT('Main dataset (DEPRECATED2)'!N372,"";"")"),"Dept. of Comput. Sci., Worcester Polytech. Inst., MA, USA|c|")</f>
        <v>Dept. of Comput. Sci., Worcester Polytech. Inst., MA, USA|c|</v>
      </c>
      <c r="C371" s="66" t="s">
        <v>11459</v>
      </c>
      <c r="D371" s="66" t="s">
        <v>8867</v>
      </c>
      <c r="E371" s="66" t="s">
        <v>9283</v>
      </c>
      <c r="F371" s="66" t="s">
        <v>10426</v>
      </c>
      <c r="G371" s="66" t="s">
        <v>8804</v>
      </c>
    </row>
    <row r="372" ht="15.75" customHeight="1">
      <c r="A372" s="66">
        <f>'Main dataset (DEPRECATED)'!Q373</f>
        <v>6634089</v>
      </c>
      <c r="B372" s="66" t="str">
        <f>IFERROR(__xludf.DUMMYFUNCTION("SPLIT('Main dataset (DEPRECATED2)'!N373,"";"")"),"University of N e w Hampshire##University of N e w Hampshire##University of N e w Hampshire")</f>
        <v>University of N e w Hampshire##University of N e w Hampshire##University of N e w Hampshire</v>
      </c>
      <c r="C372" s="66" t="s">
        <v>8729</v>
      </c>
    </row>
    <row r="373" ht="15.75" customHeight="1">
      <c r="A373" s="66">
        <f>'Main dataset (DEPRECATED)'!Q374</f>
        <v>6634195</v>
      </c>
      <c r="B373" s="66" t="str">
        <f>IFERROR(__xludf.DUMMYFUNCTION("SPLIT('Main dataset (DEPRECATED2)'!N374,"";"")"),"Mar Inc., USA|c|")</f>
        <v>Mar Inc., USA|c|</v>
      </c>
      <c r="C373" s="66" t="s">
        <v>11023</v>
      </c>
      <c r="D373" s="66" t="s">
        <v>8121</v>
      </c>
      <c r="E373" s="66" t="s">
        <v>10013</v>
      </c>
      <c r="F373" s="66" t="s">
        <v>8785</v>
      </c>
      <c r="G373" s="66" t="s">
        <v>8871</v>
      </c>
      <c r="H373" s="66" t="s">
        <v>11547</v>
      </c>
      <c r="I373" s="66" t="s">
        <v>7432</v>
      </c>
    </row>
    <row r="374" ht="15.75" customHeight="1">
      <c r="A374" s="66">
        <f>'Main dataset (DEPRECATED)'!Q375</f>
        <v>6634115</v>
      </c>
      <c r="B374" s="66" t="str">
        <f>IFERROR(__xludf.DUMMYFUNCTION("SPLIT('Main dataset (DEPRECATED2)'!N375,"";"")"),"Stanford University * Ipsilon + NLANR Xerox PARC##Stanford University * Ipsilon + NLANR Xerox PARC##Stanford University * Ipsilon + NLANR Xerox PARC##Stanford University * Ipsilon + NLANR Xerox PARC")</f>
        <v>Stanford University * Ipsilon + NLANR Xerox PARC##Stanford University * Ipsilon + NLANR Xerox PARC##Stanford University * Ipsilon + NLANR Xerox PARC##Stanford University * Ipsilon + NLANR Xerox PARC</v>
      </c>
      <c r="C374" s="66" t="s">
        <v>6615</v>
      </c>
      <c r="D374" s="66" t="s">
        <v>9201</v>
      </c>
      <c r="E374" s="66" t="s">
        <v>8272</v>
      </c>
      <c r="F374" s="66" t="s">
        <v>9667</v>
      </c>
      <c r="G374" s="66" t="s">
        <v>8999</v>
      </c>
    </row>
    <row r="375" ht="15.75" customHeight="1">
      <c r="A375" s="66">
        <f>'Main dataset (DEPRECATED)'!Q376</f>
        <v>6634118</v>
      </c>
      <c r="B375" s="66" t="str">
        <f>IFERROR(__xludf.DUMMYFUNCTION("SPLIT('Main dataset (DEPRECATED2)'!N376,"";"")"),"Coll. of Comput., Georgia Univ., Athens, GA, USA|c|")</f>
        <v>Coll. of Comput., Georgia Univ., Athens, GA, USA|c|</v>
      </c>
      <c r="C375" s="66" t="s">
        <v>10276</v>
      </c>
      <c r="D375" s="66" t="s">
        <v>9529</v>
      </c>
    </row>
    <row r="376" ht="15.75" customHeight="1">
      <c r="A376" s="66">
        <f>'Main dataset (DEPRECATED)'!Q377</f>
        <v>6634194</v>
      </c>
      <c r="B376" s="66" t="str">
        <f>IFERROR(__xludf.DUMMYFUNCTION("SPLIT('Main dataset (DEPRECATED2)'!N377,"";"")"),"HNC Software, Inc##HNC Software, Inc")</f>
        <v>HNC Software, Inc##HNC Software, Inc</v>
      </c>
      <c r="C376" s="66" t="s">
        <v>6238</v>
      </c>
      <c r="D376" s="66" t="s">
        <v>6368</v>
      </c>
      <c r="E376" s="66" t="s">
        <v>7299</v>
      </c>
      <c r="F376" s="66" t="s">
        <v>8151</v>
      </c>
    </row>
    <row r="377" ht="15.75" customHeight="1">
      <c r="A377" s="66">
        <f>'Main dataset (DEPRECATED)'!Q378</f>
        <v>6634139</v>
      </c>
      <c r="B377" s="66" t="str">
        <f>IFERROR(__xludf.DUMMYFUNCTION("SPLIT('Main dataset (DEPRECATED2)'!N378,"";"")"),"Mississippi State University Mississippi State##Mississippi State University Mississippi State")</f>
        <v>Mississippi State University Mississippi State##Mississippi State University Mississippi State</v>
      </c>
      <c r="C377" s="66" t="s">
        <v>11396</v>
      </c>
    </row>
    <row r="378" ht="15.75" customHeight="1">
      <c r="A378" s="66">
        <f>'Main dataset (DEPRECATED)'!Q379</f>
        <v>6634130</v>
      </c>
      <c r="B378" s="66" t="str">
        <f>IFERROR(__xludf.DUMMYFUNCTION("SPLIT('Main dataset (DEPRECATED2)'!N379,"";"")"),"University of Erlangen##University of Erlangen-Nuremberg##University of Erlangen##University of Erlangen")</f>
        <v>University of Erlangen##University of Erlangen-Nuremberg##University of Erlangen##University of Erlangen</v>
      </c>
      <c r="C378" s="66" t="s">
        <v>11069</v>
      </c>
      <c r="D378" s="66" t="s">
        <v>9009</v>
      </c>
    </row>
    <row r="379" ht="15.75" customHeight="1">
      <c r="A379" s="66">
        <f>'Main dataset (DEPRECATED)'!Q380</f>
        <v>6634085</v>
      </c>
      <c r="B379" s="66" t="str">
        <f>IFERROR(__xludf.DUMMYFUNCTION("SPLIT('Main dataset (DEPRECATED2)'!N380,"";"")"),"University of Florida##University of Florida")</f>
        <v>University of Florida##University of Florida</v>
      </c>
      <c r="C379" s="66" t="s">
        <v>10453</v>
      </c>
      <c r="D379" s="66" t="s">
        <v>6776</v>
      </c>
      <c r="E379" s="66" t="s">
        <v>11519</v>
      </c>
    </row>
    <row r="380" ht="15.75" customHeight="1">
      <c r="A380" s="66">
        <f>'Main dataset (DEPRECATED)'!Q381</f>
        <v>6634100</v>
      </c>
      <c r="B380" s="66" t="str">
        <f>IFERROR(__xludf.DUMMYFUNCTION("SPLIT('Main dataset (DEPRECATED2)'!N381,"";"")"),"Tel-Aviv University##Tel-Aviv University")</f>
        <v>Tel-Aviv University##Tel-Aviv University</v>
      </c>
      <c r="C380" s="66" t="s">
        <v>10215</v>
      </c>
      <c r="D380" s="66" t="s">
        <v>8051</v>
      </c>
      <c r="E380" s="66" t="s">
        <v>9930</v>
      </c>
      <c r="F380" s="66" t="s">
        <v>10597</v>
      </c>
    </row>
    <row r="381" ht="15.75" customHeight="1">
      <c r="A381" s="66">
        <f>'Main dataset (DEPRECATED)'!Q382</f>
        <v>6634176</v>
      </c>
      <c r="B381" s="66" t="str">
        <f>IFERROR(__xludf.DUMMYFUNCTION("SPLIT('Main dataset (DEPRECATED2)'!N382,"";"")"),"CNRS##CNRS##CNRS")</f>
        <v>CNRS##CNRS##CNRS</v>
      </c>
      <c r="C381" s="66" t="s">
        <v>9667</v>
      </c>
    </row>
    <row r="382" ht="15.75" customHeight="1">
      <c r="A382" s="66">
        <f>'Main dataset (DEPRECATED)'!Q383</f>
        <v>6634096</v>
      </c>
      <c r="B382" s="66" t="str">
        <f>IFERROR(__xludf.DUMMYFUNCTION("SPLIT('Main dataset (DEPRECATED2)'!N383,"";"")"),"State University of New York at Stony Brook Stony Brook##State University of New York at Stony Brook Stony Brook")</f>
        <v>State University of New York at Stony Brook Stony Brook##State University of New York at Stony Brook Stony Brook</v>
      </c>
      <c r="C382" s="66" t="s">
        <v>8917</v>
      </c>
      <c r="D382" s="66" t="s">
        <v>6181</v>
      </c>
      <c r="E382" s="66" t="s">
        <v>6212</v>
      </c>
      <c r="F382" s="66" t="s">
        <v>9391</v>
      </c>
    </row>
    <row r="383" ht="15.75" customHeight="1">
      <c r="A383" s="66">
        <f>'Main dataset (DEPRECATED)'!Q384</f>
        <v>6634165</v>
      </c>
      <c r="B383" s="66" t="str">
        <f>IFERROR(__xludf.DUMMYFUNCTION("SPLIT('Main dataset (DEPRECATED2)'!N384,"";"")"),"University of California##University of California##University of California##University of California")</f>
        <v>University of California##University of California##University of California##University of California</v>
      </c>
      <c r="C383" s="66" t="s">
        <v>6939</v>
      </c>
      <c r="D383" s="66" t="s">
        <v>9796</v>
      </c>
      <c r="E383" s="66" t="s">
        <v>6607</v>
      </c>
      <c r="F383" s="66" t="s">
        <v>8545</v>
      </c>
      <c r="G383" s="66" t="s">
        <v>7877</v>
      </c>
      <c r="H383" s="66" t="s">
        <v>6857</v>
      </c>
    </row>
    <row r="384" ht="15.75" customHeight="1">
      <c r="A384" s="66">
        <f>'Main dataset (DEPRECATED)'!Q385</f>
        <v>6651935</v>
      </c>
      <c r="B384" s="66" t="str">
        <f>IFERROR(__xludf.DUMMYFUNCTION("SPLIT('Main dataset (DEPRECATED2)'!N385,"";"")"),"The Ohio State University, Columbus, OH, USA")</f>
        <v>The Ohio State University, Columbus, OH, USA</v>
      </c>
      <c r="C384" s="66" t="s">
        <v>6282</v>
      </c>
      <c r="D384" s="66" t="s">
        <v>11523</v>
      </c>
      <c r="E384" s="66" t="s">
        <v>10217</v>
      </c>
      <c r="F384" s="66" t="s">
        <v>6916</v>
      </c>
    </row>
    <row r="385" ht="15.75" customHeight="1">
      <c r="A385" s="66">
        <f>'Main dataset (DEPRECATED)'!Q386</f>
        <v>6634167</v>
      </c>
      <c r="B385" s="66" t="str">
        <f>IFERROR(__xludf.DUMMYFUNCTION("SPLIT('Main dataset (DEPRECATED2)'!N386,"";"")"),"National University of Singapore##National University of Singapore##National University of Singapore##National University of Singapore")</f>
        <v>National University of Singapore##National University of Singapore##National University of Singapore##National University of Singapore</v>
      </c>
      <c r="C385" s="66" t="s">
        <v>6836</v>
      </c>
      <c r="D385" s="66" t="s">
        <v>10096</v>
      </c>
      <c r="E385" s="66" t="s">
        <v>7988</v>
      </c>
    </row>
    <row r="386" ht="15.75" customHeight="1">
      <c r="A386" s="66">
        <f>'Main dataset (DEPRECATED)'!Q387</f>
        <v>6634107</v>
      </c>
      <c r="B386" s="66" t="str">
        <f>IFERROR(__xludf.DUMMYFUNCTION("SPLIT('Main dataset (DEPRECATED2)'!N387,"";"")"),"University of Leeds##University of Leeds##University of Leeds")</f>
        <v>University of Leeds##University of Leeds##University of Leeds</v>
      </c>
      <c r="C386" s="66" t="s">
        <v>7887</v>
      </c>
      <c r="D386" s="66" t="s">
        <v>6685</v>
      </c>
    </row>
    <row r="387" ht="15.75" customHeight="1">
      <c r="A387" s="66">
        <f>'Main dataset (DEPRECATED)'!Q388</f>
        <v>6634172</v>
      </c>
      <c r="B387" s="66" t="str">
        <f>IFERROR(__xludf.DUMMYFUNCTION("SPLIT('Main dataset (DEPRECATED2)'!N388,"";"")"),"McGill College##McGill College##McGill College")</f>
        <v>McGill College##McGill College##McGill College</v>
      </c>
      <c r="C387" s="66" t="s">
        <v>8598</v>
      </c>
      <c r="D387" s="66" t="s">
        <v>7117</v>
      </c>
      <c r="E387" s="66" t="s">
        <v>11661</v>
      </c>
      <c r="F387" s="66" t="s">
        <v>11654</v>
      </c>
    </row>
    <row r="388" ht="15.75" customHeight="1">
      <c r="A388" s="66">
        <f>'Main dataset (DEPRECATED)'!Q389</f>
        <v>6634154</v>
      </c>
      <c r="B388" s="66" t="str">
        <f>IFERROR(__xludf.DUMMYFUNCTION("SPLIT('Main dataset (DEPRECATED2)'!N389,"";"")"),"#VALUE!")</f>
        <v>#VALUE!</v>
      </c>
      <c r="C388" s="66" t="s">
        <v>11350</v>
      </c>
    </row>
    <row r="389" ht="15.75" customHeight="1">
      <c r="A389" s="66">
        <f>'Main dataset (DEPRECATED)'!Q390</f>
        <v>6634134</v>
      </c>
      <c r="B389" s="66" t="str">
        <f>IFERROR(__xludf.DUMMYFUNCTION("SPLIT('Main dataset (DEPRECATED2)'!N390,"";"")"),"University of North Carolina at Chapel Hill")</f>
        <v>University of North Carolina at Chapel Hill</v>
      </c>
      <c r="C389" s="66" t="s">
        <v>11687</v>
      </c>
      <c r="D389" s="66" t="s">
        <v>7413</v>
      </c>
      <c r="E389" s="66" t="s">
        <v>10934</v>
      </c>
      <c r="F389" s="66" t="s">
        <v>10595</v>
      </c>
      <c r="G389" s="66" t="s">
        <v>11822</v>
      </c>
      <c r="H389" s="66" t="s">
        <v>8287</v>
      </c>
    </row>
    <row r="390" ht="15.75" customHeight="1">
      <c r="A390" s="66">
        <f>'Main dataset (DEPRECATED)'!Q391</f>
        <v>6634112</v>
      </c>
      <c r="B390" s="66" t="str">
        <f>IFERROR(__xludf.DUMMYFUNCTION("SPLIT('Main dataset (DEPRECATED2)'!N391,"";"")"),"Konrad-Zuse-Zentrum fur Informationstech., Berlin, Germany|c|")</f>
        <v>Konrad-Zuse-Zentrum fur Informationstech., Berlin, Germany|c|</v>
      </c>
      <c r="C390" s="66" t="s">
        <v>6181</v>
      </c>
      <c r="D390" s="66" t="s">
        <v>7529</v>
      </c>
      <c r="E390" s="66" t="s">
        <v>8917</v>
      </c>
      <c r="F390" s="66" t="s">
        <v>9391</v>
      </c>
      <c r="G390" s="66" t="s">
        <v>10161</v>
      </c>
    </row>
    <row r="391" ht="15.75" customHeight="1">
      <c r="A391" s="66">
        <f>'Main dataset (DEPRECATED)'!Q392</f>
        <v>6634091</v>
      </c>
      <c r="B391" s="66" t="str">
        <f>IFERROR(__xludf.DUMMYFUNCTION("SPLIT('Main dataset (DEPRECATED2)'!N392,"";"")"),"Fraunhofer Inst. for Comput. Graphics, Darmstadt, Germany|c|")</f>
        <v>Fraunhofer Inst. for Comput. Graphics, Darmstadt, Germany|c|</v>
      </c>
      <c r="C391" s="66" t="s">
        <v>6711</v>
      </c>
      <c r="D391" s="66" t="s">
        <v>10515</v>
      </c>
      <c r="E391" s="66" t="s">
        <v>8459</v>
      </c>
      <c r="F391" s="66" t="s">
        <v>7395</v>
      </c>
    </row>
    <row r="392" ht="15.75" customHeight="1">
      <c r="A392" s="66">
        <f>'Main dataset (DEPRECATED)'!Q393</f>
        <v>6634158</v>
      </c>
      <c r="B392" s="66" t="str">
        <f>IFERROR(__xludf.DUMMYFUNCTION("SPLIT('Main dataset (DEPRECATED2)'!N393,"";"")"),"Dept. of Electr. Eng., Mississippi State Univ., MS, USA|c|")</f>
        <v>Dept. of Electr. Eng., Mississippi State Univ., MS, USA|c|</v>
      </c>
      <c r="C392" s="66" t="s">
        <v>6324</v>
      </c>
      <c r="D392" s="66" t="s">
        <v>9644</v>
      </c>
      <c r="E392" s="66" t="s">
        <v>9943</v>
      </c>
      <c r="F392" s="66" t="s">
        <v>10585</v>
      </c>
    </row>
    <row r="393" ht="15.75" customHeight="1">
      <c r="A393" s="66">
        <f>'Main dataset (DEPRECATED)'!Q394</f>
        <v>6634127</v>
      </c>
      <c r="B393" s="66" t="str">
        <f>IFERROR(__xludf.DUMMYFUNCTION("SPLIT('Main dataset (DEPRECATED2)'!N394,"";"")"),"Union Bank of Switzerland, Switzerland|c|")</f>
        <v>Union Bank of Switzerland, Switzerland|c|</v>
      </c>
      <c r="C393" s="66" t="s">
        <v>9938</v>
      </c>
      <c r="D393" s="66" t="s">
        <v>11264</v>
      </c>
      <c r="E393" s="66" t="s">
        <v>7610</v>
      </c>
      <c r="F393" s="66" t="s">
        <v>10621</v>
      </c>
    </row>
    <row r="394" ht="15.75" customHeight="1">
      <c r="A394" s="66">
        <f>'Main dataset (DEPRECATED)'!Q395</f>
        <v>6634174</v>
      </c>
      <c r="B394" s="66" t="str">
        <f>IFERROR(__xludf.DUMMYFUNCTION("SPLIT('Main dataset (DEPRECATED2)'!N395,"";"")"),"University of Minnesota Computational Biology Centers##University of Minnesota Computational Biology Centers##University of Minnesota Computational Biology Centers##University of Minnesota Computational Biology Centers##University of Minnesota Computation"&amp;"al Biology Centers##University of Minnesota Computational Biology Centers")</f>
        <v>University of Minnesota Computational Biology Centers##University of Minnesota Computational Biology Centers##University of Minnesota Computational Biology Centers##University of Minnesota Computational Biology Centers##University of Minnesota Computational Biology Centers##University of Minnesota Computational Biology Centers</v>
      </c>
      <c r="C394" s="66" t="s">
        <v>9411</v>
      </c>
      <c r="D394" s="66" t="s">
        <v>11594</v>
      </c>
      <c r="E394" s="66" t="s">
        <v>8573</v>
      </c>
      <c r="F394" s="66" t="s">
        <v>11178</v>
      </c>
    </row>
    <row r="395" ht="15.75" customHeight="1">
      <c r="A395" s="66">
        <f>'Main dataset (DEPRECATED)'!Q396</f>
        <v>6327250</v>
      </c>
      <c r="B395" s="66" t="str">
        <f>IFERROR(__xludf.DUMMYFUNCTION("SPLIT('Main dataset (DEPRECATED2)'!N396,"";"")"),"University of New Hampshire")</f>
        <v>University of New Hampshire</v>
      </c>
      <c r="C395" s="66" t="s">
        <v>10217</v>
      </c>
      <c r="D395" s="66" t="s">
        <v>9809</v>
      </c>
      <c r="E395" s="66" t="s">
        <v>7281</v>
      </c>
      <c r="F395" s="66" t="s">
        <v>9633</v>
      </c>
    </row>
    <row r="396" ht="15.75" customHeight="1">
      <c r="A396" s="66">
        <f>'Main dataset (DEPRECATED)'!Q397</f>
        <v>6327263</v>
      </c>
      <c r="B396" s="66" t="str">
        <f>IFERROR(__xludf.DUMMYFUNCTION("SPLIT('Main dataset (DEPRECATED2)'!N397,"";"")"),"Tel Aviv Univ., Israel|c|")</f>
        <v>Tel Aviv Univ., Israel|c|</v>
      </c>
    </row>
    <row r="397" ht="15.75" customHeight="1">
      <c r="A397" s="66">
        <f>'Main dataset (DEPRECATED)'!Q398</f>
        <v>6327264</v>
      </c>
      <c r="B397" s="66" t="str">
        <f>IFERROR(__xludf.DUMMYFUNCTION("SPLIT('Main dataset (DEPRECATED2)'!N398,"";"")"),"Rutgers University##Rutgers University")</f>
        <v>Rutgers University##Rutgers University</v>
      </c>
      <c r="C397" s="66" t="s">
        <v>8090</v>
      </c>
      <c r="D397" s="66" t="s">
        <v>10445</v>
      </c>
      <c r="E397" s="66" t="s">
        <v>10738</v>
      </c>
      <c r="F397" s="66" t="s">
        <v>11515</v>
      </c>
    </row>
    <row r="398" ht="15.75" customHeight="1">
      <c r="A398" s="66">
        <f>'Main dataset (DEPRECATED)'!Q399</f>
        <v>6327267</v>
      </c>
      <c r="B398" s="66" t="str">
        <f>IFERROR(__xludf.DUMMYFUNCTION("SPLIT('Main dataset (DEPRECATED2)'!N399,"";"")"),"Tel-Aviv University##Tel-Aviv University##Tel-Aviv University")</f>
        <v>Tel-Aviv University##Tel-Aviv University##Tel-Aviv University</v>
      </c>
      <c r="C398" s="66" t="s">
        <v>7734</v>
      </c>
      <c r="D398" s="66" t="s">
        <v>8046</v>
      </c>
    </row>
    <row r="399" ht="15.75" customHeight="1">
      <c r="A399" s="66">
        <f>'Main dataset (DEPRECATED)'!Q400</f>
        <v>6327282</v>
      </c>
      <c r="B399" s="66" t="str">
        <f>IFERROR(__xludf.DUMMYFUNCTION("SPLIT('Main dataset (DEPRECATED2)'!N400,"";"")"),"Mississippi State University##Mississippi State University")</f>
        <v>Mississippi State University##Mississippi State University</v>
      </c>
      <c r="C399" s="66" t="s">
        <v>6147</v>
      </c>
      <c r="D399" s="66" t="s">
        <v>9464</v>
      </c>
      <c r="E399" s="66" t="s">
        <v>7855</v>
      </c>
      <c r="F399" s="66" t="s">
        <v>10123</v>
      </c>
      <c r="G399" s="66" t="s">
        <v>7558</v>
      </c>
      <c r="H399" s="66" t="s">
        <v>6857</v>
      </c>
    </row>
    <row r="400" ht="15.75" customHeight="1">
      <c r="A400" s="66">
        <f>'Main dataset (DEPRECATED)'!Q401</f>
        <v>6327259</v>
      </c>
      <c r="B400" s="66" t="str">
        <f>IFERROR(__xludf.DUMMYFUNCTION("SPLIT('Main dataset (DEPRECATED2)'!N401,"";"")"),"University of East Anglia##University of East Anglia")</f>
        <v>University of East Anglia##University of East Anglia</v>
      </c>
      <c r="C400" s="66" t="s">
        <v>7306</v>
      </c>
      <c r="D400" s="66" t="s">
        <v>7497</v>
      </c>
    </row>
    <row r="401" ht="15.75" customHeight="1">
      <c r="A401" s="66">
        <f>'Main dataset (DEPRECATED)'!Q402</f>
        <v>6327275</v>
      </c>
      <c r="B401" s="66" t="str">
        <f>IFERROR(__xludf.DUMMYFUNCTION("SPLIT('Main dataset (DEPRECATED2)'!N402,"";"")"),"University of California##University of California##University of California")</f>
        <v>University of California##University of California##University of California</v>
      </c>
      <c r="C401" s="66" t="s">
        <v>8372</v>
      </c>
      <c r="D401" s="66" t="s">
        <v>10147</v>
      </c>
      <c r="E401" s="66" t="s">
        <v>6786</v>
      </c>
    </row>
    <row r="402" ht="15.75" customHeight="1">
      <c r="A402" s="66">
        <f>'Main dataset (DEPRECATED)'!Q403</f>
        <v>6327265</v>
      </c>
      <c r="B402" s="66" t="str">
        <f>IFERROR(__xludf.DUMMYFUNCTION("SPLIT('Main dataset (DEPRECATED2)'!N403,"";"")"),"Gen. Electr. Corp. Res. &amp; Dev. Center, Schenectady, NY, USA|c|")</f>
        <v>Gen. Electr. Corp. Res. &amp; Dev. Center, Schenectady, NY, USA|c|</v>
      </c>
      <c r="C402" s="66" t="s">
        <v>6670</v>
      </c>
    </row>
    <row r="403" ht="15.75" customHeight="1">
      <c r="A403" s="66">
        <f>'Main dataset (DEPRECATED)'!Q404</f>
        <v>6327256</v>
      </c>
      <c r="B403" s="66" t="str">
        <f>IFERROR(__xludf.DUMMYFUNCTION("SPLIT('Main dataset (DEPRECATED2)'!N404,"";"")"),"U. of Maryland Baltimore County##NASA GSFC x")</f>
        <v>U. of Maryland Baltimore County##NASA GSFC x</v>
      </c>
      <c r="C403" s="66" t="s">
        <v>7875</v>
      </c>
      <c r="D403" s="66" t="s">
        <v>11152</v>
      </c>
    </row>
    <row r="404" ht="15.75" customHeight="1">
      <c r="A404" s="66">
        <f>'Main dataset (DEPRECATED)'!Q405</f>
        <v>6327251</v>
      </c>
      <c r="B404" s="66" t="str">
        <f>IFERROR(__xludf.DUMMYFUNCTION("SPLIT('Main dataset (DEPRECATED2)'!N405,"";"")"),"ICASE##ICASE##ICASE")</f>
        <v>ICASE##ICASE##ICASE</v>
      </c>
      <c r="C404" s="66" t="s">
        <v>11429</v>
      </c>
      <c r="D404" s="66" t="s">
        <v>11200</v>
      </c>
    </row>
    <row r="405" ht="15.75" customHeight="1">
      <c r="A405" s="66">
        <f>'Main dataset (DEPRECATED)'!Q406</f>
        <v>6327274</v>
      </c>
      <c r="B405" s="66" t="str">
        <f>IFERROR(__xludf.DUMMYFUNCTION("SPLIT('Main dataset (DEPRECATED2)'!N406,"";"")"),"University of Mississippi")</f>
        <v>University of Mississippi</v>
      </c>
      <c r="C405" s="66" t="s">
        <v>4987</v>
      </c>
    </row>
    <row r="406" ht="15.75" customHeight="1">
      <c r="A406" s="66">
        <f>'Main dataset (DEPRECATED)'!Q407</f>
        <v>6327248</v>
      </c>
      <c r="B406" s="66" t="str">
        <f>IFERROR(__xludf.DUMMYFUNCTION("SPLIT('Main dataset (DEPRECATED2)'!N407,"";"")"),"State University of New York at Stony Brook Stony Brook##State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Brook##State University of New York at Stony Brook Stony Brook</v>
      </c>
      <c r="C406" s="66" t="s">
        <v>9377</v>
      </c>
      <c r="D406" s="66" t="s">
        <v>9549</v>
      </c>
    </row>
    <row r="407" ht="15.75" customHeight="1">
      <c r="A407" s="66">
        <f>'Main dataset (DEPRECATED)'!Q408</f>
        <v>6327246</v>
      </c>
      <c r="B407" s="66" t="str">
        <f>IFERROR(__xludf.DUMMYFUNCTION("SPLIT('Main dataset (DEPRECATED2)'!N408,"";"")"),"University of North Carolina at Chapel Hill")</f>
        <v>University of North Carolina at Chapel Hill</v>
      </c>
      <c r="C407" s="66" t="s">
        <v>8477</v>
      </c>
      <c r="D407" s="66" t="s">
        <v>11834</v>
      </c>
      <c r="E407" s="66" t="s">
        <v>8284</v>
      </c>
      <c r="F407" s="66" t="s">
        <v>8908</v>
      </c>
    </row>
    <row r="408" ht="15.75" customHeight="1">
      <c r="A408" s="66">
        <f>'Main dataset (DEPRECATED)'!Q409</f>
        <v>6327247</v>
      </c>
      <c r="B408" s="66" t="str">
        <f>IFERROR(__xludf.DUMMYFUNCTION("SPLIT('Main dataset (DEPRECATED2)'!N409,"";"")"),"MRJ, Inc./ NASA Ames Research Center##MRJ, Inc./ NASA Ames Research Center##MRJ, Inc./ NASA Ames Research Center")</f>
        <v>MRJ, Inc./ NASA Ames Research Center##MRJ, Inc./ NASA Ames Research Center##MRJ, Inc./ NASA Ames Research Center</v>
      </c>
      <c r="C408" s="66" t="s">
        <v>11806</v>
      </c>
      <c r="D408" s="66" t="s">
        <v>8040</v>
      </c>
      <c r="E408" s="66" t="s">
        <v>11153</v>
      </c>
      <c r="F408" s="66" t="s">
        <v>8459</v>
      </c>
    </row>
    <row r="409" ht="15.75" customHeight="1">
      <c r="A409" s="66">
        <f>'Main dataset (DEPRECATED)'!Q410</f>
        <v>6327283</v>
      </c>
      <c r="B409" s="66" t="str">
        <f>IFERROR(__xludf.DUMMYFUNCTION("SPLIT('Main dataset (DEPRECATED2)'!N410,"";"")"),"University of California##University of California##University of California##University of California")</f>
        <v>University of California##University of California##University of California##University of California</v>
      </c>
      <c r="C409" s="66" t="s">
        <v>6484</v>
      </c>
      <c r="D409" s="66" t="s">
        <v>8373</v>
      </c>
      <c r="E409" s="66" t="s">
        <v>7497</v>
      </c>
    </row>
    <row r="410" ht="15.75" customHeight="1">
      <c r="A410" s="66">
        <f>'Main dataset (DEPRECATED)'!Q411</f>
        <v>6327280</v>
      </c>
      <c r="B410" s="66" t="str">
        <f>IFERROR(__xludf.DUMMYFUNCTION("SPLIT('Main dataset (DEPRECATED2)'!N411,"";"")"),"MRJ, Inc./NASA Ames Research Center##MRJ, Inc./NASA Ames Research Center")</f>
        <v>MRJ, Inc./NASA Ames Research Center##MRJ, Inc./NASA Ames Research Center</v>
      </c>
      <c r="C410" s="66" t="s">
        <v>11064</v>
      </c>
      <c r="D410" s="66" t="s">
        <v>11492</v>
      </c>
      <c r="E410" s="66" t="s">
        <v>6930</v>
      </c>
      <c r="F410" s="66" t="s">
        <v>7860</v>
      </c>
    </row>
    <row r="411" ht="15.75" customHeight="1">
      <c r="A411" s="66">
        <f>'Main dataset (DEPRECATED)'!Q412</f>
        <v>6327272</v>
      </c>
      <c r="B411" s="66" t="str">
        <f>IFERROR(__xludf.DUMMYFUNCTION("SPLIT('Main dataset (DEPRECATED2)'!N412,"";"")"),"University of British Columbia")</f>
        <v>University of British Columbia</v>
      </c>
      <c r="C411" s="66" t="s">
        <v>7836</v>
      </c>
    </row>
    <row r="412" ht="15.75" customHeight="1">
      <c r="A412" s="66">
        <f>'Main dataset (DEPRECATED)'!Q413</f>
        <v>6327270</v>
      </c>
      <c r="B412" s="66" t="str">
        <f>IFERROR(__xludf.DUMMYFUNCTION("SPLIT('Main dataset (DEPRECATED2)'!N413,"";"")"),"Lawrence Livermore National Laboratory")</f>
        <v>Lawrence Livermore National Laboratory</v>
      </c>
      <c r="C412" s="66" t="s">
        <v>6876</v>
      </c>
      <c r="D412" s="66" t="s">
        <v>6988</v>
      </c>
      <c r="E412" s="66" t="s">
        <v>6331</v>
      </c>
    </row>
    <row r="413" ht="15.75" customHeight="1">
      <c r="A413" s="66">
        <f>'Main dataset (DEPRECATED)'!Q414</f>
        <v>6327269</v>
      </c>
      <c r="B413" s="66" t="str">
        <f>IFERROR(__xludf.DUMMYFUNCTION("SPLIT('Main dataset (DEPRECATED2)'!N414,"";"")"),"University of Chicago####")</f>
        <v>University of Chicago####</v>
      </c>
      <c r="C413" s="66" t="s">
        <v>6169</v>
      </c>
    </row>
    <row r="414" ht="15.75" customHeight="1">
      <c r="A414" s="66">
        <f>'Main dataset (DEPRECATED)'!Q415</f>
        <v>6327249</v>
      </c>
      <c r="B414" s="66" t="str">
        <f>IFERROR(__xludf.DUMMYFUNCTION("SPLIT('Main dataset (DEPRECATED2)'!N415,"";"")"),"UT Los Alamos####")</f>
        <v>UT Los Alamos####</v>
      </c>
      <c r="C414" s="66" t="s">
        <v>7569</v>
      </c>
      <c r="D414" s="66" t="s">
        <v>9204</v>
      </c>
      <c r="E414" s="66" t="s">
        <v>7009</v>
      </c>
    </row>
    <row r="415" ht="15.75" customHeight="1">
      <c r="A415" s="66">
        <f>'Main dataset (DEPRECATED)'!Q416</f>
        <v>6327245</v>
      </c>
      <c r="B415" s="66" t="str">
        <f>IFERROR(__xludf.DUMMYFUNCTION("SPLIT('Main dataset (DEPRECATED2)'!N416,"";"")"),"University of Southern California Los Angeles##University of Southern California Los Angeles")</f>
        <v>University of Southern California Los Angeles##University of Southern California Los Angeles</v>
      </c>
      <c r="C415" s="66" t="s">
        <v>11442</v>
      </c>
    </row>
    <row r="416" ht="15.75" customHeight="1">
      <c r="A416" s="66">
        <f>'Main dataset (DEPRECATED)'!Q417</f>
        <v>6327276</v>
      </c>
      <c r="B416" s="66" t="str">
        <f>IFERROR(__xludf.DUMMYFUNCTION("SPLIT('Main dataset (DEPRECATED2)'!N417,"";"")"),"IBM Japan Graduate##IBM Japan Graduate##IBM Japan Graduate")</f>
        <v>IBM Japan Graduate##IBM Japan Graduate##IBM Japan Graduate</v>
      </c>
      <c r="C416" s="66" t="s">
        <v>9059</v>
      </c>
      <c r="D416" s="66" t="s">
        <v>11680</v>
      </c>
      <c r="E416" s="66" t="s">
        <v>11605</v>
      </c>
    </row>
    <row r="417" ht="15.75" customHeight="1">
      <c r="A417" s="66">
        <f>'Main dataset (DEPRECATED)'!Q418</f>
        <v>6327278</v>
      </c>
      <c r="B417" s="66" t="str">
        <f>IFERROR(__xludf.DUMMYFUNCTION("SPLIT('Main dataset (DEPRECATED2)'!N418,"";"")"),"UniversitÃ¤t TÃ¼bingen##UniversitÃ¤t TÃ¼bingen##UniversitÃ¤t TÃ¼bingen")</f>
        <v>UniversitÃ¤t TÃ¼bingen##UniversitÃ¤t TÃ¼bingen##UniversitÃ¤t TÃ¼bingen</v>
      </c>
      <c r="C417" s="66" t="s">
        <v>7581</v>
      </c>
      <c r="D417" s="66" t="s">
        <v>8524</v>
      </c>
    </row>
    <row r="418" ht="15.75" customHeight="1">
      <c r="A418" s="66">
        <f>'Main dataset (DEPRECATED)'!Q419</f>
        <v>6327254</v>
      </c>
      <c r="B418" s="66" t="str">
        <f>IFERROR(__xludf.DUMMYFUNCTION("SPLIT('Main dataset (DEPRECATED2)'!N419,"";"")"),"State University of New York at Stony Brook##State University of New York at Stony Brook##State University of New York at Stony Brook")</f>
        <v>State University of New York at Stony Brook##State University of New York at Stony Brook##State University of New York at Stony Brook</v>
      </c>
      <c r="C418" s="66" t="s">
        <v>6623</v>
      </c>
      <c r="D418" s="66" t="s">
        <v>7214</v>
      </c>
      <c r="E418" s="66" t="s">
        <v>10843</v>
      </c>
    </row>
    <row r="419" ht="15.75" customHeight="1">
      <c r="A419" s="66">
        <f>'Main dataset (DEPRECATED)'!Q420</f>
        <v>6327286</v>
      </c>
      <c r="B419" s="66" t="str">
        <f>IFERROR(__xludf.DUMMYFUNCTION("SPLIT('Main dataset (DEPRECATED2)'!N420,"";"")"),"State University of New York at Stony Brook##State University of New York at Stony Brook")</f>
        <v>State University of New York at Stony Brook##State University of New York at Stony Brook</v>
      </c>
      <c r="C419" s="66" t="s">
        <v>9045</v>
      </c>
      <c r="D419" s="66" t="s">
        <v>4987</v>
      </c>
      <c r="E419" s="66" t="s">
        <v>7604</v>
      </c>
    </row>
    <row r="420" ht="15.75" customHeight="1">
      <c r="A420" s="66">
        <f>'Main dataset (DEPRECATED)'!Q421</f>
        <v>6327253</v>
      </c>
      <c r="B420" s="66" t="str">
        <f>IFERROR(__xludf.DUMMYFUNCTION("SPLIT('Main dataset (DEPRECATED2)'!N421,"";"")"),"The Cleveland Clinic Foundation##The Ohio State University##The Ohio State University##The Cleveland Clinic Foundation")</f>
        <v>The Cleveland Clinic Foundation##The Ohio State University##The Ohio State University##The Cleveland Clinic Foundation</v>
      </c>
      <c r="C420" s="66" t="s">
        <v>10010</v>
      </c>
      <c r="D420" s="66" t="s">
        <v>11568</v>
      </c>
      <c r="E420" s="66" t="s">
        <v>7810</v>
      </c>
    </row>
    <row r="421" ht="15.75" customHeight="1">
      <c r="A421" s="66">
        <f>'Main dataset (DEPRECATED)'!Q422</f>
        <v>6327260</v>
      </c>
      <c r="B421" s="66" t="str">
        <f>IFERROR(__xludf.DUMMYFUNCTION("SPLIT('Main dataset (DEPRECATED2)'!N422,"";"")"),"Naval Research Labora-tory##Naval Research Labora-tory######Naval Research Labora-tory##########Naval Research Laboratory")</f>
        <v>Naval Research Labora-tory##Naval Research Labora-tory######Naval Research Labora-tory##########Naval Research Laboratory</v>
      </c>
      <c r="C421" s="66" t="s">
        <v>6623</v>
      </c>
    </row>
    <row r="422" ht="15.75" customHeight="1">
      <c r="A422" s="66">
        <f>'Main dataset (DEPRECATED)'!Q423</f>
        <v>6327257</v>
      </c>
      <c r="B422" s="66" t="str">
        <f>IFERROR(__xludf.DUMMYFUNCTION("SPLIT('Main dataset (DEPRECATED2)'!N423,"";"")"),"The Chinese University of Hong Kong##The Chinese University of Hong Kong")</f>
        <v>The Chinese University of Hong Kong##The Chinese University of Hong Kong</v>
      </c>
      <c r="C422" s="66" t="s">
        <v>8372</v>
      </c>
    </row>
    <row r="423" ht="15.75" customHeight="1">
      <c r="A423" s="66">
        <f>'Main dataset (DEPRECATED)'!Q424</f>
        <v>6327277</v>
      </c>
      <c r="B423" s="66" t="str">
        <f>IFERROR(__xludf.DUMMYFUNCTION("SPLIT('Main dataset (DEPRECATED2)'!N424,"";"")"),"#VALUE!")</f>
        <v>#VALUE!</v>
      </c>
      <c r="C423" s="66" t="s">
        <v>10147</v>
      </c>
      <c r="D423" s="66" t="s">
        <v>10064</v>
      </c>
      <c r="E423" s="66" t="s">
        <v>7338</v>
      </c>
    </row>
    <row r="424" ht="15.75" customHeight="1">
      <c r="A424" s="66">
        <f>'Main dataset (DEPRECATED)'!Q425</f>
        <v>6327273</v>
      </c>
      <c r="B424" s="66" t="str">
        <f>IFERROR(__xludf.DUMMYFUNCTION("SPLIT('Main dataset (DEPRECATED2)'!N425,"";"")"),"IBM T.J. Watson Research Center##IBM##Pontificia Universidad Catolica##Pontificia Universidad Catolica##Pontificia Universidad Catolica##Pontificia Universidad Catolica######")</f>
        <v>IBM T.J. Watson Research Center##IBM##Pontificia Universidad Catolica##Pontificia Universidad Catolica##Pontificia Universidad Catolica##Pontificia Universidad Catolica######</v>
      </c>
      <c r="C424" s="66" t="s">
        <v>11398</v>
      </c>
      <c r="D424" s="66" t="s">
        <v>10595</v>
      </c>
      <c r="E424" s="66" t="s">
        <v>9774</v>
      </c>
      <c r="F424" s="66" t="s">
        <v>11365</v>
      </c>
      <c r="G424" s="66" t="s">
        <v>8287</v>
      </c>
    </row>
    <row r="425" ht="15.75" customHeight="1">
      <c r="A425" s="66">
        <f>'Main dataset (DEPRECATED)'!Q426</f>
        <v>6327279</v>
      </c>
      <c r="B425" s="66" t="str">
        <f>IFERROR(__xludf.DUMMYFUNCTION("SPLIT('Main dataset (DEPRECATED2)'!N426,"";"")"),"#VALUE!")</f>
        <v>#VALUE!</v>
      </c>
      <c r="C425" s="66" t="s">
        <v>7599</v>
      </c>
      <c r="D425" s="66" t="s">
        <v>9549</v>
      </c>
      <c r="E425" s="66" t="s">
        <v>6746</v>
      </c>
    </row>
    <row r="426" ht="15.75" customHeight="1">
      <c r="A426" s="66">
        <f>'Main dataset (DEPRECATED)'!Q427</f>
        <v>6327268</v>
      </c>
      <c r="B426" s="66" t="str">
        <f>IFERROR(__xludf.DUMMYFUNCTION("SPLIT('Main dataset (DEPRECATED2)'!N427,"";"")"),"University Hospital Utrecht##University Hospital Utrecht##University Hospital Utrecht##University Hospital Utrecht##University Hospital Utrecht##University Hospital Utrecht##University Hospital Utrecht")</f>
        <v>University Hospital Utrecht##University Hospital Utrecht##University Hospital Utrecht##University Hospital Utrecht##University Hospital Utrecht##University Hospital Utrecht##University Hospital Utrecht</v>
      </c>
      <c r="C426" s="66" t="s">
        <v>9156</v>
      </c>
      <c r="D426" s="66" t="s">
        <v>9156</v>
      </c>
      <c r="E426" s="66" t="s">
        <v>8093</v>
      </c>
    </row>
    <row r="427" ht="15.75" customHeight="1">
      <c r="A427" s="66">
        <f>'Main dataset (DEPRECATED)'!Q428</f>
        <v>6327281</v>
      </c>
      <c r="B427" s="66" t="str">
        <f>IFERROR(__xludf.DUMMYFUNCTION("SPLIT('Main dataset (DEPRECATED2)'!N428,"";"")"),"University of Utah######")</f>
        <v>University of Utah######</v>
      </c>
      <c r="C427" s="66" t="s">
        <v>8372</v>
      </c>
      <c r="D427" s="66" t="s">
        <v>8373</v>
      </c>
      <c r="E427" s="66" t="s">
        <v>7353</v>
      </c>
      <c r="F427" s="66" t="s">
        <v>6598</v>
      </c>
      <c r="G427" s="66" t="s">
        <v>10663</v>
      </c>
    </row>
    <row r="428" ht="15.75" customHeight="1">
      <c r="A428" s="66">
        <f>'Main dataset (DEPRECATED)'!Q429</f>
        <v>6327288</v>
      </c>
      <c r="B428" s="66" t="str">
        <f>IFERROR(__xludf.DUMMYFUNCTION("SPLIT('Main dataset (DEPRECATED2)'!N429,"";"")"),"Fraunhofer IGD University of Bremen University of Bremen##Fraunhofer IGD University of Bremen University of Bremen##Fraunhofer IGD University of Bremen University of Bremen")</f>
        <v>Fraunhofer IGD University of Bremen University of Bremen##Fraunhofer IGD University of Bremen University of Bremen##Fraunhofer IGD University of Bremen University of Bremen</v>
      </c>
      <c r="C428" s="66" t="s">
        <v>10817</v>
      </c>
      <c r="D428" s="66" t="s">
        <v>6614</v>
      </c>
      <c r="E428" s="66" t="s">
        <v>10767</v>
      </c>
    </row>
    <row r="429" ht="15.75" customHeight="1">
      <c r="A429" s="66">
        <f>'Main dataset (DEPRECATED)'!Q430</f>
        <v>6327261</v>
      </c>
      <c r="B429" s="66" t="str">
        <f>IFERROR(__xludf.DUMMYFUNCTION("SPLIT('Main dataset (DEPRECATED2)'!N430,"";"")"),"ETH ZÃ¼rich##ETH ZÃ¼rich")</f>
        <v>ETH ZÃ¼rich##ETH ZÃ¼rich</v>
      </c>
      <c r="C429" s="66" t="s">
        <v>9171</v>
      </c>
      <c r="D429" s="66" t="s">
        <v>11742</v>
      </c>
      <c r="E429" s="66" t="s">
        <v>7395</v>
      </c>
      <c r="F429" s="66" t="s">
        <v>7361</v>
      </c>
    </row>
    <row r="430" ht="15.75" customHeight="1">
      <c r="A430" s="66">
        <f>'Main dataset (DEPRECATED)'!Q431</f>
        <v>6327262</v>
      </c>
      <c r="B430" s="66" t="str">
        <f>IFERROR(__xludf.DUMMYFUNCTION("SPLIT('Main dataset (DEPRECATED2)'!N431,"";"")"),"NSF Engineering Research Center for CFS Mississippi State University##NSF Engineering Research Center for CFS Mississippi State University##NSF Engineering Research Center for CFS Mississippi State University")</f>
        <v>NSF Engineering Research Center for CFS Mississippi State University##NSF Engineering Research Center for CFS Mississippi State University##NSF Engineering Research Center for CFS Mississippi State University</v>
      </c>
      <c r="C430" s="66" t="s">
        <v>10453</v>
      </c>
      <c r="D430" s="66" t="s">
        <v>6238</v>
      </c>
      <c r="E430" s="66" t="s">
        <v>6239</v>
      </c>
    </row>
    <row r="431" ht="15.75" customHeight="1">
      <c r="A431" s="66">
        <f>'Main dataset (DEPRECATED)'!Q432</f>
        <v>6327266</v>
      </c>
      <c r="B431" s="66" t="str">
        <f>IFERROR(__xludf.DUMMYFUNCTION("SPLIT('Main dataset (DEPRECATED2)'!N432,"";"")"),"University of California##University of California")</f>
        <v>University of California##University of California</v>
      </c>
      <c r="C431" s="66" t="s">
        <v>10191</v>
      </c>
      <c r="D431" s="66" t="s">
        <v>10357</v>
      </c>
      <c r="E431" s="66" t="s">
        <v>7154</v>
      </c>
      <c r="F431" s="66" t="s">
        <v>6857</v>
      </c>
    </row>
    <row r="432" ht="15.75" customHeight="1">
      <c r="A432" s="66">
        <f>'Main dataset (DEPRECATED)'!Q433</f>
        <v>6327285</v>
      </c>
      <c r="B432" s="66" t="str">
        <f>IFERROR(__xludf.DUMMYFUNCTION("SPLIT('Main dataset (DEPRECATED2)'!N433,"";"")"),"DLR, German Aerosp. Res. Establ., Gottingen, Germany|c|")</f>
        <v>DLR, German Aerosp. Res. Establ., Gottingen, Germany|c|</v>
      </c>
      <c r="C432" s="66" t="s">
        <v>8255</v>
      </c>
      <c r="D432" s="66" t="s">
        <v>9894</v>
      </c>
      <c r="E432" s="66" t="s">
        <v>7226</v>
      </c>
      <c r="F432" s="66" t="s">
        <v>7443</v>
      </c>
      <c r="G432" s="66" t="s">
        <v>6887</v>
      </c>
    </row>
    <row r="433" ht="15.75" customHeight="1">
      <c r="A433" s="66">
        <f>'Main dataset (DEPRECATED)'!Q434</f>
        <v>6327284</v>
      </c>
      <c r="B433" s="66" t="str">
        <f>IFERROR(__xludf.DUMMYFUNCTION("SPLIT('Main dataset (DEPRECATED2)'!N434,"";"")"),"Comput. &amp; Appl. Math. Lab., Nat. Inst. of Stand. &amp; Technol., Gaithersburg, MD, USA|c|")</f>
        <v>Comput. &amp; Appl. Math. Lab., Nat. Inst. of Stand. &amp; Technol., Gaithersburg, MD, USA|c|</v>
      </c>
      <c r="C433" s="66" t="s">
        <v>6559</v>
      </c>
      <c r="D433" s="66" t="s">
        <v>8527</v>
      </c>
      <c r="E433" s="66" t="s">
        <v>10147</v>
      </c>
      <c r="F433" s="66" t="s">
        <v>6786</v>
      </c>
    </row>
    <row r="434" ht="15.75" customHeight="1">
      <c r="A434" s="66">
        <f>'Main dataset (DEPRECATED)'!Q435</f>
        <v>6327255</v>
      </c>
      <c r="B434" s="66" t="str">
        <f>IFERROR(__xludf.DUMMYFUNCTION("SPLIT('Main dataset (DEPRECATED2)'!N435,"";"")"),"The Ohio State University##The Ohio State University##The Ohio State University##The Ohio State University##The Ohio State University##The Ohio State University")</f>
        <v>The Ohio State University##The Ohio State University##The Ohio State University##The Ohio State University##The Ohio State University##The Ohio State University</v>
      </c>
      <c r="C434" s="66" t="s">
        <v>10252</v>
      </c>
      <c r="D434" s="66" t="s">
        <v>9687</v>
      </c>
      <c r="E434" s="66" t="s">
        <v>9033</v>
      </c>
      <c r="F434" s="66" t="s">
        <v>10917</v>
      </c>
      <c r="G434" s="66" t="s">
        <v>7658</v>
      </c>
    </row>
    <row r="435" ht="15.75" customHeight="1">
      <c r="A435" s="66">
        <f>'Main dataset (DEPRECATED)'!Q436</f>
        <v>6327258</v>
      </c>
      <c r="B435" s="66" t="str">
        <f>IFERROR(__xludf.DUMMYFUNCTION("SPLIT('Main dataset (DEPRECATED2)'!N436,"";"")"),"The Ohio State University##The Ohio State University##The Ohio State University##The Ohio State University##The Ohio State University##The Ohio State University")</f>
        <v>The Ohio State University##The Ohio State University##The Ohio State University##The Ohio State University##The Ohio State University##The Ohio State University</v>
      </c>
      <c r="C435" s="66" t="s">
        <v>7945</v>
      </c>
      <c r="D435" s="66" t="s">
        <v>4987</v>
      </c>
    </row>
    <row r="436" ht="15.75" customHeight="1">
      <c r="A436" s="66">
        <f>'Main dataset (DEPRECATED)'!Q437</f>
        <v>6327252</v>
      </c>
      <c r="B436" s="66" t="str">
        <f>IFERROR(__xludf.DUMMYFUNCTION("SPLIT('Main dataset (DEPRECATED2)'!N437,"";"")"),"University of Utah##University of Utah##University of Utah")</f>
        <v>University of Utah##University of Utah##University of Utah</v>
      </c>
      <c r="C436" s="66" t="s">
        <v>9016</v>
      </c>
      <c r="D436" s="66" t="s">
        <v>6489</v>
      </c>
      <c r="E436" s="66" t="s">
        <v>8371</v>
      </c>
      <c r="F436" s="66" t="s">
        <v>7671</v>
      </c>
      <c r="G436" s="66" t="s">
        <v>10447</v>
      </c>
      <c r="H436" s="66" t="s">
        <v>8926</v>
      </c>
      <c r="I436" s="66" t="s">
        <v>6645</v>
      </c>
      <c r="J436" s="66" t="s">
        <v>9807</v>
      </c>
    </row>
    <row r="437" ht="15.75" customHeight="1">
      <c r="A437" s="66">
        <f>'Main dataset (DEPRECATED)'!Q438</f>
        <v>6327287</v>
      </c>
      <c r="B437" s="66" t="str">
        <f>IFERROR(__xludf.DUMMYFUNCTION("SPLIT('Main dataset (DEPRECATED2)'!N438,"";"")"),"University of Akron##Intergraph Corporation Huntsville##CFD Research Corporation")</f>
        <v>University of Akron##Intergraph Corporation Huntsville##CFD Research Corporation</v>
      </c>
      <c r="C437" s="66" t="s">
        <v>10135</v>
      </c>
      <c r="D437" s="66" t="s">
        <v>7210</v>
      </c>
    </row>
    <row r="438" ht="15.75" customHeight="1">
      <c r="A438" s="66">
        <f>'Main dataset (DEPRECATED)'!Q439</f>
        <v>6327271</v>
      </c>
      <c r="B438" s="66" t="str">
        <f>IFERROR(__xludf.DUMMYFUNCTION("SPLIT('Main dataset (DEPRECATED2)'!N439,"";"")"),"University of California##University of California##")</f>
        <v>University of California##University of California##</v>
      </c>
      <c r="C438" s="66" t="s">
        <v>11723</v>
      </c>
      <c r="D438" s="66" t="s">
        <v>11578</v>
      </c>
      <c r="E438" s="66" t="s">
        <v>8961</v>
      </c>
      <c r="F438" s="66" t="s">
        <v>10595</v>
      </c>
      <c r="G438" s="66" t="s">
        <v>8287</v>
      </c>
    </row>
    <row r="439" ht="15.75" customHeight="1">
      <c r="A439" s="66">
        <f>'Main dataset (DEPRECATED)'!Q440</f>
        <v>6400532</v>
      </c>
      <c r="B439" s="66" t="str">
        <f>IFERROR(__xludf.DUMMYFUNCTION("SPLIT('Main dataset (DEPRECATED2)'!N440,"";"")"),"NSF Eng. Res. Center, Mississippi State Univ., MS, USA|c|")</f>
        <v>NSF Eng. Res. Center, Mississippi State Univ., MS, USA|c|</v>
      </c>
      <c r="C439" s="66" t="s">
        <v>10624</v>
      </c>
      <c r="D439" s="66" t="s">
        <v>8129</v>
      </c>
    </row>
    <row r="440" ht="15.75" customHeight="1">
      <c r="A440" s="66">
        <f>'Main dataset (DEPRECATED)'!Q441</f>
        <v>6400491</v>
      </c>
      <c r="B440" s="66" t="str">
        <f>IFERROR(__xludf.DUMMYFUNCTION("SPLIT('Main dataset (DEPRECATED2)'!N441,"";"")"),"Simon Fraser University##Simon Fraser University##Simon Fraser University##Simon Fraser University##Simon Fraser University##Simon Fraser University")</f>
        <v>Simon Fraser University##Simon Fraser University##Simon Fraser University##Simon Fraser University##Simon Fraser University##Simon Fraser University</v>
      </c>
      <c r="C440" s="66" t="s">
        <v>9171</v>
      </c>
      <c r="D440" s="66" t="s">
        <v>7395</v>
      </c>
      <c r="E440" s="66" t="s">
        <v>11742</v>
      </c>
      <c r="F440" s="66" t="s">
        <v>7361</v>
      </c>
      <c r="G440" s="66" t="s">
        <v>8293</v>
      </c>
    </row>
    <row r="441" ht="15.75" customHeight="1">
      <c r="A441" s="66">
        <f>'Main dataset (DEPRECATED)'!Q442</f>
        <v>6400537</v>
      </c>
      <c r="B441" s="66" t="str">
        <f>IFERROR(__xludf.DUMMYFUNCTION("SPLIT('Main dataset (DEPRECATED2)'!N442,"";"")"),"Mississippi State University##Mississippi State University##Mississippi State University##Mississippi State University##Mississippi State University##Mississippi State University##Mississippi State University##Mississippi State University##Mississippi Sta"&amp;"te University##Mississippi State University##Mississippi State University")</f>
        <v>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University##Mississippi State University</v>
      </c>
      <c r="C441" s="66" t="s">
        <v>6596</v>
      </c>
      <c r="D441" s="66" t="s">
        <v>7529</v>
      </c>
      <c r="E441" s="66" t="s">
        <v>9923</v>
      </c>
    </row>
    <row r="442" ht="15.75" customHeight="1">
      <c r="A442" s="66">
        <f>'Main dataset (DEPRECATED)'!Q443</f>
        <v>6327296</v>
      </c>
      <c r="B442" s="66" t="str">
        <f>IFERROR(__xludf.DUMMYFUNCTION("SPLIT('Main dataset (DEPRECATED2)'!N443,"";"")"),"Netherlands Energy Vrije Universiteit##Netherlands Energy Vrije Universiteit##Netherlands Energy Vrije Universiteit##Netherlands Energy Vrije Universiteit")</f>
        <v>Netherlands Energy Vrije Universiteit##Netherlands Energy Vrije Universiteit##Netherlands Energy Vrije Universiteit##Netherlands Energy Vrije Universiteit</v>
      </c>
      <c r="C442" s="66" t="s">
        <v>8835</v>
      </c>
      <c r="D442" s="66" t="s">
        <v>11151</v>
      </c>
      <c r="E442" s="66" t="s">
        <v>8114</v>
      </c>
      <c r="F442" s="66" t="s">
        <v>7308</v>
      </c>
    </row>
    <row r="443" ht="15.75" customHeight="1">
      <c r="A443" s="66">
        <f>'Main dataset (DEPRECATED)'!Q444</f>
        <v>6400550</v>
      </c>
      <c r="B443" s="66" t="str">
        <f>IFERROR(__xludf.DUMMYFUNCTION("SPLIT('Main dataset (DEPRECATED2)'!N444,"";"")"),"Stanford University Medical Center|c|")</f>
        <v>Stanford University Medical Center|c|</v>
      </c>
      <c r="C443" s="66" t="s">
        <v>11531</v>
      </c>
      <c r="D443" s="66" t="s">
        <v>6603</v>
      </c>
    </row>
    <row r="444" ht="15.75" customHeight="1">
      <c r="A444" s="66">
        <f>'Main dataset (DEPRECATED)'!Q445</f>
        <v>6400556</v>
      </c>
      <c r="B444" s="66" t="str">
        <f>IFERROR(__xludf.DUMMYFUNCTION("SPLIT('Main dataset (DEPRECATED2)'!N445,"";"")"),"SUNY at Stony Brook|c|")</f>
        <v>SUNY at Stony Brook|c|</v>
      </c>
      <c r="C444" s="66" t="s">
        <v>6699</v>
      </c>
      <c r="D444" s="66" t="s">
        <v>6434</v>
      </c>
    </row>
    <row r="445" ht="15.75" customHeight="1">
      <c r="A445" s="66">
        <f>'Main dataset (DEPRECATED)'!Q446</f>
        <v>6400493</v>
      </c>
      <c r="B445" s="66" t="str">
        <f>IFERROR(__xludf.DUMMYFUNCTION("SPLIT('Main dataset (DEPRECATED2)'!N446,"";"")"),"University of Massachusetts at Lowell and The MITRE Corporation|c|")</f>
        <v>University of Massachusetts at Lowell and The MITRE Corporation|c|</v>
      </c>
      <c r="C445" s="66" t="s">
        <v>11350</v>
      </c>
    </row>
    <row r="446" ht="15.75" customHeight="1">
      <c r="A446" s="66">
        <f>'Main dataset (DEPRECATED)'!Q447</f>
        <v>6327292</v>
      </c>
      <c r="B446" s="66" t="str">
        <f>IFERROR(__xludf.DUMMYFUNCTION("SPLIT('Main dataset (DEPRECATED2)'!N447,"";"")"),"Stanford University (co-organizer)|c|")</f>
        <v>Stanford University (co-organizer)|c|</v>
      </c>
      <c r="C446" s="66" t="s">
        <v>6832</v>
      </c>
    </row>
    <row r="447" ht="15.75" customHeight="1">
      <c r="A447" s="66">
        <f>'Main dataset (DEPRECATED)'!Q448</f>
        <v>6400559</v>
      </c>
      <c r="B447" s="66" t="str">
        <f>IFERROR(__xludf.DUMMYFUNCTION("SPLIT('Main dataset (DEPRECATED2)'!N448,"";"")"),"The MITRE Corporation|c|")</f>
        <v>The MITRE Corporation|c|</v>
      </c>
      <c r="C447" s="66" t="s">
        <v>9667</v>
      </c>
    </row>
    <row r="448" ht="15.75" customHeight="1">
      <c r="A448" s="66">
        <f>'Main dataset (DEPRECATED)'!Q449</f>
        <v>6400547</v>
      </c>
      <c r="B448" s="66" t="str">
        <f>IFERROR(__xludf.DUMMYFUNCTION("SPLIT('Main dataset (DEPRECATED2)'!N449,"";"")"),"Stanford University")</f>
        <v>Stanford University</v>
      </c>
      <c r="C448" s="66" t="s">
        <v>10152</v>
      </c>
      <c r="D448" s="66" t="s">
        <v>7540</v>
      </c>
    </row>
    <row r="449" ht="15.75" customHeight="1">
      <c r="A449" s="66">
        <f>'Main dataset (DEPRECATED)'!Q450</f>
        <v>6400486</v>
      </c>
      <c r="B449" s="66" t="str">
        <f>IFERROR(__xludf.DUMMYFUNCTION("SPLIT('Main dataset (DEPRECATED2)'!N450,"";"")"),"University of Freiburg##Federal Institute of Technology")</f>
        <v>University of Freiburg##Federal Institute of Technology</v>
      </c>
      <c r="C449" s="66" t="s">
        <v>8506</v>
      </c>
      <c r="D449" s="66" t="s">
        <v>6668</v>
      </c>
      <c r="E449" s="66" t="s">
        <v>6832</v>
      </c>
    </row>
    <row r="450" ht="15.75" customHeight="1">
      <c r="A450" s="66">
        <f>'Main dataset (DEPRECATED)'!Q451</f>
        <v>6327298</v>
      </c>
      <c r="B450" s="66" t="str">
        <f>IFERROR(__xludf.DUMMYFUNCTION("SPLIT('Main dataset (DEPRECATED2)'!N451,"";"")"),"University of Minnesota##University of Minnesota##University of Minnesota##University of Minnesota")</f>
        <v>University of Minnesota##University of Minnesota##University of Minnesota##University of Minnesota</v>
      </c>
      <c r="C450" s="66" t="s">
        <v>9747</v>
      </c>
      <c r="D450" s="66" t="s">
        <v>8133</v>
      </c>
      <c r="E450" s="66" t="s">
        <v>8112</v>
      </c>
    </row>
    <row r="451" ht="15.75" customHeight="1">
      <c r="A451" s="66">
        <f>'Main dataset (DEPRECATED)'!Q452</f>
        <v>6327293</v>
      </c>
      <c r="B451" s="66" t="str">
        <f>IFERROR(__xludf.DUMMYFUNCTION("SPLIT('Main dataset (DEPRECATED2)'!N452,"";"")"),"Mitsubishi Electric Corporation Tsukaguchi-Honmachi##Shinshu University")</f>
        <v>Mitsubishi Electric Corporation Tsukaguchi-Honmachi##Shinshu University</v>
      </c>
      <c r="C451" s="66" t="s">
        <v>10767</v>
      </c>
    </row>
    <row r="452" ht="15.75" customHeight="1">
      <c r="A452" s="66">
        <f>'Main dataset (DEPRECATED)'!Q453</f>
        <v>6400541</v>
      </c>
      <c r="B452" s="66" t="str">
        <f>IFERROR(__xludf.DUMMYFUNCTION("SPLIT('Main dataset (DEPRECATED2)'!N453,"";"")"),"Carnegie Mellon University Pittsburgh##Carnegie Mellon University Pittsburgh")</f>
        <v>Carnegie Mellon University Pittsburgh##Carnegie Mellon University Pittsburgh</v>
      </c>
      <c r="C452" s="66" t="s">
        <v>9256</v>
      </c>
      <c r="D452" s="66" t="s">
        <v>9453</v>
      </c>
      <c r="E452" s="66" t="s">
        <v>8419</v>
      </c>
      <c r="F452" s="66" t="s">
        <v>8664</v>
      </c>
      <c r="G452" s="66" t="s">
        <v>7167</v>
      </c>
      <c r="H452" s="66" t="s">
        <v>6384</v>
      </c>
      <c r="I452" s="66" t="s">
        <v>7501</v>
      </c>
      <c r="J452" s="66" t="s">
        <v>9813</v>
      </c>
      <c r="K452" s="66" t="s">
        <v>8280</v>
      </c>
      <c r="L452" s="66" t="s">
        <v>6862</v>
      </c>
    </row>
    <row r="453" ht="15.75" customHeight="1">
      <c r="A453" s="66">
        <f>'Main dataset (DEPRECATED)'!Q454</f>
        <v>6400540</v>
      </c>
      <c r="B453" s="66" t="str">
        <f>IFERROR(__xludf.DUMMYFUNCTION("SPLIT('Main dataset (DEPRECATED2)'!N454,"";"")"),"Simon Fraser University University of Victoria Burnaby####Simon Fraser University University of Victoria Burnaby")</f>
        <v>Simon Fraser University University of Victoria Burnaby####Simon Fraser University University of Victoria Burnaby</v>
      </c>
      <c r="C453" s="66" t="s">
        <v>6832</v>
      </c>
      <c r="D453" s="66" t="s">
        <v>6180</v>
      </c>
    </row>
    <row r="454" ht="15.75" customHeight="1">
      <c r="A454" s="66">
        <f>'Main dataset (DEPRECATED)'!Q455</f>
        <v>6400548</v>
      </c>
      <c r="B454" s="66" t="str">
        <f>IFERROR(__xludf.DUMMYFUNCTION("SPLIT('Main dataset (DEPRECATED2)'!N455,"";"")"),"Brown University Providence")</f>
        <v>Brown University Providence</v>
      </c>
      <c r="C454" s="66" t="s">
        <v>8556</v>
      </c>
      <c r="D454" s="66" t="s">
        <v>7867</v>
      </c>
      <c r="E454" s="66" t="s">
        <v>11191</v>
      </c>
    </row>
    <row r="455" ht="15.75" customHeight="1">
      <c r="A455" s="66">
        <f>'Main dataset (DEPRECATED)'!Q456</f>
        <v>6400489</v>
      </c>
      <c r="B455" s="66" t="str">
        <f>IFERROR(__xludf.DUMMYFUNCTION("SPLIT('Main dataset (DEPRECATED2)'!N456,"";"")"),"Indiana University")</f>
        <v>Indiana University</v>
      </c>
      <c r="C455" s="66" t="s">
        <v>6637</v>
      </c>
      <c r="D455" s="66" t="s">
        <v>7134</v>
      </c>
      <c r="E455" s="66" t="s">
        <v>8540</v>
      </c>
      <c r="F455" s="66" t="s">
        <v>9663</v>
      </c>
      <c r="G455" s="66" t="s">
        <v>10723</v>
      </c>
    </row>
    <row r="456" ht="15.75" customHeight="1">
      <c r="A456" s="66">
        <f>'Main dataset (DEPRECATED)'!Q457</f>
        <v>6400542</v>
      </c>
      <c r="B456" s="66" t="str">
        <f>IFERROR(__xludf.DUMMYFUNCTION("SPLIT('Main dataset (DEPRECATED2)'!N457,"";"")"),"Xerox Palo Alto Research Center##Xerox Palo Alto Research Center")</f>
        <v>Xerox Palo Alto Research Center##Xerox Palo Alto Research Center</v>
      </c>
      <c r="C456" s="66" t="s">
        <v>11084</v>
      </c>
      <c r="D456" s="66" t="s">
        <v>8908</v>
      </c>
    </row>
    <row r="457" ht="15.75" customHeight="1">
      <c r="A457" s="66">
        <f>'Main dataset (DEPRECATED)'!Q458</f>
        <v>6400533</v>
      </c>
      <c r="B457" s="66" t="str">
        <f>IFERROR(__xludf.DUMMYFUNCTION("SPLIT('Main dataset (DEPRECATED2)'!N458,"";"")"),"Carnegie Mellon University Robotics Institute##Carnegie Mellon University Robotics Institute##Carnegie Mellon University Robotics Institute")</f>
        <v>Carnegie Mellon University Robotics Institute##Carnegie Mellon University Robotics Institute##Carnegie Mellon University Robotics Institute</v>
      </c>
    </row>
    <row r="458" ht="15.75" customHeight="1">
      <c r="A458" s="66">
        <f>'Main dataset (DEPRECATED)'!Q459</f>
        <v>6400551</v>
      </c>
      <c r="B458" s="66" t="str">
        <f>IFERROR(__xludf.DUMMYFUNCTION("SPLIT('Main dataset (DEPRECATED2)'!N459,"";"")"),"Ubilab Union Bank of Switzerland##Ubilab Union Bank of Switzerland##Ubilab Union Bank of Switzerland##Ubilab Union Bank of Switzerland")</f>
        <v>Ubilab Union Bank of Switzerland##Ubilab Union Bank of Switzerland##Ubilab Union Bank of Switzerland##Ubilab Union Bank of Switzerland</v>
      </c>
      <c r="C458" s="66" t="s">
        <v>7522</v>
      </c>
      <c r="D458" s="66" t="s">
        <v>7850</v>
      </c>
      <c r="E458" s="66" t="s">
        <v>10361</v>
      </c>
      <c r="F458" s="66" t="s">
        <v>10622</v>
      </c>
    </row>
    <row r="459" ht="15.75" customHeight="1">
      <c r="A459" s="66">
        <f>'Main dataset (DEPRECATED)'!Q460</f>
        <v>6400492</v>
      </c>
      <c r="B459" s="66" t="str">
        <f>IFERROR(__xludf.DUMMYFUNCTION("SPLIT('Main dataset (DEPRECATED2)'!N460,"";"")"),"University of Maryland")</f>
        <v>University of Maryland</v>
      </c>
      <c r="C459" s="66" t="s">
        <v>9610</v>
      </c>
      <c r="D459" s="66" t="s">
        <v>8215</v>
      </c>
      <c r="E459" s="66" t="s">
        <v>11396</v>
      </c>
      <c r="F459" s="66" t="s">
        <v>8118</v>
      </c>
    </row>
    <row r="460" ht="15.75" customHeight="1">
      <c r="A460" s="66">
        <f>'Main dataset (DEPRECATED)'!Q461</f>
        <v>6400487</v>
      </c>
      <c r="B460" s="66" t="str">
        <f>IFERROR(__xludf.DUMMYFUNCTION("SPLIT('Main dataset (DEPRECATED2)'!N461,"";"")"),"Silicon Graphics Inc")</f>
        <v>Silicon Graphics Inc</v>
      </c>
    </row>
    <row r="461" ht="15.75" customHeight="1">
      <c r="A461" s="66">
        <f>'Main dataset (DEPRECATED)'!Q462</f>
        <v>6400485</v>
      </c>
      <c r="B461" s="66" t="str">
        <f>IFERROR(__xludf.DUMMYFUNCTION("SPLIT('Main dataset (DEPRECATED2)'!N462,"";"")"),"Xerox PARC##Xerox PARC")</f>
        <v>Xerox PARC##Xerox PARC</v>
      </c>
      <c r="C461" s="66" t="s">
        <v>11599</v>
      </c>
      <c r="D461" s="66" t="s">
        <v>10656</v>
      </c>
      <c r="E461" s="66" t="s">
        <v>10140</v>
      </c>
      <c r="F461" s="66" t="s">
        <v>11819</v>
      </c>
    </row>
    <row r="462" ht="15.75" customHeight="1">
      <c r="A462" s="66">
        <f>'Main dataset (DEPRECATED)'!Q463</f>
        <v>6400530</v>
      </c>
      <c r="B462" s="66" t="str">
        <f>IFERROR(__xludf.DUMMYFUNCTION("SPLIT('Main dataset (DEPRECATED2)'!N463,"";"")"),"Multidimensional Graphs Ltd y &amp; Computer Science Department Tel Aviv University")</f>
        <v>Multidimensional Graphs Ltd y &amp; Computer Science Department Tel Aviv University</v>
      </c>
      <c r="C462" s="66" t="s">
        <v>10606</v>
      </c>
      <c r="D462" s="66" t="s">
        <v>10364</v>
      </c>
      <c r="E462" s="66" t="s">
        <v>7252</v>
      </c>
    </row>
    <row r="463" ht="15.75" customHeight="1">
      <c r="A463" s="66">
        <f>'Main dataset (DEPRECATED)'!Q464</f>
        <v>6400549</v>
      </c>
      <c r="B463" s="66" t="str">
        <f>IFERROR(__xludf.DUMMYFUNCTION("SPLIT('Main dataset (DEPRECATED2)'!N464,"";"")"),"Visible Decision Inc., Toronto, Ont., Canada|c|")</f>
        <v>Visible Decision Inc., Toronto, Ont., Canada|c|</v>
      </c>
      <c r="C463" s="66" t="s">
        <v>7149</v>
      </c>
      <c r="D463" s="66" t="s">
        <v>10426</v>
      </c>
      <c r="E463" s="66" t="s">
        <v>8664</v>
      </c>
      <c r="F463" s="66" t="s">
        <v>8804</v>
      </c>
    </row>
    <row r="464" ht="15.75" customHeight="1">
      <c r="A464" s="66">
        <f>'Main dataset (DEPRECATED)'!Q465</f>
        <v>6400544</v>
      </c>
      <c r="B464" s="66" t="str">
        <f>IFERROR(__xludf.DUMMYFUNCTION("SPLIT('Main dataset (DEPRECATED2)'!N465,"";"")"),"NSF Engineering Research Center for Computational Field Simulation####")</f>
        <v>NSF Engineering Research Center for Computational Field Simulation####</v>
      </c>
      <c r="C464" s="66" t="s">
        <v>6832</v>
      </c>
    </row>
    <row r="465" ht="15.75" customHeight="1">
      <c r="A465" s="66">
        <f>'Main dataset (DEPRECATED)'!Q466</f>
        <v>6400535</v>
      </c>
      <c r="B465" s="66" t="str">
        <f>IFERROR(__xludf.DUMMYFUNCTION("SPLIT('Main dataset (DEPRECATED2)'!N466,"";"")"),"Road State University of New York at Stony Brook Naperville##Road State University of New York at Stony Brook Naperville")</f>
        <v>Road State University of New York at Stony Brook Naperville##Road State University of New York at Stony Brook Naperville</v>
      </c>
      <c r="C465" s="66" t="s">
        <v>7082</v>
      </c>
      <c r="D465" s="66" t="s">
        <v>11834</v>
      </c>
      <c r="E465" s="66" t="s">
        <v>6832</v>
      </c>
    </row>
    <row r="466" ht="15.75" customHeight="1">
      <c r="A466" s="66">
        <f>'Main dataset (DEPRECATED)'!Q467</f>
        <v>6327291</v>
      </c>
      <c r="B466" s="66" t="str">
        <f>IFERROR(__xludf.DUMMYFUNCTION("SPLIT('Main dataset (DEPRECATED2)'!N467,"";"")"),"UniversitÃ¤t Erlangen-NÃ¼rnberg##UniversitÃ¤t Erlangen-NÃ¼rnberg")</f>
        <v>UniversitÃ¤t Erlangen-NÃ¼rnberg##UniversitÃ¤t Erlangen-NÃ¼rnberg</v>
      </c>
      <c r="C466" s="66" t="s">
        <v>6181</v>
      </c>
      <c r="D466" s="66" t="s">
        <v>9391</v>
      </c>
      <c r="E466" s="66" t="s">
        <v>7887</v>
      </c>
    </row>
    <row r="467" ht="15.75" customHeight="1">
      <c r="A467" s="66">
        <f>'Main dataset (DEPRECATED)'!Q468</f>
        <v>6400484</v>
      </c>
      <c r="B467" s="66" t="str">
        <f>IFERROR(__xludf.DUMMYFUNCTION("SPLIT('Main dataset (DEPRECATED2)'!N468,"";"")"),"University of British Columbia EECS Department##University of British Columbia EECS Department##University of British Columbia EECS Department##University of British Columbia EECS Department")</f>
        <v>University of British Columbia EECS Department##University of British Columbia EECS Department##University of British Columbia EECS Department##University of British Columbia EECS Department</v>
      </c>
      <c r="C467" s="66" t="s">
        <v>8691</v>
      </c>
      <c r="D467" s="66" t="s">
        <v>9394</v>
      </c>
    </row>
    <row r="468" ht="15.75" customHeight="1">
      <c r="A468" s="66">
        <f>'Main dataset (DEPRECATED)'!Q469</f>
        <v>6327289</v>
      </c>
      <c r="B468" s="66" t="str">
        <f>IFERROR(__xludf.DUMMYFUNCTION("SPLIT('Main dataset (DEPRECATED2)'!N469,"";"")"),"GE Corp. Res. &amp; Dev., Schenectady, NY, USA|c|")</f>
        <v>GE Corp. Res. &amp; Dev., Schenectady, NY, USA|c|</v>
      </c>
      <c r="C468" s="66" t="s">
        <v>9705</v>
      </c>
      <c r="D468" s="66" t="s">
        <v>7879</v>
      </c>
      <c r="E468" s="66" t="s">
        <v>9544</v>
      </c>
      <c r="F468" s="66" t="s">
        <v>11347</v>
      </c>
      <c r="G468" s="66" t="s">
        <v>10057</v>
      </c>
    </row>
    <row r="469" ht="15.75" customHeight="1">
      <c r="A469" s="66">
        <f>'Main dataset (DEPRECATED)'!Q470</f>
        <v>6327294</v>
      </c>
      <c r="B469" s="66" t="str">
        <f>IFERROR(__xludf.DUMMYFUNCTION("SPLIT('Main dataset (DEPRECATED2)'!N470,"";"")"),"Stanford University Technion, I.I.T. Stanford##Stanford University Technion, I.I.T. Stanford##Stanford University Stanford")</f>
        <v>Stanford University Technion, I.I.T. Stanford##Stanford University Technion, I.I.T. Stanford##Stanford University Stanford</v>
      </c>
      <c r="C469" s="66" t="s">
        <v>7526</v>
      </c>
      <c r="D469" s="66" t="s">
        <v>9667</v>
      </c>
    </row>
    <row r="470" ht="15.75" customHeight="1">
      <c r="A470" s="66">
        <f>'Main dataset (DEPRECATED)'!Q471</f>
        <v>6400555</v>
      </c>
      <c r="B470" s="66" t="str">
        <f>IFERROR(__xludf.DUMMYFUNCTION("SPLIT('Main dataset (DEPRECATED2)'!N471,"";"")"),"Dept. of Comput. Sci., Kaiserslautern Univ., Germany|c|")</f>
        <v>Dept. of Comput. Sci., Kaiserslautern Univ., Germany|c|</v>
      </c>
      <c r="C470" s="66" t="s">
        <v>6601</v>
      </c>
      <c r="D470" s="66" t="s">
        <v>10398</v>
      </c>
      <c r="E470" s="66" t="s">
        <v>6308</v>
      </c>
      <c r="F470" s="66" t="s">
        <v>8788</v>
      </c>
      <c r="G470" s="66" t="s">
        <v>6685</v>
      </c>
      <c r="H470" s="66" t="s">
        <v>10745</v>
      </c>
      <c r="I470" s="66" t="s">
        <v>7887</v>
      </c>
    </row>
    <row r="471" ht="15.75" customHeight="1">
      <c r="A471" s="66">
        <f>'Main dataset (DEPRECATED)'!Q472</f>
        <v>6400558</v>
      </c>
      <c r="B471" s="66" t="str">
        <f>IFERROR(__xludf.DUMMYFUNCTION("SPLIT('Main dataset (DEPRECATED2)'!N472,"";"")"),"The Chinese University of Hong Kong##The Chinese University of Hong Kong")</f>
        <v>The Chinese University of Hong Kong##The Chinese University of Hong Kong</v>
      </c>
      <c r="C471" s="66" t="s">
        <v>11585</v>
      </c>
      <c r="D471" s="66" t="s">
        <v>6182</v>
      </c>
      <c r="E471" s="66" t="s">
        <v>6232</v>
      </c>
    </row>
    <row r="472" ht="15.75" customHeight="1">
      <c r="A472" s="66">
        <f>'Main dataset (DEPRECATED)'!Q473</f>
        <v>6400557</v>
      </c>
      <c r="B472" s="66" t="str">
        <f>IFERROR(__xludf.DUMMYFUNCTION("SPLIT('Main dataset (DEPRECATED2)'!N473,"";"")"),"Los Alamos Nat. Lab., NM, USA|c|")</f>
        <v>Los Alamos Nat. Lab., NM, USA|c|</v>
      </c>
      <c r="C472" s="66" t="s">
        <v>11023</v>
      </c>
      <c r="D472" s="66" t="s">
        <v>6579</v>
      </c>
      <c r="E472" s="66" t="s">
        <v>11742</v>
      </c>
      <c r="F472" s="66" t="s">
        <v>9171</v>
      </c>
      <c r="G472" s="66" t="s">
        <v>7361</v>
      </c>
      <c r="H472" s="66" t="s">
        <v>7432</v>
      </c>
    </row>
    <row r="473" ht="15.75" customHeight="1">
      <c r="A473" s="66">
        <f>'Main dataset (DEPRECATED)'!Q474</f>
        <v>6400488</v>
      </c>
      <c r="B473" s="66" t="str">
        <f>IFERROR(__xludf.DUMMYFUNCTION("SPLIT('Main dataset (DEPRECATED2)'!N474,"";"")"),"UCSD / SDSC##University of California at San Diego and San Diego Supercomputer Center")</f>
        <v>UCSD / SDSC##University of California at San Diego and San Diego Supercomputer Center</v>
      </c>
      <c r="C473" s="66" t="s">
        <v>9165</v>
      </c>
      <c r="D473" s="66" t="s">
        <v>7474</v>
      </c>
      <c r="E473" s="66" t="s">
        <v>6471</v>
      </c>
      <c r="F473" s="66" t="s">
        <v>10426</v>
      </c>
      <c r="G473" s="66" t="s">
        <v>10483</v>
      </c>
      <c r="H473" s="66" t="s">
        <v>8664</v>
      </c>
    </row>
    <row r="474" ht="15.75" customHeight="1">
      <c r="A474" s="66">
        <f>'Main dataset (DEPRECATED)'!Q475</f>
        <v>6400560</v>
      </c>
      <c r="B474" s="66" t="str">
        <f>IFERROR(__xludf.DUMMYFUNCTION("SPLIT('Main dataset (DEPRECATED2)'!N475,"";"")"),"Technion -Israel Institute of Technology Haifa 32000##Technion -Israel Institute of Technology Haifa 32000")</f>
        <v>Technion -Israel Institute of Technology Haifa 32000##Technion -Israel Institute of Technology Haifa 32000</v>
      </c>
      <c r="C474" s="66" t="s">
        <v>6819</v>
      </c>
      <c r="D474" s="66" t="s">
        <v>10055</v>
      </c>
    </row>
    <row r="475" ht="15.75" customHeight="1">
      <c r="A475" s="66">
        <f>'Main dataset (DEPRECATED)'!Q476</f>
        <v>6400536</v>
      </c>
      <c r="B475" s="66" t="str">
        <f>IFERROR(__xludf.DUMMYFUNCTION("SPLIT('Main dataset (DEPRECATED2)'!N476,"";"")"),"UniversitÃ di Genova Enrico Puppo Istituto per la Matematica Applicata â€“ Consiglio Nazionale delle Ricerche y##UniversitÃ di Genova Enrico Puppo Istituto per la Matematica Applicata â€“ Consiglio Nazionale delle Ricerche y")</f>
        <v>UniversitÃ di Genova Enrico Puppo Istituto per la Matematica Applicata â€“ Consiglio Nazionale delle Ricerche y##UniversitÃ di Genova Enrico Puppo Istituto per la Matematica Applicata â€“ Consiglio Nazionale delle Ricerche y</v>
      </c>
      <c r="C475" s="66" t="s">
        <v>11548</v>
      </c>
    </row>
    <row r="476" ht="15.75" customHeight="1">
      <c r="A476" s="66">
        <f>'Main dataset (DEPRECATED)'!Q477</f>
        <v>6327297</v>
      </c>
      <c r="B476" s="66" t="str">
        <f>IFERROR(__xludf.DUMMYFUNCTION("SPLIT('Main dataset (DEPRECATED2)'!N477,"";"")"),"University of New Hampshire")</f>
        <v>University of New Hampshire</v>
      </c>
      <c r="C476" s="66" t="s">
        <v>10692</v>
      </c>
      <c r="D476" s="66" t="s">
        <v>9288</v>
      </c>
    </row>
    <row r="477" ht="15.75" customHeight="1">
      <c r="A477" s="66">
        <f>'Main dataset (DEPRECATED)'!Q478</f>
        <v>6400546</v>
      </c>
      <c r="B477" s="66" t="str">
        <f>IFERROR(__xludf.DUMMYFUNCTION("SPLIT('Main dataset (DEPRECATED2)'!N478,"";"")"),"Vienna University of Technology##Vienna University of Technology##Vienna University of Technology")</f>
        <v>Vienna University of Technology##Vienna University of Technology##Vienna University of Technology</v>
      </c>
      <c r="C477" s="66" t="s">
        <v>11167</v>
      </c>
      <c r="D477" s="66" t="s">
        <v>7654</v>
      </c>
      <c r="E477" s="66" t="s">
        <v>6336</v>
      </c>
      <c r="F477" s="66" t="s">
        <v>11093</v>
      </c>
    </row>
    <row r="478" ht="15.75" customHeight="1">
      <c r="A478" s="66">
        <f>'Main dataset (DEPRECATED)'!Q479</f>
        <v>6400543</v>
      </c>
      <c r="B478" s="66" t="str">
        <f>IFERROR(__xludf.DUMMYFUNCTION("SPLIT('Main dataset (DEPRECATED2)'!N479,"";"")"),"Tel-Aviv University##Tel-Aviv University##Tel-Aviv University")</f>
        <v>Tel-Aviv University##Tel-Aviv University##Tel-Aviv University</v>
      </c>
      <c r="C478" s="66" t="s">
        <v>7540</v>
      </c>
    </row>
    <row r="479" ht="15.75" customHeight="1">
      <c r="A479" s="66">
        <f>'Main dataset (DEPRECATED)'!Q480</f>
        <v>6400538</v>
      </c>
      <c r="B479" s="66" t="str">
        <f>IFERROR(__xludf.DUMMYFUNCTION("SPLIT('Main dataset (DEPRECATED2)'!N480,"";"")"),"State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479" s="66" t="s">
        <v>11531</v>
      </c>
    </row>
    <row r="480" ht="15.75" customHeight="1">
      <c r="A480" s="66">
        <f>'Main dataset (DEPRECATED)'!Q481</f>
        <v>6400531</v>
      </c>
      <c r="B480" s="66" t="str">
        <f>IFERROR(__xludf.DUMMYFUNCTION("SPLIT('Main dataset (DEPRECATED2)'!N481,"";"")"),"Arizona State University Tempe##Arizona State University Tempe##Arizona State University Tempe")</f>
        <v>Arizona State University Tempe##Arizona State University Tempe##Arizona State University Tempe</v>
      </c>
      <c r="C480" s="66" t="s">
        <v>8012</v>
      </c>
      <c r="D480" s="66" t="s">
        <v>7091</v>
      </c>
      <c r="E480" s="66" t="s">
        <v>8245</v>
      </c>
    </row>
    <row r="481" ht="15.75" customHeight="1">
      <c r="A481" s="66">
        <f>'Main dataset (DEPRECATED)'!Q482</f>
        <v>6400554</v>
      </c>
      <c r="B481" s="66" t="str">
        <f>IFERROR(__xludf.DUMMYFUNCTION("SPLIT('Main dataset (DEPRECATED2)'!N482,"";"")"),"Mississippi State University####Mississippi State University##Mississippi State University")</f>
        <v>Mississippi State University####Mississippi State University##Mississippi State University</v>
      </c>
      <c r="C481" s="66" t="s">
        <v>10812</v>
      </c>
      <c r="D481" s="66" t="s">
        <v>6422</v>
      </c>
      <c r="E481" s="66" t="s">
        <v>9453</v>
      </c>
      <c r="F481" s="66" t="s">
        <v>10426</v>
      </c>
      <c r="G481" s="66" t="s">
        <v>9951</v>
      </c>
      <c r="H481" s="66" t="s">
        <v>11359</v>
      </c>
      <c r="I481" s="66" t="s">
        <v>8942</v>
      </c>
      <c r="J481" s="66" t="s">
        <v>8664</v>
      </c>
    </row>
    <row r="482" ht="15.75" customHeight="1">
      <c r="A482" s="66">
        <f>'Main dataset (DEPRECATED)'!Q483</f>
        <v>6327295</v>
      </c>
      <c r="B482" s="66" t="str">
        <f>IFERROR(__xludf.DUMMYFUNCTION("SPLIT('Main dataset (DEPRECATED2)'!N483,"";"")"),"University of Mississippi")</f>
        <v>University of Mississippi</v>
      </c>
      <c r="C482" s="66" t="s">
        <v>6239</v>
      </c>
      <c r="D482" s="66" t="s">
        <v>6715</v>
      </c>
      <c r="E482" s="66" t="s">
        <v>11396</v>
      </c>
    </row>
    <row r="483" ht="15.75" customHeight="1">
      <c r="A483" s="66">
        <f>'Main dataset (DEPRECATED)'!Q484</f>
        <v>6400553</v>
      </c>
      <c r="B483" s="66" t="str">
        <f>IFERROR(__xludf.DUMMYFUNCTION("SPLIT('Main dataset (DEPRECATED2)'!N484,"";"")"),"Purdue University West Lafayette##Purdue University West Lafayette##Purdue University West Lafayette")</f>
        <v>Purdue University West Lafayette##Purdue University West Lafayette##Purdue University West Lafayette</v>
      </c>
      <c r="C483" s="66" t="s">
        <v>6646</v>
      </c>
      <c r="D483" s="66" t="s">
        <v>6239</v>
      </c>
      <c r="E483" s="66" t="s">
        <v>6238</v>
      </c>
      <c r="F483" s="66" t="s">
        <v>10998</v>
      </c>
    </row>
    <row r="484" ht="15.75" customHeight="1">
      <c r="A484" s="66">
        <f>'Main dataset (DEPRECATED)'!Q485</f>
        <v>6327290</v>
      </c>
      <c r="B484" s="66" t="str">
        <f>IFERROR(__xludf.DUMMYFUNCTION("SPLIT('Main dataset (DEPRECATED2)'!N485,"";"")"),"Indiana University Bloomington##Indiana University Bloomington")</f>
        <v>Indiana University Bloomington##Indiana University Bloomington</v>
      </c>
      <c r="C484" s="66" t="s">
        <v>8785</v>
      </c>
      <c r="D484" s="66" t="s">
        <v>6579</v>
      </c>
      <c r="E484" s="66" t="s">
        <v>7432</v>
      </c>
    </row>
    <row r="485" ht="15.75" customHeight="1">
      <c r="A485" s="66">
        <f>'Main dataset (DEPRECATED)'!Q486</f>
        <v>6400494</v>
      </c>
      <c r="B485" s="66" t="str">
        <f>IFERROR(__xludf.DUMMYFUNCTION("SPLIT('Main dataset (DEPRECATED2)'!N486,"";"")"),"Intel Corporation##Intel Corporation##Intel Corporation##Intel Corporation")</f>
        <v>Intel Corporation##Intel Corporation##Intel Corporation##Intel Corporation</v>
      </c>
      <c r="C485" s="66" t="s">
        <v>11769</v>
      </c>
      <c r="D485" s="66" t="s">
        <v>10880</v>
      </c>
      <c r="E485" s="66" t="s">
        <v>4987</v>
      </c>
    </row>
    <row r="486" ht="15.75" customHeight="1">
      <c r="A486" s="66">
        <f>'Main dataset (DEPRECATED)'!Q487</f>
        <v>6400534</v>
      </c>
      <c r="B486" s="66" t="str">
        <f>IFERROR(__xludf.DUMMYFUNCTION("SPLIT('Main dataset (DEPRECATED2)'!N487,"";"")"),"University of Alabama at Birmingham##University of Alabama at Birmingham")</f>
        <v>University of Alabama at Birmingham##University of Alabama at Birmingham</v>
      </c>
      <c r="C486" s="66" t="s">
        <v>10546</v>
      </c>
      <c r="D486" s="66" t="s">
        <v>11332</v>
      </c>
      <c r="E486" s="66" t="s">
        <v>6459</v>
      </c>
      <c r="F486" s="66" t="s">
        <v>10298</v>
      </c>
      <c r="G486" s="66" t="s">
        <v>11277</v>
      </c>
      <c r="H486" s="66" t="s">
        <v>6736</v>
      </c>
    </row>
    <row r="487" ht="15.75" customHeight="1">
      <c r="A487" s="66">
        <f>'Main dataset (DEPRECATED)'!Q488</f>
        <v>6400490</v>
      </c>
      <c r="B487" s="66" t="str">
        <f>IFERROR(__xludf.DUMMYFUNCTION("SPLIT('Main dataset (DEPRECATED2)'!N488,"";"")"),"The Ohio State University####The Ohio State University##The Ohio State University##The Ohio State University##The Ohio State University##The Ohio State University")</f>
        <v>The Ohio State University####The Ohio State University##The Ohio State University##The Ohio State University##The Ohio State University##The Ohio State University</v>
      </c>
      <c r="C487" s="66" t="s">
        <v>11462</v>
      </c>
      <c r="D487" s="66" t="s">
        <v>11109</v>
      </c>
    </row>
    <row r="488" ht="15.75" customHeight="1">
      <c r="A488" s="66">
        <f>'Main dataset (DEPRECATED)'!Q489</f>
        <v>6400545</v>
      </c>
      <c r="B488" s="66" t="str">
        <f>IFERROR(__xludf.DUMMYFUNCTION("SPLIT('Main dataset (DEPRECATED2)'!N489,"";"")"),"#VALUE!")</f>
        <v>#VALUE!</v>
      </c>
      <c r="C488" s="66" t="s">
        <v>7353</v>
      </c>
    </row>
    <row r="489" ht="15.75" customHeight="1">
      <c r="A489" s="66">
        <f>'Main dataset (DEPRECATED)'!Q490</f>
        <v>6400539</v>
      </c>
      <c r="B489" s="66" t="str">
        <f>IFERROR(__xludf.DUMMYFUNCTION("SPLIT('Main dataset (DEPRECATED2)'!N490,"";"")"),"The Ohio State University##The Ohio State University")</f>
        <v>The Ohio State University##The Ohio State University</v>
      </c>
      <c r="C489" s="66" t="s">
        <v>11079</v>
      </c>
      <c r="D489" s="66" t="s">
        <v>8609</v>
      </c>
      <c r="E489" s="66" t="s">
        <v>8748</v>
      </c>
    </row>
    <row r="490" ht="15.75" customHeight="1">
      <c r="A490" s="66">
        <f>'Main dataset (DEPRECATED)'!Q491</f>
        <v>6400552</v>
      </c>
      <c r="B490" s="66" t="str">
        <f>IFERROR(__xludf.DUMMYFUNCTION("SPLIT('Main dataset (DEPRECATED2)'!N491,"";"")"),"Arizona State University Tempe##Arizona State University Tempe")</f>
        <v>Arizona State University Tempe##Arizona State University Tempe</v>
      </c>
      <c r="C490" s="66" t="s">
        <v>9154</v>
      </c>
      <c r="D490" s="66" t="s">
        <v>11350</v>
      </c>
    </row>
    <row r="491" ht="15.75" customHeight="1">
      <c r="A491" s="66">
        <f>'Main dataset (DEPRECATED)'!Q492</f>
        <v>6327217</v>
      </c>
      <c r="B491" s="66" t="str">
        <f>IFERROR(__xludf.DUMMYFUNCTION("SPLIT('Main dataset (DEPRECATED2)'!N492,"";"")"),"Arizona State University Tempe##Arizona State University Tempe")</f>
        <v>Arizona State University Tempe##Arizona State University Tempe</v>
      </c>
      <c r="C491" s="66" t="s">
        <v>7752</v>
      </c>
      <c r="D491" s="66" t="s">
        <v>11813</v>
      </c>
      <c r="E491" s="66" t="s">
        <v>10888</v>
      </c>
      <c r="F491" s="66" t="s">
        <v>9529</v>
      </c>
    </row>
    <row r="492" ht="15.75" customHeight="1">
      <c r="A492" s="66">
        <f>'Main dataset (DEPRECATED)'!Q493</f>
        <v>6327212</v>
      </c>
      <c r="B492" s="66" t="str">
        <f>IFERROR(__xludf.DUMMYFUNCTION("SPLIT('Main dataset (DEPRECATED2)'!N493,"";"")"),"MRJ/NASA Ames Research Center MRJ/NASA Ames Research Center Microcomputer Research Labs##MRJ/NASA Ames Research Center MRJ/NASA Ames Research Center Microcomputer Research Labs")</f>
        <v>MRJ/NASA Ames Research Center MRJ/NASA Ames Research Center Microcomputer Research Labs##MRJ/NASA Ames Research Center MRJ/NASA Ames Research Center Microcomputer Research Labs</v>
      </c>
      <c r="C492" s="66" t="s">
        <v>8001</v>
      </c>
      <c r="D492" s="66" t="s">
        <v>6150</v>
      </c>
    </row>
    <row r="493" ht="15.75" customHeight="1">
      <c r="A493" s="66">
        <f>'Main dataset (DEPRECATED)'!Q494</f>
        <v>6327231</v>
      </c>
      <c r="B493" s="66" t="str">
        <f>IFERROR(__xludf.DUMMYFUNCTION("SPLIT('Main dataset (DEPRECATED2)'!N494,"";"")"),"Ochanomizu University##Ochanomizu University##Sony Corporation")</f>
        <v>Ochanomizu University##Ochanomizu University##Sony Corporation</v>
      </c>
      <c r="C493" s="66" t="s">
        <v>11114</v>
      </c>
      <c r="D493" s="66" t="s">
        <v>9997</v>
      </c>
      <c r="E493" s="66" t="s">
        <v>11254</v>
      </c>
    </row>
    <row r="494" ht="15.75" customHeight="1">
      <c r="A494" s="66">
        <f>'Main dataset (DEPRECATED)'!Q495</f>
        <v>6327226</v>
      </c>
      <c r="B494" s="66" t="str">
        <f>IFERROR(__xludf.DUMMYFUNCTION("SPLIT('Main dataset (DEPRECATED2)'!N495,"";"")"),"University of Leeds##University of Leeds##University of Leeds")</f>
        <v>University of Leeds##University of Leeds##University of Leeds</v>
      </c>
      <c r="C494" s="66" t="s">
        <v>10443</v>
      </c>
      <c r="D494" s="66" t="s">
        <v>8761</v>
      </c>
      <c r="E494" s="66" t="s">
        <v>7308</v>
      </c>
    </row>
    <row r="495" ht="15.75" customHeight="1">
      <c r="A495" s="66">
        <f>'Main dataset (DEPRECATED)'!Q496</f>
        <v>6327234</v>
      </c>
      <c r="B495" s="66" t="str">
        <f>IFERROR(__xludf.DUMMYFUNCTION("SPLIT('Main dataset (DEPRECATED2)'!N496,"";"")"),"University of California San Diego##University of California")</f>
        <v>University of California San Diego##University of California</v>
      </c>
      <c r="C495" s="66" t="s">
        <v>4987</v>
      </c>
    </row>
    <row r="496" ht="15.75" customHeight="1">
      <c r="A496" s="66">
        <f>'Main dataset (DEPRECATED)'!Q497</f>
        <v>6327219</v>
      </c>
      <c r="B496" s="66" t="str">
        <f>IFERROR(__xludf.DUMMYFUNCTION("SPLIT('Main dataset (DEPRECATED2)'!N497,"";"")"),"University of Southern California##University of Southern California##University of Southern California")</f>
        <v>University of Southern California##University of Southern California##University of Southern California</v>
      </c>
      <c r="C496" s="66" t="s">
        <v>10399</v>
      </c>
    </row>
    <row r="497" ht="15.75" customHeight="1">
      <c r="A497" s="66">
        <f>'Main dataset (DEPRECATED)'!Q498</f>
        <v>6327208</v>
      </c>
      <c r="B497" s="66" t="str">
        <f>IFERROR(__xludf.DUMMYFUNCTION("SPLIT('Main dataset (DEPRECATED2)'!N498,"";"")"),"Mellon University##Carnegie Mellon University")</f>
        <v>Mellon University##Carnegie Mellon University</v>
      </c>
      <c r="C497" s="66" t="s">
        <v>9509</v>
      </c>
      <c r="D497" s="66" t="s">
        <v>11355</v>
      </c>
      <c r="E497" s="66" t="s">
        <v>6492</v>
      </c>
      <c r="F497" s="66" t="s">
        <v>10510</v>
      </c>
      <c r="G497" s="66" t="s">
        <v>6476</v>
      </c>
    </row>
    <row r="498" ht="15.75" customHeight="1">
      <c r="A498" s="66">
        <f>'Main dataset (DEPRECATED)'!Q499</f>
        <v>6327222</v>
      </c>
      <c r="B498" s="66" t="str">
        <f>IFERROR(__xludf.DUMMYFUNCTION("SPLIT('Main dataset (DEPRECATED2)'!N499,"";"")"),"Institute for Computer Applications in Science and Engineering (ICASE) NASA Langley Research Center##Institute for Computer Applications in Science and Engineering (ICASE) NASA Langley Research Center")</f>
        <v>Institute for Computer Applications in Science and Engineering (ICASE) NASA Langley Research Center##Institute for Computer Applications in Science and Engineering (ICASE) NASA Langley Research Center</v>
      </c>
      <c r="C498" s="66" t="s">
        <v>8986</v>
      </c>
      <c r="D498" s="66" t="s">
        <v>11195</v>
      </c>
      <c r="E498" s="66" t="s">
        <v>8423</v>
      </c>
      <c r="F498" s="66" t="s">
        <v>6480</v>
      </c>
      <c r="G498" s="66" t="s">
        <v>11250</v>
      </c>
      <c r="H498" s="66" t="s">
        <v>11014</v>
      </c>
      <c r="I498" s="66" t="s">
        <v>9984</v>
      </c>
    </row>
    <row r="499" ht="15.75" customHeight="1">
      <c r="A499" s="66">
        <f>'Main dataset (DEPRECATED)'!Q500</f>
        <v>6327239</v>
      </c>
      <c r="B499" s="66" t="str">
        <f>IFERROR(__xludf.DUMMYFUNCTION("SPLIT('Main dataset (DEPRECATED2)'!N500,"";"")"),"State University of New York at Stony Brook##State University of New York at Stony Brook")</f>
        <v>State University of New York at Stony Brook##State University of New York at Stony Brook</v>
      </c>
      <c r="C499" s="66" t="s">
        <v>9070</v>
      </c>
      <c r="D499" s="66" t="s">
        <v>9005</v>
      </c>
      <c r="E499" s="66" t="s">
        <v>9873</v>
      </c>
      <c r="F499" s="66" t="s">
        <v>6570</v>
      </c>
    </row>
    <row r="500" ht="15.75" customHeight="1">
      <c r="A500" s="66">
        <f>'Main dataset (DEPRECATED)'!Q501</f>
        <v>6327236</v>
      </c>
      <c r="B500" s="66" t="str">
        <f>IFERROR(__xludf.DUMMYFUNCTION("SPLIT('Main dataset (DEPRECATED2)'!N501,"";"")"),"Nat. Center for Supercomput. Applications, Champaign, IL, USA|c|")</f>
        <v>Nat. Center for Supercomput. Applications, Champaign, IL, USA|c|</v>
      </c>
      <c r="C500" s="66" t="s">
        <v>10881</v>
      </c>
      <c r="D500" s="66" t="s">
        <v>6505</v>
      </c>
      <c r="E500" s="66" t="s">
        <v>11565</v>
      </c>
      <c r="F500" s="66" t="s">
        <v>10219</v>
      </c>
    </row>
    <row r="501" ht="15.75" customHeight="1">
      <c r="A501" s="66">
        <f>'Main dataset (DEPRECATED)'!Q502</f>
        <v>6327205</v>
      </c>
      <c r="B501" s="66" t="str">
        <f>IFERROR(__xludf.DUMMYFUNCTION("SPLIT('Main dataset (DEPRECATED2)'!N502,"";"")"),"Vienna University of Technology##Vienna University of Technology")</f>
        <v>Vienna University of Technology##Vienna University of Technology</v>
      </c>
      <c r="C501" s="66" t="s">
        <v>6645</v>
      </c>
      <c r="D501" s="66" t="s">
        <v>9807</v>
      </c>
    </row>
    <row r="502" ht="15.75" customHeight="1">
      <c r="A502" s="66">
        <f>'Main dataset (DEPRECATED)'!Q503</f>
        <v>6327211</v>
      </c>
      <c r="B502" s="66" t="str">
        <f>IFERROR(__xludf.DUMMYFUNCTION("SPLIT('Main dataset (DEPRECATED2)'!N503,"";"")"),"MRJ Technology Solutions NASA Ames Research Center NASA Ames Research Center##MRJ Technology Solutions NASA Ames Research Center NASA Ames Research Center")</f>
        <v>MRJ Technology Solutions NASA Ames Research Center NASA Ames Research Center##MRJ Technology Solutions NASA Ames Research Center NASA Ames Research Center</v>
      </c>
      <c r="C502" s="66" t="s">
        <v>8989</v>
      </c>
      <c r="D502" s="66" t="s">
        <v>8645</v>
      </c>
    </row>
    <row r="503" ht="15.75" customHeight="1">
      <c r="A503" s="66">
        <f>'Main dataset (DEPRECATED)'!Q504</f>
        <v>6327220</v>
      </c>
      <c r="B503" s="66" t="str">
        <f>IFERROR(__xludf.DUMMYFUNCTION("SPLIT('Main dataset (DEPRECATED2)'!N504,"";"")"),"Lab., Calais, France|c|")</f>
        <v>Lab., Calais, France|c|</v>
      </c>
      <c r="C503" s="66" t="s">
        <v>8560</v>
      </c>
    </row>
    <row r="504" ht="15.75" customHeight="1">
      <c r="A504" s="66">
        <f>'Main dataset (DEPRECATED)'!Q505</f>
        <v>6327218</v>
      </c>
      <c r="B504" s="66" t="str">
        <f>IFERROR(__xludf.DUMMYFUNCTION("SPLIT('Main dataset (DEPRECATED2)'!N505,"";"")"),"Center for Visual Comput., State Univ. of New York, Stony Brook, NY, USA|c|")</f>
        <v>Center for Visual Comput., State Univ. of New York, Stony Brook, NY, USA|c|</v>
      </c>
      <c r="C504" s="66" t="s">
        <v>8010</v>
      </c>
      <c r="D504" s="66" t="s">
        <v>6286</v>
      </c>
      <c r="E504" s="66" t="s">
        <v>8908</v>
      </c>
    </row>
    <row r="505" ht="15.75" customHeight="1">
      <c r="A505" s="66">
        <f>'Main dataset (DEPRECATED)'!Q506</f>
        <v>6327229</v>
      </c>
      <c r="B505" s="66" t="str">
        <f>IFERROR(__xludf.DUMMYFUNCTION("SPLIT('Main dataset (DEPRECATED2)'!N506,"";"")"),"Dept. of Comput. Sci., Eidgenossische Tech. Hochschule, Zurich, Switzerland|c|")</f>
        <v>Dept. of Comput. Sci., Eidgenossische Tech. Hochschule, Zurich, Switzerland|c|</v>
      </c>
      <c r="C505" s="66" t="s">
        <v>7372</v>
      </c>
      <c r="D505" s="66" t="s">
        <v>8372</v>
      </c>
      <c r="E505" s="66" t="s">
        <v>8373</v>
      </c>
    </row>
    <row r="506" ht="15.75" customHeight="1">
      <c r="A506" s="66">
        <f>'Main dataset (DEPRECATED)'!Q507</f>
        <v>6327237</v>
      </c>
      <c r="B506" s="66" t="str">
        <f>IFERROR(__xludf.DUMMYFUNCTION("SPLIT('Main dataset (DEPRECATED2)'!N507,"";"")"),"Massachusetts Institute of Technology")</f>
        <v>Massachusetts Institute of Technology</v>
      </c>
      <c r="C506" s="66" t="s">
        <v>9092</v>
      </c>
      <c r="D506" s="66" t="s">
        <v>8737</v>
      </c>
      <c r="E506" s="66" t="s">
        <v>8009</v>
      </c>
    </row>
    <row r="507" ht="15.75" customHeight="1">
      <c r="A507" s="66">
        <f>'Main dataset (DEPRECATED)'!Q508</f>
        <v>6327214</v>
      </c>
      <c r="B507" s="66" t="str">
        <f>IFERROR(__xludf.DUMMYFUNCTION("SPLIT('Main dataset (DEPRECATED2)'!N508,"";"")"),"University of North Carolina at Chapel Hill##University of North Carolina at Chapel Hill")</f>
        <v>University of North Carolina at Chapel Hill##University of North Carolina at Chapel Hill</v>
      </c>
      <c r="C507" s="66" t="s">
        <v>8895</v>
      </c>
      <c r="D507" s="66" t="s">
        <v>8214</v>
      </c>
      <c r="E507" s="66" t="s">
        <v>8118</v>
      </c>
      <c r="F507" s="66" t="s">
        <v>11396</v>
      </c>
    </row>
    <row r="508" ht="15.75" customHeight="1">
      <c r="A508" s="66">
        <f>'Main dataset (DEPRECATED)'!Q509</f>
        <v>6327216</v>
      </c>
      <c r="B508" s="66" t="str">
        <f>IFERROR(__xludf.DUMMYFUNCTION("SPLIT('Main dataset (DEPRECATED2)'!N509,"";"")"),"Johns Hopkins University##Johns Hopkins University")</f>
        <v>Johns Hopkins University##Johns Hopkins University</v>
      </c>
      <c r="C508" s="66" t="s">
        <v>7179</v>
      </c>
      <c r="D508" s="66" t="s">
        <v>11826</v>
      </c>
    </row>
    <row r="509" ht="15.75" customHeight="1">
      <c r="A509" s="66">
        <f>'Main dataset (DEPRECATED)'!Q510</f>
        <v>6327238</v>
      </c>
      <c r="B509" s="66" t="str">
        <f>IFERROR(__xludf.DUMMYFUNCTION("SPLIT('Main dataset (DEPRECATED2)'!N510,"";"")"),"University of Florida Gainesville##University of Florida Gainesville##University of Florida Gainesville")</f>
        <v>University of Florida Gainesville##University of Florida Gainesville##University of Florida Gainesville</v>
      </c>
      <c r="C509" s="66" t="s">
        <v>4987</v>
      </c>
    </row>
    <row r="510" ht="15.75" customHeight="1">
      <c r="A510" s="66">
        <f>'Main dataset (DEPRECATED)'!Q511</f>
        <v>6327204</v>
      </c>
      <c r="B510" s="66" t="str">
        <f>IFERROR(__xludf.DUMMYFUNCTION("SPLIT('Main dataset (DEPRECATED2)'!N511,"";"")"),"University of California##University of California##University of California##University of California##University of California")</f>
        <v>University of California##University of California##University of California##University of California##University of California</v>
      </c>
      <c r="C510" s="66" t="s">
        <v>9807</v>
      </c>
    </row>
    <row r="511" ht="15.75" customHeight="1">
      <c r="A511" s="66">
        <f>'Main dataset (DEPRECATED)'!Q512</f>
        <v>6327240</v>
      </c>
      <c r="B511" s="66" t="str">
        <f>IFERROR(__xludf.DUMMYFUNCTION("SPLIT('Main dataset (DEPRECATED2)'!N512,"";"")"),"UniversitÃ¤t Erlangen-NÃ¼rnberg##UniversitÃ¤t Erlangen-NÃ¼rnberg##UniversitÃ¤t Erlangen-NÃ¼rnberg")</f>
        <v>UniversitÃ¤t Erlangen-NÃ¼rnberg##UniversitÃ¤t Erlangen-NÃ¼rnberg##UniversitÃ¤t Erlangen-NÃ¼rnberg</v>
      </c>
      <c r="C511" s="66" t="s">
        <v>11213</v>
      </c>
      <c r="D511" s="66" t="s">
        <v>8415</v>
      </c>
    </row>
    <row r="512" ht="15.75" customHeight="1">
      <c r="A512" s="66">
        <f>'Main dataset (DEPRECATED)'!Q513</f>
        <v>6327241</v>
      </c>
      <c r="B512" s="66" t="str">
        <f>IFERROR(__xludf.DUMMYFUNCTION("SPLIT('Main dataset (DEPRECATED2)'!N513,"";"")"),"University of North Carolina at Chapel Hill##University of North Carolina at Chapel Hill##University of North Carolina at Chapel Hill")</f>
        <v>University of North Carolina at Chapel Hill##University of North Carolina at Chapel Hill##University of North Carolina at Chapel Hill</v>
      </c>
      <c r="C512" s="66" t="s">
        <v>8862</v>
      </c>
      <c r="D512" s="66" t="s">
        <v>10219</v>
      </c>
      <c r="E512" s="66" t="s">
        <v>11694</v>
      </c>
    </row>
    <row r="513" ht="15.75" customHeight="1">
      <c r="A513" s="66">
        <f>'Main dataset (DEPRECATED)'!Q514</f>
        <v>6327215</v>
      </c>
      <c r="B513" s="66" t="str">
        <f>IFERROR(__xludf.DUMMYFUNCTION("SPLIT('Main dataset (DEPRECATED2)'!N514,"";"")"),"State University of New York at Stony Brook##State University of New York at Stony Brook")</f>
        <v>State University of New York at Stony Brook##State University of New York at Stony Brook</v>
      </c>
      <c r="C513" s="66" t="s">
        <v>11837</v>
      </c>
      <c r="D513" s="66" t="s">
        <v>9529</v>
      </c>
    </row>
    <row r="514" ht="15.75" customHeight="1">
      <c r="A514" s="66">
        <f>'Main dataset (DEPRECATED)'!Q515</f>
        <v>6327225</v>
      </c>
      <c r="B514" s="66" t="str">
        <f>IFERROR(__xludf.DUMMYFUNCTION("SPLIT('Main dataset (DEPRECATED2)'!N515,"";"")"),"MRJ Technology Solutions Inc. Massachusetts Institute of Technology##MRJ Technology Solutions Inc. Massachusetts Institute of Technology")</f>
        <v>MRJ Technology Solutions Inc. Massachusetts Institute of Technology##MRJ Technology Solutions Inc. Massachusetts Institute of Technology</v>
      </c>
      <c r="C514" s="66" t="s">
        <v>6996</v>
      </c>
      <c r="D514" s="66" t="s">
        <v>6458</v>
      </c>
      <c r="E514" s="66" t="s">
        <v>7043</v>
      </c>
      <c r="F514" s="66" t="s">
        <v>7970</v>
      </c>
      <c r="G514" s="66" t="s">
        <v>8023</v>
      </c>
      <c r="H514" s="66" t="s">
        <v>7726</v>
      </c>
      <c r="I514" s="66" t="s">
        <v>7996</v>
      </c>
    </row>
    <row r="515" ht="15.75" customHeight="1">
      <c r="A515" s="66">
        <f>'Main dataset (DEPRECATED)'!Q516</f>
        <v>6327233</v>
      </c>
      <c r="B515" s="66" t="str">
        <f>IFERROR(__xludf.DUMMYFUNCTION("SPLIT('Main dataset (DEPRECATED2)'!N516,"";"")"),"MRJ Technology Solutions y")</f>
        <v>MRJ Technology Solutions y</v>
      </c>
      <c r="C515" s="66" t="s">
        <v>6483</v>
      </c>
      <c r="D515" s="66" t="s">
        <v>11522</v>
      </c>
      <c r="E515" s="66" t="s">
        <v>9891</v>
      </c>
    </row>
    <row r="516" ht="15.75" customHeight="1">
      <c r="A516" s="66">
        <f>'Main dataset (DEPRECATED)'!Q517</f>
        <v>6327209</v>
      </c>
      <c r="B516" s="66" t="str">
        <f>IFERROR(__xludf.DUMMYFUNCTION("SPLIT('Main dataset (DEPRECATED2)'!N517,"";"")"),"Old Dominion University##Old Dominion University")</f>
        <v>Old Dominion University##Old Dominion University</v>
      </c>
      <c r="C516" s="66" t="s">
        <v>8473</v>
      </c>
      <c r="D516" s="66" t="s">
        <v>9060</v>
      </c>
      <c r="E516" s="66" t="s">
        <v>11691</v>
      </c>
    </row>
    <row r="517" ht="15.75" customHeight="1">
      <c r="A517" s="66">
        <f>'Main dataset (DEPRECATED)'!Q518</f>
        <v>6327221</v>
      </c>
      <c r="B517" s="66" t="str">
        <f>IFERROR(__xludf.DUMMYFUNCTION("SPLIT('Main dataset (DEPRECATED2)'!N518,"";"")"),"ABB Corp. Research Ltd")</f>
        <v>ABB Corp. Research Ltd</v>
      </c>
      <c r="C517" s="66" t="s">
        <v>7627</v>
      </c>
      <c r="D517" s="66" t="s">
        <v>6364</v>
      </c>
      <c r="E517" s="66" t="s">
        <v>11340</v>
      </c>
      <c r="F517" s="66" t="s">
        <v>9937</v>
      </c>
      <c r="G517" s="66" t="s">
        <v>6784</v>
      </c>
      <c r="H517" s="66" t="s">
        <v>9269</v>
      </c>
      <c r="I517" s="66" t="s">
        <v>9842</v>
      </c>
    </row>
    <row r="518" ht="15.75" customHeight="1">
      <c r="A518" s="66">
        <f>'Main dataset (DEPRECATED)'!Q519</f>
        <v>6327243</v>
      </c>
      <c r="B518" s="66" t="str">
        <f>IFERROR(__xludf.DUMMYFUNCTION("SPLIT('Main dataset (DEPRECATED2)'!N519,"";"")"),"University of New Hampshire")</f>
        <v>University of New Hampshire</v>
      </c>
      <c r="C518" s="66" t="s">
        <v>9226</v>
      </c>
      <c r="D518" s="66" t="s">
        <v>8997</v>
      </c>
    </row>
    <row r="519" ht="15.75" customHeight="1">
      <c r="A519" s="66">
        <f>'Main dataset (DEPRECATED)'!Q520</f>
        <v>6327235</v>
      </c>
      <c r="B519" s="66" t="str">
        <f>IFERROR(__xludf.DUMMYFUNCTION("SPLIT('Main dataset (DEPRECATED2)'!N520,"";"")"),"Radiology State University of New York at Stony Brook Stony Brook##Radiology State University of New York at Stony Brook Stony Brook##Radiology State University of New York at Stony Brook Stony Brook##Radiology State University of New York at Stony Brook "&amp;"Stony Brook##Radiology State University of New York at Stony Brook Stony Brook##Radiology State University of New York at Stony Brook Stony Brook##Radiology State University of New York at Stony Brook Stony Brook##Radiology State University of New York at"&amp;" Stony Brook Stony Brook##Radiology State University of New York at Stony Brook Stony Brook")</f>
        <v>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v>
      </c>
      <c r="C519" s="66" t="s">
        <v>8830</v>
      </c>
      <c r="D519" s="66" t="s">
        <v>10399</v>
      </c>
    </row>
    <row r="520" ht="15.75" customHeight="1">
      <c r="A520" s="66">
        <f>'Main dataset (DEPRECATED)'!Q521</f>
        <v>6327227</v>
      </c>
      <c r="B520" s="66" t="str">
        <f>IFERROR(__xludf.DUMMYFUNCTION("SPLIT('Main dataset (DEPRECATED2)'!N521,"";"")"),"University of Massachusetts Lowell Lowell##University of Massachusetts Lowell Lowell##University of Massachusetts Lowell Lowell##Boston University Boston##Boston University Boston")</f>
        <v>University of Massachusetts Lowell Lowell##University of Massachusetts Lowell Lowell##University of Massachusetts Lowell Lowell##Boston University Boston##Boston University Boston</v>
      </c>
      <c r="C520" s="66" t="s">
        <v>7609</v>
      </c>
      <c r="D520" s="66" t="s">
        <v>7913</v>
      </c>
      <c r="E520" s="66" t="s">
        <v>7273</v>
      </c>
      <c r="F520" s="66" t="s">
        <v>8123</v>
      </c>
      <c r="G520" s="66" t="s">
        <v>7985</v>
      </c>
    </row>
    <row r="521" ht="15.75" customHeight="1">
      <c r="A521" s="66">
        <f>'Main dataset (DEPRECATED)'!Q522</f>
        <v>6327230</v>
      </c>
      <c r="B521" s="66" t="str">
        <f>IFERROR(__xludf.DUMMYFUNCTION("SPLIT('Main dataset (DEPRECATED2)'!N522,"";"")"),"Polytechnical University of Catalonia##Polytechnical University of Catalonia##Polytechnical University of Catalonia")</f>
        <v>Polytechnical University of Catalonia##Polytechnical University of Catalonia##Polytechnical University of Catalonia</v>
      </c>
      <c r="C521" s="66" t="s">
        <v>11340</v>
      </c>
      <c r="D521" s="66" t="s">
        <v>7954</v>
      </c>
      <c r="E521" s="66" t="s">
        <v>10319</v>
      </c>
      <c r="F521" s="66" t="s">
        <v>7887</v>
      </c>
    </row>
    <row r="522" ht="15.75" customHeight="1">
      <c r="A522" s="66">
        <f>'Main dataset (DEPRECATED)'!Q523</f>
        <v>6327242</v>
      </c>
      <c r="B522" s="66" t="str">
        <f>IFERROR(__xludf.DUMMYFUNCTION("SPLIT('Main dataset (DEPRECATED2)'!N523,"";"")"),"NSF Eng. Res. Center, Mississippi State Univ., MS, USA|c|")</f>
        <v>NSF Eng. Res. Center, Mississippi State Univ., MS, USA|c|</v>
      </c>
      <c r="C522" s="66" t="s">
        <v>8003</v>
      </c>
      <c r="D522" s="66" t="s">
        <v>7503</v>
      </c>
      <c r="E522" s="66" t="s">
        <v>6842</v>
      </c>
      <c r="F522" s="66" t="s">
        <v>6947</v>
      </c>
      <c r="G522" s="66" t="s">
        <v>8321</v>
      </c>
    </row>
    <row r="523" ht="15.75" customHeight="1">
      <c r="A523" s="66">
        <f>'Main dataset (DEPRECATED)'!Q524</f>
        <v>6327244</v>
      </c>
      <c r="B523" s="66" t="str">
        <f>IFERROR(__xludf.DUMMYFUNCTION("SPLIT('Main dataset (DEPRECATED2)'!N524,"";"")"),"Adv. Comput. Lab., Los Alamos Nat. Lab., NM, USA|c|")</f>
        <v>Adv. Comput. Lab., Los Alamos Nat. Lab., NM, USA|c|</v>
      </c>
      <c r="C523" s="66" t="s">
        <v>10306</v>
      </c>
      <c r="D523" s="66" t="s">
        <v>11095</v>
      </c>
    </row>
    <row r="524" ht="15.75" customHeight="1">
      <c r="A524" s="66">
        <f>'Main dataset (DEPRECATED)'!Q525</f>
        <v>6327475</v>
      </c>
      <c r="B524" s="66" t="str">
        <f>IFERROR(__xludf.DUMMYFUNCTION("SPLIT('Main dataset (DEPRECATED2)'!N525,"";"")"),"The Weizmann Institute of Science Technion â€“ Israel Institute of Technology Rehovot")</f>
        <v>The Weizmann Institute of Science Technion â€“ Israel Institute of Technology Rehovot</v>
      </c>
      <c r="C524" s="66" t="s">
        <v>6718</v>
      </c>
      <c r="D524" s="66" t="s">
        <v>10104</v>
      </c>
      <c r="E524" s="66" t="s">
        <v>9358</v>
      </c>
      <c r="F524" s="66" t="s">
        <v>10923</v>
      </c>
      <c r="G524" s="66" t="s">
        <v>11431</v>
      </c>
    </row>
    <row r="525" ht="15.75" customHeight="1">
      <c r="A525" s="66">
        <f>'Main dataset (DEPRECATED)'!Q526</f>
        <v>6327213</v>
      </c>
      <c r="B525" s="66" t="str">
        <f>IFERROR(__xludf.DUMMYFUNCTION("SPLIT('Main dataset (DEPRECATED2)'!N526,"";"")"),"Vienna University of Technology##Vienna University of Technology##Vienna University of Technology")</f>
        <v>Vienna University of Technology##Vienna University of Technology##Vienna University of Technology</v>
      </c>
      <c r="C525" s="66" t="s">
        <v>6476</v>
      </c>
      <c r="D525" s="66" t="s">
        <v>8258</v>
      </c>
      <c r="E525" s="66" t="s">
        <v>8295</v>
      </c>
      <c r="F525" s="66" t="s">
        <v>8854</v>
      </c>
      <c r="G525" s="66" t="s">
        <v>10210</v>
      </c>
      <c r="H525" s="66" t="s">
        <v>8653</v>
      </c>
      <c r="I525" s="66" t="s">
        <v>9476</v>
      </c>
      <c r="J525" s="66" t="s">
        <v>10840</v>
      </c>
      <c r="K525" s="66" t="s">
        <v>9494</v>
      </c>
      <c r="L525" s="66" t="s">
        <v>10978</v>
      </c>
      <c r="M525" s="66" t="s">
        <v>11066</v>
      </c>
      <c r="N525" s="66" t="s">
        <v>8535</v>
      </c>
      <c r="O525" s="66" t="s">
        <v>7829</v>
      </c>
    </row>
    <row r="526" ht="15.75" customHeight="1">
      <c r="A526" s="66">
        <f>'Main dataset (DEPRECATED)'!Q527</f>
        <v>6327232</v>
      </c>
      <c r="B526" s="66" t="str">
        <f>IFERROR(__xludf.DUMMYFUNCTION("SPLIT('Main dataset (DEPRECATED2)'!N527,"";"")"),"IBM Thomas J. Watson Research Center##IBM Thomas J. Watson Research Center##IBM Thomas J. Watson Research Center")</f>
        <v>IBM Thomas J. Watson Research Center##IBM Thomas J. Watson Research Center##IBM Thomas J. Watson Research Center</v>
      </c>
      <c r="C526" s="66" t="s">
        <v>7869</v>
      </c>
      <c r="D526" s="66" t="s">
        <v>7698</v>
      </c>
      <c r="E526" s="66" t="s">
        <v>6425</v>
      </c>
      <c r="F526" s="66" t="s">
        <v>11436</v>
      </c>
      <c r="G526" s="66" t="s">
        <v>8023</v>
      </c>
      <c r="H526" s="66" t="s">
        <v>7996</v>
      </c>
    </row>
    <row r="527" ht="15.75" customHeight="1">
      <c r="A527" s="66">
        <f>'Main dataset (DEPRECATED)'!Q528</f>
        <v>6327223</v>
      </c>
      <c r="B527" s="66" t="str">
        <f>IFERROR(__xludf.DUMMYFUNCTION("SPLIT('Main dataset (DEPRECATED2)'!N528,"";"")"),"University of North Carolina##University of North Carolina##University of North Carolina##University of North Carolina##University of North Carolina##University of North Carolina##University of North Carolina##University of North Carolina##University of N"&amp;"orth Carolina##University of North Carolina##University of North Carolina##University of North Carolina##University of North Carolina")</f>
        <v>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Carolina##University of North Carolina</v>
      </c>
      <c r="C527" s="66" t="s">
        <v>6218</v>
      </c>
      <c r="D527" s="66" t="s">
        <v>7963</v>
      </c>
      <c r="E527" s="66" t="s">
        <v>9125</v>
      </c>
      <c r="F527" s="66" t="s">
        <v>11053</v>
      </c>
      <c r="G527" s="66" t="s">
        <v>11396</v>
      </c>
      <c r="H527" s="66" t="s">
        <v>9193</v>
      </c>
    </row>
    <row r="528" ht="15.75" customHeight="1">
      <c r="A528" s="66">
        <f>'Main dataset (DEPRECATED)'!Q529</f>
        <v>6327210</v>
      </c>
      <c r="B528" s="66" t="str">
        <f>IFERROR(__xludf.DUMMYFUNCTION("SPLIT('Main dataset (DEPRECATED2)'!N529,"";"")"),"Defense Group Inc., Salt Lake City, UT, USA|c|")</f>
        <v>Defense Group Inc., Salt Lake City, UT, USA|c|</v>
      </c>
      <c r="C528" s="66" t="s">
        <v>6409</v>
      </c>
      <c r="D528" s="66" t="s">
        <v>9542</v>
      </c>
      <c r="E528" s="66" t="s">
        <v>10107</v>
      </c>
      <c r="F528" s="66" t="s">
        <v>10250</v>
      </c>
      <c r="G528" s="66" t="s">
        <v>11089</v>
      </c>
      <c r="H528" s="66" t="s">
        <v>7432</v>
      </c>
    </row>
    <row r="529" ht="15.75" customHeight="1">
      <c r="A529" s="66">
        <f>'Main dataset (DEPRECATED)'!Q530</f>
        <v>6327224</v>
      </c>
      <c r="B529" s="66" t="str">
        <f>IFERROR(__xludf.DUMMYFUNCTION("SPLIT('Main dataset (DEPRECATED2)'!N530,"";"")"),"The Ohio State University##The Ohio State University")</f>
        <v>The Ohio State University##The Ohio State University</v>
      </c>
      <c r="C529" s="66" t="s">
        <v>9882</v>
      </c>
      <c r="D529" s="66" t="s">
        <v>9694</v>
      </c>
      <c r="E529" s="66" t="s">
        <v>8671</v>
      </c>
      <c r="F529" s="66" t="s">
        <v>8560</v>
      </c>
      <c r="G529" s="66" t="s">
        <v>7996</v>
      </c>
    </row>
    <row r="530" ht="15.75" customHeight="1">
      <c r="A530" s="66">
        <f>'Main dataset (DEPRECATED)'!Q531</f>
        <v>6327206</v>
      </c>
      <c r="B530" s="66" t="str">
        <f>IFERROR(__xludf.DUMMYFUNCTION("SPLIT('Main dataset (DEPRECATED2)'!N531,"";"")"),"University of Mississippi##University of Mississippi##University of Mississippi##University of Mississippi")</f>
        <v>University of Mississippi##University of Mississippi##University of Mississippi##University of Mississippi</v>
      </c>
      <c r="C530" s="66" t="s">
        <v>10317</v>
      </c>
      <c r="D530" s="66" t="s">
        <v>7432</v>
      </c>
    </row>
    <row r="531" ht="15.75" customHeight="1">
      <c r="A531" s="66">
        <f>'Main dataset (DEPRECATED)'!Q532</f>
        <v>6327207</v>
      </c>
      <c r="B531" s="66" t="str">
        <f>IFERROR(__xludf.DUMMYFUNCTION("SPLIT('Main dataset (DEPRECATED2)'!N532,"";"")"),"GE Corporate Research &amp; Development Niskayuna##GE Corporate Research &amp; Development Niskayuna")</f>
        <v>GE Corporate Research &amp; Development Niskayuna##GE Corporate Research &amp; Development Niskayuna</v>
      </c>
      <c r="C531" s="66" t="s">
        <v>6790</v>
      </c>
      <c r="D531" s="66" t="s">
        <v>8778</v>
      </c>
      <c r="E531" s="66" t="s">
        <v>10454</v>
      </c>
      <c r="F531" s="66" t="s">
        <v>8002</v>
      </c>
      <c r="G531" s="66" t="s">
        <v>10768</v>
      </c>
    </row>
    <row r="532" ht="15.75" customHeight="1">
      <c r="A532" s="66">
        <f>'Main dataset (DEPRECATED)'!Q533</f>
        <v>6327228</v>
      </c>
      <c r="B532" s="66" t="str">
        <f>IFERROR(__xludf.DUMMYFUNCTION("SPLIT('Main dataset (DEPRECATED2)'!N533,"";"")"),"Comput. Graphics Group, Erlangen-Nurnberg Univ., Germany|c|")</f>
        <v>Comput. Graphics Group, Erlangen-Nurnberg Univ., Germany|c|</v>
      </c>
      <c r="C532" s="66" t="s">
        <v>11280</v>
      </c>
      <c r="D532" s="66" t="s">
        <v>7563</v>
      </c>
      <c r="E532" s="66" t="s">
        <v>8114</v>
      </c>
    </row>
    <row r="533" ht="15.75" customHeight="1">
      <c r="A533" s="66">
        <f>'Main dataset (DEPRECATED)'!Q534</f>
        <v>6065014</v>
      </c>
      <c r="B533" s="66" t="str">
        <f>IFERROR(__xludf.DUMMYFUNCTION("SPLIT('Main dataset (DEPRECATED2)'!N534,"";"")"),"University of North Carolina at Chapel Hill")</f>
        <v>University of North Carolina at Chapel Hill</v>
      </c>
      <c r="C533" s="66" t="s">
        <v>6484</v>
      </c>
      <c r="D533" s="66" t="s">
        <v>7306</v>
      </c>
      <c r="E533" s="66" t="s">
        <v>7497</v>
      </c>
    </row>
    <row r="534" ht="15.75" customHeight="1">
      <c r="A534" s="66">
        <f>'Main dataset (DEPRECATED)'!Q535</f>
        <v>6064989</v>
      </c>
      <c r="B534" s="66" t="str">
        <f>IFERROR(__xludf.DUMMYFUNCTION("SPLIT('Main dataset (DEPRECATED2)'!N535,"";"")"),"University of New##University of New")</f>
        <v>University of New##University of New</v>
      </c>
      <c r="C534" s="66" t="s">
        <v>8832</v>
      </c>
    </row>
    <row r="535" ht="15.75" customHeight="1">
      <c r="A535" s="66">
        <f>'Main dataset (DEPRECATED)'!Q536</f>
        <v>6065025</v>
      </c>
      <c r="B535" s="66" t="str">
        <f>IFERROR(__xludf.DUMMYFUNCTION("SPLIT('Main dataset (DEPRECATED2)'!N536,"";"")"),"Texas A&amp;M University##Texas A&amp;M University")</f>
        <v>Texas A&amp;M University##Texas A&amp;M University</v>
      </c>
      <c r="C535" s="66" t="s">
        <v>11794</v>
      </c>
      <c r="D535" s="66" t="s">
        <v>8934</v>
      </c>
      <c r="E535" s="66" t="s">
        <v>10178</v>
      </c>
      <c r="F535" s="66" t="s">
        <v>11304</v>
      </c>
    </row>
    <row r="536" ht="15.75" customHeight="1">
      <c r="A536" s="66">
        <f>'Main dataset (DEPRECATED)'!Q537</f>
        <v>6064993</v>
      </c>
      <c r="B536" s="66" t="str">
        <f>IFERROR(__xludf.DUMMYFUNCTION("SPLIT('Main dataset (DEPRECATED2)'!N537,"";"")"),"NASA Ames Research Center|c|")</f>
        <v>NASA Ames Research Center|c|</v>
      </c>
      <c r="C536" s="66" t="s">
        <v>7734</v>
      </c>
      <c r="D536" s="66" t="s">
        <v>8046</v>
      </c>
    </row>
    <row r="537" ht="15.75" customHeight="1">
      <c r="A537" s="66">
        <f>'Main dataset (DEPRECATED)'!Q538</f>
        <v>6064994</v>
      </c>
      <c r="B537" s="66" t="str">
        <f>IFERROR(__xludf.DUMMYFUNCTION("SPLIT('Main dataset (DEPRECATED2)'!N538,"";"")"),"National Institute for Standards and Technology|c|")</f>
        <v>National Institute for Standards and Technology|c|</v>
      </c>
      <c r="C537" s="66" t="s">
        <v>9637</v>
      </c>
    </row>
    <row r="538" ht="15.75" customHeight="1">
      <c r="A538" s="66">
        <f>'Main dataset (DEPRECATED)'!Q539</f>
        <v>6065005</v>
      </c>
      <c r="B538" s="66" t="str">
        <f>IFERROR(__xludf.DUMMYFUNCTION("SPLIT('Main dataset (DEPRECATED2)'!N539,"";"")"),"University of Arizona|c|")</f>
        <v>University of Arizona|c|</v>
      </c>
      <c r="C538" s="66" t="s">
        <v>6309</v>
      </c>
      <c r="D538" s="66" t="s">
        <v>7353</v>
      </c>
      <c r="E538" s="66" t="s">
        <v>10663</v>
      </c>
    </row>
    <row r="539" ht="15.75" customHeight="1">
      <c r="A539" s="66">
        <f>'Main dataset (DEPRECATED)'!Q540</f>
        <v>6064986</v>
      </c>
      <c r="B539" s="66" t="str">
        <f>IFERROR(__xludf.DUMMYFUNCTION("SPLIT('Main dataset (DEPRECATED2)'!N540,"";"")"),"Lancaster University * Box##Lancaster University * Box")</f>
        <v>Lancaster University * Box##Lancaster University * Box</v>
      </c>
      <c r="C539" s="66" t="s">
        <v>6163</v>
      </c>
      <c r="D539" s="66" t="s">
        <v>10527</v>
      </c>
    </row>
    <row r="540" ht="15.75" customHeight="1">
      <c r="A540" s="66">
        <f>'Main dataset (DEPRECATED)'!Q541</f>
        <v>6065004</v>
      </c>
      <c r="B540" s="66" t="str">
        <f>IFERROR(__xludf.DUMMYFUNCTION("SPLIT('Main dataset (DEPRECATED2)'!N541,"";"")"),"Princeton University##Princeton University")</f>
        <v>Princeton University##Princeton University</v>
      </c>
      <c r="C540" s="66" t="s">
        <v>9076</v>
      </c>
      <c r="D540" s="66" t="s">
        <v>7531</v>
      </c>
      <c r="E540" s="66" t="s">
        <v>8669</v>
      </c>
      <c r="F540" s="66" t="s">
        <v>11530</v>
      </c>
      <c r="G540" s="66" t="s">
        <v>7610</v>
      </c>
      <c r="H540" s="66" t="s">
        <v>10621</v>
      </c>
    </row>
    <row r="541" ht="15.75" customHeight="1">
      <c r="A541" s="66">
        <f>'Main dataset (DEPRECATED)'!Q542</f>
        <v>6065027</v>
      </c>
      <c r="B541" s="66" t="str">
        <f>IFERROR(__xludf.DUMMYFUNCTION("SPLIT('Main dataset (DEPRECATED2)'!N542,"";"")"),"Korea University University of California Seoul##Korea University University of California Seoul")</f>
        <v>Korea University University of California Seoul##Korea University University of California Seoul</v>
      </c>
      <c r="C541" s="66" t="s">
        <v>7529</v>
      </c>
      <c r="D541" s="66" t="s">
        <v>8093</v>
      </c>
    </row>
    <row r="542" ht="15.75" customHeight="1">
      <c r="A542" s="66">
        <f>'Main dataset (DEPRECATED)'!Q543</f>
        <v>6065010</v>
      </c>
      <c r="B542" s="66" t="str">
        <f>IFERROR(__xludf.DUMMYFUNCTION("SPLIT('Main dataset (DEPRECATED2)'!N543,"";"")"),"Lucent Technologies (Bell Laboratories)")</f>
        <v>Lucent Technologies (Bell Laboratories)</v>
      </c>
      <c r="C542" s="66" t="s">
        <v>6471</v>
      </c>
      <c r="D542" s="66" t="s">
        <v>8664</v>
      </c>
    </row>
    <row r="543" ht="15.75" customHeight="1">
      <c r="A543" s="66">
        <f>'Main dataset (DEPRECATED)'!Q544</f>
        <v>6065019</v>
      </c>
      <c r="B543" s="66" t="str">
        <f>IFERROR(__xludf.DUMMYFUNCTION("SPLIT('Main dataset (DEPRECATED2)'!N544,"";"")"),"Carnegie Mellon University Pittsburgh")</f>
        <v>Carnegie Mellon University Pittsburgh</v>
      </c>
      <c r="C543" s="66" t="s">
        <v>11466</v>
      </c>
      <c r="D543" s="66" t="s">
        <v>11178</v>
      </c>
      <c r="E543" s="66" t="s">
        <v>6238</v>
      </c>
      <c r="F543" s="66" t="s">
        <v>6239</v>
      </c>
      <c r="G543" s="66" t="s">
        <v>11200</v>
      </c>
    </row>
    <row r="544" ht="15.75" customHeight="1">
      <c r="A544" s="66">
        <f>'Main dataset (DEPRECATED)'!Q545</f>
        <v>6064990</v>
      </c>
      <c r="B544" s="66" t="str">
        <f>IFERROR(__xludf.DUMMYFUNCTION("SPLIT('Main dataset (DEPRECATED2)'!N545,"";"")"),"Los Alamos National Laboratory")</f>
        <v>Los Alamos National Laboratory</v>
      </c>
      <c r="C544" s="66" t="s">
        <v>11301</v>
      </c>
      <c r="D544" s="66" t="s">
        <v>10838</v>
      </c>
      <c r="E544" s="66" t="s">
        <v>9025</v>
      </c>
      <c r="F544" s="66" t="s">
        <v>10411</v>
      </c>
    </row>
    <row r="545" ht="15.75" customHeight="1">
      <c r="A545" s="66">
        <f>'Main dataset (DEPRECATED)'!Q546</f>
        <v>6064996</v>
      </c>
      <c r="B545" s="66" t="str">
        <f>IFERROR(__xludf.DUMMYFUNCTION("SPLIT('Main dataset (DEPRECATED2)'!N546,"";"")"),"University of Munich####Martin-Luther-University Halle-Wittenberg")</f>
        <v>University of Munich####Martin-Luther-University Halle-Wittenberg</v>
      </c>
      <c r="C545" s="66" t="s">
        <v>9702</v>
      </c>
      <c r="D545" s="66" t="s">
        <v>8112</v>
      </c>
    </row>
    <row r="546" ht="15.75" customHeight="1">
      <c r="A546" s="66">
        <f>'Main dataset (DEPRECATED)'!Q547</f>
        <v>6064991</v>
      </c>
      <c r="B546" s="66" t="str">
        <f>IFERROR(__xludf.DUMMYFUNCTION("SPLIT('Main dataset (DEPRECATED2)'!N547,"";"")"),"University of Minnesota##University of Minnesota")</f>
        <v>University of Minnesota##University of Minnesota</v>
      </c>
      <c r="C546" s="66" t="s">
        <v>10147</v>
      </c>
      <c r="D546" s="66" t="s">
        <v>10064</v>
      </c>
      <c r="E546" s="66" t="s">
        <v>7103</v>
      </c>
    </row>
    <row r="547" ht="15.75" customHeight="1">
      <c r="A547" s="66">
        <f>'Main dataset (DEPRECATED)'!Q548</f>
        <v>6064992</v>
      </c>
      <c r="B547" s="66" t="str">
        <f>IFERROR(__xludf.DUMMYFUNCTION("SPLIT('Main dataset (DEPRECATED2)'!N548,"";"")"),"The Weizmann Inst. of Science The Weizmann Inst. of Science Technion â€“ Israel Institute of Technology##The Weizmann Inst. of Science The Weizmann Inst. of Science Technion â€“ Israel Institute of Technology##The Weizmann Inst. of Science The Weizmann In"&amp;"st. of Science Technion â€“ Israel Institute of Technology##The Weizmann Inst. of Science The Weizmann Inst. of Science Technion â€“ Israel Institute of Technology")</f>
        <v>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Technology##The Weizmann Inst. of Science The Weizmann Inst. of Science Technion â€“ Israel Institute of Technology</v>
      </c>
      <c r="C547" s="66" t="s">
        <v>11345</v>
      </c>
    </row>
    <row r="548" ht="15.75" customHeight="1">
      <c r="A548" s="66">
        <f>'Main dataset (DEPRECATED)'!Q549</f>
        <v>6065026</v>
      </c>
      <c r="B548" s="66" t="str">
        <f>IFERROR(__xludf.DUMMYFUNCTION("SPLIT('Main dataset (DEPRECATED2)'!N549,"";"")"),"Swiss Federal Institute of Technology (ETH)##Swiss Federal Institute of Technology (ETH)##Swiss Federal Institute of Technology (ETH)##Swiss Federal Institute of Technology (ETH)")</f>
        <v>Swiss Federal Institute of Technology (ETH)##Swiss Federal Institute of Technology (ETH)##Swiss Federal Institute of Technology (ETH)##Swiss Federal Institute of Technology (ETH)</v>
      </c>
      <c r="C548" s="66" t="s">
        <v>7836</v>
      </c>
      <c r="D548" s="66" t="s">
        <v>8498</v>
      </c>
      <c r="E548" s="66" t="s">
        <v>8287</v>
      </c>
    </row>
    <row r="549" ht="15.75" customHeight="1">
      <c r="A549" s="66">
        <f>'Main dataset (DEPRECATED)'!Q550</f>
        <v>6065002</v>
      </c>
      <c r="B549" s="66" t="str">
        <f>IFERROR(__xludf.DUMMYFUNCTION("SPLIT('Main dataset (DEPRECATED2)'!N550,"";"")"),"Penn State University##")</f>
        <v>Penn State University##</v>
      </c>
      <c r="C549" s="66" t="s">
        <v>8131</v>
      </c>
      <c r="D549" s="66" t="s">
        <v>8112</v>
      </c>
    </row>
    <row r="550" ht="15.75" customHeight="1">
      <c r="A550" s="66">
        <f>'Main dataset (DEPRECATED)'!Q551</f>
        <v>6065023</v>
      </c>
      <c r="B550" s="66" t="str">
        <f>IFERROR(__xludf.DUMMYFUNCTION("SPLIT('Main dataset (DEPRECATED2)'!N551,"";"")"),"Carnegie Mellon University Pittsburgh######Carnegie Mellon University Pittsburgh########Carnegie Mellon University Pittsburgh")</f>
        <v>Carnegie Mellon University Pittsburgh######Carnegie Mellon University Pittsburgh########Carnegie Mellon University Pittsburgh</v>
      </c>
      <c r="C550" s="66" t="s">
        <v>10506</v>
      </c>
    </row>
    <row r="551" ht="15.75" customHeight="1">
      <c r="A551" s="66">
        <f>'Main dataset (DEPRECATED)'!Q552</f>
        <v>6065015</v>
      </c>
      <c r="B551" s="66" t="str">
        <f>IFERROR(__xludf.DUMMYFUNCTION("SPLIT('Main dataset (DEPRECATED2)'!N552,"";"")"),"Silicon Graphics Inc")</f>
        <v>Silicon Graphics Inc</v>
      </c>
      <c r="C551" s="66" t="s">
        <v>7663</v>
      </c>
      <c r="D551" s="66" t="s">
        <v>9877</v>
      </c>
      <c r="E551" s="66" t="s">
        <v>9452</v>
      </c>
      <c r="F551" s="66" t="s">
        <v>9354</v>
      </c>
      <c r="G551" s="66" t="s">
        <v>10308</v>
      </c>
      <c r="H551" s="66" t="s">
        <v>7499</v>
      </c>
      <c r="I551" s="66" t="s">
        <v>9891</v>
      </c>
    </row>
    <row r="552" ht="15.75" customHeight="1">
      <c r="A552" s="66">
        <f>'Main dataset (DEPRECATED)'!Q553</f>
        <v>6065011</v>
      </c>
      <c r="B552" s="66" t="str">
        <f>IFERROR(__xludf.DUMMYFUNCTION("SPLIT('Main dataset (DEPRECATED2)'!N553,"";"")"),"UCSC##UCSC##UCSC")</f>
        <v>UCSC##UCSC##UCSC</v>
      </c>
      <c r="C552" s="66" t="s">
        <v>8817</v>
      </c>
      <c r="D552" s="66" t="s">
        <v>8125</v>
      </c>
      <c r="E552" s="66" t="s">
        <v>8212</v>
      </c>
      <c r="F552" s="66" t="s">
        <v>11396</v>
      </c>
    </row>
    <row r="553" ht="15.75" customHeight="1">
      <c r="A553" s="66">
        <f>'Main dataset (DEPRECATED)'!Q554</f>
        <v>6065009</v>
      </c>
      <c r="B553" s="66" t="str">
        <f>IFERROR(__xludf.DUMMYFUNCTION("SPLIT('Main dataset (DEPRECATED2)'!N554,"";"")"),"Sony Computer Science Laboratories Inc")</f>
        <v>Sony Computer Science Laboratories Inc</v>
      </c>
      <c r="C553" s="66" t="s">
        <v>6876</v>
      </c>
      <c r="D553" s="66" t="s">
        <v>9905</v>
      </c>
      <c r="E553" s="66" t="s">
        <v>6331</v>
      </c>
    </row>
    <row r="554" ht="15.75" customHeight="1">
      <c r="A554" s="66">
        <f>'Main dataset (DEPRECATED)'!Q555</f>
        <v>6065016</v>
      </c>
      <c r="B554" s="66" t="str">
        <f>IFERROR(__xludf.DUMMYFUNCTION("SPLIT('Main dataset (DEPRECATED2)'!N555,"";"")"),"The George Washington University##University of Maryland Baltimore County##The George Washington University")</f>
        <v>The George Washington University##University of Maryland Baltimore County##The George Washington University</v>
      </c>
      <c r="C554" s="66" t="s">
        <v>6376</v>
      </c>
    </row>
    <row r="555" ht="15.75" customHeight="1">
      <c r="A555" s="66">
        <f>'Main dataset (DEPRECATED)'!Q556</f>
        <v>6065022</v>
      </c>
      <c r="B555" s="66" t="str">
        <f>IFERROR(__xludf.DUMMYFUNCTION("SPLIT('Main dataset (DEPRECATED2)'!N556,"";"")"),"Indiana University")</f>
        <v>Indiana University</v>
      </c>
      <c r="C555" s="66" t="s">
        <v>7353</v>
      </c>
      <c r="D555" s="66" t="s">
        <v>11531</v>
      </c>
    </row>
    <row r="556" ht="15.75" customHeight="1">
      <c r="A556" s="66">
        <f>'Main dataset (DEPRECATED)'!Q557</f>
        <v>6064997</v>
      </c>
      <c r="B556" s="66" t="str">
        <f>IFERROR(__xludf.DUMMYFUNCTION("SPLIT('Main dataset (DEPRECATED2)'!N557,"";"")"),"Pacific Northwest Lab., Richland, WA, USA|c|")</f>
        <v>Pacific Northwest Lab., Richland, WA, USA|c|</v>
      </c>
      <c r="C556" s="66" t="s">
        <v>11200</v>
      </c>
    </row>
    <row r="557" ht="15.75" customHeight="1">
      <c r="A557" s="66">
        <f>'Main dataset (DEPRECATED)'!Q558</f>
        <v>6065021</v>
      </c>
      <c r="B557" s="66" t="str">
        <f>IFERROR(__xludf.DUMMYFUNCTION("SPLIT('Main dataset (DEPRECATED2)'!N558,"";"")"),"Inst. of Theor. Comput. Sci., Eidgenossische Tech. Hochschule, Zurich, Switzerland|c|")</f>
        <v>Inst. of Theor. Comput. Sci., Eidgenossische Tech. Hochschule, Zurich, Switzerland|c|</v>
      </c>
      <c r="C557" s="66" t="s">
        <v>10729</v>
      </c>
      <c r="D557" s="66" t="s">
        <v>11234</v>
      </c>
    </row>
    <row r="558" ht="15.75" customHeight="1">
      <c r="A558" s="66">
        <f>'Main dataset (DEPRECATED)'!Q559</f>
        <v>6065020</v>
      </c>
      <c r="B558" s="66" t="str">
        <f>IFERROR(__xludf.DUMMYFUNCTION("SPLIT('Main dataset (DEPRECATED2)'!N559,"";"")"),"Hiroshima Institute of Technology##Hiroshima Institute of Technology##Hiroshima Institute of Technology##Hiroshima Institute of Technology")</f>
        <v>Hiroshima Institute of Technology##Hiroshima Institute of Technology##Hiroshima Institute of Technology##Hiroshima Institute of Technology</v>
      </c>
      <c r="C558" s="66" t="s">
        <v>9423</v>
      </c>
    </row>
    <row r="559" ht="15.75" customHeight="1">
      <c r="A559" s="66">
        <f>'Main dataset (DEPRECATED)'!Q560</f>
        <v>6065017</v>
      </c>
      <c r="B559" s="66" t="str">
        <f>IFERROR(__xludf.DUMMYFUNCTION("SPLIT('Main dataset (DEPRECATED2)'!N560,"";"")"),"Microsoft Research")</f>
        <v>Microsoft Research</v>
      </c>
      <c r="C559" s="66" t="s">
        <v>7353</v>
      </c>
    </row>
    <row r="560" ht="15.75" customHeight="1">
      <c r="A560" s="66">
        <f>'Main dataset (DEPRECATED)'!Q561</f>
        <v>6065013</v>
      </c>
      <c r="B560" s="66" t="str">
        <f>IFERROR(__xludf.DUMMYFUNCTION("SPLIT('Main dataset (DEPRECATED2)'!N561,"";"")"),"UniversitÃ di Genova Enrico Puppo Istituto per la Matematica Applicata â€“ Consiglio Nazionale delle Ricerche y##UniversitÃ di Genova Enrico Puppo Istituto per la Matematica Applicata â€“ Consiglio Nazionale delle Ricerche y")</f>
        <v>UniversitÃ di Genova Enrico Puppo Istituto per la Matematica Applicata â€“ Consiglio Nazionale delle Ricerche y##UniversitÃ di Genova Enrico Puppo Istituto per la Matematica Applicata â€“ Consiglio Nazionale delle Ricerche y</v>
      </c>
      <c r="C560" s="66" t="s">
        <v>7557</v>
      </c>
      <c r="D560" s="66" t="s">
        <v>9838</v>
      </c>
      <c r="E560" s="66" t="s">
        <v>11001</v>
      </c>
      <c r="F560" s="66" t="s">
        <v>9425</v>
      </c>
    </row>
    <row r="561" ht="15.75" customHeight="1">
      <c r="A561" s="66">
        <f>'Main dataset (DEPRECATED)'!Q562</f>
        <v>6065000</v>
      </c>
      <c r="B561" s="66" t="str">
        <f>IFERROR(__xludf.DUMMYFUNCTION("SPLIT('Main dataset (DEPRECATED2)'!N562,"";"")"),"TICAM University of Texas##TICAM University of Texas##TICAM University of Texas")</f>
        <v>TICAM University of Texas##TICAM University of Texas##TICAM University of Texas</v>
      </c>
      <c r="C561" s="66" t="s">
        <v>10446</v>
      </c>
      <c r="D561" s="66" t="s">
        <v>10453</v>
      </c>
    </row>
    <row r="562" ht="15.75" customHeight="1">
      <c r="A562" s="66">
        <f>'Main dataset (DEPRECATED)'!Q563</f>
        <v>6065024</v>
      </c>
      <c r="B562" s="66" t="str">
        <f>IFERROR(__xludf.DUMMYFUNCTION("SPLIT('Main dataset (DEPRECATED2)'!N563,"";"")"),"Istituto di Elaborazione dell'Informazione â€“ Consiglio Nazionale delle Ricerche##Istituto di Elaborazione dell'Informazione â€“ Consiglio Nazionale delle Ricerche##Istituto di Elaborazione dell'Informazione â€“ Consiglio Nazionale delle Ricerche##Istitu"&amp;"to di Elaborazione dell'Informazione â€“ Consiglio Nazionale delle Ricerche")</f>
        <v>Istituto di Elaborazione dell'Informazione â€“ Consiglio Nazionale delle Ricerche##Istituto di Elaborazione dell'Informazione â€“ Consiglio Nazionale delle Ricerche##Istituto di Elaborazione dell'Informazione â€“ Consiglio Nazionale delle Ricerche##Istituto di Elaborazione dell'Informazione â€“ Consiglio Nazionale delle Ricerche</v>
      </c>
      <c r="C562" s="66" t="s">
        <v>9823</v>
      </c>
      <c r="D562" s="66" t="s">
        <v>6982</v>
      </c>
      <c r="E562" s="66" t="s">
        <v>7093</v>
      </c>
      <c r="F562" s="66" t="s">
        <v>9663</v>
      </c>
    </row>
    <row r="563" ht="15.75" customHeight="1">
      <c r="A563" s="66">
        <f>'Main dataset (DEPRECATED)'!Q564</f>
        <v>6065028</v>
      </c>
      <c r="B563" s="66" t="str">
        <f>IFERROR(__xludf.DUMMYFUNCTION("SPLIT('Main dataset (DEPRECATED2)'!N564,"";"")"),"Massachusetts Institute of Technology##Massachusetts Institute of Technology")</f>
        <v>Massachusetts Institute of Technology##Massachusetts Institute of Technology</v>
      </c>
      <c r="C563" s="66" t="s">
        <v>11000</v>
      </c>
      <c r="D563" s="66" t="s">
        <v>7431</v>
      </c>
    </row>
    <row r="564" ht="15.75" customHeight="1">
      <c r="A564" s="66">
        <f>'Main dataset (DEPRECATED)'!Q565</f>
        <v>6065001</v>
      </c>
      <c r="B564" s="66" t="str">
        <f>IFERROR(__xludf.DUMMYFUNCTION("SPLIT('Main dataset (DEPRECATED2)'!N565,"";"")"),"LMC -CNRS##LMC -CNRS")</f>
        <v>LMC -CNRS##LMC -CNRS</v>
      </c>
      <c r="C564" s="66" t="s">
        <v>11225</v>
      </c>
      <c r="D564" s="66" t="s">
        <v>6408</v>
      </c>
      <c r="E564" s="66" t="s">
        <v>7241</v>
      </c>
      <c r="F564" s="66" t="s">
        <v>11396</v>
      </c>
    </row>
    <row r="565" ht="15.75" customHeight="1">
      <c r="A565" s="66">
        <f>'Main dataset (DEPRECATED)'!Q566</f>
        <v>6064987</v>
      </c>
      <c r="B565" s="66" t="str">
        <f>IFERROR(__xludf.DUMMYFUNCTION("SPLIT('Main dataset (DEPRECATED2)'!N566,"";"")"),"Rutgers University##Rutgers University")</f>
        <v>Rutgers University##Rutgers University</v>
      </c>
      <c r="C565" s="66" t="s">
        <v>8223</v>
      </c>
    </row>
    <row r="566" ht="15.75" customHeight="1">
      <c r="A566" s="66">
        <f>'Main dataset (DEPRECATED)'!Q567</f>
        <v>6064985</v>
      </c>
      <c r="B566" s="66" t="str">
        <f>IFERROR(__xludf.DUMMYFUNCTION("SPLIT('Main dataset (DEPRECATED2)'!N567,"";"")"),"MRJ Technology Solutions Inc")</f>
        <v>MRJ Technology Solutions Inc</v>
      </c>
      <c r="C566" s="66" t="s">
        <v>10973</v>
      </c>
      <c r="D566" s="66" t="s">
        <v>8664</v>
      </c>
    </row>
    <row r="567" ht="15.75" customHeight="1">
      <c r="A567" s="66">
        <f>'Main dataset (DEPRECATED)'!Q568</f>
        <v>6065006</v>
      </c>
      <c r="B567" s="66" t="str">
        <f>IFERROR(__xludf.DUMMYFUNCTION("SPLIT('Main dataset (DEPRECATED2)'!N568,"";"")"),"University of Southern California##University of Southern California")</f>
        <v>University of Southern California##University of Southern California</v>
      </c>
      <c r="C567" s="66" t="s">
        <v>7217</v>
      </c>
      <c r="D567" s="66" t="s">
        <v>7780</v>
      </c>
    </row>
    <row r="568" ht="15.75" customHeight="1">
      <c r="A568" s="66">
        <f>'Main dataset (DEPRECATED)'!Q569</f>
        <v>6065003</v>
      </c>
      <c r="B568" s="66" t="str">
        <f>IFERROR(__xludf.DUMMYFUNCTION("SPLIT('Main dataset (DEPRECATED2)'!N569,"";"")"),"Stanford University##Stanford University##Stanford University Stanford")</f>
        <v>Stanford University##Stanford University##Stanford University Stanford</v>
      </c>
      <c r="C568" s="66" t="s">
        <v>8335</v>
      </c>
      <c r="D568" s="66" t="s">
        <v>9823</v>
      </c>
      <c r="E568" s="66" t="s">
        <v>6773</v>
      </c>
      <c r="F568" s="66" t="s">
        <v>11000</v>
      </c>
    </row>
    <row r="569" ht="15.75" customHeight="1">
      <c r="A569" s="66">
        <f>'Main dataset (DEPRECATED)'!Q570</f>
        <v>6064999</v>
      </c>
      <c r="B569" s="66" t="str">
        <f>IFERROR(__xludf.DUMMYFUNCTION("SPLIT('Main dataset (DEPRECATED2)'!N570,"";"")"),"North Carolina State University##North Carolina State University")</f>
        <v>North Carolina State University##North Carolina State University</v>
      </c>
      <c r="C569" s="66" t="s">
        <v>8230</v>
      </c>
      <c r="D569" s="66" t="s">
        <v>8879</v>
      </c>
      <c r="E569" s="66" t="s">
        <v>7571</v>
      </c>
    </row>
    <row r="570" ht="15.75" customHeight="1">
      <c r="A570" s="66">
        <f>'Main dataset (DEPRECATED)'!Q571</f>
        <v>6064998</v>
      </c>
      <c r="B570" s="66" t="str">
        <f>IFERROR(__xludf.DUMMYFUNCTION("SPLIT('Main dataset (DEPRECATED2)'!N571,"";"")"),"Rice University##Rice University##Rice University##Rice University##Rice University##Rice University")</f>
        <v>Rice University##Rice University##Rice University##Rice University##Rice University##Rice University</v>
      </c>
      <c r="C570" s="66" t="s">
        <v>9130</v>
      </c>
      <c r="D570" s="66" t="s">
        <v>9193</v>
      </c>
    </row>
    <row r="571" ht="15.75" customHeight="1">
      <c r="A571" s="66">
        <f>'Main dataset (DEPRECATED)'!Q572</f>
        <v>6065008</v>
      </c>
      <c r="B571" s="66" t="str">
        <f>IFERROR(__xludf.DUMMYFUNCTION("SPLIT('Main dataset (DEPRECATED2)'!N572,"";"")"),"California Institute of Technology##Brown University")</f>
        <v>California Institute of Technology##Brown University</v>
      </c>
      <c r="C571" s="66" t="s">
        <v>10595</v>
      </c>
      <c r="D571" s="66" t="s">
        <v>9029</v>
      </c>
      <c r="E571" s="66" t="s">
        <v>7001</v>
      </c>
      <c r="F571" s="66" t="s">
        <v>11650</v>
      </c>
      <c r="G571" s="66" t="s">
        <v>11762</v>
      </c>
      <c r="H571" s="66" t="s">
        <v>8287</v>
      </c>
      <c r="I571" s="66" t="s">
        <v>11604</v>
      </c>
    </row>
    <row r="572" ht="15.75" customHeight="1">
      <c r="A572" s="66">
        <f>'Main dataset (DEPRECATED)'!Q573</f>
        <v>6065012</v>
      </c>
      <c r="B572" s="66" t="str">
        <f>IFERROR(__xludf.DUMMYFUNCTION("SPLIT('Main dataset (DEPRECATED2)'!N573,"";"")"),"Yamanashi University##Yamanashi University##Yamanashi University##Yamanashi University")</f>
        <v>Yamanashi University##Yamanashi University##Yamanashi University##Yamanashi University</v>
      </c>
      <c r="C572" s="66" t="s">
        <v>11585</v>
      </c>
    </row>
    <row r="573" ht="15.75" customHeight="1">
      <c r="A573" s="66">
        <f>'Main dataset (DEPRECATED)'!Q574</f>
        <v>6064995</v>
      </c>
      <c r="B573" s="66" t="str">
        <f>IFERROR(__xludf.DUMMYFUNCTION("SPLIT('Main dataset (DEPRECATED2)'!N574,"";"")"),"ETH ZÃ¼rich##ETH ZÃ¼rich")</f>
        <v>ETH ZÃ¼rich##ETH ZÃ¼rich</v>
      </c>
      <c r="C573" s="66" t="s">
        <v>10446</v>
      </c>
      <c r="D573" s="66" t="s">
        <v>10838</v>
      </c>
      <c r="E573" s="66" t="s">
        <v>9799</v>
      </c>
      <c r="F573" s="66" t="s">
        <v>10411</v>
      </c>
    </row>
    <row r="574" ht="15.75" customHeight="1">
      <c r="A574" s="66">
        <f>'Main dataset (DEPRECATED)'!Q575</f>
        <v>6065018</v>
      </c>
      <c r="B574" s="66" t="str">
        <f>IFERROR(__xludf.DUMMYFUNCTION("SPLIT('Main dataset (DEPRECATED2)'!N575,"";"")"),"MRJ Technology Solutions")</f>
        <v>MRJ Technology Solutions</v>
      </c>
      <c r="C574" s="66" t="s">
        <v>6786</v>
      </c>
      <c r="D574" s="66" t="s">
        <v>10147</v>
      </c>
      <c r="E574" s="66" t="s">
        <v>11231</v>
      </c>
      <c r="F574" s="66" t="s">
        <v>7482</v>
      </c>
    </row>
    <row r="575" ht="15.75" customHeight="1">
      <c r="A575" s="66">
        <f>'Main dataset (DEPRECATED)'!Q576</f>
        <v>6065007</v>
      </c>
      <c r="B575" s="66" t="str">
        <f>IFERROR(__xludf.DUMMYFUNCTION("SPLIT('Main dataset (DEPRECATED2)'!N576,"";"")"),"MRJ Technology Solutions / NASA Ames Research Center")</f>
        <v>MRJ Technology Solutions / NASA Ames Research Center</v>
      </c>
      <c r="C575" s="66" t="s">
        <v>6636</v>
      </c>
      <c r="D575" s="66" t="s">
        <v>6787</v>
      </c>
      <c r="E575" s="66" t="s">
        <v>10277</v>
      </c>
    </row>
    <row r="576" ht="15.75" customHeight="1">
      <c r="A576" s="66">
        <f>'Main dataset (DEPRECATED)'!Q577</f>
        <v>6064988</v>
      </c>
      <c r="B576" s="66" t="str">
        <f>IFERROR(__xludf.DUMMYFUNCTION("SPLIT('Main dataset (DEPRECATED2)'!N577,"";"")"),"Polytechnic University IBM T. J. Watson Research Center Kitware##Polytechnic University IBM T. J. Watson Research Center Kitware##Polytechnic University IBM T. J. Watson Research Center Kitware")</f>
        <v>Polytechnic University IBM T. J. Watson Research Center Kitware##Polytechnic University IBM T. J. Watson Research Center Kitware##Polytechnic University IBM T. J. Watson Research Center Kitware</v>
      </c>
      <c r="C576" s="66" t="s">
        <v>7225</v>
      </c>
    </row>
    <row r="577" ht="15.75" customHeight="1">
      <c r="A577" s="66">
        <f>'Main dataset (DEPRECATED)'!Q578</f>
        <v>6102475</v>
      </c>
      <c r="B577" s="66" t="str">
        <f>IFERROR(__xludf.DUMMYFUNCTION("SPLIT('Main dataset (DEPRECATED2)'!N578,"";"")"),"University of Utah##University of Utah")</f>
        <v>University of Utah##University of Utah</v>
      </c>
      <c r="C577" s="66" t="s">
        <v>11707</v>
      </c>
      <c r="D577" s="66" t="s">
        <v>11079</v>
      </c>
      <c r="E577" s="66" t="s">
        <v>8748</v>
      </c>
    </row>
    <row r="578" ht="15.75" customHeight="1">
      <c r="A578" s="66">
        <f>'Main dataset (DEPRECATED)'!Q579</f>
        <v>6102476</v>
      </c>
      <c r="B578" s="66" t="str">
        <f>IFERROR(__xludf.DUMMYFUNCTION("SPLIT('Main dataset (DEPRECATED2)'!N579,"";"")"),"University of Halle-Wittenberg##University of Halle-Wittenberg")</f>
        <v>University of Halle-Wittenberg##University of Halle-Wittenberg</v>
      </c>
      <c r="C578" s="66" t="s">
        <v>10713</v>
      </c>
      <c r="D578" s="66" t="s">
        <v>10140</v>
      </c>
      <c r="E578" s="66" t="s">
        <v>6832</v>
      </c>
    </row>
    <row r="579" ht="15.75" customHeight="1">
      <c r="A579" s="66">
        <f>'Main dataset (DEPRECATED)'!Q580</f>
        <v>6102463</v>
      </c>
      <c r="B579" s="66" t="str">
        <f>IFERROR(__xludf.DUMMYFUNCTION("SPLIT('Main dataset (DEPRECATED2)'!N580,"";"")"),"Pacific Northwest National Laboratory â€ ##Pacific Northwest National Laboratory â€ ##Pacific Northwest National Laboratory â€ ##Pacific Northwest National Laboratory â€ ##Pacific Northwest National Laboratory â€")</f>
        <v>Pacific Northwest National Laboratory â€ ##Pacific Northwest National Laboratory â€ ##Pacific Northwest National Laboratory â€ ##Pacific Northwest National Laboratory â€ ##Pacific Northwest National Laboratory â€</v>
      </c>
      <c r="C579" s="66" t="s">
        <v>11415</v>
      </c>
      <c r="D579" s="66" t="s">
        <v>6737</v>
      </c>
      <c r="E579" s="66" t="s">
        <v>6499</v>
      </c>
      <c r="F579" s="66" t="s">
        <v>10140</v>
      </c>
    </row>
    <row r="580" ht="15.75" customHeight="1">
      <c r="A580" s="66">
        <f>'Main dataset (DEPRECATED)'!Q581</f>
        <v>6102460</v>
      </c>
      <c r="B580" s="66" t="str">
        <f>IFERROR(__xludf.DUMMYFUNCTION("SPLIT('Main dataset (DEPRECATED2)'!N581,"";"")"),"#VALUE!")</f>
        <v>#VALUE!</v>
      </c>
      <c r="C580" s="66" t="s">
        <v>9171</v>
      </c>
      <c r="D580" s="66" t="s">
        <v>9278</v>
      </c>
      <c r="E580" s="66" t="s">
        <v>7361</v>
      </c>
    </row>
    <row r="581" ht="15.75" customHeight="1">
      <c r="A581" s="66">
        <f>'Main dataset (DEPRECATED)'!Q582</f>
        <v>6102459</v>
      </c>
      <c r="B581" s="66" t="str">
        <f>IFERROR(__xludf.DUMMYFUNCTION("SPLIT('Main dataset (DEPRECATED2)'!N582,"";"")"),"Heinz Nixdorf Institute")</f>
        <v>Heinz Nixdorf Institute</v>
      </c>
      <c r="C581" s="66" t="s">
        <v>9442</v>
      </c>
      <c r="D581" s="66" t="s">
        <v>7094</v>
      </c>
      <c r="E581" s="66" t="s">
        <v>7824</v>
      </c>
    </row>
    <row r="582" ht="15.75" customHeight="1">
      <c r="A582" s="66">
        <f>'Main dataset (DEPRECATED)'!Q583</f>
        <v>6102493</v>
      </c>
      <c r="B582" s="66" t="str">
        <f>IFERROR(__xludf.DUMMYFUNCTION("SPLIT('Main dataset (DEPRECATED2)'!N583,"";"")"),"University of North Carolina at Chapel Hill##University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v>
      </c>
    </row>
    <row r="583" ht="15.75" customHeight="1">
      <c r="A583" s="66">
        <f>'Main dataset (DEPRECATED)'!Q584</f>
        <v>6102462</v>
      </c>
      <c r="B583" s="66" t="str">
        <f>IFERROR(__xludf.DUMMYFUNCTION("SPLIT('Main dataset (DEPRECATED2)'!N584,"";"")"),"University of Texas at San Antonio##University of Texas at San Antonio")</f>
        <v>University of Texas at San Antonio##University of Texas at San Antonio</v>
      </c>
      <c r="C583" s="66" t="s">
        <v>7437</v>
      </c>
      <c r="D583" s="66" t="s">
        <v>10901</v>
      </c>
      <c r="E583" s="66" t="s">
        <v>11214</v>
      </c>
    </row>
    <row r="584" ht="15.75" customHeight="1">
      <c r="A584" s="66">
        <f>'Main dataset (DEPRECATED)'!Q585</f>
        <v>6102495</v>
      </c>
      <c r="B584" s="66" t="str">
        <f>IFERROR(__xludf.DUMMYFUNCTION("SPLIT('Main dataset (DEPRECATED2)'!N585,"";"")"),"Center for Math. &amp; Comput. Sci., CWI, Amsterdam, Netherlands|c|")</f>
        <v>Center for Math. &amp; Comput. Sci., CWI, Amsterdam, Netherlands|c|</v>
      </c>
      <c r="C584" s="66" t="s">
        <v>8264</v>
      </c>
      <c r="D584" s="66" t="s">
        <v>7653</v>
      </c>
      <c r="E584" s="66" t="s">
        <v>10057</v>
      </c>
      <c r="F584" s="66" t="s">
        <v>9667</v>
      </c>
    </row>
    <row r="585" ht="15.75" customHeight="1">
      <c r="A585" s="66">
        <f>'Main dataset (DEPRECATED)'!Q586</f>
        <v>6102473</v>
      </c>
      <c r="B585" s="66" t="str">
        <f>IFERROR(__xludf.DUMMYFUNCTION("SPLIT('Main dataset (DEPRECATED2)'!N586,"";"")"),"The Ohio State University##The Ohio State University")</f>
        <v>The Ohio State University##The Ohio State University</v>
      </c>
      <c r="C585" s="66" t="s">
        <v>11415</v>
      </c>
      <c r="D585" s="66" t="s">
        <v>6180</v>
      </c>
      <c r="E585" s="66" t="s">
        <v>10140</v>
      </c>
      <c r="F585" s="66" t="s">
        <v>11599</v>
      </c>
    </row>
    <row r="586" ht="15.75" customHeight="1">
      <c r="A586" s="66">
        <f>'Main dataset (DEPRECATED)'!Q587</f>
        <v>6102474</v>
      </c>
      <c r="B586" s="66" t="str">
        <f>IFERROR(__xludf.DUMMYFUNCTION("SPLIT('Main dataset (DEPRECATED2)'!N587,"";"")"),"Lucent Technologies Room##")</f>
        <v>Lucent Technologies Room##</v>
      </c>
      <c r="C586" s="66" t="s">
        <v>10235</v>
      </c>
    </row>
    <row r="587" ht="15.75" customHeight="1">
      <c r="A587" s="66">
        <f>'Main dataset (DEPRECATED)'!Q588</f>
        <v>6102453</v>
      </c>
      <c r="B587" s="66" t="str">
        <f>IFERROR(__xludf.DUMMYFUNCTION("SPLIT('Main dataset (DEPRECATED2)'!N588,"";"")"),"Medicine University Hospital Eppendorf##Medicine University Hospital Eppendorf##Medicine University Hospital Eppendorf")</f>
        <v>Medicine University Hospital Eppendorf##Medicine University Hospital Eppendorf##Medicine University Hospital Eppendorf</v>
      </c>
      <c r="C587" s="66" t="s">
        <v>11200</v>
      </c>
    </row>
    <row r="588" ht="15.75" customHeight="1">
      <c r="A588" s="66">
        <f>'Main dataset (DEPRECATED)'!Q589</f>
        <v>6102438</v>
      </c>
      <c r="B588" s="66" t="str">
        <f>IFERROR(__xludf.DUMMYFUNCTION("SPLIT('Main dataset (DEPRECATED2)'!N589,"";"")"),"Carnegie Mellon University##Carnegie Mellon University")</f>
        <v>Carnegie Mellon University##Carnegie Mellon University</v>
      </c>
      <c r="C588" s="66" t="s">
        <v>10767</v>
      </c>
    </row>
    <row r="589" ht="15.75" customHeight="1">
      <c r="A589" s="66">
        <f>'Main dataset (DEPRECATED)'!Q590</f>
        <v>6102485</v>
      </c>
      <c r="B589" s="66" t="str">
        <f>IFERROR(__xludf.DUMMYFUNCTION("SPLIT('Main dataset (DEPRECATED2)'!N590,"";"")"),"University of North Carolina at Chapel Hill##University of North Carolina at Chapel Hill")</f>
        <v>University of North Carolina at Chapel Hill##University of North Carolina at Chapel Hill</v>
      </c>
      <c r="C589" s="66" t="s">
        <v>7329</v>
      </c>
      <c r="D589" s="66" t="s">
        <v>7498</v>
      </c>
      <c r="E589" s="66" t="s">
        <v>7789</v>
      </c>
      <c r="F589" s="66" t="s">
        <v>9149</v>
      </c>
      <c r="G589" s="66" t="s">
        <v>9567</v>
      </c>
      <c r="H589" s="66" t="s">
        <v>10921</v>
      </c>
      <c r="I589" s="66" t="s">
        <v>10922</v>
      </c>
      <c r="J589" s="66" t="s">
        <v>10927</v>
      </c>
    </row>
    <row r="590" ht="15.75" customHeight="1">
      <c r="A590" s="66">
        <f>'Main dataset (DEPRECATED)'!Q591</f>
        <v>6102489</v>
      </c>
      <c r="B590" s="66" t="str">
        <f>IFERROR(__xludf.DUMMYFUNCTION("SPLIT('Main dataset (DEPRECATED2)'!N591,"";"")"),"Georgia Institute of Technology##Georgia Institute of Technology")</f>
        <v>Georgia Institute of Technology##Georgia Institute of Technology</v>
      </c>
      <c r="C590" s="66" t="s">
        <v>11304</v>
      </c>
      <c r="D590" s="66" t="s">
        <v>9966</v>
      </c>
      <c r="E590" s="66" t="s">
        <v>9392</v>
      </c>
      <c r="F590" s="66" t="s">
        <v>8305</v>
      </c>
      <c r="G590" s="66" t="s">
        <v>10989</v>
      </c>
      <c r="H590" s="66" t="s">
        <v>10178</v>
      </c>
    </row>
    <row r="591" ht="15.75" customHeight="1">
      <c r="A591" s="66">
        <f>'Main dataset (DEPRECATED)'!Q592</f>
        <v>6102466</v>
      </c>
      <c r="B591" s="66" t="str">
        <f>IFERROR(__xludf.DUMMYFUNCTION("SPLIT('Main dataset (DEPRECATED2)'!N592,"";"")"),"University of California##University of California##University of California##University of California")</f>
        <v>University of California##University of California##University of California##University of California</v>
      </c>
      <c r="C591" s="66" t="s">
        <v>11015</v>
      </c>
      <c r="D591" s="66" t="s">
        <v>7360</v>
      </c>
    </row>
    <row r="592" ht="15.75" customHeight="1">
      <c r="A592" s="66">
        <f>'Main dataset (DEPRECATED)'!Q593</f>
        <v>6102469</v>
      </c>
      <c r="B592" s="66" t="str">
        <f>IFERROR(__xludf.DUMMYFUNCTION("SPLIT('Main dataset (DEPRECATED2)'!N593,"";"")"),"University of California##University of California")</f>
        <v>University of California##University of California</v>
      </c>
      <c r="C592" s="66" t="s">
        <v>7608</v>
      </c>
      <c r="D592" s="66" t="s">
        <v>6832</v>
      </c>
    </row>
    <row r="593" ht="15.75" customHeight="1">
      <c r="A593" s="66">
        <f>'Main dataset (DEPRECATED)'!Q594</f>
        <v>6102481</v>
      </c>
      <c r="B593" s="66" t="str">
        <f>IFERROR(__xludf.DUMMYFUNCTION("SPLIT('Main dataset (DEPRECATED2)'!N594,"";"")"),"Vienna University of Technology##Vienna University of Technology")</f>
        <v>Vienna University of Technology##Vienna University of Technology</v>
      </c>
      <c r="C593" s="66" t="s">
        <v>6699</v>
      </c>
    </row>
    <row r="594" ht="15.75" customHeight="1">
      <c r="A594" s="66">
        <f>'Main dataset (DEPRECATED)'!Q595</f>
        <v>6102478</v>
      </c>
      <c r="B594" s="66" t="str">
        <f>IFERROR(__xludf.DUMMYFUNCTION("SPLIT('Main dataset (DEPRECATED2)'!N595,"";"")"),"Arizona State University Tempe##Arizona State University Tempe##Arizona State University Tempe")</f>
        <v>Arizona State University Tempe##Arizona State University Tempe##Arizona State University Tempe</v>
      </c>
      <c r="C594" s="66" t="s">
        <v>6681</v>
      </c>
      <c r="D594" s="66" t="s">
        <v>6832</v>
      </c>
    </row>
    <row r="595" ht="15.75" customHeight="1">
      <c r="A595" s="66">
        <f>'Main dataset (DEPRECATED)'!Q596</f>
        <v>6102454</v>
      </c>
      <c r="B595" s="66" t="str">
        <f>IFERROR(__xludf.DUMMYFUNCTION("SPLIT('Main dataset (DEPRECATED2)'!N596,"";"")"),"Indiana University Purdue University Indianapolis##Indiana University Purdue University Indianapolis##Indiana University Purdue University Indianapolis")</f>
        <v>Indiana University Purdue University Indianapolis##Indiana University Purdue University Indianapolis##Indiana University Purdue University Indianapolis</v>
      </c>
      <c r="C595" s="66" t="s">
        <v>6239</v>
      </c>
      <c r="D595" s="66" t="s">
        <v>8335</v>
      </c>
      <c r="E595" s="66" t="s">
        <v>10162</v>
      </c>
      <c r="F595" s="66" t="s">
        <v>11557</v>
      </c>
    </row>
    <row r="596" ht="15.75" customHeight="1">
      <c r="A596" s="66">
        <f>'Main dataset (DEPRECATED)'!Q597</f>
        <v>6102442</v>
      </c>
      <c r="B596" s="66" t="str">
        <f>IFERROR(__xludf.DUMMYFUNCTION("SPLIT('Main dataset (DEPRECATED2)'!N597,"";"")"),"Indiana University Bloomington##Indiana University Bloomington")</f>
        <v>Indiana University Bloomington##Indiana University Bloomington</v>
      </c>
      <c r="C596" s="66" t="s">
        <v>10715</v>
      </c>
      <c r="D596" s="66" t="s">
        <v>9582</v>
      </c>
      <c r="E596" s="66" t="s">
        <v>7738</v>
      </c>
      <c r="F596" s="66" t="s">
        <v>10642</v>
      </c>
    </row>
    <row r="597" ht="15.75" customHeight="1">
      <c r="A597" s="66">
        <f>'Main dataset (DEPRECATED)'!Q598</f>
        <v>6102491</v>
      </c>
      <c r="B597" s="66" t="str">
        <f>IFERROR(__xludf.DUMMYFUNCTION("SPLIT('Main dataset (DEPRECATED2)'!N598,"";"")"),"UniversitÃ¤t Erlangen-NÃ¼rnberg##UniversitÃ¤t Erlangen-NÃ¼rnberg")</f>
        <v>UniversitÃ¤t Erlangen-NÃ¼rnberg##UniversitÃ¤t Erlangen-NÃ¼rnberg</v>
      </c>
      <c r="C597" s="66" t="s">
        <v>10494</v>
      </c>
    </row>
    <row r="598" ht="15.75" customHeight="1">
      <c r="A598" s="66">
        <f>'Main dataset (DEPRECATED)'!Q599</f>
        <v>6102448</v>
      </c>
      <c r="B598" s="66" t="str">
        <f>IFERROR(__xludf.DUMMYFUNCTION("SPLIT('Main dataset (DEPRECATED2)'!N599,"";"")"),"Brigham Young University##Brigham Young University")</f>
        <v>Brigham Young University##Brigham Young University</v>
      </c>
      <c r="C598" s="66" t="s">
        <v>6346</v>
      </c>
      <c r="D598" s="66" t="s">
        <v>7149</v>
      </c>
      <c r="E598" s="66" t="s">
        <v>10298</v>
      </c>
      <c r="F598" s="66" t="s">
        <v>8804</v>
      </c>
    </row>
    <row r="599" ht="15.75" customHeight="1">
      <c r="A599" s="66">
        <f>'Main dataset (DEPRECATED)'!Q600</f>
        <v>6102492</v>
      </c>
      <c r="B599" s="66" t="str">
        <f>IFERROR(__xludf.DUMMYFUNCTION("SPLIT('Main dataset (DEPRECATED2)'!N600,"";"")"),"Center for Math. &amp; Comput. Sci., CWI, Amsterdam, Netherlands|c|")</f>
        <v>Center for Math. &amp; Comput. Sci., CWI, Amsterdam, Netherlands|c|</v>
      </c>
      <c r="C599" s="66" t="s">
        <v>11415</v>
      </c>
      <c r="D599" s="66" t="s">
        <v>6180</v>
      </c>
      <c r="E599" s="66" t="s">
        <v>10140</v>
      </c>
      <c r="F599" s="66" t="s">
        <v>11599</v>
      </c>
    </row>
    <row r="600" ht="15.75" customHeight="1">
      <c r="A600" s="66">
        <f>'Main dataset (DEPRECATED)'!Q601</f>
        <v>6102445</v>
      </c>
      <c r="B600" s="66" t="str">
        <f>IFERROR(__xludf.DUMMYFUNCTION("SPLIT('Main dataset (DEPRECATED2)'!N601,"";"")"),"Center for Math. &amp; Comput. Sci., CWI, Amsterdam, Netherlands|c|")</f>
        <v>Center for Math. &amp; Comput. Sci., CWI, Amsterdam, Netherlands|c|</v>
      </c>
      <c r="C600" s="66" t="s">
        <v>7082</v>
      </c>
      <c r="D600" s="66" t="s">
        <v>11657</v>
      </c>
      <c r="E600" s="66" t="s">
        <v>10856</v>
      </c>
      <c r="F600" s="66" t="s">
        <v>10140</v>
      </c>
      <c r="G600" s="66" t="s">
        <v>6832</v>
      </c>
    </row>
    <row r="601" ht="15.75" customHeight="1">
      <c r="A601" s="66">
        <f>'Main dataset (DEPRECATED)'!Q602</f>
        <v>6102497</v>
      </c>
      <c r="B601" s="66" t="str">
        <f>IFERROR(__xludf.DUMMYFUNCTION("SPLIT('Main dataset (DEPRECATED2)'!N602,"";"")"),"The Ohio State University##")</f>
        <v>The Ohio State University##</v>
      </c>
      <c r="C601" s="66" t="s">
        <v>10562</v>
      </c>
    </row>
    <row r="602" ht="15.75" customHeight="1">
      <c r="A602" s="66">
        <f>'Main dataset (DEPRECATED)'!Q603</f>
        <v>6102451</v>
      </c>
      <c r="B602" s="66" t="str">
        <f>IFERROR(__xludf.DUMMYFUNCTION("SPLIT('Main dataset (DEPRECATED2)'!N603,"";"")"),"Indiana University Bloomington")</f>
        <v>Indiana University Bloomington</v>
      </c>
      <c r="C602" s="66" t="s">
        <v>11188</v>
      </c>
      <c r="D602" s="66" t="s">
        <v>11548</v>
      </c>
    </row>
    <row r="603" ht="15.75" customHeight="1">
      <c r="A603" s="66">
        <f>'Main dataset (DEPRECATED)'!Q604</f>
        <v>6102439</v>
      </c>
      <c r="B603" s="66" t="str">
        <f>IFERROR(__xludf.DUMMYFUNCTION("SPLIT('Main dataset (DEPRECATED2)'!N604,"";"")"),"IBM T. J. Watson Research Center##IBM T. J. Watson Research Center##IBM T. J. Watson Research Center##IBM T. J. Watson Research Center")</f>
        <v>IBM T. J. Watson Research Center##IBM T. J. Watson Research Center##IBM T. J. Watson Research Center##IBM T. J. Watson Research Center</v>
      </c>
      <c r="C603" s="66" t="s">
        <v>11277</v>
      </c>
      <c r="D603" s="66" t="s">
        <v>8165</v>
      </c>
      <c r="E603" s="66" t="s">
        <v>10426</v>
      </c>
      <c r="F603" s="66" t="s">
        <v>11388</v>
      </c>
      <c r="G603" s="66" t="s">
        <v>8022</v>
      </c>
    </row>
    <row r="604" ht="15.75" customHeight="1">
      <c r="A604" s="66">
        <f>'Main dataset (DEPRECATED)'!Q605</f>
        <v>6102496</v>
      </c>
      <c r="B604" s="66" t="str">
        <f>IFERROR(__xludf.DUMMYFUNCTION("SPLIT('Main dataset (DEPRECATED2)'!N605,"";"")"),"Technical University Berlin##Technical University Berlin##Technical University Berlin")</f>
        <v>Technical University Berlin##Technical University Berlin##Technical University Berlin</v>
      </c>
      <c r="C604" s="66" t="s">
        <v>7826</v>
      </c>
      <c r="D604" s="66" t="s">
        <v>11798</v>
      </c>
      <c r="E604" s="66" t="s">
        <v>10767</v>
      </c>
    </row>
    <row r="605" ht="15.75" customHeight="1">
      <c r="A605" s="66">
        <f>'Main dataset (DEPRECATED)'!Q606</f>
        <v>6102479</v>
      </c>
      <c r="B605" s="66" t="str">
        <f>IFERROR(__xludf.DUMMYFUNCTION("SPLIT('Main dataset (DEPRECATED2)'!N606,"";"")"),"Comput. Graphics Res. Group, Fed.. Inst. of Technol., Zurich, Switzerland|c|")</f>
        <v>Comput. Graphics Res. Group, Fed.. Inst. of Technol., Zurich, Switzerland|c|</v>
      </c>
      <c r="C605" s="66" t="s">
        <v>11796</v>
      </c>
      <c r="D605" s="66" t="s">
        <v>11284</v>
      </c>
      <c r="E605" s="66" t="s">
        <v>6239</v>
      </c>
      <c r="F605" s="66" t="s">
        <v>6238</v>
      </c>
    </row>
    <row r="606" ht="15.75" customHeight="1">
      <c r="A606" s="66">
        <f>'Main dataset (DEPRECATED)'!Q607</f>
        <v>6102486</v>
      </c>
      <c r="B606" s="66" t="str">
        <f>IFERROR(__xludf.DUMMYFUNCTION("SPLIT('Main dataset (DEPRECATED2)'!N607,"";"")"),"IBM Thomas J. Watson Res. Center, Yorktown Heights, NY, USA|c|")</f>
        <v>IBM Thomas J. Watson Res. Center, Yorktown Heights, NY, USA|c|</v>
      </c>
      <c r="C606" s="66" t="s">
        <v>10916</v>
      </c>
    </row>
    <row r="607" ht="15.75" customHeight="1">
      <c r="A607" s="66">
        <f>'Main dataset (DEPRECATED)'!Q608</f>
        <v>6102490</v>
      </c>
      <c r="B607" s="66" t="str">
        <f>IFERROR(__xludf.DUMMYFUNCTION("SPLIT('Main dataset (DEPRECATED2)'!N608,"";"")"),"MRJ Technology Solutions NASA Ames Research Center##MRJ Technology Solutions NASA Ames Research Center")</f>
        <v>MRJ Technology Solutions NASA Ames Research Center##MRJ Technology Solutions NASA Ames Research Center</v>
      </c>
      <c r="C607" s="66" t="s">
        <v>10019</v>
      </c>
      <c r="D607" s="66" t="s">
        <v>9031</v>
      </c>
    </row>
    <row r="608" ht="15.75" customHeight="1">
      <c r="A608" s="66">
        <f>'Main dataset (DEPRECATED)'!Q609</f>
        <v>6102440</v>
      </c>
      <c r="B608" s="66" t="str">
        <f>IFERROR(__xludf.DUMMYFUNCTION("SPLIT('Main dataset (DEPRECATED2)'!N609,"";"")"),"UCSC Sam Uselton MRJ Technology Solutions##UCSC Sam Uselton MRJ Technology Solutions")</f>
        <v>UCSC Sam Uselton MRJ Technology Solutions##UCSC Sam Uselton MRJ Technology Solutions</v>
      </c>
      <c r="C608" s="66" t="s">
        <v>9595</v>
      </c>
      <c r="D608" s="66" t="s">
        <v>10767</v>
      </c>
    </row>
    <row r="609" ht="15.75" customHeight="1">
      <c r="A609" s="66">
        <f>'Main dataset (DEPRECATED)'!Q610</f>
        <v>6102449</v>
      </c>
      <c r="B609" s="66" t="str">
        <f>IFERROR(__xludf.DUMMYFUNCTION("SPLIT('Main dataset (DEPRECATED2)'!N610,"";"")"),"Dept. of Comput. Sci., Delft Univ. of Technol., Netherlands|c|")</f>
        <v>Dept. of Comput. Sci., Delft Univ. of Technol., Netherlands|c|</v>
      </c>
      <c r="C609" s="66" t="s">
        <v>6838</v>
      </c>
      <c r="D609" s="66" t="s">
        <v>9201</v>
      </c>
      <c r="E609" s="66" t="s">
        <v>8272</v>
      </c>
      <c r="F609" s="66" t="s">
        <v>8999</v>
      </c>
      <c r="G609" s="66" t="s">
        <v>9667</v>
      </c>
    </row>
    <row r="610" ht="15.75" customHeight="1">
      <c r="A610" s="66">
        <f>'Main dataset (DEPRECATED)'!Q611</f>
        <v>6102446</v>
      </c>
      <c r="B610" s="66" t="str">
        <f>IFERROR(__xludf.DUMMYFUNCTION("SPLIT('Main dataset (DEPRECATED2)'!N611,"";"")"),"Simon Fraser University##Simon Fraser University##Simon Fraser University##Simon Fraser University")</f>
        <v>Simon Fraser University##Simon Fraser University##Simon Fraser University##Simon Fraser University</v>
      </c>
      <c r="C610" s="66" t="s">
        <v>8137</v>
      </c>
      <c r="D610" s="66" t="s">
        <v>6390</v>
      </c>
      <c r="E610" s="66" t="s">
        <v>11531</v>
      </c>
    </row>
    <row r="611" ht="15.75" customHeight="1">
      <c r="A611" s="66">
        <f>'Main dataset (DEPRECATED)'!Q612</f>
        <v>6102441</v>
      </c>
      <c r="B611" s="66" t="str">
        <f>IFERROR(__xludf.DUMMYFUNCTION("SPLIT('Main dataset (DEPRECATED2)'!N612,"";"")"),"Delft Univ. of Technol., Netherlands|c|")</f>
        <v>Delft Univ. of Technol., Netherlands|c|</v>
      </c>
      <c r="C611" s="66" t="s">
        <v>9865</v>
      </c>
    </row>
    <row r="612" ht="15.75" customHeight="1">
      <c r="A612" s="66">
        <f>'Main dataset (DEPRECATED)'!Q613</f>
        <v>6102461</v>
      </c>
      <c r="B612" s="66" t="str">
        <f>IFERROR(__xludf.DUMMYFUNCTION("SPLIT('Main dataset (DEPRECATED2)'!N613,"";"")"),"Stanford University##Stanford University##Stanford University##NASA Ames Research Center")</f>
        <v>Stanford University##Stanford University##Stanford University##NASA Ames Research Center</v>
      </c>
      <c r="C612" s="66" t="s">
        <v>11599</v>
      </c>
      <c r="D612" s="66" t="s">
        <v>6832</v>
      </c>
      <c r="E612" s="66" t="s">
        <v>10140</v>
      </c>
    </row>
    <row r="613" ht="15.75" customHeight="1">
      <c r="A613" s="66">
        <f>'Main dataset (DEPRECATED)'!Q614</f>
        <v>6102437</v>
      </c>
      <c r="B613" s="66" t="str">
        <f>IFERROR(__xludf.DUMMYFUNCTION("SPLIT('Main dataset (DEPRECATED2)'!N614,"";"")"),"Center for Adv. Studies, Cagliari, Italy|c|")</f>
        <v>Center for Adv. Studies, Cagliari, Italy|c|</v>
      </c>
      <c r="C613" s="66" t="s">
        <v>7382</v>
      </c>
      <c r="D613" s="66" t="s">
        <v>9193</v>
      </c>
    </row>
    <row r="614" ht="15.75" customHeight="1">
      <c r="A614" s="66">
        <f>'Main dataset (DEPRECATED)'!Q615</f>
        <v>6102482</v>
      </c>
      <c r="B614" s="66" t="str">
        <f>IFERROR(__xludf.DUMMYFUNCTION("SPLIT('Main dataset (DEPRECATED2)'!N615,"";"")"),"CNMAT, Berkeley, CA, USA|c|")</f>
        <v>CNMAT, Berkeley, CA, USA|c|</v>
      </c>
      <c r="C614" s="66" t="s">
        <v>11413</v>
      </c>
      <c r="D614" s="66" t="s">
        <v>9227</v>
      </c>
    </row>
    <row r="615" ht="15.75" customHeight="1">
      <c r="A615" s="66">
        <f>'Main dataset (DEPRECATED)'!Q616</f>
        <v>6102450</v>
      </c>
      <c r="B615" s="66" t="str">
        <f>IFERROR(__xludf.DUMMYFUNCTION("SPLIT('Main dataset (DEPRECATED2)'!N616,"";"")"),"Simon Fraser University##Simon Fraser University")</f>
        <v>Simon Fraser University##Simon Fraser University</v>
      </c>
      <c r="C615" s="66" t="s">
        <v>11333</v>
      </c>
      <c r="D615" s="66" t="s">
        <v>10295</v>
      </c>
      <c r="E615" s="66" t="s">
        <v>10289</v>
      </c>
    </row>
    <row r="616" ht="15.75" customHeight="1">
      <c r="A616" s="66">
        <f>'Main dataset (DEPRECATED)'!Q617</f>
        <v>6102480</v>
      </c>
      <c r="B616" s="66" t="str">
        <f>IFERROR(__xludf.DUMMYFUNCTION("SPLIT('Main dataset (DEPRECATED2)'!N617,"";"")"),"Lawrence Livermore Nat. Lab., CA, USA|c|")</f>
        <v>Lawrence Livermore Nat. Lab., CA, USA|c|</v>
      </c>
      <c r="C616" s="66" t="s">
        <v>7320</v>
      </c>
      <c r="D616" s="66" t="s">
        <v>9353</v>
      </c>
    </row>
    <row r="617" ht="15.75" customHeight="1">
      <c r="A617" s="66">
        <f>'Main dataset (DEPRECATED)'!Q618</f>
        <v>6102467</v>
      </c>
      <c r="B617" s="66" t="str">
        <f>IFERROR(__xludf.DUMMYFUNCTION("SPLIT('Main dataset (DEPRECATED2)'!N618,"";"")"),"University of California at San Diego##University of California at San Diego##University of California at San Diego##University of California at San Diego")</f>
        <v>University of California at San Diego##University of California at San Diego##University of California at San Diego##University of California at San Diego</v>
      </c>
      <c r="C617" s="66" t="s">
        <v>8556</v>
      </c>
      <c r="D617" s="66" t="s">
        <v>11191</v>
      </c>
    </row>
    <row r="618" ht="15.75" customHeight="1">
      <c r="A618" s="66">
        <f>'Main dataset (DEPRECATED)'!Q619</f>
        <v>6102468</v>
      </c>
      <c r="B618" s="66" t="str">
        <f>IFERROR(__xludf.DUMMYFUNCTION("SPLIT('Main dataset (DEPRECATED2)'!N619,"";"")"),"Usability Center Georgia Institute of Technology##Usability Center Georgia Institute of Technology##Usability Center Georgia Institute of Technology##Usability Center Georgia Institute of Technology")</f>
        <v>Usability Center Georgia Institute of Technology##Usability Center Georgia Institute of Technology##Usability Center Georgia Institute of Technology##Usability Center Georgia Institute of Technology</v>
      </c>
      <c r="C618" s="66" t="s">
        <v>9154</v>
      </c>
    </row>
    <row r="619" ht="15.75" customHeight="1">
      <c r="A619" s="66">
        <f>'Main dataset (DEPRECATED)'!Q620</f>
        <v>6102458</v>
      </c>
      <c r="B619" s="66" t="str">
        <f>IFERROR(__xludf.DUMMYFUNCTION("SPLIT('Main dataset (DEPRECATED2)'!N620,"";"")"),"Sandia Nat. Labs., Albuquerque, NM, USA|c|")</f>
        <v>Sandia Nat. Labs., Albuquerque, NM, USA|c|</v>
      </c>
      <c r="C619" s="66" t="s">
        <v>10015</v>
      </c>
      <c r="D619" s="66" t="s">
        <v>11728</v>
      </c>
      <c r="E619" s="66" t="s">
        <v>10285</v>
      </c>
      <c r="F619" s="66" t="s">
        <v>10842</v>
      </c>
      <c r="G619" s="66" t="s">
        <v>11814</v>
      </c>
    </row>
    <row r="620" ht="15.75" customHeight="1">
      <c r="A620" s="66">
        <f>'Main dataset (DEPRECATED)'!Q621</f>
        <v>6102488</v>
      </c>
      <c r="B620" s="66" t="str">
        <f>IFERROR(__xludf.DUMMYFUNCTION("SPLIT('Main dataset (DEPRECATED2)'!N621,"";"")"),"Naval Res. Lab., Washington, DC, USA|c|")</f>
        <v>Naval Res. Lab., Washington, DC, USA|c|</v>
      </c>
      <c r="C620" s="66" t="s">
        <v>11023</v>
      </c>
      <c r="D620" s="66" t="s">
        <v>11547</v>
      </c>
      <c r="E620" s="66" t="s">
        <v>8785</v>
      </c>
      <c r="F620" s="66" t="s">
        <v>10013</v>
      </c>
      <c r="G620" s="66" t="s">
        <v>8393</v>
      </c>
      <c r="H620" s="66" t="s">
        <v>7432</v>
      </c>
    </row>
    <row r="621" ht="15.75" customHeight="1">
      <c r="A621" s="66">
        <f>'Main dataset (DEPRECATED)'!Q622</f>
        <v>6102456</v>
      </c>
      <c r="B621" s="66" t="str">
        <f>IFERROR(__xludf.DUMMYFUNCTION("SPLIT('Main dataset (DEPRECATED2)'!N622,"";"")"),"Brookhaven National Laboratory##Brookhaven National Laboratory##Brookhaven National Laboratory")</f>
        <v>Brookhaven National Laboratory##Brookhaven National Laboratory##Brookhaven National Laboratory</v>
      </c>
      <c r="C621" s="66" t="s">
        <v>8414</v>
      </c>
      <c r="D621" s="66" t="s">
        <v>10189</v>
      </c>
      <c r="E621" s="66" t="s">
        <v>9889</v>
      </c>
      <c r="F621" s="66" t="s">
        <v>10378</v>
      </c>
      <c r="G621" s="66" t="s">
        <v>9450</v>
      </c>
      <c r="H621" s="66" t="s">
        <v>11779</v>
      </c>
      <c r="I621" s="66" t="s">
        <v>6531</v>
      </c>
    </row>
    <row r="622" ht="15.75" customHeight="1">
      <c r="A622" s="66">
        <f>'Main dataset (DEPRECATED)'!Q623</f>
        <v>6102447</v>
      </c>
      <c r="B622" s="66" t="str">
        <f>IFERROR(__xludf.DUMMYFUNCTION("SPLIT('Main dataset (DEPRECATED2)'!N623,"";"")"),"Adv. Comput. Lab., Los Alamos Nat. Lab., NM, USA|c|")</f>
        <v>Adv. Comput. Lab., Los Alamos Nat. Lab., NM, USA|c|</v>
      </c>
      <c r="C622" s="66" t="s">
        <v>6211</v>
      </c>
      <c r="D622" s="66" t="s">
        <v>6362</v>
      </c>
      <c r="E622" s="66" t="s">
        <v>8505</v>
      </c>
      <c r="F622" s="66" t="s">
        <v>11662</v>
      </c>
    </row>
    <row r="623" ht="15.75" customHeight="1">
      <c r="A623" s="66">
        <f>'Main dataset (DEPRECATED)'!Q624</f>
        <v>6102471</v>
      </c>
      <c r="B623" s="66" t="str">
        <f>IFERROR(__xludf.DUMMYFUNCTION("SPLIT('Main dataset (DEPRECATED2)'!N624,"";"")"),"Inst. of Marine &amp; Coastal Sci., Rutgers Univ., New Brunswick, NJ, USA|c|")</f>
        <v>Inst. of Marine &amp; Coastal Sci., Rutgers Univ., New Brunswick, NJ, USA|c|</v>
      </c>
      <c r="C623" s="66" t="s">
        <v>6703</v>
      </c>
      <c r="D623" s="66" t="s">
        <v>9930</v>
      </c>
      <c r="E623" s="66" t="s">
        <v>10597</v>
      </c>
    </row>
    <row r="624" ht="15.75" customHeight="1">
      <c r="A624" s="66">
        <f>'Main dataset (DEPRECATED)'!Q625</f>
        <v>6102465</v>
      </c>
      <c r="B624" s="66" t="str">
        <f>IFERROR(__xludf.DUMMYFUNCTION("SPLIT('Main dataset (DEPRECATED2)'!N625,"";"")"),"Sonar Research &amp; Development Ltd##Sonar Research &amp; Development Ltd##Sonar Research &amp; Development Ltd##Sonar Research &amp; Development Ltd")</f>
        <v>Sonar Research &amp; Development Ltd##Sonar Research &amp; Development Ltd##Sonar Research &amp; Development Ltd##Sonar Research &amp; Development Ltd</v>
      </c>
      <c r="C624" s="66" t="s">
        <v>11462</v>
      </c>
      <c r="D624" s="66" t="s">
        <v>11109</v>
      </c>
    </row>
    <row r="625" ht="15.75" customHeight="1">
      <c r="A625" s="66">
        <f>'Main dataset (DEPRECATED)'!Q626</f>
        <v>6102455</v>
      </c>
      <c r="B625" s="66" t="str">
        <f>IFERROR(__xludf.DUMMYFUNCTION("SPLIT('Main dataset (DEPRECATED2)'!N626,"";"")"),"The Hebrew University##The Hebrew University##The Hebrew University")</f>
        <v>The Hebrew University##The Hebrew University##The Hebrew University</v>
      </c>
      <c r="C625" s="66" t="s">
        <v>11727</v>
      </c>
      <c r="D625" s="66" t="s">
        <v>9136</v>
      </c>
      <c r="E625" s="66" t="s">
        <v>10652</v>
      </c>
      <c r="F625" s="66" t="s">
        <v>8287</v>
      </c>
      <c r="G625" s="66" t="s">
        <v>9635</v>
      </c>
    </row>
    <row r="626" ht="15.75" customHeight="1">
      <c r="A626" s="66">
        <f>'Main dataset (DEPRECATED)'!Q627</f>
        <v>6102435</v>
      </c>
      <c r="B626" s="66" t="str">
        <f>IFERROR(__xludf.DUMMYFUNCTION("SPLIT('Main dataset (DEPRECATED2)'!N627,"";"")"),"Naval Res. Lab., Washington, DC, USA|c|")</f>
        <v>Naval Res. Lab., Washington, DC, USA|c|</v>
      </c>
      <c r="C626" s="66" t="s">
        <v>7540</v>
      </c>
      <c r="D626" s="66" t="s">
        <v>8459</v>
      </c>
    </row>
    <row r="627" ht="15.75" customHeight="1">
      <c r="A627" s="66">
        <f>'Main dataset (DEPRECATED)'!Q628</f>
        <v>6102470</v>
      </c>
      <c r="B627" s="66" t="str">
        <f>IFERROR(__xludf.DUMMYFUNCTION("SPLIT('Main dataset (DEPRECATED2)'!N628,"";"")"),"Virginia Tech Blacksburg##Virginia Tech Blacksburg##Virginia Tech Blacksburg##Virginia Tech Blacksburg")</f>
        <v>Virginia Tech Blacksburg##Virginia Tech Blacksburg##Virginia Tech Blacksburg##Virginia Tech Blacksburg</v>
      </c>
      <c r="C627" s="66" t="s">
        <v>7353</v>
      </c>
      <c r="D627" s="66" t="s">
        <v>11531</v>
      </c>
    </row>
    <row r="628" ht="15.75" customHeight="1">
      <c r="A628" s="66">
        <f>'Main dataset (DEPRECATED)'!Q629</f>
        <v>6102457</v>
      </c>
      <c r="B628" s="66" t="str">
        <f>IFERROR(__xludf.DUMMYFUNCTION("SPLIT('Main dataset (DEPRECATED2)'!N629,"";"")"),"General Electric Corporation|c|")</f>
        <v>General Electric Corporation|c|</v>
      </c>
      <c r="C628" s="66" t="s">
        <v>9171</v>
      </c>
      <c r="D628" s="66" t="s">
        <v>7361</v>
      </c>
    </row>
    <row r="629" ht="15.75" customHeight="1">
      <c r="A629" s="66">
        <f>'Main dataset (DEPRECATED)'!Q630</f>
        <v>6102498</v>
      </c>
      <c r="B629" s="66" t="str">
        <f>IFERROR(__xludf.DUMMYFUNCTION("SPLIT('Main dataset (DEPRECATED2)'!N630,"";"")"),"University of North Carolina at Chapel Hill|c|")</f>
        <v>University of North Carolina at Chapel Hill|c|</v>
      </c>
      <c r="C629" s="66" t="s">
        <v>6702</v>
      </c>
      <c r="D629" s="66" t="s">
        <v>7537</v>
      </c>
      <c r="E629" s="66" t="s">
        <v>8299</v>
      </c>
      <c r="F629" s="66" t="s">
        <v>9068</v>
      </c>
      <c r="G629" s="66" t="s">
        <v>9166</v>
      </c>
      <c r="H629" s="66" t="s">
        <v>9223</v>
      </c>
      <c r="I629" s="66" t="s">
        <v>10062</v>
      </c>
      <c r="J629" s="66" t="s">
        <v>10098</v>
      </c>
      <c r="K629" s="66" t="s">
        <v>10205</v>
      </c>
      <c r="L629" s="66" t="s">
        <v>10390</v>
      </c>
      <c r="M629" s="66" t="s">
        <v>10426</v>
      </c>
      <c r="N629" s="66" t="s">
        <v>10490</v>
      </c>
      <c r="O629" s="66" t="s">
        <v>10813</v>
      </c>
      <c r="P629" s="66" t="s">
        <v>10975</v>
      </c>
      <c r="Q629" s="66" t="s">
        <v>11833</v>
      </c>
      <c r="R629" s="66" t="s">
        <v>8664</v>
      </c>
    </row>
    <row r="630" ht="15.75" customHeight="1">
      <c r="A630" s="66">
        <f>'Main dataset (DEPRECATED)'!Q631</f>
        <v>6102472</v>
      </c>
      <c r="B630" s="66" t="str">
        <f>IFERROR(__xludf.DUMMYFUNCTION("SPLIT('Main dataset (DEPRECATED2)'!N631,"";"")"),"University of Massachusetts Lowell|c|")</f>
        <v>University of Massachusetts Lowell|c|</v>
      </c>
      <c r="C630" s="66" t="s">
        <v>10205</v>
      </c>
      <c r="D630" s="66" t="s">
        <v>8419</v>
      </c>
      <c r="E630" s="66" t="s">
        <v>7167</v>
      </c>
      <c r="F630" s="66" t="s">
        <v>8664</v>
      </c>
      <c r="G630" s="66" t="s">
        <v>8089</v>
      </c>
      <c r="H630" s="66" t="s">
        <v>9348</v>
      </c>
    </row>
    <row r="631" ht="15.75" customHeight="1">
      <c r="A631" s="66">
        <f>'Main dataset (DEPRECATED)'!Q632</f>
        <v>6102443</v>
      </c>
      <c r="B631" s="66" t="str">
        <f>IFERROR(__xludf.DUMMYFUNCTION("SPLIT('Main dataset (DEPRECATED2)'!N632,"";"")"),"University of Minnesota Computer Scientist|c|")</f>
        <v>University of Minnesota Computer Scientist|c|</v>
      </c>
      <c r="C631" s="66" t="s">
        <v>7967</v>
      </c>
      <c r="D631" s="66" t="s">
        <v>11165</v>
      </c>
      <c r="E631" s="66" t="s">
        <v>10212</v>
      </c>
      <c r="F631" s="66" t="s">
        <v>8404</v>
      </c>
    </row>
    <row r="632" ht="15.75" customHeight="1">
      <c r="A632" s="66">
        <f>'Main dataset (DEPRECATED)'!Q633</f>
        <v>6102477</v>
      </c>
      <c r="B632" s="66" t="str">
        <f>IFERROR(__xludf.DUMMYFUNCTION("SPLIT('Main dataset (DEPRECATED2)'!N633,"";"")"),"University of Utah##University of Utah##University of Utah##University of Utah##University of Utah")</f>
        <v>University of Utah##University of Utah##University of Utah##University of Utah##University of Utah</v>
      </c>
      <c r="C632" s="66" t="s">
        <v>7404</v>
      </c>
      <c r="D632" s="66" t="s">
        <v>7365</v>
      </c>
      <c r="E632" s="66" t="s">
        <v>7127</v>
      </c>
      <c r="F632" s="66" t="s">
        <v>8428</v>
      </c>
    </row>
    <row r="633" ht="15.75" customHeight="1">
      <c r="A633" s="66">
        <f>'Main dataset (DEPRECATED)'!Q634</f>
        <v>6064968</v>
      </c>
      <c r="B633" s="66" t="str">
        <f>IFERROR(__xludf.DUMMYFUNCTION("SPLIT('Main dataset (DEPRECATED2)'!N634,"";"")"),"Eindhoven University of Technology Netherlands Energy Research Foundation ECN##Eindhoven University of Technology Netherlands Energy Research Foundation ECN")</f>
        <v>Eindhoven University of Technology Netherlands Energy Research Foundation ECN##Eindhoven University of Technology Netherlands Energy Research Foundation ECN</v>
      </c>
      <c r="C633" s="66" t="s">
        <v>8834</v>
      </c>
      <c r="D633" s="66" t="s">
        <v>7938</v>
      </c>
      <c r="E633" s="66" t="s">
        <v>8640</v>
      </c>
      <c r="F633" s="66" t="s">
        <v>7996</v>
      </c>
      <c r="G633" s="66" t="s">
        <v>8267</v>
      </c>
    </row>
    <row r="634" ht="15.75" customHeight="1">
      <c r="A634" s="66">
        <f>'Main dataset (DEPRECATED)'!Q635</f>
        <v>6064955</v>
      </c>
      <c r="B634" s="66" t="str">
        <f>IFERROR(__xludf.DUMMYFUNCTION("SPLIT('Main dataset (DEPRECATED2)'!N635,"";"")"),"Stanford University##Stanford University##Stanford University##Stanford University")</f>
        <v>Stanford University##Stanford University##Stanford University##Stanford University</v>
      </c>
      <c r="C634" s="66" t="s">
        <v>10219</v>
      </c>
    </row>
    <row r="635" ht="15.75" customHeight="1">
      <c r="A635" s="66">
        <f>'Main dataset (DEPRECATED)'!Q636</f>
        <v>6064973</v>
      </c>
      <c r="B635" s="66" t="str">
        <f>IFERROR(__xludf.DUMMYFUNCTION("SPLIT('Main dataset (DEPRECATED2)'!N636,"";"")"),"Xerox Palo Alto Research Center##Xerox Palo Alto Research Center")</f>
        <v>Xerox Palo Alto Research Center##Xerox Palo Alto Research Center</v>
      </c>
      <c r="C635" s="66" t="s">
        <v>9880</v>
      </c>
      <c r="D635" s="66" t="s">
        <v>6645</v>
      </c>
      <c r="E635" s="66" t="s">
        <v>8109</v>
      </c>
      <c r="F635" s="66" t="s">
        <v>9807</v>
      </c>
      <c r="G635" s="66" t="s">
        <v>6178</v>
      </c>
      <c r="H635" s="66" t="s">
        <v>8201</v>
      </c>
      <c r="I635" s="66" t="s">
        <v>8023</v>
      </c>
    </row>
    <row r="636" ht="15.75" customHeight="1">
      <c r="A636" s="66">
        <f>'Main dataset (DEPRECATED)'!Q637</f>
        <v>6064979</v>
      </c>
      <c r="B636" s="66" t="str">
        <f>IFERROR(__xludf.DUMMYFUNCTION("SPLIT('Main dataset (DEPRECATED2)'!N637,"";"")"),"Lab University of Maryland College Park##Lab University of Maryland College Park")</f>
        <v>Lab University of Maryland College Park##Lab University of Maryland College Park</v>
      </c>
      <c r="C636" s="66" t="s">
        <v>11365</v>
      </c>
      <c r="D636" s="66" t="s">
        <v>8321</v>
      </c>
    </row>
    <row r="637" ht="15.75" customHeight="1">
      <c r="A637" s="66">
        <f>'Main dataset (DEPRECATED)'!Q638</f>
        <v>6064962</v>
      </c>
      <c r="B637" s="66" t="str">
        <f>IFERROR(__xludf.DUMMYFUNCTION("SPLIT('Main dataset (DEPRECATED2)'!N638,"";"")"),"University of Cambridge Computer##University of Cambridge Computer##University of Cambridge Computer##University of Cambridge Computer")</f>
        <v>University of Cambridge Computer##University of Cambridge Computer##University of Cambridge Computer##University of Cambridge Computer</v>
      </c>
      <c r="C637" s="66" t="s">
        <v>9262</v>
      </c>
      <c r="D637" s="66" t="s">
        <v>6940</v>
      </c>
      <c r="E637" s="66" t="s">
        <v>10472</v>
      </c>
    </row>
    <row r="638" ht="15.75" customHeight="1">
      <c r="A638" s="66">
        <f>'Main dataset (DEPRECATED)'!Q639</f>
        <v>6064938</v>
      </c>
      <c r="B638" s="66" t="str">
        <f>IFERROR(__xludf.DUMMYFUNCTION("SPLIT('Main dataset (DEPRECATED2)'!N639,"";"")"),"Carnegie Mellon University##Carnegie Mellon University##Carnegie Mellon University")</f>
        <v>Carnegie Mellon University##Carnegie Mellon University##Carnegie Mellon University</v>
      </c>
      <c r="C638" s="66" t="s">
        <v>10932</v>
      </c>
      <c r="D638" s="66" t="s">
        <v>7021</v>
      </c>
      <c r="E638" s="66" t="s">
        <v>7670</v>
      </c>
      <c r="F638" s="66" t="s">
        <v>9191</v>
      </c>
      <c r="G638" s="66" t="s">
        <v>7746</v>
      </c>
    </row>
    <row r="639" ht="15.75" customHeight="1">
      <c r="A639" s="66">
        <f>'Main dataset (DEPRECATED)'!Q640</f>
        <v>6064961</v>
      </c>
      <c r="B639" s="66" t="str">
        <f>IFERROR(__xludf.DUMMYFUNCTION("SPLIT('Main dataset (DEPRECATED2)'!N640,"";"")"),"Viktoria Inst., Sweden|c|")</f>
        <v>Viktoria Inst., Sweden|c|</v>
      </c>
      <c r="C639" s="66" t="s">
        <v>9766</v>
      </c>
      <c r="D639" s="66" t="s">
        <v>11817</v>
      </c>
      <c r="E639" s="66" t="s">
        <v>11665</v>
      </c>
      <c r="F639" s="66" t="s">
        <v>11252</v>
      </c>
      <c r="G639" s="66" t="s">
        <v>8934</v>
      </c>
      <c r="H639" s="66" t="s">
        <v>11773</v>
      </c>
    </row>
    <row r="640" ht="15.75" customHeight="1">
      <c r="A640" s="66">
        <f>'Main dataset (DEPRECATED)'!Q641</f>
        <v>6064964</v>
      </c>
      <c r="B640" s="66" t="str">
        <f>IFERROR(__xludf.DUMMYFUNCTION("SPLIT('Main dataset (DEPRECATED2)'!N641,"";"")"),"Dept. of Comput. Sci., Worcester Polytech. Inst., MA, USA|c|")</f>
        <v>Dept. of Comput. Sci., Worcester Polytech. Inst., MA, USA|c|</v>
      </c>
      <c r="C640" s="66" t="s">
        <v>8479</v>
      </c>
      <c r="D640" s="66" t="s">
        <v>11573</v>
      </c>
      <c r="E640" s="66" t="s">
        <v>8501</v>
      </c>
    </row>
    <row r="641" ht="15.75" customHeight="1">
      <c r="A641" s="66">
        <f>'Main dataset (DEPRECATED)'!Q642</f>
        <v>6064956</v>
      </c>
      <c r="B641" s="66" t="str">
        <f>IFERROR(__xludf.DUMMYFUNCTION("SPLIT('Main dataset (DEPRECATED2)'!N642,"";"")"),"University of New Hampshire Durham##University of New Hampshire Durham##University of New Hampshire Durham")</f>
        <v>University of New Hampshire Durham##University of New Hampshire Durham##University of New Hampshire Durham</v>
      </c>
      <c r="C641" s="66" t="s">
        <v>6354</v>
      </c>
      <c r="D641" s="66" t="s">
        <v>6537</v>
      </c>
      <c r="E641" s="66" t="s">
        <v>11254</v>
      </c>
      <c r="F641" s="66" t="s">
        <v>7495</v>
      </c>
      <c r="G641" s="66" t="s">
        <v>10380</v>
      </c>
    </row>
    <row r="642" ht="15.75" customHeight="1">
      <c r="A642" s="66">
        <f>'Main dataset (DEPRECATED)'!Q643</f>
        <v>6064953</v>
      </c>
      <c r="B642" s="66" t="str">
        <f>IFERROR(__xludf.DUMMYFUNCTION("SPLIT('Main dataset (DEPRECATED2)'!N643,"";"")"),"Eindhoven University of Technology##Eindhoven University of Technology")</f>
        <v>Eindhoven University of Technology##Eindhoven University of Technology</v>
      </c>
      <c r="C642" s="66" t="s">
        <v>10875</v>
      </c>
      <c r="D642" s="66" t="s">
        <v>9807</v>
      </c>
      <c r="E642" s="66" t="s">
        <v>11226</v>
      </c>
    </row>
    <row r="643" ht="15.75" customHeight="1">
      <c r="A643" s="66">
        <f>'Main dataset (DEPRECATED)'!Q644</f>
        <v>6064963</v>
      </c>
      <c r="B643" s="66" t="str">
        <f>IFERROR(__xludf.DUMMYFUNCTION("SPLIT('Main dataset (DEPRECATED2)'!N644,"";"")"),"Keio University##Keio University##Keio University")</f>
        <v>Keio University##Keio University##Keio University</v>
      </c>
      <c r="C643" s="66" t="s">
        <v>11372</v>
      </c>
      <c r="D643" s="66" t="s">
        <v>11573</v>
      </c>
      <c r="E643" s="66" t="s">
        <v>8645</v>
      </c>
    </row>
    <row r="644" ht="15.75" customHeight="1">
      <c r="A644" s="66">
        <f>'Main dataset (DEPRECATED)'!Q645</f>
        <v>6064981</v>
      </c>
      <c r="B644" s="66" t="str">
        <f>IFERROR(__xludf.DUMMYFUNCTION("SPLIT('Main dataset (DEPRECATED2)'!N645,"";"")"),"Carnegie Mellon University Robotics Institute##Carnegie Mellon University Robotics Institute##Carnegie Mellon University Robotics Institute##Carnegie Mellon University Robotics Institute")</f>
        <v>Carnegie Mellon University Robotics Institute##Carnegie Mellon University Robotics Institute##Carnegie Mellon University Robotics Institute##Carnegie Mellon University Robotics Institute</v>
      </c>
      <c r="C644" s="66" t="s">
        <v>8603</v>
      </c>
      <c r="D644" s="66" t="s">
        <v>9525</v>
      </c>
      <c r="E644" s="66" t="s">
        <v>10411</v>
      </c>
    </row>
    <row r="645" ht="15.75" customHeight="1">
      <c r="A645" s="66">
        <f>'Main dataset (DEPRECATED)'!Q646</f>
        <v>6064982</v>
      </c>
      <c r="B645" s="66" t="str">
        <f>IFERROR(__xludf.DUMMYFUNCTION("SPLIT('Main dataset (DEPRECATED2)'!N646,"";"")"),"The MITRE Corporation")</f>
        <v>The MITRE Corporation</v>
      </c>
      <c r="C645" s="66" t="s">
        <v>6722</v>
      </c>
      <c r="D645" s="66" t="s">
        <v>11431</v>
      </c>
    </row>
    <row r="646" ht="15.75" customHeight="1">
      <c r="A646" s="66">
        <f>'Main dataset (DEPRECATED)'!Q647</f>
        <v>6064969</v>
      </c>
      <c r="B646" s="66" t="str">
        <f>IFERROR(__xludf.DUMMYFUNCTION("SPLIT('Main dataset (DEPRECATED2)'!N647,"";"")"),"MAYA Design Group, Inc##MAYA Design Group, Inc")</f>
        <v>MAYA Design Group, Inc##MAYA Design Group, Inc</v>
      </c>
      <c r="C646" s="66" t="s">
        <v>7179</v>
      </c>
    </row>
    <row r="647" ht="15.75" customHeight="1">
      <c r="A647" s="66">
        <f>'Main dataset (DEPRECATED)'!Q648</f>
        <v>6064942</v>
      </c>
      <c r="B647" s="66" t="str">
        <f>IFERROR(__xludf.DUMMYFUNCTION("SPLIT('Main dataset (DEPRECATED2)'!N648,"";"")"),"Dept. of Comput. Sci., Tel Aviv Univ., Israel|c|")</f>
        <v>Dept. of Comput. Sci., Tel Aviv Univ., Israel|c|</v>
      </c>
      <c r="C647" s="66" t="s">
        <v>9205</v>
      </c>
      <c r="D647" s="66" t="s">
        <v>9758</v>
      </c>
    </row>
    <row r="648" ht="15.75" customHeight="1">
      <c r="A648" s="66">
        <f>'Main dataset (DEPRECATED)'!Q649</f>
        <v>6064945</v>
      </c>
      <c r="B648" s="66" t="str">
        <f>IFERROR(__xludf.DUMMYFUNCTION("SPLIT('Main dataset (DEPRECATED2)'!N649,"";"")"),"Pacific Northwest Lab., Richland, WA, USA|c|")</f>
        <v>Pacific Northwest Lab., Richland, WA, USA|c|</v>
      </c>
      <c r="C648" s="66" t="s">
        <v>8853</v>
      </c>
      <c r="D648" s="66" t="s">
        <v>10603</v>
      </c>
      <c r="E648" s="66" t="s">
        <v>7906</v>
      </c>
      <c r="F648" s="66" t="s">
        <v>8098</v>
      </c>
      <c r="G648" s="66" t="s">
        <v>6854</v>
      </c>
      <c r="H648" s="66" t="s">
        <v>10569</v>
      </c>
      <c r="I648" s="66" t="s">
        <v>9807</v>
      </c>
      <c r="J648" s="66" t="s">
        <v>6645</v>
      </c>
    </row>
    <row r="649" ht="15.75" customHeight="1">
      <c r="A649" s="66">
        <f>'Main dataset (DEPRECATED)'!Q650</f>
        <v>6064954</v>
      </c>
      <c r="B649" s="66" t="str">
        <f>IFERROR(__xludf.DUMMYFUNCTION("SPLIT('Main dataset (DEPRECATED2)'!N650,"";"")"),"Hewlett Packard Res. Labs., USA|c|")</f>
        <v>Hewlett Packard Res. Labs., USA|c|</v>
      </c>
      <c r="C649" s="66" t="s">
        <v>11014</v>
      </c>
    </row>
    <row r="650" ht="15.75" customHeight="1">
      <c r="A650" s="66">
        <f>'Main dataset (DEPRECATED)'!Q651</f>
        <v>6064958</v>
      </c>
      <c r="B650" s="66" t="str">
        <f>IFERROR(__xludf.DUMMYFUNCTION("SPLIT('Main dataset (DEPRECATED2)'!N651,"";"")"),"The University of Arizona")</f>
        <v>The University of Arizona</v>
      </c>
      <c r="C650" s="66" t="s">
        <v>9008</v>
      </c>
      <c r="D650" s="66" t="s">
        <v>9676</v>
      </c>
      <c r="E650" s="66" t="s">
        <v>11396</v>
      </c>
    </row>
    <row r="651" ht="15.75" customHeight="1">
      <c r="A651" s="66">
        <f>'Main dataset (DEPRECATED)'!Q652</f>
        <v>6064974</v>
      </c>
      <c r="B651" s="66" t="str">
        <f>IFERROR(__xludf.DUMMYFUNCTION("SPLIT('Main dataset (DEPRECATED2)'!N652,"";"")"),"Stanford University##Stanford University##Stanford University")</f>
        <v>Stanford University##Stanford University##Stanford University</v>
      </c>
      <c r="C651" s="66" t="s">
        <v>8934</v>
      </c>
      <c r="D651" s="66" t="s">
        <v>7052</v>
      </c>
      <c r="E651" s="66" t="s">
        <v>7153</v>
      </c>
    </row>
    <row r="652" ht="15.75" customHeight="1">
      <c r="A652" s="66">
        <f>'Main dataset (DEPRECATED)'!Q653</f>
        <v>6064943</v>
      </c>
      <c r="B652" s="66" t="str">
        <f>IFERROR(__xludf.DUMMYFUNCTION("SPLIT('Main dataset (DEPRECATED2)'!N653,"";"")"),"Tel Aviv University Tel Aviv##Tel Aviv University Tel Aviv##Tel Aviv University Tel Aviv")</f>
        <v>Tel Aviv University Tel Aviv##Tel Aviv University Tel Aviv##Tel Aviv University Tel Aviv</v>
      </c>
      <c r="C652" s="66" t="s">
        <v>8009</v>
      </c>
      <c r="D652" s="66" t="s">
        <v>8737</v>
      </c>
    </row>
    <row r="653" ht="15.75" customHeight="1">
      <c r="A653" s="66">
        <f>'Main dataset (DEPRECATED)'!Q654</f>
        <v>6064944</v>
      </c>
      <c r="B653" s="66" t="str">
        <f>IFERROR(__xludf.DUMMYFUNCTION("SPLIT('Main dataset (DEPRECATED2)'!N654,"";"")"),"University of California##UniversitÃ¤t Kaiserslautern##University of California##University of California")</f>
        <v>University of California##UniversitÃ¤t Kaiserslautern##University of California##University of California</v>
      </c>
      <c r="C653" s="66" t="s">
        <v>8859</v>
      </c>
      <c r="D653" s="66" t="s">
        <v>10452</v>
      </c>
      <c r="E653" s="66" t="s">
        <v>7999</v>
      </c>
    </row>
    <row r="654" ht="15.75" customHeight="1">
      <c r="A654" s="66">
        <f>'Main dataset (DEPRECATED)'!Q655</f>
        <v>6064937</v>
      </c>
      <c r="B654" s="66" t="str">
        <f>IFERROR(__xludf.DUMMYFUNCTION("SPLIT('Main dataset (DEPRECATED2)'!N655,"";"")"),"MRJ Technology Solutions MRJ Technology Solutions NASA Ames Research Center NASA Ames Research Center##MRJ Technology Solutions MRJ Technology Solutions NASA Ames Research Center NASA Ames Research Center")</f>
        <v>MRJ Technology Solutions MRJ Technology Solutions NASA Ames Research Center NASA Ames Research Center##MRJ Technology Solutions MRJ Technology Solutions NASA Ames Research Center NASA Ames Research Center</v>
      </c>
      <c r="C654" s="66" t="s">
        <v>8984</v>
      </c>
      <c r="D654" s="66" t="s">
        <v>6939</v>
      </c>
      <c r="E654" s="66" t="s">
        <v>7877</v>
      </c>
      <c r="F654" s="66" t="s">
        <v>6857</v>
      </c>
    </row>
    <row r="655" ht="15.75" customHeight="1">
      <c r="A655" s="66">
        <f>'Main dataset (DEPRECATED)'!Q656</f>
        <v>6064977</v>
      </c>
      <c r="B655" s="66" t="str">
        <f>IFERROR(__xludf.DUMMYFUNCTION("SPLIT('Main dataset (DEPRECATED2)'!N656,"";"")"),"Eindhoven University of Technology##Eindhoven University of Technology")</f>
        <v>Eindhoven University of Technology##Eindhoven University of Technology</v>
      </c>
      <c r="C655" s="66" t="s">
        <v>11694</v>
      </c>
      <c r="D655" s="66" t="s">
        <v>10219</v>
      </c>
    </row>
    <row r="656" ht="15.75" customHeight="1">
      <c r="A656" s="66">
        <f>'Main dataset (DEPRECATED)'!Q657</f>
        <v>6064978</v>
      </c>
      <c r="B656" s="66" t="str">
        <f>IFERROR(__xludf.DUMMYFUNCTION("SPLIT('Main dataset (DEPRECATED2)'!N657,"";"")"),"Dept. of Comput. Sci., Worcester Polytech. Inst., MA, USA|c|")</f>
        <v>Dept. of Comput. Sci., Worcester Polytech. Inst., MA, USA|c|</v>
      </c>
      <c r="C656" s="66" t="s">
        <v>8346</v>
      </c>
      <c r="D656" s="66" t="s">
        <v>9251</v>
      </c>
      <c r="E656" s="66" t="s">
        <v>6170</v>
      </c>
      <c r="F656" s="66" t="s">
        <v>7396</v>
      </c>
      <c r="G656" s="66" t="s">
        <v>11845</v>
      </c>
      <c r="H656" s="66" t="s">
        <v>7824</v>
      </c>
      <c r="I656" s="66" t="s">
        <v>7786</v>
      </c>
      <c r="J656" s="66" t="s">
        <v>9758</v>
      </c>
    </row>
    <row r="657" ht="15.75" customHeight="1">
      <c r="A657" s="66">
        <f>'Main dataset (DEPRECATED)'!Q658</f>
        <v>6064980</v>
      </c>
      <c r="B657" s="66" t="str">
        <f>IFERROR(__xludf.DUMMYFUNCTION("SPLIT('Main dataset (DEPRECATED2)'!N658,"";"")"),"WSI/GRIS University of TÃ¼bingen##WSI/GRIS University of TÃ¼bingen##WSI/GRIS University of TÃ¼bingen")</f>
        <v>WSI/GRIS University of TÃ¼bingen##WSI/GRIS University of TÃ¼bingen##WSI/GRIS University of TÃ¼bingen</v>
      </c>
      <c r="C657" s="66" t="s">
        <v>9713</v>
      </c>
      <c r="D657" s="66" t="s">
        <v>6642</v>
      </c>
      <c r="E657" s="66" t="s">
        <v>6961</v>
      </c>
      <c r="F657" s="66" t="s">
        <v>7887</v>
      </c>
      <c r="G657" s="66" t="s">
        <v>11007</v>
      </c>
      <c r="H657" s="66" t="s">
        <v>11250</v>
      </c>
    </row>
    <row r="658" ht="15.75" customHeight="1">
      <c r="A658" s="66">
        <f>'Main dataset (DEPRECATED)'!Q659</f>
        <v>6064976</v>
      </c>
      <c r="B658" s="66" t="str">
        <f>IFERROR(__xludf.DUMMYFUNCTION("SPLIT('Main dataset (DEPRECATED2)'!N659,"";"")"),"Microsoft Research")</f>
        <v>Microsoft Research</v>
      </c>
      <c r="C658" s="66" t="s">
        <v>7985</v>
      </c>
      <c r="D658" s="66" t="s">
        <v>7273</v>
      </c>
      <c r="E658" s="66" t="s">
        <v>7887</v>
      </c>
    </row>
    <row r="659" ht="15.75" customHeight="1">
      <c r="A659" s="66">
        <f>'Main dataset (DEPRECATED)'!Q660</f>
        <v>6064951</v>
      </c>
      <c r="B659" s="66" t="str">
        <f>IFERROR(__xludf.DUMMYFUNCTION("SPLIT('Main dataset (DEPRECATED2)'!N660,"";"")"),"Multigen Paradigm, San Jose, CA, USA|c|")</f>
        <v>Multigen Paradigm, San Jose, CA, USA|c|</v>
      </c>
      <c r="C659" s="66" t="s">
        <v>7609</v>
      </c>
      <c r="D659" s="66" t="s">
        <v>8186</v>
      </c>
      <c r="E659" s="66" t="s">
        <v>7273</v>
      </c>
      <c r="F659" s="66" t="s">
        <v>9984</v>
      </c>
      <c r="G659" s="66" t="s">
        <v>10438</v>
      </c>
    </row>
    <row r="660" ht="15.75" customHeight="1">
      <c r="A660" s="66">
        <f>'Main dataset (DEPRECATED)'!Q661</f>
        <v>6064959</v>
      </c>
      <c r="B660" s="66" t="str">
        <f>IFERROR(__xludf.DUMMYFUNCTION("SPLIT('Main dataset (DEPRECATED2)'!N661,"";"")"),"University of California")</f>
        <v>University of California</v>
      </c>
      <c r="C660" s="66" t="s">
        <v>6175</v>
      </c>
      <c r="D660" s="66" t="s">
        <v>9529</v>
      </c>
    </row>
    <row r="661" ht="15.75" customHeight="1">
      <c r="A661" s="66">
        <f>'Main dataset (DEPRECATED)'!Q662</f>
        <v>6064941</v>
      </c>
      <c r="B661" s="66" t="str">
        <f>IFERROR(__xludf.DUMMYFUNCTION("SPLIT('Main dataset (DEPRECATED2)'!N662,"";"")"),"State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v>
      </c>
      <c r="C661" s="66" t="s">
        <v>11004</v>
      </c>
      <c r="D661" s="66" t="s">
        <v>4285</v>
      </c>
    </row>
    <row r="662" ht="15.75" customHeight="1">
      <c r="A662" s="66">
        <f>'Main dataset (DEPRECATED)'!Q663</f>
        <v>6064940</v>
      </c>
      <c r="B662" s="66" t="str">
        <f>IFERROR(__xludf.DUMMYFUNCTION("SPLIT('Main dataset (DEPRECATED2)'!N663,"";"")"),"NSF Engineering Research Center##Information Technology Laboratory##NSF Engineering Research Center##NSF Engineering Research Center")</f>
        <v>NSF Engineering Research Center##Information Technology Laboratory##NSF Engineering Research Center##NSF Engineering Research Center</v>
      </c>
      <c r="C662" s="66" t="s">
        <v>10309</v>
      </c>
      <c r="D662" s="66" t="s">
        <v>7581</v>
      </c>
      <c r="E662" s="66" t="s">
        <v>9873</v>
      </c>
      <c r="F662" s="66" t="s">
        <v>11694</v>
      </c>
    </row>
    <row r="663" ht="15.75" customHeight="1">
      <c r="A663" s="66">
        <f>'Main dataset (DEPRECATED)'!Q664</f>
        <v>6064950</v>
      </c>
      <c r="B663" s="66" t="str">
        <f>IFERROR(__xludf.DUMMYFUNCTION("SPLIT('Main dataset (DEPRECATED2)'!N664,"";"")"),"Stanford University Stanford University Stanford##Stanford University Stanford University Stanford")</f>
        <v>Stanford University Stanford University Stanford##Stanford University Stanford University Stanford</v>
      </c>
      <c r="C663" s="66" t="s">
        <v>10142</v>
      </c>
      <c r="D663" s="66" t="s">
        <v>7627</v>
      </c>
      <c r="E663" s="66" t="s">
        <v>8196</v>
      </c>
      <c r="F663" s="66" t="s">
        <v>10402</v>
      </c>
      <c r="G663" s="66" t="s">
        <v>6536</v>
      </c>
      <c r="H663" s="66" t="s">
        <v>7887</v>
      </c>
    </row>
    <row r="664" ht="15.75" customHeight="1">
      <c r="A664" s="66">
        <f>'Main dataset (DEPRECATED)'!Q665</f>
        <v>6064984</v>
      </c>
      <c r="B664" s="66" t="str">
        <f>IFERROR(__xludf.DUMMYFUNCTION("SPLIT('Main dataset (DEPRECATED2)'!N665,"";"")"),"IBM T. J. Watson Research Center##IBM T. J. Watson Research Center")</f>
        <v>IBM T. J. Watson Research Center##IBM T. J. Watson Research Center</v>
      </c>
      <c r="C664" s="66" t="s">
        <v>8127</v>
      </c>
      <c r="D664" s="66" t="s">
        <v>10113</v>
      </c>
      <c r="E664" s="66" t="s">
        <v>8642</v>
      </c>
      <c r="F664" s="66" t="s">
        <v>7887</v>
      </c>
    </row>
    <row r="665" ht="15.75" customHeight="1">
      <c r="A665" s="66">
        <f>'Main dataset (DEPRECATED)'!Q666</f>
        <v>6064946</v>
      </c>
      <c r="B665" s="66" t="str">
        <f>IFERROR(__xludf.DUMMYFUNCTION("SPLIT('Main dataset (DEPRECATED2)'!N666,"";"")"),"CRS4, Center for Advanced Studies, Research and Development in Sardinia")</f>
        <v>CRS4, Center for Advanced Studies, Research and Development in Sardinia</v>
      </c>
      <c r="C665" s="66" t="s">
        <v>7412</v>
      </c>
    </row>
    <row r="666" ht="15.75" customHeight="1">
      <c r="A666" s="66">
        <f>'Main dataset (DEPRECATED)'!Q667</f>
        <v>6064936</v>
      </c>
      <c r="B666" s="66" t="str">
        <f>IFERROR(__xludf.DUMMYFUNCTION("SPLIT('Main dataset (DEPRECATED2)'!N667,"";"")"),"Ben-Gurion University##Ben-Gurion University##Ben-Gurion University")</f>
        <v>Ben-Gurion University##Ben-Gurion University##Ben-Gurion University</v>
      </c>
      <c r="C666" s="66" t="s">
        <v>11213</v>
      </c>
    </row>
    <row r="667" ht="15.75" customHeight="1">
      <c r="A667" s="66">
        <f>'Main dataset (DEPRECATED)'!Q668</f>
        <v>6064970</v>
      </c>
      <c r="B667" s="66" t="str">
        <f>IFERROR(__xludf.DUMMYFUNCTION("SPLIT('Main dataset (DEPRECATED2)'!N668,"";"")"),"University of Stuttgart##University of Stuttgart##University of Stuttgart")</f>
        <v>University of Stuttgart##University of Stuttgart##University of Stuttgart</v>
      </c>
      <c r="C667" s="66" t="s">
        <v>8093</v>
      </c>
    </row>
    <row r="668" ht="15.75" customHeight="1">
      <c r="A668" s="66">
        <f>'Main dataset (DEPRECATED)'!Q669</f>
        <v>6064967</v>
      </c>
      <c r="B668" s="66" t="str">
        <f>IFERROR(__xludf.DUMMYFUNCTION("SPLIT('Main dataset (DEPRECATED2)'!N669,"";"")"),"University of Utah Salt Lake City##University of Utah Salt Lake City")</f>
        <v>University of Utah Salt Lake City##University of Utah Salt Lake City</v>
      </c>
      <c r="C668" s="66" t="s">
        <v>9591</v>
      </c>
    </row>
    <row r="669" ht="15.75" customHeight="1">
      <c r="A669" s="66">
        <f>'Main dataset (DEPRECATED)'!Q670</f>
        <v>6064957</v>
      </c>
      <c r="B669" s="66" t="str">
        <f>IFERROR(__xludf.DUMMYFUNCTION("SPLIT('Main dataset (DEPRECATED2)'!N670,"";"")"),"Regina Univ., Sask., Canada|c|")</f>
        <v>Regina Univ., Sask., Canada|c|</v>
      </c>
      <c r="C669" s="66" t="s">
        <v>6872</v>
      </c>
      <c r="D669" s="66" t="s">
        <v>10824</v>
      </c>
    </row>
    <row r="670" ht="15.75" customHeight="1">
      <c r="A670" s="66">
        <f>'Main dataset (DEPRECATED)'!Q671</f>
        <v>6064983</v>
      </c>
      <c r="B670" s="66" t="str">
        <f>IFERROR(__xludf.DUMMYFUNCTION("SPLIT('Main dataset (DEPRECATED2)'!N671,"";"")"),"University of North Carolina at Chapel Hill##University of North Carolina at Chapel Hill##University of North Carolina at Chapel Hill##University of North Carolina at Chapel Hill##University of North Carolina at Chapel Hill##University of North Carolina a"&amp;"t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v>
      </c>
      <c r="C670" s="66" t="s">
        <v>9613</v>
      </c>
      <c r="D670" s="66" t="s">
        <v>6480</v>
      </c>
      <c r="E670" s="66" t="s">
        <v>9984</v>
      </c>
    </row>
    <row r="671" ht="15.75" customHeight="1">
      <c r="A671" s="66">
        <f>'Main dataset (DEPRECATED)'!Q672</f>
        <v>6064947</v>
      </c>
      <c r="B671" s="66" t="str">
        <f>IFERROR(__xludf.DUMMYFUNCTION("SPLIT('Main dataset (DEPRECATED2)'!N672,"";"")"),"GMD German National Research Center for Information Technology##GMD German National Research Center for Information Technology##GMD German National Research Center for Information Technology##GMD German National Research Center for Information Technology#"&amp;"#GMD German National Research Center for Information Technology")</f>
        <v>GMD German National Research Center for Information Technology##GMD German National Research Center for Information Technology##GMD German National Research Center for Information Technology##GMD German National Research Center for Information Technology##GMD German National Research Center for Information Technology</v>
      </c>
      <c r="C671" s="66" t="s">
        <v>9072</v>
      </c>
      <c r="D671" s="66" t="s">
        <v>6645</v>
      </c>
    </row>
    <row r="672" ht="15.75" customHeight="1">
      <c r="A672" s="66">
        <f>'Main dataset (DEPRECATED)'!Q673</f>
        <v>6064948</v>
      </c>
      <c r="B672" s="66" t="str">
        <f>IFERROR(__xludf.DUMMYFUNCTION("SPLIT('Main dataset (DEPRECATED2)'!N673,"";"")"),"University of Geneva##University of Geneva##University of Geneva##University of Geneva##University of Geneva##University of Geneva")</f>
        <v>University of Geneva##University of Geneva##University of Geneva##University of Geneva##University of Geneva##University of Geneva</v>
      </c>
      <c r="C672" s="66" t="s">
        <v>9072</v>
      </c>
    </row>
    <row r="673" ht="15.75" customHeight="1">
      <c r="A673" s="66">
        <f>'Main dataset (DEPRECATED)'!Q674</f>
        <v>6064965</v>
      </c>
      <c r="B673" s="66" t="str">
        <f>IFERROR(__xludf.DUMMYFUNCTION("SPLIT('Main dataset (DEPRECATED2)'!N674,"";"")"),"University of Utah##University of Utah")</f>
        <v>University of Utah##University of Utah</v>
      </c>
      <c r="C673" s="66" t="s">
        <v>6844</v>
      </c>
    </row>
    <row r="674" ht="15.75" customHeight="1">
      <c r="A674" s="66">
        <f>'Main dataset (DEPRECATED)'!Q675</f>
        <v>6064952</v>
      </c>
      <c r="B674" s="66" t="str">
        <f>IFERROR(__xludf.DUMMYFUNCTION("SPLIT('Main dataset (DEPRECATED2)'!N675,"";"")"),"State University of New York at Stony Brook Stony Brook##State University of New York at Stony Brook Stony Brook")</f>
        <v>State University of New York at Stony Brook Stony Brook##State University of New York at Stony Brook Stony Brook</v>
      </c>
      <c r="C674" s="66" t="s">
        <v>10310</v>
      </c>
      <c r="D674" s="66" t="s">
        <v>9472</v>
      </c>
      <c r="E674" s="66" t="s">
        <v>8114</v>
      </c>
      <c r="F674" s="66" t="s">
        <v>11354</v>
      </c>
      <c r="G674" s="66" t="s">
        <v>11233</v>
      </c>
      <c r="H674" s="66" t="s">
        <v>6455</v>
      </c>
    </row>
    <row r="675" ht="15.75" customHeight="1">
      <c r="A675" s="66">
        <f>'Main dataset (DEPRECATED)'!Q676</f>
        <v>6064972</v>
      </c>
      <c r="B675" s="66" t="str">
        <f>IFERROR(__xludf.DUMMYFUNCTION("SPLIT('Main dataset (DEPRECATED2)'!N676,"";"")"),"Real Time Visualization")</f>
        <v>Real Time Visualization</v>
      </c>
      <c r="C675" s="66" t="s">
        <v>10110</v>
      </c>
      <c r="D675" s="66" t="s">
        <v>8267</v>
      </c>
      <c r="E675" s="66" t="s">
        <v>8114</v>
      </c>
    </row>
    <row r="676" ht="15.75" customHeight="1">
      <c r="A676" s="66">
        <f>'Main dataset (DEPRECATED)'!Q677</f>
        <v>6064949</v>
      </c>
      <c r="B676" s="66" t="str">
        <f>IFERROR(__xludf.DUMMYFUNCTION("SPLIT('Main dataset (DEPRECATED2)'!N677,"";"")"),"Comput. Graphics Lab., Tubingen Univ., Germany|c|")</f>
        <v>Comput. Graphics Lab., Tubingen Univ., Germany|c|</v>
      </c>
      <c r="C676" s="66" t="s">
        <v>7393</v>
      </c>
    </row>
    <row r="677" ht="15.75" customHeight="1">
      <c r="A677" s="66">
        <f>'Main dataset (DEPRECATED)'!Q678</f>
        <v>6064939</v>
      </c>
      <c r="B677" s="66" t="str">
        <f>IFERROR(__xludf.DUMMYFUNCTION("SPLIT('Main dataset (DEPRECATED2)'!N678,"";"")"),"Stanford University##Stanford University")</f>
        <v>Stanford University##Stanford University</v>
      </c>
      <c r="C677" s="66" t="s">
        <v>7698</v>
      </c>
      <c r="D677" s="66" t="s">
        <v>10345</v>
      </c>
    </row>
    <row r="678" ht="15.75" customHeight="1">
      <c r="A678" s="66">
        <f>'Main dataset (DEPRECATED)'!Q679</f>
        <v>6064960</v>
      </c>
      <c r="B678" s="66" t="str">
        <f>IFERROR(__xludf.DUMMYFUNCTION("SPLIT('Main dataset (DEPRECATED2)'!N679,"";"")"),"Kitware, Inc.)")</f>
        <v>Kitware, Inc.)</v>
      </c>
      <c r="C678" s="66" t="s">
        <v>6685</v>
      </c>
      <c r="D678" s="66" t="s">
        <v>7887</v>
      </c>
    </row>
    <row r="679" ht="15.75" customHeight="1">
      <c r="A679" s="66">
        <f>'Main dataset (DEPRECATED)'!Q680</f>
        <v>6064966</v>
      </c>
      <c r="B679" s="66" t="str">
        <f>IFERROR(__xludf.DUMMYFUNCTION("SPLIT('Main dataset (DEPRECATED2)'!N680,"";"")"),"University of Erlangenâ€“Nuremberg##University of Erlangenâ€“Nuremberg##University of Erlangenâ€“Nuremberg##University of Erlangenâ€“Nuremberg##University of Erlangenâ€“Nuremberg")</f>
        <v>University of Erlangenâ€“Nuremberg##University of Erlangenâ€“Nuremberg##University of Erlangenâ€“Nuremberg##University of Erlangenâ€“Nuremberg##University of Erlangenâ€“Nuremberg</v>
      </c>
      <c r="C679" s="66" t="s">
        <v>6394</v>
      </c>
      <c r="D679" s="66" t="s">
        <v>8114</v>
      </c>
    </row>
    <row r="680" ht="15.75" customHeight="1">
      <c r="A680" s="66">
        <f>'Main dataset (DEPRECATED)'!Q681</f>
        <v>6064971</v>
      </c>
      <c r="B680" s="66" t="str">
        <f>IFERROR(__xludf.DUMMYFUNCTION("SPLIT('Main dataset (DEPRECATED2)'!N681,"";"")"),"Indiana University Bloomington##Indiana University Bloomington")</f>
        <v>Indiana University Bloomington##Indiana University Bloomington</v>
      </c>
      <c r="C680" s="66" t="s">
        <v>11503</v>
      </c>
      <c r="D680" s="66" t="s">
        <v>8005</v>
      </c>
      <c r="E680" s="66" t="s">
        <v>7701</v>
      </c>
    </row>
    <row r="681" ht="15.75" customHeight="1">
      <c r="A681" s="66">
        <f>'Main dataset (DEPRECATED)'!Q682</f>
        <v>6064975</v>
      </c>
      <c r="B681" s="66" t="str">
        <f>IFERROR(__xludf.DUMMYFUNCTION("SPLIT('Main dataset (DEPRECATED2)'!N682,"";"")"),"University of Utah##University of Utah##University of Utah")</f>
        <v>University of Utah##University of Utah##University of Utah</v>
      </c>
      <c r="C681" s="66" t="s">
        <v>9649</v>
      </c>
      <c r="D681" s="66" t="s">
        <v>11594</v>
      </c>
    </row>
    <row r="682" ht="15.75" customHeight="1">
      <c r="A682" s="66">
        <f>'Main dataset (DEPRECATED)'!Q683</f>
        <v>5613451</v>
      </c>
      <c r="B682" s="66" t="str">
        <f>IFERROR(__xludf.DUMMYFUNCTION("SPLIT('Main dataset (DEPRECATED2)'!N683,"";"")"),"University of Kaiserslautern##University of Kaiserslautern##University of Kaiserslautern")</f>
        <v>University of Kaiserslautern##University of Kaiserslautern##University of Kaiserslautern</v>
      </c>
      <c r="C682" s="66" t="s">
        <v>7907</v>
      </c>
      <c r="D682" s="66" t="s">
        <v>11481</v>
      </c>
      <c r="E682" s="66" t="s">
        <v>6786</v>
      </c>
    </row>
    <row r="683" ht="15.75" customHeight="1">
      <c r="A683" s="66">
        <f>'Main dataset (DEPRECATED)'!Q684</f>
        <v>5613441</v>
      </c>
      <c r="B683" s="66" t="str">
        <f>IFERROR(__xludf.DUMMYFUNCTION("SPLIT('Main dataset (DEPRECATED2)'!N684,"";"")"),"ETH ZÃ¼rich##ETH ZÃ¼rich")</f>
        <v>ETH ZÃ¼rich##ETH ZÃ¼rich</v>
      </c>
      <c r="C683" s="66" t="s">
        <v>9064</v>
      </c>
      <c r="D683" s="66" t="s">
        <v>8046</v>
      </c>
    </row>
    <row r="684" ht="15.75" customHeight="1">
      <c r="A684" s="66">
        <f>'Main dataset (DEPRECATED)'!Q685</f>
        <v>5613455</v>
      </c>
      <c r="B684" s="66" t="str">
        <f>IFERROR(__xludf.DUMMYFUNCTION("SPLIT('Main dataset (DEPRECATED2)'!N685,"";"")"),"University of Kaiserslautern##University of Kaiserslautern##University of Kaiserslautern")</f>
        <v>University of Kaiserslautern##University of Kaiserslautern##University of Kaiserslautern</v>
      </c>
      <c r="C684" s="66" t="s">
        <v>8230</v>
      </c>
      <c r="D684" s="66" t="s">
        <v>8985</v>
      </c>
    </row>
    <row r="685" ht="15.75" customHeight="1">
      <c r="A685" s="66">
        <f>'Main dataset (DEPRECATED)'!Q686</f>
        <v>5613440</v>
      </c>
      <c r="B685" s="66" t="str">
        <f>IFERROR(__xludf.DUMMYFUNCTION("SPLIT('Main dataset (DEPRECATED2)'!N686,"";"")"),"LMC -CNRS")</f>
        <v>LMC -CNRS</v>
      </c>
      <c r="C685" s="66" t="s">
        <v>10838</v>
      </c>
      <c r="D685" s="66" t="s">
        <v>9799</v>
      </c>
      <c r="E685" s="66" t="s">
        <v>8639</v>
      </c>
      <c r="F685" s="66" t="s">
        <v>10411</v>
      </c>
    </row>
    <row r="686" ht="15.75" customHeight="1">
      <c r="A686" s="66">
        <f>'Main dataset (DEPRECATED)'!Q687</f>
        <v>5613453</v>
      </c>
      <c r="B686" s="66" t="str">
        <f>IFERROR(__xludf.DUMMYFUNCTION("SPLIT('Main dataset (DEPRECATED2)'!N687,"";"")"),"Arizona State University Tempe##Arizona State University Tempe##Arizona State University Tempe")</f>
        <v>Arizona State University Tempe##Arizona State University Tempe##Arizona State University Tempe</v>
      </c>
      <c r="C686" s="66" t="s">
        <v>6588</v>
      </c>
    </row>
    <row r="687" ht="15.75" customHeight="1">
      <c r="A687" s="66">
        <f>'Main dataset (DEPRECATED)'!Q688</f>
        <v>5613432</v>
      </c>
      <c r="B687" s="66" t="str">
        <f>IFERROR(__xludf.DUMMYFUNCTION("SPLIT('Main dataset (DEPRECATED2)'!N688,"";"")"),"State Univ. of New York, Stony Brook, NY, USA|c|")</f>
        <v>State Univ. of New York, Stony Brook, NY, USA|c|</v>
      </c>
      <c r="C687" s="66" t="s">
        <v>11069</v>
      </c>
      <c r="D687" s="66" t="s">
        <v>10915</v>
      </c>
    </row>
    <row r="688" ht="15.75" customHeight="1">
      <c r="A688" s="66">
        <f>'Main dataset (DEPRECATED)'!Q689</f>
        <v>5613433</v>
      </c>
      <c r="B688" s="66" t="str">
        <f>IFERROR(__xludf.DUMMYFUNCTION("SPLIT('Main dataset (DEPRECATED2)'!N689,"";"")"),"Graphics, Visualization &amp; Usability Center, Georgia Inst. of Technol., Atlanta, GA, USA|c|")</f>
        <v>Graphics, Visualization &amp; Usability Center, Georgia Inst. of Technol., Atlanta, GA, USA|c|</v>
      </c>
      <c r="C688" s="66" t="s">
        <v>10000</v>
      </c>
      <c r="D688" s="66" t="s">
        <v>6857</v>
      </c>
      <c r="E688" s="66" t="s">
        <v>8421</v>
      </c>
      <c r="F688" s="66" t="s">
        <v>9555</v>
      </c>
      <c r="G688" s="66" t="s">
        <v>11034</v>
      </c>
    </row>
    <row r="689" ht="15.75" customHeight="1">
      <c r="A689" s="66">
        <f>'Main dataset (DEPRECATED)'!Q690</f>
        <v>5613456</v>
      </c>
      <c r="B689" s="66" t="str">
        <f>IFERROR(__xludf.DUMMYFUNCTION("SPLIT('Main dataset (DEPRECATED2)'!N690,"";"")"),"University of Texas at Austin##University of Texas at Austin##University of Texas at Austin")</f>
        <v>University of Texas at Austin##University of Texas at Austin##University of Texas at Austin</v>
      </c>
      <c r="C689" s="66" t="s">
        <v>8498</v>
      </c>
      <c r="D689" s="66" t="s">
        <v>11723</v>
      </c>
      <c r="E689" s="66" t="s">
        <v>7836</v>
      </c>
      <c r="F689" s="66" t="s">
        <v>10595</v>
      </c>
      <c r="G689" s="66" t="s">
        <v>8287</v>
      </c>
    </row>
    <row r="690" ht="15.75" customHeight="1">
      <c r="A690" s="66">
        <f>'Main dataset (DEPRECATED)'!Q691</f>
        <v>5613445</v>
      </c>
      <c r="B690" s="66" t="str">
        <f>IFERROR(__xludf.DUMMYFUNCTION("SPLIT('Main dataset (DEPRECATED2)'!N691,"";"")"),"Laboratories University of New##Laboratories University of New")</f>
        <v>Laboratories University of New##Laboratories University of New</v>
      </c>
      <c r="C690" s="66" t="s">
        <v>7306</v>
      </c>
      <c r="D690" s="66" t="s">
        <v>7497</v>
      </c>
      <c r="E690" s="66" t="s">
        <v>8564</v>
      </c>
      <c r="F690" s="66" t="s">
        <v>11345</v>
      </c>
    </row>
    <row r="691" ht="15.75" customHeight="1">
      <c r="A691" s="66">
        <f>'Main dataset (DEPRECATED)'!Q692</f>
        <v>5613434</v>
      </c>
      <c r="B691" s="66" t="str">
        <f>IFERROR(__xludf.DUMMYFUNCTION("SPLIT('Main dataset (DEPRECATED2)'!N692,"";"")"),"Inst. fur Angewandte Math., Bonn Univ., Germany|c|")</f>
        <v>Inst. fur Angewandte Math., Bonn Univ., Germany|c|</v>
      </c>
      <c r="C691" s="66" t="s">
        <v>7009</v>
      </c>
      <c r="D691" s="66" t="s">
        <v>8223</v>
      </c>
      <c r="E691" s="66" t="s">
        <v>6709</v>
      </c>
    </row>
    <row r="692" ht="15.75" customHeight="1">
      <c r="A692" s="66">
        <f>'Main dataset (DEPRECATED)'!Q693</f>
        <v>5613429</v>
      </c>
      <c r="B692" s="66" t="str">
        <f>IFERROR(__xludf.DUMMYFUNCTION("SPLIT('Main dataset (DEPRECATED2)'!N693,"";"")"),"Brown University##Brown University##Brown University")</f>
        <v>Brown University##Brown University##Brown University</v>
      </c>
      <c r="C692" s="66" t="s">
        <v>9304</v>
      </c>
      <c r="D692" s="66" t="s">
        <v>7395</v>
      </c>
    </row>
    <row r="693" ht="15.75" customHeight="1">
      <c r="A693" s="66">
        <f>'Main dataset (DEPRECATED)'!Q694</f>
        <v>5613428</v>
      </c>
      <c r="B693" s="66" t="str">
        <f>IFERROR(__xludf.DUMMYFUNCTION("SPLIT('Main dataset (DEPRECATED2)'!N694,"";"")"),"NASA Ames Research Center##")</f>
        <v>NASA Ames Research Center##</v>
      </c>
      <c r="C693" s="66" t="s">
        <v>10167</v>
      </c>
      <c r="D693" s="66" t="s">
        <v>10076</v>
      </c>
      <c r="E693" s="66" t="s">
        <v>8908</v>
      </c>
    </row>
    <row r="694" ht="15.75" customHeight="1">
      <c r="A694" s="66">
        <f>'Main dataset (DEPRECATED)'!Q695</f>
        <v>5613431</v>
      </c>
      <c r="B694" s="66" t="str">
        <f>IFERROR(__xludf.DUMMYFUNCTION("SPLIT('Main dataset (DEPRECATED2)'!N695,"";"")"),"Center for Mathematics and Computer Science, Amsterdam, Netherlands")</f>
        <v>Center for Mathematics and Computer Science, Amsterdam, Netherlands</v>
      </c>
      <c r="C694" s="66" t="s">
        <v>11069</v>
      </c>
      <c r="D694" s="66" t="s">
        <v>10830</v>
      </c>
    </row>
    <row r="695" ht="15.75" customHeight="1">
      <c r="A695" s="66">
        <f>'Main dataset (DEPRECATED)'!Q696</f>
        <v>5613438</v>
      </c>
      <c r="B695" s="66" t="str">
        <f>IFERROR(__xludf.DUMMYFUNCTION("SPLIT('Main dataset (DEPRECATED2)'!N696,"";"")"),"University of California##University of California##University of California")</f>
        <v>University of California##University of California##University of California</v>
      </c>
      <c r="C695" s="66" t="s">
        <v>8832</v>
      </c>
    </row>
    <row r="696" ht="15.75" customHeight="1">
      <c r="A696" s="66">
        <f>'Main dataset (DEPRECATED)'!Q697</f>
        <v>5613458</v>
      </c>
      <c r="B696" s="66" t="str">
        <f>IFERROR(__xludf.DUMMYFUNCTION("SPLIT('Main dataset (DEPRECATED2)'!N697,"";"")"),"The Ohio State University##The Ohio State University##The Ohio State University")</f>
        <v>The Ohio State University##The Ohio State University##The Ohio State University</v>
      </c>
      <c r="C696" s="66" t="s">
        <v>6559</v>
      </c>
      <c r="D696" s="66" t="s">
        <v>6549</v>
      </c>
      <c r="E696" s="66" t="s">
        <v>8512</v>
      </c>
    </row>
    <row r="697" ht="15.75" customHeight="1">
      <c r="A697" s="66">
        <f>'Main dataset (DEPRECATED)'!Q698</f>
        <v>5613435</v>
      </c>
      <c r="B697" s="66" t="str">
        <f>IFERROR(__xludf.DUMMYFUNCTION("SPLIT('Main dataset (DEPRECATED2)'!N698,"";"")"),"MRJ Technology Solutions / NASA Ames Research Center Ling-Jen Chiang y MRJ Technology Solutions / NASA Ames Research Center##MRJ Technology Solutions / NASA Ames Research Center Ling-Jen Chiang y MRJ Technology Solutions / NASA Ames Research Center")</f>
        <v>MRJ Technology Solutions / NASA Ames Research Center Ling-Jen Chiang y MRJ Technology Solutions / NASA Ames Research Center##MRJ Technology Solutions / NASA Ames Research Center Ling-Jen Chiang y MRJ Technology Solutions / NASA Ames Research Center</v>
      </c>
      <c r="C697" s="66" t="s">
        <v>8898</v>
      </c>
      <c r="D697" s="66" t="s">
        <v>11733</v>
      </c>
      <c r="E697" s="66" t="s">
        <v>10987</v>
      </c>
    </row>
    <row r="698" ht="15.75" customHeight="1">
      <c r="A698" s="66">
        <f>'Main dataset (DEPRECATED)'!Q699</f>
        <v>5613437</v>
      </c>
      <c r="B698" s="66" t="str">
        <f>IFERROR(__xludf.DUMMYFUNCTION("SPLIT('Main dataset (DEPRECATED2)'!N699,"";"")"),"NASA Ames Research Center Moffett Field##State University of New York at Stony Brook")</f>
        <v>NASA Ames Research Center Moffett Field##State University of New York at Stony Brook</v>
      </c>
      <c r="C698" s="66" t="s">
        <v>10767</v>
      </c>
    </row>
    <row r="699" ht="15.75" customHeight="1">
      <c r="A699" s="66">
        <f>'Main dataset (DEPRECATED)'!Q700</f>
        <v>5613427</v>
      </c>
      <c r="B699" s="66" t="str">
        <f>IFERROR(__xludf.DUMMYFUNCTION("SPLIT('Main dataset (DEPRECATED2)'!N700,"";"")"),"University of TÃ¼bingen Auf der Morgenstelle##University of TÃ¼bingen Auf der Morgenstelle##University Hospital TÃ¼bingen##University Hospital TÃ¼bingen")</f>
        <v>University of TÃ¼bingen Auf der Morgenstelle##University of TÃ¼bingen Auf der Morgenstelle##University Hospital TÃ¼bingen##University Hospital TÃ¼bingen</v>
      </c>
      <c r="C699" s="66" t="s">
        <v>9549</v>
      </c>
      <c r="D699" s="66" t="s">
        <v>7201</v>
      </c>
      <c r="E699" s="66" t="s">
        <v>9891</v>
      </c>
    </row>
    <row r="700" ht="15.75" customHeight="1">
      <c r="A700" s="66">
        <f>'Main dataset (DEPRECATED)'!Q701</f>
        <v>5613452</v>
      </c>
      <c r="B700" s="66" t="str">
        <f>IFERROR(__xludf.DUMMYFUNCTION("SPLIT('Main dataset (DEPRECATED2)'!N701,"";"")"),"National Library of Medicine National Institutes of Health##National Library of Medicine National Institutes of Health")</f>
        <v>National Library of Medicine National Institutes of Health##National Library of Medicine National Institutes of Health</v>
      </c>
      <c r="C700" s="66" t="s">
        <v>8112</v>
      </c>
    </row>
    <row r="701" ht="15.75" customHeight="1">
      <c r="A701" s="66">
        <f>'Main dataset (DEPRECATED)'!Q702</f>
        <v>5613424</v>
      </c>
      <c r="B701" s="66" t="str">
        <f>IFERROR(__xludf.DUMMYFUNCTION("SPLIT('Main dataset (DEPRECATED2)'!N702,"";"")"),"Radiology State University of New York at Stony Brook Stony Brook##Radiology State University of New York at Stony Brook Stony Brook##Radiology State University of New York at Stony Brook Stony Brook##Radiology State University of New York at Stony Brook "&amp;"Stony Brook##Radiology State University of New York at Stony Brook Stony Brook")</f>
        <v>Radiology State University of New York at Stony Brook Stony Brook##Radiology State University of New York at Stony Brook Stony Brook##Radiology State University of New York at Stony Brook Stony Brook##Radiology State University of New York at Stony Brook Stony Brook##Radiology State University of New York at Stony Brook Stony Brook</v>
      </c>
      <c r="C701" s="66" t="s">
        <v>11234</v>
      </c>
    </row>
    <row r="702" ht="15.75" customHeight="1">
      <c r="A702" s="66">
        <f>'Main dataset (DEPRECATED)'!Q703</f>
        <v>5613449</v>
      </c>
      <c r="B702" s="66" t="str">
        <f>IFERROR(__xludf.DUMMYFUNCTION("SPLIT('Main dataset (DEPRECATED2)'!N703,"";"")"),"University of Utah")</f>
        <v>University of Utah</v>
      </c>
      <c r="C702" s="66" t="s">
        <v>7648</v>
      </c>
      <c r="D702" s="66" t="s">
        <v>10595</v>
      </c>
      <c r="E702" s="66" t="s">
        <v>6283</v>
      </c>
      <c r="F702" s="66" t="s">
        <v>11398</v>
      </c>
      <c r="G702" s="66" t="s">
        <v>8242</v>
      </c>
      <c r="H702" s="66" t="s">
        <v>8287</v>
      </c>
    </row>
    <row r="703" ht="15.75" customHeight="1">
      <c r="A703" s="66">
        <f>'Main dataset (DEPRECATED)'!Q704</f>
        <v>5613439</v>
      </c>
      <c r="B703" s="66" t="str">
        <f>IFERROR(__xludf.DUMMYFUNCTION("SPLIT('Main dataset (DEPRECATED2)'!N704,"";"")"),"UCSC##UCSC")</f>
        <v>UCSC##UCSC</v>
      </c>
      <c r="C703" s="66" t="s">
        <v>8832</v>
      </c>
    </row>
    <row r="704" ht="15.75" customHeight="1">
      <c r="A704" s="66">
        <f>'Main dataset (DEPRECATED)'!Q705</f>
        <v>5613444</v>
      </c>
      <c r="B704" s="66" t="str">
        <f>IFERROR(__xludf.DUMMYFUNCTION("SPLIT('Main dataset (DEPRECATED2)'!N705,"";"")"),"DLR, Gottingen, Germany|c|")</f>
        <v>DLR, Gottingen, Germany|c|</v>
      </c>
      <c r="C704" s="66" t="s">
        <v>9663</v>
      </c>
      <c r="D704" s="66" t="s">
        <v>10621</v>
      </c>
    </row>
    <row r="705" ht="15.75" customHeight="1">
      <c r="A705" s="66">
        <f>'Main dataset (DEPRECATED)'!Q706</f>
        <v>5613436</v>
      </c>
      <c r="B705" s="66" t="str">
        <f>IFERROR(__xludf.DUMMYFUNCTION("SPLIT('Main dataset (DEPRECATED2)'!N706,"";"")"),"BMW AG y University of Erlangen####BMW AG y University of Erlangen####University of Stuttgart")</f>
        <v>BMW AG y University of Erlangen####BMW AG y University of Erlangen####University of Stuttgart</v>
      </c>
      <c r="C705" s="66" t="s">
        <v>8112</v>
      </c>
      <c r="D705" s="66" t="s">
        <v>6169</v>
      </c>
    </row>
    <row r="706" ht="15.75" customHeight="1">
      <c r="A706" s="66">
        <f>'Main dataset (DEPRECATED)'!Q707</f>
        <v>5613425</v>
      </c>
      <c r="B706" s="66" t="str">
        <f>IFERROR(__xludf.DUMMYFUNCTION("SPLIT('Main dataset (DEPRECATED2)'!N707,"";"")"),"Laboratories University of New##Laboratories University of New")</f>
        <v>Laboratories University of New##Laboratories University of New</v>
      </c>
      <c r="C706" s="66" t="s">
        <v>11531</v>
      </c>
      <c r="D706" s="66" t="s">
        <v>10663</v>
      </c>
    </row>
    <row r="707" ht="15.75" customHeight="1">
      <c r="A707" s="66">
        <f>'Main dataset (DEPRECATED)'!Q708</f>
        <v>5613426</v>
      </c>
      <c r="B707" s="66" t="str">
        <f>IFERROR(__xludf.DUMMYFUNCTION("SPLIT('Main dataset (DEPRECATED2)'!N708,"";"")"),"IMK-DELTA##University of Heidelberg##Max Planck Institut FÅ¸r Exterterrestrische Physik Munich")</f>
        <v>IMK-DELTA##University of Heidelberg##Max Planck Institut FÅ¸r Exterterrestrische Physik Munich</v>
      </c>
    </row>
    <row r="708" ht="15.75" customHeight="1">
      <c r="A708" s="66">
        <f>'Main dataset (DEPRECATED)'!Q709</f>
        <v>5613457</v>
      </c>
      <c r="B708" s="66" t="str">
        <f>IFERROR(__xludf.DUMMYFUNCTION("SPLIT('Main dataset (DEPRECATED2)'!N709,"";"")"),"Dept. of Comput. Sci., Virginia Polytech. Inst. &amp; State Univ., Blacksburg, VA, USA|c|")</f>
        <v>Dept. of Comput. Sci., Virginia Polytech. Inst. &amp; State Univ., Blacksburg, VA, USA|c|</v>
      </c>
      <c r="C708" s="66" t="s">
        <v>10147</v>
      </c>
      <c r="D708" s="66" t="s">
        <v>8632</v>
      </c>
      <c r="E708" s="66" t="s">
        <v>6786</v>
      </c>
    </row>
    <row r="709" ht="15.75" customHeight="1">
      <c r="A709" s="66">
        <f>'Main dataset (DEPRECATED)'!Q710</f>
        <v>5613442</v>
      </c>
      <c r="B709" s="66" t="str">
        <f>IFERROR(__xludf.DUMMYFUNCTION("SPLIT('Main dataset (DEPRECATED2)'!N710,"";"")"),"Inst. Nat. de Recherche en Inf. et Autom., Nancy, France|c|")</f>
        <v>Inst. Nat. de Recherche en Inf. et Autom., Nancy, France|c|</v>
      </c>
      <c r="C709" s="66" t="s">
        <v>11462</v>
      </c>
      <c r="D709" s="66" t="s">
        <v>6224</v>
      </c>
    </row>
    <row r="710" ht="15.75" customHeight="1">
      <c r="A710" s="66">
        <f>'Main dataset (DEPRECATED)'!Q711</f>
        <v>5613448</v>
      </c>
      <c r="B710" s="66" t="str">
        <f>IFERROR(__xludf.DUMMYFUNCTION("SPLIT('Main dataset (DEPRECATED2)'!N711,"";"")"),"HRL Labs., USA|c|")</f>
        <v>HRL Labs., USA|c|</v>
      </c>
      <c r="C710" s="66" t="s">
        <v>9313</v>
      </c>
      <c r="D710" s="66" t="s">
        <v>6899</v>
      </c>
      <c r="E710" s="66" t="s">
        <v>8577</v>
      </c>
    </row>
    <row r="711" ht="15.75" customHeight="1">
      <c r="A711" s="66">
        <f>'Main dataset (DEPRECATED)'!Q712</f>
        <v>5613450</v>
      </c>
      <c r="B711" s="66" t="str">
        <f>IFERROR(__xludf.DUMMYFUNCTION("SPLIT('Main dataset (DEPRECATED2)'!N712,"";"")"),"GVU Center Georgia Institute of Technology##GVU Center Georgia Institute of Technology##GVU Center Georgia Institute of Technology##GVU Center Georgia Institute of Technology##GVU Center Georgia Institute of Technology")</f>
        <v>GVU Center Georgia Institute of Technology##GVU Center Georgia Institute of Technology##GVU Center Georgia Institute of Technology##GVU Center Georgia Institute of Technology##GVU Center Georgia Institute of Technology</v>
      </c>
      <c r="C711" s="66" t="s">
        <v>10484</v>
      </c>
      <c r="D711" s="66" t="s">
        <v>10478</v>
      </c>
      <c r="E711" s="66" t="s">
        <v>6573</v>
      </c>
    </row>
    <row r="712" ht="15.75" customHeight="1">
      <c r="A712" s="66">
        <f>'Main dataset (DEPRECATED)'!Q713</f>
        <v>5613430</v>
      </c>
      <c r="B712" s="66" t="str">
        <f>IFERROR(__xludf.DUMMYFUNCTION("SPLIT('Main dataset (DEPRECATED2)'!N713,"";"")"),"Sarnoff Corp., Princeton, NJ, USA|c|")</f>
        <v>Sarnoff Corp., Princeton, NJ, USA|c|</v>
      </c>
      <c r="C712" s="66" t="s">
        <v>6408</v>
      </c>
      <c r="D712" s="66" t="s">
        <v>6715</v>
      </c>
    </row>
    <row r="713" ht="15.75" customHeight="1">
      <c r="A713" s="66">
        <f>'Main dataset (DEPRECATED)'!Q714</f>
        <v>5613447</v>
      </c>
      <c r="B713" s="66" t="str">
        <f>IFERROR(__xludf.DUMMYFUNCTION("SPLIT('Main dataset (DEPRECATED2)'!N714,"";"")"),"Sonar Research &amp; Development Ltd##Sonar Research &amp; Development Ltd##Sonar Research &amp; Development Ltd##Sonar Research &amp; Development Ltd")</f>
        <v>Sonar Research &amp; Development Ltd##Sonar Research &amp; Development Ltd##Sonar Research &amp; Development Ltd##Sonar Research &amp; Development Ltd</v>
      </c>
      <c r="C713" s="66" t="s">
        <v>7348</v>
      </c>
    </row>
    <row r="714" ht="15.75" customHeight="1">
      <c r="A714" s="66">
        <f>'Main dataset (DEPRECATED)'!Q715</f>
        <v>5613443</v>
      </c>
      <c r="B714" s="66" t="str">
        <f>IFERROR(__xludf.DUMMYFUNCTION("SPLIT('Main dataset (DEPRECATED2)'!N715,"";"")"),"Brunel University##Brunel University")</f>
        <v>Brunel University##Brunel University</v>
      </c>
      <c r="C714" s="66" t="s">
        <v>8166</v>
      </c>
      <c r="D714" s="66" t="s">
        <v>8561</v>
      </c>
      <c r="E714" s="66" t="s">
        <v>11773</v>
      </c>
      <c r="F714" s="66" t="s">
        <v>9371</v>
      </c>
    </row>
    <row r="715" ht="15.75" customHeight="1">
      <c r="A715" s="66">
        <f>'Main dataset (DEPRECATED)'!Q716</f>
        <v>5613446</v>
      </c>
      <c r="B715" s="66" t="str">
        <f>IFERROR(__xludf.DUMMYFUNCTION("SPLIT('Main dataset (DEPRECATED2)'!N716,"";"")"),"IBM T.J. Watson Research Center##IBM T.J. Watson Research Center##IBM T.J. Watson Research Center##IBM T.J. Watson Research Center")</f>
        <v>IBM T.J. Watson Research Center##IBM T.J. Watson Research Center##IBM T.J. Watson Research Center##IBM T.J. Watson Research Center</v>
      </c>
      <c r="C715" s="66" t="s">
        <v>8122</v>
      </c>
      <c r="D715" s="66" t="s">
        <v>8135</v>
      </c>
      <c r="E715" s="66" t="s">
        <v>10755</v>
      </c>
      <c r="F715" s="66" t="s">
        <v>10399</v>
      </c>
    </row>
    <row r="716" ht="15.75" customHeight="1">
      <c r="A716" s="66">
        <f>'Main dataset (DEPRECATED)'!Q717</f>
        <v>5613454</v>
      </c>
      <c r="B716" s="66" t="str">
        <f>IFERROR(__xludf.DUMMYFUNCTION("SPLIT('Main dataset (DEPRECATED2)'!N717,"";"")"),"AT&amp;T Laboratories##AT&amp;T Laboratories##AT&amp;T Laboratories##AT&amp;T Laboratories")</f>
        <v>AT&amp;T Laboratories##AT&amp;T Laboratories##AT&amp;T Laboratories##AT&amp;T Laboratories</v>
      </c>
      <c r="C716" s="66" t="s">
        <v>7316</v>
      </c>
      <c r="D716" s="66" t="s">
        <v>7516</v>
      </c>
      <c r="E716" s="66" t="s">
        <v>10274</v>
      </c>
    </row>
    <row r="717" ht="15.75" customHeight="1">
      <c r="A717" s="66">
        <f>'Main dataset (DEPRECATED)'!Q718</f>
        <v>5652879</v>
      </c>
      <c r="B717" s="66" t="str">
        <f>IFERROR(__xludf.DUMMYFUNCTION("SPLIT('Main dataset (DEPRECATED2)'!N718,"";"")"),"#VALUE!")</f>
        <v>#VALUE!</v>
      </c>
      <c r="C717" s="66" t="s">
        <v>10366</v>
      </c>
      <c r="D717" s="66" t="s">
        <v>11069</v>
      </c>
    </row>
    <row r="718" ht="15.75" customHeight="1">
      <c r="A718" s="66">
        <f>'Main dataset (DEPRECATED)'!Q719</f>
        <v>5652958</v>
      </c>
      <c r="B718" s="66" t="str">
        <f>IFERROR(__xludf.DUMMYFUNCTION("SPLIT('Main dataset (DEPRECATED2)'!N719,"";"")"),"Ochanomizu University##Ochanomizu University##Ochanomizu University")</f>
        <v>Ochanomizu University##Ochanomizu University##Ochanomizu University</v>
      </c>
      <c r="C718" s="66" t="s">
        <v>10874</v>
      </c>
      <c r="D718" s="66" t="s">
        <v>6737</v>
      </c>
      <c r="E718" s="66" t="s">
        <v>10140</v>
      </c>
      <c r="F718" s="66" t="s">
        <v>6832</v>
      </c>
    </row>
    <row r="719" ht="15.75" customHeight="1">
      <c r="A719" s="66">
        <f>'Main dataset (DEPRECATED)'!Q720</f>
        <v>5650177</v>
      </c>
      <c r="B719" s="66" t="str">
        <f>IFERROR(__xludf.DUMMYFUNCTION("SPLIT('Main dataset (DEPRECATED2)'!N720,"";"")"),"IfI##IfI")</f>
        <v>IfI##IfI</v>
      </c>
      <c r="C719" s="66" t="s">
        <v>8804</v>
      </c>
    </row>
    <row r="720" ht="15.75" customHeight="1">
      <c r="A720" s="66">
        <f>'Main dataset (DEPRECATED)'!Q721</f>
        <v>5650199</v>
      </c>
      <c r="B720" s="66" t="str">
        <f>IFERROR(__xludf.DUMMYFUNCTION("SPLIT('Main dataset (DEPRECATED2)'!N721,"";"")"),"Computer Science Dept., Worcester Polytechnic Institute, Worcester, MA")</f>
        <v>Computer Science Dept., Worcester Polytechnic Institute, Worcester, MA</v>
      </c>
    </row>
    <row r="721" ht="15.75" customHeight="1">
      <c r="A721" s="66">
        <f>'Main dataset (DEPRECATED)'!Q722</f>
        <v>5652484</v>
      </c>
      <c r="B721" s="66" t="str">
        <f>IFERROR(__xludf.DUMMYFUNCTION("SPLIT('Main dataset (DEPRECATED2)'!N722,"";"")"),"MERL|c|")</f>
        <v>MERL|c|</v>
      </c>
      <c r="C721" s="66" t="s">
        <v>10056</v>
      </c>
      <c r="D721" s="66" t="s">
        <v>9529</v>
      </c>
    </row>
    <row r="722" ht="15.75" customHeight="1">
      <c r="A722" s="66">
        <f>'Main dataset (DEPRECATED)'!Q723</f>
        <v>5649831</v>
      </c>
      <c r="B722" s="66" t="str">
        <f>IFERROR(__xludf.DUMMYFUNCTION("SPLIT('Main dataset (DEPRECATED2)'!N723,"";"")"),"Naval Research Laboratory|c|")</f>
        <v>Naval Research Laboratory|c|</v>
      </c>
      <c r="C722" s="66" t="s">
        <v>8046</v>
      </c>
    </row>
    <row r="723" ht="15.75" customHeight="1">
      <c r="A723" s="66">
        <f>'Main dataset (DEPRECATED)'!Q724</f>
        <v>5650854</v>
      </c>
      <c r="B723" s="66" t="str">
        <f>IFERROR(__xludf.DUMMYFUNCTION("SPLIT('Main dataset (DEPRECATED2)'!N724,"";"")"),"NASA Ames Research Center|c|")</f>
        <v>NASA Ames Research Center|c|</v>
      </c>
      <c r="C723" s="66" t="s">
        <v>9171</v>
      </c>
      <c r="D723" s="66" t="s">
        <v>7260</v>
      </c>
    </row>
    <row r="724" ht="15.75" customHeight="1">
      <c r="A724" s="66">
        <f>'Main dataset (DEPRECATED)'!Q725</f>
        <v>5652880</v>
      </c>
      <c r="B724" s="66" t="str">
        <f>IFERROR(__xludf.DUMMYFUNCTION("SPLIT('Main dataset (DEPRECATED2)'!N725,"";"")"),"Lynchburg College Lynchburg##Lynchburg College Lynchburg")</f>
        <v>Lynchburg College Lynchburg##Lynchburg College Lynchburg</v>
      </c>
      <c r="C724" s="66" t="s">
        <v>7541</v>
      </c>
      <c r="D724" s="66" t="s">
        <v>9512</v>
      </c>
      <c r="E724" s="66" t="s">
        <v>8359</v>
      </c>
      <c r="F724" s="66" t="s">
        <v>7103</v>
      </c>
    </row>
    <row r="725" ht="15.75" customHeight="1">
      <c r="A725" s="66">
        <f>'Main dataset (DEPRECATED)'!Q726</f>
        <v>5652467</v>
      </c>
      <c r="B725" s="66" t="str">
        <f>IFERROR(__xludf.DUMMYFUNCTION("SPLIT('Main dataset (DEPRECATED2)'!N726,"";"")"),"Stanford University##Stanford University")</f>
        <v>Stanford University##Stanford University</v>
      </c>
      <c r="C725" s="66" t="s">
        <v>11693</v>
      </c>
      <c r="D725" s="66" t="s">
        <v>6348</v>
      </c>
    </row>
    <row r="726" ht="15.75" customHeight="1">
      <c r="A726" s="66">
        <f>'Main dataset (DEPRECATED)'!Q727</f>
        <v>5652885</v>
      </c>
      <c r="B726" s="66" t="str">
        <f>IFERROR(__xludf.DUMMYFUNCTION("SPLIT('Main dataset (DEPRECATED2)'!N727,"";"")"),"Stanford University##Stanford University")</f>
        <v>Stanford University##Stanford University</v>
      </c>
      <c r="C726" s="66" t="s">
        <v>6362</v>
      </c>
      <c r="D726" s="66" t="s">
        <v>8505</v>
      </c>
    </row>
    <row r="727" ht="15.75" customHeight="1">
      <c r="A727" s="66">
        <f>'Main dataset (DEPRECATED)'!Q728</f>
        <v>5651676</v>
      </c>
      <c r="B727" s="66" t="str">
        <f>IFERROR(__xludf.DUMMYFUNCTION("SPLIT('Main dataset (DEPRECATED2)'!N728,"";"")"),"University of Rostock##University of Rostock##University of Rostock")</f>
        <v>University of Rostock##University of Rostock##University of Rostock</v>
      </c>
      <c r="C727" s="66" t="s">
        <v>11277</v>
      </c>
      <c r="D727" s="66" t="s">
        <v>6646</v>
      </c>
      <c r="E727" s="66" t="s">
        <v>10426</v>
      </c>
    </row>
    <row r="728" ht="15.75" customHeight="1">
      <c r="A728" s="66">
        <f>'Main dataset (DEPRECATED)'!Q729</f>
        <v>5654445</v>
      </c>
      <c r="B728" s="66" t="str">
        <f>IFERROR(__xludf.DUMMYFUNCTION("SPLIT('Main dataset (DEPRECATED2)'!N729,"";"")"),"AT&amp;T Labs-Research##AT&amp;T Labs-Research")</f>
        <v>AT&amp;T Labs-Research##AT&amp;T Labs-Research</v>
      </c>
      <c r="C728" s="66" t="s">
        <v>7149</v>
      </c>
      <c r="D728" s="66" t="s">
        <v>8804</v>
      </c>
    </row>
    <row r="729" ht="15.75" customHeight="1">
      <c r="A729" s="66">
        <f>'Main dataset (DEPRECATED)'!Q730</f>
        <v>5653599</v>
      </c>
      <c r="B729" s="66" t="str">
        <f>IFERROR(__xludf.DUMMYFUNCTION("SPLIT('Main dataset (DEPRECATED2)'!N730,"";"")"),"Centre for Math. &amp; Comput. Sci., Amsterdam, Netherlands|c|")</f>
        <v>Centre for Math. &amp; Comput. Sci., Amsterdam, Netherlands|c|</v>
      </c>
      <c r="C729" s="66" t="s">
        <v>11834</v>
      </c>
      <c r="D729" s="66" t="s">
        <v>8077</v>
      </c>
      <c r="E729" s="66" t="s">
        <v>7280</v>
      </c>
      <c r="F729" s="66" t="s">
        <v>10307</v>
      </c>
      <c r="G729" s="66" t="s">
        <v>10140</v>
      </c>
      <c r="H729" s="66" t="s">
        <v>11599</v>
      </c>
      <c r="I729" s="66" t="s">
        <v>6832</v>
      </c>
    </row>
    <row r="730" ht="15.75" customHeight="1">
      <c r="A730" s="66">
        <f>'Main dataset (DEPRECATED)'!Q731</f>
        <v>5651192</v>
      </c>
      <c r="B730" s="66" t="str">
        <f>IFERROR(__xludf.DUMMYFUNCTION("SPLIT('Main dataset (DEPRECATED2)'!N731,"";"")"),"GVU Center and College of Computing Georgia Institute of Technology Atlanta##GVU Center and College of Computing Georgia Institute of Technology Atlanta")</f>
        <v>GVU Center and College of Computing Georgia Institute of Technology Atlanta##GVU Center and College of Computing Georgia Institute of Technology Atlanta</v>
      </c>
      <c r="C730" s="66" t="s">
        <v>8717</v>
      </c>
    </row>
    <row r="731" ht="15.75" customHeight="1">
      <c r="A731" s="66">
        <f>'Main dataset (DEPRECATED)'!Q732</f>
        <v>5653822</v>
      </c>
      <c r="B731" s="66" t="str">
        <f>IFERROR(__xludf.DUMMYFUNCTION("SPLIT('Main dataset (DEPRECATED2)'!N732,"";"")"),"Xerox Palo Alto Research Center")</f>
        <v>Xerox Palo Alto Research Center</v>
      </c>
      <c r="C731" s="66" t="s">
        <v>7921</v>
      </c>
      <c r="D731" s="66" t="s">
        <v>6619</v>
      </c>
      <c r="E731" s="66" t="s">
        <v>9189</v>
      </c>
    </row>
    <row r="732" ht="15.75" customHeight="1">
      <c r="A732" s="66">
        <f>'Main dataset (DEPRECATED)'!Q733</f>
        <v>5652922</v>
      </c>
      <c r="B732" s="66" t="str">
        <f>IFERROR(__xludf.DUMMYFUNCTION("SPLIT('Main dataset (DEPRECATED2)'!N733,"";"")"),"Ochanomizu University##Ochanomizu University##Ochanomizu University##Ochanomizu University")</f>
        <v>Ochanomizu University##Ochanomizu University##Ochanomizu University##Ochanomizu University</v>
      </c>
      <c r="C732" s="66" t="s">
        <v>9560</v>
      </c>
      <c r="D732" s="66" t="s">
        <v>8752</v>
      </c>
    </row>
    <row r="733" ht="15.75" customHeight="1">
      <c r="A733" s="66">
        <f>'Main dataset (DEPRECATED)'!Q734</f>
        <v>5652392</v>
      </c>
      <c r="B733" s="66" t="str">
        <f>IFERROR(__xludf.DUMMYFUNCTION("SPLIT('Main dataset (DEPRECATED2)'!N734,"";"")"),"Interactive Inst., Gothenburg, Sweden|c|")</f>
        <v>Interactive Inst., Gothenburg, Sweden|c|</v>
      </c>
      <c r="C733" s="66" t="s">
        <v>9549</v>
      </c>
      <c r="D733" s="66" t="s">
        <v>8369</v>
      </c>
      <c r="E733" s="66" t="s">
        <v>11069</v>
      </c>
      <c r="F733" s="66" t="s">
        <v>6455</v>
      </c>
      <c r="G733" s="66" t="s">
        <v>9162</v>
      </c>
    </row>
    <row r="734" ht="15.75" customHeight="1">
      <c r="A734" s="66">
        <f>'Main dataset (DEPRECATED)'!Q735</f>
        <v>5652478</v>
      </c>
      <c r="B734" s="66" t="str">
        <f>IFERROR(__xludf.DUMMYFUNCTION("SPLIT('Main dataset (DEPRECATED2)'!N735,"";"")"),"University of New Orleans")</f>
        <v>University of New Orleans</v>
      </c>
      <c r="C734" s="66" t="s">
        <v>6239</v>
      </c>
      <c r="D734" s="66" t="s">
        <v>9456</v>
      </c>
      <c r="E734" s="66" t="s">
        <v>9460</v>
      </c>
      <c r="F734" s="66" t="s">
        <v>9944</v>
      </c>
    </row>
    <row r="735" ht="15.75" customHeight="1">
      <c r="A735" s="66">
        <f>'Main dataset (DEPRECATED)'!Q736</f>
        <v>5652968</v>
      </c>
      <c r="B735" s="66" t="str">
        <f>IFERROR(__xludf.DUMMYFUNCTION("SPLIT('Main dataset (DEPRECATED2)'!N736,"";"")"),"Dept. of Mech. Eng., MIT, Cambridge, MA, USA|c|")</f>
        <v>Dept. of Mech. Eng., MIT, Cambridge, MA, USA|c|</v>
      </c>
      <c r="C735" s="66" t="s">
        <v>8460</v>
      </c>
      <c r="D735" s="66" t="s">
        <v>10556</v>
      </c>
    </row>
    <row r="736" ht="15.75" customHeight="1">
      <c r="A736" s="66">
        <f>'Main dataset (DEPRECATED)'!Q737</f>
        <v>5650815</v>
      </c>
      <c r="B736" s="66" t="str">
        <f>IFERROR(__xludf.DUMMYFUNCTION("SPLIT('Main dataset (DEPRECATED2)'!N737,"";"")"),"Pacific Northwest National Laboratory##Pacific Northwest National Laboratory##Pacific Northwest National Laboratory##Pacific Northwest National Laboratory##Pacific Northwest National Laboratory##Pacific Northwest National Laboratory")</f>
        <v>Pacific Northwest National Laboratory##Pacific Northwest National Laboratory##Pacific Northwest National Laboratory##Pacific Northwest National Laboratory##Pacific Northwest National Laboratory##Pacific Northwest National Laboratory</v>
      </c>
      <c r="C736" s="66" t="s">
        <v>7416</v>
      </c>
      <c r="D736" s="66" t="s">
        <v>11753</v>
      </c>
      <c r="E736" s="66" t="s">
        <v>11350</v>
      </c>
    </row>
    <row r="737" ht="15.75" customHeight="1">
      <c r="A737" s="66">
        <f>'Main dataset (DEPRECATED)'!Q738</f>
        <v>5649905</v>
      </c>
      <c r="B737" s="66" t="str">
        <f>IFERROR(__xludf.DUMMYFUNCTION("SPLIT('Main dataset (DEPRECATED2)'!N738,"";"")"),"Battelle Pacific Northwest Division Richland##Battelle Pacific Northwest Division Richland##Battelle Pacific Northwest Division Richland")</f>
        <v>Battelle Pacific Northwest Division Richland##Battelle Pacific Northwest Division Richland##Battelle Pacific Northwest Division Richland</v>
      </c>
      <c r="C737" s="66" t="s">
        <v>8460</v>
      </c>
      <c r="D737" s="66" t="s">
        <v>8552</v>
      </c>
      <c r="E737" s="66" t="s">
        <v>10556</v>
      </c>
    </row>
    <row r="738" ht="15.75" customHeight="1">
      <c r="A738" s="66">
        <f>'Main dataset (DEPRECATED)'!Q739</f>
        <v>5652450</v>
      </c>
      <c r="B738" s="66" t="str">
        <f>IFERROR(__xludf.DUMMYFUNCTION("SPLIT('Main dataset (DEPRECATED2)'!N739,"";"")"),"University of Massachusetts Amherst##University of Massachusetts Amherst")</f>
        <v>University of Massachusetts Amherst##University of Massachusetts Amherst</v>
      </c>
      <c r="C738" s="66" t="s">
        <v>6704</v>
      </c>
      <c r="D738" s="66" t="s">
        <v>11080</v>
      </c>
      <c r="E738" s="66" t="s">
        <v>11463</v>
      </c>
      <c r="F738" s="66" t="s">
        <v>10198</v>
      </c>
    </row>
    <row r="739" ht="15.75" customHeight="1">
      <c r="A739" s="66">
        <f>'Main dataset (DEPRECATED)'!Q740</f>
        <v>5652460</v>
      </c>
      <c r="B739" s="66" t="str">
        <f>IFERROR(__xludf.DUMMYFUNCTION("SPLIT('Main dataset (DEPRECATED2)'!N740,"";"")"),"University of Illinois at Urbana-Champaign##University of Illinois at Urbana-Champaign")</f>
        <v>University of Illinois at Urbana-Champaign##University of Illinois at Urbana-Champaign</v>
      </c>
      <c r="C739" s="66" t="s">
        <v>7028</v>
      </c>
      <c r="D739" s="66" t="s">
        <v>4987</v>
      </c>
    </row>
    <row r="740" ht="15.75" customHeight="1">
      <c r="A740" s="66">
        <f>'Main dataset (DEPRECATED)'!Q741</f>
        <v>5652895</v>
      </c>
      <c r="B740" s="66" t="str">
        <f>IFERROR(__xludf.DUMMYFUNCTION("SPLIT('Main dataset (DEPRECATED2)'!N741,"";"")"),"Penn State University##Penn State University##Penn State University##Penn State University##Penn State University")</f>
        <v>Penn State University##Penn State University##Penn State University##Penn State University##Penn State University</v>
      </c>
      <c r="C740" s="66" t="s">
        <v>9168</v>
      </c>
    </row>
    <row r="741" ht="15.75" customHeight="1">
      <c r="A741" s="66">
        <f>'Main dataset (DEPRECATED)'!Q742</f>
        <v>5653598</v>
      </c>
      <c r="B741" s="66" t="str">
        <f>IFERROR(__xludf.DUMMYFUNCTION("SPLIT('Main dataset (DEPRECATED2)'!N742,"";"")"),"#VALUE!")</f>
        <v>#VALUE!</v>
      </c>
      <c r="C741" s="66" t="s">
        <v>10849</v>
      </c>
      <c r="D741" s="66" t="s">
        <v>11415</v>
      </c>
      <c r="E741" s="66" t="s">
        <v>8099</v>
      </c>
      <c r="F741" s="66" t="s">
        <v>6832</v>
      </c>
    </row>
    <row r="742" ht="15.75" customHeight="1">
      <c r="A742" s="66">
        <f>'Main dataset (DEPRECATED)'!Q743</f>
        <v>5652433</v>
      </c>
      <c r="B742" s="66" t="str">
        <f>IFERROR(__xludf.DUMMYFUNCTION("SPLIT('Main dataset (DEPRECATED2)'!N743,"";"")"),"EurÃ©com Institute##EurÃ©com Institute##EurÃ©com Institute##EurÃ©com Institute##EurÃ©com Institute##EurÃ©com Institute##EurÃ©com Institute##EurÃ©com Institute##EurÃ©com Institute")</f>
        <v>EurÃ©com Institute##EurÃ©com Institute##EurÃ©com Institute##EurÃ©com Institute##EurÃ©com Institute##EurÃ©com Institute##EurÃ©com Institute##EurÃ©com Institute##EurÃ©com Institute</v>
      </c>
      <c r="C742" s="66" t="s">
        <v>7382</v>
      </c>
      <c r="D742" s="66" t="s">
        <v>8986</v>
      </c>
      <c r="E742" s="66" t="s">
        <v>11014</v>
      </c>
      <c r="F742" s="66" t="s">
        <v>9193</v>
      </c>
    </row>
    <row r="743" ht="15.75" customHeight="1">
      <c r="A743" s="66">
        <f>'Main dataset (DEPRECATED)'!Q744</f>
        <v>5652890</v>
      </c>
      <c r="B743" s="66" t="str">
        <f>IFERROR(__xludf.DUMMYFUNCTION("SPLIT('Main dataset (DEPRECATED2)'!N744,"";"")"),"Dept. of Sociology, Lancaster Univ., UK|c|")</f>
        <v>Dept. of Sociology, Lancaster Univ., UK|c|</v>
      </c>
      <c r="C743" s="66" t="s">
        <v>10924</v>
      </c>
    </row>
    <row r="744" ht="15.75" customHeight="1">
      <c r="A744" s="66">
        <f>'Main dataset (DEPRECATED)'!Q745</f>
        <v>5651694</v>
      </c>
      <c r="B744" s="66" t="str">
        <f>IFERROR(__xludf.DUMMYFUNCTION("SPLIT('Main dataset (DEPRECATED2)'!N745,"";"")"),"University of TÃ¼bingen##University of TÃ¼bingen")</f>
        <v>University of TÃ¼bingen##University of TÃ¼bingen</v>
      </c>
      <c r="C744" s="66" t="s">
        <v>9923</v>
      </c>
    </row>
    <row r="745" ht="15.75" customHeight="1">
      <c r="A745" s="66">
        <f>'Main dataset (DEPRECATED)'!Q746</f>
        <v>5652443</v>
      </c>
      <c r="B745" s="66" t="str">
        <f>IFERROR(__xludf.DUMMYFUNCTION("SPLIT('Main dataset (DEPRECATED2)'!N746,"";"")"),"Oulu University Hospital##Oulu University Hospital")</f>
        <v>Oulu University Hospital##Oulu University Hospital</v>
      </c>
      <c r="C745" s="66" t="s">
        <v>8051</v>
      </c>
      <c r="D745" s="66" t="s">
        <v>8411</v>
      </c>
      <c r="E745" s="66" t="s">
        <v>7988</v>
      </c>
    </row>
    <row r="746" ht="15.75" customHeight="1">
      <c r="A746" s="66">
        <f>'Main dataset (DEPRECATED)'!Q747</f>
        <v>5652532</v>
      </c>
      <c r="B746" s="66" t="str">
        <f>IFERROR(__xludf.DUMMYFUNCTION("SPLIT('Main dataset (DEPRECATED2)'!N747,"";"")"),"State University of New York at Stony Brook Stony Brook##State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Brook##State University of New York at Stony Brook Stony Brook</v>
      </c>
      <c r="C746" s="66" t="s">
        <v>6606</v>
      </c>
      <c r="D746" s="66" t="s">
        <v>11191</v>
      </c>
    </row>
    <row r="747" ht="15.75" customHeight="1">
      <c r="A747" s="66">
        <f>'Main dataset (DEPRECATED)'!Q748</f>
        <v>5652520</v>
      </c>
      <c r="B747" s="66" t="str">
        <f>IFERROR(__xludf.DUMMYFUNCTION("SPLIT('Main dataset (DEPRECATED2)'!N748,"";"")"),"SUNY at Stony Brook##")</f>
        <v>SUNY at Stony Brook##</v>
      </c>
    </row>
    <row r="748" ht="15.75" customHeight="1">
      <c r="A748" s="66">
        <f>'Main dataset (DEPRECATED)'!Q749</f>
        <v>5652910</v>
      </c>
      <c r="B748" s="66" t="str">
        <f>IFERROR(__xludf.DUMMYFUNCTION("SPLIT('Main dataset (DEPRECATED2)'!N749,"";"")"),"Iviz, Stafford VA, USA")</f>
        <v>Iviz, Stafford VA, USA</v>
      </c>
      <c r="C748" s="66" t="s">
        <v>6559</v>
      </c>
      <c r="D748" s="66" t="s">
        <v>8615</v>
      </c>
      <c r="E748" s="66" t="s">
        <v>9196</v>
      </c>
    </row>
    <row r="749" ht="15.75" customHeight="1">
      <c r="A749" s="66">
        <f>'Main dataset (DEPRECATED)'!Q750</f>
        <v>5653580</v>
      </c>
      <c r="B749" s="66" t="str">
        <f>IFERROR(__xludf.DUMMYFUNCTION("SPLIT('Main dataset (DEPRECATED2)'!N750,"";"")"),"Swiss Federal Institute of Technology (ETH) Zurich##Swiss Federal Institute of Technology (ETH) Zurich##Swiss Federal Institute of Technology (ETH) Zurich")</f>
        <v>Swiss Federal Institute of Technology (ETH) Zurich##Swiss Federal Institute of Technology (ETH) Zurich##Swiss Federal Institute of Technology (ETH) Zurich</v>
      </c>
      <c r="C749" s="66" t="s">
        <v>6239</v>
      </c>
    </row>
    <row r="750" ht="15.75" customHeight="1">
      <c r="A750" s="66">
        <f>'Main dataset (DEPRECATED)'!Q751</f>
        <v>5650251</v>
      </c>
      <c r="B750" s="66" t="str">
        <f>IFERROR(__xludf.DUMMYFUNCTION("SPLIT('Main dataset (DEPRECATED2)'!N751,"";"")"),"University of California##University of California")</f>
        <v>University of California##University of California</v>
      </c>
      <c r="C750" s="66" t="s">
        <v>11350</v>
      </c>
    </row>
    <row r="751" ht="15.75" customHeight="1">
      <c r="A751" s="66">
        <f>'Main dataset (DEPRECATED)'!Q752</f>
        <v>5650219</v>
      </c>
      <c r="B751" s="66" t="str">
        <f>IFERROR(__xludf.DUMMYFUNCTION("SPLIT('Main dataset (DEPRECATED2)'!N752,"";"")"),"University of Maryland Baltimore County##University of Maryland Baltimore County")</f>
        <v>University of Maryland Baltimore County##University of Maryland Baltimore County</v>
      </c>
      <c r="C751" s="66" t="s">
        <v>8701</v>
      </c>
      <c r="D751" s="66" t="s">
        <v>11305</v>
      </c>
    </row>
    <row r="752" ht="15.75" customHeight="1">
      <c r="A752" s="66">
        <f>'Main dataset (DEPRECATED)'!Q753</f>
        <v>5652896</v>
      </c>
      <c r="B752" s="66" t="str">
        <f>IFERROR(__xludf.DUMMYFUNCTION("SPLIT('Main dataset (DEPRECATED2)'!N753,"";"")"),"Istituto Scienza e Tecnologia dell'Informazione â€“ Consiglio Nazionale delle Ricerche##Istituto Scienza e Tecnologia dell'Informazione â€“ Consiglio Nazionale delle Ricerche##Istituto Scienza e Tecnologia dell'Informazione â€“ Consiglio Nazionale delle R"&amp;"icerche##Istituto Scienza e Tecnologia dell'Informazione â€“ Consiglio Nazionale delle Ricerche##Istituto Scienza e Tecnologia dell'Informazione â€“ Consiglio Nazionale delle Ricerche")</f>
        <v>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Ricerche##Istituto Scienza e Tecnologia dell'Informazione â€“ Consiglio Nazionale delle Ricerche</v>
      </c>
      <c r="C752" s="66" t="s">
        <v>6876</v>
      </c>
      <c r="D752" s="66" t="s">
        <v>7497</v>
      </c>
    </row>
    <row r="753" ht="15.75" customHeight="1">
      <c r="A753" s="66">
        <f>'Main dataset (DEPRECATED)'!Q754</f>
        <v>5653587</v>
      </c>
      <c r="B753" s="66" t="str">
        <f>IFERROR(__xludf.DUMMYFUNCTION("SPLIT('Main dataset (DEPRECATED2)'!N754,"";"")"),"Arizona State University##Arizona State University")</f>
        <v>Arizona State University##Arizona State University</v>
      </c>
      <c r="C753" s="66" t="s">
        <v>7540</v>
      </c>
    </row>
    <row r="754" ht="15.75" customHeight="1">
      <c r="A754" s="66">
        <f>'Main dataset (DEPRECATED)'!Q755</f>
        <v>5652940</v>
      </c>
      <c r="B754" s="66" t="str">
        <f>IFERROR(__xludf.DUMMYFUNCTION("SPLIT('Main dataset (DEPRECATED2)'!N755,"";"")"),"State University of New York at Stony Brook *##State University of New York at Stony Brook *##State University of New York at Stony Brook *")</f>
        <v>State University of New York at Stony Brook *##State University of New York at Stony Brook *##State University of New York at Stony Brook *</v>
      </c>
      <c r="C754" s="66" t="s">
        <v>10399</v>
      </c>
      <c r="D754" s="66" t="s">
        <v>11009</v>
      </c>
      <c r="E754" s="66" t="s">
        <v>8172</v>
      </c>
      <c r="F754" s="66" t="s">
        <v>8785</v>
      </c>
      <c r="G754" s="66" t="s">
        <v>7432</v>
      </c>
      <c r="H754" s="66" t="s">
        <v>11355</v>
      </c>
    </row>
    <row r="755" ht="15.75" customHeight="1">
      <c r="A755" s="66">
        <f>'Main dataset (DEPRECATED)'!Q756</f>
        <v>5652931</v>
      </c>
      <c r="B755" s="66" t="str">
        <f>IFERROR(__xludf.DUMMYFUNCTION("SPLIT('Main dataset (DEPRECATED2)'!N756,"";"")"),"UniversitÃ¤t Stuttgart##UniversitÃ¤t Stuttgart##UniversitÃ¤t Stuttgart")</f>
        <v>UniversitÃ¤t Stuttgart##UniversitÃ¤t Stuttgart##UniversitÃ¤t Stuttgart</v>
      </c>
      <c r="C755" s="66" t="s">
        <v>7648</v>
      </c>
      <c r="D755" s="66" t="s">
        <v>10595</v>
      </c>
      <c r="E755" s="66" t="s">
        <v>9029</v>
      </c>
      <c r="F755" s="66" t="s">
        <v>11596</v>
      </c>
      <c r="G755" s="66" t="s">
        <v>11819</v>
      </c>
    </row>
    <row r="756" ht="15.75" customHeight="1">
      <c r="A756" s="66">
        <f>'Main dataset (DEPRECATED)'!Q757</f>
        <v>5650766</v>
      </c>
      <c r="B756" s="66" t="str">
        <f>IFERROR(__xludf.DUMMYFUNCTION("SPLIT('Main dataset (DEPRECATED2)'!N757,"";"")"),"University of North Carolina at Chapel Hill. majumder##University of North Carolina at Chapel Hill. majumder##University of North Carolina at Chapel Hill. majumder##University of North Carolina at Chapel Hill. majumder")</f>
        <v>University of North Carolina at Chapel Hill. majumder##University of North Carolina at Chapel Hill. majumder##University of North Carolina at Chapel Hill. majumder##University of North Carolina at Chapel Hill. majumder</v>
      </c>
      <c r="C756" s="66" t="s">
        <v>9256</v>
      </c>
      <c r="D756" s="66" t="s">
        <v>8419</v>
      </c>
      <c r="E756" s="66" t="s">
        <v>8664</v>
      </c>
      <c r="F756" s="66" t="s">
        <v>7167</v>
      </c>
      <c r="G756" s="66" t="s">
        <v>10551</v>
      </c>
      <c r="H756" s="66" t="s">
        <v>9815</v>
      </c>
      <c r="I756" s="66" t="s">
        <v>10057</v>
      </c>
    </row>
    <row r="757" ht="15.75" customHeight="1">
      <c r="A757" s="66">
        <f>'Main dataset (DEPRECATED)'!Q758</f>
        <v>5652398</v>
      </c>
      <c r="B757" s="66" t="str">
        <f>IFERROR(__xludf.DUMMYFUNCTION("SPLIT('Main dataset (DEPRECATED2)'!N758,"";"")"),"Princeton University##Princeton University##Princeton University##Princeton University##Princeton University")</f>
        <v>Princeton University##Princeton University##Princeton University##Princeton University##Princeton University</v>
      </c>
      <c r="C757" s="66" t="s">
        <v>11548</v>
      </c>
    </row>
    <row r="758" ht="15.75" customHeight="1">
      <c r="A758" s="66">
        <f>'Main dataset (DEPRECATED)'!Q759</f>
        <v>5652530</v>
      </c>
      <c r="B758" s="66" t="str">
        <f>IFERROR(__xludf.DUMMYFUNCTION("SPLIT('Main dataset (DEPRECATED2)'!N759,"";"")"),"University of Colorado Boulder##University of Colorado Boulder##University of Colorado Boulder##University of Colorado Boulder")</f>
        <v>University of Colorado Boulder##University of Colorado Boulder##University of Colorado Boulder##University of Colorado Boulder</v>
      </c>
      <c r="C758" s="66" t="s">
        <v>8447</v>
      </c>
      <c r="D758" s="66" t="s">
        <v>7910</v>
      </c>
      <c r="E758" s="66" t="s">
        <v>8664</v>
      </c>
    </row>
    <row r="759" ht="15.75" customHeight="1">
      <c r="A759" s="66">
        <f>'Main dataset (DEPRECATED)'!Q760</f>
        <v>5652926</v>
      </c>
      <c r="B759" s="66" t="str">
        <f>IFERROR(__xludf.DUMMYFUNCTION("SPLIT('Main dataset (DEPRECATED2)'!N760,"";"")"),"University of North Carolina at Chapel Hill##University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v>
      </c>
      <c r="C759" s="66" t="s">
        <v>10742</v>
      </c>
      <c r="D759" s="66" t="s">
        <v>10812</v>
      </c>
      <c r="E759" s="66" t="s">
        <v>8664</v>
      </c>
    </row>
    <row r="760" ht="15.75" customHeight="1">
      <c r="A760" s="66">
        <f>'Main dataset (DEPRECATED)'!Q761</f>
        <v>5654451</v>
      </c>
      <c r="B760" s="66" t="str">
        <f>IFERROR(__xludf.DUMMYFUNCTION("SPLIT('Main dataset (DEPRECATED2)'!N761,"";"")"),"University of Technology##University of Technology##University of Technology")</f>
        <v>University of Technology##University of Technology##University of Technology</v>
      </c>
      <c r="C760" s="66" t="s">
        <v>6551</v>
      </c>
      <c r="D760" s="66" t="s">
        <v>8949</v>
      </c>
      <c r="E760" s="66" t="s">
        <v>7760</v>
      </c>
    </row>
    <row r="761" ht="15.75" customHeight="1">
      <c r="A761" s="66">
        <f>'Main dataset (DEPRECATED)'!Q762</f>
        <v>5651617</v>
      </c>
      <c r="B761" s="66" t="str">
        <f>IFERROR(__xludf.DUMMYFUNCTION("SPLIT('Main dataset (DEPRECATED2)'!N762,"";"")"),"Sch. of Comput. Sci. &amp; Inf. Technol., Tallahassee, FL, USA|c|")</f>
        <v>Sch. of Comput. Sci. &amp; Inf. Technol., Tallahassee, FL, USA|c|</v>
      </c>
      <c r="C761" s="66" t="s">
        <v>7792</v>
      </c>
      <c r="D761" s="66" t="s">
        <v>8717</v>
      </c>
    </row>
    <row r="762" ht="15.75" customHeight="1">
      <c r="A762" s="66">
        <f>'Main dataset (DEPRECATED)'!Q763</f>
        <v>5652951</v>
      </c>
      <c r="B762" s="66" t="str">
        <f>IFERROR(__xludf.DUMMYFUNCTION("SPLIT('Main dataset (DEPRECATED2)'!N763,"";"")"),"UCSC Â¾ NASA Ames Research Center##UCSC Â¾ NASA Ames Research Center##UCSC Â¾ NASA Ames Research Center##UCSC Â¾ NASA Ames Research Center")</f>
        <v>UCSC Â¾ NASA Ames Research Center##UCSC Â¾ NASA Ames Research Center##UCSC Â¾ NASA Ames Research Center##UCSC Â¾ NASA Ames Research Center</v>
      </c>
      <c r="C762" s="66" t="s">
        <v>11487</v>
      </c>
      <c r="D762" s="66" t="s">
        <v>8064</v>
      </c>
      <c r="E762" s="66" t="s">
        <v>7409</v>
      </c>
      <c r="F762" s="66" t="s">
        <v>7216</v>
      </c>
    </row>
    <row r="763" ht="15.75" customHeight="1">
      <c r="A763" s="66">
        <f>'Main dataset (DEPRECATED)'!Q764</f>
        <v>5652932</v>
      </c>
      <c r="B763" s="66" t="str">
        <f>IFERROR(__xludf.DUMMYFUNCTION("SPLIT('Main dataset (DEPRECATED2)'!N764,"";"")"),"Mississippi State University##The Ohio State University##Mississippi State University")</f>
        <v>Mississippi State University##The Ohio State University##Mississippi State University</v>
      </c>
      <c r="C763" s="66" t="s">
        <v>10513</v>
      </c>
      <c r="D763" s="66" t="s">
        <v>9263</v>
      </c>
      <c r="E763" s="66" t="s">
        <v>6235</v>
      </c>
      <c r="F763" s="66" t="s">
        <v>8619</v>
      </c>
      <c r="G763" s="66" t="s">
        <v>9667</v>
      </c>
    </row>
    <row r="764" ht="15.75" customHeight="1">
      <c r="A764" s="66">
        <f>'Main dataset (DEPRECATED)'!Q765</f>
        <v>5613463</v>
      </c>
      <c r="B764" s="66" t="str">
        <f>IFERROR(__xludf.DUMMYFUNCTION("SPLIT('Main dataset (DEPRECATED2)'!N765,"";"")"),"University of Utah##University of Utah##University of Utah##University of Utah##University of Utah##University of Utah")</f>
        <v>University of Utah##University of Utah##University of Utah##University of Utah##University of Utah##University of Utah</v>
      </c>
      <c r="C764" s="66" t="s">
        <v>10234</v>
      </c>
      <c r="D764" s="66" t="s">
        <v>9967</v>
      </c>
      <c r="E764" s="66" t="s">
        <v>8219</v>
      </c>
    </row>
    <row r="765" ht="15.75" customHeight="1">
      <c r="A765" s="66">
        <f>'Main dataset (DEPRECATED)'!Q766</f>
        <v>5613505</v>
      </c>
      <c r="B765" s="66" t="str">
        <f>IFERROR(__xludf.DUMMYFUNCTION("SPLIT('Main dataset (DEPRECATED2)'!N766,"";"")"),"#VALUE!")</f>
        <v>#VALUE!</v>
      </c>
      <c r="C765" s="66" t="s">
        <v>8959</v>
      </c>
      <c r="D765" s="66" t="s">
        <v>9203</v>
      </c>
    </row>
    <row r="766" ht="15.75" customHeight="1">
      <c r="A766" s="66">
        <f>'Main dataset (DEPRECATED)'!Q767</f>
        <v>5613461</v>
      </c>
      <c r="B766" s="66" t="str">
        <f>IFERROR(__xludf.DUMMYFUNCTION("SPLIT('Main dataset (DEPRECATED2)'!N767,"";"")"),"Computer Science and Electrical Engineering University of Maryland Baltimore County##Computer Science and Electrical Engineering University of Maryland Baltimore County")</f>
        <v>Computer Science and Electrical Engineering University of Maryland Baltimore County##Computer Science and Electrical Engineering University of Maryland Baltimore County</v>
      </c>
      <c r="C766" s="66" t="s">
        <v>11004</v>
      </c>
      <c r="D766" s="66" t="s">
        <v>4285</v>
      </c>
    </row>
    <row r="767" ht="15.75" customHeight="1">
      <c r="A767" s="66">
        <f>'Main dataset (DEPRECATED)'!Q768</f>
        <v>5613460</v>
      </c>
      <c r="B767" s="66" t="str">
        <f>IFERROR(__xludf.DUMMYFUNCTION("SPLIT('Main dataset (DEPRECATED2)'!N768,"";"")"),"University of Wales Swansea##University of Wales Swansea")</f>
        <v>University of Wales Swansea##University of Wales Swansea</v>
      </c>
      <c r="C767" s="66" t="s">
        <v>8388</v>
      </c>
    </row>
    <row r="768" ht="15.75" customHeight="1">
      <c r="A768" s="66">
        <f>'Main dataset (DEPRECATED)'!Q769</f>
        <v>5613484</v>
      </c>
      <c r="B768" s="66" t="str">
        <f>IFERROR(__xludf.DUMMYFUNCTION("SPLIT('Main dataset (DEPRECATED2)'!N769,"";"")"),"VRVis Center Vienna##University of Urbino##Vienna Univ. of Technology##Vienna University of Technology")</f>
        <v>VRVis Center Vienna##University of Urbino##Vienna Univ. of Technology##Vienna University of Technology</v>
      </c>
      <c r="C768" s="66" t="s">
        <v>7950</v>
      </c>
      <c r="D768" s="66" t="s">
        <v>11095</v>
      </c>
      <c r="E768" s="66" t="s">
        <v>10005</v>
      </c>
      <c r="F768" s="66" t="s">
        <v>8872</v>
      </c>
      <c r="G768" s="66" t="s">
        <v>6649</v>
      </c>
    </row>
    <row r="769" ht="15.75" customHeight="1">
      <c r="A769" s="66">
        <f>'Main dataset (DEPRECATED)'!Q770</f>
        <v>5613480</v>
      </c>
      <c r="B769" s="66" t="str">
        <f>IFERROR(__xludf.DUMMYFUNCTION("SPLIT('Main dataset (DEPRECATED2)'!N770,"";"")"),"Dept. of Comput. &amp; Inf. Sci., Ohio State Univ., Columbus, OH, USA|c|")</f>
        <v>Dept. of Comput. &amp; Inf. Sci., Ohio State Univ., Columbus, OH, USA|c|</v>
      </c>
      <c r="C769" s="66" t="s">
        <v>6315</v>
      </c>
      <c r="D769" s="66" t="s">
        <v>8142</v>
      </c>
      <c r="E769" s="66" t="s">
        <v>9973</v>
      </c>
      <c r="F769" s="66" t="s">
        <v>7251</v>
      </c>
      <c r="G769" s="66" t="s">
        <v>9134</v>
      </c>
      <c r="H769" s="66" t="s">
        <v>8998</v>
      </c>
      <c r="I769" s="66" t="s">
        <v>6590</v>
      </c>
    </row>
    <row r="770" ht="15.75" customHeight="1">
      <c r="A770" s="66">
        <f>'Main dataset (DEPRECATED)'!Q771</f>
        <v>5613466</v>
      </c>
      <c r="B770" s="66" t="str">
        <f>IFERROR(__xludf.DUMMYFUNCTION("SPLIT('Main dataset (DEPRECATED2)'!N771,"";"")"),"University of MÃ¼nster##University of MÃ¼nster##University of MÃ¼nster")</f>
        <v>University of MÃ¼nster##University of MÃ¼nster##University of MÃ¼nster</v>
      </c>
      <c r="C770" s="66" t="s">
        <v>10965</v>
      </c>
      <c r="D770" s="66" t="s">
        <v>6940</v>
      </c>
    </row>
    <row r="771" ht="15.75" customHeight="1">
      <c r="A771" s="66">
        <f>'Main dataset (DEPRECATED)'!Q772</f>
        <v>5613465</v>
      </c>
      <c r="B771" s="66" t="str">
        <f>IFERROR(__xludf.DUMMYFUNCTION("SPLIT('Main dataset (DEPRECATED2)'!N772,"";"")"),"IBM T. J. Watson Research Center â€ Dassault SystÃ¨mes##IBM T. J. Watson Research Center â€ Dassault SystÃ¨mes##IBM T. J. Watson Research Center â€ Dassault SystÃ¨mes##IBM T. J. Watson Research Center â€ Dassault SystÃ¨mes")</f>
        <v>IBM T. J. Watson Research Center â€ Dassault SystÃ¨mes##IBM T. J. Watson Research Center â€ Dassault SystÃ¨mes##IBM T. J. Watson Research Center â€ Dassault SystÃ¨mes##IBM T. J. Watson Research Center â€ Dassault SystÃ¨mes</v>
      </c>
      <c r="C771" s="66" t="s">
        <v>7367</v>
      </c>
      <c r="D771" s="66" t="s">
        <v>8683</v>
      </c>
    </row>
    <row r="772" ht="15.75" customHeight="1">
      <c r="A772" s="66">
        <f>'Main dataset (DEPRECATED)'!Q773</f>
        <v>5613492</v>
      </c>
      <c r="B772" s="66" t="str">
        <f>IFERROR(__xludf.DUMMYFUNCTION("SPLIT('Main dataset (DEPRECATED2)'!N773,"";"")"),"The Johns Hopkins University##The Johns Hopkins University")</f>
        <v>The Johns Hopkins University##The Johns Hopkins University</v>
      </c>
      <c r="C772" s="66" t="s">
        <v>11396</v>
      </c>
      <c r="D772" s="66" t="s">
        <v>6790</v>
      </c>
    </row>
    <row r="773" ht="15.75" customHeight="1">
      <c r="A773" s="66">
        <f>'Main dataset (DEPRECATED)'!Q774</f>
        <v>5613469</v>
      </c>
      <c r="B773" s="66" t="str">
        <f>IFERROR(__xludf.DUMMYFUNCTION("SPLIT('Main dataset (DEPRECATED2)'!N774,"";"")"),"State University of New York at Stony Brook##State University of New York at Stony Brook##State University of New York at Stony Brook##State University of New York at Stony Brook")</f>
        <v>State University of New York at Stony Brook##State University of New York at Stony Brook##State University of New York at Stony Brook##State University of New York at Stony Brook</v>
      </c>
      <c r="C773" s="66" t="s">
        <v>11014</v>
      </c>
    </row>
    <row r="774" ht="15.75" customHeight="1">
      <c r="A774" s="66">
        <f>'Main dataset (DEPRECATED)'!Q775</f>
        <v>5613478</v>
      </c>
      <c r="B774" s="66" t="str">
        <f>IFERROR(__xludf.DUMMYFUNCTION("SPLIT('Main dataset (DEPRECATED2)'!N775,"";"")"),"University of Bonn##University of Bonn")</f>
        <v>University of Bonn##University of Bonn</v>
      </c>
      <c r="C774" s="66" t="s">
        <v>9472</v>
      </c>
    </row>
    <row r="775" ht="15.75" customHeight="1">
      <c r="A775" s="66">
        <f>'Main dataset (DEPRECATED)'!Q776</f>
        <v>5613495</v>
      </c>
      <c r="B775" s="66" t="str">
        <f>IFERROR(__xludf.DUMMYFUNCTION("SPLIT('Main dataset (DEPRECATED2)'!N776,"";"")"),"Silicon Graphics Comput. Syst., Mountain View, CA, USA|c|")</f>
        <v>Silicon Graphics Comput. Syst., Mountain View, CA, USA|c|</v>
      </c>
      <c r="C775" s="66" t="s">
        <v>6287</v>
      </c>
      <c r="D775" s="66" t="s">
        <v>11431</v>
      </c>
    </row>
    <row r="776" ht="15.75" customHeight="1">
      <c r="A776" s="66">
        <f>'Main dataset (DEPRECATED)'!Q777</f>
        <v>5613471</v>
      </c>
      <c r="B776" s="66" t="str">
        <f>IFERROR(__xludf.DUMMYFUNCTION("SPLIT('Main dataset (DEPRECATED2)'!N777,"";"")"),"USC##USC##USC##USC##USC")</f>
        <v>USC##USC##USC##USC##USC</v>
      </c>
      <c r="C776" s="66" t="s">
        <v>9038</v>
      </c>
      <c r="D776" s="66" t="s">
        <v>9449</v>
      </c>
      <c r="E776" s="66" t="s">
        <v>6169</v>
      </c>
    </row>
    <row r="777" ht="15.75" customHeight="1">
      <c r="A777" s="66">
        <f>'Main dataset (DEPRECATED)'!Q778</f>
        <v>5613477</v>
      </c>
      <c r="B777" s="66" t="str">
        <f>IFERROR(__xludf.DUMMYFUNCTION("SPLIT('Main dataset (DEPRECATED2)'!N778,"";"")"),"University of Utah")</f>
        <v>University of Utah</v>
      </c>
      <c r="C777" s="66" t="s">
        <v>8024</v>
      </c>
      <c r="D777" s="66" t="s">
        <v>9472</v>
      </c>
    </row>
    <row r="778" ht="15.75" customHeight="1">
      <c r="A778" s="66">
        <f>'Main dataset (DEPRECATED)'!Q779</f>
        <v>5613474</v>
      </c>
      <c r="B778" s="66" t="str">
        <f>IFERROR(__xludf.DUMMYFUNCTION("SPLIT('Main dataset (DEPRECATED2)'!N779,"";"")"),"University of Hull##University of Leeds##University of Leeds")</f>
        <v>University of Hull##University of Leeds##University of Leeds</v>
      </c>
      <c r="C778" s="66" t="s">
        <v>9713</v>
      </c>
      <c r="D778" s="66" t="s">
        <v>6642</v>
      </c>
      <c r="E778" s="66" t="s">
        <v>6961</v>
      </c>
      <c r="F778" s="66" t="s">
        <v>7887</v>
      </c>
      <c r="G778" s="66" t="s">
        <v>11007</v>
      </c>
      <c r="H778" s="66" t="s">
        <v>11250</v>
      </c>
    </row>
    <row r="779" ht="15.75" customHeight="1">
      <c r="A779" s="66">
        <f>'Main dataset (DEPRECATED)'!Q780</f>
        <v>5613494</v>
      </c>
      <c r="B779" s="66" t="str">
        <f>IFERROR(__xludf.DUMMYFUNCTION("SPLIT('Main dataset (DEPRECATED2)'!N780,"";"")"),"University of Utah nDV-LLC")</f>
        <v>University of Utah nDV-LLC</v>
      </c>
      <c r="C779" s="66" t="s">
        <v>8496</v>
      </c>
      <c r="D779" s="66" t="s">
        <v>8512</v>
      </c>
      <c r="E779" s="66" t="s">
        <v>6754</v>
      </c>
      <c r="F779" s="66" t="s">
        <v>11669</v>
      </c>
      <c r="G779" s="66" t="s">
        <v>6549</v>
      </c>
    </row>
    <row r="780" ht="15.75" customHeight="1">
      <c r="A780" s="66">
        <f>'Main dataset (DEPRECATED)'!Q781</f>
        <v>5613496</v>
      </c>
      <c r="B780" s="66" t="str">
        <f>IFERROR(__xludf.DUMMYFUNCTION("SPLIT('Main dataset (DEPRECATED2)'!N781,"";"")"),"University of TÃ¼bingen")</f>
        <v>University of TÃ¼bingen</v>
      </c>
      <c r="C780" s="66" t="s">
        <v>8560</v>
      </c>
    </row>
    <row r="781" ht="15.75" customHeight="1">
      <c r="A781" s="66">
        <f>'Main dataset (DEPRECATED)'!Q782</f>
        <v>5613504</v>
      </c>
      <c r="B781" s="66" t="str">
        <f>IFERROR(__xludf.DUMMYFUNCTION("SPLIT('Main dataset (DEPRECATED2)'!N782,"";"")"),"University of Kaiserslautern##University of Kaiserslautern")</f>
        <v>University of Kaiserslautern##University of Kaiserslautern</v>
      </c>
      <c r="C781" s="66" t="s">
        <v>10904</v>
      </c>
      <c r="D781" s="66" t="s">
        <v>8372</v>
      </c>
      <c r="E781" s="66" t="s">
        <v>7449</v>
      </c>
      <c r="F781" s="66" t="s">
        <v>8373</v>
      </c>
    </row>
    <row r="782" ht="15.75" customHeight="1">
      <c r="A782" s="66">
        <f>'Main dataset (DEPRECATED)'!Q783</f>
        <v>5613491</v>
      </c>
      <c r="B782" s="66" t="str">
        <f>IFERROR(__xludf.DUMMYFUNCTION("SPLIT('Main dataset (DEPRECATED2)'!N783,"";"")"),"INRIA Sophia Antipolis##INRIA Sophia Antipolis")</f>
        <v>INRIA Sophia Antipolis##INRIA Sophia Antipolis</v>
      </c>
      <c r="C782" s="66" t="s">
        <v>9472</v>
      </c>
      <c r="D782" s="66" t="s">
        <v>6997</v>
      </c>
    </row>
    <row r="783" ht="15.75" customHeight="1">
      <c r="A783" s="66">
        <f>'Main dataset (DEPRECATED)'!Q784</f>
        <v>5613473</v>
      </c>
      <c r="B783" s="66" t="str">
        <f>IFERROR(__xludf.DUMMYFUNCTION("SPLIT('Main dataset (DEPRECATED2)'!N784,"";"")"),"The University of North Carolina at Chapel Hill##The University of North Carolina at Chapel Hill##The University of North Carolina at Chapel Hill##The University of North Carolina at Chapel Hill##The University of North Carolina at Chapel Hill")</f>
        <v>The University of North Carolina at Chapel Hill##The University of North Carolina at Chapel Hill##The University of North Carolina at Chapel Hill##The University of North Carolina at Chapel Hill##The University of North Carolina at Chapel Hill</v>
      </c>
      <c r="C783" s="66" t="s">
        <v>11447</v>
      </c>
      <c r="D783" s="66" t="s">
        <v>7617</v>
      </c>
      <c r="E783" s="66" t="s">
        <v>10399</v>
      </c>
      <c r="F783" s="66" t="s">
        <v>6380</v>
      </c>
    </row>
    <row r="784" ht="15.75" customHeight="1">
      <c r="A784" s="66">
        <f>'Main dataset (DEPRECATED)'!Q785</f>
        <v>5613479</v>
      </c>
      <c r="B784" s="66" t="str">
        <f>IFERROR(__xludf.DUMMYFUNCTION("SPLIT('Main dataset (DEPRECATED2)'!N785,"";"")"),"Ben-Gurion University Beer-Sheva")</f>
        <v>Ben-Gurion University Beer-Sheva</v>
      </c>
      <c r="C784" s="66" t="s">
        <v>10419</v>
      </c>
      <c r="D784" s="66" t="s">
        <v>11119</v>
      </c>
      <c r="E784" s="66" t="s">
        <v>7479</v>
      </c>
      <c r="F784" s="66" t="s">
        <v>9373</v>
      </c>
      <c r="G784" s="66" t="s">
        <v>11431</v>
      </c>
      <c r="H784" s="66" t="s">
        <v>10105</v>
      </c>
      <c r="I784" s="66" t="s">
        <v>9048</v>
      </c>
      <c r="J784" s="66" t="s">
        <v>9891</v>
      </c>
    </row>
    <row r="785" ht="15.75" customHeight="1">
      <c r="A785" s="66">
        <f>'Main dataset (DEPRECATED)'!Q786</f>
        <v>5613499</v>
      </c>
      <c r="B785" s="66" t="str">
        <f>IFERROR(__xludf.DUMMYFUNCTION("SPLIT('Main dataset (DEPRECATED2)'!N786,"";"")"),"University of California##University of California##University of California")</f>
        <v>University of California##University of California##University of California</v>
      </c>
      <c r="C785" s="66" t="s">
        <v>6718</v>
      </c>
      <c r="D785" s="66" t="s">
        <v>11014</v>
      </c>
      <c r="E785" s="66" t="s">
        <v>11431</v>
      </c>
    </row>
    <row r="786" ht="15.75" customHeight="1">
      <c r="A786" s="66">
        <f>'Main dataset (DEPRECATED)'!Q787</f>
        <v>5613498</v>
      </c>
      <c r="B786" s="66" t="str">
        <f>IFERROR(__xludf.DUMMYFUNCTION("SPLIT('Main dataset (DEPRECATED2)'!N787,"";"")"),"Technical University Eindhoven, Eindhoven, NL")</f>
        <v>Technical University Eindhoven, Eindhoven, NL</v>
      </c>
      <c r="C786" s="66" t="s">
        <v>6230</v>
      </c>
      <c r="D786" s="66" t="s">
        <v>9663</v>
      </c>
      <c r="E786" s="66" t="s">
        <v>10621</v>
      </c>
    </row>
    <row r="787" ht="15.75" customHeight="1">
      <c r="A787" s="66">
        <f>'Main dataset (DEPRECATED)'!Q788</f>
        <v>5613486</v>
      </c>
      <c r="B787" s="66" t="str">
        <f>IFERROR(__xludf.DUMMYFUNCTION("SPLIT('Main dataset (DEPRECATED2)'!N788,"";"")"),"University of Kaiserslautern##University of Kaiserslautern##University of Kaiserslautern")</f>
        <v>University of Kaiserslautern##University of Kaiserslautern##University of Kaiserslautern</v>
      </c>
      <c r="C787" s="66" t="s">
        <v>7843</v>
      </c>
      <c r="D787" s="66" t="s">
        <v>8439</v>
      </c>
      <c r="E787" s="66" t="s">
        <v>6222</v>
      </c>
      <c r="F787" s="66" t="s">
        <v>9028</v>
      </c>
      <c r="G787" s="66" t="s">
        <v>8093</v>
      </c>
    </row>
    <row r="788" ht="15.75" customHeight="1">
      <c r="A788" s="66">
        <f>'Main dataset (DEPRECATED)'!Q789</f>
        <v>5613485</v>
      </c>
      <c r="B788" s="66" t="str">
        <f>IFERROR(__xludf.DUMMYFUNCTION("SPLIT('Main dataset (DEPRECATED2)'!N789,"";"")"),"CIPIC, California Univ., Davis, CA, USA|c|")</f>
        <v>CIPIC, California Univ., Davis, CA, USA|c|</v>
      </c>
      <c r="C788" s="66" t="s">
        <v>10544</v>
      </c>
      <c r="D788" s="66" t="s">
        <v>7469</v>
      </c>
      <c r="E788" s="66" t="s">
        <v>6883</v>
      </c>
      <c r="F788" s="66" t="s">
        <v>6683</v>
      </c>
    </row>
    <row r="789" ht="15.75" customHeight="1">
      <c r="A789" s="66">
        <f>'Main dataset (DEPRECATED)'!Q790</f>
        <v>5613472</v>
      </c>
      <c r="B789" s="66" t="str">
        <f>IFERROR(__xludf.DUMMYFUNCTION("SPLIT('Main dataset (DEPRECATED2)'!N790,"";"")"),"ETH ZÃ¼rich##ETH ZÃ¼rich##ETH ZÃ¼rich")</f>
        <v>ETH ZÃ¼rich##ETH ZÃ¼rich##ETH ZÃ¼rich</v>
      </c>
      <c r="C789" s="66" t="s">
        <v>7698</v>
      </c>
      <c r="D789" s="66" t="s">
        <v>8023</v>
      </c>
      <c r="E789" s="66" t="s">
        <v>7996</v>
      </c>
      <c r="F789" s="66" t="s">
        <v>8560</v>
      </c>
    </row>
    <row r="790" ht="15.75" customHeight="1">
      <c r="A790" s="66">
        <f>'Main dataset (DEPRECATED)'!Q791</f>
        <v>5613483</v>
      </c>
      <c r="B790" s="66" t="str">
        <f>IFERROR(__xludf.DUMMYFUNCTION("SPLIT('Main dataset (DEPRECATED2)'!N791,"";"")"),"CNRS University of Grenoble##CNRS University of Grenoble")</f>
        <v>CNRS University of Grenoble##CNRS University of Grenoble</v>
      </c>
      <c r="C790" s="66" t="s">
        <v>10704</v>
      </c>
      <c r="D790" s="66" t="s">
        <v>7350</v>
      </c>
      <c r="E790" s="66" t="s">
        <v>9363</v>
      </c>
      <c r="F790" s="66" t="s">
        <v>6217</v>
      </c>
      <c r="G790" s="66" t="s">
        <v>9495</v>
      </c>
    </row>
    <row r="791" ht="15.75" customHeight="1">
      <c r="A791" s="66">
        <f>'Main dataset (DEPRECATED)'!Q792</f>
        <v>5613459</v>
      </c>
      <c r="B791" s="66" t="str">
        <f>IFERROR(__xludf.DUMMYFUNCTION("SPLIT('Main dataset (DEPRECATED2)'!N792,"";"")"),"UC, Davis")</f>
        <v>UC, Davis</v>
      </c>
      <c r="C791" s="66" t="s">
        <v>11408</v>
      </c>
    </row>
    <row r="792" ht="15.75" customHeight="1">
      <c r="A792" s="66">
        <f>'Main dataset (DEPRECATED)'!Q793</f>
        <v>5613490</v>
      </c>
      <c r="B792" s="66" t="str">
        <f>IFERROR(__xludf.DUMMYFUNCTION("SPLIT('Main dataset (DEPRECATED2)'!N793,"";"")"),"University of Bonn##University of Bonn##University of Bonn")</f>
        <v>University of Bonn##University of Bonn##University of Bonn</v>
      </c>
      <c r="C792" s="66" t="s">
        <v>6227</v>
      </c>
      <c r="D792" s="66" t="s">
        <v>9229</v>
      </c>
      <c r="E792" s="66" t="s">
        <v>7262</v>
      </c>
    </row>
    <row r="793" ht="15.75" customHeight="1">
      <c r="A793" s="66">
        <f>'Main dataset (DEPRECATED)'!Q794</f>
        <v>5613506</v>
      </c>
      <c r="B793" s="66" t="str">
        <f>IFERROR(__xludf.DUMMYFUNCTION("SPLIT('Main dataset (DEPRECATED2)'!N794,"";"")"),"ETH Zurich")</f>
        <v>ETH Zurich</v>
      </c>
      <c r="C793" s="66" t="s">
        <v>6198</v>
      </c>
      <c r="D793" s="66" t="s">
        <v>9203</v>
      </c>
    </row>
    <row r="794" ht="15.75" customHeight="1">
      <c r="A794" s="66">
        <f>'Main dataset (DEPRECATED)'!Q795</f>
        <v>5613488</v>
      </c>
      <c r="B794" s="66" t="str">
        <f>IFERROR(__xludf.DUMMYFUNCTION("SPLIT('Main dataset (DEPRECATED2)'!N795,"";"")"),"GVU Center##GVU Center")</f>
        <v>GVU Center##GVU Center</v>
      </c>
      <c r="C794" s="66" t="s">
        <v>9472</v>
      </c>
    </row>
    <row r="795" ht="15.75" customHeight="1">
      <c r="A795" s="66">
        <f>'Main dataset (DEPRECATED)'!Q796</f>
        <v>5613482</v>
      </c>
      <c r="B795" s="66" t="str">
        <f>IFERROR(__xludf.DUMMYFUNCTION("SPLIT('Main dataset (DEPRECATED2)'!N796,"";"")"),"Center for Comput. Visualization, Texas Univ., Austin, TX, USA|c|")</f>
        <v>Center for Comput. Visualization, Texas Univ., Austin, TX, USA|c|</v>
      </c>
      <c r="C795" s="66" t="s">
        <v>8104</v>
      </c>
      <c r="D795" s="66" t="s">
        <v>8045</v>
      </c>
      <c r="E795" s="66" t="s">
        <v>9841</v>
      </c>
      <c r="F795" s="66" t="s">
        <v>8676</v>
      </c>
      <c r="G795" s="66" t="s">
        <v>8290</v>
      </c>
      <c r="H795" s="66" t="s">
        <v>11703</v>
      </c>
    </row>
    <row r="796" ht="15.75" customHeight="1">
      <c r="A796" s="66">
        <f>'Main dataset (DEPRECATED)'!Q797</f>
        <v>5613470</v>
      </c>
      <c r="B796" s="66" t="str">
        <f>IFERROR(__xludf.DUMMYFUNCTION("SPLIT('Main dataset (DEPRECATED2)'!N797,"";"")"),"Div. of Comput. Sci., Texas Univ., San Antonio, TX, USA|c|")</f>
        <v>Div. of Comput. Sci., Texas Univ., San Antonio, TX, USA|c|</v>
      </c>
      <c r="C796" s="66" t="s">
        <v>9101</v>
      </c>
      <c r="D796" s="66" t="s">
        <v>9157</v>
      </c>
      <c r="E796" s="66" t="s">
        <v>9873</v>
      </c>
      <c r="F796" s="66" t="s">
        <v>11694</v>
      </c>
    </row>
    <row r="797" ht="15.75" customHeight="1">
      <c r="A797" s="66">
        <f>'Main dataset (DEPRECATED)'!Q798</f>
        <v>5613464</v>
      </c>
      <c r="B797" s="66" t="str">
        <f>IFERROR(__xludf.DUMMYFUNCTION("SPLIT('Main dataset (DEPRECATED2)'!N798,"";"")"),"Vienna University of Technology##Vienna University of Technology##Vienna University of Technology")</f>
        <v>Vienna University of Technology##Vienna University of Technology##Vienna University of Technology</v>
      </c>
      <c r="C797" s="66" t="s">
        <v>7905</v>
      </c>
      <c r="D797" s="66" t="s">
        <v>11396</v>
      </c>
    </row>
    <row r="798" ht="15.75" customHeight="1">
      <c r="A798" s="66">
        <f>'Main dataset (DEPRECATED)'!Q799</f>
        <v>5613462</v>
      </c>
      <c r="B798" s="66" t="str">
        <f>IFERROR(__xludf.DUMMYFUNCTION("SPLIT('Main dataset (DEPRECATED2)'!N799,"";"")"),"Virtual Reality Lab., Naval Res. Lab., Washington, DC, USA|c|")</f>
        <v>Virtual Reality Lab., Naval Res. Lab., Washington, DC, USA|c|</v>
      </c>
      <c r="C798" s="66" t="s">
        <v>11014</v>
      </c>
    </row>
    <row r="799" ht="15.75" customHeight="1">
      <c r="A799" s="66">
        <f>'Main dataset (DEPRECATED)'!Q800</f>
        <v>5613502</v>
      </c>
      <c r="B799" s="66" t="str">
        <f>IFERROR(__xludf.DUMMYFUNCTION("SPLIT('Main dataset (DEPRECATED2)'!N800,"";"")"),"University of TÃ¼bingen")</f>
        <v>University of TÃ¼bingen</v>
      </c>
      <c r="C799" s="66" t="s">
        <v>8729</v>
      </c>
    </row>
    <row r="800" ht="15.75" customHeight="1">
      <c r="A800" s="66">
        <f>'Main dataset (DEPRECATED)'!Q801</f>
        <v>5613475</v>
      </c>
      <c r="B800" s="66" t="str">
        <f>IFERROR(__xludf.DUMMYFUNCTION("SPLIT('Main dataset (DEPRECATED2)'!N801,"";"")"),"Neurocenter##University of Erlangen-Nuremberg##University of Erlangen-Nuremberg####University of Stuttgart")</f>
        <v>Neurocenter##University of Erlangen-Nuremberg##University of Erlangen-Nuremberg####University of Stuttgart</v>
      </c>
      <c r="C800" s="66" t="s">
        <v>9235</v>
      </c>
      <c r="D800" s="66" t="s">
        <v>6817</v>
      </c>
      <c r="E800" s="66" t="s">
        <v>11573</v>
      </c>
      <c r="F800" s="66" t="s">
        <v>8645</v>
      </c>
    </row>
    <row r="801" ht="15.75" customHeight="1">
      <c r="A801" s="66">
        <f>'Main dataset (DEPRECATED)'!Q802</f>
        <v>5613503</v>
      </c>
      <c r="B801" s="66" t="str">
        <f>IFERROR(__xludf.DUMMYFUNCTION("SPLIT('Main dataset (DEPRECATED2)'!N802,"";"")"),"University of Leeds##University of Leeds")</f>
        <v>University of Leeds##University of Leeds</v>
      </c>
      <c r="C801" s="66" t="s">
        <v>9444</v>
      </c>
      <c r="D801" s="66" t="s">
        <v>8070</v>
      </c>
      <c r="E801" s="66" t="s">
        <v>7565</v>
      </c>
      <c r="F801" s="66" t="s">
        <v>11351</v>
      </c>
      <c r="G801" s="66" t="s">
        <v>8071</v>
      </c>
    </row>
    <row r="802" ht="15.75" customHeight="1">
      <c r="A802" s="66">
        <f>'Main dataset (DEPRECATED)'!Q803</f>
        <v>5613468</v>
      </c>
      <c r="B802" s="66" t="str">
        <f>IFERROR(__xludf.DUMMYFUNCTION("SPLIT('Main dataset (DEPRECATED2)'!N803,"";"")"),"Brown University##Brown University##Brown University##Brown University##Brown University##Brown University")</f>
        <v>Brown University##Brown University##Brown University##Brown University##Brown University##Brown University</v>
      </c>
      <c r="C802" s="66" t="s">
        <v>10621</v>
      </c>
      <c r="D802" s="66" t="s">
        <v>9663</v>
      </c>
    </row>
    <row r="803" ht="15.75" customHeight="1">
      <c r="A803" s="66">
        <f>'Main dataset (DEPRECATED)'!Q804</f>
        <v>5613476</v>
      </c>
      <c r="B803" s="66" t="str">
        <f>IFERROR(__xludf.DUMMYFUNCTION("SPLIT('Main dataset (DEPRECATED2)'!N804,"";"")"),"Tiani Medgraph GesmbH##Tiani Medgraph GesmbH##Tiani Medgraph GesmbH##Tiani Medgraph GesmbH##Tiani Medgraph GesmbH##Tiani Medgraph GesmbH")</f>
        <v>Tiani Medgraph GesmbH##Tiani Medgraph GesmbH##Tiani Medgraph GesmbH##Tiani Medgraph GesmbH##Tiani Medgraph GesmbH##Tiani Medgraph GesmbH</v>
      </c>
      <c r="C803" s="66" t="s">
        <v>10219</v>
      </c>
      <c r="D803" s="66" t="s">
        <v>8190</v>
      </c>
    </row>
    <row r="804" ht="15.75" customHeight="1">
      <c r="A804" s="66">
        <f>'Main dataset (DEPRECATED)'!Q805</f>
        <v>5613493</v>
      </c>
      <c r="B804" s="66" t="str">
        <f>IFERROR(__xludf.DUMMYFUNCTION("SPLIT('Main dataset (DEPRECATED2)'!N805,"";"")"),"Center for Math. &amp; Comput. Sci., Amsterdam, Netherlands|c|")</f>
        <v>Center for Math. &amp; Comput. Sci., Amsterdam, Netherlands|c|</v>
      </c>
      <c r="C804" s="66" t="s">
        <v>11371</v>
      </c>
      <c r="D804" s="66" t="s">
        <v>9529</v>
      </c>
    </row>
    <row r="805" ht="15.75" customHeight="1">
      <c r="A805" s="66">
        <f>'Main dataset (DEPRECATED)'!Q806</f>
        <v>5613500</v>
      </c>
      <c r="B805" s="66" t="str">
        <f>IFERROR(__xludf.DUMMYFUNCTION("SPLIT('Main dataset (DEPRECATED2)'!N806,"";"")"),"Dept. of Sci. &amp; Technol., Linkopings Univ., Sweden|c|")</f>
        <v>Dept. of Sci. &amp; Technol., Linkopings Univ., Sweden|c|</v>
      </c>
      <c r="C805" s="66" t="s">
        <v>6864</v>
      </c>
      <c r="D805" s="66" t="s">
        <v>8203</v>
      </c>
      <c r="E805" s="66" t="s">
        <v>4987</v>
      </c>
    </row>
    <row r="806" ht="15.75" customHeight="1">
      <c r="A806" s="66">
        <f>'Main dataset (DEPRECATED)'!Q807</f>
        <v>5613467</v>
      </c>
      <c r="B806" s="66" t="str">
        <f>IFERROR(__xludf.DUMMYFUNCTION("SPLIT('Main dataset (DEPRECATED2)'!N807,"";"")"),"BioCentrum Amsterdam##BioCentrum Amsterdam##BioCentrum Amsterdam##BioCentrum Amsterdam##CWI")</f>
        <v>BioCentrum Amsterdam##BioCentrum Amsterdam##BioCentrum Amsterdam##BioCentrum Amsterdam##CWI</v>
      </c>
      <c r="C806" s="66" t="s">
        <v>6645</v>
      </c>
      <c r="D806" s="66" t="s">
        <v>9807</v>
      </c>
      <c r="E806" s="66" t="s">
        <v>11438</v>
      </c>
    </row>
    <row r="807" ht="15.75" customHeight="1">
      <c r="A807" s="66">
        <f>'Main dataset (DEPRECATED)'!Q808</f>
        <v>5613489</v>
      </c>
      <c r="B807" s="66" t="str">
        <f>IFERROR(__xludf.DUMMYFUNCTION("SPLIT('Main dataset (DEPRECATED2)'!N808,"";"")"),"IBM Thomas J. Watson Res. Center, Yorktown Heights, NY, USA|c|")</f>
        <v>IBM Thomas J. Watson Res. Center, Yorktown Heights, NY, USA|c|</v>
      </c>
      <c r="C807" s="66" t="s">
        <v>8127</v>
      </c>
      <c r="D807" s="66" t="s">
        <v>10113</v>
      </c>
      <c r="E807" s="66" t="s">
        <v>7887</v>
      </c>
    </row>
    <row r="808" ht="15.75" customHeight="1">
      <c r="A808" s="66">
        <f>'Main dataset (DEPRECATED)'!Q809</f>
        <v>5613497</v>
      </c>
      <c r="B808" s="66" t="str">
        <f>IFERROR(__xludf.DUMMYFUNCTION("SPLIT('Main dataset (DEPRECATED2)'!N809,"";"")"),"Rutgers University##Rutgers University##Rutgers University##Rutgers University")</f>
        <v>Rutgers University##Rutgers University##Rutgers University##Rutgers University</v>
      </c>
      <c r="C808" s="66" t="s">
        <v>7028</v>
      </c>
      <c r="D808" s="66" t="s">
        <v>4987</v>
      </c>
    </row>
    <row r="809" ht="15.75" customHeight="1">
      <c r="A809" s="66">
        <f>'Main dataset (DEPRECATED)'!Q810</f>
        <v>5613501</v>
      </c>
      <c r="B809" s="66" t="str">
        <f>IFERROR(__xludf.DUMMYFUNCTION("SPLIT('Main dataset (DEPRECATED2)'!N810,"";"")"),"Pacific Northwest Lab., Richland, WA, USA|c|")</f>
        <v>Pacific Northwest Lab., Richland, WA, USA|c|</v>
      </c>
      <c r="C809" s="66" t="s">
        <v>4987</v>
      </c>
    </row>
    <row r="810" ht="15.75" customHeight="1">
      <c r="A810" s="66">
        <f>'Main dataset (DEPRECATED)'!Q811</f>
        <v>5613481</v>
      </c>
      <c r="B810" s="66" t="str">
        <f>IFERROR(__xludf.DUMMYFUNCTION("SPLIT('Main dataset (DEPRECATED2)'!N811,"";"")"),"IBM T.J. Watson Research Center##IBM T.J. Watson Research Center##IBM T.J. Watson Research Center##IBM T.J. Watson Research Center##IBM T.J. Watson Research Center")</f>
        <v>IBM T.J. Watson Research Center##IBM T.J. Watson Research Center##IBM T.J. Watson Research Center##IBM T.J. Watson Research Center##IBM T.J. Watson Research Center</v>
      </c>
      <c r="C810" s="66" t="s">
        <v>11575</v>
      </c>
      <c r="D810" s="66" t="s">
        <v>11744</v>
      </c>
      <c r="E810" s="66" t="s">
        <v>10914</v>
      </c>
    </row>
    <row r="811" ht="15.75" customHeight="1">
      <c r="A811" s="66">
        <f>'Main dataset (DEPRECATED)'!Q812</f>
        <v>5613487</v>
      </c>
      <c r="B811" s="66" t="str">
        <f>IFERROR(__xludf.DUMMYFUNCTION("SPLIT('Main dataset (DEPRECATED2)'!N812,"";"")"),"University of Maryland##SRI International")</f>
        <v>University of Maryland##SRI International</v>
      </c>
      <c r="C811" s="66" t="s">
        <v>7627</v>
      </c>
      <c r="D811" s="66" t="s">
        <v>10142</v>
      </c>
      <c r="E811" s="66" t="s">
        <v>10402</v>
      </c>
      <c r="F811" s="66" t="s">
        <v>6536</v>
      </c>
      <c r="G811" s="66" t="s">
        <v>7887</v>
      </c>
    </row>
    <row r="812" ht="15.75" customHeight="1">
      <c r="A812" s="66">
        <f>'Main dataset (DEPRECATED)'!Q813</f>
        <v>5290699</v>
      </c>
      <c r="B812" s="66" t="str">
        <f>IFERROR(__xludf.DUMMYFUNCTION("SPLIT('Main dataset (DEPRECATED2)'!N813,"";"")"),"University of California##University of California")</f>
        <v>University of California##University of California</v>
      </c>
      <c r="C812" s="66" t="s">
        <v>9865</v>
      </c>
    </row>
    <row r="813" ht="15.75" customHeight="1">
      <c r="A813" s="66">
        <f>'Main dataset (DEPRECATED)'!Q814</f>
        <v>5290700</v>
      </c>
      <c r="B813" s="66" t="str">
        <f>IFERROR(__xludf.DUMMYFUNCTION("SPLIT('Main dataset (DEPRECATED2)'!N814,"";"")"),"University of California##University of California##University of California##University of California##University of California")</f>
        <v>University of California##University of California##University of California##University of California##University of California</v>
      </c>
      <c r="C813" s="66" t="s">
        <v>6559</v>
      </c>
      <c r="D813" s="66" t="s">
        <v>7541</v>
      </c>
      <c r="E813" s="66" t="s">
        <v>10043</v>
      </c>
      <c r="F813" s="66" t="s">
        <v>8372</v>
      </c>
      <c r="G813" s="66" t="s">
        <v>10186</v>
      </c>
      <c r="H813" s="66" t="s">
        <v>9667</v>
      </c>
    </row>
    <row r="814" ht="15.75" customHeight="1">
      <c r="A814" s="66">
        <f>'Main dataset (DEPRECATED)'!Q815</f>
        <v>5290719</v>
      </c>
      <c r="B814" s="66" t="str">
        <f>IFERROR(__xludf.DUMMYFUNCTION("SPLIT('Main dataset (DEPRECATED2)'!N815,"";"")"),"Sonar Research &amp; Development Ltd +##Sonar Research &amp; Development Ltd +##Sonar Research &amp; Development Ltd +##Sonar Research &amp; Development Ltd +##Sonar Research &amp; Development Ltd +")</f>
        <v>Sonar Research &amp; Development Ltd +##Sonar Research &amp; Development Ltd +##Sonar Research &amp; Development Ltd +##Sonar Research &amp; Development Ltd +##Sonar Research &amp; Development Ltd +</v>
      </c>
      <c r="C814" s="66" t="s">
        <v>11063</v>
      </c>
      <c r="D814" s="66" t="s">
        <v>9532</v>
      </c>
      <c r="E814" s="66" t="s">
        <v>6452</v>
      </c>
    </row>
    <row r="815" ht="15.75" customHeight="1">
      <c r="A815" s="66">
        <f>'Main dataset (DEPRECATED)'!Q816</f>
        <v>5290695</v>
      </c>
      <c r="B815" s="66" t="str">
        <f>IFERROR(__xludf.DUMMYFUNCTION("SPLIT('Main dataset (DEPRECATED2)'!N816,"";"")"),"University of Illinois at Urbana-Champaign##University of Illinois at Urbana-Champaign##University of Illinois at Urbana-Champaign##University of Illinois at Urbana-Champaign##University of Illinois at Urbana-Champaign")</f>
        <v>University of Illinois at Urbana-Champaign##University of Illinois at Urbana-Champaign##University of Illinois at Urbana-Champaign##University of Illinois at Urbana-Champaign##University of Illinois at Urbana-Champaign</v>
      </c>
    </row>
    <row r="816" ht="15.75" customHeight="1">
      <c r="A816" s="66">
        <f>'Main dataset (DEPRECATED)'!Q817</f>
        <v>5290690</v>
      </c>
      <c r="B816" s="66" t="str">
        <f>IFERROR(__xludf.DUMMYFUNCTION("SPLIT('Main dataset (DEPRECATED2)'!N817,"";"")"),"IBM Thomas J. Watson Research Center Yorktown Heights")</f>
        <v>IBM Thomas J. Watson Research Center Yorktown Heights</v>
      </c>
      <c r="C816" s="66" t="s">
        <v>8396</v>
      </c>
      <c r="D816" s="66" t="s">
        <v>6513</v>
      </c>
      <c r="E816" s="66" t="s">
        <v>8547</v>
      </c>
    </row>
    <row r="817" ht="15.75" customHeight="1">
      <c r="A817" s="66">
        <f>'Main dataset (DEPRECATED)'!Q818</f>
        <v>5290698</v>
      </c>
      <c r="B817" s="66" t="str">
        <f>IFERROR(__xludf.DUMMYFUNCTION("SPLIT('Main dataset (DEPRECATED2)'!N818,"";"")"),"Stanford University|c|")</f>
        <v>Stanford University|c|</v>
      </c>
      <c r="C817" s="66" t="s">
        <v>8524</v>
      </c>
      <c r="D817" s="66" t="s">
        <v>7015</v>
      </c>
    </row>
    <row r="818" ht="15.75" customHeight="1">
      <c r="A818" s="66">
        <f>'Main dataset (DEPRECATED)'!Q819</f>
        <v>5290706</v>
      </c>
      <c r="B818" s="66" t="str">
        <f>IFERROR(__xludf.DUMMYFUNCTION("SPLIT('Main dataset (DEPRECATED2)'!N819,"";"")"),"crcp Technische UniversitÃ¤t Darmstadt##crcp Technische UniversitÃ¤t Darmstadt##crcp Technische UniversitÃ¤t Darmstadt")</f>
        <v>crcp Technische UniversitÃ¤t Darmstadt##crcp Technische UniversitÃ¤t Darmstadt##crcp Technische UniversitÃ¤t Darmstadt</v>
      </c>
      <c r="C818" s="66" t="s">
        <v>9857</v>
      </c>
      <c r="D818" s="66" t="s">
        <v>6786</v>
      </c>
    </row>
    <row r="819" ht="15.75" customHeight="1">
      <c r="A819" s="66">
        <f>'Main dataset (DEPRECATED)'!Q820</f>
        <v>5290717</v>
      </c>
      <c r="B819" s="66" t="str">
        <f>IFERROR(__xludf.DUMMYFUNCTION("SPLIT('Main dataset (DEPRECATED2)'!N820,"";"")"),"Pacific Northwest National Laboratory|c|")</f>
        <v>Pacific Northwest National Laboratory|c|</v>
      </c>
      <c r="C819" s="66" t="s">
        <v>4987</v>
      </c>
    </row>
    <row r="820" ht="15.75" customHeight="1">
      <c r="A820" s="66">
        <f>'Main dataset (DEPRECATED)'!Q821</f>
        <v>5290709</v>
      </c>
      <c r="B820" s="66" t="str">
        <f>IFERROR(__xludf.DUMMYFUNCTION("SPLIT('Main dataset (DEPRECATED2)'!N821,"";"")"),"Sandia National Laboratories|c|")</f>
        <v>Sandia National Laboratories|c|</v>
      </c>
      <c r="C820" s="66" t="s">
        <v>10915</v>
      </c>
      <c r="D820" s="66" t="s">
        <v>7310</v>
      </c>
    </row>
    <row r="821" ht="15.75" customHeight="1">
      <c r="A821" s="66">
        <f>'Main dataset (DEPRECATED)'!Q822</f>
        <v>5290702</v>
      </c>
      <c r="B821" s="66" t="str">
        <f>IFERROR(__xludf.DUMMYFUNCTION("SPLIT('Main dataset (DEPRECATED2)'!N822,"";"")"),"Georgia Institute of Technology Atlanta##Georgia Institute of Technology Atlanta##Georgia Institute of Technology Atlanta##Georgia Institute of Technology Atlanta")</f>
        <v>Georgia Institute of Technology Atlanta##Georgia Institute of Technology Atlanta##Georgia Institute of Technology Atlanta##Georgia Institute of Technology Atlanta</v>
      </c>
      <c r="C821" s="66" t="s">
        <v>7353</v>
      </c>
      <c r="D821" s="66" t="s">
        <v>11531</v>
      </c>
    </row>
    <row r="822" ht="15.75" customHeight="1">
      <c r="A822" s="66">
        <f>'Main dataset (DEPRECATED)'!Q823</f>
        <v>5290696</v>
      </c>
      <c r="B822" s="66" t="str">
        <f>IFERROR(__xludf.DUMMYFUNCTION("SPLIT('Main dataset (DEPRECATED2)'!N823,"";"")"),"Visual Insights, Inc.|c|")</f>
        <v>Visual Insights, Inc.|c|</v>
      </c>
    </row>
    <row r="823" ht="15.75" customHeight="1">
      <c r="A823" s="66">
        <f>'Main dataset (DEPRECATED)'!Q824</f>
        <v>5290691</v>
      </c>
      <c r="B823" s="66" t="str">
        <f>IFERROR(__xludf.DUMMYFUNCTION("SPLIT('Main dataset (DEPRECATED2)'!N824,"";"")"),"University of California##University of California##University of California")</f>
        <v>University of California##University of California##University of California</v>
      </c>
      <c r="C823" s="66" t="s">
        <v>9168</v>
      </c>
      <c r="D823" s="66" t="s">
        <v>9888</v>
      </c>
    </row>
    <row r="824" ht="15.75" customHeight="1">
      <c r="A824" s="66">
        <f>'Main dataset (DEPRECATED)'!Q825</f>
        <v>5290723</v>
      </c>
      <c r="B824" s="66" t="str">
        <f>IFERROR(__xludf.DUMMYFUNCTION("SPLIT('Main dataset (DEPRECATED2)'!N825,"";"")"),"The University of Texas|c|")</f>
        <v>The University of Texas|c|</v>
      </c>
      <c r="C824" s="66" t="s">
        <v>9696</v>
      </c>
      <c r="D824" s="66" t="s">
        <v>10205</v>
      </c>
      <c r="E824" s="66" t="s">
        <v>10812</v>
      </c>
      <c r="F824" s="66" t="s">
        <v>8664</v>
      </c>
      <c r="G824" s="66" t="s">
        <v>7214</v>
      </c>
    </row>
    <row r="825" ht="15.75" customHeight="1">
      <c r="A825" s="66">
        <f>'Main dataset (DEPRECATED)'!Q826</f>
        <v>5290725</v>
      </c>
      <c r="B825" s="66" t="str">
        <f>IFERROR(__xludf.DUMMYFUNCTION("SPLIT('Main dataset (DEPRECATED2)'!N826,"";"")"),"Eindhoven University of Technology##Eindhoven University of Technology##Eindhoven University of Technology")</f>
        <v>Eindhoven University of Technology##Eindhoven University of Technology##Eindhoven University of Technology</v>
      </c>
      <c r="C825" s="66" t="s">
        <v>9058</v>
      </c>
      <c r="D825" s="66" t="s">
        <v>9416</v>
      </c>
      <c r="E825" s="66" t="s">
        <v>8501</v>
      </c>
    </row>
    <row r="826" ht="15.75" customHeight="1">
      <c r="A826" s="66">
        <f>'Main dataset (DEPRECATED)'!Q827</f>
        <v>5290710</v>
      </c>
      <c r="B826" s="66" t="str">
        <f>IFERROR(__xludf.DUMMYFUNCTION("SPLIT('Main dataset (DEPRECATED2)'!N827,"";"")"),"University of Rome ""##University of Rome ""##University of Rome """)</f>
        <v>University of Rome "##University of Rome "##University of Rome "</v>
      </c>
    </row>
    <row r="827" ht="15.75" customHeight="1">
      <c r="A827" s="66">
        <f>'Main dataset (DEPRECATED)'!Q828</f>
        <v>5290707</v>
      </c>
      <c r="B827" s="66" t="str">
        <f>IFERROR(__xludf.DUMMYFUNCTION("SPLIT('Main dataset (DEPRECATED2)'!N828,"";"")"),"University of Maryland##University of Maryland##University of Maryland##University of Maryland##University of Maryland")</f>
        <v>University of Maryland##University of Maryland##University of Maryland##University of Maryland##University of Maryland</v>
      </c>
      <c r="C827" s="66" t="s">
        <v>11056</v>
      </c>
      <c r="D827" s="66" t="s">
        <v>7008</v>
      </c>
    </row>
    <row r="828" ht="15.75" customHeight="1">
      <c r="A828" s="66">
        <f>'Main dataset (DEPRECATED)'!Q829</f>
        <v>5290693</v>
      </c>
      <c r="B828" s="66" t="str">
        <f>IFERROR(__xludf.DUMMYFUNCTION("SPLIT('Main dataset (DEPRECATED2)'!N829,"";"")"),"Dresden University of Technology##Dresden University of Technology")</f>
        <v>Dresden University of Technology##Dresden University of Technology</v>
      </c>
      <c r="C828" s="66" t="s">
        <v>6559</v>
      </c>
      <c r="D828" s="66" t="s">
        <v>8777</v>
      </c>
      <c r="E828" s="66" t="s">
        <v>8217</v>
      </c>
      <c r="F828" s="66" t="s">
        <v>8512</v>
      </c>
    </row>
    <row r="829" ht="15.75" customHeight="1">
      <c r="A829" s="66">
        <f>'Main dataset (DEPRECATED)'!Q830</f>
        <v>5290715</v>
      </c>
      <c r="B829" s="66" t="str">
        <f>IFERROR(__xludf.DUMMYFUNCTION("SPLIT('Main dataset (DEPRECATED2)'!N830,"";"")"),"Eindhoven University of Technology##Eindhoven University of Technology##Eindhoven University of Technology")</f>
        <v>Eindhoven University of Technology##Eindhoven University of Technology##Eindhoven University of Technology</v>
      </c>
    </row>
    <row r="830" ht="15.75" customHeight="1">
      <c r="A830" s="66">
        <f>'Main dataset (DEPRECATED)'!Q831</f>
        <v>5290697</v>
      </c>
      <c r="B830" s="66" t="str">
        <f>IFERROR(__xludf.DUMMYFUNCTION("SPLIT('Main dataset (DEPRECATED2)'!N831,"";"")"),"Vienna University of Technology##Vienna University of Technology")</f>
        <v>Vienna University of Technology##Vienna University of Technology</v>
      </c>
      <c r="C830" s="66" t="s">
        <v>8577</v>
      </c>
    </row>
    <row r="831" ht="15.75" customHeight="1">
      <c r="A831" s="66">
        <f>'Main dataset (DEPRECATED)'!Q832</f>
        <v>5290704</v>
      </c>
      <c r="B831" s="66" t="str">
        <f>IFERROR(__xludf.DUMMYFUNCTION("SPLIT('Main dataset (DEPRECATED2)'!N832,"";"")"),"Battelle Pacific Northwest Division##Battelle Memorial Institute")</f>
        <v>Battelle Pacific Northwest Division##Battelle Memorial Institute</v>
      </c>
      <c r="C831" s="66" t="s">
        <v>8524</v>
      </c>
    </row>
    <row r="832" ht="15.75" customHeight="1">
      <c r="A832" s="66">
        <f>'Main dataset (DEPRECATED)'!Q833</f>
        <v>5290713</v>
      </c>
      <c r="B832" s="66" t="str">
        <f>IFERROR(__xludf.DUMMYFUNCTION("SPLIT('Main dataset (DEPRECATED2)'!N833,"";"")"),"University of Constance##University of Constance##University of Constance##University of Constance##University of Constance")</f>
        <v>University of Constance##University of Constance##University of Constance##University of Constance##University of Constance</v>
      </c>
      <c r="C832" s="66" t="s">
        <v>8372</v>
      </c>
      <c r="D832" s="66" t="s">
        <v>6786</v>
      </c>
    </row>
    <row r="833" ht="15.75" customHeight="1">
      <c r="A833" s="66">
        <f>'Main dataset (DEPRECATED)'!Q834</f>
        <v>5290726</v>
      </c>
      <c r="B833" s="66" t="str">
        <f>IFERROR(__xludf.DUMMYFUNCTION("SPLIT('Main dataset (DEPRECATED2)'!N834,"";"")"),"University of California")</f>
        <v>University of California</v>
      </c>
      <c r="C833" s="66" t="s">
        <v>11348</v>
      </c>
      <c r="D833" s="66" t="s">
        <v>11243</v>
      </c>
    </row>
    <row r="834" ht="15.75" customHeight="1">
      <c r="A834" s="66">
        <f>'Main dataset (DEPRECATED)'!Q835</f>
        <v>5290692</v>
      </c>
      <c r="B834" s="66" t="str">
        <f>IFERROR(__xludf.DUMMYFUNCTION("SPLIT('Main dataset (DEPRECATED2)'!N835,"";"")"),"SAS Institute Inc##SAS Institute Inc")</f>
        <v>SAS Institute Inc##SAS Institute Inc</v>
      </c>
      <c r="C834" s="66" t="s">
        <v>9549</v>
      </c>
      <c r="D834" s="66" t="s">
        <v>9891</v>
      </c>
    </row>
    <row r="835" ht="15.75" customHeight="1">
      <c r="A835" s="66">
        <f>'Main dataset (DEPRECATED)'!Q836</f>
        <v>5290722</v>
      </c>
      <c r="B835" s="66" t="str">
        <f>IFERROR(__xludf.DUMMYFUNCTION("SPLIT('Main dataset (DEPRECATED2)'!N836,"";"")"),"Uppsala University##Uppsala University")</f>
        <v>Uppsala University##Uppsala University</v>
      </c>
      <c r="C835" s="66" t="s">
        <v>11348</v>
      </c>
      <c r="D835" s="66" t="s">
        <v>7492</v>
      </c>
    </row>
    <row r="836" ht="15.75" customHeight="1">
      <c r="A836" s="66">
        <f>'Main dataset (DEPRECATED)'!Q837</f>
        <v>5290720</v>
      </c>
      <c r="B836" s="66" t="str">
        <f>IFERROR(__xludf.DUMMYFUNCTION("SPLIT('Main dataset (DEPRECATED2)'!N837,"";"")"),"SAS Institute Inc##SAS Institute Inc")</f>
        <v>SAS Institute Inc##SAS Institute Inc</v>
      </c>
      <c r="C836" s="66" t="s">
        <v>8112</v>
      </c>
    </row>
    <row r="837" ht="15.75" customHeight="1">
      <c r="A837" s="66">
        <f>'Main dataset (DEPRECATED)'!Q838</f>
        <v>5290712</v>
      </c>
      <c r="B837" s="66" t="str">
        <f>IFERROR(__xludf.DUMMYFUNCTION("SPLIT('Main dataset (DEPRECATED2)'!N838,"";"")"),"Blue Martini Software|c|")</f>
        <v>Blue Martini Software|c|</v>
      </c>
      <c r="C837" s="66" t="s">
        <v>7206</v>
      </c>
      <c r="D837" s="66" t="s">
        <v>7566</v>
      </c>
    </row>
    <row r="838" ht="15.75" customHeight="1">
      <c r="A838" s="66">
        <f>'Main dataset (DEPRECATED)'!Q839</f>
        <v>5290705</v>
      </c>
      <c r="B838" s="66" t="str">
        <f>IFERROR(__xludf.DUMMYFUNCTION("SPLIT('Main dataset (DEPRECATED2)'!N839,"";"")"),"Arizona State University##Arizona State University##Arizona State University")</f>
        <v>Arizona State University##Arizona State University##Arizona State University</v>
      </c>
      <c r="C838" s="66" t="s">
        <v>9841</v>
      </c>
      <c r="D838" s="66" t="s">
        <v>8104</v>
      </c>
      <c r="E838" s="66" t="s">
        <v>8242</v>
      </c>
      <c r="F838" s="66" t="s">
        <v>8287</v>
      </c>
    </row>
    <row r="839" ht="15.75" customHeight="1">
      <c r="A839" s="66">
        <f>'Main dataset (DEPRECATED)'!Q840</f>
        <v>5290708</v>
      </c>
      <c r="B839" s="66" t="str">
        <f>IFERROR(__xludf.DUMMYFUNCTION("SPLIT('Main dataset (DEPRECATED2)'!N840,"";"")"),"University of Utah##University of Utah##University of Utah####University of Utah##University of Utah")</f>
        <v>University of Utah##University of Utah##University of Utah####University of Utah##University of Utah</v>
      </c>
      <c r="C839" s="66" t="s">
        <v>10767</v>
      </c>
      <c r="D839" s="66" t="s">
        <v>10873</v>
      </c>
    </row>
    <row r="840" ht="15.75" customHeight="1">
      <c r="A840" s="66">
        <f>'Main dataset (DEPRECATED)'!Q841</f>
        <v>5290701</v>
      </c>
      <c r="B840" s="66" t="str">
        <f>IFERROR(__xludf.DUMMYFUNCTION("SPLIT('Main dataset (DEPRECATED2)'!N841,"";"")"),"Sarnoff Corporation|c|")</f>
        <v>Sarnoff Corporation|c|</v>
      </c>
      <c r="C840" s="66" t="s">
        <v>6590</v>
      </c>
      <c r="D840" s="66" t="s">
        <v>7909</v>
      </c>
      <c r="E840" s="66" t="s">
        <v>8545</v>
      </c>
      <c r="F840" s="66" t="s">
        <v>8934</v>
      </c>
      <c r="G840" s="66" t="s">
        <v>9973</v>
      </c>
    </row>
    <row r="841" ht="15.75" customHeight="1">
      <c r="A841" s="66">
        <f>'Main dataset (DEPRECATED)'!Q842</f>
        <v>5290694</v>
      </c>
      <c r="B841" s="66" t="str">
        <f>IFERROR(__xludf.DUMMYFUNCTION("SPLIT('Main dataset (DEPRECATED2)'!N842,"";"")"),"Tel Aviv University##Tel Aviv University##Tel Aviv University##Tel Aviv University##Tel Aviv University##Tel Aviv University##Tel Aviv University##Tel Aviv University")</f>
        <v>Tel Aviv University##Tel Aviv University##Tel Aviv University##Tel Aviv University##Tel Aviv University##Tel Aviv University##Tel Aviv University##Tel Aviv University</v>
      </c>
      <c r="C841" s="66" t="s">
        <v>9223</v>
      </c>
      <c r="D841" s="66" t="s">
        <v>8419</v>
      </c>
      <c r="E841" s="66" t="s">
        <v>8664</v>
      </c>
    </row>
    <row r="842" ht="15.75" customHeight="1">
      <c r="A842" s="66">
        <f>'Main dataset (DEPRECATED)'!Q843</f>
        <v>5290716</v>
      </c>
      <c r="B842" s="66" t="str">
        <f>IFERROR(__xludf.DUMMYFUNCTION("SPLIT('Main dataset (DEPRECATED2)'!N843,"";"")"),"Eidgenossische Tech. Hochschule, Zurich, Switzerland|c|")</f>
        <v>Eidgenossische Tech. Hochschule, Zurich, Switzerland|c|</v>
      </c>
      <c r="C842" s="66" t="s">
        <v>9052</v>
      </c>
      <c r="D842" s="66" t="s">
        <v>6228</v>
      </c>
      <c r="E842" s="66" t="s">
        <v>7885</v>
      </c>
      <c r="F842" s="66" t="s">
        <v>9095</v>
      </c>
    </row>
    <row r="843" ht="15.75" customHeight="1">
      <c r="A843" s="66">
        <f>'Main dataset (DEPRECATED)'!Q844</f>
        <v>5290711</v>
      </c>
      <c r="B843" s="66" t="str">
        <f>IFERROR(__xludf.DUMMYFUNCTION("SPLIT('Main dataset (DEPRECATED2)'!N844,"";"")"),"Johns Hopkins Univ., Baltimore, MD, USA|c|")</f>
        <v>Johns Hopkins Univ., Baltimore, MD, USA|c|</v>
      </c>
      <c r="C843" s="66" t="s">
        <v>9930</v>
      </c>
      <c r="D843" s="66" t="s">
        <v>10597</v>
      </c>
      <c r="E843" s="66" t="s">
        <v>10743</v>
      </c>
      <c r="F843" s="66" t="s">
        <v>10232</v>
      </c>
      <c r="G843" s="66" t="s">
        <v>9228</v>
      </c>
      <c r="H843" s="66" t="s">
        <v>9535</v>
      </c>
      <c r="I843" s="66" t="s">
        <v>10684</v>
      </c>
    </row>
    <row r="844" ht="15.75" customHeight="1">
      <c r="A844" s="66">
        <f>'Main dataset (DEPRECATED)'!Q845</f>
        <v>5290714</v>
      </c>
      <c r="B844" s="66" t="str">
        <f>IFERROR(__xludf.DUMMYFUNCTION("SPLIT('Main dataset (DEPRECATED2)'!N845,"";"")"),"University of Minnesota at Twin Cities##University of Minnesota at Twin Cities")</f>
        <v>University of Minnesota at Twin Cities##University of Minnesota at Twin Cities</v>
      </c>
      <c r="C844" s="66" t="s">
        <v>7417</v>
      </c>
    </row>
    <row r="845" ht="15.75" customHeight="1">
      <c r="A845" s="66">
        <f>'Main dataset (DEPRECATED)'!Q846</f>
        <v>5290718</v>
      </c>
      <c r="B845" s="66" t="str">
        <f>IFERROR(__xludf.DUMMYFUNCTION("SPLIT('Main dataset (DEPRECATED2)'!N846,"";"")"),"Florida State University##Florida State University##Florida State University")</f>
        <v>Florida State University##Florida State University##Florida State University</v>
      </c>
      <c r="C845" s="66" t="s">
        <v>7395</v>
      </c>
    </row>
    <row r="846" ht="15.75" customHeight="1">
      <c r="A846" s="66">
        <f>'Main dataset (DEPRECATED)'!Q847</f>
        <v>5290721</v>
      </c>
      <c r="B846" s="66" t="str">
        <f>IFERROR(__xludf.DUMMYFUNCTION("SPLIT('Main dataset (DEPRECATED2)'!N847,"";"")"),"Inst. fur Angewandte Math., Freiburg Univ., Germany|c|")</f>
        <v>Inst. fur Angewandte Math., Freiburg Univ., Germany|c|</v>
      </c>
      <c r="C846" s="66" t="s">
        <v>7971</v>
      </c>
      <c r="D846" s="66" t="s">
        <v>4987</v>
      </c>
    </row>
    <row r="847" ht="15.75" customHeight="1">
      <c r="A847" s="66">
        <f>'Main dataset (DEPRECATED)'!Q848</f>
        <v>5290703</v>
      </c>
      <c r="B847" s="66" t="str">
        <f>IFERROR(__xludf.DUMMYFUNCTION("SPLIT('Main dataset (DEPRECATED2)'!N848,"";"")"),"Eindhoven University of Technology##Eindhoven University of Technology")</f>
        <v>Eindhoven University of Technology##Eindhoven University of Technology</v>
      </c>
      <c r="C847" s="66" t="s">
        <v>7174</v>
      </c>
      <c r="D847" s="66" t="s">
        <v>10072</v>
      </c>
      <c r="E847" s="66" t="s">
        <v>11251</v>
      </c>
    </row>
    <row r="848" ht="15.75" customHeight="1">
      <c r="A848" s="66">
        <f>'Main dataset (DEPRECATED)'!Q849</f>
        <v>5290724</v>
      </c>
      <c r="B848" s="66" t="str">
        <f>IFERROR(__xludf.DUMMYFUNCTION("SPLIT('Main dataset (DEPRECATED2)'!N849,"";"")"),"Ingrid Carlbom Â¾##Murray Hill")</f>
        <v>Ingrid Carlbom Â¾##Murray Hill</v>
      </c>
      <c r="C848" s="66" t="s">
        <v>6850</v>
      </c>
      <c r="D848" s="66" t="s">
        <v>8494</v>
      </c>
    </row>
    <row r="849" ht="15.75" customHeight="1">
      <c r="A849" s="66">
        <f>'Main dataset (DEPRECATED)'!Q850</f>
        <v>5332611</v>
      </c>
      <c r="B849" s="66" t="str">
        <f>IFERROR(__xludf.DUMMYFUNCTION("SPLIT('Main dataset (DEPRECATED2)'!N850,"";"")"),"Ohio State University Columbus##Ohio State University Columbus##Ohio State University Columbus##Ohio State University Columbus##Ohio State University Columbus##Ohio State University Columbus")</f>
        <v>Ohio State University Columbus##Ohio State University Columbus##Ohio State University Columbus##Ohio State University Columbus##Ohio State University Columbus##Ohio State University Columbus</v>
      </c>
      <c r="C849" s="66" t="s">
        <v>11722</v>
      </c>
      <c r="D849" s="66" t="s">
        <v>4987</v>
      </c>
    </row>
    <row r="850" ht="15.75" customHeight="1">
      <c r="A850" s="66">
        <f>'Main dataset (DEPRECATED)'!Q851</f>
        <v>5333880</v>
      </c>
      <c r="B850" s="66" t="str">
        <f>IFERROR(__xludf.DUMMYFUNCTION("SPLIT('Main dataset (DEPRECATED2)'!N851,"";"")"),"Simon Fraser University##Simon Fraser University##Simon Fraser University##Simon Fraser University")</f>
        <v>Simon Fraser University##Simon Fraser University##Simon Fraser University##Simon Fraser University</v>
      </c>
      <c r="C850" s="66" t="s">
        <v>9175</v>
      </c>
      <c r="D850" s="66" t="s">
        <v>7011</v>
      </c>
      <c r="E850" s="66" t="s">
        <v>10206</v>
      </c>
      <c r="F850" s="66" t="s">
        <v>7570</v>
      </c>
      <c r="G850" s="66" t="s">
        <v>11440</v>
      </c>
    </row>
    <row r="851" ht="15.75" customHeight="1">
      <c r="A851" s="66">
        <f>'Main dataset (DEPRECATED)'!Q852</f>
        <v>5333451</v>
      </c>
      <c r="B851" s="66" t="str">
        <f>IFERROR(__xludf.DUMMYFUNCTION("SPLIT('Main dataset (DEPRECATED2)'!N852,"";"")"),"Dept. of Comput. Sci., British Columbia Univ., Vancouver, BC, Canada|c|")</f>
        <v>Dept. of Comput. Sci., British Columbia Univ., Vancouver, BC, Canada|c|</v>
      </c>
      <c r="C851" s="66" t="s">
        <v>7791</v>
      </c>
      <c r="D851" s="66" t="s">
        <v>9099</v>
      </c>
      <c r="E851" s="66" t="s">
        <v>10272</v>
      </c>
    </row>
    <row r="852" ht="15.75" customHeight="1">
      <c r="A852" s="66">
        <f>'Main dataset (DEPRECATED)'!Q853</f>
        <v>5332596</v>
      </c>
      <c r="B852" s="66" t="str">
        <f>IFERROR(__xludf.DUMMYFUNCTION("SPLIT('Main dataset (DEPRECATED2)'!N853,"";"")"),"New York University##New York University##New York University")</f>
        <v>New York University##New York University##New York University</v>
      </c>
      <c r="C852" s="66" t="s">
        <v>10850</v>
      </c>
      <c r="D852" s="66" t="s">
        <v>10767</v>
      </c>
      <c r="E852" s="66" t="s">
        <v>6152</v>
      </c>
    </row>
    <row r="853" ht="15.75" customHeight="1">
      <c r="A853" s="66">
        <f>'Main dataset (DEPRECATED)'!Q854</f>
        <v>5333472</v>
      </c>
      <c r="B853" s="66" t="str">
        <f>IFERROR(__xludf.DUMMYFUNCTION("SPLIT('Main dataset (DEPRECATED2)'!N854,"";"")"),"North Carolina State University##North Carolina State University")</f>
        <v>North Carolina State University##North Carolina State University</v>
      </c>
      <c r="C853" s="66" t="s">
        <v>6239</v>
      </c>
      <c r="D853" s="66" t="s">
        <v>6324</v>
      </c>
      <c r="E853" s="66" t="s">
        <v>8743</v>
      </c>
      <c r="F853" s="66" t="s">
        <v>8664</v>
      </c>
    </row>
    <row r="854" ht="15.75" customHeight="1">
      <c r="A854" s="66">
        <f>'Main dataset (DEPRECATED)'!Q855</f>
        <v>5333099</v>
      </c>
      <c r="B854" s="66" t="str">
        <f>IFERROR(__xludf.DUMMYFUNCTION("SPLIT('Main dataset (DEPRECATED2)'!N855,"";"")"),"LLNL##LLNL##LLNL")</f>
        <v>LLNL##LLNL##LLNL</v>
      </c>
      <c r="C854" s="66" t="s">
        <v>8993</v>
      </c>
      <c r="D854" s="66" t="s">
        <v>8528</v>
      </c>
      <c r="E854" s="66" t="s">
        <v>6847</v>
      </c>
    </row>
    <row r="855" ht="15.75" customHeight="1">
      <c r="A855" s="66">
        <f>'Main dataset (DEPRECATED)'!Q856</f>
        <v>5333417</v>
      </c>
      <c r="B855" s="66" t="str">
        <f>IFERROR(__xludf.DUMMYFUNCTION("SPLIT('Main dataset (DEPRECATED2)'!N856,"";"")"),"University of Illinois at Urbanaâ€“Champaign##University of Illinois at Urbanaâ€“Champaign")</f>
        <v>University of Illinois at Urbanaâ€“Champaign##University of Illinois at Urbanaâ€“Champaign</v>
      </c>
      <c r="C855" s="66" t="s">
        <v>8630</v>
      </c>
    </row>
    <row r="856" ht="15.75" customHeight="1">
      <c r="A856" s="66">
        <f>'Main dataset (DEPRECATED)'!Q857</f>
        <v>5333020</v>
      </c>
      <c r="B856" s="66" t="str">
        <f>IFERROR(__xludf.DUMMYFUNCTION("SPLIT('Main dataset (DEPRECATED2)'!N857,"";"")"),"University of North Carolina at Chapel Hill##University of North Carolina at Chapel Hill##University of North Carolina at Chapel Hill")</f>
        <v>University of North Carolina at Chapel Hill##University of North Carolina at Chapel Hill##University of North Carolina at Chapel Hill</v>
      </c>
      <c r="C856" s="66" t="s">
        <v>6860</v>
      </c>
      <c r="D856" s="66" t="s">
        <v>7343</v>
      </c>
      <c r="E856" s="66" t="s">
        <v>8977</v>
      </c>
      <c r="F856" s="66" t="s">
        <v>10018</v>
      </c>
      <c r="G856" s="66" t="s">
        <v>7252</v>
      </c>
      <c r="H856" s="66" t="s">
        <v>10556</v>
      </c>
      <c r="I856" s="66" t="s">
        <v>11537</v>
      </c>
    </row>
    <row r="857" ht="15.75" customHeight="1">
      <c r="A857" s="66">
        <f>'Main dataset (DEPRECATED)'!Q858</f>
        <v>5332628</v>
      </c>
      <c r="B857" s="66" t="str">
        <f>IFERROR(__xludf.DUMMYFUNCTION("SPLIT('Main dataset (DEPRECATED2)'!N858,"";"")"),"Brown University##Brown University##Brown University##Brown University##Brown University##Brown University##Brown University")</f>
        <v>Brown University##Brown University##Brown University##Brown University##Brown University##Brown University##Brown University</v>
      </c>
      <c r="C857" s="66" t="s">
        <v>6191</v>
      </c>
      <c r="D857" s="66" t="s">
        <v>7382</v>
      </c>
      <c r="E857" s="66" t="s">
        <v>10420</v>
      </c>
      <c r="F857" s="66" t="s">
        <v>11014</v>
      </c>
      <c r="G857" s="66" t="s">
        <v>9193</v>
      </c>
      <c r="H857" s="66" t="s">
        <v>8664</v>
      </c>
    </row>
    <row r="858" ht="15.75" customHeight="1">
      <c r="A858" s="66">
        <f>'Main dataset (DEPRECATED)'!Q859</f>
        <v>5334463</v>
      </c>
      <c r="B858" s="66" t="str">
        <f>IFERROR(__xludf.DUMMYFUNCTION("SPLIT('Main dataset (DEPRECATED2)'!N859,"";"")"),"Dept. of Comput. Sci., Kaiserslautern Univ., Germany|c|")</f>
        <v>Dept. of Comput. Sci., Kaiserslautern Univ., Germany|c|</v>
      </c>
      <c r="C858" s="66" t="s">
        <v>6511</v>
      </c>
    </row>
    <row r="859" ht="15.75" customHeight="1">
      <c r="A859" s="66">
        <f>'Main dataset (DEPRECATED)'!Q860</f>
        <v>5333469</v>
      </c>
      <c r="B859" s="66" t="str">
        <f>IFERROR(__xludf.DUMMYFUNCTION("SPLIT('Main dataset (DEPRECATED2)'!N860,"";"")"),"Dept. of Comput. Sci., Kaiserslautern Univ., Germany|c|")</f>
        <v>Dept. of Comput. Sci., Kaiserslautern Univ., Germany|c|</v>
      </c>
      <c r="C859" s="66" t="s">
        <v>7863</v>
      </c>
      <c r="D859" s="66" t="s">
        <v>10140</v>
      </c>
      <c r="E859" s="66" t="s">
        <v>6832</v>
      </c>
    </row>
    <row r="860" ht="15.75" customHeight="1">
      <c r="A860" s="66">
        <f>'Main dataset (DEPRECATED)'!Q861</f>
        <v>5333023</v>
      </c>
      <c r="B860" s="66" t="str">
        <f>IFERROR(__xludf.DUMMYFUNCTION("SPLIT('Main dataset (DEPRECATED2)'!N861,"";"")"),"University of North Carolina at Chapel Hill##University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v>
      </c>
      <c r="C860" s="66" t="s">
        <v>7836</v>
      </c>
      <c r="D860" s="66" t="s">
        <v>8488</v>
      </c>
    </row>
    <row r="861" ht="15.75" customHeight="1">
      <c r="A861" s="66">
        <f>'Main dataset (DEPRECATED)'!Q862</f>
        <v>5333437</v>
      </c>
      <c r="B861" s="66" t="str">
        <f>IFERROR(__xludf.DUMMYFUNCTION("SPLIT('Main dataset (DEPRECATED2)'!N862,"";"")"),"University of Kentucky##University of Kentucky##University of Kentucky##University of Kentucky##University of Kentucky")</f>
        <v>University of Kentucky##University of Kentucky##University of Kentucky##University of Kentucky##University of Kentucky</v>
      </c>
      <c r="C861" s="66" t="s">
        <v>6743</v>
      </c>
      <c r="D861" s="66" t="s">
        <v>7045</v>
      </c>
      <c r="E861" s="66" t="s">
        <v>7872</v>
      </c>
      <c r="F861" s="66" t="s">
        <v>11302</v>
      </c>
    </row>
    <row r="862" ht="15.75" customHeight="1">
      <c r="A862" s="66">
        <f>'Main dataset (DEPRECATED)'!Q863</f>
        <v>5334426</v>
      </c>
      <c r="B862" s="66" t="str">
        <f>IFERROR(__xludf.DUMMYFUNCTION("SPLIT('Main dataset (DEPRECATED2)'!N863,"";"")"),"IBM T.J. Watson Research Center##IBM T.J. Watson Research Center")</f>
        <v>IBM T.J. Watson Research Center##IBM T.J. Watson Research Center</v>
      </c>
      <c r="C862" s="66" t="s">
        <v>11106</v>
      </c>
      <c r="D862" s="66" t="s">
        <v>8297</v>
      </c>
    </row>
    <row r="863" ht="15.75" customHeight="1">
      <c r="A863" s="66">
        <f>'Main dataset (DEPRECATED)'!Q864</f>
        <v>5333967</v>
      </c>
      <c r="B863" s="66" t="str">
        <f>IFERROR(__xludf.DUMMYFUNCTION("SPLIT('Main dataset (DEPRECATED2)'!N864,"";"")"),"ISA (Inria Lorraine) Loria, rue du Jardin Botanique##ISA (Inria Lorraine) Loria, rue du Jardin Botanique##ISA (Inria Lorraine) Loria, rue du Jardin Botanique##ISA (Inria Lorraine) Loria, rue du Jardin Botanique")</f>
        <v>ISA (Inria Lorraine) Loria, rue du Jardin Botanique##ISA (Inria Lorraine) Loria, rue du Jardin Botanique##ISA (Inria Lorraine) Loria, rue du Jardin Botanique##ISA (Inria Lorraine) Loria, rue du Jardin Botanique</v>
      </c>
    </row>
    <row r="864" ht="15.75" customHeight="1">
      <c r="A864" s="66">
        <f>'Main dataset (DEPRECATED)'!Q865</f>
        <v>5333878</v>
      </c>
      <c r="B864" s="66" t="str">
        <f>IFERROR(__xludf.DUMMYFUNCTION("SPLIT('Main dataset (DEPRECATED2)'!N865,"";"")"),"University of Stuttgart##University of Stuttgart")</f>
        <v>University of Stuttgart##University of Stuttgart</v>
      </c>
      <c r="C864" s="66" t="s">
        <v>7826</v>
      </c>
      <c r="D864" s="66" t="s">
        <v>10767</v>
      </c>
    </row>
    <row r="865" ht="15.75" customHeight="1">
      <c r="A865" s="66">
        <f>'Main dataset (DEPRECATED)'!Q866</f>
        <v>5332595</v>
      </c>
      <c r="B865" s="66" t="str">
        <f>IFERROR(__xludf.DUMMYFUNCTION("SPLIT('Main dataset (DEPRECATED2)'!N866,"";"")"),"High Performance Computing Center Stuttgart (HLRS)##High Performance Computing Center Stuttgart (HLRS)##High Performance Computing Center Stuttgart (HLRS)")</f>
        <v>High Performance Computing Center Stuttgart (HLRS)##High Performance Computing Center Stuttgart (HLRS)##High Performance Computing Center Stuttgart (HLRS)</v>
      </c>
      <c r="C865" s="66" t="s">
        <v>10597</v>
      </c>
    </row>
    <row r="866" ht="15.75" customHeight="1">
      <c r="A866" s="66">
        <f>'Main dataset (DEPRECATED)'!Q867</f>
        <v>5333920</v>
      </c>
      <c r="B866" s="66" t="str">
        <f>IFERROR(__xludf.DUMMYFUNCTION("SPLIT('Main dataset (DEPRECATED2)'!N867,"";"")"),"UniversitÃ¤t Stuttgart##UniversitÃ¤t Stuttgart")</f>
        <v>UniversitÃ¤t Stuttgart##UniversitÃ¤t Stuttgart</v>
      </c>
      <c r="C866" s="66" t="s">
        <v>10379</v>
      </c>
      <c r="D866" s="66" t="s">
        <v>7361</v>
      </c>
    </row>
    <row r="867" ht="15.75" customHeight="1">
      <c r="A867" s="66">
        <f>'Main dataset (DEPRECATED)'!Q868</f>
        <v>5332610</v>
      </c>
      <c r="B867" s="66" t="str">
        <f>IFERROR(__xludf.DUMMYFUNCTION("SPLIT('Main dataset (DEPRECATED2)'!N868,"";"")"),"Philips Research Laboratories##Philips Research Laboratories##Philips Research Laboratories")</f>
        <v>Philips Research Laboratories##Philips Research Laboratories##Philips Research Laboratories</v>
      </c>
      <c r="C867" s="66" t="s">
        <v>6278</v>
      </c>
      <c r="D867" s="66" t="s">
        <v>8456</v>
      </c>
    </row>
    <row r="868" ht="15.75" customHeight="1">
      <c r="A868" s="66">
        <f>'Main dataset (DEPRECATED)'!Q869</f>
        <v>5332586</v>
      </c>
      <c r="B868" s="66" t="str">
        <f>IFERROR(__xludf.DUMMYFUNCTION("SPLIT('Main dataset (DEPRECATED2)'!N869,"";"")"),"The Ohio State University##The Ohio State University##The Ohio State University")</f>
        <v>The Ohio State University##The Ohio State University##The Ohio State University</v>
      </c>
      <c r="C868" s="66" t="s">
        <v>10905</v>
      </c>
      <c r="D868" s="66" t="s">
        <v>8426</v>
      </c>
      <c r="E868" s="66" t="s">
        <v>7546</v>
      </c>
    </row>
    <row r="869" ht="15.75" customHeight="1">
      <c r="A869" s="66">
        <f>'Main dataset (DEPRECATED)'!Q870</f>
        <v>5334300</v>
      </c>
      <c r="B869" s="66" t="str">
        <f>IFERROR(__xludf.DUMMYFUNCTION("SPLIT('Main dataset (DEPRECATED2)'!N870,"";"")"),"Boeing Co., Seattle, WA, USA|c|")</f>
        <v>Boeing Co., Seattle, WA, USA|c|</v>
      </c>
      <c r="C869" s="66" t="s">
        <v>8125</v>
      </c>
      <c r="D869" s="66" t="s">
        <v>9542</v>
      </c>
      <c r="E869" s="66" t="s">
        <v>8214</v>
      </c>
      <c r="F869" s="66" t="s">
        <v>10107</v>
      </c>
      <c r="G869" s="66" t="s">
        <v>8215</v>
      </c>
      <c r="H869" s="66" t="s">
        <v>11547</v>
      </c>
      <c r="I869" s="66" t="s">
        <v>8785</v>
      </c>
    </row>
    <row r="870" ht="15.75" customHeight="1">
      <c r="A870" s="66">
        <f>'Main dataset (DEPRECATED)'!Q871</f>
        <v>5334430</v>
      </c>
      <c r="B870" s="66" t="str">
        <f>IFERROR(__xludf.DUMMYFUNCTION("SPLIT('Main dataset (DEPRECATED2)'!N871,"";"")"),"The Ohio State University##The Ohio State University##The Ohio State University##Visteon Inc##Ford Motor Company")</f>
        <v>The Ohio State University##The Ohio State University##The Ohio State University##Visteon Inc##Ford Motor Company</v>
      </c>
      <c r="C870" s="66" t="s">
        <v>10205</v>
      </c>
      <c r="D870" s="66" t="s">
        <v>8992</v>
      </c>
      <c r="E870" s="66" t="s">
        <v>7849</v>
      </c>
      <c r="F870" s="66" t="s">
        <v>8785</v>
      </c>
      <c r="G870" s="66" t="s">
        <v>6744</v>
      </c>
      <c r="H870" s="66" t="s">
        <v>8572</v>
      </c>
      <c r="I870" s="66" t="s">
        <v>8664</v>
      </c>
    </row>
    <row r="871" ht="15.75" customHeight="1">
      <c r="A871" s="66">
        <f>'Main dataset (DEPRECATED)'!Q872</f>
        <v>5333474</v>
      </c>
      <c r="B871" s="66" t="str">
        <f>IFERROR(__xludf.DUMMYFUNCTION("SPLIT('Main dataset (DEPRECATED2)'!N872,"";"")"),"University of Utah##University of Utah##University of Utah")</f>
        <v>University of Utah##University of Utah##University of Utah</v>
      </c>
    </row>
    <row r="872" ht="15.75" customHeight="1">
      <c r="A872" s="66">
        <f>'Main dataset (DEPRECATED)'!Q873</f>
        <v>5333081</v>
      </c>
      <c r="B872" s="66" t="str">
        <f>IFERROR(__xludf.DUMMYFUNCTION("SPLIT('Main dataset (DEPRECATED2)'!N873,"";"")"),"University of California##University of California##University of California")</f>
        <v>University of California##University of California##University of California</v>
      </c>
      <c r="C872" s="66" t="s">
        <v>9386</v>
      </c>
      <c r="D872" s="66" t="s">
        <v>8015</v>
      </c>
    </row>
    <row r="873" ht="15.75" customHeight="1">
      <c r="A873" s="66">
        <f>'Main dataset (DEPRECATED)'!Q874</f>
        <v>5333453</v>
      </c>
      <c r="B873" s="66" t="str">
        <f>IFERROR(__xludf.DUMMYFUNCTION("SPLIT('Main dataset (DEPRECATED2)'!N874,"";"")"),"University of Technology Aachen##University of Technology Aachen")</f>
        <v>University of Technology Aachen##University of Technology Aachen</v>
      </c>
      <c r="C873" s="66" t="s">
        <v>8701</v>
      </c>
      <c r="D873" s="66" t="s">
        <v>11305</v>
      </c>
    </row>
    <row r="874" ht="15.75" customHeight="1">
      <c r="A874" s="66">
        <f>'Main dataset (DEPRECATED)'!Q875</f>
        <v>5332584</v>
      </c>
      <c r="B874" s="66" t="str">
        <f>IFERROR(__xludf.DUMMYFUNCTION("SPLIT('Main dataset (DEPRECATED2)'!N875,"";"")"),"VRVis Research Center##VRVis Research Center")</f>
        <v>VRVis Research Center##VRVis Research Center</v>
      </c>
      <c r="C874" s="66" t="s">
        <v>6239</v>
      </c>
      <c r="D874" s="66" t="s">
        <v>10162</v>
      </c>
      <c r="E874" s="66" t="s">
        <v>9587</v>
      </c>
      <c r="F874" s="66" t="s">
        <v>9837</v>
      </c>
      <c r="G874" s="66" t="s">
        <v>7747</v>
      </c>
    </row>
    <row r="875" ht="15.75" customHeight="1">
      <c r="A875" s="66">
        <f>'Main dataset (DEPRECATED)'!Q876</f>
        <v>5333564</v>
      </c>
      <c r="B875" s="66" t="str">
        <f>IFERROR(__xludf.DUMMYFUNCTION("SPLIT('Main dataset (DEPRECATED2)'!N876,"";"")"),"ETH Zurich##ETH Zurich")</f>
        <v>ETH Zurich##ETH Zurich</v>
      </c>
      <c r="C875" s="66" t="s">
        <v>6579</v>
      </c>
      <c r="D875" s="66" t="s">
        <v>7750</v>
      </c>
      <c r="E875" s="66" t="s">
        <v>7432</v>
      </c>
    </row>
    <row r="876" ht="15.75" customHeight="1">
      <c r="A876" s="66">
        <f>'Main dataset (DEPRECATED)'!Q877</f>
        <v>5333428</v>
      </c>
      <c r="B876" s="66" t="str">
        <f>IFERROR(__xludf.DUMMYFUNCTION("SPLIT('Main dataset (DEPRECATED2)'!N877,"";"")"),"Comput. Sci. Dept., California Inst. of Technol., USA|c|")</f>
        <v>Comput. Sci. Dept., California Inst. of Technol., USA|c|</v>
      </c>
      <c r="C876" s="66" t="s">
        <v>7340</v>
      </c>
      <c r="D876" s="66" t="s">
        <v>10557</v>
      </c>
    </row>
    <row r="877" ht="15.75" customHeight="1">
      <c r="A877" s="66">
        <f>'Main dataset (DEPRECATED)'!Q878</f>
        <v>5333895</v>
      </c>
      <c r="B877" s="66" t="str">
        <f>IFERROR(__xludf.DUMMYFUNCTION("SPLIT('Main dataset (DEPRECATED2)'!N878,"";"")"),"SCI Inst., Utah Univ., Salt Lake City, UT, USA|c|")</f>
        <v>SCI Inst., Utah Univ., Salt Lake City, UT, USA|c|</v>
      </c>
      <c r="C877" s="66" t="s">
        <v>7185</v>
      </c>
    </row>
    <row r="878" ht="15.75" customHeight="1">
      <c r="A878" s="66">
        <f>'Main dataset (DEPRECATED)'!Q879</f>
        <v>5332481</v>
      </c>
      <c r="B878" s="66" t="str">
        <f>IFERROR(__xludf.DUMMYFUNCTION("SPLIT('Main dataset (DEPRECATED2)'!N879,"";"")"),"University of North Carolina at Chapel Hill##University of North Carolina at Chapel Hill")</f>
        <v>University of North Carolina at Chapel Hill##University of North Carolina at Chapel Hill</v>
      </c>
    </row>
    <row r="879" ht="15.75" customHeight="1">
      <c r="A879" s="66">
        <f>'Main dataset (DEPRECATED)'!Q880</f>
        <v>5333431</v>
      </c>
      <c r="B879" s="66" t="str">
        <f>IFERROR(__xludf.DUMMYFUNCTION("SPLIT('Main dataset (DEPRECATED2)'!N880,"";"")"),"Tel Aviv University##Tel Aviv University##Tel Aviv University")</f>
        <v>Tel Aviv University##Tel Aviv University##Tel Aviv University</v>
      </c>
      <c r="C879" s="66" t="s">
        <v>11333</v>
      </c>
      <c r="D879" s="66" t="s">
        <v>10295</v>
      </c>
    </row>
    <row r="880" ht="15.75" customHeight="1">
      <c r="A880" s="66">
        <f>'Main dataset (DEPRECATED)'!Q881</f>
        <v>5333961</v>
      </c>
      <c r="B880" s="66" t="str">
        <f>IFERROR(__xludf.DUMMYFUNCTION("SPLIT('Main dataset (DEPRECATED2)'!N881,"";"")"),"New York University *##New York University *")</f>
        <v>New York University *##New York University *</v>
      </c>
      <c r="C880" s="66" t="s">
        <v>10555</v>
      </c>
      <c r="D880" s="66" t="s">
        <v>8412</v>
      </c>
      <c r="E880" s="66" t="s">
        <v>9383</v>
      </c>
    </row>
    <row r="881" ht="15.75" customHeight="1">
      <c r="A881" s="66">
        <f>'Main dataset (DEPRECATED)'!Q882</f>
        <v>5334462</v>
      </c>
      <c r="B881" s="66" t="str">
        <f>IFERROR(__xludf.DUMMYFUNCTION("SPLIT('Main dataset (DEPRECATED2)'!N882,"";"")"),"#VALUE!")</f>
        <v>#VALUE!</v>
      </c>
      <c r="C881" s="66" t="s">
        <v>9831</v>
      </c>
      <c r="D881" s="66" t="s">
        <v>10773</v>
      </c>
      <c r="E881" s="66" t="s">
        <v>10804</v>
      </c>
    </row>
    <row r="882" ht="15.75" customHeight="1">
      <c r="A882" s="66">
        <f>'Main dataset (DEPRECATED)'!Q883</f>
        <v>5333443</v>
      </c>
      <c r="B882" s="66" t="str">
        <f>IFERROR(__xludf.DUMMYFUNCTION("SPLIT('Main dataset (DEPRECATED2)'!N883,"";"")"),"Justus-Liebig-UniversitÃ¤t Giessen##Justus-Liebig-UniversitÃ¤t Giessen##Justus-Liebig-UniversitÃ¤t Giessen##Justus-Liebig-UniversitÃ¤t Giessen")</f>
        <v>Justus-Liebig-UniversitÃ¤t Giessen##Justus-Liebig-UniversitÃ¤t Giessen##Justus-Liebig-UniversitÃ¤t Giessen##Justus-Liebig-UniversitÃ¤t Giessen</v>
      </c>
      <c r="C882" s="66" t="s">
        <v>11243</v>
      </c>
      <c r="D882" s="66" t="s">
        <v>11348</v>
      </c>
    </row>
    <row r="883" ht="15.75" customHeight="1">
      <c r="A883" s="66">
        <f>'Main dataset (DEPRECATED)'!Q884</f>
        <v>5333082</v>
      </c>
      <c r="B883" s="66" t="str">
        <f>IFERROR(__xludf.DUMMYFUNCTION("SPLIT('Main dataset (DEPRECATED2)'!N884,"";"")"),"WSI/GRIS University of TÃ¼bingen##WSI/GRIS University of TÃ¼bingen")</f>
        <v>WSI/GRIS University of TÃ¼bingen##WSI/GRIS University of TÃ¼bingen</v>
      </c>
    </row>
    <row r="884" ht="15.75" customHeight="1">
      <c r="A884" s="66">
        <f>'Main dataset (DEPRECATED)'!Q885</f>
        <v>5333420</v>
      </c>
      <c r="B884" s="66" t="str">
        <f>IFERROR(__xludf.DUMMYFUNCTION("SPLIT('Main dataset (DEPRECATED2)'!N885,"";"")"),"Beckman Institute##Beckman Institute##Beckman Institute")</f>
        <v>Beckman Institute##Beckman Institute##Beckman Institute</v>
      </c>
      <c r="C884" s="66" t="s">
        <v>8419</v>
      </c>
      <c r="D884" s="66" t="s">
        <v>10551</v>
      </c>
      <c r="E884" s="66" t="s">
        <v>7167</v>
      </c>
      <c r="F884" s="66" t="s">
        <v>8664</v>
      </c>
      <c r="G884" s="66" t="s">
        <v>6800</v>
      </c>
    </row>
    <row r="885" ht="15.75" customHeight="1">
      <c r="A885" s="66">
        <f>'Main dataset (DEPRECATED)'!Q886</f>
        <v>5333421</v>
      </c>
      <c r="B885" s="66" t="str">
        <f>IFERROR(__xludf.DUMMYFUNCTION("SPLIT('Main dataset (DEPRECATED2)'!N886,"";"")"),"Lawrence Livermore National Laboratory##Lawrence Livermore National Laboratory")</f>
        <v>Lawrence Livermore National Laboratory##Lawrence Livermore National Laboratory</v>
      </c>
      <c r="C885" s="66" t="s">
        <v>8245</v>
      </c>
      <c r="D885" s="66" t="s">
        <v>7506</v>
      </c>
      <c r="E885" s="66" t="s">
        <v>11367</v>
      </c>
      <c r="F885" s="66" t="s">
        <v>7285</v>
      </c>
      <c r="G885" s="66" t="s">
        <v>7953</v>
      </c>
    </row>
    <row r="886" ht="15.75" customHeight="1">
      <c r="A886" s="66">
        <f>'Main dataset (DEPRECATED)'!Q887</f>
        <v>5332485</v>
      </c>
      <c r="B886" s="66" t="str">
        <f>IFERROR(__xludf.DUMMYFUNCTION("SPLIT('Main dataset (DEPRECATED2)'!N887,"";"")"),"Ben-Gurion University##Ben-Gurion University##Ben-Gurion University##Ben-Gurion University")</f>
        <v>Ben-Gurion University##Ben-Gurion University##Ben-Gurion University##Ben-Gurion University</v>
      </c>
      <c r="C886" s="66" t="s">
        <v>6235</v>
      </c>
      <c r="D886" s="66" t="s">
        <v>7532</v>
      </c>
      <c r="E886" s="66" t="s">
        <v>9667</v>
      </c>
    </row>
    <row r="887" ht="15.75" customHeight="1">
      <c r="A887" s="66">
        <f>'Main dataset (DEPRECATED)'!Q888</f>
        <v>5332593</v>
      </c>
      <c r="B887" s="66" t="str">
        <f>IFERROR(__xludf.DUMMYFUNCTION("SPLIT('Main dataset (DEPRECATED2)'!N888,"";"")"),"US Army Eng. R&amp;D Center, Vicksburg, MS, USA|c|")</f>
        <v>US Army Eng. R&amp;D Center, Vicksburg, MS, USA|c|</v>
      </c>
      <c r="C887" s="66" t="s">
        <v>9527</v>
      </c>
      <c r="D887" s="66" t="s">
        <v>7028</v>
      </c>
      <c r="E887" s="66" t="s">
        <v>4987</v>
      </c>
    </row>
    <row r="888" ht="15.75" customHeight="1">
      <c r="A888" s="66">
        <f>'Main dataset (DEPRECATED)'!Q889</f>
        <v>5333436</v>
      </c>
      <c r="B888" s="66" t="str">
        <f>IFERROR(__xludf.DUMMYFUNCTION("SPLIT('Main dataset (DEPRECATED2)'!N889,"";"")"),"De Montfort University##De Montfort University##De Montfort University")</f>
        <v>De Montfort University##De Montfort University##De Montfort University</v>
      </c>
      <c r="C888" s="66" t="s">
        <v>8034</v>
      </c>
    </row>
    <row r="889" ht="15.75" customHeight="1">
      <c r="A889" s="66">
        <f>'Main dataset (DEPRECATED)'!Q890</f>
        <v>5334456</v>
      </c>
      <c r="B889" s="66" t="str">
        <f>IFERROR(__xludf.DUMMYFUNCTION("SPLIT('Main dataset (DEPRECATED2)'!N890,"";"")"),"MeVis-Center for Med. Diagnostic Syst., Bremen, Germany|c|")</f>
        <v>MeVis-Center for Med. Diagnostic Syst., Bremen, Germany|c|</v>
      </c>
      <c r="C889" s="66" t="s">
        <v>8797</v>
      </c>
      <c r="D889" s="66" t="s">
        <v>11752</v>
      </c>
      <c r="E889" s="66" t="s">
        <v>6256</v>
      </c>
      <c r="F889" s="66" t="s">
        <v>7754</v>
      </c>
      <c r="G889" s="66" t="s">
        <v>11102</v>
      </c>
      <c r="H889" s="66" t="s">
        <v>9268</v>
      </c>
      <c r="I889" s="66" t="s">
        <v>8915</v>
      </c>
      <c r="J889" s="66" t="s">
        <v>7321</v>
      </c>
      <c r="K889" s="66" t="s">
        <v>10611</v>
      </c>
      <c r="L889" s="66" t="s">
        <v>6688</v>
      </c>
      <c r="M889" s="66" t="s">
        <v>11245</v>
      </c>
      <c r="N889" s="66" t="s">
        <v>9353</v>
      </c>
    </row>
    <row r="890" ht="15.75" customHeight="1">
      <c r="A890" s="66">
        <f>'Main dataset (DEPRECATED)'!Q891</f>
        <v>5333911</v>
      </c>
      <c r="B890" s="66" t="str">
        <f>IFERROR(__xludf.DUMMYFUNCTION("SPLIT('Main dataset (DEPRECATED2)'!N891,"";"")"),"The Hebrew University of Jerusalem##The Hebrew University of Jerusalem")</f>
        <v>The Hebrew University of Jerusalem##The Hebrew University of Jerusalem</v>
      </c>
      <c r="C890" s="66" t="s">
        <v>8125</v>
      </c>
      <c r="D890" s="66" t="s">
        <v>9643</v>
      </c>
      <c r="E890" s="66" t="s">
        <v>6380</v>
      </c>
    </row>
    <row r="891" ht="15.75" customHeight="1">
      <c r="A891" s="66">
        <f>'Main dataset (DEPRECATED)'!Q892</f>
        <v>5334460</v>
      </c>
      <c r="B891" s="66" t="str">
        <f>IFERROR(__xludf.DUMMYFUNCTION("SPLIT('Main dataset (DEPRECATED2)'!N892,"";"")"),"Vienna University of Technology â€ Tiani Medgraph##Vienna University of Technology â€ Tiani Medgraph##Vienna University of Technology â€ Tiani Medgraph##Vienna University of Technology â€ Tiani Medgraph")</f>
        <v>Vienna University of Technology â€ Tiani Medgraph##Vienna University of Technology â€ Tiani Medgraph##Vienna University of Technology â€ Tiani Medgraph##Vienna University of Technology â€ Tiani Medgraph</v>
      </c>
      <c r="C891" s="66" t="s">
        <v>7639</v>
      </c>
      <c r="D891" s="66" t="s">
        <v>8051</v>
      </c>
      <c r="E891" s="66" t="s">
        <v>11313</v>
      </c>
    </row>
    <row r="892" ht="15.75" customHeight="1">
      <c r="A892" s="66">
        <f>'Main dataset (DEPRECATED)'!Q893</f>
        <v>5332629</v>
      </c>
      <c r="B892" s="66" t="str">
        <f>IFERROR(__xludf.DUMMYFUNCTION("SPLIT('Main dataset (DEPRECATED2)'!N893,"";"")"),"Lucent Technologies Network Systems Naperville##Illinois State University##Illinois State University")</f>
        <v>Lucent Technologies Network Systems Naperville##Illinois State University##Illinois State University</v>
      </c>
      <c r="C892" s="66" t="s">
        <v>6548</v>
      </c>
      <c r="D892" s="66" t="s">
        <v>7988</v>
      </c>
    </row>
    <row r="893" ht="15.75" customHeight="1">
      <c r="A893" s="66">
        <f>'Main dataset (DEPRECATED)'!Q894</f>
        <v>5333917</v>
      </c>
      <c r="B893" s="66" t="str">
        <f>IFERROR(__xludf.DUMMYFUNCTION("SPLIT('Main dataset (DEPRECATED2)'!N894,"";"")"),"University of Stuttgart##Neurocenter##University of Stuttgart##University of Erlangen-Nuremberg##University of Erlangen-Nuremberg")</f>
        <v>University of Stuttgart##Neurocenter##University of Stuttgart##University of Erlangen-Nuremberg##University of Erlangen-Nuremberg</v>
      </c>
      <c r="C893" s="66" t="s">
        <v>10351</v>
      </c>
      <c r="D893" s="66" t="s">
        <v>4285</v>
      </c>
      <c r="E893" s="66" t="s">
        <v>11244</v>
      </c>
    </row>
    <row r="894" ht="15.75" customHeight="1">
      <c r="A894" s="66">
        <f>'Main dataset (DEPRECATED)'!Q895</f>
        <v>5334454</v>
      </c>
      <c r="B894" s="66" t="str">
        <f>IFERROR(__xludf.DUMMYFUNCTION("SPLIT('Main dataset (DEPRECATED2)'!N895,"";"")"),"Sandia Nat. Labs., Albuquerque, NM, USA|c|")</f>
        <v>Sandia Nat. Labs., Albuquerque, NM, USA|c|</v>
      </c>
      <c r="C894" s="66" t="s">
        <v>10422</v>
      </c>
      <c r="D894" s="66" t="s">
        <v>11440</v>
      </c>
      <c r="E894" s="66" t="s">
        <v>9930</v>
      </c>
    </row>
    <row r="895" ht="15.75" customHeight="1">
      <c r="A895" s="66">
        <f>'Main dataset (DEPRECATED)'!Q896</f>
        <v>5334301</v>
      </c>
      <c r="B895" s="66" t="str">
        <f>IFERROR(__xludf.DUMMYFUNCTION("SPLIT('Main dataset (DEPRECATED2)'!N896,"";"")"),"WSI, Tubingen Univ., Germany|c|")</f>
        <v>WSI, Tubingen Univ., Germany|c|</v>
      </c>
      <c r="C895" s="66" t="s">
        <v>10746</v>
      </c>
      <c r="D895" s="66" t="s">
        <v>11168</v>
      </c>
      <c r="E895" s="66" t="s">
        <v>8630</v>
      </c>
    </row>
    <row r="896" ht="15.75" customHeight="1">
      <c r="A896" s="66">
        <f>'Main dataset (DEPRECATED)'!Q897</f>
        <v>5333245</v>
      </c>
      <c r="B896" s="66" t="str">
        <f>IFERROR(__xludf.DUMMYFUNCTION("SPLIT('Main dataset (DEPRECATED2)'!N897,"";"")"),"Brown University##Brown University##Brown University##Brown University##Brown University##Brown University##Brown University##Brown University##Brown University##Brown University")</f>
        <v>Brown University##Brown University##Brown University##Brown University##Brown University##Brown University##Brown University##Brown University##Brown University##Brown University</v>
      </c>
      <c r="C896" s="66" t="s">
        <v>9667</v>
      </c>
      <c r="D896" s="66" t="s">
        <v>7403</v>
      </c>
      <c r="E896" s="66" t="s">
        <v>10422</v>
      </c>
      <c r="F896" s="66" t="s">
        <v>7975</v>
      </c>
      <c r="G896" s="66" t="s">
        <v>11210</v>
      </c>
      <c r="H896" s="66" t="s">
        <v>11027</v>
      </c>
    </row>
    <row r="897" ht="15.75" customHeight="1">
      <c r="A897" s="66">
        <f>'Main dataset (DEPRECATED)'!Q898</f>
        <v>5333950</v>
      </c>
      <c r="B897" s="66" t="str">
        <f>IFERROR(__xludf.DUMMYFUNCTION("SPLIT('Main dataset (DEPRECATED2)'!N898,"";"")"),"CWI##CWI")</f>
        <v>CWI##CWI</v>
      </c>
      <c r="C897" s="66" t="s">
        <v>9701</v>
      </c>
      <c r="D897" s="66" t="s">
        <v>10558</v>
      </c>
      <c r="E897" s="66" t="s">
        <v>11051</v>
      </c>
      <c r="F897" s="66" t="s">
        <v>4987</v>
      </c>
    </row>
    <row r="898" ht="15.75" customHeight="1">
      <c r="A898" s="66">
        <f>'Main dataset (DEPRECATED)'!Q899</f>
        <v>5333946</v>
      </c>
      <c r="B898" s="66" t="str">
        <f>IFERROR(__xludf.DUMMYFUNCTION("SPLIT('Main dataset (DEPRECATED2)'!N899,"";"")"),"IBM T.J. Watson Research Center##IBM T.J. Watson Research Center##IBM T.J. Watson Research Center")</f>
        <v>IBM T.J. Watson Research Center##IBM T.J. Watson Research Center##IBM T.J. Watson Research Center</v>
      </c>
      <c r="C898" s="66" t="s">
        <v>9666</v>
      </c>
      <c r="D898" s="66" t="s">
        <v>11276</v>
      </c>
    </row>
    <row r="899" ht="15.75" customHeight="1">
      <c r="A899" s="66">
        <f>'Main dataset (DEPRECATED)'!Q900</f>
        <v>5333893</v>
      </c>
      <c r="B899" s="66" t="str">
        <f>IFERROR(__xludf.DUMMYFUNCTION("SPLIT('Main dataset (DEPRECATED2)'!N900,"";"")"),"Stanford University##Stanford University##Stanford University##Stanford University##Immersion Corporation##Immersion Corporation##Immersion Corporation")</f>
        <v>Stanford University##Stanford University##Stanford University##Stanford University##Immersion Corporation##Immersion Corporation##Immersion Corporation</v>
      </c>
      <c r="C899" s="66" t="s">
        <v>7828</v>
      </c>
      <c r="D899" s="66" t="s">
        <v>10426</v>
      </c>
    </row>
    <row r="900" ht="15.75" customHeight="1">
      <c r="A900" s="66">
        <f>'Main dataset (DEPRECATED)'!Q901</f>
        <v>5333438</v>
      </c>
      <c r="B900" s="66" t="str">
        <f>IFERROR(__xludf.DUMMYFUNCTION("SPLIT('Main dataset (DEPRECATED2)'!N901,"";"")"),"Yale University School of Medicine##Yale University School of Medicine##Yale University School of Medicine")</f>
        <v>Yale University School of Medicine##Yale University School of Medicine##Yale University School of Medicine</v>
      </c>
      <c r="C900" s="66" t="s">
        <v>9884</v>
      </c>
    </row>
    <row r="901" ht="15.75" customHeight="1">
      <c r="A901" s="66">
        <f>'Main dataset (DEPRECATED)'!Q902</f>
        <v>5333919</v>
      </c>
      <c r="B901" s="66" t="str">
        <f>IFERROR(__xludf.DUMMYFUNCTION("SPLIT('Main dataset (DEPRECATED2)'!N902,"";"")"),"UCSC##UCSC##UCSC##UCSC")</f>
        <v>UCSC##UCSC##UCSC##UCSC</v>
      </c>
      <c r="C901" s="66" t="s">
        <v>9417</v>
      </c>
      <c r="D901" s="66" t="s">
        <v>10205</v>
      </c>
      <c r="E901" s="66" t="s">
        <v>8664</v>
      </c>
      <c r="F901" s="66" t="s">
        <v>7167</v>
      </c>
      <c r="G901" s="66" t="s">
        <v>8089</v>
      </c>
      <c r="H901" s="66" t="s">
        <v>8419</v>
      </c>
    </row>
    <row r="902" ht="15.75" customHeight="1">
      <c r="A902" s="66">
        <f>'Main dataset (DEPRECATED)'!Q903</f>
        <v>5333965</v>
      </c>
      <c r="B902" s="66" t="str">
        <f>IFERROR(__xludf.DUMMYFUNCTION("SPLIT('Main dataset (DEPRECATED2)'!N903,"";"")"),"Sandia Nat. Labs., Livermore, CA, USA|c|")</f>
        <v>Sandia Nat. Labs., Livermore, CA, USA|c|</v>
      </c>
      <c r="C902" s="66" t="s">
        <v>10663</v>
      </c>
      <c r="D902" s="66" t="s">
        <v>8703</v>
      </c>
      <c r="E902" s="66" t="s">
        <v>7353</v>
      </c>
      <c r="F902" s="66" t="s">
        <v>9519</v>
      </c>
    </row>
    <row r="903" ht="15.75" customHeight="1">
      <c r="A903" s="66">
        <f>'Main dataset (DEPRECATED)'!Q904</f>
        <v>5333968</v>
      </c>
      <c r="B903" s="66" t="str">
        <f>IFERROR(__xludf.DUMMYFUNCTION("SPLIT('Main dataset (DEPRECATED2)'!N904,"";"")"),"State University of New York at Stony Brook Relativistic Heavy Ion Collider Project (RHIC)##State University of New York at Stony Brook Relativistic Heavy Ion Collider Project (RHIC)##State University of New York at Stony Brook Relativistic Heavy Ion Coll"&amp;"ider Project (RHIC)")</f>
        <v>State University of New York at Stony Brook Relativistic Heavy Ion Collider Project (RHIC)##State University of New York at Stony Brook Relativistic Heavy Ion Collider Project (RHIC)##State University of New York at Stony Brook Relativistic Heavy Ion Collider Project (RHIC)</v>
      </c>
      <c r="C903" s="66" t="s">
        <v>7498</v>
      </c>
      <c r="D903" s="66" t="s">
        <v>9149</v>
      </c>
    </row>
    <row r="904" ht="15.75" customHeight="1">
      <c r="A904" s="66">
        <f>'Main dataset (DEPRECATED)'!Q905</f>
        <v>5333248</v>
      </c>
      <c r="B904" s="66" t="str">
        <f>IFERROR(__xludf.DUMMYFUNCTION("SPLIT('Main dataset (DEPRECATED2)'!N905,"";"")"),"Florida State University and International Neuroimaging Consortium VA Medical Center University of Minneapolis##Florida State University and International Neuroimaging Consortium VA Medical Center University of Minneapolis##Florida State University and In"&amp;"ternational Neuroimaging Consortium VA Medical Center University of Minneapolis")</f>
        <v>Florida State University and International Neuroimaging Consortium VA Medical Center University of Minneapolis##Florida State University and International Neuroimaging Consortium VA Medical Center University of Minneapolis##Florida State University and International Neuroimaging Consortium VA Medical Center University of Minneapolis</v>
      </c>
      <c r="C904" s="66" t="s">
        <v>6956</v>
      </c>
      <c r="D904" s="66" t="s">
        <v>9930</v>
      </c>
      <c r="E904" s="66" t="s">
        <v>8888</v>
      </c>
    </row>
    <row r="905" ht="15.75" customHeight="1">
      <c r="A905" s="66">
        <f>'Main dataset (DEPRECATED)'!Q906</f>
        <v>5333468</v>
      </c>
      <c r="B905" s="66" t="str">
        <f>IFERROR(__xludf.DUMMYFUNCTION("SPLIT('Main dataset (DEPRECATED2)'!N906,"";"")"),"Simon Fraser University##Otto-von-Guericke University of Magdeburg##Simon Fraser University##Vancouver Hospital and Health Sciences Centre##Simon Fraser University")</f>
        <v>Simon Fraser University##Otto-von-Guericke University of Magdeburg##Simon Fraser University##Vancouver Hospital and Health Sciences Centre##Simon Fraser University</v>
      </c>
      <c r="C905" s="66" t="s">
        <v>9274</v>
      </c>
      <c r="D905" s="66" t="s">
        <v>6393</v>
      </c>
      <c r="E905" s="66" t="s">
        <v>9323</v>
      </c>
    </row>
    <row r="906" ht="15.75" customHeight="1">
      <c r="A906" s="66">
        <f>'Main dataset (DEPRECATED)'!Q907</f>
        <v>5290758</v>
      </c>
      <c r="B906" s="66" t="str">
        <f>IFERROR(__xludf.DUMMYFUNCTION("SPLIT('Main dataset (DEPRECATED2)'!N907,"";"")"),"Vienna University of Technology##Vienna University of Technology##Vienna University of Technology##Vienna University of Technology##Vienna University of Technology##Vienna University of Technology")</f>
        <v>Vienna University of Technology##Vienna University of Technology##Vienna University of Technology##Vienna University of Technology##Vienna University of Technology##Vienna University of Technology</v>
      </c>
      <c r="C906" s="66" t="s">
        <v>11828</v>
      </c>
      <c r="D906" s="66" t="s">
        <v>10704</v>
      </c>
      <c r="E906" s="66" t="s">
        <v>9172</v>
      </c>
      <c r="F906" s="66" t="s">
        <v>7031</v>
      </c>
      <c r="G906" s="66" t="s">
        <v>8287</v>
      </c>
      <c r="H906" s="66" t="s">
        <v>7083</v>
      </c>
      <c r="I906" s="66" t="s">
        <v>10970</v>
      </c>
      <c r="J906" s="66" t="s">
        <v>11799</v>
      </c>
      <c r="K906" s="66" t="s">
        <v>10044</v>
      </c>
    </row>
    <row r="907" ht="15.75" customHeight="1">
      <c r="A907" s="66">
        <f>'Main dataset (DEPRECATED)'!Q908</f>
        <v>5290741</v>
      </c>
      <c r="B907" s="66" t="str">
        <f>IFERROR(__xludf.DUMMYFUNCTION("SPLIT('Main dataset (DEPRECATED2)'!N908,"";"")"),"State University of New York at Stony Brook and Brookhaven National Laboratory##State University of New York at Stony Brook and Brookhaven National Laboratory##State University of New York at Stony Brook and Brookhaven National Laboratory##State Universit"&amp;"y of New York at Stony Brook and Brookhaven National Laboratory##State University of New York at Stony Brook and Brookhaven National Laboratory")</f>
        <v>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Laboratory##State University of New York at Stony Brook and Brookhaven National Laboratory</v>
      </c>
      <c r="C907" s="66" t="s">
        <v>9715</v>
      </c>
      <c r="D907" s="66" t="s">
        <v>7514</v>
      </c>
    </row>
    <row r="908" ht="15.75" customHeight="1">
      <c r="A908" s="66">
        <f>'Main dataset (DEPRECATED)'!Q909</f>
        <v>5290731</v>
      </c>
      <c r="B908" s="66" t="str">
        <f>IFERROR(__xludf.DUMMYFUNCTION("SPLIT('Main dataset (DEPRECATED2)'!N909,"";"")"),"University of TÃ¼bingen##University of TÃ¼bingen")</f>
        <v>University of TÃ¼bingen##University of TÃ¼bingen</v>
      </c>
      <c r="C908" s="66" t="s">
        <v>10704</v>
      </c>
      <c r="D908" s="66" t="s">
        <v>6491</v>
      </c>
      <c r="E908" s="66" t="s">
        <v>6217</v>
      </c>
      <c r="F908" s="66" t="s">
        <v>9495</v>
      </c>
    </row>
    <row r="909" ht="15.75" customHeight="1">
      <c r="A909" s="66">
        <f>'Main dataset (DEPRECATED)'!Q910</f>
        <v>5290747</v>
      </c>
      <c r="B909" s="66" t="str">
        <f>IFERROR(__xludf.DUMMYFUNCTION("SPLIT('Main dataset (DEPRECATED2)'!N910,"";"")"),"NSF Engineering Research Center Mississippi State University Mississippi State##NSF Engineering Research Center Mississippi State University Mississippi State##Jackson State University Jackson##Jackson State University Jackson")</f>
        <v>NSF Engineering Research Center Mississippi State University Mississippi State##NSF Engineering Research Center Mississippi State University Mississippi State##Jackson State University Jackson##Jackson State University Jackson</v>
      </c>
      <c r="C909" s="66" t="s">
        <v>7985</v>
      </c>
      <c r="D909" s="66" t="s">
        <v>7708</v>
      </c>
      <c r="E909" s="66" t="s">
        <v>9926</v>
      </c>
      <c r="F909" s="66" t="s">
        <v>7887</v>
      </c>
    </row>
    <row r="910" ht="15.75" customHeight="1">
      <c r="A910" s="66">
        <f>'Main dataset (DEPRECATED)'!Q911</f>
        <v>5290765</v>
      </c>
      <c r="B910" s="66" t="str">
        <f>IFERROR(__xludf.DUMMYFUNCTION("SPLIT('Main dataset (DEPRECATED2)'!N911,"";"")"),"Brown University")</f>
        <v>Brown University</v>
      </c>
      <c r="C910" s="66" t="s">
        <v>9734</v>
      </c>
      <c r="D910" s="66" t="s">
        <v>6878</v>
      </c>
      <c r="E910" s="66" t="s">
        <v>8047</v>
      </c>
    </row>
    <row r="911" ht="15.75" customHeight="1">
      <c r="A911" s="66">
        <f>'Main dataset (DEPRECATED)'!Q912</f>
        <v>5290728</v>
      </c>
      <c r="B911" s="66" t="str">
        <f>IFERROR(__xludf.DUMMYFUNCTION("SPLIT('Main dataset (DEPRECATED2)'!N912,"";"")"),"The Ohio State University####The Ohio State University##")</f>
        <v>The Ohio State University####The Ohio State University##</v>
      </c>
      <c r="C911" s="66" t="s">
        <v>7641</v>
      </c>
      <c r="D911" s="66" t="s">
        <v>9707</v>
      </c>
    </row>
    <row r="912" ht="15.75" customHeight="1">
      <c r="A912" s="66">
        <f>'Main dataset (DEPRECATED)'!Q913</f>
        <v>5290764</v>
      </c>
      <c r="B912" s="66" t="str">
        <f>IFERROR(__xludf.DUMMYFUNCTION("SPLIT('Main dataset (DEPRECATED2)'!N913,"";"")"),"California Institute of Technology Pasadena##California Institute of Technology Pasadena##California Institute of Technology Pasadena")</f>
        <v>California Institute of Technology Pasadena##California Institute of Technology Pasadena##California Institute of Technology Pasadena</v>
      </c>
      <c r="C912" s="66" t="s">
        <v>10938</v>
      </c>
    </row>
    <row r="913" ht="15.75" customHeight="1">
      <c r="A913" s="66">
        <f>'Main dataset (DEPRECATED)'!Q914</f>
        <v>5290766</v>
      </c>
      <c r="B913" s="66" t="str">
        <f>IFERROR(__xludf.DUMMYFUNCTION("SPLIT('Main dataset (DEPRECATED2)'!N914,"";"")"),"NASA Langley Research Center##NASA Langley Research Center##NASA Langley Research Center##NASA Langley Research Center")</f>
        <v>NASA Langley Research Center##NASA Langley Research Center##NASA Langley Research Center##NASA Langley Research Center</v>
      </c>
      <c r="C913" s="66" t="s">
        <v>10702</v>
      </c>
      <c r="D913" s="66" t="s">
        <v>7887</v>
      </c>
      <c r="E913" s="66" t="s">
        <v>8199</v>
      </c>
      <c r="F913" s="66" t="s">
        <v>6706</v>
      </c>
      <c r="G913" s="66" t="s">
        <v>11725</v>
      </c>
      <c r="H913" s="66" t="s">
        <v>7236</v>
      </c>
    </row>
    <row r="914" ht="15.75" customHeight="1">
      <c r="A914" s="66">
        <f>'Main dataset (DEPRECATED)'!Q915</f>
        <v>5290744</v>
      </c>
      <c r="B914" s="66" t="str">
        <f>IFERROR(__xludf.DUMMYFUNCTION("SPLIT('Main dataset (DEPRECATED2)'!N915,"";"")"),"Stanford University##Stanford University##Stanford University")</f>
        <v>Stanford University##Stanford University##Stanford University</v>
      </c>
      <c r="C914" s="66" t="s">
        <v>8959</v>
      </c>
      <c r="D914" s="66" t="s">
        <v>7824</v>
      </c>
      <c r="E914" s="66" t="s">
        <v>9203</v>
      </c>
    </row>
    <row r="915" ht="15.75" customHeight="1">
      <c r="A915" s="66">
        <f>'Main dataset (DEPRECATED)'!Q916</f>
        <v>5290761</v>
      </c>
      <c r="B915" s="66" t="str">
        <f>IFERROR(__xludf.DUMMYFUNCTION("SPLIT('Main dataset (DEPRECATED2)'!N916,"";"")"),"Dept. Stat. Res., Bell Labs., Holmdel, NJ, USA|c|")</f>
        <v>Dept. Stat. Res., Bell Labs., Holmdel, NJ, USA|c|</v>
      </c>
      <c r="C915" s="66" t="s">
        <v>8309</v>
      </c>
      <c r="D915" s="66" t="s">
        <v>8908</v>
      </c>
    </row>
    <row r="916" ht="15.75" customHeight="1">
      <c r="A916" s="66">
        <f>'Main dataset (DEPRECATED)'!Q917</f>
        <v>5290732</v>
      </c>
      <c r="B916" s="66" t="str">
        <f>IFERROR(__xludf.DUMMYFUNCTION("SPLIT('Main dataset (DEPRECATED2)'!N917,"";"")"),"Stanford University##Stanford University##Stanford University")</f>
        <v>Stanford University##Stanford University##Stanford University</v>
      </c>
      <c r="C916" s="66" t="s">
        <v>8462</v>
      </c>
      <c r="D916" s="66" t="s">
        <v>8908</v>
      </c>
    </row>
    <row r="917" ht="15.75" customHeight="1">
      <c r="A917" s="66">
        <f>'Main dataset (DEPRECATED)'!Q918</f>
        <v>5290770</v>
      </c>
      <c r="B917" s="66" t="str">
        <f>IFERROR(__xludf.DUMMYFUNCTION("SPLIT('Main dataset (DEPRECATED2)'!N918,"";"")"),"Virginia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917" s="66" t="s">
        <v>11396</v>
      </c>
    </row>
    <row r="918" ht="15.75" customHeight="1">
      <c r="A918" s="66">
        <f>'Main dataset (DEPRECATED)'!Q919</f>
        <v>5290734</v>
      </c>
      <c r="B918" s="66" t="str">
        <f>IFERROR(__xludf.DUMMYFUNCTION("SPLIT('Main dataset (DEPRECATED2)'!N919,"";"")"),"IBM Thomas J. Watson Res. Center, Hawthorne, NY, USA|c|")</f>
        <v>IBM Thomas J. Watson Res. Center, Hawthorne, NY, USA|c|</v>
      </c>
      <c r="C918" s="66" t="s">
        <v>7028</v>
      </c>
      <c r="D918" s="66" t="s">
        <v>4987</v>
      </c>
      <c r="E918" s="66" t="s">
        <v>8093</v>
      </c>
    </row>
    <row r="919" ht="15.75" customHeight="1">
      <c r="A919" s="66">
        <f>'Main dataset (DEPRECATED)'!Q920</f>
        <v>5290778</v>
      </c>
      <c r="B919" s="66" t="str">
        <f>IFERROR(__xludf.DUMMYFUNCTION("SPLIT('Main dataset (DEPRECATED2)'!N920,"";"")"),"AT&amp;T Shannon Lab., Florham Park, NJ, USA|c|")</f>
        <v>AT&amp;T Shannon Lab., Florham Park, NJ, USA|c|</v>
      </c>
      <c r="C919" s="66" t="s">
        <v>6405</v>
      </c>
    </row>
    <row r="920" ht="15.75" customHeight="1">
      <c r="A920" s="66">
        <f>'Main dataset (DEPRECATED)'!Q921</f>
        <v>5290742</v>
      </c>
      <c r="B920" s="66" t="str">
        <f>IFERROR(__xludf.DUMMYFUNCTION("SPLIT('Main dataset (DEPRECATED2)'!N921,"";"")"),"Stanford University##Stanford University")</f>
        <v>Stanford University##Stanford University</v>
      </c>
      <c r="C920" s="66" t="s">
        <v>6427</v>
      </c>
      <c r="D920" s="66" t="s">
        <v>10198</v>
      </c>
      <c r="E920" s="66" t="s">
        <v>8373</v>
      </c>
    </row>
    <row r="921" ht="15.75" customHeight="1">
      <c r="A921" s="66">
        <f>'Main dataset (DEPRECATED)'!Q922</f>
        <v>5290760</v>
      </c>
      <c r="B921" s="66" t="str">
        <f>IFERROR(__xludf.DUMMYFUNCTION("SPLIT('Main dataset (DEPRECATED2)'!N922,"";"")"),"Battelle Pacific Northwest Richland##Battelle Pacific Northwest Richland##Battelle Pacific Northwest Richland##Battelle Pacific Northwest Richland##Battelle Pacific Northwest Richland")</f>
        <v>Battelle Pacific Northwest Richland##Battelle Pacific Northwest Richland##Battelle Pacific Northwest Richland##Battelle Pacific Northwest Richland##Battelle Pacific Northwest Richland</v>
      </c>
      <c r="C921" s="66" t="s">
        <v>7193</v>
      </c>
      <c r="D921" s="66" t="s">
        <v>8908</v>
      </c>
    </row>
    <row r="922" ht="15.75" customHeight="1">
      <c r="A922" s="66">
        <f>'Main dataset (DEPRECATED)'!Q923</f>
        <v>5290736</v>
      </c>
      <c r="B922" s="66" t="str">
        <f>IFERROR(__xludf.DUMMYFUNCTION("SPLIT('Main dataset (DEPRECATED2)'!N923,"";"")"),"Uppsala University Uppsala##Uppsala University Uppsala")</f>
        <v>Uppsala University Uppsala##Uppsala University Uppsala</v>
      </c>
      <c r="C922" s="66" t="s">
        <v>10419</v>
      </c>
      <c r="D922" s="66" t="s">
        <v>11431</v>
      </c>
    </row>
    <row r="923" ht="15.75" customHeight="1">
      <c r="A923" s="66">
        <f>'Main dataset (DEPRECATED)'!Q924</f>
        <v>5290772</v>
      </c>
      <c r="B923" s="66" t="str">
        <f>IFERROR(__xludf.DUMMYFUNCTION("SPLIT('Main dataset (DEPRECATED2)'!N924,"";"")"),"Laboratory University of Maryland##Laboratory University of Maryland##Laboratory University of Maryland")</f>
        <v>Laboratory University of Maryland##Laboratory University of Maryland##Laboratory University of Maryland</v>
      </c>
      <c r="C923" s="66" t="s">
        <v>8061</v>
      </c>
      <c r="D923" s="66" t="s">
        <v>11398</v>
      </c>
      <c r="E923" s="66" t="s">
        <v>11687</v>
      </c>
      <c r="F923" s="66" t="s">
        <v>9424</v>
      </c>
    </row>
    <row r="924" ht="15.75" customHeight="1">
      <c r="A924" s="66">
        <f>'Main dataset (DEPRECATED)'!Q925</f>
        <v>5290777</v>
      </c>
      <c r="B924" s="66" t="str">
        <f>IFERROR(__xludf.DUMMYFUNCTION("SPLIT('Main dataset (DEPRECATED2)'!N925,"";"")"),"VRVis Research Center in Vienna##VRVis Research Center in Vienna##VRVis Research Center in Vienna##VRVis Research Center in Vienna##VRVis Research Center in Vienna")</f>
        <v>VRVis Research Center in Vienna##VRVis Research Center in Vienna##VRVis Research Center in Vienna##VRVis Research Center in Vienna##VRVis Research Center in Vienna</v>
      </c>
      <c r="C924" s="66" t="s">
        <v>6883</v>
      </c>
      <c r="D924" s="66" t="s">
        <v>8053</v>
      </c>
      <c r="E924" s="66" t="s">
        <v>9893</v>
      </c>
    </row>
    <row r="925" ht="15.75" customHeight="1">
      <c r="A925" s="66">
        <f>'Main dataset (DEPRECATED)'!Q926</f>
        <v>5290780</v>
      </c>
      <c r="B925" s="66" t="str">
        <f>IFERROR(__xludf.DUMMYFUNCTION("SPLIT('Main dataset (DEPRECATED2)'!N926,"";"")"),"University of Texas at Austin##University of Texas at Austin")</f>
        <v>University of Texas at Austin##University of Texas at Austin</v>
      </c>
      <c r="C925" s="66" t="s">
        <v>7176</v>
      </c>
    </row>
    <row r="926" ht="15.75" customHeight="1">
      <c r="A926" s="66">
        <f>'Main dataset (DEPRECATED)'!Q927</f>
        <v>5290739</v>
      </c>
      <c r="B926" s="66" t="str">
        <f>IFERROR(__xludf.DUMMYFUNCTION("SPLIT('Main dataset (DEPRECATED2)'!N927,"";"")"),"Dept. of Comput. Sci., Worcester Polytech. Inst., MA, USA|c|")</f>
        <v>Dept. of Comput. Sci., Worcester Polytech. Inst., MA, USA|c|</v>
      </c>
      <c r="C926" s="66" t="s">
        <v>11396</v>
      </c>
      <c r="D926" s="66" t="s">
        <v>9472</v>
      </c>
    </row>
    <row r="927" ht="15.75" customHeight="1">
      <c r="A927" s="66">
        <f>'Main dataset (DEPRECATED)'!Q928</f>
        <v>5290752</v>
      </c>
      <c r="B927" s="66" t="str">
        <f>IFERROR(__xludf.DUMMYFUNCTION("SPLIT('Main dataset (DEPRECATED2)'!N928,"";"")"),"University of Technology##University of Technology##University of Technology")</f>
        <v>University of Technology##University of Technology##University of Technology</v>
      </c>
      <c r="C927" s="66" t="s">
        <v>7450</v>
      </c>
      <c r="D927" s="66" t="s">
        <v>10140</v>
      </c>
      <c r="E927" s="66" t="s">
        <v>6832</v>
      </c>
    </row>
    <row r="928" ht="15.75" customHeight="1">
      <c r="A928" s="66">
        <f>'Main dataset (DEPRECATED)'!Q929</f>
        <v>5290737</v>
      </c>
      <c r="B928" s="66" t="str">
        <f>IFERROR(__xludf.DUMMYFUNCTION("SPLIT('Main dataset (DEPRECATED2)'!N929,"";"")"),"Dept. of Math. &amp; Comput. Sci., Technische Universiteit Eindhoven, Netherlands|c|")</f>
        <v>Dept. of Math. &amp; Comput. Sci., Technische Universiteit Eindhoven, Netherlands|c|</v>
      </c>
      <c r="C928" s="66" t="s">
        <v>7524</v>
      </c>
      <c r="D928" s="66" t="s">
        <v>11014</v>
      </c>
      <c r="E928" s="66" t="s">
        <v>11431</v>
      </c>
    </row>
    <row r="929" ht="15.75" customHeight="1">
      <c r="A929" s="66">
        <f>'Main dataset (DEPRECATED)'!Q930</f>
        <v>5290748</v>
      </c>
      <c r="B929" s="66" t="str">
        <f>IFERROR(__xludf.DUMMYFUNCTION("SPLIT('Main dataset (DEPRECATED2)'!N930,"";"")"),"University of Delaware##University of Delaware")</f>
        <v>University of Delaware##University of Delaware</v>
      </c>
      <c r="C929" s="66" t="s">
        <v>7843</v>
      </c>
      <c r="D929" s="66" t="s">
        <v>8753</v>
      </c>
      <c r="E929" s="66" t="s">
        <v>8093</v>
      </c>
    </row>
    <row r="930" ht="15.75" customHeight="1">
      <c r="A930" s="66">
        <f>'Main dataset (DEPRECATED)'!Q931</f>
        <v>5290746</v>
      </c>
      <c r="B930" s="66" t="str">
        <f>IFERROR(__xludf.DUMMYFUNCTION("SPLIT('Main dataset (DEPRECATED2)'!N931,"";"")"),"IBM Research")</f>
        <v>IBM Research</v>
      </c>
      <c r="C930" s="66" t="s">
        <v>8580</v>
      </c>
      <c r="D930" s="66" t="s">
        <v>8287</v>
      </c>
      <c r="E930" s="66" t="s">
        <v>11594</v>
      </c>
      <c r="F930" s="66" t="s">
        <v>6874</v>
      </c>
    </row>
    <row r="931" ht="15.75" customHeight="1">
      <c r="A931" s="66">
        <f>'Main dataset (DEPRECATED)'!Q932</f>
        <v>5290753</v>
      </c>
      <c r="B931" s="66" t="str">
        <f>IFERROR(__xludf.DUMMYFUNCTION("SPLIT('Main dataset (DEPRECATED2)'!N932,"";"")"),"University of Maryland##University of Maryland")</f>
        <v>University of Maryland##University of Maryland</v>
      </c>
      <c r="C931" s="66" t="s">
        <v>6496</v>
      </c>
      <c r="D931" s="66" t="s">
        <v>7432</v>
      </c>
    </row>
    <row r="932" ht="15.75" customHeight="1">
      <c r="A932" s="66">
        <f>'Main dataset (DEPRECATED)'!Q933</f>
        <v>5290776</v>
      </c>
      <c r="B932" s="66" t="str">
        <f>IFERROR(__xludf.DUMMYFUNCTION("SPLIT('Main dataset (DEPRECATED2)'!N933,"";"")"),"VRVis Research Center in Vienna##VRVis Research Center in Vienna##VRVis Research Center in Vienna")</f>
        <v>VRVis Research Center in Vienna##VRVis Research Center in Vienna##VRVis Research Center in Vienna</v>
      </c>
      <c r="C932" s="66" t="s">
        <v>11209</v>
      </c>
    </row>
    <row r="933" ht="15.75" customHeight="1">
      <c r="A933" s="66">
        <f>'Main dataset (DEPRECATED)'!Q934</f>
        <v>5290729</v>
      </c>
      <c r="B933" s="66" t="str">
        <f>IFERROR(__xludf.DUMMYFUNCTION("SPLIT('Main dataset (DEPRECATED2)'!N934,"";"")"),"Virginia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933" s="66" t="s">
        <v>8501</v>
      </c>
      <c r="D933" s="66" t="s">
        <v>11786</v>
      </c>
      <c r="E933" s="66" t="s">
        <v>11573</v>
      </c>
      <c r="F933" s="66" t="s">
        <v>9416</v>
      </c>
    </row>
    <row r="934" ht="15.75" customHeight="1">
      <c r="A934" s="66">
        <f>'Main dataset (DEPRECATED)'!Q935</f>
        <v>5290750</v>
      </c>
      <c r="B934" s="66" t="str">
        <f>IFERROR(__xludf.DUMMYFUNCTION("SPLIT('Main dataset (DEPRECATED2)'!N935,"";"")"),"The Weizmann Institute of Science##The Weizmann Institute of Science##The Weizmann Institute of Science")</f>
        <v>The Weizmann Institute of Science##The Weizmann Institute of Science##The Weizmann Institute of Science</v>
      </c>
      <c r="C934" s="66" t="s">
        <v>11679</v>
      </c>
    </row>
    <row r="935" ht="15.75" customHeight="1">
      <c r="A935" s="66">
        <f>'Main dataset (DEPRECATED)'!Q936</f>
        <v>5290773</v>
      </c>
      <c r="B935" s="66" t="str">
        <f>IFERROR(__xludf.DUMMYFUNCTION("SPLIT('Main dataset (DEPRECATED2)'!N936,"";"")"),"University of Konstanz##University of Konstanz")</f>
        <v>University of Konstanz##University of Konstanz</v>
      </c>
      <c r="C935" s="66" t="s">
        <v>8347</v>
      </c>
    </row>
    <row r="936" ht="15.75" customHeight="1">
      <c r="A936" s="66">
        <f>'Main dataset (DEPRECATED)'!Q937</f>
        <v>5290727</v>
      </c>
      <c r="B936" s="66" t="str">
        <f>IFERROR(__xludf.DUMMYFUNCTION("SPLIT('Main dataset (DEPRECATED2)'!N937,"";"")"),"Dept. of Comput. Sci., Glasgow Univ., UK|c|")</f>
        <v>Dept. of Comput. Sci., Glasgow Univ., UK|c|</v>
      </c>
      <c r="C936" s="66" t="s">
        <v>7973</v>
      </c>
      <c r="D936" s="66" t="s">
        <v>10632</v>
      </c>
      <c r="E936" s="66" t="s">
        <v>9807</v>
      </c>
    </row>
    <row r="937" ht="15.75" customHeight="1">
      <c r="A937" s="66">
        <f>'Main dataset (DEPRECATED)'!Q938</f>
        <v>5290774</v>
      </c>
      <c r="B937" s="66" t="str">
        <f>IFERROR(__xludf.DUMMYFUNCTION("SPLIT('Main dataset (DEPRECATED2)'!N938,"";"")"),"Accenture Technol. Labs., Palo Alto, CA, USA|c|")</f>
        <v>Accenture Technol. Labs., Palo Alto, CA, USA|c|</v>
      </c>
      <c r="C937" s="66" t="s">
        <v>8233</v>
      </c>
      <c r="D937" s="66" t="s">
        <v>6877</v>
      </c>
      <c r="E937" s="66" t="s">
        <v>8936</v>
      </c>
      <c r="F937" s="66" t="s">
        <v>6782</v>
      </c>
      <c r="G937" s="66" t="s">
        <v>8054</v>
      </c>
      <c r="H937" s="66" t="s">
        <v>7319</v>
      </c>
      <c r="I937" s="66" t="s">
        <v>6288</v>
      </c>
      <c r="J937" s="66" t="s">
        <v>7112</v>
      </c>
      <c r="K937" s="66" t="s">
        <v>8899</v>
      </c>
      <c r="L937" s="66" t="s">
        <v>8980</v>
      </c>
      <c r="M937" s="66" t="s">
        <v>9624</v>
      </c>
      <c r="N937" s="66" t="s">
        <v>10485</v>
      </c>
      <c r="O937" s="66" t="s">
        <v>10168</v>
      </c>
    </row>
    <row r="938" ht="15.75" customHeight="1">
      <c r="A938" s="66">
        <f>'Main dataset (DEPRECATED)'!Q939</f>
        <v>5290743</v>
      </c>
      <c r="B938" s="66" t="str">
        <f>IFERROR(__xludf.DUMMYFUNCTION("SPLIT('Main dataset (DEPRECATED2)'!N939,"";"")"),";")</f>
        <v>;</v>
      </c>
      <c r="C938" s="66" t="s">
        <v>9203</v>
      </c>
    </row>
    <row r="939" ht="15.75" customHeight="1">
      <c r="A939" s="66">
        <f>'Main dataset (DEPRECATED)'!Q940</f>
        <v>5290730</v>
      </c>
      <c r="B939" s="66" t="str">
        <f>IFERROR(__xludf.DUMMYFUNCTION("SPLIT('Main dataset (DEPRECATED2)'!N940,"";"")"),"Harvard University|c|")</f>
        <v>Harvard University|c|</v>
      </c>
      <c r="C939" s="66" t="s">
        <v>9896</v>
      </c>
      <c r="D939" s="66" t="s">
        <v>7780</v>
      </c>
    </row>
    <row r="940" ht="15.75" customHeight="1">
      <c r="A940" s="66">
        <f>'Main dataset (DEPRECATED)'!Q941</f>
        <v>5290768</v>
      </c>
      <c r="B940" s="66" t="str">
        <f>IFERROR(__xludf.DUMMYFUNCTION("SPLIT('Main dataset (DEPRECATED2)'!N941,"";"")"),"Center for Med. Diagnostic Syst. &amp; Visualization, MeVis, Bremen, Germany|c|")</f>
        <v>Center for Med. Diagnostic Syst. &amp; Visualization, MeVis, Bremen, Germany|c|</v>
      </c>
      <c r="C940" s="66" t="s">
        <v>8158</v>
      </c>
      <c r="D940" s="66" t="s">
        <v>10100</v>
      </c>
      <c r="E940" s="66" t="s">
        <v>10385</v>
      </c>
      <c r="F940" s="66" t="s">
        <v>8190</v>
      </c>
    </row>
    <row r="941" ht="15.75" customHeight="1">
      <c r="A941" s="66">
        <f>'Main dataset (DEPRECATED)'!Q942</f>
        <v>5290759</v>
      </c>
      <c r="B941" s="66" t="str">
        <f>IFERROR(__xludf.DUMMYFUNCTION("SPLIT('Main dataset (DEPRECATED2)'!N942,"";"")"),"Zuse Institute Berlin (ZIB)##Zuse Institute Berlin (ZIB)")</f>
        <v>Zuse Institute Berlin (ZIB)##Zuse Institute Berlin (ZIB)</v>
      </c>
      <c r="C941" s="66" t="s">
        <v>11250</v>
      </c>
      <c r="D941" s="66" t="s">
        <v>9932</v>
      </c>
      <c r="E941" s="66" t="s">
        <v>11007</v>
      </c>
    </row>
    <row r="942" ht="15.75" customHeight="1">
      <c r="A942" s="66">
        <f>'Main dataset (DEPRECATED)'!Q943</f>
        <v>5290740</v>
      </c>
      <c r="B942" s="66" t="str">
        <f>IFERROR(__xludf.DUMMYFUNCTION("SPLIT('Main dataset (DEPRECATED2)'!N943,"";"")"),"Vienna University of Technology University of Vienna Vienna##Vienna University of Technology University of Vienna Vienna##Vienna University of Technology University of Vienna Vienna##Vienna University of Technology University of Vienna Vienna##Vienna Univ"&amp;"ersity of Technology University of Vienna Vienna##Vienna University of Technology University of Vienna Vienna")</f>
        <v>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Vienna##Vienna University of Technology University of Vienna Vienna</v>
      </c>
      <c r="C942" s="66" t="s">
        <v>11687</v>
      </c>
      <c r="D942" s="66" t="s">
        <v>11296</v>
      </c>
      <c r="E942" s="66" t="s">
        <v>11365</v>
      </c>
      <c r="F942" s="66" t="s">
        <v>8287</v>
      </c>
    </row>
    <row r="943" ht="15.75" customHeight="1">
      <c r="A943" s="66">
        <f>'Main dataset (DEPRECATED)'!Q944</f>
        <v>5290735</v>
      </c>
      <c r="B943" s="66" t="str">
        <f>IFERROR(__xludf.DUMMYFUNCTION("SPLIT('Main dataset (DEPRECATED2)'!N944,"";"")"),"The University of British Columbia##The University of British Columbia##The University of British Columbia")</f>
        <v>The University of British Columbia##The University of British Columbia##The University of British Columbia</v>
      </c>
      <c r="C943" s="66" t="s">
        <v>7627</v>
      </c>
      <c r="D943" s="66" t="s">
        <v>6493</v>
      </c>
      <c r="E943" s="66" t="s">
        <v>9842</v>
      </c>
    </row>
    <row r="944" ht="15.75" customHeight="1">
      <c r="A944" s="66">
        <f>'Main dataset (DEPRECATED)'!Q945</f>
        <v>5290769</v>
      </c>
      <c r="B944" s="66" t="str">
        <f>IFERROR(__xludf.DUMMYFUNCTION("SPLIT('Main dataset (DEPRECATED2)'!N945,"";"")"),"University of TÃ¼bingen##University of TÃ¼bingen##University of TÃ¼bingen##University of TÃ¼bingen")</f>
        <v>University of TÃ¼bingen##University of TÃ¼bingen##University of TÃ¼bingen##University of TÃ¼bingen</v>
      </c>
    </row>
    <row r="945" ht="15.75" customHeight="1">
      <c r="A945" s="66">
        <f>'Main dataset (DEPRECATED)'!Q946</f>
        <v>5290756</v>
      </c>
      <c r="B945" s="66" t="str">
        <f>IFERROR(__xludf.DUMMYFUNCTION("SPLIT('Main dataset (DEPRECATED2)'!N946,"";"")"),"University of Utah##University of Utah")</f>
        <v>University of Utah##University of Utah</v>
      </c>
      <c r="C945" s="66" t="s">
        <v>7436</v>
      </c>
      <c r="D945" s="66" t="s">
        <v>10687</v>
      </c>
      <c r="E945" s="66" t="s">
        <v>11433</v>
      </c>
    </row>
    <row r="946" ht="15.75" customHeight="1">
      <c r="A946" s="66">
        <f>'Main dataset (DEPRECATED)'!Q947</f>
        <v>5290767</v>
      </c>
      <c r="B946" s="66" t="str">
        <f>IFERROR(__xludf.DUMMYFUNCTION("SPLIT('Main dataset (DEPRECATED2)'!N947,"";"")"),"University of North Carolina at Chapel Hill##University of North Carolina at Chapel Hill")</f>
        <v>University of North Carolina at Chapel Hill##University of North Carolina at Chapel Hill</v>
      </c>
      <c r="C946" s="66" t="s">
        <v>6483</v>
      </c>
      <c r="D946" s="66" t="s">
        <v>7985</v>
      </c>
      <c r="E946" s="66" t="s">
        <v>11217</v>
      </c>
      <c r="F946" s="66" t="s">
        <v>9891</v>
      </c>
      <c r="G946" s="66" t="s">
        <v>11438</v>
      </c>
    </row>
    <row r="947" ht="15.75" customHeight="1">
      <c r="A947" s="66">
        <f>'Main dataset (DEPRECATED)'!Q948</f>
        <v>5290754</v>
      </c>
      <c r="B947" s="66" t="str">
        <f>IFERROR(__xludf.DUMMYFUNCTION("SPLIT('Main dataset (DEPRECATED2)'!N948,"";"")"),"Gurion University of the Negev *##Gurion University of the Negev *")</f>
        <v>Gurion University of the Negev *##Gurion University of the Negev *</v>
      </c>
      <c r="C947" s="66" t="s">
        <v>7715</v>
      </c>
      <c r="D947" s="66" t="s">
        <v>6722</v>
      </c>
      <c r="E947" s="66" t="s">
        <v>11431</v>
      </c>
    </row>
    <row r="948" ht="15.75" customHeight="1">
      <c r="A948" s="66">
        <f>'Main dataset (DEPRECATED)'!Q949</f>
        <v>5290763</v>
      </c>
      <c r="B948" s="66" t="str">
        <f>IFERROR(__xludf.DUMMYFUNCTION("SPLIT('Main dataset (DEPRECATED2)'!N949,"";"")"),"The Ohio State University##The Ohio State University")</f>
        <v>The Ohio State University##The Ohio State University</v>
      </c>
      <c r="C948" s="66" t="s">
        <v>8364</v>
      </c>
      <c r="D948" s="66" t="s">
        <v>11365</v>
      </c>
      <c r="E948" s="66" t="s">
        <v>7361</v>
      </c>
    </row>
    <row r="949" ht="15.75" customHeight="1">
      <c r="A949" s="66">
        <f>'Main dataset (DEPRECATED)'!Q950</f>
        <v>5290779</v>
      </c>
      <c r="B949" s="66" t="str">
        <f>IFERROR(__xludf.DUMMYFUNCTION("SPLIT('Main dataset (DEPRECATED2)'!N950,"";"")"),"University of Stuttgart##University of Stuttgart##University of Stuttgart")</f>
        <v>University of Stuttgart##University of Stuttgart##University of Stuttgart</v>
      </c>
      <c r="C949" s="66" t="s">
        <v>7170</v>
      </c>
    </row>
    <row r="950" ht="15.75" customHeight="1">
      <c r="A950" s="66">
        <f>'Main dataset (DEPRECATED)'!Q951</f>
        <v>5290762</v>
      </c>
      <c r="B950" s="66" t="str">
        <f>IFERROR(__xludf.DUMMYFUNCTION("SPLIT('Main dataset (DEPRECATED2)'!N951,"";"")"),"University of Magdeburg Simon Fraser University University of East Anglia##University of Magdeburg Simon Fraser University University of East Anglia##University of Magdeburg Simon Fraser University University of East Anglia##University of Magdeburg Simon "&amp;"Fraser University University of East Anglia##University of Magdeburg Simon Fraser University University of East Anglia")</f>
        <v>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Anglia##University of Magdeburg Simon Fraser University University of East Anglia</v>
      </c>
      <c r="C950" s="66" t="s">
        <v>4987</v>
      </c>
    </row>
    <row r="951" ht="15.75" customHeight="1">
      <c r="A951" s="66">
        <f>'Main dataset (DEPRECATED)'!Q952</f>
        <v>5290738</v>
      </c>
      <c r="B951" s="66" t="str">
        <f>IFERROR(__xludf.DUMMYFUNCTION("SPLIT('Main dataset (DEPRECATED2)'!N952,"";"")"),"University of Utah Â§School of Electrical and Computer Engineering Purdue University##University of Utah Â§School of Electrical and Computer Engineering Purdue University##University of Utah Â§School of Electrical and Computer Engineering Purdue Universit"&amp;"y##University of Utah Â§School of Electrical and Computer Engineering Purdue University")</f>
        <v>University of Utah Â§School of Electrical and Computer Engineering Purdue University##University of Utah Â§School of Electrical and Computer Engineering Purdue University##University of Utah Â§School of Electrical and Computer Engineering Purdue University##University of Utah Â§School of Electrical and Computer Engineering Purdue University</v>
      </c>
      <c r="C951" s="66" t="s">
        <v>7698</v>
      </c>
      <c r="D951" s="66" t="s">
        <v>8560</v>
      </c>
    </row>
    <row r="952" ht="15.75" customHeight="1">
      <c r="A952" s="66">
        <f>'Main dataset (DEPRECATED)'!Q953</f>
        <v>5290733</v>
      </c>
      <c r="B952" s="66" t="str">
        <f>IFERROR(__xludf.DUMMYFUNCTION("SPLIT('Main dataset (DEPRECATED2)'!N953,"";"")"),"University of Illinois at Urbanaâ€“Champaign##University of Illinois at Urbanaâ€“Champaign")</f>
        <v>University of Illinois at Urbanaâ€“Champaign##University of Illinois at Urbanaâ€“Champaign</v>
      </c>
      <c r="C952" s="66" t="s">
        <v>10392</v>
      </c>
      <c r="D952" s="66" t="s">
        <v>9663</v>
      </c>
      <c r="E952" s="66" t="s">
        <v>8737</v>
      </c>
      <c r="F952" s="66" t="s">
        <v>10621</v>
      </c>
    </row>
    <row r="953" ht="15.75" customHeight="1">
      <c r="A953" s="66">
        <f>'Main dataset (DEPRECATED)'!Q954</f>
        <v>5290771</v>
      </c>
      <c r="B953" s="66" t="str">
        <f>IFERROR(__xludf.DUMMYFUNCTION("SPLIT('Main dataset (DEPRECATED2)'!N954,"";"")"),"Sch. of Comput., Utah Univ., Salt Lake City, UT, USA|c|")</f>
        <v>Sch. of Comput., Utah Univ., Salt Lake City, UT, USA|c|</v>
      </c>
      <c r="C953" s="66" t="s">
        <v>9076</v>
      </c>
      <c r="D953" s="66" t="s">
        <v>6178</v>
      </c>
      <c r="E953" s="66" t="s">
        <v>7610</v>
      </c>
      <c r="F953" s="66" t="s">
        <v>10621</v>
      </c>
    </row>
    <row r="954" ht="15.75" customHeight="1">
      <c r="A954" s="66">
        <f>'Main dataset (DEPRECATED)'!Q955</f>
        <v>5290751</v>
      </c>
      <c r="B954" s="66" t="str">
        <f>IFERROR(__xludf.DUMMYFUNCTION("SPLIT('Main dataset (DEPRECATED2)'!N955,"";"")"),"Mississippi State University##Mississippi State University")</f>
        <v>Mississippi State University##Mississippi State University</v>
      </c>
      <c r="C954" s="66" t="s">
        <v>6594</v>
      </c>
      <c r="D954" s="66" t="s">
        <v>9390</v>
      </c>
      <c r="E954" s="66" t="s">
        <v>10399</v>
      </c>
    </row>
    <row r="955" ht="15.75" customHeight="1">
      <c r="A955" s="66">
        <f>'Main dataset (DEPRECATED)'!Q956</f>
        <v>5290755</v>
      </c>
      <c r="B955" s="66" t="str">
        <f>IFERROR(__xludf.DUMMYFUNCTION("SPLIT('Main dataset (DEPRECATED2)'!N956,"";"")"),"University of North Carolina at Chapel Hill##University of North Carolina at Chapel Hill")</f>
        <v>University of North Carolina at Chapel Hill##University of North Carolina at Chapel Hill</v>
      </c>
      <c r="C955" s="66" t="s">
        <v>9532</v>
      </c>
      <c r="D955" s="66" t="s">
        <v>8182</v>
      </c>
      <c r="E955" s="66" t="s">
        <v>7273</v>
      </c>
      <c r="F955" s="66" t="s">
        <v>8114</v>
      </c>
    </row>
    <row r="956" ht="15.75" customHeight="1">
      <c r="A956" s="66">
        <f>'Main dataset (DEPRECATED)'!Q957</f>
        <v>5290745</v>
      </c>
      <c r="B956" s="66" t="str">
        <f>IFERROR(__xludf.DUMMYFUNCTION("SPLIT('Main dataset (DEPRECATED2)'!N957,"";"")"),"University of Maryland Baltimore County Penny Rheingans University of Maryland Baltimore County")</f>
        <v>University of Maryland Baltimore County Penny Rheingans University of Maryland Baltimore County</v>
      </c>
      <c r="C956" s="66" t="s">
        <v>11340</v>
      </c>
      <c r="D956" s="66" t="s">
        <v>7887</v>
      </c>
    </row>
    <row r="957" ht="15.75" customHeight="1">
      <c r="A957" s="66">
        <f>'Main dataset (DEPRECATED)'!Q958</f>
        <v>5290749</v>
      </c>
      <c r="B957" s="66" t="str">
        <f>IFERROR(__xludf.DUMMYFUNCTION("SPLIT('Main dataset (DEPRECATED2)'!N958,"";"")"),"The Ohio State University##The Ohio State University")</f>
        <v>The Ohio State University##The Ohio State University</v>
      </c>
      <c r="C957" s="66" t="s">
        <v>4285</v>
      </c>
    </row>
    <row r="958" ht="15.75" customHeight="1">
      <c r="A958" s="66">
        <f>'Main dataset (DEPRECATED)'!Q959</f>
        <v>5290757</v>
      </c>
      <c r="B958" s="66" t="str">
        <f>IFERROR(__xludf.DUMMYFUNCTION("SPLIT('Main dataset (DEPRECATED2)'!N959,"";"")"),"Eidgenossische Tech. Hochschule, Zurich, Switzerland|c|")</f>
        <v>Eidgenossische Tech. Hochschule, Zurich, Switzerland|c|</v>
      </c>
      <c r="C958" s="66" t="s">
        <v>11799</v>
      </c>
      <c r="D958" s="66" t="s">
        <v>10704</v>
      </c>
      <c r="E958" s="66" t="s">
        <v>7083</v>
      </c>
      <c r="F958" s="66" t="s">
        <v>7361</v>
      </c>
      <c r="G958" s="66" t="s">
        <v>9318</v>
      </c>
      <c r="H958" s="66" t="s">
        <v>9547</v>
      </c>
      <c r="I958" s="66" t="s">
        <v>7017</v>
      </c>
      <c r="J958" s="66" t="s">
        <v>11828</v>
      </c>
      <c r="K958" s="66" t="s">
        <v>8566</v>
      </c>
    </row>
    <row r="959" ht="15.75" customHeight="1">
      <c r="A959" s="66">
        <f>'Main dataset (DEPRECATED)'!Q960</f>
        <v>5290775</v>
      </c>
      <c r="B959" s="66" t="str">
        <f>IFERROR(__xludf.DUMMYFUNCTION("SPLIT('Main dataset (DEPRECATED2)'!N960,"";"")"),"University of Kaiserslautern##University of Kaiserslautern##University of Kaiserslautern##University of California")</f>
        <v>University of Kaiserslautern##University of Kaiserslautern##University of Kaiserslautern##University of California</v>
      </c>
      <c r="C959" s="66" t="s">
        <v>8179</v>
      </c>
      <c r="D959" s="66" t="s">
        <v>11432</v>
      </c>
      <c r="E959" s="66" t="s">
        <v>10423</v>
      </c>
      <c r="F959" s="66" t="s">
        <v>8047</v>
      </c>
      <c r="G959" s="66" t="s">
        <v>7996</v>
      </c>
    </row>
    <row r="960" ht="15.75" customHeight="1">
      <c r="A960" s="66">
        <f>'Main dataset (DEPRECATED)'!Q961</f>
        <v>4658124</v>
      </c>
      <c r="B960" s="66" t="str">
        <f>IFERROR(__xludf.DUMMYFUNCTION("SPLIT('Main dataset (DEPRECATED2)'!N961,"";"")"),"University of Utah##University of Utah##University of Utah##University of Utah")</f>
        <v>University of Utah##University of Utah##University of Utah##University of Utah</v>
      </c>
    </row>
    <row r="961" ht="15.75" customHeight="1">
      <c r="A961" s="66">
        <f>'Main dataset (DEPRECATED)'!Q962</f>
        <v>4658125</v>
      </c>
      <c r="B961" s="66" t="str">
        <f>IFERROR(__xludf.DUMMYFUNCTION("SPLIT('Main dataset (DEPRECATED2)'!N962,"";"")"),"Lawrence Livermore National Laboratory##Lawrence Livermore National Laboratory")</f>
        <v>Lawrence Livermore National Laboratory##Lawrence Livermore National Laboratory</v>
      </c>
      <c r="C961" s="66" t="s">
        <v>4285</v>
      </c>
    </row>
    <row r="962" ht="15.75" customHeight="1">
      <c r="A962" s="66">
        <f>'Main dataset (DEPRECATED)'!Q963</f>
        <v>4658137</v>
      </c>
      <c r="B962" s="66" t="str">
        <f>IFERROR(__xludf.DUMMYFUNCTION("SPLIT('Main dataset (DEPRECATED2)'!N963,"";"")"),"Boeing Co., Seattle, WA, USA|c|")</f>
        <v>Boeing Co., Seattle, WA, USA|c|</v>
      </c>
      <c r="C962" s="66" t="s">
        <v>9549</v>
      </c>
      <c r="D962" s="66" t="s">
        <v>7688</v>
      </c>
      <c r="E962" s="66" t="s">
        <v>8727</v>
      </c>
    </row>
    <row r="963" ht="15.75" customHeight="1">
      <c r="A963" s="66">
        <f>'Main dataset (DEPRECATED)'!Q964</f>
        <v>4658127</v>
      </c>
      <c r="B963" s="66" t="str">
        <f>IFERROR(__xludf.DUMMYFUNCTION("SPLIT('Main dataset (DEPRECATED2)'!N964,"";"")"),"UniversitÃ© Paul Sabatier##UniversitÃ© Paul Sabatier##UniversitÃ© Paul Sabatier")</f>
        <v>UniversitÃ© Paul Sabatier##UniversitÃ© Paul Sabatier##UniversitÃ© Paul Sabatier</v>
      </c>
      <c r="C963" s="66" t="s">
        <v>9609</v>
      </c>
      <c r="D963" s="66" t="s">
        <v>10767</v>
      </c>
    </row>
    <row r="964" ht="15.75" customHeight="1">
      <c r="A964" s="66">
        <f>'Main dataset (DEPRECATED)'!Q965</f>
        <v>4658146</v>
      </c>
      <c r="B964" s="66" t="str">
        <f>IFERROR(__xludf.DUMMYFUNCTION("SPLIT('Main dataset (DEPRECATED2)'!N965,"";"")"),"Purdue University##Purdue University##Purdue University##Purdue University")</f>
        <v>Purdue University##Purdue University##Purdue University##Purdue University</v>
      </c>
      <c r="C964" s="66" t="s">
        <v>7516</v>
      </c>
      <c r="D964" s="66" t="s">
        <v>7541</v>
      </c>
      <c r="E964" s="66" t="s">
        <v>6559</v>
      </c>
      <c r="F964" s="66" t="s">
        <v>10767</v>
      </c>
    </row>
    <row r="965" ht="15.75" customHeight="1">
      <c r="A965" s="66">
        <f>'Main dataset (DEPRECATED)'!Q966</f>
        <v>4658128</v>
      </c>
      <c r="B965" s="66" t="str">
        <f>IFERROR(__xludf.DUMMYFUNCTION("SPLIT('Main dataset (DEPRECATED2)'!N966,"";"")"),"Dresden University of Technology##Dresden University of Technology##Sophia Antipolis##Sophia Antipolis")</f>
        <v>Dresden University of Technology##Dresden University of Technology##Sophia Antipolis##Sophia Antipolis</v>
      </c>
      <c r="C965" s="66" t="s">
        <v>10414</v>
      </c>
      <c r="D965" s="66" t="s">
        <v>6786</v>
      </c>
    </row>
    <row r="966" ht="15.75" customHeight="1">
      <c r="A966" s="66">
        <f>'Main dataset (DEPRECATED)'!Q967</f>
        <v>4658144</v>
      </c>
      <c r="B966" s="66" t="str">
        <f>IFERROR(__xludf.DUMMYFUNCTION("SPLIT('Main dataset (DEPRECATED2)'!N967,"";"")"),"State University Of New York At Stony Brook Stony Brook##State University Of New York At Stony Brook Stony Brook##State University Of New York At Stony Brook Stony Brook##State University Of New York At Stony Brook Stony Brook")</f>
        <v>State University Of New York At Stony Brook Stony Brook##State University Of New York At Stony Brook Stony Brook##State University Of New York At Stony Brook Stony Brook##State University Of New York At Stony Brook Stony Brook</v>
      </c>
      <c r="C966" s="66" t="s">
        <v>11819</v>
      </c>
    </row>
    <row r="967" ht="15.75" customHeight="1">
      <c r="A967" s="66">
        <f>'Main dataset (DEPRECATED)'!Q968</f>
        <v>4658142</v>
      </c>
      <c r="B967" s="66" t="str">
        <f>IFERROR(__xludf.DUMMYFUNCTION("SPLIT('Main dataset (DEPRECATED2)'!N968,"";"")"),"Zuse Inst. Berlin (ZIB), Germany|c|")</f>
        <v>Zuse Inst. Berlin (ZIB), Germany|c|</v>
      </c>
      <c r="C967" s="66" t="s">
        <v>9239</v>
      </c>
      <c r="D967" s="66" t="s">
        <v>10427</v>
      </c>
      <c r="E967" s="66" t="s">
        <v>10847</v>
      </c>
      <c r="F967" s="66" t="s">
        <v>11545</v>
      </c>
      <c r="G967" s="66" t="s">
        <v>11568</v>
      </c>
    </row>
    <row r="968" ht="15.75" customHeight="1">
      <c r="A968" s="66">
        <f>'Main dataset (DEPRECATED)'!Q969</f>
        <v>4658140</v>
      </c>
      <c r="B968" s="66" t="str">
        <f>IFERROR(__xludf.DUMMYFUNCTION("SPLIT('Main dataset (DEPRECATED2)'!N969,"";"")"),"University of Calgary##University of Calgary##University of Calgary##University of Calgary")</f>
        <v>University of Calgary##University of Calgary##University of Calgary##University of Calgary</v>
      </c>
      <c r="C968" s="66" t="s">
        <v>8242</v>
      </c>
      <c r="D968" s="66" t="s">
        <v>8287</v>
      </c>
      <c r="E968" s="66" t="s">
        <v>9762</v>
      </c>
      <c r="F968" s="66" t="s">
        <v>11587</v>
      </c>
    </row>
    <row r="969" ht="15.75" customHeight="1">
      <c r="A969" s="66">
        <f>'Main dataset (DEPRECATED)'!Q970</f>
        <v>4658129</v>
      </c>
      <c r="B969" s="66" t="str">
        <f>IFERROR(__xludf.DUMMYFUNCTION("SPLIT('Main dataset (DEPRECATED2)'!N970,"";"")"),"University of Kaiserslautern")</f>
        <v>University of Kaiserslautern</v>
      </c>
      <c r="C969" s="66" t="s">
        <v>9176</v>
      </c>
      <c r="D969" s="66" t="s">
        <v>10818</v>
      </c>
      <c r="E969" s="66" t="s">
        <v>6169</v>
      </c>
    </row>
    <row r="970" ht="15.75" customHeight="1">
      <c r="A970" s="66">
        <f>'Main dataset (DEPRECATED)'!Q971</f>
        <v>4658134</v>
      </c>
      <c r="B970" s="66" t="str">
        <f>IFERROR(__xludf.DUMMYFUNCTION("SPLIT('Main dataset (DEPRECATED2)'!N971,"";"")"),"University of California at Berkeley")</f>
        <v>University of California at Berkeley</v>
      </c>
      <c r="C970" s="66" t="s">
        <v>9425</v>
      </c>
    </row>
    <row r="971" ht="15.75" customHeight="1">
      <c r="A971" s="66">
        <f>'Main dataset (DEPRECATED)'!Q972</f>
        <v>4658145</v>
      </c>
      <c r="B971" s="66" t="str">
        <f>IFERROR(__xludf.DUMMYFUNCTION("SPLIT('Main dataset (DEPRECATED2)'!N972,"";"")"),"GVU Center and College of Computing##GVU Center and College of Computing")</f>
        <v>GVU Center and College of Computing##GVU Center and College of Computing</v>
      </c>
      <c r="C971" s="66" t="s">
        <v>6484</v>
      </c>
      <c r="D971" s="66" t="s">
        <v>7497</v>
      </c>
    </row>
    <row r="972" ht="15.75" customHeight="1">
      <c r="A972" s="66">
        <f>'Main dataset (DEPRECATED)'!Q973</f>
        <v>4658148</v>
      </c>
      <c r="B972" s="66" t="str">
        <f>IFERROR(__xludf.DUMMYFUNCTION("SPLIT('Main dataset (DEPRECATED2)'!N973,"";"")"),"University of TÃ¼bingen")</f>
        <v>University of TÃ¼bingen</v>
      </c>
      <c r="C972" s="66" t="s">
        <v>9269</v>
      </c>
      <c r="D972" s="66" t="s">
        <v>8093</v>
      </c>
    </row>
    <row r="973" ht="15.75" customHeight="1">
      <c r="A973" s="66">
        <f>'Main dataset (DEPRECATED)'!Q974</f>
        <v>4658126</v>
      </c>
      <c r="B973" s="66" t="str">
        <f>IFERROR(__xludf.DUMMYFUNCTION("SPLIT('Main dataset (DEPRECATED2)'!N974,"";"")"),"University of Waterloo##University of Waterloo")</f>
        <v>University of Waterloo##University of Waterloo</v>
      </c>
      <c r="C973" s="66" t="s">
        <v>11415</v>
      </c>
      <c r="D973" s="66" t="s">
        <v>11339</v>
      </c>
      <c r="E973" s="66" t="s">
        <v>10140</v>
      </c>
      <c r="F973" s="66" t="s">
        <v>6832</v>
      </c>
    </row>
    <row r="974" ht="15.75" customHeight="1">
      <c r="A974" s="66">
        <f>'Main dataset (DEPRECATED)'!Q975</f>
        <v>4658141</v>
      </c>
      <c r="B974" s="66" t="str">
        <f>IFERROR(__xludf.DUMMYFUNCTION("SPLIT('Main dataset (DEPRECATED2)'!N975,"";"")"),"Technion I.I.T##Technion I.I.T")</f>
        <v>Technion I.I.T##Technion I.I.T</v>
      </c>
      <c r="C974" s="66" t="s">
        <v>8207</v>
      </c>
      <c r="D974" s="66" t="s">
        <v>7693</v>
      </c>
      <c r="E974" s="66" t="s">
        <v>8079</v>
      </c>
    </row>
    <row r="975" ht="15.75" customHeight="1">
      <c r="A975" s="66">
        <f>'Main dataset (DEPRECATED)'!Q976</f>
        <v>4658135</v>
      </c>
      <c r="B975" s="66" t="str">
        <f>IFERROR(__xludf.DUMMYFUNCTION("SPLIT('Main dataset (DEPRECATED2)'!N976,"";"")"),"University of Utah##University of Utah##University of Utah")</f>
        <v>University of Utah##University of Utah##University of Utah</v>
      </c>
      <c r="C975" s="66" t="s">
        <v>10453</v>
      </c>
      <c r="D975" s="66" t="s">
        <v>7022</v>
      </c>
    </row>
    <row r="976" ht="15.75" customHeight="1">
      <c r="A976" s="66">
        <f>'Main dataset (DEPRECATED)'!Q977</f>
        <v>4658147</v>
      </c>
      <c r="B976" s="66" t="str">
        <f>IFERROR(__xludf.DUMMYFUNCTION("SPLIT('Main dataset (DEPRECATED2)'!N977,"";"")"),"The Ohio State University##The Ohio State University##The Ohio State University")</f>
        <v>The Ohio State University##The Ohio State University##The Ohio State University</v>
      </c>
      <c r="C976" s="66" t="s">
        <v>10200</v>
      </c>
    </row>
    <row r="977" ht="15.75" customHeight="1">
      <c r="A977" s="66">
        <f>'Main dataset (DEPRECATED)'!Q978</f>
        <v>4658143</v>
      </c>
      <c r="B977" s="66" t="str">
        <f>IFERROR(__xludf.DUMMYFUNCTION("SPLIT('Main dataset (DEPRECATED2)'!N978,"";"")"),"University of Wales Swansea##University of Wales Swansea##University of Wales Swansea")</f>
        <v>University of Wales Swansea##University of Wales Swansea##University of Wales Swansea</v>
      </c>
      <c r="C977" s="66" t="s">
        <v>4987</v>
      </c>
    </row>
    <row r="978" ht="15.75" customHeight="1">
      <c r="A978" s="66">
        <f>'Main dataset (DEPRECATED)'!Q979</f>
        <v>4658123</v>
      </c>
      <c r="B978" s="66" t="str">
        <f>IFERROR(__xludf.DUMMYFUNCTION("SPLIT('Main dataset (DEPRECATED2)'!N979,"";"")"),"University of California##University of California##University of California")</f>
        <v>University of California##University of California##University of California</v>
      </c>
      <c r="C978" s="66" t="s">
        <v>7306</v>
      </c>
      <c r="D978" s="66" t="s">
        <v>7497</v>
      </c>
    </row>
    <row r="979" ht="15.75" customHeight="1">
      <c r="A979" s="66">
        <f>'Main dataset (DEPRECATED)'!Q980</f>
        <v>4658149</v>
      </c>
      <c r="B979" s="66" t="str">
        <f>IFERROR(__xludf.DUMMYFUNCTION("SPLIT('Main dataset (DEPRECATED2)'!N980,"";"")"),"Lucent Technol. Bell Labs, NJ, USA|c|")</f>
        <v>Lucent Technol. Bell Labs, NJ, USA|c|</v>
      </c>
      <c r="C979" s="66" t="s">
        <v>7353</v>
      </c>
    </row>
    <row r="980" ht="15.75" customHeight="1">
      <c r="A980" s="66">
        <f>'Main dataset (DEPRECATED)'!Q981</f>
        <v>4658136</v>
      </c>
      <c r="B980" s="66" t="str">
        <f>IFERROR(__xludf.DUMMYFUNCTION("SPLIT('Main dataset (DEPRECATED2)'!N981,"";"")"),"Princeton University The Robotics Institute##Princeton University The Robotics Institute##Princeton University The Robotics Institute##Princeton University The Robotics Institute")</f>
        <v>Princeton University The Robotics Institute##Princeton University The Robotics Institute##Princeton University The Robotics Institute##Princeton University The Robotics Institute</v>
      </c>
      <c r="C980" s="66" t="s">
        <v>11348</v>
      </c>
    </row>
    <row r="981" ht="15.75" customHeight="1">
      <c r="A981" s="66">
        <f>'Main dataset (DEPRECATED)'!Q982</f>
        <v>4658138</v>
      </c>
      <c r="B981" s="66" t="str">
        <f>IFERROR(__xludf.DUMMYFUNCTION("SPLIT('Main dataset (DEPRECATED2)'!N982,"";"")"),"Technion â€“ Israel Institute of Technology##Technion â€“ Israel Institute of Technology##Technion â€“ Israel Institute of Technology")</f>
        <v>Technion â€“ Israel Institute of Technology##Technion â€“ Israel Institute of Technology##Technion â€“ Israel Institute of Technology</v>
      </c>
      <c r="C981" s="66" t="s">
        <v>8832</v>
      </c>
    </row>
    <row r="982" ht="15.75" customHeight="1">
      <c r="A982" s="66">
        <f>'Main dataset (DEPRECATED)'!Q983</f>
        <v>4658133</v>
      </c>
      <c r="B982" s="66" t="str">
        <f>IFERROR(__xludf.DUMMYFUNCTION("SPLIT('Main dataset (DEPRECATED2)'!N983,"";"")"),"Computer Science Tel-Aviv University##Computer Science Tel-Aviv University##Computer Science Tel-Aviv University##Computer Science Tel-Aviv University")</f>
        <v>Computer Science Tel-Aviv University##Computer Science Tel-Aviv University##Computer Science Tel-Aviv University##Computer Science Tel-Aviv University</v>
      </c>
      <c r="C982" s="66" t="s">
        <v>11243</v>
      </c>
    </row>
    <row r="983" ht="15.75" customHeight="1">
      <c r="A983" s="66">
        <f>'Main dataset (DEPRECATED)'!Q984</f>
        <v>4658131</v>
      </c>
      <c r="B983" s="66" t="str">
        <f>IFERROR(__xludf.DUMMYFUNCTION("SPLIT('Main dataset (DEPRECATED2)'!N984,"";"")"),"University of California##University of California")</f>
        <v>University of California##University of California</v>
      </c>
      <c r="C983" s="66" t="s">
        <v>6786</v>
      </c>
      <c r="D983" s="66" t="s">
        <v>6988</v>
      </c>
      <c r="E983" s="66" t="s">
        <v>11481</v>
      </c>
    </row>
    <row r="984" ht="15.75" customHeight="1">
      <c r="A984" s="66">
        <f>'Main dataset (DEPRECATED)'!Q985</f>
        <v>4658132</v>
      </c>
      <c r="B984" s="66" t="str">
        <f>IFERROR(__xludf.DUMMYFUNCTION("SPLIT('Main dataset (DEPRECATED2)'!N985,"";"")"),"LinkÃ¶pings Universitet##LinkÃ¶pings Universitet##LinkÃ¶pings Universitet##LinkÃ¶pings Universitet")</f>
        <v>LinkÃ¶pings Universitet##LinkÃ¶pings Universitet##LinkÃ¶pings Universitet##LinkÃ¶pings Universitet</v>
      </c>
      <c r="C984" s="66" t="s">
        <v>11560</v>
      </c>
      <c r="D984" s="66" t="s">
        <v>10943</v>
      </c>
      <c r="E984" s="66" t="s">
        <v>6767</v>
      </c>
      <c r="F984" s="66" t="s">
        <v>8046</v>
      </c>
    </row>
    <row r="985" ht="15.75" customHeight="1">
      <c r="A985" s="66">
        <f>'Main dataset (DEPRECATED)'!Q986</f>
        <v>4658150</v>
      </c>
      <c r="B985" s="66" t="str">
        <f>IFERROR(__xludf.DUMMYFUNCTION("SPLIT('Main dataset (DEPRECATED2)'!N986,"";"")"),"University of California##University of California")</f>
        <v>University of California##University of California</v>
      </c>
      <c r="C985" s="66" t="s">
        <v>8967</v>
      </c>
      <c r="D985" s="66" t="s">
        <v>6957</v>
      </c>
    </row>
    <row r="986" ht="15.75" customHeight="1">
      <c r="A986" s="66">
        <f>'Main dataset (DEPRECATED)'!Q987</f>
        <v>4658139</v>
      </c>
      <c r="B986" s="66" t="str">
        <f>IFERROR(__xludf.DUMMYFUNCTION("SPLIT('Main dataset (DEPRECATED2)'!N987,"";"")"),"California Institute of Technology##California Institute of Technology")</f>
        <v>California Institute of Technology##California Institute of Technology</v>
      </c>
      <c r="C986" s="66" t="s">
        <v>10878</v>
      </c>
      <c r="D986" s="66" t="s">
        <v>10767</v>
      </c>
      <c r="E986" s="66" t="s">
        <v>6152</v>
      </c>
    </row>
    <row r="987" ht="15.75" customHeight="1">
      <c r="A987" s="66">
        <f>'Main dataset (DEPRECATED)'!Q988</f>
        <v>4658130</v>
      </c>
      <c r="B987" s="66" t="str">
        <f>IFERROR(__xludf.DUMMYFUNCTION("SPLIT('Main dataset (DEPRECATED2)'!N988,"";"")"),"University of California Irvine La Salle University##University of California Irvine La Salle University##University of California Irvine La Salle University")</f>
        <v>University of California Irvine La Salle University##University of California Irvine La Salle University##University of California Irvine La Salle University</v>
      </c>
      <c r="C987" s="66" t="s">
        <v>10158</v>
      </c>
    </row>
    <row r="988" ht="15.75" customHeight="1">
      <c r="A988" s="66">
        <f>'Main dataset (DEPRECATED)'!Q989</f>
        <v>4677380</v>
      </c>
      <c r="B988" s="66" t="str">
        <f>IFERROR(__xludf.DUMMYFUNCTION("SPLIT('Main dataset (DEPRECATED2)'!N989,"";"")"),"Brigham Young University##Brigham Young University")</f>
        <v>Brigham Young University##Brigham Young University</v>
      </c>
      <c r="C988" s="66" t="s">
        <v>6579</v>
      </c>
      <c r="D988" s="66" t="s">
        <v>7432</v>
      </c>
    </row>
    <row r="989" ht="15.75" customHeight="1">
      <c r="A989" s="66">
        <f>'Main dataset (DEPRECATED)'!Q990</f>
        <v>4677374</v>
      </c>
      <c r="B989" s="66" t="str">
        <f>IFERROR(__xludf.DUMMYFUNCTION("SPLIT('Main dataset (DEPRECATED2)'!N990,"";"")"),"GVU Center##GVU Center##GVU Center##GVU Center##GVU Center")</f>
        <v>GVU Center##GVU Center##GVU Center##GVU Center##GVU Center</v>
      </c>
    </row>
    <row r="990" ht="15.75" customHeight="1">
      <c r="A990" s="66">
        <f>'Main dataset (DEPRECATED)'!Q991</f>
        <v>4677377</v>
      </c>
      <c r="B990" s="66" t="str">
        <f>IFERROR(__xludf.DUMMYFUNCTION("SPLIT('Main dataset (DEPRECATED2)'!N991,"";"")"),"North Carolina State University##North Carolina State University")</f>
        <v>North Carolina State University##North Carolina State University</v>
      </c>
    </row>
    <row r="991" ht="15.75" customHeight="1">
      <c r="A991" s="66">
        <f>'Main dataset (DEPRECATED)'!Q992</f>
        <v>4677363</v>
      </c>
      <c r="B991" s="66" t="str">
        <f>IFERROR(__xludf.DUMMYFUNCTION("SPLIT('Main dataset (DEPRECATED2)'!N992,"";"")"),"CWI##CWI")</f>
        <v>CWI##CWI</v>
      </c>
      <c r="C991" s="66" t="s">
        <v>9171</v>
      </c>
      <c r="D991" s="66" t="s">
        <v>7361</v>
      </c>
    </row>
    <row r="992" ht="15.75" customHeight="1">
      <c r="A992" s="66">
        <f>'Main dataset (DEPRECATED)'!Q993</f>
        <v>4677396</v>
      </c>
      <c r="B992" s="66" t="str">
        <f>IFERROR(__xludf.DUMMYFUNCTION("SPLIT('Main dataset (DEPRECATED2)'!N993,"";"")"),"University of California at Davis##University of California at Davis##University of California at Davis")</f>
        <v>University of California at Davis##University of California at Davis##University of California at Davis</v>
      </c>
    </row>
    <row r="993" ht="15.75" customHeight="1">
      <c r="A993" s="66">
        <f>'Main dataset (DEPRECATED)'!Q994</f>
        <v>4677391</v>
      </c>
      <c r="B993" s="66" t="str">
        <f>IFERROR(__xludf.DUMMYFUNCTION("SPLIT('Main dataset (DEPRECATED2)'!N994,"";"")"),"Virginia Polytechnic Institute and State University Blacksburg##Virginia Polytechnic Institute and State University Blacksburg")</f>
        <v>Virginia Polytechnic Institute and State University Blacksburg##Virginia Polytechnic Institute and State University Blacksburg</v>
      </c>
      <c r="C993" s="66" t="s">
        <v>7068</v>
      </c>
      <c r="D993" s="66" t="s">
        <v>9527</v>
      </c>
      <c r="E993" s="66" t="s">
        <v>11769</v>
      </c>
      <c r="F993" s="66" t="s">
        <v>6268</v>
      </c>
      <c r="G993" s="66" t="s">
        <v>10558</v>
      </c>
      <c r="H993" s="66" t="s">
        <v>4987</v>
      </c>
    </row>
    <row r="994" ht="15.75" customHeight="1">
      <c r="A994" s="66">
        <f>'Main dataset (DEPRECATED)'!Q995</f>
        <v>4677389</v>
      </c>
      <c r="B994" s="66" t="str">
        <f>IFERROR(__xludf.DUMMYFUNCTION("SPLIT('Main dataset (DEPRECATED2)'!N995,"";"")"),"IBM T. J. Watson Research Center")</f>
        <v>IBM T. J. Watson Research Center</v>
      </c>
      <c r="C994" s="66" t="s">
        <v>11043</v>
      </c>
      <c r="D994" s="66" t="s">
        <v>7219</v>
      </c>
      <c r="E994" s="66" t="s">
        <v>6501</v>
      </c>
      <c r="F994" s="66" t="s">
        <v>9585</v>
      </c>
      <c r="G994" s="66" t="s">
        <v>6314</v>
      </c>
    </row>
    <row r="995" ht="15.75" customHeight="1">
      <c r="A995" s="66">
        <f>'Main dataset (DEPRECATED)'!Q996</f>
        <v>4677393</v>
      </c>
      <c r="B995" s="66" t="str">
        <f>IFERROR(__xludf.DUMMYFUNCTION("SPLIT('Main dataset (DEPRECATED2)'!N996,"";"")"),"Arizona State University##Arizona State University##Arizona State University")</f>
        <v>Arizona State University##Arizona State University##Arizona State University</v>
      </c>
      <c r="C995" s="66" t="s">
        <v>10040</v>
      </c>
    </row>
    <row r="996" ht="15.75" customHeight="1">
      <c r="A996" s="66">
        <f>'Main dataset (DEPRECATED)'!Q997</f>
        <v>4677365</v>
      </c>
      <c r="B996" s="66" t="str">
        <f>IFERROR(__xludf.DUMMYFUNCTION("SPLIT('Main dataset (DEPRECATED2)'!N997,"";"")"),"IBM Research T.J. Watson Center Hawthorne##IBM Research T.J. Watson Center Hawthorne##IBM Research T.J. Watson Center Hawthorne##IBM Research T.J. Watson Center Hawthorne")</f>
        <v>IBM Research T.J. Watson Center Hawthorne##IBM Research T.J. Watson Center Hawthorne##IBM Research T.J. Watson Center Hawthorne##IBM Research T.J. Watson Center Hawthorne</v>
      </c>
      <c r="C996" s="66" t="s">
        <v>11819</v>
      </c>
    </row>
    <row r="997" ht="15.75" customHeight="1">
      <c r="A997" s="66">
        <f>'Main dataset (DEPRECATED)'!Q998</f>
        <v>4677358</v>
      </c>
      <c r="B997" s="66" t="str">
        <f>IFERROR(__xludf.DUMMYFUNCTION("SPLIT('Main dataset (DEPRECATED2)'!N998,"";"")"),"Lawrence Livermore National Laboratory##Lawrence Livermore National Laboratory##Lawrence Livermore National Laboratory##Lawrence Livermore National Laboratory##Lawrence Livermore National Laboratory")</f>
        <v>Lawrence Livermore National Laboratory##Lawrence Livermore National Laboratory##Lawrence Livermore National Laboratory##Lawrence Livermore National Laboratory##Lawrence Livermore National Laboratory</v>
      </c>
    </row>
    <row r="998" ht="15.75" customHeight="1">
      <c r="A998" s="66">
        <f>'Main dataset (DEPRECATED)'!Q999</f>
        <v>4677355</v>
      </c>
      <c r="B998" s="66" t="str">
        <f>IFERROR(__xludf.DUMMYFUNCTION("SPLIT('Main dataset (DEPRECATED2)'!N999,"";"")"),"Mitsubishi Electric Corp##Mitsubishi Electric Corp##Mitsubishi Electric Corp##Mitsubishi Electric Corp")</f>
        <v>Mitsubishi Electric Corp##Mitsubishi Electric Corp##Mitsubishi Electric Corp##Mitsubishi Electric Corp</v>
      </c>
      <c r="C998" s="66" t="s">
        <v>7364</v>
      </c>
      <c r="D998" s="66" t="s">
        <v>8073</v>
      </c>
      <c r="E998" s="66" t="s">
        <v>11555</v>
      </c>
    </row>
    <row r="999" ht="15.75" customHeight="1">
      <c r="A999" s="66">
        <f>'Main dataset (DEPRECATED)'!Q1000</f>
        <v>4677351</v>
      </c>
      <c r="B999" s="66" t="str">
        <f>IFERROR(__xludf.DUMMYFUNCTION("SPLIT('Main dataset (DEPRECATED2)'!N1000,"";"")"),"Austrian Academy of Sciences â€ Tiani Medgraph â€¡ VRVis Research Center##Austrian Academy of Sciences â€ Tiani Medgraph â€¡ VRVis Research Center##Austrian Academy of Sciences â€ Tiani Medgraph â€¡ VRVis Research Center##Austrian Academy of Sciences â€ T"&amp;"iani Medgraph â€¡ VRVis Research Center##Austrian Academy of Sciences â€ Tiani Medgraph â€¡ VRVis Research Center##Austrian Academy of Sciences â€ Tiani Medgraph â€¡ VRVis Research Center##Austrian Academy of Sciences â€ Tiani Medgraph â€¡ VRVis Research "&amp;"Center##Austrian Academy of Sciences â€ Tiani Medgraph â€¡ VRVis Research Center##Austrian Academy of Sciences â€ Tiani Medgraph â€¡ VRVis Research Center##Austrian Academy of Sciences â€ Tiani Medgraph â€¡ VRVis Research Center##Austrian Academy of Scien"&amp;"ces â€ Tiani Medgraph â€¡ VRVis Research Center##Austrian Academy of Sciences â€ Tiani Medgraph â€¡ VRVis Research Center##Austrian Academy of Sciences â€ Tiani Medgraph â€¡ VRVis Research Center##Austrian Academy of Sciences â€ Tiani Medgraph â€¡ VRVis R"&amp;"esearch Center##Austrian Academy of Sciences â€ Tiani Medgraph â€¡ VRVis Research Center##Austrian Academy of Sciences â€ Tiani Medgraph â€¡ VRVis Research Center##Austrian Academy of Sciences â€ Tiani Medgraph â€¡ VRVis Research Center##Austrian Academy "&amp;"of Sciences â€ Tiani Medgraph â€¡ VRVis Research Center##Austrian Academy of Sciences â€ Tiani Medgraph â€¡ VRVis Research Center##Austrian Academy of Sciences â€ Tiani Medgraph â€¡ VRVis Research Center##Austrian Academy of Sciences â€ Tiani Medgraph â€¡"&amp;" VRVis Research Center##University of Vienna Â¶ VIS Institute of Computer Graphics and Algorithms")</f>
        <v>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Center##Austrian Academy of Sciences â€ Tiani Medgraph â€¡ VRVis Research Center##University of Vienna Â¶ VIS Institute of Computer Graphics and Algorithms</v>
      </c>
      <c r="C999" s="66" t="s">
        <v>9700</v>
      </c>
    </row>
    <row r="1000" ht="15.75" customHeight="1">
      <c r="A1000" s="66">
        <f>'Main dataset (DEPRECATED)'!Q1001</f>
        <v>4677362</v>
      </c>
      <c r="B1000" s="66" t="str">
        <f>IFERROR(__xludf.DUMMYFUNCTION("SPLIT('Main dataset (DEPRECATED2)'!N1001,"";"")"),"Florida State University##University of Minnesota##University of Minnesota")</f>
        <v>Florida State University##University of Minnesota##University of Minnesota</v>
      </c>
      <c r="C1000" s="66" t="s">
        <v>6778</v>
      </c>
      <c r="D1000" s="66" t="s">
        <v>6542</v>
      </c>
    </row>
    <row r="1001" ht="15.75" customHeight="1">
      <c r="A1001" s="66">
        <f>'Main dataset (DEPRECATED)'!Q1002</f>
        <v>4677373</v>
      </c>
      <c r="B1001" s="66" t="str">
        <f>IFERROR(__xludf.DUMMYFUNCTION("SPLIT('Main dataset (DEPRECATED2)'!N1002,"";"")"),"Mississippi State University##Mississippi State University##Mississippi State University")</f>
        <v>Mississippi State University##Mississippi State University##Mississippi State University</v>
      </c>
      <c r="C1001" s="66" t="s">
        <v>6693</v>
      </c>
    </row>
    <row r="1002" ht="15.75" customHeight="1">
      <c r="A1002" s="66">
        <f>'Main dataset (DEPRECATED)'!Q1003</f>
        <v>4677388</v>
      </c>
      <c r="B1002" s="66" t="str">
        <f>IFERROR(__xludf.DUMMYFUNCTION("SPLIT('Main dataset (DEPRECATED2)'!N1003,"";"")"),"Bunkyo University")</f>
        <v>Bunkyo University</v>
      </c>
      <c r="C1002" s="66" t="s">
        <v>6238</v>
      </c>
    </row>
    <row r="1003" ht="15.75" customHeight="1">
      <c r="A1003" s="66">
        <f>'Main dataset (DEPRECATED)'!Q1004</f>
        <v>4677395</v>
      </c>
      <c r="B1003" s="66" t="str">
        <f>IFERROR(__xludf.DUMMYFUNCTION("SPLIT('Main dataset (DEPRECATED2)'!N1004,"";"")"),"University of California##University of California##University of California##Carolina State University")</f>
        <v>University of California##University of California##University of California##Carolina State University</v>
      </c>
      <c r="C1003" s="66" t="s">
        <v>9693</v>
      </c>
    </row>
    <row r="1004" ht="15.75" customHeight="1">
      <c r="A1004" s="66">
        <f>'Main dataset (DEPRECATED)'!Q1005</f>
        <v>4677390</v>
      </c>
      <c r="B1004" s="66" t="str">
        <f>IFERROR(__xludf.DUMMYFUNCTION("SPLIT('Main dataset (DEPRECATED2)'!N1005,"";"")"),"IBM T.J. Watson Research Center##IBM T.J. Watson Research Center##IBM T.J. Watson Research Center##IBM T.J. Watson Research Center")</f>
        <v>IBM T.J. Watson Research Center##IBM T.J. Watson Research Center##IBM T.J. Watson Research Center##IBM T.J. Watson Research Center</v>
      </c>
      <c r="C1004" s="66" t="s">
        <v>9777</v>
      </c>
    </row>
    <row r="1005" ht="15.75" customHeight="1">
      <c r="A1005" s="66">
        <f>'Main dataset (DEPRECATED)'!Q1006</f>
        <v>4677360</v>
      </c>
      <c r="B1005" s="66" t="str">
        <f>IFERROR(__xludf.DUMMYFUNCTION("SPLIT('Main dataset (DEPRECATED2)'!N1006,"";"")"),"Variagenics Inc##Variagenics Inc##Variagenics Inc##Variagenics Inc##Variagenics Inc")</f>
        <v>Variagenics Inc##Variagenics Inc##Variagenics Inc##Variagenics Inc##Variagenics Inc</v>
      </c>
      <c r="C1005" s="66" t="s">
        <v>11415</v>
      </c>
      <c r="D1005" s="66" t="s">
        <v>9082</v>
      </c>
      <c r="E1005" s="66" t="s">
        <v>10849</v>
      </c>
      <c r="F1005" s="66" t="s">
        <v>6832</v>
      </c>
      <c r="G1005" s="66" t="s">
        <v>10140</v>
      </c>
    </row>
    <row r="1006" ht="15.75" customHeight="1">
      <c r="A1006" s="66">
        <f>'Main dataset (DEPRECATED)'!Q1007</f>
        <v>4677367</v>
      </c>
      <c r="B1006" s="66" t="str">
        <f>IFERROR(__xludf.DUMMYFUNCTION("SPLIT('Main dataset (DEPRECATED2)'!N1007,"";"")"),"Sandia Nat. Labs., USA|c|")</f>
        <v>Sandia Nat. Labs., USA|c|</v>
      </c>
      <c r="C1006" s="66" t="s">
        <v>9941</v>
      </c>
      <c r="D1006" s="66" t="s">
        <v>11055</v>
      </c>
    </row>
    <row r="1007" ht="15.75" customHeight="1">
      <c r="A1007" s="66">
        <f>'Main dataset (DEPRECATED)'!Q1008</f>
        <v>4677385</v>
      </c>
      <c r="B1007" s="66" t="str">
        <f>IFERROR(__xludf.DUMMYFUNCTION("SPLIT('Main dataset (DEPRECATED2)'!N1008,"";"")"),"University of Texas at Austin##University of Texas at Austin##University of Texas at Austin##University of Texas at Austin##University of Texas at Austin##University of Texas at Austin")</f>
        <v>University of Texas at Austin##University of Texas at Austin##University of Texas at Austin##University of Texas at Austin##University of Texas at Austin##University of Texas at Austin</v>
      </c>
      <c r="C1007" s="66" t="s">
        <v>10969</v>
      </c>
      <c r="D1007" s="66" t="s">
        <v>10002</v>
      </c>
      <c r="E1007" s="66" t="s">
        <v>8704</v>
      </c>
      <c r="F1007" s="66" t="s">
        <v>11555</v>
      </c>
    </row>
    <row r="1008" ht="15.75" customHeight="1">
      <c r="A1008" s="66">
        <f>'Main dataset (DEPRECATED)'!Q1009</f>
        <v>4677384</v>
      </c>
      <c r="B1008" s="66" t="str">
        <f>IFERROR(__xludf.DUMMYFUNCTION("SPLIT('Main dataset (DEPRECATED2)'!N1009,"";"")"),"Dept. of Comput. Sci., Eidgenossische Tech. Hochschule, Zurich, Switzerland|c|")</f>
        <v>Dept. of Comput. Sci., Eidgenossische Tech. Hochschule, Zurich, Switzerland|c|</v>
      </c>
      <c r="C1008" s="66" t="s">
        <v>6879</v>
      </c>
      <c r="D1008" s="66" t="s">
        <v>10189</v>
      </c>
      <c r="E1008" s="66" t="s">
        <v>10845</v>
      </c>
      <c r="F1008" s="66" t="s">
        <v>8574</v>
      </c>
      <c r="G1008" s="66" t="s">
        <v>11350</v>
      </c>
      <c r="H1008" s="66" t="s">
        <v>9450</v>
      </c>
      <c r="I1008" s="66" t="s">
        <v>6845</v>
      </c>
      <c r="J1008" s="66" t="s">
        <v>11125</v>
      </c>
      <c r="K1008" s="66" t="s">
        <v>9168</v>
      </c>
    </row>
    <row r="1009" ht="15.75" customHeight="1">
      <c r="A1009" s="66">
        <f>'Main dataset (DEPRECATED)'!Q1010</f>
        <v>4677386</v>
      </c>
      <c r="B1009" s="66" t="str">
        <f>IFERROR(__xludf.DUMMYFUNCTION("SPLIT('Main dataset (DEPRECATED2)'!N1010,"";"")"),"Florida State University##Florida State University##")</f>
        <v>Florida State University##Florida State University##</v>
      </c>
      <c r="C1009" s="66" t="s">
        <v>10700</v>
      </c>
      <c r="D1009" s="66" t="s">
        <v>10355</v>
      </c>
      <c r="E1009" s="66" t="s">
        <v>9311</v>
      </c>
    </row>
    <row r="1010" ht="15.75" customHeight="1">
      <c r="A1010" s="66">
        <f>'Main dataset (DEPRECATED)'!Q1011</f>
        <v>4677375</v>
      </c>
      <c r="B1010" s="66" t="str">
        <f>IFERROR(__xludf.DUMMYFUNCTION("SPLIT('Main dataset (DEPRECATED2)'!N1011,"";"")"),"University of Bonn##University of Bonn##University of Bonn##University of Bonn##University of Bonn##")</f>
        <v>University of Bonn##University of Bonn##University of Bonn##University of Bonn##University of Bonn##</v>
      </c>
      <c r="C1010" s="66" t="s">
        <v>7240</v>
      </c>
      <c r="D1010" s="66" t="s">
        <v>9844</v>
      </c>
      <c r="E1010" s="66" t="s">
        <v>9818</v>
      </c>
    </row>
    <row r="1011" ht="15.75" customHeight="1">
      <c r="A1011" s="66">
        <f>'Main dataset (DEPRECATED)'!Q1012</f>
        <v>4677372</v>
      </c>
      <c r="B1011" s="66" t="str">
        <f>IFERROR(__xludf.DUMMYFUNCTION("SPLIT('Main dataset (DEPRECATED2)'!N1012,"";"")"),"Zuse Institute Berlin (ZIB)##National Center for Supercomputing Applications (NCSA)##National Center for Supercomputing Applications (NCSA)##National Center for Supercomputing Applications (NCSA)##Zuse Institute Berlin (ZIB)####Penn State University")</f>
        <v>Zuse Institute Berlin (ZIB)##National Center for Supercomputing Applications (NCSA)##National Center for Supercomputing Applications (NCSA)##National Center for Supercomputing Applications (NCSA)##Zuse Institute Berlin (ZIB)####Penn State University</v>
      </c>
      <c r="C1011" s="66" t="s">
        <v>6436</v>
      </c>
      <c r="D1011" s="66" t="s">
        <v>7957</v>
      </c>
    </row>
    <row r="1012" ht="15.75" customHeight="1">
      <c r="A1012" s="66">
        <f>'Main dataset (DEPRECATED)'!Q1013</f>
        <v>4677379</v>
      </c>
      <c r="B1012" s="66" t="str">
        <f>IFERROR(__xludf.DUMMYFUNCTION("SPLIT('Main dataset (DEPRECATED2)'!N1013,"";"")"),"#VALUE!")</f>
        <v>#VALUE!</v>
      </c>
      <c r="C1012" s="66" t="s">
        <v>6832</v>
      </c>
      <c r="D1012" s="66" t="s">
        <v>8832</v>
      </c>
      <c r="E1012" s="66" t="s">
        <v>10140</v>
      </c>
    </row>
    <row r="1013" ht="15.75" customHeight="1">
      <c r="A1013" s="66">
        <f>'Main dataset (DEPRECATED)'!Q1014</f>
        <v>4677357</v>
      </c>
      <c r="B1013" s="66" t="str">
        <f>IFERROR(__xludf.DUMMYFUNCTION("SPLIT('Main dataset (DEPRECATED2)'!N1014,"";"")"),"University of T Â¨ ubingen##University of T Â¨ ubingen")</f>
        <v>University of T Â¨ ubingen##University of T Â¨ ubingen</v>
      </c>
      <c r="C1013" s="66" t="s">
        <v>9074</v>
      </c>
      <c r="D1013" s="66" t="s">
        <v>7734</v>
      </c>
      <c r="E1013" s="66" t="s">
        <v>8046</v>
      </c>
    </row>
    <row r="1014" ht="15.75" customHeight="1">
      <c r="A1014" s="66">
        <f>'Main dataset (DEPRECATED)'!Q1015</f>
        <v>4677394</v>
      </c>
      <c r="B1014" s="66" t="str">
        <f>IFERROR(__xludf.DUMMYFUNCTION("SPLIT('Main dataset (DEPRECATED2)'!N1015,"";"")"),"IBM Thomas J. Watson Research Center")</f>
        <v>IBM Thomas J. Watson Research Center</v>
      </c>
      <c r="C1014" s="66" t="s">
        <v>8880</v>
      </c>
      <c r="D1014" s="66" t="s">
        <v>7119</v>
      </c>
    </row>
    <row r="1015" ht="15.75" customHeight="1">
      <c r="A1015" s="66">
        <f>'Main dataset (DEPRECATED)'!Q1016</f>
        <v>4677387</v>
      </c>
      <c r="B1015" s="66" t="str">
        <f>IFERROR(__xludf.DUMMYFUNCTION("SPLIT('Main dataset (DEPRECATED2)'!N1016,"";"")"),"University of Maryland Baltimore County Penny Rheingans University of Maryland Baltimore County Terry S. Yoo National Library of Medicine")</f>
        <v>University of Maryland Baltimore County Penny Rheingans University of Maryland Baltimore County Terry S. Yoo National Library of Medicine</v>
      </c>
      <c r="C1015" s="66" t="s">
        <v>9083</v>
      </c>
      <c r="D1015" s="66" t="s">
        <v>8823</v>
      </c>
      <c r="E1015" s="66" t="s">
        <v>6456</v>
      </c>
      <c r="F1015" s="66" t="s">
        <v>7609</v>
      </c>
      <c r="G1015" s="66" t="s">
        <v>9269</v>
      </c>
      <c r="H1015" s="66" t="s">
        <v>7843</v>
      </c>
    </row>
    <row r="1016" ht="15.75" customHeight="1">
      <c r="A1016" s="66">
        <f>'Main dataset (DEPRECATED)'!Q1017</f>
        <v>4677352</v>
      </c>
      <c r="B1016" s="66" t="str">
        <f>IFERROR(__xludf.DUMMYFUNCTION("SPLIT('Main dataset (DEPRECATED2)'!N1017,"";"")"),"University of Stuttgart##University of Stuttgart##University of Stuttgart")</f>
        <v>University of Stuttgart##University of Stuttgart##University of Stuttgart</v>
      </c>
      <c r="C1016" s="66" t="s">
        <v>9580</v>
      </c>
      <c r="D1016" s="66" t="s">
        <v>10056</v>
      </c>
      <c r="E1016" s="66" t="s">
        <v>9529</v>
      </c>
    </row>
    <row r="1017" ht="15.75" customHeight="1">
      <c r="A1017" s="66">
        <f>'Main dataset (DEPRECATED)'!Q1018</f>
        <v>4677370</v>
      </c>
      <c r="B1017" s="66" t="str">
        <f>IFERROR(__xludf.DUMMYFUNCTION("SPLIT('Main dataset (DEPRECATED2)'!N1018,"";"")"),"Lawrence Livermore National Laboratory")</f>
        <v>Lawrence Livermore National Laboratory</v>
      </c>
    </row>
    <row r="1018" ht="15.75" customHeight="1">
      <c r="A1018" s="66">
        <f>'Main dataset (DEPRECATED)'!Q1019</f>
        <v>4677368</v>
      </c>
      <c r="B1018" s="66" t="str">
        <f>IFERROR(__xludf.DUMMYFUNCTION("SPLIT('Main dataset (DEPRECATED2)'!N1019,"";"")"),"#VALUE!")</f>
        <v>#VALUE!</v>
      </c>
      <c r="C1018" s="66" t="s">
        <v>11044</v>
      </c>
      <c r="D1018" s="66" t="s">
        <v>11738</v>
      </c>
      <c r="E1018" s="66" t="s">
        <v>8505</v>
      </c>
      <c r="F1018" s="66" t="s">
        <v>8400</v>
      </c>
    </row>
    <row r="1019" ht="15.75" customHeight="1">
      <c r="A1019" s="66">
        <f>'Main dataset (DEPRECATED)'!Q1020</f>
        <v>4677364</v>
      </c>
      <c r="B1019" s="66" t="str">
        <f>IFERROR(__xludf.DUMMYFUNCTION("SPLIT('Main dataset (DEPRECATED2)'!N1020,"";"")"),"Data Visualization Research Lab|c|")</f>
        <v>Data Visualization Research Lab|c|</v>
      </c>
      <c r="C1019" s="66" t="s">
        <v>8216</v>
      </c>
      <c r="D1019" s="66" t="s">
        <v>10186</v>
      </c>
      <c r="E1019" s="66" t="s">
        <v>8334</v>
      </c>
    </row>
    <row r="1020" ht="15.75" customHeight="1">
      <c r="A1020" s="66">
        <f>'Main dataset (DEPRECATED)'!Q1021</f>
        <v>4677356</v>
      </c>
      <c r="B1020" s="66" t="str">
        <f>IFERROR(__xludf.DUMMYFUNCTION("SPLIT('Main dataset (DEPRECATED2)'!N1021,"";"")"),"Princeton Univ., NJ, USA|c|")</f>
        <v>Princeton Univ., NJ, USA|c|</v>
      </c>
      <c r="C1020" s="66" t="s">
        <v>6239</v>
      </c>
    </row>
    <row r="1021" ht="15.75" customHeight="1">
      <c r="A1021" s="66">
        <f>'Main dataset (DEPRECATED)'!Q1022</f>
        <v>4677378</v>
      </c>
      <c r="B1021" s="66" t="str">
        <f>IFERROR(__xludf.DUMMYFUNCTION("SPLIT('Main dataset (DEPRECATED2)'!N1022,"";"")"),"Digital Image Design &amp; Columbia University|c|")</f>
        <v>Digital Image Design &amp; Columbia University|c|</v>
      </c>
      <c r="C1021" s="66" t="s">
        <v>11200</v>
      </c>
    </row>
    <row r="1022" ht="15.75" customHeight="1">
      <c r="A1022" s="66">
        <f>'Main dataset (DEPRECATED)'!Q1023</f>
        <v>4677366</v>
      </c>
      <c r="B1022" s="66" t="str">
        <f>IFERROR(__xludf.DUMMYFUNCTION("SPLIT('Main dataset (DEPRECATED2)'!N1023,"";"")"),"Dept. of Math. &amp; Comput. Sci., Technische Universiteit Eindvohen, Netherlands|c|")</f>
        <v>Dept. of Math. &amp; Comput. Sci., Technische Universiteit Eindvohen, Netherlands|c|</v>
      </c>
      <c r="C1022" s="66" t="s">
        <v>6684</v>
      </c>
      <c r="D1022" s="66" t="s">
        <v>6310</v>
      </c>
      <c r="E1022" s="66" t="s">
        <v>6475</v>
      </c>
      <c r="F1022" s="66" t="s">
        <v>7603</v>
      </c>
      <c r="G1022" s="66" t="s">
        <v>9282</v>
      </c>
      <c r="H1022" s="66" t="s">
        <v>10145</v>
      </c>
      <c r="I1022" s="66" t="s">
        <v>10157</v>
      </c>
      <c r="J1022" s="66" t="s">
        <v>11717</v>
      </c>
    </row>
    <row r="1023" ht="15.75" customHeight="1">
      <c r="A1023" s="66">
        <f>'Main dataset (DEPRECATED)'!Q1024</f>
        <v>4677354</v>
      </c>
      <c r="B1023" s="66" t="str">
        <f>IFERROR(__xludf.DUMMYFUNCTION("SPLIT('Main dataset (DEPRECATED2)'!N1024,"";"")"),"University of California##University of California")</f>
        <v>University of California##University of California</v>
      </c>
      <c r="C1023" s="66" t="s">
        <v>10279</v>
      </c>
      <c r="D1023" s="66" t="s">
        <v>7993</v>
      </c>
      <c r="E1023" s="66" t="s">
        <v>6156</v>
      </c>
      <c r="F1023" s="66" t="s">
        <v>11631</v>
      </c>
      <c r="G1023" s="66" t="s">
        <v>9738</v>
      </c>
      <c r="H1023" s="66" t="s">
        <v>6957</v>
      </c>
      <c r="I1023" s="66" t="s">
        <v>7852</v>
      </c>
      <c r="J1023" s="66" t="s">
        <v>11289</v>
      </c>
      <c r="K1023" s="66" t="s">
        <v>7361</v>
      </c>
    </row>
    <row r="1024" ht="15.75" customHeight="1">
      <c r="A1024" s="66">
        <f>'Main dataset (DEPRECATED)'!Q1025</f>
        <v>4677392</v>
      </c>
      <c r="B1024" s="66" t="str">
        <f>IFERROR(__xludf.DUMMYFUNCTION("SPLIT('Main dataset (DEPRECATED2)'!N1025,"";"")"),"The Pennsylvania State University##The Pennsylvania State University##The Pennsylvania State University##The Pennsylvania State University##The Pennsylvania State University")</f>
        <v>The Pennsylvania State University##The Pennsylvania State University##The Pennsylvania State University##The Pennsylvania State University##The Pennsylvania State University</v>
      </c>
    </row>
    <row r="1025" ht="15.75" customHeight="1">
      <c r="A1025" s="66">
        <f>'Main dataset (DEPRECATED)'!Q1026</f>
        <v>4677353</v>
      </c>
      <c r="B1025" s="66" t="str">
        <f>IFERROR(__xludf.DUMMYFUNCTION("SPLIT('Main dataset (DEPRECATED2)'!N1026,"";"")"),"Stanford University##Stanford University##Stanford University")</f>
        <v>Stanford University##Stanford University##Stanford University</v>
      </c>
      <c r="C1025" s="66" t="s">
        <v>9964</v>
      </c>
      <c r="D1025" s="66" t="s">
        <v>6193</v>
      </c>
      <c r="E1025" s="66" t="s">
        <v>11028</v>
      </c>
      <c r="F1025" s="66" t="s">
        <v>10041</v>
      </c>
    </row>
    <row r="1026" ht="15.75" customHeight="1">
      <c r="A1026" s="66">
        <f>'Main dataset (DEPRECATED)'!Q1027</f>
        <v>4677383</v>
      </c>
      <c r="B1026" s="66" t="str">
        <f>IFERROR(__xludf.DUMMYFUNCTION("SPLIT('Main dataset (DEPRECATED2)'!N1027,"";"")"),"University of Calgary##University of Calgary##University of Calgary")</f>
        <v>University of Calgary##University of Calgary##University of Calgary</v>
      </c>
      <c r="C1026" s="66" t="s">
        <v>9930</v>
      </c>
      <c r="D1026" s="66" t="s">
        <v>8940</v>
      </c>
      <c r="E1026" s="66" t="s">
        <v>9690</v>
      </c>
      <c r="F1026" s="66" t="s">
        <v>10422</v>
      </c>
      <c r="G1026" s="66" t="s">
        <v>11440</v>
      </c>
    </row>
    <row r="1027" ht="15.75" customHeight="1">
      <c r="A1027" s="66">
        <f>'Main dataset (DEPRECATED)'!Q1028</f>
        <v>4677376</v>
      </c>
      <c r="B1027" s="66" t="str">
        <f>IFERROR(__xludf.DUMMYFUNCTION("SPLIT('Main dataset (DEPRECATED2)'!N1028,"";"")"),"Mississippi State University University of California##Mississippi State University University of California")</f>
        <v>Mississippi State University University of California##Mississippi State University University of California</v>
      </c>
      <c r="C1027" s="66" t="s">
        <v>6211</v>
      </c>
      <c r="D1027" s="66" t="s">
        <v>11607</v>
      </c>
    </row>
    <row r="1028" ht="15.75" customHeight="1">
      <c r="A1028" s="66">
        <f>'Main dataset (DEPRECATED)'!Q1029</f>
        <v>4677381</v>
      </c>
      <c r="B1028" s="66" t="str">
        <f>IFERROR(__xludf.DUMMYFUNCTION("SPLIT('Main dataset (DEPRECATED2)'!N1029,"";"")"),"Oklahoma State University##Oklahoma State University")</f>
        <v>Oklahoma State University##Oklahoma State University</v>
      </c>
      <c r="C1028" s="66" t="s">
        <v>9376</v>
      </c>
    </row>
    <row r="1029" ht="15.75" customHeight="1">
      <c r="A1029" s="66">
        <f>'Main dataset (DEPRECATED)'!Q1030</f>
        <v>4677361</v>
      </c>
      <c r="B1029" s="66" t="str">
        <f>IFERROR(__xludf.DUMMYFUNCTION("SPLIT('Main dataset (DEPRECATED2)'!N1030,"";"")"),"Univ. QuÃ©bec Ã Chicoutimi##Univ. QuÃ©bec Ã Chicoutimi##Univ. QuÃ©bec Ã Chicoutimi##Univ. QuÃ©bec Ã Chicoutimi##LIRMM##LIRMM")</f>
        <v>Univ. QuÃ©bec Ã Chicoutimi##Univ. QuÃ©bec Ã Chicoutimi##Univ. QuÃ©bec Ã Chicoutimi##Univ. QuÃ©bec Ã Chicoutimi##LIRMM##LIRMM</v>
      </c>
      <c r="C1029" s="66" t="s">
        <v>10140</v>
      </c>
      <c r="D1029" s="66" t="s">
        <v>7540</v>
      </c>
    </row>
    <row r="1030" ht="15.75" customHeight="1">
      <c r="A1030" s="66">
        <f>'Main dataset (DEPRECATED)'!Q1031</f>
        <v>4677350</v>
      </c>
      <c r="B1030" s="66" t="str">
        <f>IFERROR(__xludf.DUMMYFUNCTION("SPLIT('Main dataset (DEPRECATED2)'!N1031,"";"")"),"University of Glasgow##University of Glasgow")</f>
        <v>University of Glasgow##University of Glasgow</v>
      </c>
      <c r="C1030" s="66" t="s">
        <v>6459</v>
      </c>
      <c r="D1030" s="66" t="s">
        <v>10999</v>
      </c>
      <c r="E1030" s="66" t="s">
        <v>8804</v>
      </c>
    </row>
    <row r="1031" ht="15.75" customHeight="1">
      <c r="A1031" s="66">
        <f>'Main dataset (DEPRECATED)'!Q1032</f>
        <v>4677359</v>
      </c>
      <c r="B1031" s="66" t="str">
        <f>IFERROR(__xludf.DUMMYFUNCTION("SPLIT('Main dataset (DEPRECATED2)'!N1032,"";"")"),"University of Glasgow##University of Glasgow")</f>
        <v>University of Glasgow##University of Glasgow</v>
      </c>
      <c r="C1031" s="66" t="s">
        <v>6324</v>
      </c>
      <c r="D1031" s="66" t="s">
        <v>8664</v>
      </c>
      <c r="E1031" s="66" t="s">
        <v>8943</v>
      </c>
      <c r="F1031" s="66" t="s">
        <v>7136</v>
      </c>
    </row>
    <row r="1032" ht="15.75" customHeight="1">
      <c r="A1032" s="66">
        <f>'Main dataset (DEPRECATED)'!Q1033</f>
        <v>4677369</v>
      </c>
      <c r="B1032" s="66" t="str">
        <f>IFERROR(__xludf.DUMMYFUNCTION("SPLIT('Main dataset (DEPRECATED2)'!N1033,"";"")"),"PNNL, Richland, WA, USA|c|")</f>
        <v>PNNL, Richland, WA, USA|c|</v>
      </c>
      <c r="C1032" s="66" t="s">
        <v>11691</v>
      </c>
      <c r="D1032" s="66" t="s">
        <v>10688</v>
      </c>
      <c r="E1032" s="66" t="s">
        <v>9787</v>
      </c>
      <c r="F1032" s="66" t="s">
        <v>11399</v>
      </c>
    </row>
    <row r="1033" ht="15.75" customHeight="1">
      <c r="A1033" s="66">
        <f>'Main dataset (DEPRECATED)'!Q1034</f>
        <v>4658196</v>
      </c>
      <c r="B1033" s="66" t="str">
        <f>IFERROR(__xludf.DUMMYFUNCTION("SPLIT('Main dataset (DEPRECATED2)'!N1034,"";"")"),"Dept. of comuter Sci., Worcester Polytech. Inst., MA, USA|c|")</f>
        <v>Dept. of comuter Sci., Worcester Polytech. Inst., MA, USA|c|</v>
      </c>
      <c r="C1033" s="66" t="s">
        <v>6345</v>
      </c>
    </row>
    <row r="1034" ht="15.75" customHeight="1">
      <c r="A1034" s="66">
        <f>'Main dataset (DEPRECATED)'!Q1035</f>
        <v>4658183</v>
      </c>
      <c r="B1034" s="66" t="str">
        <f>IFERROR(__xludf.DUMMYFUNCTION("SPLIT('Main dataset (DEPRECATED2)'!N1035,"";"")"),"Worcester Polytechnic Institute##Worcester Polytechnic Institute##Worcester Polytechnic Institute##Worcester Polytechnic Institute")</f>
        <v>Worcester Polytechnic Institute##Worcester Polytechnic Institute##Worcester Polytechnic Institute##Worcester Polytechnic Institute</v>
      </c>
      <c r="C1034" s="66" t="s">
        <v>6645</v>
      </c>
      <c r="D1034" s="66" t="s">
        <v>8023</v>
      </c>
      <c r="E1034" s="66" t="s">
        <v>9807</v>
      </c>
    </row>
    <row r="1035" ht="15.75" customHeight="1">
      <c r="A1035" s="66">
        <f>'Main dataset (DEPRECATED)'!Q1036</f>
        <v>4658194</v>
      </c>
      <c r="B1035" s="66" t="str">
        <f>IFERROR(__xludf.DUMMYFUNCTION("SPLIT('Main dataset (DEPRECATED2)'!N1036,"";"")"),"The Weizmann Institute of Science##The Weizmann Institute of Science")</f>
        <v>The Weizmann Institute of Science##The Weizmann Institute of Science</v>
      </c>
      <c r="C1035" s="66" t="s">
        <v>8950</v>
      </c>
      <c r="D1035" s="66" t="s">
        <v>10984</v>
      </c>
      <c r="E1035" s="66" t="s">
        <v>11808</v>
      </c>
      <c r="F1035" s="66" t="s">
        <v>9222</v>
      </c>
    </row>
    <row r="1036" ht="15.75" customHeight="1">
      <c r="A1036" s="66">
        <f>'Main dataset (DEPRECATED)'!Q1037</f>
        <v>4658199</v>
      </c>
      <c r="B1036" s="66" t="str">
        <f>IFERROR(__xludf.DUMMYFUNCTION("SPLIT('Main dataset (DEPRECATED2)'!N1037,"";"")"),"LSU Computer Science LSU Health Sciences Center Shreveport##LSU Computer Science LSU Health Sciences Center Shreveport##LSU Computer Science LSU Health Sciences Center Shreveport")</f>
        <v>LSU Computer Science LSU Health Sciences Center Shreveport##LSU Computer Science LSU Health Sciences Center Shreveport##LSU Computer Science LSU Health Sciences Center Shreveport</v>
      </c>
      <c r="C1036" s="66" t="s">
        <v>9715</v>
      </c>
      <c r="D1036" s="66" t="s">
        <v>7514</v>
      </c>
    </row>
    <row r="1037" ht="15.75" customHeight="1">
      <c r="A1037" s="66">
        <f>'Main dataset (DEPRECATED)'!Q1038</f>
        <v>4658171</v>
      </c>
      <c r="B1037" s="66" t="str">
        <f>IFERROR(__xludf.DUMMYFUNCTION("SPLIT('Main dataset (DEPRECATED2)'!N1038,"";"")"),"Carnegie Mellon University Pittsburgh##Carnegie Mellon University Pittsburgh")</f>
        <v>Carnegie Mellon University Pittsburgh##Carnegie Mellon University Pittsburgh</v>
      </c>
      <c r="C1037" s="66" t="s">
        <v>7412</v>
      </c>
      <c r="D1037" s="66" t="s">
        <v>9879</v>
      </c>
    </row>
    <row r="1038" ht="15.75" customHeight="1">
      <c r="A1038" s="66">
        <f>'Main dataset (DEPRECATED)'!Q1039</f>
        <v>4658163</v>
      </c>
      <c r="B1038" s="66" t="str">
        <f>IFERROR(__xludf.DUMMYFUNCTION("SPLIT('Main dataset (DEPRECATED2)'!N1039,"";"")"),"Virginia Polytechnic Institute and State University Blacksburg##Virginia Polytechnic Institute and State University Blacksburg")</f>
        <v>Virginia Polytechnic Institute and State University Blacksburg##Virginia Polytechnic Institute and State University Blacksburg</v>
      </c>
      <c r="C1038" s="66" t="s">
        <v>6594</v>
      </c>
      <c r="D1038" s="66" t="s">
        <v>10399</v>
      </c>
    </row>
    <row r="1039" ht="15.75" customHeight="1">
      <c r="A1039" s="66">
        <f>'Main dataset (DEPRECATED)'!Q1040</f>
        <v>4658198</v>
      </c>
      <c r="B1039" s="66" t="str">
        <f>IFERROR(__xludf.DUMMYFUNCTION("SPLIT('Main dataset (DEPRECATED2)'!N1040,"";"")"),"The University of New##The University of New Mexico Steve Kubica â€¡ Khoral, Inc")</f>
        <v>The University of New##The University of New Mexico Steve Kubica â€¡ Khoral, Inc</v>
      </c>
      <c r="C1039" s="66" t="s">
        <v>7752</v>
      </c>
      <c r="D1039" s="66" t="s">
        <v>9305</v>
      </c>
      <c r="E1039" s="66" t="s">
        <v>11843</v>
      </c>
      <c r="F1039" s="66" t="s">
        <v>9529</v>
      </c>
    </row>
    <row r="1040" ht="15.75" customHeight="1">
      <c r="A1040" s="66">
        <f>'Main dataset (DEPRECATED)'!Q1041</f>
        <v>4658159</v>
      </c>
      <c r="B1040" s="66" t="str">
        <f>IFERROR(__xludf.DUMMYFUNCTION("SPLIT('Main dataset (DEPRECATED2)'!N1041,"";"")"),"University of Minnesota##University of Minnesota##University of Minnesota")</f>
        <v>University of Minnesota##University of Minnesota##University of Minnesota</v>
      </c>
      <c r="C1040" s="66" t="s">
        <v>11396</v>
      </c>
    </row>
    <row r="1041" ht="15.75" customHeight="1">
      <c r="A1041" s="66">
        <f>'Main dataset (DEPRECATED)'!Q1042</f>
        <v>4658154</v>
      </c>
      <c r="B1041" s="66" t="str">
        <f>IFERROR(__xludf.DUMMYFUNCTION("SPLIT('Main dataset (DEPRECATED2)'!N1042,"";"")"),"Napier University##Napier University")</f>
        <v>Napier University##Napier University</v>
      </c>
      <c r="C1041" s="66" t="s">
        <v>8870</v>
      </c>
      <c r="D1041" s="66" t="s">
        <v>11431</v>
      </c>
    </row>
    <row r="1042" ht="15.75" customHeight="1">
      <c r="A1042" s="66">
        <f>'Main dataset (DEPRECATED)'!Q1043</f>
        <v>4658187</v>
      </c>
      <c r="B1042" s="66" t="str">
        <f>IFERROR(__xludf.DUMMYFUNCTION("SPLIT('Main dataset (DEPRECATED2)'!N1043,"";"")"),"SAS Institute Inc")</f>
        <v>SAS Institute Inc</v>
      </c>
      <c r="C1042" s="66" t="s">
        <v>10392</v>
      </c>
      <c r="D1042" s="66" t="s">
        <v>6995</v>
      </c>
      <c r="E1042" s="66" t="s">
        <v>9600</v>
      </c>
      <c r="F1042" s="66" t="s">
        <v>10621</v>
      </c>
    </row>
    <row r="1043" ht="15.75" customHeight="1">
      <c r="A1043" s="66">
        <f>'Main dataset (DEPRECATED)'!Q1044</f>
        <v>4658181</v>
      </c>
      <c r="B1043" s="66" t="str">
        <f>IFERROR(__xludf.DUMMYFUNCTION("SPLIT('Main dataset (DEPRECATED2)'!N1044,"";"")"),"Chalmers University of Technology##Chalmers University of Technology")</f>
        <v>Chalmers University of Technology##Chalmers University of Technology</v>
      </c>
      <c r="C1043" s="66" t="s">
        <v>11592</v>
      </c>
      <c r="D1043" s="66" t="s">
        <v>7259</v>
      </c>
      <c r="E1043" s="66" t="s">
        <v>6710</v>
      </c>
      <c r="F1043" s="66" t="s">
        <v>6653</v>
      </c>
      <c r="G1043" s="66" t="s">
        <v>10647</v>
      </c>
      <c r="H1043" s="66" t="s">
        <v>9778</v>
      </c>
    </row>
    <row r="1044" ht="15.75" customHeight="1">
      <c r="A1044" s="66">
        <f>'Main dataset (DEPRECATED)'!Q1045</f>
        <v>4658162</v>
      </c>
      <c r="B1044" s="66" t="str">
        <f>IFERROR(__xludf.DUMMYFUNCTION("SPLIT('Main dataset (DEPRECATED2)'!N1045,"";"")"),"Macrofocus GmbH, Zurich, Switzerland|c|")</f>
        <v>Macrofocus GmbH, Zurich, Switzerland|c|</v>
      </c>
      <c r="C1044" s="66" t="s">
        <v>10417</v>
      </c>
      <c r="D1044" s="66" t="s">
        <v>10464</v>
      </c>
      <c r="E1044" s="66" t="s">
        <v>8759</v>
      </c>
    </row>
    <row r="1045" ht="15.75" customHeight="1">
      <c r="A1045" s="66">
        <f>'Main dataset (DEPRECATED)'!Q1046</f>
        <v>4658200</v>
      </c>
      <c r="B1045" s="66" t="str">
        <f>IFERROR(__xludf.DUMMYFUNCTION("SPLIT('Main dataset (DEPRECATED2)'!N1046,"";"")"),"Georgia Institute of Technology Atlanta##Georgia Institute of Technology Atlanta##Georgia Institute of Technology Atlanta##Georgia Institute of Technology Atlanta")</f>
        <v>Georgia Institute of Technology Atlanta##Georgia Institute of Technology Atlanta##Georgia Institute of Technology Atlanta##Georgia Institute of Technology Atlanta</v>
      </c>
      <c r="C1045" s="66" t="s">
        <v>6605</v>
      </c>
      <c r="D1045" s="66" t="s">
        <v>8873</v>
      </c>
      <c r="E1045" s="66" t="s">
        <v>6969</v>
      </c>
      <c r="F1045" s="66" t="s">
        <v>10679</v>
      </c>
      <c r="G1045" s="66" t="s">
        <v>6316</v>
      </c>
      <c r="H1045" s="66" t="s">
        <v>9836</v>
      </c>
      <c r="I1045" s="66" t="s">
        <v>6225</v>
      </c>
      <c r="J1045" s="66" t="s">
        <v>8679</v>
      </c>
      <c r="K1045" s="66" t="s">
        <v>6146</v>
      </c>
    </row>
    <row r="1046" ht="15.75" customHeight="1">
      <c r="A1046" s="66">
        <f>'Main dataset (DEPRECATED)'!Q1047</f>
        <v>4658185</v>
      </c>
      <c r="B1046" s="66" t="str">
        <f>IFERROR(__xludf.DUMMYFUNCTION("SPLIT('Main dataset (DEPRECATED2)'!N1047,"";"")"),"#VALUE!")</f>
        <v>#VALUE!</v>
      </c>
      <c r="C1046" s="66" t="s">
        <v>10481</v>
      </c>
    </row>
    <row r="1047" ht="15.75" customHeight="1">
      <c r="A1047" s="66">
        <f>'Main dataset (DEPRECATED)'!Q1048</f>
        <v>4658160</v>
      </c>
      <c r="B1047" s="66" t="str">
        <f>IFERROR(__xludf.DUMMYFUNCTION("SPLIT('Main dataset (DEPRECATED2)'!N1048,"";"")"),"Duke University##Duke University##Duke University")</f>
        <v>Duke University##Duke University##Duke University</v>
      </c>
      <c r="C1047" s="66" t="s">
        <v>6590</v>
      </c>
      <c r="D1047" s="66" t="s">
        <v>9973</v>
      </c>
    </row>
    <row r="1048" ht="15.75" customHeight="1">
      <c r="A1048" s="66">
        <f>'Main dataset (DEPRECATED)'!Q1049</f>
        <v>4658197</v>
      </c>
      <c r="B1048" s="66" t="str">
        <f>IFERROR(__xludf.DUMMYFUNCTION("SPLIT('Main dataset (DEPRECATED2)'!N1049,"";"")"),"Universiteit Eindhoven")</f>
        <v>Universiteit Eindhoven</v>
      </c>
      <c r="C1048" s="66" t="s">
        <v>11065</v>
      </c>
      <c r="D1048" s="66" t="s">
        <v>6892</v>
      </c>
    </row>
    <row r="1049" ht="15.75" customHeight="1">
      <c r="A1049" s="66">
        <f>'Main dataset (DEPRECATED)'!Q1050</f>
        <v>4658156</v>
      </c>
      <c r="B1049" s="66" t="str">
        <f>IFERROR(__xludf.DUMMYFUNCTION("SPLIT('Main dataset (DEPRECATED2)'!N1050,"";"")"),"Future Applications Lab, Viktoria Inst., Goteborg, Sweden|c|")</f>
        <v>Future Applications Lab, Viktoria Inst., Goteborg, Sweden|c|</v>
      </c>
      <c r="C1049" s="66" t="s">
        <v>8854</v>
      </c>
      <c r="D1049" s="66" t="s">
        <v>11095</v>
      </c>
      <c r="E1049" s="66" t="s">
        <v>11095</v>
      </c>
      <c r="F1049" s="66" t="s">
        <v>8560</v>
      </c>
    </row>
    <row r="1050" ht="15.75" customHeight="1">
      <c r="A1050" s="66">
        <f>'Main dataset (DEPRECATED)'!Q1051</f>
        <v>4658186</v>
      </c>
      <c r="B1050" s="66" t="str">
        <f>IFERROR(__xludf.DUMMYFUNCTION("SPLIT('Main dataset (DEPRECATED2)'!N1051,"";"")"),"Interdisciplinary Doctoral Program U.C. Berkeley##Interdisciplinary Doctoral Program U.C. Berkeley##Interdisciplinary Doctoral Program U.C. Berkeley##Interdisciplinary Doctoral Program U.C. Berkeley##Interdisciplinary Doctoral Program U.C. Berkeley")</f>
        <v>Interdisciplinary Doctoral Program U.C. Berkeley##Interdisciplinary Doctoral Program U.C. Berkeley##Interdisciplinary Doctoral Program U.C. Berkeley##Interdisciplinary Doctoral Program U.C. Berkeley##Interdisciplinary Doctoral Program U.C. Berkeley</v>
      </c>
      <c r="C1050" s="66" t="s">
        <v>11786</v>
      </c>
      <c r="D1050" s="66" t="s">
        <v>9416</v>
      </c>
      <c r="E1050" s="66" t="s">
        <v>11573</v>
      </c>
      <c r="F1050" s="66" t="s">
        <v>8240</v>
      </c>
    </row>
    <row r="1051" ht="15.75" customHeight="1">
      <c r="A1051" s="66">
        <f>'Main dataset (DEPRECATED)'!Q1052</f>
        <v>4658168</v>
      </c>
      <c r="B1051" s="66" t="str">
        <f>IFERROR(__xludf.DUMMYFUNCTION("SPLIT('Main dataset (DEPRECATED2)'!N1052,"";"")"),"#VALUE!")</f>
        <v>#VALUE!</v>
      </c>
      <c r="C1051" s="66" t="s">
        <v>10778</v>
      </c>
      <c r="D1051" s="66" t="s">
        <v>7293</v>
      </c>
      <c r="E1051" s="66" t="s">
        <v>10219</v>
      </c>
      <c r="F1051" s="66" t="s">
        <v>8190</v>
      </c>
    </row>
    <row r="1052" ht="15.75" customHeight="1">
      <c r="A1052" s="66">
        <f>'Main dataset (DEPRECATED)'!Q1053</f>
        <v>4658178</v>
      </c>
      <c r="B1052" s="66" t="str">
        <f>IFERROR(__xludf.DUMMYFUNCTION("SPLIT('Main dataset (DEPRECATED2)'!N1053,"";"")"),"#VALUE!")</f>
        <v>#VALUE!</v>
      </c>
      <c r="C1052" s="66" t="s">
        <v>8904</v>
      </c>
      <c r="D1052" s="66" t="s">
        <v>9532</v>
      </c>
      <c r="E1052" s="66" t="s">
        <v>7273</v>
      </c>
      <c r="F1052" s="66" t="s">
        <v>10790</v>
      </c>
      <c r="G1052" s="66" t="s">
        <v>8093</v>
      </c>
    </row>
    <row r="1053" ht="15.75" customHeight="1">
      <c r="A1053" s="66">
        <f>'Main dataset (DEPRECATED)'!Q1054</f>
        <v>4658174</v>
      </c>
      <c r="B1053" s="66" t="str">
        <f>IFERROR(__xludf.DUMMYFUNCTION("SPLIT('Main dataset (DEPRECATED2)'!N1054,"";"")"),"Ecole Polytechnique FÃ©dÃ©rale de Lausanne*##Ecole Polytechnique FÃ©dÃ©rale de Lausanne*##Ecole Polytechnique FÃ©dÃ©rale de Lausanne*")</f>
        <v>Ecole Polytechnique FÃ©dÃ©rale de Lausanne*##Ecole Polytechnique FÃ©dÃ©rale de Lausanne*##Ecole Polytechnique FÃ©dÃ©rale de Lausanne*</v>
      </c>
      <c r="C1053" s="66" t="s">
        <v>8246</v>
      </c>
      <c r="D1053" s="66" t="s">
        <v>4987</v>
      </c>
    </row>
    <row r="1054" ht="15.75" customHeight="1">
      <c r="A1054" s="66">
        <f>'Main dataset (DEPRECATED)'!Q1055</f>
        <v>4658170</v>
      </c>
      <c r="B1054" s="66" t="str">
        <f>IFERROR(__xludf.DUMMYFUNCTION("SPLIT('Main dataset (DEPRECATED2)'!N1055,"";"")"),"University of Utah####University of Utah##University of Utah##General Electric Medical Systems##University of Utah")</f>
        <v>University of Utah####University of Utah##University of Utah##General Electric Medical Systems##University of Utah</v>
      </c>
      <c r="C1054" s="66" t="s">
        <v>10991</v>
      </c>
      <c r="D1054" s="66" t="s">
        <v>9998</v>
      </c>
      <c r="E1054" s="66" t="s">
        <v>11520</v>
      </c>
      <c r="F1054" s="66" t="s">
        <v>6421</v>
      </c>
      <c r="G1054" s="66" t="s">
        <v>6516</v>
      </c>
      <c r="H1054" s="66" t="s">
        <v>8882</v>
      </c>
    </row>
    <row r="1055" ht="15.75" customHeight="1">
      <c r="A1055" s="66">
        <f>'Main dataset (DEPRECATED)'!Q1056</f>
        <v>4658165</v>
      </c>
      <c r="B1055" s="66" t="str">
        <f>IFERROR(__xludf.DUMMYFUNCTION("SPLIT('Main dataset (DEPRECATED2)'!N1056,"";"")"),"TIANI Medgraph Vienna University of Technology Stanford University##TIANI Medgraph Vienna University of Technology Stanford University##TIANI Medgraph Vienna University of Technology Stanford University##TIANI Medgraph Vienna University of Technology Stan"&amp;"ford University##TIANI Medgraph Vienna University of Technology Stanford University")</f>
        <v>TIANI Medgraph Vienna University of Technology Stanford University##TIANI Medgraph Vienna University of Technology Stanford University##TIANI Medgraph Vienna University of Technology Stanford University##TIANI Medgraph Vienna University of Technology Stanford University##TIANI Medgraph Vienna University of Technology Stanford University</v>
      </c>
      <c r="C1055" s="66" t="s">
        <v>11447</v>
      </c>
      <c r="D1055" s="66" t="s">
        <v>6790</v>
      </c>
      <c r="E1055" s="66" t="s">
        <v>8201</v>
      </c>
      <c r="F1055" s="66" t="s">
        <v>10399</v>
      </c>
    </row>
    <row r="1056" ht="15.75" customHeight="1">
      <c r="A1056" s="66">
        <f>'Main dataset (DEPRECATED)'!Q1057</f>
        <v>4658193</v>
      </c>
      <c r="B1056" s="66" t="str">
        <f>IFERROR(__xludf.DUMMYFUNCTION("SPLIT('Main dataset (DEPRECATED2)'!N1057,"";"")"),"Florida State University##Florida State University")</f>
        <v>Florida State University##Florida State University</v>
      </c>
      <c r="C1056" s="66" t="s">
        <v>7843</v>
      </c>
      <c r="D1056" s="66" t="s">
        <v>8439</v>
      </c>
      <c r="E1056" s="66" t="s">
        <v>8093</v>
      </c>
    </row>
    <row r="1057" ht="15.75" customHeight="1">
      <c r="A1057" s="66">
        <f>'Main dataset (DEPRECATED)'!Q1058</f>
        <v>4658158</v>
      </c>
      <c r="B1057" s="66" t="str">
        <f>IFERROR(__xludf.DUMMYFUNCTION("SPLIT('Main dataset (DEPRECATED2)'!N1058,"";"")"),"Arizona State University")</f>
        <v>Arizona State University</v>
      </c>
      <c r="C1057" s="66" t="s">
        <v>6766</v>
      </c>
      <c r="D1057" s="66" t="s">
        <v>7662</v>
      </c>
    </row>
    <row r="1058" ht="15.75" customHeight="1">
      <c r="A1058" s="66">
        <f>'Main dataset (DEPRECATED)'!Q1059</f>
        <v>4658169</v>
      </c>
      <c r="B1058" s="66" t="str">
        <f>IFERROR(__xludf.DUMMYFUNCTION("SPLIT('Main dataset (DEPRECATED2)'!N1059,"";"")"),"Georgia Tech, USA|c|")</f>
        <v>Georgia Tech, USA|c|</v>
      </c>
      <c r="C1058" s="66" t="s">
        <v>8948</v>
      </c>
      <c r="D1058" s="66" t="s">
        <v>10133</v>
      </c>
      <c r="E1058" s="66" t="s">
        <v>8232</v>
      </c>
      <c r="F1058" s="66" t="s">
        <v>7708</v>
      </c>
      <c r="G1058" s="66" t="s">
        <v>9742</v>
      </c>
    </row>
    <row r="1059" ht="15.75" customHeight="1">
      <c r="A1059" s="66">
        <f>'Main dataset (DEPRECATED)'!Q1060</f>
        <v>4658184</v>
      </c>
      <c r="B1059" s="66" t="str">
        <f>IFERROR(__xludf.DUMMYFUNCTION("SPLIT('Main dataset (DEPRECATED2)'!N1060,"";"")"),"University of Utah##University of Utah##University of Utah##University of Utah")</f>
        <v>University of Utah##University of Utah##University of Utah##University of Utah</v>
      </c>
      <c r="C1059" s="66" t="s">
        <v>8729</v>
      </c>
      <c r="D1059" s="66" t="s">
        <v>11433</v>
      </c>
    </row>
    <row r="1060" ht="15.75" customHeight="1">
      <c r="A1060" s="66">
        <f>'Main dataset (DEPRECATED)'!Q1061</f>
        <v>4658179</v>
      </c>
      <c r="B1060" s="66" t="str">
        <f>IFERROR(__xludf.DUMMYFUNCTION("SPLIT('Main dataset (DEPRECATED2)'!N1061,"";"")"),"Dept. of Comput. Sci., ETH Zurich, Switzerland|c|")</f>
        <v>Dept. of Comput. Sci., ETH Zurich, Switzerland|c|</v>
      </c>
      <c r="C1060" s="66" t="s">
        <v>10394</v>
      </c>
      <c r="D1060" s="66" t="s">
        <v>11259</v>
      </c>
      <c r="E1060" s="66" t="s">
        <v>10734</v>
      </c>
      <c r="F1060" s="66" t="s">
        <v>10757</v>
      </c>
      <c r="G1060" s="66" t="s">
        <v>9778</v>
      </c>
    </row>
    <row r="1061" ht="15.75" customHeight="1">
      <c r="A1061" s="66">
        <f>'Main dataset (DEPRECATED)'!Q1062</f>
        <v>4658173</v>
      </c>
      <c r="B1061" s="66" t="str">
        <f>IFERROR(__xludf.DUMMYFUNCTION("SPLIT('Main dataset (DEPRECATED2)'!N1062,"";"")"),"Stony Brook University##Stony Brook University##Stony Brook University##Stony Brook University##Stony Brook University")</f>
        <v>Stony Brook University##Stony Brook University##Stony Brook University##Stony Brook University##Stony Brook University</v>
      </c>
      <c r="C1061" s="66" t="s">
        <v>11438</v>
      </c>
      <c r="D1061" s="66" t="s">
        <v>8737</v>
      </c>
      <c r="E1061" s="66" t="s">
        <v>8973</v>
      </c>
      <c r="F1061" s="66" t="s">
        <v>9891</v>
      </c>
    </row>
    <row r="1062" ht="15.75" customHeight="1">
      <c r="A1062" s="66">
        <f>'Main dataset (DEPRECATED)'!Q1063</f>
        <v>4658195</v>
      </c>
      <c r="B1062" s="66" t="str">
        <f>IFERROR(__xludf.DUMMYFUNCTION("SPLIT('Main dataset (DEPRECATED2)'!N1063,"";"")"),"University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v>
      </c>
      <c r="C1062" s="66" t="s">
        <v>6231</v>
      </c>
      <c r="D1062" s="66" t="s">
        <v>6476</v>
      </c>
      <c r="E1062" s="66" t="s">
        <v>8560</v>
      </c>
    </row>
    <row r="1063" ht="15.75" customHeight="1">
      <c r="A1063" s="66">
        <f>'Main dataset (DEPRECATED)'!Q1064</f>
        <v>4658191</v>
      </c>
      <c r="B1063" s="66" t="str">
        <f>IFERROR(__xludf.DUMMYFUNCTION("SPLIT('Main dataset (DEPRECATED2)'!N1064,"";"")"),"University of Stuttgart##Florida State University##University of Stuttgart")</f>
        <v>University of Stuttgart##Florida State University##University of Stuttgart</v>
      </c>
      <c r="C1063" s="66" t="s">
        <v>8287</v>
      </c>
      <c r="D1063" s="66" t="s">
        <v>8580</v>
      </c>
      <c r="E1063" s="66" t="s">
        <v>11296</v>
      </c>
      <c r="F1063" s="66" t="s">
        <v>11687</v>
      </c>
    </row>
    <row r="1064" ht="15.75" customHeight="1">
      <c r="A1064" s="66">
        <f>'Main dataset (DEPRECATED)'!Q1065</f>
        <v>4658188</v>
      </c>
      <c r="B1064" s="66" t="str">
        <f>IFERROR(__xludf.DUMMYFUNCTION("SPLIT('Main dataset (DEPRECATED2)'!N1065,"";"")"),"Mechanics University of Minnesota##Mechanics University of Minnesota##Mechanics University of Minnesota")</f>
        <v>Mechanics University of Minnesota##Mechanics University of Minnesota##Mechanics University of Minnesota</v>
      </c>
      <c r="C1064" s="66" t="s">
        <v>10429</v>
      </c>
      <c r="D1064" s="66" t="s">
        <v>7335</v>
      </c>
      <c r="E1064" s="66" t="s">
        <v>6790</v>
      </c>
      <c r="F1064" s="66" t="s">
        <v>10621</v>
      </c>
    </row>
    <row r="1065" ht="15.75" customHeight="1">
      <c r="A1065" s="66">
        <f>'Main dataset (DEPRECATED)'!Q1066</f>
        <v>4658167</v>
      </c>
      <c r="B1065" s="66" t="str">
        <f>IFERROR(__xludf.DUMMYFUNCTION("SPLIT('Main dataset (DEPRECATED2)'!N1066,"";"")"),"Technische Universiteit Eindhoven")</f>
        <v>Technische Universiteit Eindhoven</v>
      </c>
      <c r="C1065" s="66" t="s">
        <v>8878</v>
      </c>
      <c r="D1065" s="66" t="s">
        <v>9984</v>
      </c>
      <c r="E1065" s="66" t="s">
        <v>9984</v>
      </c>
    </row>
    <row r="1066" ht="15.75" customHeight="1">
      <c r="A1066" s="66">
        <f>'Main dataset (DEPRECATED)'!Q1067</f>
        <v>4658153</v>
      </c>
      <c r="B1066" s="66" t="str">
        <f>IFERROR(__xludf.DUMMYFUNCTION("SPLIT('Main dataset (DEPRECATED2)'!N1067,"";"")"),"Helwig Hauser â€ â€ VRVis Research Center##University of Pau")</f>
        <v>Helwig Hauser â€ â€ VRVis Research Center##University of Pau</v>
      </c>
      <c r="C1066" s="66" t="s">
        <v>4987</v>
      </c>
    </row>
    <row r="1067" ht="15.75" customHeight="1">
      <c r="A1067" s="66">
        <f>'Main dataset (DEPRECATED)'!Q1068</f>
        <v>4658155</v>
      </c>
      <c r="B1067" s="66" t="str">
        <f>IFERROR(__xludf.DUMMYFUNCTION("SPLIT('Main dataset (DEPRECATED2)'!N1068,"";"")"),"University of California##Lawrence Livermore National Laboratory")</f>
        <v>University of California##Lawrence Livermore National Laboratory</v>
      </c>
      <c r="C1067" s="66" t="s">
        <v>11393</v>
      </c>
      <c r="D1067" s="66" t="s">
        <v>11014</v>
      </c>
      <c r="E1067" s="66" t="s">
        <v>10481</v>
      </c>
    </row>
    <row r="1068" ht="15.75" customHeight="1">
      <c r="A1068" s="66">
        <f>'Main dataset (DEPRECATED)'!Q1069</f>
        <v>4658172</v>
      </c>
      <c r="B1068" s="66" t="str">
        <f>IFERROR(__xludf.DUMMYFUNCTION("SPLIT('Main dataset (DEPRECATED2)'!N1069,"";"")"),"ISTI -CNR##ISTI -CNR##ISTI -CNR##ISTI -CNR##ISTI -CNR")</f>
        <v>ISTI -CNR##ISTI -CNR##ISTI -CNR##ISTI -CNR##ISTI -CNR</v>
      </c>
      <c r="C1068" s="66" t="s">
        <v>9077</v>
      </c>
    </row>
    <row r="1069" ht="15.75" customHeight="1">
      <c r="A1069" s="66">
        <f>'Main dataset (DEPRECATED)'!Q1070</f>
        <v>4658166</v>
      </c>
      <c r="B1069" s="66" t="str">
        <f>IFERROR(__xludf.DUMMYFUNCTION("SPLIT('Main dataset (DEPRECATED2)'!N1070,"";"")"),"Moscow Institute of Physics and Technology##Moscow Institute of Physics and Technology")</f>
        <v>Moscow Institute of Physics and Technology##Moscow Institute of Physics and Technology</v>
      </c>
      <c r="C1069" s="66" t="s">
        <v>11193</v>
      </c>
      <c r="D1069" s="66" t="s">
        <v>10240</v>
      </c>
      <c r="E1069" s="66" t="s">
        <v>10248</v>
      </c>
    </row>
    <row r="1070" ht="15.75" customHeight="1">
      <c r="A1070" s="66">
        <f>'Main dataset (DEPRECATED)'!Q1071</f>
        <v>4658190</v>
      </c>
      <c r="B1070" s="66" t="str">
        <f>IFERROR(__xludf.DUMMYFUNCTION("SPLIT('Main dataset (DEPRECATED2)'!N1071,"";"")"),"University of North Carolina at Chapel Hill##University of North Carolina at Chapel Hill##University of North Carolina at Chapel Hill")</f>
        <v>University of North Carolina at Chapel Hill##University of North Carolina at Chapel Hill##University of North Carolina at Chapel Hill</v>
      </c>
      <c r="C1070" s="66" t="s">
        <v>7780</v>
      </c>
    </row>
    <row r="1071" ht="15.75" customHeight="1">
      <c r="A1071" s="66">
        <f>'Main dataset (DEPRECATED)'!Q1072</f>
        <v>4658151</v>
      </c>
      <c r="B1071" s="66" t="str">
        <f>IFERROR(__xludf.DUMMYFUNCTION("SPLIT('Main dataset (DEPRECATED2)'!N1072,"";"")"),"Stanford University##Stanford University##Stanford University")</f>
        <v>Stanford University##Stanford University##Stanford University</v>
      </c>
      <c r="C1071" s="66" t="s">
        <v>10135</v>
      </c>
    </row>
    <row r="1072" ht="15.75" customHeight="1">
      <c r="A1072" s="66">
        <f>'Main dataset (DEPRECATED)'!Q1073</f>
        <v>4658177</v>
      </c>
      <c r="B1072" s="66" t="str">
        <f>IFERROR(__xludf.DUMMYFUNCTION("SPLIT('Main dataset (DEPRECATED2)'!N1073,"";"")"),"Johannes-Gutenberg-University Mainz Mainz####Johannes-Gutenberg-University Mainz Mainz####Johannes-Gutenberg-University Mainz Mainz##Johannes-Gutenberg-University Mainz Mainz##Johannes-Gutenberg-University Mainz Mainz##WSI/GRIS Eberhard-Karls-University T"&amp;"Ã¼bingen TÃ¼bingen")</f>
        <v>Johannes-Gutenberg-University Mainz Mainz####Johannes-Gutenberg-University Mainz Mainz####Johannes-Gutenberg-University Mainz Mainz##Johannes-Gutenberg-University Mainz Mainz##Johannes-Gutenberg-University Mainz Mainz##WSI/GRIS Eberhard-Karls-University TÃ¼bingen TÃ¼bingen</v>
      </c>
      <c r="C1072" s="66" t="s">
        <v>7751</v>
      </c>
      <c r="D1072" s="66" t="s">
        <v>11039</v>
      </c>
      <c r="E1072" s="66" t="s">
        <v>7771</v>
      </c>
      <c r="F1072" s="66" t="s">
        <v>7887</v>
      </c>
    </row>
    <row r="1073" ht="15.75" customHeight="1">
      <c r="A1073" s="66">
        <f>'Main dataset (DEPRECATED)'!Q1074</f>
        <v>4658161</v>
      </c>
      <c r="B1073" s="66" t="str">
        <f>IFERROR(__xludf.DUMMYFUNCTION("SPLIT('Main dataset (DEPRECATED2)'!N1074,"";"")"),"The Interdisciplinary Center, Herzliya, Israel|c|")</f>
        <v>The Interdisciplinary Center, Herzliya, Israel|c|</v>
      </c>
      <c r="C1073" s="66" t="s">
        <v>7884</v>
      </c>
      <c r="D1073" s="66" t="s">
        <v>9257</v>
      </c>
    </row>
    <row r="1074" ht="15.75" customHeight="1">
      <c r="A1074" s="66">
        <f>'Main dataset (DEPRECATED)'!Q1075</f>
        <v>4658192</v>
      </c>
      <c r="B1074" s="66" t="str">
        <f>IFERROR(__xludf.DUMMYFUNCTION("SPLIT('Main dataset (DEPRECATED2)'!N1075,"";"")"),"University of Kaiserslautern##University of Kaiserslautern")</f>
        <v>University of Kaiserslautern##University of Kaiserslautern</v>
      </c>
      <c r="C1074" s="66" t="s">
        <v>10392</v>
      </c>
      <c r="D1074" s="66" t="s">
        <v>6764</v>
      </c>
      <c r="E1074" s="66" t="s">
        <v>7610</v>
      </c>
      <c r="F1074" s="66" t="s">
        <v>10621</v>
      </c>
    </row>
    <row r="1075" ht="15.75" customHeight="1">
      <c r="A1075" s="66">
        <f>'Main dataset (DEPRECATED)'!Q1076</f>
        <v>4658189</v>
      </c>
      <c r="B1075" s="66" t="str">
        <f>IFERROR(__xludf.DUMMYFUNCTION("SPLIT('Main dataset (DEPRECATED2)'!N1076,"";"")"),"The Ohio State University##The Ohio State University")</f>
        <v>The Ohio State University##The Ohio State University</v>
      </c>
      <c r="C1075" s="66" t="s">
        <v>11773</v>
      </c>
      <c r="D1075" s="66" t="s">
        <v>6521</v>
      </c>
      <c r="E1075" s="66" t="s">
        <v>11528</v>
      </c>
    </row>
    <row r="1076" ht="15.75" customHeight="1">
      <c r="A1076" s="66">
        <f>'Main dataset (DEPRECATED)'!Q1077</f>
        <v>4658176</v>
      </c>
      <c r="B1076" s="66" t="str">
        <f>IFERROR(__xludf.DUMMYFUNCTION("SPLIT('Main dataset (DEPRECATED2)'!N1077,"";"")"),"The Ohio State University##The Ohio State University##The Ohio State University")</f>
        <v>The Ohio State University##The Ohio State University##The Ohio State University</v>
      </c>
      <c r="C1076" s="66" t="s">
        <v>6735</v>
      </c>
    </row>
    <row r="1077" ht="15.75" customHeight="1">
      <c r="A1077" s="66">
        <f>'Main dataset (DEPRECATED)'!Q1078</f>
        <v>4658182</v>
      </c>
      <c r="B1077" s="66" t="str">
        <f>IFERROR(__xludf.DUMMYFUNCTION("SPLIT('Main dataset (DEPRECATED2)'!N1078,"";"")"),"Polytechnic University")</f>
        <v>Polytechnic University</v>
      </c>
      <c r="C1077" s="66" t="s">
        <v>6144</v>
      </c>
      <c r="D1077" s="66" t="s">
        <v>8701</v>
      </c>
    </row>
    <row r="1078" ht="15.75" customHeight="1">
      <c r="A1078" s="66">
        <f>'Main dataset (DEPRECATED)'!Q1079</f>
        <v>4658180</v>
      </c>
      <c r="B1078" s="66" t="str">
        <f>IFERROR(__xludf.DUMMYFUNCTION("SPLIT('Main dataset (DEPRECATED2)'!N1079,"";"")"),"MPI Informatik SaarbrÃ¼cken##")</f>
        <v>MPI Informatik SaarbrÃ¼cken##</v>
      </c>
      <c r="C1078" s="66" t="s">
        <v>6473</v>
      </c>
      <c r="D1078" s="66" t="s">
        <v>6642</v>
      </c>
      <c r="E1078" s="66" t="s">
        <v>11250</v>
      </c>
      <c r="F1078" s="66" t="s">
        <v>7729</v>
      </c>
      <c r="G1078" s="66" t="s">
        <v>7887</v>
      </c>
      <c r="H1078" s="66" t="s">
        <v>9565</v>
      </c>
    </row>
    <row r="1079" ht="15.75" customHeight="1">
      <c r="A1079" s="66">
        <f>'Main dataset (DEPRECATED)'!Q1080</f>
        <v>4658175</v>
      </c>
      <c r="B1079" s="66" t="str">
        <f>IFERROR(__xludf.DUMMYFUNCTION("SPLIT('Main dataset (DEPRECATED2)'!N1080,"";"")"),"Technische Universiteit Eindhoven##Technische Universiteit Eindhoven")</f>
        <v>Technische Universiteit Eindhoven##Technische Universiteit Eindhoven</v>
      </c>
      <c r="C1079" s="66" t="s">
        <v>6883</v>
      </c>
      <c r="D1079" s="66" t="s">
        <v>8053</v>
      </c>
    </row>
    <row r="1080" ht="15.75" customHeight="1">
      <c r="A1080" s="66">
        <f>'Main dataset (DEPRECATED)'!Q1081</f>
        <v>4658157</v>
      </c>
      <c r="B1080" s="66" t="str">
        <f>IFERROR(__xludf.DUMMYFUNCTION("SPLIT('Main dataset (DEPRECATED2)'!N1081,"";"")"),"Dept. of Comput. &amp; Inf. Sci., Ohio State Univ., USA|c|")</f>
        <v>Dept. of Comput. &amp; Inf. Sci., Ohio State Univ., USA|c|</v>
      </c>
      <c r="C1080" s="66" t="s">
        <v>11029</v>
      </c>
      <c r="D1080" s="66" t="s">
        <v>9170</v>
      </c>
    </row>
    <row r="1081" ht="15.75" customHeight="1">
      <c r="A1081" s="66">
        <f>'Main dataset (DEPRECATED)'!Q1082</f>
        <v>4658164</v>
      </c>
      <c r="B1081" s="66" t="str">
        <f>IFERROR(__xludf.DUMMYFUNCTION("SPLIT('Main dataset (DEPRECATED2)'!N1082,"";"")"),"University of California##University of California")</f>
        <v>University of California##University of California</v>
      </c>
      <c r="C1081" s="66" t="s">
        <v>8290</v>
      </c>
      <c r="D1081" s="66" t="s">
        <v>6172</v>
      </c>
      <c r="E1081" s="66" t="s">
        <v>7130</v>
      </c>
      <c r="F1081" s="66" t="s">
        <v>6180</v>
      </c>
    </row>
    <row r="1082" ht="15.75" customHeight="1">
      <c r="A1082" s="66">
        <f>'Main dataset (DEPRECATED)'!Q1083</f>
        <v>4658152</v>
      </c>
      <c r="B1082" s="66" t="str">
        <f>IFERROR(__xludf.DUMMYFUNCTION("SPLIT('Main dataset (DEPRECATED2)'!N1083,"";"")"),"The Boeing Co., Seattle, WA, USA|c|")</f>
        <v>The Boeing Co., Seattle, WA, USA|c|</v>
      </c>
      <c r="C1082" s="66" t="s">
        <v>7926</v>
      </c>
      <c r="D1082" s="66" t="s">
        <v>9377</v>
      </c>
      <c r="E1082" s="66" t="s">
        <v>6304</v>
      </c>
      <c r="F1082" s="66" t="s">
        <v>9891</v>
      </c>
    </row>
    <row r="1083" ht="15.75" customHeight="1">
      <c r="A1083" s="66">
        <f>'Main dataset (DEPRECATED)'!Q1084</f>
        <v>4376143</v>
      </c>
      <c r="B1083" s="66" t="str">
        <f>IFERROR(__xludf.DUMMYFUNCTION("SPLIT('Main dataset (DEPRECATED2)'!N1084,"";"")"),"University of Utah##University of Utah##University of Utah##University of Utah")</f>
        <v>University of Utah##University of Utah##University of Utah##University of Utah</v>
      </c>
      <c r="C1083" s="66" t="s">
        <v>7263</v>
      </c>
    </row>
    <row r="1084" ht="15.75" customHeight="1">
      <c r="A1084" s="66">
        <f>'Main dataset (DEPRECATED)'!Q1085</f>
        <v>4376130</v>
      </c>
      <c r="B1084" s="66" t="str">
        <f>IFERROR(__xludf.DUMMYFUNCTION("SPLIT('Main dataset (DEPRECATED2)'!N1085,"";"")"),"Stony Brook University Stony Brook##Stony Brook University Stony Brook##Stony Brook University Stony Brook##Stony Brook University Stony Brook##Stony Brook University Stony Brook")</f>
        <v>Stony Brook University Stony Brook##Stony Brook University Stony Brook##Stony Brook University Stony Brook##Stony Brook University Stony Brook##Stony Brook University Stony Brook</v>
      </c>
      <c r="C1084" s="66" t="s">
        <v>10681</v>
      </c>
      <c r="D1084" s="66" t="s">
        <v>6559</v>
      </c>
      <c r="E1084" s="66" t="s">
        <v>10186</v>
      </c>
    </row>
    <row r="1085" ht="15.75" customHeight="1">
      <c r="A1085" s="66">
        <f>'Main dataset (DEPRECATED)'!Q1086</f>
        <v>4376146</v>
      </c>
      <c r="B1085" s="66" t="str">
        <f>IFERROR(__xludf.DUMMYFUNCTION("SPLIT('Main dataset (DEPRECATED2)'!N1086,"";"")"),"Purdue Univ., West Lafayette, IN, USA|c|")</f>
        <v>Purdue Univ., West Lafayette, IN, USA|c|</v>
      </c>
      <c r="C1085" s="66" t="s">
        <v>10186</v>
      </c>
    </row>
    <row r="1086" ht="15.75" customHeight="1">
      <c r="A1086" s="66">
        <f>'Main dataset (DEPRECATED)'!Q1087</f>
        <v>4376147</v>
      </c>
      <c r="B1086" s="66" t="str">
        <f>IFERROR(__xludf.DUMMYFUNCTION("SPLIT('Main dataset (DEPRECATED2)'!N1087,"";"")"),"Technical University Munich##Technical University Munich")</f>
        <v>Technical University Munich##Technical University Munich</v>
      </c>
      <c r="C1086" s="66" t="s">
        <v>8971</v>
      </c>
    </row>
    <row r="1087" ht="15.75" customHeight="1">
      <c r="A1087" s="66">
        <f>'Main dataset (DEPRECATED)'!Q1088</f>
        <v>4376134</v>
      </c>
      <c r="B1087" s="66" t="str">
        <f>IFERROR(__xludf.DUMMYFUNCTION("SPLIT('Main dataset (DEPRECATED2)'!N1088,"";"")"),"Technical University Munich##Technical University Munich")</f>
        <v>Technical University Munich##Technical University Munich</v>
      </c>
      <c r="C1087" s="66" t="s">
        <v>10767</v>
      </c>
      <c r="D1087" s="66" t="s">
        <v>9265</v>
      </c>
    </row>
    <row r="1088" ht="15.75" customHeight="1">
      <c r="A1088" s="66">
        <f>'Main dataset (DEPRECATED)'!Q1089</f>
        <v>4376153</v>
      </c>
      <c r="B1088" s="66" t="str">
        <f>IFERROR(__xludf.DUMMYFUNCTION("SPLIT('Main dataset (DEPRECATED2)'!N1089,"";"")"),"VRVis Res. Center, Austria|c|")</f>
        <v>VRVis Res. Center, Austria|c|</v>
      </c>
      <c r="C1088" s="66" t="s">
        <v>8677</v>
      </c>
    </row>
    <row r="1089" ht="15.75" customHeight="1">
      <c r="A1089" s="66">
        <f>'Main dataset (DEPRECATED)'!Q1090</f>
        <v>4376135</v>
      </c>
      <c r="B1089" s="66" t="str">
        <f>IFERROR(__xludf.DUMMYFUNCTION("SPLIT('Main dataset (DEPRECATED2)'!N1090,"";"")"),"Vienna University of Technology##Vienna University of Technology##Vienna University of Technology##Vienna University of Technology")</f>
        <v>Vienna University of Technology##Vienna University of Technology##Vienna University of Technology##Vienna University of Technology</v>
      </c>
      <c r="C1089" s="66" t="s">
        <v>6692</v>
      </c>
    </row>
    <row r="1090" ht="15.75" customHeight="1">
      <c r="A1090" s="66">
        <f>'Main dataset (DEPRECATED)'!Q1091</f>
        <v>4376139</v>
      </c>
      <c r="B1090" s="66" t="str">
        <f>IFERROR(__xludf.DUMMYFUNCTION("SPLIT('Main dataset (DEPRECATED2)'!N1091,"";"")"),"Stony Brook University##Stony Brook University##Stony Brook University")</f>
        <v>Stony Brook University##Stony Brook University##Stony Brook University</v>
      </c>
    </row>
    <row r="1091" ht="15.75" customHeight="1">
      <c r="A1091" s="66">
        <f>'Main dataset (DEPRECATED)'!Q1092</f>
        <v>4376145</v>
      </c>
      <c r="B1091" s="66" t="str">
        <f>IFERROR(__xludf.DUMMYFUNCTION("SPLIT('Main dataset (DEPRECATED2)'!N1092,"";"")"),"University of California##University of Kaiserslautern##University of California")</f>
        <v>University of California##University of Kaiserslautern##University of California</v>
      </c>
      <c r="C1091" s="66" t="s">
        <v>6786</v>
      </c>
    </row>
    <row r="1092" ht="15.75" customHeight="1">
      <c r="A1092" s="66">
        <f>'Main dataset (DEPRECATED)'!Q1093</f>
        <v>4376138</v>
      </c>
      <c r="B1092" s="66" t="str">
        <f>IFERROR(__xludf.DUMMYFUNCTION("SPLIT('Main dataset (DEPRECATED2)'!N1093,"";"")"),"University of Stuttgart##University of Stuttgart##University of Stuttgart##University of Stuttgart")</f>
        <v>University of Stuttgart##University of Stuttgart##University of Stuttgart##University of Stuttgart</v>
      </c>
      <c r="C1092" s="66" t="s">
        <v>7353</v>
      </c>
      <c r="D1092" s="66" t="s">
        <v>10663</v>
      </c>
      <c r="E1092" s="66" t="s">
        <v>6953</v>
      </c>
    </row>
    <row r="1093" ht="15.75" customHeight="1">
      <c r="A1093" s="66">
        <f>'Main dataset (DEPRECATED)'!Q1094</f>
        <v>4376137</v>
      </c>
      <c r="B1093" s="66" t="str">
        <f>IFERROR(__xludf.DUMMYFUNCTION("SPLIT('Main dataset (DEPRECATED2)'!N1094,"";"")"),"The Ohio State Univ##The Ohio State Univ##The Ohio State Univ##The Ohio State Univ")</f>
        <v>The Ohio State Univ##The Ohio State Univ##The Ohio State Univ##The Ohio State Univ</v>
      </c>
      <c r="C1093" s="66" t="s">
        <v>11426</v>
      </c>
      <c r="D1093" s="66" t="s">
        <v>8832</v>
      </c>
      <c r="E1093" s="66" t="s">
        <v>10373</v>
      </c>
      <c r="F1093" s="66" t="s">
        <v>10140</v>
      </c>
    </row>
    <row r="1094" ht="15.75" customHeight="1">
      <c r="A1094" s="66">
        <f>'Main dataset (DEPRECATED)'!Q1095</f>
        <v>4376131</v>
      </c>
      <c r="B1094" s="66" t="str">
        <f>IFERROR(__xludf.DUMMYFUNCTION("SPLIT('Main dataset (DEPRECATED2)'!N1095,"";"")"),"Stanford University##Stanford University##Stanford University##Stanford University##Stanford University##Stanford University")</f>
        <v>Stanford University##Stanford University##Stanford University##Stanford University##Stanford University##Stanford University</v>
      </c>
      <c r="C1094" s="66" t="s">
        <v>11348</v>
      </c>
      <c r="D1094" s="66" t="s">
        <v>11190</v>
      </c>
      <c r="E1094" s="66" t="s">
        <v>8857</v>
      </c>
      <c r="F1094" s="66" t="s">
        <v>9316</v>
      </c>
    </row>
    <row r="1095" ht="15.75" customHeight="1">
      <c r="A1095" s="66">
        <f>'Main dataset (DEPRECATED)'!Q1096</f>
        <v>4376155</v>
      </c>
      <c r="B1095" s="66" t="str">
        <f>IFERROR(__xludf.DUMMYFUNCTION("SPLIT('Main dataset (DEPRECATED2)'!N1096,"";"")"),"Sch. of Comput., Queen''s Univ., Kingston, Ont., Canada|c|")</f>
        <v>Sch. of Comput., Queen''s Univ., Kingston, Ont., Canada|c|</v>
      </c>
      <c r="C1095" s="66" t="s">
        <v>10941</v>
      </c>
    </row>
    <row r="1096" ht="15.75" customHeight="1">
      <c r="A1096" s="66">
        <f>'Main dataset (DEPRECATED)'!Q1097</f>
        <v>4376154</v>
      </c>
      <c r="B1096" s="66" t="str">
        <f>IFERROR(__xludf.DUMMYFUNCTION("SPLIT('Main dataset (DEPRECATED2)'!N1097,"";"")"),"Harvard Med. Sch., Harvard Univ., USA|c|")</f>
        <v>Harvard Med. Sch., Harvard Univ., USA|c|</v>
      </c>
      <c r="C1096" s="66" t="s">
        <v>7497</v>
      </c>
      <c r="D1096" s="66" t="s">
        <v>9313</v>
      </c>
    </row>
    <row r="1097" ht="15.75" customHeight="1">
      <c r="A1097" s="66">
        <f>'Main dataset (DEPRECATED)'!Q1098</f>
        <v>4376151</v>
      </c>
      <c r="B1097" s="66" t="str">
        <f>IFERROR(__xludf.DUMMYFUNCTION("SPLIT('Main dataset (DEPRECATED2)'!N1098,"";"")"),"Simon Fraser University")</f>
        <v>Simon Fraser University</v>
      </c>
      <c r="C1097" s="66" t="s">
        <v>9549</v>
      </c>
      <c r="D1097" s="66" t="s">
        <v>8727</v>
      </c>
    </row>
    <row r="1098" ht="15.75" customHeight="1">
      <c r="A1098" s="66">
        <f>'Main dataset (DEPRECATED)'!Q1099</f>
        <v>4376132</v>
      </c>
      <c r="B1098" s="66" t="str">
        <f>IFERROR(__xludf.DUMMYFUNCTION("SPLIT('Main dataset (DEPRECATED2)'!N1099,"";"")"),"Delft University of Technology##Delft University of Technology##Delft University of Technology####Delft University of Technology##")</f>
        <v>Delft University of Technology##Delft University of Technology##Delft University of Technology####Delft University of Technology##</v>
      </c>
      <c r="C1098" s="66" t="s">
        <v>8112</v>
      </c>
      <c r="D1098" s="66" t="s">
        <v>6169</v>
      </c>
    </row>
    <row r="1099" ht="15.75" customHeight="1">
      <c r="A1099" s="66">
        <f>'Main dataset (DEPRECATED)'!Q1100</f>
        <v>4376142</v>
      </c>
      <c r="B1099" s="66" t="str">
        <f>IFERROR(__xludf.DUMMYFUNCTION("SPLIT('Main dataset (DEPRECATED2)'!N1100,"";"")"),"University of Kaiserslautern")</f>
        <v>University of Kaiserslautern</v>
      </c>
      <c r="C1099" s="66" t="s">
        <v>7256</v>
      </c>
      <c r="D1099" s="66" t="s">
        <v>8967</v>
      </c>
    </row>
    <row r="1100" ht="15.75" customHeight="1">
      <c r="A1100" s="66">
        <f>'Main dataset (DEPRECATED)'!Q1101</f>
        <v>4376133</v>
      </c>
      <c r="B1100" s="66" t="str">
        <f>IFERROR(__xludf.DUMMYFUNCTION("SPLIT('Main dataset (DEPRECATED2)'!N1101,"";"")"),"UniversitÃ¤t Mannheim##UniversitÃ¤t Mannheim####")</f>
        <v>UniversitÃ¤t Mannheim##UniversitÃ¤t Mannheim####</v>
      </c>
      <c r="C1100" s="66" t="s">
        <v>8046</v>
      </c>
      <c r="D1100" s="66" t="s">
        <v>10818</v>
      </c>
    </row>
    <row r="1101" ht="15.75" customHeight="1">
      <c r="A1101" s="66">
        <f>'Main dataset (DEPRECATED)'!Q1102</f>
        <v>4376149</v>
      </c>
      <c r="B1101" s="66" t="str">
        <f>IFERROR(__xludf.DUMMYFUNCTION("SPLIT('Main dataset (DEPRECATED2)'!N1102,"";"")"),"University of Toronto##University of Toronto##University of Toronto")</f>
        <v>University of Toronto##University of Toronto##University of Toronto</v>
      </c>
      <c r="C1101" s="66" t="s">
        <v>10740</v>
      </c>
      <c r="D1101" s="66" t="s">
        <v>7646</v>
      </c>
      <c r="E1101" s="66" t="s">
        <v>11495</v>
      </c>
      <c r="F1101" s="66" t="s">
        <v>9549</v>
      </c>
    </row>
    <row r="1102" ht="15.75" customHeight="1">
      <c r="A1102" s="66">
        <f>'Main dataset (DEPRECATED)'!Q1103</f>
        <v>4376144</v>
      </c>
      <c r="B1102" s="66" t="str">
        <f>IFERROR(__xludf.DUMMYFUNCTION("SPLIT('Main dataset (DEPRECATED2)'!N1103,"";"")"),"University of Wales Swansea##University of Wales Swansea")</f>
        <v>University of Wales Swansea##University of Wales Swansea</v>
      </c>
      <c r="C1102" s="66" t="s">
        <v>11713</v>
      </c>
      <c r="D1102" s="66" t="s">
        <v>10767</v>
      </c>
      <c r="E1102" s="66" t="s">
        <v>8397</v>
      </c>
    </row>
    <row r="1103" ht="15.75" customHeight="1">
      <c r="A1103" s="66">
        <f>'Main dataset (DEPRECATED)'!Q1104</f>
        <v>4376140</v>
      </c>
      <c r="B1103" s="66" t="str">
        <f>IFERROR(__xludf.DUMMYFUNCTION("SPLIT('Main dataset (DEPRECATED2)'!N1104,"";"")"),"The Ohio State University##The Ohio State University##The Ohio State University")</f>
        <v>The Ohio State University##The Ohio State University##The Ohio State University</v>
      </c>
      <c r="C1103" s="66" t="s">
        <v>6786</v>
      </c>
    </row>
    <row r="1104" ht="15.75" customHeight="1">
      <c r="A1104" s="66">
        <f>'Main dataset (DEPRECATED)'!Q1105</f>
        <v>4376129</v>
      </c>
      <c r="B1104" s="66" t="str">
        <f>IFERROR(__xludf.DUMMYFUNCTION("SPLIT('Main dataset (DEPRECATED2)'!N1105,"";"")"),"Center for Visual Comput., Comput. Sci., Stony Brook Univ., USA|c|")</f>
        <v>Center for Visual Comput., Comput. Sci., Stony Brook Univ., USA|c|</v>
      </c>
      <c r="C1104" s="66" t="s">
        <v>8664</v>
      </c>
      <c r="D1104" s="66" t="s">
        <v>9668</v>
      </c>
      <c r="E1104" s="66" t="s">
        <v>10129</v>
      </c>
      <c r="F1104" s="66" t="s">
        <v>10564</v>
      </c>
    </row>
    <row r="1105" ht="15.75" customHeight="1">
      <c r="A1105" s="66">
        <f>'Main dataset (DEPRECATED)'!Q1106</f>
        <v>4376141</v>
      </c>
      <c r="B1105" s="66" t="str">
        <f>IFERROR(__xludf.DUMMYFUNCTION("SPLIT('Main dataset (DEPRECATED2)'!N1106,"";"")"),"University of Stuttgart##University of Stuttgart")</f>
        <v>University of Stuttgart##University of Stuttgart</v>
      </c>
      <c r="C1105" s="66" t="s">
        <v>11603</v>
      </c>
      <c r="D1105" s="66" t="s">
        <v>6695</v>
      </c>
      <c r="E1105" s="66" t="s">
        <v>8766</v>
      </c>
      <c r="F1105" s="66" t="s">
        <v>10943</v>
      </c>
      <c r="G1105" s="66" t="s">
        <v>8016</v>
      </c>
      <c r="H1105" s="66" t="s">
        <v>8046</v>
      </c>
    </row>
    <row r="1106" ht="15.75" customHeight="1">
      <c r="A1106" s="66">
        <f>'Main dataset (DEPRECATED)'!Q1107</f>
        <v>4376148</v>
      </c>
      <c r="B1106" s="66" t="str">
        <f>IFERROR(__xludf.DUMMYFUNCTION("SPLIT('Main dataset (DEPRECATED2)'!N1107,"";"")"),"Stony Brook University##Stony Brook University##Stony Brook University##Stony Brook University")</f>
        <v>Stony Brook University##Stony Brook University##Stony Brook University##Stony Brook University</v>
      </c>
      <c r="C1106" s="66" t="s">
        <v>8367</v>
      </c>
      <c r="D1106" s="66" t="s">
        <v>8969</v>
      </c>
    </row>
    <row r="1107" ht="15.75" customHeight="1">
      <c r="A1107" s="66">
        <f>'Main dataset (DEPRECATED)'!Q1108</f>
        <v>4376152</v>
      </c>
      <c r="B1107" s="66" t="str">
        <f>IFERROR(__xludf.DUMMYFUNCTION("SPLIT('Main dataset (DEPRECATED2)'!N1108,"";"")"),"Technical University of Budapest##")</f>
        <v>Technical University of Budapest##</v>
      </c>
      <c r="C1107" s="66" t="s">
        <v>4285</v>
      </c>
    </row>
    <row r="1108" ht="15.75" customHeight="1">
      <c r="A1108" s="66">
        <f>'Main dataset (DEPRECATED)'!Q1109</f>
        <v>4376136</v>
      </c>
      <c r="B1108" s="66" t="str">
        <f>IFERROR(__xludf.DUMMYFUNCTION("SPLIT('Main dataset (DEPRECATED2)'!N1109,"";"")"),"Istituto di Scienza e Tecnologie dell'Informazione -Consiglio Nazionale delle Ricerche##Istituto di Scienza e Tecnologie dell'Informazione -Consiglio Nazionale delle Ricerche##Istituto di Scienza e Tecnologie dell'Informazione -Consiglio Nazionale delle R"&amp;"icerche")</f>
        <v>Istituto di Scienza e Tecnologie dell'Informazione -Consiglio Nazionale delle Ricerche##Istituto di Scienza e Tecnologie dell'Informazione -Consiglio Nazionale delle Ricerche##Istituto di Scienza e Tecnologie dell'Informazione -Consiglio Nazionale delle Ricerche</v>
      </c>
      <c r="C1108" s="66" t="s">
        <v>11550</v>
      </c>
      <c r="D1108" s="66" t="s">
        <v>10722</v>
      </c>
      <c r="E1108" s="66" t="s">
        <v>8646</v>
      </c>
    </row>
    <row r="1109" ht="15.75" customHeight="1">
      <c r="A1109" s="66">
        <f>'Main dataset (DEPRECATED)'!Q1110</f>
        <v>4376150</v>
      </c>
      <c r="B1109" s="66" t="str">
        <f>IFERROR(__xludf.DUMMYFUNCTION("SPLIT('Main dataset (DEPRECATED2)'!N1110,"";"")"),"University of North Carolina at Chapel Hill##University of North Carolina at Chapel Hill##University of North Carolina at Chapel Hill##University of North Carolina at Chapel Hill##University of North Carolina at Chapel Hill##University of North Carolina a"&amp;"t Chapel Hill")</f>
        <v>University of North Carolina at Chapel Hill##University of North Carolina at Chapel Hill##University of North Carolina at Chapel Hill##University of North Carolina at Chapel Hill##University of North Carolina at Chapel Hill##University of North Carolina at Chapel Hill</v>
      </c>
      <c r="C1109" s="66" t="s">
        <v>10887</v>
      </c>
      <c r="D1109" s="66" t="s">
        <v>8366</v>
      </c>
      <c r="E1109" s="66" t="s">
        <v>8107</v>
      </c>
    </row>
    <row r="1110" ht="15.75" customHeight="1">
      <c r="A1110" s="66">
        <f>'Main dataset (DEPRECATED)'!Q1111</f>
        <v>4388990</v>
      </c>
      <c r="B1110" s="66" t="str">
        <f>IFERROR(__xludf.DUMMYFUNCTION("SPLIT('Main dataset (DEPRECATED2)'!N1111,"";"")"),"GVU Center##GVU Center##GVU Center##GVU Center")</f>
        <v>GVU Center##GVU Center##GVU Center##GVU Center</v>
      </c>
      <c r="C1110" s="66" t="s">
        <v>10643</v>
      </c>
      <c r="D1110" s="66" t="s">
        <v>8368</v>
      </c>
      <c r="E1110" s="66" t="s">
        <v>9170</v>
      </c>
      <c r="F1110" s="66" t="s">
        <v>9783</v>
      </c>
    </row>
    <row r="1111" ht="15.75" customHeight="1">
      <c r="A1111" s="66">
        <f>'Main dataset (DEPRECATED)'!Q1112</f>
        <v>4389000</v>
      </c>
      <c r="B1111" s="66" t="str">
        <f>IFERROR(__xludf.DUMMYFUNCTION("SPLIT('Main dataset (DEPRECATED2)'!N1112,"";"")"),"University of British Columbia##University of British Columbia")</f>
        <v>University of British Columbia##University of British Columbia</v>
      </c>
      <c r="C1111" s="66" t="s">
        <v>10295</v>
      </c>
      <c r="D1111" s="66" t="s">
        <v>11333</v>
      </c>
    </row>
    <row r="1112" ht="15.75" customHeight="1">
      <c r="A1112" s="66">
        <f>'Main dataset (DEPRECATED)'!Q1113</f>
        <v>4389003</v>
      </c>
      <c r="B1112" s="66" t="str">
        <f>IFERROR(__xludf.DUMMYFUNCTION("SPLIT('Main dataset (DEPRECATED2)'!N1113,"";"")"),"Advanced Computer Vision GmbH â€“ ACV##Advanced Computer Vision GmbH â€“ ACV##Advanced Computer Vision GmbH â€“ ACV##Advanced Computer Vision GmbH â€“ ACV")</f>
        <v>Advanced Computer Vision GmbH â€“ ACV##Advanced Computer Vision GmbH â€“ ACV##Advanced Computer Vision GmbH â€“ ACV##Advanced Computer Vision GmbH â€“ ACV</v>
      </c>
      <c r="C1112" s="66" t="s">
        <v>8476</v>
      </c>
      <c r="D1112" s="66" t="s">
        <v>8505</v>
      </c>
      <c r="E1112" s="66" t="s">
        <v>10140</v>
      </c>
      <c r="F1112" s="66" t="s">
        <v>10369</v>
      </c>
    </row>
    <row r="1113" ht="15.75" customHeight="1">
      <c r="A1113" s="66">
        <f>'Main dataset (DEPRECATED)'!Q1114</f>
        <v>4388998</v>
      </c>
      <c r="B1113" s="66" t="str">
        <f>IFERROR(__xludf.DUMMYFUNCTION("SPLIT('Main dataset (DEPRECATED2)'!N1114,"";"")"),"University of Utah##University of Utah##University of Utah##University of Utah##University of Utah##University of Utah")</f>
        <v>University of Utah##University of Utah##University of Utah##University of Utah##University of Utah##University of Utah</v>
      </c>
      <c r="C1113" s="66" t="s">
        <v>7819</v>
      </c>
    </row>
    <row r="1114" ht="15.75" customHeight="1">
      <c r="A1114" s="66">
        <f>'Main dataset (DEPRECATED)'!Q1115</f>
        <v>4389022</v>
      </c>
      <c r="B1114" s="66" t="str">
        <f>IFERROR(__xludf.DUMMYFUNCTION("SPLIT('Main dataset (DEPRECATED2)'!N1115,"";"")"),"University of California at Davis##University of California at Davis##University of California at Davis")</f>
        <v>University of California at Davis##University of California at Davis##University of California at Davis</v>
      </c>
      <c r="C1114" s="66" t="s">
        <v>7738</v>
      </c>
      <c r="D1114" s="66" t="s">
        <v>10642</v>
      </c>
    </row>
    <row r="1115" ht="15.75" customHeight="1">
      <c r="A1115" s="66">
        <f>'Main dataset (DEPRECATED)'!Q1116</f>
        <v>4388999</v>
      </c>
      <c r="B1115" s="66" t="str">
        <f>IFERROR(__xludf.DUMMYFUNCTION("SPLIT('Main dataset (DEPRECATED2)'!N1116,"";"")"),"University of Utah##University of Utah##University of Utah##Simon Fraser University")</f>
        <v>University of Utah##University of Utah##University of Utah##Simon Fraser University</v>
      </c>
      <c r="C1115" s="66" t="s">
        <v>8032</v>
      </c>
      <c r="D1115" s="66" t="s">
        <v>9529</v>
      </c>
      <c r="E1115" s="66" t="s">
        <v>11764</v>
      </c>
      <c r="F1115" s="66" t="s">
        <v>8354</v>
      </c>
    </row>
    <row r="1116" ht="15.75" customHeight="1">
      <c r="A1116" s="66">
        <f>'Main dataset (DEPRECATED)'!Q1117</f>
        <v>4389013</v>
      </c>
      <c r="B1116" s="66" t="str">
        <f>IFERROR(__xludf.DUMMYFUNCTION("SPLIT('Main dataset (DEPRECATED2)'!N1117,"";"")"),"University of California##University of California##University of California")</f>
        <v>University of California##University of California##University of California</v>
      </c>
      <c r="C1116" s="66" t="s">
        <v>10767</v>
      </c>
      <c r="D1116" s="66" t="s">
        <v>11107</v>
      </c>
    </row>
    <row r="1117" ht="15.75" customHeight="1">
      <c r="A1117" s="66">
        <f>'Main dataset (DEPRECATED)'!Q1118</f>
        <v>4389011</v>
      </c>
      <c r="B1117" s="66" t="str">
        <f>IFERROR(__xludf.DUMMYFUNCTION("SPLIT('Main dataset (DEPRECATED2)'!N1118,"";"")"),"IBM T.J. Watson Research Center Eugene I. Kelton â€ IBM Integrated Technology Services")</f>
        <v>IBM T.J. Watson Research Center Eugene I. Kelton â€ IBM Integrated Technology Services</v>
      </c>
      <c r="C1117" s="66" t="s">
        <v>6169</v>
      </c>
    </row>
    <row r="1118" ht="15.75" customHeight="1">
      <c r="A1118" s="66">
        <f>'Main dataset (DEPRECATED)'!Q1119</f>
        <v>4388991</v>
      </c>
      <c r="B1118" s="66" t="str">
        <f>IFERROR(__xludf.DUMMYFUNCTION("SPLIT('Main dataset (DEPRECATED2)'!N1119,"";"")"),"VRVis Res. Center, Austria|c|")</f>
        <v>VRVis Res. Center, Austria|c|</v>
      </c>
      <c r="C1118" s="66" t="s">
        <v>9450</v>
      </c>
    </row>
    <row r="1119" ht="15.75" customHeight="1">
      <c r="A1119" s="66">
        <f>'Main dataset (DEPRECATED)'!Q1120</f>
        <v>4389025</v>
      </c>
      <c r="B1119" s="66" t="str">
        <f>IFERROR(__xludf.DUMMYFUNCTION("SPLIT('Main dataset (DEPRECATED2)'!N1120,"";"")"),"University of California at Davis##University of California at Davis##University of California at Davis##University of California at Davis")</f>
        <v>University of California at Davis##University of California at Davis##University of California at Davis##University of California at Davis</v>
      </c>
    </row>
    <row r="1120" ht="15.75" customHeight="1">
      <c r="A1120" s="66">
        <f>'Main dataset (DEPRECATED)'!Q1121</f>
        <v>4389028</v>
      </c>
      <c r="B1120" s="66" t="str">
        <f>IFERROR(__xludf.DUMMYFUNCTION("SPLIT('Main dataset (DEPRECATED2)'!N1121,"";"")"),"ERDC, Major Shared Resource Center, Vicksburg, MS, USA|c|")</f>
        <v>ERDC, Major Shared Resource Center, Vicksburg, MS, USA|c|</v>
      </c>
      <c r="C1120" s="66" t="s">
        <v>8722</v>
      </c>
      <c r="D1120" s="66" t="s">
        <v>11288</v>
      </c>
      <c r="E1120" s="66" t="s">
        <v>6843</v>
      </c>
      <c r="F1120" s="66" t="s">
        <v>8205</v>
      </c>
      <c r="G1120" s="66" t="s">
        <v>8583</v>
      </c>
      <c r="H1120" s="66" t="s">
        <v>7540</v>
      </c>
      <c r="I1120" s="66" t="s">
        <v>7252</v>
      </c>
    </row>
    <row r="1121" ht="15.75" customHeight="1">
      <c r="A1121" s="66">
        <f>'Main dataset (DEPRECATED)'!Q1122</f>
        <v>4388997</v>
      </c>
      <c r="B1121" s="66" t="str">
        <f>IFERROR(__xludf.DUMMYFUNCTION("SPLIT('Main dataset (DEPRECATED2)'!N1122,"";"")"),"Management Technologies Incorporated NASA Ames Research Center##Management Technologies Incorporated NASA Ames Research Center")</f>
        <v>Management Technologies Incorporated NASA Ames Research Center##Management Technologies Incorporated NASA Ames Research Center</v>
      </c>
      <c r="C1121" s="66" t="s">
        <v>7142</v>
      </c>
      <c r="D1121" s="66" t="s">
        <v>7425</v>
      </c>
    </row>
    <row r="1122" ht="15.75" customHeight="1">
      <c r="A1122" s="66">
        <f>'Main dataset (DEPRECATED)'!Q1123</f>
        <v>4388989</v>
      </c>
      <c r="B1122" s="66" t="str">
        <f>IFERROR(__xludf.DUMMYFUNCTION("SPLIT('Main dataset (DEPRECATED2)'!N1123,"";"")"),"OGI School of Science &amp; Engineering##OGI School of Science &amp; Engineering##OGI School of Science &amp; Engineering##OGI School of Science &amp; Engineering")</f>
        <v>OGI School of Science &amp; Engineering##OGI School of Science &amp; Engineering##OGI School of Science &amp; Engineering##OGI School of Science &amp; Engineering</v>
      </c>
    </row>
    <row r="1123" ht="15.75" customHeight="1">
      <c r="A1123" s="66">
        <f>'Main dataset (DEPRECATED)'!Q1124</f>
        <v>4389036</v>
      </c>
      <c r="B1123" s="66" t="str">
        <f>IFERROR(__xludf.DUMMYFUNCTION("SPLIT('Main dataset (DEPRECATED2)'!N1124,"";"")"),"ITaP Purdue University##ITaP Purdue University##ITaP Purdue University##ITaP Purdue University##ITaP Purdue University##ITaP Purdue University##ITaP Purdue University")</f>
        <v>ITaP Purdue University##ITaP Purdue University##ITaP Purdue University##ITaP Purdue University##ITaP Purdue University##ITaP Purdue University##ITaP Purdue University</v>
      </c>
      <c r="C1123" s="66" t="s">
        <v>11569</v>
      </c>
      <c r="D1123" s="66" t="s">
        <v>11484</v>
      </c>
      <c r="E1123" s="66" t="s">
        <v>7866</v>
      </c>
      <c r="F1123" s="66" t="s">
        <v>10764</v>
      </c>
      <c r="G1123" s="66" t="s">
        <v>10557</v>
      </c>
      <c r="H1123" s="66" t="s">
        <v>8343</v>
      </c>
      <c r="I1123" s="66" t="s">
        <v>9501</v>
      </c>
      <c r="J1123" s="66" t="s">
        <v>6398</v>
      </c>
      <c r="K1123" s="66" t="s">
        <v>7739</v>
      </c>
    </row>
    <row r="1124" ht="15.75" customHeight="1">
      <c r="A1124" s="66">
        <f>'Main dataset (DEPRECATED)'!Q1125</f>
        <v>4389001</v>
      </c>
      <c r="B1124" s="66" t="str">
        <f>IFERROR(__xludf.DUMMYFUNCTION("SPLIT('Main dataset (DEPRECATED2)'!N1125,"";"")"),"Dept. of Comput. Sci., Univ. of California, Davis, CA, USA|c|")</f>
        <v>Dept. of Comput. Sci., Univ. of California, Davis, CA, USA|c|</v>
      </c>
      <c r="C1124" s="66" t="s">
        <v>7167</v>
      </c>
      <c r="D1124" s="66" t="s">
        <v>8664</v>
      </c>
      <c r="E1124" s="66" t="s">
        <v>9502</v>
      </c>
      <c r="F1124" s="66" t="s">
        <v>10420</v>
      </c>
    </row>
    <row r="1125" ht="15.75" customHeight="1">
      <c r="A1125" s="66">
        <f>'Main dataset (DEPRECATED)'!Q1126</f>
        <v>4389034</v>
      </c>
      <c r="B1125" s="66" t="str">
        <f>IFERROR(__xludf.DUMMYFUNCTION("SPLIT('Main dataset (DEPRECATED2)'!N1126,"";"")"),"Isomics, Inc##############")</f>
        <v>Isomics, Inc##############</v>
      </c>
      <c r="C1125" s="66" t="s">
        <v>11798</v>
      </c>
      <c r="D1125" s="66" t="s">
        <v>9781</v>
      </c>
      <c r="E1125" s="66" t="s">
        <v>10644</v>
      </c>
      <c r="F1125" s="66" t="s">
        <v>10767</v>
      </c>
    </row>
    <row r="1126" ht="15.75" customHeight="1">
      <c r="A1126" s="66">
        <f>'Main dataset (DEPRECATED)'!Q1127</f>
        <v>4389006</v>
      </c>
      <c r="B1126" s="66" t="str">
        <f>IFERROR(__xludf.DUMMYFUNCTION("SPLIT('Main dataset (DEPRECATED2)'!N1127,"";"")"),"California Institute of Technology##California Institute of Technology")</f>
        <v>California Institute of Technology##California Institute of Technology</v>
      </c>
      <c r="C1126" s="66" t="s">
        <v>7826</v>
      </c>
      <c r="D1126" s="66" t="s">
        <v>11798</v>
      </c>
      <c r="E1126" s="66" t="s">
        <v>10644</v>
      </c>
    </row>
    <row r="1127" ht="15.75" customHeight="1">
      <c r="A1127" s="66">
        <f>'Main dataset (DEPRECATED)'!Q1128</f>
        <v>4388993</v>
      </c>
      <c r="B1127" s="66" t="str">
        <f>IFERROR(__xludf.DUMMYFUNCTION("SPLIT('Main dataset (DEPRECATED2)'!N1128,"";"")"),"University of Massachusetts Lowell|c|")</f>
        <v>University of Massachusetts Lowell|c|</v>
      </c>
      <c r="C1127" s="66" t="s">
        <v>11143</v>
      </c>
      <c r="D1127" s="66" t="s">
        <v>11742</v>
      </c>
      <c r="E1127" s="66" t="s">
        <v>6863</v>
      </c>
      <c r="F1127" s="66" t="s">
        <v>9605</v>
      </c>
      <c r="G1127" s="66" t="s">
        <v>7361</v>
      </c>
      <c r="H1127" s="66" t="s">
        <v>6957</v>
      </c>
      <c r="I1127" s="66" t="s">
        <v>9738</v>
      </c>
      <c r="J1127" s="66" t="s">
        <v>7852</v>
      </c>
      <c r="K1127" s="66" t="s">
        <v>7782</v>
      </c>
    </row>
    <row r="1128" ht="15.75" customHeight="1">
      <c r="A1128" s="66">
        <f>'Main dataset (DEPRECATED)'!Q1129</f>
        <v>4389004</v>
      </c>
      <c r="B1128" s="66" t="str">
        <f>IFERROR(__xludf.DUMMYFUNCTION("SPLIT('Main dataset (DEPRECATED2)'!N1129,"";"")"),"Lawrence Berkeley National Laboratory|c|")</f>
        <v>Lawrence Berkeley National Laboratory|c|</v>
      </c>
      <c r="C1128" s="66" t="s">
        <v>9696</v>
      </c>
    </row>
    <row r="1129" ht="15.75" customHeight="1">
      <c r="A1129" s="66">
        <f>'Main dataset (DEPRECATED)'!Q1130</f>
        <v>4389005</v>
      </c>
      <c r="B1129" s="66" t="str">
        <f>IFERROR(__xludf.DUMMYFUNCTION("SPLIT('Main dataset (DEPRECATED2)'!N1130,"";"")"),"North Carolina State University|c|")</f>
        <v>North Carolina State University|c|</v>
      </c>
      <c r="C1129" s="66" t="s">
        <v>7284</v>
      </c>
      <c r="D1129" s="66" t="s">
        <v>8505</v>
      </c>
      <c r="E1129" s="66" t="s">
        <v>10140</v>
      </c>
    </row>
    <row r="1130" ht="15.75" customHeight="1">
      <c r="A1130" s="66">
        <f>'Main dataset (DEPRECATED)'!Q1131</f>
        <v>4389030</v>
      </c>
      <c r="B1130" s="66" t="str">
        <f>IFERROR(__xludf.DUMMYFUNCTION("SPLIT('Main dataset (DEPRECATED2)'!N1131,"";"")"),"The Ohio State University|c|")</f>
        <v>The Ohio State University|c|</v>
      </c>
      <c r="C1130" s="66" t="s">
        <v>8664</v>
      </c>
      <c r="D1130" s="66" t="s">
        <v>8712</v>
      </c>
      <c r="E1130" s="66" t="s">
        <v>10237</v>
      </c>
    </row>
    <row r="1131" ht="15.75" customHeight="1">
      <c r="A1131" s="66">
        <f>'Main dataset (DEPRECATED)'!Q1132</f>
        <v>4389002</v>
      </c>
      <c r="B1131" s="66" t="str">
        <f>IFERROR(__xludf.DUMMYFUNCTION("SPLIT('Main dataset (DEPRECATED2)'!N1132,"";"")"),"Jet Propulsion Laboratory|c|")</f>
        <v>Jet Propulsion Laboratory|c|</v>
      </c>
      <c r="C1131" s="66" t="s">
        <v>9823</v>
      </c>
      <c r="D1131" s="66" t="s">
        <v>9425</v>
      </c>
      <c r="E1131" s="66" t="s">
        <v>11001</v>
      </c>
    </row>
    <row r="1132" ht="15.75" customHeight="1">
      <c r="A1132" s="66">
        <f>'Main dataset (DEPRECATED)'!Q1133</f>
        <v>4389008</v>
      </c>
      <c r="B1132" s="66" t="str">
        <f>IFERROR(__xludf.DUMMYFUNCTION("SPLIT('Main dataset (DEPRECATED2)'!N1133,"";"")"),"Ecole des Mines de Nantes##INRIA Futurs/LRI##UniversitÃ© Paris-Sud")</f>
        <v>Ecole des Mines de Nantes##INRIA Futurs/LRI##UniversitÃ© Paris-Sud</v>
      </c>
      <c r="C1132" s="66" t="s">
        <v>10302</v>
      </c>
      <c r="D1132" s="66" t="s">
        <v>10957</v>
      </c>
      <c r="E1132" s="66" t="s">
        <v>9549</v>
      </c>
    </row>
    <row r="1133" ht="15.75" customHeight="1">
      <c r="A1133" s="66">
        <f>'Main dataset (DEPRECATED)'!Q1134</f>
        <v>4389023</v>
      </c>
      <c r="B1133" s="66" t="str">
        <f>IFERROR(__xludf.DUMMYFUNCTION("SPLIT('Main dataset (DEPRECATED2)'!N1134,"";"")"),"Georgia Institute of Technology Atlanta##Georgia Institute of Technology Atlanta")</f>
        <v>Georgia Institute of Technology Atlanta##Georgia Institute of Technology Atlanta</v>
      </c>
      <c r="C1133" s="66" t="s">
        <v>10352</v>
      </c>
      <c r="D1133" s="66" t="s">
        <v>7753</v>
      </c>
      <c r="E1133" s="66" t="s">
        <v>11488</v>
      </c>
    </row>
    <row r="1134" ht="15.75" customHeight="1">
      <c r="A1134" s="66">
        <f>'Main dataset (DEPRECATED)'!Q1135</f>
        <v>4389018</v>
      </c>
      <c r="B1134" s="66" t="str">
        <f>IFERROR(__xludf.DUMMYFUNCTION("SPLIT('Main dataset (DEPRECATED2)'!N1135,"";"")"),"University of British Columbia|c|")</f>
        <v>University of British Columbia|c|</v>
      </c>
      <c r="C1134" s="66" t="s">
        <v>10969</v>
      </c>
      <c r="D1134" s="66" t="s">
        <v>11555</v>
      </c>
    </row>
    <row r="1135" ht="15.75" customHeight="1">
      <c r="A1135" s="66">
        <f>'Main dataset (DEPRECATED)'!Q1136</f>
        <v>4389024</v>
      </c>
      <c r="B1135" s="66" t="str">
        <f>IFERROR(__xludf.DUMMYFUNCTION("SPLIT('Main dataset (DEPRECATED2)'!N1136,"";"")"),"University of Wisconsinâ€“Madison")</f>
        <v>University of Wisconsinâ€“Madison</v>
      </c>
    </row>
    <row r="1136" ht="15.75" customHeight="1">
      <c r="A1136" s="66">
        <f>'Main dataset (DEPRECATED)'!Q1137</f>
        <v>4389007</v>
      </c>
      <c r="B1136" s="66" t="str">
        <f>IFERROR(__xludf.DUMMYFUNCTION("SPLIT('Main dataset (DEPRECATED2)'!N1137,"";"")"),"#VALUE!")</f>
        <v>#VALUE!</v>
      </c>
      <c r="C1136" s="66" t="s">
        <v>8163</v>
      </c>
      <c r="D1136" s="66" t="s">
        <v>8911</v>
      </c>
    </row>
    <row r="1137" ht="15.75" customHeight="1">
      <c r="A1137" s="66">
        <f>'Main dataset (DEPRECATED)'!Q1138</f>
        <v>4388992</v>
      </c>
      <c r="B1137" s="66" t="str">
        <f>IFERROR(__xludf.DUMMYFUNCTION("SPLIT('Main dataset (DEPRECATED2)'!N1138,"";"")"),"Technische Universiteit Eindhoven|c|")</f>
        <v>Technische Universiteit Eindhoven|c|</v>
      </c>
      <c r="C1137" s="66" t="s">
        <v>8623</v>
      </c>
      <c r="D1137" s="66" t="s">
        <v>8073</v>
      </c>
      <c r="E1137" s="66" t="s">
        <v>11555</v>
      </c>
    </row>
    <row r="1138" ht="15.75" customHeight="1">
      <c r="A1138" s="66">
        <f>'Main dataset (DEPRECATED)'!Q1139</f>
        <v>4389026</v>
      </c>
      <c r="B1138" s="66" t="str">
        <f>IFERROR(__xludf.DUMMYFUNCTION("SPLIT('Main dataset (DEPRECATED2)'!N1139,"";"")"),"Worcester Polytechnic Institute##Worcester Polytechnic Institute##Worcester Polytechnic Institute")</f>
        <v>Worcester Polytechnic Institute##Worcester Polytechnic Institute##Worcester Polytechnic Institute</v>
      </c>
      <c r="C1138" s="66" t="s">
        <v>6318</v>
      </c>
      <c r="D1138" s="66" t="s">
        <v>9964</v>
      </c>
      <c r="E1138" s="66" t="s">
        <v>10296</v>
      </c>
      <c r="F1138" s="66" t="s">
        <v>11028</v>
      </c>
    </row>
    <row r="1139" ht="15.75" customHeight="1">
      <c r="A1139" s="66">
        <f>'Main dataset (DEPRECATED)'!Q1140</f>
        <v>4389019</v>
      </c>
      <c r="B1139" s="66" t="str">
        <f>IFERROR(__xludf.DUMMYFUNCTION("SPLIT('Main dataset (DEPRECATED2)'!N1140,"";"")"),"Sandia National Laboratories|c|")</f>
        <v>Sandia National Laboratories|c|</v>
      </c>
      <c r="C1139" s="66" t="s">
        <v>8414</v>
      </c>
      <c r="D1139" s="66" t="s">
        <v>8574</v>
      </c>
      <c r="E1139" s="66" t="s">
        <v>10189</v>
      </c>
    </row>
    <row r="1140" ht="15.75" customHeight="1">
      <c r="A1140" s="66">
        <f>'Main dataset (DEPRECATED)'!Q1141</f>
        <v>4388996</v>
      </c>
      <c r="B1140" s="66" t="str">
        <f>IFERROR(__xludf.DUMMYFUNCTION("SPLIT('Main dataset (DEPRECATED2)'!N1141,"";"")"),"#VALUE!")</f>
        <v>#VALUE!</v>
      </c>
      <c r="C1140" s="66" t="s">
        <v>7378</v>
      </c>
      <c r="D1140" s="66" t="s">
        <v>7628</v>
      </c>
      <c r="E1140" s="66" t="s">
        <v>8259</v>
      </c>
      <c r="F1140" s="66" t="s">
        <v>8702</v>
      </c>
      <c r="G1140" s="66" t="s">
        <v>8928</v>
      </c>
    </row>
    <row r="1141" ht="15.75" customHeight="1">
      <c r="A1141" s="66">
        <f>'Main dataset (DEPRECATED)'!Q1142</f>
        <v>4470207</v>
      </c>
      <c r="B1141" s="66" t="str">
        <f>IFERROR(__xludf.DUMMYFUNCTION("SPLIT('Main dataset (DEPRECATED2)'!N1142,"";"")"),"Technion -Israel Institute of Technology##Technion -Israel Institute of Technology")</f>
        <v>Technion -Israel Institute of Technology##Technion -Israel Institute of Technology</v>
      </c>
      <c r="C1141" s="66" t="s">
        <v>7974</v>
      </c>
      <c r="D1141" s="66" t="s">
        <v>8205</v>
      </c>
      <c r="E1141" s="66" t="s">
        <v>8583</v>
      </c>
      <c r="F1141" s="66" t="s">
        <v>8722</v>
      </c>
      <c r="G1141" s="66" t="s">
        <v>11288</v>
      </c>
      <c r="H1141" s="66" t="s">
        <v>7540</v>
      </c>
    </row>
    <row r="1142" ht="15.75" customHeight="1">
      <c r="A1142" s="66">
        <f>'Main dataset (DEPRECATED)'!Q1143</f>
        <v>4389020</v>
      </c>
      <c r="B1142" s="66" t="str">
        <f>IFERROR(__xludf.DUMMYFUNCTION("SPLIT('Main dataset (DEPRECATED2)'!N1143,"";"")"),"Technical University Know-Center Graz##Technical University Know-Center Graz##Technical University Know-Center Graz##Technical University Know-Center Graz##Technical University Know-Center Graz##Technical University Know-Center Graz##Technical University "&amp;"Know-Center Graz")</f>
        <v>Technical University Know-Center Graz##Technical University Know-Center Graz##Technical University Know-Center Graz##Technical University Know-Center Graz##Technical University Know-Center Graz##Technical University Know-Center Graz##Technical University Know-Center Graz</v>
      </c>
      <c r="C1142" s="66" t="s">
        <v>7974</v>
      </c>
      <c r="D1142" s="66" t="s">
        <v>8205</v>
      </c>
      <c r="E1142" s="66" t="s">
        <v>8583</v>
      </c>
      <c r="F1142" s="66" t="s">
        <v>9428</v>
      </c>
      <c r="G1142" s="66" t="s">
        <v>11288</v>
      </c>
    </row>
    <row r="1143" ht="15.75" customHeight="1">
      <c r="A1143" s="66">
        <f>'Main dataset (DEPRECATED)'!Q1144</f>
        <v>4389010</v>
      </c>
      <c r="B1143" s="66" t="str">
        <f>IFERROR(__xludf.DUMMYFUNCTION("SPLIT('Main dataset (DEPRECATED2)'!N1144,"";"")"),"SD Industries GmbH##University of Rostock Rostock##University of Rostock Rostock")</f>
        <v>SD Industries GmbH##University of Rostock Rostock##University of Rostock Rostock</v>
      </c>
      <c r="C1143" s="66" t="s">
        <v>6884</v>
      </c>
      <c r="D1143" s="66" t="s">
        <v>9850</v>
      </c>
      <c r="E1143" s="66" t="s">
        <v>8750</v>
      </c>
    </row>
    <row r="1144" ht="15.75" customHeight="1">
      <c r="A1144" s="66">
        <f>'Main dataset (DEPRECATED)'!Q1145</f>
        <v>4389033</v>
      </c>
      <c r="B1144" s="66" t="str">
        <f>IFERROR(__xludf.DUMMYFUNCTION("SPLIT('Main dataset (DEPRECATED2)'!N1145,"";"")"),"Platform Digital, LLC|c|")</f>
        <v>Platform Digital, LLC|c|</v>
      </c>
      <c r="C1144" s="66" t="s">
        <v>10969</v>
      </c>
      <c r="D1144" s="66" t="s">
        <v>8623</v>
      </c>
      <c r="E1144" s="66" t="s">
        <v>7411</v>
      </c>
      <c r="F1144" s="66" t="s">
        <v>8874</v>
      </c>
      <c r="G1144" s="66" t="s">
        <v>11555</v>
      </c>
    </row>
    <row r="1145" ht="15.75" customHeight="1">
      <c r="A1145" s="66">
        <f>'Main dataset (DEPRECATED)'!Q1146</f>
        <v>4389032</v>
      </c>
      <c r="B1145" s="66" t="str">
        <f>IFERROR(__xludf.DUMMYFUNCTION("SPLIT('Main dataset (DEPRECATED2)'!N1146,"";"")"),"University of Toronto##University of Toronto##University of Toronto")</f>
        <v>University of Toronto##University of Toronto##University of Toronto</v>
      </c>
      <c r="C1145" s="66" t="s">
        <v>9930</v>
      </c>
      <c r="D1145" s="66" t="s">
        <v>8940</v>
      </c>
      <c r="E1145" s="66" t="s">
        <v>9690</v>
      </c>
      <c r="F1145" s="66" t="s">
        <v>10422</v>
      </c>
      <c r="G1145" s="66" t="s">
        <v>11440</v>
      </c>
    </row>
    <row r="1146" ht="15.75" customHeight="1">
      <c r="A1146" s="66">
        <f>'Main dataset (DEPRECATED)'!Q1147</f>
        <v>4389038</v>
      </c>
      <c r="B1146" s="66" t="str">
        <f>IFERROR(__xludf.DUMMYFUNCTION("SPLIT('Main dataset (DEPRECATED2)'!N1147,"";"")"),"University of Konstanz|c|")</f>
        <v>University of Konstanz|c|</v>
      </c>
      <c r="C1146" s="66" t="s">
        <v>9319</v>
      </c>
      <c r="D1146" s="66" t="s">
        <v>8937</v>
      </c>
    </row>
    <row r="1147" ht="15.75" customHeight="1">
      <c r="A1147" s="66">
        <f>'Main dataset (DEPRECATED)'!Q1148</f>
        <v>4389016</v>
      </c>
      <c r="B1147" s="66" t="str">
        <f>IFERROR(__xludf.DUMMYFUNCTION("SPLIT('Main dataset (DEPRECATED2)'!N1148,"";"")"),"Université de Bordeaux I|c|")</f>
        <v>Université de Bordeaux I|c|</v>
      </c>
      <c r="C1147" s="66" t="s">
        <v>9319</v>
      </c>
      <c r="D1147" s="66" t="s">
        <v>8937</v>
      </c>
    </row>
    <row r="1148" ht="15.75" customHeight="1">
      <c r="A1148" s="66">
        <f>'Main dataset (DEPRECATED)'!Q1149</f>
        <v>4389037</v>
      </c>
      <c r="B1148" s="66" t="str">
        <f>IFERROR(__xludf.DUMMYFUNCTION("SPLIT('Main dataset (DEPRECATED2)'!N1149,"";"")"),"Technische Universiteit Eindhoven##Technische Universiteit Eindhoven##Technische Universiteit Eindhoven")</f>
        <v>Technische Universiteit Eindhoven##Technische Universiteit Eindhoven##Technische Universiteit Eindhoven</v>
      </c>
      <c r="C1148" s="66" t="s">
        <v>8414</v>
      </c>
      <c r="D1148" s="66" t="s">
        <v>8574</v>
      </c>
      <c r="E1148" s="66" t="s">
        <v>10189</v>
      </c>
      <c r="F1148" s="66" t="s">
        <v>9450</v>
      </c>
      <c r="G1148" s="66" t="s">
        <v>9168</v>
      </c>
      <c r="H1148" s="66" t="s">
        <v>11125</v>
      </c>
    </row>
    <row r="1149" ht="15.75" customHeight="1">
      <c r="A1149" s="66">
        <f>'Main dataset (DEPRECATED)'!Q1150</f>
        <v>4389015</v>
      </c>
      <c r="B1149" s="66" t="str">
        <f>IFERROR(__xludf.DUMMYFUNCTION("SPLIT('Main dataset (DEPRECATED2)'!N1150,"";"")"),"Texas A&amp;M University|c|")</f>
        <v>Texas A&amp;M University|c|</v>
      </c>
      <c r="C1149" s="66" t="s">
        <v>9104</v>
      </c>
      <c r="D1149" s="66" t="s">
        <v>10476</v>
      </c>
      <c r="E1149" s="66" t="s">
        <v>10477</v>
      </c>
    </row>
    <row r="1150" ht="15.75" customHeight="1">
      <c r="A1150" s="66">
        <f>'Main dataset (DEPRECATED)'!Q1151</f>
        <v>4389035</v>
      </c>
      <c r="B1150" s="66" t="str">
        <f>IFERROR(__xludf.DUMMYFUNCTION("SPLIT('Main dataset (DEPRECATED2)'!N1151,"";"")"),"Oculus Info Inc##Oculus Info Inc")</f>
        <v>Oculus Info Inc##Oculus Info Inc</v>
      </c>
      <c r="C1150" s="66" t="s">
        <v>9104</v>
      </c>
      <c r="D1150" s="66" t="s">
        <v>10476</v>
      </c>
      <c r="E1150" s="66" t="s">
        <v>10477</v>
      </c>
    </row>
    <row r="1151" ht="15.75" customHeight="1">
      <c r="A1151" s="66">
        <f>'Main dataset (DEPRECATED)'!Q1152</f>
        <v>4389021</v>
      </c>
      <c r="B1151" s="66" t="str">
        <f>IFERROR(__xludf.DUMMYFUNCTION("SPLIT('Main dataset (DEPRECATED2)'!N1152,"";"")"),"Northwestern University|c|")</f>
        <v>Northwestern University|c|</v>
      </c>
      <c r="C1151" s="66" t="s">
        <v>11200</v>
      </c>
    </row>
    <row r="1152" ht="15.75" customHeight="1">
      <c r="A1152" s="66">
        <f>'Main dataset (DEPRECATED)'!Q1153</f>
        <v>4389012</v>
      </c>
      <c r="B1152" s="66" t="str">
        <f>IFERROR(__xludf.DUMMYFUNCTION("SPLIT('Main dataset (DEPRECATED2)'!N1153,"";"")"),"SSS Research, Inc.|c|")</f>
        <v>SSS Research, Inc.|c|</v>
      </c>
      <c r="C1152" s="66" t="s">
        <v>9007</v>
      </c>
    </row>
    <row r="1153" ht="15.75" customHeight="1">
      <c r="A1153" s="66">
        <f>'Main dataset (DEPRECATED)'!Q1154</f>
        <v>4389027</v>
      </c>
      <c r="B1153" s="66" t="str">
        <f>IFERROR(__xludf.DUMMYFUNCTION("SPLIT('Main dataset (DEPRECATED2)'!N1154,"";"")"),"University of Maryland##University of Maryland")</f>
        <v>University of Maryland##University of Maryland</v>
      </c>
      <c r="C1153" s="66" t="s">
        <v>11597</v>
      </c>
      <c r="D1153" s="66" t="s">
        <v>10503</v>
      </c>
      <c r="E1153" s="66" t="s">
        <v>10034</v>
      </c>
      <c r="F1153" s="66" t="s">
        <v>8599</v>
      </c>
    </row>
    <row r="1154" ht="15.75" customHeight="1">
      <c r="A1154" s="66">
        <f>'Main dataset (DEPRECATED)'!Q1155</f>
        <v>4388995</v>
      </c>
      <c r="B1154" s="66" t="str">
        <f>IFERROR(__xludf.DUMMYFUNCTION("SPLIT('Main dataset (DEPRECATED2)'!N1155,"";"")"),"Pacific Northwest National Laboratory|c|")</f>
        <v>Pacific Northwest National Laboratory|c|</v>
      </c>
      <c r="C1154" s="66" t="s">
        <v>6239</v>
      </c>
      <c r="D1154" s="66" t="s">
        <v>6375</v>
      </c>
    </row>
    <row r="1155" ht="15.75" customHeight="1">
      <c r="A1155" s="66">
        <f>'Main dataset (DEPRECATED)'!Q1156</f>
        <v>4388994</v>
      </c>
      <c r="B1155" s="66" t="str">
        <f>IFERROR(__xludf.DUMMYFUNCTION("SPLIT('Main dataset (DEPRECATED2)'!N1156,"";"")"),"Drexel University|c|")</f>
        <v>Drexel University|c|</v>
      </c>
      <c r="C1155" s="66" t="s">
        <v>11742</v>
      </c>
      <c r="D1155" s="66" t="s">
        <v>9356</v>
      </c>
      <c r="E1155" s="66" t="s">
        <v>7361</v>
      </c>
      <c r="F1155" s="66" t="s">
        <v>6990</v>
      </c>
    </row>
    <row r="1156" ht="15.75" customHeight="1">
      <c r="A1156" s="66">
        <f>'Main dataset (DEPRECATED)'!Q1157</f>
        <v>4389017</v>
      </c>
      <c r="B1156" s="66" t="str">
        <f>IFERROR(__xludf.DUMMYFUNCTION("SPLIT('Main dataset (DEPRECATED2)'!N1157,"";"")"),"Georgia Institute of Technology|c|")</f>
        <v>Georgia Institute of Technology|c|</v>
      </c>
      <c r="C1156" s="66" t="s">
        <v>11798</v>
      </c>
      <c r="D1156" s="66" t="s">
        <v>9781</v>
      </c>
      <c r="E1156" s="66" t="s">
        <v>10644</v>
      </c>
      <c r="F1156" s="66" t="s">
        <v>10767</v>
      </c>
    </row>
    <row r="1157" ht="15.75" customHeight="1">
      <c r="A1157" s="66">
        <f>'Main dataset (DEPRECATED)'!Q1158</f>
        <v>4389009</v>
      </c>
      <c r="B1157" s="66" t="str">
        <f>IFERROR(__xludf.DUMMYFUNCTION("SPLIT('Main dataset (DEPRECATED2)'!N1158,"";"")"),"Drexel University|c|")</f>
        <v>Drexel University|c|</v>
      </c>
      <c r="C1157" s="66" t="s">
        <v>7742</v>
      </c>
      <c r="D1157" s="66" t="s">
        <v>8832</v>
      </c>
      <c r="E1157" s="66" t="s">
        <v>10140</v>
      </c>
      <c r="F1157" s="66" t="s">
        <v>8505</v>
      </c>
      <c r="G1157" s="66" t="s">
        <v>10874</v>
      </c>
      <c r="H1157" s="66" t="s">
        <v>11834</v>
      </c>
      <c r="I1157" s="66" t="s">
        <v>8685</v>
      </c>
      <c r="J1157" s="66" t="s">
        <v>10863</v>
      </c>
    </row>
    <row r="1158" ht="15.75" customHeight="1">
      <c r="A1158" s="66">
        <f>'Main dataset (DEPRECATED)'!Q1159</f>
        <v>4376190</v>
      </c>
      <c r="B1158" s="66" t="str">
        <f>IFERROR(__xludf.DUMMYFUNCTION("SPLIT('Main dataset (DEPRECATED2)'!N1159,"";"")"),"University of North Carolina at Charlotte|c|")</f>
        <v>University of North Carolina at Charlotte|c|</v>
      </c>
      <c r="C1158" s="66" t="s">
        <v>8236</v>
      </c>
      <c r="D1158" s="66" t="s">
        <v>7620</v>
      </c>
    </row>
    <row r="1159" ht="15.75" customHeight="1">
      <c r="A1159" s="66">
        <f>'Main dataset (DEPRECATED)'!Q1160</f>
        <v>4376162</v>
      </c>
      <c r="B1159" s="66" t="str">
        <f>IFERROR(__xludf.DUMMYFUNCTION("SPLIT('Main dataset (DEPRECATED2)'!N1160,"";"")"),"Hewlett Packard Research Laboratories|c|")</f>
        <v>Hewlett Packard Research Laboratories|c|</v>
      </c>
      <c r="C1159" s="66" t="s">
        <v>6830</v>
      </c>
      <c r="D1159" s="66" t="s">
        <v>7231</v>
      </c>
    </row>
    <row r="1160" ht="15.75" customHeight="1">
      <c r="A1160" s="66">
        <f>'Main dataset (DEPRECATED)'!Q1161</f>
        <v>4376158</v>
      </c>
      <c r="B1160" s="66" t="str">
        <f>IFERROR(__xludf.DUMMYFUNCTION("SPLIT('Main dataset (DEPRECATED2)'!N1161,"";"")"),"#REF!")</f>
        <v>#REF!</v>
      </c>
      <c r="C1160" s="66" t="s">
        <v>11683</v>
      </c>
      <c r="D1160" s="66" t="s">
        <v>7506</v>
      </c>
      <c r="E1160" s="66" t="s">
        <v>8208</v>
      </c>
      <c r="F1160" s="66" t="s">
        <v>11573</v>
      </c>
      <c r="G1160" s="66" t="s">
        <v>8240</v>
      </c>
    </row>
    <row r="1161" ht="15.75" customHeight="1">
      <c r="A1161" s="66">
        <f>'Main dataset (DEPRECATED)'!Q1162</f>
        <v>4376200</v>
      </c>
      <c r="B1161" s="66" t="str">
        <f>IFERROR(__xludf.DUMMYFUNCTION("SPLIT('Main dataset (DEPRECATED2)'!N1162,"";"")"),"Universiteit Eindhoven##Universiteit Eindhoven")</f>
        <v>Universiteit Eindhoven##Universiteit Eindhoven</v>
      </c>
      <c r="C1161" s="66" t="s">
        <v>9529</v>
      </c>
      <c r="D1161" s="66" t="s">
        <v>10439</v>
      </c>
      <c r="E1161" s="66" t="s">
        <v>9148</v>
      </c>
      <c r="F1161" s="66" t="s">
        <v>11843</v>
      </c>
    </row>
    <row r="1162" ht="15.75" customHeight="1">
      <c r="A1162" s="66">
        <f>'Main dataset (DEPRECATED)'!Q1163</f>
        <v>4376183</v>
      </c>
      <c r="B1162" s="66" t="str">
        <f>IFERROR(__xludf.DUMMYFUNCTION("SPLIT('Main dataset (DEPRECATED2)'!N1163,"";"")"),"#VALUE!")</f>
        <v>#VALUE!</v>
      </c>
      <c r="C1162" s="66" t="s">
        <v>6506</v>
      </c>
      <c r="D1162" s="66" t="s">
        <v>11024</v>
      </c>
      <c r="E1162" s="66" t="s">
        <v>8023</v>
      </c>
    </row>
    <row r="1163" ht="15.75" customHeight="1">
      <c r="A1163" s="66">
        <f>'Main dataset (DEPRECATED)'!Q1164</f>
        <v>4376188</v>
      </c>
      <c r="B1163" s="66" t="str">
        <f>IFERROR(__xludf.DUMMYFUNCTION("SPLIT('Main dataset (DEPRECATED2)'!N1164,"";"")"),"Indiana University|c|")</f>
        <v>Indiana University|c|</v>
      </c>
      <c r="C1163" s="66" t="s">
        <v>8873</v>
      </c>
      <c r="D1163" s="66" t="s">
        <v>6975</v>
      </c>
      <c r="E1163" s="66" t="s">
        <v>6605</v>
      </c>
    </row>
    <row r="1164" ht="15.75" customHeight="1">
      <c r="A1164" s="66">
        <f>'Main dataset (DEPRECATED)'!Q1165</f>
        <v>4376212</v>
      </c>
      <c r="B1164" s="66" t="str">
        <f>IFERROR(__xludf.DUMMYFUNCTION("SPLIT('Main dataset (DEPRECATED2)'!N1165,"";"")"),"Rutgers University Piscataway##Universiteit Eindhoven")</f>
        <v>Rutgers University Piscataway##Universiteit Eindhoven</v>
      </c>
      <c r="C1164" s="66" t="s">
        <v>10324</v>
      </c>
      <c r="D1164" s="66" t="s">
        <v>11014</v>
      </c>
      <c r="E1164" s="66" t="s">
        <v>8114</v>
      </c>
    </row>
    <row r="1165" ht="15.75" customHeight="1">
      <c r="A1165" s="66">
        <f>'Main dataset (DEPRECATED)'!Q1166</f>
        <v>4376196</v>
      </c>
      <c r="B1165" s="66" t="str">
        <f>IFERROR(__xludf.DUMMYFUNCTION("SPLIT('Main dataset (DEPRECATED2)'!N1166,"";"")"),"UniversitÃ© du QuÃ©becQuÃ©becÃ Chicoutimi##UniversitÃ© du QuÃ©becQuÃ©becÃ Chicoutimi##UniversitÃ© du QuÃ©becQuÃ©becÃ Chicoutimi")</f>
        <v>UniversitÃ© du QuÃ©becQuÃ©becÃ Chicoutimi##UniversitÃ© du QuÃ©becQuÃ©becÃ Chicoutimi##UniversitÃ© du QuÃ©becQuÃ©becÃ Chicoutimi</v>
      </c>
      <c r="C1165" s="66" t="s">
        <v>6473</v>
      </c>
      <c r="D1165" s="66" t="s">
        <v>6642</v>
      </c>
      <c r="E1165" s="66" t="s">
        <v>11250</v>
      </c>
      <c r="F1165" s="66" t="s">
        <v>7729</v>
      </c>
      <c r="G1165" s="66" t="s">
        <v>7887</v>
      </c>
    </row>
    <row r="1166" ht="15.75" customHeight="1">
      <c r="A1166" s="66">
        <f>'Main dataset (DEPRECATED)'!Q1167</f>
        <v>4376175</v>
      </c>
      <c r="B1166" s="66" t="str">
        <f>IFERROR(__xludf.DUMMYFUNCTION("SPLIT('Main dataset (DEPRECATED2)'!N1167,"";"")"),"Georgia Institute of Technology|c|")</f>
        <v>Georgia Institute of Technology|c|</v>
      </c>
      <c r="C1166" s="66" t="s">
        <v>7719</v>
      </c>
      <c r="D1166" s="66" t="s">
        <v>11095</v>
      </c>
      <c r="E1166" s="66" t="s">
        <v>7996</v>
      </c>
    </row>
    <row r="1167" ht="15.75" customHeight="1">
      <c r="A1167" s="66">
        <f>'Main dataset (DEPRECATED)'!Q1168</f>
        <v>4376172</v>
      </c>
      <c r="B1167" s="66" t="str">
        <f>IFERROR(__xludf.DUMMYFUNCTION("SPLIT('Main dataset (DEPRECATED2)'!N1168,"";"")"),"University of Arizona##University of Arizona")</f>
        <v>University of Arizona##University of Arizona</v>
      </c>
      <c r="C1167" s="66" t="s">
        <v>9591</v>
      </c>
      <c r="D1167" s="66" t="s">
        <v>9807</v>
      </c>
      <c r="E1167" s="66" t="s">
        <v>8023</v>
      </c>
    </row>
    <row r="1168" ht="15.75" customHeight="1">
      <c r="A1168" s="66">
        <f>'Main dataset (DEPRECATED)'!Q1169</f>
        <v>4376181</v>
      </c>
      <c r="B1168" s="66" t="str">
        <f>IFERROR(__xludf.DUMMYFUNCTION("SPLIT('Main dataset (DEPRECATED2)'!N1169,"";"")"),"Virginia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1168" s="66" t="s">
        <v>10198</v>
      </c>
    </row>
    <row r="1169" ht="15.75" customHeight="1">
      <c r="A1169" s="66">
        <f>'Main dataset (DEPRECATED)'!Q1170</f>
        <v>4376174</v>
      </c>
      <c r="B1169" s="66" t="str">
        <f>IFERROR(__xludf.DUMMYFUNCTION("SPLIT('Main dataset (DEPRECATED2)'!N1170,"";"")"),"#VALUE!")</f>
        <v>#VALUE!</v>
      </c>
      <c r="C1169" s="66" t="s">
        <v>9842</v>
      </c>
    </row>
    <row r="1170" ht="15.75" customHeight="1">
      <c r="A1170" s="66">
        <f>'Main dataset (DEPRECATED)'!Q1171</f>
        <v>4376160</v>
      </c>
      <c r="B1170" s="66" t="str">
        <f>IFERROR(__xludf.DUMMYFUNCTION("SPLIT('Main dataset (DEPRECATED2)'!N1171,"";"")"),"University of Minnesota at Twin Cities##University of Minnesota at Twin Cities")</f>
        <v>University of Minnesota at Twin Cities##University of Minnesota at Twin Cities</v>
      </c>
      <c r="C1170" s="66" t="s">
        <v>7887</v>
      </c>
    </row>
    <row r="1171" ht="15.75" customHeight="1">
      <c r="A1171" s="66">
        <f>'Main dataset (DEPRECATED)'!Q1172</f>
        <v>4376209</v>
      </c>
      <c r="B1171" s="66" t="str">
        <f>IFERROR(__xludf.DUMMYFUNCTION("SPLIT('Main dataset (DEPRECATED2)'!N1172,"";"")"),"University of Calgary|c|")</f>
        <v>University of Calgary|c|</v>
      </c>
      <c r="C1171" s="66" t="s">
        <v>11095</v>
      </c>
      <c r="D1171" s="66" t="s">
        <v>10418</v>
      </c>
      <c r="E1171" s="66" t="s">
        <v>8421</v>
      </c>
      <c r="F1171" s="66" t="s">
        <v>10399</v>
      </c>
    </row>
    <row r="1172" ht="15.75" customHeight="1">
      <c r="A1172" s="66">
        <f>'Main dataset (DEPRECATED)'!Q1173</f>
        <v>4376199</v>
      </c>
      <c r="B1172" s="66" t="str">
        <f>IFERROR(__xludf.DUMMYFUNCTION("SPLIT('Main dataset (DEPRECATED2)'!N1173,"";"")"),"Rutgers University|c|")</f>
        <v>Rutgers University|c|</v>
      </c>
      <c r="C1172" s="66" t="s">
        <v>8270</v>
      </c>
    </row>
    <row r="1173" ht="15.75" customHeight="1">
      <c r="A1173" s="66">
        <f>'Main dataset (DEPRECATED)'!Q1174</f>
        <v>4376204</v>
      </c>
      <c r="B1173" s="66" t="str">
        <f>IFERROR(__xludf.DUMMYFUNCTION("SPLIT('Main dataset (DEPRECATED2)'!N1174,"";"")"),"University of Konstanz##University of Konstanz##University of Konstanz##University of Konstanz")</f>
        <v>University of Konstanz##University of Konstanz##University of Konstanz##University of Konstanz</v>
      </c>
      <c r="C1173" s="66" t="s">
        <v>7985</v>
      </c>
      <c r="D1173" s="66" t="s">
        <v>11517</v>
      </c>
      <c r="E1173" s="66" t="s">
        <v>6706</v>
      </c>
    </row>
    <row r="1174" ht="15.75" customHeight="1">
      <c r="A1174" s="66">
        <f>'Main dataset (DEPRECATED)'!Q1175</f>
        <v>4376157</v>
      </c>
      <c r="B1174" s="66" t="str">
        <f>IFERROR(__xludf.DUMMYFUNCTION("SPLIT('Main dataset (DEPRECATED2)'!N1175,"";"")"),"Futurefarmers|c|")</f>
        <v>Futurefarmers|c|</v>
      </c>
      <c r="C1174" s="66" t="s">
        <v>10624</v>
      </c>
      <c r="D1174" s="66" t="s">
        <v>6857</v>
      </c>
    </row>
    <row r="1175" ht="15.75" customHeight="1">
      <c r="A1175" s="66">
        <f>'Main dataset (DEPRECATED)'!Q1176</f>
        <v>4376208</v>
      </c>
      <c r="B1175" s="66" t="str">
        <f>IFERROR(__xludf.DUMMYFUNCTION("SPLIT('Main dataset (DEPRECATED2)'!N1176,"";"")"),"Simon Fraser University##Simon Fraser University")</f>
        <v>Simon Fraser University##Simon Fraser University</v>
      </c>
      <c r="C1175" s="66" t="s">
        <v>7616</v>
      </c>
      <c r="D1175" s="66" t="s">
        <v>8778</v>
      </c>
      <c r="E1175" s="66" t="s">
        <v>8047</v>
      </c>
    </row>
    <row r="1176" ht="15.75" customHeight="1">
      <c r="A1176" s="66">
        <f>'Main dataset (DEPRECATED)'!Q1177</f>
        <v>4376201</v>
      </c>
      <c r="B1176" s="66" t="str">
        <f>IFERROR(__xludf.DUMMYFUNCTION("SPLIT('Main dataset (DEPRECATED2)'!N1177,"";"")"),"The Mitre Corporation|c|")</f>
        <v>The Mitre Corporation|c|</v>
      </c>
      <c r="C1176" s="66" t="s">
        <v>6826</v>
      </c>
      <c r="D1176" s="66" t="s">
        <v>9222</v>
      </c>
    </row>
    <row r="1177" ht="15.75" customHeight="1">
      <c r="A1177" s="66">
        <f>'Main dataset (DEPRECATED)'!Q1178</f>
        <v>4376166</v>
      </c>
      <c r="B1177" s="66" t="str">
        <f>IFERROR(__xludf.DUMMYFUNCTION("SPLIT('Main dataset (DEPRECATED2)'!N1178,"";"")"),"University of British Columbia##University of British Columbia")</f>
        <v>University of British Columbia##University of British Columbia</v>
      </c>
      <c r="C1177" s="66" t="s">
        <v>7273</v>
      </c>
      <c r="D1177" s="66" t="s">
        <v>8093</v>
      </c>
      <c r="E1177" s="66" t="s">
        <v>9532</v>
      </c>
      <c r="F1177" s="66" t="s">
        <v>9984</v>
      </c>
    </row>
    <row r="1178" ht="15.75" customHeight="1">
      <c r="A1178" s="66">
        <f>'Main dataset (DEPRECATED)'!Q1179</f>
        <v>4376177</v>
      </c>
      <c r="B1178" s="66" t="str">
        <f>IFERROR(__xludf.DUMMYFUNCTION("SPLIT('Main dataset (DEPRECATED2)'!N1179,"";"")"),"Northwestern University|c|")</f>
        <v>Northwestern University|c|</v>
      </c>
      <c r="C1178" s="66" t="s">
        <v>7556</v>
      </c>
      <c r="D1178" s="66" t="s">
        <v>10066</v>
      </c>
      <c r="E1178" s="66" t="s">
        <v>11438</v>
      </c>
    </row>
    <row r="1179" ht="15.75" customHeight="1">
      <c r="A1179" s="66">
        <f>'Main dataset (DEPRECATED)'!Q1180</f>
        <v>4376170</v>
      </c>
      <c r="B1179" s="66" t="str">
        <f>IFERROR(__xludf.DUMMYFUNCTION("SPLIT('Main dataset (DEPRECATED2)'!N1180,"";"")"),"INRIA Futurs/LRI")</f>
        <v>INRIA Futurs/LRI</v>
      </c>
      <c r="C1179" s="66" t="s">
        <v>8328</v>
      </c>
      <c r="D1179" s="66" t="s">
        <v>9975</v>
      </c>
      <c r="E1179" s="66" t="s">
        <v>10495</v>
      </c>
    </row>
    <row r="1180" ht="15.75" customHeight="1">
      <c r="A1180" s="66">
        <f>'Main dataset (DEPRECATED)'!Q1181</f>
        <v>4376189</v>
      </c>
      <c r="B1180" s="66" t="str">
        <f>IFERROR(__xludf.DUMMYFUNCTION("SPLIT('Main dataset (DEPRECATED2)'!N1181,"";"")"),"University of Sydney")</f>
        <v>University of Sydney</v>
      </c>
      <c r="C1180" s="66" t="s">
        <v>7471</v>
      </c>
      <c r="D1180" s="66" t="s">
        <v>11787</v>
      </c>
      <c r="E1180" s="66" t="s">
        <v>9608</v>
      </c>
      <c r="F1180" s="66" t="s">
        <v>8645</v>
      </c>
      <c r="G1180" s="66" t="s">
        <v>9529</v>
      </c>
    </row>
    <row r="1181" ht="15.75" customHeight="1">
      <c r="A1181" s="66">
        <f>'Main dataset (DEPRECATED)'!Q1182</f>
        <v>4376202</v>
      </c>
      <c r="B1181" s="66" t="str">
        <f>IFERROR(__xludf.DUMMYFUNCTION("SPLIT('Main dataset (DEPRECATED2)'!N1182,"";"")"),"AT&amp;T Labs., NJ|c|")</f>
        <v>AT&amp;T Labs., NJ|c|</v>
      </c>
      <c r="C1181" s="66" t="s">
        <v>7183</v>
      </c>
      <c r="D1181" s="66" t="s">
        <v>8154</v>
      </c>
      <c r="E1181" s="66" t="s">
        <v>7698</v>
      </c>
      <c r="F1181" s="66" t="s">
        <v>7996</v>
      </c>
    </row>
    <row r="1182" ht="15.75" customHeight="1">
      <c r="A1182" s="66">
        <f>'Main dataset (DEPRECATED)'!Q1183</f>
        <v>4376185</v>
      </c>
      <c r="B1182" s="66" t="str">
        <f>IFERROR(__xludf.DUMMYFUNCTION("SPLIT('Main dataset (DEPRECATED2)'!N1183,"";"")"),"Indiana University|c|")</f>
        <v>Indiana University|c|</v>
      </c>
      <c r="C1182" s="66" t="s">
        <v>6685</v>
      </c>
      <c r="D1182" s="66" t="s">
        <v>8618</v>
      </c>
      <c r="E1182" s="66" t="s">
        <v>8618</v>
      </c>
    </row>
    <row r="1183" ht="15.75" customHeight="1">
      <c r="A1183" s="66">
        <f>'Main dataset (DEPRECATED)'!Q1184</f>
        <v>4376193</v>
      </c>
      <c r="B1183" s="66" t="str">
        <f>IFERROR(__xludf.DUMMYFUNCTION("SPLIT('Main dataset (DEPRECATED2)'!N1184,"";"")"),"University of SÃ£o Paulo##University of SÃ£o Paulo##University of SÃ£o Paulo")</f>
        <v>University of SÃ£o Paulo##University of SÃ£o Paulo##University of SÃ£o Paulo</v>
      </c>
      <c r="C1183" s="66" t="s">
        <v>7780</v>
      </c>
    </row>
    <row r="1184" ht="15.75" customHeight="1">
      <c r="A1184" s="66">
        <f>'Main dataset (DEPRECATED)'!Q1185</f>
        <v>4376210</v>
      </c>
      <c r="B1184" s="66" t="str">
        <f>IFERROR(__xludf.DUMMYFUNCTION("SPLIT('Main dataset (DEPRECATED2)'!N1185,"";"")"),"University of Maryland and Microsoft Research|c|")</f>
        <v>University of Maryland and Microsoft Research|c|</v>
      </c>
      <c r="C1184" s="66" t="s">
        <v>8155</v>
      </c>
      <c r="D1184" s="66" t="s">
        <v>9510</v>
      </c>
      <c r="E1184" s="66" t="s">
        <v>8267</v>
      </c>
      <c r="F1184" s="66" t="s">
        <v>6466</v>
      </c>
      <c r="G1184" s="66" t="s">
        <v>7698</v>
      </c>
      <c r="H1184" s="66" t="s">
        <v>8811</v>
      </c>
      <c r="I1184" s="66" t="s">
        <v>8023</v>
      </c>
      <c r="J1184" s="66" t="s">
        <v>7996</v>
      </c>
    </row>
    <row r="1185" ht="15.75" customHeight="1">
      <c r="A1185" s="66">
        <f>'Main dataset (DEPRECATED)'!Q1186</f>
        <v>4376165</v>
      </c>
      <c r="B1185" s="66" t="str">
        <f>IFERROR(__xludf.DUMMYFUNCTION("SPLIT('Main dataset (DEPRECATED2)'!N1186,"";"")"),"University of Bordeaux 1|c|")</f>
        <v>University of Bordeaux 1|c|</v>
      </c>
      <c r="C1185" s="66" t="s">
        <v>11447</v>
      </c>
      <c r="D1185" s="66" t="s">
        <v>10399</v>
      </c>
      <c r="E1185" s="66" t="s">
        <v>8811</v>
      </c>
    </row>
    <row r="1186" ht="15.75" customHeight="1">
      <c r="A1186" s="66">
        <f>'Main dataset (DEPRECATED)'!Q1187</f>
        <v>4376186</v>
      </c>
      <c r="B1186" s="66" t="str">
        <f>IFERROR(__xludf.DUMMYFUNCTION("SPLIT('Main dataset (DEPRECATED2)'!N1187,"";"")"),"University of California")</f>
        <v>University of California</v>
      </c>
      <c r="C1186" s="66" t="s">
        <v>9828</v>
      </c>
      <c r="D1186" s="66" t="s">
        <v>8809</v>
      </c>
      <c r="E1186" s="66" t="s">
        <v>7530</v>
      </c>
      <c r="F1186" s="66" t="s">
        <v>11237</v>
      </c>
    </row>
    <row r="1187" ht="15.75" customHeight="1">
      <c r="A1187" s="66">
        <f>'Main dataset (DEPRECATED)'!Q1188</f>
        <v>4376187</v>
      </c>
      <c r="B1187" s="66" t="str">
        <f>IFERROR(__xludf.DUMMYFUNCTION("SPLIT('Main dataset (DEPRECATED2)'!N1188,"";"")"),"Dept. of Comput. Sci., Worcester Polytech. Inst., MA|c|")</f>
        <v>Dept. of Comput. Sci., Worcester Polytech. Inst., MA|c|</v>
      </c>
      <c r="C1187" s="66" t="s">
        <v>11264</v>
      </c>
      <c r="D1187" s="66" t="s">
        <v>8824</v>
      </c>
      <c r="E1187" s="66" t="s">
        <v>7610</v>
      </c>
      <c r="F1187" s="66" t="s">
        <v>10621</v>
      </c>
    </row>
    <row r="1188" ht="15.75" customHeight="1">
      <c r="A1188" s="66">
        <f>'Main dataset (DEPRECATED)'!Q1189</f>
        <v>4376184</v>
      </c>
      <c r="B1188" s="66" t="str">
        <f>IFERROR(__xludf.DUMMYFUNCTION("SPLIT('Main dataset (DEPRECATED2)'!N1189,"";"")"),"Visintuit LLC|c|")</f>
        <v>Visintuit LLC|c|</v>
      </c>
      <c r="C1188" s="66" t="s">
        <v>9072</v>
      </c>
    </row>
    <row r="1189" ht="15.75" customHeight="1">
      <c r="A1189" s="66">
        <f>'Main dataset (DEPRECATED)'!Q1190</f>
        <v>4376163</v>
      </c>
      <c r="B1189" s="66" t="str">
        <f>IFERROR(__xludf.DUMMYFUNCTION("SPLIT('Main dataset (DEPRECATED2)'!N1190,"";"")"),"University of Illinois at Chicago|c|")</f>
        <v>University of Illinois at Chicago|c|</v>
      </c>
      <c r="C1189" s="66" t="s">
        <v>8562</v>
      </c>
      <c r="D1189" s="66" t="s">
        <v>9203</v>
      </c>
    </row>
    <row r="1190" ht="15.75" customHeight="1">
      <c r="A1190" s="66">
        <f>'Main dataset (DEPRECATED)'!Q1191</f>
        <v>4376191</v>
      </c>
      <c r="B1190" s="66" t="str">
        <f>IFERROR(__xludf.DUMMYFUNCTION("SPLIT('Main dataset (DEPRECATED2)'!N1191,"";"")"),"Mississippi State University|c|")</f>
        <v>Mississippi State University|c|</v>
      </c>
      <c r="C1190" s="66" t="s">
        <v>7985</v>
      </c>
      <c r="D1190" s="66" t="s">
        <v>7273</v>
      </c>
      <c r="E1190" s="66" t="s">
        <v>8093</v>
      </c>
    </row>
    <row r="1191" ht="15.75" customHeight="1">
      <c r="A1191" s="66">
        <f>'Main dataset (DEPRECATED)'!Q1192</f>
        <v>4376207</v>
      </c>
      <c r="B1191" s="66" t="str">
        <f>IFERROR(__xludf.DUMMYFUNCTION("SPLIT('Main dataset (DEPRECATED2)'!N1192,"";"")"),"Tufts University|c|")</f>
        <v>Tufts University|c|</v>
      </c>
      <c r="C1191" s="66" t="s">
        <v>11756</v>
      </c>
      <c r="D1191" s="66" t="s">
        <v>6909</v>
      </c>
      <c r="E1191" s="66" t="s">
        <v>11458</v>
      </c>
      <c r="F1191" s="66" t="s">
        <v>11421</v>
      </c>
      <c r="G1191" s="66" t="s">
        <v>8023</v>
      </c>
    </row>
    <row r="1192" ht="15.75" customHeight="1">
      <c r="A1192" s="66">
        <f>'Main dataset (DEPRECATED)'!Q1193</f>
        <v>4376159</v>
      </c>
      <c r="B1192" s="66" t="str">
        <f>IFERROR(__xludf.DUMMYFUNCTION("SPLIT('Main dataset (DEPRECATED2)'!N1193,"";"")"),"University of Chicago|c|")</f>
        <v>University of Chicago|c|</v>
      </c>
      <c r="C1192" s="66" t="s">
        <v>6685</v>
      </c>
      <c r="D1192" s="66" t="s">
        <v>7887</v>
      </c>
    </row>
    <row r="1193" ht="15.75" customHeight="1">
      <c r="A1193" s="66">
        <f>'Main dataset (DEPRECATED)'!Q1194</f>
        <v>4376203</v>
      </c>
      <c r="B1193" s="66" t="str">
        <f>IFERROR(__xludf.DUMMYFUNCTION("SPLIT('Main dataset (DEPRECATED2)'!N1194,"";"")"),"University of Sydney,|c|")</f>
        <v>University of Sydney,|c|</v>
      </c>
      <c r="C1193" s="66" t="s">
        <v>8053</v>
      </c>
    </row>
    <row r="1194" ht="15.75" customHeight="1">
      <c r="A1194" s="66">
        <f>'Main dataset (DEPRECATED)'!Q1195</f>
        <v>4376173</v>
      </c>
      <c r="B1194" s="66" t="str">
        <f>IFERROR(__xludf.DUMMYFUNCTION("SPLIT('Main dataset (DEPRECATED2)'!N1195,"";"")"),"Media Lab., MIT, Cambridge, MA|c|")</f>
        <v>Media Lab., MIT, Cambridge, MA|c|</v>
      </c>
      <c r="C1194" s="66" t="s">
        <v>6980</v>
      </c>
      <c r="D1194" s="66" t="s">
        <v>8861</v>
      </c>
    </row>
    <row r="1195" ht="15.75" customHeight="1">
      <c r="A1195" s="66">
        <f>'Main dataset (DEPRECATED)'!Q1196</f>
        <v>4376180</v>
      </c>
      <c r="B1195" s="66" t="str">
        <f>IFERROR(__xludf.DUMMYFUNCTION("SPLIT('Main dataset (DEPRECATED2)'!N1196,"";"")"),"University of Leeds|c|")</f>
        <v>University of Leeds|c|</v>
      </c>
      <c r="C1195" s="66" t="s">
        <v>9561</v>
      </c>
    </row>
    <row r="1196" ht="15.75" customHeight="1">
      <c r="A1196" s="66">
        <f>'Main dataset (DEPRECATED)'!Q1197</f>
        <v>4376182</v>
      </c>
      <c r="B1196" s="66" t="str">
        <f>IFERROR(__xludf.DUMMYFUNCTION("SPLIT('Main dataset (DEPRECATED2)'!N1197,"";"")"),"State University of New York at Stony Brook##State University of New York at Stony Brook##State University of New York at Stony Brook")</f>
        <v>State University of New York at Stony Brook##State University of New York at Stony Brook##State University of New York at Stony Brook</v>
      </c>
      <c r="C1196" s="66" t="s">
        <v>8642</v>
      </c>
      <c r="D1196" s="66" t="s">
        <v>7887</v>
      </c>
    </row>
    <row r="1197" ht="15.75" customHeight="1">
      <c r="A1197" s="66">
        <f>'Main dataset (DEPRECATED)'!Q1198</f>
        <v>4376176</v>
      </c>
      <c r="B1197" s="66" t="str">
        <f>IFERROR(__xludf.DUMMYFUNCTION("SPLIT('Main dataset (DEPRECATED2)'!N1198,"";"")"),"LinkÃ¶ping Institute of Technology##LinkÃ¶ping Institute of Technology")</f>
        <v>LinkÃ¶ping Institute of Technology##LinkÃ¶ping Institute of Technology</v>
      </c>
      <c r="C1197" s="66" t="s">
        <v>8555</v>
      </c>
      <c r="D1197" s="66" t="s">
        <v>10135</v>
      </c>
    </row>
    <row r="1198" ht="15.75" customHeight="1">
      <c r="A1198" s="66">
        <f>'Main dataset (DEPRECATED)'!Q1199</f>
        <v>4376161</v>
      </c>
      <c r="B1198" s="66" t="str">
        <f>IFERROR(__xludf.DUMMYFUNCTION("SPLIT('Main dataset (DEPRECATED2)'!N1199,"";"")"),"University of Texas at Austin Austin##University of Texas at Austin Austin##University of Texas at Austin Austin##University of Texas at Austin Austin")</f>
        <v>University of Texas at Austin Austin##University of Texas at Austin Austin##University of Texas at Austin Austin##University of Texas at Austin Austin</v>
      </c>
      <c r="C1198" s="66" t="s">
        <v>6980</v>
      </c>
    </row>
    <row r="1199" ht="15.75" customHeight="1">
      <c r="A1199" s="66">
        <f>'Main dataset (DEPRECATED)'!Q1200</f>
        <v>4376164</v>
      </c>
      <c r="B1199" s="66" t="str">
        <f>IFERROR(__xludf.DUMMYFUNCTION("SPLIT('Main dataset (DEPRECATED2)'!N1200,"";"")"),"Austrian Academy of Sciences##Comenius University##Stanford University Medical Center##Vienna University of Technology##Vienna University of Technology")</f>
        <v>Austrian Academy of Sciences##Comenius University##Stanford University Medical Center##Vienna University of Technology##Vienna University of Technology</v>
      </c>
      <c r="C1199" s="66" t="s">
        <v>7739</v>
      </c>
      <c r="D1199" s="66" t="s">
        <v>9250</v>
      </c>
      <c r="E1199" s="66" t="s">
        <v>9501</v>
      </c>
      <c r="F1199" s="66" t="s">
        <v>11029</v>
      </c>
    </row>
    <row r="1200" ht="15.75" customHeight="1">
      <c r="A1200" s="66">
        <f>'Main dataset (DEPRECATED)'!Q1201</f>
        <v>4376169</v>
      </c>
      <c r="B1200" s="66" t="str">
        <f>IFERROR(__xludf.DUMMYFUNCTION("SPLIT('Main dataset (DEPRECATED2)'!N1201,"";"")"),"University of California##University of California")</f>
        <v>University of California##University of California</v>
      </c>
      <c r="C1200" s="66" t="s">
        <v>6645</v>
      </c>
      <c r="D1200" s="66" t="s">
        <v>9807</v>
      </c>
    </row>
    <row r="1201" ht="15.75" customHeight="1">
      <c r="A1201" s="66">
        <f>'Main dataset (DEPRECATED)'!Q1202</f>
        <v>4376179</v>
      </c>
      <c r="B1201" s="66" t="str">
        <f>IFERROR(__xludf.DUMMYFUNCTION("SPLIT('Main dataset (DEPRECATED2)'!N1202,"";"")"),"Stanford University##Stanford University##Stanford University##Stanford University")</f>
        <v>Stanford University##Stanford University##Stanford University##Stanford University</v>
      </c>
      <c r="C1201" s="66" t="s">
        <v>11014</v>
      </c>
      <c r="D1201" s="66" t="s">
        <v>10481</v>
      </c>
    </row>
    <row r="1202" ht="15.75" customHeight="1">
      <c r="A1202" s="66">
        <f>'Main dataset (DEPRECATED)'!Q1203</f>
        <v>4376171</v>
      </c>
      <c r="B1202" s="66" t="str">
        <f>IFERROR(__xludf.DUMMYFUNCTION("SPLIT('Main dataset (DEPRECATED2)'!N1203,"";"")"),"University of Kaiserslautern##University of Kaiserslautern##University of Kaiserslautern")</f>
        <v>University of Kaiserslautern##University of Kaiserslautern##University of Kaiserslautern</v>
      </c>
      <c r="C1202" s="66" t="s">
        <v>7326</v>
      </c>
      <c r="D1202" s="66" t="s">
        <v>11248</v>
      </c>
      <c r="E1202" s="66" t="s">
        <v>9807</v>
      </c>
      <c r="F1202" s="66" t="s">
        <v>6661</v>
      </c>
      <c r="G1202" s="66" t="s">
        <v>8177</v>
      </c>
      <c r="H1202" s="66" t="s">
        <v>8023</v>
      </c>
    </row>
    <row r="1203" ht="15.75" customHeight="1">
      <c r="A1203" s="66">
        <f>'Main dataset (DEPRECATED)'!Q1204</f>
        <v>4376205</v>
      </c>
      <c r="B1203" s="66" t="str">
        <f>IFERROR(__xludf.DUMMYFUNCTION("SPLIT('Main dataset (DEPRECATED2)'!N1204,"";"")"),"University of Stuttgart|c|")</f>
        <v>University of Stuttgart|c|</v>
      </c>
      <c r="C1203" s="66" t="s">
        <v>8737</v>
      </c>
      <c r="D1203" s="66" t="s">
        <v>11438</v>
      </c>
    </row>
    <row r="1204" ht="15.75" customHeight="1">
      <c r="A1204" s="66">
        <f>'Main dataset (DEPRECATED)'!Q1205</f>
        <v>4376192</v>
      </c>
      <c r="B1204" s="66" t="str">
        <f>IFERROR(__xludf.DUMMYFUNCTION("SPLIT('Main dataset (DEPRECATED2)'!N1205,"";"")"),"Hewlett Packard Research Laboratories|c|")</f>
        <v>Hewlett Packard Research Laboratories|c|</v>
      </c>
      <c r="C1204" s="66" t="s">
        <v>4987</v>
      </c>
    </row>
    <row r="1205" ht="15.75" customHeight="1">
      <c r="A1205" s="66">
        <f>'Main dataset (DEPRECATED)'!Q1206</f>
        <v>4376194</v>
      </c>
      <c r="B1205" s="66" t="str">
        <f>IFERROR(__xludf.DUMMYFUNCTION("SPLIT('Main dataset (DEPRECATED2)'!N1206,"";"")"),"University of Wisconsin-Madison|c|")</f>
        <v>University of Wisconsin-Madison|c|</v>
      </c>
      <c r="C1205" s="66" t="s">
        <v>11254</v>
      </c>
      <c r="D1205" s="66" t="s">
        <v>10128</v>
      </c>
      <c r="E1205" s="66" t="s">
        <v>8093</v>
      </c>
    </row>
    <row r="1206" ht="15.75" customHeight="1">
      <c r="A1206" s="66">
        <f>'Main dataset (DEPRECATED)'!Q1207</f>
        <v>4376198</v>
      </c>
      <c r="B1206" s="66" t="str">
        <f>IFERROR(__xludf.DUMMYFUNCTION("SPLIT('Main dataset (DEPRECATED2)'!N1207,"";"")"),"The Ohio State Univ. Oak Ridge National Lab##The Ohio State Univ. Oak Ridge National Lab##The Ohio State Univ. Oak Ridge National Lab##The Ohio State Univ. Oak Ridge National Lab")</f>
        <v>The Ohio State Univ. Oak Ridge National Lab##The Ohio State Univ. Oak Ridge National Lab##The Ohio State Univ. Oak Ridge National Lab##The Ohio State Univ. Oak Ridge National Lab</v>
      </c>
      <c r="C1206" s="66" t="s">
        <v>9101</v>
      </c>
      <c r="D1206" s="66" t="s">
        <v>9873</v>
      </c>
      <c r="E1206" s="66" t="s">
        <v>11694</v>
      </c>
    </row>
    <row r="1207" ht="15.75" customHeight="1">
      <c r="A1207" s="66">
        <f>'Main dataset (DEPRECATED)'!Q1208</f>
        <v>4376167</v>
      </c>
      <c r="B1207" s="66" t="str">
        <f>IFERROR(__xludf.DUMMYFUNCTION("SPLIT('Main dataset (DEPRECATED2)'!N1208,"";"")"),"DFKI GmbH|c|")</f>
        <v>DFKI GmbH|c|</v>
      </c>
      <c r="C1207" s="66" t="s">
        <v>6231</v>
      </c>
      <c r="D1207" s="66" t="s">
        <v>11424</v>
      </c>
      <c r="E1207" s="66" t="s">
        <v>8560</v>
      </c>
    </row>
    <row r="1208" ht="15.75" customHeight="1">
      <c r="A1208" s="66">
        <f>'Main dataset (DEPRECATED)'!Q1209</f>
        <v>4376211</v>
      </c>
      <c r="B1208" s="66" t="str">
        <f>IFERROR(__xludf.DUMMYFUNCTION("SPLIT('Main dataset (DEPRECATED2)'!N1209,"";"")"),"CCLRC Rutherford Appleton Laboratory##Oxford Brookes University####University of Leeds")</f>
        <v>CCLRC Rutherford Appleton Laboratory##Oxford Brookes University####University of Leeds</v>
      </c>
      <c r="C1208" s="66" t="s">
        <v>6731</v>
      </c>
    </row>
    <row r="1209" ht="15.75" customHeight="1">
      <c r="A1209" s="66">
        <f>'Main dataset (DEPRECATED)'!Q1210</f>
        <v>4376168</v>
      </c>
      <c r="B1209" s="66" t="str">
        <f>IFERROR(__xludf.DUMMYFUNCTION("SPLIT('Main dataset (DEPRECATED2)'!N1210,"";"")"),"University of Utah##University of Utah##University of Utah##University of Utah##University of Utah##University of Utah##University of Utah")</f>
        <v>University of Utah##University of Utah##University of Utah##University of Utah##University of Utah##University of Utah##University of Utah</v>
      </c>
      <c r="C1209" s="66" t="s">
        <v>11496</v>
      </c>
      <c r="D1209" s="66" t="s">
        <v>6226</v>
      </c>
      <c r="E1209" s="66" t="s">
        <v>8602</v>
      </c>
      <c r="F1209" s="66" t="s">
        <v>8601</v>
      </c>
      <c r="G1209" s="66" t="s">
        <v>9920</v>
      </c>
    </row>
    <row r="1210" ht="15.75" customHeight="1">
      <c r="A1210" s="66">
        <f>'Main dataset (DEPRECATED)'!Q1211</f>
        <v>4376195</v>
      </c>
      <c r="B1210" s="66" t="str">
        <f>IFERROR(__xludf.DUMMYFUNCTION("SPLIT('Main dataset (DEPRECATED2)'!N1211,"";"")"),"University of Minnesota|c|")</f>
        <v>University of Minnesota|c|</v>
      </c>
      <c r="C1210" s="66" t="s">
        <v>10107</v>
      </c>
      <c r="D1210" s="66" t="s">
        <v>11282</v>
      </c>
      <c r="E1210" s="66" t="s">
        <v>7432</v>
      </c>
    </row>
    <row r="1211" ht="15.75" customHeight="1">
      <c r="A1211" s="66">
        <f>'Main dataset (DEPRECATED)'!Q1212</f>
        <v>4376206</v>
      </c>
      <c r="B1211" s="66" t="str">
        <f>IFERROR(__xludf.DUMMYFUNCTION("SPLIT('Main dataset (DEPRECATED2)'!N1212,"";"")"),"Sandia Nat. Labs., Albuquerque, NM, USA|c|")</f>
        <v>Sandia Nat. Labs., Albuquerque, NM, USA|c|</v>
      </c>
      <c r="C1211" s="66" t="s">
        <v>8532</v>
      </c>
      <c r="D1211" s="66" t="s">
        <v>6671</v>
      </c>
    </row>
    <row r="1212" ht="15.75" customHeight="1">
      <c r="A1212" s="66">
        <f>'Main dataset (DEPRECATED)'!Q1213</f>
        <v>4376197</v>
      </c>
      <c r="B1212" s="66" t="str">
        <f>IFERROR(__xludf.DUMMYFUNCTION("SPLIT('Main dataset (DEPRECATED2)'!N1213,"";"")"),"Brown University|c|")</f>
        <v>Brown University|c|</v>
      </c>
      <c r="C1212" s="66" t="s">
        <v>6883</v>
      </c>
      <c r="D1212" s="66" t="s">
        <v>11689</v>
      </c>
      <c r="E1212" s="66" t="s">
        <v>8053</v>
      </c>
    </row>
    <row r="1213" ht="15.75" customHeight="1">
      <c r="A1213" s="66">
        <f>'Main dataset (DEPRECATED)'!Q1214</f>
        <v>4376178</v>
      </c>
      <c r="B1213" s="66" t="str">
        <f>IFERROR(__xludf.DUMMYFUNCTION("SPLIT('Main dataset (DEPRECATED2)'!N1214,"";"")"),"Brown University|c|")</f>
        <v>Brown University|c|</v>
      </c>
      <c r="C1213" s="66" t="s">
        <v>7466</v>
      </c>
      <c r="D1213" s="66" t="s">
        <v>8881</v>
      </c>
    </row>
    <row r="1214" ht="15.75" customHeight="1">
      <c r="A1214" s="66">
        <f>'Main dataset (DEPRECATED)'!Q1215</f>
        <v>4015416</v>
      </c>
      <c r="B1214" s="66" t="str">
        <f>IFERROR(__xludf.DUMMYFUNCTION("SPLIT('Main dataset (DEPRECATED2)'!N1215,"";"")"),"Brown University|c|")</f>
        <v>Brown University|c|</v>
      </c>
      <c r="C1214" s="66" t="s">
        <v>11190</v>
      </c>
      <c r="D1214" s="66" t="s">
        <v>9604</v>
      </c>
    </row>
    <row r="1215" ht="15.75" customHeight="1">
      <c r="A1215" s="66">
        <f>'Main dataset (DEPRECATED)'!Q1216</f>
        <v>4015419</v>
      </c>
      <c r="B1215" s="66" t="str">
        <f>IFERROR(__xludf.DUMMYFUNCTION("SPLIT('Main dataset (DEPRECATED2)'!N1216,"";"")"),"Carleton University|c|")</f>
        <v>Carleton University|c|</v>
      </c>
      <c r="C1215" s="66" t="s">
        <v>10597</v>
      </c>
    </row>
    <row r="1216" ht="15.75" customHeight="1">
      <c r="A1216" s="66">
        <f>'Main dataset (DEPRECATED)'!Q1217</f>
        <v>4015438</v>
      </c>
      <c r="B1216" s="66" t="str">
        <f>IFERROR(__xludf.DUMMYFUNCTION("SPLIT('Main dataset (DEPRECATED2)'!N1217,"";"")"),"Comput. Sci. &amp; Electr. Eng., Stanford Univ., CA, USA|c|")</f>
        <v>Comput. Sci. &amp; Electr. Eng., Stanford Univ., CA, USA|c|</v>
      </c>
      <c r="C1216" s="66" t="s">
        <v>6335</v>
      </c>
      <c r="D1216" s="66" t="s">
        <v>7214</v>
      </c>
    </row>
    <row r="1217" ht="15.75" customHeight="1">
      <c r="A1217" s="66">
        <f>'Main dataset (DEPRECATED)'!Q1218</f>
        <v>4015429</v>
      </c>
      <c r="B1217" s="66" t="str">
        <f>IFERROR(__xludf.DUMMYFUNCTION("SPLIT('Main dataset (DEPRECATED2)'!N1218,"";"")"),"University of Virginia##University of Virginia##University of Virginia")</f>
        <v>University of Virginia##University of Virginia##University of Virginia</v>
      </c>
      <c r="C1217" s="66" t="s">
        <v>7115</v>
      </c>
      <c r="D1217" s="66" t="s">
        <v>11656</v>
      </c>
    </row>
    <row r="1218" ht="15.75" customHeight="1">
      <c r="A1218" s="66">
        <f>'Main dataset (DEPRECATED)'!Q1219</f>
        <v>4015422</v>
      </c>
      <c r="B1218" s="66" t="str">
        <f>IFERROR(__xludf.DUMMYFUNCTION("SPLIT('Main dataset (DEPRECATED2)'!N1219,"";"")"),"University of Texas at San Antonio University of Texas at San Antonio University of Texas at San Antonio Cajal Neuroscience Research Center Cajal Neuroscience Research Center##University of Texas at San Antonio University of Texas at San Antonio Universit"&amp;"y of Texas at San Antonio Cajal Neuroscience Research Center Cajal Neuroscience Research Center##University of Texas at San Antonio University of Texas at San Antonio University of Texas at San Antonio Cajal Neuroscience Research Center Cajal Neuroscience"&amp;" Research Center")</f>
        <v>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Center##University of Texas at San Antonio University of Texas at San Antonio University of Texas at San Antonio Cajal Neuroscience Research Center Cajal Neuroscience Research Center</v>
      </c>
      <c r="C1218" s="66" t="s">
        <v>7263</v>
      </c>
    </row>
    <row r="1219" ht="15.75" customHeight="1">
      <c r="A1219" s="66">
        <f>'Main dataset (DEPRECATED)'!Q1220</f>
        <v>4015432</v>
      </c>
      <c r="B1219" s="66" t="str">
        <f>IFERROR(__xludf.DUMMYFUNCTION("SPLIT('Main dataset (DEPRECATED2)'!N1220,"";"")"),"University of California at Davis##University of California at Davis##University of California at Davis##University of California at Davis##University of California at Davis")</f>
        <v>University of California at Davis##University of California at Davis##University of California at Davis##University of California at Davis##University of California at Davis</v>
      </c>
      <c r="C1219" s="66" t="s">
        <v>7103</v>
      </c>
      <c r="D1219" s="66" t="s">
        <v>9378</v>
      </c>
      <c r="E1219" s="66" t="s">
        <v>10186</v>
      </c>
      <c r="F1219" s="66" t="s">
        <v>10949</v>
      </c>
    </row>
    <row r="1220" ht="15.75" customHeight="1">
      <c r="A1220" s="66">
        <f>'Main dataset (DEPRECATED)'!Q1221</f>
        <v>4015425</v>
      </c>
      <c r="B1220" s="66" t="str">
        <f>IFERROR(__xludf.DUMMYFUNCTION("SPLIT('Main dataset (DEPRECATED2)'!N1221,"";"")"),"University of Texas at Austin|c|")</f>
        <v>University of Texas at Austin|c|</v>
      </c>
    </row>
    <row r="1221" ht="15.75" customHeight="1">
      <c r="A1221" s="66">
        <f>'Main dataset (DEPRECATED)'!Q1222</f>
        <v>4015435</v>
      </c>
      <c r="B1221" s="66" t="str">
        <f>IFERROR(__xludf.DUMMYFUNCTION("SPLIT('Main dataset (DEPRECATED2)'!N1222,"";"")"),"University of Texas at Austin|c|")</f>
        <v>University of Texas at Austin|c|</v>
      </c>
      <c r="C1221" s="66" t="s">
        <v>7722</v>
      </c>
      <c r="D1221" s="66" t="s">
        <v>10114</v>
      </c>
    </row>
    <row r="1222" ht="15.75" customHeight="1">
      <c r="A1222" s="66">
        <f>'Main dataset (DEPRECATED)'!Q1223</f>
        <v>4015417</v>
      </c>
      <c r="B1222" s="66" t="str">
        <f>IFERROR(__xludf.DUMMYFUNCTION("SPLIT('Main dataset (DEPRECATED2)'!N1223,"";"")"),"University of Texas at Austin|c|")</f>
        <v>University of Texas at Austin|c|</v>
      </c>
      <c r="C1222" s="66" t="s">
        <v>7497</v>
      </c>
    </row>
    <row r="1223" ht="15.75" customHeight="1">
      <c r="A1223" s="66">
        <f>'Main dataset (DEPRECATED)'!Q1224</f>
        <v>4015421</v>
      </c>
      <c r="B1223" s="66" t="str">
        <f>IFERROR(__xludf.DUMMYFUNCTION("SPLIT('Main dataset (DEPRECATED2)'!N1224,"";"")"),"University of Illinois at Chicago|c|")</f>
        <v>University of Illinois at Chicago|c|</v>
      </c>
      <c r="C1223" s="66" t="s">
        <v>11333</v>
      </c>
      <c r="D1223" s="66" t="s">
        <v>10295</v>
      </c>
      <c r="E1223" s="66" t="s">
        <v>8505</v>
      </c>
    </row>
    <row r="1224" ht="15.75" customHeight="1">
      <c r="A1224" s="66">
        <f>'Main dataset (DEPRECATED)'!Q1225</f>
        <v>4015420</v>
      </c>
      <c r="B1224" s="66" t="str">
        <f>IFERROR(__xludf.DUMMYFUNCTION("SPLIT('Main dataset (DEPRECATED2)'!N1225,"";"")"),"TU Kaiserslautern, Germany|c|")</f>
        <v>TU Kaiserslautern, Germany|c|</v>
      </c>
      <c r="C1224" s="66" t="s">
        <v>6169</v>
      </c>
    </row>
    <row r="1225" ht="15.75" customHeight="1">
      <c r="A1225" s="66">
        <f>'Main dataset (DEPRECATED)'!Q1226</f>
        <v>4015424</v>
      </c>
      <c r="B1225" s="66" t="str">
        <f>IFERROR(__xludf.DUMMYFUNCTION("SPLIT('Main dataset (DEPRECATED2)'!N1226,"";"")"),"Etienne.Parkinson@vatech-hydro.ch####ETH ZÃ¼rich")</f>
        <v>Etienne.Parkinson@vatech-hydro.ch####ETH ZÃ¼rich</v>
      </c>
      <c r="C1225" s="66" t="s">
        <v>6265</v>
      </c>
    </row>
    <row r="1226" ht="15.75" customHeight="1">
      <c r="A1226" s="66">
        <f>'Main dataset (DEPRECATED)'!Q1227</f>
        <v>4015434</v>
      </c>
      <c r="B1226" s="66" t="str">
        <f>IFERROR(__xludf.DUMMYFUNCTION("SPLIT('Main dataset (DEPRECATED2)'!N1227,"";"")"),"Dept. of Math., Pennsylvania State Univ., University Park, PA, USA|c|")</f>
        <v>Dept. of Math., Pennsylvania State Univ., University Park, PA, USA|c|</v>
      </c>
      <c r="C1226" s="66" t="s">
        <v>9549</v>
      </c>
      <c r="D1226" s="66" t="s">
        <v>6284</v>
      </c>
    </row>
    <row r="1227" ht="15.75" customHeight="1">
      <c r="A1227" s="66">
        <f>'Main dataset (DEPRECATED)'!Q1228</f>
        <v>4015439</v>
      </c>
      <c r="B1227" s="66" t="str">
        <f>IFERROR(__xludf.DUMMYFUNCTION("SPLIT('Main dataset (DEPRECATED2)'!N1228,"";"")"),"National University of Singapore and novaCITYNETS Pte. Ltd.|c|")</f>
        <v>National University of Singapore and novaCITYNETS Pte. Ltd.|c|</v>
      </c>
      <c r="C1227" s="66" t="s">
        <v>6169</v>
      </c>
    </row>
    <row r="1228" ht="15.75" customHeight="1">
      <c r="A1228" s="66">
        <f>'Main dataset (DEPRECATED)'!Q1229</f>
        <v>4015428</v>
      </c>
      <c r="B1228" s="66" t="str">
        <f>IFERROR(__xludf.DUMMYFUNCTION("SPLIT('Main dataset (DEPRECATED2)'!N1229,"";"")"),"Kitware, Inc##Kitware, Inc##Kitware, Inc")</f>
        <v>Kitware, Inc##Kitware, Inc##Kitware, Inc</v>
      </c>
      <c r="C1228" s="66" t="s">
        <v>6347</v>
      </c>
      <c r="D1228" s="66" t="s">
        <v>9040</v>
      </c>
      <c r="E1228" s="66" t="s">
        <v>11331</v>
      </c>
      <c r="F1228" s="66" t="s">
        <v>10657</v>
      </c>
    </row>
    <row r="1229" ht="15.75" customHeight="1">
      <c r="A1229" s="66">
        <f>'Main dataset (DEPRECATED)'!Q1230</f>
        <v>4015437</v>
      </c>
      <c r="B1229" s="66" t="str">
        <f>IFERROR(__xludf.DUMMYFUNCTION("SPLIT('Main dataset (DEPRECATED2)'!N1230,"";"")"),"Texas A&amp;M University|c|")</f>
        <v>Texas A&amp;M University|c|</v>
      </c>
      <c r="C1229" s="66" t="s">
        <v>9667</v>
      </c>
    </row>
    <row r="1230" ht="15.75" customHeight="1">
      <c r="A1230" s="66">
        <f>'Main dataset (DEPRECATED)'!Q1231</f>
        <v>4015423</v>
      </c>
      <c r="B1230" s="66" t="str">
        <f>IFERROR(__xludf.DUMMYFUNCTION("SPLIT('Main dataset (DEPRECATED2)'!N1231,"";"")"),"MPI Informatik##SCI Institute University of Utah##SCI Institute University of Utah##University of New Mexico")</f>
        <v>MPI Informatik##SCI Institute University of Utah##SCI Institute University of Utah##University of New Mexico</v>
      </c>
      <c r="C1230" s="66" t="s">
        <v>7222</v>
      </c>
      <c r="D1230" s="66" t="s">
        <v>9474</v>
      </c>
      <c r="E1230" s="66" t="s">
        <v>9817</v>
      </c>
      <c r="F1230" s="66" t="s">
        <v>9929</v>
      </c>
    </row>
    <row r="1231" ht="15.75" customHeight="1">
      <c r="A1231" s="66">
        <f>'Main dataset (DEPRECATED)'!Q1232</f>
        <v>4015436</v>
      </c>
      <c r="B1231" s="66" t="str">
        <f>IFERROR(__xludf.DUMMYFUNCTION("SPLIT('Main dataset (DEPRECATED2)'!N1232,"";"")"),"German Research Center for Artificial Intelligence|c|")</f>
        <v>German Research Center for Artificial Intelligence|c|</v>
      </c>
      <c r="C1231" s="66" t="s">
        <v>9667</v>
      </c>
    </row>
    <row r="1232" ht="15.75" customHeight="1">
      <c r="A1232" s="66">
        <f>'Main dataset (DEPRECATED)'!Q1233</f>
        <v>4015418</v>
      </c>
      <c r="B1232" s="66" t="str">
        <f>IFERROR(__xludf.DUMMYFUNCTION("SPLIT('Main dataset (DEPRECATED2)'!N1233,"";"")"),"University of Konstanz|c|")</f>
        <v>University of Konstanz|c|</v>
      </c>
      <c r="C1232" s="66" t="s">
        <v>11200</v>
      </c>
    </row>
    <row r="1233" ht="15.75" customHeight="1">
      <c r="A1233" s="66">
        <f>'Main dataset (DEPRECATED)'!Q1234</f>
        <v>4015433</v>
      </c>
      <c r="B1233" s="66" t="str">
        <f>IFERROR(__xludf.DUMMYFUNCTION("SPLIT('Main dataset (DEPRECATED2)'!N1234,"";"")"),"University of Kaiserslautern|c|")</f>
        <v>University of Kaiserslautern|c|</v>
      </c>
      <c r="C1233" s="66" t="s">
        <v>9549</v>
      </c>
      <c r="D1233" s="66" t="s">
        <v>6284</v>
      </c>
    </row>
    <row r="1234" ht="15.75" customHeight="1">
      <c r="A1234" s="66">
        <f>'Main dataset (DEPRECATED)'!Q1235</f>
        <v>4015430</v>
      </c>
      <c r="B1234" s="66" t="str">
        <f>IFERROR(__xludf.DUMMYFUNCTION("SPLIT('Main dataset (DEPRECATED2)'!N1235,"";"")"),"Purdue University|c|")</f>
        <v>Purdue University|c|</v>
      </c>
      <c r="C1234" s="66" t="s">
        <v>10399</v>
      </c>
      <c r="D1234" s="66" t="s">
        <v>7550</v>
      </c>
      <c r="E1234" s="66" t="s">
        <v>8213</v>
      </c>
      <c r="F1234" s="66" t="s">
        <v>10755</v>
      </c>
    </row>
    <row r="1235" ht="15.75" customHeight="1">
      <c r="A1235" s="66">
        <f>'Main dataset (DEPRECATED)'!Q1236</f>
        <v>4015426</v>
      </c>
      <c r="B1235" s="66" t="str">
        <f>IFERROR(__xludf.DUMMYFUNCTION("SPLIT('Main dataset (DEPRECATED2)'!N1236,"";"")"),"The Ohio State University##The Ohio State University##The Ohio State University##The Ohio State University##The Ohio State University")</f>
        <v>The Ohio State University##The Ohio State University##The Ohio State University##The Ohio State University##The Ohio State University</v>
      </c>
      <c r="C1235" s="66" t="s">
        <v>10649</v>
      </c>
      <c r="D1235" s="66" t="s">
        <v>8664</v>
      </c>
      <c r="E1235" s="66" t="s">
        <v>9668</v>
      </c>
    </row>
    <row r="1236" ht="15.75" customHeight="1">
      <c r="A1236" s="66">
        <f>'Main dataset (DEPRECATED)'!Q1237</f>
        <v>4015431</v>
      </c>
      <c r="B1236" s="66" t="str">
        <f>IFERROR(__xludf.DUMMYFUNCTION("SPLIT('Main dataset (DEPRECATED2)'!N1237,"";"")"),"Stony Brook University##Stony Brook University##Stony Brook University##Stony Brook University##Stony Brook University##Stony Brook University##Stony Brook University##Stony Brook University##Stony Brook University")</f>
        <v>Stony Brook University##Stony Brook University##Stony Brook University##Stony Brook University##Stony Brook University##Stony Brook University##Stony Brook University##Stony Brook University##Stony Brook University</v>
      </c>
      <c r="C1236" s="66" t="s">
        <v>11200</v>
      </c>
      <c r="D1236" s="66" t="s">
        <v>11183</v>
      </c>
    </row>
    <row r="1237" ht="15.75" customHeight="1">
      <c r="A1237" s="66">
        <f>'Main dataset (DEPRECATED)'!Q1238</f>
        <v>4015427</v>
      </c>
      <c r="B1237" s="66" t="str">
        <f>IFERROR(__xludf.DUMMYFUNCTION("SPLIT('Main dataset (DEPRECATED2)'!N1238,"";"")"),"University of Utah##University of Utah##University of Utah")</f>
        <v>University of Utah##University of Utah##University of Utah</v>
      </c>
      <c r="C1237" s="66" t="s">
        <v>6358</v>
      </c>
      <c r="D1237" s="66" t="s">
        <v>9620</v>
      </c>
    </row>
    <row r="1238" ht="15.75" customHeight="1">
      <c r="A1238" s="66">
        <f>'Main dataset (DEPRECATED)'!Q1239</f>
        <v>4035762</v>
      </c>
      <c r="B1238" s="66" t="str">
        <f>IFERROR(__xludf.DUMMYFUNCTION("SPLIT('Main dataset (DEPRECATED2)'!N1239,"";"")"),"Brown University|c|")</f>
        <v>Brown University|c|</v>
      </c>
      <c r="C1238" s="66" t="s">
        <v>8632</v>
      </c>
      <c r="D1238" s="66" t="s">
        <v>10529</v>
      </c>
      <c r="E1238" s="66" t="s">
        <v>10597</v>
      </c>
    </row>
    <row r="1239" ht="15.75" customHeight="1">
      <c r="A1239" s="66">
        <f>'Main dataset (DEPRECATED)'!Q1240</f>
        <v>4035755</v>
      </c>
      <c r="B1239" s="66" t="str">
        <f>IFERROR(__xludf.DUMMYFUNCTION("SPLIT('Main dataset (DEPRECATED2)'!N1240,"";"")"),"Stony Brook University##Stony Brook University##Stony Brook University")</f>
        <v>Stony Brook University##Stony Brook University##Stony Brook University</v>
      </c>
      <c r="C1239" s="66" t="s">
        <v>6768</v>
      </c>
      <c r="D1239" s="66" t="s">
        <v>7141</v>
      </c>
      <c r="E1239" s="66" t="s">
        <v>10809</v>
      </c>
      <c r="F1239" s="66" t="s">
        <v>8692</v>
      </c>
    </row>
    <row r="1240" ht="15.75" customHeight="1">
      <c r="A1240" s="66">
        <f>'Main dataset (DEPRECATED)'!Q1241</f>
        <v>4035744</v>
      </c>
      <c r="B1240" s="66" t="str">
        <f>IFERROR(__xludf.DUMMYFUNCTION("SPLIT('Main dataset (DEPRECATED2)'!N1241,"";"")"),"Arizona State University")</f>
        <v>Arizona State University</v>
      </c>
      <c r="C1240" s="66" t="s">
        <v>10956</v>
      </c>
      <c r="D1240" s="66" t="s">
        <v>6541</v>
      </c>
      <c r="E1240" s="66" t="s">
        <v>10436</v>
      </c>
      <c r="F1240" s="66" t="s">
        <v>8073</v>
      </c>
      <c r="G1240" s="66" t="s">
        <v>11555</v>
      </c>
    </row>
    <row r="1241" ht="15.75" customHeight="1">
      <c r="A1241" s="66">
        <f>'Main dataset (DEPRECATED)'!Q1242</f>
        <v>4035759</v>
      </c>
      <c r="B1241" s="66" t="str">
        <f>IFERROR(__xludf.DUMMYFUNCTION("SPLIT('Main dataset (DEPRECATED2)'!N1242,"";"")"),"#VALUE!")</f>
        <v>#VALUE!</v>
      </c>
    </row>
    <row r="1242" ht="15.75" customHeight="1">
      <c r="A1242" s="66">
        <f>'Main dataset (DEPRECATED)'!Q1243</f>
        <v>4035758</v>
      </c>
      <c r="B1242" s="66" t="str">
        <f>IFERROR(__xludf.DUMMYFUNCTION("SPLIT('Main dataset (DEPRECATED2)'!N1243,"";"")"),"University of Stuttgart##University of Stuttgart")</f>
        <v>University of Stuttgart##University of Stuttgart</v>
      </c>
    </row>
    <row r="1243" ht="15.75" customHeight="1">
      <c r="A1243" s="66">
        <f>'Main dataset (DEPRECATED)'!Q1244</f>
        <v>4035746</v>
      </c>
      <c r="B1243" s="66" t="str">
        <f>IFERROR(__xludf.DUMMYFUNCTION("SPLIT('Main dataset (DEPRECATED2)'!N1244,"";"")"),"Stanford University##Stanford University##Stanford University##Stanford University##Stanford University")</f>
        <v>Stanford University##Stanford University##Stanford University##Stanford University##Stanford University</v>
      </c>
      <c r="C1243" s="66" t="s">
        <v>9046</v>
      </c>
      <c r="D1243" s="66" t="s">
        <v>7738</v>
      </c>
      <c r="E1243" s="66" t="s">
        <v>10597</v>
      </c>
    </row>
    <row r="1244" ht="15.75" customHeight="1">
      <c r="A1244" s="66">
        <f>'Main dataset (DEPRECATED)'!Q1245</f>
        <v>4035754</v>
      </c>
      <c r="B1244" s="66" t="str">
        <f>IFERROR(__xludf.DUMMYFUNCTION("SPLIT('Main dataset (DEPRECATED2)'!N1245,"";"")"),"National University of Singapore|c|")</f>
        <v>National University of Singapore|c|</v>
      </c>
      <c r="C1244" s="66" t="s">
        <v>7734</v>
      </c>
      <c r="D1244" s="66" t="s">
        <v>8046</v>
      </c>
    </row>
    <row r="1245" ht="15.75" customHeight="1">
      <c r="A1245" s="66">
        <f>'Main dataset (DEPRECATED)'!Q1246</f>
        <v>4035764</v>
      </c>
      <c r="B1245" s="66" t="str">
        <f>IFERROR(__xludf.DUMMYFUNCTION("SPLIT('Main dataset (DEPRECATED2)'!N1246,"";"")"),"Inst. for Numerical Simulation, Bonn Univ., Germany|c|")</f>
        <v>Inst. for Numerical Simulation, Bonn Univ., Germany|c|</v>
      </c>
      <c r="C1245" s="66" t="s">
        <v>8288</v>
      </c>
      <c r="D1245" s="66" t="s">
        <v>11333</v>
      </c>
      <c r="E1245" s="66" t="s">
        <v>10295</v>
      </c>
    </row>
    <row r="1246" ht="15.75" customHeight="1">
      <c r="A1246" s="66">
        <f>'Main dataset (DEPRECATED)'!Q1247</f>
        <v>4035750</v>
      </c>
      <c r="B1246" s="66" t="str">
        <f>IFERROR(__xludf.DUMMYFUNCTION("SPLIT('Main dataset (DEPRECATED2)'!N1247,"";"")"),"University of California at Irvine|c|")</f>
        <v>University of California at Irvine|c|</v>
      </c>
      <c r="C1246" s="66" t="s">
        <v>8476</v>
      </c>
      <c r="D1246" s="66" t="s">
        <v>8505</v>
      </c>
      <c r="E1246" s="66" t="s">
        <v>10140</v>
      </c>
      <c r="F1246" s="66" t="s">
        <v>10369</v>
      </c>
    </row>
    <row r="1247" ht="15.75" customHeight="1">
      <c r="A1247" s="66">
        <f>'Main dataset (DEPRECATED)'!Q1248</f>
        <v>4035749</v>
      </c>
      <c r="B1247" s="66" t="str">
        <f>IFERROR(__xludf.DUMMYFUNCTION("SPLIT('Main dataset (DEPRECATED2)'!N1248,"";"")"),"Rutgers University##Rutgers University##Rutgers University##Rutgers University##Rutgers University")</f>
        <v>Rutgers University##Rutgers University##Rutgers University##Rutgers University##Rutgers University</v>
      </c>
      <c r="C1247" s="66" t="s">
        <v>6896</v>
      </c>
      <c r="D1247" s="66" t="s">
        <v>7570</v>
      </c>
      <c r="E1247" s="66" t="s">
        <v>9175</v>
      </c>
      <c r="F1247" s="66" t="s">
        <v>11027</v>
      </c>
    </row>
    <row r="1248" ht="15.75" customHeight="1">
      <c r="A1248" s="66">
        <f>'Main dataset (DEPRECATED)'!Q1249</f>
        <v>4035747</v>
      </c>
      <c r="B1248" s="66" t="str">
        <f>IFERROR(__xludf.DUMMYFUNCTION("SPLIT('Main dataset (DEPRECATED2)'!N1249,"";"")"),"Stony Brook University##Stony Brook University")</f>
        <v>Stony Brook University##Stony Brook University</v>
      </c>
      <c r="C1248" s="66" t="s">
        <v>11819</v>
      </c>
      <c r="D1248" s="66" t="s">
        <v>6167</v>
      </c>
    </row>
    <row r="1249" ht="15.75" customHeight="1">
      <c r="A1249" s="66">
        <f>'Main dataset (DEPRECATED)'!Q1250</f>
        <v>4035751</v>
      </c>
      <c r="B1249" s="66" t="str">
        <f>IFERROR(__xludf.DUMMYFUNCTION("SPLIT('Main dataset (DEPRECATED2)'!N1250,"";"")"),"National University of Singapore##National University of Singapore")</f>
        <v>National University of Singapore##National University of Singapore</v>
      </c>
      <c r="C1249" s="66" t="s">
        <v>6705</v>
      </c>
      <c r="D1249" s="66" t="s">
        <v>11742</v>
      </c>
      <c r="E1249" s="66" t="s">
        <v>7361</v>
      </c>
      <c r="F1249" s="66" t="s">
        <v>11618</v>
      </c>
      <c r="G1249" s="66" t="s">
        <v>6290</v>
      </c>
      <c r="H1249" s="66" t="s">
        <v>7055</v>
      </c>
    </row>
    <row r="1250" ht="15.75" customHeight="1">
      <c r="A1250" s="66">
        <f>'Main dataset (DEPRECATED)'!Q1251</f>
        <v>4035753</v>
      </c>
      <c r="B1250" s="66" t="str">
        <f>IFERROR(__xludf.DUMMYFUNCTION("SPLIT('Main dataset (DEPRECATED2)'!N1251,"";"")"),"University of North Carolina at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v>
      </c>
      <c r="C1250" s="66" t="s">
        <v>6180</v>
      </c>
    </row>
    <row r="1251" ht="15.75" customHeight="1">
      <c r="A1251" s="66">
        <f>'Main dataset (DEPRECATED)'!Q1252</f>
        <v>4035756</v>
      </c>
      <c r="B1251" s="66" t="str">
        <f>IFERROR(__xludf.DUMMYFUNCTION("SPLIT('Main dataset (DEPRECATED2)'!N1252,"";"")"),"Zhejiang University##Carnegie Mellon University")</f>
        <v>Zhejiang University##Carnegie Mellon University</v>
      </c>
      <c r="C1251" s="66" t="s">
        <v>9223</v>
      </c>
      <c r="D1251" s="66" t="s">
        <v>10420</v>
      </c>
      <c r="E1251" s="66" t="s">
        <v>10426</v>
      </c>
    </row>
    <row r="1252" ht="15.75" customHeight="1">
      <c r="A1252" s="66">
        <f>'Main dataset (DEPRECATED)'!Q1253</f>
        <v>4035752</v>
      </c>
      <c r="B1252" s="66" t="str">
        <f>IFERROR(__xludf.DUMMYFUNCTION("SPLIT('Main dataset (DEPRECATED2)'!N1253,"";"")"),"University of Konstanz|c|")</f>
        <v>University of Konstanz|c|</v>
      </c>
      <c r="C1252" s="66" t="s">
        <v>9930</v>
      </c>
      <c r="D1252" s="66" t="s">
        <v>6559</v>
      </c>
      <c r="E1252" s="66" t="s">
        <v>6415</v>
      </c>
    </row>
    <row r="1253" ht="15.75" customHeight="1">
      <c r="A1253" s="66">
        <f>'Main dataset (DEPRECATED)'!Q1254</f>
        <v>4035766</v>
      </c>
      <c r="B1253" s="66" t="str">
        <f>IFERROR(__xludf.DUMMYFUNCTION("SPLIT('Main dataset (DEPRECATED2)'!N1254,"";"")"),"University of California##University of California")</f>
        <v>University of California##University of California</v>
      </c>
      <c r="C1253" s="66" t="s">
        <v>10649</v>
      </c>
      <c r="D1253" s="66" t="s">
        <v>8664</v>
      </c>
    </row>
    <row r="1254" ht="15.75" customHeight="1">
      <c r="A1254" s="66">
        <f>'Main dataset (DEPRECATED)'!Q1255</f>
        <v>4035761</v>
      </c>
      <c r="B1254" s="66" t="str">
        <f>IFERROR(__xludf.DUMMYFUNCTION("SPLIT('Main dataset (DEPRECATED2)'!N1255,"";"")"),"University of North Carolina##University of North Carolina##University of North Carolina##University of North Carolina##University of North Carolina##University of North Carolina##University of North Carolina")</f>
        <v>University of North Carolina##University of North Carolina##University of North Carolina##University of North Carolina##University of North Carolina##University of North Carolina##University of North Carolina</v>
      </c>
      <c r="C1254" s="66" t="s">
        <v>9047</v>
      </c>
      <c r="D1254" s="66" t="s">
        <v>8128</v>
      </c>
      <c r="E1254" s="66" t="s">
        <v>6778</v>
      </c>
    </row>
    <row r="1255" ht="15.75" customHeight="1">
      <c r="A1255" s="66">
        <f>'Main dataset (DEPRECATED)'!Q1256</f>
        <v>4035765</v>
      </c>
      <c r="B1255" s="66" t="str">
        <f>IFERROR(__xludf.DUMMYFUNCTION("SPLIT('Main dataset (DEPRECATED2)'!N1256,"";"")"),"#VALUE!")</f>
        <v>#VALUE!</v>
      </c>
      <c r="C1255" s="66" t="s">
        <v>8476</v>
      </c>
      <c r="D1255" s="66" t="s">
        <v>8294</v>
      </c>
      <c r="E1255" s="66" t="s">
        <v>11741</v>
      </c>
      <c r="F1255" s="66" t="s">
        <v>8038</v>
      </c>
      <c r="G1255" s="66" t="s">
        <v>10140</v>
      </c>
      <c r="H1255" s="66" t="s">
        <v>11333</v>
      </c>
    </row>
    <row r="1256" ht="15.75" customHeight="1">
      <c r="A1256" s="66">
        <f>'Main dataset (DEPRECATED)'!Q1257</f>
        <v>4035741</v>
      </c>
      <c r="B1256" s="66" t="str">
        <f>IFERROR(__xludf.DUMMYFUNCTION("SPLIT('Main dataset (DEPRECATED2)'!N1257,"";"")"),"Vienna University of Technology##Vienna University of Technology##Vienna University of Technology")</f>
        <v>Vienna University of Technology##Vienna University of Technology##Vienna University of Technology</v>
      </c>
      <c r="C1256" s="66" t="s">
        <v>10866</v>
      </c>
      <c r="D1256" s="66" t="s">
        <v>9850</v>
      </c>
      <c r="E1256" s="66" t="s">
        <v>8112</v>
      </c>
      <c r="F1256" s="66" t="s">
        <v>6542</v>
      </c>
    </row>
    <row r="1257" ht="15.75" customHeight="1">
      <c r="A1257" s="66">
        <f>'Main dataset (DEPRECATED)'!Q1258</f>
        <v>4035757</v>
      </c>
      <c r="B1257" s="66" t="str">
        <f>IFERROR(__xludf.DUMMYFUNCTION("SPLIT('Main dataset (DEPRECATED2)'!N1258,"";"")"),"University of California at Davis##University of California at Davis")</f>
        <v>University of California at Davis##University of California at Davis</v>
      </c>
      <c r="C1257" s="66" t="s">
        <v>9529</v>
      </c>
      <c r="D1257" s="66" t="s">
        <v>11768</v>
      </c>
      <c r="E1257" s="66" t="s">
        <v>10056</v>
      </c>
      <c r="F1257" s="66" t="s">
        <v>11336</v>
      </c>
      <c r="G1257" s="66" t="s">
        <v>8645</v>
      </c>
    </row>
    <row r="1258" ht="15.75" customHeight="1">
      <c r="A1258" s="66">
        <f>'Main dataset (DEPRECATED)'!Q1259</f>
        <v>4035763</v>
      </c>
      <c r="B1258" s="66" t="str">
        <f>IFERROR(__xludf.DUMMYFUNCTION("SPLIT('Main dataset (DEPRECATED2)'!N1259,"";"")"),"Stanford University##Stanford University####")</f>
        <v>Stanford University##Stanford University####</v>
      </c>
    </row>
    <row r="1259" ht="15.75" customHeight="1">
      <c r="A1259" s="66">
        <f>'Main dataset (DEPRECATED)'!Q1260</f>
        <v>4035768</v>
      </c>
      <c r="B1259" s="66" t="str">
        <f>IFERROR(__xludf.DUMMYFUNCTION("SPLIT('Main dataset (DEPRECATED2)'!N1260,"";"")"),"Zuse Institute Berlin (ZIB)##Zuse Institute Berlin (ZIB)##Zuse Institute Berlin (ZIB)##Zuse Institute Berlin (ZIB)")</f>
        <v>Zuse Institute Berlin (ZIB)##Zuse Institute Berlin (ZIB)##Zuse Institute Berlin (ZIB)##Zuse Institute Berlin (ZIB)</v>
      </c>
      <c r="C1259" s="66" t="s">
        <v>9690</v>
      </c>
      <c r="D1259" s="66" t="s">
        <v>8940</v>
      </c>
      <c r="E1259" s="66" t="s">
        <v>9930</v>
      </c>
      <c r="F1259" s="66" t="s">
        <v>10422</v>
      </c>
      <c r="G1259" s="66" t="s">
        <v>11440</v>
      </c>
    </row>
    <row r="1260" ht="15.75" customHeight="1">
      <c r="A1260" s="66">
        <f>'Main dataset (DEPRECATED)'!Q1261</f>
        <v>4035748</v>
      </c>
      <c r="B1260" s="66" t="str">
        <f>IFERROR(__xludf.DUMMYFUNCTION("SPLIT('Main dataset (DEPRECATED2)'!N1261,"";"")"),"University of Utah##University of Utah")</f>
        <v>University of Utah##University of Utah</v>
      </c>
      <c r="C1260" s="66" t="s">
        <v>8342</v>
      </c>
      <c r="D1260" s="66" t="s">
        <v>10354</v>
      </c>
      <c r="E1260" s="66" t="s">
        <v>11350</v>
      </c>
    </row>
    <row r="1261" ht="15.75" customHeight="1">
      <c r="A1261" s="66">
        <f>'Main dataset (DEPRECATED)'!Q1262</f>
        <v>4035745</v>
      </c>
      <c r="B1261" s="66" t="str">
        <f>IFERROR(__xludf.DUMMYFUNCTION("SPLIT('Main dataset (DEPRECATED2)'!N1262,"";"")"),"Northern Arizona University|c|")</f>
        <v>Northern Arizona University|c|</v>
      </c>
      <c r="C1261" s="66" t="s">
        <v>7651</v>
      </c>
      <c r="D1261" s="66" t="s">
        <v>10189</v>
      </c>
      <c r="E1261" s="66" t="s">
        <v>8227</v>
      </c>
      <c r="F1261" s="66" t="s">
        <v>9888</v>
      </c>
      <c r="G1261" s="66" t="s">
        <v>9168</v>
      </c>
    </row>
    <row r="1262" ht="15.75" customHeight="1">
      <c r="A1262" s="66">
        <f>'Main dataset (DEPRECATED)'!Q1263</f>
        <v>4035743</v>
      </c>
      <c r="B1262" s="66" t="str">
        <f>IFERROR(__xludf.DUMMYFUNCTION("SPLIT('Main dataset (DEPRECATED2)'!N1263,"";"")"),"University of Minnesota|c|")</f>
        <v>University of Minnesota|c|</v>
      </c>
    </row>
    <row r="1263" ht="15.75" customHeight="1">
      <c r="A1263" s="66">
        <f>'Main dataset (DEPRECATED)'!Q1264</f>
        <v>4035742</v>
      </c>
      <c r="B1263" s="66" t="str">
        <f>IFERROR(__xludf.DUMMYFUNCTION("SPLIT('Main dataset (DEPRECATED2)'!N1264,"";"")"),"Advanced Management Technology, Inc. NASA Ames Research Center##Advanced Management Technology, Inc. NASA Ames Research Center##Advanced Management Technology, Inc. NASA Ames Research Center")</f>
        <v>Advanced Management Technology, Inc. NASA Ames Research Center##Advanced Management Technology, Inc. NASA Ames Research Center##Advanced Management Technology, Inc. NASA Ames Research Center</v>
      </c>
      <c r="C1263" s="66" t="s">
        <v>9798</v>
      </c>
      <c r="D1263" s="66" t="s">
        <v>9170</v>
      </c>
    </row>
    <row r="1264" ht="15.75" customHeight="1">
      <c r="A1264" s="66">
        <f>'Main dataset (DEPRECATED)'!Q1265</f>
        <v>4035760</v>
      </c>
      <c r="B1264" s="66" t="str">
        <f>IFERROR(__xludf.DUMMYFUNCTION("SPLIT('Main dataset (DEPRECATED2)'!N1265,"";"")"),"ICGA Vienna University of Technology##ICGA Vienna University of Technology##ICGA Vienna University of Technology")</f>
        <v>ICGA Vienna University of Technology##ICGA Vienna University of Technology##ICGA Vienna University of Technology</v>
      </c>
      <c r="C1264" s="66" t="s">
        <v>9276</v>
      </c>
      <c r="D1264" s="66" t="s">
        <v>10083</v>
      </c>
    </row>
    <row r="1265" ht="15.75" customHeight="1">
      <c r="A1265" s="66">
        <f>'Main dataset (DEPRECATED)'!Q1266</f>
        <v>4015501</v>
      </c>
      <c r="B1265" s="66" t="str">
        <f>IFERROR(__xludf.DUMMYFUNCTION("SPLIT('Main dataset (DEPRECATED2)'!N1266,"";"")"),"JAERI|c|")</f>
        <v>JAERI|c|</v>
      </c>
      <c r="C1265" s="66" t="s">
        <v>11431</v>
      </c>
    </row>
    <row r="1266" ht="15.75" customHeight="1">
      <c r="A1266" s="66">
        <f>'Main dataset (DEPRECATED)'!Q1267</f>
        <v>4015455</v>
      </c>
      <c r="B1266" s="66" t="str">
        <f>IFERROR(__xludf.DUMMYFUNCTION("SPLIT('Main dataset (DEPRECATED2)'!N1267,"";"")"),"University of Stuttgart##University of Stuttgart##University of Stuttgart")</f>
        <v>University of Stuttgart##University of Stuttgart##University of Stuttgart</v>
      </c>
      <c r="C1266" s="66" t="s">
        <v>11775</v>
      </c>
    </row>
    <row r="1267" ht="15.75" customHeight="1">
      <c r="A1267" s="66">
        <f>'Main dataset (DEPRECATED)'!Q1268</f>
        <v>4015440</v>
      </c>
      <c r="B1267" s="66" t="str">
        <f>IFERROR(__xludf.DUMMYFUNCTION("SPLIT('Main dataset (DEPRECATED2)'!N1268,"";"")"),"VIS##University of Stuttgart")</f>
        <v>VIS##University of Stuttgart</v>
      </c>
      <c r="C1267" s="66" t="s">
        <v>7505</v>
      </c>
      <c r="D1267" s="66" t="s">
        <v>8645</v>
      </c>
    </row>
    <row r="1268" ht="15.75" customHeight="1">
      <c r="A1268" s="66">
        <f>'Main dataset (DEPRECATED)'!Q1269</f>
        <v>4015502</v>
      </c>
      <c r="B1268" s="66" t="str">
        <f>IFERROR(__xludf.DUMMYFUNCTION("SPLIT('Main dataset (DEPRECATED2)'!N1269,"";"")"),"Brown University|c|")</f>
        <v>Brown University|c|</v>
      </c>
      <c r="C1268" s="66" t="s">
        <v>9472</v>
      </c>
      <c r="D1268" s="66" t="s">
        <v>11396</v>
      </c>
      <c r="E1268" s="66" t="s">
        <v>9550</v>
      </c>
    </row>
    <row r="1269" ht="15.75" customHeight="1">
      <c r="A1269" s="66">
        <f>'Main dataset (DEPRECATED)'!Q1270</f>
        <v>4015456</v>
      </c>
      <c r="B1269" s="66" t="str">
        <f>IFERROR(__xludf.DUMMYFUNCTION("SPLIT('Main dataset (DEPRECATED2)'!N1270,"";"")"),"Brown University|c|")</f>
        <v>Brown University|c|</v>
      </c>
      <c r="C1269" s="66" t="s">
        <v>9034</v>
      </c>
      <c r="D1269" s="66" t="s">
        <v>8947</v>
      </c>
    </row>
    <row r="1270" ht="15.75" customHeight="1">
      <c r="A1270" s="66">
        <f>'Main dataset (DEPRECATED)'!Q1271</f>
        <v>4015487</v>
      </c>
      <c r="B1270" s="66" t="str">
        <f>IFERROR(__xludf.DUMMYFUNCTION("SPLIT('Main dataset (DEPRECATED2)'!N1271,"";"")"),"Dept. of Psychol., Texas Univ., Austin, TX, USA|c|")</f>
        <v>Dept. of Psychol., Texas Univ., Austin, TX, USA|c|</v>
      </c>
      <c r="C1270" s="66" t="s">
        <v>6940</v>
      </c>
      <c r="D1270" s="66" t="s">
        <v>9485</v>
      </c>
    </row>
    <row r="1271" ht="15.75" customHeight="1">
      <c r="A1271" s="66">
        <f>'Main dataset (DEPRECATED)'!Q1272</f>
        <v>4015453</v>
      </c>
      <c r="B1271" s="66" t="str">
        <f>IFERROR(__xludf.DUMMYFUNCTION("SPLIT('Main dataset (DEPRECATED2)'!N1272,"";"")"),"UMIACS University of Maryland at College Park College Park##UMIACS University of Maryland at College Park College Park##UMIACS University of Maryland at College Park College Park")</f>
        <v>UMIACS University of Maryland at College Park College Park##UMIACS University of Maryland at College Park College Park##UMIACS University of Maryland at College Park College Park</v>
      </c>
      <c r="C1271" s="66" t="s">
        <v>9495</v>
      </c>
      <c r="D1271" s="66" t="s">
        <v>7889</v>
      </c>
    </row>
    <row r="1272" ht="15.75" customHeight="1">
      <c r="A1272" s="66">
        <f>'Main dataset (DEPRECATED)'!Q1273</f>
        <v>4015477</v>
      </c>
      <c r="B1272" s="66" t="str">
        <f>IFERROR(__xludf.DUMMYFUNCTION("SPLIT('Main dataset (DEPRECATED2)'!N1273,"";"")"),"Stony Brook University Stony Brook##Stony Brook University Stony Brook")</f>
        <v>Stony Brook University Stony Brook##Stony Brook University Stony Brook</v>
      </c>
      <c r="C1272" s="66" t="s">
        <v>11663</v>
      </c>
      <c r="D1272" s="66" t="s">
        <v>10903</v>
      </c>
      <c r="E1272" s="66" t="s">
        <v>8938</v>
      </c>
      <c r="F1272" s="66" t="s">
        <v>6333</v>
      </c>
      <c r="G1272" s="66" t="s">
        <v>7361</v>
      </c>
    </row>
    <row r="1273" ht="15.75" customHeight="1">
      <c r="A1273" s="66">
        <f>'Main dataset (DEPRECATED)'!Q1274</f>
        <v>4015462</v>
      </c>
      <c r="B1273" s="66" t="str">
        <f>IFERROR(__xludf.DUMMYFUNCTION("SPLIT('Main dataset (DEPRECATED2)'!N1274,"";"")"),"University of California Davis##University of California Davis")</f>
        <v>University of California Davis##University of California Davis</v>
      </c>
      <c r="C1273" s="66" t="s">
        <v>11192</v>
      </c>
    </row>
    <row r="1274" ht="15.75" customHeight="1">
      <c r="A1274" s="66">
        <f>'Main dataset (DEPRECATED)'!Q1275</f>
        <v>4015481</v>
      </c>
      <c r="B1274" s="66" t="str">
        <f>IFERROR(__xludf.DUMMYFUNCTION("SPLIT('Main dataset (DEPRECATED2)'!N1275,"";"")"),"Simon Fraser University##Simon Fraser University##Simon Fraser University")</f>
        <v>Simon Fraser University##Simon Fraser University##Simon Fraser University</v>
      </c>
      <c r="C1274" s="66" t="s">
        <v>6911</v>
      </c>
    </row>
    <row r="1275" ht="15.75" customHeight="1">
      <c r="A1275" s="66">
        <f>'Main dataset (DEPRECATED)'!Q1276</f>
        <v>4015470</v>
      </c>
      <c r="B1275" s="66" t="str">
        <f>IFERROR(__xludf.DUMMYFUNCTION("SPLIT('Main dataset (DEPRECATED2)'!N1276,"";"")"),"University of Leeds|c|")</f>
        <v>University of Leeds|c|</v>
      </c>
      <c r="C1275" s="66" t="s">
        <v>10646</v>
      </c>
      <c r="D1275" s="66" t="s">
        <v>9203</v>
      </c>
    </row>
    <row r="1276" ht="15.75" customHeight="1">
      <c r="A1276" s="66">
        <f>'Main dataset (DEPRECATED)'!Q1277</f>
        <v>4015468</v>
      </c>
      <c r="B1276" s="66" t="str">
        <f>IFERROR(__xludf.DUMMYFUNCTION("SPLIT('Main dataset (DEPRECATED2)'!N1277,"";"")"),"University of California at Irvine|c|")</f>
        <v>University of California at Irvine|c|</v>
      </c>
      <c r="C1276" s="66" t="s">
        <v>11254</v>
      </c>
      <c r="D1276" s="66" t="s">
        <v>7887</v>
      </c>
    </row>
    <row r="1277" ht="15.75" customHeight="1">
      <c r="A1277" s="66">
        <f>'Main dataset (DEPRECATED)'!Q1278</f>
        <v>4015450</v>
      </c>
      <c r="B1277" s="66" t="str">
        <f>IFERROR(__xludf.DUMMYFUNCTION("SPLIT('Main dataset (DEPRECATED2)'!N1278,"";"")"),"Dept. of Comput. Sci. &amp; Math., Duke Univ., Durham, NC, USA|c|")</f>
        <v>Dept. of Comput. Sci. &amp; Math., Duke Univ., Durham, NC, USA|c|</v>
      </c>
      <c r="C1277" s="66" t="s">
        <v>10419</v>
      </c>
      <c r="D1277" s="66" t="s">
        <v>11431</v>
      </c>
    </row>
    <row r="1278" ht="15.75" customHeight="1">
      <c r="A1278" s="66">
        <f>'Main dataset (DEPRECATED)'!Q1279</f>
        <v>4015479</v>
      </c>
      <c r="B1278" s="66" t="str">
        <f>IFERROR(__xludf.DUMMYFUNCTION("SPLIT('Main dataset (DEPRECATED2)'!N1279,"";"")"),"National Taiwan Ocean University##National Taiwan Ocean University##National Taiwan Ocean University")</f>
        <v>National Taiwan Ocean University##National Taiwan Ocean University##National Taiwan Ocean University</v>
      </c>
      <c r="C1278" s="66" t="s">
        <v>6472</v>
      </c>
      <c r="D1278" s="66" t="s">
        <v>9469</v>
      </c>
      <c r="E1278" s="66" t="s">
        <v>8438</v>
      </c>
      <c r="F1278" s="66" t="s">
        <v>9385</v>
      </c>
      <c r="G1278" s="66" t="s">
        <v>7996</v>
      </c>
      <c r="H1278" s="66" t="s">
        <v>9640</v>
      </c>
    </row>
    <row r="1279" ht="15.75" customHeight="1">
      <c r="A1279" s="66">
        <f>'Main dataset (DEPRECATED)'!Q1280</f>
        <v>4015445</v>
      </c>
      <c r="B1279" s="66" t="str">
        <f>IFERROR(__xludf.DUMMYFUNCTION("SPLIT('Main dataset (DEPRECATED2)'!N1280,"";"")"),"The Scripps Research Institute##The Scripps Research Institute##The Scripps Research Institute##The Scripps Research Institute##The Scripps Research Institute")</f>
        <v>The Scripps Research Institute##The Scripps Research Institute##The Scripps Research Institute##The Scripps Research Institute##The Scripps Research Institute</v>
      </c>
      <c r="C1279" s="66" t="s">
        <v>9549</v>
      </c>
    </row>
    <row r="1280" ht="15.75" customHeight="1">
      <c r="A1280" s="66">
        <f>'Main dataset (DEPRECATED)'!Q1281</f>
        <v>4015457</v>
      </c>
      <c r="B1280" s="66" t="str">
        <f>IFERROR(__xludf.DUMMYFUNCTION("SPLIT('Main dataset (DEPRECATED2)'!N1281,"";"")"),"Comput. Sci. Dept., State Univ. of New York, Stony Brook, NY, USA|c|")</f>
        <v>Comput. Sci. Dept., State Univ. of New York, Stony Brook, NY, USA|c|</v>
      </c>
      <c r="C1280" s="66" t="s">
        <v>7861</v>
      </c>
      <c r="D1280" s="66" t="s">
        <v>8150</v>
      </c>
      <c r="E1280" s="66" t="s">
        <v>9500</v>
      </c>
      <c r="F1280" s="66" t="s">
        <v>10349</v>
      </c>
    </row>
    <row r="1281" ht="15.75" customHeight="1">
      <c r="A1281" s="66">
        <f>'Main dataset (DEPRECATED)'!Q1282</f>
        <v>4015463</v>
      </c>
      <c r="B1281" s="66" t="str">
        <f>IFERROR(__xludf.DUMMYFUNCTION("SPLIT('Main dataset (DEPRECATED2)'!N1282,"";"")"),"Texas A&amp;M University|c|")</f>
        <v>Texas A&amp;M University|c|</v>
      </c>
      <c r="C1281" s="66" t="s">
        <v>8426</v>
      </c>
    </row>
    <row r="1282" ht="15.75" customHeight="1">
      <c r="A1282" s="66">
        <f>'Main dataset (DEPRECATED)'!Q1283</f>
        <v>4015499</v>
      </c>
      <c r="B1282" s="66" t="str">
        <f>IFERROR(__xludf.DUMMYFUNCTION("SPLIT('Main dataset (DEPRECATED2)'!N1283,"";"")"),"Vienna University of Technology##Vienna University of Technology##Vienna University of Technology##Vienna University of Technology##Vienna University of Technology##Vienna University of Technology##Vienna University of Technology")</f>
        <v>Vienna University of Technology##Vienna University of Technology##Vienna University of Technology##Vienna University of Technology##Vienna University of Technology##Vienna University of Technology##Vienna University of Technology</v>
      </c>
      <c r="C1282" s="66" t="s">
        <v>11433</v>
      </c>
    </row>
    <row r="1283" ht="15.75" customHeight="1">
      <c r="A1283" s="66">
        <f>'Main dataset (DEPRECATED)'!Q1284</f>
        <v>4015495</v>
      </c>
      <c r="B1283" s="66" t="str">
        <f>IFERROR(__xludf.DUMMYFUNCTION("SPLIT('Main dataset (DEPRECATED2)'!N1284,"";"")"),"University of Stuttgart")</f>
        <v>University of Stuttgart</v>
      </c>
      <c r="C1283" s="66" t="s">
        <v>9435</v>
      </c>
      <c r="D1283" s="66" t="s">
        <v>6807</v>
      </c>
      <c r="E1283" s="66" t="s">
        <v>9021</v>
      </c>
    </row>
    <row r="1284" ht="15.75" customHeight="1">
      <c r="A1284" s="66">
        <f>'Main dataset (DEPRECATED)'!Q1285</f>
        <v>4015471</v>
      </c>
      <c r="B1284" s="66" t="str">
        <f>IFERROR(__xludf.DUMMYFUNCTION("SPLIT('Main dataset (DEPRECATED2)'!N1285,"";"")"),"Johns Hopkins University|c|")</f>
        <v>Johns Hopkins University|c|</v>
      </c>
      <c r="C1284" s="66" t="s">
        <v>4285</v>
      </c>
    </row>
    <row r="1285" ht="15.75" customHeight="1">
      <c r="A1285" s="66">
        <f>'Main dataset (DEPRECATED)'!Q1286</f>
        <v>4015472</v>
      </c>
      <c r="B1285" s="66" t="str">
        <f>IFERROR(__xludf.DUMMYFUNCTION("SPLIT('Main dataset (DEPRECATED2)'!N1286,"";"")"),"UCLA##UCLA##UCLA##UCLA")</f>
        <v>UCLA##UCLA##UCLA##UCLA</v>
      </c>
      <c r="C1285" s="66" t="s">
        <v>10806</v>
      </c>
      <c r="D1285" s="66" t="s">
        <v>11097</v>
      </c>
      <c r="E1285" s="66" t="s">
        <v>7392</v>
      </c>
    </row>
    <row r="1286" ht="15.75" customHeight="1">
      <c r="A1286" s="66">
        <f>'Main dataset (DEPRECATED)'!Q1287</f>
        <v>4015467</v>
      </c>
      <c r="B1286" s="66" t="str">
        <f>IFERROR(__xludf.DUMMYFUNCTION("SPLIT('Main dataset (DEPRECATED2)'!N1287,"";"")"),"North Carolina State University|c|")</f>
        <v>North Carolina State University|c|</v>
      </c>
      <c r="C1286" s="66" t="s">
        <v>7887</v>
      </c>
    </row>
    <row r="1287" ht="15.75" customHeight="1">
      <c r="A1287" s="66">
        <f>'Main dataset (DEPRECATED)'!Q1288</f>
        <v>4015500</v>
      </c>
      <c r="B1287" s="66" t="str">
        <f>IFERROR(__xludf.DUMMYFUNCTION("SPLIT('Main dataset (DEPRECATED2)'!N1288,"";"")"),"University of Texas at Austin|c|")</f>
        <v>University of Texas at Austin|c|</v>
      </c>
      <c r="C1287" s="66" t="s">
        <v>9162</v>
      </c>
    </row>
    <row r="1288" ht="15.75" customHeight="1">
      <c r="A1288" s="66">
        <f>'Main dataset (DEPRECATED)'!Q1289</f>
        <v>4015488</v>
      </c>
      <c r="B1288" s="66" t="str">
        <f>IFERROR(__xludf.DUMMYFUNCTION("SPLIT('Main dataset (DEPRECATED2)'!N1289,"";"")"),"University of Texas at Austin|c|")</f>
        <v>University of Texas at Austin|c|</v>
      </c>
      <c r="C1288" s="66" t="s">
        <v>8374</v>
      </c>
    </row>
    <row r="1289" ht="15.75" customHeight="1">
      <c r="A1289" s="66">
        <f>'Main dataset (DEPRECATED)'!Q1290</f>
        <v>4015466</v>
      </c>
      <c r="B1289" s="66" t="str">
        <f>IFERROR(__xludf.DUMMYFUNCTION("SPLIT('Main dataset (DEPRECATED2)'!N1290,"";"")"),"University of Alaska Fairbanks|c|")</f>
        <v>University of Alaska Fairbanks|c|</v>
      </c>
      <c r="C1289" s="66" t="s">
        <v>10624</v>
      </c>
      <c r="D1289" s="66" t="s">
        <v>6857</v>
      </c>
    </row>
    <row r="1290" ht="15.75" customHeight="1">
      <c r="A1290" s="66">
        <f>'Main dataset (DEPRECATED)'!Q1291</f>
        <v>4015454</v>
      </c>
      <c r="B1290" s="66" t="str">
        <f>IFERROR(__xludf.DUMMYFUNCTION("SPLIT('Main dataset (DEPRECATED2)'!N1291,"";"")"),"IDAV##IDAV##Technical University of Kaiserslautern##IDAV##IDAV##University of California")</f>
        <v>IDAV##IDAV##Technical University of Kaiserslautern##IDAV##IDAV##University of California</v>
      </c>
      <c r="C1290" s="66" t="s">
        <v>11308</v>
      </c>
      <c r="D1290" s="66" t="s">
        <v>6571</v>
      </c>
      <c r="E1290" s="66" t="s">
        <v>10293</v>
      </c>
    </row>
    <row r="1291" ht="15.75" customHeight="1">
      <c r="A1291" s="66">
        <f>'Main dataset (DEPRECATED)'!Q1292</f>
        <v>4015441</v>
      </c>
      <c r="B1291" s="66" t="str">
        <f>IFERROR(__xludf.DUMMYFUNCTION("SPLIT('Main dataset (DEPRECATED2)'!N1292,"";"")"),"University of Illinois at Urbanaâ€“Champaign##University of Illinois at Urbanaâ€“Champaign##University of Illinois at Urbanaâ€“Champaign")</f>
        <v>University of Illinois at Urbanaâ€“Champaign##University of Illinois at Urbanaâ€“Champaign##University of Illinois at Urbanaâ€“Champaign</v>
      </c>
      <c r="C1291" s="66" t="s">
        <v>11499</v>
      </c>
      <c r="D1291" s="66" t="s">
        <v>9873</v>
      </c>
      <c r="E1291" s="66" t="s">
        <v>9157</v>
      </c>
      <c r="F1291" s="66" t="s">
        <v>11694</v>
      </c>
    </row>
    <row r="1292" ht="15.75" customHeight="1">
      <c r="A1292" s="66">
        <f>'Main dataset (DEPRECATED)'!Q1293</f>
        <v>4015460</v>
      </c>
      <c r="B1292" s="66" t="str">
        <f>IFERROR(__xludf.DUMMYFUNCTION("SPLIT('Main dataset (DEPRECATED2)'!N1293,"";"")"),"Pacific Northwest Nat. Lab., Richland, WA, USA|c|")</f>
        <v>Pacific Northwest Nat. Lab., Richland, WA, USA|c|</v>
      </c>
      <c r="C1292" s="66" t="s">
        <v>8667</v>
      </c>
      <c r="D1292" s="66" t="s">
        <v>8806</v>
      </c>
    </row>
    <row r="1293" ht="15.75" customHeight="1">
      <c r="A1293" s="66">
        <f>'Main dataset (DEPRECATED)'!Q1294</f>
        <v>4015483</v>
      </c>
      <c r="B1293" s="66" t="str">
        <f>IFERROR(__xludf.DUMMYFUNCTION("SPLIT('Main dataset (DEPRECATED2)'!N1294,"";"")"),"Purdue University##Purdue University##Purdue University")</f>
        <v>Purdue University##Purdue University##Purdue University</v>
      </c>
      <c r="C1293" s="66" t="s">
        <v>10392</v>
      </c>
      <c r="D1293" s="66" t="s">
        <v>10621</v>
      </c>
    </row>
    <row r="1294" ht="15.75" customHeight="1">
      <c r="A1294" s="66">
        <f>'Main dataset (DEPRECATED)'!Q1295</f>
        <v>4015465</v>
      </c>
      <c r="B1294" s="66" t="str">
        <f>IFERROR(__xludf.DUMMYFUNCTION("SPLIT('Main dataset (DEPRECATED2)'!N1295,"";"")"),"Dept. of Comput. Sci., North Carolina Univ., Chapel Hill, NC, USA|c|")</f>
        <v>Dept. of Comput. Sci., North Carolina Univ., Chapel Hill, NC, USA|c|</v>
      </c>
      <c r="C1294" s="66" t="s">
        <v>9320</v>
      </c>
      <c r="D1294" s="66" t="s">
        <v>8680</v>
      </c>
      <c r="E1294" s="66" t="s">
        <v>7361</v>
      </c>
      <c r="F1294" s="66" t="s">
        <v>8764</v>
      </c>
    </row>
    <row r="1295" ht="15.75" customHeight="1">
      <c r="A1295" s="66">
        <f>'Main dataset (DEPRECATED)'!Q1296</f>
        <v>4015480</v>
      </c>
      <c r="B1295" s="66" t="str">
        <f>IFERROR(__xludf.DUMMYFUNCTION("SPLIT('Main dataset (DEPRECATED2)'!N1296,"";"")"),"Arizona State University")</f>
        <v>Arizona State University</v>
      </c>
      <c r="C1295" s="66" t="s">
        <v>10710</v>
      </c>
      <c r="D1295" s="66" t="s">
        <v>7402</v>
      </c>
      <c r="E1295" s="66" t="s">
        <v>9647</v>
      </c>
      <c r="F1295" s="66" t="s">
        <v>8085</v>
      </c>
      <c r="G1295" s="66" t="s">
        <v>7873</v>
      </c>
    </row>
    <row r="1296" ht="15.75" customHeight="1">
      <c r="A1296" s="66">
        <f>'Main dataset (DEPRECATED)'!Q1297</f>
        <v>4015449</v>
      </c>
      <c r="B1296" s="66" t="str">
        <f>IFERROR(__xludf.DUMMYFUNCTION("SPLIT('Main dataset (DEPRECATED2)'!N1297,"";"")"),"Caesar Res. Center, Bonn, Germany|c|")</f>
        <v>Caesar Res. Center, Bonn, Germany|c|</v>
      </c>
      <c r="C1296" s="66" t="s">
        <v>7495</v>
      </c>
      <c r="D1296" s="66" t="s">
        <v>10380</v>
      </c>
      <c r="E1296" s="66" t="s">
        <v>7887</v>
      </c>
    </row>
    <row r="1297" ht="15.75" customHeight="1">
      <c r="A1297" s="66">
        <f>'Main dataset (DEPRECATED)'!Q1298</f>
        <v>4015491</v>
      </c>
      <c r="B1297" s="66" t="str">
        <f>IFERROR(__xludf.DUMMYFUNCTION("SPLIT('Main dataset (DEPRECATED2)'!N1298,"";"")"),"Brown University|c|")</f>
        <v>Brown University|c|</v>
      </c>
      <c r="C1297" s="66" t="s">
        <v>8645</v>
      </c>
    </row>
    <row r="1298" ht="15.75" customHeight="1">
      <c r="A1298" s="66">
        <f>'Main dataset (DEPRECATED)'!Q1299</f>
        <v>4015486</v>
      </c>
      <c r="B1298" s="66" t="str">
        <f>IFERROR(__xludf.DUMMYFUNCTION("SPLIT('Main dataset (DEPRECATED2)'!N1299,"";"")"),"Polytechnique de Mons|c|")</f>
        <v>Polytechnique de Mons|c|</v>
      </c>
      <c r="C1298" s="66" t="s">
        <v>7693</v>
      </c>
    </row>
    <row r="1299" ht="15.75" customHeight="1">
      <c r="A1299" s="66">
        <f>'Main dataset (DEPRECATED)'!Q1300</f>
        <v>4015476</v>
      </c>
      <c r="B1299" s="66" t="str">
        <f>IFERROR(__xludf.DUMMYFUNCTION("SPLIT('Main dataset (DEPRECATED2)'!N1300,"";"")"),"The Ohio State University##The Ohio State University##The Ohio State University")</f>
        <v>The Ohio State University##The Ohio State University##The Ohio State University</v>
      </c>
      <c r="C1299" s="66" t="s">
        <v>10032</v>
      </c>
      <c r="D1299" s="66" t="s">
        <v>7551</v>
      </c>
    </row>
    <row r="1300" ht="15.75" customHeight="1">
      <c r="A1300" s="66">
        <f>'Main dataset (DEPRECATED)'!Q1301</f>
        <v>4015493</v>
      </c>
      <c r="B1300" s="66" t="str">
        <f>IFERROR(__xludf.DUMMYFUNCTION("SPLIT('Main dataset (DEPRECATED2)'!N1301,"";"")"),"Massachusetts Institute of Technology##Massachusetts Institute of Technology")</f>
        <v>Massachusetts Institute of Technology##Massachusetts Institute of Technology</v>
      </c>
      <c r="C1300" s="66" t="s">
        <v>8415</v>
      </c>
    </row>
    <row r="1301" ht="15.75" customHeight="1">
      <c r="A1301" s="66">
        <f>'Main dataset (DEPRECATED)'!Q1302</f>
        <v>4015443</v>
      </c>
      <c r="B1301" s="66" t="str">
        <f>IFERROR(__xludf.DUMMYFUNCTION("SPLIT('Main dataset (DEPRECATED2)'!N1302,"";"")"),"The Ohio State University##The Ohio State University##The Ohio State University")</f>
        <v>The Ohio State University##The Ohio State University##The Ohio State University</v>
      </c>
      <c r="C1301" s="66" t="s">
        <v>6590</v>
      </c>
      <c r="D1301" s="66" t="s">
        <v>6473</v>
      </c>
      <c r="E1301" s="66" t="s">
        <v>11105</v>
      </c>
      <c r="F1301" s="66" t="s">
        <v>11280</v>
      </c>
      <c r="G1301" s="66" t="s">
        <v>9973</v>
      </c>
    </row>
    <row r="1302" ht="15.75" customHeight="1">
      <c r="A1302" s="66">
        <f>'Main dataset (DEPRECATED)'!Q1303</f>
        <v>4015461</v>
      </c>
      <c r="B1302" s="66" t="str">
        <f>IFERROR(__xludf.DUMMYFUNCTION("SPLIT('Main dataset (DEPRECATED2)'!N1303,"";"")"),"Advanced Comput. Lab., Los Alamos Nat. Lab., NM, USA|c|")</f>
        <v>Advanced Comput. Lab., Los Alamos Nat. Lab., NM, USA|c|</v>
      </c>
      <c r="C1302" s="66" t="s">
        <v>4285</v>
      </c>
    </row>
    <row r="1303" ht="15.75" customHeight="1">
      <c r="A1303" s="66">
        <f>'Main dataset (DEPRECATED)'!Q1304</f>
        <v>4015484</v>
      </c>
      <c r="B1303" s="66" t="str">
        <f>IFERROR(__xludf.DUMMYFUNCTION("SPLIT('Main dataset (DEPRECATED2)'!N1304,"";"")"),"University of British Columbia##")</f>
        <v>University of British Columbia##</v>
      </c>
      <c r="C1303" s="66" t="s">
        <v>9072</v>
      </c>
    </row>
    <row r="1304" ht="15.75" customHeight="1">
      <c r="A1304" s="66">
        <f>'Main dataset (DEPRECATED)'!Q1305</f>
        <v>4015446</v>
      </c>
      <c r="B1304" s="66" t="str">
        <f>IFERROR(__xludf.DUMMYFUNCTION("SPLIT('Main dataset (DEPRECATED2)'!N1305,"";"")"),"Tiani Medgraph AG Vienna########Tiani Medgraph AG Vienna##Tiani Medgraph AG Vienna")</f>
        <v>Tiani Medgraph AG Vienna########Tiani Medgraph AG Vienna##Tiani Medgraph AG Vienna</v>
      </c>
      <c r="C1304" s="66" t="s">
        <v>4285</v>
      </c>
    </row>
    <row r="1305" ht="15.75" customHeight="1">
      <c r="A1305" s="66">
        <f>'Main dataset (DEPRECATED)'!Q1306</f>
        <v>4015447</v>
      </c>
      <c r="B1305" s="66" t="str">
        <f>IFERROR(__xludf.DUMMYFUNCTION("SPLIT('Main dataset (DEPRECATED2)'!N1306,"";"")"),"MPI Informatik SaarbrÃ¼cken##INTRODUCTION")</f>
        <v>MPI Informatik SaarbrÃ¼cken##INTRODUCTION</v>
      </c>
      <c r="C1305" s="66" t="s">
        <v>11014</v>
      </c>
      <c r="D1305" s="66" t="s">
        <v>10481</v>
      </c>
    </row>
    <row r="1306" ht="15.75" customHeight="1">
      <c r="A1306" s="66">
        <f>'Main dataset (DEPRECATED)'!Q1307</f>
        <v>4015475</v>
      </c>
      <c r="B1306" s="66" t="str">
        <f>IFERROR(__xludf.DUMMYFUNCTION("SPLIT('Main dataset (DEPRECATED2)'!N1307,"";"")"),"IBM Research")</f>
        <v>IBM Research</v>
      </c>
      <c r="C1306" s="66" t="s">
        <v>11706</v>
      </c>
      <c r="D1306" s="66" t="s">
        <v>9651</v>
      </c>
      <c r="E1306" s="66" t="s">
        <v>10579</v>
      </c>
    </row>
    <row r="1307" ht="15.75" customHeight="1">
      <c r="A1307" s="66">
        <f>'Main dataset (DEPRECATED)'!Q1308</f>
        <v>4015490</v>
      </c>
      <c r="B1307" s="66" t="str">
        <f>IFERROR(__xludf.DUMMYFUNCTION("SPLIT('Main dataset (DEPRECATED2)'!N1308,"";"")"),"Vienna University of Technology##Vienna University of Technology")</f>
        <v>Vienna University of Technology##Vienna University of Technology</v>
      </c>
      <c r="C1307" s="66" t="s">
        <v>7335</v>
      </c>
      <c r="D1307" s="66" t="s">
        <v>7195</v>
      </c>
    </row>
    <row r="1308" ht="15.75" customHeight="1">
      <c r="A1308" s="66">
        <f>'Main dataset (DEPRECATED)'!Q1309</f>
        <v>4015485</v>
      </c>
      <c r="B1308" s="66" t="str">
        <f>IFERROR(__xludf.DUMMYFUNCTION("SPLIT('Main dataset (DEPRECATED2)'!N1309,"";"")"),"University of Toronto##University of Toronto")</f>
        <v>University of Toronto##University of Toronto</v>
      </c>
      <c r="C1308" s="66" t="s">
        <v>7960</v>
      </c>
      <c r="D1308" s="66" t="s">
        <v>10514</v>
      </c>
    </row>
    <row r="1309" ht="15.75" customHeight="1">
      <c r="A1309" s="66">
        <f>'Main dataset (DEPRECATED)'!Q1310</f>
        <v>4015444</v>
      </c>
      <c r="B1309" s="66" t="str">
        <f>IFERROR(__xludf.DUMMYFUNCTION("SPLIT('Main dataset (DEPRECATED2)'!N1310,"";"")"),"Technische Universiteit Eindhoven##Technische Universiteit Eindhoven##Technische Universiteit Eindhoven##Technische Universiteit Eindhoven")</f>
        <v>Technische Universiteit Eindhoven##Technische Universiteit Eindhoven##Technische Universiteit Eindhoven##Technische Universiteit Eindhoven</v>
      </c>
      <c r="C1309" s="66" t="s">
        <v>8093</v>
      </c>
    </row>
    <row r="1310" ht="15.75" customHeight="1">
      <c r="A1310" s="66">
        <f>'Main dataset (DEPRECATED)'!Q1311</f>
        <v>4015496</v>
      </c>
      <c r="B1310" s="66" t="str">
        <f>IFERROR(__xludf.DUMMYFUNCTION("SPLIT('Main dataset (DEPRECATED2)'!N1311,"";"")"),"University of California")</f>
        <v>University of California</v>
      </c>
      <c r="C1310" s="66" t="s">
        <v>6402</v>
      </c>
      <c r="D1310" s="66" t="s">
        <v>9807</v>
      </c>
      <c r="E1310" s="66" t="s">
        <v>10621</v>
      </c>
    </row>
    <row r="1311" ht="15.75" customHeight="1">
      <c r="A1311" s="66">
        <f>'Main dataset (DEPRECATED)'!Q1312</f>
        <v>4015442</v>
      </c>
      <c r="B1311" s="66" t="str">
        <f>IFERROR(__xludf.DUMMYFUNCTION("SPLIT('Main dataset (DEPRECATED2)'!N1312,"";"")"),"British Columbia Univ., Vancouver, BC, Canada|c|")</f>
        <v>British Columbia Univ., Vancouver, BC, Canada|c|</v>
      </c>
      <c r="C1311" s="66" t="s">
        <v>8047</v>
      </c>
      <c r="D1311" s="66" t="s">
        <v>7234</v>
      </c>
      <c r="E1311" s="66" t="s">
        <v>8821</v>
      </c>
      <c r="F1311" s="66" t="s">
        <v>9984</v>
      </c>
      <c r="G1311" s="66" t="s">
        <v>9843</v>
      </c>
    </row>
    <row r="1312" ht="15.75" customHeight="1">
      <c r="A1312" s="66">
        <f>'Main dataset (DEPRECATED)'!Q1313</f>
        <v>4015497</v>
      </c>
      <c r="B1312" s="66" t="str">
        <f>IFERROR(__xludf.DUMMYFUNCTION("SPLIT('Main dataset (DEPRECATED2)'!N1313,"";"")"),"University of Konstanz##University of Konstanz")</f>
        <v>University of Konstanz##University of Konstanz</v>
      </c>
      <c r="C1312" s="66" t="s">
        <v>11173</v>
      </c>
      <c r="D1312" s="66" t="s">
        <v>10087</v>
      </c>
      <c r="E1312" s="66" t="s">
        <v>9021</v>
      </c>
    </row>
    <row r="1313" ht="15.75" customHeight="1">
      <c r="A1313" s="66">
        <f>'Main dataset (DEPRECATED)'!Q1314</f>
        <v>4015448</v>
      </c>
      <c r="B1313" s="66" t="str">
        <f>IFERROR(__xludf.DUMMYFUNCTION("SPLIT('Main dataset (DEPRECATED2)'!N1314,"";"")"),"University of Toronto##University of Toronto##University of Toronto")</f>
        <v>University of Toronto##University of Toronto##University of Toronto</v>
      </c>
      <c r="C1313" s="66" t="s">
        <v>11213</v>
      </c>
    </row>
    <row r="1314" ht="15.75" customHeight="1">
      <c r="A1314" s="66">
        <f>'Main dataset (DEPRECATED)'!Q1315</f>
        <v>4015494</v>
      </c>
      <c r="B1314" s="66" t="str">
        <f>IFERROR(__xludf.DUMMYFUNCTION("SPLIT('Main dataset (DEPRECATED2)'!N1315,"";"")"),"Monash University##Monash University")</f>
        <v>Monash University##Monash University</v>
      </c>
      <c r="C1314" s="66" t="s">
        <v>9471</v>
      </c>
      <c r="D1314" s="66" t="s">
        <v>8290</v>
      </c>
      <c r="E1314" s="66" t="s">
        <v>7683</v>
      </c>
    </row>
    <row r="1315" ht="15.75" customHeight="1">
      <c r="A1315" s="66">
        <f>'Main dataset (DEPRECATED)'!Q1316</f>
        <v>4015458</v>
      </c>
      <c r="B1315" s="66" t="str">
        <f>IFERROR(__xludf.DUMMYFUNCTION("SPLIT('Main dataset (DEPRECATED2)'!N1316,"";"")"),"Georgia Institute of Technology####")</f>
        <v>Georgia Institute of Technology####</v>
      </c>
      <c r="C1315" s="66" t="s">
        <v>6883</v>
      </c>
      <c r="D1315" s="66" t="s">
        <v>8053</v>
      </c>
    </row>
    <row r="1316" ht="15.75" customHeight="1">
      <c r="A1316" s="66">
        <f>'Main dataset (DEPRECATED)'!Q1317</f>
        <v>4015474</v>
      </c>
      <c r="B1316" s="66" t="str">
        <f>IFERROR(__xludf.DUMMYFUNCTION("SPLIT('Main dataset (DEPRECATED2)'!N1317,"";"")"),"University of Manitoba##University of Manitoba")</f>
        <v>University of Manitoba##University of Manitoba</v>
      </c>
      <c r="C1316" s="66" t="s">
        <v>8908</v>
      </c>
    </row>
    <row r="1317" ht="15.75" customHeight="1">
      <c r="A1317" s="66">
        <f>'Main dataset (DEPRECATED)'!Q1318</f>
        <v>4015482</v>
      </c>
      <c r="B1317" s="66" t="str">
        <f>IFERROR(__xludf.DUMMYFUNCTION("SPLIT('Main dataset (DEPRECATED2)'!N1318,"";"")"),"Pacific Northwest Nat. Lab., Richland, WA, USA|c|")</f>
        <v>Pacific Northwest Nat. Lab., Richland, WA, USA|c|</v>
      </c>
      <c r="C1317" s="66" t="s">
        <v>8693</v>
      </c>
    </row>
    <row r="1318" ht="15.75" customHeight="1">
      <c r="A1318" s="66">
        <f>'Main dataset (DEPRECATED)'!Q1319</f>
        <v>4015498</v>
      </c>
      <c r="B1318" s="66" t="str">
        <f>IFERROR(__xludf.DUMMYFUNCTION("SPLIT('Main dataset (DEPRECATED2)'!N1319,"";"")"),"University of Utah##University of Utah##University of Utah##University of Utah")</f>
        <v>University of Utah##University of Utah##University of Utah##University of Utah</v>
      </c>
      <c r="C1318" s="66" t="s">
        <v>9846</v>
      </c>
      <c r="D1318" s="66" t="s">
        <v>9127</v>
      </c>
      <c r="E1318" s="66" t="s">
        <v>6765</v>
      </c>
      <c r="F1318" s="66" t="s">
        <v>8908</v>
      </c>
    </row>
    <row r="1319" ht="15.75" customHeight="1">
      <c r="A1319" s="66">
        <f>'Main dataset (DEPRECATED)'!Q1320</f>
        <v>4015473</v>
      </c>
      <c r="B1319" s="66" t="str">
        <f>IFERROR(__xludf.DUMMYFUNCTION("SPLIT('Main dataset (DEPRECATED2)'!N1320,"";"")"),"University of Konstanz##University of Konstanz##University of Konstanz")</f>
        <v>University of Konstanz##University of Konstanz##University of Konstanz</v>
      </c>
      <c r="C1319" s="66" t="s">
        <v>8270</v>
      </c>
      <c r="D1319" s="66" t="s">
        <v>11335</v>
      </c>
    </row>
    <row r="1320" ht="15.75" customHeight="1">
      <c r="A1320" s="66">
        <f>'Main dataset (DEPRECATED)'!Q1321</f>
        <v>4015464</v>
      </c>
      <c r="B1320" s="66" t="str">
        <f>IFERROR(__xludf.DUMMYFUNCTION("SPLIT('Main dataset (DEPRECATED2)'!N1321,"";"")"),"Georgia Institute of Technology##Georgia Institute of Technology##Georgia Institute of Technology")</f>
        <v>Georgia Institute of Technology##Georgia Institute of Technology##Georgia Institute of Technology</v>
      </c>
      <c r="C1320" s="66" t="s">
        <v>6645</v>
      </c>
      <c r="D1320" s="66" t="s">
        <v>9258</v>
      </c>
      <c r="E1320" s="66" t="s">
        <v>9404</v>
      </c>
      <c r="F1320" s="66" t="s">
        <v>9807</v>
      </c>
    </row>
    <row r="1321" ht="15.75" customHeight="1">
      <c r="A1321" s="66">
        <f>'Main dataset (DEPRECATED)'!Q1322</f>
        <v>4015492</v>
      </c>
      <c r="B1321" s="66" t="str">
        <f>IFERROR(__xludf.DUMMYFUNCTION("SPLIT('Main dataset (DEPRECATED2)'!N1322,"";"")"),"Uppsala University Uppsala##University of GÃ¤vle GÃ¤vle##Uppsala University Uppsala")</f>
        <v>Uppsala University Uppsala##University of GÃ¤vle GÃ¤vle##Uppsala University Uppsala</v>
      </c>
      <c r="C1321" s="66" t="s">
        <v>6966</v>
      </c>
      <c r="D1321" s="66" t="s">
        <v>8560</v>
      </c>
    </row>
    <row r="1322" ht="15.75" customHeight="1">
      <c r="A1322" s="66">
        <f>'Main dataset (DEPRECATED)'!Q1323</f>
        <v>4015459</v>
      </c>
      <c r="B1322" s="66" t="str">
        <f>IFERROR(__xludf.DUMMYFUNCTION("SPLIT('Main dataset (DEPRECATED2)'!N1323,"";"")"),"Norrkoping Visualization &amp; Interaction Studio, Linkoping Univ., Sweden|c|")</f>
        <v>Norrkoping Visualization &amp; Interaction Studio, Linkoping Univ., Sweden|c|</v>
      </c>
      <c r="C1322" s="66" t="s">
        <v>8972</v>
      </c>
      <c r="D1322" s="66" t="s">
        <v>9340</v>
      </c>
      <c r="E1322" s="66" t="s">
        <v>6240</v>
      </c>
    </row>
    <row r="1323" ht="15.75" customHeight="1">
      <c r="A1323" s="66">
        <f>'Main dataset (DEPRECATED)'!Q1324</f>
        <v>4015469</v>
      </c>
      <c r="B1323" s="66" t="str">
        <f>IFERROR(__xludf.DUMMYFUNCTION("SPLIT('Main dataset (DEPRECATED2)'!N1324,"";"")"),"VRVis Res. Center, Vienna, Austria|c|")</f>
        <v>VRVis Res. Center, Vienna, Austria|c|</v>
      </c>
      <c r="C1323" s="66" t="s">
        <v>8083</v>
      </c>
      <c r="D1323" s="66" t="s">
        <v>6589</v>
      </c>
      <c r="E1323" s="66" t="s">
        <v>11396</v>
      </c>
      <c r="F1323" s="66" t="s">
        <v>7432</v>
      </c>
      <c r="G1323" s="66" t="s">
        <v>11034</v>
      </c>
    </row>
    <row r="1324" ht="15.75" customHeight="1">
      <c r="A1324" s="66">
        <f>'Main dataset (DEPRECATED)'!Q1325</f>
        <v>4015489</v>
      </c>
      <c r="B1324" s="66" t="str">
        <f>IFERROR(__xludf.DUMMYFUNCTION("SPLIT('Main dataset (DEPRECATED2)'!N1325,"";"")"),"Johns Hopkins University##Johns Hopkins University")</f>
        <v>Johns Hopkins University##Johns Hopkins University</v>
      </c>
      <c r="C1324" s="66" t="s">
        <v>11236</v>
      </c>
      <c r="D1324" s="66" t="s">
        <v>11192</v>
      </c>
    </row>
    <row r="1325" ht="15.75" customHeight="1">
      <c r="A1325" s="66">
        <f>'Main dataset (DEPRECATED)'!Q1326</f>
        <v>4015478</v>
      </c>
      <c r="B1325" s="66" t="str">
        <f>IFERROR(__xludf.DUMMYFUNCTION("SPLIT('Main dataset (DEPRECATED2)'!N1326,"";"")"),"University of Calgary##University of Calgary##University of Calgary")</f>
        <v>University of Calgary##University of Calgary##University of Calgary</v>
      </c>
      <c r="C1325" s="66" t="s">
        <v>9286</v>
      </c>
      <c r="D1325" s="66" t="s">
        <v>11740</v>
      </c>
      <c r="E1325" s="66" t="s">
        <v>8701</v>
      </c>
    </row>
    <row r="1326" ht="15.75" customHeight="1">
      <c r="A1326" s="66">
        <f>'Main dataset (DEPRECATED)'!Q1327</f>
        <v>4015451</v>
      </c>
      <c r="B1326" s="66" t="str">
        <f>IFERROR(__xludf.DUMMYFUNCTION("SPLIT('Main dataset (DEPRECATED2)'!N1327,"";"")"),"SPSS Inc. Northwestern University##SPSS Inc. Northwestern University##SPSS Inc. Northwestern University")</f>
        <v>SPSS Inc. Northwestern University##SPSS Inc. Northwestern University##SPSS Inc. Northwestern University</v>
      </c>
      <c r="C1326" s="66" t="s">
        <v>9842</v>
      </c>
      <c r="D1326" s="66" t="s">
        <v>10610</v>
      </c>
    </row>
    <row r="1327" ht="15.75" customHeight="1">
      <c r="A1327" s="66">
        <f>'Main dataset (DEPRECATED)'!Q1328</f>
        <v>4015452</v>
      </c>
      <c r="B1327" s="66" t="str">
        <f>IFERROR(__xludf.DUMMYFUNCTION("SPLIT('Main dataset (DEPRECATED2)'!N1328,"";"")"),"University of Wisconsinâ€“Madison")</f>
        <v>University of Wisconsinâ€“Madison</v>
      </c>
      <c r="C1327" s="66" t="s">
        <v>8471</v>
      </c>
      <c r="D1327" s="66" t="s">
        <v>11029</v>
      </c>
      <c r="E1327" s="66" t="s">
        <v>9170</v>
      </c>
    </row>
    <row r="1328" ht="15.75" customHeight="1">
      <c r="A1328" s="66">
        <f>'Main dataset (DEPRECATED)'!Q1329</f>
        <v>1532145</v>
      </c>
      <c r="B1328" s="66" t="str">
        <f>IFERROR(__xludf.DUMMYFUNCTION("SPLIT('Main dataset (DEPRECATED2)'!N1329,"";"")"),"Tokyo University of Agriculture and Technology##Tokyo University of Agriculture and Technology##Tokyo University of Agriculture and Technology##Tokyo University of Agriculture and Technology##Tokyo University of Agriculture and Technology##Tokyo Universit"&amp;"y of Agriculture and Technology##Tokyo University of Agriculture and Technology")</f>
        <v>Tokyo University of Agriculture and Technology##Tokyo University of Agriculture and Technology##Tokyo University of Agriculture and Technology##Tokyo University of Agriculture and Technology##Tokyo University of Agriculture and Technology##Tokyo University of Agriculture and Technology##Tokyo University of Agriculture and Technology</v>
      </c>
    </row>
    <row r="1329" ht="15.75" customHeight="1">
      <c r="A1329" s="66">
        <f>'Main dataset (DEPRECATED)'!Q1330</f>
        <v>1532123</v>
      </c>
      <c r="B1329" s="66" t="str">
        <f>IFERROR(__xludf.DUMMYFUNCTION("SPLIT('Main dataset (DEPRECATED2)'!N1330,"";"")"),"IBM Research")</f>
        <v>IBM Research</v>
      </c>
      <c r="C1329" s="66" t="s">
        <v>7887</v>
      </c>
    </row>
    <row r="1330" ht="15.75" customHeight="1">
      <c r="A1330" s="66">
        <f>'Main dataset (DEPRECATED)'!Q1331</f>
        <v>1532147</v>
      </c>
      <c r="B1330" s="66" t="str">
        <f>IFERROR(__xludf.DUMMYFUNCTION("SPLIT('Main dataset (DEPRECATED2)'!N1331,"";"")"),"IBM T. J. Watson Res. Center, Hawthorne, NY, USA|c|")</f>
        <v>IBM T. J. Watson Res. Center, Hawthorne, NY, USA|c|</v>
      </c>
      <c r="C1330" s="66" t="s">
        <v>6214</v>
      </c>
      <c r="D1330" s="66" t="s">
        <v>9773</v>
      </c>
      <c r="E1330" s="66" t="s">
        <v>9999</v>
      </c>
      <c r="F1330" s="66" t="s">
        <v>10851</v>
      </c>
      <c r="G1330" s="66" t="s">
        <v>11286</v>
      </c>
      <c r="H1330" s="66" t="s">
        <v>6850</v>
      </c>
    </row>
    <row r="1331" ht="15.75" customHeight="1">
      <c r="A1331" s="66">
        <f>'Main dataset (DEPRECATED)'!Q1332</f>
        <v>1532132</v>
      </c>
      <c r="B1331" s="66" t="str">
        <f>IFERROR(__xludf.DUMMYFUNCTION("SPLIT('Main dataset (DEPRECATED2)'!N1332,"";"")"),"Coll. of Inf. Sci. &amp; Technol., Drexel Univ., Philadelphia, PA, USA|c|")</f>
        <v>Coll. of Inf. Sci. &amp; Technol., Drexel Univ., Philadelphia, PA, USA|c|</v>
      </c>
      <c r="C1331" s="66" t="s">
        <v>8367</v>
      </c>
      <c r="D1331" s="66" t="s">
        <v>9033</v>
      </c>
    </row>
    <row r="1332" ht="15.75" customHeight="1">
      <c r="A1332" s="66">
        <f>'Main dataset (DEPRECATED)'!Q1333</f>
        <v>1532141</v>
      </c>
      <c r="B1332" s="66" t="str">
        <f>IFERROR(__xludf.DUMMYFUNCTION("SPLIT('Main dataset (DEPRECATED2)'!N1333,"";"")"),"Hewlett-Packard Laboratories##Hewlett-Packard Laboratories##University of Konstanz##University of Konstanz")</f>
        <v>Hewlett-Packard Laboratories##Hewlett-Packard Laboratories##University of Konstanz##University of Konstanz</v>
      </c>
      <c r="C1332" s="66" t="s">
        <v>6786</v>
      </c>
      <c r="D1332" s="66" t="s">
        <v>8373</v>
      </c>
    </row>
    <row r="1333" ht="15.75" customHeight="1">
      <c r="A1333" s="66">
        <f>'Main dataset (DEPRECATED)'!Q1334</f>
        <v>1532146</v>
      </c>
      <c r="B1333" s="66" t="str">
        <f>IFERROR(__xludf.DUMMYFUNCTION("SPLIT('Main dataset (DEPRECATED2)'!N1334,"";"")"),"University of Maryland##University of Maryland##University of Maryland")</f>
        <v>University of Maryland##University of Maryland##University of Maryland</v>
      </c>
      <c r="C1333" s="66" t="s">
        <v>11819</v>
      </c>
      <c r="D1333" s="66" t="s">
        <v>6167</v>
      </c>
    </row>
    <row r="1334" ht="15.75" customHeight="1">
      <c r="A1334" s="66">
        <f>'Main dataset (DEPRECATED)'!Q1335</f>
        <v>1532122</v>
      </c>
      <c r="B1334" s="66" t="str">
        <f>IFERROR(__xludf.DUMMYFUNCTION("SPLIT('Main dataset (DEPRECATED2)'!N1335,"";"")"),"Stanford University##Stanford University##Stanford University##Stanford University##Stanford University")</f>
        <v>Stanford University##Stanford University##Stanford University##Stanford University##Stanford University</v>
      </c>
    </row>
    <row r="1335" ht="15.75" customHeight="1">
      <c r="A1335" s="66">
        <f>'Main dataset (DEPRECATED)'!Q1336</f>
        <v>1532130</v>
      </c>
      <c r="B1335" s="66" t="str">
        <f>IFERROR(__xludf.DUMMYFUNCTION("SPLIT('Main dataset (DEPRECATED2)'!N1336,"";"")"),"Virginia Polytechnic Institute and State University Blacksburg##Virginia Polytechnic Institute and State University Blacksburg##Virginia Polytechnic Institute and State University Blacksburg")</f>
        <v>Virginia Polytechnic Institute and State University Blacksburg##Virginia Polytechnic Institute and State University Blacksburg##Virginia Polytechnic Institute and State University Blacksburg</v>
      </c>
      <c r="C1335" s="66" t="s">
        <v>8826</v>
      </c>
    </row>
    <row r="1336" ht="15.75" customHeight="1">
      <c r="A1336" s="66">
        <f>'Main dataset (DEPRECATED)'!Q1337</f>
        <v>1532131</v>
      </c>
      <c r="B1336" s="66" t="str">
        <f>IFERROR(__xludf.DUMMYFUNCTION("SPLIT('Main dataset (DEPRECATED2)'!N1337,"";"")"),"Bauhaus University Weimar##Bauhaus University Weimar##Bauhaus University Weimar")</f>
        <v>Bauhaus University Weimar##Bauhaus University Weimar##Bauhaus University Weimar</v>
      </c>
      <c r="C1336" s="66" t="s">
        <v>9175</v>
      </c>
      <c r="D1336" s="66" t="s">
        <v>9870</v>
      </c>
      <c r="E1336" s="66" t="s">
        <v>7357</v>
      </c>
      <c r="F1336" s="66" t="s">
        <v>7570</v>
      </c>
      <c r="G1336" s="66" t="s">
        <v>11027</v>
      </c>
    </row>
    <row r="1337" ht="15.75" customHeight="1">
      <c r="A1337" s="66">
        <f>'Main dataset (DEPRECATED)'!Q1338</f>
        <v>1532129</v>
      </c>
      <c r="B1337" s="66" t="str">
        <f>IFERROR(__xludf.DUMMYFUNCTION("SPLIT('Main dataset (DEPRECATED2)'!N1338,"";"")"),"Dept. of Comput. Sci., Maryland Univ., College Park, MD, USA|c|")</f>
        <v>Dept. of Comput. Sci., Maryland Univ., College Park, MD, USA|c|</v>
      </c>
      <c r="C1337" s="66" t="s">
        <v>9313</v>
      </c>
      <c r="D1337" s="66" t="s">
        <v>6893</v>
      </c>
    </row>
    <row r="1338" ht="15.75" customHeight="1">
      <c r="A1338" s="66">
        <f>'Main dataset (DEPRECATED)'!Q1339</f>
        <v>1532150</v>
      </c>
      <c r="B1338" s="66" t="str">
        <f>IFERROR(__xludf.DUMMYFUNCTION("SPLIT('Main dataset (DEPRECATED2)'!N1339,"";"")"),"University of California##University of California")</f>
        <v>University of California##University of California</v>
      </c>
      <c r="C1338" s="66" t="s">
        <v>9074</v>
      </c>
      <c r="D1338" s="66" t="s">
        <v>11666</v>
      </c>
      <c r="E1338" s="66" t="s">
        <v>8046</v>
      </c>
    </row>
    <row r="1339" ht="15.75" customHeight="1">
      <c r="A1339" s="66">
        <f>'Main dataset (DEPRECATED)'!Q1340</f>
        <v>1532142</v>
      </c>
      <c r="B1339" s="66" t="str">
        <f>IFERROR(__xludf.DUMMYFUNCTION("SPLIT('Main dataset (DEPRECATED2)'!N1340,"";"")"),"Sandia Nat. Labs., Albuquerque, NM, USA|c|")</f>
        <v>Sandia Nat. Labs., Albuquerque, NM, USA|c|</v>
      </c>
      <c r="C1339" s="66" t="s">
        <v>6224</v>
      </c>
      <c r="D1339" s="66" t="s">
        <v>7902</v>
      </c>
    </row>
    <row r="1340" ht="15.75" customHeight="1">
      <c r="A1340" s="66">
        <f>'Main dataset (DEPRECATED)'!Q1341</f>
        <v>1532135</v>
      </c>
      <c r="B1340" s="66" t="str">
        <f>IFERROR(__xludf.DUMMYFUNCTION("SPLIT('Main dataset (DEPRECATED2)'!N1341,"";"")"),"Eidgenossische Tech. Hochschule, Zurich, Switzerland|c|")</f>
        <v>Eidgenossische Tech. Hochschule, Zurich, Switzerland|c|</v>
      </c>
      <c r="C1340" s="66" t="s">
        <v>7552</v>
      </c>
      <c r="D1340" s="66" t="s">
        <v>9007</v>
      </c>
    </row>
    <row r="1341" ht="15.75" customHeight="1">
      <c r="A1341" s="66">
        <f>'Main dataset (DEPRECATED)'!Q1342</f>
        <v>1532148</v>
      </c>
      <c r="B1341" s="66" t="str">
        <f>IFERROR(__xludf.DUMMYFUNCTION("SPLIT('Main dataset (DEPRECATED2)'!N1342,"";"")"),"University of Leipzig Leipzig##University of Leipzig Leipzig")</f>
        <v>University of Leipzig Leipzig##University of Leipzig Leipzig</v>
      </c>
      <c r="C1341" s="66" t="s">
        <v>7167</v>
      </c>
      <c r="D1341" s="66" t="s">
        <v>8664</v>
      </c>
      <c r="E1341" s="66" t="s">
        <v>10426</v>
      </c>
    </row>
    <row r="1342" ht="15.75" customHeight="1">
      <c r="A1342" s="66">
        <f>'Main dataset (DEPRECATED)'!Q1343</f>
        <v>1532152</v>
      </c>
      <c r="B1342" s="66" t="str">
        <f>IFERROR(__xludf.DUMMYFUNCTION("SPLIT('Main dataset (DEPRECATED2)'!N1343,"";"")"),"UCSC##UCSC##UCSC")</f>
        <v>UCSC##UCSC##UCSC</v>
      </c>
      <c r="C1342" s="66" t="s">
        <v>8036</v>
      </c>
      <c r="D1342" s="66" t="s">
        <v>7620</v>
      </c>
    </row>
    <row r="1343" ht="15.75" customHeight="1">
      <c r="A1343" s="66">
        <f>'Main dataset (DEPRECATED)'!Q1344</f>
        <v>1532124</v>
      </c>
      <c r="B1343" s="66" t="str">
        <f>IFERROR(__xludf.DUMMYFUNCTION("SPLIT('Main dataset (DEPRECATED2)'!N1344,"";"")"),"Simmetrix##Simmetrix##Simmetrix##Simmetrix##Simmetrix##Simmetrix##Simmetrix##Simmetrix##Simmetrix##Simmetrix##Simmetrix##Simmetrix")</f>
        <v>Simmetrix##Simmetrix##Simmetrix##Simmetrix##Simmetrix##Simmetrix##Simmetrix##Simmetrix##Simmetrix##Simmetrix##Simmetrix##Simmetrix</v>
      </c>
      <c r="C1343" s="66" t="s">
        <v>6331</v>
      </c>
    </row>
    <row r="1344" ht="15.75" customHeight="1">
      <c r="A1344" s="66">
        <f>'Main dataset (DEPRECATED)'!Q1345</f>
        <v>1532136</v>
      </c>
      <c r="B1344" s="66" t="str">
        <f>IFERROR(__xludf.DUMMYFUNCTION("SPLIT('Main dataset (DEPRECATED2)'!N1345,"";"")"),"Dept. of Neurosurg., Erlangen-Nurnberg Univ., Erlangen, Germany|c|")</f>
        <v>Dept. of Neurosurg., Erlangen-Nurnberg Univ., Erlangen, Germany|c|</v>
      </c>
      <c r="C1344" s="66" t="s">
        <v>7357</v>
      </c>
      <c r="D1344" s="66" t="s">
        <v>10767</v>
      </c>
    </row>
    <row r="1345" ht="15.75" customHeight="1">
      <c r="A1345" s="66">
        <f>'Main dataset (DEPRECATED)'!Q1346</f>
        <v>1532140</v>
      </c>
      <c r="B1345" s="66" t="str">
        <f>IFERROR(__xludf.DUMMYFUNCTION("SPLIT('Main dataset (DEPRECATED2)'!N1346,"";"")"),"Delft University of Technology##Delft University of Technology##Academic Medical Centre##Delft University of Technology##Delft University of Technology")</f>
        <v>Delft University of Technology##Delft University of Technology##Academic Medical Centre##Delft University of Technology##Delft University of Technology</v>
      </c>
      <c r="C1345" s="66" t="s">
        <v>10135</v>
      </c>
    </row>
    <row r="1346" ht="15.75" customHeight="1">
      <c r="A1346" s="66">
        <f>'Main dataset (DEPRECATED)'!Q1347</f>
        <v>1532139</v>
      </c>
      <c r="B1346" s="66" t="str">
        <f>IFERROR(__xludf.DUMMYFUNCTION("SPLIT('Main dataset (DEPRECATED2)'!N1347,"";"")"),"Technische Universiteit Eindhoven Eindhoven##Technische Universiteit Eindhoven Eindhoven##Technische Universiteit Eindhoven Eindhoven")</f>
        <v>Technische Universiteit Eindhoven Eindhoven##Technische Universiteit Eindhoven Eindhoven##Technische Universiteit Eindhoven Eindhoven</v>
      </c>
      <c r="C1346" s="66" t="s">
        <v>8832</v>
      </c>
      <c r="D1346" s="66" t="s">
        <v>8093</v>
      </c>
    </row>
    <row r="1347" ht="15.75" customHeight="1">
      <c r="A1347" s="66">
        <f>'Main dataset (DEPRECATED)'!Q1348</f>
        <v>1532127</v>
      </c>
      <c r="B1347" s="66" t="str">
        <f>IFERROR(__xludf.DUMMYFUNCTION("SPLIT('Main dataset (DEPRECATED2)'!N1348,"";"")"),"Technische UniversitÃ¤tUniversitÂ¨UniversitÃ¤t M Â¨ unchen##Technische UniversitÃ¤tUniversitÂ¨UniversitÃ¤t M Â¨ unchen##Technische UniversitÃ¤tUniversitÂ¨UniversitÃ¤t M Â¨ unchen##Technische UniversitÃ¤tUniversitÂ¨UniversitÃ¤t M Â¨ unchen")</f>
        <v>Technische UniversitÃ¤tUniversitÂ¨UniversitÃ¤t M Â¨ unchen##Technische UniversitÃ¤tUniversitÂ¨UniversitÃ¤t M Â¨ unchen##Technische UniversitÃ¤tUniversitÂ¨UniversitÃ¤t M Â¨ unchen##Technische UniversitÃ¤tUniversitÂ¨UniversitÃ¤t M Â¨ unchen</v>
      </c>
      <c r="C1347" s="66" t="s">
        <v>8181</v>
      </c>
      <c r="D1347" s="66" t="s">
        <v>9549</v>
      </c>
    </row>
    <row r="1348" ht="15.75" customHeight="1">
      <c r="A1348" s="66">
        <f>'Main dataset (DEPRECATED)'!Q1349</f>
        <v>1532138</v>
      </c>
      <c r="B1348" s="66" t="str">
        <f>IFERROR(__xludf.DUMMYFUNCTION("SPLIT('Main dataset (DEPRECATED2)'!N1349,"";"")"),"Technische Universiteit Eindhoven")</f>
        <v>Technische Universiteit Eindhoven</v>
      </c>
      <c r="C1348" s="66" t="s">
        <v>9101</v>
      </c>
      <c r="D1348" s="66" t="s">
        <v>8456</v>
      </c>
      <c r="E1348" s="66" t="s">
        <v>7015</v>
      </c>
    </row>
    <row r="1349" ht="15.75" customHeight="1">
      <c r="A1349" s="66">
        <f>'Main dataset (DEPRECATED)'!Q1350</f>
        <v>1532137</v>
      </c>
      <c r="B1349" s="66" t="str">
        <f>IFERROR(__xludf.DUMMYFUNCTION("SPLIT('Main dataset (DEPRECATED2)'!N1350,"";"")"),"Texas A&amp;M University##Texas A&amp;M University##Texas A&amp;M University")</f>
        <v>Texas A&amp;M University##Texas A&amp;M University##Texas A&amp;M University</v>
      </c>
      <c r="C1349" s="66" t="s">
        <v>10486</v>
      </c>
      <c r="D1349" s="66" t="s">
        <v>9066</v>
      </c>
    </row>
    <row r="1350" ht="15.75" customHeight="1">
      <c r="A1350" s="66">
        <f>'Main dataset (DEPRECATED)'!Q1351</f>
        <v>1532149</v>
      </c>
      <c r="B1350" s="66" t="str">
        <f>IFERROR(__xludf.DUMMYFUNCTION("SPLIT('Main dataset (DEPRECATED2)'!N1351,"";"")"),"Rutgers University##Rutgers University##John Cabot University")</f>
        <v>Rutgers University##Rutgers University##John Cabot University</v>
      </c>
      <c r="C1350" s="66" t="s">
        <v>10135</v>
      </c>
      <c r="D1350" s="66" t="s">
        <v>7210</v>
      </c>
    </row>
    <row r="1351" ht="15.75" customHeight="1">
      <c r="A1351" s="66">
        <f>'Main dataset (DEPRECATED)'!Q1352</f>
        <v>1532125</v>
      </c>
      <c r="B1351" s="66" t="str">
        <f>IFERROR(__xludf.DUMMYFUNCTION("SPLIT('Main dataset (DEPRECATED2)'!N1352,"";"")"),"University of Idaho##University of Idaho##University of Idaho")</f>
        <v>University of Idaho##University of Idaho##University of Idaho</v>
      </c>
      <c r="C1351" s="66" t="s">
        <v>9669</v>
      </c>
      <c r="D1351" s="66" t="s">
        <v>11268</v>
      </c>
      <c r="E1351" s="66" t="s">
        <v>11000</v>
      </c>
    </row>
    <row r="1352" ht="15.75" customHeight="1">
      <c r="A1352" s="66">
        <f>'Main dataset (DEPRECATED)'!Q1353</f>
        <v>1532153</v>
      </c>
      <c r="B1352" s="66" t="str">
        <f>IFERROR(__xludf.DUMMYFUNCTION("SPLIT('Main dataset (DEPRECATED2)'!N1353,"";"")"),"#VALUE!")</f>
        <v>#VALUE!</v>
      </c>
      <c r="C1352" s="66" t="s">
        <v>10075</v>
      </c>
      <c r="D1352" s="66" t="s">
        <v>6236</v>
      </c>
      <c r="E1352" s="66" t="s">
        <v>6173</v>
      </c>
      <c r="F1352" s="66" t="s">
        <v>6665</v>
      </c>
      <c r="G1352" s="66" t="s">
        <v>8458</v>
      </c>
      <c r="H1352" s="66" t="s">
        <v>9176</v>
      </c>
    </row>
    <row r="1353" ht="15.75" customHeight="1">
      <c r="A1353" s="66">
        <f>'Main dataset (DEPRECATED)'!Q1354</f>
        <v>1532133</v>
      </c>
      <c r="B1353" s="66" t="str">
        <f>IFERROR(__xludf.DUMMYFUNCTION("SPLIT('Main dataset (DEPRECATED2)'!N1354,"";"")"),"#VALUE!")</f>
        <v>#VALUE!</v>
      </c>
      <c r="C1353" s="66" t="s">
        <v>7084</v>
      </c>
      <c r="D1353" s="66" t="s">
        <v>9830</v>
      </c>
      <c r="E1353" s="66" t="s">
        <v>11115</v>
      </c>
    </row>
    <row r="1354" ht="15.75" customHeight="1">
      <c r="A1354" s="66">
        <f>'Main dataset (DEPRECATED)'!Q1355</f>
        <v>1532144</v>
      </c>
      <c r="B1354" s="66" t="str">
        <f>IFERROR(__xludf.DUMMYFUNCTION("SPLIT('Main dataset (DEPRECATED2)'!N1355,"";"")"),"ID-IMAG##ID-IMAG")</f>
        <v>ID-IMAG##ID-IMAG</v>
      </c>
      <c r="C1354" s="66" t="s">
        <v>9454</v>
      </c>
      <c r="D1354" s="66" t="s">
        <v>11638</v>
      </c>
      <c r="E1354" s="66" t="s">
        <v>10327</v>
      </c>
      <c r="F1354" s="66" t="s">
        <v>8262</v>
      </c>
      <c r="G1354" s="66" t="s">
        <v>8638</v>
      </c>
    </row>
    <row r="1355" ht="15.75" customHeight="1">
      <c r="A1355" s="66">
        <f>'Main dataset (DEPRECATED)'!Q1356</f>
        <v>1532134</v>
      </c>
      <c r="B1355" s="66" t="str">
        <f>IFERROR(__xludf.DUMMYFUNCTION("SPLIT('Main dataset (DEPRECATED2)'!N1356,"";"")"),"University of Utah##University of Utah####University of Utah##University of Utah####University of Utah##University of Utah")</f>
        <v>University of Utah##University of Utah####University of Utah##University of Utah####University of Utah##University of Utah</v>
      </c>
      <c r="C1355" s="66" t="s">
        <v>6171</v>
      </c>
      <c r="D1355" s="66" t="s">
        <v>10554</v>
      </c>
      <c r="E1355" s="66" t="s">
        <v>7573</v>
      </c>
    </row>
    <row r="1356" ht="15.75" customHeight="1">
      <c r="A1356" s="66">
        <f>'Main dataset (DEPRECATED)'!Q1357</f>
        <v>1532151</v>
      </c>
      <c r="B1356" s="66" t="str">
        <f>IFERROR(__xludf.DUMMYFUNCTION("SPLIT('Main dataset (DEPRECATED2)'!N1357,"";"")"),"Purdue University##Purdue University")</f>
        <v>Purdue University##Purdue University</v>
      </c>
      <c r="C1356" s="66" t="s">
        <v>8979</v>
      </c>
      <c r="D1356" s="66" t="s">
        <v>9667</v>
      </c>
    </row>
    <row r="1357" ht="15.75" customHeight="1">
      <c r="A1357" s="66">
        <f>'Main dataset (DEPRECATED)'!Q1358</f>
        <v>1532143</v>
      </c>
      <c r="B1357" s="66" t="str">
        <f>IFERROR(__xludf.DUMMYFUNCTION("SPLIT('Main dataset (DEPRECATED2)'!N1358,"";"")"),"TU Kaiserslautern##TU Kaiserslautern##TU Kaiserslautern##TU Kaiserslautern##TU Kaiserslautern##TU Kaiserslautern##TU Kaiserslautern##TU Kaiserslautern")</f>
        <v>TU Kaiserslautern##TU Kaiserslautern##TU Kaiserslautern##TU Kaiserslautern##TU Kaiserslautern##TU Kaiserslautern##TU Kaiserslautern##TU Kaiserslautern</v>
      </c>
    </row>
    <row r="1358" ht="15.75" customHeight="1">
      <c r="A1358" s="66">
        <f>'Main dataset (DEPRECATED)'!Q1359</f>
        <v>1532126</v>
      </c>
      <c r="B1358" s="66" t="str">
        <f>IFERROR(__xludf.DUMMYFUNCTION("SPLIT('Main dataset (DEPRECATED2)'!N1359,"";"")"),"University of Illinois at Urbana-Champaign##University of Illinois at Urbana-Champaign##University of Illinois at Urbana-Champaign##University of Illinois at Urbana-Champaign##University of Illinois at Urbana-Champaign")</f>
        <v>University of Illinois at Urbana-Champaign##University of Illinois at Urbana-Champaign##University of Illinois at Urbana-Champaign##University of Illinois at Urbana-Champaign##University of Illinois at Urbana-Champaign</v>
      </c>
      <c r="C1358" s="66" t="s">
        <v>6611</v>
      </c>
    </row>
    <row r="1359" ht="15.75" customHeight="1">
      <c r="A1359" s="66">
        <f>'Main dataset (DEPRECATED)'!Q1360</f>
        <v>1532128</v>
      </c>
      <c r="B1359" s="66" t="str">
        <f>IFERROR(__xludf.DUMMYFUNCTION("SPLIT('Main dataset (DEPRECATED2)'!N1360,"";"")"),"University of California##University of California##University of California##University of California##University of California")</f>
        <v>University of California##University of California##University of California##University of California##University of California</v>
      </c>
      <c r="C1359" s="66" t="s">
        <v>7214</v>
      </c>
    </row>
    <row r="1360" ht="15.75" customHeight="1">
      <c r="A1360" s="66">
        <f>'Main dataset (DEPRECATED)'!Q1361</f>
        <v>1532770</v>
      </c>
      <c r="B1360" s="66" t="str">
        <f>IFERROR(__xludf.DUMMYFUNCTION("SPLIT('Main dataset (DEPRECATED2)'!N1361,"";"")"),"Zuse-Institute Berlin (ZIB)##Zuse-Institute Berlin (ZIB)##Zuse-Institute Berlin (ZIB)##Zuse-Institute Berlin (ZIB)")</f>
        <v>Zuse-Institute Berlin (ZIB)##Zuse-Institute Berlin (ZIB)##Zuse-Institute Berlin (ZIB)##Zuse-Institute Berlin (ZIB)</v>
      </c>
      <c r="C1360" s="66" t="s">
        <v>9772</v>
      </c>
    </row>
    <row r="1361" ht="15.75" customHeight="1">
      <c r="A1361" s="66">
        <f>'Main dataset (DEPRECATED)'!Q1362</f>
        <v>1532795</v>
      </c>
      <c r="B1361" s="66" t="str">
        <f>IFERROR(__xludf.DUMMYFUNCTION("SPLIT('Main dataset (DEPRECATED2)'!N1362,"";"")"),"Oak Ridge National Lab##Oak Ridge National Lab##Oak Ridge National Lab##Oak Ridge National Lab##Oak Ridge National Lab##Oak Ridge National Lab")</f>
        <v>Oak Ridge National Lab##Oak Ridge National Lab##Oak Ridge National Lab##Oak Ridge National Lab##Oak Ridge National Lab##Oak Ridge National Lab</v>
      </c>
      <c r="C1361" s="66" t="s">
        <v>6687</v>
      </c>
      <c r="D1361" s="66" t="s">
        <v>6564</v>
      </c>
      <c r="E1361" s="66" t="s">
        <v>9365</v>
      </c>
      <c r="F1361" s="66" t="s">
        <v>9402</v>
      </c>
      <c r="G1361" s="66" t="s">
        <v>11441</v>
      </c>
      <c r="H1361" s="66" t="s">
        <v>9279</v>
      </c>
    </row>
    <row r="1362" ht="15.75" customHeight="1">
      <c r="A1362" s="66">
        <f>'Main dataset (DEPRECATED)'!Q1363</f>
        <v>1532834</v>
      </c>
      <c r="B1362" s="66" t="str">
        <f>IFERROR(__xludf.DUMMYFUNCTION("SPLIT('Main dataset (DEPRECATED2)'!N1363,"";"")"),"University of California##University of California##University of California##University of California##University of California##University of California##University of California")</f>
        <v>University of California##University of California##University of California##University of California##University of California##University of California##University of California</v>
      </c>
      <c r="C1362" s="66" t="s">
        <v>7641</v>
      </c>
      <c r="D1362" s="66" t="s">
        <v>10939</v>
      </c>
      <c r="E1362" s="66" t="s">
        <v>9651</v>
      </c>
    </row>
    <row r="1363" ht="15.75" customHeight="1">
      <c r="A1363" s="66">
        <f>'Main dataset (DEPRECATED)'!Q1364</f>
        <v>1532846</v>
      </c>
      <c r="B1363" s="66" t="str">
        <f>IFERROR(__xludf.DUMMYFUNCTION("SPLIT('Main dataset (DEPRECATED2)'!N1364,"";"")"),"University of Utah##UFRGS##University of Utah##University of Utah")</f>
        <v>University of Utah##UFRGS##University of Utah##University of Utah</v>
      </c>
      <c r="C1363" s="66" t="s">
        <v>10581</v>
      </c>
      <c r="D1363" s="66" t="s">
        <v>9374</v>
      </c>
      <c r="E1363" s="66" t="s">
        <v>6993</v>
      </c>
    </row>
    <row r="1364" ht="15.75" customHeight="1">
      <c r="A1364" s="66">
        <f>'Main dataset (DEPRECATED)'!Q1365</f>
        <v>1532787</v>
      </c>
      <c r="B1364" s="66" t="str">
        <f>IFERROR(__xludf.DUMMYFUNCTION("SPLIT('Main dataset (DEPRECATED2)'!N1365,"";"")"),"ISTI, CNR, Italy|c|")</f>
        <v>ISTI, CNR, Italy|c|</v>
      </c>
      <c r="C1364" s="66" t="s">
        <v>10049</v>
      </c>
    </row>
    <row r="1365" ht="15.75" customHeight="1">
      <c r="A1365" s="66">
        <f>'Main dataset (DEPRECATED)'!Q1366</f>
        <v>1532797</v>
      </c>
      <c r="B1365" s="66" t="str">
        <f>IFERROR(__xludf.DUMMYFUNCTION("SPLIT('Main dataset (DEPRECATED2)'!N1366,"";"")"),"Hasso-Plattner Institute University of Potsdam##Plattner Institute University of Potsdam")</f>
        <v>Hasso-Plattner Institute University of Potsdam##Plattner Institute University of Potsdam</v>
      </c>
      <c r="C1365" s="66" t="s">
        <v>7680</v>
      </c>
      <c r="D1365" s="66" t="s">
        <v>7786</v>
      </c>
      <c r="E1365" s="66" t="s">
        <v>9251</v>
      </c>
      <c r="F1365" s="66" t="s">
        <v>9959</v>
      </c>
      <c r="G1365" s="66" t="s">
        <v>10472</v>
      </c>
    </row>
    <row r="1366" ht="15.75" customHeight="1">
      <c r="A1366" s="66">
        <f>'Main dataset (DEPRECATED)'!Q1367</f>
        <v>1532789</v>
      </c>
      <c r="B1366" s="66" t="str">
        <f>IFERROR(__xludf.DUMMYFUNCTION("SPLIT('Main dataset (DEPRECATED2)'!N1367,"";"")"),"University of Stuttgart##University of Stuttgart##University of Stuttgart##University of Stuttgart")</f>
        <v>University of Stuttgart##University of Stuttgart##University of Stuttgart##University of Stuttgart</v>
      </c>
      <c r="C1366" s="66" t="s">
        <v>6198</v>
      </c>
    </row>
    <row r="1367" ht="15.75" customHeight="1">
      <c r="A1367" s="66">
        <f>'Main dataset (DEPRECATED)'!Q1368</f>
        <v>1532785</v>
      </c>
      <c r="B1367" s="66" t="str">
        <f>IFERROR(__xludf.DUMMYFUNCTION("SPLIT('Main dataset (DEPRECATED2)'!N1368,"";"")"),"University of North Carolina at Chapel Hill##University of North Carolina at Chapel Hill##University of North Carolina at Chapel Hill")</f>
        <v>University of North Carolina at Chapel Hill##University of North Carolina at Chapel Hill##University of North Carolina at Chapel Hill</v>
      </c>
      <c r="C1367" s="66" t="s">
        <v>9435</v>
      </c>
      <c r="D1367" s="66" t="s">
        <v>7528</v>
      </c>
    </row>
    <row r="1368" ht="15.75" customHeight="1">
      <c r="A1368" s="66">
        <f>'Main dataset (DEPRECATED)'!Q1369</f>
        <v>1532783</v>
      </c>
      <c r="B1368" s="66" t="str">
        <f>IFERROR(__xludf.DUMMYFUNCTION("SPLIT('Main dataset (DEPRECATED2)'!N1369,"";"")"),"University of ZÃ¼rich")</f>
        <v>University of ZÃ¼rich</v>
      </c>
      <c r="C1368" s="66" t="s">
        <v>10624</v>
      </c>
      <c r="D1368" s="66" t="s">
        <v>9414</v>
      </c>
    </row>
    <row r="1369" ht="15.75" customHeight="1">
      <c r="A1369" s="66">
        <f>'Main dataset (DEPRECATED)'!Q1370</f>
        <v>1532817</v>
      </c>
      <c r="B1369" s="66" t="str">
        <f>IFERROR(__xludf.DUMMYFUNCTION("SPLIT('Main dataset (DEPRECATED2)'!N1370,"";"")"),"#VALUE!")</f>
        <v>#VALUE!</v>
      </c>
      <c r="C1369" s="66" t="s">
        <v>10624</v>
      </c>
    </row>
    <row r="1370" ht="15.75" customHeight="1">
      <c r="A1370" s="66">
        <f>'Main dataset (DEPRECATED)'!Q1371</f>
        <v>1532828</v>
      </c>
      <c r="B1370" s="66" t="str">
        <f>IFERROR(__xludf.DUMMYFUNCTION("SPLIT('Main dataset (DEPRECATED2)'!N1371,"";"")"),"MPI Informatik##MPI Informatik##MPI Informatik##MPI Informatik")</f>
        <v>MPI Informatik##MPI Informatik##MPI Informatik##MPI Informatik</v>
      </c>
      <c r="C1370" s="66" t="s">
        <v>9109</v>
      </c>
      <c r="D1370" s="66" t="s">
        <v>6470</v>
      </c>
      <c r="E1370" s="66" t="s">
        <v>6462</v>
      </c>
      <c r="F1370" s="66" t="s">
        <v>6407</v>
      </c>
    </row>
    <row r="1371" ht="15.75" customHeight="1">
      <c r="A1371" s="66">
        <f>'Main dataset (DEPRECATED)'!Q1372</f>
        <v>1532794</v>
      </c>
      <c r="B1371" s="66" t="str">
        <f>IFERROR(__xludf.DUMMYFUNCTION("SPLIT('Main dataset (DEPRECATED2)'!N1372,"";"")"),"Indiana University##Indiana University")</f>
        <v>Indiana University##Indiana University</v>
      </c>
      <c r="C1371" s="66" t="s">
        <v>8290</v>
      </c>
      <c r="D1371" s="66" t="s">
        <v>8530</v>
      </c>
      <c r="E1371" s="66" t="s">
        <v>6279</v>
      </c>
    </row>
    <row r="1372" ht="15.75" customHeight="1">
      <c r="A1372" s="66">
        <f>'Main dataset (DEPRECATED)'!Q1373</f>
        <v>1532819</v>
      </c>
      <c r="B1372" s="66" t="str">
        <f>IFERROR(__xludf.DUMMYFUNCTION("SPLIT('Main dataset (DEPRECATED2)'!N1373,"";"")"),"Group University of Erlangen##Group University of Erlangen##Group University of Erlangen##Group University of Erlangen##Group University of Erlangen")</f>
        <v>Group University of Erlangen##Group University of Erlangen##Group University of Erlangen##Group University of Erlangen##Group University of Erlangen</v>
      </c>
    </row>
    <row r="1373" ht="15.75" customHeight="1">
      <c r="A1373" s="66">
        <f>'Main dataset (DEPRECATED)'!Q1374</f>
        <v>1532779</v>
      </c>
      <c r="B1373" s="66" t="str">
        <f>IFERROR(__xludf.DUMMYFUNCTION("SPLIT('Main dataset (DEPRECATED2)'!N1374,"";"")"),"Diagnostic Radiol. Dept., Nat. Inst. of Health, Bethesda, MD, USA|c|")</f>
        <v>Diagnostic Radiol. Dept., Nat. Inst. of Health, Bethesda, MD, USA|c|</v>
      </c>
      <c r="C1373" s="66" t="s">
        <v>11250</v>
      </c>
      <c r="D1373" s="66" t="s">
        <v>11200</v>
      </c>
    </row>
    <row r="1374" ht="15.75" customHeight="1">
      <c r="A1374" s="66">
        <f>'Main dataset (DEPRECATED)'!Q1375</f>
        <v>1532826</v>
      </c>
      <c r="B1374" s="66" t="str">
        <f>IFERROR(__xludf.DUMMYFUNCTION("SPLIT('Main dataset (DEPRECATED2)'!N1375,"";"")"),"University of Utah##University of Utah##University of Utah##University of Utah##University of Utah##University of Utah")</f>
        <v>University of Utah##University of Utah##University of Utah##University of Utah##University of Utah##University of Utah</v>
      </c>
      <c r="C1374" s="66" t="s">
        <v>6219</v>
      </c>
      <c r="D1374" s="66" t="s">
        <v>6192</v>
      </c>
      <c r="E1374" s="66" t="s">
        <v>7743</v>
      </c>
      <c r="F1374" s="66" t="s">
        <v>8715</v>
      </c>
      <c r="G1374" s="66" t="s">
        <v>7189</v>
      </c>
      <c r="H1374" s="66" t="s">
        <v>8063</v>
      </c>
      <c r="I1374" s="66" t="s">
        <v>10202</v>
      </c>
      <c r="J1374" s="66" t="s">
        <v>10751</v>
      </c>
      <c r="K1374" s="66" t="s">
        <v>8023</v>
      </c>
    </row>
    <row r="1375" ht="15.75" customHeight="1">
      <c r="A1375" s="66">
        <f>'Main dataset (DEPRECATED)'!Q1376</f>
        <v>1532854</v>
      </c>
      <c r="B1375" s="66" t="str">
        <f>IFERROR(__xludf.DUMMYFUNCTION("SPLIT('Main dataset (DEPRECATED2)'!N1376,"";"")"),"#VALUE!")</f>
        <v>#VALUE!</v>
      </c>
      <c r="C1375" s="66" t="s">
        <v>7361</v>
      </c>
    </row>
    <row r="1376" ht="15.75" customHeight="1">
      <c r="A1376" s="66">
        <f>'Main dataset (DEPRECATED)'!Q1377</f>
        <v>1532799</v>
      </c>
      <c r="B1376" s="66" t="str">
        <f>IFERROR(__xludf.DUMMYFUNCTION("SPLIT('Main dataset (DEPRECATED2)'!N1377,"";"")"),"Johns Hopkins University##Johns Hopkins University##Johns Hopkins University")</f>
        <v>Johns Hopkins University##Johns Hopkins University##Johns Hopkins University</v>
      </c>
      <c r="C1376" s="66" t="s">
        <v>10841</v>
      </c>
      <c r="D1376" s="66" t="s">
        <v>10780</v>
      </c>
      <c r="E1376" s="66" t="s">
        <v>7432</v>
      </c>
    </row>
    <row r="1377" ht="15.75" customHeight="1">
      <c r="A1377" s="66">
        <f>'Main dataset (DEPRECATED)'!Q1378</f>
        <v>1532771</v>
      </c>
      <c r="B1377" s="66" t="str">
        <f>IFERROR(__xludf.DUMMYFUNCTION("SPLIT('Main dataset (DEPRECATED2)'!N1378,"";"")"),"Dept. of Control Eng. &amp; Inf. Technol., Budapest Univ., Hungary|c|")</f>
        <v>Dept. of Control Eng. &amp; Inf. Technol., Budapest Univ., Hungary|c|</v>
      </c>
      <c r="C1377" s="66" t="s">
        <v>6628</v>
      </c>
    </row>
    <row r="1378" ht="15.75" customHeight="1">
      <c r="A1378" s="66">
        <f>'Main dataset (DEPRECATED)'!Q1379</f>
        <v>1532842</v>
      </c>
      <c r="B1378" s="66" t="str">
        <f>IFERROR(__xludf.DUMMYFUNCTION("SPLIT('Main dataset (DEPRECATED2)'!N1379,"";"")"),"Purdue University##Purdue University##Purdue University##Purdue University##Purdue University")</f>
        <v>Purdue University##Purdue University##Purdue University##Purdue University##Purdue University</v>
      </c>
      <c r="C1378" s="66" t="s">
        <v>11014</v>
      </c>
      <c r="D1378" s="66" t="s">
        <v>8876</v>
      </c>
      <c r="E1378" s="66" t="s">
        <v>8114</v>
      </c>
      <c r="F1378" s="66" t="s">
        <v>10481</v>
      </c>
    </row>
    <row r="1379" ht="15.75" customHeight="1">
      <c r="A1379" s="66">
        <f>'Main dataset (DEPRECATED)'!Q1380</f>
        <v>1532851</v>
      </c>
      <c r="B1379" s="66" t="str">
        <f>IFERROR(__xludf.DUMMYFUNCTION("SPLIT('Main dataset (DEPRECATED2)'!N1380,"";"")"),"University of Minnesota at Twin Cities##University of Minnesota at Twin Cities##University of Minnesota at Twin Cities##University of Minnesota at Twin Cities##University of Minnesota at Twin Cities")</f>
        <v>University of Minnesota at Twin Cities##University of Minnesota at Twin Cities##University of Minnesota at Twin Cities##University of Minnesota at Twin Cities##University of Minnesota at Twin Cities</v>
      </c>
      <c r="C1379" s="66" t="s">
        <v>10324</v>
      </c>
      <c r="D1379" s="66" t="s">
        <v>11393</v>
      </c>
      <c r="E1379" s="66" t="s">
        <v>8114</v>
      </c>
      <c r="F1379" s="66" t="s">
        <v>10481</v>
      </c>
    </row>
    <row r="1380" ht="15.75" customHeight="1">
      <c r="A1380" s="66">
        <f>'Main dataset (DEPRECATED)'!Q1381</f>
        <v>1532837</v>
      </c>
      <c r="B1380" s="66" t="str">
        <f>IFERROR(__xludf.DUMMYFUNCTION("SPLIT('Main dataset (DEPRECATED2)'!N1381,"";"")"),"Eidgenossische Tech. Hochschule, Zurich, Switzerland|c|")</f>
        <v>Eidgenossische Tech. Hochschule, Zurich, Switzerland|c|</v>
      </c>
      <c r="C1380" s="66" t="s">
        <v>6281</v>
      </c>
      <c r="D1380" s="66" t="s">
        <v>8739</v>
      </c>
      <c r="E1380" s="66" t="s">
        <v>9638</v>
      </c>
      <c r="F1380" s="66" t="s">
        <v>7918</v>
      </c>
    </row>
    <row r="1381" ht="15.75" customHeight="1">
      <c r="A1381" s="66">
        <f>'Main dataset (DEPRECATED)'!Q1382</f>
        <v>1532848</v>
      </c>
      <c r="B1381" s="66" t="str">
        <f>IFERROR(__xludf.DUMMYFUNCTION("SPLIT('Main dataset (DEPRECATED2)'!N1382,"";"")"),"Lawrence Livermore National Laboratory##Lawrence Livermore National Laboratory##Lawrence Livermore National Laboratory##Lawrence Livermore National Laboratory##Lawrence Livermore National Laboratory##Lawrence Livermore National Laboratory")</f>
        <v>Lawrence Livermore National Laboratory##Lawrence Livermore National Laboratory##Lawrence Livermore National Laboratory##Lawrence Livermore National Laboratory##Lawrence Livermore National Laboratory##Lawrence Livermore National Laboratory</v>
      </c>
      <c r="C1381" s="66" t="s">
        <v>10399</v>
      </c>
    </row>
    <row r="1382" ht="15.75" customHeight="1">
      <c r="A1382" s="66">
        <f>'Main dataset (DEPRECATED)'!Q1383</f>
        <v>1532832</v>
      </c>
      <c r="B1382" s="66" t="str">
        <f>IFERROR(__xludf.DUMMYFUNCTION("SPLIT('Main dataset (DEPRECATED2)'!N1383,"";"")"),"UniversitÃ¤t Mannheim####UniversitÃ¤t Mannheim######UniversitÃ¤t Mannheim####ICM")</f>
        <v>UniversitÃ¤t Mannheim####UniversitÃ¤t Mannheim######UniversitÃ¤t Mannheim####ICM</v>
      </c>
      <c r="C1382" s="66" t="s">
        <v>6205</v>
      </c>
      <c r="D1382" s="66" t="s">
        <v>7215</v>
      </c>
    </row>
    <row r="1383" ht="15.75" customHeight="1">
      <c r="A1383" s="66">
        <f>'Main dataset (DEPRECATED)'!Q1384</f>
        <v>1532778</v>
      </c>
      <c r="B1383" s="66" t="str">
        <f>IFERROR(__xludf.DUMMYFUNCTION("SPLIT('Main dataset (DEPRECATED2)'!N1384,"";"")"),"The State University of New Jersey Piscataway##The State University of New Jersey Piscataway")</f>
        <v>The State University of New Jersey Piscataway##The State University of New Jersey Piscataway</v>
      </c>
      <c r="C1383" s="66" t="s">
        <v>6590</v>
      </c>
      <c r="D1383" s="66" t="s">
        <v>9878</v>
      </c>
      <c r="E1383" s="66" t="s">
        <v>11280</v>
      </c>
      <c r="F1383" s="66" t="s">
        <v>9973</v>
      </c>
    </row>
    <row r="1384" ht="15.75" customHeight="1">
      <c r="A1384" s="66">
        <f>'Main dataset (DEPRECATED)'!Q1385</f>
        <v>1532816</v>
      </c>
      <c r="B1384" s="66" t="str">
        <f>IFERROR(__xludf.DUMMYFUNCTION("SPLIT('Main dataset (DEPRECATED2)'!N1385,"";"")"),"Stony Brook University##Stony Brook University##Stony Brook University##Stony Brook University")</f>
        <v>Stony Brook University##Stony Brook University##Stony Brook University##Stony Brook University</v>
      </c>
      <c r="C1384" s="66" t="s">
        <v>8168</v>
      </c>
      <c r="D1384" s="66" t="s">
        <v>11761</v>
      </c>
      <c r="E1384" s="66" t="s">
        <v>10247</v>
      </c>
      <c r="F1384" s="66" t="s">
        <v>9683</v>
      </c>
      <c r="G1384" s="66" t="s">
        <v>10481</v>
      </c>
      <c r="H1384" s="66" t="s">
        <v>9163</v>
      </c>
    </row>
    <row r="1385" ht="15.75" customHeight="1">
      <c r="A1385" s="66">
        <f>'Main dataset (DEPRECATED)'!Q1386</f>
        <v>1532776</v>
      </c>
      <c r="B1385" s="66" t="str">
        <f>IFERROR(__xludf.DUMMYFUNCTION("SPLIT('Main dataset (DEPRECATED2)'!N1386,"";"")"),"University of Alberta##University of Alberta")</f>
        <v>University of Alberta##University of Alberta</v>
      </c>
      <c r="C1385" s="66" t="s">
        <v>6468</v>
      </c>
      <c r="D1385" s="66" t="s">
        <v>9206</v>
      </c>
      <c r="E1385" s="66" t="s">
        <v>11029</v>
      </c>
      <c r="F1385" s="66" t="s">
        <v>9833</v>
      </c>
      <c r="G1385" s="66" t="s">
        <v>9685</v>
      </c>
      <c r="H1385" s="66" t="s">
        <v>10377</v>
      </c>
    </row>
    <row r="1386" ht="15.75" customHeight="1">
      <c r="A1386" s="66">
        <f>'Main dataset (DEPRECATED)'!Q1387</f>
        <v>1532827</v>
      </c>
      <c r="B1386" s="66" t="str">
        <f>IFERROR(__xludf.DUMMYFUNCTION("SPLIT('Main dataset (DEPRECATED2)'!N1387,"";"")"),"University of California at Davis##University of California at Davis")</f>
        <v>University of California at Davis##University of California at Davis</v>
      </c>
      <c r="C1386" s="66" t="s">
        <v>9891</v>
      </c>
    </row>
    <row r="1387" ht="15.75" customHeight="1">
      <c r="A1387" s="66">
        <f>'Main dataset (DEPRECATED)'!Q1388</f>
        <v>1532815</v>
      </c>
      <c r="B1387" s="66" t="str">
        <f>IFERROR(__xludf.DUMMYFUNCTION("SPLIT('Main dataset (DEPRECATED2)'!N1388,"";"")"),"VRVis Res. Center, Vienna, Austria|c|")</f>
        <v>VRVis Res. Center, Vienna, Austria|c|</v>
      </c>
      <c r="C1387" s="66" t="s">
        <v>6764</v>
      </c>
      <c r="D1387" s="66" t="s">
        <v>9279</v>
      </c>
      <c r="E1387" s="66" t="s">
        <v>10621</v>
      </c>
      <c r="F1387" s="66" t="s">
        <v>8926</v>
      </c>
      <c r="G1387" s="66" t="s">
        <v>7600</v>
      </c>
    </row>
    <row r="1388" ht="15.75" customHeight="1">
      <c r="A1388" s="66">
        <f>'Main dataset (DEPRECATED)'!Q1389</f>
        <v>1532812</v>
      </c>
      <c r="B1388" s="66" t="str">
        <f>IFERROR(__xludf.DUMMYFUNCTION("SPLIT('Main dataset (DEPRECATED2)'!N1389,"";"")"),"National University of Singapore##National University of Singapore")</f>
        <v>National University of Singapore##National University of Singapore</v>
      </c>
      <c r="C1388" s="66" t="s">
        <v>9632</v>
      </c>
      <c r="D1388" s="66" t="s">
        <v>6348</v>
      </c>
      <c r="E1388" s="66" t="s">
        <v>9969</v>
      </c>
    </row>
    <row r="1389" ht="15.75" customHeight="1">
      <c r="A1389" s="66">
        <f>'Main dataset (DEPRECATED)'!Q1390</f>
        <v>1532805</v>
      </c>
      <c r="B1389" s="66" t="str">
        <f>IFERROR(__xludf.DUMMYFUNCTION("SPLIT('Main dataset (DEPRECATED2)'!N1390,"";"")"),"LinkÃ¶ping University##")</f>
        <v>LinkÃ¶ping University##</v>
      </c>
      <c r="C1389" s="66" t="s">
        <v>8085</v>
      </c>
      <c r="D1389" s="66" t="s">
        <v>7456</v>
      </c>
      <c r="E1389" s="66" t="s">
        <v>7873</v>
      </c>
    </row>
    <row r="1390" ht="15.75" customHeight="1">
      <c r="A1390" s="66">
        <f>'Main dataset (DEPRECATED)'!Q1391</f>
        <v>1532773</v>
      </c>
      <c r="B1390" s="66" t="str">
        <f>IFERROR(__xludf.DUMMYFUNCTION("SPLIT('Main dataset (DEPRECATED2)'!N1391,"";"")"),"CVC##Stony Brook University")</f>
        <v>CVC##Stony Brook University</v>
      </c>
      <c r="C1390" s="66" t="s">
        <v>10399</v>
      </c>
    </row>
    <row r="1391" ht="15.75" customHeight="1">
      <c r="A1391" s="66">
        <f>'Main dataset (DEPRECATED)'!Q1392</f>
        <v>1532772</v>
      </c>
      <c r="B1391" s="66" t="str">
        <f>IFERROR(__xludf.DUMMYFUNCTION("SPLIT('Main dataset (DEPRECATED2)'!N1392,"";"")"),"University of California##University of California##University of California")</f>
        <v>University of California##University of California##University of California</v>
      </c>
      <c r="C1391" s="66" t="s">
        <v>9842</v>
      </c>
      <c r="D1391" s="66" t="s">
        <v>10616</v>
      </c>
      <c r="E1391" s="66" t="s">
        <v>10317</v>
      </c>
    </row>
    <row r="1392" ht="15.75" customHeight="1">
      <c r="A1392" s="66">
        <f>'Main dataset (DEPRECATED)'!Q1393</f>
        <v>1532858</v>
      </c>
      <c r="B1392" s="66" t="str">
        <f>IFERROR(__xludf.DUMMYFUNCTION("SPLIT('Main dataset (DEPRECATED2)'!N1393,"";"")"),"University of California##University of California##University of California##University of California##University of California##University of California##University of California##University of California##University of California##University of Califor"&amp;"nia##University of California")</f>
        <v>University of California##University of California##University of California##University of California##University of California##University of California##University of California##University of California##University of California##University of California##University of California</v>
      </c>
      <c r="C1392" s="66" t="s">
        <v>11742</v>
      </c>
      <c r="D1392" s="66" t="s">
        <v>7361</v>
      </c>
      <c r="E1392" s="66" t="s">
        <v>7662</v>
      </c>
    </row>
    <row r="1393" ht="15.75" customHeight="1">
      <c r="A1393" s="66">
        <f>'Main dataset (DEPRECATED)'!Q1394</f>
        <v>1532857</v>
      </c>
      <c r="B1393" s="66" t="str">
        <f>IFERROR(__xludf.DUMMYFUNCTION("SPLIT('Main dataset (DEPRECATED2)'!N1394,"";"")"),"Waters Corporation##Waters Corporation")</f>
        <v>Waters Corporation##Waters Corporation</v>
      </c>
      <c r="C1393" s="66" t="s">
        <v>10135</v>
      </c>
    </row>
    <row r="1394" ht="15.75" customHeight="1">
      <c r="A1394" s="66">
        <f>'Main dataset (DEPRECATED)'!Q1395</f>
        <v>1532855</v>
      </c>
      <c r="B1394" s="66" t="str">
        <f>IFERROR(__xludf.DUMMYFUNCTION("SPLIT('Main dataset (DEPRECATED2)'!N1395,"";"")"),"UniversitÃ¤t Greifswald Greifswald##UniversitÃ¤t Greifswald Greifswald##Ernst-Moritz-Arndt-UniversitÃ¤t Greifswald Greifswald")</f>
        <v>UniversitÃ¤t Greifswald Greifswald##UniversitÃ¤t Greifswald Greifswald##Ernst-Moritz-Arndt-UniversitÃ¤t Greifswald Greifswald</v>
      </c>
      <c r="C1394" s="66" t="s">
        <v>6380</v>
      </c>
      <c r="D1394" s="66" t="s">
        <v>10834</v>
      </c>
    </row>
    <row r="1395" ht="15.75" customHeight="1">
      <c r="A1395" s="66">
        <f>'Main dataset (DEPRECATED)'!Q1396</f>
        <v>1532796</v>
      </c>
      <c r="B1395" s="66" t="str">
        <f>IFERROR(__xludf.DUMMYFUNCTION("SPLIT('Main dataset (DEPRECATED2)'!N1396,"";"")"),"University of North Carolina at Chapel Hill##University of North Carolina at Chapel Hill##University of North Carolina at Chapel Hill##University of North Carolina at Chapel Hill##University of North Carolina at Chapel Hill##University of North Carolina a"&amp;"t Chapel Hill##University of North Carolina at Chapel Hill##University of North Carolina at Chapel Hill##University of North Carolina at Chapel Hill")</f>
        <v>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Hill##University of North Carolina at Chapel Hill</v>
      </c>
      <c r="C1395" s="66" t="s">
        <v>6995</v>
      </c>
      <c r="D1395" s="66" t="s">
        <v>10594</v>
      </c>
      <c r="E1395" s="66" t="s">
        <v>10621</v>
      </c>
    </row>
    <row r="1396" ht="15.75" customHeight="1">
      <c r="A1396" s="66">
        <f>'Main dataset (DEPRECATED)'!Q1397</f>
        <v>1532821</v>
      </c>
      <c r="B1396" s="66" t="str">
        <f>IFERROR(__xludf.DUMMYFUNCTION("SPLIT('Main dataset (DEPRECATED2)'!N1397,"";"")"),"University of Stuttgart##University of Stuttgart##University of Stuttgart")</f>
        <v>University of Stuttgart##University of Stuttgart##University of Stuttgart</v>
      </c>
      <c r="C1396" s="66" t="s">
        <v>8439</v>
      </c>
      <c r="D1396" s="66" t="s">
        <v>8576</v>
      </c>
      <c r="E1396" s="66" t="s">
        <v>8823</v>
      </c>
      <c r="F1396" s="66" t="s">
        <v>7843</v>
      </c>
    </row>
    <row r="1397" ht="15.75" customHeight="1">
      <c r="A1397" s="66">
        <f>'Main dataset (DEPRECATED)'!Q1398</f>
        <v>1532849</v>
      </c>
      <c r="B1397" s="66" t="str">
        <f>IFERROR(__xludf.DUMMYFUNCTION("SPLIT('Main dataset (DEPRECATED2)'!N1398,"";"")"),"UCSC##UCSC##UCSC")</f>
        <v>UCSC##UCSC##UCSC</v>
      </c>
      <c r="C1397" s="66" t="s">
        <v>10566</v>
      </c>
    </row>
    <row r="1398" ht="15.75" customHeight="1">
      <c r="A1398" s="66">
        <f>'Main dataset (DEPRECATED)'!Q1399</f>
        <v>1532825</v>
      </c>
      <c r="B1398" s="66" t="str">
        <f>IFERROR(__xludf.DUMMYFUNCTION("SPLIT('Main dataset (DEPRECATED2)'!N1399,"";"")"),"INRIA Sophia-Antipolis##INRIA")</f>
        <v>INRIA Sophia-Antipolis##INRIA</v>
      </c>
      <c r="C1398" s="66" t="s">
        <v>6441</v>
      </c>
      <c r="D1398" s="66" t="s">
        <v>8560</v>
      </c>
    </row>
    <row r="1399" ht="15.75" customHeight="1">
      <c r="A1399" s="66">
        <f>'Main dataset (DEPRECATED)'!Q1400</f>
        <v>1532804</v>
      </c>
      <c r="B1399" s="66" t="str">
        <f>IFERROR(__xludf.DUMMYFUNCTION("SPLIT('Main dataset (DEPRECATED2)'!N1400,"";"")"),"The Ohio State Univesity##The Ohio State Univesity")</f>
        <v>The Ohio State Univesity##The Ohio State Univesity</v>
      </c>
      <c r="C1399" s="66" t="s">
        <v>8318</v>
      </c>
    </row>
    <row r="1400" ht="15.75" customHeight="1">
      <c r="A1400" s="66">
        <f>'Main dataset (DEPRECATED)'!Q1401</f>
        <v>1532782</v>
      </c>
      <c r="B1400" s="66" t="str">
        <f>IFERROR(__xludf.DUMMYFUNCTION("SPLIT('Main dataset (DEPRECATED2)'!N1401,"";"")"),"The University of Tokyo##The University of Tokyo##The University of Tokyo##The University of Tokyo")</f>
        <v>The University of Tokyo##The University of Tokyo##The University of Tokyo##The University of Tokyo</v>
      </c>
      <c r="C1400" s="66" t="s">
        <v>6321</v>
      </c>
      <c r="D1400" s="66" t="s">
        <v>11335</v>
      </c>
    </row>
    <row r="1401" ht="15.75" customHeight="1">
      <c r="A1401" s="66">
        <f>'Main dataset (DEPRECATED)'!Q1402</f>
        <v>1532786</v>
      </c>
      <c r="B1401" s="66" t="str">
        <f>IFERROR(__xludf.DUMMYFUNCTION("SPLIT('Main dataset (DEPRECATED2)'!N1402,"";"")"),"University of North Carolina at Chapel Hill##University of North Carolina at Chapel Hill")</f>
        <v>University of North Carolina at Chapel Hill##University of North Carolina at Chapel Hill</v>
      </c>
      <c r="C1401" s="66" t="s">
        <v>10173</v>
      </c>
      <c r="D1401" s="66" t="s">
        <v>7380</v>
      </c>
    </row>
    <row r="1402" ht="15.75" customHeight="1">
      <c r="A1402" s="66">
        <f>'Main dataset (DEPRECATED)'!Q1403</f>
        <v>1532820</v>
      </c>
      <c r="B1402" s="66" t="str">
        <f>IFERROR(__xludf.DUMMYFUNCTION("SPLIT('Main dataset (DEPRECATED2)'!N1403,"";"")"),"the State University of New##the State University of New##the State University of New")</f>
        <v>the State University of New##the State University of New##the State University of New</v>
      </c>
      <c r="C1402" s="66" t="s">
        <v>4987</v>
      </c>
    </row>
    <row r="1403" ht="15.75" customHeight="1">
      <c r="A1403" s="66">
        <f>'Main dataset (DEPRECATED)'!Q1404</f>
        <v>1532830</v>
      </c>
      <c r="B1403" s="66" t="str">
        <f>IFERROR(__xludf.DUMMYFUNCTION("SPLIT('Main dataset (DEPRECATED2)'!N1404,"";"")"),"University of British Columbia School of Computing Science Simon Fraser University##University of British Columbia School of Computing Science Simon Fraser University##University of British Columbia School of Computing Science Simon Fraser University##Uni"&amp;"versity of British Columbia School of Computing Science Simon Fraser University##University of British Columbia School of Computing Science Simon Fraser University##University of British Columbia School of Computing Science Simon Fraser University")</f>
        <v>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University##University of British Columbia School of Computing Science Simon Fraser University</v>
      </c>
      <c r="C1403" s="66" t="s">
        <v>10163</v>
      </c>
      <c r="D1403" s="66" t="s">
        <v>7432</v>
      </c>
    </row>
    <row r="1404" ht="15.75" customHeight="1">
      <c r="A1404" s="66">
        <f>'Main dataset (DEPRECATED)'!Q1405</f>
        <v>1532852</v>
      </c>
      <c r="B1404" s="66" t="str">
        <f>IFERROR(__xludf.DUMMYFUNCTION("SPLIT('Main dataset (DEPRECATED2)'!N1405,"";"")"),"North Carolina State University##North Carolina State University##North Carolina State University")</f>
        <v>North Carolina State University##North Carolina State University##North Carolina State University</v>
      </c>
      <c r="C1404" s="66" t="s">
        <v>10425</v>
      </c>
      <c r="D1404" s="66" t="s">
        <v>7427</v>
      </c>
      <c r="E1404" s="66" t="s">
        <v>7432</v>
      </c>
    </row>
    <row r="1405" ht="15.75" customHeight="1">
      <c r="A1405" s="66">
        <f>'Main dataset (DEPRECATED)'!Q1406</f>
        <v>1532790</v>
      </c>
      <c r="B1405" s="66" t="str">
        <f>IFERROR(__xludf.DUMMYFUNCTION("SPLIT('Main dataset (DEPRECATED2)'!N1406,"";"")"),"Dept. of Comput. Sci., California Univ., Davis, CA, USA|c|")</f>
        <v>Dept. of Comput. Sci., California Univ., Davis, CA, USA|c|</v>
      </c>
      <c r="C1405" s="66" t="s">
        <v>7183</v>
      </c>
      <c r="D1405" s="66" t="s">
        <v>9469</v>
      </c>
      <c r="E1405" s="66" t="s">
        <v>8438</v>
      </c>
      <c r="F1405" s="66" t="s">
        <v>7996</v>
      </c>
    </row>
    <row r="1406" ht="15.75" customHeight="1">
      <c r="A1406" s="66">
        <f>'Main dataset (DEPRECATED)'!Q1407</f>
        <v>1532810</v>
      </c>
      <c r="B1406" s="66" t="str">
        <f>IFERROR(__xludf.DUMMYFUNCTION("SPLIT('Main dataset (DEPRECATED2)'!N1407,"";"")"),"Stony Brook University##Stony Brook University##Stony Brook University##Stony Brook University")</f>
        <v>Stony Brook University##Stony Brook University##Stony Brook University##Stony Brook University</v>
      </c>
    </row>
    <row r="1407" ht="15.75" customHeight="1">
      <c r="A1407" s="66">
        <f>'Main dataset (DEPRECATED)'!Q1408</f>
        <v>1532847</v>
      </c>
      <c r="B1407" s="66" t="str">
        <f>IFERROR(__xludf.DUMMYFUNCTION("SPLIT('Main dataset (DEPRECATED2)'!N1408,"";"")"),"UCSC##UCSC")</f>
        <v>UCSC##UCSC</v>
      </c>
      <c r="C1407" s="66" t="s">
        <v>7428</v>
      </c>
      <c r="D1407" s="66" t="s">
        <v>11250</v>
      </c>
      <c r="E1407" s="66" t="s">
        <v>11184</v>
      </c>
      <c r="F1407" s="66" t="s">
        <v>11179</v>
      </c>
      <c r="G1407" s="66" t="s">
        <v>7729</v>
      </c>
      <c r="H1407" s="66" t="s">
        <v>7887</v>
      </c>
    </row>
    <row r="1408" ht="15.75" customHeight="1">
      <c r="A1408" s="66">
        <f>'Main dataset (DEPRECATED)'!Q1409</f>
        <v>1532822</v>
      </c>
      <c r="B1408" s="66" t="str">
        <f>IFERROR(__xludf.DUMMYFUNCTION("SPLIT('Main dataset (DEPRECATED2)'!N1409,"";"")"),"ZIB, Berlin, Germany|c|")</f>
        <v>ZIB, Berlin, Germany|c|</v>
      </c>
      <c r="C1408" s="66" t="s">
        <v>10574</v>
      </c>
    </row>
    <row r="1409" ht="15.75" customHeight="1">
      <c r="A1409" s="66">
        <f>'Main dataset (DEPRECATED)'!Q1410</f>
        <v>1532792</v>
      </c>
      <c r="B1409" s="66" t="str">
        <f>IFERROR(__xludf.DUMMYFUNCTION("SPLIT('Main dataset (DEPRECATED2)'!N1410,"";"")"),"Technische Universiteit Eindhoven##Technische Universiteit Eindhoven")</f>
        <v>Technische Universiteit Eindhoven##Technische Universiteit Eindhoven</v>
      </c>
      <c r="C1409" s="66" t="s">
        <v>10535</v>
      </c>
      <c r="D1409" s="66" t="s">
        <v>8692</v>
      </c>
      <c r="E1409" s="66" t="s">
        <v>6476</v>
      </c>
    </row>
    <row r="1410" ht="15.75" customHeight="1">
      <c r="A1410" s="66">
        <f>'Main dataset (DEPRECATED)'!Q1411</f>
        <v>1532824</v>
      </c>
      <c r="B1410" s="66" t="str">
        <f>IFERROR(__xludf.DUMMYFUNCTION("SPLIT('Main dataset (DEPRECATED2)'!N1411,"";"")"),"University of Georgia##University of Georgia##University of Georgia")</f>
        <v>University of Georgia##University of Georgia##University of Georgia</v>
      </c>
      <c r="C1410" s="66" t="s">
        <v>9715</v>
      </c>
      <c r="D1410" s="66" t="s">
        <v>8645</v>
      </c>
    </row>
    <row r="1411" ht="15.75" customHeight="1">
      <c r="A1411" s="66">
        <f>'Main dataset (DEPRECATED)'!Q1412</f>
        <v>1532803</v>
      </c>
      <c r="B1411" s="66" t="str">
        <f>IFERROR(__xludf.DUMMYFUNCTION("SPLIT('Main dataset (DEPRECATED2)'!N1412,"";"")"),"Fraser University##University of TÃ¼bingen##University of Stuttgart##University of Stuttgart##University of TÃ¼bingen##University of TÃ¼bingen##University of TÃ¼bingen##University of TÃ¼bingen##University of TÃ¼bingen##University of TÃ¼bingen##University "&amp;"of TÃ¼bingen##University of TÃ¼bingen##University of TÃ¼bingen##University of Stuttgart##Historisches Museum Bern##University of TÃ¼bingen##University of TÃ¼bingen")</f>
        <v>Fraser University##University of TÃ¼bingen##University of Stuttgart##University of Stuttgart##University of TÃ¼bingen##University of TÃ¼bingen##University of TÃ¼bingen##University of TÃ¼bingen##University of TÃ¼bingen##University of TÃ¼bingen##University of TÃ¼bingen##University of TÃ¼bingen##University of TÃ¼bingen##University of Stuttgart##Historisches Museum Bern##University of TÃ¼bingen##University of TÃ¼bingen</v>
      </c>
      <c r="C1411" s="66" t="s">
        <v>8181</v>
      </c>
      <c r="D1411" s="66" t="s">
        <v>9080</v>
      </c>
      <c r="E1411" s="66" t="s">
        <v>8053</v>
      </c>
    </row>
    <row r="1412" ht="15.75" customHeight="1">
      <c r="A1412" s="66">
        <f>'Main dataset (DEPRECATED)'!Q1413</f>
        <v>1532809</v>
      </c>
      <c r="B1412" s="66" t="str">
        <f>IFERROR(__xludf.DUMMYFUNCTION("SPLIT('Main dataset (DEPRECATED2)'!N1413,"";"")"),"University of Minnesota##University of Minnesota##University of Minnesota")</f>
        <v>University of Minnesota##University of Minnesota##University of Minnesota</v>
      </c>
      <c r="C1412" s="66" t="s">
        <v>6980</v>
      </c>
      <c r="D1412" s="66" t="s">
        <v>10986</v>
      </c>
    </row>
    <row r="1413" ht="15.75" customHeight="1">
      <c r="A1413" s="66">
        <f>'Main dataset (DEPRECATED)'!Q1414</f>
        <v>1532808</v>
      </c>
      <c r="B1413" s="66" t="str">
        <f>IFERROR(__xludf.DUMMYFUNCTION("SPLIT('Main dataset (DEPRECATED2)'!N1414,"";"")"),"Inst. of Comput. Graphics &amp; Algorithms, Vienna Univ. of Technol., Austria|c|")</f>
        <v>Inst. of Comput. Graphics &amp; Algorithms, Vienna Univ. of Technol., Austria|c|</v>
      </c>
    </row>
    <row r="1414" ht="15.75" customHeight="1">
      <c r="A1414" s="66">
        <f>'Main dataset (DEPRECATED)'!Q1415</f>
        <v>1532784</v>
      </c>
      <c r="B1414" s="66" t="str">
        <f>IFERROR(__xludf.DUMMYFUNCTION("SPLIT('Main dataset (DEPRECATED2)'!N1415,"";"")"),"University of Leipzig##University of Leipzig")</f>
        <v>University of Leipzig##University of Leipzig</v>
      </c>
      <c r="C1414" s="66" t="s">
        <v>8195</v>
      </c>
    </row>
    <row r="1415" ht="15.75" customHeight="1">
      <c r="A1415" s="66">
        <f>'Main dataset (DEPRECATED)'!Q1416</f>
        <v>1532807</v>
      </c>
      <c r="B1415" s="66" t="str">
        <f>IFERROR(__xludf.DUMMYFUNCTION("SPLIT('Main dataset (DEPRECATED2)'!N1416,"";"")"),"National Taiwan Ocean University##National Taiwan Ocean University")</f>
        <v>National Taiwan Ocean University##National Taiwan Ocean University</v>
      </c>
      <c r="C1415" s="66" t="s">
        <v>11198</v>
      </c>
      <c r="D1415" s="66" t="s">
        <v>10795</v>
      </c>
      <c r="E1415" s="66" t="s">
        <v>9035</v>
      </c>
      <c r="F1415" s="66" t="s">
        <v>10968</v>
      </c>
      <c r="G1415" s="66" t="s">
        <v>8047</v>
      </c>
    </row>
    <row r="1416" ht="15.75" customHeight="1">
      <c r="A1416" s="66">
        <f>'Main dataset (DEPRECATED)'!Q1417</f>
        <v>1532831</v>
      </c>
      <c r="B1416" s="66" t="str">
        <f>IFERROR(__xludf.DUMMYFUNCTION("SPLIT('Main dataset (DEPRECATED2)'!N1417,"";"")"),"VRVis Research Center in Vienna####VRVis Research Center in Vienna####VRVis Research Center in Vienna##")</f>
        <v>VRVis Research Center in Vienna####VRVis Research Center in Vienna####VRVis Research Center in Vienna##</v>
      </c>
      <c r="C1416" s="66" t="s">
        <v>8620</v>
      </c>
      <c r="D1416" s="66" t="s">
        <v>9772</v>
      </c>
    </row>
    <row r="1417" ht="15.75" customHeight="1">
      <c r="A1417" s="66">
        <f>'Main dataset (DEPRECATED)'!Q1418</f>
        <v>1532801</v>
      </c>
      <c r="B1417" s="66" t="str">
        <f>IFERROR(__xludf.DUMMYFUNCTION("SPLIT('Main dataset (DEPRECATED2)'!N1418,"";"")"),"MPI Saarbrucken, Germany|c|")</f>
        <v>MPI Saarbrucken, Germany|c|</v>
      </c>
    </row>
    <row r="1418" ht="15.75" customHeight="1">
      <c r="A1418" s="66">
        <f>'Main dataset (DEPRECATED)'!Q1419</f>
        <v>1532800</v>
      </c>
      <c r="B1418" s="66" t="str">
        <f>IFERROR(__xludf.DUMMYFUNCTION("SPLIT('Main dataset (DEPRECATED2)'!N1419,"";"")"),"Simon Fraser University##University of Stuttgart##Florida State University##University of Stuttgart")</f>
        <v>Simon Fraser University##University of Stuttgart##Florida State University##University of Stuttgart</v>
      </c>
      <c r="C1418" s="66" t="s">
        <v>9072</v>
      </c>
    </row>
    <row r="1419" ht="15.75" customHeight="1">
      <c r="A1419" s="66">
        <f>'Main dataset (DEPRECATED)'!Q1420</f>
        <v>1532823</v>
      </c>
      <c r="B1419" s="66" t="str">
        <f>IFERROR(__xludf.DUMMYFUNCTION("SPLIT('Main dataset (DEPRECATED2)'!N1420,"";"")"),"University of Stuttgart##University of Stuttgart##University of Stuttgart")</f>
        <v>University of Stuttgart##University of Stuttgart##University of Stuttgart</v>
      </c>
      <c r="C1419" s="66" t="s">
        <v>6640</v>
      </c>
      <c r="D1419" s="66" t="s">
        <v>9556</v>
      </c>
    </row>
    <row r="1420" ht="15.75" customHeight="1">
      <c r="A1420" s="66">
        <f>'Main dataset (DEPRECATED)'!Q1421</f>
        <v>1532806</v>
      </c>
      <c r="B1420" s="66" t="str">
        <f>IFERROR(__xludf.DUMMYFUNCTION("SPLIT('Main dataset (DEPRECATED2)'!N1421,"";"")"),"Purdue University &amp; UNC Charlotte##Purdue University &amp; UNC Charlotte")</f>
        <v>Purdue University &amp; UNC Charlotte##Purdue University &amp; UNC Charlotte</v>
      </c>
      <c r="C1420" s="66" t="s">
        <v>10270</v>
      </c>
      <c r="D1420" s="66" t="s">
        <v>7595</v>
      </c>
      <c r="E1420" s="66" t="s">
        <v>10877</v>
      </c>
    </row>
    <row r="1421" ht="15.75" customHeight="1">
      <c r="A1421" s="66">
        <f>'Main dataset (DEPRECATED)'!Q1422</f>
        <v>1532853</v>
      </c>
      <c r="B1421" s="66" t="str">
        <f>IFERROR(__xludf.DUMMYFUNCTION("SPLIT('Main dataset (DEPRECATED2)'!N1422,"";"")"),"GRIS University of TÃ¼bingen##GRIS University of TÃ¼bingen##GRIS University of TÃ¼bingen")</f>
        <v>GRIS University of TÃ¼bingen##GRIS University of TÃ¼bingen##GRIS University of TÃ¼bingen</v>
      </c>
      <c r="C1421" s="66" t="s">
        <v>11396</v>
      </c>
      <c r="D1421" s="66" t="s">
        <v>7432</v>
      </c>
    </row>
    <row r="1422" ht="15.75" customHeight="1">
      <c r="A1422" s="66">
        <f>'Main dataset (DEPRECATED)'!Q1423</f>
        <v>1532780</v>
      </c>
      <c r="B1422" s="66" t="str">
        <f>IFERROR(__xludf.DUMMYFUNCTION("SPLIT('Main dataset (DEPRECATED2)'!N1423,"";"")"),"Vienna University of Technology##Vienna University of Technology")</f>
        <v>Vienna University of Technology##Vienna University of Technology</v>
      </c>
      <c r="C1422" s="66" t="s">
        <v>8870</v>
      </c>
      <c r="D1422" s="66" t="s">
        <v>11431</v>
      </c>
    </row>
    <row r="1423" ht="15.75" customHeight="1">
      <c r="A1423" s="66">
        <f>'Main dataset (DEPRECATED)'!Q1424</f>
        <v>1532818</v>
      </c>
      <c r="B1423" s="66" t="str">
        <f>IFERROR(__xludf.DUMMYFUNCTION("SPLIT('Main dataset (DEPRECATED2)'!N1424,"";"")"),"University of Maryland Baltimore County##University of Maryland Baltimore County")</f>
        <v>University of Maryland Baltimore County##University of Maryland Baltimore County</v>
      </c>
      <c r="C1423" s="66" t="s">
        <v>11662</v>
      </c>
      <c r="D1423" s="66" t="s">
        <v>9529</v>
      </c>
      <c r="E1423" s="66" t="s">
        <v>8645</v>
      </c>
    </row>
    <row r="1424" ht="15.75" customHeight="1">
      <c r="A1424" s="66">
        <f>'Main dataset (DEPRECATED)'!Q1425</f>
        <v>1532829</v>
      </c>
      <c r="B1424" s="66" t="str">
        <f>IFERROR(__xludf.DUMMYFUNCTION("SPLIT('Main dataset (DEPRECATED2)'!N1425,"";"")"),"Purdue University##Purdue University##Purdue University##Purdue University")</f>
        <v>Purdue University##Purdue University##Purdue University##Purdue University</v>
      </c>
      <c r="C1424" s="66" t="s">
        <v>11385</v>
      </c>
      <c r="D1424" s="66" t="s">
        <v>11455</v>
      </c>
      <c r="E1424" s="66" t="s">
        <v>10987</v>
      </c>
      <c r="F1424" s="66" t="s">
        <v>7206</v>
      </c>
      <c r="G1424" s="66" t="s">
        <v>7542</v>
      </c>
      <c r="H1424" s="66" t="s">
        <v>7065</v>
      </c>
      <c r="I1424" s="66" t="s">
        <v>9686</v>
      </c>
      <c r="J1424" s="66" t="s">
        <v>10891</v>
      </c>
    </row>
    <row r="1425" ht="15.75" customHeight="1">
      <c r="A1425" s="66">
        <f>'Main dataset (DEPRECATED)'!Q1426</f>
        <v>1532781</v>
      </c>
      <c r="B1425" s="66" t="str">
        <f>IFERROR(__xludf.DUMMYFUNCTION("SPLIT('Main dataset (DEPRECATED2)'!N1426,"";"")"),"#VALUE!")</f>
        <v>#VALUE!</v>
      </c>
    </row>
    <row r="1426" ht="15.75" customHeight="1">
      <c r="A1426" s="66">
        <f>'Main dataset (DEPRECATED)'!Q1427</f>
        <v>1532791</v>
      </c>
      <c r="B1426" s="66" t="str">
        <f>IFERROR(__xludf.DUMMYFUNCTION("SPLIT('Main dataset (DEPRECATED2)'!N1427,"";"")"),"#VALUE!")</f>
        <v>#VALUE!</v>
      </c>
      <c r="C1426" s="66" t="s">
        <v>6479</v>
      </c>
      <c r="D1426" s="66" t="s">
        <v>7049</v>
      </c>
      <c r="E1426" s="66" t="s">
        <v>9940</v>
      </c>
      <c r="F1426" s="66" t="s">
        <v>8730</v>
      </c>
    </row>
    <row r="1427" ht="15.75" customHeight="1">
      <c r="A1427" s="66">
        <f>'Main dataset (DEPRECATED)'!Q1428</f>
        <v>1532841</v>
      </c>
      <c r="B1427" s="66" t="str">
        <f>IFERROR(__xludf.DUMMYFUNCTION("SPLIT('Main dataset (DEPRECATED2)'!N1428,"";"")"),"#VALUE!")</f>
        <v>#VALUE!</v>
      </c>
      <c r="C1427" s="66" t="s">
        <v>9795</v>
      </c>
      <c r="D1427" s="66" t="s">
        <v>9772</v>
      </c>
    </row>
    <row r="1428" ht="15.75" customHeight="1">
      <c r="A1428" s="66">
        <f>'Main dataset (DEPRECATED)'!Q1429</f>
        <v>1532839</v>
      </c>
      <c r="B1428" s="66" t="str">
        <f>IFERROR(__xludf.DUMMYFUNCTION("SPLIT('Main dataset (DEPRECATED2)'!N1429,"";"")"),"#VALUE!")</f>
        <v>#VALUE!</v>
      </c>
      <c r="C1428" s="66" t="s">
        <v>11248</v>
      </c>
    </row>
    <row r="1429" ht="15.75" customHeight="1">
      <c r="A1429" s="66">
        <f>'Main dataset (DEPRECATED)'!Q1430</f>
        <v>1532840</v>
      </c>
      <c r="B1429" s="66" t="str">
        <f>IFERROR(__xludf.DUMMYFUNCTION("SPLIT('Main dataset (DEPRECATED2)'!N1430,"";"")"),"#VALUE!")</f>
        <v>#VALUE!</v>
      </c>
      <c r="C1429" s="66" t="s">
        <v>9380</v>
      </c>
      <c r="D1429" s="66" t="s">
        <v>11573</v>
      </c>
      <c r="E1429" s="66" t="s">
        <v>8240</v>
      </c>
    </row>
    <row r="1430" ht="15.75" customHeight="1">
      <c r="A1430" s="66">
        <f>'Main dataset (DEPRECATED)'!Q1431</f>
        <v>1532836</v>
      </c>
      <c r="B1430" s="66" t="str">
        <f>IFERROR(__xludf.DUMMYFUNCTION("SPLIT('Main dataset (DEPRECATED2)'!N1431,"";"")"),"#VALUE!")</f>
        <v>#VALUE!</v>
      </c>
      <c r="C1430" s="66" t="s">
        <v>10624</v>
      </c>
      <c r="D1430" s="66" t="s">
        <v>11092</v>
      </c>
    </row>
    <row r="1431" ht="15.75" customHeight="1">
      <c r="A1431" s="66">
        <f>'Main dataset (DEPRECATED)'!Q1432</f>
        <v>1532833</v>
      </c>
      <c r="B1431" s="66" t="str">
        <f>IFERROR(__xludf.DUMMYFUNCTION("SPLIT('Main dataset (DEPRECATED2)'!N1432,"";"")"),"#VALUE!")</f>
        <v>#VALUE!</v>
      </c>
      <c r="C1431" s="66" t="s">
        <v>4285</v>
      </c>
    </row>
    <row r="1432" ht="15.75" customHeight="1">
      <c r="A1432" s="66">
        <f>'Main dataset (DEPRECATED)'!Q1433</f>
        <v>1532798</v>
      </c>
      <c r="B1432" s="66" t="str">
        <f>IFERROR(__xludf.DUMMYFUNCTION("SPLIT('Main dataset (DEPRECATED2)'!N1433,"";"")"),"#VALUE!")</f>
        <v>#VALUE!</v>
      </c>
      <c r="C1432" s="66" t="s">
        <v>7274</v>
      </c>
    </row>
    <row r="1433" ht="15.75" customHeight="1">
      <c r="A1433" s="66">
        <f>'Main dataset (DEPRECATED)'!Q1434</f>
        <v>1532788</v>
      </c>
      <c r="B1433" s="66" t="str">
        <f>IFERROR(__xludf.DUMMYFUNCTION("SPLIT('Main dataset (DEPRECATED2)'!N1434,"";"")"),"#VALUE!")</f>
        <v>#VALUE!</v>
      </c>
      <c r="C1433" s="66" t="s">
        <v>6764</v>
      </c>
      <c r="D1433" s="66" t="s">
        <v>7079</v>
      </c>
      <c r="E1433" s="66" t="s">
        <v>7610</v>
      </c>
      <c r="F1433" s="66" t="s">
        <v>10392</v>
      </c>
      <c r="G1433" s="66" t="s">
        <v>10621</v>
      </c>
      <c r="H1433" s="66" t="s">
        <v>11264</v>
      </c>
    </row>
    <row r="1434" ht="15.75" customHeight="1">
      <c r="A1434" s="66">
        <f>'Main dataset (DEPRECATED)'!Q1435</f>
        <v>1532850</v>
      </c>
      <c r="B1434" s="66" t="str">
        <f>IFERROR(__xludf.DUMMYFUNCTION("SPLIT('Main dataset (DEPRECATED2)'!N1435,"";"")"),"#VALUE!")</f>
        <v>#VALUE!</v>
      </c>
      <c r="C1434" s="66" t="s">
        <v>7698</v>
      </c>
      <c r="D1434" s="66" t="s">
        <v>7273</v>
      </c>
      <c r="E1434" s="66" t="s">
        <v>10419</v>
      </c>
      <c r="F1434" s="66" t="s">
        <v>8093</v>
      </c>
      <c r="G1434" s="66" t="s">
        <v>7996</v>
      </c>
    </row>
    <row r="1435" ht="15.75" customHeight="1">
      <c r="A1435" s="66">
        <f>'Main dataset (DEPRECATED)'!Q1436</f>
        <v>1532845</v>
      </c>
      <c r="B1435" s="66" t="str">
        <f>IFERROR(__xludf.DUMMYFUNCTION("SPLIT('Main dataset (DEPRECATED2)'!N1436,"";"")"),"#VALUE!")</f>
        <v>#VALUE!</v>
      </c>
      <c r="C1435" s="66" t="s">
        <v>6568</v>
      </c>
      <c r="D1435" s="66" t="s">
        <v>7432</v>
      </c>
      <c r="E1435" s="66" t="s">
        <v>7461</v>
      </c>
      <c r="F1435" s="66" t="s">
        <v>7486</v>
      </c>
      <c r="G1435" s="66" t="s">
        <v>7600</v>
      </c>
      <c r="H1435" s="66" t="s">
        <v>7857</v>
      </c>
      <c r="I1435" s="66" t="s">
        <v>8731</v>
      </c>
      <c r="J1435" s="66" t="s">
        <v>8842</v>
      </c>
      <c r="K1435" s="66" t="s">
        <v>9545</v>
      </c>
      <c r="L1435" s="66" t="s">
        <v>9661</v>
      </c>
      <c r="M1435" s="66" t="s">
        <v>9357</v>
      </c>
      <c r="N1435" s="66" t="s">
        <v>10278</v>
      </c>
      <c r="O1435" s="66" t="s">
        <v>10386</v>
      </c>
      <c r="P1435" s="66" t="s">
        <v>10388</v>
      </c>
      <c r="Q1435" s="66" t="s">
        <v>11751</v>
      </c>
      <c r="R1435" s="66" t="s">
        <v>11754</v>
      </c>
    </row>
    <row r="1436" ht="15.75" customHeight="1">
      <c r="A1436" s="66">
        <f>'Main dataset (DEPRECATED)'!Q1437</f>
        <v>1532843</v>
      </c>
      <c r="B1436" s="66" t="str">
        <f>IFERROR(__xludf.DUMMYFUNCTION("SPLIT('Main dataset (DEPRECATED2)'!N1437,"";"")"),"#VALUE!")</f>
        <v>#VALUE!</v>
      </c>
      <c r="C1436" s="66" t="s">
        <v>6979</v>
      </c>
    </row>
    <row r="1437" ht="15.75" customHeight="1">
      <c r="A1437" s="66">
        <f>'Main dataset (DEPRECATED)'!Q1438</f>
        <v>1532793</v>
      </c>
      <c r="B1437" s="66" t="str">
        <f>IFERROR(__xludf.DUMMYFUNCTION("SPLIT('Main dataset (DEPRECATED2)'!N1438,"";"")"),"#VALUE!")</f>
        <v>#VALUE!</v>
      </c>
      <c r="C1437" s="66" t="s">
        <v>10001</v>
      </c>
      <c r="D1437" s="66" t="s">
        <v>8337</v>
      </c>
      <c r="E1437" s="66" t="s">
        <v>8114</v>
      </c>
    </row>
    <row r="1438" ht="15.75" customHeight="1">
      <c r="A1438" s="66">
        <f>'Main dataset (DEPRECATED)'!Q1439</f>
        <v>1532777</v>
      </c>
      <c r="B1438" s="66" t="str">
        <f>IFERROR(__xludf.DUMMYFUNCTION("SPLIT('Main dataset (DEPRECATED2)'!N1439,"";"")"),"#VALUE!")</f>
        <v>#VALUE!</v>
      </c>
      <c r="C1438" s="66" t="s">
        <v>10372</v>
      </c>
      <c r="D1438" s="66" t="s">
        <v>9366</v>
      </c>
      <c r="E1438" s="66" t="s">
        <v>8085</v>
      </c>
      <c r="F1438" s="66" t="s">
        <v>9647</v>
      </c>
      <c r="G1438" s="66" t="s">
        <v>10759</v>
      </c>
    </row>
    <row r="1439" ht="15.75" customHeight="1">
      <c r="A1439" s="66">
        <f>'Main dataset (DEPRECATED)'!Q1440</f>
        <v>1532859</v>
      </c>
      <c r="B1439" s="66" t="str">
        <f>IFERROR(__xludf.DUMMYFUNCTION("SPLIT('Main dataset (DEPRECATED2)'!N1440,"";"")"),"#VALUE!")</f>
        <v>#VALUE!</v>
      </c>
      <c r="C1439" s="66" t="s">
        <v>7934</v>
      </c>
      <c r="D1439" s="66" t="s">
        <v>10481</v>
      </c>
    </row>
    <row r="1440" ht="15.75" customHeight="1">
      <c r="A1440" s="66">
        <f>'Main dataset (DEPRECATED)'!Q1441</f>
        <v>1532838</v>
      </c>
      <c r="B1440" s="66" t="str">
        <f>IFERROR(__xludf.DUMMYFUNCTION("SPLIT('Main dataset (DEPRECATED2)'!N1441,"";"")"),"#VALUE!")</f>
        <v>#VALUE!</v>
      </c>
      <c r="C1440" s="66" t="s">
        <v>8107</v>
      </c>
    </row>
    <row r="1441" ht="15.75" customHeight="1">
      <c r="A1441" s="66">
        <f>'Main dataset (DEPRECATED)'!Q1442</f>
        <v>1532835</v>
      </c>
      <c r="B1441" s="66" t="str">
        <f>IFERROR(__xludf.DUMMYFUNCTION("SPLIT('Main dataset (DEPRECATED2)'!N1442,"";"")"),"#VALUE!")</f>
        <v>#VALUE!</v>
      </c>
      <c r="C1441" s="66" t="s">
        <v>10987</v>
      </c>
    </row>
    <row r="1442" ht="15.75" customHeight="1">
      <c r="A1442" s="66">
        <f>'Main dataset (DEPRECATED)'!Q1443</f>
        <v>1532774</v>
      </c>
      <c r="B1442" s="66" t="str">
        <f>IFERROR(__xludf.DUMMYFUNCTION("SPLIT('Main dataset (DEPRECATED2)'!N1443,"";"")"),"#VALUE!")</f>
        <v>#VALUE!</v>
      </c>
      <c r="C1442" s="66" t="s">
        <v>8455</v>
      </c>
      <c r="D1442" s="66" t="s">
        <v>9772</v>
      </c>
    </row>
    <row r="1443" ht="15.75" customHeight="1">
      <c r="A1443" s="66">
        <f>'Main dataset (DEPRECATED)'!Q1444</f>
        <v>1532844</v>
      </c>
      <c r="B1443" s="66" t="str">
        <f>IFERROR(__xludf.DUMMYFUNCTION("SPLIT('Main dataset (DEPRECATED2)'!N1444,"";"")"),"#VALUE!")</f>
        <v>#VALUE!</v>
      </c>
      <c r="C1443" s="66" t="s">
        <v>9898</v>
      </c>
      <c r="D1443" s="66" t="s">
        <v>10086</v>
      </c>
    </row>
    <row r="1444" ht="15.75" customHeight="1">
      <c r="A1444" s="66">
        <f>'Main dataset (DEPRECATED)'!Q1445</f>
        <v>1532811</v>
      </c>
      <c r="B1444" s="66" t="str">
        <f>IFERROR(__xludf.DUMMYFUNCTION("SPLIT('Main dataset (DEPRECATED2)'!N1445,"";"")"),"#VALUE!")</f>
        <v>#VALUE!</v>
      </c>
      <c r="C1444" s="66" t="s">
        <v>7361</v>
      </c>
      <c r="D1444" s="66" t="s">
        <v>7412</v>
      </c>
      <c r="E1444" s="66" t="s">
        <v>8828</v>
      </c>
      <c r="F1444" s="66" t="s">
        <v>8764</v>
      </c>
    </row>
    <row r="1445" ht="15.75" customHeight="1">
      <c r="A1445" s="66">
        <f>'Main dataset (DEPRECATED)'!Q1446</f>
        <v>1532813</v>
      </c>
      <c r="B1445" s="66" t="str">
        <f>IFERROR(__xludf.DUMMYFUNCTION("SPLIT('Main dataset (DEPRECATED2)'!N1446,"";"")"),"#VALUE!")</f>
        <v>#VALUE!</v>
      </c>
      <c r="C1445" s="66" t="s">
        <v>10616</v>
      </c>
      <c r="D1445" s="66" t="s">
        <v>9842</v>
      </c>
      <c r="E1445" s="66" t="s">
        <v>7925</v>
      </c>
      <c r="F1445" s="66" t="s">
        <v>7896</v>
      </c>
    </row>
    <row r="1446" ht="15.75" customHeight="1">
      <c r="A1446" s="66">
        <f>'Main dataset (DEPRECATED)'!Q1447</f>
        <v>1532802</v>
      </c>
      <c r="B1446" s="66" t="str">
        <f>IFERROR(__xludf.DUMMYFUNCTION("SPLIT('Main dataset (DEPRECATED2)'!N1447,"";"")"),"#VALUE!")</f>
        <v>#VALUE!</v>
      </c>
      <c r="C1446" s="66" t="s">
        <v>9021</v>
      </c>
      <c r="D1446" s="66" t="s">
        <v>6584</v>
      </c>
    </row>
    <row r="1447" ht="15.75" customHeight="1">
      <c r="A1447" s="66">
        <f>'Main dataset (DEPRECATED)'!Q1448</f>
        <v>1532856</v>
      </c>
      <c r="B1447" s="66" t="str">
        <f>IFERROR(__xludf.DUMMYFUNCTION("SPLIT('Main dataset (DEPRECATED2)'!N1448,"";"")"),"#VALUE!")</f>
        <v>#VALUE!</v>
      </c>
      <c r="C1447" s="66" t="s">
        <v>7887</v>
      </c>
    </row>
    <row r="1448" ht="15.75" customHeight="1">
      <c r="A1448" s="66">
        <f>'Main dataset (DEPRECATED)'!Q1449</f>
        <v>1382886</v>
      </c>
      <c r="B1448" s="66" t="str">
        <f>IFERROR(__xludf.DUMMYFUNCTION("SPLIT('Main dataset (DEPRECATED2)'!N1449,"";"")"),"#VALUE!")</f>
        <v>#VALUE!</v>
      </c>
      <c r="C1448" s="66" t="s">
        <v>7497</v>
      </c>
      <c r="D1448" s="66" t="s">
        <v>6798</v>
      </c>
    </row>
    <row r="1449" ht="15.75" customHeight="1">
      <c r="A1449" s="66">
        <f>'Main dataset (DEPRECATED)'!Q1450</f>
        <v>1382890</v>
      </c>
      <c r="B1449" s="66" t="str">
        <f>IFERROR(__xludf.DUMMYFUNCTION("SPLIT('Main dataset (DEPRECATED2)'!N1450,"";"")"),"#VALUE!")</f>
        <v>#VALUE!</v>
      </c>
      <c r="C1449" s="66" t="s">
        <v>9655</v>
      </c>
      <c r="D1449" s="66" t="s">
        <v>10453</v>
      </c>
    </row>
    <row r="1450" ht="15.75" customHeight="1">
      <c r="A1450" s="66">
        <f>'Main dataset (DEPRECATED)'!Q1451</f>
        <v>1382902</v>
      </c>
      <c r="B1450" s="66" t="str">
        <f>IFERROR(__xludf.DUMMYFUNCTION("SPLIT('Main dataset (DEPRECATED2)'!N1451,"";"")"),"#VALUE!")</f>
        <v>#VALUE!</v>
      </c>
      <c r="C1450" s="66" t="s">
        <v>10767</v>
      </c>
    </row>
    <row r="1451" ht="15.75" customHeight="1">
      <c r="A1451" s="66">
        <f>'Main dataset (DEPRECATED)'!Q1452</f>
        <v>1382892</v>
      </c>
      <c r="B1451" s="66" t="str">
        <f>IFERROR(__xludf.DUMMYFUNCTION("SPLIT('Main dataset (DEPRECATED2)'!N1452,"";"")"),"#VALUE!")</f>
        <v>#VALUE!</v>
      </c>
      <c r="C1451" s="66" t="s">
        <v>10597</v>
      </c>
    </row>
    <row r="1452" ht="15.75" customHeight="1">
      <c r="A1452" s="66">
        <f>'Main dataset (DEPRECATED)'!Q1453</f>
        <v>1382941</v>
      </c>
      <c r="B1452" s="66" t="str">
        <f>IFERROR(__xludf.DUMMYFUNCTION("SPLIT('Main dataset (DEPRECATED2)'!N1453,"";"")"),"#VALUE!")</f>
        <v>#VALUE!</v>
      </c>
      <c r="C1452" s="66" t="s">
        <v>9065</v>
      </c>
      <c r="D1452" s="66" t="s">
        <v>6748</v>
      </c>
    </row>
    <row r="1453" ht="15.75" customHeight="1">
      <c r="A1453" s="66">
        <f>'Main dataset (DEPRECATED)'!Q1454</f>
        <v>1382884</v>
      </c>
      <c r="B1453" s="66" t="str">
        <f>IFERROR(__xludf.DUMMYFUNCTION("SPLIT('Main dataset (DEPRECATED2)'!N1454,"";"")"),"#VALUE!")</f>
        <v>#VALUE!</v>
      </c>
      <c r="C1453" s="66" t="s">
        <v>9667</v>
      </c>
      <c r="D1453" s="66" t="s">
        <v>7323</v>
      </c>
    </row>
    <row r="1454" ht="15.75" customHeight="1">
      <c r="A1454" s="66">
        <f>'Main dataset (DEPRECATED)'!Q1455</f>
        <v>1382916</v>
      </c>
      <c r="B1454" s="66" t="str">
        <f>IFERROR(__xludf.DUMMYFUNCTION("SPLIT('Main dataset (DEPRECATED2)'!N1455,"";"")"),"#VALUE!")</f>
        <v>#VALUE!</v>
      </c>
      <c r="C1454" s="66" t="s">
        <v>9619</v>
      </c>
      <c r="D1454" s="66" t="s">
        <v>8604</v>
      </c>
      <c r="E1454" s="66" t="s">
        <v>6724</v>
      </c>
      <c r="F1454" s="66" t="s">
        <v>10094</v>
      </c>
    </row>
    <row r="1455" ht="15.75" customHeight="1">
      <c r="A1455" s="66">
        <f>'Main dataset (DEPRECATED)'!Q1456</f>
        <v>1382919</v>
      </c>
      <c r="B1455" s="66" t="str">
        <f>IFERROR(__xludf.DUMMYFUNCTION("SPLIT('Main dataset (DEPRECATED2)'!N1456,"";"")"),"#VALUE!")</f>
        <v>#VALUE!</v>
      </c>
      <c r="C1455" s="66" t="s">
        <v>6284</v>
      </c>
    </row>
    <row r="1456" ht="15.75" customHeight="1">
      <c r="A1456" s="66">
        <f>'Main dataset (DEPRECATED)'!Q1457</f>
        <v>1382897</v>
      </c>
      <c r="B1456" s="66" t="str">
        <f>IFERROR(__xludf.DUMMYFUNCTION("SPLIT('Main dataset (DEPRECATED2)'!N1457,"";"")"),"#VALUE!")</f>
        <v>#VALUE!</v>
      </c>
      <c r="C1456" s="66" t="s">
        <v>9871</v>
      </c>
      <c r="D1456" s="66" t="s">
        <v>8276</v>
      </c>
      <c r="E1456" s="66" t="s">
        <v>7279</v>
      </c>
    </row>
    <row r="1457" ht="15.75" customHeight="1">
      <c r="A1457" s="66">
        <f>'Main dataset (DEPRECATED)'!Q1458</f>
        <v>1382913</v>
      </c>
      <c r="B1457" s="66" t="str">
        <f>IFERROR(__xludf.DUMMYFUNCTION("SPLIT('Main dataset (DEPRECATED2)'!N1458,"";"")"),"#VALUE!")</f>
        <v>#VALUE!</v>
      </c>
      <c r="C1457" s="66" t="s">
        <v>9549</v>
      </c>
    </row>
    <row r="1458" ht="15.75" customHeight="1">
      <c r="A1458" s="66">
        <f>'Main dataset (DEPRECATED)'!Q1459</f>
        <v>1382904</v>
      </c>
      <c r="B1458" s="66" t="str">
        <f>IFERROR(__xludf.DUMMYFUNCTION("SPLIT('Main dataset (DEPRECATED2)'!N1459,"";"")"),"#VALUE!")</f>
        <v>#VALUE!</v>
      </c>
    </row>
    <row r="1459" ht="15.75" customHeight="1">
      <c r="A1459" s="66">
        <f>'Main dataset (DEPRECATED)'!Q1460</f>
        <v>1382883</v>
      </c>
      <c r="B1459" s="66" t="str">
        <f>IFERROR(__xludf.DUMMYFUNCTION("SPLIT('Main dataset (DEPRECATED2)'!N1460,"";"")"),"#VALUE!")</f>
        <v>#VALUE!</v>
      </c>
    </row>
    <row r="1460" ht="15.75" customHeight="1">
      <c r="A1460" s="66">
        <f>'Main dataset (DEPRECATED)'!Q1461</f>
        <v>1382938</v>
      </c>
      <c r="B1460" s="66" t="str">
        <f>IFERROR(__xludf.DUMMYFUNCTION("SPLIT('Main dataset (DEPRECATED2)'!N1461,"";"")"),"#VALUE!")</f>
        <v>#VALUE!</v>
      </c>
    </row>
    <row r="1461" ht="15.75" customHeight="1">
      <c r="A1461" s="66">
        <f>'Main dataset (DEPRECATED)'!Q1462</f>
        <v>1382895</v>
      </c>
      <c r="B1461" s="66" t="str">
        <f>IFERROR(__xludf.DUMMYFUNCTION("SPLIT('Main dataset (DEPRECATED2)'!N1462,"";"")"),"#VALUE!")</f>
        <v>#VALUE!</v>
      </c>
      <c r="C1461" s="66" t="s">
        <v>11333</v>
      </c>
      <c r="D1461" s="66" t="s">
        <v>10295</v>
      </c>
    </row>
    <row r="1462" ht="15.75" customHeight="1">
      <c r="A1462" s="66">
        <f>'Main dataset (DEPRECATED)'!Q1463</f>
        <v>1382930</v>
      </c>
      <c r="B1462" s="66" t="str">
        <f>IFERROR(__xludf.DUMMYFUNCTION("SPLIT('Main dataset (DEPRECATED2)'!N1463,"";"")"),"#VALUE!")</f>
        <v>#VALUE!</v>
      </c>
      <c r="C1462" s="66" t="s">
        <v>8659</v>
      </c>
    </row>
    <row r="1463" ht="15.75" customHeight="1">
      <c r="A1463" s="66">
        <f>'Main dataset (DEPRECATED)'!Q1464</f>
        <v>1382932</v>
      </c>
      <c r="B1463" s="66" t="str">
        <f>IFERROR(__xludf.DUMMYFUNCTION("SPLIT('Main dataset (DEPRECATED2)'!N1464,"";"")"),"#VALUE!")</f>
        <v>#VALUE!</v>
      </c>
      <c r="C1463" s="66" t="s">
        <v>8381</v>
      </c>
      <c r="D1463" s="66" t="s">
        <v>9726</v>
      </c>
    </row>
    <row r="1464" ht="15.75" customHeight="1">
      <c r="A1464" s="66">
        <f>'Main dataset (DEPRECATED)'!Q1465</f>
        <v>1382908</v>
      </c>
      <c r="B1464" s="66" t="str">
        <f>IFERROR(__xludf.DUMMYFUNCTION("SPLIT('Main dataset (DEPRECATED2)'!N1465,"";"")"),"#VALUE!")</f>
        <v>#VALUE!</v>
      </c>
      <c r="C1464" s="66" t="s">
        <v>10941</v>
      </c>
    </row>
    <row r="1465" ht="15.75" customHeight="1">
      <c r="A1465" s="66">
        <f>'Main dataset (DEPRECATED)'!Q1466</f>
        <v>1382900</v>
      </c>
      <c r="B1465" s="66" t="str">
        <f>IFERROR(__xludf.DUMMYFUNCTION("SPLIT('Main dataset (DEPRECATED2)'!N1466,"";"")"),"#VALUE!")</f>
        <v>#VALUE!</v>
      </c>
      <c r="C1465" s="66" t="s">
        <v>8713</v>
      </c>
      <c r="D1465" s="66" t="s">
        <v>10311</v>
      </c>
      <c r="E1465" s="66" t="s">
        <v>6236</v>
      </c>
      <c r="F1465" s="66" t="s">
        <v>8763</v>
      </c>
    </row>
    <row r="1466" ht="15.75" customHeight="1">
      <c r="A1466" s="66">
        <f>'Main dataset (DEPRECATED)'!Q1467</f>
        <v>1382927</v>
      </c>
      <c r="B1466" s="66" t="str">
        <f>IFERROR(__xludf.DUMMYFUNCTION("SPLIT('Main dataset (DEPRECATED2)'!N1467,"";"")"),"#VALUE!")</f>
        <v>#VALUE!</v>
      </c>
      <c r="C1466" s="66" t="s">
        <v>7020</v>
      </c>
      <c r="D1466" s="66" t="s">
        <v>11292</v>
      </c>
      <c r="E1466" s="66" t="s">
        <v>7539</v>
      </c>
      <c r="F1466" s="66" t="s">
        <v>9146</v>
      </c>
      <c r="G1466" s="66" t="s">
        <v>9295</v>
      </c>
      <c r="H1466" s="66" t="s">
        <v>10498</v>
      </c>
    </row>
    <row r="1467" ht="15.75" customHeight="1">
      <c r="A1467" s="66">
        <f>'Main dataset (DEPRECATED)'!Q1468</f>
        <v>1382899</v>
      </c>
      <c r="B1467" s="66" t="str">
        <f>IFERROR(__xludf.DUMMYFUNCTION("SPLIT('Main dataset (DEPRECATED2)'!N1468,"";"")"),"#VALUE!")</f>
        <v>#VALUE!</v>
      </c>
      <c r="C1467" s="66" t="s">
        <v>7157</v>
      </c>
      <c r="D1467" s="66" t="s">
        <v>6331</v>
      </c>
    </row>
    <row r="1468" ht="15.75" customHeight="1">
      <c r="A1468" s="66">
        <f>'Main dataset (DEPRECATED)'!Q1469</f>
        <v>1382939</v>
      </c>
      <c r="B1468" s="66" t="str">
        <f>IFERROR(__xludf.DUMMYFUNCTION("SPLIT('Main dataset (DEPRECATED2)'!N1469,"";"")"),"#VALUE!")</f>
        <v>#VALUE!</v>
      </c>
      <c r="C1468" s="66" t="s">
        <v>6370</v>
      </c>
      <c r="D1468" s="66" t="s">
        <v>9775</v>
      </c>
      <c r="E1468" s="66" t="s">
        <v>10420</v>
      </c>
      <c r="F1468" s="66" t="s">
        <v>10649</v>
      </c>
    </row>
    <row r="1469" ht="15.75" customHeight="1">
      <c r="A1469" s="66">
        <f>'Main dataset (DEPRECATED)'!Q1470</f>
        <v>1382943</v>
      </c>
      <c r="B1469" s="66" t="str">
        <f>IFERROR(__xludf.DUMMYFUNCTION("SPLIT('Main dataset (DEPRECATED2)'!N1470,"";"")"),"#VALUE!")</f>
        <v>#VALUE!</v>
      </c>
      <c r="C1469" s="66" t="s">
        <v>9549</v>
      </c>
      <c r="D1469" s="66" t="s">
        <v>6284</v>
      </c>
      <c r="E1469" s="66" t="s">
        <v>7275</v>
      </c>
    </row>
    <row r="1470" ht="15.75" customHeight="1">
      <c r="A1470" s="66">
        <f>'Main dataset (DEPRECATED)'!Q1471</f>
        <v>1382889</v>
      </c>
      <c r="B1470" s="66" t="str">
        <f>IFERROR(__xludf.DUMMYFUNCTION("SPLIT('Main dataset (DEPRECATED2)'!N1471,"";"")"),"#VALUE!")</f>
        <v>#VALUE!</v>
      </c>
      <c r="C1470" s="66" t="s">
        <v>11000</v>
      </c>
      <c r="D1470" s="66" t="s">
        <v>11200</v>
      </c>
    </row>
    <row r="1471" ht="15.75" customHeight="1">
      <c r="A1471" s="66">
        <f>'Main dataset (DEPRECATED)'!Q1472</f>
        <v>1382925</v>
      </c>
      <c r="B1471" s="66" t="str">
        <f>IFERROR(__xludf.DUMMYFUNCTION("SPLIT('Main dataset (DEPRECATED2)'!N1472,"";"")"),"#VALUE!")</f>
        <v>#VALUE!</v>
      </c>
      <c r="C1471" s="66" t="s">
        <v>8686</v>
      </c>
    </row>
    <row r="1472" ht="15.75" customHeight="1">
      <c r="A1472" s="66">
        <f>'Main dataset (DEPRECATED)'!Q1473</f>
        <v>1382887</v>
      </c>
      <c r="B1472" s="66" t="str">
        <f>IFERROR(__xludf.DUMMYFUNCTION("SPLIT('Main dataset (DEPRECATED2)'!N1473,"";"")"),"#VALUE!")</f>
        <v>#VALUE!</v>
      </c>
      <c r="C1472" s="66" t="s">
        <v>11555</v>
      </c>
    </row>
    <row r="1473" ht="15.75" customHeight="1">
      <c r="A1473" s="66">
        <f>'Main dataset (DEPRECATED)'!Q1474</f>
        <v>1382928</v>
      </c>
      <c r="B1473" s="66" t="str">
        <f>IFERROR(__xludf.DUMMYFUNCTION("SPLIT('Main dataset (DEPRECATED2)'!N1474,"";"")"),"#VALUE!")</f>
        <v>#VALUE!</v>
      </c>
      <c r="C1473" s="66" t="s">
        <v>11345</v>
      </c>
    </row>
    <row r="1474" ht="15.75" customHeight="1">
      <c r="A1474" s="66">
        <f>'Main dataset (DEPRECATED)'!Q1475</f>
        <v>1382915</v>
      </c>
      <c r="B1474" s="66" t="str">
        <f>IFERROR(__xludf.DUMMYFUNCTION("SPLIT('Main dataset (DEPRECATED2)'!N1475,"";"")"),"#VALUE!")</f>
        <v>#VALUE!</v>
      </c>
      <c r="C1474" s="66" t="s">
        <v>7379</v>
      </c>
      <c r="D1474" s="66" t="s">
        <v>8491</v>
      </c>
    </row>
    <row r="1475" ht="15.75" customHeight="1">
      <c r="A1475" s="66">
        <f>'Main dataset (DEPRECATED)'!Q1476</f>
        <v>1382935</v>
      </c>
      <c r="B1475" s="66" t="str">
        <f>IFERROR(__xludf.DUMMYFUNCTION("SPLIT('Main dataset (DEPRECATED2)'!N1476,"";"")"),"#VALUE!")</f>
        <v>#VALUE!</v>
      </c>
      <c r="C1475" s="66" t="s">
        <v>8169</v>
      </c>
      <c r="D1475" s="66" t="s">
        <v>9972</v>
      </c>
      <c r="E1475" s="66" t="s">
        <v>11440</v>
      </c>
      <c r="F1475" s="66" t="s">
        <v>8095</v>
      </c>
      <c r="G1475" s="66" t="s">
        <v>7058</v>
      </c>
      <c r="H1475" s="66" t="s">
        <v>10526</v>
      </c>
      <c r="I1475" s="66" t="s">
        <v>10645</v>
      </c>
      <c r="J1475" s="66" t="s">
        <v>11115</v>
      </c>
      <c r="K1475" s="66" t="s">
        <v>11027</v>
      </c>
    </row>
    <row r="1476" ht="15.75" customHeight="1">
      <c r="A1476" s="66">
        <f>'Main dataset (DEPRECATED)'!Q1477</f>
        <v>1382944</v>
      </c>
      <c r="B1476" s="66" t="str">
        <f>IFERROR(__xludf.DUMMYFUNCTION("SPLIT('Main dataset (DEPRECATED2)'!N1477,"";"")"),"#VALUE!")</f>
        <v>#VALUE!</v>
      </c>
    </row>
    <row r="1477" ht="15.75" customHeight="1">
      <c r="A1477" s="66">
        <f>'Main dataset (DEPRECATED)'!Q1478</f>
        <v>1382940</v>
      </c>
      <c r="B1477" s="66" t="str">
        <f>IFERROR(__xludf.DUMMYFUNCTION("SPLIT('Main dataset (DEPRECATED2)'!N1478,"";"")"),"#VALUE!")</f>
        <v>#VALUE!</v>
      </c>
      <c r="C1477" s="66" t="s">
        <v>7908</v>
      </c>
      <c r="D1477" s="66" t="s">
        <v>10767</v>
      </c>
    </row>
    <row r="1478" ht="15.75" customHeight="1">
      <c r="A1478" s="66">
        <f>'Main dataset (DEPRECATED)'!Q1479</f>
        <v>1382918</v>
      </c>
      <c r="B1478" s="66" t="str">
        <f>IFERROR(__xludf.DUMMYFUNCTION("SPLIT('Main dataset (DEPRECATED2)'!N1479,"";"")"),"#VALUE!")</f>
        <v>#VALUE!</v>
      </c>
      <c r="C1478" s="66" t="s">
        <v>10860</v>
      </c>
      <c r="D1478" s="66" t="s">
        <v>8160</v>
      </c>
      <c r="E1478" s="66" t="s">
        <v>7660</v>
      </c>
    </row>
    <row r="1479" ht="15.75" customHeight="1">
      <c r="A1479" s="66">
        <f>'Main dataset (DEPRECATED)'!Q1480</f>
        <v>1382921</v>
      </c>
      <c r="B1479" s="66" t="str">
        <f>IFERROR(__xludf.DUMMYFUNCTION("SPLIT('Main dataset (DEPRECATED2)'!N1480,"";"")"),"#VALUE!")</f>
        <v>#VALUE!</v>
      </c>
      <c r="C1479" s="66" t="s">
        <v>8664</v>
      </c>
      <c r="D1479" s="66" t="s">
        <v>7167</v>
      </c>
      <c r="E1479" s="66" t="s">
        <v>10420</v>
      </c>
    </row>
    <row r="1480" ht="15.75" customHeight="1">
      <c r="A1480" s="66">
        <f>'Main dataset (DEPRECATED)'!Q1481</f>
        <v>1382922</v>
      </c>
      <c r="B1480" s="66" t="str">
        <f>IFERROR(__xludf.DUMMYFUNCTION("SPLIT('Main dataset (DEPRECATED2)'!N1481,"";"")"),"#VALUE!")</f>
        <v>#VALUE!</v>
      </c>
      <c r="C1480" s="66" t="s">
        <v>9101</v>
      </c>
      <c r="D1480" s="66" t="s">
        <v>9069</v>
      </c>
      <c r="E1480" s="66" t="s">
        <v>7015</v>
      </c>
    </row>
    <row r="1481" ht="15.75" customHeight="1">
      <c r="A1481" s="66">
        <f>'Main dataset (DEPRECATED)'!Q1482</f>
        <v>1382909</v>
      </c>
      <c r="B1481" s="66" t="str">
        <f>IFERROR(__xludf.DUMMYFUNCTION("SPLIT('Main dataset (DEPRECATED2)'!N1482,"";"")"),"#VALUE!")</f>
        <v>#VALUE!</v>
      </c>
      <c r="C1481" s="66" t="s">
        <v>11200</v>
      </c>
    </row>
    <row r="1482" ht="15.75" customHeight="1">
      <c r="A1482" s="66">
        <f>'Main dataset (DEPRECATED)'!Q1483</f>
        <v>1382882</v>
      </c>
      <c r="B1482" s="66" t="str">
        <f>IFERROR(__xludf.DUMMYFUNCTION("SPLIT('Main dataset (DEPRECATED2)'!N1483,"";"")"),"#VALUE!")</f>
        <v>#VALUE!</v>
      </c>
    </row>
    <row r="1483" ht="15.75" customHeight="1">
      <c r="A1483" s="66">
        <f>'Main dataset (DEPRECATED)'!Q1484</f>
        <v>1382934</v>
      </c>
      <c r="B1483" s="66" t="str">
        <f>IFERROR(__xludf.DUMMYFUNCTION("SPLIT('Main dataset (DEPRECATED2)'!N1484,"";"")"),"#VALUE!")</f>
        <v>#VALUE!</v>
      </c>
      <c r="C1483" s="66" t="s">
        <v>6577</v>
      </c>
      <c r="D1483" s="66" t="s">
        <v>11258</v>
      </c>
    </row>
    <row r="1484" ht="15.75" customHeight="1">
      <c r="A1484" s="66">
        <f>'Main dataset (DEPRECATED)'!Q1485</f>
        <v>1382907</v>
      </c>
      <c r="B1484" s="66" t="str">
        <f>IFERROR(__xludf.DUMMYFUNCTION("SPLIT('Main dataset (DEPRECATED2)'!N1485,"";"")"),"#VALUE!")</f>
        <v>#VALUE!</v>
      </c>
      <c r="C1484" s="66" t="s">
        <v>11190</v>
      </c>
    </row>
    <row r="1485" ht="15.75" customHeight="1">
      <c r="A1485" s="66">
        <f>'Main dataset (DEPRECATED)'!Q1486</f>
        <v>1382901</v>
      </c>
      <c r="B1485" s="66" t="str">
        <f>IFERROR(__xludf.DUMMYFUNCTION("SPLIT('Main dataset (DEPRECATED2)'!N1486,"";"")"),"#VALUE!")</f>
        <v>#VALUE!</v>
      </c>
      <c r="C1485" s="66" t="s">
        <v>8559</v>
      </c>
      <c r="D1485" s="66" t="s">
        <v>9353</v>
      </c>
    </row>
    <row r="1486" ht="15.75" customHeight="1">
      <c r="A1486" s="66">
        <f>'Main dataset (DEPRECATED)'!Q1487</f>
        <v>1382942</v>
      </c>
      <c r="B1486" s="66" t="str">
        <f>IFERROR(__xludf.DUMMYFUNCTION("SPLIT('Main dataset (DEPRECATED2)'!N1487,"";"")"),"#VALUE!")</f>
        <v>#VALUE!</v>
      </c>
      <c r="C1486" s="66" t="s">
        <v>8362</v>
      </c>
      <c r="D1486" s="66" t="s">
        <v>9296</v>
      </c>
      <c r="E1486" s="66" t="s">
        <v>10760</v>
      </c>
    </row>
    <row r="1487" ht="15.75" customHeight="1">
      <c r="A1487" s="66">
        <f>'Main dataset (DEPRECATED)'!Q1488</f>
        <v>1382910</v>
      </c>
      <c r="B1487" s="66" t="str">
        <f>IFERROR(__xludf.DUMMYFUNCTION("SPLIT('Main dataset (DEPRECATED2)'!N1488,"";"")"),"#VALUE!")</f>
        <v>#VALUE!</v>
      </c>
      <c r="C1487" s="66" t="s">
        <v>11316</v>
      </c>
    </row>
    <row r="1488" ht="15.75" customHeight="1">
      <c r="A1488" s="66">
        <f>'Main dataset (DEPRECATED)'!Q1489</f>
        <v>1382945</v>
      </c>
      <c r="B1488" s="66" t="str">
        <f>IFERROR(__xludf.DUMMYFUNCTION("SPLIT('Main dataset (DEPRECATED2)'!N1489,"";"")"),"#VALUE!")</f>
        <v>#VALUE!</v>
      </c>
      <c r="C1488" s="66" t="s">
        <v>4987</v>
      </c>
    </row>
    <row r="1489" ht="15.75" customHeight="1">
      <c r="A1489" s="66">
        <f>'Main dataset (DEPRECATED)'!Q1490</f>
        <v>1382898</v>
      </c>
      <c r="B1489" s="66" t="str">
        <f>IFERROR(__xludf.DUMMYFUNCTION("SPLIT('Main dataset (DEPRECATED2)'!N1490,"";"")"),"#VALUE!")</f>
        <v>#VALUE!</v>
      </c>
      <c r="C1489" s="66" t="s">
        <v>6348</v>
      </c>
    </row>
    <row r="1490" ht="15.75" customHeight="1">
      <c r="A1490" s="66">
        <f>'Main dataset (DEPRECATED)'!Q1491</f>
        <v>1382914</v>
      </c>
      <c r="B1490" s="66" t="str">
        <f>IFERROR(__xludf.DUMMYFUNCTION("SPLIT('Main dataset (DEPRECATED2)'!N1491,"";"")"),"#VALUE!")</f>
        <v>#VALUE!</v>
      </c>
      <c r="C1490" s="66" t="s">
        <v>6166</v>
      </c>
    </row>
    <row r="1491" ht="15.75" customHeight="1">
      <c r="A1491" s="66">
        <f>'Main dataset (DEPRECATED)'!Q1492</f>
        <v>1382929</v>
      </c>
      <c r="B1491" s="66" t="str">
        <f>IFERROR(__xludf.DUMMYFUNCTION("SPLIT('Main dataset (DEPRECATED2)'!N1492,"";"")"),"#VALUE!")</f>
        <v>#VALUE!</v>
      </c>
    </row>
    <row r="1492" ht="15.75" customHeight="1">
      <c r="A1492" s="66">
        <f>'Main dataset (DEPRECATED)'!Q1493</f>
        <v>1382888</v>
      </c>
      <c r="B1492" s="66" t="str">
        <f>IFERROR(__xludf.DUMMYFUNCTION("SPLIT('Main dataset (DEPRECATED2)'!N1493,"";"")"),"#VALUE!")</f>
        <v>#VALUE!</v>
      </c>
      <c r="C1492" s="66" t="s">
        <v>8664</v>
      </c>
      <c r="D1492" s="66" t="s">
        <v>9775</v>
      </c>
      <c r="E1492" s="66" t="s">
        <v>10649</v>
      </c>
    </row>
    <row r="1493" ht="15.75" customHeight="1">
      <c r="A1493" s="66">
        <f>'Main dataset (DEPRECATED)'!Q1494</f>
        <v>1382924</v>
      </c>
      <c r="B1493" s="66" t="str">
        <f>IFERROR(__xludf.DUMMYFUNCTION("SPLIT('Main dataset (DEPRECATED2)'!N1494,"";"")"),"#VALUE!")</f>
        <v>#VALUE!</v>
      </c>
      <c r="C1493" s="66" t="s">
        <v>7245</v>
      </c>
    </row>
    <row r="1494" ht="15.75" customHeight="1">
      <c r="A1494" s="66">
        <f>'Main dataset (DEPRECATED)'!Q1495</f>
        <v>1382903</v>
      </c>
      <c r="B1494" s="66" t="str">
        <f>IFERROR(__xludf.DUMMYFUNCTION("SPLIT('Main dataset (DEPRECATED2)'!N1495,"";"")"),"#VALUE!")</f>
        <v>#VALUE!</v>
      </c>
      <c r="C1494" s="66" t="s">
        <v>9472</v>
      </c>
    </row>
    <row r="1495" ht="15.75" customHeight="1">
      <c r="A1495" s="66">
        <f>'Main dataset (DEPRECATED)'!Q1496</f>
        <v>1382891</v>
      </c>
      <c r="B1495" s="66" t="str">
        <f>IFERROR(__xludf.DUMMYFUNCTION("SPLIT('Main dataset (DEPRECATED2)'!N1496,"";"")"),"#VALUE!")</f>
        <v>#VALUE!</v>
      </c>
      <c r="C1495" s="66" t="s">
        <v>9549</v>
      </c>
    </row>
    <row r="1496" ht="15.75" customHeight="1">
      <c r="A1496" s="66">
        <f>'Main dataset (DEPRECATED)'!Q1497</f>
        <v>1382912</v>
      </c>
      <c r="B1496" s="66" t="str">
        <f>IFERROR(__xludf.DUMMYFUNCTION("SPLIT('Main dataset (DEPRECATED2)'!N1497,"";"")"),"#VALUE!")</f>
        <v>#VALUE!</v>
      </c>
      <c r="C1496" s="66" t="s">
        <v>11345</v>
      </c>
      <c r="D1496" s="66" t="s">
        <v>10538</v>
      </c>
    </row>
    <row r="1497" ht="15.75" customHeight="1">
      <c r="A1497" s="66">
        <f>'Main dataset (DEPRECATED)'!Q1498</f>
        <v>1382905</v>
      </c>
      <c r="B1497" s="66" t="str">
        <f>IFERROR(__xludf.DUMMYFUNCTION("SPLIT('Main dataset (DEPRECATED2)'!N1498,"";"")"),"#VALUE!")</f>
        <v>#VALUE!</v>
      </c>
    </row>
    <row r="1498" ht="15.75" customHeight="1">
      <c r="A1498" s="66">
        <f>'Main dataset (DEPRECATED)'!Q1499</f>
        <v>1382896</v>
      </c>
      <c r="B1498" s="66" t="str">
        <f>IFERROR(__xludf.DUMMYFUNCTION("SPLIT('Main dataset (DEPRECATED2)'!N1499,"";"")"),"#VALUE!")</f>
        <v>#VALUE!</v>
      </c>
    </row>
    <row r="1499" ht="15.75" customHeight="1">
      <c r="A1499" s="66">
        <f>'Main dataset (DEPRECATED)'!Q1500</f>
        <v>1382906</v>
      </c>
      <c r="B1499" s="66" t="str">
        <f>IFERROR(__xludf.DUMMYFUNCTION("SPLIT('Main dataset (DEPRECATED2)'!N1500,"";"")"),"#VALUE!")</f>
        <v>#VALUE!</v>
      </c>
      <c r="C1499" s="66" t="s">
        <v>8826</v>
      </c>
      <c r="D1499" s="66" t="s">
        <v>9668</v>
      </c>
    </row>
    <row r="1500" ht="15.75" customHeight="1">
      <c r="A1500" s="66">
        <f>'Main dataset (DEPRECATED)'!Q1501</f>
        <v>1382920</v>
      </c>
      <c r="B1500" s="66" t="str">
        <f>IFERROR(__xludf.DUMMYFUNCTION("SPLIT('Main dataset (DEPRECATED2)'!N1501,"";"")"),"#VALUE!")</f>
        <v>#VALUE!</v>
      </c>
      <c r="C1500" s="66" t="s">
        <v>9553</v>
      </c>
    </row>
    <row r="1501" ht="15.75" customHeight="1">
      <c r="A1501" s="66">
        <f>'Main dataset (DEPRECATED)'!Q1502</f>
        <v>1382894</v>
      </c>
      <c r="B1501" s="66" t="str">
        <f>IFERROR(__xludf.DUMMYFUNCTION("SPLIT('Main dataset (DEPRECATED2)'!N1502,"";"")"),"#VALUE!")</f>
        <v>#VALUE!</v>
      </c>
      <c r="C1501" s="66" t="s">
        <v>7175</v>
      </c>
      <c r="D1501" s="66" t="s">
        <v>9019</v>
      </c>
    </row>
    <row r="1502" ht="15.75" customHeight="1">
      <c r="A1502" s="66">
        <f>'Main dataset (DEPRECATED)'!Q1503</f>
        <v>1382936</v>
      </c>
      <c r="B1502" s="66" t="str">
        <f>IFERROR(__xludf.DUMMYFUNCTION("SPLIT('Main dataset (DEPRECATED2)'!N1503,"";"")"),"#VALUE!")</f>
        <v>#VALUE!</v>
      </c>
      <c r="C1502" s="66" t="s">
        <v>7103</v>
      </c>
      <c r="D1502" s="66" t="s">
        <v>10186</v>
      </c>
      <c r="E1502" s="66" t="s">
        <v>6415</v>
      </c>
    </row>
    <row r="1503" ht="15.75" customHeight="1">
      <c r="A1503" s="66">
        <f>'Main dataset (DEPRECATED)'!Q1504</f>
        <v>1382885</v>
      </c>
      <c r="B1503" s="66" t="str">
        <f>IFERROR(__xludf.DUMMYFUNCTION("SPLIT('Main dataset (DEPRECATED2)'!N1504,"";"")"),"#VALUE!")</f>
        <v>#VALUE!</v>
      </c>
    </row>
    <row r="1504" ht="15.75" customHeight="1">
      <c r="A1504" s="66">
        <f>'Main dataset (DEPRECATED)'!Q1505</f>
        <v>1382893</v>
      </c>
      <c r="B1504" s="66" t="str">
        <f>IFERROR(__xludf.DUMMYFUNCTION("SPLIT('Main dataset (DEPRECATED2)'!N1505,"";"")"),"#VALUE!")</f>
        <v>#VALUE!</v>
      </c>
      <c r="C1504" s="66" t="s">
        <v>6248</v>
      </c>
      <c r="D1504" s="66" t="s">
        <v>8288</v>
      </c>
      <c r="E1504" s="66" t="s">
        <v>9650</v>
      </c>
      <c r="F1504" s="66" t="s">
        <v>11333</v>
      </c>
      <c r="G1504" s="66" t="s">
        <v>10295</v>
      </c>
    </row>
    <row r="1505" ht="15.75" customHeight="1">
      <c r="A1505" s="66">
        <f>'Main dataset (DEPRECATED)'!Q1506</f>
        <v>1382933</v>
      </c>
      <c r="B1505" s="66" t="str">
        <f>IFERROR(__xludf.DUMMYFUNCTION("SPLIT('Main dataset (DEPRECATED2)'!N1506,"";"")"),"#VALUE!")</f>
        <v>#VALUE!</v>
      </c>
      <c r="C1505" s="66" t="s">
        <v>7050</v>
      </c>
    </row>
    <row r="1506" ht="15.75" customHeight="1">
      <c r="A1506" s="66">
        <f>'Main dataset (DEPRECATED)'!Q1507</f>
        <v>1382923</v>
      </c>
      <c r="B1506" s="66" t="str">
        <f>IFERROR(__xludf.DUMMYFUNCTION("SPLIT('Main dataset (DEPRECATED2)'!N1507,"";"")"),"#VALUE!")</f>
        <v>#VALUE!</v>
      </c>
      <c r="C1506" s="66" t="s">
        <v>7379</v>
      </c>
      <c r="D1506" s="66" t="s">
        <v>7902</v>
      </c>
    </row>
    <row r="1507" ht="15.75" customHeight="1">
      <c r="A1507" s="66">
        <f>'Main dataset (DEPRECATED)'!Q1508</f>
        <v>1382926</v>
      </c>
      <c r="B1507" s="66" t="str">
        <f>IFERROR(__xludf.DUMMYFUNCTION("SPLIT('Main dataset (DEPRECATED2)'!N1508,"";"")"),"#VALUE!")</f>
        <v>#VALUE!</v>
      </c>
      <c r="C1507" s="66" t="s">
        <v>8426</v>
      </c>
    </row>
    <row r="1508" ht="15.75" customHeight="1">
      <c r="A1508" s="66">
        <f>'Main dataset (DEPRECATED)'!Q1509</f>
        <v>1382917</v>
      </c>
      <c r="B1508" s="66" t="str">
        <f>IFERROR(__xludf.DUMMYFUNCTION("SPLIT('Main dataset (DEPRECATED2)'!N1509,"";"")"),"#VALUE!")</f>
        <v>#VALUE!</v>
      </c>
      <c r="C1508" s="66" t="s">
        <v>8399</v>
      </c>
    </row>
    <row r="1509" ht="15.75" customHeight="1">
      <c r="A1509" s="66">
        <f>'Main dataset (DEPRECATED)'!Q1510</f>
        <v>1382931</v>
      </c>
      <c r="B1509" s="66" t="str">
        <f>IFERROR(__xludf.DUMMYFUNCTION("SPLIT('Main dataset (DEPRECATED2)'!N1510,"";"")"),"#VALUE!")</f>
        <v>#VALUE!</v>
      </c>
      <c r="C1509" s="66" t="s">
        <v>9022</v>
      </c>
    </row>
    <row r="1510" ht="15.75" customHeight="1">
      <c r="A1510" s="66">
        <f>'Main dataset (DEPRECATED)'!Q1511</f>
        <v>1382937</v>
      </c>
      <c r="B1510" s="66" t="str">
        <f>IFERROR(__xludf.DUMMYFUNCTION("SPLIT('Main dataset (DEPRECATED2)'!N1511,"";"")"),"#VALUE!")</f>
        <v>#VALUE!</v>
      </c>
      <c r="C1510" s="66" t="s">
        <v>7348</v>
      </c>
      <c r="D1510" s="66" t="s">
        <v>9554</v>
      </c>
      <c r="E1510" s="66" t="s">
        <v>8966</v>
      </c>
      <c r="F1510" s="66" t="s">
        <v>11685</v>
      </c>
    </row>
    <row r="1511" ht="15.75" customHeight="1">
      <c r="A1511" s="66">
        <f>'Main dataset (DEPRECATED)'!Q1512</f>
        <v>1372251</v>
      </c>
      <c r="B1511" s="66" t="str">
        <f>IFERROR(__xludf.DUMMYFUNCTION("SPLIT('Main dataset (DEPRECATED2)'!N1512,"";"")"),"#VALUE!")</f>
        <v>#VALUE!</v>
      </c>
      <c r="C1511" s="66" t="s">
        <v>8664</v>
      </c>
      <c r="D1511" s="66" t="s">
        <v>9775</v>
      </c>
      <c r="E1511" s="66" t="s">
        <v>10426</v>
      </c>
    </row>
    <row r="1512" ht="15.75" customHeight="1">
      <c r="A1512" s="66">
        <f>'Main dataset (DEPRECATED)'!Q1513</f>
        <v>1372197</v>
      </c>
      <c r="B1512" s="66" t="str">
        <f>IFERROR(__xludf.DUMMYFUNCTION("SPLIT('Main dataset (DEPRECATED2)'!N1513,"";"")"),"#VALUE!")</f>
        <v>#VALUE!</v>
      </c>
      <c r="C1512" s="66" t="s">
        <v>7432</v>
      </c>
    </row>
    <row r="1513" ht="15.75" customHeight="1">
      <c r="A1513" s="66">
        <f>'Main dataset (DEPRECATED)'!Q1514</f>
        <v>1372200</v>
      </c>
      <c r="B1513" s="66" t="str">
        <f>IFERROR(__xludf.DUMMYFUNCTION("SPLIT('Main dataset (DEPRECATED2)'!N1514,"";"")"),"#VALUE!")</f>
        <v>#VALUE!</v>
      </c>
      <c r="C1513" s="66" t="s">
        <v>7326</v>
      </c>
      <c r="D1513" s="66" t="s">
        <v>8560</v>
      </c>
    </row>
    <row r="1514" ht="15.75" customHeight="1">
      <c r="A1514" s="66">
        <f>'Main dataset (DEPRECATED)'!Q1515</f>
        <v>1372186</v>
      </c>
      <c r="B1514" s="66" t="str">
        <f>IFERROR(__xludf.DUMMYFUNCTION("SPLIT('Main dataset (DEPRECATED2)'!N1515,"";"")"),"#VALUE!")</f>
        <v>#VALUE!</v>
      </c>
      <c r="C1514" s="66" t="s">
        <v>4987</v>
      </c>
    </row>
    <row r="1515" ht="15.75" customHeight="1">
      <c r="A1515" s="66">
        <f>'Main dataset (DEPRECATED)'!Q1516</f>
        <v>1372276</v>
      </c>
      <c r="B1515" s="66" t="str">
        <f>IFERROR(__xludf.DUMMYFUNCTION("SPLIT('Main dataset (DEPRECATED2)'!N1516,"";"")"),"#VALUE!")</f>
        <v>#VALUE!</v>
      </c>
      <c r="C1515" s="66" t="s">
        <v>10974</v>
      </c>
    </row>
    <row r="1516" ht="15.75" customHeight="1">
      <c r="A1516" s="66">
        <f>'Main dataset (DEPRECATED)'!Q1517</f>
        <v>1372202</v>
      </c>
      <c r="B1516" s="66" t="str">
        <f>IFERROR(__xludf.DUMMYFUNCTION("SPLIT('Main dataset (DEPRECATED2)'!N1517,"";"")"),"#VALUE!")</f>
        <v>#VALUE!</v>
      </c>
      <c r="C1516" s="66" t="s">
        <v>10356</v>
      </c>
      <c r="D1516" s="66" t="s">
        <v>10814</v>
      </c>
      <c r="E1516" s="66" t="s">
        <v>7822</v>
      </c>
      <c r="F1516" s="66" t="s">
        <v>9719</v>
      </c>
    </row>
    <row r="1517" ht="15.75" customHeight="1">
      <c r="A1517" s="66">
        <f>'Main dataset (DEPRECATED)'!Q1518</f>
        <v>1372282</v>
      </c>
      <c r="B1517" s="66" t="str">
        <f>IFERROR(__xludf.DUMMYFUNCTION("SPLIT('Main dataset (DEPRECATED2)'!N1518,"";"")"),"#VALUE!")</f>
        <v>#VALUE!</v>
      </c>
      <c r="C1517" s="66" t="s">
        <v>7831</v>
      </c>
      <c r="D1517" s="66" t="s">
        <v>9180</v>
      </c>
    </row>
    <row r="1518" ht="15.75" customHeight="1">
      <c r="A1518" s="66">
        <f>'Main dataset (DEPRECATED)'!Q1519</f>
        <v>1372256</v>
      </c>
      <c r="B1518" s="66" t="str">
        <f>IFERROR(__xludf.DUMMYFUNCTION("SPLIT('Main dataset (DEPRECATED2)'!N1519,"";"")"),"#VALUE!")</f>
        <v>#VALUE!</v>
      </c>
      <c r="C1518" s="66" t="s">
        <v>6669</v>
      </c>
      <c r="D1518" s="66" t="s">
        <v>7325</v>
      </c>
    </row>
    <row r="1519" ht="15.75" customHeight="1">
      <c r="A1519" s="66">
        <f>'Main dataset (DEPRECATED)'!Q1520</f>
        <v>1372279</v>
      </c>
      <c r="B1519" s="66" t="str">
        <f>IFERROR(__xludf.DUMMYFUNCTION("SPLIT('Main dataset (DEPRECATED2)'!N1520,"";"")"),"#VALUE!")</f>
        <v>#VALUE!</v>
      </c>
      <c r="C1519" s="66" t="s">
        <v>6691</v>
      </c>
      <c r="D1519" s="66" t="s">
        <v>9675</v>
      </c>
      <c r="E1519" s="66" t="s">
        <v>9732</v>
      </c>
      <c r="F1519" s="66" t="s">
        <v>9307</v>
      </c>
      <c r="G1519" s="66" t="s">
        <v>10961</v>
      </c>
      <c r="H1519" s="66" t="s">
        <v>7716</v>
      </c>
      <c r="I1519" s="66" t="s">
        <v>8907</v>
      </c>
    </row>
    <row r="1520" ht="15.75" customHeight="1">
      <c r="A1520" s="66">
        <f>'Main dataset (DEPRECATED)'!Q1521</f>
        <v>1372178</v>
      </c>
      <c r="B1520" s="66" t="str">
        <f>IFERROR(__xludf.DUMMYFUNCTION("SPLIT('Main dataset (DEPRECATED2)'!N1521,"";"")"),"#VALUE!")</f>
        <v>#VALUE!</v>
      </c>
      <c r="C1520" s="66" t="s">
        <v>11593</v>
      </c>
    </row>
    <row r="1521" ht="15.75" customHeight="1">
      <c r="A1521" s="66">
        <f>'Main dataset (DEPRECATED)'!Q1522</f>
        <v>1372259</v>
      </c>
      <c r="B1521" s="66" t="str">
        <f>IFERROR(__xludf.DUMMYFUNCTION("SPLIT('Main dataset (DEPRECATED2)'!N1522,"";"")"),"#VALUE!")</f>
        <v>#VALUE!</v>
      </c>
      <c r="C1521" s="66" t="s">
        <v>10699</v>
      </c>
      <c r="D1521" s="66" t="s">
        <v>11811</v>
      </c>
    </row>
    <row r="1522" ht="15.75" customHeight="1">
      <c r="A1522" s="66">
        <f>'Main dataset (DEPRECATED)'!Q1523</f>
        <v>1372199</v>
      </c>
      <c r="B1522" s="66" t="str">
        <f>IFERROR(__xludf.DUMMYFUNCTION("SPLIT('Main dataset (DEPRECATED2)'!N1523,"";"")"),"#VALUE!")</f>
        <v>#VALUE!</v>
      </c>
      <c r="C1522" s="66" t="s">
        <v>7739</v>
      </c>
      <c r="D1522" s="66" t="s">
        <v>9206</v>
      </c>
    </row>
    <row r="1523" ht="15.75" customHeight="1">
      <c r="A1523" s="66">
        <f>'Main dataset (DEPRECATED)'!Q1524</f>
        <v>1372280</v>
      </c>
      <c r="B1523" s="66" t="str">
        <f>IFERROR(__xludf.DUMMYFUNCTION("SPLIT('Main dataset (DEPRECATED2)'!N1524,"";"")"),"#VALUE!")</f>
        <v>#VALUE!</v>
      </c>
      <c r="C1523" s="66" t="s">
        <v>7271</v>
      </c>
      <c r="D1523" s="66" t="s">
        <v>9286</v>
      </c>
      <c r="E1523" s="66" t="s">
        <v>9355</v>
      </c>
      <c r="F1523" s="66" t="s">
        <v>8701</v>
      </c>
    </row>
    <row r="1524" ht="15.75" customHeight="1">
      <c r="A1524" s="66">
        <f>'Main dataset (DEPRECATED)'!Q1525</f>
        <v>1372183</v>
      </c>
      <c r="B1524" s="66" t="str">
        <f>IFERROR(__xludf.DUMMYFUNCTION("SPLIT('Main dataset (DEPRECATED2)'!N1525,"";"")"),"#VALUE!")</f>
        <v>#VALUE!</v>
      </c>
      <c r="C1524" s="66" t="s">
        <v>8729</v>
      </c>
      <c r="D1524" s="66" t="s">
        <v>7345</v>
      </c>
      <c r="E1524" s="66" t="s">
        <v>8047</v>
      </c>
    </row>
    <row r="1525" ht="15.75" customHeight="1">
      <c r="A1525" s="66">
        <f>'Main dataset (DEPRECATED)'!Q1526</f>
        <v>1372257</v>
      </c>
      <c r="B1525" s="66" t="str">
        <f>IFERROR(__xludf.DUMMYFUNCTION("SPLIT('Main dataset (DEPRECATED2)'!N1526,"";"")"),"#VALUE!")</f>
        <v>#VALUE!</v>
      </c>
      <c r="C1525" s="66" t="s">
        <v>7360</v>
      </c>
      <c r="D1525" s="66" t="s">
        <v>10440</v>
      </c>
      <c r="E1525" s="66" t="s">
        <v>10792</v>
      </c>
      <c r="F1525" s="66" t="s">
        <v>7996</v>
      </c>
    </row>
    <row r="1526" ht="15.75" customHeight="1">
      <c r="A1526" s="66">
        <f>'Main dataset (DEPRECATED)'!Q1527</f>
        <v>1372258</v>
      </c>
      <c r="B1526" s="66" t="str">
        <f>IFERROR(__xludf.DUMMYFUNCTION("SPLIT('Main dataset (DEPRECATED2)'!N1527,"";"")"),"#VALUE!")</f>
        <v>#VALUE!</v>
      </c>
      <c r="C1526" s="66" t="s">
        <v>10789</v>
      </c>
      <c r="D1526" s="66" t="s">
        <v>9548</v>
      </c>
      <c r="E1526" s="66" t="s">
        <v>10396</v>
      </c>
      <c r="F1526" s="66" t="s">
        <v>10275</v>
      </c>
      <c r="G1526" s="66" t="s">
        <v>11290</v>
      </c>
    </row>
    <row r="1527" ht="15.75" customHeight="1">
      <c r="A1527" s="66">
        <f>'Main dataset (DEPRECATED)'!Q1528</f>
        <v>1372260</v>
      </c>
      <c r="B1527" s="66" t="str">
        <f>IFERROR(__xludf.DUMMYFUNCTION("SPLIT('Main dataset (DEPRECATED2)'!N1528,"";"")"),"#VALUE!")</f>
        <v>#VALUE!</v>
      </c>
      <c r="C1527" s="66" t="s">
        <v>9967</v>
      </c>
      <c r="D1527" s="66" t="s">
        <v>10313</v>
      </c>
    </row>
    <row r="1528" ht="15.75" customHeight="1">
      <c r="A1528" s="66">
        <f>'Main dataset (DEPRECATED)'!Q1529</f>
        <v>1372231</v>
      </c>
      <c r="B1528" s="66" t="str">
        <f>IFERROR(__xludf.DUMMYFUNCTION("SPLIT('Main dataset (DEPRECATED2)'!N1529,"";"")"),"#VALUE!")</f>
        <v>#VALUE!</v>
      </c>
      <c r="C1528" s="66" t="s">
        <v>8102</v>
      </c>
      <c r="D1528" s="66" t="s">
        <v>9170</v>
      </c>
      <c r="E1528" s="66" t="s">
        <v>9798</v>
      </c>
      <c r="F1528" s="66" t="s">
        <v>11461</v>
      </c>
    </row>
    <row r="1529" ht="15.75" customHeight="1">
      <c r="A1529" s="66">
        <f>'Main dataset (DEPRECATED)'!Q1530</f>
        <v>1372242</v>
      </c>
      <c r="B1529" s="66" t="str">
        <f>IFERROR(__xludf.DUMMYFUNCTION("SPLIT('Main dataset (DEPRECATED2)'!N1530,"";"")"),"#VALUE!")</f>
        <v>#VALUE!</v>
      </c>
      <c r="C1529" s="66" t="s">
        <v>11662</v>
      </c>
      <c r="D1529" s="66" t="s">
        <v>11787</v>
      </c>
      <c r="E1529" s="66" t="s">
        <v>11590</v>
      </c>
      <c r="F1529" s="66" t="s">
        <v>9126</v>
      </c>
      <c r="G1529" s="66" t="s">
        <v>8475</v>
      </c>
      <c r="H1529" s="66" t="s">
        <v>11695</v>
      </c>
      <c r="I1529" s="66" t="s">
        <v>8645</v>
      </c>
      <c r="J1529" s="66" t="s">
        <v>9529</v>
      </c>
    </row>
    <row r="1530" ht="15.75" customHeight="1">
      <c r="A1530" s="66">
        <f>'Main dataset (DEPRECATED)'!Q1531</f>
        <v>1372187</v>
      </c>
      <c r="B1530" s="66" t="str">
        <f>IFERROR(__xludf.DUMMYFUNCTION("SPLIT('Main dataset (DEPRECATED2)'!N1531,"";"")"),"#VALUE!")</f>
        <v>#VALUE!</v>
      </c>
      <c r="C1530" s="66" t="s">
        <v>8530</v>
      </c>
      <c r="D1530" s="66" t="s">
        <v>8737</v>
      </c>
    </row>
    <row r="1531" ht="15.75" customHeight="1">
      <c r="A1531" s="66">
        <f>'Main dataset (DEPRECATED)'!Q1532</f>
        <v>1372277</v>
      </c>
      <c r="B1531" s="66" t="str">
        <f>IFERROR(__xludf.DUMMYFUNCTION("SPLIT('Main dataset (DEPRECATED2)'!N1532,"";"")"),"#VALUE!")</f>
        <v>#VALUE!</v>
      </c>
      <c r="C1531" s="66" t="s">
        <v>8908</v>
      </c>
    </row>
    <row r="1532" ht="15.75" customHeight="1">
      <c r="A1532" s="66">
        <f>'Main dataset (DEPRECATED)'!Q1533</f>
        <v>1372236</v>
      </c>
      <c r="B1532" s="66" t="str">
        <f>IFERROR(__xludf.DUMMYFUNCTION("SPLIT('Main dataset (DEPRECATED2)'!N1533,"";"")"),"#VALUE!")</f>
        <v>#VALUE!</v>
      </c>
      <c r="C1532" s="66" t="s">
        <v>8244</v>
      </c>
      <c r="D1532" s="66" t="s">
        <v>8645</v>
      </c>
    </row>
    <row r="1533" ht="15.75" customHeight="1">
      <c r="A1533" s="66">
        <f>'Main dataset (DEPRECATED)'!Q1534</f>
        <v>1372234</v>
      </c>
      <c r="B1533" s="66" t="str">
        <f>IFERROR(__xludf.DUMMYFUNCTION("SPLIT('Main dataset (DEPRECATED2)'!N1534,"";"")"),"#VALUE!")</f>
        <v>#VALUE!</v>
      </c>
    </row>
    <row r="1534" ht="15.75" customHeight="1">
      <c r="A1534" s="66">
        <f>'Main dataset (DEPRECATED)'!Q1535</f>
        <v>1372228</v>
      </c>
      <c r="B1534" s="66" t="str">
        <f>IFERROR(__xludf.DUMMYFUNCTION("SPLIT('Main dataset (DEPRECATED2)'!N1535,"";"")"),"#VALUE!")</f>
        <v>#VALUE!</v>
      </c>
      <c r="C1534" s="66" t="s">
        <v>8055</v>
      </c>
      <c r="D1534" s="66" t="s">
        <v>8429</v>
      </c>
      <c r="E1534" s="66" t="s">
        <v>10166</v>
      </c>
      <c r="F1534" s="66" t="s">
        <v>8657</v>
      </c>
    </row>
    <row r="1535" ht="15.75" customHeight="1">
      <c r="A1535" s="66">
        <f>'Main dataset (DEPRECATED)'!Q1536</f>
        <v>1372220</v>
      </c>
      <c r="B1535" s="66" t="str">
        <f>IFERROR(__xludf.DUMMYFUNCTION("SPLIT('Main dataset (DEPRECATED2)'!N1536,"";"")"),"#VALUE!")</f>
        <v>#VALUE!</v>
      </c>
      <c r="C1535" s="66" t="s">
        <v>10571</v>
      </c>
      <c r="D1535" s="66" t="s">
        <v>9173</v>
      </c>
      <c r="E1535" s="66" t="s">
        <v>7300</v>
      </c>
      <c r="F1535" s="66" t="s">
        <v>11320</v>
      </c>
    </row>
    <row r="1536" ht="15.75" customHeight="1">
      <c r="A1536" s="66">
        <f>'Main dataset (DEPRECATED)'!Q1537</f>
        <v>1372275</v>
      </c>
      <c r="B1536" s="66" t="str">
        <f>IFERROR(__xludf.DUMMYFUNCTION("SPLIT('Main dataset (DEPRECATED2)'!N1537,"";"")"),"#VALUE!")</f>
        <v>#VALUE!</v>
      </c>
      <c r="C1536" s="66" t="s">
        <v>6828</v>
      </c>
      <c r="D1536" s="66" t="s">
        <v>11811</v>
      </c>
      <c r="E1536" s="66" t="s">
        <v>11807</v>
      </c>
    </row>
    <row r="1537" ht="15.75" customHeight="1">
      <c r="A1537" s="66">
        <f>'Main dataset (DEPRECATED)'!Q1538</f>
        <v>1372177</v>
      </c>
      <c r="B1537" s="66" t="str">
        <f>IFERROR(__xludf.DUMMYFUNCTION("SPLIT('Main dataset (DEPRECATED2)'!N1538,"";"")"),"#VALUE!")</f>
        <v>#VALUE!</v>
      </c>
      <c r="C1537" s="66" t="s">
        <v>9995</v>
      </c>
      <c r="D1537" s="66" t="s">
        <v>10292</v>
      </c>
      <c r="E1537" s="66" t="s">
        <v>10468</v>
      </c>
      <c r="F1537" s="66" t="s">
        <v>11000</v>
      </c>
    </row>
    <row r="1538" ht="15.75" customHeight="1">
      <c r="A1538" s="66">
        <f>'Main dataset (DEPRECATED)'!Q1539</f>
        <v>1372281</v>
      </c>
      <c r="B1538" s="66" t="str">
        <f>IFERROR(__xludf.DUMMYFUNCTION("SPLIT('Main dataset (DEPRECATED2)'!N1539,"";"")"),"#VALUE!")</f>
        <v>#VALUE!</v>
      </c>
      <c r="C1538" s="66" t="s">
        <v>9506</v>
      </c>
      <c r="D1538" s="66" t="s">
        <v>9376</v>
      </c>
    </row>
    <row r="1539" ht="15.75" customHeight="1">
      <c r="A1539" s="66">
        <f>'Main dataset (DEPRECATED)'!Q1540</f>
        <v>1372184</v>
      </c>
      <c r="B1539" s="66" t="str">
        <f>IFERROR(__xludf.DUMMYFUNCTION("SPLIT('Main dataset (DEPRECATED2)'!N1540,"";"")"),"#VALUE!")</f>
        <v>#VALUE!</v>
      </c>
      <c r="C1539" s="66" t="s">
        <v>6429</v>
      </c>
      <c r="D1539" s="66" t="s">
        <v>10624</v>
      </c>
      <c r="E1539" s="66" t="s">
        <v>7145</v>
      </c>
      <c r="F1539" s="66" t="s">
        <v>10211</v>
      </c>
    </row>
    <row r="1540" ht="15.75" customHeight="1">
      <c r="A1540" s="66">
        <f>'Main dataset (DEPRECATED)'!Q1541</f>
        <v>1372182</v>
      </c>
      <c r="B1540" s="66" t="str">
        <f>IFERROR(__xludf.DUMMYFUNCTION("SPLIT('Main dataset (DEPRECATED2)'!N1541,"";"")"),"#VALUE!")</f>
        <v>#VALUE!</v>
      </c>
      <c r="C1540" s="66" t="s">
        <v>9529</v>
      </c>
    </row>
    <row r="1541" ht="15.75" customHeight="1">
      <c r="A1541" s="66">
        <f>'Main dataset (DEPRECATED)'!Q1542</f>
        <v>1372233</v>
      </c>
      <c r="B1541" s="66" t="str">
        <f>IFERROR(__xludf.DUMMYFUNCTION("SPLIT('Main dataset (DEPRECATED2)'!N1542,"";"")"),"#VALUE!")</f>
        <v>#VALUE!</v>
      </c>
      <c r="C1541" s="66" t="s">
        <v>10574</v>
      </c>
    </row>
    <row r="1542" ht="15.75" customHeight="1">
      <c r="A1542" s="66">
        <f>'Main dataset (DEPRECATED)'!Q1543</f>
        <v>1372210</v>
      </c>
      <c r="B1542" s="66" t="str">
        <f>IFERROR(__xludf.DUMMYFUNCTION("SPLIT('Main dataset (DEPRECATED2)'!N1543,"";"")"),"#VALUE!")</f>
        <v>#VALUE!</v>
      </c>
      <c r="C1542" s="66" t="s">
        <v>8413</v>
      </c>
      <c r="D1542" s="66" t="s">
        <v>10862</v>
      </c>
      <c r="E1542" s="66" t="s">
        <v>9063</v>
      </c>
    </row>
    <row r="1543" ht="15.75" customHeight="1">
      <c r="A1543" s="66">
        <f>'Main dataset (DEPRECATED)'!Q1544</f>
        <v>1372181</v>
      </c>
      <c r="B1543" s="66" t="str">
        <f>IFERROR(__xludf.DUMMYFUNCTION("SPLIT('Main dataset (DEPRECATED2)'!N1544,"";"")"),"#VALUE!")</f>
        <v>#VALUE!</v>
      </c>
      <c r="C1543" s="66" t="s">
        <v>9089</v>
      </c>
      <c r="D1543" s="66" t="s">
        <v>11854</v>
      </c>
      <c r="E1543" s="66" t="s">
        <v>9891</v>
      </c>
    </row>
    <row r="1544" ht="15.75" customHeight="1">
      <c r="A1544" s="66">
        <f>'Main dataset (DEPRECATED)'!Q1545</f>
        <v>1372253</v>
      </c>
      <c r="B1544" s="66" t="str">
        <f>IFERROR(__xludf.DUMMYFUNCTION("SPLIT('Main dataset (DEPRECATED2)'!N1545,"";"")"),"#VALUE!")</f>
        <v>#VALUE!</v>
      </c>
      <c r="C1544" s="66" t="s">
        <v>7214</v>
      </c>
    </row>
    <row r="1545" ht="15.75" customHeight="1">
      <c r="A1545" s="66">
        <f>'Main dataset (DEPRECATED)'!Q1546</f>
        <v>1372239</v>
      </c>
      <c r="B1545" s="66" t="str">
        <f>IFERROR(__xludf.DUMMYFUNCTION("SPLIT('Main dataset (DEPRECATED2)'!N1546,"";"")"),"#VALUE!")</f>
        <v>#VALUE!</v>
      </c>
      <c r="C1545" s="66" t="s">
        <v>9784</v>
      </c>
      <c r="D1545" s="66" t="s">
        <v>10169</v>
      </c>
      <c r="E1545" s="66" t="s">
        <v>11385</v>
      </c>
      <c r="F1545" s="66" t="s">
        <v>10987</v>
      </c>
      <c r="G1545" s="66" t="s">
        <v>6717</v>
      </c>
      <c r="H1545" s="66" t="s">
        <v>11392</v>
      </c>
    </row>
    <row r="1546" ht="15.75" customHeight="1">
      <c r="A1546" s="66">
        <f>'Main dataset (DEPRECATED)'!Q1547</f>
        <v>1372201</v>
      </c>
      <c r="B1546" s="66" t="str">
        <f>IFERROR(__xludf.DUMMYFUNCTION("SPLIT('Main dataset (DEPRECATED2)'!N1547,"";"")"),"#VALUE!")</f>
        <v>#VALUE!</v>
      </c>
      <c r="C1546" s="66" t="s">
        <v>8376</v>
      </c>
      <c r="D1546" s="66" t="s">
        <v>10431</v>
      </c>
    </row>
    <row r="1547" ht="15.75" customHeight="1">
      <c r="A1547" s="66">
        <f>'Main dataset (DEPRECATED)'!Q1548</f>
        <v>1372190</v>
      </c>
      <c r="B1547" s="66" t="str">
        <f>IFERROR(__xludf.DUMMYFUNCTION("SPLIT('Main dataset (DEPRECATED2)'!N1548,"";"")"),"#VALUE!")</f>
        <v>#VALUE!</v>
      </c>
      <c r="C1547" s="66" t="s">
        <v>8618</v>
      </c>
      <c r="D1547" s="66" t="s">
        <v>7887</v>
      </c>
    </row>
    <row r="1548" ht="15.75" customHeight="1">
      <c r="A1548" s="66">
        <f>'Main dataset (DEPRECATED)'!Q1549</f>
        <v>1372240</v>
      </c>
      <c r="B1548" s="66" t="str">
        <f>IFERROR(__xludf.DUMMYFUNCTION("SPLIT('Main dataset (DEPRECATED2)'!N1549,"";"")"),"#VALUE!")</f>
        <v>#VALUE!</v>
      </c>
      <c r="C1548" s="66" t="s">
        <v>7689</v>
      </c>
      <c r="D1548" s="66" t="s">
        <v>9020</v>
      </c>
    </row>
    <row r="1549" ht="15.75" customHeight="1">
      <c r="A1549" s="66">
        <f>'Main dataset (DEPRECATED)'!Q1550</f>
        <v>1372216</v>
      </c>
      <c r="B1549" s="66" t="str">
        <f>IFERROR(__xludf.DUMMYFUNCTION("SPLIT('Main dataset (DEPRECATED2)'!N1550,"";"")"),"#VALUE!")</f>
        <v>#VALUE!</v>
      </c>
      <c r="C1549" s="66" t="s">
        <v>8337</v>
      </c>
      <c r="D1549" s="66" t="s">
        <v>8596</v>
      </c>
      <c r="E1549" s="66" t="s">
        <v>8114</v>
      </c>
    </row>
    <row r="1550" ht="15.75" customHeight="1">
      <c r="A1550" s="66">
        <f>'Main dataset (DEPRECATED)'!Q1551</f>
        <v>1372230</v>
      </c>
      <c r="B1550" s="66" t="str">
        <f>IFERROR(__xludf.DUMMYFUNCTION("SPLIT('Main dataset (DEPRECATED2)'!N1551,"";"")"),"#VALUE!")</f>
        <v>#VALUE!</v>
      </c>
      <c r="C1550" s="66" t="s">
        <v>11095</v>
      </c>
    </row>
    <row r="1551" ht="15.75" customHeight="1">
      <c r="A1551" s="66">
        <f>'Main dataset (DEPRECATED)'!Q1552</f>
        <v>1372267</v>
      </c>
      <c r="B1551" s="66" t="str">
        <f>IFERROR(__xludf.DUMMYFUNCTION("SPLIT('Main dataset (DEPRECATED2)'!N1552,"";"")"),"#VALUE!")</f>
        <v>#VALUE!</v>
      </c>
      <c r="C1551" s="66" t="s">
        <v>9691</v>
      </c>
    </row>
    <row r="1552" ht="15.75" customHeight="1">
      <c r="A1552" s="66">
        <f>'Main dataset (DEPRECATED)'!Q1553</f>
        <v>1372273</v>
      </c>
      <c r="B1552" s="66" t="str">
        <f>IFERROR(__xludf.DUMMYFUNCTION("SPLIT('Main dataset (DEPRECATED2)'!N1553,"";"")"),"#VALUE!")</f>
        <v>#VALUE!</v>
      </c>
      <c r="C1552" s="66" t="s">
        <v>8366</v>
      </c>
      <c r="D1552" s="66" t="s">
        <v>9120</v>
      </c>
      <c r="E1552" s="66" t="s">
        <v>9253</v>
      </c>
      <c r="F1552" s="66" t="s">
        <v>7672</v>
      </c>
    </row>
    <row r="1553" ht="15.75" customHeight="1">
      <c r="A1553" s="66">
        <f>'Main dataset (DEPRECATED)'!Q1554</f>
        <v>1372217</v>
      </c>
      <c r="B1553" s="66" t="str">
        <f>IFERROR(__xludf.DUMMYFUNCTION("SPLIT('Main dataset (DEPRECATED2)'!N1554,"";"")"),"#VALUE!")</f>
        <v>#VALUE!</v>
      </c>
      <c r="C1553" s="66" t="s">
        <v>7861</v>
      </c>
      <c r="D1553" s="66" t="s">
        <v>9500</v>
      </c>
    </row>
    <row r="1554" ht="15.75" customHeight="1">
      <c r="A1554" s="66">
        <f>'Main dataset (DEPRECATED)'!Q1555</f>
        <v>1372238</v>
      </c>
      <c r="B1554" s="66" t="str">
        <f>IFERROR(__xludf.DUMMYFUNCTION("SPLIT('Main dataset (DEPRECATED2)'!N1555,"";"")"),"#VALUE!")</f>
        <v>#VALUE!</v>
      </c>
      <c r="C1554" s="66" t="s">
        <v>11250</v>
      </c>
      <c r="D1554" s="66" t="s">
        <v>7887</v>
      </c>
    </row>
    <row r="1555" ht="15.75" customHeight="1">
      <c r="A1555" s="66">
        <f>'Main dataset (DEPRECATED)'!Q1556</f>
        <v>1372255</v>
      </c>
      <c r="B1555" s="66" t="str">
        <f>IFERROR(__xludf.DUMMYFUNCTION("SPLIT('Main dataset (DEPRECATED2)'!N1556,"";"")"),"#VALUE!")</f>
        <v>#VALUE!</v>
      </c>
      <c r="C1555" s="66" t="s">
        <v>10937</v>
      </c>
      <c r="D1555" s="66" t="s">
        <v>7641</v>
      </c>
      <c r="E1555" s="66" t="s">
        <v>9640</v>
      </c>
    </row>
    <row r="1556" ht="15.75" customHeight="1">
      <c r="A1556" s="66">
        <f>'Main dataset (DEPRECATED)'!Q1557</f>
        <v>1372218</v>
      </c>
      <c r="B1556" s="66" t="str">
        <f>IFERROR(__xludf.DUMMYFUNCTION("SPLIT('Main dataset (DEPRECATED2)'!N1557,"";"")"),"#VALUE!")</f>
        <v>#VALUE!</v>
      </c>
      <c r="C1556" s="66" t="s">
        <v>6496</v>
      </c>
      <c r="D1556" s="66" t="s">
        <v>7432</v>
      </c>
    </row>
    <row r="1557" ht="15.75" customHeight="1">
      <c r="A1557" s="66">
        <f>'Main dataset (DEPRECATED)'!Q1558</f>
        <v>1372179</v>
      </c>
      <c r="B1557" s="66" t="str">
        <f>IFERROR(__xludf.DUMMYFUNCTION("SPLIT('Main dataset (DEPRECATED2)'!N1558,"";"")"),"#VALUE!")</f>
        <v>#VALUE!</v>
      </c>
      <c r="C1557" s="66" t="s">
        <v>11396</v>
      </c>
      <c r="D1557" s="66" t="s">
        <v>10419</v>
      </c>
      <c r="E1557" s="66" t="s">
        <v>8093</v>
      </c>
    </row>
    <row r="1558" ht="15.75" customHeight="1">
      <c r="A1558" s="66">
        <f>'Main dataset (DEPRECATED)'!Q1559</f>
        <v>1372284</v>
      </c>
      <c r="B1558" s="66" t="str">
        <f>IFERROR(__xludf.DUMMYFUNCTION("SPLIT('Main dataset (DEPRECATED2)'!N1559,"";"")"),"#VALUE!")</f>
        <v>#VALUE!</v>
      </c>
      <c r="C1558" s="66" t="s">
        <v>7193</v>
      </c>
      <c r="D1558" s="66" t="s">
        <v>6237</v>
      </c>
      <c r="E1558" s="66" t="s">
        <v>8908</v>
      </c>
    </row>
    <row r="1559" ht="15.75" customHeight="1">
      <c r="A1559" s="66">
        <f>'Main dataset (DEPRECATED)'!Q1560</f>
        <v>1372208</v>
      </c>
      <c r="B1559" s="66" t="str">
        <f>IFERROR(__xludf.DUMMYFUNCTION("SPLIT('Main dataset (DEPRECATED2)'!N1560,"";"")"),"#VALUE!")</f>
        <v>#VALUE!</v>
      </c>
      <c r="C1559" s="66" t="s">
        <v>8059</v>
      </c>
      <c r="D1559" s="66" t="s">
        <v>11213</v>
      </c>
    </row>
    <row r="1560" ht="15.75" customHeight="1">
      <c r="A1560" s="66">
        <f>'Main dataset (DEPRECATED)'!Q1561</f>
        <v>1372175</v>
      </c>
      <c r="B1560" s="66" t="str">
        <f>IFERROR(__xludf.DUMMYFUNCTION("SPLIT('Main dataset (DEPRECATED2)'!N1561,"";"")"),"#VALUE!")</f>
        <v>#VALUE!</v>
      </c>
      <c r="C1560" s="66" t="s">
        <v>8645</v>
      </c>
    </row>
    <row r="1561" ht="15.75" customHeight="1">
      <c r="A1561" s="66">
        <f>'Main dataset (DEPRECATED)'!Q1562</f>
        <v>1372209</v>
      </c>
      <c r="B1561" s="66" t="str">
        <f>IFERROR(__xludf.DUMMYFUNCTION("SPLIT('Main dataset (DEPRECATED2)'!N1562,"";"")"),"#VALUE!")</f>
        <v>#VALUE!</v>
      </c>
      <c r="C1561" s="66" t="s">
        <v>4987</v>
      </c>
    </row>
    <row r="1562" ht="15.75" customHeight="1">
      <c r="A1562" s="66">
        <f>'Main dataset (DEPRECATED)'!Q1563</f>
        <v>1372174</v>
      </c>
      <c r="B1562" s="66" t="str">
        <f>IFERROR(__xludf.DUMMYFUNCTION("SPLIT('Main dataset (DEPRECATED2)'!N1563,"";"")"),"#VALUE!")</f>
        <v>#VALUE!</v>
      </c>
      <c r="C1562" s="66" t="s">
        <v>7351</v>
      </c>
      <c r="D1562" s="66" t="s">
        <v>9472</v>
      </c>
    </row>
    <row r="1563" ht="15.75" customHeight="1">
      <c r="A1563" s="66">
        <f>'Main dataset (DEPRECATED)'!Q1564</f>
        <v>1372254</v>
      </c>
      <c r="B1563" s="66" t="str">
        <f>IFERROR(__xludf.DUMMYFUNCTION("SPLIT('Main dataset (DEPRECATED2)'!N1564,"";"")"),"#VALUE!")</f>
        <v>#VALUE!</v>
      </c>
    </row>
    <row r="1564" ht="15.75" customHeight="1">
      <c r="A1564" s="66">
        <f>'Main dataset (DEPRECATED)'!Q1565</f>
        <v>1372261</v>
      </c>
      <c r="B1564" s="66" t="str">
        <f>IFERROR(__xludf.DUMMYFUNCTION("SPLIT('Main dataset (DEPRECATED2)'!N1565,"";"")"),"#VALUE!")</f>
        <v>#VALUE!</v>
      </c>
      <c r="C1564" s="66" t="s">
        <v>9758</v>
      </c>
      <c r="D1564" s="66" t="s">
        <v>10522</v>
      </c>
    </row>
    <row r="1565" ht="15.75" customHeight="1">
      <c r="A1565" s="66">
        <f>'Main dataset (DEPRECATED)'!Q1566</f>
        <v>1372207</v>
      </c>
      <c r="B1565" s="66" t="str">
        <f>IFERROR(__xludf.DUMMYFUNCTION("SPLIT('Main dataset (DEPRECATED2)'!N1566,"";"")"),"#VALUE!")</f>
        <v>#VALUE!</v>
      </c>
      <c r="C1565" s="66" t="s">
        <v>8067</v>
      </c>
      <c r="D1565" s="66" t="s">
        <v>9591</v>
      </c>
      <c r="E1565" s="66" t="s">
        <v>9807</v>
      </c>
    </row>
    <row r="1566" ht="15.75" customHeight="1">
      <c r="A1566" s="66">
        <f>'Main dataset (DEPRECATED)'!Q1567</f>
        <v>1372225</v>
      </c>
      <c r="B1566" s="66" t="str">
        <f>IFERROR(__xludf.DUMMYFUNCTION("SPLIT('Main dataset (DEPRECATED2)'!N1567,"";"")"),"#VALUE!")</f>
        <v>#VALUE!</v>
      </c>
      <c r="C1566" s="66" t="s">
        <v>11643</v>
      </c>
      <c r="D1566" s="66" t="s">
        <v>6882</v>
      </c>
    </row>
    <row r="1567" ht="15.75" customHeight="1">
      <c r="A1567" s="66">
        <f>'Main dataset (DEPRECATED)'!Q1568</f>
        <v>1372173</v>
      </c>
      <c r="B1567" s="66" t="str">
        <f>IFERROR(__xludf.DUMMYFUNCTION("SPLIT('Main dataset (DEPRECATED2)'!N1568,"";"")"),"#VALUE!")</f>
        <v>#VALUE!</v>
      </c>
      <c r="C1567" s="66" t="s">
        <v>9529</v>
      </c>
      <c r="D1567" s="66" t="s">
        <v>7430</v>
      </c>
    </row>
    <row r="1568" ht="15.75" customHeight="1">
      <c r="A1568" s="66">
        <f>'Main dataset (DEPRECATED)'!Q1569</f>
        <v>1372263</v>
      </c>
      <c r="B1568" s="66" t="str">
        <f>IFERROR(__xludf.DUMMYFUNCTION("SPLIT('Main dataset (DEPRECATED2)'!N1569,"";"")"),"#VALUE!")</f>
        <v>#VALUE!</v>
      </c>
      <c r="C1568" s="66" t="s">
        <v>8701</v>
      </c>
    </row>
    <row r="1569" ht="15.75" customHeight="1">
      <c r="A1569" s="66">
        <f>'Main dataset (DEPRECATED)'!Q1570</f>
        <v>1372222</v>
      </c>
      <c r="B1569" s="66" t="str">
        <f>IFERROR(__xludf.DUMMYFUNCTION("SPLIT('Main dataset (DEPRECATED2)'!N1570,"";"")"),"#VALUE!")</f>
        <v>#VALUE!</v>
      </c>
      <c r="C1569" s="66" t="s">
        <v>10832</v>
      </c>
      <c r="D1569" s="66" t="s">
        <v>8788</v>
      </c>
      <c r="E1569" s="66" t="s">
        <v>10745</v>
      </c>
      <c r="F1569" s="66" t="s">
        <v>7887</v>
      </c>
      <c r="G1569" s="66" t="s">
        <v>7553</v>
      </c>
    </row>
    <row r="1570" ht="15.75" customHeight="1">
      <c r="A1570" s="66">
        <f>'Main dataset (DEPRECATED)'!Q1571</f>
        <v>1372211</v>
      </c>
      <c r="B1570" s="66" t="str">
        <f>IFERROR(__xludf.DUMMYFUNCTION("SPLIT('Main dataset (DEPRECATED2)'!N1571,"";"")"),"#VALUE!")</f>
        <v>#VALUE!</v>
      </c>
    </row>
    <row r="1571" ht="15.75" customHeight="1">
      <c r="A1571" s="66">
        <f>'Main dataset (DEPRECATED)'!Q1572</f>
        <v>1372266</v>
      </c>
      <c r="B1571" s="66" t="str">
        <f>IFERROR(__xludf.DUMMYFUNCTION("SPLIT('Main dataset (DEPRECATED2)'!N1572,"";"")"),"#VALUE!")</f>
        <v>#VALUE!</v>
      </c>
      <c r="C1571" s="66" t="s">
        <v>6980</v>
      </c>
      <c r="D1571" s="66" t="s">
        <v>10858</v>
      </c>
    </row>
    <row r="1572" ht="15.75" customHeight="1">
      <c r="A1572" s="66">
        <f>'Main dataset (DEPRECATED)'!Q1573</f>
        <v>1372206</v>
      </c>
      <c r="B1572" s="66" t="str">
        <f>IFERROR(__xludf.DUMMYFUNCTION("SPLIT('Main dataset (DEPRECATED2)'!N1573,"";"")"),"#VALUE!")</f>
        <v>#VALUE!</v>
      </c>
      <c r="C1572" s="66" t="s">
        <v>11636</v>
      </c>
      <c r="D1572" s="66" t="s">
        <v>10583</v>
      </c>
      <c r="E1572" s="66" t="s">
        <v>7916</v>
      </c>
    </row>
    <row r="1573" ht="15.75" customHeight="1">
      <c r="A1573" s="66">
        <f>'Main dataset (DEPRECATED)'!Q1574</f>
        <v>1372243</v>
      </c>
      <c r="B1573" s="66" t="str">
        <f>IFERROR(__xludf.DUMMYFUNCTION("SPLIT('Main dataset (DEPRECATED2)'!N1574,"";"")"),"#VALUE!")</f>
        <v>#VALUE!</v>
      </c>
      <c r="C1573" s="66" t="s">
        <v>8173</v>
      </c>
      <c r="D1573" s="66" t="s">
        <v>8530</v>
      </c>
      <c r="E1573" s="66" t="s">
        <v>6850</v>
      </c>
      <c r="F1573" s="66" t="s">
        <v>7379</v>
      </c>
    </row>
    <row r="1574" ht="15.75" customHeight="1">
      <c r="A1574" s="66">
        <f>'Main dataset (DEPRECATED)'!Q1575</f>
        <v>1372244</v>
      </c>
      <c r="B1574" s="66" t="str">
        <f>IFERROR(__xludf.DUMMYFUNCTION("SPLIT('Main dataset (DEPRECATED2)'!N1575,"";"")"),"#VALUE!")</f>
        <v>#VALUE!</v>
      </c>
      <c r="C1574" s="66" t="s">
        <v>7361</v>
      </c>
      <c r="D1574" s="66" t="s">
        <v>7662</v>
      </c>
      <c r="E1574" s="66" t="s">
        <v>7710</v>
      </c>
      <c r="F1574" s="66" t="s">
        <v>8908</v>
      </c>
    </row>
    <row r="1575" ht="15.75" customHeight="1">
      <c r="A1575" s="66">
        <f>'Main dataset (DEPRECATED)'!Q1576</f>
        <v>1372245</v>
      </c>
      <c r="B1575" s="66" t="str">
        <f>IFERROR(__xludf.DUMMYFUNCTION("SPLIT('Main dataset (DEPRECATED2)'!N1576,"";"")"),"#VALUE!")</f>
        <v>#VALUE!</v>
      </c>
      <c r="C1575" s="66" t="s">
        <v>7361</v>
      </c>
      <c r="D1575" s="66" t="s">
        <v>8047</v>
      </c>
      <c r="E1575" s="66" t="s">
        <v>8738</v>
      </c>
      <c r="F1575" s="66" t="s">
        <v>9236</v>
      </c>
      <c r="G1575" s="66" t="s">
        <v>9891</v>
      </c>
    </row>
    <row r="1576" ht="15.75" customHeight="1">
      <c r="A1576" s="66">
        <f>'Main dataset (DEPRECATED)'!Q1577</f>
        <v>1372246</v>
      </c>
      <c r="B1576" s="66" t="str">
        <f>IFERROR(__xludf.DUMMYFUNCTION("SPLIT('Main dataset (DEPRECATED2)'!N1577,"";"")"),"#VALUE!")</f>
        <v>#VALUE!</v>
      </c>
      <c r="C1576" s="66" t="s">
        <v>6317</v>
      </c>
      <c r="D1576" s="66" t="s">
        <v>7713</v>
      </c>
      <c r="E1576" s="66" t="s">
        <v>8908</v>
      </c>
      <c r="F1576" s="66" t="s">
        <v>9495</v>
      </c>
      <c r="G1576" s="66" t="s">
        <v>11438</v>
      </c>
    </row>
    <row r="1577" ht="15.75" customHeight="1">
      <c r="A1577" s="66">
        <f>'Main dataset (DEPRECATED)'!Q1578</f>
        <v>1372188</v>
      </c>
      <c r="B1577" s="66" t="str">
        <f>IFERROR(__xludf.DUMMYFUNCTION("SPLIT('Main dataset (DEPRECATED2)'!N1578,"";"")"),"#VALUE!")</f>
        <v>#VALUE!</v>
      </c>
      <c r="C1577" s="66" t="s">
        <v>7509</v>
      </c>
      <c r="D1577" s="66" t="s">
        <v>7996</v>
      </c>
      <c r="E1577" s="66" t="s">
        <v>8023</v>
      </c>
      <c r="F1577" s="66" t="s">
        <v>8560</v>
      </c>
      <c r="G1577" s="66" t="s">
        <v>8455</v>
      </c>
    </row>
    <row r="1578" ht="15.75" customHeight="1">
      <c r="A1578" s="66">
        <f>'Main dataset (DEPRECATED)'!Q1579</f>
        <v>1372226</v>
      </c>
      <c r="B1578" s="66" t="str">
        <f>IFERROR(__xludf.DUMMYFUNCTION("SPLIT('Main dataset (DEPRECATED2)'!N1579,"";"")"),"#VALUE!")</f>
        <v>#VALUE!</v>
      </c>
      <c r="C1578" s="66" t="s">
        <v>7693</v>
      </c>
      <c r="D1578" s="66" t="s">
        <v>7978</v>
      </c>
    </row>
    <row r="1579" ht="15.75" customHeight="1">
      <c r="A1579" s="66">
        <f>'Main dataset (DEPRECATED)'!Q1580</f>
        <v>1372232</v>
      </c>
      <c r="B1579" s="66" t="str">
        <f>IFERROR(__xludf.DUMMYFUNCTION("SPLIT('Main dataset (DEPRECATED2)'!N1580,"";"")"),"#VALUE!")</f>
        <v>#VALUE!</v>
      </c>
      <c r="C1579" s="66" t="s">
        <v>10645</v>
      </c>
      <c r="D1579" s="66" t="s">
        <v>9830</v>
      </c>
      <c r="E1579" s="66" t="s">
        <v>11352</v>
      </c>
    </row>
    <row r="1580" ht="15.75" customHeight="1">
      <c r="A1580" s="66">
        <f>'Main dataset (DEPRECATED)'!Q1581</f>
        <v>1372176</v>
      </c>
      <c r="B1580" s="66" t="str">
        <f>IFERROR(__xludf.DUMMYFUNCTION("SPLIT('Main dataset (DEPRECATED2)'!N1581,"";"")"),"#VALUE!")</f>
        <v>#VALUE!</v>
      </c>
      <c r="C1580" s="66" t="s">
        <v>11369</v>
      </c>
      <c r="D1580" s="66" t="s">
        <v>7361</v>
      </c>
    </row>
    <row r="1581" ht="15.75" customHeight="1">
      <c r="A1581" s="66">
        <f>'Main dataset (DEPRECATED)'!Q1582</f>
        <v>1372189</v>
      </c>
      <c r="B1581" s="66" t="str">
        <f>IFERROR(__xludf.DUMMYFUNCTION("SPLIT('Main dataset (DEPRECATED2)'!N1582,"";"")"),"#VALUE!")</f>
        <v>#VALUE!</v>
      </c>
      <c r="C1581" s="66" t="s">
        <v>10337</v>
      </c>
      <c r="D1581" s="66" t="s">
        <v>7706</v>
      </c>
      <c r="E1581" s="66" t="s">
        <v>9222</v>
      </c>
    </row>
    <row r="1582" ht="15.75" customHeight="1">
      <c r="A1582" s="66">
        <f>'Main dataset (DEPRECATED)'!Q1583</f>
        <v>1372198</v>
      </c>
      <c r="B1582" s="66" t="str">
        <f>IFERROR(__xludf.DUMMYFUNCTION("SPLIT('Main dataset (DEPRECATED2)'!N1583,"";"")"),"#VALUE!")</f>
        <v>#VALUE!</v>
      </c>
    </row>
    <row r="1583" ht="15.75" customHeight="1">
      <c r="A1583" s="66">
        <f>'Main dataset (DEPRECATED)'!Q1584</f>
        <v>1372241</v>
      </c>
      <c r="B1583" s="66" t="str">
        <f>IFERROR(__xludf.DUMMYFUNCTION("SPLIT('Main dataset (DEPRECATED2)'!N1584,"";"")"),"#VALUE!")</f>
        <v>#VALUE!</v>
      </c>
      <c r="C1583" s="66" t="s">
        <v>7686</v>
      </c>
    </row>
    <row r="1584" ht="15.75" customHeight="1">
      <c r="A1584" s="66">
        <f>'Main dataset (DEPRECATED)'!Q1585</f>
        <v>1372283</v>
      </c>
      <c r="B1584" s="66" t="str">
        <f>IFERROR(__xludf.DUMMYFUNCTION("SPLIT('Main dataset (DEPRECATED2)'!N1585,"";"")"),"#VALUE!")</f>
        <v>#VALUE!</v>
      </c>
      <c r="C1584" s="66" t="s">
        <v>10144</v>
      </c>
    </row>
    <row r="1585" ht="15.75" customHeight="1">
      <c r="A1585" s="66">
        <f>'Main dataset (DEPRECATED)'!Q1586</f>
        <v>1372185</v>
      </c>
      <c r="B1585" s="66" t="str">
        <f>IFERROR(__xludf.DUMMYFUNCTION("SPLIT('Main dataset (DEPRECATED2)'!N1586,"";"")"),"#VALUE!")</f>
        <v>#VALUE!</v>
      </c>
      <c r="C1585" s="66" t="s">
        <v>11772</v>
      </c>
      <c r="D1585" s="66" t="s">
        <v>7060</v>
      </c>
    </row>
    <row r="1586" ht="15.75" customHeight="1">
      <c r="A1586" s="66">
        <f>'Main dataset (DEPRECATED)'!Q1587</f>
        <v>1372224</v>
      </c>
      <c r="B1586" s="66" t="str">
        <f>IFERROR(__xludf.DUMMYFUNCTION("SPLIT('Main dataset (DEPRECATED2)'!N1587,"";"")"),"#VALUE!")</f>
        <v>#VALUE!</v>
      </c>
      <c r="C1586" s="66" t="s">
        <v>8009</v>
      </c>
    </row>
    <row r="1587" ht="15.75" customHeight="1">
      <c r="A1587" s="66">
        <f>'Main dataset (DEPRECATED)'!Q1588</f>
        <v>1372204</v>
      </c>
      <c r="B1587" s="66" t="str">
        <f>IFERROR(__xludf.DUMMYFUNCTION("SPLIT('Main dataset (DEPRECATED2)'!N1588,"";"")"),"#VALUE!")</f>
        <v>#VALUE!</v>
      </c>
      <c r="C1587" s="66" t="s">
        <v>9170</v>
      </c>
      <c r="D1587" s="66" t="s">
        <v>11029</v>
      </c>
    </row>
    <row r="1588" ht="15.75" customHeight="1">
      <c r="A1588" s="66">
        <f>'Main dataset (DEPRECATED)'!Q1589</f>
        <v>1372194</v>
      </c>
      <c r="B1588" s="66" t="str">
        <f>IFERROR(__xludf.DUMMYFUNCTION("SPLIT('Main dataset (DEPRECATED2)'!N1589,"";"")"),"#VALUE!")</f>
        <v>#VALUE!</v>
      </c>
      <c r="C1588" s="66" t="s">
        <v>8361</v>
      </c>
      <c r="D1588" s="66" t="s">
        <v>6178</v>
      </c>
      <c r="E1588" s="66" t="s">
        <v>8047</v>
      </c>
      <c r="F1588" s="66" t="s">
        <v>10249</v>
      </c>
    </row>
    <row r="1589" ht="15.75" customHeight="1">
      <c r="A1589" s="66">
        <f>'Main dataset (DEPRECATED)'!Q1590</f>
        <v>1372172</v>
      </c>
      <c r="B1589" s="66" t="str">
        <f>IFERROR(__xludf.DUMMYFUNCTION("SPLIT('Main dataset (DEPRECATED2)'!N1590,"";"")"),"#VALUE!")</f>
        <v>#VALUE!</v>
      </c>
    </row>
    <row r="1590" ht="15.75" customHeight="1">
      <c r="A1590" s="66">
        <f>'Main dataset (DEPRECATED)'!Q1591</f>
        <v>1372235</v>
      </c>
      <c r="B1590" s="66" t="str">
        <f>IFERROR(__xludf.DUMMYFUNCTION("SPLIT('Main dataset (DEPRECATED2)'!N1591,"";"")"),"#VALUE!")</f>
        <v>#VALUE!</v>
      </c>
      <c r="C1590" s="66" t="s">
        <v>10693</v>
      </c>
      <c r="D1590" s="66" t="s">
        <v>11176</v>
      </c>
    </row>
    <row r="1591" ht="15.75" customHeight="1">
      <c r="A1591" s="66">
        <f>'Main dataset (DEPRECATED)'!Q1592</f>
        <v>1372237</v>
      </c>
      <c r="B1591" s="66" t="str">
        <f>IFERROR(__xludf.DUMMYFUNCTION("SPLIT('Main dataset (DEPRECATED2)'!N1592,"";"")"),"#VALUE!")</f>
        <v>#VALUE!</v>
      </c>
      <c r="C1591" s="66" t="s">
        <v>9521</v>
      </c>
      <c r="D1591" s="66" t="s">
        <v>11517</v>
      </c>
      <c r="E1591" s="66" t="s">
        <v>11363</v>
      </c>
      <c r="F1591" s="66" t="s">
        <v>7585</v>
      </c>
      <c r="G1591" s="66" t="s">
        <v>6706</v>
      </c>
    </row>
    <row r="1592" ht="15.75" customHeight="1">
      <c r="A1592" s="66">
        <f>'Main dataset (DEPRECATED)'!Q1593</f>
        <v>1372213</v>
      </c>
      <c r="B1592" s="66" t="str">
        <f>IFERROR(__xludf.DUMMYFUNCTION("SPLIT('Main dataset (DEPRECATED2)'!N1593,"";"")"),"#VALUE!")</f>
        <v>#VALUE!</v>
      </c>
      <c r="C1592" s="66" t="s">
        <v>11393</v>
      </c>
      <c r="D1592" s="66" t="s">
        <v>8114</v>
      </c>
      <c r="E1592" s="66" t="s">
        <v>10481</v>
      </c>
    </row>
    <row r="1593" ht="15.75" customHeight="1">
      <c r="A1593" s="66">
        <f>'Main dataset (DEPRECATED)'!Q1594</f>
        <v>1372205</v>
      </c>
      <c r="B1593" s="66" t="str">
        <f>IFERROR(__xludf.DUMMYFUNCTION("SPLIT('Main dataset (DEPRECATED2)'!N1594,"";"")"),"#VALUE!")</f>
        <v>#VALUE!</v>
      </c>
      <c r="C1593" s="66" t="s">
        <v>9305</v>
      </c>
      <c r="D1593" s="66" t="s">
        <v>8240</v>
      </c>
    </row>
    <row r="1594" ht="15.75" customHeight="1">
      <c r="A1594" s="66">
        <f>'Main dataset (DEPRECATED)'!Q1595</f>
        <v>1372227</v>
      </c>
      <c r="B1594" s="66" t="str">
        <f>IFERROR(__xludf.DUMMYFUNCTION("SPLIT('Main dataset (DEPRECATED2)'!N1595,"";"")"),"#VALUE!")</f>
        <v>#VALUE!</v>
      </c>
      <c r="C1594" s="66" t="s">
        <v>9117</v>
      </c>
    </row>
    <row r="1595" ht="15.75" customHeight="1">
      <c r="A1595" s="66">
        <f>'Main dataset (DEPRECATED)'!Q1596</f>
        <v>1372203</v>
      </c>
      <c r="B1595" s="66" t="str">
        <f>IFERROR(__xludf.DUMMYFUNCTION("SPLIT('Main dataset (DEPRECATED2)'!N1596,"";"")"),"#VALUE!")</f>
        <v>#VALUE!</v>
      </c>
      <c r="C1595" s="66" t="s">
        <v>7265</v>
      </c>
      <c r="D1595" s="66" t="s">
        <v>10612</v>
      </c>
      <c r="E1595" s="66" t="s">
        <v>11012</v>
      </c>
    </row>
    <row r="1596" ht="15.75" customHeight="1">
      <c r="A1596" s="66">
        <f>'Main dataset (DEPRECATED)'!Q1597</f>
        <v>1372171</v>
      </c>
      <c r="B1596" s="66" t="str">
        <f>IFERROR(__xludf.DUMMYFUNCTION("SPLIT('Main dataset (DEPRECATED2)'!N1597,"";"")"),"#VALUE!")</f>
        <v>#VALUE!</v>
      </c>
    </row>
    <row r="1597" ht="15.75" customHeight="1">
      <c r="A1597" s="66">
        <f>'Main dataset (DEPRECATED)'!Q1598</f>
        <v>1372221</v>
      </c>
      <c r="B1597" s="66" t="str">
        <f>IFERROR(__xludf.DUMMYFUNCTION("SPLIT('Main dataset (DEPRECATED2)'!N1598,"";"")"),"#VALUE!")</f>
        <v>#VALUE!</v>
      </c>
      <c r="C1597" s="66" t="s">
        <v>6814</v>
      </c>
      <c r="D1597" s="66" t="s">
        <v>8900</v>
      </c>
      <c r="E1597" s="66" t="s">
        <v>8788</v>
      </c>
      <c r="F1597" s="66" t="s">
        <v>10745</v>
      </c>
      <c r="G1597" s="66" t="s">
        <v>7887</v>
      </c>
      <c r="H1597" s="66" t="s">
        <v>7553</v>
      </c>
    </row>
    <row r="1598" ht="15.75" customHeight="1">
      <c r="A1598" s="66">
        <f>'Main dataset (DEPRECATED)'!Q1599</f>
        <v>1372212</v>
      </c>
      <c r="B1598" s="66" t="str">
        <f>IFERROR(__xludf.DUMMYFUNCTION("SPLIT('Main dataset (DEPRECATED2)'!N1599,"";"")"),"#VALUE!")</f>
        <v>#VALUE!</v>
      </c>
      <c r="C1598" s="66" t="s">
        <v>9772</v>
      </c>
    </row>
    <row r="1599" ht="15.75" customHeight="1">
      <c r="A1599" s="66">
        <f>'Main dataset (DEPRECATED)'!Q1600</f>
        <v>1372215</v>
      </c>
      <c r="B1599" s="66" t="str">
        <f>IFERROR(__xludf.DUMMYFUNCTION("SPLIT('Main dataset (DEPRECATED2)'!N1600,"";"")"),"#VALUE!")</f>
        <v>#VALUE!</v>
      </c>
      <c r="C1599" s="66" t="s">
        <v>6389</v>
      </c>
      <c r="D1599" s="66" t="s">
        <v>11582</v>
      </c>
      <c r="E1599" s="66" t="s">
        <v>8167</v>
      </c>
    </row>
    <row r="1600" ht="15.75" customHeight="1">
      <c r="A1600" s="66">
        <f>'Main dataset (DEPRECATED)'!Q1601</f>
        <v>1372214</v>
      </c>
      <c r="B1600" s="66" t="str">
        <f>IFERROR(__xludf.DUMMYFUNCTION("SPLIT('Main dataset (DEPRECATED2)'!N1601,"";"")"),"#VALUE!")</f>
        <v>#VALUE!</v>
      </c>
      <c r="C1600" s="66" t="s">
        <v>11095</v>
      </c>
      <c r="D1600" s="66" t="s">
        <v>10399</v>
      </c>
    </row>
    <row r="1601" ht="15.75" customHeight="1">
      <c r="A1601" s="66">
        <f>'Main dataset (DEPRECATED)'!Q1602</f>
        <v>1372274</v>
      </c>
      <c r="B1601" s="66" t="str">
        <f>IFERROR(__xludf.DUMMYFUNCTION("SPLIT('Main dataset (DEPRECATED2)'!N1602,"";"")"),"#VALUE!")</f>
        <v>#VALUE!</v>
      </c>
      <c r="C1601" s="66" t="s">
        <v>7432</v>
      </c>
    </row>
    <row r="1602" ht="15.75" customHeight="1">
      <c r="A1602" s="66">
        <f>'Main dataset (DEPRECATED)'!Q1603</f>
        <v>1372250</v>
      </c>
      <c r="B1602" s="66" t="str">
        <f>IFERROR(__xludf.DUMMYFUNCTION("SPLIT('Main dataset (DEPRECATED2)'!N1603,"";"")"),"#VALUE!")</f>
        <v>#VALUE!</v>
      </c>
      <c r="C1602" s="66" t="s">
        <v>8664</v>
      </c>
      <c r="D1602" s="66" t="s">
        <v>7167</v>
      </c>
    </row>
    <row r="1603" ht="15.75" customHeight="1">
      <c r="A1603" s="66">
        <f>'Main dataset (DEPRECATED)'!Q1604</f>
        <v>1372191</v>
      </c>
      <c r="B1603" s="66" t="str">
        <f>IFERROR(__xludf.DUMMYFUNCTION("SPLIT('Main dataset (DEPRECATED2)'!N1604,"";"")"),"#VALUE!")</f>
        <v>#VALUE!</v>
      </c>
      <c r="C1603" s="66" t="s">
        <v>4285</v>
      </c>
      <c r="D1603" s="66" t="s">
        <v>8290</v>
      </c>
      <c r="E1603" s="66" t="s">
        <v>8801</v>
      </c>
    </row>
    <row r="1604" ht="15.75" customHeight="1">
      <c r="A1604" s="66">
        <f>'Main dataset (DEPRECATED)'!Q1605</f>
        <v>1372252</v>
      </c>
      <c r="B1604" s="66" t="str">
        <f>IFERROR(__xludf.DUMMYFUNCTION("SPLIT('Main dataset (DEPRECATED2)'!N1605,"";"")"),"#VALUE!")</f>
        <v>#VALUE!</v>
      </c>
      <c r="C1604" s="66" t="s">
        <v>7261</v>
      </c>
      <c r="D1604" s="66" t="s">
        <v>7376</v>
      </c>
      <c r="E1604" s="66" t="s">
        <v>8759</v>
      </c>
      <c r="F1604" s="66" t="s">
        <v>8807</v>
      </c>
      <c r="G1604" s="66" t="s">
        <v>11757</v>
      </c>
      <c r="H1604" s="66" t="s">
        <v>9548</v>
      </c>
    </row>
    <row r="1605" ht="15.75" customHeight="1">
      <c r="A1605" s="66">
        <f>'Main dataset (DEPRECATED)'!Q1606</f>
        <v>1372192</v>
      </c>
      <c r="B1605" s="66" t="str">
        <f>IFERROR(__xludf.DUMMYFUNCTION("SPLIT('Main dataset (DEPRECATED2)'!N1606,"";"")"),"#VALUE!")</f>
        <v>#VALUE!</v>
      </c>
      <c r="C1605" s="66" t="s">
        <v>7325</v>
      </c>
      <c r="D1605" s="66" t="s">
        <v>7668</v>
      </c>
      <c r="E1605" s="66" t="s">
        <v>10321</v>
      </c>
      <c r="F1605" s="66" t="s">
        <v>11314</v>
      </c>
      <c r="G1605" s="66" t="s">
        <v>11531</v>
      </c>
    </row>
    <row r="1606" ht="15.75" customHeight="1">
      <c r="A1606" s="66">
        <f>'Main dataset (DEPRECATED)'!Q1607</f>
        <v>1372196</v>
      </c>
      <c r="B1606" s="66" t="str">
        <f>IFERROR(__xludf.DUMMYFUNCTION("SPLIT('Main dataset (DEPRECATED2)'!N1607,"";"")"),"#VALUE!")</f>
        <v>#VALUE!</v>
      </c>
      <c r="C1606" s="66" t="s">
        <v>7698</v>
      </c>
      <c r="D1606" s="66" t="s">
        <v>8729</v>
      </c>
      <c r="E1606" s="66" t="s">
        <v>7183</v>
      </c>
      <c r="F1606" s="66" t="s">
        <v>10399</v>
      </c>
      <c r="G1606" s="66" t="s">
        <v>10281</v>
      </c>
      <c r="H1606" s="66" t="s">
        <v>8047</v>
      </c>
    </row>
    <row r="1607" ht="15.75" customHeight="1">
      <c r="A1607" s="66">
        <f>'Main dataset (DEPRECATED)'!Q1608</f>
        <v>1372272</v>
      </c>
      <c r="B1607" s="66" t="str">
        <f>IFERROR(__xludf.DUMMYFUNCTION("SPLIT('Main dataset (DEPRECATED2)'!N1608,"";"")"),"#VALUE!")</f>
        <v>#VALUE!</v>
      </c>
      <c r="C1607" s="66" t="s">
        <v>7697</v>
      </c>
      <c r="D1607" s="66" t="s">
        <v>8366</v>
      </c>
    </row>
    <row r="1608" ht="15.75" customHeight="1">
      <c r="A1608" s="66">
        <f>'Main dataset (DEPRECATED)'!Q1609</f>
        <v>1372219</v>
      </c>
      <c r="B1608" s="66" t="str">
        <f>IFERROR(__xludf.DUMMYFUNCTION("SPLIT('Main dataset (DEPRECATED2)'!N1609,"";"")"),"#VALUE!")</f>
        <v>#VALUE!</v>
      </c>
      <c r="C1608" s="66" t="s">
        <v>10199</v>
      </c>
      <c r="D1608" s="66" t="s">
        <v>6628</v>
      </c>
      <c r="E1608" s="66" t="s">
        <v>6973</v>
      </c>
    </row>
    <row r="1609" ht="15.75" customHeight="1">
      <c r="A1609" s="66">
        <f>'Main dataset (DEPRECATED)'!Q1610</f>
        <v>1372278</v>
      </c>
      <c r="B1609" s="66" t="str">
        <f>IFERROR(__xludf.DUMMYFUNCTION("SPLIT('Main dataset (DEPRECATED2)'!N1610,"";"")"),"#VALUE!")</f>
        <v>#VALUE!</v>
      </c>
      <c r="C1609" s="66" t="s">
        <v>8908</v>
      </c>
      <c r="D1609" s="66" t="s">
        <v>10634</v>
      </c>
      <c r="E1609" s="66" t="s">
        <v>6683</v>
      </c>
      <c r="F1609" s="66" t="s">
        <v>9396</v>
      </c>
    </row>
    <row r="1610" ht="15.75" customHeight="1">
      <c r="A1610" s="66">
        <f>'Main dataset (DEPRECATED)'!Q1611</f>
        <v>1372270</v>
      </c>
      <c r="B1610" s="66" t="str">
        <f>IFERROR(__xludf.DUMMYFUNCTION("SPLIT('Main dataset (DEPRECATED2)'!N1611,"";"")"),"#VALUE!")</f>
        <v>#VALUE!</v>
      </c>
      <c r="C1610" s="66" t="s">
        <v>8908</v>
      </c>
      <c r="D1610" s="66" t="s">
        <v>9846</v>
      </c>
      <c r="E1610" s="66" t="s">
        <v>10704</v>
      </c>
      <c r="F1610" s="66" t="s">
        <v>9127</v>
      </c>
      <c r="G1610" s="66" t="s">
        <v>6765</v>
      </c>
    </row>
    <row r="1611" ht="15.75" customHeight="1">
      <c r="A1611" s="66">
        <f>'Main dataset (DEPRECATED)'!Q1612</f>
        <v>1372269</v>
      </c>
      <c r="B1611" s="66" t="str">
        <f>IFERROR(__xludf.DUMMYFUNCTION("SPLIT('Main dataset (DEPRECATED2)'!N1612,"";"")"),"#VALUE!")</f>
        <v>#VALUE!</v>
      </c>
      <c r="C1611" s="66" t="s">
        <v>9927</v>
      </c>
      <c r="D1611" s="66" t="s">
        <v>10912</v>
      </c>
      <c r="E1611" s="66" t="s">
        <v>8908</v>
      </c>
      <c r="F1611" s="66" t="s">
        <v>8635</v>
      </c>
      <c r="G1611" s="66" t="s">
        <v>6654</v>
      </c>
    </row>
    <row r="1612" ht="15.75" customHeight="1">
      <c r="A1612" s="66">
        <f>'Main dataset (DEPRECATED)'!Q1613</f>
        <v>1372262</v>
      </c>
      <c r="B1612" s="66" t="str">
        <f>IFERROR(__xludf.DUMMYFUNCTION("SPLIT('Main dataset (DEPRECATED2)'!N1613,"";"")"),"#VALUE!")</f>
        <v>#VALUE!</v>
      </c>
    </row>
    <row r="1613" ht="15.75" customHeight="1">
      <c r="A1613" s="66">
        <f>'Main dataset (DEPRECATED)'!Q1614</f>
        <v>1372193</v>
      </c>
      <c r="B1613" s="66" t="str">
        <f>IFERROR(__xludf.DUMMYFUNCTION("SPLIT('Main dataset (DEPRECATED2)'!N1614,"";"")"),"#VALUE!")</f>
        <v>#VALUE!</v>
      </c>
      <c r="C1613" s="66" t="s">
        <v>8326</v>
      </c>
      <c r="D1613" s="66" t="s">
        <v>6169</v>
      </c>
    </row>
    <row r="1614" ht="15.75" customHeight="1">
      <c r="A1614" s="66">
        <f>'Main dataset (DEPRECATED)'!Q1615</f>
        <v>1372223</v>
      </c>
      <c r="B1614" s="66" t="str">
        <f>IFERROR(__xludf.DUMMYFUNCTION("SPLIT('Main dataset (DEPRECATED2)'!N1615,"";"")"),"#VALUE!")</f>
        <v>#VALUE!</v>
      </c>
      <c r="C1614" s="66" t="s">
        <v>10190</v>
      </c>
      <c r="D1614" s="66" t="s">
        <v>10501</v>
      </c>
    </row>
    <row r="1615" ht="15.75" customHeight="1">
      <c r="A1615" s="66">
        <f>'Main dataset (DEPRECATED)'!Q1616</f>
        <v>1372180</v>
      </c>
      <c r="B1615" s="66" t="str">
        <f>IFERROR(__xludf.DUMMYFUNCTION("SPLIT('Main dataset (DEPRECATED2)'!N1616,"";"")"),"#VALUE!")</f>
        <v>#VALUE!</v>
      </c>
      <c r="C1615" s="66" t="s">
        <v>4987</v>
      </c>
      <c r="D1615" s="66" t="s">
        <v>9413</v>
      </c>
      <c r="E1615" s="66" t="s">
        <v>8755</v>
      </c>
      <c r="F1615" s="66" t="s">
        <v>7439</v>
      </c>
    </row>
    <row r="1616" ht="15.75" customHeight="1">
      <c r="A1616" s="66">
        <f>'Main dataset (DEPRECATED)'!Q1617</f>
        <v>1372264</v>
      </c>
      <c r="B1616" s="66" t="str">
        <f>IFERROR(__xludf.DUMMYFUNCTION("SPLIT('Main dataset (DEPRECATED2)'!N1617,"";"")"),"#VALUE!")</f>
        <v>#VALUE!</v>
      </c>
      <c r="C1616" s="66" t="s">
        <v>10131</v>
      </c>
      <c r="D1616" s="66" t="s">
        <v>11224</v>
      </c>
      <c r="E1616" s="66" t="s">
        <v>7662</v>
      </c>
      <c r="F1616" s="66" t="s">
        <v>11567</v>
      </c>
    </row>
    <row r="1617" ht="15.75" customHeight="1">
      <c r="A1617" s="66">
        <f>'Main dataset (DEPRECATED)'!Q1618</f>
        <v>1372265</v>
      </c>
      <c r="B1617" s="66" t="str">
        <f>IFERROR(__xludf.DUMMYFUNCTION("SPLIT('Main dataset (DEPRECATED2)'!N1618,"";"")"),"#VALUE!")</f>
        <v>#VALUE!</v>
      </c>
      <c r="C1617" s="66" t="s">
        <v>8210</v>
      </c>
      <c r="D1617" s="66" t="s">
        <v>7662</v>
      </c>
    </row>
    <row r="1618" ht="15.75" customHeight="1">
      <c r="A1618" s="66">
        <f>'Main dataset (DEPRECATED)'!Q1619</f>
        <v>1372271</v>
      </c>
      <c r="B1618" s="66" t="str">
        <f>IFERROR(__xludf.DUMMYFUNCTION("SPLIT('Main dataset (DEPRECATED2)'!N1619,"";"")"),"#VALUE!")</f>
        <v>#VALUE!</v>
      </c>
      <c r="C1618" s="66" t="s">
        <v>7662</v>
      </c>
      <c r="D1618" s="66" t="s">
        <v>6766</v>
      </c>
    </row>
    <row r="1619" ht="15.75" customHeight="1">
      <c r="A1619" s="66">
        <f>'Main dataset (DEPRECATED)'!Q1620</f>
        <v>1372268</v>
      </c>
      <c r="B1619" s="66" t="str">
        <f>IFERROR(__xludf.DUMMYFUNCTION("SPLIT('Main dataset (DEPRECATED2)'!N1620,"";"")"),"#VALUE!")</f>
        <v>#VALUE!</v>
      </c>
      <c r="C1619" s="66" t="s">
        <v>11230</v>
      </c>
      <c r="D1619" s="66" t="s">
        <v>9142</v>
      </c>
      <c r="E1619" s="66" t="s">
        <v>8855</v>
      </c>
      <c r="F1619" s="66" t="s">
        <v>11255</v>
      </c>
      <c r="G1619" s="66" t="s">
        <v>8993</v>
      </c>
      <c r="H1619" s="66" t="s">
        <v>8528</v>
      </c>
      <c r="I1619" s="66" t="s">
        <v>8681</v>
      </c>
      <c r="J1619" s="66" t="s">
        <v>9598</v>
      </c>
    </row>
    <row r="1620" ht="15.75" customHeight="1">
      <c r="A1620" s="66">
        <f>'Main dataset (DEPRECATED)'!Q1621</f>
        <v>1372229</v>
      </c>
      <c r="B1620" s="66" t="str">
        <f>IFERROR(__xludf.DUMMYFUNCTION("SPLIT('Main dataset (DEPRECATED2)'!N1621,"";"")"),"#VALUE!")</f>
        <v>#VALUE!</v>
      </c>
    </row>
    <row r="1621" ht="15.75" customHeight="1">
      <c r="A1621" s="66">
        <f>'Main dataset (DEPRECATED)'!Q1622</f>
        <v>1372195</v>
      </c>
      <c r="B1621" s="66" t="str">
        <f>IFERROR(__xludf.DUMMYFUNCTION("SPLIT('Main dataset (DEPRECATED2)'!N1622,"";"")"),"#VALUE!")</f>
        <v>#VALUE!</v>
      </c>
      <c r="C1621" s="66" t="s">
        <v>9842</v>
      </c>
      <c r="D1621" s="66" t="s">
        <v>9793</v>
      </c>
    </row>
    <row r="1622" ht="15.75" customHeight="1">
      <c r="A1622" s="66">
        <f>'Main dataset (DEPRECATED)'!Q1623</f>
        <v>1249005</v>
      </c>
      <c r="B1622" s="66" t="str">
        <f>IFERROR(__xludf.DUMMYFUNCTION("SPLIT('Main dataset (DEPRECATED2)'!N1623,"";"")"),"#VALUE!")</f>
        <v>#VALUE!</v>
      </c>
      <c r="C1622" s="66" t="s">
        <v>7541</v>
      </c>
    </row>
    <row r="1623" ht="15.75" customHeight="1">
      <c r="A1623" s="66">
        <f>'Main dataset (DEPRECATED)'!Q1624</f>
        <v>1249013</v>
      </c>
      <c r="B1623" s="66" t="str">
        <f>IFERROR(__xludf.DUMMYFUNCTION("SPLIT('Main dataset (DEPRECATED2)'!N1624,"";"")"),"#VALUE!")</f>
        <v>#VALUE!</v>
      </c>
      <c r="C1623" s="66" t="s">
        <v>6822</v>
      </c>
    </row>
    <row r="1624" ht="15.75" customHeight="1">
      <c r="A1624" s="66">
        <f>'Main dataset (DEPRECATED)'!Q1625</f>
        <v>1249021</v>
      </c>
      <c r="B1624" s="66" t="str">
        <f>IFERROR(__xludf.DUMMYFUNCTION("SPLIT('Main dataset (DEPRECATED2)'!N1625,"";"")"),"#VALUE!")</f>
        <v>#VALUE!</v>
      </c>
      <c r="C1624" s="66" t="s">
        <v>7802</v>
      </c>
      <c r="D1624" s="66" t="s">
        <v>8877</v>
      </c>
      <c r="E1624" s="66" t="s">
        <v>6804</v>
      </c>
    </row>
    <row r="1625" ht="15.75" customHeight="1">
      <c r="A1625" s="66">
        <f>'Main dataset (DEPRECATED)'!Q1626</f>
        <v>1249029</v>
      </c>
      <c r="B1625" s="66" t="str">
        <f>IFERROR(__xludf.DUMMYFUNCTION("SPLIT('Main dataset (DEPRECATED2)'!N1626,"";"")"),"#VALUE!")</f>
        <v>#VALUE!</v>
      </c>
      <c r="C1625" s="66" t="s">
        <v>6619</v>
      </c>
      <c r="D1625" s="66" t="s">
        <v>7244</v>
      </c>
    </row>
    <row r="1626" ht="15.75" customHeight="1">
      <c r="A1626" s="66">
        <f>'Main dataset (DEPRECATED)'!Q1627</f>
        <v>1249031</v>
      </c>
      <c r="B1626" s="66" t="str">
        <f>IFERROR(__xludf.DUMMYFUNCTION("SPLIT('Main dataset (DEPRECATED2)'!N1627,"";"")"),"#VALUE!")</f>
        <v>#VALUE!</v>
      </c>
      <c r="C1626" s="66" t="s">
        <v>9102</v>
      </c>
      <c r="D1626" s="66" t="s">
        <v>8234</v>
      </c>
    </row>
    <row r="1627" ht="15.75" customHeight="1">
      <c r="A1627" s="66">
        <f>'Main dataset (DEPRECATED)'!Q1628</f>
        <v>1249025</v>
      </c>
      <c r="B1627" s="66" t="str">
        <f>IFERROR(__xludf.DUMMYFUNCTION("SPLIT('Main dataset (DEPRECATED2)'!N1628,"";"")"),"#VALUE!")</f>
        <v>#VALUE!</v>
      </c>
      <c r="C1627" s="66" t="s">
        <v>11107</v>
      </c>
    </row>
    <row r="1628" ht="15.75" customHeight="1">
      <c r="A1628" s="66">
        <f>'Main dataset (DEPRECATED)'!Q1629</f>
        <v>1249024</v>
      </c>
      <c r="B1628" s="66" t="str">
        <f>IFERROR(__xludf.DUMMYFUNCTION("SPLIT('Main dataset (DEPRECATED2)'!N1629,"";"")"),"#VALUE!")</f>
        <v>#VALUE!</v>
      </c>
    </row>
    <row r="1629" ht="15.75" customHeight="1">
      <c r="A1629" s="66">
        <f>'Main dataset (DEPRECATED)'!Q1630</f>
        <v>1249019</v>
      </c>
      <c r="B1629" s="66" t="str">
        <f>IFERROR(__xludf.DUMMYFUNCTION("SPLIT('Main dataset (DEPRECATED2)'!N1630,"";"")"),"#VALUE!")</f>
        <v>#VALUE!</v>
      </c>
      <c r="C1629" s="66" t="s">
        <v>6918</v>
      </c>
      <c r="D1629" s="66" t="s">
        <v>8091</v>
      </c>
      <c r="E1629" s="66" t="s">
        <v>11287</v>
      </c>
    </row>
    <row r="1630" ht="15.75" customHeight="1">
      <c r="A1630" s="66">
        <f>'Main dataset (DEPRECATED)'!Q1631</f>
        <v>1249022</v>
      </c>
      <c r="B1630" s="66" t="str">
        <f>IFERROR(__xludf.DUMMYFUNCTION("SPLIT('Main dataset (DEPRECATED2)'!N1631,"";"")"),"#VALUE!")</f>
        <v>#VALUE!</v>
      </c>
      <c r="C1630" s="66" t="s">
        <v>7997</v>
      </c>
      <c r="D1630" s="66" t="s">
        <v>8366</v>
      </c>
    </row>
    <row r="1631" ht="15.75" customHeight="1">
      <c r="A1631" s="66">
        <f>'Main dataset (DEPRECATED)'!Q1632</f>
        <v>1249023</v>
      </c>
      <c r="B1631" s="66" t="str">
        <f>IFERROR(__xludf.DUMMYFUNCTION("SPLIT('Main dataset (DEPRECATED2)'!N1632,"";"")"),"#VALUE!")</f>
        <v>#VALUE!</v>
      </c>
      <c r="C1631" s="66" t="s">
        <v>8677</v>
      </c>
    </row>
    <row r="1632" ht="15.75" customHeight="1">
      <c r="A1632" s="66">
        <f>'Main dataset (DEPRECATED)'!Q1633</f>
        <v>1249007</v>
      </c>
      <c r="B1632" s="66" t="str">
        <f>IFERROR(__xludf.DUMMYFUNCTION("SPLIT('Main dataset (DEPRECATED2)'!N1633,"";"")"),"#VALUE!")</f>
        <v>#VALUE!</v>
      </c>
      <c r="C1632" s="66" t="s">
        <v>10818</v>
      </c>
      <c r="D1632" s="66" t="s">
        <v>6580</v>
      </c>
    </row>
    <row r="1633" ht="15.75" customHeight="1">
      <c r="A1633" s="66">
        <f>'Main dataset (DEPRECATED)'!Q1634</f>
        <v>1249032</v>
      </c>
      <c r="B1633" s="66" t="str">
        <f>IFERROR(__xludf.DUMMYFUNCTION("SPLIT('Main dataset (DEPRECATED2)'!N1634,"";"")"),"#VALUE!")</f>
        <v>#VALUE!</v>
      </c>
      <c r="C1633" s="66" t="s">
        <v>10951</v>
      </c>
      <c r="D1633" s="66" t="s">
        <v>6771</v>
      </c>
      <c r="E1633" s="66" t="s">
        <v>7267</v>
      </c>
    </row>
    <row r="1634" ht="15.75" customHeight="1">
      <c r="A1634" s="66">
        <f>'Main dataset (DEPRECATED)'!Q1635</f>
        <v>1249014</v>
      </c>
      <c r="B1634" s="66" t="str">
        <f>IFERROR(__xludf.DUMMYFUNCTION("SPLIT('Main dataset (DEPRECATED2)'!N1635,"";"")"),"#VALUE!")</f>
        <v>#VALUE!</v>
      </c>
      <c r="C1634" s="66" t="s">
        <v>7570</v>
      </c>
      <c r="D1634" s="66" t="s">
        <v>6159</v>
      </c>
      <c r="E1634" s="66" t="s">
        <v>7045</v>
      </c>
      <c r="F1634" s="66" t="s">
        <v>11027</v>
      </c>
    </row>
    <row r="1635" ht="15.75" customHeight="1">
      <c r="A1635" s="66">
        <f>'Main dataset (DEPRECATED)'!Q1636</f>
        <v>1249008</v>
      </c>
      <c r="B1635" s="66" t="str">
        <f>IFERROR(__xludf.DUMMYFUNCTION("SPLIT('Main dataset (DEPRECATED2)'!N1636,"";"")"),"#VALUE!")</f>
        <v>#VALUE!</v>
      </c>
      <c r="C1635" s="66" t="s">
        <v>6786</v>
      </c>
      <c r="D1635" s="66" t="s">
        <v>7865</v>
      </c>
    </row>
    <row r="1636" ht="15.75" customHeight="1">
      <c r="A1636" s="66">
        <f>'Main dataset (DEPRECATED)'!Q1637</f>
        <v>1249020</v>
      </c>
      <c r="B1636" s="66" t="str">
        <f>IFERROR(__xludf.DUMMYFUNCTION("SPLIT('Main dataset (DEPRECATED2)'!N1637,"";"")"),"#VALUE!")</f>
        <v>#VALUE!</v>
      </c>
      <c r="C1636" s="66" t="s">
        <v>9667</v>
      </c>
    </row>
    <row r="1637" ht="15.75" customHeight="1">
      <c r="A1637" s="66">
        <f>'Main dataset (DEPRECATED)'!Q1638</f>
        <v>1249002</v>
      </c>
      <c r="B1637" s="66" t="str">
        <f>IFERROR(__xludf.DUMMYFUNCTION("SPLIT('Main dataset (DEPRECATED2)'!N1638,"";"")"),"#VALUE!")</f>
        <v>#VALUE!</v>
      </c>
    </row>
    <row r="1638" ht="15.75" customHeight="1">
      <c r="A1638" s="66">
        <f>'Main dataset (DEPRECATED)'!Q1639</f>
        <v>1249006</v>
      </c>
      <c r="B1638" s="66" t="str">
        <f>IFERROR(__xludf.DUMMYFUNCTION("SPLIT('Main dataset (DEPRECATED2)'!N1639,"";"")"),"#VALUE!")</f>
        <v>#VALUE!</v>
      </c>
      <c r="C1638" s="66" t="s">
        <v>11613</v>
      </c>
      <c r="D1638" s="66" t="s">
        <v>8065</v>
      </c>
      <c r="E1638" s="66" t="s">
        <v>7228</v>
      </c>
      <c r="F1638" s="66" t="s">
        <v>9002</v>
      </c>
    </row>
    <row r="1639" ht="15.75" customHeight="1">
      <c r="A1639" s="66">
        <f>'Main dataset (DEPRECATED)'!Q1640</f>
        <v>1249027</v>
      </c>
      <c r="B1639" s="66" t="str">
        <f>IFERROR(__xludf.DUMMYFUNCTION("SPLIT('Main dataset (DEPRECATED2)'!N1640,"";"")"),"#VALUE!")</f>
        <v>#VALUE!</v>
      </c>
      <c r="C1639" s="66" t="s">
        <v>8035</v>
      </c>
      <c r="D1639" s="66" t="s">
        <v>8987</v>
      </c>
      <c r="E1639" s="66" t="s">
        <v>10767</v>
      </c>
    </row>
    <row r="1640" ht="15.75" customHeight="1">
      <c r="A1640" s="66">
        <f>'Main dataset (DEPRECATED)'!Q1641</f>
        <v>1249000</v>
      </c>
      <c r="B1640" s="66" t="str">
        <f>IFERROR(__xludf.DUMMYFUNCTION("SPLIT('Main dataset (DEPRECATED2)'!N1641,"";"")"),"#VALUE!")</f>
        <v>#VALUE!</v>
      </c>
      <c r="C1640" s="66" t="s">
        <v>9668</v>
      </c>
    </row>
    <row r="1641" ht="15.75" customHeight="1">
      <c r="A1641" s="66">
        <f>'Main dataset (DEPRECATED)'!Q1642</f>
        <v>1249012</v>
      </c>
      <c r="B1641" s="66" t="str">
        <f>IFERROR(__xludf.DUMMYFUNCTION("SPLIT('Main dataset (DEPRECATED2)'!N1642,"";"")"),"#VALUE!")</f>
        <v>#VALUE!</v>
      </c>
      <c r="C1641" s="66" t="s">
        <v>6822</v>
      </c>
    </row>
    <row r="1642" ht="15.75" customHeight="1">
      <c r="A1642" s="66">
        <f>'Main dataset (DEPRECATED)'!Q1643</f>
        <v>1249003</v>
      </c>
      <c r="B1642" s="66" t="str">
        <f>IFERROR(__xludf.DUMMYFUNCTION("SPLIT('Main dataset (DEPRECATED2)'!N1643,"";"")"),"#VALUE!")</f>
        <v>#VALUE!</v>
      </c>
    </row>
    <row r="1643" ht="15.75" customHeight="1">
      <c r="A1643" s="66">
        <f>'Main dataset (DEPRECATED)'!Q1644</f>
        <v>1249018</v>
      </c>
      <c r="B1643" s="66" t="str">
        <f>IFERROR(__xludf.DUMMYFUNCTION("SPLIT('Main dataset (DEPRECATED2)'!N1644,"";"")"),"#VALUE!")</f>
        <v>#VALUE!</v>
      </c>
      <c r="C1643" s="66" t="s">
        <v>7884</v>
      </c>
      <c r="D1643" s="66" t="s">
        <v>7098</v>
      </c>
    </row>
    <row r="1644" ht="15.75" customHeight="1">
      <c r="A1644" s="66">
        <f>'Main dataset (DEPRECATED)'!Q1645</f>
        <v>1249015</v>
      </c>
      <c r="B1644" s="66" t="str">
        <f>IFERROR(__xludf.DUMMYFUNCTION("SPLIT('Main dataset (DEPRECATED2)'!N1645,"";"")"),"#VALUE!")</f>
        <v>#VALUE!</v>
      </c>
      <c r="C1644" s="66" t="s">
        <v>11368</v>
      </c>
      <c r="D1644" s="66" t="s">
        <v>11333</v>
      </c>
      <c r="E1644" s="66" t="s">
        <v>10295</v>
      </c>
    </row>
    <row r="1645" ht="15.75" customHeight="1">
      <c r="A1645" s="66">
        <f>'Main dataset (DEPRECATED)'!Q1646</f>
        <v>1249016</v>
      </c>
      <c r="B1645" s="66" t="str">
        <f>IFERROR(__xludf.DUMMYFUNCTION("SPLIT('Main dataset (DEPRECATED2)'!N1646,"";"")"),"#VALUE!")</f>
        <v>#VALUE!</v>
      </c>
      <c r="C1645" s="66" t="s">
        <v>10295</v>
      </c>
      <c r="D1645" s="66" t="s">
        <v>6680</v>
      </c>
      <c r="E1645" s="66" t="s">
        <v>11333</v>
      </c>
    </row>
    <row r="1646" ht="15.75" customHeight="1">
      <c r="A1646" s="66">
        <f>'Main dataset (DEPRECATED)'!Q1647</f>
        <v>1249009</v>
      </c>
      <c r="B1646" s="66" t="str">
        <f>IFERROR(__xludf.DUMMYFUNCTION("SPLIT('Main dataset (DEPRECATED2)'!N1647,"";"")"),"#VALUE!")</f>
        <v>#VALUE!</v>
      </c>
      <c r="C1646" s="66" t="s">
        <v>4987</v>
      </c>
    </row>
    <row r="1647" ht="15.75" customHeight="1">
      <c r="A1647" s="66">
        <f>'Main dataset (DEPRECATED)'!Q1648</f>
        <v>1249011</v>
      </c>
      <c r="B1647" s="66" t="str">
        <f>IFERROR(__xludf.DUMMYFUNCTION("SPLIT('Main dataset (DEPRECATED2)'!N1648,"";"")"),"#VALUE!")</f>
        <v>#VALUE!</v>
      </c>
      <c r="C1647" s="66" t="s">
        <v>6899</v>
      </c>
      <c r="D1647" s="66" t="s">
        <v>8559</v>
      </c>
      <c r="E1647" s="66" t="s">
        <v>9352</v>
      </c>
    </row>
    <row r="1648" ht="15.75" customHeight="1">
      <c r="A1648" s="66">
        <f>'Main dataset (DEPRECATED)'!Q1649</f>
        <v>1249004</v>
      </c>
      <c r="B1648" s="66" t="str">
        <f>IFERROR(__xludf.DUMMYFUNCTION("SPLIT('Main dataset (DEPRECATED2)'!N1649,"";"")"),"#VALUE!")</f>
        <v>#VALUE!</v>
      </c>
      <c r="C1648" s="66" t="s">
        <v>9680</v>
      </c>
    </row>
    <row r="1649" ht="15.75" customHeight="1">
      <c r="A1649" s="66">
        <f>'Main dataset (DEPRECATED)'!Q1650</f>
        <v>1249001</v>
      </c>
      <c r="B1649" s="66" t="str">
        <f>IFERROR(__xludf.DUMMYFUNCTION("SPLIT('Main dataset (DEPRECATED2)'!N1650,"";"")"),"#VALUE!")</f>
        <v>#VALUE!</v>
      </c>
    </row>
    <row r="1650" ht="15.75" customHeight="1">
      <c r="A1650" s="66">
        <f>'Main dataset (DEPRECATED)'!Q1651</f>
        <v>1249028</v>
      </c>
      <c r="B1650" s="66" t="str">
        <f>IFERROR(__xludf.DUMMYFUNCTION("SPLIT('Main dataset (DEPRECATED2)'!N1651,"";"")"),"#VALUE!")</f>
        <v>#VALUE!</v>
      </c>
    </row>
    <row r="1651" ht="15.75" customHeight="1">
      <c r="A1651" s="66">
        <f>'Main dataset (DEPRECATED)'!Q1652</f>
        <v>1249030</v>
      </c>
      <c r="B1651" s="66" t="str">
        <f>IFERROR(__xludf.DUMMYFUNCTION("SPLIT('Main dataset (DEPRECATED2)'!N1652,"";"")"),"#VALUE!")</f>
        <v>#VALUE!</v>
      </c>
    </row>
    <row r="1652" ht="15.75" customHeight="1">
      <c r="A1652" s="66">
        <f>'Main dataset (DEPRECATED)'!Q1653</f>
        <v>1249017</v>
      </c>
      <c r="B1652" s="66" t="str">
        <f>IFERROR(__xludf.DUMMYFUNCTION("SPLIT('Main dataset (DEPRECATED2)'!N1653,"";"")"),"#VALUE!")</f>
        <v>#VALUE!</v>
      </c>
      <c r="C1652" s="66" t="s">
        <v>6783</v>
      </c>
    </row>
    <row r="1653" ht="15.75" customHeight="1">
      <c r="A1653" s="66">
        <f>'Main dataset (DEPRECATED)'!Q1654</f>
        <v>1249026</v>
      </c>
      <c r="B1653" s="66" t="str">
        <f>IFERROR(__xludf.DUMMYFUNCTION("SPLIT('Main dataset (DEPRECATED2)'!N1654,"";"")"),"#VALUE!")</f>
        <v>#VALUE!</v>
      </c>
      <c r="C1653" s="66" t="s">
        <v>7758</v>
      </c>
    </row>
    <row r="1654" ht="15.75" customHeight="1">
      <c r="A1654" s="66">
        <f>'Main dataset (DEPRECATED)'!Q1655</f>
        <v>1249010</v>
      </c>
      <c r="B1654" s="66" t="str">
        <f>IFERROR(__xludf.DUMMYFUNCTION("SPLIT('Main dataset (DEPRECATED2)'!N1655,"";"")"),"#VALUE!")</f>
        <v>#VALUE!</v>
      </c>
      <c r="C1654" s="66" t="s">
        <v>9514</v>
      </c>
    </row>
    <row r="1655" ht="15.75" customHeight="1">
      <c r="A1655" s="66">
        <f>'Main dataset (DEPRECATED)'!Q1656</f>
        <v>1250377</v>
      </c>
      <c r="B1655" s="66" t="str">
        <f>IFERROR(__xludf.DUMMYFUNCTION("SPLIT('Main dataset (DEPRECATED2)'!N1656,"";"")"),"#VALUE!")</f>
        <v>#VALUE!</v>
      </c>
      <c r="C1655" s="66" t="s">
        <v>11200</v>
      </c>
    </row>
    <row r="1656" ht="15.75" customHeight="1">
      <c r="A1656" s="66">
        <f>'Main dataset (DEPRECATED)'!Q1657</f>
        <v>1250381</v>
      </c>
      <c r="B1656" s="66" t="str">
        <f>IFERROR(__xludf.DUMMYFUNCTION("SPLIT('Main dataset (DEPRECATED2)'!N1657,"";"")"),"#VALUE!")</f>
        <v>#VALUE!</v>
      </c>
      <c r="C1656" s="66" t="s">
        <v>6639</v>
      </c>
      <c r="D1656" s="66" t="s">
        <v>8047</v>
      </c>
      <c r="E1656" s="66" t="s">
        <v>8530</v>
      </c>
    </row>
    <row r="1657" ht="15.75" customHeight="1">
      <c r="A1657" s="66">
        <f>'Main dataset (DEPRECATED)'!Q1658</f>
        <v>1250405</v>
      </c>
      <c r="B1657" s="66" t="str">
        <f>IFERROR(__xludf.DUMMYFUNCTION("SPLIT('Main dataset (DEPRECATED2)'!N1658,"";"")"),"#VALUE!")</f>
        <v>#VALUE!</v>
      </c>
      <c r="C1657" s="66" t="s">
        <v>8645</v>
      </c>
      <c r="D1657" s="66" t="s">
        <v>10065</v>
      </c>
      <c r="E1657" s="66" t="s">
        <v>8888</v>
      </c>
    </row>
    <row r="1658" ht="15.75" customHeight="1">
      <c r="A1658" s="66">
        <f>'Main dataset (DEPRECATED)'!Q1659</f>
        <v>1250403</v>
      </c>
      <c r="B1658" s="66" t="str">
        <f>IFERROR(__xludf.DUMMYFUNCTION("SPLIT('Main dataset (DEPRECATED2)'!N1659,"";"")"),"#VALUE!")</f>
        <v>#VALUE!</v>
      </c>
      <c r="C1658" s="66" t="s">
        <v>9529</v>
      </c>
    </row>
    <row r="1659" ht="15.75" customHeight="1">
      <c r="A1659" s="66">
        <f>'Main dataset (DEPRECATED)'!Q1660</f>
        <v>1250365</v>
      </c>
      <c r="B1659" s="66" t="str">
        <f>IFERROR(__xludf.DUMMYFUNCTION("SPLIT('Main dataset (DEPRECATED2)'!N1660,"";"")"),"#VALUE!")</f>
        <v>#VALUE!</v>
      </c>
      <c r="C1659" s="66" t="s">
        <v>7367</v>
      </c>
      <c r="D1659" s="66" t="s">
        <v>8023</v>
      </c>
      <c r="E1659" s="66" t="s">
        <v>9807</v>
      </c>
    </row>
    <row r="1660" ht="15.75" customHeight="1">
      <c r="A1660" s="66">
        <f>'Main dataset (DEPRECATED)'!Q1661</f>
        <v>1250413</v>
      </c>
      <c r="B1660" s="66" t="str">
        <f>IFERROR(__xludf.DUMMYFUNCTION("SPLIT('Main dataset (DEPRECATED2)'!N1661,"";"")"),"#VALUE!")</f>
        <v>#VALUE!</v>
      </c>
      <c r="C1660" s="66" t="s">
        <v>9152</v>
      </c>
      <c r="D1660" s="66" t="s">
        <v>4987</v>
      </c>
    </row>
    <row r="1661" ht="15.75" customHeight="1">
      <c r="A1661" s="66">
        <f>'Main dataset (DEPRECATED)'!Q1662</f>
        <v>1250361</v>
      </c>
      <c r="B1661" s="66" t="str">
        <f>IFERROR(__xludf.DUMMYFUNCTION("SPLIT('Main dataset (DEPRECATED2)'!N1662,"";"")"),"#VALUE!")</f>
        <v>#VALUE!</v>
      </c>
      <c r="C1661" s="66" t="s">
        <v>7427</v>
      </c>
      <c r="D1661" s="66" t="s">
        <v>7432</v>
      </c>
    </row>
    <row r="1662" ht="15.75" customHeight="1">
      <c r="A1662" s="66">
        <f>'Main dataset (DEPRECATED)'!Q1663</f>
        <v>1250415</v>
      </c>
      <c r="B1662" s="66" t="str">
        <f>IFERROR(__xludf.DUMMYFUNCTION("SPLIT('Main dataset (DEPRECATED2)'!N1663,"";"")"),"#VALUE!")</f>
        <v>#VALUE!</v>
      </c>
      <c r="C1662" s="66" t="s">
        <v>4987</v>
      </c>
      <c r="D1662" s="66" t="s">
        <v>11562</v>
      </c>
    </row>
    <row r="1663" ht="15.75" customHeight="1">
      <c r="A1663" s="66">
        <f>'Main dataset (DEPRECATED)'!Q1664</f>
        <v>1250420</v>
      </c>
      <c r="B1663" s="66" t="str">
        <f>IFERROR(__xludf.DUMMYFUNCTION("SPLIT('Main dataset (DEPRECATED2)'!N1664,"";"")"),"#VALUE!")</f>
        <v>#VALUE!</v>
      </c>
      <c r="C1663" s="66" t="s">
        <v>9500</v>
      </c>
    </row>
    <row r="1664" ht="15.75" customHeight="1">
      <c r="A1664" s="66">
        <f>'Main dataset (DEPRECATED)'!Q1665</f>
        <v>1250384</v>
      </c>
      <c r="B1664" s="66" t="str">
        <f>IFERROR(__xludf.DUMMYFUNCTION("SPLIT('Main dataset (DEPRECATED2)'!N1665,"";"")"),"#VALUE!")</f>
        <v>#VALUE!</v>
      </c>
      <c r="C1664" s="66" t="s">
        <v>11431</v>
      </c>
    </row>
    <row r="1665" ht="15.75" customHeight="1">
      <c r="A1665" s="66">
        <f>'Main dataset (DEPRECATED)'!Q1666</f>
        <v>1250411</v>
      </c>
      <c r="B1665" s="66" t="str">
        <f>IFERROR(__xludf.DUMMYFUNCTION("SPLIT('Main dataset (DEPRECATED2)'!N1666,"";"")"),"#VALUE!")</f>
        <v>#VALUE!</v>
      </c>
      <c r="C1665" s="66" t="s">
        <v>10288</v>
      </c>
      <c r="D1665" s="66" t="s">
        <v>8007</v>
      </c>
    </row>
    <row r="1666" ht="15.75" customHeight="1">
      <c r="A1666" s="66">
        <f>'Main dataset (DEPRECATED)'!Q1667</f>
        <v>1250353</v>
      </c>
      <c r="B1666" s="66" t="str">
        <f>IFERROR(__xludf.DUMMYFUNCTION("SPLIT('Main dataset (DEPRECATED2)'!N1667,"";"")"),"#VALUE!")</f>
        <v>#VALUE!</v>
      </c>
      <c r="C1666" s="66" t="s">
        <v>11363</v>
      </c>
      <c r="D1666" s="66" t="s">
        <v>7553</v>
      </c>
      <c r="E1666" s="66" t="s">
        <v>7887</v>
      </c>
    </row>
    <row r="1667" ht="15.75" customHeight="1">
      <c r="A1667" s="66">
        <f>'Main dataset (DEPRECATED)'!Q1668</f>
        <v>1250409</v>
      </c>
      <c r="B1667" s="66" t="str">
        <f>IFERROR(__xludf.DUMMYFUNCTION("SPLIT('Main dataset (DEPRECATED2)'!N1668,"";"")"),"#VALUE!")</f>
        <v>#VALUE!</v>
      </c>
      <c r="C1667" s="66" t="s">
        <v>10140</v>
      </c>
      <c r="D1667" s="66" t="s">
        <v>10556</v>
      </c>
      <c r="E1667" s="66" t="s">
        <v>11528</v>
      </c>
    </row>
    <row r="1668" ht="15.75" customHeight="1">
      <c r="A1668" s="66">
        <f>'Main dataset (DEPRECATED)'!Q1669</f>
        <v>1250378</v>
      </c>
      <c r="B1668" s="66" t="str">
        <f>IFERROR(__xludf.DUMMYFUNCTION("SPLIT('Main dataset (DEPRECATED2)'!N1669,"";"")"),"#VALUE!")</f>
        <v>#VALUE!</v>
      </c>
      <c r="C1668" s="66" t="s">
        <v>6569</v>
      </c>
      <c r="D1668" s="66" t="s">
        <v>4285</v>
      </c>
    </row>
    <row r="1669" ht="15.75" customHeight="1">
      <c r="A1669" s="66">
        <f>'Main dataset (DEPRECATED)'!Q1670</f>
        <v>1250372</v>
      </c>
      <c r="B1669" s="66" t="str">
        <f>IFERROR(__xludf.DUMMYFUNCTION("SPLIT('Main dataset (DEPRECATED2)'!N1670,"";"")"),"#VALUE!")</f>
        <v>#VALUE!</v>
      </c>
      <c r="C1669" s="66" t="s">
        <v>10399</v>
      </c>
    </row>
    <row r="1670" ht="15.75" customHeight="1">
      <c r="A1670" s="66">
        <f>'Main dataset (DEPRECATED)'!Q1671</f>
        <v>1250385</v>
      </c>
      <c r="B1670" s="66" t="str">
        <f>IFERROR(__xludf.DUMMYFUNCTION("SPLIT('Main dataset (DEPRECATED2)'!N1671,"";"")"),"#VALUE!")</f>
        <v>#VALUE!</v>
      </c>
      <c r="C1670" s="66" t="s">
        <v>11431</v>
      </c>
    </row>
    <row r="1671" ht="15.75" customHeight="1">
      <c r="A1671" s="66">
        <f>'Main dataset (DEPRECATED)'!Q1672</f>
        <v>1250392</v>
      </c>
      <c r="B1671" s="66" t="str">
        <f>IFERROR(__xludf.DUMMYFUNCTION("SPLIT('Main dataset (DEPRECATED2)'!N1672,"";"")"),"#VALUE!")</f>
        <v>#VALUE!</v>
      </c>
      <c r="C1671" s="66" t="s">
        <v>9128</v>
      </c>
      <c r="D1671" s="66" t="s">
        <v>8766</v>
      </c>
      <c r="E1671" s="66" t="s">
        <v>6169</v>
      </c>
      <c r="F1671" s="66" t="s">
        <v>10150</v>
      </c>
      <c r="G1671" s="66" t="s">
        <v>8046</v>
      </c>
    </row>
    <row r="1672" ht="15.75" customHeight="1">
      <c r="A1672" s="66">
        <f>'Main dataset (DEPRECATED)'!Q1673</f>
        <v>1250354</v>
      </c>
      <c r="B1672" s="66" t="str">
        <f>IFERROR(__xludf.DUMMYFUNCTION("SPLIT('Main dataset (DEPRECATED2)'!N1673,"";"")"),"#VALUE!")</f>
        <v>#VALUE!</v>
      </c>
      <c r="C1672" s="66" t="s">
        <v>9079</v>
      </c>
    </row>
    <row r="1673" ht="15.75" customHeight="1">
      <c r="A1673" s="66">
        <f>'Main dataset (DEPRECATED)'!Q1674</f>
        <v>1250414</v>
      </c>
      <c r="B1673" s="66" t="str">
        <f>IFERROR(__xludf.DUMMYFUNCTION("SPLIT('Main dataset (DEPRECATED2)'!N1674,"";"")"),"#VALUE!")</f>
        <v>#VALUE!</v>
      </c>
      <c r="C1673" s="66" t="s">
        <v>11438</v>
      </c>
      <c r="D1673" s="66" t="s">
        <v>10968</v>
      </c>
      <c r="E1673" s="66" t="s">
        <v>9472</v>
      </c>
    </row>
    <row r="1674" ht="15.75" customHeight="1">
      <c r="A1674" s="66">
        <f>'Main dataset (DEPRECATED)'!Q1675</f>
        <v>1250429</v>
      </c>
      <c r="B1674" s="66" t="str">
        <f>IFERROR(__xludf.DUMMYFUNCTION("SPLIT('Main dataset (DEPRECATED2)'!N1675,"";"")"),"#VALUE!")</f>
        <v>#VALUE!</v>
      </c>
      <c r="C1674" s="66" t="s">
        <v>8530</v>
      </c>
      <c r="D1674" s="66" t="s">
        <v>11704</v>
      </c>
      <c r="E1674" s="66" t="s">
        <v>7060</v>
      </c>
      <c r="F1674" s="66" t="s">
        <v>7361</v>
      </c>
      <c r="G1674" s="66" t="s">
        <v>10837</v>
      </c>
    </row>
    <row r="1675" ht="15.75" customHeight="1">
      <c r="A1675" s="66">
        <f>'Main dataset (DEPRECATED)'!Q1676</f>
        <v>1250362</v>
      </c>
      <c r="B1675" s="66" t="str">
        <f>IFERROR(__xludf.DUMMYFUNCTION("SPLIT('Main dataset (DEPRECATED2)'!N1676,"";"")"),"#VALUE!")</f>
        <v>#VALUE!</v>
      </c>
      <c r="C1675" s="66" t="s">
        <v>8366</v>
      </c>
      <c r="D1675" s="66" t="s">
        <v>9253</v>
      </c>
      <c r="E1675" s="66" t="s">
        <v>9120</v>
      </c>
      <c r="F1675" s="66" t="s">
        <v>7672</v>
      </c>
    </row>
    <row r="1676" ht="15.75" customHeight="1">
      <c r="A1676" s="66">
        <f>'Main dataset (DEPRECATED)'!Q1677</f>
        <v>1250388</v>
      </c>
      <c r="B1676" s="66" t="str">
        <f>IFERROR(__xludf.DUMMYFUNCTION("SPLIT('Main dataset (DEPRECATED2)'!N1677,"";"")"),"#VALUE!")</f>
        <v>#VALUE!</v>
      </c>
      <c r="C1676" s="66" t="s">
        <v>9529</v>
      </c>
      <c r="D1676" s="66" t="s">
        <v>8645</v>
      </c>
    </row>
    <row r="1677" ht="15.75" customHeight="1">
      <c r="A1677" s="66">
        <f>'Main dataset (DEPRECATED)'!Q1678</f>
        <v>1250351</v>
      </c>
      <c r="B1677" s="66" t="str">
        <f>IFERROR(__xludf.DUMMYFUNCTION("SPLIT('Main dataset (DEPRECATED2)'!N1678,"";"")"),"#VALUE!")</f>
        <v>#VALUE!</v>
      </c>
      <c r="C1677" s="66" t="s">
        <v>7724</v>
      </c>
      <c r="D1677" s="66" t="s">
        <v>8153</v>
      </c>
    </row>
    <row r="1678" ht="15.75" customHeight="1">
      <c r="A1678" s="66">
        <f>'Main dataset (DEPRECATED)'!Q1679</f>
        <v>1250356</v>
      </c>
      <c r="B1678" s="66" t="str">
        <f>IFERROR(__xludf.DUMMYFUNCTION("SPLIT('Main dataset (DEPRECATED2)'!N1679,"";"")"),"#VALUE!")</f>
        <v>#VALUE!</v>
      </c>
      <c r="C1678" s="66" t="s">
        <v>11203</v>
      </c>
    </row>
    <row r="1679" ht="15.75" customHeight="1">
      <c r="A1679" s="66">
        <f>'Main dataset (DEPRECATED)'!Q1680</f>
        <v>1250398</v>
      </c>
      <c r="B1679" s="66" t="str">
        <f>IFERROR(__xludf.DUMMYFUNCTION("SPLIT('Main dataset (DEPRECATED2)'!N1680,"";"")"),"#VALUE!")</f>
        <v>#VALUE!</v>
      </c>
    </row>
    <row r="1680" ht="15.75" customHeight="1">
      <c r="A1680" s="66">
        <f>'Main dataset (DEPRECATED)'!Q1681</f>
        <v>1250369</v>
      </c>
      <c r="B1680" s="66" t="str">
        <f>IFERROR(__xludf.DUMMYFUNCTION("SPLIT('Main dataset (DEPRECATED2)'!N1681,"";"")"),"#VALUE!")</f>
        <v>#VALUE!</v>
      </c>
      <c r="C1680" s="66" t="s">
        <v>8274</v>
      </c>
      <c r="D1680" s="66" t="s">
        <v>9589</v>
      </c>
    </row>
    <row r="1681" ht="15.75" customHeight="1">
      <c r="A1681" s="66">
        <f>'Main dataset (DEPRECATED)'!Q1682</f>
        <v>1250360</v>
      </c>
      <c r="B1681" s="66" t="str">
        <f>IFERROR(__xludf.DUMMYFUNCTION("SPLIT('Main dataset (DEPRECATED2)'!N1682,"";"")"),"#VALUE!")</f>
        <v>#VALUE!</v>
      </c>
      <c r="C1681" s="66" t="s">
        <v>10541</v>
      </c>
      <c r="D1681" s="66" t="s">
        <v>8725</v>
      </c>
      <c r="E1681" s="66" t="s">
        <v>9222</v>
      </c>
    </row>
    <row r="1682" ht="15.75" customHeight="1">
      <c r="A1682" s="66">
        <f>'Main dataset (DEPRECATED)'!Q1683</f>
        <v>1250371</v>
      </c>
      <c r="B1682" s="66" t="str">
        <f>IFERROR(__xludf.DUMMYFUNCTION("SPLIT('Main dataset (DEPRECATED2)'!N1683,"";"")"),"#VALUE!")</f>
        <v>#VALUE!</v>
      </c>
    </row>
    <row r="1683" ht="15.75" customHeight="1">
      <c r="A1683" s="66">
        <f>'Main dataset (DEPRECATED)'!Q1684</f>
        <v>1250412</v>
      </c>
      <c r="B1683" s="66" t="str">
        <f>IFERROR(__xludf.DUMMYFUNCTION("SPLIT('Main dataset (DEPRECATED2)'!N1684,"";"")"),"#VALUE!")</f>
        <v>#VALUE!</v>
      </c>
      <c r="C1683" s="66" t="s">
        <v>9989</v>
      </c>
      <c r="D1683" s="66" t="s">
        <v>8348</v>
      </c>
      <c r="E1683" s="66" t="s">
        <v>8982</v>
      </c>
      <c r="F1683" s="66" t="s">
        <v>8047</v>
      </c>
      <c r="G1683" s="66" t="s">
        <v>9981</v>
      </c>
    </row>
    <row r="1684" ht="15.75" customHeight="1">
      <c r="A1684" s="66">
        <f>'Main dataset (DEPRECATED)'!Q1685</f>
        <v>1250387</v>
      </c>
      <c r="B1684" s="66" t="str">
        <f>IFERROR(__xludf.DUMMYFUNCTION("SPLIT('Main dataset (DEPRECATED2)'!N1685,"";"")"),"#VALUE!")</f>
        <v>#VALUE!</v>
      </c>
      <c r="C1684" s="66" t="s">
        <v>8618</v>
      </c>
      <c r="D1684" s="66" t="s">
        <v>7887</v>
      </c>
    </row>
    <row r="1685" ht="15.75" customHeight="1">
      <c r="A1685" s="66">
        <f>'Main dataset (DEPRECATED)'!Q1686</f>
        <v>1250390</v>
      </c>
      <c r="B1685" s="66" t="str">
        <f>IFERROR(__xludf.DUMMYFUNCTION("SPLIT('Main dataset (DEPRECATED2)'!N1686,"";"")"),"#VALUE!")</f>
        <v>#VALUE!</v>
      </c>
      <c r="C1685" s="66" t="s">
        <v>8841</v>
      </c>
      <c r="D1685" s="66" t="s">
        <v>9369</v>
      </c>
      <c r="E1685" s="66" t="s">
        <v>7432</v>
      </c>
    </row>
    <row r="1686" ht="15.75" customHeight="1">
      <c r="A1686" s="66">
        <f>'Main dataset (DEPRECATED)'!Q1687</f>
        <v>1250425</v>
      </c>
      <c r="B1686" s="66" t="str">
        <f>IFERROR(__xludf.DUMMYFUNCTION("SPLIT('Main dataset (DEPRECATED2)'!N1687,"";"")"),"#VALUE!")</f>
        <v>#VALUE!</v>
      </c>
      <c r="C1686" s="66" t="s">
        <v>6365</v>
      </c>
    </row>
    <row r="1687" ht="15.75" customHeight="1">
      <c r="A1687" s="66">
        <f>'Main dataset (DEPRECATED)'!Q1688</f>
        <v>1250389</v>
      </c>
      <c r="B1687" s="66" t="str">
        <f>IFERROR(__xludf.DUMMYFUNCTION("SPLIT('Main dataset (DEPRECATED2)'!N1688,"";"")"),"#VALUE!")</f>
        <v>#VALUE!</v>
      </c>
      <c r="C1687" s="66" t="s">
        <v>8111</v>
      </c>
      <c r="D1687" s="66" t="s">
        <v>7996</v>
      </c>
      <c r="E1687" s="66" t="s">
        <v>8023</v>
      </c>
      <c r="F1687" s="66" t="s">
        <v>8560</v>
      </c>
    </row>
    <row r="1688" ht="15.75" customHeight="1">
      <c r="A1688" s="66">
        <f>'Main dataset (DEPRECATED)'!Q1689</f>
        <v>1250404</v>
      </c>
      <c r="B1688" s="66" t="str">
        <f>IFERROR(__xludf.DUMMYFUNCTION("SPLIT('Main dataset (DEPRECATED2)'!N1689,"";"")"),"#VALUE!")</f>
        <v>#VALUE!</v>
      </c>
      <c r="C1688" s="66" t="s">
        <v>7432</v>
      </c>
    </row>
    <row r="1689" ht="15.75" customHeight="1">
      <c r="A1689" s="66">
        <f>'Main dataset (DEPRECATED)'!Q1690</f>
        <v>1250402</v>
      </c>
      <c r="B1689" s="66" t="str">
        <f>IFERROR(__xludf.DUMMYFUNCTION("SPLIT('Main dataset (DEPRECATED2)'!N1690,"";"")"),"#VALUE!")</f>
        <v>#VALUE!</v>
      </c>
      <c r="C1689" s="66" t="s">
        <v>6844</v>
      </c>
      <c r="D1689" s="66" t="s">
        <v>4285</v>
      </c>
    </row>
    <row r="1690" ht="15.75" customHeight="1">
      <c r="A1690" s="66">
        <f>'Main dataset (DEPRECATED)'!Q1691</f>
        <v>1250386</v>
      </c>
      <c r="B1690" s="66" t="str">
        <f>IFERROR(__xludf.DUMMYFUNCTION("SPLIT('Main dataset (DEPRECATED2)'!N1691,"";"")"),"#VALUE!")</f>
        <v>#VALUE!</v>
      </c>
      <c r="C1690" s="66" t="s">
        <v>6450</v>
      </c>
      <c r="D1690" s="66" t="s">
        <v>8093</v>
      </c>
    </row>
    <row r="1691" ht="15.75" customHeight="1">
      <c r="A1691" s="66">
        <f>'Main dataset (DEPRECATED)'!Q1692</f>
        <v>1250424</v>
      </c>
      <c r="B1691" s="66" t="str">
        <f>IFERROR(__xludf.DUMMYFUNCTION("SPLIT('Main dataset (DEPRECATED2)'!N1692,"";"")"),"#VALUE!")</f>
        <v>#VALUE!</v>
      </c>
      <c r="C1691" s="66" t="s">
        <v>8019</v>
      </c>
      <c r="D1691" s="66" t="s">
        <v>9902</v>
      </c>
      <c r="E1691" s="66" t="s">
        <v>11402</v>
      </c>
      <c r="F1691" s="66" t="s">
        <v>8416</v>
      </c>
      <c r="G1691" s="66" t="s">
        <v>9349</v>
      </c>
      <c r="H1691" s="66" t="s">
        <v>6445</v>
      </c>
      <c r="I1691" s="66" t="s">
        <v>7966</v>
      </c>
      <c r="J1691" s="66" t="s">
        <v>8714</v>
      </c>
    </row>
    <row r="1692" ht="15.75" customHeight="1">
      <c r="A1692" s="66">
        <f>'Main dataset (DEPRECATED)'!Q1693</f>
        <v>1250370</v>
      </c>
      <c r="B1692" s="66" t="str">
        <f>IFERROR(__xludf.DUMMYFUNCTION("SPLIT('Main dataset (DEPRECATED2)'!N1693,"";"")"),"#VALUE!")</f>
        <v>#VALUE!</v>
      </c>
      <c r="C1692" s="66" t="s">
        <v>9284</v>
      </c>
      <c r="D1692" s="66" t="s">
        <v>7538</v>
      </c>
      <c r="E1692" s="66" t="s">
        <v>9027</v>
      </c>
      <c r="F1692" s="66" t="s">
        <v>7186</v>
      </c>
      <c r="G1692" s="66" t="s">
        <v>11041</v>
      </c>
      <c r="H1692" s="66" t="s">
        <v>8171</v>
      </c>
      <c r="I1692" s="66" t="s">
        <v>8643</v>
      </c>
      <c r="J1692" s="66" t="s">
        <v>10834</v>
      </c>
    </row>
    <row r="1693" ht="15.75" customHeight="1">
      <c r="A1693" s="66">
        <f>'Main dataset (DEPRECATED)'!Q1694</f>
        <v>1250379</v>
      </c>
      <c r="B1693" s="66" t="str">
        <f>IFERROR(__xludf.DUMMYFUNCTION("SPLIT('Main dataset (DEPRECATED2)'!N1694,"";"")"),"#VALUE!")</f>
        <v>#VALUE!</v>
      </c>
      <c r="C1693" s="66" t="s">
        <v>9772</v>
      </c>
    </row>
    <row r="1694" ht="15.75" customHeight="1">
      <c r="A1694" s="66">
        <f>'Main dataset (DEPRECATED)'!Q1695</f>
        <v>1250348</v>
      </c>
      <c r="B1694" s="66" t="str">
        <f>IFERROR(__xludf.DUMMYFUNCTION("SPLIT('Main dataset (DEPRECATED2)'!N1695,"";"")"),"#VALUE!")</f>
        <v>#VALUE!</v>
      </c>
      <c r="C1694" s="66" t="s">
        <v>11200</v>
      </c>
      <c r="D1694" s="66" t="s">
        <v>9495</v>
      </c>
    </row>
    <row r="1695" ht="15.75" customHeight="1">
      <c r="A1695" s="66">
        <f>'Main dataset (DEPRECATED)'!Q1696</f>
        <v>1250363</v>
      </c>
      <c r="B1695" s="66" t="str">
        <f>IFERROR(__xludf.DUMMYFUNCTION("SPLIT('Main dataset (DEPRECATED2)'!N1696,"";"")"),"#VALUE!")</f>
        <v>#VALUE!</v>
      </c>
    </row>
    <row r="1696" ht="15.75" customHeight="1">
      <c r="A1696" s="66">
        <f>'Main dataset (DEPRECATED)'!Q1697</f>
        <v>1250364</v>
      </c>
      <c r="B1696" s="66" t="str">
        <f>IFERROR(__xludf.DUMMYFUNCTION("SPLIT('Main dataset (DEPRECATED2)'!N1697,"";"")"),"#VALUE!")</f>
        <v>#VALUE!</v>
      </c>
      <c r="C1696" s="66" t="s">
        <v>8520</v>
      </c>
      <c r="D1696" s="66" t="s">
        <v>8093</v>
      </c>
    </row>
    <row r="1697" ht="15.75" customHeight="1">
      <c r="A1697" s="66">
        <f>'Main dataset (DEPRECATED)'!Q1698</f>
        <v>1250428</v>
      </c>
      <c r="B1697" s="66" t="str">
        <f>IFERROR(__xludf.DUMMYFUNCTION("SPLIT('Main dataset (DEPRECATED2)'!N1698,"";"")"),"#VALUE!")</f>
        <v>#VALUE!</v>
      </c>
      <c r="C1697" s="66" t="s">
        <v>11069</v>
      </c>
      <c r="D1697" s="66" t="s">
        <v>9549</v>
      </c>
      <c r="E1697" s="66" t="s">
        <v>11333</v>
      </c>
      <c r="F1697" s="66" t="s">
        <v>8530</v>
      </c>
      <c r="G1697" s="66" t="s">
        <v>8908</v>
      </c>
    </row>
    <row r="1698" ht="15.75" customHeight="1">
      <c r="A1698" s="66">
        <f>'Main dataset (DEPRECATED)'!Q1699</f>
        <v>1250417</v>
      </c>
      <c r="B1698" s="66" t="str">
        <f>IFERROR(__xludf.DUMMYFUNCTION("SPLIT('Main dataset (DEPRECATED2)'!N1699,"";"")"),"#VALUE!")</f>
        <v>#VALUE!</v>
      </c>
      <c r="C1698" s="66" t="s">
        <v>9269</v>
      </c>
      <c r="D1698" s="66" t="s">
        <v>8093</v>
      </c>
    </row>
    <row r="1699" ht="15.75" customHeight="1">
      <c r="A1699" s="66">
        <f>'Main dataset (DEPRECATED)'!Q1700</f>
        <v>1250357</v>
      </c>
      <c r="B1699" s="66" t="str">
        <f>IFERROR(__xludf.DUMMYFUNCTION("SPLIT('Main dataset (DEPRECATED2)'!N1700,"";"")"),"#VALUE!")</f>
        <v>#VALUE!</v>
      </c>
      <c r="C1699" s="66" t="s">
        <v>8775</v>
      </c>
      <c r="D1699" s="66" t="s">
        <v>8047</v>
      </c>
      <c r="E1699" s="66" t="s">
        <v>11438</v>
      </c>
    </row>
    <row r="1700" ht="15.75" customHeight="1">
      <c r="A1700" s="66">
        <f>'Main dataset (DEPRECATED)'!Q1701</f>
        <v>1250423</v>
      </c>
      <c r="B1700" s="66" t="str">
        <f>IFERROR(__xludf.DUMMYFUNCTION("SPLIT('Main dataset (DEPRECATED2)'!N1701,"";"")"),"#VALUE!")</f>
        <v>#VALUE!</v>
      </c>
      <c r="C1700" s="66" t="s">
        <v>9279</v>
      </c>
      <c r="D1700" s="66" t="s">
        <v>8023</v>
      </c>
      <c r="E1700" s="66" t="s">
        <v>7067</v>
      </c>
      <c r="F1700" s="66" t="s">
        <v>6476</v>
      </c>
    </row>
    <row r="1701" ht="15.75" customHeight="1">
      <c r="A1701" s="66">
        <f>'Main dataset (DEPRECATED)'!Q1702</f>
        <v>1250368</v>
      </c>
      <c r="B1701" s="66" t="str">
        <f>IFERROR(__xludf.DUMMYFUNCTION("SPLIT('Main dataset (DEPRECATED2)'!N1702,"";"")"),"#VALUE!")</f>
        <v>#VALUE!</v>
      </c>
      <c r="C1701" s="66" t="s">
        <v>10337</v>
      </c>
      <c r="D1701" s="66" t="s">
        <v>9222</v>
      </c>
    </row>
    <row r="1702" ht="15.75" customHeight="1">
      <c r="A1702" s="66">
        <f>'Main dataset (DEPRECATED)'!Q1703</f>
        <v>1250427</v>
      </c>
      <c r="B1702" s="66" t="str">
        <f>IFERROR(__xludf.DUMMYFUNCTION("SPLIT('Main dataset (DEPRECATED2)'!N1703,"";"")"),"#VALUE!")</f>
        <v>#VALUE!</v>
      </c>
    </row>
    <row r="1703" ht="15.75" customHeight="1">
      <c r="A1703" s="66">
        <f>'Main dataset (DEPRECATED)'!Q1704</f>
        <v>1250408</v>
      </c>
      <c r="B1703" s="66" t="str">
        <f>IFERROR(__xludf.DUMMYFUNCTION("SPLIT('Main dataset (DEPRECATED2)'!N1704,"";"")"),"#VALUE!")</f>
        <v>#VALUE!</v>
      </c>
      <c r="C1703" s="66" t="s">
        <v>9072</v>
      </c>
      <c r="D1703" s="66" t="s">
        <v>7934</v>
      </c>
      <c r="E1703" s="66" t="s">
        <v>10693</v>
      </c>
    </row>
    <row r="1704" ht="15.75" customHeight="1">
      <c r="A1704" s="66">
        <f>'Main dataset (DEPRECATED)'!Q1705</f>
        <v>1250395</v>
      </c>
      <c r="B1704" s="66" t="str">
        <f>IFERROR(__xludf.DUMMYFUNCTION("SPLIT('Main dataset (DEPRECATED2)'!N1705,"";"")"),"#VALUE!")</f>
        <v>#VALUE!</v>
      </c>
      <c r="C1704" s="66" t="s">
        <v>9359</v>
      </c>
    </row>
    <row r="1705" ht="15.75" customHeight="1">
      <c r="A1705" s="66">
        <f>'Main dataset (DEPRECATED)'!Q1706</f>
        <v>1250355</v>
      </c>
      <c r="B1705" s="66" t="str">
        <f>IFERROR(__xludf.DUMMYFUNCTION("SPLIT('Main dataset (DEPRECATED2)'!N1706,"";"")"),"#VALUE!")</f>
        <v>#VALUE!</v>
      </c>
    </row>
    <row r="1706" ht="15.75" customHeight="1">
      <c r="A1706" s="66">
        <f>'Main dataset (DEPRECATED)'!Q1707</f>
        <v>1250396</v>
      </c>
      <c r="B1706" s="66" t="str">
        <f>IFERROR(__xludf.DUMMYFUNCTION("SPLIT('Main dataset (DEPRECATED2)'!N1707,"";"")"),"#VALUE!")</f>
        <v>#VALUE!</v>
      </c>
    </row>
    <row r="1707" ht="15.75" customHeight="1">
      <c r="A1707" s="66">
        <f>'Main dataset (DEPRECATED)'!Q1708</f>
        <v>1250406</v>
      </c>
      <c r="B1707" s="66" t="str">
        <f>IFERROR(__xludf.DUMMYFUNCTION("SPLIT('Main dataset (DEPRECATED2)'!N1708,"";"")"),"#VALUE!")</f>
        <v>#VALUE!</v>
      </c>
      <c r="C1707" s="66" t="s">
        <v>10926</v>
      </c>
    </row>
    <row r="1708" ht="15.75" customHeight="1">
      <c r="A1708" s="66">
        <f>'Main dataset (DEPRECATED)'!Q1709</f>
        <v>1250375</v>
      </c>
      <c r="B1708" s="66" t="str">
        <f>IFERROR(__xludf.DUMMYFUNCTION("SPLIT('Main dataset (DEPRECATED2)'!N1709,"";"")"),"#VALUE!")</f>
        <v>#VALUE!</v>
      </c>
    </row>
    <row r="1709" ht="15.75" customHeight="1">
      <c r="A1709" s="66">
        <f>'Main dataset (DEPRECATED)'!Q1710</f>
        <v>1250359</v>
      </c>
      <c r="B1709" s="66" t="str">
        <f>IFERROR(__xludf.DUMMYFUNCTION("SPLIT('Main dataset (DEPRECATED2)'!N1710,"";"")"),"#VALUE!")</f>
        <v>#VALUE!</v>
      </c>
      <c r="C1709" s="66" t="s">
        <v>11323</v>
      </c>
      <c r="D1709" s="66" t="s">
        <v>8501</v>
      </c>
      <c r="E1709" s="66" t="s">
        <v>8240</v>
      </c>
      <c r="F1709" s="66" t="s">
        <v>8645</v>
      </c>
    </row>
    <row r="1710" ht="15.75" customHeight="1">
      <c r="A1710" s="66">
        <f>'Main dataset (DEPRECATED)'!Q1711</f>
        <v>1250366</v>
      </c>
      <c r="B1710" s="66" t="str">
        <f>IFERROR(__xludf.DUMMYFUNCTION("SPLIT('Main dataset (DEPRECATED2)'!N1711,"";"")"),"#VALUE!")</f>
        <v>#VALUE!</v>
      </c>
      <c r="C1710" s="66" t="s">
        <v>7680</v>
      </c>
      <c r="D1710" s="66" t="s">
        <v>7786</v>
      </c>
      <c r="E1710" s="66" t="s">
        <v>9251</v>
      </c>
      <c r="F1710" s="66" t="s">
        <v>9959</v>
      </c>
      <c r="G1710" s="66" t="s">
        <v>10472</v>
      </c>
    </row>
    <row r="1711" ht="15.75" customHeight="1">
      <c r="A1711" s="66">
        <f>'Main dataset (DEPRECATED)'!Q1712</f>
        <v>1250422</v>
      </c>
      <c r="B1711" s="66" t="str">
        <f>IFERROR(__xludf.DUMMYFUNCTION("SPLIT('Main dataset (DEPRECATED2)'!N1712,"";"")"),"#VALUE!")</f>
        <v>#VALUE!</v>
      </c>
      <c r="C1711" s="66" t="s">
        <v>8219</v>
      </c>
      <c r="D1711" s="66" t="s">
        <v>8718</v>
      </c>
      <c r="E1711" s="66" t="s">
        <v>10727</v>
      </c>
      <c r="F1711" s="66" t="s">
        <v>9331</v>
      </c>
    </row>
    <row r="1712" ht="15.75" customHeight="1">
      <c r="A1712" s="66">
        <f>'Main dataset (DEPRECATED)'!Q1713</f>
        <v>1250352</v>
      </c>
      <c r="B1712" s="66" t="str">
        <f>IFERROR(__xludf.DUMMYFUNCTION("SPLIT('Main dataset (DEPRECATED2)'!N1713,"";"")"),"#VALUE!")</f>
        <v>#VALUE!</v>
      </c>
      <c r="C1712" s="66" t="s">
        <v>10920</v>
      </c>
      <c r="D1712" s="66" t="s">
        <v>11780</v>
      </c>
      <c r="E1712" s="66" t="s">
        <v>6171</v>
      </c>
      <c r="F1712" s="66" t="s">
        <v>7315</v>
      </c>
      <c r="G1712" s="66" t="s">
        <v>10836</v>
      </c>
      <c r="H1712" s="66" t="s">
        <v>8338</v>
      </c>
      <c r="I1712" s="66" t="s">
        <v>11430</v>
      </c>
    </row>
    <row r="1713" ht="15.75" customHeight="1">
      <c r="A1713" s="66">
        <f>'Main dataset (DEPRECATED)'!Q1714</f>
        <v>1250380</v>
      </c>
      <c r="B1713" s="66" t="str">
        <f>IFERROR(__xludf.DUMMYFUNCTION("SPLIT('Main dataset (DEPRECATED2)'!N1714,"";"")"),"#VALUE!")</f>
        <v>#VALUE!</v>
      </c>
      <c r="C1713" s="66" t="s">
        <v>9325</v>
      </c>
    </row>
    <row r="1714" ht="15.75" customHeight="1">
      <c r="A1714" s="66">
        <f>'Main dataset (DEPRECATED)'!Q1715</f>
        <v>1250367</v>
      </c>
      <c r="B1714" s="66" t="str">
        <f>IFERROR(__xludf.DUMMYFUNCTION("SPLIT('Main dataset (DEPRECATED2)'!N1715,"";"")"),"#VALUE!")</f>
        <v>#VALUE!</v>
      </c>
      <c r="C1714" s="66" t="s">
        <v>9073</v>
      </c>
    </row>
    <row r="1715" ht="15.75" customHeight="1">
      <c r="A1715" s="66">
        <f>'Main dataset (DEPRECATED)'!Q1716</f>
        <v>1250376</v>
      </c>
      <c r="B1715" s="66" t="str">
        <f>IFERROR(__xludf.DUMMYFUNCTION("SPLIT('Main dataset (DEPRECATED2)'!N1716,"";"")"),"#VALUE!")</f>
        <v>#VALUE!</v>
      </c>
      <c r="C1715" s="66" t="s">
        <v>11393</v>
      </c>
      <c r="D1715" s="66" t="s">
        <v>8114</v>
      </c>
      <c r="E1715" s="66" t="s">
        <v>10481</v>
      </c>
    </row>
    <row r="1716" ht="15.75" customHeight="1">
      <c r="A1716" s="66">
        <f>'Main dataset (DEPRECATED)'!Q1717</f>
        <v>1250410</v>
      </c>
      <c r="B1716" s="66" t="str">
        <f>IFERROR(__xludf.DUMMYFUNCTION("SPLIT('Main dataset (DEPRECATED2)'!N1717,"";"")"),"#VALUE!")</f>
        <v>#VALUE!</v>
      </c>
      <c r="C1716" s="66" t="s">
        <v>8119</v>
      </c>
    </row>
    <row r="1717" ht="15.75" customHeight="1">
      <c r="A1717" s="66">
        <f>'Main dataset (DEPRECATED)'!Q1718</f>
        <v>1250358</v>
      </c>
      <c r="B1717" s="66" t="str">
        <f>IFERROR(__xludf.DUMMYFUNCTION("SPLIT('Main dataset (DEPRECATED2)'!N1718,"";"")"),"#VALUE!")</f>
        <v>#VALUE!</v>
      </c>
      <c r="C1717" s="66" t="s">
        <v>9842</v>
      </c>
      <c r="D1717" s="66" t="s">
        <v>7896</v>
      </c>
    </row>
    <row r="1718" ht="15.75" customHeight="1">
      <c r="A1718" s="66">
        <f>'Main dataset (DEPRECATED)'!Q1719</f>
        <v>1250373</v>
      </c>
      <c r="B1718" s="66" t="str">
        <f>IFERROR(__xludf.DUMMYFUNCTION("SPLIT('Main dataset (DEPRECATED2)'!N1719,"";"")"),"#VALUE!")</f>
        <v>#VALUE!</v>
      </c>
      <c r="C1718" s="66" t="s">
        <v>4285</v>
      </c>
    </row>
    <row r="1719" ht="15.75" customHeight="1">
      <c r="A1719" s="66">
        <f>'Main dataset (DEPRECATED)'!Q1720</f>
        <v>1250350</v>
      </c>
      <c r="B1719" s="66" t="str">
        <f>IFERROR(__xludf.DUMMYFUNCTION("SPLIT('Main dataset (DEPRECATED2)'!N1720,"";"")"),"#VALUE!")</f>
        <v>#VALUE!</v>
      </c>
      <c r="C1719" s="66" t="s">
        <v>9668</v>
      </c>
      <c r="D1719" s="66" t="s">
        <v>9840</v>
      </c>
      <c r="E1719" s="66" t="s">
        <v>10435</v>
      </c>
      <c r="F1719" s="66" t="s">
        <v>11027</v>
      </c>
    </row>
    <row r="1720" ht="15.75" customHeight="1">
      <c r="A1720" s="66">
        <f>'Main dataset (DEPRECATED)'!Q1721</f>
        <v>1250400</v>
      </c>
      <c r="B1720" s="66" t="str">
        <f>IFERROR(__xludf.DUMMYFUNCTION("SPLIT('Main dataset (DEPRECATED2)'!N1721,"";"")"),"#VALUE!")</f>
        <v>#VALUE!</v>
      </c>
      <c r="C1720" s="66" t="s">
        <v>10955</v>
      </c>
      <c r="D1720" s="66" t="s">
        <v>6331</v>
      </c>
    </row>
    <row r="1721" ht="15.75" customHeight="1">
      <c r="A1721" s="66">
        <f>'Main dataset (DEPRECATED)'!Q1722</f>
        <v>1250394</v>
      </c>
      <c r="B1721" s="66" t="str">
        <f>IFERROR(__xludf.DUMMYFUNCTION("SPLIT('Main dataset (DEPRECATED2)'!N1722,"";"")"),"#VALUE!")</f>
        <v>#VALUE!</v>
      </c>
    </row>
    <row r="1722" ht="15.75" customHeight="1">
      <c r="A1722" s="66">
        <f>'Main dataset (DEPRECATED)'!Q1723</f>
        <v>1250401</v>
      </c>
      <c r="B1722" s="66" t="str">
        <f>IFERROR(__xludf.DUMMYFUNCTION("SPLIT('Main dataset (DEPRECATED2)'!N1723,"";"")"),"#VALUE!")</f>
        <v>#VALUE!</v>
      </c>
      <c r="C1722" s="66" t="s">
        <v>6857</v>
      </c>
    </row>
    <row r="1723" ht="15.75" customHeight="1">
      <c r="A1723" s="66">
        <f>'Main dataset (DEPRECATED)'!Q1724</f>
        <v>1250407</v>
      </c>
      <c r="B1723" s="66" t="str">
        <f>IFERROR(__xludf.DUMMYFUNCTION("SPLIT('Main dataset (DEPRECATED2)'!N1724,"";"")"),"#VALUE!")</f>
        <v>#VALUE!</v>
      </c>
      <c r="C1723" s="66" t="s">
        <v>6940</v>
      </c>
      <c r="D1723" s="66" t="s">
        <v>10472</v>
      </c>
    </row>
    <row r="1724" ht="15.75" customHeight="1">
      <c r="A1724" s="66">
        <f>'Main dataset (DEPRECATED)'!Q1725</f>
        <v>1250391</v>
      </c>
      <c r="B1724" s="66" t="str">
        <f>IFERROR(__xludf.DUMMYFUNCTION("SPLIT('Main dataset (DEPRECATED2)'!N1725,"";"")"),"#VALUE!")</f>
        <v>#VALUE!</v>
      </c>
      <c r="C1724" s="66" t="s">
        <v>8290</v>
      </c>
      <c r="D1724" s="66" t="s">
        <v>4285</v>
      </c>
      <c r="E1724" s="66" t="s">
        <v>8801</v>
      </c>
    </row>
    <row r="1725" ht="15.75" customHeight="1">
      <c r="A1725" s="66">
        <f>'Main dataset (DEPRECATED)'!Q1726</f>
        <v>1250430</v>
      </c>
      <c r="B1725" s="66" t="str">
        <f>IFERROR(__xludf.DUMMYFUNCTION("SPLIT('Main dataset (DEPRECATED2)'!N1726,"";"")"),"#VALUE!")</f>
        <v>#VALUE!</v>
      </c>
      <c r="C1725" s="66" t="s">
        <v>6729</v>
      </c>
      <c r="D1725" s="66" t="s">
        <v>9254</v>
      </c>
      <c r="E1725" s="66" t="s">
        <v>9281</v>
      </c>
      <c r="F1725" s="66" t="s">
        <v>9924</v>
      </c>
    </row>
    <row r="1726" ht="15.75" customHeight="1">
      <c r="A1726" s="66">
        <f>'Main dataset (DEPRECATED)'!Q1727</f>
        <v>1250397</v>
      </c>
      <c r="B1726" s="66" t="str">
        <f>IFERROR(__xludf.DUMMYFUNCTION("SPLIT('Main dataset (DEPRECATED2)'!N1727,"";"")"),"#VALUE!")</f>
        <v>#VALUE!</v>
      </c>
      <c r="C1726" s="66" t="s">
        <v>10507</v>
      </c>
      <c r="D1726" s="66" t="s">
        <v>9973</v>
      </c>
      <c r="E1726" s="66" t="s">
        <v>11105</v>
      </c>
      <c r="F1726" s="66" t="s">
        <v>11280</v>
      </c>
    </row>
    <row r="1727" ht="15.75" customHeight="1">
      <c r="A1727" s="66">
        <f>'Main dataset (DEPRECATED)'!Q1728</f>
        <v>1250419</v>
      </c>
      <c r="B1727" s="66" t="str">
        <f>IFERROR(__xludf.DUMMYFUNCTION("SPLIT('Main dataset (DEPRECATED2)'!N1728,"";"")"),"#VALUE!")</f>
        <v>#VALUE!</v>
      </c>
      <c r="C1727" s="66" t="s">
        <v>7277</v>
      </c>
    </row>
    <row r="1728" ht="15.75" customHeight="1">
      <c r="A1728" s="66">
        <f>'Main dataset (DEPRECATED)'!Q1729</f>
        <v>1250399</v>
      </c>
      <c r="B1728" s="66" t="str">
        <f>IFERROR(__xludf.DUMMYFUNCTION("SPLIT('Main dataset (DEPRECATED2)'!N1729,"";"")"),"#VALUE!")</f>
        <v>#VALUE!</v>
      </c>
      <c r="C1728" s="66" t="s">
        <v>11761</v>
      </c>
      <c r="D1728" s="66" t="s">
        <v>9683</v>
      </c>
      <c r="E1728" s="66" t="s">
        <v>10481</v>
      </c>
    </row>
    <row r="1729" ht="15.75" customHeight="1">
      <c r="A1729" s="66">
        <f>'Main dataset (DEPRECATED)'!Q1730</f>
        <v>1250416</v>
      </c>
      <c r="B1729" s="66" t="str">
        <f>IFERROR(__xludf.DUMMYFUNCTION("SPLIT('Main dataset (DEPRECATED2)'!N1730,"";"")"),"#VALUE!")</f>
        <v>#VALUE!</v>
      </c>
      <c r="C1729" s="66" t="s">
        <v>8672</v>
      </c>
    </row>
    <row r="1730" ht="15.75" customHeight="1">
      <c r="A1730" s="66">
        <f>'Main dataset (DEPRECATED)'!Q1731</f>
        <v>1250418</v>
      </c>
      <c r="B1730" s="66" t="str">
        <f>IFERROR(__xludf.DUMMYFUNCTION("SPLIT('Main dataset (DEPRECATED2)'!N1731,"";"")"),"#VALUE!")</f>
        <v>#VALUE!</v>
      </c>
      <c r="C1730" s="66" t="s">
        <v>4987</v>
      </c>
      <c r="D1730" s="66" t="s">
        <v>9299</v>
      </c>
      <c r="E1730" s="66" t="s">
        <v>11334</v>
      </c>
    </row>
    <row r="1731" ht="15.75" customHeight="1">
      <c r="A1731" s="66">
        <f>'Main dataset (DEPRECATED)'!Q1732</f>
        <v>1250421</v>
      </c>
      <c r="B1731" s="66" t="str">
        <f>IFERROR(__xludf.DUMMYFUNCTION("SPLIT('Main dataset (DEPRECATED2)'!N1732,"";"")"),"#VALUE!")</f>
        <v>#VALUE!</v>
      </c>
      <c r="C1731" s="66" t="s">
        <v>7030</v>
      </c>
      <c r="D1731" s="66" t="s">
        <v>10621</v>
      </c>
      <c r="E1731" s="66" t="s">
        <v>6350</v>
      </c>
    </row>
    <row r="1732" ht="15.75" customHeight="1">
      <c r="A1732" s="66">
        <f>'Main dataset (DEPRECATED)'!Q1733</f>
        <v>1250383</v>
      </c>
      <c r="B1732" s="66" t="str">
        <f>IFERROR(__xludf.DUMMYFUNCTION("SPLIT('Main dataset (DEPRECATED2)'!N1733,"";"")"),"#VALUE!")</f>
        <v>#VALUE!</v>
      </c>
      <c r="C1732" s="66" t="s">
        <v>7361</v>
      </c>
      <c r="D1732" s="66" t="s">
        <v>8047</v>
      </c>
      <c r="E1732" s="66" t="s">
        <v>9018</v>
      </c>
    </row>
    <row r="1733" ht="15.75" customHeight="1">
      <c r="A1733" s="66">
        <f>'Main dataset (DEPRECATED)'!Q1734</f>
        <v>1250374</v>
      </c>
      <c r="B1733" s="66" t="str">
        <f>IFERROR(__xludf.DUMMYFUNCTION("SPLIT('Main dataset (DEPRECATED2)'!N1734,"";"")"),"#VALUE!")</f>
        <v>#VALUE!</v>
      </c>
      <c r="C1733" s="66" t="s">
        <v>4285</v>
      </c>
      <c r="D1733" s="66" t="s">
        <v>11408</v>
      </c>
    </row>
    <row r="1734" ht="15.75" customHeight="1">
      <c r="A1734" s="66">
        <f>'Main dataset (DEPRECATED)'!Q1735</f>
        <v>1250382</v>
      </c>
      <c r="B1734" s="66" t="str">
        <f>IFERROR(__xludf.DUMMYFUNCTION("SPLIT('Main dataset (DEPRECATED2)'!N1735,"";"")"),"#VALUE!")</f>
        <v>#VALUE!</v>
      </c>
      <c r="C1734" s="66" t="s">
        <v>11379</v>
      </c>
      <c r="D1734" s="66" t="s">
        <v>11787</v>
      </c>
      <c r="E1734" s="66" t="s">
        <v>8645</v>
      </c>
      <c r="F1734" s="66" t="s">
        <v>8240</v>
      </c>
    </row>
    <row r="1735" ht="15.75" customHeight="1">
      <c r="A1735" s="66">
        <f>'Main dataset (DEPRECATED)'!Q1736</f>
        <v>1250426</v>
      </c>
      <c r="B1735" s="66" t="str">
        <f>IFERROR(__xludf.DUMMYFUNCTION("SPLIT('Main dataset (DEPRECATED2)'!N1736,"";"")"),"#VALUE!")</f>
        <v>#VALUE!</v>
      </c>
      <c r="C1735" s="66" t="s">
        <v>8784</v>
      </c>
      <c r="D1735" s="66" t="s">
        <v>9930</v>
      </c>
      <c r="E1735" s="66" t="s">
        <v>10767</v>
      </c>
    </row>
    <row r="1736" ht="15.75" customHeight="1">
      <c r="A1736" s="66">
        <f>'Main dataset (DEPRECATED)'!Q1737</f>
        <v>1173161</v>
      </c>
      <c r="B1736" s="66" t="str">
        <f>IFERROR(__xludf.DUMMYFUNCTION("SPLIT('Main dataset (DEPRECATED2)'!N1737,"";"")"),"#VALUE!")</f>
        <v>#VALUE!</v>
      </c>
      <c r="C1736" s="66" t="s">
        <v>10243</v>
      </c>
      <c r="D1736" s="66" t="s">
        <v>6822</v>
      </c>
    </row>
    <row r="1737" ht="15.75" customHeight="1">
      <c r="A1737" s="66">
        <f>'Main dataset (DEPRECATED)'!Q1738</f>
        <v>1173152</v>
      </c>
      <c r="B1737" s="66" t="str">
        <f>IFERROR(__xludf.DUMMYFUNCTION("SPLIT('Main dataset (DEPRECATED2)'!N1738,"";"")"),"#VALUE!")</f>
        <v>#VALUE!</v>
      </c>
      <c r="C1737" s="66" t="s">
        <v>9224</v>
      </c>
    </row>
    <row r="1738" ht="15.75" customHeight="1">
      <c r="A1738" s="66">
        <f>'Main dataset (DEPRECATED)'!Q1739</f>
        <v>1173159</v>
      </c>
      <c r="B1738" s="66" t="str">
        <f>IFERROR(__xludf.DUMMYFUNCTION("SPLIT('Main dataset (DEPRECATED2)'!N1739,"";"")"),"#VALUE!")</f>
        <v>#VALUE!</v>
      </c>
      <c r="C1738" s="66" t="s">
        <v>6783</v>
      </c>
      <c r="D1738" s="66" t="s">
        <v>8066</v>
      </c>
    </row>
    <row r="1739" ht="15.75" customHeight="1">
      <c r="A1739" s="66">
        <f>'Main dataset (DEPRECATED)'!Q1740</f>
        <v>1173157</v>
      </c>
      <c r="B1739" s="66" t="str">
        <f>IFERROR(__xludf.DUMMYFUNCTION("SPLIT('Main dataset (DEPRECATED2)'!N1740,"";"")"),"#VALUE!")</f>
        <v>#VALUE!</v>
      </c>
      <c r="C1739" s="66" t="s">
        <v>8974</v>
      </c>
      <c r="D1739" s="66" t="s">
        <v>7273</v>
      </c>
    </row>
    <row r="1740" ht="15.75" customHeight="1">
      <c r="A1740" s="66">
        <f>'Main dataset (DEPRECATED)'!Q1741</f>
        <v>1173155</v>
      </c>
      <c r="B1740" s="66" t="str">
        <f>IFERROR(__xludf.DUMMYFUNCTION("SPLIT('Main dataset (DEPRECATED2)'!N1741,"";"")"),"#VALUE!")</f>
        <v>#VALUE!</v>
      </c>
    </row>
    <row r="1741" ht="15.75" customHeight="1">
      <c r="A1741" s="66">
        <f>'Main dataset (DEPRECATED)'!Q1742</f>
        <v>1173153</v>
      </c>
      <c r="B1741" s="66" t="str">
        <f>IFERROR(__xludf.DUMMYFUNCTION("SPLIT('Main dataset (DEPRECATED2)'!N1742,"";"")"),"#VALUE!")</f>
        <v>#VALUE!</v>
      </c>
      <c r="C1741" s="66" t="s">
        <v>11200</v>
      </c>
    </row>
    <row r="1742" ht="15.75" customHeight="1">
      <c r="A1742" s="66">
        <f>'Main dataset (DEPRECATED)'!Q1743</f>
        <v>1173143</v>
      </c>
      <c r="B1742" s="66" t="str">
        <f>IFERROR(__xludf.DUMMYFUNCTION("SPLIT('Main dataset (DEPRECATED2)'!N1743,"";"")"),"#VALUE!")</f>
        <v>#VALUE!</v>
      </c>
      <c r="C1742" s="66" t="s">
        <v>6857</v>
      </c>
      <c r="D1742" s="66" t="s">
        <v>11682</v>
      </c>
    </row>
    <row r="1743" ht="15.75" customHeight="1">
      <c r="A1743" s="66">
        <f>'Main dataset (DEPRECATED)'!Q1744</f>
        <v>1173150</v>
      </c>
      <c r="B1743" s="66" t="str">
        <f>IFERROR(__xludf.DUMMYFUNCTION("SPLIT('Main dataset (DEPRECATED2)'!N1744,"";"")"),"#VALUE!")</f>
        <v>#VALUE!</v>
      </c>
      <c r="C1743" s="66" t="s">
        <v>8766</v>
      </c>
    </row>
    <row r="1744" ht="15.75" customHeight="1">
      <c r="A1744" s="66">
        <f>'Main dataset (DEPRECATED)'!Q1745</f>
        <v>1173162</v>
      </c>
      <c r="B1744" s="66" t="str">
        <f>IFERROR(__xludf.DUMMYFUNCTION("SPLIT('Main dataset (DEPRECATED2)'!N1745,"";"")"),"#VALUE!")</f>
        <v>#VALUE!</v>
      </c>
    </row>
    <row r="1745" ht="15.75" customHeight="1">
      <c r="A1745" s="66">
        <f>'Main dataset (DEPRECATED)'!Q1746</f>
        <v>1173164</v>
      </c>
      <c r="B1745" s="66" t="str">
        <f>IFERROR(__xludf.DUMMYFUNCTION("SPLIT('Main dataset (DEPRECATED2)'!N1746,"";"")"),"#VALUE!")</f>
        <v>#VALUE!</v>
      </c>
    </row>
    <row r="1746" ht="15.75" customHeight="1">
      <c r="A1746" s="66">
        <f>'Main dataset (DEPRECATED)'!Q1747</f>
        <v>1173144</v>
      </c>
      <c r="B1746" s="66" t="str">
        <f>IFERROR(__xludf.DUMMYFUNCTION("SPLIT('Main dataset (DEPRECATED2)'!N1747,"";"")"),"#VALUE!")</f>
        <v>#VALUE!</v>
      </c>
      <c r="C1746" s="66" t="s">
        <v>9668</v>
      </c>
      <c r="D1746" s="66" t="s">
        <v>9775</v>
      </c>
      <c r="E1746" s="66" t="s">
        <v>10420</v>
      </c>
    </row>
    <row r="1747" ht="15.75" customHeight="1">
      <c r="A1747" s="66">
        <f>'Main dataset (DEPRECATED)'!Q1748</f>
        <v>1173146</v>
      </c>
      <c r="B1747" s="66" t="str">
        <f>IFERROR(__xludf.DUMMYFUNCTION("SPLIT('Main dataset (DEPRECATED2)'!N1748,"";"")"),"#VALUE!")</f>
        <v>#VALUE!</v>
      </c>
      <c r="C1747" s="66" t="s">
        <v>10441</v>
      </c>
      <c r="D1747" s="66" t="s">
        <v>8198</v>
      </c>
    </row>
    <row r="1748" ht="15.75" customHeight="1">
      <c r="A1748" s="66">
        <f>'Main dataset (DEPRECATED)'!Q1749</f>
        <v>1173156</v>
      </c>
      <c r="B1748" s="66" t="str">
        <f>IFERROR(__xludf.DUMMYFUNCTION("SPLIT('Main dataset (DEPRECATED2)'!N1749,"";"")"),"#VALUE!")</f>
        <v>#VALUE!</v>
      </c>
      <c r="C1748" s="66" t="s">
        <v>9930</v>
      </c>
    </row>
    <row r="1749" ht="15.75" customHeight="1">
      <c r="A1749" s="66">
        <f>'Main dataset (DEPRECATED)'!Q1750</f>
        <v>1173140</v>
      </c>
      <c r="B1749" s="66" t="str">
        <f>IFERROR(__xludf.DUMMYFUNCTION("SPLIT('Main dataset (DEPRECATED2)'!N1750,"";"")"),"#VALUE!")</f>
        <v>#VALUE!</v>
      </c>
    </row>
    <row r="1750" ht="15.75" customHeight="1">
      <c r="A1750" s="66">
        <f>'Main dataset (DEPRECATED)'!Q1751</f>
        <v>1173151</v>
      </c>
      <c r="B1750" s="66" t="str">
        <f>IFERROR(__xludf.DUMMYFUNCTION("SPLIT('Main dataset (DEPRECATED2)'!N1751,"";"")"),"#VALUE!")</f>
        <v>#VALUE!</v>
      </c>
      <c r="C1750" s="66" t="s">
        <v>11333</v>
      </c>
      <c r="D1750" s="66" t="s">
        <v>10295</v>
      </c>
    </row>
    <row r="1751" ht="15.75" customHeight="1">
      <c r="A1751" s="66">
        <f>'Main dataset (DEPRECATED)'!Q1752</f>
        <v>1173158</v>
      </c>
      <c r="B1751" s="66" t="str">
        <f>IFERROR(__xludf.DUMMYFUNCTION("SPLIT('Main dataset (DEPRECATED2)'!N1752,"";"")"),"#VALUE!")</f>
        <v>#VALUE!</v>
      </c>
      <c r="C1751" s="66" t="s">
        <v>9978</v>
      </c>
      <c r="D1751" s="66" t="s">
        <v>9667</v>
      </c>
    </row>
    <row r="1752" ht="15.75" customHeight="1">
      <c r="A1752" s="66">
        <f>'Main dataset (DEPRECATED)'!Q1753</f>
        <v>1173141</v>
      </c>
      <c r="B1752" s="66" t="str">
        <f>IFERROR(__xludf.DUMMYFUNCTION("SPLIT('Main dataset (DEPRECATED2)'!N1753,"";"")"),"#VALUE!")</f>
        <v>#VALUE!</v>
      </c>
      <c r="C1752" s="66" t="s">
        <v>10957</v>
      </c>
      <c r="D1752" s="66" t="s">
        <v>8046</v>
      </c>
    </row>
    <row r="1753" ht="15.75" customHeight="1">
      <c r="A1753" s="66">
        <f>'Main dataset (DEPRECATED)'!Q1754</f>
        <v>1173149</v>
      </c>
      <c r="B1753" s="66" t="str">
        <f>IFERROR(__xludf.DUMMYFUNCTION("SPLIT('Main dataset (DEPRECATED2)'!N1754,"";"")"),"#VALUE!")</f>
        <v>#VALUE!</v>
      </c>
      <c r="C1753" s="66" t="s">
        <v>8093</v>
      </c>
      <c r="D1753" s="66" t="s">
        <v>10326</v>
      </c>
      <c r="E1753" s="66" t="s">
        <v>7887</v>
      </c>
    </row>
    <row r="1754" ht="15.75" customHeight="1">
      <c r="A1754" s="66">
        <f>'Main dataset (DEPRECATED)'!Q1755</f>
        <v>1173148</v>
      </c>
      <c r="B1754" s="66" t="str">
        <f>IFERROR(__xludf.DUMMYFUNCTION("SPLIT('Main dataset (DEPRECATED2)'!N1755,"";"")"),"#VALUE!")</f>
        <v>#VALUE!</v>
      </c>
      <c r="C1754" s="66" t="s">
        <v>7894</v>
      </c>
      <c r="D1754" s="66" t="s">
        <v>6415</v>
      </c>
    </row>
    <row r="1755" ht="15.75" customHeight="1">
      <c r="A1755" s="66">
        <f>'Main dataset (DEPRECATED)'!Q1756</f>
        <v>1173147</v>
      </c>
      <c r="B1755" s="66" t="str">
        <f>IFERROR(__xludf.DUMMYFUNCTION("SPLIT('Main dataset (DEPRECATED2)'!N1756,"";"")"),"#VALUE!")</f>
        <v>#VALUE!</v>
      </c>
      <c r="C1755" s="66" t="s">
        <v>6507</v>
      </c>
      <c r="D1755" s="66" t="s">
        <v>7582</v>
      </c>
    </row>
    <row r="1756" ht="15.75" customHeight="1">
      <c r="A1756" s="66">
        <f>'Main dataset (DEPRECATED)'!Q1757</f>
        <v>1173163</v>
      </c>
      <c r="B1756" s="66" t="str">
        <f>IFERROR(__xludf.DUMMYFUNCTION("SPLIT('Main dataset (DEPRECATED2)'!N1757,"";"")"),"#VALUE!")</f>
        <v>#VALUE!</v>
      </c>
      <c r="C1756" s="66" t="s">
        <v>7379</v>
      </c>
    </row>
    <row r="1757" ht="15.75" customHeight="1">
      <c r="A1757" s="66">
        <f>'Main dataset (DEPRECATED)'!Q1758</f>
        <v>1173160</v>
      </c>
      <c r="B1757" s="66" t="str">
        <f>IFERROR(__xludf.DUMMYFUNCTION("SPLIT('Main dataset (DEPRECATED2)'!N1758,"";"")"),"#VALUE!")</f>
        <v>#VALUE!</v>
      </c>
      <c r="C1757" s="66" t="s">
        <v>7024</v>
      </c>
    </row>
    <row r="1758" ht="15.75" customHeight="1">
      <c r="A1758" s="66">
        <f>'Main dataset (DEPRECATED)'!Q1759</f>
        <v>1173142</v>
      </c>
      <c r="B1758" s="66" t="str">
        <f>IFERROR(__xludf.DUMMYFUNCTION("SPLIT('Main dataset (DEPRECATED2)'!N1759,"";"")"),"#VALUE!")</f>
        <v>#VALUE!</v>
      </c>
      <c r="C1758" s="66" t="s">
        <v>7003</v>
      </c>
      <c r="D1758" s="66" t="s">
        <v>10325</v>
      </c>
    </row>
    <row r="1759" ht="15.75" customHeight="1">
      <c r="A1759" s="66">
        <f>'Main dataset (DEPRECATED)'!Q1760</f>
        <v>1173154</v>
      </c>
      <c r="B1759" s="66" t="str">
        <f>IFERROR(__xludf.DUMMYFUNCTION("SPLIT('Main dataset (DEPRECATED2)'!N1760,"";"")"),"#VALUE!")</f>
        <v>#VALUE!</v>
      </c>
      <c r="C1759" s="66" t="s">
        <v>7682</v>
      </c>
    </row>
    <row r="1760" ht="15.75" customHeight="1">
      <c r="A1760" s="66">
        <f>'Main dataset (DEPRECATED)'!Q1761</f>
        <v>1173145</v>
      </c>
      <c r="B1760" s="66" t="str">
        <f>IFERROR(__xludf.DUMMYFUNCTION("SPLIT('Main dataset (DEPRECATED2)'!N1761,"";"")"),"#VALUE!")</f>
        <v>#VALUE!</v>
      </c>
      <c r="C1760" s="66" t="s">
        <v>9176</v>
      </c>
    </row>
    <row r="1761" ht="15.75" customHeight="1">
      <c r="A1761" s="66">
        <f>'Main dataset (DEPRECATED)'!Q1762</f>
        <v>1183821</v>
      </c>
      <c r="B1761" s="66" t="str">
        <f>IFERROR(__xludf.DUMMYFUNCTION("SPLIT('Main dataset (DEPRECATED2)'!N1762,"";"")"),"#VALUE!")</f>
        <v>#VALUE!</v>
      </c>
      <c r="C1761" s="66" t="s">
        <v>9842</v>
      </c>
      <c r="D1761" s="66" t="s">
        <v>10368</v>
      </c>
      <c r="E1761" s="66" t="s">
        <v>10610</v>
      </c>
    </row>
    <row r="1762" ht="15.75" customHeight="1">
      <c r="A1762" s="66">
        <f>'Main dataset (DEPRECATED)'!Q1763</f>
        <v>1183826</v>
      </c>
      <c r="B1762" s="66" t="str">
        <f>IFERROR(__xludf.DUMMYFUNCTION("SPLIT('Main dataset (DEPRECATED2)'!N1763,"";"")"),"#VALUE!")</f>
        <v>#VALUE!</v>
      </c>
      <c r="C1762" s="66" t="s">
        <v>10834</v>
      </c>
    </row>
    <row r="1763" ht="15.75" customHeight="1">
      <c r="A1763" s="66">
        <f>'Main dataset (DEPRECATED)'!Q1764</f>
        <v>1183823</v>
      </c>
      <c r="B1763" s="66" t="str">
        <f>IFERROR(__xludf.DUMMYFUNCTION("SPLIT('Main dataset (DEPRECATED2)'!N1764,"";"")"),"#VALUE!")</f>
        <v>#VALUE!</v>
      </c>
      <c r="C1763" s="66" t="s">
        <v>9339</v>
      </c>
      <c r="D1763" s="66" t="s">
        <v>7064</v>
      </c>
      <c r="E1763" s="66" t="s">
        <v>7876</v>
      </c>
      <c r="F1763" s="66" t="s">
        <v>10630</v>
      </c>
    </row>
    <row r="1764" ht="15.75" customHeight="1">
      <c r="A1764" s="66">
        <f>'Main dataset (DEPRECATED)'!Q1765</f>
        <v>1183829</v>
      </c>
      <c r="B1764" s="66" t="str">
        <f>IFERROR(__xludf.DUMMYFUNCTION("SPLIT('Main dataset (DEPRECATED2)'!N1765,"";"")"),"#VALUE!")</f>
        <v>#VALUE!</v>
      </c>
      <c r="C1764" s="66" t="s">
        <v>10224</v>
      </c>
      <c r="D1764" s="66" t="s">
        <v>7432</v>
      </c>
    </row>
    <row r="1765" ht="15.75" customHeight="1">
      <c r="A1765" s="66">
        <f>'Main dataset (DEPRECATED)'!Q1766</f>
        <v>1183791</v>
      </c>
      <c r="B1765" s="66" t="str">
        <f>IFERROR(__xludf.DUMMYFUNCTION("SPLIT('Main dataset (DEPRECATED2)'!N1766,"";"")"),"#VALUE!")</f>
        <v>#VALUE!</v>
      </c>
      <c r="C1765" s="66" t="s">
        <v>4987</v>
      </c>
      <c r="D1765" s="66" t="s">
        <v>7735</v>
      </c>
    </row>
    <row r="1766" ht="15.75" customHeight="1">
      <c r="A1766" s="66">
        <f>'Main dataset (DEPRECATED)'!Q1767</f>
        <v>1183765</v>
      </c>
      <c r="B1766" s="66" t="str">
        <f>IFERROR(__xludf.DUMMYFUNCTION("SPLIT('Main dataset (DEPRECATED2)'!N1767,"";"")"),"#VALUE!")</f>
        <v>#VALUE!</v>
      </c>
      <c r="C1766" s="66" t="s">
        <v>10525</v>
      </c>
    </row>
    <row r="1767" ht="15.75" customHeight="1">
      <c r="A1767" s="66">
        <f>'Main dataset (DEPRECATED)'!Q1768</f>
        <v>1183776</v>
      </c>
      <c r="B1767" s="66" t="str">
        <f>IFERROR(__xludf.DUMMYFUNCTION("SPLIT('Main dataset (DEPRECATED2)'!N1768,"";"")"),"#VALUE!")</f>
        <v>#VALUE!</v>
      </c>
      <c r="C1767" s="66" t="s">
        <v>8457</v>
      </c>
      <c r="D1767" s="66" t="s">
        <v>6803</v>
      </c>
    </row>
    <row r="1768" ht="15.75" customHeight="1">
      <c r="A1768" s="66">
        <f>'Main dataset (DEPRECATED)'!Q1769</f>
        <v>1183806</v>
      </c>
      <c r="B1768" s="66" t="str">
        <f>IFERROR(__xludf.DUMMYFUNCTION("SPLIT('Main dataset (DEPRECATED2)'!N1769,"";"")"),"#VALUE!")</f>
        <v>#VALUE!</v>
      </c>
      <c r="C1768" s="66" t="s">
        <v>9667</v>
      </c>
    </row>
    <row r="1769" ht="15.75" customHeight="1">
      <c r="A1769" s="66">
        <f>'Main dataset (DEPRECATED)'!Q1770</f>
        <v>1183808</v>
      </c>
      <c r="B1769" s="66" t="str">
        <f>IFERROR(__xludf.DUMMYFUNCTION("SPLIT('Main dataset (DEPRECATED2)'!N1770,"";"")"),"#VALUE!")</f>
        <v>#VALUE!</v>
      </c>
      <c r="C1769" s="66" t="s">
        <v>8289</v>
      </c>
      <c r="D1769" s="66" t="s">
        <v>10919</v>
      </c>
    </row>
    <row r="1770" ht="15.75" customHeight="1">
      <c r="A1770" s="66">
        <f>'Main dataset (DEPRECATED)'!Q1771</f>
        <v>1183803</v>
      </c>
      <c r="B1770" s="66" t="str">
        <f>IFERROR(__xludf.DUMMYFUNCTION("SPLIT('Main dataset (DEPRECATED2)'!N1771,"";"")"),"#VALUE!")</f>
        <v>#VALUE!</v>
      </c>
      <c r="C1770" s="66" t="s">
        <v>8107</v>
      </c>
    </row>
    <row r="1771" ht="15.75" customHeight="1">
      <c r="A1771" s="66">
        <f>'Main dataset (DEPRECATED)'!Q1772</f>
        <v>1183807</v>
      </c>
      <c r="B1771" s="66" t="str">
        <f>IFERROR(__xludf.DUMMYFUNCTION("SPLIT('Main dataset (DEPRECATED2)'!N1772,"";"")"),"#VALUE!")</f>
        <v>#VALUE!</v>
      </c>
    </row>
    <row r="1772" ht="15.75" customHeight="1">
      <c r="A1772" s="66">
        <f>'Main dataset (DEPRECATED)'!Q1773</f>
        <v>1183804</v>
      </c>
      <c r="B1772" s="66" t="str">
        <f>IFERROR(__xludf.DUMMYFUNCTION("SPLIT('Main dataset (DEPRECATED2)'!N1773,"";"")"),"#VALUE!")</f>
        <v>#VALUE!</v>
      </c>
      <c r="C1772" s="66" t="s">
        <v>11192</v>
      </c>
    </row>
    <row r="1773" ht="15.75" customHeight="1">
      <c r="A1773" s="66">
        <f>'Main dataset (DEPRECATED)'!Q1774</f>
        <v>1183795</v>
      </c>
      <c r="B1773" s="66" t="str">
        <f>IFERROR(__xludf.DUMMYFUNCTION("SPLIT('Main dataset (DEPRECATED2)'!N1774,"";"")"),"#VALUE!")</f>
        <v>#VALUE!</v>
      </c>
      <c r="C1773" s="66" t="s">
        <v>6978</v>
      </c>
      <c r="D1773" s="66" t="s">
        <v>7801</v>
      </c>
      <c r="E1773" s="66" t="s">
        <v>9086</v>
      </c>
    </row>
    <row r="1774" ht="15.75" customHeight="1">
      <c r="A1774" s="66">
        <f>'Main dataset (DEPRECATED)'!Q1775</f>
        <v>1183827</v>
      </c>
      <c r="B1774" s="66" t="str">
        <f>IFERROR(__xludf.DUMMYFUNCTION("SPLIT('Main dataset (DEPRECATED2)'!N1775,"";"")"),"#VALUE!")</f>
        <v>#VALUE!</v>
      </c>
    </row>
    <row r="1775" ht="15.75" customHeight="1">
      <c r="A1775" s="66">
        <f>'Main dataset (DEPRECATED)'!Q1776</f>
        <v>1183815</v>
      </c>
      <c r="B1775" s="66" t="str">
        <f>IFERROR(__xludf.DUMMYFUNCTION("SPLIT('Main dataset (DEPRECATED2)'!N1776,"";"")"),"#VALUE!")</f>
        <v>#VALUE!</v>
      </c>
    </row>
    <row r="1776" ht="15.75" customHeight="1">
      <c r="A1776" s="66">
        <f>'Main dataset (DEPRECATED)'!Q1777</f>
        <v>1183818</v>
      </c>
      <c r="B1776" s="66" t="str">
        <f>IFERROR(__xludf.DUMMYFUNCTION("SPLIT('Main dataset (DEPRECATED2)'!N1777,"";"")"),"#VALUE!")</f>
        <v>#VALUE!</v>
      </c>
      <c r="C1776" s="66" t="s">
        <v>10761</v>
      </c>
      <c r="D1776" s="66" t="s">
        <v>9314</v>
      </c>
      <c r="E1776" s="66" t="s">
        <v>10668</v>
      </c>
    </row>
    <row r="1777" ht="15.75" customHeight="1">
      <c r="A1777" s="66">
        <f>'Main dataset (DEPRECATED)'!Q1778</f>
        <v>1183811</v>
      </c>
      <c r="B1777" s="66" t="str">
        <f>IFERROR(__xludf.DUMMYFUNCTION("SPLIT('Main dataset (DEPRECATED2)'!N1778,"";"")"),"#VALUE!")</f>
        <v>#VALUE!</v>
      </c>
      <c r="C1777" s="66" t="s">
        <v>7641</v>
      </c>
      <c r="D1777" s="66" t="s">
        <v>6855</v>
      </c>
      <c r="E1777" s="66" t="s">
        <v>9574</v>
      </c>
    </row>
    <row r="1778" ht="15.75" customHeight="1">
      <c r="A1778" s="66">
        <f>'Main dataset (DEPRECATED)'!Q1779</f>
        <v>1183820</v>
      </c>
      <c r="B1778" s="66" t="str">
        <f>IFERROR(__xludf.DUMMYFUNCTION("SPLIT('Main dataset (DEPRECATED2)'!N1779,"";"")"),"#VALUE!")</f>
        <v>#VALUE!</v>
      </c>
      <c r="C1778" s="66" t="s">
        <v>6322</v>
      </c>
      <c r="D1778" s="66" t="s">
        <v>10612</v>
      </c>
    </row>
    <row r="1779" ht="15.75" customHeight="1">
      <c r="A1779" s="66">
        <f>'Main dataset (DEPRECATED)'!Q1780</f>
        <v>1183816</v>
      </c>
      <c r="B1779" s="66" t="str">
        <f>IFERROR(__xludf.DUMMYFUNCTION("SPLIT('Main dataset (DEPRECATED2)'!N1780,"";"")"),"#VALUE!")</f>
        <v>#VALUE!</v>
      </c>
      <c r="C1779" s="66" t="s">
        <v>4987</v>
      </c>
      <c r="D1779" s="66" t="s">
        <v>11562</v>
      </c>
      <c r="E1779" s="66" t="s">
        <v>11583</v>
      </c>
    </row>
    <row r="1780" ht="15.75" customHeight="1">
      <c r="A1780" s="66">
        <f>'Main dataset (DEPRECATED)'!Q1781</f>
        <v>1183830</v>
      </c>
      <c r="B1780" s="66" t="str">
        <f>IFERROR(__xludf.DUMMYFUNCTION("SPLIT('Main dataset (DEPRECATED2)'!N1781,"";"")"),"#VALUE!")</f>
        <v>#VALUE!</v>
      </c>
    </row>
    <row r="1781" ht="15.75" customHeight="1">
      <c r="A1781" s="66">
        <f>'Main dataset (DEPRECATED)'!Q1782</f>
        <v>1183819</v>
      </c>
      <c r="B1781" s="66" t="str">
        <f>IFERROR(__xludf.DUMMYFUNCTION("SPLIT('Main dataset (DEPRECATED2)'!N1782,"";"")"),"#VALUE!")</f>
        <v>#VALUE!</v>
      </c>
      <c r="C1781" s="66" t="s">
        <v>10199</v>
      </c>
      <c r="D1781" s="66" t="s">
        <v>7685</v>
      </c>
    </row>
    <row r="1782" ht="15.75" customHeight="1">
      <c r="A1782" s="66">
        <f>'Main dataset (DEPRECATED)'!Q1783</f>
        <v>1183813</v>
      </c>
      <c r="B1782" s="66" t="str">
        <f>IFERROR(__xludf.DUMMYFUNCTION("SPLIT('Main dataset (DEPRECATED2)'!N1783,"";"")"),"#VALUE!")</f>
        <v>#VALUE!</v>
      </c>
      <c r="C1782" s="66" t="s">
        <v>11734</v>
      </c>
      <c r="D1782" s="66" t="s">
        <v>7322</v>
      </c>
    </row>
    <row r="1783" ht="15.75" customHeight="1">
      <c r="A1783" s="66">
        <f>'Main dataset (DEPRECATED)'!Q1784</f>
        <v>1183822</v>
      </c>
      <c r="B1783" s="66" t="str">
        <f>IFERROR(__xludf.DUMMYFUNCTION("SPLIT('Main dataset (DEPRECATED2)'!N1784,"";"")"),"#VALUE!")</f>
        <v>#VALUE!</v>
      </c>
      <c r="C1783" s="66" t="s">
        <v>7427</v>
      </c>
      <c r="D1783" s="66" t="s">
        <v>9687</v>
      </c>
    </row>
    <row r="1784" ht="15.75" customHeight="1">
      <c r="A1784" s="66">
        <f>'Main dataset (DEPRECATED)'!Q1785</f>
        <v>1183812</v>
      </c>
      <c r="B1784" s="66" t="str">
        <f>IFERROR(__xludf.DUMMYFUNCTION("SPLIT('Main dataset (DEPRECATED2)'!N1785,"";"")"),"#VALUE!")</f>
        <v>#VALUE!</v>
      </c>
      <c r="C1784" s="66" t="s">
        <v>11017</v>
      </c>
      <c r="D1784" s="66" t="s">
        <v>9521</v>
      </c>
      <c r="E1784" s="66" t="s">
        <v>10745</v>
      </c>
      <c r="F1784" s="66" t="s">
        <v>6378</v>
      </c>
      <c r="G1784" s="66" t="s">
        <v>7087</v>
      </c>
      <c r="H1784" s="66" t="s">
        <v>8199</v>
      </c>
      <c r="I1784" s="66" t="s">
        <v>7553</v>
      </c>
      <c r="J1784" s="66" t="s">
        <v>8770</v>
      </c>
      <c r="K1784" s="66" t="s">
        <v>11363</v>
      </c>
      <c r="L1784" s="66" t="s">
        <v>7502</v>
      </c>
      <c r="M1784" s="66" t="s">
        <v>10257</v>
      </c>
      <c r="N1784" s="66" t="s">
        <v>7963</v>
      </c>
      <c r="O1784" s="66" t="s">
        <v>10012</v>
      </c>
      <c r="P1784" s="66" t="s">
        <v>7887</v>
      </c>
    </row>
    <row r="1785" ht="15.75" customHeight="1">
      <c r="A1785" s="66">
        <f>'Main dataset (DEPRECATED)'!Q1786</f>
        <v>1183790</v>
      </c>
      <c r="B1785" s="66" t="str">
        <f>IFERROR(__xludf.DUMMYFUNCTION("SPLIT('Main dataset (DEPRECATED2)'!N1786,"";"")"),"#VALUE!")</f>
        <v>#VALUE!</v>
      </c>
      <c r="C1785" s="66" t="s">
        <v>6857</v>
      </c>
      <c r="D1785" s="66" t="s">
        <v>11360</v>
      </c>
    </row>
    <row r="1786" ht="15.75" customHeight="1">
      <c r="A1786" s="66">
        <f>'Main dataset (DEPRECATED)'!Q1787</f>
        <v>1183768</v>
      </c>
      <c r="B1786" s="66" t="str">
        <f>IFERROR(__xludf.DUMMYFUNCTION("SPLIT('Main dataset (DEPRECATED2)'!N1787,"";"")"),"#VALUE!")</f>
        <v>#VALUE!</v>
      </c>
      <c r="C1786" s="66" t="s">
        <v>6205</v>
      </c>
    </row>
    <row r="1787" ht="15.75" customHeight="1">
      <c r="A1787" s="66">
        <f>'Main dataset (DEPRECATED)'!Q1788</f>
        <v>1183786</v>
      </c>
      <c r="B1787" s="66" t="str">
        <f>IFERROR(__xludf.DUMMYFUNCTION("SPLIT('Main dataset (DEPRECATED2)'!N1788,"";"")"),"#VALUE!")</f>
        <v>#VALUE!</v>
      </c>
      <c r="C1787" s="66" t="s">
        <v>10193</v>
      </c>
    </row>
    <row r="1788" ht="15.75" customHeight="1">
      <c r="A1788" s="66">
        <f>'Main dataset (DEPRECATED)'!Q1789</f>
        <v>1183754</v>
      </c>
      <c r="B1788" s="66" t="str">
        <f>IFERROR(__xludf.DUMMYFUNCTION("SPLIT('Main dataset (DEPRECATED2)'!N1789,"";"")"),"#VALUE!")</f>
        <v>#VALUE!</v>
      </c>
      <c r="C1788" s="66" t="s">
        <v>7553</v>
      </c>
      <c r="D1788" s="66" t="s">
        <v>11363</v>
      </c>
      <c r="E1788" s="66" t="s">
        <v>7502</v>
      </c>
      <c r="F1788" s="66" t="s">
        <v>7887</v>
      </c>
    </row>
    <row r="1789" ht="15.75" customHeight="1">
      <c r="A1789" s="66">
        <f>'Main dataset (DEPRECATED)'!Q1790</f>
        <v>1183755</v>
      </c>
      <c r="B1789" s="66" t="str">
        <f>IFERROR(__xludf.DUMMYFUNCTION("SPLIT('Main dataset (DEPRECATED2)'!N1790,"";"")"),"#VALUE!")</f>
        <v>#VALUE!</v>
      </c>
      <c r="C1789" s="66" t="s">
        <v>10204</v>
      </c>
      <c r="D1789" s="66" t="s">
        <v>9753</v>
      </c>
    </row>
    <row r="1790" ht="15.75" customHeight="1">
      <c r="A1790" s="66">
        <f>'Main dataset (DEPRECATED)'!Q1791</f>
        <v>1183794</v>
      </c>
      <c r="B1790" s="66" t="str">
        <f>IFERROR(__xludf.DUMMYFUNCTION("SPLIT('Main dataset (DEPRECATED2)'!N1791,"";"")"),"#VALUE!")</f>
        <v>#VALUE!</v>
      </c>
      <c r="C1790" s="66" t="s">
        <v>6547</v>
      </c>
      <c r="D1790" s="66" t="s">
        <v>7834</v>
      </c>
    </row>
    <row r="1791" ht="15.75" customHeight="1">
      <c r="A1791" s="66">
        <f>'Main dataset (DEPRECATED)'!Q1792</f>
        <v>1183774</v>
      </c>
      <c r="B1791" s="66" t="str">
        <f>IFERROR(__xludf.DUMMYFUNCTION("SPLIT('Main dataset (DEPRECATED2)'!N1792,"";"")"),"#VALUE!")</f>
        <v>#VALUE!</v>
      </c>
      <c r="C1791" s="66" t="s">
        <v>6985</v>
      </c>
    </row>
    <row r="1792" ht="15.75" customHeight="1">
      <c r="A1792" s="66">
        <f>'Main dataset (DEPRECATED)'!Q1793</f>
        <v>1183771</v>
      </c>
      <c r="B1792" s="66" t="str">
        <f>IFERROR(__xludf.DUMMYFUNCTION("SPLIT('Main dataset (DEPRECATED2)'!N1793,"";"")"),"#VALUE!")</f>
        <v>#VALUE!</v>
      </c>
      <c r="C1792" s="66" t="s">
        <v>7896</v>
      </c>
      <c r="D1792" s="66" t="s">
        <v>8781</v>
      </c>
    </row>
    <row r="1793" ht="15.75" customHeight="1">
      <c r="A1793" s="66">
        <f>'Main dataset (DEPRECATED)'!Q1794</f>
        <v>1183802</v>
      </c>
      <c r="B1793" s="66" t="str">
        <f>IFERROR(__xludf.DUMMYFUNCTION("SPLIT('Main dataset (DEPRECATED2)'!N1794,"";"")"),"#VALUE!")</f>
        <v>#VALUE!</v>
      </c>
      <c r="C1793" s="66" t="s">
        <v>9725</v>
      </c>
      <c r="D1793" s="66" t="s">
        <v>10140</v>
      </c>
      <c r="E1793" s="66" t="s">
        <v>10765</v>
      </c>
      <c r="F1793" s="66" t="s">
        <v>8209</v>
      </c>
    </row>
    <row r="1794" ht="15.75" customHeight="1">
      <c r="A1794" s="66">
        <f>'Main dataset (DEPRECATED)'!Q1795</f>
        <v>1183772</v>
      </c>
      <c r="B1794" s="66" t="str">
        <f>IFERROR(__xludf.DUMMYFUNCTION("SPLIT('Main dataset (DEPRECATED2)'!N1795,"";"")"),"#VALUE!")</f>
        <v>#VALUE!</v>
      </c>
      <c r="C1794" s="66" t="s">
        <v>10399</v>
      </c>
      <c r="D1794" s="66" t="s">
        <v>7996</v>
      </c>
      <c r="E1794" s="66" t="s">
        <v>8023</v>
      </c>
    </row>
    <row r="1795" ht="15.75" customHeight="1">
      <c r="A1795" s="66">
        <f>'Main dataset (DEPRECATED)'!Q1796</f>
        <v>1183828</v>
      </c>
      <c r="B1795" s="66" t="str">
        <f>IFERROR(__xludf.DUMMYFUNCTION("SPLIT('Main dataset (DEPRECATED2)'!N1796,"";"")"),"#VALUE!")</f>
        <v>#VALUE!</v>
      </c>
      <c r="C1795" s="66" t="s">
        <v>10135</v>
      </c>
      <c r="D1795" s="66" t="s">
        <v>11704</v>
      </c>
    </row>
    <row r="1796" ht="15.75" customHeight="1">
      <c r="A1796" s="66">
        <f>'Main dataset (DEPRECATED)'!Q1797</f>
        <v>1183788</v>
      </c>
      <c r="B1796" s="66" t="str">
        <f>IFERROR(__xludf.DUMMYFUNCTION("SPLIT('Main dataset (DEPRECATED2)'!N1797,"";"")"),"#VALUE!")</f>
        <v>#VALUE!</v>
      </c>
      <c r="C1796" s="66" t="s">
        <v>10108</v>
      </c>
      <c r="D1796" s="66" t="s">
        <v>7063</v>
      </c>
    </row>
    <row r="1797" ht="15.75" customHeight="1">
      <c r="A1797" s="66">
        <f>'Main dataset (DEPRECATED)'!Q1798</f>
        <v>1183775</v>
      </c>
      <c r="B1797" s="66" t="str">
        <f>IFERROR(__xludf.DUMMYFUNCTION("SPLIT('Main dataset (DEPRECATED2)'!N1798,"";"")"),"#VALUE!")</f>
        <v>#VALUE!</v>
      </c>
      <c r="C1797" s="66" t="s">
        <v>10316</v>
      </c>
      <c r="D1797" s="66" t="s">
        <v>8645</v>
      </c>
    </row>
    <row r="1798" ht="15.75" customHeight="1">
      <c r="A1798" s="66">
        <f>'Main dataset (DEPRECATED)'!Q1799</f>
        <v>1183783</v>
      </c>
      <c r="B1798" s="66" t="str">
        <f>IFERROR(__xludf.DUMMYFUNCTION("SPLIT('Main dataset (DEPRECATED2)'!N1799,"";"")"),"#VALUE!")</f>
        <v>#VALUE!</v>
      </c>
    </row>
    <row r="1799" ht="15.75" customHeight="1">
      <c r="A1799" s="66">
        <f>'Main dataset (DEPRECATED)'!Q1800</f>
        <v>1183753</v>
      </c>
      <c r="B1799" s="66" t="str">
        <f>IFERROR(__xludf.DUMMYFUNCTION("SPLIT('Main dataset (DEPRECATED2)'!N1800,"";"")"),"#VALUE!")</f>
        <v>#VALUE!</v>
      </c>
      <c r="C1799" s="66" t="s">
        <v>8114</v>
      </c>
    </row>
    <row r="1800" ht="15.75" customHeight="1">
      <c r="A1800" s="66">
        <f>'Main dataset (DEPRECATED)'!Q1801</f>
        <v>1183781</v>
      </c>
      <c r="B1800" s="66" t="str">
        <f>IFERROR(__xludf.DUMMYFUNCTION("SPLIT('Main dataset (DEPRECATED2)'!N1801,"";"")"),"#VALUE!")</f>
        <v>#VALUE!</v>
      </c>
      <c r="C1800" s="66" t="s">
        <v>6786</v>
      </c>
      <c r="D1800" s="66" t="s">
        <v>10003</v>
      </c>
      <c r="E1800" s="66" t="s">
        <v>10893</v>
      </c>
    </row>
    <row r="1801" ht="15.75" customHeight="1">
      <c r="A1801" s="66">
        <f>'Main dataset (DEPRECATED)'!Q1802</f>
        <v>1183766</v>
      </c>
      <c r="B1801" s="66" t="str">
        <f>IFERROR(__xludf.DUMMYFUNCTION("SPLIT('Main dataset (DEPRECATED2)'!N1802,"";"")"),"#VALUE!")</f>
        <v>#VALUE!</v>
      </c>
      <c r="C1801" s="66" t="s">
        <v>11438</v>
      </c>
      <c r="D1801" s="66" t="s">
        <v>6716</v>
      </c>
      <c r="E1801" s="66" t="s">
        <v>9731</v>
      </c>
    </row>
    <row r="1802" ht="15.75" customHeight="1">
      <c r="A1802" s="66">
        <f>'Main dataset (DEPRECATED)'!Q1803</f>
        <v>1183789</v>
      </c>
      <c r="B1802" s="66" t="str">
        <f>IFERROR(__xludf.DUMMYFUNCTION("SPLIT('Main dataset (DEPRECATED2)'!N1803,"";"")"),"#VALUE!")</f>
        <v>#VALUE!</v>
      </c>
      <c r="C1802" s="66" t="s">
        <v>9170</v>
      </c>
      <c r="D1802" s="66" t="s">
        <v>11029</v>
      </c>
    </row>
    <row r="1803" ht="15.75" customHeight="1">
      <c r="A1803" s="66">
        <f>'Main dataset (DEPRECATED)'!Q1804</f>
        <v>1183801</v>
      </c>
      <c r="B1803" s="66" t="str">
        <f>IFERROR(__xludf.DUMMYFUNCTION("SPLIT('Main dataset (DEPRECATED2)'!N1804,"";"")"),"#VALUE!")</f>
        <v>#VALUE!</v>
      </c>
      <c r="C1803" s="66" t="s">
        <v>7373</v>
      </c>
    </row>
    <row r="1804" ht="15.75" customHeight="1">
      <c r="A1804" s="66">
        <f>'Main dataset (DEPRECATED)'!Q1805</f>
        <v>1183814</v>
      </c>
      <c r="B1804" s="66" t="str">
        <f>IFERROR(__xludf.DUMMYFUNCTION("SPLIT('Main dataset (DEPRECATED2)'!N1805,"";"")"),"#VALUE!")</f>
        <v>#VALUE!</v>
      </c>
      <c r="C1804" s="66" t="s">
        <v>9376</v>
      </c>
      <c r="D1804" s="66" t="s">
        <v>7515</v>
      </c>
    </row>
    <row r="1805" ht="15.75" customHeight="1">
      <c r="A1805" s="66">
        <f>'Main dataset (DEPRECATED)'!Q1806</f>
        <v>1183752</v>
      </c>
      <c r="B1805" s="66" t="str">
        <f>IFERROR(__xludf.DUMMYFUNCTION("SPLIT('Main dataset (DEPRECATED2)'!N1806,"";"")"),"#VALUE!")</f>
        <v>#VALUE!</v>
      </c>
      <c r="C1805" s="66" t="s">
        <v>11049</v>
      </c>
      <c r="D1805" s="66" t="s">
        <v>10735</v>
      </c>
      <c r="E1805" s="66" t="s">
        <v>9843</v>
      </c>
    </row>
    <row r="1806" ht="15.75" customHeight="1">
      <c r="A1806" s="66">
        <f>'Main dataset (DEPRECATED)'!Q1807</f>
        <v>1183757</v>
      </c>
      <c r="B1806" s="66" t="str">
        <f>IFERROR(__xludf.DUMMYFUNCTION("SPLIT('Main dataset (DEPRECATED2)'!N1807,"";"")"),"#VALUE!")</f>
        <v>#VALUE!</v>
      </c>
      <c r="C1806" s="66" t="s">
        <v>11318</v>
      </c>
      <c r="D1806" s="66" t="s">
        <v>7812</v>
      </c>
      <c r="E1806" s="66" t="s">
        <v>10834</v>
      </c>
    </row>
    <row r="1807" ht="15.75" customHeight="1">
      <c r="A1807" s="66">
        <f>'Main dataset (DEPRECATED)'!Q1808</f>
        <v>1183763</v>
      </c>
      <c r="B1807" s="66" t="str">
        <f>IFERROR(__xludf.DUMMYFUNCTION("SPLIT('Main dataset (DEPRECATED2)'!N1808,"";"")"),"#VALUE!")</f>
        <v>#VALUE!</v>
      </c>
      <c r="C1807" s="66" t="s">
        <v>9472</v>
      </c>
      <c r="D1807" s="66" t="s">
        <v>7313</v>
      </c>
      <c r="E1807" s="66" t="s">
        <v>7535</v>
      </c>
    </row>
    <row r="1808" ht="15.75" customHeight="1">
      <c r="A1808" s="66">
        <f>'Main dataset (DEPRECATED)'!Q1809</f>
        <v>1183764</v>
      </c>
      <c r="B1808" s="66" t="str">
        <f>IFERROR(__xludf.DUMMYFUNCTION("SPLIT('Main dataset (DEPRECATED2)'!N1809,"";"")"),"#VALUE!")</f>
        <v>#VALUE!</v>
      </c>
      <c r="C1808" s="66" t="s">
        <v>9989</v>
      </c>
      <c r="D1808" s="66" t="s">
        <v>8047</v>
      </c>
      <c r="E1808" s="66" t="s">
        <v>7361</v>
      </c>
    </row>
    <row r="1809" ht="15.75" customHeight="1">
      <c r="A1809" s="66">
        <f>'Main dataset (DEPRECATED)'!Q1810</f>
        <v>1183810</v>
      </c>
      <c r="B1809" s="66" t="str">
        <f>IFERROR(__xludf.DUMMYFUNCTION("SPLIT('Main dataset (DEPRECATED2)'!N1810,"";"")"),"#VALUE!")</f>
        <v>#VALUE!</v>
      </c>
      <c r="C1809" s="66" t="s">
        <v>7326</v>
      </c>
      <c r="D1809" s="66" t="s">
        <v>9072</v>
      </c>
      <c r="E1809" s="66" t="s">
        <v>9807</v>
      </c>
      <c r="F1809" s="66" t="s">
        <v>8560</v>
      </c>
    </row>
    <row r="1810" ht="15.75" customHeight="1">
      <c r="A1810" s="66">
        <f>'Main dataset (DEPRECATED)'!Q1811</f>
        <v>1183778</v>
      </c>
      <c r="B1810" s="66" t="str">
        <f>IFERROR(__xludf.DUMMYFUNCTION("SPLIT('Main dataset (DEPRECATED2)'!N1811,"";"")"),"#VALUE!")</f>
        <v>#VALUE!</v>
      </c>
      <c r="C1810" s="66" t="s">
        <v>6984</v>
      </c>
      <c r="D1810" s="66" t="s">
        <v>10759</v>
      </c>
      <c r="E1810" s="66" t="s">
        <v>7311</v>
      </c>
    </row>
    <row r="1811" ht="15.75" customHeight="1">
      <c r="A1811" s="66">
        <f>'Main dataset (DEPRECATED)'!Q1812</f>
        <v>1183782</v>
      </c>
      <c r="B1811" s="66" t="str">
        <f>IFERROR(__xludf.DUMMYFUNCTION("SPLIT('Main dataset (DEPRECATED2)'!N1812,"";"")"),"#VALUE!")</f>
        <v>#VALUE!</v>
      </c>
    </row>
    <row r="1812" ht="15.75" customHeight="1">
      <c r="A1812" s="66">
        <f>'Main dataset (DEPRECATED)'!Q1813</f>
        <v>1183805</v>
      </c>
      <c r="B1812" s="66" t="str">
        <f>IFERROR(__xludf.DUMMYFUNCTION("SPLIT('Main dataset (DEPRECATED2)'!N1813,"";"")"),"#VALUE!")</f>
        <v>#VALUE!</v>
      </c>
      <c r="C1812" s="66" t="s">
        <v>10821</v>
      </c>
      <c r="D1812" s="66" t="s">
        <v>4987</v>
      </c>
    </row>
    <row r="1813" ht="15.75" customHeight="1">
      <c r="A1813" s="66">
        <f>'Main dataset (DEPRECATED)'!Q1814</f>
        <v>1183773</v>
      </c>
      <c r="B1813" s="66" t="str">
        <f>IFERROR(__xludf.DUMMYFUNCTION("SPLIT('Main dataset (DEPRECATED2)'!N1814,"";"")"),"#VALUE!")</f>
        <v>#VALUE!</v>
      </c>
      <c r="C1813" s="66" t="s">
        <v>6640</v>
      </c>
      <c r="D1813" s="66" t="s">
        <v>11825</v>
      </c>
      <c r="E1813" s="66" t="s">
        <v>11438</v>
      </c>
    </row>
    <row r="1814" ht="15.75" customHeight="1">
      <c r="A1814" s="66">
        <f>'Main dataset (DEPRECATED)'!Q1815</f>
        <v>1183785</v>
      </c>
      <c r="B1814" s="66" t="str">
        <f>IFERROR(__xludf.DUMMYFUNCTION("SPLIT('Main dataset (DEPRECATED2)'!N1815,"";"")"),"#VALUE!")</f>
        <v>#VALUE!</v>
      </c>
    </row>
    <row r="1815" ht="15.75" customHeight="1">
      <c r="A1815" s="66">
        <f>'Main dataset (DEPRECATED)'!Q1816</f>
        <v>1183825</v>
      </c>
      <c r="B1815" s="66" t="str">
        <f>IFERROR(__xludf.DUMMYFUNCTION("SPLIT('Main dataset (DEPRECATED2)'!N1816,"";"")"),"#VALUE!")</f>
        <v>#VALUE!</v>
      </c>
      <c r="C1815" s="66" t="s">
        <v>9445</v>
      </c>
    </row>
    <row r="1816" ht="15.75" customHeight="1">
      <c r="A1816" s="66">
        <f>'Main dataset (DEPRECATED)'!Q1817</f>
        <v>1183777</v>
      </c>
      <c r="B1816" s="66" t="str">
        <f>IFERROR(__xludf.DUMMYFUNCTION("SPLIT('Main dataset (DEPRECATED2)'!N1817,"";"")"),"#VALUE!")</f>
        <v>#VALUE!</v>
      </c>
      <c r="C1816" s="66" t="s">
        <v>9511</v>
      </c>
      <c r="D1816" s="66" t="s">
        <v>7361</v>
      </c>
      <c r="E1816" s="66" t="s">
        <v>10135</v>
      </c>
      <c r="F1816" s="66" t="s">
        <v>8047</v>
      </c>
    </row>
    <row r="1817" ht="15.75" customHeight="1">
      <c r="A1817" s="66">
        <f>'Main dataset (DEPRECATED)'!Q1818</f>
        <v>1183760</v>
      </c>
      <c r="B1817" s="66" t="str">
        <f>IFERROR(__xludf.DUMMYFUNCTION("SPLIT('Main dataset (DEPRECATED2)'!N1818,"";"")"),"#VALUE!")</f>
        <v>#VALUE!</v>
      </c>
      <c r="C1817" s="66" t="s">
        <v>6305</v>
      </c>
    </row>
    <row r="1818" ht="15.75" customHeight="1">
      <c r="A1818" s="66">
        <f>'Main dataset (DEPRECATED)'!Q1819</f>
        <v>1183799</v>
      </c>
      <c r="B1818" s="66" t="str">
        <f>IFERROR(__xludf.DUMMYFUNCTION("SPLIT('Main dataset (DEPRECATED2)'!N1819,"";"")"),"#VALUE!")</f>
        <v>#VALUE!</v>
      </c>
      <c r="C1818" s="66" t="s">
        <v>6365</v>
      </c>
    </row>
    <row r="1819" ht="15.75" customHeight="1">
      <c r="A1819" s="66">
        <f>'Main dataset (DEPRECATED)'!Q1820</f>
        <v>1183759</v>
      </c>
      <c r="B1819" s="66" t="str">
        <f>IFERROR(__xludf.DUMMYFUNCTION("SPLIT('Main dataset (DEPRECATED2)'!N1820,"";"")"),"#VALUE!")</f>
        <v>#VALUE!</v>
      </c>
      <c r="C1819" s="66" t="s">
        <v>9222</v>
      </c>
    </row>
    <row r="1820" ht="15.75" customHeight="1">
      <c r="A1820" s="66">
        <f>'Main dataset (DEPRECATED)'!Q1821</f>
        <v>1183770</v>
      </c>
      <c r="B1820" s="66" t="str">
        <f>IFERROR(__xludf.DUMMYFUNCTION("SPLIT('Main dataset (DEPRECATED2)'!N1821,"";"")"),"#VALUE!")</f>
        <v>#VALUE!</v>
      </c>
      <c r="C1820" s="66" t="s">
        <v>8301</v>
      </c>
    </row>
    <row r="1821" ht="15.75" customHeight="1">
      <c r="A1821" s="66">
        <f>'Main dataset (DEPRECATED)'!Q1822</f>
        <v>1183817</v>
      </c>
      <c r="B1821" s="66" t="str">
        <f>IFERROR(__xludf.DUMMYFUNCTION("SPLIT('Main dataset (DEPRECATED2)'!N1822,"";"")"),"#VALUE!")</f>
        <v>#VALUE!</v>
      </c>
      <c r="C1821" s="66" t="s">
        <v>10045</v>
      </c>
      <c r="D1821" s="66" t="s">
        <v>10518</v>
      </c>
      <c r="E1821" s="66" t="s">
        <v>10661</v>
      </c>
    </row>
    <row r="1822" ht="15.75" customHeight="1">
      <c r="A1822" s="66">
        <f>'Main dataset (DEPRECATED)'!Q1823</f>
        <v>1183769</v>
      </c>
      <c r="B1822" s="66" t="str">
        <f>IFERROR(__xludf.DUMMYFUNCTION("SPLIT('Main dataset (DEPRECATED2)'!N1823,"";"")"),"#VALUE!")</f>
        <v>#VALUE!</v>
      </c>
      <c r="C1822" s="66" t="s">
        <v>10135</v>
      </c>
    </row>
    <row r="1823" ht="15.75" customHeight="1">
      <c r="A1823" s="66">
        <f>'Main dataset (DEPRECATED)'!Q1824</f>
        <v>1183800</v>
      </c>
      <c r="B1823" s="66" t="str">
        <f>IFERROR(__xludf.DUMMYFUNCTION("SPLIT('Main dataset (DEPRECATED2)'!N1824,"";"")"),"#VALUE!")</f>
        <v>#VALUE!</v>
      </c>
      <c r="C1823" s="66" t="s">
        <v>6251</v>
      </c>
      <c r="D1823" s="66" t="s">
        <v>8935</v>
      </c>
    </row>
    <row r="1824" ht="15.75" customHeight="1">
      <c r="A1824" s="66">
        <f>'Main dataset (DEPRECATED)'!Q1825</f>
        <v>1183824</v>
      </c>
      <c r="B1824" s="66" t="str">
        <f>IFERROR(__xludf.DUMMYFUNCTION("SPLIT('Main dataset (DEPRECATED2)'!N1825,"";"")"),"#VALUE!")</f>
        <v>#VALUE!</v>
      </c>
      <c r="C1824" s="66" t="s">
        <v>7049</v>
      </c>
      <c r="D1824" s="66" t="s">
        <v>9820</v>
      </c>
      <c r="E1824" s="66" t="s">
        <v>9022</v>
      </c>
      <c r="F1824" s="66" t="s">
        <v>8114</v>
      </c>
      <c r="G1824" s="66" t="s">
        <v>6150</v>
      </c>
    </row>
    <row r="1825" ht="15.75" customHeight="1">
      <c r="A1825" s="66">
        <f>'Main dataset (DEPRECATED)'!Q1826</f>
        <v>1183793</v>
      </c>
      <c r="B1825" s="66" t="str">
        <f>IFERROR(__xludf.DUMMYFUNCTION("SPLIT('Main dataset (DEPRECATED2)'!N1826,"";"")"),"#VALUE!")</f>
        <v>#VALUE!</v>
      </c>
      <c r="C1825" s="66" t="s">
        <v>10871</v>
      </c>
      <c r="D1825" s="66" t="s">
        <v>11307</v>
      </c>
      <c r="E1825" s="66" t="s">
        <v>9036</v>
      </c>
    </row>
    <row r="1826" ht="15.75" customHeight="1">
      <c r="A1826" s="66">
        <f>'Main dataset (DEPRECATED)'!Q1827</f>
        <v>1183792</v>
      </c>
      <c r="B1826" s="66" t="str">
        <f>IFERROR(__xludf.DUMMYFUNCTION("SPLIT('Main dataset (DEPRECATED2)'!N1827,"";"")"),"#VALUE!")</f>
        <v>#VALUE!</v>
      </c>
      <c r="C1826" s="66" t="s">
        <v>7645</v>
      </c>
      <c r="D1826" s="66" t="s">
        <v>11655</v>
      </c>
      <c r="E1826" s="66" t="s">
        <v>6780</v>
      </c>
    </row>
    <row r="1827" ht="15.75" customHeight="1">
      <c r="A1827" s="66">
        <f>'Main dataset (DEPRECATED)'!Q1828</f>
        <v>1183787</v>
      </c>
      <c r="B1827" s="66" t="str">
        <f>IFERROR(__xludf.DUMMYFUNCTION("SPLIT('Main dataset (DEPRECATED2)'!N1828,"";"")"),"#VALUE!")</f>
        <v>#VALUE!</v>
      </c>
      <c r="C1827" s="66" t="s">
        <v>8079</v>
      </c>
    </row>
    <row r="1828" ht="15.75" customHeight="1">
      <c r="A1828" s="66">
        <f>'Main dataset (DEPRECATED)'!Q1829</f>
        <v>1183758</v>
      </c>
      <c r="B1828" s="66" t="str">
        <f>IFERROR(__xludf.DUMMYFUNCTION("SPLIT('Main dataset (DEPRECATED2)'!N1829,"";"")"),"#VALUE!")</f>
        <v>#VALUE!</v>
      </c>
      <c r="C1828" s="66" t="s">
        <v>8047</v>
      </c>
    </row>
    <row r="1829" ht="15.75" customHeight="1">
      <c r="A1829" s="66">
        <f>'Main dataset (DEPRECATED)'!Q1830</f>
        <v>1183779</v>
      </c>
      <c r="B1829" s="66" t="str">
        <f>IFERROR(__xludf.DUMMYFUNCTION("SPLIT('Main dataset (DEPRECATED2)'!N1830,"";"")"),"#VALUE!")</f>
        <v>#VALUE!</v>
      </c>
      <c r="C1829" s="66" t="s">
        <v>11366</v>
      </c>
      <c r="D1829" s="66" t="s">
        <v>9529</v>
      </c>
      <c r="E1829" s="66" t="s">
        <v>8645</v>
      </c>
    </row>
    <row r="1830" ht="15.75" customHeight="1">
      <c r="A1830" s="66">
        <f>'Main dataset (DEPRECATED)'!Q1831</f>
        <v>1183797</v>
      </c>
      <c r="B1830" s="66" t="str">
        <f>IFERROR(__xludf.DUMMYFUNCTION("SPLIT('Main dataset (DEPRECATED2)'!N1831,"";"")"),"#VALUE!")</f>
        <v>#VALUE!</v>
      </c>
      <c r="C1830" s="66" t="s">
        <v>7358</v>
      </c>
      <c r="D1830" s="66" t="s">
        <v>8117</v>
      </c>
      <c r="E1830" s="66" t="s">
        <v>11454</v>
      </c>
    </row>
    <row r="1831" ht="15.75" customHeight="1">
      <c r="A1831" s="66">
        <f>'Main dataset (DEPRECATED)'!Q1832</f>
        <v>1183767</v>
      </c>
      <c r="B1831" s="66" t="str">
        <f>IFERROR(__xludf.DUMMYFUNCTION("SPLIT('Main dataset (DEPRECATED2)'!N1832,"";"")"),"#VALUE!")</f>
        <v>#VALUE!</v>
      </c>
      <c r="C1831" s="66" t="s">
        <v>9376</v>
      </c>
    </row>
    <row r="1832" ht="15.75" customHeight="1">
      <c r="A1832" s="66">
        <f>'Main dataset (DEPRECATED)'!Q1833</f>
        <v>1183784</v>
      </c>
      <c r="B1832" s="66" t="str">
        <f>IFERROR(__xludf.DUMMYFUNCTION("SPLIT('Main dataset (DEPRECATED2)'!N1833,"";"")"),"#VALUE!")</f>
        <v>#VALUE!</v>
      </c>
      <c r="C1832" s="66" t="s">
        <v>11113</v>
      </c>
    </row>
    <row r="1833" ht="15.75" customHeight="1">
      <c r="A1833" s="66">
        <f>'Main dataset (DEPRECATED)'!Q1834</f>
        <v>1183780</v>
      </c>
      <c r="B1833" s="66" t="str">
        <f>IFERROR(__xludf.DUMMYFUNCTION("SPLIT('Main dataset (DEPRECATED2)'!N1834,"";"")"),"#VALUE!")</f>
        <v>#VALUE!</v>
      </c>
      <c r="C1833" s="66" t="s">
        <v>6394</v>
      </c>
      <c r="D1833" s="66" t="s">
        <v>8114</v>
      </c>
    </row>
    <row r="1834" ht="15.75" customHeight="1">
      <c r="A1834" s="66">
        <f>'Main dataset (DEPRECATED)'!Q1835</f>
        <v>1183762</v>
      </c>
      <c r="B1834" s="66" t="str">
        <f>IFERROR(__xludf.DUMMYFUNCTION("SPLIT('Main dataset (DEPRECATED2)'!N1835,"";"")"),"#VALUE!")</f>
        <v>#VALUE!</v>
      </c>
      <c r="C1834" s="66" t="s">
        <v>7406</v>
      </c>
      <c r="D1834" s="66" t="s">
        <v>7432</v>
      </c>
    </row>
    <row r="1835" ht="15.75" customHeight="1">
      <c r="A1835" s="66">
        <f>'Main dataset (DEPRECATED)'!Q1836</f>
        <v>1183798</v>
      </c>
      <c r="B1835" s="66" t="str">
        <f>IFERROR(__xludf.DUMMYFUNCTION("SPLIT('Main dataset (DEPRECATED2)'!N1836,"";"")"),"#VALUE!")</f>
        <v>#VALUE!</v>
      </c>
      <c r="C1835" s="66" t="s">
        <v>9772</v>
      </c>
    </row>
    <row r="1836" ht="15.75" customHeight="1">
      <c r="A1836" s="66">
        <f>'Main dataset (DEPRECATED)'!Q1837</f>
        <v>1183809</v>
      </c>
      <c r="B1836" s="66" t="str">
        <f>IFERROR(__xludf.DUMMYFUNCTION("SPLIT('Main dataset (DEPRECATED2)'!N1837,"";"")"),"#VALUE!")</f>
        <v>#VALUE!</v>
      </c>
      <c r="C1836" s="66" t="s">
        <v>9511</v>
      </c>
      <c r="D1836" s="66" t="s">
        <v>10974</v>
      </c>
      <c r="E1836" s="66" t="s">
        <v>6460</v>
      </c>
    </row>
    <row r="1837" ht="15.75" customHeight="1">
      <c r="A1837" s="66">
        <f>'Main dataset (DEPRECATED)'!Q1838</f>
        <v>1183761</v>
      </c>
      <c r="B1837" s="66" t="str">
        <f>IFERROR(__xludf.DUMMYFUNCTION("SPLIT('Main dataset (DEPRECATED2)'!N1838,"";"")"),"#VALUE!")</f>
        <v>#VALUE!</v>
      </c>
      <c r="C1837" s="66" t="s">
        <v>7060</v>
      </c>
    </row>
    <row r="1838" ht="15.75" customHeight="1">
      <c r="A1838" s="66">
        <f>'Main dataset (DEPRECATED)'!Q1839</f>
        <v>1183796</v>
      </c>
      <c r="B1838" s="66" t="str">
        <f>IFERROR(__xludf.DUMMYFUNCTION("SPLIT('Main dataset (DEPRECATED2)'!N1839,"";"")"),"#VALUE!")</f>
        <v>#VALUE!</v>
      </c>
      <c r="C1838" s="66" t="s">
        <v>9758</v>
      </c>
    </row>
    <row r="1839" ht="15.75" customHeight="1">
      <c r="A1839" s="66">
        <f>'Main dataset (DEPRECATED)'!Q1840</f>
        <v>963291</v>
      </c>
      <c r="B1839" s="66" t="str">
        <f>IFERROR(__xludf.DUMMYFUNCTION("SPLIT('Main dataset (DEPRECATED2)'!N1840,"";"")"),"#VALUE!")</f>
        <v>#VALUE!</v>
      </c>
      <c r="C1839" s="66" t="s">
        <v>9066</v>
      </c>
    </row>
    <row r="1840" ht="15.75" customHeight="1">
      <c r="A1840" s="66">
        <f>'Main dataset (DEPRECATED)'!Q1841</f>
        <v>963290</v>
      </c>
      <c r="B1840" s="66" t="str">
        <f>IFERROR(__xludf.DUMMYFUNCTION("SPLIT('Main dataset (DEPRECATED2)'!N1841,"";"")"),"#VALUE!")</f>
        <v>#VALUE!</v>
      </c>
      <c r="C1840" s="66" t="s">
        <v>9617</v>
      </c>
    </row>
    <row r="1841" ht="15.75" customHeight="1">
      <c r="A1841" s="66">
        <f>'Main dataset (DEPRECATED)'!Q1842</f>
        <v>963289</v>
      </c>
      <c r="B1841" s="66" t="str">
        <f>IFERROR(__xludf.DUMMYFUNCTION("SPLIT('Main dataset (DEPRECATED2)'!N1842,"";"")"),"#VALUE!")</f>
        <v>#VALUE!</v>
      </c>
    </row>
    <row r="1842" ht="15.75" customHeight="1">
      <c r="A1842" s="66">
        <f>'Main dataset (DEPRECATED)'!Q1843</f>
        <v>963279</v>
      </c>
      <c r="B1842" s="66" t="str">
        <f>IFERROR(__xludf.DUMMYFUNCTION("SPLIT('Main dataset (DEPRECATED2)'!N1843,"";"")"),"#VALUE!")</f>
        <v>#VALUE!</v>
      </c>
      <c r="C1842" s="66" t="s">
        <v>7541</v>
      </c>
      <c r="D1842" s="66" t="s">
        <v>7220</v>
      </c>
      <c r="E1842" s="66" t="s">
        <v>8108</v>
      </c>
    </row>
    <row r="1843" ht="15.75" customHeight="1">
      <c r="A1843" s="66">
        <f>'Main dataset (DEPRECATED)'!Q1844</f>
        <v>963296</v>
      </c>
      <c r="B1843" s="66" t="str">
        <f>IFERROR(__xludf.DUMMYFUNCTION("SPLIT('Main dataset (DEPRECATED2)'!N1844,"";"")"),"#VALUE!")</f>
        <v>#VALUE!</v>
      </c>
      <c r="C1843" s="66" t="s">
        <v>7137</v>
      </c>
      <c r="D1843" s="66" t="s">
        <v>7732</v>
      </c>
      <c r="E1843" s="66" t="s">
        <v>7118</v>
      </c>
      <c r="F1843" s="66" t="s">
        <v>8025</v>
      </c>
      <c r="G1843" s="66" t="s">
        <v>9750</v>
      </c>
    </row>
    <row r="1844" ht="15.75" customHeight="1">
      <c r="A1844" s="66">
        <f>'Main dataset (DEPRECATED)'!Q1845</f>
        <v>963285</v>
      </c>
      <c r="B1844" s="66" t="str">
        <f>IFERROR(__xludf.DUMMYFUNCTION("SPLIT('Main dataset (DEPRECATED2)'!N1845,"";"")"),"#VALUE!")</f>
        <v>#VALUE!</v>
      </c>
      <c r="C1844" s="66" t="s">
        <v>11178</v>
      </c>
      <c r="D1844" s="66" t="s">
        <v>11200</v>
      </c>
    </row>
    <row r="1845" ht="15.75" customHeight="1">
      <c r="A1845" s="66">
        <f>'Main dataset (DEPRECATED)'!Q1846</f>
        <v>963294</v>
      </c>
      <c r="B1845" s="66" t="str">
        <f>IFERROR(__xludf.DUMMYFUNCTION("SPLIT('Main dataset (DEPRECATED2)'!N1846,"";"")"),"#VALUE!")</f>
        <v>#VALUE!</v>
      </c>
      <c r="C1845" s="66" t="s">
        <v>9168</v>
      </c>
      <c r="D1845" s="66" t="s">
        <v>9901</v>
      </c>
    </row>
    <row r="1846" ht="15.75" customHeight="1">
      <c r="A1846" s="66">
        <f>'Main dataset (DEPRECATED)'!Q1847</f>
        <v>963293</v>
      </c>
      <c r="B1846" s="66" t="str">
        <f>IFERROR(__xludf.DUMMYFUNCTION("SPLIT('Main dataset (DEPRECATED2)'!N1847,"";"")"),"#VALUE!")</f>
        <v>#VALUE!</v>
      </c>
      <c r="C1846" s="66" t="s">
        <v>6410</v>
      </c>
    </row>
    <row r="1847" ht="15.75" customHeight="1">
      <c r="A1847" s="66">
        <f>'Main dataset (DEPRECATED)'!Q1848</f>
        <v>963292</v>
      </c>
      <c r="B1847" s="66" t="str">
        <f>IFERROR(__xludf.DUMMYFUNCTION("SPLIT('Main dataset (DEPRECATED2)'!N1848,"";"")"),"#VALUE!")</f>
        <v>#VALUE!</v>
      </c>
      <c r="C1847" s="66" t="s">
        <v>9617</v>
      </c>
    </row>
    <row r="1848" ht="15.75" customHeight="1">
      <c r="A1848" s="66">
        <f>'Main dataset (DEPRECATED)'!Q1849</f>
        <v>963274</v>
      </c>
      <c r="B1848" s="66" t="str">
        <f>IFERROR(__xludf.DUMMYFUNCTION("SPLIT('Main dataset (DEPRECATED2)'!N1849,"";"")"),"#VALUE!")</f>
        <v>#VALUE!</v>
      </c>
      <c r="C1848" s="66" t="s">
        <v>8169</v>
      </c>
      <c r="D1848" s="66" t="s">
        <v>10954</v>
      </c>
    </row>
    <row r="1849" ht="15.75" customHeight="1">
      <c r="A1849" s="66">
        <f>'Main dataset (DEPRECATED)'!Q1850</f>
        <v>963275</v>
      </c>
      <c r="B1849" s="66" t="str">
        <f>IFERROR(__xludf.DUMMYFUNCTION("SPLIT('Main dataset (DEPRECATED2)'!N1850,"";"")"),"#VALUE!")</f>
        <v>#VALUE!</v>
      </c>
      <c r="C1849" s="66" t="s">
        <v>11569</v>
      </c>
      <c r="D1849" s="66" t="s">
        <v>6609</v>
      </c>
    </row>
    <row r="1850" ht="15.75" customHeight="1">
      <c r="A1850" s="66">
        <f>'Main dataset (DEPRECATED)'!Q1851</f>
        <v>963284</v>
      </c>
      <c r="B1850" s="66" t="str">
        <f>IFERROR(__xludf.DUMMYFUNCTION("SPLIT('Main dataset (DEPRECATED2)'!N1851,"";"")"),"#VALUE!")</f>
        <v>#VALUE!</v>
      </c>
      <c r="C1850" s="66" t="s">
        <v>7362</v>
      </c>
    </row>
    <row r="1851" ht="15.75" customHeight="1">
      <c r="A1851" s="66">
        <f>'Main dataset (DEPRECATED)'!Q1852</f>
        <v>963280</v>
      </c>
      <c r="B1851" s="66" t="str">
        <f>IFERROR(__xludf.DUMMYFUNCTION("SPLIT('Main dataset (DEPRECATED2)'!N1852,"";"")"),"#VALUE!")</f>
        <v>#VALUE!</v>
      </c>
      <c r="C1851" s="66" t="s">
        <v>11059</v>
      </c>
    </row>
    <row r="1852" ht="15.75" customHeight="1">
      <c r="A1852" s="66">
        <f>'Main dataset (DEPRECATED)'!Q1853</f>
        <v>963278</v>
      </c>
      <c r="B1852" s="66" t="str">
        <f>IFERROR(__xludf.DUMMYFUNCTION("SPLIT('Main dataset (DEPRECATED2)'!N1853,"";"")"),"#VALUE!")</f>
        <v>#VALUE!</v>
      </c>
    </row>
    <row r="1853" ht="15.75" customHeight="1">
      <c r="A1853" s="66">
        <f>'Main dataset (DEPRECATED)'!Q1854</f>
        <v>963282</v>
      </c>
      <c r="B1853" s="66" t="str">
        <f>IFERROR(__xludf.DUMMYFUNCTION("SPLIT('Main dataset (DEPRECATED2)'!N1854,"";"")"),"#VALUE!")</f>
        <v>#VALUE!</v>
      </c>
      <c r="C1853" s="66" t="s">
        <v>7536</v>
      </c>
      <c r="D1853" s="66" t="s">
        <v>8829</v>
      </c>
    </row>
    <row r="1854" ht="15.75" customHeight="1">
      <c r="A1854" s="66">
        <f>'Main dataset (DEPRECATED)'!Q1855</f>
        <v>963295</v>
      </c>
      <c r="B1854" s="66" t="str">
        <f>IFERROR(__xludf.DUMMYFUNCTION("SPLIT('Main dataset (DEPRECATED2)'!N1855,"";"")"),"#VALUE!")</f>
        <v>#VALUE!</v>
      </c>
      <c r="C1854" s="66" t="s">
        <v>10920</v>
      </c>
      <c r="D1854" s="66" t="s">
        <v>7315</v>
      </c>
      <c r="E1854" s="66" t="s">
        <v>11430</v>
      </c>
      <c r="F1854" s="66" t="s">
        <v>6457</v>
      </c>
      <c r="G1854" s="66" t="s">
        <v>10836</v>
      </c>
    </row>
    <row r="1855" ht="15.75" customHeight="1">
      <c r="A1855" s="66">
        <f>'Main dataset (DEPRECATED)'!Q1856</f>
        <v>963287</v>
      </c>
      <c r="B1855" s="66" t="str">
        <f>IFERROR(__xludf.DUMMYFUNCTION("SPLIT('Main dataset (DEPRECATED2)'!N1856,"";"")"),"#VALUE!")</f>
        <v>#VALUE!</v>
      </c>
      <c r="C1855" s="66" t="s">
        <v>8169</v>
      </c>
      <c r="D1855" s="66" t="s">
        <v>9870</v>
      </c>
      <c r="E1855" s="66" t="s">
        <v>8578</v>
      </c>
      <c r="F1855" s="66" t="s">
        <v>9403</v>
      </c>
    </row>
    <row r="1856" ht="15.75" customHeight="1">
      <c r="A1856" s="66">
        <f>'Main dataset (DEPRECATED)'!Q1857</f>
        <v>963283</v>
      </c>
      <c r="B1856" s="66" t="str">
        <f>IFERROR(__xludf.DUMMYFUNCTION("SPLIT('Main dataset (DEPRECATED2)'!N1857,"";"")"),"#VALUE!")</f>
        <v>#VALUE!</v>
      </c>
      <c r="C1856" s="66" t="s">
        <v>11348</v>
      </c>
    </row>
    <row r="1857" ht="15.75" customHeight="1">
      <c r="A1857" s="66">
        <f>'Main dataset (DEPRECATED)'!Q1858</f>
        <v>963288</v>
      </c>
      <c r="B1857" s="66" t="str">
        <f>IFERROR(__xludf.DUMMYFUNCTION("SPLIT('Main dataset (DEPRECATED2)'!N1858,"";"")"),"#VALUE!")</f>
        <v>#VALUE!</v>
      </c>
      <c r="C1857" s="66" t="s">
        <v>8058</v>
      </c>
      <c r="D1857" s="66" t="s">
        <v>8903</v>
      </c>
      <c r="E1857" s="66" t="s">
        <v>8280</v>
      </c>
      <c r="F1857" s="66" t="s">
        <v>7167</v>
      </c>
    </row>
    <row r="1858" ht="15.75" customHeight="1">
      <c r="A1858" s="66">
        <f>'Main dataset (DEPRECATED)'!Q1859</f>
        <v>963286</v>
      </c>
      <c r="B1858" s="66" t="str">
        <f>IFERROR(__xludf.DUMMYFUNCTION("SPLIT('Main dataset (DEPRECATED2)'!N1859,"";"")"),"#VALUE!")</f>
        <v>#VALUE!</v>
      </c>
      <c r="C1858" s="66" t="s">
        <v>9391</v>
      </c>
      <c r="D1858" s="66" t="s">
        <v>8093</v>
      </c>
    </row>
    <row r="1859" ht="15.75" customHeight="1">
      <c r="A1859" s="66">
        <f>'Main dataset (DEPRECATED)'!Q1860</f>
        <v>963277</v>
      </c>
      <c r="B1859" s="66" t="str">
        <f>IFERROR(__xludf.DUMMYFUNCTION("SPLIT('Main dataset (DEPRECATED2)'!N1860,"";"")"),"#VALUE!")</f>
        <v>#VALUE!</v>
      </c>
      <c r="C1859" s="66" t="s">
        <v>8078</v>
      </c>
      <c r="D1859" s="66" t="s">
        <v>8542</v>
      </c>
      <c r="E1859" s="66" t="s">
        <v>10767</v>
      </c>
    </row>
    <row r="1860" ht="15.75" customHeight="1">
      <c r="A1860" s="66">
        <f>'Main dataset (DEPRECATED)'!Q1861</f>
        <v>963272</v>
      </c>
      <c r="B1860" s="66" t="str">
        <f>IFERROR(__xludf.DUMMYFUNCTION("SPLIT('Main dataset (DEPRECATED2)'!N1861,"";"")"),"#VALUE!")</f>
        <v>#VALUE!</v>
      </c>
    </row>
    <row r="1861" ht="15.75" customHeight="1">
      <c r="A1861" s="66">
        <f>'Main dataset (DEPRECATED)'!Q1862</f>
        <v>963281</v>
      </c>
      <c r="B1861" s="66" t="str">
        <f>IFERROR(__xludf.DUMMYFUNCTION("SPLIT('Main dataset (DEPRECATED2)'!N1862,"";"")"),"#VALUE!")</f>
        <v>#VALUE!</v>
      </c>
      <c r="C1861" s="66" t="s">
        <v>11178</v>
      </c>
      <c r="D1861" s="66" t="s">
        <v>11200</v>
      </c>
    </row>
    <row r="1862" ht="15.75" customHeight="1">
      <c r="A1862" s="66">
        <f>'Main dataset (DEPRECATED)'!Q1863</f>
        <v>963273</v>
      </c>
      <c r="B1862" s="66" t="str">
        <f>IFERROR(__xludf.DUMMYFUNCTION("SPLIT('Main dataset (DEPRECATED2)'!N1863,"";"")"),"#VALUE!")</f>
        <v>#VALUE!</v>
      </c>
      <c r="C1862" s="66" t="s">
        <v>6195</v>
      </c>
      <c r="D1862" s="66" t="s">
        <v>9546</v>
      </c>
    </row>
    <row r="1863" ht="15.75" customHeight="1">
      <c r="A1863" s="66">
        <f>'Main dataset (DEPRECATED)'!Q1864</f>
        <v>964554</v>
      </c>
      <c r="B1863" s="66" t="str">
        <f>IFERROR(__xludf.DUMMYFUNCTION("SPLIT('Main dataset (DEPRECATED2)'!N1864,"";"")"),"#VALUE!")</f>
        <v>#VALUE!</v>
      </c>
      <c r="C1863" s="66" t="s">
        <v>10171</v>
      </c>
      <c r="D1863" s="66" t="s">
        <v>9162</v>
      </c>
      <c r="E1863" s="66" t="s">
        <v>6810</v>
      </c>
      <c r="F1863" s="66" t="s">
        <v>6281</v>
      </c>
    </row>
    <row r="1864" ht="15.75" customHeight="1">
      <c r="A1864" s="66">
        <f>'Main dataset (DEPRECATED)'!Q1865</f>
        <v>964557</v>
      </c>
      <c r="B1864" s="66" t="str">
        <f>IFERROR(__xludf.DUMMYFUNCTION("SPLIT('Main dataset (DEPRECATED2)'!N1865,"";"")"),"#VALUE!")</f>
        <v>#VALUE!</v>
      </c>
      <c r="C1864" s="66" t="s">
        <v>10834</v>
      </c>
    </row>
    <row r="1865" ht="15.75" customHeight="1">
      <c r="A1865" s="66">
        <f>'Main dataset (DEPRECATED)'!Q1866</f>
        <v>964518</v>
      </c>
      <c r="B1865" s="66" t="str">
        <f>IFERROR(__xludf.DUMMYFUNCTION("SPLIT('Main dataset (DEPRECATED2)'!N1866,"";"")"),"#VALUE!")</f>
        <v>#VALUE!</v>
      </c>
      <c r="C1865" s="66" t="s">
        <v>11642</v>
      </c>
      <c r="D1865" s="66" t="s">
        <v>7060</v>
      </c>
      <c r="E1865" s="66" t="s">
        <v>10543</v>
      </c>
      <c r="F1865" s="66" t="s">
        <v>10602</v>
      </c>
    </row>
    <row r="1866" ht="15.75" customHeight="1">
      <c r="A1866" s="66">
        <f>'Main dataset (DEPRECATED)'!Q1867</f>
        <v>964502</v>
      </c>
      <c r="B1866" s="66" t="str">
        <f>IFERROR(__xludf.DUMMYFUNCTION("SPLIT('Main dataset (DEPRECATED2)'!N1867,"";"")"),"#VALUE!")</f>
        <v>#VALUE!</v>
      </c>
      <c r="C1866" s="66" t="s">
        <v>10621</v>
      </c>
    </row>
    <row r="1867" ht="15.75" customHeight="1">
      <c r="A1867" s="66">
        <f>'Main dataset (DEPRECATED)'!Q1868</f>
        <v>964500</v>
      </c>
      <c r="B1867" s="66" t="str">
        <f>IFERROR(__xludf.DUMMYFUNCTION("SPLIT('Main dataset (DEPRECATED2)'!N1868,"";"")"),"#VALUE!")</f>
        <v>#VALUE!</v>
      </c>
      <c r="C1867" s="66" t="s">
        <v>10839</v>
      </c>
      <c r="D1867" s="66" t="s">
        <v>11848</v>
      </c>
    </row>
    <row r="1868" ht="15.75" customHeight="1">
      <c r="A1868" s="66">
        <f>'Main dataset (DEPRECATED)'!Q1869</f>
        <v>964506</v>
      </c>
      <c r="B1868" s="66" t="str">
        <f>IFERROR(__xludf.DUMMYFUNCTION("SPLIT('Main dataset (DEPRECATED2)'!N1869,"";"")"),"#VALUE!")</f>
        <v>#VALUE!</v>
      </c>
      <c r="C1868" s="66" t="s">
        <v>6538</v>
      </c>
      <c r="D1868" s="66" t="s">
        <v>7996</v>
      </c>
      <c r="E1868" s="66" t="s">
        <v>9199</v>
      </c>
      <c r="F1868" s="66" t="s">
        <v>8023</v>
      </c>
      <c r="G1868" s="66" t="s">
        <v>8560</v>
      </c>
      <c r="H1868" s="66" t="s">
        <v>8811</v>
      </c>
    </row>
    <row r="1869" ht="15.75" customHeight="1">
      <c r="A1869" s="66">
        <f>'Main dataset (DEPRECATED)'!Q1870</f>
        <v>964564</v>
      </c>
      <c r="B1869" s="66" t="str">
        <f>IFERROR(__xludf.DUMMYFUNCTION("SPLIT('Main dataset (DEPRECATED2)'!N1870,"";"")"),"#VALUE!")</f>
        <v>#VALUE!</v>
      </c>
      <c r="C1869" s="66" t="s">
        <v>6694</v>
      </c>
      <c r="D1869" s="66" t="s">
        <v>11456</v>
      </c>
    </row>
    <row r="1870" ht="15.75" customHeight="1">
      <c r="A1870" s="66">
        <f>'Main dataset (DEPRECATED)'!Q1871</f>
        <v>964521</v>
      </c>
      <c r="B1870" s="66" t="str">
        <f>IFERROR(__xludf.DUMMYFUNCTION("SPLIT('Main dataset (DEPRECATED2)'!N1871,"";"")"),"#VALUE!")</f>
        <v>#VALUE!</v>
      </c>
      <c r="C1870" s="66" t="s">
        <v>10516</v>
      </c>
    </row>
    <row r="1871" ht="15.75" customHeight="1">
      <c r="A1871" s="66">
        <f>'Main dataset (DEPRECATED)'!Q1872</f>
        <v>964545</v>
      </c>
      <c r="B1871" s="66" t="str">
        <f>IFERROR(__xludf.DUMMYFUNCTION("SPLIT('Main dataset (DEPRECATED2)'!N1872,"";"")"),"#VALUE!")</f>
        <v>#VALUE!</v>
      </c>
      <c r="C1871" s="66" t="s">
        <v>7193</v>
      </c>
      <c r="D1871" s="66" t="s">
        <v>8654</v>
      </c>
      <c r="E1871" s="66" t="s">
        <v>7144</v>
      </c>
      <c r="F1871" s="66" t="s">
        <v>8908</v>
      </c>
      <c r="G1871" s="66" t="s">
        <v>7864</v>
      </c>
      <c r="H1871" s="66" t="s">
        <v>6388</v>
      </c>
      <c r="I1871" s="66" t="s">
        <v>9904</v>
      </c>
      <c r="J1871" s="66" t="s">
        <v>6898</v>
      </c>
      <c r="K1871" s="66" t="s">
        <v>7184</v>
      </c>
    </row>
    <row r="1872" ht="15.75" customHeight="1">
      <c r="A1872" s="66">
        <f>'Main dataset (DEPRECATED)'!Q1873</f>
        <v>964535</v>
      </c>
      <c r="B1872" s="66" t="str">
        <f>IFERROR(__xludf.DUMMYFUNCTION("SPLIT('Main dataset (DEPRECATED2)'!N1873,"";"")"),"#VALUE!")</f>
        <v>#VALUE!</v>
      </c>
      <c r="C1872" s="66" t="s">
        <v>9170</v>
      </c>
      <c r="D1872" s="66" t="s">
        <v>9495</v>
      </c>
    </row>
    <row r="1873" ht="15.75" customHeight="1">
      <c r="A1873" s="66">
        <f>'Main dataset (DEPRECATED)'!Q1874</f>
        <v>964560</v>
      </c>
      <c r="B1873" s="66" t="str">
        <f>IFERROR(__xludf.DUMMYFUNCTION("SPLIT('Main dataset (DEPRECATED2)'!N1874,"";"")"),"#VALUE!")</f>
        <v>#VALUE!</v>
      </c>
      <c r="C1873" s="66" t="s">
        <v>11281</v>
      </c>
      <c r="D1873" s="66" t="s">
        <v>8908</v>
      </c>
      <c r="E1873" s="66" t="s">
        <v>8558</v>
      </c>
    </row>
    <row r="1874" ht="15.75" customHeight="1">
      <c r="A1874" s="66">
        <f>'Main dataset (DEPRECATED)'!Q1875</f>
        <v>964501</v>
      </c>
      <c r="B1874" s="66" t="str">
        <f>IFERROR(__xludf.DUMMYFUNCTION("SPLIT('Main dataset (DEPRECATED2)'!N1875,"";"")"),"#VALUE!")</f>
        <v>#VALUE!</v>
      </c>
      <c r="C1874" s="66" t="s">
        <v>8107</v>
      </c>
    </row>
    <row r="1875" ht="15.75" customHeight="1">
      <c r="A1875" s="66">
        <f>'Main dataset (DEPRECATED)'!Q1876</f>
        <v>964544</v>
      </c>
      <c r="B1875" s="66" t="str">
        <f>IFERROR(__xludf.DUMMYFUNCTION("SPLIT('Main dataset (DEPRECATED2)'!N1876,"";"")"),"#VALUE!")</f>
        <v>#VALUE!</v>
      </c>
      <c r="C1875" s="66" t="s">
        <v>9729</v>
      </c>
      <c r="D1875" s="66" t="s">
        <v>6634</v>
      </c>
    </row>
    <row r="1876" ht="15.75" customHeight="1">
      <c r="A1876" s="66">
        <f>'Main dataset (DEPRECATED)'!Q1877</f>
        <v>964547</v>
      </c>
      <c r="B1876" s="66" t="str">
        <f>IFERROR(__xludf.DUMMYFUNCTION("SPLIT('Main dataset (DEPRECATED2)'!N1877,"";"")"),"#VALUE!")</f>
        <v>#VALUE!</v>
      </c>
      <c r="C1876" s="66" t="s">
        <v>10868</v>
      </c>
      <c r="D1876" s="66" t="s">
        <v>11739</v>
      </c>
    </row>
    <row r="1877" ht="15.75" customHeight="1">
      <c r="A1877" s="66">
        <f>'Main dataset (DEPRECATED)'!Q1878</f>
        <v>964551</v>
      </c>
      <c r="B1877" s="66" t="str">
        <f>IFERROR(__xludf.DUMMYFUNCTION("SPLIT('Main dataset (DEPRECATED2)'!N1878,"";"")"),"#VALUE!")</f>
        <v>#VALUE!</v>
      </c>
    </row>
    <row r="1878" ht="15.75" customHeight="1">
      <c r="A1878" s="66">
        <f>'Main dataset (DEPRECATED)'!Q1879</f>
        <v>964553</v>
      </c>
      <c r="B1878" s="66" t="str">
        <f>IFERROR(__xludf.DUMMYFUNCTION("SPLIT('Main dataset (DEPRECATED2)'!N1879,"";"")"),"#VALUE!")</f>
        <v>#VALUE!</v>
      </c>
      <c r="C1878" s="66" t="s">
        <v>8894</v>
      </c>
      <c r="D1878" s="66" t="s">
        <v>6345</v>
      </c>
    </row>
    <row r="1879" ht="15.75" customHeight="1">
      <c r="A1879" s="66">
        <f>'Main dataset (DEPRECATED)'!Q1880</f>
        <v>964542</v>
      </c>
      <c r="B1879" s="66" t="str">
        <f>IFERROR(__xludf.DUMMYFUNCTION("SPLIT('Main dataset (DEPRECATED2)'!N1880,"";"")"),"#VALUE!")</f>
        <v>#VALUE!</v>
      </c>
      <c r="C1879" s="66" t="s">
        <v>8085</v>
      </c>
      <c r="D1879" s="66" t="s">
        <v>7432</v>
      </c>
      <c r="E1879" s="66" t="s">
        <v>7359</v>
      </c>
      <c r="F1879" s="66" t="s">
        <v>11061</v>
      </c>
    </row>
    <row r="1880" ht="15.75" customHeight="1">
      <c r="A1880" s="66">
        <f>'Main dataset (DEPRECATED)'!Q1881</f>
        <v>964549</v>
      </c>
      <c r="B1880" s="66" t="str">
        <f>IFERROR(__xludf.DUMMYFUNCTION("SPLIT('Main dataset (DEPRECATED2)'!N1881,"";"")"),"#VALUE!")</f>
        <v>#VALUE!</v>
      </c>
      <c r="C1880" s="66" t="s">
        <v>7825</v>
      </c>
      <c r="D1880" s="66" t="s">
        <v>6229</v>
      </c>
    </row>
    <row r="1881" ht="15.75" customHeight="1">
      <c r="A1881" s="66">
        <f>'Main dataset (DEPRECATED)'!Q1882</f>
        <v>964543</v>
      </c>
      <c r="B1881" s="66" t="str">
        <f>IFERROR(__xludf.DUMMYFUNCTION("SPLIT('Main dataset (DEPRECATED2)'!N1882,"";"")"),"#VALUE!")</f>
        <v>#VALUE!</v>
      </c>
      <c r="C1881" s="66" t="s">
        <v>8101</v>
      </c>
    </row>
    <row r="1882" ht="15.75" customHeight="1">
      <c r="A1882" s="66">
        <f>'Main dataset (DEPRECATED)'!Q1883</f>
        <v>964552</v>
      </c>
      <c r="B1882" s="66" t="str">
        <f>IFERROR(__xludf.DUMMYFUNCTION("SPLIT('Main dataset (DEPRECATED2)'!N1883,"";"")"),"#VALUE!")</f>
        <v>#VALUE!</v>
      </c>
      <c r="C1882" s="66" t="s">
        <v>8645</v>
      </c>
      <c r="D1882" s="66" t="s">
        <v>8020</v>
      </c>
    </row>
    <row r="1883" ht="15.75" customHeight="1">
      <c r="A1883" s="66">
        <f>'Main dataset (DEPRECATED)'!Q1884</f>
        <v>964514</v>
      </c>
      <c r="B1883" s="66" t="str">
        <f>IFERROR(__xludf.DUMMYFUNCTION("SPLIT('Main dataset (DEPRECATED2)'!N1884,"";"")"),"#VALUE!")</f>
        <v>#VALUE!</v>
      </c>
      <c r="C1883" s="66" t="s">
        <v>7432</v>
      </c>
    </row>
    <row r="1884" ht="15.75" customHeight="1">
      <c r="A1884" s="66">
        <f>'Main dataset (DEPRECATED)'!Q1885</f>
        <v>964546</v>
      </c>
      <c r="B1884" s="66" t="str">
        <f>IFERROR(__xludf.DUMMYFUNCTION("SPLIT('Main dataset (DEPRECATED2)'!N1885,"";"")"),"#VALUE!")</f>
        <v>#VALUE!</v>
      </c>
      <c r="C1884" s="66" t="s">
        <v>11192</v>
      </c>
    </row>
    <row r="1885" ht="15.75" customHeight="1">
      <c r="A1885" s="66">
        <f>'Main dataset (DEPRECATED)'!Q1886</f>
        <v>964511</v>
      </c>
      <c r="B1885" s="66" t="str">
        <f>IFERROR(__xludf.DUMMYFUNCTION("SPLIT('Main dataset (DEPRECATED2)'!N1886,"";"")"),"#VALUE!")</f>
        <v>#VALUE!</v>
      </c>
      <c r="C1885" s="66" t="s">
        <v>6805</v>
      </c>
      <c r="D1885" s="66" t="s">
        <v>7006</v>
      </c>
      <c r="E1885" s="66" t="s">
        <v>6807</v>
      </c>
    </row>
    <row r="1886" ht="15.75" customHeight="1">
      <c r="A1886" s="66">
        <f>'Main dataset (DEPRECATED)'!Q1887</f>
        <v>964532</v>
      </c>
      <c r="B1886" s="66" t="str">
        <f>IFERROR(__xludf.DUMMYFUNCTION("SPLIT('Main dataset (DEPRECATED2)'!N1887,"";"")"),"#VALUE!")</f>
        <v>#VALUE!</v>
      </c>
      <c r="C1886" s="66" t="s">
        <v>8875</v>
      </c>
      <c r="D1886" s="66" t="s">
        <v>8852</v>
      </c>
    </row>
    <row r="1887" ht="15.75" customHeight="1">
      <c r="A1887" s="66">
        <f>'Main dataset (DEPRECATED)'!Q1888</f>
        <v>964555</v>
      </c>
      <c r="B1887" s="66" t="str">
        <f>IFERROR(__xludf.DUMMYFUNCTION("SPLIT('Main dataset (DEPRECATED2)'!N1888,"";"")"),"#VALUE!")</f>
        <v>#VALUE!</v>
      </c>
      <c r="C1887" s="66" t="s">
        <v>7553</v>
      </c>
      <c r="D1887" s="66" t="s">
        <v>11363</v>
      </c>
      <c r="E1887" s="66" t="s">
        <v>10348</v>
      </c>
      <c r="F1887" s="66" t="s">
        <v>7502</v>
      </c>
      <c r="G1887" s="66" t="s">
        <v>7887</v>
      </c>
    </row>
    <row r="1888" ht="15.75" customHeight="1">
      <c r="A1888" s="66">
        <f>'Main dataset (DEPRECATED)'!Q1889</f>
        <v>964504</v>
      </c>
      <c r="B1888" s="66" t="str">
        <f>IFERROR(__xludf.DUMMYFUNCTION("SPLIT('Main dataset (DEPRECATED2)'!N1889,"";"")"),"#VALUE!")</f>
        <v>#VALUE!</v>
      </c>
      <c r="C1888" s="66" t="s">
        <v>7934</v>
      </c>
      <c r="D1888" s="66" t="s">
        <v>7834</v>
      </c>
    </row>
    <row r="1889" ht="15.75" customHeight="1">
      <c r="A1889" s="66">
        <f>'Main dataset (DEPRECATED)'!Q1890</f>
        <v>964507</v>
      </c>
      <c r="B1889" s="66" t="str">
        <f>IFERROR(__xludf.DUMMYFUNCTION("SPLIT('Main dataset (DEPRECATED2)'!N1890,"";"")"),"#VALUE!")</f>
        <v>#VALUE!</v>
      </c>
      <c r="C1889" s="66" t="s">
        <v>10399</v>
      </c>
      <c r="D1889" s="66" t="s">
        <v>7996</v>
      </c>
    </row>
    <row r="1890" ht="15.75" customHeight="1">
      <c r="A1890" s="66">
        <f>'Main dataset (DEPRECATED)'!Q1891</f>
        <v>964517</v>
      </c>
      <c r="B1890" s="66" t="str">
        <f>IFERROR(__xludf.DUMMYFUNCTION("SPLIT('Main dataset (DEPRECATED2)'!N1891,"";"")"),"#VALUE!")</f>
        <v>#VALUE!</v>
      </c>
      <c r="C1890" s="66" t="s">
        <v>7106</v>
      </c>
      <c r="D1890" s="66" t="s">
        <v>8645</v>
      </c>
    </row>
    <row r="1891" ht="15.75" customHeight="1">
      <c r="A1891" s="66" t="str">
        <f>'Main dataset (DEPRECATED)'!Q1892</f>
        <v>964541_03</v>
      </c>
      <c r="B1891" s="66" t="str">
        <f>IFERROR(__xludf.DUMMYFUNCTION("SPLIT('Main dataset (DEPRECATED2)'!N1892,"";"")"),"#VALUE!")</f>
        <v>#VALUE!</v>
      </c>
      <c r="C1891" s="66" t="s">
        <v>11353</v>
      </c>
      <c r="D1891" s="66" t="s">
        <v>10776</v>
      </c>
      <c r="E1891" s="66" t="s">
        <v>6683</v>
      </c>
      <c r="F1891" s="66" t="s">
        <v>10474</v>
      </c>
    </row>
    <row r="1892" ht="15.75" customHeight="1">
      <c r="A1892" s="66" t="str">
        <f>'Main dataset (DEPRECATED)'!Q1893</f>
        <v>964541_08</v>
      </c>
      <c r="B1892" s="66" t="str">
        <f>IFERROR(__xludf.DUMMYFUNCTION("SPLIT('Main dataset (DEPRECATED2)'!N1893,"";"")"),"#VALUE!")</f>
        <v>#VALUE!</v>
      </c>
      <c r="C1892" s="66" t="s">
        <v>7693</v>
      </c>
    </row>
    <row r="1893" ht="15.75" customHeight="1">
      <c r="A1893" s="66" t="str">
        <f>'Main dataset (DEPRECATED)'!Q1894</f>
        <v>964541_09</v>
      </c>
      <c r="B1893" s="66" t="str">
        <f>IFERROR(__xludf.DUMMYFUNCTION("SPLIT('Main dataset (DEPRECATED2)'!N1894,"";"")"),"#VALUE!")</f>
        <v>#VALUE!</v>
      </c>
      <c r="C1893" s="66" t="s">
        <v>11000</v>
      </c>
    </row>
    <row r="1894" ht="15.75" customHeight="1">
      <c r="A1894" s="66">
        <f>'Main dataset (DEPRECATED)'!Q1895</f>
        <v>964490</v>
      </c>
      <c r="B1894" s="66" t="str">
        <f>IFERROR(__xludf.DUMMYFUNCTION("SPLIT('Main dataset (DEPRECATED2)'!N1895,"";"")"),"#VALUE!")</f>
        <v>#VALUE!</v>
      </c>
      <c r="C1894" s="66" t="s">
        <v>9891</v>
      </c>
      <c r="D1894" s="66" t="s">
        <v>11174</v>
      </c>
      <c r="E1894" s="66" t="s">
        <v>7896</v>
      </c>
    </row>
    <row r="1895" ht="15.75" customHeight="1">
      <c r="A1895" s="66">
        <f>'Main dataset (DEPRECATED)'!Q1896</f>
        <v>964515</v>
      </c>
      <c r="B1895" s="66" t="str">
        <f>IFERROR(__xludf.DUMMYFUNCTION("SPLIT('Main dataset (DEPRECATED2)'!N1896,"";"")"),"#VALUE!")</f>
        <v>#VALUE!</v>
      </c>
      <c r="C1895" s="66" t="s">
        <v>11448</v>
      </c>
      <c r="D1895" s="66" t="s">
        <v>8139</v>
      </c>
    </row>
    <row r="1896" ht="15.75" customHeight="1">
      <c r="A1896" s="66">
        <f>'Main dataset (DEPRECATED)'!Q1897</f>
        <v>964524</v>
      </c>
      <c r="B1896" s="66" t="str">
        <f>IFERROR(__xludf.DUMMYFUNCTION("SPLIT('Main dataset (DEPRECATED2)'!N1897,"";"")"),"#VALUE!")</f>
        <v>#VALUE!</v>
      </c>
      <c r="C1896" s="66" t="s">
        <v>6793</v>
      </c>
      <c r="D1896" s="66" t="s">
        <v>6640</v>
      </c>
      <c r="E1896" s="66" t="s">
        <v>6365</v>
      </c>
    </row>
    <row r="1897" ht="15.75" customHeight="1">
      <c r="A1897" s="66" t="str">
        <f>'Main dataset (DEPRECATED)'!Q1898</f>
        <v>964541_05</v>
      </c>
      <c r="B1897" s="66" t="str">
        <f>IFERROR(__xludf.DUMMYFUNCTION("SPLIT('Main dataset (DEPRECATED2)'!N1898,"";"")"),"#VALUE!")</f>
        <v>#VALUE!</v>
      </c>
      <c r="C1897" s="66" t="s">
        <v>9014</v>
      </c>
      <c r="D1897" s="66" t="s">
        <v>10424</v>
      </c>
    </row>
    <row r="1898" ht="15.75" customHeight="1">
      <c r="A1898" s="66">
        <f>'Main dataset (DEPRECATED)'!Q1899</f>
        <v>964556</v>
      </c>
      <c r="B1898" s="66" t="str">
        <f>IFERROR(__xludf.DUMMYFUNCTION("SPLIT('Main dataset (DEPRECATED2)'!N1899,"";"")"),"#VALUE!")</f>
        <v>#VALUE!</v>
      </c>
      <c r="C1898" s="66" t="s">
        <v>9529</v>
      </c>
      <c r="D1898" s="66" t="s">
        <v>11373</v>
      </c>
      <c r="E1898" s="66" t="s">
        <v>11271</v>
      </c>
      <c r="F1898" s="66" t="s">
        <v>9329</v>
      </c>
    </row>
    <row r="1899" ht="15.75" customHeight="1">
      <c r="A1899" s="66">
        <f>'Main dataset (DEPRECATED)'!Q1900</f>
        <v>964512</v>
      </c>
      <c r="B1899" s="66" t="str">
        <f>IFERROR(__xludf.DUMMYFUNCTION("SPLIT('Main dataset (DEPRECATED2)'!N1900,"";"")"),"#VALUE!")</f>
        <v>#VALUE!</v>
      </c>
      <c r="C1899" s="66" t="s">
        <v>7432</v>
      </c>
    </row>
    <row r="1900" ht="15.75" customHeight="1">
      <c r="A1900" s="66">
        <f>'Main dataset (DEPRECATED)'!Q1901</f>
        <v>964491</v>
      </c>
      <c r="B1900" s="66" t="str">
        <f>IFERROR(__xludf.DUMMYFUNCTION("SPLIT('Main dataset (DEPRECATED2)'!N1901,"";"")"),"#VALUE!")</f>
        <v>#VALUE!</v>
      </c>
      <c r="C1900" s="66" t="s">
        <v>6198</v>
      </c>
      <c r="D1900" s="66" t="s">
        <v>11395</v>
      </c>
    </row>
    <row r="1901" ht="15.75" customHeight="1">
      <c r="A1901" s="66">
        <f>'Main dataset (DEPRECATED)'!Q1902</f>
        <v>964534</v>
      </c>
      <c r="B1901" s="66" t="str">
        <f>IFERROR(__xludf.DUMMYFUNCTION("SPLIT('Main dataset (DEPRECATED2)'!N1902,"";"")"),"#VALUE!")</f>
        <v>#VALUE!</v>
      </c>
      <c r="C1901" s="66" t="s">
        <v>10698</v>
      </c>
      <c r="D1901" s="66" t="s">
        <v>10621</v>
      </c>
    </row>
    <row r="1902" ht="15.75" customHeight="1">
      <c r="A1902" s="66">
        <f>'Main dataset (DEPRECATED)'!Q1903</f>
        <v>964519</v>
      </c>
      <c r="B1902" s="66" t="str">
        <f>IFERROR(__xludf.DUMMYFUNCTION("SPLIT('Main dataset (DEPRECATED2)'!N1903,"";"")"),"#VALUE!")</f>
        <v>#VALUE!</v>
      </c>
      <c r="C1902" s="66" t="s">
        <v>8729</v>
      </c>
      <c r="D1902" s="66" t="s">
        <v>8047</v>
      </c>
    </row>
    <row r="1903" ht="15.75" customHeight="1">
      <c r="A1903" s="66" t="str">
        <f>'Main dataset (DEPRECATED)'!Q1904</f>
        <v>964541_04</v>
      </c>
      <c r="B1903" s="66" t="str">
        <f>IFERROR(__xludf.DUMMYFUNCTION("SPLIT('Main dataset (DEPRECATED2)'!N1904,"";"")"),"#VALUE!")</f>
        <v>#VALUE!</v>
      </c>
      <c r="C1903" s="66" t="s">
        <v>7427</v>
      </c>
      <c r="D1903" s="66" t="s">
        <v>8336</v>
      </c>
    </row>
    <row r="1904" ht="15.75" customHeight="1">
      <c r="A1904" s="66">
        <f>'Main dataset (DEPRECATED)'!Q1905</f>
        <v>964523</v>
      </c>
      <c r="B1904" s="66" t="str">
        <f>IFERROR(__xludf.DUMMYFUNCTION("SPLIT('Main dataset (DEPRECATED2)'!N1905,"";"")"),"#VALUE!")</f>
        <v>#VALUE!</v>
      </c>
      <c r="C1904" s="66" t="s">
        <v>7896</v>
      </c>
    </row>
    <row r="1905" ht="15.75" customHeight="1">
      <c r="A1905" s="66">
        <f>'Main dataset (DEPRECATED)'!Q1906</f>
        <v>964540</v>
      </c>
      <c r="B1905" s="66" t="str">
        <f>IFERROR(__xludf.DUMMYFUNCTION("SPLIT('Main dataset (DEPRECATED2)'!N1906,"";"")"),"#VALUE!")</f>
        <v>#VALUE!</v>
      </c>
      <c r="C1905" s="66" t="s">
        <v>11363</v>
      </c>
      <c r="D1905" s="66" t="s">
        <v>8820</v>
      </c>
      <c r="E1905" s="66" t="s">
        <v>7887</v>
      </c>
    </row>
    <row r="1906" ht="15.75" customHeight="1">
      <c r="A1906" s="66">
        <f>'Main dataset (DEPRECATED)'!Q1907</f>
        <v>964528</v>
      </c>
      <c r="B1906" s="66" t="str">
        <f>IFERROR(__xludf.DUMMYFUNCTION("SPLIT('Main dataset (DEPRECATED2)'!N1907,"";"")"),"#VALUE!")</f>
        <v>#VALUE!</v>
      </c>
      <c r="C1906" s="66" t="s">
        <v>11848</v>
      </c>
    </row>
    <row r="1907" ht="15.75" customHeight="1">
      <c r="A1907" s="66">
        <f>'Main dataset (DEPRECATED)'!Q1908</f>
        <v>964529</v>
      </c>
      <c r="B1907" s="66" t="str">
        <f>IFERROR(__xludf.DUMMYFUNCTION("SPLIT('Main dataset (DEPRECATED2)'!N1908,"";"")"),"#VALUE!")</f>
        <v>#VALUE!</v>
      </c>
      <c r="C1907" s="66" t="s">
        <v>10431</v>
      </c>
    </row>
    <row r="1908" ht="15.75" customHeight="1">
      <c r="A1908" s="66">
        <f>'Main dataset (DEPRECATED)'!Q1909</f>
        <v>964498</v>
      </c>
      <c r="B1908" s="66" t="str">
        <f>IFERROR(__xludf.DUMMYFUNCTION("SPLIT('Main dataset (DEPRECATED2)'!N1909,"";"")"),"#VALUE!")</f>
        <v>#VALUE!</v>
      </c>
      <c r="C1908" s="66" t="s">
        <v>9162</v>
      </c>
      <c r="D1908" s="66" t="s">
        <v>7887</v>
      </c>
    </row>
    <row r="1909" ht="15.75" customHeight="1">
      <c r="A1909" s="66">
        <f>'Main dataset (DEPRECATED)'!Q1910</f>
        <v>964541</v>
      </c>
      <c r="B1909" s="66" t="str">
        <f>IFERROR(__xludf.DUMMYFUNCTION("SPLIT('Main dataset (DEPRECATED2)'!N1910,"";"")"),"#VALUE!")</f>
        <v>#VALUE!</v>
      </c>
      <c r="C1909" s="66" t="s">
        <v>11746</v>
      </c>
      <c r="D1909" s="66" t="s">
        <v>6689</v>
      </c>
    </row>
    <row r="1910" ht="15.75" customHeight="1">
      <c r="A1910" s="66">
        <f>'Main dataset (DEPRECATED)'!Q1911</f>
        <v>964508</v>
      </c>
      <c r="B1910" s="66" t="str">
        <f>IFERROR(__xludf.DUMMYFUNCTION("SPLIT('Main dataset (DEPRECATED2)'!N1911,"";"")"),"#VALUE!")</f>
        <v>#VALUE!</v>
      </c>
      <c r="C1910" s="66" t="s">
        <v>7836</v>
      </c>
      <c r="D1910" s="66" t="s">
        <v>8148</v>
      </c>
      <c r="E1910" s="66" t="s">
        <v>11077</v>
      </c>
      <c r="F1910" s="66" t="s">
        <v>6683</v>
      </c>
    </row>
    <row r="1911" ht="15.75" customHeight="1">
      <c r="A1911" s="66">
        <f>'Main dataset (DEPRECATED)'!Q1912</f>
        <v>964489</v>
      </c>
      <c r="B1911" s="66" t="str">
        <f>IFERROR(__xludf.DUMMYFUNCTION("SPLIT('Main dataset (DEPRECATED2)'!N1912,"";"")"),"#VALUE!")</f>
        <v>#VALUE!</v>
      </c>
      <c r="C1911" s="66" t="s">
        <v>6420</v>
      </c>
      <c r="D1911" s="66" t="s">
        <v>6978</v>
      </c>
      <c r="E1911" s="66" t="s">
        <v>7554</v>
      </c>
      <c r="F1911" s="66" t="s">
        <v>9015</v>
      </c>
      <c r="G1911" s="66" t="s">
        <v>10621</v>
      </c>
    </row>
    <row r="1912" ht="15.75" customHeight="1">
      <c r="A1912" s="66" t="str">
        <f>'Main dataset (DEPRECATED)'!Q1913</f>
        <v>964541_01</v>
      </c>
      <c r="B1912" s="66" t="str">
        <f>IFERROR(__xludf.DUMMYFUNCTION("SPLIT('Main dataset (DEPRECATED2)'!N1913,"";"")"),"#VALUE!")</f>
        <v>#VALUE!</v>
      </c>
      <c r="C1912" s="66" t="s">
        <v>9631</v>
      </c>
    </row>
    <row r="1913" ht="15.75" customHeight="1">
      <c r="A1913" s="66">
        <f>'Main dataset (DEPRECATED)'!Q1914</f>
        <v>964505</v>
      </c>
      <c r="B1913" s="66" t="str">
        <f>IFERROR(__xludf.DUMMYFUNCTION("SPLIT('Main dataset (DEPRECATED2)'!N1914,"";"")"),"#VALUE!")</f>
        <v>#VALUE!</v>
      </c>
      <c r="C1913" s="66" t="s">
        <v>8737</v>
      </c>
      <c r="D1913" s="66" t="s">
        <v>7152</v>
      </c>
      <c r="E1913" s="66" t="s">
        <v>9409</v>
      </c>
      <c r="F1913" s="66" t="s">
        <v>7105</v>
      </c>
      <c r="G1913" s="66" t="s">
        <v>11338</v>
      </c>
      <c r="H1913" s="66" t="s">
        <v>10967</v>
      </c>
    </row>
    <row r="1914" ht="15.75" customHeight="1">
      <c r="A1914" s="66">
        <f>'Main dataset (DEPRECATED)'!Q1915</f>
        <v>964531</v>
      </c>
      <c r="B1914" s="66" t="str">
        <f>IFERROR(__xludf.DUMMYFUNCTION("SPLIT('Main dataset (DEPRECATED2)'!N1915,"";"")"),"#VALUE!")</f>
        <v>#VALUE!</v>
      </c>
      <c r="C1914" s="66" t="s">
        <v>10834</v>
      </c>
    </row>
    <row r="1915" ht="15.75" customHeight="1">
      <c r="A1915" s="66">
        <f>'Main dataset (DEPRECATED)'!Q1916</f>
        <v>964522</v>
      </c>
      <c r="B1915" s="66" t="str">
        <f>IFERROR(__xludf.DUMMYFUNCTION("SPLIT('Main dataset (DEPRECATED2)'!N1916,"";"")"),"#VALUE!")</f>
        <v>#VALUE!</v>
      </c>
      <c r="C1915" s="66" t="s">
        <v>8093</v>
      </c>
    </row>
    <row r="1916" ht="15.75" customHeight="1">
      <c r="A1916" s="66">
        <f>'Main dataset (DEPRECATED)'!Q1917</f>
        <v>964516</v>
      </c>
      <c r="B1916" s="66" t="str">
        <f>IFERROR(__xludf.DUMMYFUNCTION("SPLIT('Main dataset (DEPRECATED2)'!N1917,"";"")"),"#VALUE!")</f>
        <v>#VALUE!</v>
      </c>
      <c r="C1916" s="66" t="s">
        <v>8508</v>
      </c>
      <c r="D1916" s="66" t="s">
        <v>9170</v>
      </c>
    </row>
    <row r="1917" ht="15.75" customHeight="1">
      <c r="A1917" s="66">
        <f>'Main dataset (DEPRECATED)'!Q1918</f>
        <v>964562</v>
      </c>
      <c r="B1917" s="66" t="str">
        <f>IFERROR(__xludf.DUMMYFUNCTION("SPLIT('Main dataset (DEPRECATED2)'!N1918,"";"")"),"#VALUE!")</f>
        <v>#VALUE!</v>
      </c>
      <c r="C1917" s="66" t="s">
        <v>6365</v>
      </c>
      <c r="D1917" s="66" t="s">
        <v>9107</v>
      </c>
    </row>
    <row r="1918" ht="15.75" customHeight="1">
      <c r="A1918" s="66">
        <f>'Main dataset (DEPRECATED)'!Q1919</f>
        <v>964499</v>
      </c>
      <c r="B1918" s="66" t="str">
        <f>IFERROR(__xludf.DUMMYFUNCTION("SPLIT('Main dataset (DEPRECATED2)'!N1919,"";"")"),"#VALUE!")</f>
        <v>#VALUE!</v>
      </c>
      <c r="C1918" s="66" t="s">
        <v>9472</v>
      </c>
      <c r="D1918" s="66" t="s">
        <v>10693</v>
      </c>
    </row>
    <row r="1919" ht="15.75" customHeight="1">
      <c r="A1919" s="66">
        <f>'Main dataset (DEPRECATED)'!Q1920</f>
        <v>964530</v>
      </c>
      <c r="B1919" s="66" t="str">
        <f>IFERROR(__xludf.DUMMYFUNCTION("SPLIT('Main dataset (DEPRECATED2)'!N1920,"";"")"),"#VALUE!")</f>
        <v>#VALUE!</v>
      </c>
      <c r="C1919" s="66" t="s">
        <v>11761</v>
      </c>
      <c r="D1919" s="66" t="s">
        <v>7162</v>
      </c>
      <c r="E1919" s="66" t="s">
        <v>10481</v>
      </c>
    </row>
    <row r="1920" ht="15.75" customHeight="1">
      <c r="A1920" s="66">
        <f>'Main dataset (DEPRECATED)'!Q1921</f>
        <v>964548</v>
      </c>
      <c r="B1920" s="66" t="str">
        <f>IFERROR(__xludf.DUMMYFUNCTION("SPLIT('Main dataset (DEPRECATED2)'!N1921,"";"")"),"#VALUE!")</f>
        <v>#VALUE!</v>
      </c>
      <c r="C1920" s="66" t="s">
        <v>8126</v>
      </c>
      <c r="D1920" s="66" t="s">
        <v>6694</v>
      </c>
      <c r="E1920" s="66" t="s">
        <v>11456</v>
      </c>
      <c r="F1920" s="66" t="s">
        <v>8084</v>
      </c>
      <c r="G1920" s="66" t="s">
        <v>9741</v>
      </c>
      <c r="H1920" s="66" t="s">
        <v>6316</v>
      </c>
    </row>
    <row r="1921" ht="15.75" customHeight="1">
      <c r="A1921" s="66" t="str">
        <f>'Main dataset (DEPRECATED)'!Q1922</f>
        <v>964541_06</v>
      </c>
      <c r="B1921" s="66" t="str">
        <f>IFERROR(__xludf.DUMMYFUNCTION("SPLIT('Main dataset (DEPRECATED2)'!N1922,"";"")"),"#VALUE!")</f>
        <v>#VALUE!</v>
      </c>
      <c r="C1921" s="66" t="s">
        <v>4987</v>
      </c>
      <c r="D1921" s="66" t="s">
        <v>6965</v>
      </c>
    </row>
    <row r="1922" ht="15.75" customHeight="1">
      <c r="A1922" s="66">
        <f>'Main dataset (DEPRECATED)'!Q1923</f>
        <v>964510</v>
      </c>
      <c r="B1922" s="66" t="str">
        <f>IFERROR(__xludf.DUMMYFUNCTION("SPLIT('Main dataset (DEPRECATED2)'!N1923,"";"")"),"#VALUE!")</f>
        <v>#VALUE!</v>
      </c>
      <c r="C1922" s="66" t="s">
        <v>8606</v>
      </c>
    </row>
    <row r="1923" ht="15.75" customHeight="1">
      <c r="A1923" s="66">
        <f>'Main dataset (DEPRECATED)'!Q1924</f>
        <v>964559</v>
      </c>
      <c r="B1923" s="66" t="str">
        <f>IFERROR(__xludf.DUMMYFUNCTION("SPLIT('Main dataset (DEPRECATED2)'!N1924,"";"")"),"#VALUE!")</f>
        <v>#VALUE!</v>
      </c>
      <c r="C1923" s="66" t="s">
        <v>9495</v>
      </c>
      <c r="D1923" s="66" t="s">
        <v>7071</v>
      </c>
      <c r="E1923" s="66" t="s">
        <v>7317</v>
      </c>
    </row>
    <row r="1924" ht="15.75" customHeight="1">
      <c r="A1924" s="66">
        <f>'Main dataset (DEPRECATED)'!Q1925</f>
        <v>964513</v>
      </c>
      <c r="B1924" s="66" t="str">
        <f>IFERROR(__xludf.DUMMYFUNCTION("SPLIT('Main dataset (DEPRECATED2)'!N1925,"";"")"),"#VALUE!")</f>
        <v>#VALUE!</v>
      </c>
      <c r="C1924" s="66" t="s">
        <v>9642</v>
      </c>
      <c r="D1924" s="66" t="s">
        <v>8925</v>
      </c>
    </row>
    <row r="1925" ht="15.75" customHeight="1">
      <c r="A1925" s="66">
        <f>'Main dataset (DEPRECATED)'!Q1926</f>
        <v>964494</v>
      </c>
      <c r="B1925" s="66" t="str">
        <f>IFERROR(__xludf.DUMMYFUNCTION("SPLIT('Main dataset (DEPRECATED2)'!N1926,"";"")"),"#VALUE!")</f>
        <v>#VALUE!</v>
      </c>
      <c r="C1925" s="66" t="s">
        <v>9995</v>
      </c>
      <c r="D1925" s="66" t="s">
        <v>10292</v>
      </c>
    </row>
    <row r="1926" ht="15.75" customHeight="1">
      <c r="A1926" s="66">
        <f>'Main dataset (DEPRECATED)'!Q1927</f>
        <v>964497</v>
      </c>
      <c r="B1926" s="66" t="str">
        <f>IFERROR(__xludf.DUMMYFUNCTION("SPLIT('Main dataset (DEPRECATED2)'!N1927,"";"")"),"#VALUE!")</f>
        <v>#VALUE!</v>
      </c>
      <c r="C1926" s="66" t="s">
        <v>7752</v>
      </c>
      <c r="D1926" s="66" t="s">
        <v>7833</v>
      </c>
      <c r="E1926" s="66" t="s">
        <v>8301</v>
      </c>
      <c r="F1926" s="66" t="s">
        <v>11408</v>
      </c>
      <c r="G1926" s="66" t="s">
        <v>11564</v>
      </c>
    </row>
    <row r="1927" ht="15.75" customHeight="1">
      <c r="A1927" s="66">
        <f>'Main dataset (DEPRECATED)'!Q1928</f>
        <v>964526</v>
      </c>
      <c r="B1927" s="66" t="str">
        <f>IFERROR(__xludf.DUMMYFUNCTION("SPLIT('Main dataset (DEPRECATED2)'!N1928,"";"")"),"#VALUE!")</f>
        <v>#VALUE!</v>
      </c>
      <c r="C1927" s="66" t="s">
        <v>9063</v>
      </c>
    </row>
    <row r="1928" ht="15.75" customHeight="1">
      <c r="A1928" s="66">
        <f>'Main dataset (DEPRECATED)'!Q1929</f>
        <v>964539</v>
      </c>
      <c r="B1928" s="66" t="str">
        <f>IFERROR(__xludf.DUMMYFUNCTION("SPLIT('Main dataset (DEPRECATED2)'!N1929,"";"")"),"#VALUE!")</f>
        <v>#VALUE!</v>
      </c>
      <c r="C1928" s="66" t="s">
        <v>9086</v>
      </c>
    </row>
    <row r="1929" ht="15.75" customHeight="1">
      <c r="A1929" s="66">
        <f>'Main dataset (DEPRECATED)'!Q1930</f>
        <v>964561</v>
      </c>
      <c r="B1929" s="66" t="str">
        <f>IFERROR(__xludf.DUMMYFUNCTION("SPLIT('Main dataset (DEPRECATED2)'!N1930,"";"")"),"#VALUE!")</f>
        <v>#VALUE!</v>
      </c>
      <c r="C1929" s="66" t="s">
        <v>10837</v>
      </c>
      <c r="D1929" s="66" t="s">
        <v>11451</v>
      </c>
      <c r="E1929" s="66" t="s">
        <v>10509</v>
      </c>
    </row>
    <row r="1930" ht="15.75" customHeight="1">
      <c r="A1930" s="66">
        <f>'Main dataset (DEPRECATED)'!Q1931</f>
        <v>964538</v>
      </c>
      <c r="B1930" s="66" t="str">
        <f>IFERROR(__xludf.DUMMYFUNCTION("SPLIT('Main dataset (DEPRECATED2)'!N1931,"";"")"),"#VALUE!")</f>
        <v>#VALUE!</v>
      </c>
      <c r="C1930" s="66" t="s">
        <v>9984</v>
      </c>
      <c r="D1930" s="66" t="s">
        <v>10489</v>
      </c>
      <c r="E1930" s="66" t="s">
        <v>9843</v>
      </c>
    </row>
    <row r="1931" ht="15.75" customHeight="1">
      <c r="A1931" s="66">
        <f>'Main dataset (DEPRECATED)'!Q1932</f>
        <v>964533</v>
      </c>
      <c r="B1931" s="66" t="str">
        <f>IFERROR(__xludf.DUMMYFUNCTION("SPLIT('Main dataset (DEPRECATED2)'!N1932,"";"")"),"#VALUE!")</f>
        <v>#VALUE!</v>
      </c>
      <c r="C1931" s="66" t="s">
        <v>9807</v>
      </c>
    </row>
    <row r="1932" ht="15.75" customHeight="1">
      <c r="A1932" s="66" t="str">
        <f>'Main dataset (DEPRECATED)'!Q1933</f>
        <v>964541_07</v>
      </c>
      <c r="B1932" s="66" t="str">
        <f>IFERROR(__xludf.DUMMYFUNCTION("SPLIT('Main dataset (DEPRECATED2)'!N1933,"";"")"),"#VALUE!")</f>
        <v>#VALUE!</v>
      </c>
      <c r="C1932" s="66" t="s">
        <v>9727</v>
      </c>
      <c r="D1932" s="66" t="s">
        <v>8437</v>
      </c>
      <c r="E1932" s="66" t="s">
        <v>6780</v>
      </c>
    </row>
    <row r="1933" ht="15.75" customHeight="1">
      <c r="A1933" s="66">
        <f>'Main dataset (DEPRECATED)'!Q1934</f>
        <v>964550</v>
      </c>
      <c r="B1933" s="66" t="str">
        <f>IFERROR(__xludf.DUMMYFUNCTION("SPLIT('Main dataset (DEPRECATED2)'!N1934,"";"")"),"#VALUE!")</f>
        <v>#VALUE!</v>
      </c>
      <c r="C1933" s="66" t="s">
        <v>7339</v>
      </c>
      <c r="D1933" s="66" t="s">
        <v>9772</v>
      </c>
    </row>
    <row r="1934" ht="15.75" customHeight="1">
      <c r="A1934" s="66" t="str">
        <f>'Main dataset (DEPRECATED)'!Q1935</f>
        <v>964541_02</v>
      </c>
      <c r="B1934" s="66" t="str">
        <f>IFERROR(__xludf.DUMMYFUNCTION("SPLIT('Main dataset (DEPRECATED2)'!N1935,"";"")"),"#VALUE!")</f>
        <v>#VALUE!</v>
      </c>
      <c r="C1934" s="66" t="s">
        <v>6947</v>
      </c>
      <c r="D1934" s="66" t="s">
        <v>8860</v>
      </c>
    </row>
    <row r="1935" ht="15.75" customHeight="1">
      <c r="A1935" s="66">
        <f>'Main dataset (DEPRECATED)'!Q1936</f>
        <v>964525</v>
      </c>
      <c r="B1935" s="66" t="str">
        <f>IFERROR(__xludf.DUMMYFUNCTION("SPLIT('Main dataset (DEPRECATED2)'!N1936,"";"")"),"#VALUE!")</f>
        <v>#VALUE!</v>
      </c>
      <c r="C1935" s="66" t="s">
        <v>8923</v>
      </c>
      <c r="D1935" s="66" t="s">
        <v>7326</v>
      </c>
      <c r="E1935" s="66" t="s">
        <v>8047</v>
      </c>
      <c r="F1935" s="66" t="s">
        <v>8023</v>
      </c>
      <c r="G1935" s="66" t="s">
        <v>8560</v>
      </c>
    </row>
    <row r="1936" ht="15.75" customHeight="1">
      <c r="A1936" s="66">
        <f>'Main dataset (DEPRECATED)'!Q1937</f>
        <v>964563</v>
      </c>
      <c r="B1936" s="66" t="str">
        <f>IFERROR(__xludf.DUMMYFUNCTION("SPLIT('Main dataset (DEPRECATED2)'!N1937,"";"")"),"#VALUE!")</f>
        <v>#VALUE!</v>
      </c>
      <c r="C1936" s="66" t="s">
        <v>6657</v>
      </c>
      <c r="D1936" s="66" t="s">
        <v>8962</v>
      </c>
      <c r="E1936" s="66" t="s">
        <v>8654</v>
      </c>
    </row>
    <row r="1937" ht="15.75" customHeight="1">
      <c r="A1937" s="66">
        <f>'Main dataset (DEPRECATED)'!Q1938</f>
        <v>885088</v>
      </c>
      <c r="B1937" s="66" t="str">
        <f>IFERROR(__xludf.DUMMYFUNCTION("SPLIT('Main dataset (DEPRECATED2)'!N1938,"";"")"),"#VALUE!")</f>
        <v>#VALUE!</v>
      </c>
      <c r="C1937" s="66" t="s">
        <v>9123</v>
      </c>
      <c r="D1937" s="66" t="s">
        <v>10453</v>
      </c>
    </row>
    <row r="1938" ht="15.75" customHeight="1">
      <c r="A1938" s="66">
        <f>'Main dataset (DEPRECATED)'!Q1939</f>
        <v>885092</v>
      </c>
      <c r="B1938" s="66" t="str">
        <f>IFERROR(__xludf.DUMMYFUNCTION("SPLIT('Main dataset (DEPRECATED2)'!N1939,"";"")"),"#VALUE!")</f>
        <v>#VALUE!</v>
      </c>
    </row>
    <row r="1939" ht="15.75" customHeight="1">
      <c r="A1939" s="66">
        <f>'Main dataset (DEPRECATED)'!Q1940</f>
        <v>885102</v>
      </c>
      <c r="B1939" s="66" t="str">
        <f>IFERROR(__xludf.DUMMYFUNCTION("SPLIT('Main dataset (DEPRECATED2)'!N1940,"";"")"),"#VALUE!")</f>
        <v>#VALUE!</v>
      </c>
      <c r="C1939" s="66" t="s">
        <v>9168</v>
      </c>
      <c r="D1939" s="66" t="s">
        <v>6145</v>
      </c>
      <c r="E1939" s="66" t="s">
        <v>7935</v>
      </c>
      <c r="F1939" s="66" t="s">
        <v>9736</v>
      </c>
    </row>
    <row r="1940" ht="15.75" customHeight="1">
      <c r="A1940" s="66">
        <f>'Main dataset (DEPRECATED)'!Q1941</f>
        <v>885105</v>
      </c>
      <c r="B1940" s="66" t="str">
        <f>IFERROR(__xludf.DUMMYFUNCTION("SPLIT('Main dataset (DEPRECATED2)'!N1941,"";"")"),"#VALUE!")</f>
        <v>#VALUE!</v>
      </c>
      <c r="C1940" s="66" t="s">
        <v>10545</v>
      </c>
      <c r="D1940" s="66" t="s">
        <v>6920</v>
      </c>
      <c r="E1940" s="66" t="s">
        <v>9463</v>
      </c>
      <c r="F1940" s="66" t="s">
        <v>9728</v>
      </c>
    </row>
    <row r="1941" ht="15.75" customHeight="1">
      <c r="A1941" s="66">
        <f>'Main dataset (DEPRECATED)'!Q1942</f>
        <v>885090</v>
      </c>
      <c r="B1941" s="66" t="str">
        <f>IFERROR(__xludf.DUMMYFUNCTION("SPLIT('Main dataset (DEPRECATED2)'!N1942,"";"")"),"#VALUE!")</f>
        <v>#VALUE!</v>
      </c>
      <c r="C1941" s="66" t="s">
        <v>9241</v>
      </c>
      <c r="D1941" s="66" t="s">
        <v>9353</v>
      </c>
    </row>
    <row r="1942" ht="15.75" customHeight="1">
      <c r="A1942" s="66">
        <f>'Main dataset (DEPRECATED)'!Q1943</f>
        <v>885091</v>
      </c>
      <c r="B1942" s="66" t="str">
        <f>IFERROR(__xludf.DUMMYFUNCTION("SPLIT('Main dataset (DEPRECATED2)'!N1943,"";"")"),"#VALUE!")</f>
        <v>#VALUE!</v>
      </c>
      <c r="C1942" s="66" t="s">
        <v>11773</v>
      </c>
    </row>
    <row r="1943" ht="15.75" customHeight="1">
      <c r="A1943" s="66">
        <f>'Main dataset (DEPRECATED)'!Q1944</f>
        <v>885095</v>
      </c>
      <c r="B1943" s="66" t="str">
        <f>IFERROR(__xludf.DUMMYFUNCTION("SPLIT('Main dataset (DEPRECATED2)'!N1944,"";"")"),"#VALUE!")</f>
        <v>#VALUE!</v>
      </c>
    </row>
    <row r="1944" ht="15.75" customHeight="1">
      <c r="A1944" s="66">
        <f>'Main dataset (DEPRECATED)'!Q1945</f>
        <v>885093</v>
      </c>
      <c r="B1944" s="66" t="str">
        <f>IFERROR(__xludf.DUMMYFUNCTION("SPLIT('Main dataset (DEPRECATED2)'!N1945,"";"")"),"#VALUE!")</f>
        <v>#VALUE!</v>
      </c>
      <c r="C1944" s="66" t="s">
        <v>8344</v>
      </c>
      <c r="D1944" s="66" t="s">
        <v>7649</v>
      </c>
      <c r="E1944" s="66" t="s">
        <v>10939</v>
      </c>
    </row>
    <row r="1945" ht="15.75" customHeight="1">
      <c r="A1945" s="66">
        <f>'Main dataset (DEPRECATED)'!Q1946</f>
        <v>885087</v>
      </c>
      <c r="B1945" s="66" t="str">
        <f>IFERROR(__xludf.DUMMYFUNCTION("SPLIT('Main dataset (DEPRECATED2)'!N1946,"";"")"),"#VALUE!")</f>
        <v>#VALUE!</v>
      </c>
      <c r="C1945" s="66" t="s">
        <v>11544</v>
      </c>
    </row>
    <row r="1946" ht="15.75" customHeight="1">
      <c r="A1946" s="66">
        <f>'Main dataset (DEPRECATED)'!Q1947</f>
        <v>885096</v>
      </c>
      <c r="B1946" s="66" t="str">
        <f>IFERROR(__xludf.DUMMYFUNCTION("SPLIT('Main dataset (DEPRECATED2)'!N1947,"";"")"),"#VALUE!")</f>
        <v>#VALUE!</v>
      </c>
      <c r="C1946" s="66" t="s">
        <v>7559</v>
      </c>
    </row>
    <row r="1947" ht="15.75" customHeight="1">
      <c r="A1947" s="66">
        <f>'Main dataset (DEPRECATED)'!Q1948</f>
        <v>885103</v>
      </c>
      <c r="B1947" s="66" t="str">
        <f>IFERROR(__xludf.DUMMYFUNCTION("SPLIT('Main dataset (DEPRECATED2)'!N1948,"";"")"),"#VALUE!")</f>
        <v>#VALUE!</v>
      </c>
      <c r="C1947" s="66" t="s">
        <v>8911</v>
      </c>
    </row>
    <row r="1948" ht="15.75" customHeight="1">
      <c r="A1948" s="66">
        <f>'Main dataset (DEPRECATED)'!Q1949</f>
        <v>885099</v>
      </c>
      <c r="B1948" s="66" t="str">
        <f>IFERROR(__xludf.DUMMYFUNCTION("SPLIT('Main dataset (DEPRECATED2)'!N1949,"";"")"),"#VALUE!")</f>
        <v>#VALUE!</v>
      </c>
      <c r="C1948" s="66" t="s">
        <v>6200</v>
      </c>
    </row>
    <row r="1949" ht="15.75" customHeight="1">
      <c r="A1949" s="66">
        <f>'Main dataset (DEPRECATED)'!Q1950</f>
        <v>885104</v>
      </c>
      <c r="B1949" s="66" t="str">
        <f>IFERROR(__xludf.DUMMYFUNCTION("SPLIT('Main dataset (DEPRECATED2)'!N1950,"";"")"),"#VALUE!")</f>
        <v>#VALUE!</v>
      </c>
      <c r="C1949" s="66" t="s">
        <v>7891</v>
      </c>
      <c r="D1949" s="66" t="s">
        <v>6149</v>
      </c>
      <c r="E1949" s="66" t="s">
        <v>9115</v>
      </c>
      <c r="F1949" s="66" t="s">
        <v>11094</v>
      </c>
      <c r="G1949" s="66" t="s">
        <v>9785</v>
      </c>
    </row>
    <row r="1950" ht="15.75" customHeight="1">
      <c r="A1950" s="66">
        <f>'Main dataset (DEPRECATED)'!Q1951</f>
        <v>885101</v>
      </c>
      <c r="B1950" s="66" t="str">
        <f>IFERROR(__xludf.DUMMYFUNCTION("SPLIT('Main dataset (DEPRECATED2)'!N1951,"";"")"),"#VALUE!")</f>
        <v>#VALUE!</v>
      </c>
      <c r="C1950" s="66" t="s">
        <v>11356</v>
      </c>
    </row>
    <row r="1951" ht="15.75" customHeight="1">
      <c r="A1951" s="66">
        <f>'Main dataset (DEPRECATED)'!Q1952</f>
        <v>885086</v>
      </c>
      <c r="B1951" s="66" t="str">
        <f>IFERROR(__xludf.DUMMYFUNCTION("SPLIT('Main dataset (DEPRECATED2)'!N1952,"";"")"),"#VALUE!")</f>
        <v>#VALUE!</v>
      </c>
      <c r="C1951" s="66" t="s">
        <v>8046</v>
      </c>
    </row>
    <row r="1952" ht="15.75" customHeight="1">
      <c r="A1952" s="66">
        <f>'Main dataset (DEPRECATED)'!Q1953</f>
        <v>885094</v>
      </c>
      <c r="B1952" s="66" t="str">
        <f>IFERROR(__xludf.DUMMYFUNCTION("SPLIT('Main dataset (DEPRECATED2)'!N1953,"";"")"),"#VALUE!")</f>
        <v>#VALUE!</v>
      </c>
      <c r="C1952" s="66" t="s">
        <v>10097</v>
      </c>
    </row>
    <row r="1953" ht="15.75" customHeight="1">
      <c r="A1953" s="66">
        <f>'Main dataset (DEPRECATED)'!Q1954</f>
        <v>885098</v>
      </c>
      <c r="B1953" s="66" t="str">
        <f>IFERROR(__xludf.DUMMYFUNCTION("SPLIT('Main dataset (DEPRECATED2)'!N1954,"";"")"),"#VALUE!")</f>
        <v>#VALUE!</v>
      </c>
      <c r="C1953" s="66" t="s">
        <v>8169</v>
      </c>
      <c r="D1953" s="66" t="s">
        <v>9677</v>
      </c>
    </row>
    <row r="1954" ht="15.75" customHeight="1">
      <c r="A1954" s="66" t="str">
        <f>'Main dataset (DEPRECATED)'!Q1955</f>
        <v>885105_1</v>
      </c>
      <c r="B1954" s="66" t="str">
        <f>IFERROR(__xludf.DUMMYFUNCTION("SPLIT('Main dataset (DEPRECATED2)'!N1955,"";"")"),"#VALUE!")</f>
        <v>#VALUE!</v>
      </c>
      <c r="C1954" s="66" t="s">
        <v>6155</v>
      </c>
    </row>
    <row r="1955" ht="15.75" customHeight="1">
      <c r="A1955" s="66">
        <f>'Main dataset (DEPRECATED)'!Q1956</f>
        <v>885089</v>
      </c>
      <c r="B1955" s="66" t="str">
        <f>IFERROR(__xludf.DUMMYFUNCTION("SPLIT('Main dataset (DEPRECATED2)'!N1956,"";"")"),"#VALUE!")</f>
        <v>#VALUE!</v>
      </c>
      <c r="C1955" s="66" t="s">
        <v>8829</v>
      </c>
    </row>
    <row r="1956" ht="15.75" customHeight="1">
      <c r="A1956" s="66">
        <f>'Main dataset (DEPRECATED)'!Q1957</f>
        <v>885097</v>
      </c>
      <c r="B1956" s="66" t="str">
        <f>IFERROR(__xludf.DUMMYFUNCTION("SPLIT('Main dataset (DEPRECATED2)'!N1957,"";"")"),"#VALUE!")</f>
        <v>#VALUE!</v>
      </c>
      <c r="C1956" s="66" t="s">
        <v>7045</v>
      </c>
      <c r="D1956" s="66" t="s">
        <v>7570</v>
      </c>
      <c r="E1956" s="66" t="s">
        <v>8578</v>
      </c>
      <c r="F1956" s="66" t="s">
        <v>11027</v>
      </c>
    </row>
    <row r="1957" ht="15.75" customHeight="1">
      <c r="A1957" s="66">
        <f>'Main dataset (DEPRECATED)'!Q1958</f>
        <v>885674</v>
      </c>
      <c r="B1957" s="66" t="str">
        <f>IFERROR(__xludf.DUMMYFUNCTION("SPLIT('Main dataset (DEPRECATED2)'!N1958,"";"")"),"#VALUE!")</f>
        <v>#VALUE!</v>
      </c>
      <c r="C1957" s="66" t="s">
        <v>11317</v>
      </c>
      <c r="D1957" s="66" t="s">
        <v>10368</v>
      </c>
      <c r="E1957" s="66" t="s">
        <v>8645</v>
      </c>
    </row>
    <row r="1958" ht="15.75" customHeight="1">
      <c r="A1958" s="66">
        <f>'Main dataset (DEPRECATED)'!Q1959</f>
        <v>885727</v>
      </c>
      <c r="B1958" s="66" t="str">
        <f>IFERROR(__xludf.DUMMYFUNCTION("SPLIT('Main dataset (DEPRECATED2)'!N1959,"";"")"),"#VALUE!")</f>
        <v>#VALUE!</v>
      </c>
      <c r="C1958" s="66" t="s">
        <v>8931</v>
      </c>
      <c r="D1958" s="66" t="s">
        <v>9280</v>
      </c>
      <c r="E1958" s="66" t="s">
        <v>8892</v>
      </c>
      <c r="F1958" s="66" t="s">
        <v>11149</v>
      </c>
      <c r="G1958" s="66" t="s">
        <v>6233</v>
      </c>
      <c r="H1958" s="66" t="s">
        <v>8096</v>
      </c>
      <c r="I1958" s="66" t="s">
        <v>10689</v>
      </c>
    </row>
    <row r="1959" ht="15.75" customHeight="1">
      <c r="A1959" s="66">
        <f>'Main dataset (DEPRECATED)'!Q1960</f>
        <v>885715</v>
      </c>
      <c r="B1959" s="66" t="str">
        <f>IFERROR(__xludf.DUMMYFUNCTION("SPLIT('Main dataset (DEPRECATED2)'!N1960,"";"")"),"#VALUE!")</f>
        <v>#VALUE!</v>
      </c>
      <c r="C1959" s="66" t="s">
        <v>9992</v>
      </c>
      <c r="D1959" s="66" t="s">
        <v>10292</v>
      </c>
      <c r="E1959" s="66" t="s">
        <v>11000</v>
      </c>
      <c r="F1959" s="66" t="s">
        <v>11387</v>
      </c>
      <c r="G1959" s="66" t="s">
        <v>11200</v>
      </c>
    </row>
    <row r="1960" ht="15.75" customHeight="1">
      <c r="A1960" s="66">
        <f>'Main dataset (DEPRECATED)'!Q1961</f>
        <v>885690</v>
      </c>
      <c r="B1960" s="66" t="str">
        <f>IFERROR(__xludf.DUMMYFUNCTION("SPLIT('Main dataset (DEPRECATED2)'!N1961,"";"")"),"#VALUE!")</f>
        <v>#VALUE!</v>
      </c>
      <c r="C1960" s="66" t="s">
        <v>8620</v>
      </c>
      <c r="D1960" s="66" t="s">
        <v>9772</v>
      </c>
    </row>
    <row r="1961" ht="15.75" customHeight="1">
      <c r="A1961" s="66">
        <f>'Main dataset (DEPRECATED)'!Q1962</f>
        <v>885688</v>
      </c>
      <c r="B1961" s="66" t="str">
        <f>IFERROR(__xludf.DUMMYFUNCTION("SPLIT('Main dataset (DEPRECATED2)'!N1962,"";"")"),"#VALUE!")</f>
        <v>#VALUE!</v>
      </c>
      <c r="C1961" s="66" t="s">
        <v>8530</v>
      </c>
      <c r="D1961" s="66" t="s">
        <v>7432</v>
      </c>
    </row>
    <row r="1962" ht="15.75" customHeight="1">
      <c r="A1962" s="66">
        <f>'Main dataset (DEPRECATED)'!Q1963</f>
        <v>885678</v>
      </c>
      <c r="B1962" s="66" t="str">
        <f>IFERROR(__xludf.DUMMYFUNCTION("SPLIT('Main dataset (DEPRECATED2)'!N1963,"";"")"),"#VALUE!")</f>
        <v>#VALUE!</v>
      </c>
      <c r="C1962" s="66" t="s">
        <v>4987</v>
      </c>
    </row>
    <row r="1963" ht="15.75" customHeight="1">
      <c r="A1963" s="66">
        <f>'Main dataset (DEPRECATED)'!Q1964</f>
        <v>885716</v>
      </c>
      <c r="B1963" s="66" t="str">
        <f>IFERROR(__xludf.DUMMYFUNCTION("SPLIT('Main dataset (DEPRECATED2)'!N1964,"";"")"),"#VALUE!")</f>
        <v>#VALUE!</v>
      </c>
      <c r="C1963" s="66" t="s">
        <v>10399</v>
      </c>
      <c r="D1963" s="66" t="s">
        <v>7996</v>
      </c>
    </row>
    <row r="1964" ht="15.75" customHeight="1">
      <c r="A1964" s="66">
        <f>'Main dataset (DEPRECATED)'!Q1965</f>
        <v>885673</v>
      </c>
      <c r="B1964" s="66" t="str">
        <f>IFERROR(__xludf.DUMMYFUNCTION("SPLIT('Main dataset (DEPRECATED2)'!N1965,"";"")"),"#VALUE!")</f>
        <v>#VALUE!</v>
      </c>
      <c r="C1964" s="66" t="s">
        <v>9704</v>
      </c>
    </row>
    <row r="1965" ht="15.75" customHeight="1">
      <c r="A1965" s="66">
        <f>'Main dataset (DEPRECATED)'!Q1966</f>
        <v>885684</v>
      </c>
      <c r="B1965" s="66" t="str">
        <f>IFERROR(__xludf.DUMMYFUNCTION("SPLIT('Main dataset (DEPRECATED2)'!N1966,"";"")"),"#VALUE!")</f>
        <v>#VALUE!</v>
      </c>
      <c r="C1965" s="66" t="s">
        <v>11821</v>
      </c>
      <c r="D1965" s="66" t="s">
        <v>11077</v>
      </c>
      <c r="E1965" s="66" t="s">
        <v>11401</v>
      </c>
    </row>
    <row r="1966" ht="15.75" customHeight="1">
      <c r="A1966" s="66">
        <f>'Main dataset (DEPRECATED)'!Q1967</f>
        <v>885730</v>
      </c>
      <c r="B1966" s="66" t="str">
        <f>IFERROR(__xludf.DUMMYFUNCTION("SPLIT('Main dataset (DEPRECATED2)'!N1967,"";"")"),"#VALUE!")</f>
        <v>#VALUE!</v>
      </c>
      <c r="C1966" s="66" t="s">
        <v>7150</v>
      </c>
      <c r="D1966" s="66" t="s">
        <v>11314</v>
      </c>
    </row>
    <row r="1967" ht="15.75" customHeight="1">
      <c r="A1967" s="66">
        <f>'Main dataset (DEPRECATED)'!Q1968</f>
        <v>885721</v>
      </c>
      <c r="B1967" s="66" t="str">
        <f>IFERROR(__xludf.DUMMYFUNCTION("SPLIT('Main dataset (DEPRECATED2)'!N1968,"";"")"),"#VALUE!")</f>
        <v>#VALUE!</v>
      </c>
      <c r="C1967" s="66" t="s">
        <v>7250</v>
      </c>
      <c r="D1967" s="66" t="s">
        <v>10292</v>
      </c>
    </row>
    <row r="1968" ht="15.75" customHeight="1">
      <c r="A1968" s="66">
        <f>'Main dataset (DEPRECATED)'!Q1969</f>
        <v>885685</v>
      </c>
      <c r="B1968" s="66" t="str">
        <f>IFERROR(__xludf.DUMMYFUNCTION("SPLIT('Main dataset (DEPRECATED2)'!N1969,"";"")"),"#VALUE!")</f>
        <v>#VALUE!</v>
      </c>
      <c r="C1968" s="66" t="s">
        <v>6952</v>
      </c>
      <c r="D1968" s="66" t="s">
        <v>7534</v>
      </c>
      <c r="E1968" s="66" t="s">
        <v>8273</v>
      </c>
      <c r="F1968" s="66" t="s">
        <v>9036</v>
      </c>
    </row>
    <row r="1969" ht="15.75" customHeight="1">
      <c r="A1969" s="66">
        <f>'Main dataset (DEPRECATED)'!Q1970</f>
        <v>885693</v>
      </c>
      <c r="B1969" s="66" t="str">
        <f>IFERROR(__xludf.DUMMYFUNCTION("SPLIT('Main dataset (DEPRECATED2)'!N1970,"";"")"),"#VALUE!")</f>
        <v>#VALUE!</v>
      </c>
      <c r="C1969" s="66" t="s">
        <v>9570</v>
      </c>
      <c r="D1969" s="66" t="s">
        <v>8745</v>
      </c>
    </row>
    <row r="1970" ht="15.75" customHeight="1">
      <c r="A1970" s="66">
        <f>'Main dataset (DEPRECATED)'!Q1971</f>
        <v>885720</v>
      </c>
      <c r="B1970" s="66" t="str">
        <f>IFERROR(__xludf.DUMMYFUNCTION("SPLIT('Main dataset (DEPRECATED2)'!N1971,"";"")"),"#VALUE!")</f>
        <v>#VALUE!</v>
      </c>
      <c r="C1970" s="66" t="s">
        <v>9198</v>
      </c>
      <c r="D1970" s="66" t="s">
        <v>8023</v>
      </c>
      <c r="E1970" s="66" t="s">
        <v>8560</v>
      </c>
    </row>
    <row r="1971" ht="15.75" customHeight="1">
      <c r="A1971" s="66">
        <f>'Main dataset (DEPRECATED)'!Q1972</f>
        <v>885737</v>
      </c>
      <c r="B1971" s="66" t="str">
        <f>IFERROR(__xludf.DUMMYFUNCTION("SPLIT('Main dataset (DEPRECATED2)'!N1972,"";"")"),"#VALUE!")</f>
        <v>#VALUE!</v>
      </c>
      <c r="C1971" s="66" t="s">
        <v>10624</v>
      </c>
      <c r="D1971" s="66" t="s">
        <v>10211</v>
      </c>
      <c r="E1971" s="66" t="s">
        <v>6869</v>
      </c>
    </row>
    <row r="1972" ht="15.75" customHeight="1">
      <c r="A1972" s="66">
        <f>'Main dataset (DEPRECATED)'!Q1973</f>
        <v>885675</v>
      </c>
      <c r="B1972" s="66" t="str">
        <f>IFERROR(__xludf.DUMMYFUNCTION("SPLIT('Main dataset (DEPRECATED2)'!N1973,"";"")"),"#VALUE!")</f>
        <v>#VALUE!</v>
      </c>
      <c r="C1972" s="66" t="s">
        <v>10368</v>
      </c>
      <c r="D1972" s="66" t="s">
        <v>6430</v>
      </c>
      <c r="E1972" s="66" t="s">
        <v>9305</v>
      </c>
      <c r="F1972" s="66" t="s">
        <v>8645</v>
      </c>
      <c r="G1972" s="66" t="s">
        <v>11317</v>
      </c>
    </row>
    <row r="1973" ht="15.75" customHeight="1">
      <c r="A1973" s="66">
        <f>'Main dataset (DEPRECATED)'!Q1974</f>
        <v>885729</v>
      </c>
      <c r="B1973" s="66" t="str">
        <f>IFERROR(__xludf.DUMMYFUNCTION("SPLIT('Main dataset (DEPRECATED2)'!N1974,"";"")"),"#VALUE!")</f>
        <v>#VALUE!</v>
      </c>
      <c r="C1973" s="66" t="s">
        <v>8085</v>
      </c>
      <c r="D1973" s="66" t="s">
        <v>11061</v>
      </c>
      <c r="E1973" s="66" t="s">
        <v>7359</v>
      </c>
      <c r="F1973" s="66" t="s">
        <v>7432</v>
      </c>
    </row>
    <row r="1974" ht="15.75" customHeight="1">
      <c r="A1974" s="66">
        <f>'Main dataset (DEPRECATED)'!Q1975</f>
        <v>885717</v>
      </c>
      <c r="B1974" s="66" t="str">
        <f>IFERROR(__xludf.DUMMYFUNCTION("SPLIT('Main dataset (DEPRECATED2)'!N1975,"";"")"),"#VALUE!")</f>
        <v>#VALUE!</v>
      </c>
      <c r="C1974" s="66" t="s">
        <v>10401</v>
      </c>
      <c r="D1974" s="66" t="s">
        <v>8560</v>
      </c>
      <c r="E1974" s="66" t="s">
        <v>7326</v>
      </c>
      <c r="F1974" s="66" t="s">
        <v>8023</v>
      </c>
    </row>
    <row r="1975" ht="15.75" customHeight="1">
      <c r="A1975" s="66">
        <f>'Main dataset (DEPRECATED)'!Q1976</f>
        <v>885676</v>
      </c>
      <c r="B1975" s="66" t="str">
        <f>IFERROR(__xludf.DUMMYFUNCTION("SPLIT('Main dataset (DEPRECATED2)'!N1976,"";"")"),"#VALUE!")</f>
        <v>#VALUE!</v>
      </c>
    </row>
    <row r="1976" ht="15.75" customHeight="1">
      <c r="A1976" s="66">
        <f>'Main dataset (DEPRECATED)'!Q1977</f>
        <v>885691</v>
      </c>
      <c r="B1976" s="66" t="str">
        <f>IFERROR(__xludf.DUMMYFUNCTION("SPLIT('Main dataset (DEPRECATED2)'!N1977,"";"")"),"#VALUE!")</f>
        <v>#VALUE!</v>
      </c>
      <c r="C1976" s="66" t="s">
        <v>9170</v>
      </c>
      <c r="D1976" s="66" t="s">
        <v>9495</v>
      </c>
    </row>
    <row r="1977" ht="15.75" customHeight="1">
      <c r="A1977" s="66">
        <f>'Main dataset (DEPRECATED)'!Q1978</f>
        <v>885672</v>
      </c>
      <c r="B1977" s="66" t="str">
        <f>IFERROR(__xludf.DUMMYFUNCTION("SPLIT('Main dataset (DEPRECATED2)'!N1978,"";"")"),"#VALUE!")</f>
        <v>#VALUE!</v>
      </c>
      <c r="C1977" s="66" t="s">
        <v>10834</v>
      </c>
    </row>
    <row r="1978" ht="15.75" customHeight="1">
      <c r="A1978" s="66">
        <f>'Main dataset (DEPRECATED)'!Q1979</f>
        <v>885722</v>
      </c>
      <c r="B1978" s="66" t="str">
        <f>IFERROR(__xludf.DUMMYFUNCTION("SPLIT('Main dataset (DEPRECATED2)'!N1979,"";"")"),"#VALUE!")</f>
        <v>#VALUE!</v>
      </c>
      <c r="C1978" s="66" t="s">
        <v>7896</v>
      </c>
    </row>
    <row r="1979" ht="15.75" customHeight="1">
      <c r="A1979" s="66">
        <f>'Main dataset (DEPRECATED)'!Q1980</f>
        <v>885725</v>
      </c>
      <c r="B1979" s="66" t="str">
        <f>IFERROR(__xludf.DUMMYFUNCTION("SPLIT('Main dataset (DEPRECATED2)'!N1980,"";"")"),"#VALUE!")</f>
        <v>#VALUE!</v>
      </c>
      <c r="C1979" s="66" t="s">
        <v>7827</v>
      </c>
    </row>
    <row r="1980" ht="15.75" customHeight="1">
      <c r="A1980" s="66">
        <f>'Main dataset (DEPRECATED)'!Q1981</f>
        <v>885698</v>
      </c>
      <c r="B1980" s="66" t="str">
        <f>IFERROR(__xludf.DUMMYFUNCTION("SPLIT('Main dataset (DEPRECATED2)'!N1981,"";"")"),"#VALUE!")</f>
        <v>#VALUE!</v>
      </c>
      <c r="C1980" s="66" t="s">
        <v>9529</v>
      </c>
      <c r="D1980" s="66" t="s">
        <v>10548</v>
      </c>
      <c r="E1980" s="66" t="s">
        <v>7060</v>
      </c>
    </row>
    <row r="1981" ht="15.75" customHeight="1">
      <c r="A1981" s="66">
        <f>'Main dataset (DEPRECATED)'!Q1982</f>
        <v>885728</v>
      </c>
      <c r="B1981" s="66" t="str">
        <f>IFERROR(__xludf.DUMMYFUNCTION("SPLIT('Main dataset (DEPRECATED2)'!N1982,"";"")"),"#VALUE!")</f>
        <v>#VALUE!</v>
      </c>
    </row>
    <row r="1982" ht="15.75" customHeight="1">
      <c r="A1982" s="66">
        <f>'Main dataset (DEPRECATED)'!Q1983</f>
        <v>885711</v>
      </c>
      <c r="B1982" s="66" t="str">
        <f>IFERROR(__xludf.DUMMYFUNCTION("SPLIT('Main dataset (DEPRECATED2)'!N1983,"";"")"),"#VALUE!")</f>
        <v>#VALUE!</v>
      </c>
      <c r="C1982" s="66" t="s">
        <v>7676</v>
      </c>
    </row>
    <row r="1983" ht="15.75" customHeight="1">
      <c r="A1983" s="66">
        <f>'Main dataset (DEPRECATED)'!Q1984</f>
        <v>885677</v>
      </c>
      <c r="B1983" s="66" t="str">
        <f>IFERROR(__xludf.DUMMYFUNCTION("SPLIT('Main dataset (DEPRECATED2)'!N1984,"";"")"),"#VALUE!")</f>
        <v>#VALUE!</v>
      </c>
      <c r="C1983" s="66" t="s">
        <v>6690</v>
      </c>
      <c r="D1983" s="66" t="s">
        <v>7896</v>
      </c>
    </row>
    <row r="1984" ht="15.75" customHeight="1">
      <c r="A1984" s="66">
        <f>'Main dataset (DEPRECATED)'!Q1985</f>
        <v>885689</v>
      </c>
      <c r="B1984" s="66" t="str">
        <f>IFERROR(__xludf.DUMMYFUNCTION("SPLIT('Main dataset (DEPRECATED2)'!N1985,"";"")"),"#VALUE!")</f>
        <v>#VALUE!</v>
      </c>
      <c r="C1984" s="66" t="s">
        <v>7427</v>
      </c>
      <c r="D1984" s="66" t="s">
        <v>8336</v>
      </c>
    </row>
    <row r="1985" ht="15.75" customHeight="1">
      <c r="A1985" s="66">
        <f>'Main dataset (DEPRECATED)'!Q1986</f>
        <v>885683</v>
      </c>
      <c r="B1985" s="66" t="str">
        <f>IFERROR(__xludf.DUMMYFUNCTION("SPLIT('Main dataset (DEPRECATED2)'!N1986,"";"")"),"#VALUE!")</f>
        <v>#VALUE!</v>
      </c>
      <c r="C1985" s="66" t="s">
        <v>8841</v>
      </c>
      <c r="D1985" s="66" t="s">
        <v>7432</v>
      </c>
    </row>
    <row r="1986" ht="15.75" customHeight="1">
      <c r="A1986" s="66">
        <f>'Main dataset (DEPRECATED)'!Q1987</f>
        <v>885702</v>
      </c>
      <c r="B1986" s="66" t="str">
        <f>IFERROR(__xludf.DUMMYFUNCTION("SPLIT('Main dataset (DEPRECATED2)'!N1987,"";"")"),"#VALUE!")</f>
        <v>#VALUE!</v>
      </c>
      <c r="C1986" s="66" t="s">
        <v>11317</v>
      </c>
      <c r="D1986" s="66" t="s">
        <v>10023</v>
      </c>
      <c r="E1986" s="66" t="s">
        <v>8645</v>
      </c>
    </row>
    <row r="1987" ht="15.75" customHeight="1">
      <c r="A1987" s="66">
        <f>'Main dataset (DEPRECATED)'!Q1988</f>
        <v>885731</v>
      </c>
      <c r="B1987" s="66" t="str">
        <f>IFERROR(__xludf.DUMMYFUNCTION("SPLIT('Main dataset (DEPRECATED2)'!N1988,"";"")"),"#VALUE!")</f>
        <v>#VALUE!</v>
      </c>
      <c r="C1987" s="66" t="s">
        <v>8908</v>
      </c>
      <c r="D1987" s="66" t="s">
        <v>11175</v>
      </c>
      <c r="E1987" s="66" t="s">
        <v>8737</v>
      </c>
      <c r="F1987" s="66" t="s">
        <v>8595</v>
      </c>
      <c r="G1987" s="66" t="s">
        <v>7389</v>
      </c>
    </row>
    <row r="1988" ht="15.75" customHeight="1">
      <c r="A1988" s="66">
        <f>'Main dataset (DEPRECATED)'!Q1989</f>
        <v>885734</v>
      </c>
      <c r="B1988" s="66" t="str">
        <f>IFERROR(__xludf.DUMMYFUNCTION("SPLIT('Main dataset (DEPRECATED2)'!N1989,"";"")"),"#VALUE!")</f>
        <v>#VALUE!</v>
      </c>
      <c r="C1988" s="66" t="s">
        <v>7238</v>
      </c>
      <c r="D1988" s="66" t="s">
        <v>6234</v>
      </c>
      <c r="E1988" s="66" t="s">
        <v>11694</v>
      </c>
    </row>
    <row r="1989" ht="15.75" customHeight="1">
      <c r="A1989" s="66">
        <f>'Main dataset (DEPRECATED)'!Q1990</f>
        <v>885733</v>
      </c>
      <c r="B1989" s="66" t="str">
        <f>IFERROR(__xludf.DUMMYFUNCTION("SPLIT('Main dataset (DEPRECATED2)'!N1990,"";"")"),"#VALUE!")</f>
        <v>#VALUE!</v>
      </c>
      <c r="C1989" s="66" t="s">
        <v>11192</v>
      </c>
    </row>
    <row r="1990" ht="15.75" customHeight="1">
      <c r="A1990" s="66">
        <f>'Main dataset (DEPRECATED)'!Q1991</f>
        <v>885723</v>
      </c>
      <c r="B1990" s="66" t="str">
        <f>IFERROR(__xludf.DUMMYFUNCTION("SPLIT('Main dataset (DEPRECATED2)'!N1991,"";"")"),"#VALUE!")</f>
        <v>#VALUE!</v>
      </c>
      <c r="C1990" s="66" t="s">
        <v>11113</v>
      </c>
    </row>
    <row r="1991" ht="15.75" customHeight="1">
      <c r="A1991" s="66">
        <f>'Main dataset (DEPRECATED)'!Q1992</f>
        <v>885704</v>
      </c>
      <c r="B1991" s="66" t="str">
        <f>IFERROR(__xludf.DUMMYFUNCTION("SPLIT('Main dataset (DEPRECATED2)'!N1992,"";"")"),"#VALUE!")</f>
        <v>#VALUE!</v>
      </c>
      <c r="C1991" s="66" t="s">
        <v>11408</v>
      </c>
      <c r="D1991" s="66" t="s">
        <v>7060</v>
      </c>
    </row>
    <row r="1992" ht="15.75" customHeight="1">
      <c r="A1992" s="66">
        <f>'Main dataset (DEPRECATED)'!Q1993</f>
        <v>885726</v>
      </c>
      <c r="B1992" s="66" t="str">
        <f>IFERROR(__xludf.DUMMYFUNCTION("SPLIT('Main dataset (DEPRECATED2)'!N1993,"";"")"),"#VALUE!")</f>
        <v>#VALUE!</v>
      </c>
      <c r="C1992" s="66" t="s">
        <v>11363</v>
      </c>
      <c r="D1992" s="66" t="s">
        <v>7887</v>
      </c>
    </row>
    <row r="1993" ht="15.75" customHeight="1">
      <c r="A1993" s="66">
        <f>'Main dataset (DEPRECATED)'!Q1994</f>
        <v>885732</v>
      </c>
      <c r="B1993" s="66" t="str">
        <f>IFERROR(__xludf.DUMMYFUNCTION("SPLIT('Main dataset (DEPRECATED2)'!N1994,"";"")"),"#VALUE!")</f>
        <v>#VALUE!</v>
      </c>
      <c r="C1993" s="66" t="s">
        <v>11250</v>
      </c>
      <c r="D1993" s="66" t="s">
        <v>8115</v>
      </c>
      <c r="E1993" s="66" t="s">
        <v>11291</v>
      </c>
      <c r="F1993" s="66" t="s">
        <v>7612</v>
      </c>
      <c r="G1993" s="66" t="s">
        <v>7887</v>
      </c>
    </row>
    <row r="1994" ht="15.75" customHeight="1">
      <c r="A1994" s="66">
        <f>'Main dataset (DEPRECATED)'!Q1995</f>
        <v>885724</v>
      </c>
      <c r="B1994" s="66" t="str">
        <f>IFERROR(__xludf.DUMMYFUNCTION("SPLIT('Main dataset (DEPRECATED2)'!N1995,"";"")"),"#VALUE!")</f>
        <v>#VALUE!</v>
      </c>
      <c r="C1994" s="66" t="s">
        <v>9807</v>
      </c>
      <c r="D1994" s="66" t="s">
        <v>6322</v>
      </c>
    </row>
    <row r="1995" ht="15.75" customHeight="1">
      <c r="A1995" s="66">
        <f>'Main dataset (DEPRECATED)'!Q1996</f>
        <v>885745</v>
      </c>
      <c r="B1995" s="66" t="str">
        <f>IFERROR(__xludf.DUMMYFUNCTION("SPLIT('Main dataset (DEPRECATED2)'!N1996,"";"")"),"#VALUE!")</f>
        <v>#VALUE!</v>
      </c>
    </row>
    <row r="1996" ht="15.75" customHeight="1">
      <c r="A1996" s="66">
        <f>'Main dataset (DEPRECATED)'!Q1997</f>
        <v>885713</v>
      </c>
      <c r="B1996" s="66" t="str">
        <f>IFERROR(__xludf.DUMMYFUNCTION("SPLIT('Main dataset (DEPRECATED2)'!N1997,"";"")"),"#VALUE!")</f>
        <v>#VALUE!</v>
      </c>
    </row>
    <row r="1997" ht="15.75" customHeight="1">
      <c r="A1997" s="66">
        <f>'Main dataset (DEPRECATED)'!Q1998</f>
        <v>885707</v>
      </c>
      <c r="B1997" s="66" t="str">
        <f>IFERROR(__xludf.DUMMYFUNCTION("SPLIT('Main dataset (DEPRECATED2)'!N1998,"";"")"),"#VALUE!")</f>
        <v>#VALUE!</v>
      </c>
      <c r="C1997" s="66" t="s">
        <v>6669</v>
      </c>
      <c r="D1997" s="66" t="s">
        <v>7150</v>
      </c>
    </row>
    <row r="1998" ht="15.75" customHeight="1">
      <c r="A1998" s="66">
        <f>'Main dataset (DEPRECATED)'!Q1999</f>
        <v>885718</v>
      </c>
      <c r="B1998" s="66" t="str">
        <f>IFERROR(__xludf.DUMMYFUNCTION("SPLIT('Main dataset (DEPRECATED2)'!N1999,"";"")"),"#VALUE!")</f>
        <v>#VALUE!</v>
      </c>
      <c r="C1998" s="66" t="s">
        <v>7752</v>
      </c>
      <c r="D1998" s="66" t="s">
        <v>8526</v>
      </c>
    </row>
    <row r="1999" ht="15.75" customHeight="1">
      <c r="A1999" s="66">
        <f>'Main dataset (DEPRECATED)'!Q2000</f>
        <v>885682</v>
      </c>
      <c r="B1999" s="66" t="str">
        <f>IFERROR(__xludf.DUMMYFUNCTION("SPLIT('Main dataset (DEPRECATED2)'!N2000,"";"")"),"#VALUE!")</f>
        <v>#VALUE!</v>
      </c>
      <c r="C1999" s="66" t="s">
        <v>9451</v>
      </c>
      <c r="D1999" s="66" t="s">
        <v>11146</v>
      </c>
    </row>
    <row r="2000" ht="15.75" customHeight="1">
      <c r="A2000" s="66">
        <f>'Main dataset (DEPRECATED)'!Q2001</f>
        <v>885696</v>
      </c>
      <c r="B2000" s="66" t="str">
        <f>IFERROR(__xludf.DUMMYFUNCTION("SPLIT('Main dataset (DEPRECATED2)'!N2001,"";"")"),"#VALUE!")</f>
        <v>#VALUE!</v>
      </c>
      <c r="C2000" s="66" t="s">
        <v>6857</v>
      </c>
    </row>
    <row r="2001" ht="15.75" customHeight="1">
      <c r="A2001" s="66">
        <f>'Main dataset (DEPRECATED)'!Q2002</f>
        <v>885719</v>
      </c>
      <c r="B2001" s="66" t="str">
        <f>IFERROR(__xludf.DUMMYFUNCTION("SPLIT('Main dataset (DEPRECATED2)'!N2002,"";"")"),"#VALUE!")</f>
        <v>#VALUE!</v>
      </c>
      <c r="C2001" s="66" t="s">
        <v>7998</v>
      </c>
    </row>
    <row r="2002" ht="15.75" customHeight="1">
      <c r="A2002" s="66">
        <f>'Main dataset (DEPRECATED)'!Q2003</f>
        <v>885679</v>
      </c>
      <c r="B2002" s="66" t="str">
        <f>IFERROR(__xludf.DUMMYFUNCTION("SPLIT('Main dataset (DEPRECATED2)'!N2003,"";"")"),"#VALUE!")</f>
        <v>#VALUE!</v>
      </c>
      <c r="C2002" s="66" t="s">
        <v>10135</v>
      </c>
    </row>
    <row r="2003" ht="15.75" customHeight="1">
      <c r="A2003" s="66">
        <f>'Main dataset (DEPRECATED)'!Q2004</f>
        <v>885743</v>
      </c>
      <c r="B2003" s="66" t="str">
        <f>IFERROR(__xludf.DUMMYFUNCTION("SPLIT('Main dataset (DEPRECATED2)'!N2004,"";"")"),"#VALUE!")</f>
        <v>#VALUE!</v>
      </c>
      <c r="C2003" s="66" t="s">
        <v>11482</v>
      </c>
      <c r="D2003" s="66" t="s">
        <v>10802</v>
      </c>
      <c r="E2003" s="66" t="s">
        <v>6672</v>
      </c>
    </row>
    <row r="2004" ht="15.75" customHeight="1">
      <c r="A2004" s="66">
        <f>'Main dataset (DEPRECATED)'!Q2005</f>
        <v>885709</v>
      </c>
      <c r="B2004" s="66" t="str">
        <f>IFERROR(__xludf.DUMMYFUNCTION("SPLIT('Main dataset (DEPRECATED2)'!N2005,"";"")"),"#VALUE!")</f>
        <v>#VALUE!</v>
      </c>
      <c r="C2004" s="66" t="s">
        <v>8783</v>
      </c>
      <c r="D2004" s="66" t="s">
        <v>10278</v>
      </c>
    </row>
    <row r="2005" ht="15.75" customHeight="1">
      <c r="A2005" s="66">
        <f>'Main dataset (DEPRECATED)'!Q2006</f>
        <v>885706</v>
      </c>
      <c r="B2005" s="66" t="str">
        <f>IFERROR(__xludf.DUMMYFUNCTION("SPLIT('Main dataset (DEPRECATED2)'!N2006,"";"")"),"#VALUE!")</f>
        <v>#VALUE!</v>
      </c>
    </row>
    <row r="2006" ht="15.75" customHeight="1">
      <c r="A2006" s="66">
        <f>'Main dataset (DEPRECATED)'!Q2007</f>
        <v>885744</v>
      </c>
      <c r="B2006" s="66" t="str">
        <f>IFERROR(__xludf.DUMMYFUNCTION("SPLIT('Main dataset (DEPRECATED2)'!N2007,"";"")"),"#VALUE!")</f>
        <v>#VALUE!</v>
      </c>
      <c r="C2006" s="66" t="s">
        <v>10577</v>
      </c>
      <c r="D2006" s="66" t="s">
        <v>6328</v>
      </c>
      <c r="E2006" s="66" t="s">
        <v>6812</v>
      </c>
      <c r="F2006" s="66" t="s">
        <v>9656</v>
      </c>
    </row>
    <row r="2007" ht="15.75" customHeight="1">
      <c r="A2007" s="66">
        <f>'Main dataset (DEPRECATED)'!Q2008</f>
        <v>885705</v>
      </c>
      <c r="B2007" s="66" t="str">
        <f>IFERROR(__xludf.DUMMYFUNCTION("SPLIT('Main dataset (DEPRECATED2)'!N2008,"";"")"),"#VALUE!")</f>
        <v>#VALUE!</v>
      </c>
      <c r="C2007" s="66" t="s">
        <v>7208</v>
      </c>
      <c r="D2007" s="66" t="s">
        <v>10431</v>
      </c>
      <c r="E2007" s="66" t="s">
        <v>6640</v>
      </c>
    </row>
    <row r="2008" ht="15.75" customHeight="1">
      <c r="A2008" s="66">
        <f>'Main dataset (DEPRECATED)'!Q2009</f>
        <v>885686</v>
      </c>
      <c r="B2008" s="66" t="str">
        <f>IFERROR(__xludf.DUMMYFUNCTION("SPLIT('Main dataset (DEPRECATED2)'!N2009,"";"")"),"#VALUE!")</f>
        <v>#VALUE!</v>
      </c>
      <c r="C2008" s="66" t="s">
        <v>8975</v>
      </c>
      <c r="D2008" s="66" t="s">
        <v>9776</v>
      </c>
      <c r="E2008" s="66" t="s">
        <v>9673</v>
      </c>
    </row>
    <row r="2009" ht="15.75" customHeight="1">
      <c r="A2009" s="66">
        <f>'Main dataset (DEPRECATED)'!Q2010</f>
        <v>885700</v>
      </c>
      <c r="B2009" s="66" t="str">
        <f>IFERROR(__xludf.DUMMYFUNCTION("SPLIT('Main dataset (DEPRECATED2)'!N2010,"";"")"),"#VALUE!")</f>
        <v>#VALUE!</v>
      </c>
      <c r="C2009" s="66" t="s">
        <v>8768</v>
      </c>
      <c r="D2009" s="66" t="s">
        <v>8256</v>
      </c>
      <c r="E2009" s="66" t="s">
        <v>8970</v>
      </c>
    </row>
    <row r="2010" ht="15.75" customHeight="1">
      <c r="A2010" s="66">
        <f>'Main dataset (DEPRECATED)'!Q2011</f>
        <v>885680</v>
      </c>
      <c r="B2010" s="66" t="str">
        <f>IFERROR(__xludf.DUMMYFUNCTION("SPLIT('Main dataset (DEPRECATED2)'!N2011,"";"")"),"#VALUE!")</f>
        <v>#VALUE!</v>
      </c>
      <c r="C2010" s="66" t="s">
        <v>7038</v>
      </c>
      <c r="D2010" s="66" t="s">
        <v>9485</v>
      </c>
      <c r="E2010" s="66" t="s">
        <v>10192</v>
      </c>
      <c r="F2010" s="66" t="s">
        <v>10472</v>
      </c>
    </row>
    <row r="2011" ht="15.75" customHeight="1">
      <c r="A2011" s="66">
        <f>'Main dataset (DEPRECATED)'!Q2012</f>
        <v>885687</v>
      </c>
      <c r="B2011" s="66" t="str">
        <f>IFERROR(__xludf.DUMMYFUNCTION("SPLIT('Main dataset (DEPRECATED2)'!N2012,"";"")"),"#VALUE!")</f>
        <v>#VALUE!</v>
      </c>
      <c r="C2011" s="66" t="s">
        <v>9258</v>
      </c>
      <c r="D2011" s="66" t="s">
        <v>7375</v>
      </c>
      <c r="E2011" s="66" t="s">
        <v>9418</v>
      </c>
      <c r="F2011" s="66" t="s">
        <v>9222</v>
      </c>
    </row>
    <row r="2012" ht="15.75" customHeight="1">
      <c r="A2012" s="66">
        <f>'Main dataset (DEPRECATED)'!Q2013</f>
        <v>885681</v>
      </c>
      <c r="B2012" s="66" t="str">
        <f>IFERROR(__xludf.DUMMYFUNCTION("SPLIT('Main dataset (DEPRECATED2)'!N2013,"";"")"),"#VALUE!")</f>
        <v>#VALUE!</v>
      </c>
      <c r="C2012" s="66" t="s">
        <v>9640</v>
      </c>
    </row>
    <row r="2013" ht="15.75" customHeight="1">
      <c r="A2013" s="66">
        <f>'Main dataset (DEPRECATED)'!Q2014</f>
        <v>885699</v>
      </c>
      <c r="B2013" s="66" t="str">
        <f>IFERROR(__xludf.DUMMYFUNCTION("SPLIT('Main dataset (DEPRECATED2)'!N2014,"";"")"),"#VALUE!")</f>
        <v>#VALUE!</v>
      </c>
      <c r="C2013" s="66" t="s">
        <v>6396</v>
      </c>
      <c r="D2013" s="66" t="s">
        <v>8190</v>
      </c>
    </row>
    <row r="2014" ht="15.75" customHeight="1">
      <c r="A2014" s="66">
        <f>'Main dataset (DEPRECATED)'!Q2015</f>
        <v>885703</v>
      </c>
      <c r="B2014" s="66" t="str">
        <f>IFERROR(__xludf.DUMMYFUNCTION("SPLIT('Main dataset (DEPRECATED2)'!N2015,"";"")"),"#VALUE!")</f>
        <v>#VALUE!</v>
      </c>
      <c r="C2014" s="66" t="s">
        <v>9758</v>
      </c>
    </row>
    <row r="2015" ht="15.75" customHeight="1">
      <c r="A2015" s="66">
        <f>'Main dataset (DEPRECATED)'!Q2016</f>
        <v>885714</v>
      </c>
      <c r="B2015" s="66" t="str">
        <f>IFERROR(__xludf.DUMMYFUNCTION("SPLIT('Main dataset (DEPRECATED2)'!N2016,"";"")"),"#VALUE!")</f>
        <v>#VALUE!</v>
      </c>
      <c r="C2015" s="66" t="s">
        <v>10119</v>
      </c>
      <c r="D2015" s="66" t="s">
        <v>10241</v>
      </c>
    </row>
    <row r="2016" ht="15.75" customHeight="1">
      <c r="A2016" s="66">
        <f>'Main dataset (DEPRECATED)'!Q2017</f>
        <v>885712</v>
      </c>
      <c r="B2016" s="66" t="str">
        <f>IFERROR(__xludf.DUMMYFUNCTION("SPLIT('Main dataset (DEPRECATED2)'!N2017,"";"")"),"#VALUE!")</f>
        <v>#VALUE!</v>
      </c>
      <c r="C2016" s="66" t="s">
        <v>11077</v>
      </c>
      <c r="D2016" s="66" t="s">
        <v>9684</v>
      </c>
      <c r="E2016" s="66" t="s">
        <v>11401</v>
      </c>
      <c r="F2016" s="66" t="s">
        <v>7625</v>
      </c>
    </row>
    <row r="2017" ht="15.75" customHeight="1">
      <c r="A2017" s="66">
        <f>'Main dataset (DEPRECATED)'!Q2018</f>
        <v>885697</v>
      </c>
      <c r="B2017" s="66" t="str">
        <f>IFERROR(__xludf.DUMMYFUNCTION("SPLIT('Main dataset (DEPRECATED2)'!N2018,"";"")"),"#VALUE!")</f>
        <v>#VALUE!</v>
      </c>
      <c r="C2017" s="66" t="s">
        <v>9521</v>
      </c>
      <c r="D2017" s="66" t="s">
        <v>6515</v>
      </c>
      <c r="E2017" s="66" t="s">
        <v>7887</v>
      </c>
    </row>
    <row r="2018" ht="15.75" customHeight="1">
      <c r="A2018" s="66">
        <f>'Main dataset (DEPRECATED)'!Q2019</f>
        <v>885701</v>
      </c>
      <c r="B2018" s="66" t="str">
        <f>IFERROR(__xludf.DUMMYFUNCTION("SPLIT('Main dataset (DEPRECATED2)'!N2019,"";"")"),"#VALUE!")</f>
        <v>#VALUE!</v>
      </c>
      <c r="C2018" s="66" t="s">
        <v>6980</v>
      </c>
    </row>
    <row r="2019" ht="15.75" customHeight="1">
      <c r="A2019" s="66">
        <f>'Main dataset (DEPRECATED)'!Q2020</f>
        <v>885738</v>
      </c>
      <c r="B2019" s="66" t="str">
        <f>IFERROR(__xludf.DUMMYFUNCTION("SPLIT('Main dataset (DEPRECATED2)'!N2020,"";"")"),"#VALUE!")</f>
        <v>#VALUE!</v>
      </c>
      <c r="C2019" s="66" t="s">
        <v>7570</v>
      </c>
      <c r="D2019" s="66" t="s">
        <v>9009</v>
      </c>
      <c r="E2019" s="66" t="s">
        <v>8578</v>
      </c>
      <c r="F2019" s="66" t="s">
        <v>6159</v>
      </c>
      <c r="G2019" s="66" t="s">
        <v>11027</v>
      </c>
    </row>
    <row r="2020" ht="15.75" customHeight="1">
      <c r="A2020" s="66">
        <f>'Main dataset (DEPRECATED)'!Q2021</f>
        <v>885692</v>
      </c>
      <c r="B2020" s="66" t="str">
        <f>IFERROR(__xludf.DUMMYFUNCTION("SPLIT('Main dataset (DEPRECATED2)'!N2021,"";"")"),"#VALUE!")</f>
        <v>#VALUE!</v>
      </c>
      <c r="C2020" s="66" t="s">
        <v>7815</v>
      </c>
      <c r="D2020" s="66" t="s">
        <v>11031</v>
      </c>
      <c r="E2020" s="66" t="s">
        <v>10691</v>
      </c>
      <c r="F2020" s="66" t="s">
        <v>10159</v>
      </c>
      <c r="G2020" s="66" t="s">
        <v>10594</v>
      </c>
    </row>
    <row r="2021" ht="15.75" customHeight="1">
      <c r="A2021" s="66">
        <f>'Main dataset (DEPRECATED)'!Q2022</f>
        <v>885736</v>
      </c>
      <c r="B2021" s="66" t="str">
        <f>IFERROR(__xludf.DUMMYFUNCTION("SPLIT('Main dataset (DEPRECATED2)'!N2022,"";"")"),"#VALUE!")</f>
        <v>#VALUE!</v>
      </c>
    </row>
    <row r="2022" ht="15.75" customHeight="1">
      <c r="A2022" s="66">
        <f>'Main dataset (DEPRECATED)'!Q2023</f>
        <v>885708</v>
      </c>
      <c r="B2022" s="66" t="str">
        <f>IFERROR(__xludf.DUMMYFUNCTION("SPLIT('Main dataset (DEPRECATED2)'!N2023,"";"")"),"#VALUE!")</f>
        <v>#VALUE!</v>
      </c>
    </row>
    <row r="2023" ht="15.75" customHeight="1">
      <c r="A2023" s="66">
        <f>'Main dataset (DEPRECATED)'!Q2024</f>
        <v>885735</v>
      </c>
      <c r="B2023" s="66" t="str">
        <f>IFERROR(__xludf.DUMMYFUNCTION("SPLIT('Main dataset (DEPRECATED2)'!N2024,"";"")"),"#VALUE!")</f>
        <v>#VALUE!</v>
      </c>
      <c r="C2023" s="66" t="s">
        <v>11192</v>
      </c>
      <c r="D2023" s="66" t="s">
        <v>11236</v>
      </c>
      <c r="E2023" s="66" t="s">
        <v>11256</v>
      </c>
      <c r="F2023" s="66" t="s">
        <v>9215</v>
      </c>
      <c r="G2023" s="66" t="s">
        <v>11186</v>
      </c>
    </row>
    <row r="2024" ht="15.75" customHeight="1">
      <c r="A2024" s="66">
        <f>'Main dataset (DEPRECATED)'!Q2025</f>
        <v>885742</v>
      </c>
      <c r="B2024" s="66" t="str">
        <f>IFERROR(__xludf.DUMMYFUNCTION("SPLIT('Main dataset (DEPRECATED2)'!N2025,"";"")"),"#VALUE!")</f>
        <v>#VALUE!</v>
      </c>
      <c r="C2024" s="66" t="s">
        <v>4987</v>
      </c>
      <c r="D2024" s="66" t="s">
        <v>10403</v>
      </c>
      <c r="E2024" s="66" t="s">
        <v>7447</v>
      </c>
    </row>
    <row r="2025" ht="15.75" customHeight="1">
      <c r="A2025" s="66">
        <f>'Main dataset (DEPRECATED)'!Q2026</f>
        <v>885710</v>
      </c>
      <c r="B2025" s="66" t="str">
        <f>IFERROR(__xludf.DUMMYFUNCTION("SPLIT('Main dataset (DEPRECATED2)'!N2026,"";"")"),"#VALUE!")</f>
        <v>#VALUE!</v>
      </c>
      <c r="C2025" s="66" t="s">
        <v>7996</v>
      </c>
    </row>
    <row r="2026" ht="15.75" customHeight="1">
      <c r="A2026" s="66">
        <f>'Main dataset (DEPRECATED)'!Q2027</f>
        <v>885740</v>
      </c>
      <c r="B2026" s="66" t="str">
        <f>IFERROR(__xludf.DUMMYFUNCTION("SPLIT('Main dataset (DEPRECATED2)'!N2027,"";"")"),"#VALUE!")</f>
        <v>#VALUE!</v>
      </c>
      <c r="C2026" s="66" t="s">
        <v>7210</v>
      </c>
    </row>
    <row r="2027" ht="15.75" customHeight="1">
      <c r="A2027" s="66">
        <f>'Main dataset (DEPRECATED)'!Q2028</f>
        <v>885741</v>
      </c>
      <c r="B2027" s="66" t="str">
        <f>IFERROR(__xludf.DUMMYFUNCTION("SPLIT('Main dataset (DEPRECATED2)'!N2028,"";"")"),"#VALUE!")</f>
        <v>#VALUE!</v>
      </c>
      <c r="C2027" s="66" t="s">
        <v>6317</v>
      </c>
    </row>
    <row r="2028" ht="15.75" customHeight="1">
      <c r="A2028" s="66">
        <f>'Main dataset (DEPRECATED)'!Q2029</f>
        <v>885694</v>
      </c>
      <c r="B2028" s="66" t="str">
        <f>IFERROR(__xludf.DUMMYFUNCTION("SPLIT('Main dataset (DEPRECATED2)'!N2029,"";"")"),"#VALUE!")</f>
        <v>#VALUE!</v>
      </c>
      <c r="C2028" s="66" t="s">
        <v>10135</v>
      </c>
    </row>
    <row r="2029" ht="15.75" customHeight="1">
      <c r="A2029" s="66">
        <f>'Main dataset (DEPRECATED)'!Q2030</f>
        <v>885739</v>
      </c>
      <c r="B2029" s="66" t="str">
        <f>IFERROR(__xludf.DUMMYFUNCTION("SPLIT('Main dataset (DEPRECATED2)'!N2030,"";"")"),"#VALUE!")</f>
        <v>#VALUE!</v>
      </c>
      <c r="C2029" s="66" t="s">
        <v>10201</v>
      </c>
      <c r="D2029" s="66" t="s">
        <v>11500</v>
      </c>
      <c r="E2029" s="66" t="s">
        <v>10471</v>
      </c>
      <c r="F2029" s="66" t="s">
        <v>11743</v>
      </c>
    </row>
    <row r="2030" ht="15.75" customHeight="1">
      <c r="A2030" s="66">
        <f>'Main dataset (DEPRECATED)'!Q2031</f>
        <v>801861</v>
      </c>
      <c r="B2030" s="66" t="str">
        <f>IFERROR(__xludf.DUMMYFUNCTION("SPLIT('Main dataset (DEPRECATED2)'!N2031,"";"")"),"#VALUE!")</f>
        <v>#VALUE!</v>
      </c>
      <c r="C2030" s="66" t="s">
        <v>9706</v>
      </c>
      <c r="D2030" s="66" t="s">
        <v>9270</v>
      </c>
    </row>
    <row r="2031" ht="15.75" customHeight="1">
      <c r="A2031" s="66">
        <f>'Main dataset (DEPRECATED)'!Q2032</f>
        <v>801857</v>
      </c>
      <c r="B2031" s="66" t="str">
        <f>IFERROR(__xludf.DUMMYFUNCTION("SPLIT('Main dataset (DEPRECATED2)'!N2032,"";"")"),"#VALUE!")</f>
        <v>#VALUE!</v>
      </c>
      <c r="C2031" s="66" t="s">
        <v>8234</v>
      </c>
      <c r="D2031" s="66" t="s">
        <v>10097</v>
      </c>
    </row>
    <row r="2032" ht="15.75" customHeight="1">
      <c r="A2032" s="66">
        <f>'Main dataset (DEPRECATED)'!Q2033</f>
        <v>801867</v>
      </c>
      <c r="B2032" s="66" t="str">
        <f>IFERROR(__xludf.DUMMYFUNCTION("SPLIT('Main dataset (DEPRECATED2)'!N2033,"";"")"),"#VALUE!")</f>
        <v>#VALUE!</v>
      </c>
      <c r="C2032" s="66" t="s">
        <v>7167</v>
      </c>
      <c r="D2032" s="66" t="s">
        <v>8280</v>
      </c>
      <c r="E2032" s="66" t="s">
        <v>6327</v>
      </c>
      <c r="F2032" s="66" t="s">
        <v>7104</v>
      </c>
    </row>
    <row r="2033" ht="15.75" customHeight="1">
      <c r="A2033" s="66">
        <f>'Main dataset (DEPRECATED)'!Q2034</f>
        <v>801863</v>
      </c>
      <c r="B2033" s="66" t="str">
        <f>IFERROR(__xludf.DUMMYFUNCTION("SPLIT('Main dataset (DEPRECATED2)'!N2034,"";"")"),"#VALUE!")</f>
        <v>#VALUE!</v>
      </c>
    </row>
    <row r="2034" ht="15.75" customHeight="1">
      <c r="A2034" s="66">
        <f>'Main dataset (DEPRECATED)'!Q2035</f>
        <v>801851</v>
      </c>
      <c r="B2034" s="66" t="str">
        <f>IFERROR(__xludf.DUMMYFUNCTION("SPLIT('Main dataset (DEPRECATED2)'!N2035,"";"")"),"#VALUE!")</f>
        <v>#VALUE!</v>
      </c>
      <c r="C2034" s="66" t="s">
        <v>11197</v>
      </c>
    </row>
    <row r="2035" ht="15.75" customHeight="1">
      <c r="A2035" s="66">
        <f>'Main dataset (DEPRECATED)'!Q2036</f>
        <v>801869</v>
      </c>
      <c r="B2035" s="66" t="str">
        <f>IFERROR(__xludf.DUMMYFUNCTION("SPLIT('Main dataset (DEPRECATED2)'!N2036,"";"")"),"#VALUE!")</f>
        <v>#VALUE!</v>
      </c>
      <c r="C2035" s="66" t="s">
        <v>7931</v>
      </c>
      <c r="D2035" s="66" t="s">
        <v>10186</v>
      </c>
    </row>
    <row r="2036" ht="15.75" customHeight="1">
      <c r="A2036" s="66">
        <f>'Main dataset (DEPRECATED)'!Q2037</f>
        <v>801860</v>
      </c>
      <c r="B2036" s="66" t="str">
        <f>IFERROR(__xludf.DUMMYFUNCTION("SPLIT('Main dataset (DEPRECATED2)'!N2037,"";"")"),"#VALUE!")</f>
        <v>#VALUE!</v>
      </c>
      <c r="C2036" s="66" t="s">
        <v>11178</v>
      </c>
    </row>
    <row r="2037" ht="15.75" customHeight="1">
      <c r="A2037" s="66">
        <f>'Main dataset (DEPRECATED)'!Q2038</f>
        <v>801854</v>
      </c>
      <c r="B2037" s="66" t="str">
        <f>IFERROR(__xludf.DUMMYFUNCTION("SPLIT('Main dataset (DEPRECATED2)'!N2038,"";"")"),"#VALUE!")</f>
        <v>#VALUE!</v>
      </c>
      <c r="C2037" s="66" t="s">
        <v>6553</v>
      </c>
    </row>
    <row r="2038" ht="15.75" customHeight="1">
      <c r="A2038" s="66">
        <f>'Main dataset (DEPRECATED)'!Q2039</f>
        <v>801856</v>
      </c>
      <c r="B2038" s="66" t="str">
        <f>IFERROR(__xludf.DUMMYFUNCTION("SPLIT('Main dataset (DEPRECATED2)'!N2039,"";"")"),"#VALUE!")</f>
        <v>#VALUE!</v>
      </c>
      <c r="C2038" s="66" t="s">
        <v>8141</v>
      </c>
      <c r="D2038" s="66" t="s">
        <v>7695</v>
      </c>
    </row>
    <row r="2039" ht="15.75" customHeight="1">
      <c r="A2039" s="66">
        <f>'Main dataset (DEPRECATED)'!Q2040</f>
        <v>801859</v>
      </c>
      <c r="B2039" s="66" t="str">
        <f>IFERROR(__xludf.DUMMYFUNCTION("SPLIT('Main dataset (DEPRECATED2)'!N2040,"";"")"),"#VALUE!")</f>
        <v>#VALUE!</v>
      </c>
      <c r="C2039" s="66" t="s">
        <v>6453</v>
      </c>
    </row>
    <row r="2040" ht="15.75" customHeight="1">
      <c r="A2040" s="66">
        <f>'Main dataset (DEPRECATED)'!Q2041</f>
        <v>801862</v>
      </c>
      <c r="B2040" s="66" t="str">
        <f>IFERROR(__xludf.DUMMYFUNCTION("SPLIT('Main dataset (DEPRECATED2)'!N2041,"";"")"),"#VALUE!")</f>
        <v>#VALUE!</v>
      </c>
      <c r="C2040" s="66" t="s">
        <v>8076</v>
      </c>
      <c r="D2040" s="66" t="s">
        <v>9492</v>
      </c>
      <c r="E2040" s="66" t="s">
        <v>10253</v>
      </c>
    </row>
    <row r="2041" ht="15.75" customHeight="1">
      <c r="A2041" s="66">
        <f>'Main dataset (DEPRECATED)'!Q2042</f>
        <v>801855</v>
      </c>
      <c r="B2041" s="66" t="str">
        <f>IFERROR(__xludf.DUMMYFUNCTION("SPLIT('Main dataset (DEPRECATED2)'!N2042,"";"")"),"#VALUE!")</f>
        <v>#VALUE!</v>
      </c>
      <c r="C2041" s="66" t="s">
        <v>6382</v>
      </c>
      <c r="D2041" s="66" t="s">
        <v>10639</v>
      </c>
      <c r="E2041" s="66" t="s">
        <v>11532</v>
      </c>
    </row>
    <row r="2042" ht="15.75" customHeight="1">
      <c r="A2042" s="66">
        <f>'Main dataset (DEPRECATED)'!Q2043</f>
        <v>801858</v>
      </c>
      <c r="B2042" s="66" t="str">
        <f>IFERROR(__xludf.DUMMYFUNCTION("SPLIT('Main dataset (DEPRECATED2)'!N2043,"";"")"),"#VALUE!")</f>
        <v>#VALUE!</v>
      </c>
      <c r="C2042" s="66" t="s">
        <v>11333</v>
      </c>
      <c r="D2042" s="66" t="s">
        <v>10295</v>
      </c>
    </row>
    <row r="2043" ht="15.75" customHeight="1">
      <c r="A2043" s="66">
        <f>'Main dataset (DEPRECATED)'!Q2044</f>
        <v>801853</v>
      </c>
      <c r="B2043" s="66" t="str">
        <f>IFERROR(__xludf.DUMMYFUNCTION("SPLIT('Main dataset (DEPRECATED2)'!N2044,"";"")"),"#VALUE!")</f>
        <v>#VALUE!</v>
      </c>
      <c r="C2043" s="66" t="s">
        <v>6778</v>
      </c>
    </row>
    <row r="2044" ht="15.75" customHeight="1">
      <c r="A2044" s="66">
        <f>'Main dataset (DEPRECATED)'!Q2045</f>
        <v>801865</v>
      </c>
      <c r="B2044" s="66" t="str">
        <f>IFERROR(__xludf.DUMMYFUNCTION("SPLIT('Main dataset (DEPRECATED2)'!N2045,"";"")"),"#VALUE!")</f>
        <v>#VALUE!</v>
      </c>
      <c r="C2044" s="66" t="s">
        <v>6294</v>
      </c>
    </row>
    <row r="2045" ht="15.75" customHeight="1">
      <c r="A2045" s="66">
        <f>'Main dataset (DEPRECATED)'!Q2046</f>
        <v>801868</v>
      </c>
      <c r="B2045" s="66" t="str">
        <f>IFERROR(__xludf.DUMMYFUNCTION("SPLIT('Main dataset (DEPRECATED2)'!N2046,"";"")"),"#VALUE!")</f>
        <v>#VALUE!</v>
      </c>
    </row>
    <row r="2046" ht="15.75" customHeight="1">
      <c r="A2046" s="66">
        <f>'Main dataset (DEPRECATED)'!Q2047</f>
        <v>801864</v>
      </c>
      <c r="B2046" s="66" t="str">
        <f>IFERROR(__xludf.DUMMYFUNCTION("SPLIT('Main dataset (DEPRECATED2)'!N2047,"";"")"),"#VALUE!")</f>
        <v>#VALUE!</v>
      </c>
      <c r="C2046" s="66" t="s">
        <v>9144</v>
      </c>
      <c r="D2046" s="66" t="s">
        <v>10475</v>
      </c>
    </row>
    <row r="2047" ht="15.75" customHeight="1">
      <c r="A2047" s="66">
        <f>'Main dataset (DEPRECATED)'!Q2048</f>
        <v>801852</v>
      </c>
      <c r="B2047" s="66" t="str">
        <f>IFERROR(__xludf.DUMMYFUNCTION("SPLIT('Main dataset (DEPRECATED2)'!N2048,"";"")"),"#VALUE!")</f>
        <v>#VALUE!</v>
      </c>
      <c r="C2047" s="66" t="s">
        <v>6580</v>
      </c>
      <c r="D2047" s="66" t="s">
        <v>8046</v>
      </c>
      <c r="E2047" s="66" t="s">
        <v>10238</v>
      </c>
    </row>
    <row r="2048" ht="15.75" customHeight="1">
      <c r="A2048" s="66">
        <f>'Main dataset (DEPRECATED)'!Q2049</f>
        <v>801866</v>
      </c>
      <c r="B2048" s="66" t="str">
        <f>IFERROR(__xludf.DUMMYFUNCTION("SPLIT('Main dataset (DEPRECATED2)'!N2049,"";"")"),"#VALUE!")</f>
        <v>#VALUE!</v>
      </c>
      <c r="C2048" s="66" t="s">
        <v>11443</v>
      </c>
      <c r="D2048" s="66" t="s">
        <v>11027</v>
      </c>
    </row>
    <row r="2049" ht="15.75" customHeight="1">
      <c r="A2049" s="66">
        <f>'Main dataset (DEPRECATED)'!Q2050</f>
        <v>809915</v>
      </c>
      <c r="B2049" s="66" t="str">
        <f>IFERROR(__xludf.DUMMYFUNCTION("SPLIT('Main dataset (DEPRECATED2)'!N2050,"";"")"),"#VALUE!")</f>
        <v>#VALUE!</v>
      </c>
      <c r="C2049" s="66" t="s">
        <v>10775</v>
      </c>
      <c r="D2049" s="66" t="s">
        <v>9302</v>
      </c>
    </row>
    <row r="2050" ht="15.75" customHeight="1">
      <c r="A2050" s="66">
        <f>'Main dataset (DEPRECATED)'!Q2051</f>
        <v>809890</v>
      </c>
      <c r="B2050" s="66" t="str">
        <f>IFERROR(__xludf.DUMMYFUNCTION("SPLIT('Main dataset (DEPRECATED2)'!N2051,"";"")"),"#VALUE!")</f>
        <v>#VALUE!</v>
      </c>
      <c r="C2050" s="66" t="s">
        <v>8046</v>
      </c>
    </row>
    <row r="2051" ht="15.75" customHeight="1">
      <c r="A2051" s="66">
        <f>'Main dataset (DEPRECATED)'!Q2052</f>
        <v>809910</v>
      </c>
      <c r="B2051" s="66" t="str">
        <f>IFERROR(__xludf.DUMMYFUNCTION("SPLIT('Main dataset (DEPRECATED2)'!N2052,"";"")"),"#VALUE!")</f>
        <v>#VALUE!</v>
      </c>
      <c r="C2051" s="66" t="s">
        <v>6889</v>
      </c>
      <c r="D2051" s="66" t="s">
        <v>4987</v>
      </c>
    </row>
    <row r="2052" ht="15.75" customHeight="1">
      <c r="A2052" s="66">
        <f>'Main dataset (DEPRECATED)'!Q2053</f>
        <v>809893</v>
      </c>
      <c r="B2052" s="66" t="str">
        <f>IFERROR(__xludf.DUMMYFUNCTION("SPLIT('Main dataset (DEPRECATED2)'!N2053,"";"")"),"#VALUE!")</f>
        <v>#VALUE!</v>
      </c>
      <c r="C2052" s="66" t="s">
        <v>8053</v>
      </c>
    </row>
    <row r="2053" ht="15.75" customHeight="1">
      <c r="A2053" s="66">
        <f>'Main dataset (DEPRECATED)'!Q2054</f>
        <v>809891</v>
      </c>
      <c r="B2053" s="66" t="str">
        <f>IFERROR(__xludf.DUMMYFUNCTION("SPLIT('Main dataset (DEPRECATED2)'!N2054,"";"")"),"#VALUE!")</f>
        <v>#VALUE!</v>
      </c>
      <c r="C2053" s="66" t="s">
        <v>10435</v>
      </c>
      <c r="D2053" s="66" t="s">
        <v>9250</v>
      </c>
      <c r="E2053" s="66" t="s">
        <v>11002</v>
      </c>
    </row>
    <row r="2054" ht="15.75" customHeight="1">
      <c r="A2054" s="66">
        <f>'Main dataset (DEPRECATED)'!Q2055</f>
        <v>809934</v>
      </c>
      <c r="B2054" s="66" t="str">
        <f>IFERROR(__xludf.DUMMYFUNCTION("SPLIT('Main dataset (DEPRECATED2)'!N2055,"";"")"),"#VALUE!")</f>
        <v>#VALUE!</v>
      </c>
      <c r="C2054" s="66" t="s">
        <v>7432</v>
      </c>
    </row>
    <row r="2055" ht="15.75" customHeight="1">
      <c r="A2055" s="66">
        <f>'Main dataset (DEPRECATED)'!Q2056</f>
        <v>809929</v>
      </c>
      <c r="B2055" s="66" t="str">
        <f>IFERROR(__xludf.DUMMYFUNCTION("SPLIT('Main dataset (DEPRECATED2)'!N2056,"";"")"),"#VALUE!")</f>
        <v>#VALUE!</v>
      </c>
      <c r="C2055" s="66" t="s">
        <v>10201</v>
      </c>
      <c r="D2055" s="66" t="s">
        <v>11050</v>
      </c>
      <c r="E2055" s="66" t="s">
        <v>9287</v>
      </c>
    </row>
    <row r="2056" ht="15.75" customHeight="1">
      <c r="A2056" s="66">
        <f>'Main dataset (DEPRECATED)'!Q2057</f>
        <v>809885</v>
      </c>
      <c r="B2056" s="66" t="str">
        <f>IFERROR(__xludf.DUMMYFUNCTION("SPLIT('Main dataset (DEPRECATED2)'!N2057,"";"")"),"#VALUE!")</f>
        <v>#VALUE!</v>
      </c>
      <c r="C2056" s="66" t="s">
        <v>6557</v>
      </c>
      <c r="D2056" s="66" t="s">
        <v>11269</v>
      </c>
      <c r="E2056" s="66" t="s">
        <v>9192</v>
      </c>
    </row>
    <row r="2057" ht="15.75" customHeight="1">
      <c r="A2057" s="66">
        <f>'Main dataset (DEPRECATED)'!Q2058</f>
        <v>809904</v>
      </c>
      <c r="B2057" s="66" t="str">
        <f>IFERROR(__xludf.DUMMYFUNCTION("SPLIT('Main dataset (DEPRECATED2)'!N2058,"";"")"),"#VALUE!")</f>
        <v>#VALUE!</v>
      </c>
      <c r="C2057" s="66" t="s">
        <v>10292</v>
      </c>
    </row>
    <row r="2058" ht="15.75" customHeight="1">
      <c r="A2058" s="66">
        <f>'Main dataset (DEPRECATED)'!Q2059</f>
        <v>809932</v>
      </c>
      <c r="B2058" s="66" t="str">
        <f>IFERROR(__xludf.DUMMYFUNCTION("SPLIT('Main dataset (DEPRECATED2)'!N2059,"";"")"),"#VALUE!")</f>
        <v>#VALUE!</v>
      </c>
      <c r="C2058" s="66" t="s">
        <v>6299</v>
      </c>
      <c r="D2058" s="66" t="s">
        <v>10939</v>
      </c>
    </row>
    <row r="2059" ht="15.75" customHeight="1">
      <c r="A2059" s="66">
        <f>'Main dataset (DEPRECATED)'!Q2060</f>
        <v>809940</v>
      </c>
      <c r="B2059" s="66" t="str">
        <f>IFERROR(__xludf.DUMMYFUNCTION("SPLIT('Main dataset (DEPRECATED2)'!N2060,"";"")"),"#VALUE!")</f>
        <v>#VALUE!</v>
      </c>
    </row>
    <row r="2060" ht="15.75" customHeight="1">
      <c r="A2060" s="66">
        <f>'Main dataset (DEPRECATED)'!Q2061</f>
        <v>809897</v>
      </c>
      <c r="B2060" s="66" t="str">
        <f>IFERROR(__xludf.DUMMYFUNCTION("SPLIT('Main dataset (DEPRECATED2)'!N2061,"";"")"),"#VALUE!")</f>
        <v>#VALUE!</v>
      </c>
      <c r="C2060" s="66" t="s">
        <v>11095</v>
      </c>
      <c r="D2060" s="66" t="s">
        <v>7996</v>
      </c>
    </row>
    <row r="2061" ht="15.75" customHeight="1">
      <c r="A2061" s="66">
        <f>'Main dataset (DEPRECATED)'!Q2062</f>
        <v>809907</v>
      </c>
      <c r="B2061" s="66" t="str">
        <f>IFERROR(__xludf.DUMMYFUNCTION("SPLIT('Main dataset (DEPRECATED2)'!N2062,"";"")"),"#VALUE!")</f>
        <v>#VALUE!</v>
      </c>
      <c r="C2061" s="66" t="s">
        <v>11192</v>
      </c>
    </row>
    <row r="2062" ht="15.75" customHeight="1">
      <c r="A2062" s="66">
        <f>'Main dataset (DEPRECATED)'!Q2063</f>
        <v>809863</v>
      </c>
      <c r="B2062" s="66" t="str">
        <f>IFERROR(__xludf.DUMMYFUNCTION("SPLIT('Main dataset (DEPRECATED2)'!N2063,"";"")"),"#VALUE!")</f>
        <v>#VALUE!</v>
      </c>
      <c r="C2062" s="66" t="s">
        <v>11355</v>
      </c>
      <c r="D2062" s="66" t="s">
        <v>8023</v>
      </c>
      <c r="E2062" s="66" t="s">
        <v>8560</v>
      </c>
    </row>
    <row r="2063" ht="15.75" customHeight="1">
      <c r="A2063" s="66">
        <f>'Main dataset (DEPRECATED)'!Q2064</f>
        <v>809899</v>
      </c>
      <c r="B2063" s="66" t="str">
        <f>IFERROR(__xludf.DUMMYFUNCTION("SPLIT('Main dataset (DEPRECATED2)'!N2064,"";"")"),"#VALUE!")</f>
        <v>#VALUE!</v>
      </c>
      <c r="C2063" s="66" t="s">
        <v>8231</v>
      </c>
      <c r="D2063" s="66" t="s">
        <v>10268</v>
      </c>
    </row>
    <row r="2064" ht="15.75" customHeight="1">
      <c r="A2064" s="66">
        <f>'Main dataset (DEPRECATED)'!Q2065</f>
        <v>809920</v>
      </c>
      <c r="B2064" s="66" t="str">
        <f>IFERROR(__xludf.DUMMYFUNCTION("SPLIT('Main dataset (DEPRECATED2)'!N2065,"";"")"),"#VALUE!")</f>
        <v>#VALUE!</v>
      </c>
      <c r="C2064" s="66" t="s">
        <v>11838</v>
      </c>
      <c r="D2064" s="66" t="s">
        <v>10654</v>
      </c>
      <c r="E2064" s="66" t="s">
        <v>7589</v>
      </c>
      <c r="F2064" s="66" t="s">
        <v>6644</v>
      </c>
    </row>
    <row r="2065" ht="15.75" customHeight="1">
      <c r="A2065" s="66">
        <f>'Main dataset (DEPRECATED)'!Q2066</f>
        <v>809922</v>
      </c>
      <c r="B2065" s="66" t="str">
        <f>IFERROR(__xludf.DUMMYFUNCTION("SPLIT('Main dataset (DEPRECATED2)'!N2066,"";"")"),"#VALUE!")</f>
        <v>#VALUE!</v>
      </c>
      <c r="C2065" s="66" t="s">
        <v>6584</v>
      </c>
      <c r="D2065" s="66" t="s">
        <v>6807</v>
      </c>
      <c r="E2065" s="66" t="s">
        <v>9822</v>
      </c>
    </row>
    <row r="2066" ht="15.75" customHeight="1">
      <c r="A2066" s="66">
        <f>'Main dataset (DEPRECATED)'!Q2067</f>
        <v>809931</v>
      </c>
      <c r="B2066" s="66" t="str">
        <f>IFERROR(__xludf.DUMMYFUNCTION("SPLIT('Main dataset (DEPRECATED2)'!N2067,"";"")"),"#VALUE!")</f>
        <v>#VALUE!</v>
      </c>
      <c r="C2066" s="66" t="s">
        <v>9588</v>
      </c>
      <c r="D2066" s="66" t="s">
        <v>9503</v>
      </c>
    </row>
    <row r="2067" ht="15.75" customHeight="1">
      <c r="A2067" s="66">
        <f>'Main dataset (DEPRECATED)'!Q2068</f>
        <v>809917</v>
      </c>
      <c r="B2067" s="66" t="str">
        <f>IFERROR(__xludf.DUMMYFUNCTION("SPLIT('Main dataset (DEPRECATED2)'!N2068,"";"")"),"#VALUE!")</f>
        <v>#VALUE!</v>
      </c>
      <c r="C2067" s="66" t="s">
        <v>8144</v>
      </c>
      <c r="D2067" s="66" t="s">
        <v>10306</v>
      </c>
    </row>
    <row r="2068" ht="15.75" customHeight="1">
      <c r="A2068" s="66">
        <f>'Main dataset (DEPRECATED)'!Q2069</f>
        <v>809913</v>
      </c>
      <c r="B2068" s="66" t="str">
        <f>IFERROR(__xludf.DUMMYFUNCTION("SPLIT('Main dataset (DEPRECATED2)'!N2069,"";"")"),"#VALUE!")</f>
        <v>#VALUE!</v>
      </c>
      <c r="C2068" s="66" t="s">
        <v>10135</v>
      </c>
    </row>
    <row r="2069" ht="15.75" customHeight="1">
      <c r="A2069" s="66">
        <f>'Main dataset (DEPRECATED)'!Q2070</f>
        <v>809870</v>
      </c>
      <c r="B2069" s="66" t="str">
        <f>IFERROR(__xludf.DUMMYFUNCTION("SPLIT('Main dataset (DEPRECATED2)'!N2070,"";"")"),"#VALUE!")</f>
        <v>#VALUE!</v>
      </c>
      <c r="C2069" s="66" t="s">
        <v>6586</v>
      </c>
      <c r="D2069" s="66" t="s">
        <v>10974</v>
      </c>
      <c r="E2069" s="66" t="s">
        <v>10621</v>
      </c>
    </row>
    <row r="2070" ht="15.75" customHeight="1">
      <c r="A2070" s="66">
        <f>'Main dataset (DEPRECATED)'!Q2071</f>
        <v>809889</v>
      </c>
      <c r="B2070" s="66" t="str">
        <f>IFERROR(__xludf.DUMMYFUNCTION("SPLIT('Main dataset (DEPRECATED2)'!N2071,"";"")"),"#VALUE!")</f>
        <v>#VALUE!</v>
      </c>
      <c r="C2070" s="66" t="s">
        <v>8221</v>
      </c>
      <c r="D2070" s="66" t="s">
        <v>10834</v>
      </c>
    </row>
    <row r="2071" ht="15.75" customHeight="1">
      <c r="A2071" s="66">
        <f>'Main dataset (DEPRECATED)'!Q2072</f>
        <v>809884</v>
      </c>
      <c r="B2071" s="66" t="str">
        <f>IFERROR(__xludf.DUMMYFUNCTION("SPLIT('Main dataset (DEPRECATED2)'!N2072,"";"")"),"#VALUE!")</f>
        <v>#VALUE!</v>
      </c>
      <c r="C2071" s="66" t="s">
        <v>6366</v>
      </c>
      <c r="D2071" s="66" t="s">
        <v>11759</v>
      </c>
      <c r="E2071" s="66" t="s">
        <v>9931</v>
      </c>
      <c r="F2071" s="66" t="s">
        <v>7787</v>
      </c>
    </row>
    <row r="2072" ht="15.75" customHeight="1">
      <c r="A2072" s="66">
        <f>'Main dataset (DEPRECATED)'!Q2073</f>
        <v>809874</v>
      </c>
      <c r="B2072" s="66" t="str">
        <f>IFERROR(__xludf.DUMMYFUNCTION("SPLIT('Main dataset (DEPRECATED2)'!N2073,"";"")"),"#VALUE!")</f>
        <v>#VALUE!</v>
      </c>
      <c r="C2072" s="66" t="s">
        <v>8167</v>
      </c>
    </row>
    <row r="2073" ht="15.75" customHeight="1">
      <c r="A2073" s="66">
        <f>'Main dataset (DEPRECATED)'!Q2074</f>
        <v>809872</v>
      </c>
      <c r="B2073" s="66" t="str">
        <f>IFERROR(__xludf.DUMMYFUNCTION("SPLIT('Main dataset (DEPRECATED2)'!N2074,"";"")"),"#VALUE!")</f>
        <v>#VALUE!</v>
      </c>
      <c r="C2073" s="66" t="s">
        <v>7106</v>
      </c>
      <c r="D2073" s="66" t="s">
        <v>8645</v>
      </c>
    </row>
    <row r="2074" ht="15.75" customHeight="1">
      <c r="A2074" s="66">
        <f>'Main dataset (DEPRECATED)'!Q2075</f>
        <v>809925</v>
      </c>
      <c r="B2074" s="66" t="str">
        <f>IFERROR(__xludf.DUMMYFUNCTION("SPLIT('Main dataset (DEPRECATED2)'!N2075,"";"")"),"#VALUE!")</f>
        <v>#VALUE!</v>
      </c>
      <c r="C2074" s="66" t="s">
        <v>7656</v>
      </c>
      <c r="D2074" s="66" t="s">
        <v>11472</v>
      </c>
    </row>
    <row r="2075" ht="15.75" customHeight="1">
      <c r="A2075" s="66">
        <f>'Main dataset (DEPRECATED)'!Q2076</f>
        <v>809866</v>
      </c>
      <c r="B2075" s="66" t="str">
        <f>IFERROR(__xludf.DUMMYFUNCTION("SPLIT('Main dataset (DEPRECATED2)'!N2076,"";"")"),"#VALUE!")</f>
        <v>#VALUE!</v>
      </c>
      <c r="C2075" s="66" t="s">
        <v>11333</v>
      </c>
      <c r="D2075" s="66" t="s">
        <v>10295</v>
      </c>
    </row>
    <row r="2076" ht="15.75" customHeight="1">
      <c r="A2076" s="66">
        <f>'Main dataset (DEPRECATED)'!Q2077</f>
        <v>809911</v>
      </c>
      <c r="B2076" s="66" t="str">
        <f>IFERROR(__xludf.DUMMYFUNCTION("SPLIT('Main dataset (DEPRECATED2)'!N2077,"";"")"),"#VALUE!")</f>
        <v>#VALUE!</v>
      </c>
      <c r="C2076" s="66" t="s">
        <v>8645</v>
      </c>
      <c r="D2076" s="66" t="s">
        <v>6698</v>
      </c>
    </row>
    <row r="2077" ht="15.75" customHeight="1">
      <c r="A2077" s="66">
        <f>'Main dataset (DEPRECATED)'!Q2078</f>
        <v>809886</v>
      </c>
      <c r="B2077" s="66" t="str">
        <f>IFERROR(__xludf.DUMMYFUNCTION("SPLIT('Main dataset (DEPRECATED2)'!N2078,"";"")"),"#VALUE!")</f>
        <v>#VALUE!</v>
      </c>
      <c r="C2077" s="66" t="s">
        <v>11394</v>
      </c>
    </row>
    <row r="2078" ht="15.75" customHeight="1">
      <c r="A2078" s="66">
        <f>'Main dataset (DEPRECATED)'!Q2079</f>
        <v>809871</v>
      </c>
      <c r="B2078" s="66" t="str">
        <f>IFERROR(__xludf.DUMMYFUNCTION("SPLIT('Main dataset (DEPRECATED2)'!N2079,"";"")"),"#VALUE!")</f>
        <v>#VALUE!</v>
      </c>
    </row>
    <row r="2079" ht="15.75" customHeight="1">
      <c r="A2079" s="66">
        <f>'Main dataset (DEPRECATED)'!Q2080</f>
        <v>809901</v>
      </c>
      <c r="B2079" s="66" t="str">
        <f>IFERROR(__xludf.DUMMYFUNCTION("SPLIT('Main dataset (DEPRECATED2)'!N2080,"";"")"),"#VALUE!")</f>
        <v>#VALUE!</v>
      </c>
      <c r="C2079" s="66" t="s">
        <v>10245</v>
      </c>
      <c r="D2079" s="66" t="s">
        <v>10929</v>
      </c>
    </row>
    <row r="2080" ht="15.75" customHeight="1">
      <c r="A2080" s="66">
        <f>'Main dataset (DEPRECATED)'!Q2081</f>
        <v>809912</v>
      </c>
      <c r="B2080" s="66" t="str">
        <f>IFERROR(__xludf.DUMMYFUNCTION("SPLIT('Main dataset (DEPRECATED2)'!N2081,"";"")"),"#VALUE!")</f>
        <v>#VALUE!</v>
      </c>
      <c r="C2080" s="66" t="s">
        <v>10834</v>
      </c>
      <c r="D2080" s="66" t="s">
        <v>10653</v>
      </c>
      <c r="E2080" s="66" t="s">
        <v>11404</v>
      </c>
    </row>
    <row r="2081" ht="15.75" customHeight="1">
      <c r="A2081" s="66">
        <f>'Main dataset (DEPRECATED)'!Q2082</f>
        <v>809892</v>
      </c>
      <c r="B2081" s="66" t="str">
        <f>IFERROR(__xludf.DUMMYFUNCTION("SPLIT('Main dataset (DEPRECATED2)'!N2082,"";"")"),"#VALUE!")</f>
        <v>#VALUE!</v>
      </c>
      <c r="C2081" s="66" t="s">
        <v>8085</v>
      </c>
      <c r="D2081" s="66" t="s">
        <v>10997</v>
      </c>
      <c r="E2081" s="66" t="s">
        <v>7432</v>
      </c>
    </row>
    <row r="2082" ht="15.75" customHeight="1">
      <c r="A2082" s="66">
        <f>'Main dataset (DEPRECATED)'!Q2083</f>
        <v>809882</v>
      </c>
      <c r="B2082" s="66" t="str">
        <f>IFERROR(__xludf.DUMMYFUNCTION("SPLIT('Main dataset (DEPRECATED2)'!N2083,"";"")"),"#VALUE!")</f>
        <v>#VALUE!</v>
      </c>
      <c r="C2082" s="66" t="s">
        <v>8017</v>
      </c>
      <c r="D2082" s="66" t="s">
        <v>7361</v>
      </c>
      <c r="E2082" s="66" t="s">
        <v>10177</v>
      </c>
    </row>
    <row r="2083" ht="15.75" customHeight="1">
      <c r="A2083" s="66">
        <f>'Main dataset (DEPRECATED)'!Q2084</f>
        <v>809918</v>
      </c>
      <c r="B2083" s="66" t="str">
        <f>IFERROR(__xludf.DUMMYFUNCTION("SPLIT('Main dataset (DEPRECATED2)'!N2084,"";"")"),"#VALUE!")</f>
        <v>#VALUE!</v>
      </c>
      <c r="C2083" s="66" t="s">
        <v>10093</v>
      </c>
      <c r="D2083" s="66" t="s">
        <v>6469</v>
      </c>
      <c r="E2083" s="66" t="s">
        <v>7432</v>
      </c>
    </row>
    <row r="2084" ht="15.75" customHeight="1">
      <c r="A2084" s="66">
        <f>'Main dataset (DEPRECATED)'!Q2085</f>
        <v>809879</v>
      </c>
      <c r="B2084" s="66" t="str">
        <f>IFERROR(__xludf.DUMMYFUNCTION("SPLIT('Main dataset (DEPRECATED2)'!N2085,"";"")"),"#VALUE!")</f>
        <v>#VALUE!</v>
      </c>
      <c r="C2084" s="66" t="s">
        <v>8047</v>
      </c>
    </row>
    <row r="2085" ht="15.75" customHeight="1">
      <c r="A2085" s="66">
        <f>'Main dataset (DEPRECATED)'!Q2086</f>
        <v>809878</v>
      </c>
      <c r="B2085" s="66" t="str">
        <f>IFERROR(__xludf.DUMMYFUNCTION("SPLIT('Main dataset (DEPRECATED2)'!N2086,"";"")"),"#VALUE!")</f>
        <v>#VALUE!</v>
      </c>
      <c r="C2085" s="66" t="s">
        <v>11431</v>
      </c>
      <c r="D2085" s="66" t="s">
        <v>7432</v>
      </c>
    </row>
    <row r="2086" ht="15.75" customHeight="1">
      <c r="A2086" s="66">
        <f>'Main dataset (DEPRECATED)'!Q2087</f>
        <v>809864</v>
      </c>
      <c r="B2086" s="66" t="str">
        <f>IFERROR(__xludf.DUMMYFUNCTION("SPLIT('Main dataset (DEPRECATED2)'!N2087,"";"")"),"#VALUE!")</f>
        <v>#VALUE!</v>
      </c>
      <c r="C2086" s="66" t="s">
        <v>8150</v>
      </c>
    </row>
    <row r="2087" ht="15.75" customHeight="1">
      <c r="A2087" s="66">
        <f>'Main dataset (DEPRECATED)'!Q2088</f>
        <v>809900</v>
      </c>
      <c r="B2087" s="66" t="str">
        <f>IFERROR(__xludf.DUMMYFUNCTION("SPLIT('Main dataset (DEPRECATED2)'!N2088,"";"")"),"#VALUE!")</f>
        <v>#VALUE!</v>
      </c>
      <c r="C2087" s="66" t="s">
        <v>10905</v>
      </c>
      <c r="D2087" s="66" t="s">
        <v>8892</v>
      </c>
      <c r="E2087" s="66" t="s">
        <v>8645</v>
      </c>
    </row>
    <row r="2088" ht="15.75" customHeight="1">
      <c r="A2088" s="66">
        <f>'Main dataset (DEPRECATED)'!Q2089</f>
        <v>809887</v>
      </c>
      <c r="B2088" s="66" t="str">
        <f>IFERROR(__xludf.DUMMYFUNCTION("SPLIT('Main dataset (DEPRECATED2)'!N2089,"";"")"),"#VALUE!")</f>
        <v>#VALUE!</v>
      </c>
      <c r="C2088" s="66" t="s">
        <v>8645</v>
      </c>
    </row>
    <row r="2089" ht="15.75" customHeight="1">
      <c r="A2089" s="66">
        <f>'Main dataset (DEPRECATED)'!Q2090</f>
        <v>809883</v>
      </c>
      <c r="B2089" s="66" t="str">
        <f>IFERROR(__xludf.DUMMYFUNCTION("SPLIT('Main dataset (DEPRECATED2)'!N2090,"";"")"),"#VALUE!")</f>
        <v>#VALUE!</v>
      </c>
      <c r="C2089" s="66" t="s">
        <v>6683</v>
      </c>
      <c r="D2089" s="66" t="s">
        <v>10287</v>
      </c>
      <c r="E2089" s="66" t="s">
        <v>11374</v>
      </c>
      <c r="F2089" s="66" t="s">
        <v>11401</v>
      </c>
      <c r="G2089" s="66" t="s">
        <v>11077</v>
      </c>
      <c r="H2089" s="66" t="s">
        <v>10381</v>
      </c>
      <c r="I2089" s="66" t="s">
        <v>7625</v>
      </c>
    </row>
    <row r="2090" ht="15.75" customHeight="1">
      <c r="A2090" s="66">
        <f>'Main dataset (DEPRECATED)'!Q2091</f>
        <v>809888</v>
      </c>
      <c r="B2090" s="66" t="str">
        <f>IFERROR(__xludf.DUMMYFUNCTION("SPLIT('Main dataset (DEPRECATED2)'!N2091,"";"")"),"#VALUE!")</f>
        <v>#VALUE!</v>
      </c>
    </row>
    <row r="2091" ht="15.75" customHeight="1">
      <c r="A2091" s="66">
        <f>'Main dataset (DEPRECATED)'!Q2092</f>
        <v>809908</v>
      </c>
      <c r="B2091" s="66" t="str">
        <f>IFERROR(__xludf.DUMMYFUNCTION("SPLIT('Main dataset (DEPRECATED2)'!N2092,"";"")"),"#VALUE!")</f>
        <v>#VALUE!</v>
      </c>
      <c r="C2091" s="66" t="s">
        <v>8023</v>
      </c>
      <c r="D2091" s="66" t="s">
        <v>8560</v>
      </c>
    </row>
    <row r="2092" ht="15.75" customHeight="1">
      <c r="A2092" s="66">
        <f>'Main dataset (DEPRECATED)'!Q2093</f>
        <v>809869</v>
      </c>
      <c r="B2092" s="66" t="str">
        <f>IFERROR(__xludf.DUMMYFUNCTION("SPLIT('Main dataset (DEPRECATED2)'!N2093,"";"")"),"#VALUE!")</f>
        <v>#VALUE!</v>
      </c>
    </row>
    <row r="2093" ht="15.75" customHeight="1">
      <c r="A2093" s="66">
        <f>'Main dataset (DEPRECATED)'!Q2094</f>
        <v>809898</v>
      </c>
      <c r="B2093" s="66" t="str">
        <f>IFERROR(__xludf.DUMMYFUNCTION("SPLIT('Main dataset (DEPRECATED2)'!N2094,"";"")"),"#VALUE!")</f>
        <v>#VALUE!</v>
      </c>
    </row>
    <row r="2094" ht="15.75" customHeight="1">
      <c r="A2094" s="66">
        <f>'Main dataset (DEPRECATED)'!Q2095</f>
        <v>809906</v>
      </c>
      <c r="B2094" s="66" t="str">
        <f>IFERROR(__xludf.DUMMYFUNCTION("SPLIT('Main dataset (DEPRECATED2)'!N2095,"";"")"),"#VALUE!")</f>
        <v>#VALUE!</v>
      </c>
      <c r="C2094" s="66" t="s">
        <v>8620</v>
      </c>
      <c r="D2094" s="66" t="s">
        <v>9772</v>
      </c>
    </row>
    <row r="2095" ht="15.75" customHeight="1">
      <c r="A2095" s="66">
        <f>'Main dataset (DEPRECATED)'!Q2096</f>
        <v>809902</v>
      </c>
      <c r="B2095" s="66" t="str">
        <f>IFERROR(__xludf.DUMMYFUNCTION("SPLIT('Main dataset (DEPRECATED2)'!N2096,"";"")"),"#VALUE!")</f>
        <v>#VALUE!</v>
      </c>
      <c r="C2095" s="66" t="s">
        <v>9807</v>
      </c>
      <c r="D2095" s="66" t="s">
        <v>11824</v>
      </c>
    </row>
    <row r="2096" ht="15.75" customHeight="1">
      <c r="A2096" s="66">
        <f>'Main dataset (DEPRECATED)'!Q2097</f>
        <v>809868</v>
      </c>
      <c r="B2096" s="66" t="str">
        <f>IFERROR(__xludf.DUMMYFUNCTION("SPLIT('Main dataset (DEPRECATED2)'!N2097,"";"")"),"#VALUE!")</f>
        <v>#VALUE!</v>
      </c>
      <c r="C2096" s="66" t="s">
        <v>9015</v>
      </c>
      <c r="D2096" s="66" t="s">
        <v>10115</v>
      </c>
    </row>
    <row r="2097" ht="15.75" customHeight="1">
      <c r="A2097" s="66">
        <f>'Main dataset (DEPRECATED)'!Q2098</f>
        <v>809924</v>
      </c>
      <c r="B2097" s="66" t="str">
        <f>IFERROR(__xludf.DUMMYFUNCTION("SPLIT('Main dataset (DEPRECATED2)'!N2098,"";"")"),"#VALUE!")</f>
        <v>#VALUE!</v>
      </c>
      <c r="C2097" s="66" t="s">
        <v>10140</v>
      </c>
      <c r="D2097" s="66" t="s">
        <v>8472</v>
      </c>
      <c r="E2097" s="66" t="s">
        <v>7473</v>
      </c>
      <c r="F2097" s="66" t="s">
        <v>8206</v>
      </c>
    </row>
    <row r="2098" ht="15.75" customHeight="1">
      <c r="A2098" s="66">
        <f>'Main dataset (DEPRECATED)'!Q2099</f>
        <v>809875</v>
      </c>
      <c r="B2098" s="66" t="str">
        <f>IFERROR(__xludf.DUMMYFUNCTION("SPLIT('Main dataset (DEPRECATED2)'!N2099,"";"")"),"#VALUE!")</f>
        <v>#VALUE!</v>
      </c>
      <c r="C2098" s="66" t="s">
        <v>10621</v>
      </c>
    </row>
    <row r="2099" ht="15.75" customHeight="1">
      <c r="A2099" s="66">
        <f>'Main dataset (DEPRECATED)'!Q2100</f>
        <v>809865</v>
      </c>
      <c r="B2099" s="66" t="str">
        <f>IFERROR(__xludf.DUMMYFUNCTION("SPLIT('Main dataset (DEPRECATED2)'!N2100,"";"")"),"#VALUE!")</f>
        <v>#VALUE!</v>
      </c>
      <c r="C2099" s="66" t="s">
        <v>11200</v>
      </c>
    </row>
    <row r="2100" ht="15.75" customHeight="1">
      <c r="A2100" s="66">
        <f>'Main dataset (DEPRECATED)'!Q2101</f>
        <v>809877</v>
      </c>
      <c r="B2100" s="66" t="str">
        <f>IFERROR(__xludf.DUMMYFUNCTION("SPLIT('Main dataset (DEPRECATED2)'!N2101,"";"")"),"#VALUE!")</f>
        <v>#VALUE!</v>
      </c>
      <c r="C2100" s="66" t="s">
        <v>6296</v>
      </c>
      <c r="D2100" s="66" t="s">
        <v>11213</v>
      </c>
    </row>
    <row r="2101" ht="15.75" customHeight="1">
      <c r="A2101" s="66">
        <f>'Main dataset (DEPRECATED)'!Q2102</f>
        <v>809903</v>
      </c>
      <c r="B2101" s="66" t="str">
        <f>IFERROR(__xludf.DUMMYFUNCTION("SPLIT('Main dataset (DEPRECATED2)'!N2102,"";"")"),"#VALUE!")</f>
        <v>#VALUE!</v>
      </c>
      <c r="C2101" s="66" t="s">
        <v>6243</v>
      </c>
    </row>
    <row r="2102" ht="15.75" customHeight="1">
      <c r="A2102" s="66">
        <f>'Main dataset (DEPRECATED)'!Q2103</f>
        <v>809909</v>
      </c>
      <c r="B2102" s="66" t="str">
        <f>IFERROR(__xludf.DUMMYFUNCTION("SPLIT('Main dataset (DEPRECATED2)'!N2103,"";"")"),"#VALUE!")</f>
        <v>#VALUE!</v>
      </c>
      <c r="C2102" s="66" t="s">
        <v>9472</v>
      </c>
      <c r="D2102" s="66" t="s">
        <v>7062</v>
      </c>
    </row>
    <row r="2103" ht="15.75" customHeight="1">
      <c r="A2103" s="66">
        <f>'Main dataset (DEPRECATED)'!Q2104</f>
        <v>809873</v>
      </c>
      <c r="B2103" s="66" t="str">
        <f>IFERROR(__xludf.DUMMYFUNCTION("SPLIT('Main dataset (DEPRECATED2)'!N2104,"";"")"),"#VALUE!")</f>
        <v>#VALUE!</v>
      </c>
      <c r="C2103" s="66" t="s">
        <v>11427</v>
      </c>
      <c r="D2103" s="66" t="s">
        <v>9170</v>
      </c>
      <c r="E2103" s="66" t="s">
        <v>8431</v>
      </c>
    </row>
    <row r="2104" ht="15.75" customHeight="1">
      <c r="A2104" s="66">
        <f>'Main dataset (DEPRECATED)'!Q2105</f>
        <v>809894</v>
      </c>
      <c r="B2104" s="66" t="str">
        <f>IFERROR(__xludf.DUMMYFUNCTION("SPLIT('Main dataset (DEPRECATED2)'!N2105,"";"")"),"#VALUE!")</f>
        <v>#VALUE!</v>
      </c>
      <c r="C2104" s="66" t="s">
        <v>8729</v>
      </c>
      <c r="D2104" s="66" t="s">
        <v>9155</v>
      </c>
    </row>
    <row r="2105" ht="15.75" customHeight="1">
      <c r="A2105" s="66">
        <f>'Main dataset (DEPRECATED)'!Q2106</f>
        <v>809867</v>
      </c>
      <c r="B2105" s="66" t="str">
        <f>IFERROR(__xludf.DUMMYFUNCTION("SPLIT('Main dataset (DEPRECATED2)'!N2106,"";"")"),"#VALUE!")</f>
        <v>#VALUE!</v>
      </c>
      <c r="C2105" s="66" t="s">
        <v>7963</v>
      </c>
      <c r="D2105" s="66" t="s">
        <v>10831</v>
      </c>
    </row>
    <row r="2106" ht="15.75" customHeight="1">
      <c r="A2106" s="66">
        <f>'Main dataset (DEPRECATED)'!Q2107</f>
        <v>809896</v>
      </c>
      <c r="B2106" s="66" t="str">
        <f>IFERROR(__xludf.DUMMYFUNCTION("SPLIT('Main dataset (DEPRECATED2)'!N2107,"";"")"),"#VALUE!")</f>
        <v>#VALUE!</v>
      </c>
      <c r="C2106" s="66" t="s">
        <v>10251</v>
      </c>
    </row>
    <row r="2107" ht="15.75" customHeight="1">
      <c r="A2107" s="66">
        <f>'Main dataset (DEPRECATED)'!Q2108</f>
        <v>809876</v>
      </c>
      <c r="B2107" s="66" t="str">
        <f>IFERROR(__xludf.DUMMYFUNCTION("SPLIT('Main dataset (DEPRECATED2)'!N2108,"";"")"),"#VALUE!")</f>
        <v>#VALUE!</v>
      </c>
      <c r="C2107" s="66" t="s">
        <v>6600</v>
      </c>
    </row>
    <row r="2108" ht="15.75" customHeight="1">
      <c r="A2108" s="66">
        <f>'Main dataset (DEPRECATED)'!Q2109</f>
        <v>809919</v>
      </c>
      <c r="B2108" s="66" t="str">
        <f>IFERROR(__xludf.DUMMYFUNCTION("SPLIT('Main dataset (DEPRECATED2)'!N2109,"";"")"),"#VALUE!")</f>
        <v>#VALUE!</v>
      </c>
      <c r="C2108" s="66" t="s">
        <v>6243</v>
      </c>
    </row>
    <row r="2109" ht="15.75" customHeight="1">
      <c r="A2109" s="66">
        <f>'Main dataset (DEPRECATED)'!Q2110</f>
        <v>809939</v>
      </c>
      <c r="B2109" s="66" t="str">
        <f>IFERROR(__xludf.DUMMYFUNCTION("SPLIT('Main dataset (DEPRECATED2)'!N2110,"";"")"),"#VALUE!")</f>
        <v>#VALUE!</v>
      </c>
    </row>
    <row r="2110" ht="15.75" customHeight="1">
      <c r="A2110" s="66">
        <f>'Main dataset (DEPRECATED)'!Q2111</f>
        <v>809923</v>
      </c>
      <c r="B2110" s="66" t="str">
        <f>IFERROR(__xludf.DUMMYFUNCTION("SPLIT('Main dataset (DEPRECATED2)'!N2111,"";"")"),"#VALUE!")</f>
        <v>#VALUE!</v>
      </c>
      <c r="C2110" s="66" t="s">
        <v>9602</v>
      </c>
      <c r="D2110" s="66" t="s">
        <v>7116</v>
      </c>
      <c r="E2110" s="66" t="s">
        <v>7029</v>
      </c>
    </row>
    <row r="2111" ht="15.75" customHeight="1">
      <c r="A2111" s="66">
        <f>'Main dataset (DEPRECATED)'!Q2112</f>
        <v>809916</v>
      </c>
      <c r="B2111" s="66" t="str">
        <f>IFERROR(__xludf.DUMMYFUNCTION("SPLIT('Main dataset (DEPRECATED2)'!N2112,"";"")"),"#VALUE!")</f>
        <v>#VALUE!</v>
      </c>
      <c r="C2111" s="66" t="s">
        <v>9772</v>
      </c>
    </row>
    <row r="2112" ht="15.75" customHeight="1">
      <c r="A2112" s="66">
        <f>'Main dataset (DEPRECATED)'!Q2113</f>
        <v>809930</v>
      </c>
      <c r="B2112" s="66" t="str">
        <f>IFERROR(__xludf.DUMMYFUNCTION("SPLIT('Main dataset (DEPRECATED2)'!N2113,"";"")"),"#VALUE!")</f>
        <v>#VALUE!</v>
      </c>
      <c r="C2112" s="66" t="s">
        <v>9668</v>
      </c>
      <c r="D2112" s="66" t="s">
        <v>11103</v>
      </c>
      <c r="E2112" s="66" t="s">
        <v>8664</v>
      </c>
    </row>
    <row r="2113" ht="15.75" customHeight="1">
      <c r="A2113" s="66">
        <f>'Main dataset (DEPRECATED)'!Q2114</f>
        <v>809905</v>
      </c>
      <c r="B2113" s="66" t="str">
        <f>IFERROR(__xludf.DUMMYFUNCTION("SPLIT('Main dataset (DEPRECATED2)'!N2114,"";"")"),"#VALUE!")</f>
        <v>#VALUE!</v>
      </c>
      <c r="C2113" s="66" t="s">
        <v>9238</v>
      </c>
      <c r="D2113" s="66" t="s">
        <v>8908</v>
      </c>
    </row>
    <row r="2114" ht="15.75" customHeight="1">
      <c r="A2114" s="66">
        <f>'Main dataset (DEPRECATED)'!Q2115</f>
        <v>809895</v>
      </c>
      <c r="B2114" s="66" t="str">
        <f>IFERROR(__xludf.DUMMYFUNCTION("SPLIT('Main dataset (DEPRECATED2)'!N2115,"";"")"),"#VALUE!")</f>
        <v>#VALUE!</v>
      </c>
      <c r="C2114" s="66" t="s">
        <v>6714</v>
      </c>
      <c r="D2114" s="66" t="s">
        <v>7996</v>
      </c>
    </row>
    <row r="2115" ht="15.75" customHeight="1">
      <c r="A2115" s="66">
        <f>'Main dataset (DEPRECATED)'!Q2116</f>
        <v>809936</v>
      </c>
      <c r="B2115" s="66" t="str">
        <f>IFERROR(__xludf.DUMMYFUNCTION("SPLIT('Main dataset (DEPRECATED2)'!N2116,"";"")"),"#VALUE!")</f>
        <v>#VALUE!</v>
      </c>
      <c r="C2115" s="66" t="s">
        <v>11333</v>
      </c>
      <c r="D2115" s="66" t="s">
        <v>6363</v>
      </c>
    </row>
    <row r="2116" ht="15.75" customHeight="1">
      <c r="A2116" s="66">
        <f>'Main dataset (DEPRECATED)'!Q2117</f>
        <v>809927</v>
      </c>
      <c r="B2116" s="66" t="str">
        <f>IFERROR(__xludf.DUMMYFUNCTION("SPLIT('Main dataset (DEPRECATED2)'!N2117,"";"")"),"#VALUE!")</f>
        <v>#VALUE!</v>
      </c>
      <c r="C2116" s="66" t="s">
        <v>6791</v>
      </c>
    </row>
    <row r="2117" ht="15.75" customHeight="1">
      <c r="A2117" s="66">
        <f>'Main dataset (DEPRECATED)'!Q2118</f>
        <v>809921</v>
      </c>
      <c r="B2117" s="66" t="str">
        <f>IFERROR(__xludf.DUMMYFUNCTION("SPLIT('Main dataset (DEPRECATED2)'!N2118,"";"")"),"#VALUE!")</f>
        <v>#VALUE!</v>
      </c>
      <c r="C2117" s="66" t="s">
        <v>6326</v>
      </c>
      <c r="D2117" s="66" t="s">
        <v>10524</v>
      </c>
      <c r="E2117" s="66" t="s">
        <v>7901</v>
      </c>
      <c r="F2117" s="66" t="s">
        <v>7994</v>
      </c>
      <c r="G2117" s="66" t="s">
        <v>9260</v>
      </c>
      <c r="H2117" s="66" t="s">
        <v>11347</v>
      </c>
    </row>
    <row r="2118" ht="15.75" customHeight="1">
      <c r="A2118" s="66">
        <f>'Main dataset (DEPRECATED)'!Q2119</f>
        <v>809914</v>
      </c>
      <c r="B2118" s="66" t="str">
        <f>IFERROR(__xludf.DUMMYFUNCTION("SPLIT('Main dataset (DEPRECATED2)'!N2119,"";"")"),"#VALUE!")</f>
        <v>#VALUE!</v>
      </c>
      <c r="C2118" s="66" t="s">
        <v>10958</v>
      </c>
      <c r="D2118" s="66" t="s">
        <v>8645</v>
      </c>
      <c r="E2118" s="66" t="s">
        <v>11791</v>
      </c>
      <c r="F2118" s="66" t="s">
        <v>11349</v>
      </c>
    </row>
    <row r="2119" ht="15.75" customHeight="1">
      <c r="A2119" s="66">
        <f>'Main dataset (DEPRECATED)'!Q2120</f>
        <v>809926</v>
      </c>
      <c r="B2119" s="66" t="str">
        <f>IFERROR(__xludf.DUMMYFUNCTION("SPLIT('Main dataset (DEPRECATED2)'!N2120,"";"")"),"#VALUE!")</f>
        <v>#VALUE!</v>
      </c>
      <c r="C2119" s="66" t="s">
        <v>11482</v>
      </c>
      <c r="D2119" s="66" t="s">
        <v>10802</v>
      </c>
      <c r="E2119" s="66" t="s">
        <v>6672</v>
      </c>
    </row>
    <row r="2120" ht="15.75" customHeight="1">
      <c r="A2120" s="66">
        <f>'Main dataset (DEPRECATED)'!Q2121</f>
        <v>809938</v>
      </c>
      <c r="B2120" s="66" t="str">
        <f>IFERROR(__xludf.DUMMYFUNCTION("SPLIT('Main dataset (DEPRECATED2)'!N2121,"";"")"),"#VALUE!")</f>
        <v>#VALUE!</v>
      </c>
    </row>
    <row r="2121" ht="15.75" customHeight="1">
      <c r="A2121" s="66">
        <f>'Main dataset (DEPRECATED)'!Q2122</f>
        <v>729554</v>
      </c>
      <c r="B2121" s="66" t="str">
        <f>IFERROR(__xludf.DUMMYFUNCTION("SPLIT('Main dataset (DEPRECATED2)'!N2122,"";"")"),"#VALUE!")</f>
        <v>#VALUE!</v>
      </c>
      <c r="C2121" s="66" t="s">
        <v>9947</v>
      </c>
      <c r="D2121" s="66" t="s">
        <v>10941</v>
      </c>
      <c r="E2121" s="66" t="s">
        <v>11150</v>
      </c>
    </row>
    <row r="2122" ht="15.75" customHeight="1">
      <c r="A2122" s="66">
        <f>'Main dataset (DEPRECATED)'!Q2123</f>
        <v>729557</v>
      </c>
      <c r="B2122" s="66" t="str">
        <f>IFERROR(__xludf.DUMMYFUNCTION("SPLIT('Main dataset (DEPRECATED2)'!N2123,"";"")"),"#VALUE!")</f>
        <v>#VALUE!</v>
      </c>
    </row>
    <row r="2123" ht="15.75" customHeight="1">
      <c r="A2123" s="66">
        <f>'Main dataset (DEPRECATED)'!Q2124</f>
        <v>729560</v>
      </c>
      <c r="B2123" s="66" t="str">
        <f>IFERROR(__xludf.DUMMYFUNCTION("SPLIT('Main dataset (DEPRECATED2)'!N2124,"";"")"),"#VALUE!")</f>
        <v>#VALUE!</v>
      </c>
      <c r="C2123" s="66" t="s">
        <v>10154</v>
      </c>
    </row>
    <row r="2124" ht="15.75" customHeight="1">
      <c r="A2124" s="66">
        <f>'Main dataset (DEPRECATED)'!Q2125</f>
        <v>729569</v>
      </c>
      <c r="B2124" s="66" t="str">
        <f>IFERROR(__xludf.DUMMYFUNCTION("SPLIT('Main dataset (DEPRECATED2)'!N2125,"";"")"),"#VALUE!")</f>
        <v>#VALUE!</v>
      </c>
    </row>
    <row r="2125" ht="15.75" customHeight="1">
      <c r="A2125" s="66">
        <f>'Main dataset (DEPRECATED)'!Q2126</f>
        <v>729562</v>
      </c>
      <c r="B2125" s="66" t="str">
        <f>IFERROR(__xludf.DUMMYFUNCTION("SPLIT('Main dataset (DEPRECATED2)'!N2126,"";"")"),"#VALUE!")</f>
        <v>#VALUE!</v>
      </c>
      <c r="C2125" s="66" t="s">
        <v>9332</v>
      </c>
      <c r="D2125" s="66" t="s">
        <v>9772</v>
      </c>
    </row>
    <row r="2126" ht="15.75" customHeight="1">
      <c r="A2126" s="66">
        <f>'Main dataset (DEPRECATED)'!Q2127</f>
        <v>729567</v>
      </c>
      <c r="B2126" s="66" t="str">
        <f>IFERROR(__xludf.DUMMYFUNCTION("SPLIT('Main dataset (DEPRECATED)'!N2127,"";"")"),"Chuah, M.C.")</f>
        <v>Chuah, M.C.</v>
      </c>
    </row>
    <row r="2127" ht="15.75" customHeight="1">
      <c r="A2127" s="66">
        <f>'Main dataset (DEPRECATED)'!Q2128</f>
        <v>729566</v>
      </c>
      <c r="B2127" s="66" t="str">
        <f>IFERROR(__xludf.DUMMYFUNCTION("SPLIT('Main dataset (DEPRECATED)'!N2128,"";"")"),"#REF!")</f>
        <v>#REF!</v>
      </c>
      <c r="C2127" s="66" t="s">
        <v>6582</v>
      </c>
      <c r="D2127" s="66" t="s">
        <v>8087</v>
      </c>
      <c r="E2127" s="66" t="s">
        <v>9901</v>
      </c>
    </row>
    <row r="2128" ht="15.75" customHeight="1">
      <c r="A2128" s="66">
        <f>'Main dataset (DEPRECATED)'!Q2129</f>
        <v>729561</v>
      </c>
      <c r="B2128" s="66" t="str">
        <f>IFERROR(__xludf.DUMMYFUNCTION("SPLIT('Main dataset (DEPRECATED)'!N2129,"";"")"),"#REF!")</f>
        <v>#REF!</v>
      </c>
      <c r="C2128" s="66" t="s">
        <v>7896</v>
      </c>
      <c r="D2128" s="66" t="s">
        <v>6498</v>
      </c>
      <c r="E2128" s="66" t="s">
        <v>10833</v>
      </c>
    </row>
    <row r="2129" ht="15.75" customHeight="1">
      <c r="A2129" s="66">
        <f>'Main dataset (DEPRECATED)'!Q2130</f>
        <v>729556</v>
      </c>
      <c r="B2129" s="66" t="str">
        <f>IFERROR(__xludf.DUMMYFUNCTION("SPLIT('Main dataset (DEPRECATED)'!N2130,"";"")"),"Masui, T.")</f>
        <v>Masui, T.</v>
      </c>
    </row>
    <row r="2130" ht="15.75" customHeight="1">
      <c r="A2130" s="66">
        <f>'Main dataset (DEPRECATED)'!Q2131</f>
        <v>729555</v>
      </c>
      <c r="B2130" s="66" t="str">
        <f>IFERROR(__xludf.DUMMYFUNCTION("SPLIT('Main dataset (DEPRECATED)'!N2131,"";"")"),"#REF!")</f>
        <v>#REF!</v>
      </c>
      <c r="C2130" s="66" t="s">
        <v>11443</v>
      </c>
      <c r="D2130" s="66" t="s">
        <v>9252</v>
      </c>
      <c r="E2130" s="66" t="s">
        <v>11027</v>
      </c>
    </row>
    <row r="2131" ht="15.75" customHeight="1">
      <c r="A2131" s="66">
        <f>'Main dataset (DEPRECATED)'!Q2132</f>
        <v>729564</v>
      </c>
      <c r="B2131" s="66" t="str">
        <f>IFERROR(__xludf.DUMMYFUNCTION("SPLIT('Main dataset (DEPRECATED)'!N2132,"";"")"),"#REF!")</f>
        <v>#REF!</v>
      </c>
      <c r="C2131" s="66" t="s">
        <v>9772</v>
      </c>
    </row>
    <row r="2132" ht="15.75" customHeight="1">
      <c r="A2132" s="66">
        <f>'Main dataset (DEPRECATED)'!Q2133</f>
        <v>729563</v>
      </c>
      <c r="B2132" s="66" t="str">
        <f>IFERROR(__xludf.DUMMYFUNCTION("SPLIT('Main dataset (DEPRECATED)'!N2133,"";"")"),"#REF!")</f>
        <v>#REF!</v>
      </c>
      <c r="C2132" s="66" t="s">
        <v>6779</v>
      </c>
      <c r="D2132" s="66" t="s">
        <v>7862</v>
      </c>
      <c r="E2132" s="66" t="s">
        <v>9493</v>
      </c>
      <c r="F2132" s="66" t="s">
        <v>10253</v>
      </c>
    </row>
    <row r="2133" ht="15.75" customHeight="1">
      <c r="A2133" s="66">
        <f>'Main dataset (DEPRECATED)'!Q2134</f>
        <v>729568</v>
      </c>
      <c r="B2133" s="66" t="str">
        <f>IFERROR(__xludf.DUMMYFUNCTION("SPLIT('Main dataset (DEPRECATED)'!N2134,"";"")"),"#REF!")</f>
        <v>#REF!</v>
      </c>
      <c r="C2133" s="66" t="s">
        <v>6446</v>
      </c>
      <c r="D2133" s="66" t="s">
        <v>8664</v>
      </c>
    </row>
    <row r="2134" ht="15.75" customHeight="1">
      <c r="A2134" s="66">
        <f>'Main dataset (DEPRECATED)'!Q2135</f>
        <v>729558</v>
      </c>
      <c r="B2134" s="66" t="str">
        <f>IFERROR(__xludf.DUMMYFUNCTION("SPLIT('Main dataset (DEPRECATED)'!N2135,"";"")"),"Keahey, T.A.")</f>
        <v>Keahey, T.A.</v>
      </c>
    </row>
    <row r="2135" ht="15.75" customHeight="1">
      <c r="A2135" s="66">
        <f>'Main dataset (DEPRECATED)'!Q2136</f>
        <v>729570</v>
      </c>
      <c r="B2135" s="66" t="str">
        <f>IFERROR(__xludf.DUMMYFUNCTION("SPLIT('Main dataset (DEPRECATED)'!N2136,"";"")"),"#REF!")</f>
        <v>#REF!</v>
      </c>
      <c r="C2135" s="66" t="s">
        <v>7361</v>
      </c>
      <c r="D2135" s="66" t="s">
        <v>10607</v>
      </c>
    </row>
    <row r="2136" ht="15.75" customHeight="1">
      <c r="A2136" s="66">
        <f>'Main dataset (DEPRECATED)'!Q2137</f>
        <v>729559</v>
      </c>
      <c r="B2136" s="66" t="str">
        <f>IFERROR(__xludf.DUMMYFUNCTION("SPLIT('Main dataset (DEPRECATED)'!N2137,"";"")"),"#REF!")</f>
        <v>#REF!</v>
      </c>
      <c r="C2136" s="66" t="s">
        <v>6254</v>
      </c>
    </row>
    <row r="2137" ht="15.75" customHeight="1">
      <c r="A2137" s="66">
        <f>'Main dataset (DEPRECATED)'!Q2138</f>
        <v>729553</v>
      </c>
      <c r="B2137" s="66" t="str">
        <f>IFERROR(__xludf.DUMMYFUNCTION("SPLIT('Main dataset (DEPRECATED)'!N2138,"";"")"),"Becker, B.")</f>
        <v>Becker, B.</v>
      </c>
    </row>
    <row r="2138" ht="15.75" customHeight="1">
      <c r="A2138" s="66">
        <f>'Main dataset (DEPRECATED)'!Q2139</f>
        <v>729565</v>
      </c>
      <c r="B2138" s="66" t="str">
        <f>IFERROR(__xludf.DUMMYFUNCTION("SPLIT('Main dataset (DEPRECATED)'!N2139,"";"")"),"#REF!")</f>
        <v>#REF!</v>
      </c>
      <c r="C2138" s="66" t="s">
        <v>10681</v>
      </c>
    </row>
    <row r="2139" ht="15.75" customHeight="1">
      <c r="A2139" s="66">
        <f>'Main dataset (DEPRECATED)'!Q2140</f>
        <v>745336</v>
      </c>
      <c r="B2139" s="66" t="str">
        <f>IFERROR(__xludf.DUMMYFUNCTION("SPLIT('Main dataset (DEPRECATED)'!N2140,"";"")"),"#REF!")</f>
        <v>#REF!</v>
      </c>
      <c r="C2139" s="66" t="s">
        <v>10794</v>
      </c>
      <c r="D2139" s="66" t="s">
        <v>10397</v>
      </c>
      <c r="E2139" s="66" t="s">
        <v>10244</v>
      </c>
    </row>
    <row r="2140" ht="15.75" customHeight="1">
      <c r="A2140" s="66">
        <f>'Main dataset (DEPRECATED)'!Q2141</f>
        <v>745304</v>
      </c>
      <c r="B2140" s="66" t="str">
        <f>IFERROR(__xludf.DUMMYFUNCTION("SPLIT('Main dataset (DEPRECATED)'!N2141,"";"")"),"Kremer, K.")</f>
        <v>Kremer, K.</v>
      </c>
    </row>
    <row r="2141" ht="15.75" customHeight="1">
      <c r="A2141" s="66">
        <f>'Main dataset (DEPRECATED)'!Q2142</f>
        <v>745307</v>
      </c>
      <c r="B2141" s="66" t="str">
        <f>IFERROR(__xludf.DUMMYFUNCTION("SPLIT('Main dataset (DEPRECATED)'!N2142,"";"")"),"#REF!")</f>
        <v>#REF!</v>
      </c>
      <c r="C2141" s="66" t="s">
        <v>8069</v>
      </c>
      <c r="D2141" s="66" t="s">
        <v>7172</v>
      </c>
    </row>
    <row r="2142" ht="15.75" customHeight="1">
      <c r="A2142" s="66">
        <f>'Main dataset (DEPRECATED)'!Q2143</f>
        <v>745285</v>
      </c>
      <c r="B2142" s="66" t="str">
        <f>IFERROR(__xludf.DUMMYFUNCTION("SPLIT('Main dataset (DEPRECATED)'!N2143,"";"")"),"#REF!")</f>
        <v>#REF!</v>
      </c>
      <c r="C2142" s="66" t="s">
        <v>9485</v>
      </c>
      <c r="D2142" s="66" t="s">
        <v>10192</v>
      </c>
      <c r="E2142" s="66" t="s">
        <v>10472</v>
      </c>
    </row>
    <row r="2143" ht="15.75" customHeight="1">
      <c r="A2143" s="66">
        <f>'Main dataset (DEPRECATED)'!Q2144</f>
        <v>745296</v>
      </c>
      <c r="B2143" s="66" t="str">
        <f>IFERROR(__xludf.DUMMYFUNCTION("SPLIT('Main dataset (DEPRECATED)'!N2144,"";"")"),"#REF!")</f>
        <v>#REF!</v>
      </c>
      <c r="C2143" s="66" t="s">
        <v>9842</v>
      </c>
    </row>
    <row r="2144" ht="15.75" customHeight="1">
      <c r="A2144" s="66">
        <f>'Main dataset (DEPRECATED)'!Q2145</f>
        <v>745313</v>
      </c>
      <c r="B2144" s="66" t="str">
        <f>IFERROR(__xludf.DUMMYFUNCTION("SPLIT('Main dataset (DEPRECATED)'!N2145,"";"")"),"#REF!")</f>
        <v>#REF!</v>
      </c>
      <c r="C2144" s="66" t="s">
        <v>9222</v>
      </c>
    </row>
    <row r="2145" ht="15.75" customHeight="1">
      <c r="A2145" s="66">
        <f>'Main dataset (DEPRECATED)'!Q2146</f>
        <v>745310</v>
      </c>
      <c r="B2145" s="66" t="str">
        <f>IFERROR(__xludf.DUMMYFUNCTION("SPLIT('Main dataset (DEPRECATED)'!N2146,"";"")"),"#REF!")</f>
        <v>#REF!</v>
      </c>
      <c r="C2145" s="66" t="s">
        <v>8645</v>
      </c>
    </row>
    <row r="2146" ht="15.75" customHeight="1">
      <c r="A2146" s="66">
        <f>'Main dataset (DEPRECATED)'!Q2147</f>
        <v>745347</v>
      </c>
      <c r="B2146" s="66" t="str">
        <f>IFERROR(__xludf.DUMMYFUNCTION("SPLIT('Main dataset (DEPRECATED)'!N2147,"";"")"),"#REF!")</f>
        <v>#REF!</v>
      </c>
      <c r="C2146" s="66" t="s">
        <v>6429</v>
      </c>
      <c r="D2146" s="66" t="s">
        <v>8675</v>
      </c>
      <c r="E2146" s="66" t="s">
        <v>10624</v>
      </c>
    </row>
    <row r="2147" ht="15.75" customHeight="1">
      <c r="A2147" s="66">
        <f>'Main dataset (DEPRECATED)'!Q2148</f>
        <v>745355</v>
      </c>
      <c r="B2147" s="66" t="str">
        <f>IFERROR(__xludf.DUMMYFUNCTION("SPLIT('Main dataset (DEPRECATED)'!N2148,"";"")"),"#REF!")</f>
        <v>#REF!</v>
      </c>
      <c r="C2147" s="66" t="s">
        <v>8847</v>
      </c>
      <c r="D2147" s="66" t="s">
        <v>8366</v>
      </c>
      <c r="E2147" s="66" t="s">
        <v>7602</v>
      </c>
      <c r="F2147" s="66" t="s">
        <v>6337</v>
      </c>
    </row>
    <row r="2148" ht="15.75" customHeight="1">
      <c r="A2148" s="66">
        <f>'Main dataset (DEPRECATED)'!Q2149</f>
        <v>745297</v>
      </c>
      <c r="B2148" s="66" t="str">
        <f>IFERROR(__xludf.DUMMYFUNCTION("SPLIT('Main dataset (DEPRECATED)'!N2149,"";"")"),"Kenwright, D.")</f>
        <v>Kenwright, D.</v>
      </c>
    </row>
    <row r="2149" ht="15.75" customHeight="1">
      <c r="A2149" s="66">
        <f>'Main dataset (DEPRECATED)'!Q2150</f>
        <v>745344</v>
      </c>
      <c r="B2149" s="66" t="str">
        <f>IFERROR(__xludf.DUMMYFUNCTION("SPLIT('Main dataset (DEPRECATED)'!N2150,"";"")"),"#REF!")</f>
        <v>#REF!</v>
      </c>
      <c r="C2149" s="66" t="s">
        <v>10905</v>
      </c>
      <c r="D2149" s="66" t="s">
        <v>6983</v>
      </c>
      <c r="E2149" s="66" t="s">
        <v>7085</v>
      </c>
      <c r="F2149" s="66" t="s">
        <v>8733</v>
      </c>
      <c r="G2149" s="66" t="s">
        <v>8734</v>
      </c>
      <c r="H2149" s="66" t="s">
        <v>10382</v>
      </c>
      <c r="I2149" s="66" t="s">
        <v>11339</v>
      </c>
      <c r="J2149" s="66" t="s">
        <v>11403</v>
      </c>
    </row>
    <row r="2150" ht="15.75" customHeight="1">
      <c r="A2150" s="66">
        <f>'Main dataset (DEPRECATED)'!Q2151</f>
        <v>745292</v>
      </c>
      <c r="B2150" s="66" t="str">
        <f>IFERROR(__xludf.DUMMYFUNCTION("SPLIT('Main dataset (DEPRECATED)'!N2151,"";"")"),"#REF!")</f>
        <v>#REF!</v>
      </c>
      <c r="C2150" s="66" t="s">
        <v>7410</v>
      </c>
    </row>
    <row r="2151" ht="15.75" customHeight="1">
      <c r="A2151" s="66">
        <f>'Main dataset (DEPRECATED)'!Q2152</f>
        <v>745324</v>
      </c>
      <c r="B2151" s="66" t="str">
        <f>IFERROR(__xludf.DUMMYFUNCTION("SPLIT('Main dataset (DEPRECATED)'!N2152,"";"")"),"#REF!")</f>
        <v>#REF!</v>
      </c>
      <c r="C2151" s="66" t="s">
        <v>11192</v>
      </c>
    </row>
    <row r="2152" ht="15.75" customHeight="1">
      <c r="A2152" s="66">
        <f>'Main dataset (DEPRECATED)'!Q2153</f>
        <v>745349</v>
      </c>
      <c r="B2152" s="66" t="str">
        <f>IFERROR(__xludf.DUMMYFUNCTION("SPLIT('Main dataset (DEPRECATED)'!N2153,"";"")"),"#REF!")</f>
        <v>#REF!</v>
      </c>
      <c r="C2152" s="66" t="s">
        <v>8557</v>
      </c>
    </row>
    <row r="2153" ht="15.75" customHeight="1">
      <c r="A2153" s="66">
        <f>'Main dataset (DEPRECATED)'!Q2154</f>
        <v>745326</v>
      </c>
      <c r="B2153" s="66" t="str">
        <f>IFERROR(__xludf.DUMMYFUNCTION("SPLIT('Main dataset (DEPRECATED)'!N2154,"";"")"),"Hanson, A.J.")</f>
        <v>Hanson, A.J.</v>
      </c>
    </row>
    <row r="2154" ht="15.75" customHeight="1">
      <c r="A2154" s="66">
        <f>'Main dataset (DEPRECATED)'!Q2155</f>
        <v>745303</v>
      </c>
      <c r="B2154" s="66" t="str">
        <f>IFERROR(__xludf.DUMMYFUNCTION("SPLIT('Main dataset (DEPRECATED)'!N2155,"";"")"),"#REF!")</f>
        <v>#REF!</v>
      </c>
      <c r="C2154" s="66" t="s">
        <v>8790</v>
      </c>
    </row>
    <row r="2155" ht="15.75" customHeight="1">
      <c r="A2155" s="66">
        <f>'Main dataset (DEPRECATED)'!Q2156</f>
        <v>745281</v>
      </c>
      <c r="B2155" s="66" t="str">
        <f>IFERROR(__xludf.DUMMYFUNCTION("SPLIT('Main dataset (DEPRECATED)'!N2156,"";"")"),"#REF!")</f>
        <v>#REF!</v>
      </c>
      <c r="C2155" s="66" t="s">
        <v>9455</v>
      </c>
      <c r="D2155" s="66" t="s">
        <v>9573</v>
      </c>
    </row>
    <row r="2156" ht="15.75" customHeight="1">
      <c r="A2156" s="66">
        <f>'Main dataset (DEPRECATED)'!Q2157</f>
        <v>745327</v>
      </c>
      <c r="B2156" s="66" t="str">
        <f>IFERROR(__xludf.DUMMYFUNCTION("SPLIT('Main dataset (DEPRECATED)'!N2157,"";"")"),"#REF!")</f>
        <v>#REF!</v>
      </c>
      <c r="C2156" s="66" t="s">
        <v>10974</v>
      </c>
      <c r="D2156" s="66" t="s">
        <v>8960</v>
      </c>
      <c r="E2156" s="66" t="s">
        <v>8256</v>
      </c>
    </row>
    <row r="2157" ht="15.75" customHeight="1">
      <c r="A2157" s="66">
        <f>'Main dataset (DEPRECATED)'!Q2158</f>
        <v>745332</v>
      </c>
      <c r="B2157" s="66" t="str">
        <f>IFERROR(__xludf.DUMMYFUNCTION("SPLIT('Main dataset (DEPRECATED)'!N2158,"";"")"),"#REF!")</f>
        <v>#REF!</v>
      </c>
      <c r="C2157" s="66" t="s">
        <v>9772</v>
      </c>
      <c r="D2157" s="66" t="s">
        <v>11160</v>
      </c>
    </row>
    <row r="2158" ht="15.75" customHeight="1">
      <c r="A2158" s="66">
        <f>'Main dataset (DEPRECATED)'!Q2159</f>
        <v>745331</v>
      </c>
      <c r="B2158" s="66" t="str">
        <f>IFERROR(__xludf.DUMMYFUNCTION("SPLIT('Main dataset (DEPRECATED)'!N2159,"";"")"),"#REF!")</f>
        <v>#REF!</v>
      </c>
      <c r="C2158" s="66" t="s">
        <v>11160</v>
      </c>
    </row>
    <row r="2159" ht="15.75" customHeight="1">
      <c r="A2159" s="66">
        <f>'Main dataset (DEPRECATED)'!Q2160</f>
        <v>745293</v>
      </c>
      <c r="B2159" s="66" t="str">
        <f>IFERROR(__xludf.DUMMYFUNCTION("SPLIT('Main dataset (DEPRECATED)'!N2160,"";"")"),"#REF!")</f>
        <v>#REF!</v>
      </c>
      <c r="C2159" s="66" t="s">
        <v>11337</v>
      </c>
      <c r="D2159" s="66" t="s">
        <v>11100</v>
      </c>
      <c r="E2159" s="66" t="s">
        <v>11453</v>
      </c>
      <c r="F2159" s="66" t="s">
        <v>10601</v>
      </c>
    </row>
    <row r="2160" ht="15.75" customHeight="1">
      <c r="A2160" s="66">
        <f>'Main dataset (DEPRECATED)'!Q2161</f>
        <v>745283</v>
      </c>
      <c r="B2160" s="66" t="str">
        <f>IFERROR(__xludf.DUMMYFUNCTION("SPLIT('Main dataset (DEPRECATED)'!N2161,"";"")"),"#REF!")</f>
        <v>#REF!</v>
      </c>
      <c r="C2160" s="66" t="s">
        <v>9190</v>
      </c>
      <c r="D2160" s="66" t="s">
        <v>10008</v>
      </c>
    </row>
    <row r="2161" ht="15.75" customHeight="1">
      <c r="A2161" s="66">
        <f>'Main dataset (DEPRECATED)'!Q2162</f>
        <v>745305</v>
      </c>
      <c r="B2161" s="66" t="str">
        <f>IFERROR(__xludf.DUMMYFUNCTION("SPLIT('Main dataset (DEPRECATED)'!N2162,"";"")"),"#REF!")</f>
        <v>#REF!</v>
      </c>
      <c r="C2161" s="66" t="s">
        <v>8944</v>
      </c>
      <c r="D2161" s="66" t="s">
        <v>6198</v>
      </c>
      <c r="E2161" s="66" t="s">
        <v>7173</v>
      </c>
    </row>
    <row r="2162" ht="15.75" customHeight="1">
      <c r="A2162" s="66">
        <f>'Main dataset (DEPRECATED)'!Q2163</f>
        <v>745309</v>
      </c>
      <c r="B2162" s="66" t="str">
        <f>IFERROR(__xludf.DUMMYFUNCTION("SPLIT('Main dataset (DEPRECATED)'!N2163,"";"")"),"#REF!")</f>
        <v>#REF!</v>
      </c>
      <c r="C2162" s="66" t="s">
        <v>7060</v>
      </c>
    </row>
    <row r="2163" ht="15.75" customHeight="1">
      <c r="A2163" s="66">
        <f>'Main dataset (DEPRECATED)'!Q2164</f>
        <v>745290</v>
      </c>
      <c r="B2163" s="66" t="str">
        <f>IFERROR(__xludf.DUMMYFUNCTION("SPLIT('Main dataset (DEPRECATED)'!N2164,"";"")"),"#REF!")</f>
        <v>#REF!</v>
      </c>
      <c r="C2163" s="66" t="s">
        <v>9337</v>
      </c>
    </row>
    <row r="2164" ht="15.75" customHeight="1">
      <c r="A2164" s="66">
        <f>'Main dataset (DEPRECATED)'!Q2165</f>
        <v>745314</v>
      </c>
      <c r="B2164" s="66" t="str">
        <f>IFERROR(__xludf.DUMMYFUNCTION("SPLIT('Main dataset (DEPRECATED)'!N2165,"";"")"),"#REF!")</f>
        <v>#REF!</v>
      </c>
      <c r="C2164" s="66" t="s">
        <v>11113</v>
      </c>
    </row>
    <row r="2165" ht="15.75" customHeight="1">
      <c r="A2165" s="66">
        <f>'Main dataset (DEPRECATED)'!Q2166</f>
        <v>745291</v>
      </c>
      <c r="B2165" s="66" t="str">
        <f>IFERROR(__xludf.DUMMYFUNCTION("SPLIT('Main dataset (DEPRECATED)'!N2166,"";"")"),"#REF!")</f>
        <v>#REF!</v>
      </c>
      <c r="C2165" s="66" t="s">
        <v>6389</v>
      </c>
      <c r="D2165" s="66" t="s">
        <v>8167</v>
      </c>
    </row>
    <row r="2166" ht="15.75" customHeight="1">
      <c r="A2166" s="66">
        <f>'Main dataset (DEPRECATED)'!Q2167</f>
        <v>745289</v>
      </c>
      <c r="B2166" s="66" t="str">
        <f>IFERROR(__xludf.DUMMYFUNCTION("SPLIT('Main dataset (DEPRECATED)'!N2167,"";"")"),"Henze, C.")</f>
        <v>Henze, C.</v>
      </c>
    </row>
    <row r="2167" ht="15.75" customHeight="1">
      <c r="A2167" s="66">
        <f>'Main dataset (DEPRECATED)'!Q2168</f>
        <v>745321</v>
      </c>
      <c r="B2167" s="66" t="str">
        <f>IFERROR(__xludf.DUMMYFUNCTION("SPLIT('Main dataset (DEPRECATED)'!N2168,"";"")"),"#REF!")</f>
        <v>#REF!</v>
      </c>
      <c r="C2167" s="66" t="s">
        <v>7432</v>
      </c>
    </row>
    <row r="2168" ht="15.75" customHeight="1">
      <c r="A2168" s="66">
        <f>'Main dataset (DEPRECATED)'!Q2169</f>
        <v>745311</v>
      </c>
      <c r="B2168" s="66" t="str">
        <f>IFERROR(__xludf.DUMMYFUNCTION("SPLIT('Main dataset (DEPRECATED)'!N2169,"";"")"),"#REF!")</f>
        <v>#REF!</v>
      </c>
      <c r="C2168" s="66" t="s">
        <v>10400</v>
      </c>
      <c r="D2168" s="66" t="s">
        <v>8225</v>
      </c>
    </row>
    <row r="2169" ht="15.75" customHeight="1">
      <c r="A2169" s="66">
        <f>'Main dataset (DEPRECATED)'!Q2170</f>
        <v>745320</v>
      </c>
      <c r="B2169" s="66" t="str">
        <f>IFERROR(__xludf.DUMMYFUNCTION("SPLIT('Main dataset (DEPRECATED)'!N2170,"";"")"),"#REF!")</f>
        <v>#REF!</v>
      </c>
      <c r="C2169" s="66" t="s">
        <v>11422</v>
      </c>
    </row>
    <row r="2170" ht="15.75" customHeight="1">
      <c r="A2170" s="66">
        <f>'Main dataset (DEPRECATED)'!Q2171</f>
        <v>745319</v>
      </c>
      <c r="B2170" s="66" t="str">
        <f>IFERROR(__xludf.DUMMYFUNCTION("SPLIT('Main dataset (DEPRECATED)'!N2171,"";"")"),"#REF!")</f>
        <v>#REF!</v>
      </c>
      <c r="C2170" s="66" t="s">
        <v>6495</v>
      </c>
      <c r="D2170" s="66" t="s">
        <v>11110</v>
      </c>
    </row>
    <row r="2171" ht="15.75" customHeight="1">
      <c r="A2171" s="66">
        <f>'Main dataset (DEPRECATED)'!Q2172</f>
        <v>745295</v>
      </c>
      <c r="B2171" s="66" t="str">
        <f>IFERROR(__xludf.DUMMYFUNCTION("SPLIT('Main dataset (DEPRECATED)'!N2172,"";"")"),"#REF!")</f>
        <v>#REF!</v>
      </c>
      <c r="C2171" s="66" t="s">
        <v>8086</v>
      </c>
      <c r="D2171" s="66" t="s">
        <v>8176</v>
      </c>
      <c r="E2171" s="66" t="s">
        <v>8352</v>
      </c>
    </row>
    <row r="2172" ht="15.75" customHeight="1">
      <c r="A2172" s="66">
        <f>'Main dataset (DEPRECATED)'!Q2173</f>
        <v>745342</v>
      </c>
      <c r="B2172" s="66" t="str">
        <f>IFERROR(__xludf.DUMMYFUNCTION("SPLIT('Main dataset (DEPRECATED)'!N2173,"";"")"),"#REF!")</f>
        <v>#REF!</v>
      </c>
      <c r="C2172" s="66" t="s">
        <v>8472</v>
      </c>
      <c r="D2172" s="66" t="s">
        <v>10140</v>
      </c>
      <c r="E2172" s="66" t="s">
        <v>7480</v>
      </c>
    </row>
    <row r="2173" ht="15.75" customHeight="1">
      <c r="A2173" s="66">
        <f>'Main dataset (DEPRECATED)'!Q2174</f>
        <v>745316</v>
      </c>
      <c r="B2173" s="66" t="str">
        <f>IFERROR(__xludf.DUMMYFUNCTION("SPLIT('Main dataset (DEPRECATED)'!N2174,"";"")"),"#REF!")</f>
        <v>#REF!</v>
      </c>
      <c r="C2173" s="66" t="s">
        <v>9772</v>
      </c>
    </row>
    <row r="2174" ht="15.75" customHeight="1">
      <c r="A2174" s="66">
        <f>'Main dataset (DEPRECATED)'!Q2175</f>
        <v>745322</v>
      </c>
      <c r="B2174" s="66" t="str">
        <f>IFERROR(__xludf.DUMMYFUNCTION("SPLIT('Main dataset (DEPRECATED)'!N2175,"";"")"),"#REF!")</f>
        <v>#REF!</v>
      </c>
      <c r="C2174" s="66" t="s">
        <v>7373</v>
      </c>
    </row>
    <row r="2175" ht="15.75" customHeight="1">
      <c r="A2175" s="66">
        <f>'Main dataset (DEPRECATED)'!Q2176</f>
        <v>745299</v>
      </c>
      <c r="B2175" s="66" t="str">
        <f>IFERROR(__xludf.DUMMYFUNCTION("SPLIT('Main dataset (DEPRECATED)'!N2176,"";"")"),"#REF!")</f>
        <v>#REF!</v>
      </c>
      <c r="C2175" s="66" t="s">
        <v>10621</v>
      </c>
      <c r="D2175" s="66" t="s">
        <v>10435</v>
      </c>
    </row>
    <row r="2176" ht="15.75" customHeight="1">
      <c r="A2176" s="66">
        <f>'Main dataset (DEPRECATED)'!Q2177</f>
        <v>745713</v>
      </c>
      <c r="B2176" s="66" t="str">
        <f>IFERROR(__xludf.DUMMYFUNCTION("SPLIT('Main dataset (DEPRECATED)'!N2177,"";"")"),"#REF!")</f>
        <v>#REF!</v>
      </c>
      <c r="C2176" s="66" t="s">
        <v>10594</v>
      </c>
      <c r="D2176" s="66" t="s">
        <v>9100</v>
      </c>
      <c r="E2176" s="66" t="s">
        <v>8047</v>
      </c>
      <c r="F2176" s="66" t="s">
        <v>10665</v>
      </c>
    </row>
    <row r="2177" ht="15.75" customHeight="1">
      <c r="A2177" s="66">
        <f>'Main dataset (DEPRECATED)'!Q2178</f>
        <v>745337</v>
      </c>
      <c r="B2177" s="66" t="str">
        <f>IFERROR(__xludf.DUMMYFUNCTION("SPLIT('Main dataset (DEPRECATED)'!N2178,"";"")"),"#REF!")</f>
        <v>#REF!</v>
      </c>
      <c r="C2177" s="66" t="s">
        <v>9917</v>
      </c>
      <c r="D2177" s="66" t="s">
        <v>11847</v>
      </c>
      <c r="E2177" s="66" t="s">
        <v>11127</v>
      </c>
    </row>
    <row r="2178" ht="15.75" customHeight="1">
      <c r="A2178" s="66">
        <f>'Main dataset (DEPRECATED)'!Q2179</f>
        <v>745328</v>
      </c>
      <c r="B2178" s="66" t="str">
        <f>IFERROR(__xludf.DUMMYFUNCTION("SPLIT('Main dataset (DEPRECATED)'!N2179,"";"")"),"#REF!")</f>
        <v>#REF!</v>
      </c>
      <c r="C2178" s="66" t="s">
        <v>9946</v>
      </c>
      <c r="D2178" s="66" t="s">
        <v>10416</v>
      </c>
    </row>
    <row r="2179" ht="15.75" customHeight="1">
      <c r="A2179" s="66">
        <f>'Main dataset (DEPRECATED)'!Q2180</f>
        <v>745298</v>
      </c>
      <c r="B2179" s="66" t="str">
        <f>IFERROR(__xludf.DUMMYFUNCTION("SPLIT('Main dataset (DEPRECATED)'!N2180,"";"")"),"Han-Wei Shen")</f>
        <v>Han-Wei Shen</v>
      </c>
    </row>
    <row r="2180" ht="15.75" customHeight="1">
      <c r="A2180" s="66">
        <f>'Main dataset (DEPRECATED)'!Q2181</f>
        <v>745354</v>
      </c>
      <c r="B2180" s="66" t="str">
        <f>IFERROR(__xludf.DUMMYFUNCTION("SPLIT('Main dataset (DEPRECATED)'!N2181,"";"")"),"#REF!")</f>
        <v>#REF!</v>
      </c>
      <c r="C2180" s="66" t="s">
        <v>8363</v>
      </c>
      <c r="D2180" s="66" t="s">
        <v>8940</v>
      </c>
    </row>
    <row r="2181" ht="15.75" customHeight="1">
      <c r="A2181" s="66">
        <f>'Main dataset (DEPRECATED)'!Q2182</f>
        <v>745280</v>
      </c>
      <c r="B2181" s="66" t="str">
        <f>IFERROR(__xludf.DUMMYFUNCTION("SPLIT('Main dataset (DEPRECATED)'!N2182,"";"")"),"Pajarola, R.")</f>
        <v>Pajarola, R.</v>
      </c>
    </row>
    <row r="2182" ht="15.75" customHeight="1">
      <c r="A2182" s="66">
        <f>'Main dataset (DEPRECATED)'!Q2183</f>
        <v>745287</v>
      </c>
      <c r="B2182" s="66" t="str">
        <f>IFERROR(__xludf.DUMMYFUNCTION("SPLIT('Main dataset (DEPRECATED)'!N2183,"";"")"),"#REF!")</f>
        <v>#REF!</v>
      </c>
      <c r="C2182" s="66" t="s">
        <v>7736</v>
      </c>
    </row>
    <row r="2183" ht="15.75" customHeight="1">
      <c r="A2183" s="66">
        <f>'Main dataset (DEPRECATED)'!Q2184</f>
        <v>745353</v>
      </c>
      <c r="B2183" s="66" t="str">
        <f>IFERROR(__xludf.DUMMYFUNCTION("SPLIT('Main dataset (DEPRECATED)'!N2184,"";"")"),"#REF!")</f>
        <v>#REF!</v>
      </c>
      <c r="C2183" s="66" t="s">
        <v>6178</v>
      </c>
      <c r="D2183" s="66" t="s">
        <v>6477</v>
      </c>
      <c r="E2183" s="66" t="s">
        <v>11091</v>
      </c>
      <c r="F2183" s="66" t="s">
        <v>10769</v>
      </c>
    </row>
    <row r="2184" ht="15.75" customHeight="1">
      <c r="A2184" s="66">
        <f>'Main dataset (DEPRECATED)'!Q2185</f>
        <v>745323</v>
      </c>
      <c r="B2184" s="66" t="str">
        <f>IFERROR(__xludf.DUMMYFUNCTION("SPLIT('Main dataset (DEPRECATED)'!N2185,"";"")"),"#REF!")</f>
        <v>#REF!</v>
      </c>
      <c r="C2184" s="66" t="s">
        <v>7886</v>
      </c>
      <c r="D2184" s="66" t="s">
        <v>11200</v>
      </c>
    </row>
    <row r="2185" ht="15.75" customHeight="1">
      <c r="A2185" s="66">
        <f>'Main dataset (DEPRECATED)'!Q2186</f>
        <v>745346</v>
      </c>
      <c r="B2185" s="66" t="str">
        <f>IFERROR(__xludf.DUMMYFUNCTION("SPLIT('Main dataset (DEPRECATED)'!N2186,"";"")"),"#REF!")</f>
        <v>#REF!</v>
      </c>
      <c r="C2185" s="66" t="s">
        <v>9210</v>
      </c>
    </row>
    <row r="2186" ht="15.75" customHeight="1">
      <c r="A2186" s="66">
        <f>'Main dataset (DEPRECATED)'!Q2187</f>
        <v>745343</v>
      </c>
      <c r="B2186" s="66" t="str">
        <f>IFERROR(__xludf.DUMMYFUNCTION("SPLIT('Main dataset (DEPRECATED)'!N2187,"";"")"),"Heermann, P.D.")</f>
        <v>Heermann, P.D.</v>
      </c>
    </row>
    <row r="2187" ht="15.75" customHeight="1">
      <c r="A2187" s="66">
        <f>'Main dataset (DEPRECATED)'!Q2188</f>
        <v>745329</v>
      </c>
      <c r="B2187" s="66" t="str">
        <f>IFERROR(__xludf.DUMMYFUNCTION("SPLIT('Main dataset (DEPRECATED)'!N2188,"";"")"),"#REF!")</f>
        <v>#REF!</v>
      </c>
      <c r="C2187" s="66" t="s">
        <v>7896</v>
      </c>
    </row>
    <row r="2188" ht="15.75" customHeight="1">
      <c r="A2188" s="66">
        <f>'Main dataset (DEPRECATED)'!Q2189</f>
        <v>745317</v>
      </c>
      <c r="B2188" s="66" t="str">
        <f>IFERROR(__xludf.DUMMYFUNCTION("SPLIT('Main dataset (DEPRECATED)'!N2189,"";"")"),"#REF!")</f>
        <v>#REF!</v>
      </c>
      <c r="C2188" s="66" t="s">
        <v>7887</v>
      </c>
    </row>
    <row r="2189" ht="15.75" customHeight="1">
      <c r="A2189" s="66">
        <f>'Main dataset (DEPRECATED)'!Q2190</f>
        <v>745341</v>
      </c>
      <c r="B2189" s="66" t="str">
        <f>IFERROR(__xludf.DUMMYFUNCTION("SPLIT('Main dataset (DEPRECATED)'!N2190,"";"")"),"#REF!")</f>
        <v>#REF!</v>
      </c>
      <c r="C2189" s="66" t="s">
        <v>9230</v>
      </c>
      <c r="D2189" s="66" t="s">
        <v>9317</v>
      </c>
      <c r="E2189" s="66" t="s">
        <v>6317</v>
      </c>
    </row>
    <row r="2190" ht="15.75" customHeight="1">
      <c r="A2190" s="66">
        <f>'Main dataset (DEPRECATED)'!Q2191</f>
        <v>745345</v>
      </c>
      <c r="B2190" s="66" t="str">
        <f>IFERROR(__xludf.DUMMYFUNCTION("SPLIT('Main dataset (DEPRECATED)'!N2191,"";"")"),"#REF!")</f>
        <v>#REF!</v>
      </c>
      <c r="C2190" s="66" t="s">
        <v>8543</v>
      </c>
      <c r="D2190" s="66" t="s">
        <v>10799</v>
      </c>
    </row>
    <row r="2191" ht="15.75" customHeight="1">
      <c r="A2191" s="66">
        <f>'Main dataset (DEPRECATED)'!Q2192</f>
        <v>745348</v>
      </c>
      <c r="B2191" s="66" t="str">
        <f>IFERROR(__xludf.DUMMYFUNCTION("SPLIT('Main dataset (DEPRECATED)'!N2192,"";"")"),"#REF!")</f>
        <v>#REF!</v>
      </c>
      <c r="C2191" s="66" t="s">
        <v>10802</v>
      </c>
      <c r="D2191" s="66" t="s">
        <v>11482</v>
      </c>
      <c r="E2191" s="66" t="s">
        <v>6672</v>
      </c>
    </row>
    <row r="2192" ht="15.75" customHeight="1">
      <c r="A2192" s="66">
        <f>'Main dataset (DEPRECATED)'!Q2193</f>
        <v>745333</v>
      </c>
      <c r="B2192" s="66" t="str">
        <f>IFERROR(__xludf.DUMMYFUNCTION("SPLIT('Main dataset (DEPRECATED)'!N2193,"";"")"),"#REF!")</f>
        <v>#REF!</v>
      </c>
      <c r="C2192" s="66" t="s">
        <v>9973</v>
      </c>
      <c r="D2192" s="66" t="s">
        <v>6502</v>
      </c>
      <c r="E2192" s="66" t="s">
        <v>6345</v>
      </c>
      <c r="F2192" s="66" t="s">
        <v>9751</v>
      </c>
    </row>
    <row r="2193" ht="15.75" customHeight="1">
      <c r="A2193" s="66">
        <f>'Main dataset (DEPRECATED)'!Q2194</f>
        <v>745315</v>
      </c>
      <c r="B2193" s="66" t="str">
        <f>IFERROR(__xludf.DUMMYFUNCTION("SPLIT('Main dataset (DEPRECATED)'!N2194,"";"")"),"#REF!")</f>
        <v>#REF!</v>
      </c>
      <c r="C2193" s="66" t="s">
        <v>8023</v>
      </c>
      <c r="D2193" s="66" t="s">
        <v>8560</v>
      </c>
      <c r="E2193" s="66" t="s">
        <v>11458</v>
      </c>
    </row>
    <row r="2194" ht="15.75" customHeight="1">
      <c r="A2194" s="66">
        <f>'Main dataset (DEPRECATED)'!Q2195</f>
        <v>745312</v>
      </c>
      <c r="B2194" s="66" t="str">
        <f>IFERROR(__xludf.DUMMYFUNCTION("SPLIT('Main dataset (DEPRECATED)'!N2195,"";"")"),"#REF!")</f>
        <v>#REF!</v>
      </c>
      <c r="C2194" s="66" t="s">
        <v>8110</v>
      </c>
    </row>
    <row r="2195" ht="15.75" customHeight="1">
      <c r="A2195" s="66">
        <f>'Main dataset (DEPRECATED)'!Q2196</f>
        <v>745325</v>
      </c>
      <c r="B2195" s="66" t="str">
        <f>IFERROR(__xludf.DUMMYFUNCTION("SPLIT('Main dataset (DEPRECATED)'!N2196,"";"")"),"#REF!")</f>
        <v>#REF!</v>
      </c>
      <c r="C2195" s="66" t="s">
        <v>9472</v>
      </c>
      <c r="D2195" s="66" t="s">
        <v>11628</v>
      </c>
    </row>
    <row r="2196" ht="15.75" customHeight="1">
      <c r="A2196" s="66">
        <f>'Main dataset (DEPRECATED)'!Q2197</f>
        <v>745282</v>
      </c>
      <c r="B2196" s="66" t="str">
        <f>IFERROR(__xludf.DUMMYFUNCTION("SPLIT('Main dataset (DEPRECATED)'!N2197,"";"")"),"Hoppe, H.")</f>
        <v>Hoppe, H.</v>
      </c>
    </row>
    <row r="2197" ht="15.75" customHeight="1">
      <c r="A2197" s="66">
        <f>'Main dataset (DEPRECATED)'!Q2198</f>
        <v>745339</v>
      </c>
      <c r="B2197" s="66" t="str">
        <f>IFERROR(__xludf.DUMMYFUNCTION("SPLIT('Main dataset (DEPRECATED)'!N2198,"";"")"),"#REF!")</f>
        <v>#REF!</v>
      </c>
      <c r="C2197" s="66" t="s">
        <v>6786</v>
      </c>
    </row>
    <row r="2198" ht="15.75" customHeight="1">
      <c r="A2198" s="66">
        <f>'Main dataset (DEPRECATED)'!Q2199</f>
        <v>745286</v>
      </c>
      <c r="B2198" s="66" t="str">
        <f>IFERROR(__xludf.DUMMYFUNCTION("SPLIT('Main dataset (DEPRECATED)'!N2199,"";"")"),"#REF!")</f>
        <v>#REF!</v>
      </c>
      <c r="C2198" s="66" t="s">
        <v>6777</v>
      </c>
    </row>
    <row r="2199" ht="15.75" customHeight="1">
      <c r="A2199" s="66">
        <f>'Main dataset (DEPRECATED)'!Q2200</f>
        <v>745330</v>
      </c>
      <c r="B2199" s="66" t="str">
        <f>IFERROR(__xludf.DUMMYFUNCTION("SPLIT('Main dataset (DEPRECATED)'!N2200,"";"")"),"Treinish, L.A.")</f>
        <v>Treinish, L.A.</v>
      </c>
    </row>
    <row r="2200" ht="15.75" customHeight="1">
      <c r="A2200" s="66">
        <f>'Main dataset (DEPRECATED)'!Q2201</f>
        <v>745301</v>
      </c>
      <c r="B2200" s="66" t="str">
        <f>IFERROR(__xludf.DUMMYFUNCTION("SPLIT('Main dataset (DEPRECATED)'!N2201,"";"")"),"#REF!")</f>
        <v>#REF!</v>
      </c>
      <c r="C2200" s="66" t="s">
        <v>8161</v>
      </c>
    </row>
    <row r="2201" ht="15.75" customHeight="1">
      <c r="A2201" s="66">
        <f>'Main dataset (DEPRECATED)'!Q2202</f>
        <v>745350</v>
      </c>
      <c r="B2201" s="66" t="str">
        <f>IFERROR(__xludf.DUMMYFUNCTION("SPLIT('Main dataset (DEPRECATED)'!N2202,"";"")"),"#REF!")</f>
        <v>#REF!</v>
      </c>
      <c r="C2201" s="66" t="s">
        <v>8840</v>
      </c>
      <c r="D2201" s="66" t="s">
        <v>10905</v>
      </c>
      <c r="E2201" s="66" t="s">
        <v>10728</v>
      </c>
      <c r="F2201" s="66" t="s">
        <v>10236</v>
      </c>
      <c r="G2201" s="66" t="s">
        <v>8892</v>
      </c>
    </row>
    <row r="2202" ht="15.75" customHeight="1">
      <c r="A2202" s="66">
        <f>'Main dataset (DEPRECATED)'!Q2203</f>
        <v>745302</v>
      </c>
      <c r="B2202" s="66" t="str">
        <f>IFERROR(__xludf.DUMMYFUNCTION("SPLIT('Main dataset (DEPRECATED)'!N2203,"";"")"),"#REF!")</f>
        <v>#REF!</v>
      </c>
      <c r="C2202" s="66" t="s">
        <v>9762</v>
      </c>
      <c r="D2202" s="66" t="s">
        <v>6658</v>
      </c>
      <c r="E2202" s="66" t="s">
        <v>7570</v>
      </c>
    </row>
    <row r="2203" ht="15.75" customHeight="1">
      <c r="A2203" s="66">
        <f>'Main dataset (DEPRECATED)'!Q2204</f>
        <v>745288</v>
      </c>
      <c r="B2203" s="66" t="str">
        <f>IFERROR(__xludf.DUMMYFUNCTION("SPLIT('Main dataset (DEPRECATED)'!N2204,"";"")"),"#REF!")</f>
        <v>#REF!</v>
      </c>
      <c r="C2203" s="66" t="s">
        <v>11330</v>
      </c>
    </row>
    <row r="2204" ht="15.75" customHeight="1">
      <c r="A2204" s="66">
        <f>'Main dataset (DEPRECATED)'!Q2205</f>
        <v>745300</v>
      </c>
      <c r="B2204" s="66" t="str">
        <f>IFERROR(__xludf.DUMMYFUNCTION("SPLIT('Main dataset (DEPRECATED)'!N2205,"";"")"),"#REF!")</f>
        <v>#REF!</v>
      </c>
      <c r="C2204" s="66" t="s">
        <v>8047</v>
      </c>
    </row>
    <row r="2205" ht="15.75" customHeight="1">
      <c r="A2205" s="66">
        <f>'Main dataset (DEPRECATED)'!Q2206</f>
        <v>745334</v>
      </c>
      <c r="B2205" s="66" t="str">
        <f>IFERROR(__xludf.DUMMYFUNCTION("SPLIT('Main dataset (DEPRECATED)'!N2206,"";"")"),"#REF!")</f>
        <v>#REF!</v>
      </c>
      <c r="C2205" s="66" t="s">
        <v>6786</v>
      </c>
      <c r="D2205" s="66" t="s">
        <v>8359</v>
      </c>
      <c r="E2205" s="66" t="s">
        <v>6281</v>
      </c>
    </row>
    <row r="2206" ht="15.75" customHeight="1">
      <c r="A2206" s="66">
        <f>'Main dataset (DEPRECATED)'!Q2207</f>
        <v>745351</v>
      </c>
      <c r="B2206" s="66" t="str">
        <f>IFERROR(__xludf.DUMMYFUNCTION("SPLIT('Main dataset (DEPRECATED)'!N2207,"";"")"),"#REF!")</f>
        <v>#REF!</v>
      </c>
      <c r="C2206" s="66" t="s">
        <v>8773</v>
      </c>
      <c r="D2206" s="66" t="s">
        <v>11347</v>
      </c>
    </row>
    <row r="2207" ht="15.75" customHeight="1">
      <c r="A2207" s="66">
        <f>'Main dataset (DEPRECATED)'!Q2208</f>
        <v>745335</v>
      </c>
      <c r="B2207" s="66" t="str">
        <f>IFERROR(__xludf.DUMMYFUNCTION("SPLIT('Main dataset (DEPRECATED)'!N2208,"";"")"),"#REF!")</f>
        <v>#REF!</v>
      </c>
      <c r="C2207" s="66" t="s">
        <v>10737</v>
      </c>
    </row>
    <row r="2208" ht="15.75" customHeight="1">
      <c r="A2208" s="66">
        <f>'Main dataset (DEPRECATED)'!Q2209</f>
        <v>745284</v>
      </c>
      <c r="B2208" s="66" t="str">
        <f>IFERROR(__xludf.DUMMYFUNCTION("SPLIT('Main dataset (DEPRECATED)'!N2209,"";"")"),"#REF!")</f>
        <v>#REF!</v>
      </c>
      <c r="C2208" s="66" t="s">
        <v>9807</v>
      </c>
      <c r="D2208" s="66" t="s">
        <v>10401</v>
      </c>
    </row>
    <row r="2209" ht="15.75" customHeight="1">
      <c r="A2209" s="66">
        <f>'Main dataset (DEPRECATED)'!Q2210</f>
        <v>745306</v>
      </c>
      <c r="B2209" s="66" t="str">
        <f>IFERROR(__xludf.DUMMYFUNCTION("SPLIT('Main dataset (DEPRECATED)'!N2210,"";"")"),"#REF!")</f>
        <v>#REF!</v>
      </c>
      <c r="C2209" s="66" t="s">
        <v>10501</v>
      </c>
    </row>
    <row r="2210" ht="15.75" customHeight="1">
      <c r="A2210" s="66">
        <f>'Main dataset (DEPRECATED)'!Q2211</f>
        <v>745294</v>
      </c>
      <c r="B2210" s="66" t="str">
        <f>IFERROR(__xludf.DUMMYFUNCTION("SPLIT('Main dataset (DEPRECATED)'!N2211,"";"")"),"#REF!")</f>
        <v>#REF!</v>
      </c>
      <c r="C2210" s="66" t="s">
        <v>6177</v>
      </c>
      <c r="D2210" s="66" t="s">
        <v>8847</v>
      </c>
      <c r="E2210" s="66" t="s">
        <v>6293</v>
      </c>
      <c r="F2210" s="66" t="s">
        <v>8401</v>
      </c>
      <c r="G2210" s="66" t="s">
        <v>10091</v>
      </c>
    </row>
    <row r="2211" ht="15.75" customHeight="1">
      <c r="A2211" s="66">
        <f>'Main dataset (DEPRECATED)'!Q2212</f>
        <v>745340</v>
      </c>
      <c r="B2211" s="66" t="str">
        <f>IFERROR(__xludf.DUMMYFUNCTION("SPLIT('Main dataset (DEPRECATED)'!N2212,"";"")"),"Max, N.")</f>
        <v>Max, N.</v>
      </c>
    </row>
    <row r="2212" ht="15.75" customHeight="1">
      <c r="A2212" s="66">
        <f>'Main dataset (DEPRECATED)'!Q2213</f>
        <v>745338</v>
      </c>
      <c r="B2212" s="66" t="str">
        <f>IFERROR(__xludf.DUMMYFUNCTION("SPLIT('Main dataset (DEPRECATED)'!N2213,"";"")"),"#REF!")</f>
        <v>#REF!</v>
      </c>
      <c r="C2212" s="66" t="s">
        <v>7607</v>
      </c>
      <c r="D2212" s="66" t="s">
        <v>11425</v>
      </c>
    </row>
    <row r="2213" ht="15.75" customHeight="1">
      <c r="A2213" s="66">
        <f>'Main dataset (DEPRECATED)'!Q2214</f>
        <v>745318</v>
      </c>
      <c r="B2213" s="66" t="str">
        <f>IFERROR(__xludf.DUMMYFUNCTION("SPLIT('Main dataset (DEPRECATED)'!N2214,"";"")"),"#REF!")</f>
        <v>#REF!</v>
      </c>
      <c r="C2213" s="66" t="s">
        <v>8569</v>
      </c>
      <c r="D2213" s="66" t="s">
        <v>10885</v>
      </c>
    </row>
    <row r="2214" ht="15.75" customHeight="1">
      <c r="A2214" s="66">
        <f>'Main dataset (DEPRECATED)'!Q2215</f>
        <v>745352</v>
      </c>
      <c r="B2214" s="66" t="str">
        <f>IFERROR(__xludf.DUMMYFUNCTION("SPLIT('Main dataset (DEPRECATED)'!N2215,"";"")"),"#REF!")</f>
        <v>#REF!</v>
      </c>
      <c r="C2214" s="66" t="s">
        <v>6618</v>
      </c>
      <c r="D2214" s="66" t="s">
        <v>9124</v>
      </c>
      <c r="E2214" s="66" t="s">
        <v>8747</v>
      </c>
      <c r="F2214" s="66" t="s">
        <v>9891</v>
      </c>
    </row>
    <row r="2215" ht="15.75" customHeight="1">
      <c r="A2215" s="66">
        <f>'Main dataset (DEPRECATED)'!Q2216</f>
        <v>636761</v>
      </c>
      <c r="B2215" s="66" t="str">
        <f>IFERROR(__xludf.DUMMYFUNCTION("SPLIT('Main dataset (DEPRECATED)'!N2216,"";"")"),"#REF!")</f>
        <v>#REF!</v>
      </c>
      <c r="C2215" s="66" t="s">
        <v>6371</v>
      </c>
      <c r="D2215" s="66" t="s">
        <v>10154</v>
      </c>
      <c r="E2215" s="66" t="s">
        <v>8822</v>
      </c>
    </row>
    <row r="2216" ht="15.75" customHeight="1">
      <c r="A2216" s="66">
        <f>'Main dataset (DEPRECATED)'!Q2217</f>
        <v>636778</v>
      </c>
      <c r="B2216" s="66" t="str">
        <f>IFERROR(__xludf.DUMMYFUNCTION("SPLIT('Main dataset (DEPRECATED)'!N2217,"";"")"),"#REF!")</f>
        <v>#REF!</v>
      </c>
      <c r="C2216" s="66" t="s">
        <v>9255</v>
      </c>
    </row>
    <row r="2217" ht="15.75" customHeight="1">
      <c r="A2217" s="66">
        <f>'Main dataset (DEPRECATED)'!Q2218</f>
        <v>636785</v>
      </c>
      <c r="B2217" s="66" t="str">
        <f>IFERROR(__xludf.DUMMYFUNCTION("SPLIT('Main dataset (DEPRECATED)'!N2218,"";"")"),"Reiss, S.P.")</f>
        <v>Reiss, S.P.</v>
      </c>
    </row>
    <row r="2218" ht="15.75" customHeight="1">
      <c r="A2218" s="66">
        <f>'Main dataset (DEPRECATED)'!Q2219</f>
        <v>636788</v>
      </c>
      <c r="B2218" s="66" t="str">
        <f>IFERROR(__xludf.DUMMYFUNCTION("SPLIT('Main dataset (DEPRECATED)'!N2219,"";"")"),"#REF!")</f>
        <v>#REF!</v>
      </c>
      <c r="C2218" s="66" t="s">
        <v>10253</v>
      </c>
      <c r="D2218" s="66" t="s">
        <v>8813</v>
      </c>
    </row>
    <row r="2219" ht="15.75" customHeight="1">
      <c r="A2219" s="66">
        <f>'Main dataset (DEPRECATED)'!Q2220</f>
        <v>636790</v>
      </c>
      <c r="B2219" s="66" t="str">
        <f>IFERROR(__xludf.DUMMYFUNCTION("SPLIT('Main dataset (DEPRECATED)'!N2220,"";"")"),"#REF!")</f>
        <v>#REF!</v>
      </c>
      <c r="C2219" s="66" t="s">
        <v>6424</v>
      </c>
      <c r="D2219" s="66" t="s">
        <v>10597</v>
      </c>
    </row>
    <row r="2220" ht="15.75" customHeight="1">
      <c r="A2220" s="66">
        <f>'Main dataset (DEPRECATED)'!Q2221</f>
        <v>636789</v>
      </c>
      <c r="B2220" s="66" t="str">
        <f>IFERROR(__xludf.DUMMYFUNCTION("SPLIT('Main dataset (DEPRECATED)'!N2221,"";"")"),"#REF!")</f>
        <v>#REF!</v>
      </c>
      <c r="C2220" s="66" t="s">
        <v>6822</v>
      </c>
      <c r="D2220" s="66" t="s">
        <v>9158</v>
      </c>
      <c r="E2220" s="66" t="s">
        <v>7040</v>
      </c>
    </row>
    <row r="2221" ht="15.75" customHeight="1">
      <c r="A2221" s="66">
        <f>'Main dataset (DEPRECATED)'!Q2222</f>
        <v>636718</v>
      </c>
      <c r="B2221" s="66" t="str">
        <f>IFERROR(__xludf.DUMMYFUNCTION("SPLIT('Main dataset (DEPRECATED)'!N2222,"";"")"),"Munzner, T.")</f>
        <v>Munzner, T.</v>
      </c>
    </row>
    <row r="2222" ht="15.75" customHeight="1">
      <c r="A2222" s="66">
        <f>'Main dataset (DEPRECATED)'!Q2223</f>
        <v>636787</v>
      </c>
      <c r="B2222" s="66" t="str">
        <f>IFERROR(__xludf.DUMMYFUNCTION("SPLIT('Main dataset (DEPRECATED)'!N2223,"";"")"),"#REF!")</f>
        <v>#REF!</v>
      </c>
      <c r="C2222" s="66" t="s">
        <v>10075</v>
      </c>
    </row>
    <row r="2223" ht="15.75" customHeight="1">
      <c r="A2223" s="66">
        <f>'Main dataset (DEPRECATED)'!Q2224</f>
        <v>636782</v>
      </c>
      <c r="B2223" s="66" t="str">
        <f>IFERROR(__xludf.DUMMYFUNCTION("SPLIT('Main dataset (DEPRECATED)'!N2224,"";"")"),"#REF!")</f>
        <v>#REF!</v>
      </c>
      <c r="C2223" s="66" t="s">
        <v>7379</v>
      </c>
    </row>
    <row r="2224" ht="15.75" customHeight="1">
      <c r="A2224" s="66">
        <f>'Main dataset (DEPRECATED)'!Q2225</f>
        <v>636794</v>
      </c>
      <c r="B2224" s="66" t="str">
        <f>IFERROR(__xludf.DUMMYFUNCTION("SPLIT('Main dataset (DEPRECATED)'!N2225,"";"")"),"Brath, R.")</f>
        <v>Brath, R.</v>
      </c>
    </row>
    <row r="2225" ht="15.75" customHeight="1">
      <c r="A2225" s="66">
        <f>'Main dataset (DEPRECATED)'!Q2226</f>
        <v>636793</v>
      </c>
      <c r="B2225" s="66" t="str">
        <f>IFERROR(__xludf.DUMMYFUNCTION("SPLIT('Main dataset (DEPRECATED)'!N2226,"";"")"),"Inselberg, A.")</f>
        <v>Inselberg, A.</v>
      </c>
    </row>
    <row r="2226" ht="15.75" customHeight="1">
      <c r="A2226" s="66">
        <f>'Main dataset (DEPRECATED)'!Q2227</f>
        <v>636786</v>
      </c>
      <c r="B2226" s="66" t="str">
        <f>IFERROR(__xludf.DUMMYFUNCTION("SPLIT('Main dataset (DEPRECATED)'!N2227,"";"")"),"#REF!")</f>
        <v>#REF!</v>
      </c>
      <c r="C2226" s="66" t="s">
        <v>10184</v>
      </c>
    </row>
    <row r="2227" ht="15.75" customHeight="1">
      <c r="A2227" s="66">
        <f>'Main dataset (DEPRECATED)'!Q2228</f>
        <v>636784</v>
      </c>
      <c r="B2227" s="66" t="str">
        <f>IFERROR(__xludf.DUMMYFUNCTION("SPLIT('Main dataset (DEPRECATED)'!N2228,"";"")"),"#REF!")</f>
        <v>#REF!</v>
      </c>
      <c r="C2227" s="66" t="s">
        <v>11524</v>
      </c>
      <c r="D2227" s="66" t="s">
        <v>7593</v>
      </c>
      <c r="E2227" s="66" t="s">
        <v>9543</v>
      </c>
    </row>
    <row r="2228" ht="15.75" customHeight="1">
      <c r="A2228" s="66">
        <f>'Main dataset (DEPRECATED)'!Q2229</f>
        <v>636792</v>
      </c>
      <c r="B2228" s="66" t="str">
        <f>IFERROR(__xludf.DUMMYFUNCTION("SPLIT('Main dataset (DEPRECATED)'!N2229,"";"")"),"#REF!")</f>
        <v>#REF!</v>
      </c>
      <c r="C2228" s="66" t="s">
        <v>9176</v>
      </c>
    </row>
    <row r="2229" ht="15.75" customHeight="1">
      <c r="A2229" s="66">
        <f>'Main dataset (DEPRECATED)'!Q2230</f>
        <v>636759</v>
      </c>
      <c r="B2229" s="66" t="str">
        <f>IFERROR(__xludf.DUMMYFUNCTION("SPLIT('Main dataset (DEPRECATED)'!N2230,"";"")"),"#REF!")</f>
        <v>#REF!</v>
      </c>
      <c r="C2229" s="66" t="s">
        <v>10741</v>
      </c>
      <c r="D2229" s="66" t="s">
        <v>7530</v>
      </c>
    </row>
    <row r="2230" ht="15.75" customHeight="1">
      <c r="A2230" s="66">
        <f>'Main dataset (DEPRECATED)'!Q2231</f>
        <v>636791</v>
      </c>
      <c r="B2230" s="66" t="str">
        <f>IFERROR(__xludf.DUMMYFUNCTION("SPLIT('Main dataset (DEPRECATED)'!N2231,"";"")"),"Becker, B.")</f>
        <v>Becker, B.</v>
      </c>
    </row>
    <row r="2231" ht="15.75" customHeight="1">
      <c r="A2231" s="66">
        <f>'Main dataset (DEPRECATED)'!Q2232</f>
        <v>663848</v>
      </c>
      <c r="B2231" s="66" t="str">
        <f>IFERROR(__xludf.DUMMYFUNCTION("SPLIT('Main dataset (DEPRECATED)'!N2232,"";"")"),"#REF!")</f>
        <v>#REF!</v>
      </c>
      <c r="C2231" s="66" t="s">
        <v>9170</v>
      </c>
      <c r="D2231" s="66" t="s">
        <v>9529</v>
      </c>
      <c r="E2231" s="66" t="s">
        <v>11628</v>
      </c>
    </row>
    <row r="2232" ht="15.75" customHeight="1">
      <c r="A2232" s="66">
        <f>'Main dataset (DEPRECATED)'!Q2233</f>
        <v>663883</v>
      </c>
      <c r="B2232" s="66" t="str">
        <f>IFERROR(__xludf.DUMMYFUNCTION("SPLIT('Main dataset (DEPRECATED)'!N2233,"";"")"),"Schroeder, W.J.")</f>
        <v>Schroeder, W.J.</v>
      </c>
    </row>
    <row r="2233" ht="15.75" customHeight="1">
      <c r="A2233" s="66">
        <f>'Main dataset (DEPRECATED)'!Q2234</f>
        <v>663931</v>
      </c>
      <c r="B2233" s="66" t="str">
        <f>IFERROR(__xludf.DUMMYFUNCTION("SPLIT('Main dataset (DEPRECATED)'!N2234,"";"")"),"#REF!")</f>
        <v>#REF!</v>
      </c>
      <c r="C2233" s="66" t="s">
        <v>11474</v>
      </c>
    </row>
    <row r="2234" ht="15.75" customHeight="1">
      <c r="A2234" s="66">
        <f>'Main dataset (DEPRECATED)'!Q2235</f>
        <v>663880</v>
      </c>
      <c r="B2234" s="66" t="str">
        <f>IFERROR(__xludf.DUMMYFUNCTION("SPLIT('Main dataset (DEPRECATED)'!N2235,"";"")"),"#REF!")</f>
        <v>#REF!</v>
      </c>
      <c r="C2234" s="66" t="s">
        <v>10664</v>
      </c>
    </row>
    <row r="2235" ht="15.75" customHeight="1">
      <c r="A2235" s="66">
        <f>'Main dataset (DEPRECATED)'!Q2236</f>
        <v>663882</v>
      </c>
      <c r="B2235" s="66" t="str">
        <f>IFERROR(__xludf.DUMMYFUNCTION("SPLIT('Main dataset (DEPRECATED)'!N2236,"";"")"),"#REF!")</f>
        <v>#REF!</v>
      </c>
      <c r="C2235" s="66" t="s">
        <v>9529</v>
      </c>
      <c r="D2235" s="66" t="s">
        <v>9472</v>
      </c>
      <c r="E2235" s="66" t="s">
        <v>10549</v>
      </c>
      <c r="F2235" s="66" t="s">
        <v>7060</v>
      </c>
      <c r="G2235" s="66" t="s">
        <v>11628</v>
      </c>
    </row>
    <row r="2236" ht="15.75" customHeight="1">
      <c r="A2236" s="66">
        <f>'Main dataset (DEPRECATED)'!Q2237</f>
        <v>663917</v>
      </c>
      <c r="B2236" s="66" t="str">
        <f>IFERROR(__xludf.DUMMYFUNCTION("SPLIT('Main dataset (DEPRECATED)'!N2237,"";"")"),"#REF!")</f>
        <v>#REF!</v>
      </c>
      <c r="C2236" s="66" t="s">
        <v>11070</v>
      </c>
      <c r="D2236" s="66" t="s">
        <v>9596</v>
      </c>
    </row>
    <row r="2237" ht="15.75" customHeight="1">
      <c r="A2237" s="66">
        <f>'Main dataset (DEPRECATED)'!Q2238</f>
        <v>663888</v>
      </c>
      <c r="B2237" s="66" t="str">
        <f>IFERROR(__xludf.DUMMYFUNCTION("SPLIT('Main dataset (DEPRECATED)'!N2238,"";"")"),"#REF!")</f>
        <v>#REF!</v>
      </c>
      <c r="C2237" s="66" t="s">
        <v>7393</v>
      </c>
    </row>
    <row r="2238" ht="15.75" customHeight="1">
      <c r="A2238" s="66">
        <f>'Main dataset (DEPRECATED)'!Q2239</f>
        <v>663903</v>
      </c>
      <c r="B2238" s="66" t="str">
        <f>IFERROR(__xludf.DUMMYFUNCTION("SPLIT('Main dataset (DEPRECATED)'!N2239,"";"")"),"#REF!")</f>
        <v>#REF!</v>
      </c>
      <c r="C2238" s="66" t="s">
        <v>8944</v>
      </c>
    </row>
    <row r="2239" ht="15.75" customHeight="1">
      <c r="A2239" s="66">
        <f>'Main dataset (DEPRECATED)'!Q2240</f>
        <v>663856</v>
      </c>
      <c r="B2239" s="66" t="str">
        <f>IFERROR(__xludf.DUMMYFUNCTION("SPLIT('Main dataset (DEPRECATED)'!N2240,"";"")"),"#REF!")</f>
        <v>#REF!</v>
      </c>
      <c r="C2239" s="66" t="s">
        <v>7783</v>
      </c>
    </row>
    <row r="2240" ht="15.75" customHeight="1">
      <c r="A2240" s="66">
        <f>'Main dataset (DEPRECATED)'!Q2241</f>
        <v>663914</v>
      </c>
      <c r="B2240" s="66" t="str">
        <f>IFERROR(__xludf.DUMMYFUNCTION("SPLIT('Main dataset (DEPRECATED)'!N2241,"";"")"),"#REF!")</f>
        <v>#REF!</v>
      </c>
      <c r="C2240" s="66" t="s">
        <v>6453</v>
      </c>
    </row>
    <row r="2241" ht="15.75" customHeight="1">
      <c r="A2241" s="66">
        <f>'Main dataset (DEPRECATED)'!Q2242</f>
        <v>663865</v>
      </c>
      <c r="B2241" s="66" t="str">
        <f>IFERROR(__xludf.DUMMYFUNCTION("SPLIT('Main dataset (DEPRECATED)'!N2242,"";"")"),"#REF!")</f>
        <v>#REF!</v>
      </c>
      <c r="C2241" s="66" t="s">
        <v>9190</v>
      </c>
      <c r="D2241" s="66" t="s">
        <v>10008</v>
      </c>
    </row>
    <row r="2242" ht="15.75" customHeight="1">
      <c r="A2242" s="66">
        <f>'Main dataset (DEPRECATED)'!Q2243</f>
        <v>663928</v>
      </c>
      <c r="B2242" s="66" t="str">
        <f>IFERROR(__xludf.DUMMYFUNCTION("SPLIT('Main dataset (DEPRECATED)'!N2243,"";"")"),"#REF!")</f>
        <v>#REF!</v>
      </c>
      <c r="C2242" s="66" t="s">
        <v>7432</v>
      </c>
      <c r="D2242" s="66" t="s">
        <v>8238</v>
      </c>
    </row>
    <row r="2243" ht="15.75" customHeight="1">
      <c r="A2243" s="66">
        <f>'Main dataset (DEPRECATED)'!Q2244</f>
        <v>663922</v>
      </c>
      <c r="B2243" s="66" t="str">
        <f>IFERROR(__xludf.DUMMYFUNCTION("SPLIT('Main dataset (DEPRECATED)'!N2244,"";"")"),"#REF!")</f>
        <v>#REF!</v>
      </c>
      <c r="C2243" s="66" t="s">
        <v>8957</v>
      </c>
      <c r="D2243" s="66" t="s">
        <v>6207</v>
      </c>
    </row>
    <row r="2244" ht="15.75" customHeight="1">
      <c r="A2244" s="66">
        <f>'Main dataset (DEPRECATED)'!Q2245</f>
        <v>663919</v>
      </c>
      <c r="B2244" s="66" t="str">
        <f>IFERROR(__xludf.DUMMYFUNCTION("SPLIT('Main dataset (DEPRECATED)'!N2245,"";"")"),"#REF!")</f>
        <v>#REF!</v>
      </c>
      <c r="C2244" s="66" t="s">
        <v>9299</v>
      </c>
      <c r="D2244" s="66" t="s">
        <v>6587</v>
      </c>
      <c r="E2244" s="66" t="s">
        <v>10111</v>
      </c>
      <c r="F2244" s="66" t="s">
        <v>11502</v>
      </c>
    </row>
    <row r="2245" ht="15.75" customHeight="1">
      <c r="A2245" s="66">
        <f>'Main dataset (DEPRECATED)'!Q2246</f>
        <v>663896</v>
      </c>
      <c r="B2245" s="66" t="str">
        <f>IFERROR(__xludf.DUMMYFUNCTION("SPLIT('Main dataset (DEPRECATED)'!N2246,"";"")"),"Jaswa, V.")</f>
        <v>Jaswa, V.</v>
      </c>
    </row>
    <row r="2246" ht="15.75" customHeight="1">
      <c r="A2246" s="66">
        <f>'Main dataset (DEPRECATED)'!Q2247</f>
        <v>663921</v>
      </c>
      <c r="B2246" s="66" t="str">
        <f>IFERROR(__xludf.DUMMYFUNCTION("SPLIT('Main dataset (DEPRECATED)'!N2247,"";"")"),"#REF!")</f>
        <v>#REF!</v>
      </c>
      <c r="C2246" s="66" t="s">
        <v>9112</v>
      </c>
      <c r="D2246" s="66" t="s">
        <v>10411</v>
      </c>
    </row>
    <row r="2247" ht="15.75" customHeight="1">
      <c r="A2247" s="66">
        <f>'Main dataset (DEPRECATED)'!Q2248</f>
        <v>663890</v>
      </c>
      <c r="B2247" s="66" t="str">
        <f>IFERROR(__xludf.DUMMYFUNCTION("SPLIT('Main dataset (DEPRECATED)'!N2248,"";"")"),"#REF!")</f>
        <v>#REF!</v>
      </c>
      <c r="C2247" s="66" t="s">
        <v>11552</v>
      </c>
      <c r="D2247" s="66" t="s">
        <v>6666</v>
      </c>
    </row>
    <row r="2248" ht="15.75" customHeight="1">
      <c r="A2248" s="66">
        <f>'Main dataset (DEPRECATED)'!Q2249</f>
        <v>663851</v>
      </c>
      <c r="B2248" s="66" t="str">
        <f>IFERROR(__xludf.DUMMYFUNCTION("SPLIT('Main dataset (DEPRECATED)'!N2249,"";"")"),"#REF!")</f>
        <v>#REF!</v>
      </c>
      <c r="C2248" s="66" t="s">
        <v>8645</v>
      </c>
    </row>
    <row r="2249" ht="15.75" customHeight="1">
      <c r="A2249" s="66">
        <f>'Main dataset (DEPRECATED)'!Q2250</f>
        <v>663887</v>
      </c>
      <c r="B2249" s="66" t="str">
        <f>IFERROR(__xludf.DUMMYFUNCTION("SPLIT('Main dataset (DEPRECATED)'!N2250,"";"")"),"#REF!")</f>
        <v>#REF!</v>
      </c>
      <c r="C2249" s="66" t="s">
        <v>7601</v>
      </c>
    </row>
    <row r="2250" ht="15.75" customHeight="1">
      <c r="A2250" s="66">
        <f>'Main dataset (DEPRECATED)'!Q2251</f>
        <v>663876</v>
      </c>
      <c r="B2250" s="66" t="str">
        <f>IFERROR(__xludf.DUMMYFUNCTION("SPLIT('Main dataset (DEPRECATED)'!N2251,"";"")"),"#REF!")</f>
        <v>#REF!</v>
      </c>
      <c r="C2250" s="66" t="s">
        <v>11422</v>
      </c>
    </row>
    <row r="2251" ht="15.75" customHeight="1">
      <c r="A2251" s="66">
        <f>'Main dataset (DEPRECATED)'!Q2252</f>
        <v>663909</v>
      </c>
      <c r="B2251" s="66" t="str">
        <f>IFERROR(__xludf.DUMMYFUNCTION("SPLIT('Main dataset (DEPRECATED)'!N2252,"";"")"),"#REF!")</f>
        <v>#REF!</v>
      </c>
      <c r="C2251" s="66" t="s">
        <v>11213</v>
      </c>
    </row>
    <row r="2252" ht="15.75" customHeight="1">
      <c r="A2252" s="66">
        <f>'Main dataset (DEPRECATED)'!Q2253</f>
        <v>663926</v>
      </c>
      <c r="B2252" s="66" t="str">
        <f>IFERROR(__xludf.DUMMYFUNCTION("SPLIT('Main dataset (DEPRECATED)'!N2253,"";"")"),"#REF!")</f>
        <v>#REF!</v>
      </c>
      <c r="C2252" s="66" t="s">
        <v>10637</v>
      </c>
      <c r="D2252" s="66" t="s">
        <v>10690</v>
      </c>
      <c r="E2252" s="66" t="s">
        <v>10135</v>
      </c>
    </row>
    <row r="2253" ht="15.75" customHeight="1">
      <c r="A2253" s="66">
        <f>'Main dataset (DEPRECATED)'!Q2254</f>
        <v>663868</v>
      </c>
      <c r="B2253" s="66" t="str">
        <f>IFERROR(__xludf.DUMMYFUNCTION("SPLIT('Main dataset (DEPRECATED)'!N2254,"";"")"),"#REF!")</f>
        <v>#REF!</v>
      </c>
      <c r="C2253" s="66" t="s">
        <v>6978</v>
      </c>
      <c r="D2253" s="66" t="s">
        <v>9410</v>
      </c>
    </row>
    <row r="2254" ht="15.75" customHeight="1">
      <c r="A2254" s="66">
        <f>'Main dataset (DEPRECATED)'!Q2255</f>
        <v>663916</v>
      </c>
      <c r="B2254" s="66" t="str">
        <f>IFERROR(__xludf.DUMMYFUNCTION("SPLIT('Main dataset (DEPRECATED)'!N2255,"";"")"),"#REF!")</f>
        <v>#REF!</v>
      </c>
      <c r="C2254" s="66" t="s">
        <v>7884</v>
      </c>
      <c r="D2254" s="66" t="s">
        <v>9257</v>
      </c>
      <c r="E2254" s="66" t="s">
        <v>7900</v>
      </c>
      <c r="F2254" s="66" t="s">
        <v>10763</v>
      </c>
    </row>
    <row r="2255" ht="15.75" customHeight="1">
      <c r="A2255" s="66">
        <f>'Main dataset (DEPRECATED)'!Q2256</f>
        <v>663874</v>
      </c>
      <c r="B2255" s="66" t="str">
        <f>IFERROR(__xludf.DUMMYFUNCTION("SPLIT('Main dataset (DEPRECATED)'!N2256,"";"")"),"Rheingans, P.")</f>
        <v>Rheingans, P.</v>
      </c>
    </row>
    <row r="2256" ht="15.75" customHeight="1">
      <c r="A2256" s="66">
        <f>'Main dataset (DEPRECATED)'!Q2257</f>
        <v>663905</v>
      </c>
      <c r="B2256" s="66" t="str">
        <f>IFERROR(__xludf.DUMMYFUNCTION("SPLIT('Main dataset (DEPRECATED)'!N2257,"";"")"),"#REF!")</f>
        <v>#REF!</v>
      </c>
      <c r="C2256" s="66" t="s">
        <v>8240</v>
      </c>
      <c r="D2256" s="66" t="s">
        <v>11228</v>
      </c>
    </row>
    <row r="2257" ht="15.75" customHeight="1">
      <c r="A2257" s="66">
        <f>'Main dataset (DEPRECATED)'!Q2258</f>
        <v>663885</v>
      </c>
      <c r="B2257" s="66" t="str">
        <f>IFERROR(__xludf.DUMMYFUNCTION("SPLIT('Main dataset (DEPRECATED)'!N2258,"";"")"),"#REF!")</f>
        <v>#REF!</v>
      </c>
      <c r="C2257" s="66" t="s">
        <v>7060</v>
      </c>
    </row>
    <row r="2258" ht="15.75" customHeight="1">
      <c r="A2258" s="66">
        <f>'Main dataset (DEPRECATED)'!Q2259</f>
        <v>663894</v>
      </c>
      <c r="B2258" s="66" t="str">
        <f>IFERROR(__xludf.DUMMYFUNCTION("SPLIT('Main dataset (DEPRECATED)'!N2259,"";"")"),"#REF!")</f>
        <v>#REF!</v>
      </c>
      <c r="C2258" s="66" t="s">
        <v>8366</v>
      </c>
    </row>
    <row r="2259" ht="15.75" customHeight="1">
      <c r="A2259" s="66">
        <f>'Main dataset (DEPRECATED)'!Q2260</f>
        <v>663911</v>
      </c>
      <c r="B2259" s="66" t="str">
        <f>IFERROR(__xludf.DUMMYFUNCTION("SPLIT('Main dataset (DEPRECATED)'!N2260,"";"")"),"Uselton, S.")</f>
        <v>Uselton, S.</v>
      </c>
    </row>
    <row r="2260" ht="15.75" customHeight="1">
      <c r="A2260" s="66">
        <f>'Main dataset (DEPRECATED)'!Q2261</f>
        <v>663897</v>
      </c>
      <c r="B2260" s="66" t="str">
        <f>IFERROR(__xludf.DUMMYFUNCTION("SPLIT('Main dataset (DEPRECATED)'!N2261,"";"")"),"#REF!")</f>
        <v>#REF!</v>
      </c>
      <c r="C2260" s="66" t="s">
        <v>7887</v>
      </c>
    </row>
    <row r="2261" ht="15.75" customHeight="1">
      <c r="A2261" s="66">
        <f>'Main dataset (DEPRECATED)'!Q2262</f>
        <v>663889</v>
      </c>
      <c r="B2261" s="66" t="str">
        <f>IFERROR(__xludf.DUMMYFUNCTION("SPLIT('Main dataset (DEPRECATED)'!N2262,"";"")"),"#REF!")</f>
        <v>#REF!</v>
      </c>
      <c r="C2261" s="66" t="s">
        <v>10939</v>
      </c>
      <c r="D2261" s="66" t="s">
        <v>8344</v>
      </c>
      <c r="E2261" s="66" t="s">
        <v>9577</v>
      </c>
    </row>
    <row r="2262" ht="15.75" customHeight="1">
      <c r="A2262" s="66">
        <f>'Main dataset (DEPRECATED)'!Q2263</f>
        <v>663871</v>
      </c>
      <c r="B2262" s="66" t="str">
        <f>IFERROR(__xludf.DUMMYFUNCTION("SPLIT('Main dataset (DEPRECATED)'!N2263,"";"")"),"#REF!")</f>
        <v>#REF!</v>
      </c>
      <c r="C2262" s="66" t="s">
        <v>8569</v>
      </c>
      <c r="D2262" s="66" t="s">
        <v>10885</v>
      </c>
    </row>
    <row r="2263" ht="15.75" customHeight="1">
      <c r="A2263" s="66">
        <f>'Main dataset (DEPRECATED)'!Q2264</f>
        <v>663895</v>
      </c>
      <c r="B2263" s="66" t="str">
        <f>IFERROR(__xludf.DUMMYFUNCTION("SPLIT('Main dataset (DEPRECATED)'!N2264,"";"")"),"#REF!")</f>
        <v>#REF!</v>
      </c>
      <c r="C2263" s="66" t="s">
        <v>10621</v>
      </c>
    </row>
    <row r="2264" ht="15.75" customHeight="1">
      <c r="A2264" s="66">
        <f>'Main dataset (DEPRECATED)'!Q2265</f>
        <v>663892</v>
      </c>
      <c r="B2264" s="66" t="str">
        <f>IFERROR(__xludf.DUMMYFUNCTION("SPLIT('Main dataset (DEPRECATED)'!N2265,"";"")"),"#REF!")</f>
        <v>#REF!</v>
      </c>
      <c r="C2264" s="66" t="s">
        <v>9337</v>
      </c>
    </row>
    <row r="2265" ht="15.75" customHeight="1">
      <c r="A2265" s="66">
        <f>'Main dataset (DEPRECATED)'!Q2266</f>
        <v>663933</v>
      </c>
      <c r="B2265" s="66" t="str">
        <f>IFERROR(__xludf.DUMMYFUNCTION("SPLIT('Main dataset (DEPRECATED)'!N2266,"";"")"),"#REF!")</f>
        <v>#REF!</v>
      </c>
      <c r="C2265" s="66" t="s">
        <v>11483</v>
      </c>
      <c r="D2265" s="66" t="s">
        <v>10200</v>
      </c>
    </row>
    <row r="2266" ht="15.75" customHeight="1">
      <c r="A2266" s="66">
        <f>'Main dataset (DEPRECATED)'!Q2267</f>
        <v>663918</v>
      </c>
      <c r="B2266" s="66" t="str">
        <f>IFERROR(__xludf.DUMMYFUNCTION("SPLIT('Main dataset (DEPRECATED)'!N2267,"";"")"),"#REF!")</f>
        <v>#REF!</v>
      </c>
      <c r="C2266" s="66" t="s">
        <v>7567</v>
      </c>
      <c r="D2266" s="66" t="s">
        <v>11242</v>
      </c>
      <c r="E2266" s="66" t="s">
        <v>9421</v>
      </c>
    </row>
    <row r="2267" ht="15.75" customHeight="1">
      <c r="A2267" s="66">
        <f>'Main dataset (DEPRECATED)'!Q2268</f>
        <v>663900</v>
      </c>
      <c r="B2267" s="66" t="str">
        <f>IFERROR(__xludf.DUMMYFUNCTION("SPLIT('Main dataset (DEPRECATED)'!N2268,"";"")"),"#REF!")</f>
        <v>#REF!</v>
      </c>
      <c r="C2267" s="66" t="s">
        <v>6934</v>
      </c>
      <c r="D2267" s="66" t="s">
        <v>10963</v>
      </c>
      <c r="E2267" s="66" t="s">
        <v>9891</v>
      </c>
      <c r="F2267" s="66" t="s">
        <v>8645</v>
      </c>
    </row>
    <row r="2268" ht="15.75" customHeight="1">
      <c r="A2268" s="66">
        <f>'Main dataset (DEPRECATED)'!Q2269</f>
        <v>663927</v>
      </c>
      <c r="B2268" s="66" t="str">
        <f>IFERROR(__xludf.DUMMYFUNCTION("SPLIT('Main dataset (DEPRECATED)'!N2269,"";"")"),"#REF!")</f>
        <v>#REF!</v>
      </c>
      <c r="C2268" s="66" t="s">
        <v>10435</v>
      </c>
    </row>
    <row r="2269" ht="15.75" customHeight="1">
      <c r="A2269" s="66">
        <f>'Main dataset (DEPRECATED)'!Q2270</f>
        <v>663915</v>
      </c>
      <c r="B2269" s="66" t="str">
        <f>IFERROR(__xludf.DUMMYFUNCTION("SPLIT('Main dataset (DEPRECATED)'!N2270,"";"")"),"#REF!")</f>
        <v>#REF!</v>
      </c>
      <c r="C2269" s="66" t="s">
        <v>9047</v>
      </c>
      <c r="D2269" s="66" t="s">
        <v>11317</v>
      </c>
      <c r="E2269" s="66" t="s">
        <v>8575</v>
      </c>
      <c r="F2269" s="66" t="s">
        <v>8645</v>
      </c>
      <c r="G2269" s="66" t="s">
        <v>9551</v>
      </c>
      <c r="H2269" s="66" t="s">
        <v>11700</v>
      </c>
      <c r="I2269" s="66" t="s">
        <v>11349</v>
      </c>
      <c r="J2269" s="66" t="s">
        <v>11791</v>
      </c>
    </row>
    <row r="2270" ht="15.75" customHeight="1">
      <c r="A2270" s="66">
        <f>'Main dataset (DEPRECATED)'!Q2271</f>
        <v>663886</v>
      </c>
      <c r="B2270" s="66" t="str">
        <f>IFERROR(__xludf.DUMMYFUNCTION("SPLIT('Main dataset (DEPRECATED)'!N2271,"";"")"),"#REF!")</f>
        <v>#REF!</v>
      </c>
      <c r="C2270" s="66" t="s">
        <v>10885</v>
      </c>
    </row>
    <row r="2271" ht="15.75" customHeight="1">
      <c r="A2271" s="66">
        <f>'Main dataset (DEPRECATED)'!Q2272</f>
        <v>663930</v>
      </c>
      <c r="B2271" s="66" t="str">
        <f>IFERROR(__xludf.DUMMYFUNCTION("SPLIT('Main dataset (DEPRECATED)'!N2272,"";"")"),"#REF!")</f>
        <v>#REF!</v>
      </c>
      <c r="C2271" s="66" t="s">
        <v>6243</v>
      </c>
    </row>
    <row r="2272" ht="15.75" customHeight="1">
      <c r="A2272" s="66">
        <f>'Main dataset (DEPRECATED)'!Q2273</f>
        <v>663901</v>
      </c>
      <c r="B2272" s="66" t="str">
        <f>IFERROR(__xludf.DUMMYFUNCTION("SPLIT('Main dataset (DEPRECATED)'!N2273,"";"")"),"#REF!")</f>
        <v>#REF!</v>
      </c>
      <c r="C2272" s="66" t="s">
        <v>7896</v>
      </c>
      <c r="D2272" s="66" t="s">
        <v>11358</v>
      </c>
    </row>
    <row r="2273" ht="15.75" customHeight="1">
      <c r="A2273" s="66">
        <f>'Main dataset (DEPRECATED)'!Q2274</f>
        <v>663869</v>
      </c>
      <c r="B2273" s="66" t="str">
        <f>IFERROR(__xludf.DUMMYFUNCTION("SPLIT('Main dataset (DEPRECATED)'!N2274,"";"")"),"#REF!")</f>
        <v>#REF!</v>
      </c>
      <c r="C2273" s="66" t="s">
        <v>6849</v>
      </c>
      <c r="D2273" s="66" t="s">
        <v>8645</v>
      </c>
    </row>
    <row r="2274" ht="15.75" customHeight="1">
      <c r="A2274" s="66">
        <f>'Main dataset (DEPRECATED)'!Q2275</f>
        <v>663866</v>
      </c>
      <c r="B2274" s="66" t="str">
        <f>IFERROR(__xludf.DUMMYFUNCTION("SPLIT('Main dataset (DEPRECATED)'!N2275,"";"")"),"#REF!")</f>
        <v>#REF!</v>
      </c>
      <c r="C2274" s="66" t="s">
        <v>6453</v>
      </c>
    </row>
    <row r="2275" ht="15.75" customHeight="1">
      <c r="A2275" s="66">
        <f>'Main dataset (DEPRECATED)'!Q2276</f>
        <v>663902</v>
      </c>
      <c r="B2275" s="66" t="str">
        <f>IFERROR(__xludf.DUMMYFUNCTION("SPLIT('Main dataset (DEPRECATED)'!N2276,"";"")"),"Chow, M.M.")</f>
        <v>Chow, M.M.</v>
      </c>
    </row>
    <row r="2276" ht="15.75" customHeight="1">
      <c r="A2276" s="66">
        <f>'Main dataset (DEPRECATED)'!Q2277</f>
        <v>663923</v>
      </c>
      <c r="B2276" s="66" t="str">
        <f>IFERROR(__xludf.DUMMYFUNCTION("SPLIT('Main dataset (DEPRECATED)'!N2277,"";"")"),"#REF!")</f>
        <v>#REF!</v>
      </c>
      <c r="C2276" s="66" t="s">
        <v>8565</v>
      </c>
      <c r="D2276" s="66" t="s">
        <v>9708</v>
      </c>
      <c r="E2276" s="66" t="s">
        <v>9103</v>
      </c>
      <c r="F2276" s="66" t="s">
        <v>6885</v>
      </c>
      <c r="G2276" s="66" t="s">
        <v>6673</v>
      </c>
      <c r="H2276" s="66" t="s">
        <v>7467</v>
      </c>
      <c r="I2276" s="66" t="s">
        <v>9824</v>
      </c>
      <c r="J2276" s="66" t="s">
        <v>11019</v>
      </c>
      <c r="K2276" s="66" t="s">
        <v>7781</v>
      </c>
      <c r="L2276" s="66" t="s">
        <v>11341</v>
      </c>
      <c r="M2276" s="66" t="s">
        <v>10891</v>
      </c>
    </row>
    <row r="2277" ht="15.75" customHeight="1">
      <c r="A2277" s="66">
        <f>'Main dataset (DEPRECATED)'!Q2278</f>
        <v>663934</v>
      </c>
      <c r="B2277" s="66" t="str">
        <f>IFERROR(__xludf.DUMMYFUNCTION("SPLIT('Main dataset (DEPRECATED)'!N2278,"";"")"),"#REF!")</f>
        <v>#REF!</v>
      </c>
      <c r="C2277" s="66" t="s">
        <v>10135</v>
      </c>
      <c r="D2277" s="66" t="s">
        <v>11160</v>
      </c>
      <c r="E2277" s="66" t="s">
        <v>11344</v>
      </c>
    </row>
    <row r="2278" ht="15.75" customHeight="1">
      <c r="A2278" s="66">
        <f>'Main dataset (DEPRECATED)'!Q2279</f>
        <v>663859</v>
      </c>
      <c r="B2278" s="66" t="str">
        <f>IFERROR(__xludf.DUMMYFUNCTION("SPLIT('Main dataset (DEPRECATED)'!N2279,"";"")"),"#REF!")</f>
        <v>#REF!</v>
      </c>
      <c r="C2278" s="66" t="s">
        <v>9893</v>
      </c>
    </row>
    <row r="2279" ht="15.75" customHeight="1">
      <c r="A2279" s="66">
        <f>'Main dataset (DEPRECATED)'!Q2280</f>
        <v>663904</v>
      </c>
      <c r="B2279" s="66" t="str">
        <f>IFERROR(__xludf.DUMMYFUNCTION("SPLIT('Main dataset (DEPRECATED)'!N2280,"";"")"),"#REF!")</f>
        <v>#REF!</v>
      </c>
      <c r="C2279" s="66" t="s">
        <v>10858</v>
      </c>
    </row>
    <row r="2280" ht="15.75" customHeight="1">
      <c r="A2280" s="66">
        <f>'Main dataset (DEPRECATED)'!Q2281</f>
        <v>663860</v>
      </c>
      <c r="B2280" s="66" t="str">
        <f>IFERROR(__xludf.DUMMYFUNCTION("SPLIT('Main dataset (DEPRECATED)'!N2281,"";"")"),"#REF!")</f>
        <v>#REF!</v>
      </c>
      <c r="C2280" s="66" t="s">
        <v>11518</v>
      </c>
      <c r="D2280" s="66" t="s">
        <v>10614</v>
      </c>
      <c r="E2280" s="66" t="s">
        <v>9402</v>
      </c>
      <c r="F2280" s="66" t="s">
        <v>6194</v>
      </c>
      <c r="G2280" s="66" t="s">
        <v>9415</v>
      </c>
    </row>
    <row r="2281" ht="15.75" customHeight="1">
      <c r="A2281" s="66">
        <f>'Main dataset (DEPRECATED)'!Q2282</f>
        <v>663908</v>
      </c>
      <c r="B2281" s="66" t="str">
        <f>IFERROR(__xludf.DUMMYFUNCTION("SPLIT('Main dataset (DEPRECATED)'!N2282,"";"")"),"#REF!")</f>
        <v>#REF!</v>
      </c>
      <c r="C2281" s="66" t="s">
        <v>9222</v>
      </c>
      <c r="D2281" s="66" t="s">
        <v>9709</v>
      </c>
    </row>
    <row r="2282" ht="15.75" customHeight="1">
      <c r="A2282" s="66">
        <f>'Main dataset (DEPRECATED)'!Q2283</f>
        <v>663857</v>
      </c>
      <c r="B2282" s="66" t="str">
        <f>IFERROR(__xludf.DUMMYFUNCTION("SPLIT('Main dataset (DEPRECATED)'!N2283,"";"")"),"#REF!")</f>
        <v>#REF!</v>
      </c>
      <c r="C2282" s="66" t="s">
        <v>9023</v>
      </c>
      <c r="D2282" s="66" t="s">
        <v>8167</v>
      </c>
    </row>
    <row r="2283" ht="15.75" customHeight="1">
      <c r="A2283" s="66">
        <f>'Main dataset (DEPRECATED)'!Q2284</f>
        <v>663906</v>
      </c>
      <c r="B2283" s="66" t="str">
        <f>IFERROR(__xludf.DUMMYFUNCTION("SPLIT('Main dataset (DEPRECATED)'!N2284,"";"")"),"#REF!")</f>
        <v>#REF!</v>
      </c>
      <c r="C2283" s="66" t="s">
        <v>8023</v>
      </c>
      <c r="D2283" s="66" t="s">
        <v>8560</v>
      </c>
      <c r="E2283" s="66" t="s">
        <v>10457</v>
      </c>
      <c r="F2283" s="66" t="s">
        <v>11099</v>
      </c>
    </row>
    <row r="2284" ht="15.75" customHeight="1">
      <c r="A2284" s="66">
        <f>'Main dataset (DEPRECATED)'!Q2285</f>
        <v>663912</v>
      </c>
      <c r="B2284" s="66" t="str">
        <f>IFERROR(__xludf.DUMMYFUNCTION("SPLIT('Main dataset (DEPRECATED)'!N2285,"";"")"),"#REF!")</f>
        <v>#REF!</v>
      </c>
      <c r="C2284" s="66" t="s">
        <v>7893</v>
      </c>
    </row>
    <row r="2285" ht="15.75" customHeight="1">
      <c r="A2285" s="66">
        <f>'Main dataset (DEPRECATED)'!Q2286</f>
        <v>663932</v>
      </c>
      <c r="B2285" s="66" t="str">
        <f>IFERROR(__xludf.DUMMYFUNCTION("SPLIT('Main dataset (DEPRECATED)'!N2286,"";"")"),"#REF!")</f>
        <v>#REF!</v>
      </c>
      <c r="C2285" s="66" t="s">
        <v>7060</v>
      </c>
      <c r="D2285" s="66" t="s">
        <v>8023</v>
      </c>
      <c r="E2285" s="66" t="s">
        <v>8047</v>
      </c>
      <c r="F2285" s="66" t="s">
        <v>9402</v>
      </c>
    </row>
    <row r="2286" ht="15.75" customHeight="1">
      <c r="A2286" s="66">
        <f>'Main dataset (DEPRECATED)'!Q2287</f>
        <v>663875</v>
      </c>
      <c r="B2286" s="66" t="str">
        <f>IFERROR(__xludf.DUMMYFUNCTION("SPLIT('Main dataset (DEPRECATED)'!N2287,"";"")"),"#REF!")</f>
        <v>#REF!</v>
      </c>
      <c r="C2286" s="66" t="s">
        <v>9807</v>
      </c>
      <c r="D2286" s="66" t="s">
        <v>10401</v>
      </c>
    </row>
    <row r="2287" ht="15.75" customHeight="1">
      <c r="A2287" s="66">
        <f>'Main dataset (DEPRECATED)'!Q2288</f>
        <v>663899</v>
      </c>
      <c r="B2287" s="66" t="str">
        <f>IFERROR(__xludf.DUMMYFUNCTION("SPLIT('Main dataset (DEPRECATED)'!N2288,"";"")"),"#REF!")</f>
        <v>#REF!</v>
      </c>
      <c r="C2287" s="66" t="s">
        <v>8981</v>
      </c>
    </row>
    <row r="2288" ht="15.75" customHeight="1">
      <c r="A2288" s="66">
        <f>'Main dataset (DEPRECATED)'!Q2289</f>
        <v>663907</v>
      </c>
      <c r="B2288" s="66" t="str">
        <f>IFERROR(__xludf.DUMMYFUNCTION("SPLIT('Main dataset (DEPRECATED)'!N2289,"";"")"),"#REF!")</f>
        <v>#REF!</v>
      </c>
      <c r="C2288" s="66" t="s">
        <v>9159</v>
      </c>
      <c r="D2288" s="66" t="s">
        <v>7432</v>
      </c>
    </row>
    <row r="2289" ht="15.75" customHeight="1">
      <c r="A2289" s="66">
        <f>'Main dataset (DEPRECATED)'!Q2290</f>
        <v>663853</v>
      </c>
      <c r="B2289" s="66" t="str">
        <f>IFERROR(__xludf.DUMMYFUNCTION("SPLIT('Main dataset (DEPRECATED)'!N2290,"";"")"),"#REF!")</f>
        <v>#REF!</v>
      </c>
      <c r="C2289" s="66" t="s">
        <v>7432</v>
      </c>
    </row>
    <row r="2290" ht="15.75" customHeight="1">
      <c r="A2290" s="66">
        <f>'Main dataset (DEPRECATED)'!Q2291</f>
        <v>663913</v>
      </c>
      <c r="B2290" s="66" t="str">
        <f>IFERROR(__xludf.DUMMYFUNCTION("SPLIT('Main dataset (DEPRECATED)'!N2291,"";"")"),"Favre, J.M.")</f>
        <v>Favre, J.M.</v>
      </c>
    </row>
    <row r="2291" ht="15.75" customHeight="1">
      <c r="A2291" s="66">
        <f>'Main dataset (DEPRECATED)'!Q2292</f>
        <v>663878</v>
      </c>
      <c r="B2291" s="66" t="str">
        <f>IFERROR(__xludf.DUMMYFUNCTION("SPLIT('Main dataset (DEPRECATED)'!N2292,"";"")"),"#REF!")</f>
        <v>#REF!</v>
      </c>
      <c r="C2291" s="66" t="s">
        <v>8570</v>
      </c>
      <c r="D2291" s="66" t="s">
        <v>9628</v>
      </c>
      <c r="E2291" s="66" t="s">
        <v>9634</v>
      </c>
    </row>
    <row r="2292" ht="15.75" customHeight="1">
      <c r="A2292" s="66">
        <f>'Main dataset (DEPRECATED)'!Q2293</f>
        <v>663898</v>
      </c>
      <c r="B2292" s="66" t="str">
        <f>IFERROR(__xludf.DUMMYFUNCTION("SPLIT('Main dataset (DEPRECATED)'!N2293,"";"")"),"#REF!")</f>
        <v>#REF!</v>
      </c>
      <c r="C2292" s="66" t="s">
        <v>8620</v>
      </c>
    </row>
    <row r="2293" ht="15.75" customHeight="1">
      <c r="A2293" s="66">
        <f>'Main dataset (DEPRECATED)'!Q2294</f>
        <v>663924</v>
      </c>
      <c r="B2293" s="66" t="str">
        <f>IFERROR(__xludf.DUMMYFUNCTION("SPLIT('Main dataset (DEPRECATED)'!N2294,"";"")"),"Marti, J.")</f>
        <v>Marti, J.</v>
      </c>
    </row>
    <row r="2294" ht="15.75" customHeight="1">
      <c r="A2294" s="66">
        <f>'Main dataset (DEPRECATED)'!Q2295</f>
        <v>663893</v>
      </c>
      <c r="B2294" s="66" t="str">
        <f>IFERROR(__xludf.DUMMYFUNCTION("SPLIT('Main dataset (DEPRECATED)'!N2295,"";"")"),"#REF!")</f>
        <v>#REF!</v>
      </c>
      <c r="C2294" s="66" t="s">
        <v>9590</v>
      </c>
      <c r="D2294" s="66" t="s">
        <v>8612</v>
      </c>
    </row>
    <row r="2295" ht="15.75" customHeight="1">
      <c r="A2295" s="66">
        <f>'Main dataset (DEPRECATED)'!Q2296</f>
        <v>663920</v>
      </c>
      <c r="B2295" s="66" t="str">
        <f>IFERROR(__xludf.DUMMYFUNCTION("SPLIT('Main dataset (DEPRECATED)'!N2296,"";"")"),"#REF!")</f>
        <v>#REF!</v>
      </c>
      <c r="C2295" s="66" t="s">
        <v>10941</v>
      </c>
    </row>
    <row r="2296" ht="15.75" customHeight="1">
      <c r="A2296" s="66">
        <f>'Main dataset (DEPRECATED)'!Q2297</f>
        <v>663862</v>
      </c>
      <c r="B2296" s="66" t="str">
        <f>IFERROR(__xludf.DUMMYFUNCTION("SPLIT('Main dataset (DEPRECATED)'!N2297,"";"")"),"#REF!")</f>
        <v>#REF!</v>
      </c>
      <c r="C2296" s="66" t="s">
        <v>6317</v>
      </c>
    </row>
    <row r="2297" ht="15.75" customHeight="1">
      <c r="A2297" s="66">
        <f>'Main dataset (DEPRECATED)'!Q2298</f>
        <v>663858</v>
      </c>
      <c r="B2297" s="66" t="str">
        <f>IFERROR(__xludf.DUMMYFUNCTION("SPLIT('Main dataset (DEPRECATED)'!N2298,"";"")"),"#REF!")</f>
        <v>#REF!</v>
      </c>
      <c r="C2297" s="66" t="s">
        <v>7996</v>
      </c>
      <c r="D2297" s="66" t="s">
        <v>8869</v>
      </c>
      <c r="E2297" s="66" t="s">
        <v>9362</v>
      </c>
      <c r="F2297" s="66" t="s">
        <v>10193</v>
      </c>
    </row>
    <row r="2298" ht="15.75" customHeight="1">
      <c r="A2298" s="66">
        <f>'Main dataset (DEPRECATED)'!Q2299</f>
        <v>663863</v>
      </c>
      <c r="B2298" s="66" t="str">
        <f>IFERROR(__xludf.DUMMYFUNCTION("SPLIT('Main dataset (DEPRECATED)'!N2299,"";"")"),"#REF!")</f>
        <v>#REF!</v>
      </c>
      <c r="C2298" s="66" t="s">
        <v>7834</v>
      </c>
    </row>
    <row r="2299" ht="15.75" customHeight="1">
      <c r="A2299" s="66">
        <f>'Main dataset (DEPRECATED)'!Q2300</f>
        <v>663925</v>
      </c>
      <c r="B2299" s="66" t="str">
        <f>IFERROR(__xludf.DUMMYFUNCTION("SPLIT('Main dataset (DEPRECATED)'!N2300,"";"")"),"#REF!")</f>
        <v>#REF!</v>
      </c>
      <c r="C2299" s="66" t="s">
        <v>11615</v>
      </c>
      <c r="D2299" s="66" t="s">
        <v>11785</v>
      </c>
      <c r="E2299" s="66" t="s">
        <v>7640</v>
      </c>
      <c r="F2299" s="66" t="s">
        <v>7446</v>
      </c>
      <c r="G2299" s="66" t="s">
        <v>8377</v>
      </c>
    </row>
    <row r="2300" ht="15.75" customHeight="1">
      <c r="A2300" s="66">
        <f>'Main dataset (DEPRECATED)'!Q2301</f>
        <v>663929</v>
      </c>
      <c r="B2300" s="66" t="str">
        <f>IFERROR(__xludf.DUMMYFUNCTION("SPLIT('Main dataset (DEPRECATED)'!N2301,"";"")"),"Livingston, M.A.")</f>
        <v>Livingston, M.A.</v>
      </c>
    </row>
    <row r="2301" ht="15.75" customHeight="1">
      <c r="A2301" s="66">
        <f>'Main dataset (DEPRECATED)'!Q2302</f>
        <v>663867</v>
      </c>
      <c r="B2301" s="66" t="str">
        <f>IFERROR(__xludf.DUMMYFUNCTION("SPLIT('Main dataset (DEPRECATED)'!N2302,"";"")"),"#REF!")</f>
        <v>#REF!</v>
      </c>
      <c r="C2301" s="66" t="s">
        <v>9112</v>
      </c>
      <c r="D2301" s="66" t="s">
        <v>7887</v>
      </c>
    </row>
    <row r="2302" ht="15.75" customHeight="1">
      <c r="A2302" s="66">
        <f>'Main dataset (DEPRECATED)'!Q2303</f>
        <v>663891</v>
      </c>
      <c r="B2302" s="66" t="str">
        <f>IFERROR(__xludf.DUMMYFUNCTION("SPLIT('Main dataset (DEPRECATED)'!N2303,"";"")"),"#REF!")</f>
        <v>#REF!</v>
      </c>
      <c r="C2302" s="66" t="s">
        <v>6317</v>
      </c>
    </row>
    <row r="2303" ht="15.75" customHeight="1">
      <c r="A2303" s="66">
        <f>'Main dataset (DEPRECATED)'!Q2304</f>
        <v>663855</v>
      </c>
      <c r="B2303" s="66" t="str">
        <f>IFERROR(__xludf.DUMMYFUNCTION("SPLIT('Main dataset (DEPRECATED)'!N2304,"";"")"),"#REF!")</f>
        <v>#REF!</v>
      </c>
      <c r="C2303" s="66" t="s">
        <v>8107</v>
      </c>
      <c r="D2303" s="66" t="s">
        <v>7547</v>
      </c>
      <c r="E2303" s="66" t="s">
        <v>6762</v>
      </c>
    </row>
    <row r="2304" ht="15.75" customHeight="1">
      <c r="A2304" s="66">
        <f>'Main dataset (DEPRECATED)'!Q2305</f>
        <v>663910</v>
      </c>
      <c r="B2304" s="66" t="str">
        <f>IFERROR(__xludf.DUMMYFUNCTION("SPLIT('Main dataset (DEPRECATED)'!N2305,"";"")"),"#REF!")</f>
        <v>#REF!</v>
      </c>
      <c r="C2304" s="66" t="s">
        <v>8009</v>
      </c>
    </row>
    <row r="2305" ht="15.75" customHeight="1">
      <c r="A2305" s="66">
        <f>'Main dataset (DEPRECATED)'!Q2306</f>
        <v>663872</v>
      </c>
      <c r="B2305" s="66" t="str">
        <f>IFERROR(__xludf.DUMMYFUNCTION("SPLIT('Main dataset (DEPRECATED)'!N2306,"";"")"),"#REF!")</f>
        <v>#REF!</v>
      </c>
      <c r="C2305" s="66" t="s">
        <v>9170</v>
      </c>
      <c r="D2305" s="66" t="s">
        <v>7624</v>
      </c>
      <c r="E2305" s="66" t="s">
        <v>9495</v>
      </c>
    </row>
    <row r="2306" ht="15.75" customHeight="1">
      <c r="A2306" s="66">
        <f>'Main dataset (DEPRECATED)'!Q2307</f>
        <v>559223</v>
      </c>
      <c r="B2306" s="66" t="str">
        <f>IFERROR(__xludf.DUMMYFUNCTION("SPLIT('Main dataset (DEPRECATED)'!N2307,"";"")"),"#REF!")</f>
        <v>#REF!</v>
      </c>
      <c r="C2306" s="66" t="s">
        <v>11333</v>
      </c>
    </row>
    <row r="2307" ht="15.75" customHeight="1">
      <c r="A2307" s="66">
        <f>'Main dataset (DEPRECATED)'!Q2308</f>
        <v>559211</v>
      </c>
      <c r="B2307" s="66" t="str">
        <f>IFERROR(__xludf.DUMMYFUNCTION("SPLIT('Main dataset (DEPRECATED)'!N2308,"";"")"),"#REF!")</f>
        <v>#REF!</v>
      </c>
      <c r="C2307" s="66" t="s">
        <v>7493</v>
      </c>
    </row>
    <row r="2308" ht="15.75" customHeight="1">
      <c r="A2308" s="66">
        <f>'Main dataset (DEPRECATED)'!Q2309</f>
        <v>559228</v>
      </c>
      <c r="B2308" s="66" t="str">
        <f>IFERROR(__xludf.DUMMYFUNCTION("SPLIT('Main dataset (DEPRECATED)'!N2309,"";"")"),"#REF!")</f>
        <v>#REF!</v>
      </c>
      <c r="C2308" s="66" t="s">
        <v>8349</v>
      </c>
    </row>
    <row r="2309" ht="15.75" customHeight="1">
      <c r="A2309" s="66">
        <f>'Main dataset (DEPRECATED)'!Q2310</f>
        <v>559215</v>
      </c>
      <c r="B2309" s="66" t="str">
        <f>IFERROR(__xludf.DUMMYFUNCTION("SPLIT('Main dataset (DEPRECATED)'!N2310,"";"")"),"#REF!")</f>
        <v>#REF!</v>
      </c>
      <c r="C2309" s="66" t="s">
        <v>7047</v>
      </c>
      <c r="D2309" s="66" t="s">
        <v>7593</v>
      </c>
    </row>
    <row r="2310" ht="15.75" customHeight="1">
      <c r="A2310" s="66">
        <f>'Main dataset (DEPRECATED)'!Q2311</f>
        <v>559224</v>
      </c>
      <c r="B2310" s="66" t="str">
        <f>IFERROR(__xludf.DUMMYFUNCTION("SPLIT('Main dataset (DEPRECATED)'!N2311,"";"")"),"#REF!")</f>
        <v>#REF!</v>
      </c>
      <c r="C2310" s="66" t="s">
        <v>7056</v>
      </c>
      <c r="D2310" s="66" t="s">
        <v>6453</v>
      </c>
    </row>
    <row r="2311" ht="15.75" customHeight="1">
      <c r="A2311" s="66">
        <f>'Main dataset (DEPRECATED)'!Q2312</f>
        <v>559222</v>
      </c>
      <c r="B2311" s="66" t="str">
        <f>IFERROR(__xludf.DUMMYFUNCTION("SPLIT('Main dataset (DEPRECATED)'!N2312,"";"")"),"#REF!")</f>
        <v>#REF!</v>
      </c>
      <c r="C2311" s="66" t="s">
        <v>8645</v>
      </c>
    </row>
    <row r="2312" ht="15.75" customHeight="1">
      <c r="A2312" s="66">
        <f>'Main dataset (DEPRECATED)'!Q2313</f>
        <v>559225</v>
      </c>
      <c r="B2312" s="66" t="str">
        <f>IFERROR(__xludf.DUMMYFUNCTION("SPLIT('Main dataset (DEPRECATED)'!N2313,"";"")"),"#REF!")</f>
        <v>#REF!</v>
      </c>
      <c r="C2312" s="66" t="s">
        <v>10785</v>
      </c>
    </row>
    <row r="2313" ht="15.75" customHeight="1">
      <c r="A2313" s="66">
        <f>'Main dataset (DEPRECATED)'!Q2314</f>
        <v>559221</v>
      </c>
      <c r="B2313" s="66" t="str">
        <f>IFERROR(__xludf.DUMMYFUNCTION("SPLIT('Main dataset (DEPRECATED)'!N2314,"";"")"),"#REF!")</f>
        <v>#REF!</v>
      </c>
      <c r="C2313" s="66" t="s">
        <v>7980</v>
      </c>
    </row>
    <row r="2314" ht="15.75" customHeight="1">
      <c r="A2314" s="66">
        <f>'Main dataset (DEPRECATED)'!Q2315</f>
        <v>559220</v>
      </c>
      <c r="B2314" s="66" t="str">
        <f>IFERROR(__xludf.DUMMYFUNCTION("SPLIT('Main dataset (DEPRECATED)'!N2315,"";"")"),"#REF!")</f>
        <v>#REF!</v>
      </c>
      <c r="C2314" s="66" t="s">
        <v>10556</v>
      </c>
      <c r="D2314" s="66" t="s">
        <v>11853</v>
      </c>
      <c r="E2314" s="66" t="s">
        <v>9398</v>
      </c>
      <c r="F2314" s="66" t="s">
        <v>10177</v>
      </c>
    </row>
    <row r="2315" ht="15.75" customHeight="1">
      <c r="A2315" s="66">
        <f>'Main dataset (DEPRECATED)'!Q2316</f>
        <v>559213</v>
      </c>
      <c r="B2315" s="66" t="str">
        <f>IFERROR(__xludf.DUMMYFUNCTION("SPLIT('Main dataset (DEPRECATED)'!N2316,"";"")"),"#REF!")</f>
        <v>#REF!</v>
      </c>
      <c r="C2315" s="66" t="s">
        <v>10253</v>
      </c>
    </row>
    <row r="2316" ht="15.75" customHeight="1">
      <c r="A2316" s="66">
        <f>'Main dataset (DEPRECATED)'!Q2317</f>
        <v>559212</v>
      </c>
      <c r="B2316" s="66" t="str">
        <f>IFERROR(__xludf.DUMMYFUNCTION("SPLIT('Main dataset (DEPRECATED)'!N2317,"";"")"),"#REF!")</f>
        <v>#REF!</v>
      </c>
      <c r="C2316" s="66" t="s">
        <v>6795</v>
      </c>
    </row>
    <row r="2317" ht="15.75" customHeight="1">
      <c r="A2317" s="66">
        <f>'Main dataset (DEPRECATED)'!Q2318</f>
        <v>559216</v>
      </c>
      <c r="B2317" s="66" t="str">
        <f>IFERROR(__xludf.DUMMYFUNCTION("SPLIT('Main dataset (DEPRECATED)'!N2318,"";"")"),"Wills, G.J.")</f>
        <v>Wills, G.J.</v>
      </c>
    </row>
    <row r="2318" ht="15.75" customHeight="1">
      <c r="A2318" s="66">
        <f>'Main dataset (DEPRECATED)'!Q2319</f>
        <v>559214</v>
      </c>
      <c r="B2318" s="66" t="str">
        <f>IFERROR(__xludf.DUMMYFUNCTION("SPLIT('Main dataset (DEPRECATED)'!N2319,"";"")"),"#REF!")</f>
        <v>#REF!</v>
      </c>
      <c r="C2318" s="66" t="s">
        <v>10184</v>
      </c>
    </row>
    <row r="2319" ht="15.75" customHeight="1">
      <c r="A2319" s="66">
        <f>'Main dataset (DEPRECATED)'!Q2320</f>
        <v>559218</v>
      </c>
      <c r="B2319" s="66" t="str">
        <f>IFERROR(__xludf.DUMMYFUNCTION("SPLIT('Main dataset (DEPRECATED)'!N2320,"";"")"),"#REF!")</f>
        <v>#REF!</v>
      </c>
      <c r="C2319" s="66" t="s">
        <v>9900</v>
      </c>
      <c r="D2319" s="66" t="s">
        <v>11511</v>
      </c>
    </row>
    <row r="2320" ht="15.75" customHeight="1">
      <c r="A2320" s="66">
        <f>'Main dataset (DEPRECATED)'!Q2321</f>
        <v>559210</v>
      </c>
      <c r="B2320" s="66" t="str">
        <f>IFERROR(__xludf.DUMMYFUNCTION("SPLIT('Main dataset (DEPRECATED)'!N2321,"";"")"),"#REF!")</f>
        <v>#REF!</v>
      </c>
      <c r="C2320" s="66" t="s">
        <v>9144</v>
      </c>
      <c r="D2320" s="66" t="s">
        <v>10500</v>
      </c>
      <c r="E2320" s="66" t="s">
        <v>7805</v>
      </c>
      <c r="F2320" s="66" t="s">
        <v>6728</v>
      </c>
      <c r="G2320" s="66" t="s">
        <v>10844</v>
      </c>
      <c r="H2320" s="66" t="s">
        <v>8812</v>
      </c>
      <c r="I2320" s="66" t="s">
        <v>7341</v>
      </c>
    </row>
    <row r="2321" ht="15.75" customHeight="1">
      <c r="A2321" s="66">
        <f>'Main dataset (DEPRECATED)'!Q2322</f>
        <v>559229</v>
      </c>
      <c r="B2321" s="66" t="str">
        <f>IFERROR(__xludf.DUMMYFUNCTION("SPLIT('Main dataset (DEPRECATED)'!N2322,"";"")"),"#REF!")</f>
        <v>#REF!</v>
      </c>
      <c r="C2321" s="66" t="s">
        <v>6345</v>
      </c>
    </row>
    <row r="2322" ht="15.75" customHeight="1">
      <c r="A2322" s="66">
        <f>'Main dataset (DEPRECATED)'!Q2323</f>
        <v>559226</v>
      </c>
      <c r="B2322" s="66" t="str">
        <f>IFERROR(__xludf.DUMMYFUNCTION("SPLIT('Main dataset (DEPRECATED)'!N2323,"";"")"),"#REF!")</f>
        <v>#REF!</v>
      </c>
      <c r="C2322" s="66" t="s">
        <v>8217</v>
      </c>
      <c r="D2322" s="66" t="s">
        <v>6944</v>
      </c>
      <c r="E2322" s="66" t="s">
        <v>7511</v>
      </c>
    </row>
    <row r="2323" ht="15.75" customHeight="1">
      <c r="A2323" s="66">
        <f>'Main dataset (DEPRECATED)'!Q2324</f>
        <v>559219</v>
      </c>
      <c r="B2323" s="66" t="str">
        <f>IFERROR(__xludf.DUMMYFUNCTION("SPLIT('Main dataset (DEPRECATED)'!N2324,"";"")"),"#REF!")</f>
        <v>#REF!</v>
      </c>
      <c r="C2323" s="66" t="s">
        <v>8194</v>
      </c>
      <c r="D2323" s="66" t="s">
        <v>8062</v>
      </c>
    </row>
    <row r="2324" ht="15.75" customHeight="1">
      <c r="A2324" s="66">
        <f>'Main dataset (DEPRECATED)'!Q2325</f>
        <v>559227</v>
      </c>
      <c r="B2324" s="66" t="str">
        <f>IFERROR(__xludf.DUMMYFUNCTION("SPLIT('Main dataset (DEPRECATED)'!N2325,"";"")"),"#REF!")</f>
        <v>#REF!</v>
      </c>
      <c r="C2324" s="66" t="s">
        <v>6311</v>
      </c>
      <c r="D2324" s="66" t="s">
        <v>7968</v>
      </c>
    </row>
    <row r="2325" ht="15.75" customHeight="1">
      <c r="A2325" s="66">
        <f>'Main dataset (DEPRECATED)'!Q2326</f>
        <v>568143</v>
      </c>
      <c r="B2325" s="66" t="str">
        <f>IFERROR(__xludf.DUMMYFUNCTION("SPLIT('Main dataset (DEPRECATED)'!N2326,"";"")"),"#REF!")</f>
        <v>#REF!</v>
      </c>
      <c r="C2325" s="66" t="s">
        <v>10092</v>
      </c>
      <c r="D2325" s="66" t="s">
        <v>7089</v>
      </c>
      <c r="E2325" s="66" t="s">
        <v>11628</v>
      </c>
      <c r="F2325" s="66" t="s">
        <v>9406</v>
      </c>
      <c r="G2325" s="66" t="s">
        <v>8735</v>
      </c>
    </row>
    <row r="2326" ht="15.75" customHeight="1">
      <c r="A2326" s="66">
        <f>'Main dataset (DEPRECATED)'!Q2327</f>
        <v>567598</v>
      </c>
      <c r="B2326" s="66" t="str">
        <f>IFERROR(__xludf.DUMMYFUNCTION("SPLIT('Main dataset (DEPRECATED)'!N2327,"";"")"),"#REF!")</f>
        <v>#REF!</v>
      </c>
      <c r="C2326" s="66" t="s">
        <v>9213</v>
      </c>
    </row>
    <row r="2327" ht="15.75" customHeight="1">
      <c r="A2327" s="66">
        <f>'Main dataset (DEPRECATED)'!Q2328</f>
        <v>568108</v>
      </c>
      <c r="B2327" s="66" t="str">
        <f>IFERROR(__xludf.DUMMYFUNCTION("SPLIT('Main dataset (DEPRECATED)'!N2328,"";"")"),"#REF!")</f>
        <v>#REF!</v>
      </c>
      <c r="C2327" s="66" t="s">
        <v>10696</v>
      </c>
    </row>
    <row r="2328" ht="15.75" customHeight="1">
      <c r="A2328" s="66">
        <f>'Main dataset (DEPRECATED)'!Q2329</f>
        <v>567787</v>
      </c>
      <c r="B2328" s="66" t="str">
        <f>IFERROR(__xludf.DUMMYFUNCTION("SPLIT('Main dataset (DEPRECATED)'!N2329,"";"")"),"Chalmers, M.")</f>
        <v>Chalmers, M.</v>
      </c>
    </row>
    <row r="2329" ht="15.75" customHeight="1">
      <c r="A2329" s="66">
        <f>'Main dataset (DEPRECATED)'!Q2330</f>
        <v>568141</v>
      </c>
      <c r="B2329" s="66" t="str">
        <f>IFERROR(__xludf.DUMMYFUNCTION("SPLIT('Main dataset (DEPRECATED)'!N2330,"";"")"),"#REF!")</f>
        <v>#REF!</v>
      </c>
      <c r="C2329" s="66" t="s">
        <v>10300</v>
      </c>
      <c r="D2329" s="66" t="s">
        <v>6534</v>
      </c>
      <c r="E2329" s="66" t="s">
        <v>11216</v>
      </c>
    </row>
    <row r="2330" ht="15.75" customHeight="1">
      <c r="A2330" s="66">
        <f>'Main dataset (DEPRECATED)'!Q2331</f>
        <v>568129</v>
      </c>
      <c r="B2330" s="66" t="str">
        <f>IFERROR(__xludf.DUMMYFUNCTION("SPLIT('Main dataset (DEPRECATED)'!N2331,"";"")"),"#REF!")</f>
        <v>#REF!</v>
      </c>
      <c r="C2330" s="66" t="s">
        <v>11297</v>
      </c>
    </row>
    <row r="2331" ht="15.75" customHeight="1">
      <c r="A2331" s="66">
        <f>'Main dataset (DEPRECATED)'!Q2332</f>
        <v>568142</v>
      </c>
      <c r="B2331" s="66" t="str">
        <f>IFERROR(__xludf.DUMMYFUNCTION("SPLIT('Main dataset (DEPRECATED)'!N2332,"";"")"),"#REF!")</f>
        <v>#REF!</v>
      </c>
      <c r="C2331" s="66" t="s">
        <v>10092</v>
      </c>
      <c r="D2331" s="66" t="s">
        <v>7089</v>
      </c>
      <c r="E2331" s="66" t="s">
        <v>11628</v>
      </c>
      <c r="F2331" s="66" t="s">
        <v>9406</v>
      </c>
      <c r="G2331" s="66" t="s">
        <v>8735</v>
      </c>
    </row>
    <row r="2332" ht="15.75" customHeight="1">
      <c r="A2332" s="66">
        <f>'Main dataset (DEPRECATED)'!Q2333</f>
        <v>567595</v>
      </c>
      <c r="B2332" s="66" t="str">
        <f>IFERROR(__xludf.DUMMYFUNCTION("SPLIT('Main dataset (DEPRECATED)'!N2333,"";"")"),"#REF!")</f>
        <v>#REF!</v>
      </c>
      <c r="C2332" s="66" t="s">
        <v>7768</v>
      </c>
      <c r="D2332" s="66" t="s">
        <v>9890</v>
      </c>
      <c r="E2332" s="66" t="s">
        <v>7765</v>
      </c>
    </row>
    <row r="2333" ht="15.75" customHeight="1">
      <c r="A2333" s="66">
        <f>'Main dataset (DEPRECATED)'!Q2334</f>
        <v>567602</v>
      </c>
      <c r="B2333" s="66" t="str">
        <f>IFERROR(__xludf.DUMMYFUNCTION("SPLIT('Main dataset (DEPRECATED)'!N2334,"";"")"),"#REF!")</f>
        <v>#REF!</v>
      </c>
      <c r="C2333" s="66" t="s">
        <v>7998</v>
      </c>
      <c r="D2333" s="66" t="s">
        <v>9640</v>
      </c>
    </row>
    <row r="2334" ht="15.75" customHeight="1">
      <c r="A2334" s="66">
        <f>'Main dataset (DEPRECATED)'!Q2335</f>
        <v>569203</v>
      </c>
      <c r="B2334" s="66" t="str">
        <f>IFERROR(__xludf.DUMMYFUNCTION("SPLIT('Main dataset (DEPRECATED)'!N2335,"";"")"),"#REF!")</f>
        <v>#REF!</v>
      </c>
      <c r="C2334" s="66" t="s">
        <v>7732</v>
      </c>
      <c r="D2334" s="66" t="s">
        <v>6620</v>
      </c>
      <c r="E2334" s="66" t="s">
        <v>7592</v>
      </c>
      <c r="F2334" s="66" t="s">
        <v>7776</v>
      </c>
      <c r="G2334" s="66" t="s">
        <v>9473</v>
      </c>
      <c r="H2334" s="66" t="s">
        <v>10227</v>
      </c>
    </row>
    <row r="2335" ht="15.75" customHeight="1">
      <c r="A2335" s="66">
        <f>'Main dataset (DEPRECATED)'!Q2336</f>
        <v>568144</v>
      </c>
      <c r="B2335" s="66" t="str">
        <f>IFERROR(__xludf.DUMMYFUNCTION("SPLIT('Main dataset (DEPRECATED)'!N2336,"";"")"),"#REF!")</f>
        <v>#REF!</v>
      </c>
      <c r="C2335" s="66" t="s">
        <v>6712</v>
      </c>
      <c r="D2335" s="66" t="s">
        <v>9100</v>
      </c>
    </row>
    <row r="2336" ht="15.75" customHeight="1">
      <c r="A2336" s="66">
        <f>'Main dataset (DEPRECATED)'!Q2337</f>
        <v>568148</v>
      </c>
      <c r="B2336" s="66" t="str">
        <f>IFERROR(__xludf.DUMMYFUNCTION("SPLIT('Main dataset (DEPRECATED)'!N2337,"";"")"),"#REF!")</f>
        <v>#REF!</v>
      </c>
      <c r="C2336" s="66" t="s">
        <v>7464</v>
      </c>
      <c r="D2336" s="66" t="s">
        <v>7047</v>
      </c>
      <c r="E2336" s="66" t="s">
        <v>7465</v>
      </c>
      <c r="F2336" s="66" t="s">
        <v>7593</v>
      </c>
    </row>
    <row r="2337" ht="15.75" customHeight="1">
      <c r="A2337" s="66">
        <f>'Main dataset (DEPRECATED)'!Q2338</f>
        <v>568136</v>
      </c>
      <c r="B2337" s="66" t="str">
        <f>IFERROR(__xludf.DUMMYFUNCTION("SPLIT('Main dataset (DEPRECATED)'!N2338,"";"")"),"#REF!")</f>
        <v>#REF!</v>
      </c>
      <c r="C2337" s="66" t="s">
        <v>11239</v>
      </c>
      <c r="D2337" s="66" t="s">
        <v>9933</v>
      </c>
    </row>
    <row r="2338" ht="15.75" customHeight="1">
      <c r="A2338" s="66">
        <f>'Main dataset (DEPRECATED)'!Q2339</f>
        <v>567745</v>
      </c>
      <c r="B2338" s="66" t="str">
        <f>IFERROR(__xludf.DUMMYFUNCTION("SPLIT('Main dataset (DEPRECATED)'!N2339,"";"")"),"#REF!")</f>
        <v>#REF!</v>
      </c>
      <c r="C2338" s="66" t="s">
        <v>9782</v>
      </c>
      <c r="D2338" s="66" t="s">
        <v>11283</v>
      </c>
    </row>
    <row r="2339" ht="15.75" customHeight="1">
      <c r="A2339" s="66">
        <f>'Main dataset (DEPRECATED)'!Q2340</f>
        <v>568118</v>
      </c>
      <c r="B2339" s="66" t="str">
        <f>IFERROR(__xludf.DUMMYFUNCTION("SPLIT('Main dataset (DEPRECATED)'!N2340,"";"")"),"Healey, C.")</f>
        <v>Healey, C.</v>
      </c>
    </row>
    <row r="2340" ht="15.75" customHeight="1">
      <c r="A2340" s="66">
        <f>'Main dataset (DEPRECATED)'!Q2341</f>
        <v>568134</v>
      </c>
      <c r="B2340" s="66" t="str">
        <f>IFERROR(__xludf.DUMMYFUNCTION("SPLIT('Main dataset (DEPRECATED)'!N2341,"";"")"),"#REF!")</f>
        <v>#REF!</v>
      </c>
      <c r="C2340" s="66" t="s">
        <v>11194</v>
      </c>
      <c r="D2340" s="66" t="s">
        <v>6895</v>
      </c>
      <c r="E2340" s="66" t="s">
        <v>6708</v>
      </c>
      <c r="F2340" s="66" t="s">
        <v>9718</v>
      </c>
      <c r="G2340" s="66" t="s">
        <v>9973</v>
      </c>
    </row>
    <row r="2341" ht="15.75" customHeight="1">
      <c r="A2341" s="66">
        <f>'Main dataset (DEPRECATED)'!Q2342</f>
        <v>568103</v>
      </c>
      <c r="B2341" s="66" t="str">
        <f>IFERROR(__xludf.DUMMYFUNCTION("SPLIT('Main dataset (DEPRECATED)'!N2342,"";"")"),"#REF!")</f>
        <v>#REF!</v>
      </c>
      <c r="C2341" s="66" t="s">
        <v>6345</v>
      </c>
    </row>
    <row r="2342" ht="15.75" customHeight="1">
      <c r="A2342" s="66">
        <f>'Main dataset (DEPRECATED)'!Q2343</f>
        <v>567812</v>
      </c>
      <c r="B2342" s="66" t="str">
        <f>IFERROR(__xludf.DUMMYFUNCTION("SPLIT('Main dataset (DEPRECATED)'!N2343,"";"")"),"#REF!")</f>
        <v>#REF!</v>
      </c>
      <c r="C2342" s="66" t="s">
        <v>9015</v>
      </c>
      <c r="D2342" s="66" t="s">
        <v>10701</v>
      </c>
    </row>
    <row r="2343" ht="15.75" customHeight="1">
      <c r="A2343" s="66">
        <f>'Main dataset (DEPRECATED)'!Q2344</f>
        <v>568140</v>
      </c>
      <c r="B2343" s="66" t="str">
        <f>IFERROR(__xludf.DUMMYFUNCTION("SPLIT('Main dataset (DEPRECATED)'!N2344,"";"")"),"#REF!")</f>
        <v>#REF!</v>
      </c>
      <c r="C2343" s="66" t="s">
        <v>9751</v>
      </c>
    </row>
    <row r="2344" ht="15.75" customHeight="1">
      <c r="A2344" s="66">
        <f>'Main dataset (DEPRECATED)'!Q2345</f>
        <v>568147</v>
      </c>
      <c r="B2344" s="66" t="str">
        <f>IFERROR(__xludf.DUMMYFUNCTION("SPLIT('Main dataset (DEPRECATED)'!N2345,"";"")"),"#REF!")</f>
        <v>#REF!</v>
      </c>
      <c r="C2344" s="66" t="s">
        <v>8023</v>
      </c>
      <c r="D2344" s="66" t="s">
        <v>9936</v>
      </c>
      <c r="E2344" s="66" t="s">
        <v>9495</v>
      </c>
      <c r="F2344" s="66" t="s">
        <v>6360</v>
      </c>
    </row>
    <row r="2345" ht="15.75" customHeight="1">
      <c r="A2345" s="66">
        <f>'Main dataset (DEPRECATED)'!Q2346</f>
        <v>567609</v>
      </c>
      <c r="B2345" s="66" t="str">
        <f>IFERROR(__xludf.DUMMYFUNCTION("SPLIT('Main dataset (DEPRECATED)'!N2346,"";"")"),"#REF!")</f>
        <v>#REF!</v>
      </c>
      <c r="C2345" s="66" t="s">
        <v>10854</v>
      </c>
      <c r="D2345" s="66" t="s">
        <v>10750</v>
      </c>
      <c r="E2345" s="66" t="s">
        <v>10052</v>
      </c>
    </row>
    <row r="2346" ht="15.75" customHeight="1">
      <c r="A2346" s="66">
        <f>'Main dataset (DEPRECATED)'!Q2347</f>
        <v>568139</v>
      </c>
      <c r="B2346" s="66" t="str">
        <f>IFERROR(__xludf.DUMMYFUNCTION("SPLIT('Main dataset (DEPRECATED)'!N2347,"";"")"),"#REF!")</f>
        <v>#REF!</v>
      </c>
      <c r="C2346" s="66" t="s">
        <v>9772</v>
      </c>
    </row>
    <row r="2347" ht="15.75" customHeight="1">
      <c r="A2347" s="66">
        <f>'Main dataset (DEPRECATED)'!Q2348</f>
        <v>568126</v>
      </c>
      <c r="B2347" s="66" t="str">
        <f>IFERROR(__xludf.DUMMYFUNCTION("SPLIT('Main dataset (DEPRECATED)'!N2348,"";"")"),"#REF!")</f>
        <v>#REF!</v>
      </c>
      <c r="C2347" s="66" t="s">
        <v>11213</v>
      </c>
    </row>
    <row r="2348" ht="15.75" customHeight="1">
      <c r="A2348" s="66">
        <f>'Main dataset (DEPRECATED)'!Q2349</f>
        <v>568135</v>
      </c>
      <c r="B2348" s="66" t="str">
        <f>IFERROR(__xludf.DUMMYFUNCTION("SPLIT('Main dataset (DEPRECATED)'!N2349,"";"")"),"#REF!")</f>
        <v>#REF!</v>
      </c>
      <c r="C2348" s="66" t="s">
        <v>9302</v>
      </c>
      <c r="D2348" s="66" t="s">
        <v>8963</v>
      </c>
      <c r="E2348" s="66" t="s">
        <v>7647</v>
      </c>
      <c r="F2348" s="66" t="s">
        <v>7674</v>
      </c>
    </row>
    <row r="2349" ht="15.75" customHeight="1">
      <c r="A2349" s="66">
        <f>'Main dataset (DEPRECATED)'!Q2350</f>
        <v>567608</v>
      </c>
      <c r="B2349" s="66" t="str">
        <f>IFERROR(__xludf.DUMMYFUNCTION("SPLIT('Main dataset (DEPRECATED)'!N2350,"";"")"),"#REF!")</f>
        <v>#REF!</v>
      </c>
      <c r="C2349" s="66" t="s">
        <v>11628</v>
      </c>
    </row>
    <row r="2350" ht="15.75" customHeight="1">
      <c r="A2350" s="66">
        <f>'Main dataset (DEPRECATED)'!Q2351</f>
        <v>567603</v>
      </c>
      <c r="B2350" s="66" t="str">
        <f>IFERROR(__xludf.DUMMYFUNCTION("SPLIT('Main dataset (DEPRECATED)'!N2351,"";"")"),"#REF!")</f>
        <v>#REF!</v>
      </c>
      <c r="C2350" s="66" t="s">
        <v>8645</v>
      </c>
    </row>
    <row r="2351" ht="15.75" customHeight="1">
      <c r="A2351" s="66">
        <f>'Main dataset (DEPRECATED)'!Q2352</f>
        <v>568115</v>
      </c>
      <c r="B2351" s="66" t="str">
        <f>IFERROR(__xludf.DUMMYFUNCTION("SPLIT('Main dataset (DEPRECATED)'!N2352,"";"")"),"#REF!")</f>
        <v>#REF!</v>
      </c>
      <c r="C2351" s="66" t="s">
        <v>8682</v>
      </c>
      <c r="D2351" s="66" t="s">
        <v>7717</v>
      </c>
    </row>
    <row r="2352" ht="15.75" customHeight="1">
      <c r="A2352" s="66">
        <f>'Main dataset (DEPRECATED)'!Q2353</f>
        <v>567796</v>
      </c>
      <c r="B2352" s="66" t="str">
        <f>IFERROR(__xludf.DUMMYFUNCTION("SPLIT('Main dataset (DEPRECATED)'!N2353,"";"")"),"#REF!")</f>
        <v>#REF!</v>
      </c>
      <c r="C2352" s="66" t="s">
        <v>10154</v>
      </c>
      <c r="D2352" s="66" t="s">
        <v>10598</v>
      </c>
      <c r="E2352" s="66" t="s">
        <v>6781</v>
      </c>
      <c r="F2352" s="66" t="s">
        <v>10127</v>
      </c>
      <c r="G2352" s="66" t="s">
        <v>6371</v>
      </c>
    </row>
    <row r="2353" ht="15.75" customHeight="1">
      <c r="A2353" s="66">
        <f>'Main dataset (DEPRECATED)'!Q2354</f>
        <v>568137</v>
      </c>
      <c r="B2353" s="66" t="str">
        <f>IFERROR(__xludf.DUMMYFUNCTION("SPLIT('Main dataset (DEPRECATED)'!N2354,"";"")"),"#REF!")</f>
        <v>#REF!</v>
      </c>
      <c r="C2353" s="66" t="s">
        <v>9842</v>
      </c>
    </row>
    <row r="2354" ht="15.75" customHeight="1">
      <c r="A2354" s="66">
        <f>'Main dataset (DEPRECATED)'!Q2355</f>
        <v>568112</v>
      </c>
      <c r="B2354" s="66" t="str">
        <f>IFERROR(__xludf.DUMMYFUNCTION("SPLIT('Main dataset (DEPRECATED)'!N2355,"";"")"),"#REF!")</f>
        <v>#REF!</v>
      </c>
      <c r="C2354" s="66" t="s">
        <v>8243</v>
      </c>
      <c r="D2354" s="66" t="s">
        <v>8645</v>
      </c>
      <c r="E2354" s="66" t="s">
        <v>9891</v>
      </c>
    </row>
    <row r="2355" ht="15.75" customHeight="1">
      <c r="A2355" s="66">
        <f>'Main dataset (DEPRECATED)'!Q2356</f>
        <v>567606</v>
      </c>
      <c r="B2355" s="66" t="str">
        <f>IFERROR(__xludf.DUMMYFUNCTION("SPLIT('Main dataset (DEPRECATED)'!N2356,"";"")"),"#REF!")</f>
        <v>#REF!</v>
      </c>
      <c r="C2355" s="66" t="s">
        <v>11187</v>
      </c>
      <c r="D2355" s="66" t="s">
        <v>10964</v>
      </c>
      <c r="E2355" s="66" t="s">
        <v>7748</v>
      </c>
    </row>
    <row r="2356" ht="15.75" customHeight="1">
      <c r="A2356" s="66">
        <f>'Main dataset (DEPRECATED)'!Q2357</f>
        <v>567804</v>
      </c>
      <c r="B2356" s="66" t="str">
        <f>IFERROR(__xludf.DUMMYFUNCTION("SPLIT('Main dataset (DEPRECATED)'!N2357,"";"")"),"#REF!")</f>
        <v>#REF!</v>
      </c>
      <c r="C2356" s="66" t="s">
        <v>10545</v>
      </c>
      <c r="D2356" s="66" t="s">
        <v>10941</v>
      </c>
    </row>
    <row r="2357" ht="15.75" customHeight="1">
      <c r="A2357" s="66">
        <f>'Main dataset (DEPRECATED)'!Q2358</f>
        <v>568110</v>
      </c>
      <c r="B2357" s="66" t="str">
        <f>IFERROR(__xludf.DUMMYFUNCTION("SPLIT('Main dataset (DEPRECATED)'!N2358,"";"")"),"#REF!")</f>
        <v>#REF!</v>
      </c>
      <c r="C2357" s="66" t="s">
        <v>7625</v>
      </c>
      <c r="D2357" s="66" t="s">
        <v>9928</v>
      </c>
    </row>
    <row r="2358" ht="15.75" customHeight="1">
      <c r="A2358" s="66">
        <f>'Main dataset (DEPRECATED)'!Q2359</f>
        <v>568163</v>
      </c>
      <c r="B2358" s="66" t="str">
        <f>IFERROR(__xludf.DUMMYFUNCTION("SPLIT('Main dataset (DEPRECATED)'!N2359,"";"")"),"#REF!")</f>
        <v>#REF!</v>
      </c>
      <c r="C2358" s="66" t="s">
        <v>9899</v>
      </c>
      <c r="D2358" s="66" t="s">
        <v>11483</v>
      </c>
    </row>
    <row r="2359" ht="15.75" customHeight="1">
      <c r="A2359" s="66">
        <f>'Main dataset (DEPRECATED)'!Q2360</f>
        <v>568150</v>
      </c>
      <c r="B2359" s="66" t="str">
        <f>IFERROR(__xludf.DUMMYFUNCTION("SPLIT('Main dataset (DEPRECATED)'!N2360,"";"")"),"#REF!")</f>
        <v>#REF!</v>
      </c>
      <c r="C2359" s="66" t="s">
        <v>10737</v>
      </c>
      <c r="D2359" s="66" t="s">
        <v>8772</v>
      </c>
      <c r="E2359" s="66" t="s">
        <v>10532</v>
      </c>
    </row>
    <row r="2360" ht="15.75" customHeight="1">
      <c r="A2360" s="66">
        <f>'Main dataset (DEPRECATED)'!Q2361</f>
        <v>567777</v>
      </c>
      <c r="B2360" s="66" t="str">
        <f>IFERROR(__xludf.DUMMYFUNCTION("SPLIT('Main dataset (DEPRECATED)'!N2361,"";"")"),"#REF!")</f>
        <v>#REF!</v>
      </c>
      <c r="C2360" s="66" t="s">
        <v>10758</v>
      </c>
      <c r="D2360" s="66" t="s">
        <v>8114</v>
      </c>
    </row>
    <row r="2361" ht="15.75" customHeight="1">
      <c r="A2361" s="66">
        <f>'Main dataset (DEPRECATED)'!Q2362</f>
        <v>568149</v>
      </c>
      <c r="B2361" s="66" t="str">
        <f>IFERROR(__xludf.DUMMYFUNCTION("SPLIT('Main dataset (DEPRECATED)'!N2362,"";"")"),"#REF!")</f>
        <v>#REF!</v>
      </c>
      <c r="C2361" s="66" t="s">
        <v>9495</v>
      </c>
      <c r="D2361" s="66" t="s">
        <v>7662</v>
      </c>
      <c r="E2361" s="66" t="s">
        <v>6289</v>
      </c>
      <c r="F2361" s="66" t="s">
        <v>11240</v>
      </c>
      <c r="G2361" s="66" t="s">
        <v>7041</v>
      </c>
      <c r="H2361" s="66" t="s">
        <v>7591</v>
      </c>
      <c r="I2361" s="66" t="s">
        <v>7561</v>
      </c>
      <c r="J2361" s="66" t="s">
        <v>11309</v>
      </c>
      <c r="K2361" s="66" t="s">
        <v>8224</v>
      </c>
      <c r="L2361" s="66" t="s">
        <v>10670</v>
      </c>
    </row>
    <row r="2362" ht="15.75" customHeight="1">
      <c r="A2362" s="66">
        <f>'Main dataset (DEPRECATED)'!Q2363</f>
        <v>568121</v>
      </c>
      <c r="B2362" s="66" t="str">
        <f>IFERROR(__xludf.DUMMYFUNCTION("SPLIT('Main dataset (DEPRECATED)'!N2363,"";"")"),"#REF!")</f>
        <v>#REF!</v>
      </c>
      <c r="C2362" s="66" t="s">
        <v>8047</v>
      </c>
      <c r="D2362" s="66" t="s">
        <v>9100</v>
      </c>
      <c r="E2362" s="66" t="s">
        <v>8530</v>
      </c>
    </row>
    <row r="2363" ht="15.75" customHeight="1">
      <c r="A2363" s="66">
        <f>'Main dataset (DEPRECATED)'!Q2364</f>
        <v>568105</v>
      </c>
      <c r="B2363" s="66" t="str">
        <f>IFERROR(__xludf.DUMMYFUNCTION("SPLIT('Main dataset (DEPRECATED)'!N2364,"";"")"),"#REF!")</f>
        <v>#REF!</v>
      </c>
      <c r="C2363" s="66" t="s">
        <v>11486</v>
      </c>
      <c r="D2363" s="66" t="s">
        <v>10560</v>
      </c>
    </row>
    <row r="2364" ht="15.75" customHeight="1">
      <c r="A2364" s="66">
        <f>'Main dataset (DEPRECATED)'!Q2365</f>
        <v>568165</v>
      </c>
      <c r="B2364" s="66" t="str">
        <f>IFERROR(__xludf.DUMMYFUNCTION("SPLIT('Main dataset (DEPRECATED)'!N2365,"";"")"),"#REF!")</f>
        <v>#REF!</v>
      </c>
      <c r="C2364" s="66" t="s">
        <v>6345</v>
      </c>
      <c r="D2364" s="66" t="s">
        <v>7596</v>
      </c>
      <c r="E2364" s="66" t="s">
        <v>8053</v>
      </c>
      <c r="F2364" s="66" t="s">
        <v>8554</v>
      </c>
    </row>
    <row r="2365" ht="15.75" customHeight="1">
      <c r="A2365" s="66">
        <f>'Main dataset (DEPRECATED)'!Q2366</f>
        <v>568124</v>
      </c>
      <c r="B2365" s="66" t="str">
        <f>IFERROR(__xludf.DUMMYFUNCTION("SPLIT('Main dataset (DEPRECATED)'!N2366,"";"")"),"#REF!")</f>
        <v>#REF!</v>
      </c>
      <c r="C2365" s="66" t="s">
        <v>9049</v>
      </c>
      <c r="D2365" s="66" t="s">
        <v>10834</v>
      </c>
    </row>
    <row r="2366" ht="15.75" customHeight="1">
      <c r="A2366" s="66">
        <f>'Main dataset (DEPRECATED)'!Q2367</f>
        <v>567784</v>
      </c>
      <c r="B2366" s="66" t="str">
        <f>IFERROR(__xludf.DUMMYFUNCTION("SPLIT('Main dataset (DEPRECATED)'!N2367,"";"")"),"#REF!")</f>
        <v>#REF!</v>
      </c>
      <c r="C2366" s="66" t="s">
        <v>6345</v>
      </c>
    </row>
    <row r="2367" ht="15.75" customHeight="1">
      <c r="A2367" s="66">
        <f>'Main dataset (DEPRECATED)'!Q2368</f>
        <v>567800</v>
      </c>
      <c r="B2367" s="66" t="str">
        <f>IFERROR(__xludf.DUMMYFUNCTION("SPLIT('Main dataset (DEPRECATED)'!N2368,"";"")"),"#REF!")</f>
        <v>#REF!</v>
      </c>
      <c r="C2367" s="66" t="s">
        <v>6453</v>
      </c>
    </row>
    <row r="2368" ht="15.75" customHeight="1">
      <c r="A2368" s="66">
        <f>'Main dataset (DEPRECATED)'!Q2369</f>
        <v>568127</v>
      </c>
      <c r="B2368" s="66" t="str">
        <f>IFERROR(__xludf.DUMMYFUNCTION("SPLIT('Main dataset (DEPRECATED)'!N2369,"";"")"),"#REF!")</f>
        <v>#REF!</v>
      </c>
      <c r="C2368" s="66" t="s">
        <v>7485</v>
      </c>
      <c r="D2368" s="66" t="s">
        <v>11628</v>
      </c>
      <c r="E2368" s="66" t="s">
        <v>7027</v>
      </c>
    </row>
    <row r="2369" ht="15.75" customHeight="1">
      <c r="A2369" s="66">
        <f>'Main dataset (DEPRECATED)'!Q2370</f>
        <v>568111</v>
      </c>
      <c r="B2369" s="66" t="str">
        <f>IFERROR(__xludf.DUMMYFUNCTION("SPLIT('Main dataset (DEPRECATED)'!N2370,"";"")"),"Rheingans, P.")</f>
        <v>Rheingans, P.</v>
      </c>
    </row>
    <row r="2370" ht="15.75" customHeight="1">
      <c r="A2370" s="66">
        <f>'Main dataset (DEPRECATED)'!Q2371</f>
        <v>568125</v>
      </c>
      <c r="B2370" s="66" t="str">
        <f>IFERROR(__xludf.DUMMYFUNCTION("SPLIT('Main dataset (DEPRECATED)'!N2371,"";"")"),"#REF!")</f>
        <v>#REF!</v>
      </c>
      <c r="C2370" s="66" t="s">
        <v>10657</v>
      </c>
      <c r="D2370" s="66" t="s">
        <v>11213</v>
      </c>
    </row>
    <row r="2371" ht="15.75" customHeight="1">
      <c r="A2371" s="66">
        <f>'Main dataset (DEPRECATED)'!Q2372</f>
        <v>568104</v>
      </c>
      <c r="B2371" s="66" t="str">
        <f>IFERROR(__xludf.DUMMYFUNCTION("SPLIT('Main dataset (DEPRECATED)'!N2372,"";"")"),"#REF!")</f>
        <v>#REF!</v>
      </c>
      <c r="C2371" s="66" t="s">
        <v>7579</v>
      </c>
    </row>
    <row r="2372" ht="15.75" customHeight="1">
      <c r="A2372" s="66">
        <f>'Main dataset (DEPRECATED)'!Q2373</f>
        <v>567780</v>
      </c>
      <c r="B2372" s="66" t="str">
        <f>IFERROR(__xludf.DUMMYFUNCTION("SPLIT('Main dataset (DEPRECATED)'!N2373,"";"")"),"Fruhauf, T.")</f>
        <v>Fruhauf, T.</v>
      </c>
    </row>
    <row r="2373" ht="15.75" customHeight="1">
      <c r="A2373" s="66">
        <f>'Main dataset (DEPRECATED)'!Q2374</f>
        <v>568160</v>
      </c>
      <c r="B2373" s="66" t="str">
        <f>IFERROR(__xludf.DUMMYFUNCTION("SPLIT('Main dataset (DEPRECATED)'!N2374,"";"")"),"#REF!")</f>
        <v>#REF!</v>
      </c>
      <c r="C2373" s="66" t="s">
        <v>9891</v>
      </c>
      <c r="D2373" s="66" t="s">
        <v>8776</v>
      </c>
      <c r="E2373" s="66" t="s">
        <v>8168</v>
      </c>
      <c r="F2373" s="66" t="s">
        <v>7788</v>
      </c>
    </row>
    <row r="2374" ht="15.75" customHeight="1">
      <c r="A2374" s="66">
        <f>'Main dataset (DEPRECATED)'!Q2375</f>
        <v>568114</v>
      </c>
      <c r="B2374" s="66" t="str">
        <f>IFERROR(__xludf.DUMMYFUNCTION("SPLIT('Main dataset (DEPRECATED)'!N2375,"";"")"),"#REF!")</f>
        <v>#REF!</v>
      </c>
      <c r="C2374" s="66" t="s">
        <v>7625</v>
      </c>
      <c r="D2374" s="66" t="s">
        <v>11445</v>
      </c>
      <c r="E2374" s="66" t="s">
        <v>10769</v>
      </c>
    </row>
    <row r="2375" ht="15.75" customHeight="1">
      <c r="A2375" s="66">
        <f>'Main dataset (DEPRECATED)'!Q2376</f>
        <v>568119</v>
      </c>
      <c r="B2375" s="66" t="str">
        <f>IFERROR(__xludf.DUMMYFUNCTION("SPLIT('Main dataset (DEPRECATED)'!N2376,"";"")"),"Crawfis, R.")</f>
        <v>Crawfis, R.</v>
      </c>
    </row>
    <row r="2376" ht="15.75" customHeight="1">
      <c r="A2376" s="66">
        <f>'Main dataset (DEPRECATED)'!Q2377</f>
        <v>568130</v>
      </c>
      <c r="B2376" s="66" t="str">
        <f>IFERROR(__xludf.DUMMYFUNCTION("SPLIT('Main dataset (DEPRECATED)'!N2377,"";"")"),"Sobieczky, F.")</f>
        <v>Sobieczky, F.</v>
      </c>
    </row>
    <row r="2377" ht="15.75" customHeight="1">
      <c r="A2377" s="66">
        <f>'Main dataset (DEPRECATED)'!Q2378</f>
        <v>568151</v>
      </c>
      <c r="B2377" s="66" t="str">
        <f>IFERROR(__xludf.DUMMYFUNCTION("SPLIT('Main dataset (DEPRECATED)'!N2378,"";"")"),"#REF!")</f>
        <v>#REF!</v>
      </c>
      <c r="C2377" s="66" t="s">
        <v>9124</v>
      </c>
      <c r="D2377" s="66" t="s">
        <v>8714</v>
      </c>
      <c r="E2377" s="66" t="s">
        <v>7560</v>
      </c>
      <c r="F2377" s="66" t="s">
        <v>8645</v>
      </c>
      <c r="G2377" s="66" t="s">
        <v>9589</v>
      </c>
    </row>
    <row r="2378" ht="15.75" customHeight="1">
      <c r="A2378" s="66">
        <f>'Main dataset (DEPRECATED)'!Q2379</f>
        <v>567600</v>
      </c>
      <c r="B2378" s="66" t="str">
        <f>IFERROR(__xludf.DUMMYFUNCTION("SPLIT('Main dataset (DEPRECATED)'!N2379,"";"")"),"#REF!")</f>
        <v>#REF!</v>
      </c>
      <c r="C2378" s="66" t="s">
        <v>9011</v>
      </c>
    </row>
    <row r="2379" ht="15.75" customHeight="1">
      <c r="A2379" s="66">
        <f>'Main dataset (DEPRECATED)'!Q2380</f>
        <v>568145</v>
      </c>
      <c r="B2379" s="66" t="str">
        <f>IFERROR(__xludf.DUMMYFUNCTION("SPLIT('Main dataset (DEPRECATED)'!N2380,"";"")"),"#REF!")</f>
        <v>#REF!</v>
      </c>
      <c r="C2379" s="66" t="s">
        <v>11830</v>
      </c>
      <c r="D2379" s="66" t="s">
        <v>11534</v>
      </c>
      <c r="E2379" s="66" t="s">
        <v>6403</v>
      </c>
      <c r="F2379" s="66" t="s">
        <v>10294</v>
      </c>
      <c r="G2379" s="66" t="s">
        <v>11185</v>
      </c>
    </row>
    <row r="2380" ht="15.75" customHeight="1">
      <c r="A2380" s="66" t="str">
        <f>'Main dataset (DEPRECATED)'!Q2381</f>
        <v>567746_1</v>
      </c>
      <c r="B2380" s="66" t="str">
        <f>IFERROR(__xludf.DUMMYFUNCTION("SPLIT('Main dataset (DEPRECATED)'!N2381,"";"")"),"#REF!")</f>
        <v>#REF!</v>
      </c>
      <c r="C2380" s="66" t="s">
        <v>9250</v>
      </c>
      <c r="D2380" s="66" t="s">
        <v>9124</v>
      </c>
    </row>
    <row r="2381" ht="15.75" customHeight="1">
      <c r="A2381" s="66">
        <f>'Main dataset (DEPRECATED)'!Q2382</f>
        <v>568133</v>
      </c>
      <c r="B2381" s="66" t="str">
        <f>IFERROR(__xludf.DUMMYFUNCTION("SPLIT('Main dataset (DEPRECATED)'!N2382,"";"")"),"#REF!")</f>
        <v>#REF!</v>
      </c>
      <c r="C2381" s="66" t="s">
        <v>7079</v>
      </c>
      <c r="D2381" s="66" t="s">
        <v>7151</v>
      </c>
      <c r="E2381" s="66" t="s">
        <v>9826</v>
      </c>
      <c r="F2381" s="66" t="s">
        <v>8893</v>
      </c>
      <c r="G2381" s="66" t="s">
        <v>10621</v>
      </c>
      <c r="H2381" s="66" t="s">
        <v>11569</v>
      </c>
    </row>
    <row r="2382" ht="15.75" customHeight="1">
      <c r="A2382" s="66">
        <f>'Main dataset (DEPRECATED)'!Q2383</f>
        <v>568117</v>
      </c>
      <c r="B2382" s="66" t="str">
        <f>IFERROR(__xludf.DUMMYFUNCTION("SPLIT('Main dataset (DEPRECATED)'!N2383,"";"")"),"#REF!")</f>
        <v>#REF!</v>
      </c>
      <c r="C2382" s="66" t="s">
        <v>8522</v>
      </c>
    </row>
    <row r="2383" ht="15.75" customHeight="1">
      <c r="A2383" s="66">
        <f>'Main dataset (DEPRECATED)'!Q2384</f>
        <v>568122</v>
      </c>
      <c r="B2383" s="66" t="str">
        <f>IFERROR(__xludf.DUMMYFUNCTION("SPLIT('Main dataset (DEPRECATED)'!N2384,"";"")"),"#REF!")</f>
        <v>#REF!</v>
      </c>
      <c r="C2383" s="66" t="s">
        <v>9337</v>
      </c>
    </row>
    <row r="2384" ht="15.75" customHeight="1">
      <c r="A2384" s="66">
        <f>'Main dataset (DEPRECATED)'!Q2385</f>
        <v>568109</v>
      </c>
      <c r="B2384" s="66" t="str">
        <f>IFERROR(__xludf.DUMMYFUNCTION("SPLIT('Main dataset (DEPRECATED)'!N2385,"";"")"),"#REF!")</f>
        <v>#REF!</v>
      </c>
      <c r="C2384" s="66" t="s">
        <v>10556</v>
      </c>
      <c r="D2384" s="66" t="s">
        <v>11853</v>
      </c>
      <c r="E2384" s="66" t="s">
        <v>10766</v>
      </c>
    </row>
    <row r="2385" ht="15.75" customHeight="1">
      <c r="A2385" s="66">
        <f>'Main dataset (DEPRECATED)'!Q2386</f>
        <v>568116</v>
      </c>
      <c r="B2385" s="66" t="str">
        <f>IFERROR(__xludf.DUMMYFUNCTION("SPLIT('Main dataset (DEPRECATED)'!N2386,"";"")"),"#REF!")</f>
        <v>#REF!</v>
      </c>
      <c r="C2385" s="66" t="s">
        <v>9772</v>
      </c>
      <c r="D2385" s="66" t="s">
        <v>10560</v>
      </c>
      <c r="E2385" s="66" t="s">
        <v>11510</v>
      </c>
    </row>
    <row r="2386" ht="15.75" customHeight="1">
      <c r="A2386" s="66">
        <f>'Main dataset (DEPRECATED)'!Q2387</f>
        <v>568120</v>
      </c>
      <c r="B2386" s="66" t="str">
        <f>IFERROR(__xludf.DUMMYFUNCTION("SPLIT('Main dataset (DEPRECATED)'!N2387,"";"")"),"#REF!")</f>
        <v>#REF!</v>
      </c>
      <c r="C2386" s="66" t="s">
        <v>7911</v>
      </c>
      <c r="D2386" s="66" t="s">
        <v>8644</v>
      </c>
    </row>
    <row r="2387" ht="15.75" customHeight="1">
      <c r="A2387" s="66">
        <f>'Main dataset (DEPRECATED)'!Q2388</f>
        <v>568132</v>
      </c>
      <c r="B2387" s="66" t="str">
        <f>IFERROR(__xludf.DUMMYFUNCTION("SPLIT('Main dataset (DEPRECATED)'!N2388,"";"")"),"#REF!")</f>
        <v>#REF!</v>
      </c>
      <c r="C2387" s="66" t="s">
        <v>10116</v>
      </c>
      <c r="D2387" s="66" t="s">
        <v>6257</v>
      </c>
      <c r="E2387" s="66" t="s">
        <v>9507</v>
      </c>
      <c r="F2387" s="66" t="s">
        <v>9659</v>
      </c>
      <c r="G2387" s="66" t="s">
        <v>9979</v>
      </c>
      <c r="H2387" s="66" t="s">
        <v>7597</v>
      </c>
      <c r="I2387" s="66" t="s">
        <v>9552</v>
      </c>
      <c r="J2387" s="66" t="s">
        <v>11450</v>
      </c>
    </row>
    <row r="2388" ht="15.75" customHeight="1">
      <c r="A2388" s="66">
        <f>'Main dataset (DEPRECATED)'!Q2389</f>
        <v>568128</v>
      </c>
      <c r="B2388" s="66" t="str">
        <f>IFERROR(__xludf.DUMMYFUNCTION("SPLIT('Main dataset (DEPRECATED)'!N2389,"";"")"),"#REF!")</f>
        <v>#REF!</v>
      </c>
      <c r="C2388" s="66" t="s">
        <v>11470</v>
      </c>
      <c r="D2388" s="66" t="s">
        <v>7344</v>
      </c>
      <c r="E2388" s="66" t="s">
        <v>10237</v>
      </c>
      <c r="F2388" s="66" t="s">
        <v>10236</v>
      </c>
      <c r="G2388" s="66" t="s">
        <v>7883</v>
      </c>
      <c r="H2388" s="66" t="s">
        <v>10059</v>
      </c>
      <c r="I2388" s="66" t="s">
        <v>8920</v>
      </c>
      <c r="J2388" s="66" t="s">
        <v>10344</v>
      </c>
    </row>
    <row r="2389" ht="15.75" customHeight="1">
      <c r="A2389" s="66" t="str">
        <f>'Main dataset (DEPRECATED)'!Q2390</f>
        <v>567746_2</v>
      </c>
      <c r="B2389" s="66" t="str">
        <f>IFERROR(__xludf.DUMMYFUNCTION("SPLIT('Main dataset (DEPRECATED)'!N2390,"";"")"),"Aliaga, D.")</f>
        <v>Aliaga, D.</v>
      </c>
    </row>
    <row r="2390" ht="15.75" customHeight="1">
      <c r="A2390" s="66">
        <f>'Main dataset (DEPRECATED)'!Q2391</f>
        <v>568146</v>
      </c>
      <c r="B2390" s="66" t="str">
        <f>IFERROR(__xludf.DUMMYFUNCTION("SPLIT('Main dataset (DEPRECATED)'!N2391,"";"")"),"#REF!")</f>
        <v>#REF!</v>
      </c>
      <c r="C2390" s="66" t="s">
        <v>8023</v>
      </c>
      <c r="D2390" s="66" t="s">
        <v>6812</v>
      </c>
    </row>
    <row r="2391" ht="15.75" customHeight="1">
      <c r="A2391" s="66">
        <f>'Main dataset (DEPRECATED)'!Q2392</f>
        <v>567610</v>
      </c>
      <c r="B2391" s="66" t="str">
        <f>IFERROR(__xludf.DUMMYFUNCTION("SPLIT('Main dataset (DEPRECATED)'!N2392,"";"")"),"#REF!")</f>
        <v>#REF!</v>
      </c>
      <c r="C2391" s="66" t="s">
        <v>6669</v>
      </c>
      <c r="D2391" s="66" t="s">
        <v>11552</v>
      </c>
    </row>
    <row r="2392" ht="15.75" customHeight="1">
      <c r="A2392" s="66">
        <f>'Main dataset (DEPRECATED)'!Q2393</f>
        <v>568123</v>
      </c>
      <c r="B2392" s="66" t="str">
        <f>IFERROR(__xludf.DUMMYFUNCTION("SPLIT('Main dataset (DEPRECATED)'!N2393,"";"")"),"#REF!")</f>
        <v>#REF!</v>
      </c>
      <c r="C2392" s="66" t="s">
        <v>11637</v>
      </c>
      <c r="D2392" s="66" t="s">
        <v>8838</v>
      </c>
    </row>
    <row r="2393" ht="15.75" customHeight="1">
      <c r="A2393" s="66">
        <f>'Main dataset (DEPRECATED)'!Q2394</f>
        <v>567807</v>
      </c>
      <c r="B2393" s="66" t="str">
        <f>IFERROR(__xludf.DUMMYFUNCTION("SPLIT('Main dataset (DEPRECATED)'!N2394,"";"")"),"#REF!")</f>
        <v>#REF!</v>
      </c>
      <c r="C2393" s="66" t="s">
        <v>11330</v>
      </c>
    </row>
    <row r="2394" ht="15.75" customHeight="1">
      <c r="A2394" s="66">
        <f>'Main dataset (DEPRECATED)'!Q2395</f>
        <v>568138</v>
      </c>
      <c r="B2394" s="66" t="str">
        <f>IFERROR(__xludf.DUMMYFUNCTION("SPLIT('Main dataset (DEPRECATED)'!N2395,"";"")"),"#REF!")</f>
        <v>#REF!</v>
      </c>
      <c r="C2394" s="66" t="s">
        <v>9495</v>
      </c>
      <c r="D2394" s="66" t="s">
        <v>9308</v>
      </c>
    </row>
    <row r="2395" ht="15.75" customHeight="1">
      <c r="A2395" s="66">
        <f>'Main dataset (DEPRECATED)'!Q2396</f>
        <v>528697</v>
      </c>
      <c r="B2395" s="66" t="str">
        <f>IFERROR(__xludf.DUMMYFUNCTION("SPLIT('Main dataset (DEPRECATED)'!N2396,"";"")"),"#REF!")</f>
        <v>#REF!</v>
      </c>
      <c r="C2395" s="66" t="s">
        <v>7379</v>
      </c>
    </row>
    <row r="2396" ht="15.75" customHeight="1">
      <c r="A2396" s="66">
        <f>'Main dataset (DEPRECATED)'!Q2397</f>
        <v>528695</v>
      </c>
      <c r="B2396" s="66" t="str">
        <f>IFERROR(__xludf.DUMMYFUNCTION("SPLIT('Main dataset (DEPRECATED)'!N2397,"";"")"),"#REF!")</f>
        <v>#REF!</v>
      </c>
      <c r="C2396" s="66" t="s">
        <v>8536</v>
      </c>
      <c r="D2396" s="66" t="s">
        <v>10703</v>
      </c>
    </row>
    <row r="2397" ht="15.75" customHeight="1">
      <c r="A2397" s="66">
        <f>'Main dataset (DEPRECATED)'!Q2398</f>
        <v>528693</v>
      </c>
      <c r="B2397" s="66" t="str">
        <f>IFERROR(__xludf.DUMMYFUNCTION("SPLIT('Main dataset (DEPRECATED)'!N2398,"";"")"),"#REF!")</f>
        <v>#REF!</v>
      </c>
      <c r="C2397" s="66" t="s">
        <v>7164</v>
      </c>
      <c r="D2397" s="66" t="s">
        <v>8197</v>
      </c>
    </row>
    <row r="2398" ht="15.75" customHeight="1">
      <c r="A2398" s="66">
        <f>'Main dataset (DEPRECATED)'!Q2399</f>
        <v>528696</v>
      </c>
      <c r="B2398" s="66" t="str">
        <f>IFERROR(__xludf.DUMMYFUNCTION("SPLIT('Main dataset (DEPRECATED)'!N2399,"";"")"),"#REF!")</f>
        <v>#REF!</v>
      </c>
      <c r="C2398" s="66" t="s">
        <v>9012</v>
      </c>
      <c r="D2398" s="66" t="s">
        <v>11501</v>
      </c>
      <c r="E2398" s="66" t="s">
        <v>7069</v>
      </c>
      <c r="F2398" s="66" t="s">
        <v>9868</v>
      </c>
      <c r="G2398" s="66" t="s">
        <v>10283</v>
      </c>
    </row>
    <row r="2399" ht="15.75" customHeight="1">
      <c r="A2399" s="66">
        <f>'Main dataset (DEPRECATED)'!Q2400</f>
        <v>528694</v>
      </c>
      <c r="B2399" s="66" t="str">
        <f>IFERROR(__xludf.DUMMYFUNCTION("SPLIT('Main dataset (DEPRECATED)'!N2400,"";"")"),"Rhyne, T.M.")</f>
        <v>Rhyne, T.M.</v>
      </c>
    </row>
    <row r="2400" ht="15.75" customHeight="1">
      <c r="A2400" s="66">
        <f>'Main dataset (DEPRECATED)'!Q2401</f>
        <v>528691</v>
      </c>
      <c r="B2400" s="66" t="str">
        <f>IFERROR(__xludf.DUMMYFUNCTION("SPLIT('Main dataset (DEPRECATED)'!N2401,"";"")"),"#REF!")</f>
        <v>#REF!</v>
      </c>
      <c r="C2400" s="66" t="s">
        <v>7314</v>
      </c>
      <c r="D2400" s="66" t="s">
        <v>11529</v>
      </c>
      <c r="E2400" s="66" t="s">
        <v>6404</v>
      </c>
    </row>
    <row r="2401" ht="15.75" customHeight="1">
      <c r="A2401" s="66">
        <f>'Main dataset (DEPRECATED)'!Q2402</f>
        <v>528692</v>
      </c>
      <c r="B2401" s="66" t="str">
        <f>IFERROR(__xludf.DUMMYFUNCTION("SPLIT('Main dataset (DEPRECATED)'!N2402,"";"")"),"Andrews, K.")</f>
        <v>Andrews, K.</v>
      </c>
    </row>
    <row r="2402" ht="15.75" customHeight="1">
      <c r="A2402" s="66">
        <f>'Main dataset (DEPRECATED)'!Q2403</f>
        <v>528688</v>
      </c>
      <c r="B2402" s="66" t="str">
        <f>IFERROR(__xludf.DUMMYFUNCTION("SPLIT('Main dataset (DEPRECATED)'!N2403,"";"")"),"#REF!")</f>
        <v>#REF!</v>
      </c>
      <c r="C2402" s="66" t="s">
        <v>11505</v>
      </c>
    </row>
    <row r="2403" ht="15.75" customHeight="1">
      <c r="A2403" s="66">
        <f>'Main dataset (DEPRECATED)'!Q2404</f>
        <v>528683</v>
      </c>
      <c r="B2403" s="66" t="str">
        <f>IFERROR(__xludf.DUMMYFUNCTION("SPLIT('Main dataset (DEPRECATED)'!N2404,"";"")"),"#REF!")</f>
        <v>#REF!</v>
      </c>
      <c r="C2403" s="66" t="s">
        <v>7429</v>
      </c>
    </row>
    <row r="2404" ht="15.75" customHeight="1">
      <c r="A2404" s="66">
        <f>'Main dataset (DEPRECATED)'!Q2405</f>
        <v>528682</v>
      </c>
      <c r="B2404" s="66" t="str">
        <f>IFERROR(__xludf.DUMMYFUNCTION("SPLIT('Main dataset (DEPRECATED)'!N2405,"";"")"),"Wright, W.")</f>
        <v>Wright, W.</v>
      </c>
    </row>
    <row r="2405" ht="15.75" customHeight="1">
      <c r="A2405" s="66">
        <f>'Main dataset (DEPRECATED)'!Q2406</f>
        <v>528690</v>
      </c>
      <c r="B2405" s="66" t="str">
        <f>IFERROR(__xludf.DUMMYFUNCTION("SPLIT('Main dataset (DEPRECATED)'!N2406,"";"")"),"#REF!")</f>
        <v>#REF!</v>
      </c>
      <c r="C2405" s="66" t="s">
        <v>7138</v>
      </c>
      <c r="D2405" s="66" t="s">
        <v>8990</v>
      </c>
      <c r="E2405" s="66" t="s">
        <v>9874</v>
      </c>
    </row>
    <row r="2406" ht="15.75" customHeight="1">
      <c r="A2406" s="66">
        <f>'Main dataset (DEPRECATED)'!Q2407</f>
        <v>528689</v>
      </c>
      <c r="B2406" s="66" t="str">
        <f>IFERROR(__xludf.DUMMYFUNCTION("SPLIT('Main dataset (DEPRECATED)'!N2407,"";"")"),"#REF!")</f>
        <v>#REF!</v>
      </c>
      <c r="C2406" s="66" t="s">
        <v>8649</v>
      </c>
    </row>
    <row r="2407" ht="15.75" customHeight="1">
      <c r="A2407" s="66">
        <f>'Main dataset (DEPRECATED)'!Q2408</f>
        <v>528684</v>
      </c>
      <c r="B2407" s="66" t="str">
        <f>IFERROR(__xludf.DUMMYFUNCTION("SPLIT('Main dataset (DEPRECATED)'!N2408,"";"")"),"#REF!")</f>
        <v>#REF!</v>
      </c>
      <c r="C2407" s="66" t="s">
        <v>10253</v>
      </c>
      <c r="D2407" s="66" t="s">
        <v>9271</v>
      </c>
      <c r="E2407" s="66" t="s">
        <v>8813</v>
      </c>
    </row>
    <row r="2408" ht="15.75" customHeight="1">
      <c r="A2408" s="66">
        <f>'Main dataset (DEPRECATED)'!Q2409</f>
        <v>528685</v>
      </c>
      <c r="B2408" s="66" t="str">
        <f>IFERROR(__xludf.DUMMYFUNCTION("SPLIT('Main dataset (DEPRECATED)'!N2409,"";"")"),"#REF!")</f>
        <v>#REF!</v>
      </c>
      <c r="C2408" s="66" t="s">
        <v>10767</v>
      </c>
    </row>
    <row r="2409" ht="15.75" customHeight="1">
      <c r="A2409" s="66">
        <f>'Main dataset (DEPRECATED)'!Q2410</f>
        <v>528681</v>
      </c>
      <c r="B2409" s="66" t="str">
        <f>IFERROR(__xludf.DUMMYFUNCTION("SPLIT('Main dataset (DEPRECATED)'!N2410,"";"")"),"#REF!")</f>
        <v>#REF!</v>
      </c>
      <c r="C2409" s="66" t="s">
        <v>8611</v>
      </c>
      <c r="D2409" s="66" t="s">
        <v>7804</v>
      </c>
    </row>
    <row r="2410" ht="15.75" customHeight="1">
      <c r="A2410" s="66">
        <f>'Main dataset (DEPRECATED)'!Q2411</f>
        <v>528680</v>
      </c>
      <c r="B2410" s="66" t="str">
        <f>IFERROR(__xludf.DUMMYFUNCTION("SPLIT('Main dataset (DEPRECATED)'!N2411,"";"")"),"#REF!")</f>
        <v>#REF!</v>
      </c>
      <c r="C2410" s="66" t="s">
        <v>11131</v>
      </c>
      <c r="D2410" s="66" t="s">
        <v>7163</v>
      </c>
      <c r="E2410" s="66" t="s">
        <v>8285</v>
      </c>
    </row>
    <row r="2411" ht="15.75" customHeight="1">
      <c r="A2411" s="66">
        <f>'Main dataset (DEPRECATED)'!Q2412</f>
        <v>528686</v>
      </c>
      <c r="B2411" s="66" t="str">
        <f>IFERROR(__xludf.DUMMYFUNCTION("SPLIT('Main dataset (DEPRECATED)'!N2412,"";"")"),"#REF!")</f>
        <v>#REF!</v>
      </c>
      <c r="C2411" s="66" t="s">
        <v>11027</v>
      </c>
      <c r="D2411" s="66" t="s">
        <v>9859</v>
      </c>
      <c r="E2411" s="66" t="s">
        <v>8930</v>
      </c>
      <c r="F2411" s="66" t="s">
        <v>9976</v>
      </c>
      <c r="G2411" s="66" t="s">
        <v>10456</v>
      </c>
      <c r="H2411" s="66" t="s">
        <v>7084</v>
      </c>
    </row>
    <row r="2412" ht="15.75" customHeight="1">
      <c r="A2412" s="66">
        <f>'Main dataset (DEPRECATED)'!Q2413</f>
        <v>528687</v>
      </c>
      <c r="B2412" s="66" t="str">
        <f>IFERROR(__xludf.DUMMYFUNCTION("SPLIT('Main dataset (DEPRECATED)'!N2413,"";"")"),"#REF!")</f>
        <v>#REF!</v>
      </c>
      <c r="C2412" s="66" t="s">
        <v>10725</v>
      </c>
    </row>
    <row r="2413" ht="15.75" customHeight="1">
      <c r="A2413" s="66">
        <f>'Main dataset (DEPRECATED)'!Q2414</f>
        <v>485143</v>
      </c>
      <c r="B2413" s="66" t="str">
        <f>IFERROR(__xludf.DUMMYFUNCTION("SPLIT('Main dataset (DEPRECATED)'!N2414,"";"")"),"#REF!")</f>
        <v>#REF!</v>
      </c>
      <c r="C2413" s="66" t="s">
        <v>11200</v>
      </c>
    </row>
    <row r="2414" ht="15.75" customHeight="1">
      <c r="A2414" s="66">
        <f>'Main dataset (DEPRECATED)'!Q2415</f>
        <v>480792</v>
      </c>
      <c r="B2414" s="66" t="str">
        <f>IFERROR(__xludf.DUMMYFUNCTION("SPLIT('Main dataset (DEPRECATED)'!N2415,"";"")"),"#REF!")</f>
        <v>#REF!</v>
      </c>
      <c r="C2414" s="66" t="s">
        <v>6295</v>
      </c>
    </row>
    <row r="2415" ht="15.75" customHeight="1">
      <c r="A2415" s="66">
        <f>'Main dataset (DEPRECATED)'!Q2416</f>
        <v>480816</v>
      </c>
      <c r="B2415" s="66" t="str">
        <f>IFERROR(__xludf.DUMMYFUNCTION("SPLIT('Main dataset (DEPRECATED)'!N2416,"";"")"),"#REF!")</f>
        <v>#REF!</v>
      </c>
      <c r="C2415" s="66" t="s">
        <v>6453</v>
      </c>
    </row>
    <row r="2416" ht="15.75" customHeight="1">
      <c r="A2416" s="66">
        <f>'Main dataset (DEPRECATED)'!Q2417</f>
        <v>480803</v>
      </c>
      <c r="B2416" s="66" t="str">
        <f>IFERROR(__xludf.DUMMYFUNCTION("SPLIT('Main dataset (DEPRECATED)'!N2417,"";"")"),"#REF!")</f>
        <v>#REF!</v>
      </c>
      <c r="C2416" s="66" t="s">
        <v>10200</v>
      </c>
      <c r="D2416" s="66" t="s">
        <v>11091</v>
      </c>
    </row>
    <row r="2417" ht="15.75" customHeight="1">
      <c r="A2417" s="66">
        <f>'Main dataset (DEPRECATED)'!Q2418</f>
        <v>485153</v>
      </c>
      <c r="B2417" s="66" t="str">
        <f>IFERROR(__xludf.DUMMYFUNCTION("SPLIT('Main dataset (DEPRECATED)'!N2418,"";"")"),"#REF!")</f>
        <v>#REF!</v>
      </c>
      <c r="C2417" s="66" t="s">
        <v>6276</v>
      </c>
    </row>
    <row r="2418" ht="15.75" customHeight="1">
      <c r="A2418" s="66">
        <f>'Main dataset (DEPRECATED)'!Q2419</f>
        <v>480801</v>
      </c>
      <c r="B2418" s="66" t="str">
        <f>IFERROR(__xludf.DUMMYFUNCTION("SPLIT('Main dataset (DEPRECATED)'!N2419,"";"")"),"#REF!")</f>
        <v>#REF!</v>
      </c>
      <c r="C2418" s="66" t="s">
        <v>7884</v>
      </c>
    </row>
    <row r="2419" ht="15.75" customHeight="1">
      <c r="A2419" s="66">
        <f>'Main dataset (DEPRECATED)'!Q2420</f>
        <v>480821</v>
      </c>
      <c r="B2419" s="66" t="str">
        <f>IFERROR(__xludf.DUMMYFUNCTION("SPLIT('Main dataset (DEPRECATED)'!N2420,"";"")"),"#REF!")</f>
        <v>#REF!</v>
      </c>
      <c r="C2419" s="66" t="s">
        <v>11091</v>
      </c>
    </row>
    <row r="2420" ht="15.75" customHeight="1">
      <c r="A2420" s="66">
        <f>'Main dataset (DEPRECATED)'!Q2421</f>
        <v>480802</v>
      </c>
      <c r="B2420" s="66" t="str">
        <f>IFERROR(__xludf.DUMMYFUNCTION("SPLIT('Main dataset (DEPRECATED)'!N2421,"";"")"),"#REF!")</f>
        <v>#REF!</v>
      </c>
      <c r="C2420" s="66" t="s">
        <v>7579</v>
      </c>
    </row>
    <row r="2421" ht="15.75" customHeight="1">
      <c r="A2421" s="66">
        <f>'Main dataset (DEPRECATED)'!Q2422</f>
        <v>485155</v>
      </c>
      <c r="B2421" s="66" t="str">
        <f>IFERROR(__xludf.DUMMYFUNCTION("SPLIT('Main dataset (DEPRECATED)'!N2422,"";"")"),"Gooch, R.E.")</f>
        <v>Gooch, R.E.</v>
      </c>
    </row>
    <row r="2422" ht="15.75" customHeight="1">
      <c r="A2422" s="66">
        <f>'Main dataset (DEPRECATED)'!Q2423</f>
        <v>480811</v>
      </c>
      <c r="B2422" s="66" t="str">
        <f>IFERROR(__xludf.DUMMYFUNCTION("SPLIT('Main dataset (DEPRECATED)'!N2423,"";"")"),"#REF!")</f>
        <v>#REF!</v>
      </c>
      <c r="C2422" s="66" t="s">
        <v>6453</v>
      </c>
    </row>
    <row r="2423" ht="15.75" customHeight="1">
      <c r="A2423" s="66">
        <f>'Main dataset (DEPRECATED)'!Q2424</f>
        <v>480799</v>
      </c>
      <c r="B2423" s="66" t="str">
        <f>IFERROR(__xludf.DUMMYFUNCTION("SPLIT('Main dataset (DEPRECATED)'!N2424,"";"")"),"#REF!")</f>
        <v>#REF!</v>
      </c>
      <c r="C2423" s="66" t="s">
        <v>9679</v>
      </c>
    </row>
    <row r="2424" ht="15.75" customHeight="1">
      <c r="A2424" s="66">
        <f>'Main dataset (DEPRECATED)'!Q2425</f>
        <v>480813</v>
      </c>
      <c r="B2424" s="66" t="str">
        <f>IFERROR(__xludf.DUMMYFUNCTION("SPLIT('Main dataset (DEPRECATED)'!N2425,"";"")"),"#REF!")</f>
        <v>#REF!</v>
      </c>
      <c r="C2424" s="66" t="s">
        <v>9446</v>
      </c>
      <c r="D2424" s="66" t="s">
        <v>8645</v>
      </c>
    </row>
    <row r="2425" ht="15.75" customHeight="1">
      <c r="A2425" s="66">
        <f>'Main dataset (DEPRECATED)'!Q2426</f>
        <v>485157</v>
      </c>
      <c r="B2425" s="66" t="str">
        <f>IFERROR(__xludf.DUMMYFUNCTION("SPLIT('Main dataset (DEPRECATED)'!N2426,"";"")"),"#REF!")</f>
        <v>#REF!</v>
      </c>
      <c r="C2425" s="66" t="s">
        <v>8728</v>
      </c>
      <c r="D2425" s="66" t="s">
        <v>10140</v>
      </c>
      <c r="E2425" s="66" t="s">
        <v>11391</v>
      </c>
      <c r="F2425" s="66" t="s">
        <v>7383</v>
      </c>
      <c r="G2425" s="66" t="s">
        <v>10463</v>
      </c>
      <c r="H2425" s="66" t="s">
        <v>6215</v>
      </c>
    </row>
    <row r="2426" ht="15.75" customHeight="1">
      <c r="A2426" s="66">
        <f>'Main dataset (DEPRECATED)'!Q2427</f>
        <v>485171</v>
      </c>
      <c r="B2426" s="66" t="str">
        <f>IFERROR(__xludf.DUMMYFUNCTION("SPLIT('Main dataset (DEPRECATED)'!N2427,"";"")"),"#REF!")</f>
        <v>#REF!</v>
      </c>
      <c r="C2426" s="66" t="s">
        <v>8887</v>
      </c>
    </row>
    <row r="2427" ht="15.75" customHeight="1">
      <c r="A2427" s="66">
        <f>'Main dataset (DEPRECATED)'!Q2428</f>
        <v>480809</v>
      </c>
      <c r="B2427" s="66" t="str">
        <f>IFERROR(__xludf.DUMMYFUNCTION("SPLIT('Main dataset (DEPRECATED)'!N2428,"";"")"),"Westermann, R.")</f>
        <v>Westermann, R.</v>
      </c>
    </row>
    <row r="2428" ht="15.75" customHeight="1">
      <c r="A2428" s="66">
        <f>'Main dataset (DEPRECATED)'!Q2429</f>
        <v>480793</v>
      </c>
      <c r="B2428" s="66" t="str">
        <f>IFERROR(__xludf.DUMMYFUNCTION("SPLIT('Main dataset (DEPRECATED)'!N2429,"";"")"),"#REF!")</f>
        <v>#REF!</v>
      </c>
      <c r="C2428" s="66" t="s">
        <v>6673</v>
      </c>
      <c r="D2428" s="66" t="s">
        <v>10146</v>
      </c>
      <c r="E2428" s="66" t="s">
        <v>11556</v>
      </c>
      <c r="F2428" s="66" t="s">
        <v>9222</v>
      </c>
    </row>
    <row r="2429" ht="15.75" customHeight="1">
      <c r="A2429" s="66">
        <f>'Main dataset (DEPRECATED)'!Q2430</f>
        <v>480812</v>
      </c>
      <c r="B2429" s="66" t="str">
        <f>IFERROR(__xludf.DUMMYFUNCTION("SPLIT('Main dataset (DEPRECATED)'!N2430,"";"")"),"#REF!")</f>
        <v>#REF!</v>
      </c>
      <c r="C2429" s="66" t="s">
        <v>11649</v>
      </c>
    </row>
    <row r="2430" ht="15.75" customHeight="1">
      <c r="A2430" s="66">
        <f>'Main dataset (DEPRECATED)'!Q2431</f>
        <v>480817</v>
      </c>
      <c r="B2430" s="66" t="str">
        <f>IFERROR(__xludf.DUMMYFUNCTION("SPLIT('Main dataset (DEPRECATED)'!N2431,"";"")"),"#REF!")</f>
        <v>#REF!</v>
      </c>
      <c r="C2430" s="66" t="s">
        <v>11200</v>
      </c>
    </row>
    <row r="2431" ht="15.75" customHeight="1">
      <c r="A2431" s="66">
        <f>'Main dataset (DEPRECATED)'!Q2432</f>
        <v>480795</v>
      </c>
      <c r="B2431" s="66" t="str">
        <f>IFERROR(__xludf.DUMMYFUNCTION("SPLIT('Main dataset (DEPRECATED)'!N2432,"";"")"),"#REF!")</f>
        <v>#REF!</v>
      </c>
      <c r="C2431" s="66" t="s">
        <v>7625</v>
      </c>
      <c r="D2431" s="66" t="s">
        <v>9928</v>
      </c>
    </row>
    <row r="2432" ht="15.75" customHeight="1">
      <c r="A2432" s="66">
        <f>'Main dataset (DEPRECATED)'!Q2433</f>
        <v>485144</v>
      </c>
      <c r="B2432" s="66" t="str">
        <f>IFERROR(__xludf.DUMMYFUNCTION("SPLIT('Main dataset (DEPRECATED)'!N2433,"";"")"),"#REF!")</f>
        <v>#REF!</v>
      </c>
      <c r="C2432" s="66" t="s">
        <v>10618</v>
      </c>
      <c r="D2432" s="66" t="s">
        <v>4987</v>
      </c>
    </row>
    <row r="2433" ht="15.75" customHeight="1">
      <c r="A2433" s="66">
        <f>'Main dataset (DEPRECATED)'!Q2434</f>
        <v>480805</v>
      </c>
      <c r="B2433" s="66" t="str">
        <f>IFERROR(__xludf.DUMMYFUNCTION("SPLIT('Main dataset (DEPRECATED)'!N2434,"";"")"),"#REF!")</f>
        <v>#REF!</v>
      </c>
      <c r="C2433" s="66" t="s">
        <v>7702</v>
      </c>
      <c r="D2433" s="66" t="s">
        <v>10753</v>
      </c>
    </row>
    <row r="2434" ht="15.75" customHeight="1">
      <c r="A2434" s="66">
        <f>'Main dataset (DEPRECATED)'!Q2435</f>
        <v>480808</v>
      </c>
      <c r="B2434" s="66" t="str">
        <f>IFERROR(__xludf.DUMMYFUNCTION("SPLIT('Main dataset (DEPRECATED)'!N2435,"";"")"),"#REF!")</f>
        <v>#REF!</v>
      </c>
      <c r="C2434" s="66" t="s">
        <v>11669</v>
      </c>
    </row>
    <row r="2435" ht="15.75" customHeight="1">
      <c r="A2435" s="66">
        <f>'Main dataset (DEPRECATED)'!Q2436</f>
        <v>485156</v>
      </c>
      <c r="B2435" s="66" t="str">
        <f>IFERROR(__xludf.DUMMYFUNCTION("SPLIT('Main dataset (DEPRECATED)'!N2436,"";"")"),"#REF!")</f>
        <v>#REF!</v>
      </c>
      <c r="C2435" s="66" t="s">
        <v>7721</v>
      </c>
    </row>
    <row r="2436" ht="15.75" customHeight="1">
      <c r="A2436" s="66">
        <f>'Main dataset (DEPRECATED)'!Q2437</f>
        <v>485139</v>
      </c>
      <c r="B2436" s="66" t="str">
        <f>IFERROR(__xludf.DUMMYFUNCTION("SPLIT('Main dataset (DEPRECATED)'!N2437,"";"")"),"#REF!")</f>
        <v>#REF!</v>
      </c>
      <c r="C2436" s="66" t="s">
        <v>11333</v>
      </c>
    </row>
    <row r="2437" ht="15.75" customHeight="1">
      <c r="A2437" s="66">
        <f>'Main dataset (DEPRECATED)'!Q2438</f>
        <v>480810</v>
      </c>
      <c r="B2437" s="66" t="str">
        <f>IFERROR(__xludf.DUMMYFUNCTION("SPLIT('Main dataset (DEPRECATED)'!N2438,"";"")"),"Knittel, G.")</f>
        <v>Knittel, G.</v>
      </c>
    </row>
    <row r="2438" ht="15.75" customHeight="1">
      <c r="A2438" s="66">
        <f>'Main dataset (DEPRECATED)'!Q2439</f>
        <v>485141</v>
      </c>
      <c r="B2438" s="66" t="str">
        <f>IFERROR(__xludf.DUMMYFUNCTION("SPLIT('Main dataset (DEPRECATED)'!N2439,"";"")"),"#REF!")</f>
        <v>#REF!</v>
      </c>
      <c r="C2438" s="66" t="s">
        <v>11199</v>
      </c>
      <c r="D2438" s="66" t="s">
        <v>9973</v>
      </c>
      <c r="E2438" s="66" t="s">
        <v>10624</v>
      </c>
    </row>
    <row r="2439" ht="15.75" customHeight="1">
      <c r="A2439" s="66">
        <f>'Main dataset (DEPRECATED)'!Q2440</f>
        <v>480798</v>
      </c>
      <c r="B2439" s="66" t="str">
        <f>IFERROR(__xludf.DUMMYFUNCTION("SPLIT('Main dataset (DEPRECATED)'!N2440,"";"")"),"Wittenbrink, C.M.")</f>
        <v>Wittenbrink, C.M.</v>
      </c>
    </row>
    <row r="2440" ht="15.75" customHeight="1">
      <c r="A2440" s="66">
        <f>'Main dataset (DEPRECATED)'!Q2441</f>
        <v>485169</v>
      </c>
      <c r="B2440" s="66" t="str">
        <f>IFERROR(__xludf.DUMMYFUNCTION("SPLIT('Main dataset (DEPRECATED)'!N2441,"";"")"),"#REF!")</f>
        <v>#REF!</v>
      </c>
      <c r="C2440" s="66" t="s">
        <v>9234</v>
      </c>
      <c r="D2440" s="66" t="s">
        <v>9636</v>
      </c>
    </row>
    <row r="2441" ht="15.75" customHeight="1">
      <c r="A2441" s="66">
        <f>'Main dataset (DEPRECATED)'!Q2442</f>
        <v>480790</v>
      </c>
      <c r="B2441" s="66" t="str">
        <f>IFERROR(__xludf.DUMMYFUNCTION("SPLIT('Main dataset (DEPRECATED)'!N2442,"";"")"),"#REF!")</f>
        <v>#REF!</v>
      </c>
      <c r="C2441" s="66" t="s">
        <v>9297</v>
      </c>
      <c r="D2441" s="66" t="s">
        <v>10801</v>
      </c>
    </row>
    <row r="2442" ht="15.75" customHeight="1">
      <c r="A2442" s="66">
        <f>'Main dataset (DEPRECATED)'!Q2443</f>
        <v>480791</v>
      </c>
      <c r="B2442" s="66" t="str">
        <f>IFERROR(__xludf.DUMMYFUNCTION("SPLIT('Main dataset (DEPRECATED)'!N2443,"";"")"),"Cross, R.A.")</f>
        <v>Cross, R.A.</v>
      </c>
    </row>
    <row r="2443" ht="15.75" customHeight="1">
      <c r="A2443" s="66">
        <f>'Main dataset (DEPRECATED)'!Q2444</f>
        <v>480818</v>
      </c>
      <c r="B2443" s="66" t="str">
        <f>IFERROR(__xludf.DUMMYFUNCTION("SPLIT('Main dataset (DEPRECATED)'!N2444,"";"")"),"#REF!")</f>
        <v>#REF!</v>
      </c>
      <c r="C2443" s="66" t="s">
        <v>11598</v>
      </c>
      <c r="D2443" s="66" t="s">
        <v>8645</v>
      </c>
    </row>
    <row r="2444" ht="15.75" customHeight="1">
      <c r="A2444" s="66">
        <f>'Main dataset (DEPRECATED)'!Q2445</f>
        <v>480789</v>
      </c>
      <c r="B2444" s="66" t="str">
        <f>IFERROR(__xludf.DUMMYFUNCTION("SPLIT('Main dataset (DEPRECATED)'!N2445,"";"")"),"Guo, B.")</f>
        <v>Guo, B.</v>
      </c>
    </row>
    <row r="2445" ht="15.75" customHeight="1">
      <c r="A2445" s="66">
        <f>'Main dataset (DEPRECATED)'!Q2446</f>
        <v>480807</v>
      </c>
      <c r="B2445" s="66" t="str">
        <f>IFERROR(__xludf.DUMMYFUNCTION("SPLIT('Main dataset (DEPRECATED)'!N2446,"";"")"),"#REF!")</f>
        <v>#REF!</v>
      </c>
      <c r="C2445" s="66" t="s">
        <v>9186</v>
      </c>
      <c r="D2445" s="66" t="s">
        <v>10367</v>
      </c>
    </row>
    <row r="2446" ht="15.75" customHeight="1">
      <c r="A2446" s="66">
        <f>'Main dataset (DEPRECATED)'!Q2447</f>
        <v>480814</v>
      </c>
      <c r="B2446" s="66" t="str">
        <f>IFERROR(__xludf.DUMMYFUNCTION("SPLIT('Main dataset (DEPRECATED)'!N2447,"";"")"),"#REF!")</f>
        <v>#REF!</v>
      </c>
      <c r="C2446" s="66" t="s">
        <v>6438</v>
      </c>
    </row>
    <row r="2447" ht="15.75" customHeight="1">
      <c r="A2447" s="66">
        <f>'Main dataset (DEPRECATED)'!Q2448</f>
        <v>485154</v>
      </c>
      <c r="B2447" s="66" t="str">
        <f>IFERROR(__xludf.DUMMYFUNCTION("SPLIT('Main dataset (DEPRECATED)'!N2448,"";"")"),"Lorensen, W.F.")</f>
        <v>Lorensen, W.F.</v>
      </c>
    </row>
    <row r="2448" ht="15.75" customHeight="1">
      <c r="A2448" s="66">
        <f>'Main dataset (DEPRECATED)'!Q2449</f>
        <v>480797</v>
      </c>
      <c r="B2448" s="66" t="str">
        <f>IFERROR(__xludf.DUMMYFUNCTION("SPLIT('Main dataset (DEPRECATED)'!N2449,"";"")"),"#REF!")</f>
        <v>#REF!</v>
      </c>
      <c r="C2448" s="66" t="s">
        <v>10047</v>
      </c>
    </row>
    <row r="2449" ht="15.75" customHeight="1">
      <c r="A2449" s="66">
        <f>'Main dataset (DEPRECATED)'!Q2450</f>
        <v>485145</v>
      </c>
      <c r="B2449" s="66" t="str">
        <f>IFERROR(__xludf.DUMMYFUNCTION("SPLIT('Main dataset (DEPRECATED)'!N2450,"";"")"),"#REF!")</f>
        <v>#REF!</v>
      </c>
      <c r="C2449" s="66" t="s">
        <v>8922</v>
      </c>
    </row>
    <row r="2450" ht="15.75" customHeight="1">
      <c r="A2450" s="66">
        <f>'Main dataset (DEPRECATED)'!Q2451</f>
        <v>485149</v>
      </c>
      <c r="B2450" s="66" t="str">
        <f>IFERROR(__xludf.DUMMYFUNCTION("SPLIT('Main dataset (DEPRECATED)'!N2451,"";"")"),"Muller, A.A.")</f>
        <v>Muller, A.A.</v>
      </c>
    </row>
    <row r="2451" ht="15.75" customHeight="1">
      <c r="A2451" s="66">
        <f>'Main dataset (DEPRECATED)'!Q2452</f>
        <v>485147</v>
      </c>
      <c r="B2451" s="66" t="str">
        <f>IFERROR(__xludf.DUMMYFUNCTION("SPLIT('Main dataset (DEPRECATED)'!N2452,"";"")"),"#REF!")</f>
        <v>#REF!</v>
      </c>
      <c r="C2451" s="66" t="s">
        <v>8443</v>
      </c>
      <c r="D2451" s="66" t="s">
        <v>8554</v>
      </c>
      <c r="E2451" s="66" t="s">
        <v>7593</v>
      </c>
    </row>
    <row r="2452" ht="15.75" customHeight="1">
      <c r="A2452" s="66">
        <f>'Main dataset (DEPRECATED)'!Q2453</f>
        <v>485148</v>
      </c>
      <c r="B2452" s="66" t="str">
        <f>IFERROR(__xludf.DUMMYFUNCTION("SPLIT('Main dataset (DEPRECATED)'!N2453,"";"")"),"#REF!")</f>
        <v>#REF!</v>
      </c>
      <c r="C2452" s="66" t="s">
        <v>7203</v>
      </c>
      <c r="D2452" s="66" t="s">
        <v>7369</v>
      </c>
      <c r="E2452" s="66" t="s">
        <v>10304</v>
      </c>
    </row>
    <row r="2453" ht="15.75" customHeight="1">
      <c r="A2453" s="66">
        <f>'Main dataset (DEPRECATED)'!Q2454</f>
        <v>485140</v>
      </c>
      <c r="B2453" s="66" t="str">
        <f>IFERROR(__xludf.DUMMYFUNCTION("SPLIT('Main dataset (DEPRECATED)'!N2454,"";"")"),"#REF!")</f>
        <v>#REF!</v>
      </c>
      <c r="C2453" s="66" t="s">
        <v>8851</v>
      </c>
      <c r="D2453" s="66" t="s">
        <v>6249</v>
      </c>
    </row>
    <row r="2454" ht="15.75" customHeight="1">
      <c r="A2454" s="66">
        <f>'Main dataset (DEPRECATED)'!Q2455</f>
        <v>480804</v>
      </c>
      <c r="B2454" s="66" t="str">
        <f>IFERROR(__xludf.DUMMYFUNCTION("SPLIT('Main dataset (DEPRECATED)'!N2455,"";"")"),"#REF!")</f>
        <v>#REF!</v>
      </c>
      <c r="C2454" s="66" t="s">
        <v>8313</v>
      </c>
    </row>
    <row r="2455" ht="15.75" customHeight="1">
      <c r="A2455" s="66">
        <f>'Main dataset (DEPRECATED)'!Q2456</f>
        <v>480796</v>
      </c>
      <c r="B2455" s="66" t="str">
        <f>IFERROR(__xludf.DUMMYFUNCTION("SPLIT('Main dataset (DEPRECATED)'!N2456,"";"")"),"#REF!")</f>
        <v>#REF!</v>
      </c>
      <c r="C2455" s="66" t="s">
        <v>9047</v>
      </c>
      <c r="D2455" s="66" t="s">
        <v>8645</v>
      </c>
    </row>
    <row r="2456" ht="15.75" customHeight="1">
      <c r="A2456" s="66">
        <f>'Main dataset (DEPRECATED)'!Q2457</f>
        <v>480815</v>
      </c>
      <c r="B2456" s="66" t="str">
        <f>IFERROR(__xludf.DUMMYFUNCTION("SPLIT('Main dataset (DEPRECATED)'!N2457,"";"")"),"#REF!")</f>
        <v>#REF!</v>
      </c>
      <c r="C2456" s="66" t="s">
        <v>8611</v>
      </c>
      <c r="D2456" s="66" t="s">
        <v>10103</v>
      </c>
    </row>
    <row r="2457" ht="15.75" customHeight="1">
      <c r="A2457" s="66">
        <f>'Main dataset (DEPRECATED)'!Q2458</f>
        <v>480806</v>
      </c>
      <c r="B2457" s="66" t="str">
        <f>IFERROR(__xludf.DUMMYFUNCTION("SPLIT('Main dataset (DEPRECATED)'!N2458,"";"")"),"#REF!")</f>
        <v>#REF!</v>
      </c>
      <c r="C2457" s="66" t="s">
        <v>8530</v>
      </c>
    </row>
    <row r="2458" ht="15.75" customHeight="1">
      <c r="A2458" s="66">
        <f>'Main dataset (DEPRECATED)'!Q2459</f>
        <v>480820</v>
      </c>
      <c r="B2458" s="66" t="str">
        <f>IFERROR(__xludf.DUMMYFUNCTION("SPLIT('Main dataset (DEPRECATED)'!N2459,"";"")"),"#REF!")</f>
        <v>#REF!</v>
      </c>
      <c r="C2458" s="66" t="s">
        <v>10664</v>
      </c>
    </row>
    <row r="2459" ht="15.75" customHeight="1">
      <c r="A2459" s="66">
        <f>'Main dataset (DEPRECATED)'!Q2460</f>
        <v>485158</v>
      </c>
      <c r="B2459" s="66" t="str">
        <f>IFERROR(__xludf.DUMMYFUNCTION("SPLIT('Main dataset (DEPRECATED)'!N2460,"";"")"),"#REF!")</f>
        <v>#REF!</v>
      </c>
      <c r="C2459" s="66" t="s">
        <v>9047</v>
      </c>
      <c r="D2459" s="66" t="s">
        <v>8645</v>
      </c>
      <c r="E2459" s="66" t="s">
        <v>11213</v>
      </c>
      <c r="F2459" s="66" t="s">
        <v>11325</v>
      </c>
    </row>
    <row r="2460" ht="15.75" customHeight="1">
      <c r="A2460" s="66">
        <f>'Main dataset (DEPRECATED)'!Q2461</f>
        <v>485146</v>
      </c>
      <c r="B2460" s="66" t="str">
        <f>IFERROR(__xludf.DUMMYFUNCTION("SPLIT('Main dataset (DEPRECATED)'!N2461,"";"")"),"#REF!")</f>
        <v>#REF!</v>
      </c>
      <c r="C2460" s="66" t="s">
        <v>8922</v>
      </c>
      <c r="D2460" s="66" t="s">
        <v>9279</v>
      </c>
    </row>
    <row r="2461" ht="15.75" customHeight="1">
      <c r="A2461" s="66">
        <f>'Main dataset (DEPRECATED)'!Q2462</f>
        <v>480819</v>
      </c>
      <c r="B2461" s="66" t="str">
        <f>IFERROR(__xludf.DUMMYFUNCTION("SPLIT('Main dataset (DEPRECATED)'!N2462,"";"")"),"Dovey, D.")</f>
        <v>Dovey, D.</v>
      </c>
    </row>
    <row r="2462" ht="15.75" customHeight="1">
      <c r="A2462" s="66">
        <f>'Main dataset (DEPRECATED)'!Q2463</f>
        <v>480800</v>
      </c>
      <c r="B2462" s="66" t="str">
        <f>IFERROR(__xludf.DUMMYFUNCTION("SPLIT('Main dataset (DEPRECATED)'!N2463,"";"")"),"#REF!")</f>
        <v>#REF!</v>
      </c>
      <c r="C2462" s="66" t="s">
        <v>9072</v>
      </c>
      <c r="D2462" s="66" t="s">
        <v>10140</v>
      </c>
      <c r="E2462" s="66" t="s">
        <v>8209</v>
      </c>
      <c r="F2462" s="66" t="s">
        <v>7480</v>
      </c>
      <c r="G2462" s="66" t="s">
        <v>11118</v>
      </c>
    </row>
    <row r="2463" ht="15.75" customHeight="1">
      <c r="A2463" s="66">
        <f>'Main dataset (DEPRECATED)'!Q2464</f>
        <v>485150</v>
      </c>
      <c r="B2463" s="66" t="str">
        <f>IFERROR(__xludf.DUMMYFUNCTION("SPLIT('Main dataset (DEPRECATED)'!N2464,"";"")"),"Kerlick, G.D.")</f>
        <v>Kerlick, G.D.</v>
      </c>
    </row>
    <row r="2464" ht="15.75" customHeight="1">
      <c r="A2464" s="66">
        <f>'Main dataset (DEPRECATED)'!Q2465</f>
        <v>480794</v>
      </c>
      <c r="B2464" s="66" t="str">
        <f>IFERROR(__xludf.DUMMYFUNCTION("SPLIT('Main dataset (DEPRECATED)'!N2465,"";"")"),"#REF!")</f>
        <v>#REF!</v>
      </c>
      <c r="C2464" s="66" t="s">
        <v>6371</v>
      </c>
      <c r="D2464" s="66" t="s">
        <v>10598</v>
      </c>
      <c r="E2464" s="66" t="s">
        <v>6781</v>
      </c>
      <c r="F2464" s="66" t="s">
        <v>10127</v>
      </c>
      <c r="G2464" s="66" t="s">
        <v>10154</v>
      </c>
    </row>
    <row r="2465" ht="15.75" customHeight="1">
      <c r="A2465" s="66">
        <f>'Main dataset (DEPRECATED)'!Q2466</f>
        <v>485151</v>
      </c>
      <c r="B2465" s="66" t="str">
        <f>IFERROR(__xludf.DUMMYFUNCTION("SPLIT('Main dataset (DEPRECATED)'!N2466,"";"")"),"#REF!")</f>
        <v>#REF!</v>
      </c>
      <c r="C2465" s="66" t="s">
        <v>10695</v>
      </c>
    </row>
    <row r="2466" ht="15.75" customHeight="1">
      <c r="A2466" s="66">
        <f>'Main dataset (DEPRECATED)'!Q2467</f>
        <v>485170</v>
      </c>
      <c r="B2466" s="66" t="str">
        <f>IFERROR(__xludf.DUMMYFUNCTION("SPLIT('Main dataset (DEPRECATED)'!N2467,"";"")"),"Oliver, G.W.")</f>
        <v>Oliver, G.W.</v>
      </c>
    </row>
    <row r="2467" ht="15.75" customHeight="1">
      <c r="A2467" s="66">
        <f>'Main dataset (DEPRECATED)'!Q2468</f>
        <v>485152</v>
      </c>
      <c r="B2467" s="66" t="str">
        <f>IFERROR(__xludf.DUMMYFUNCTION("SPLIT('Main dataset (DEPRECATED)'!N2468,"";"")"),"#REF!")</f>
        <v>#REF!</v>
      </c>
      <c r="C2467" s="66" t="s">
        <v>9140</v>
      </c>
      <c r="D2467" s="66" t="s">
        <v>10092</v>
      </c>
      <c r="E2467" s="66" t="s">
        <v>9406</v>
      </c>
    </row>
    <row r="2468" ht="15.75" customHeight="1">
      <c r="A2468" s="66">
        <f>'Main dataset (DEPRECATED)'!Q2469</f>
        <v>485142</v>
      </c>
      <c r="B2468" s="66" t="str">
        <f>IFERROR(__xludf.DUMMYFUNCTION("SPLIT('Main dataset (DEPRECATED)'!N2469,"";"")"),"#REF!")</f>
        <v>#REF!</v>
      </c>
      <c r="C2468" s="66" t="s">
        <v>9047</v>
      </c>
      <c r="D2468" s="66" t="s">
        <v>8645</v>
      </c>
      <c r="E2468" s="66" t="s">
        <v>11213</v>
      </c>
      <c r="F2468" s="66" t="s">
        <v>11325</v>
      </c>
    </row>
    <row r="2469" ht="15.75" customHeight="1">
      <c r="A2469" s="66">
        <f>'Main dataset (DEPRECATED)'!Q2470</f>
        <v>346328</v>
      </c>
      <c r="B2469" s="66" t="str">
        <f>IFERROR(__xludf.DUMMYFUNCTION("SPLIT('Main dataset (DEPRECATED)'!N2470,"";"")"),"#REF!")</f>
        <v>#REF!</v>
      </c>
      <c r="C2469" s="66" t="s">
        <v>11790</v>
      </c>
    </row>
    <row r="2470" ht="15.75" customHeight="1">
      <c r="A2470" s="66">
        <f>'Main dataset (DEPRECATED)'!Q2471</f>
        <v>346299</v>
      </c>
      <c r="B2470" s="66" t="str">
        <f>IFERROR(__xludf.DUMMYFUNCTION("SPLIT('Main dataset (DEPRECATED)'!N2471,"";"")"),"#REF!")</f>
        <v>#REF!</v>
      </c>
      <c r="C2470" s="66" t="s">
        <v>9749</v>
      </c>
    </row>
    <row r="2471" ht="15.75" customHeight="1">
      <c r="A2471" s="66">
        <f>'Main dataset (DEPRECATED)'!Q2472</f>
        <v>346341</v>
      </c>
      <c r="B2471" s="66" t="str">
        <f>IFERROR(__xludf.DUMMYFUNCTION("SPLIT('Main dataset (DEPRECATED)'!N2472,"";"")"),"#REF!")</f>
        <v>#REF!</v>
      </c>
      <c r="C2471" s="66" t="s">
        <v>9003</v>
      </c>
      <c r="D2471" s="66" t="s">
        <v>7795</v>
      </c>
      <c r="E2471" s="66" t="s">
        <v>6617</v>
      </c>
    </row>
    <row r="2472" ht="15.75" customHeight="1">
      <c r="A2472" s="66">
        <f>'Main dataset (DEPRECATED)'!Q2473</f>
        <v>346304</v>
      </c>
      <c r="B2472" s="66" t="str">
        <f>IFERROR(__xludf.DUMMYFUNCTION("SPLIT('Main dataset (DEPRECATED)'!N2473,"";"")"),"#REF!")</f>
        <v>#REF!</v>
      </c>
      <c r="C2472" s="66" t="s">
        <v>7349</v>
      </c>
      <c r="D2472" s="66" t="s">
        <v>9821</v>
      </c>
    </row>
    <row r="2473" ht="15.75" customHeight="1">
      <c r="A2473" s="66">
        <f>'Main dataset (DEPRECATED)'!Q2474</f>
        <v>346323</v>
      </c>
      <c r="B2473" s="66" t="str">
        <f>IFERROR(__xludf.DUMMYFUNCTION("SPLIT('Main dataset (DEPRECATED)'!N2474,"";"")"),"#REF!")</f>
        <v>#REF!</v>
      </c>
      <c r="C2473" s="66" t="s">
        <v>6682</v>
      </c>
    </row>
    <row r="2474" ht="15.75" customHeight="1">
      <c r="A2474" s="66">
        <f>'Main dataset (DEPRECATED)'!Q2475</f>
        <v>346309</v>
      </c>
      <c r="B2474" s="66" t="str">
        <f>IFERROR(__xludf.DUMMYFUNCTION("SPLIT('Main dataset (DEPRECATED)'!N2475,"";"")"),"#REF!")</f>
        <v>#REF!</v>
      </c>
      <c r="C2474" s="66" t="s">
        <v>8309</v>
      </c>
    </row>
    <row r="2475" ht="15.75" customHeight="1">
      <c r="A2475" s="66">
        <f>'Main dataset (DEPRECATED)'!Q2476</f>
        <v>346331</v>
      </c>
      <c r="B2475" s="66" t="str">
        <f>IFERROR(__xludf.DUMMYFUNCTION("SPLIT('Main dataset (DEPRECATED)'!N2476,"";"")"),"#REF!")</f>
        <v>#REF!</v>
      </c>
      <c r="C2475" s="66" t="s">
        <v>9108</v>
      </c>
    </row>
    <row r="2476" ht="15.75" customHeight="1">
      <c r="A2476" s="66">
        <f>'Main dataset (DEPRECATED)'!Q2477</f>
        <v>346303</v>
      </c>
      <c r="B2476" s="66" t="str">
        <f>IFERROR(__xludf.DUMMYFUNCTION("SPLIT('Main dataset (DEPRECATED)'!N2477,"";"")"),"#REF!")</f>
        <v>#REF!</v>
      </c>
      <c r="C2476" s="66" t="s">
        <v>8000</v>
      </c>
    </row>
    <row r="2477" ht="15.75" customHeight="1">
      <c r="A2477" s="66">
        <f>'Main dataset (DEPRECATED)'!Q2478</f>
        <v>346307</v>
      </c>
      <c r="B2477" s="66" t="str">
        <f>IFERROR(__xludf.DUMMYFUNCTION("SPLIT('Main dataset (DEPRECATED)'!N2478,"";"")"),"Matveyev, S.V.")</f>
        <v>Matveyev, S.V.</v>
      </c>
    </row>
    <row r="2478" ht="15.75" customHeight="1">
      <c r="A2478" s="66">
        <f>'Main dataset (DEPRECATED)'!Q2479</f>
        <v>346289</v>
      </c>
      <c r="B2478" s="66" t="str">
        <f>IFERROR(__xludf.DUMMYFUNCTION("SPLIT('Main dataset (DEPRECATED)'!N2479,"";"")"),"#REF!")</f>
        <v>#REF!</v>
      </c>
      <c r="C2478" s="66" t="s">
        <v>7354</v>
      </c>
      <c r="D2478" s="66" t="s">
        <v>7398</v>
      </c>
      <c r="E2478" s="66" t="s">
        <v>7820</v>
      </c>
      <c r="F2478" s="66" t="s">
        <v>9338</v>
      </c>
    </row>
    <row r="2479" ht="15.75" customHeight="1">
      <c r="A2479" s="66">
        <f>'Main dataset (DEPRECATED)'!Q2480</f>
        <v>346321</v>
      </c>
      <c r="B2479" s="66" t="str">
        <f>IFERROR(__xludf.DUMMYFUNCTION("SPLIT('Main dataset (DEPRECATED)'!N2480,"";"")"),"#REF!")</f>
        <v>#REF!</v>
      </c>
      <c r="C2479" s="66" t="s">
        <v>8530</v>
      </c>
    </row>
    <row r="2480" ht="15.75" customHeight="1">
      <c r="A2480" s="66">
        <f>'Main dataset (DEPRECATED)'!Q2481</f>
        <v>346308</v>
      </c>
      <c r="B2480" s="66" t="str">
        <f>IFERROR(__xludf.DUMMYFUNCTION("SPLIT('Main dataset (DEPRECATED)'!N2481,"";"")"),"#REF!")</f>
        <v>#REF!</v>
      </c>
      <c r="C2480" s="66" t="s">
        <v>10384</v>
      </c>
      <c r="D2480" s="66" t="s">
        <v>10472</v>
      </c>
    </row>
    <row r="2481" ht="15.75" customHeight="1">
      <c r="A2481" s="66">
        <f>'Main dataset (DEPRECATED)'!Q2482</f>
        <v>346320</v>
      </c>
      <c r="B2481" s="66" t="str">
        <f>IFERROR(__xludf.DUMMYFUNCTION("SPLIT('Main dataset (DEPRECATED)'!N2482,"";"")"),"Sramek, M.")</f>
        <v>Sramek, M.</v>
      </c>
    </row>
    <row r="2482" ht="15.75" customHeight="1">
      <c r="A2482" s="66">
        <f>'Main dataset (DEPRECATED)'!Q2483</f>
        <v>346329</v>
      </c>
      <c r="B2482" s="66" t="str">
        <f>IFERROR(__xludf.DUMMYFUNCTION("SPLIT('Main dataset (DEPRECATED)'!N2483,"";"")"),"#REF!")</f>
        <v>#REF!</v>
      </c>
      <c r="C2482" s="66" t="s">
        <v>11311</v>
      </c>
    </row>
    <row r="2483" ht="15.75" customHeight="1">
      <c r="A2483" s="66">
        <f>'Main dataset (DEPRECATED)'!Q2484</f>
        <v>346325</v>
      </c>
      <c r="B2483" s="66" t="str">
        <f>IFERROR(__xludf.DUMMYFUNCTION("SPLIT('Main dataset (DEPRECATED)'!N2484,"";"")"),"#REF!")</f>
        <v>#REF!</v>
      </c>
      <c r="C2483" s="66" t="s">
        <v>7269</v>
      </c>
    </row>
    <row r="2484" ht="15.75" customHeight="1">
      <c r="A2484" s="66">
        <f>'Main dataset (DEPRECATED)'!Q2485</f>
        <v>346339</v>
      </c>
      <c r="B2484" s="66" t="str">
        <f>IFERROR(__xludf.DUMMYFUNCTION("SPLIT('Main dataset (DEPRECATED)'!N2485,"";"")"),"#REF!")</f>
        <v>#REF!</v>
      </c>
      <c r="C2484" s="66" t="s">
        <v>9124</v>
      </c>
      <c r="D2484" s="66" t="s">
        <v>9078</v>
      </c>
    </row>
    <row r="2485" ht="15.75" customHeight="1">
      <c r="A2485" s="66">
        <f>'Main dataset (DEPRECATED)'!Q2486</f>
        <v>346342</v>
      </c>
      <c r="B2485" s="66" t="str">
        <f>IFERROR(__xludf.DUMMYFUNCTION("SPLIT('Main dataset (DEPRECATED)'!N2486,"";"")"),"#REF!")</f>
        <v>#REF!</v>
      </c>
      <c r="C2485" s="66" t="s">
        <v>9248</v>
      </c>
      <c r="D2485" s="66" t="s">
        <v>7305</v>
      </c>
    </row>
    <row r="2486" ht="15.75" customHeight="1">
      <c r="A2486" s="66">
        <f>'Main dataset (DEPRECATED)'!Q2487</f>
        <v>346296</v>
      </c>
      <c r="B2486" s="66" t="str">
        <f>IFERROR(__xludf.DUMMYFUNCTION("SPLIT('Main dataset (DEPRECATED)'!N2487,"";"")"),"#REF!")</f>
        <v>#REF!</v>
      </c>
      <c r="C2486" s="66" t="s">
        <v>8100</v>
      </c>
      <c r="D2486" s="66" t="s">
        <v>7593</v>
      </c>
    </row>
    <row r="2487" ht="15.75" customHeight="1">
      <c r="A2487" s="66">
        <f>'Main dataset (DEPRECATED)'!Q2488</f>
        <v>346337</v>
      </c>
      <c r="B2487" s="66" t="str">
        <f>IFERROR(__xludf.DUMMYFUNCTION("SPLIT('Main dataset (DEPRECATED)'!N2488,"";"")"),"#REF!")</f>
        <v>#REF!</v>
      </c>
      <c r="C2487" s="66" t="s">
        <v>11292</v>
      </c>
    </row>
    <row r="2488" ht="15.75" customHeight="1">
      <c r="A2488" s="66">
        <f>'Main dataset (DEPRECATED)'!Q2489</f>
        <v>346334</v>
      </c>
      <c r="B2488" s="66" t="str">
        <f>IFERROR(__xludf.DUMMYFUNCTION("SPLIT('Main dataset (DEPRECATED)'!N2489,"";"")"),"#REF!")</f>
        <v>#REF!</v>
      </c>
      <c r="C2488" s="66" t="s">
        <v>8838</v>
      </c>
    </row>
    <row r="2489" ht="15.75" customHeight="1">
      <c r="A2489" s="66">
        <f>'Main dataset (DEPRECATED)'!Q2490</f>
        <v>346305</v>
      </c>
      <c r="B2489" s="66" t="str">
        <f>IFERROR(__xludf.DUMMYFUNCTION("SPLIT('Main dataset (DEPRECATED)'!N2490,"";"")"),"#REF!")</f>
        <v>#REF!</v>
      </c>
      <c r="C2489" s="66" t="s">
        <v>6209</v>
      </c>
    </row>
    <row r="2490" ht="15.75" customHeight="1">
      <c r="A2490" s="66">
        <f>'Main dataset (DEPRECATED)'!Q2491</f>
        <v>346293</v>
      </c>
      <c r="B2490" s="66" t="str">
        <f>IFERROR(__xludf.DUMMYFUNCTION("SPLIT('Main dataset (DEPRECATED)'!N2491,"";"")"),"#REF!")</f>
        <v>#REF!</v>
      </c>
      <c r="C2490" s="66" t="s">
        <v>10570</v>
      </c>
    </row>
    <row r="2491" ht="15.75" customHeight="1">
      <c r="A2491" s="66">
        <f>'Main dataset (DEPRECATED)'!Q2492</f>
        <v>346306</v>
      </c>
      <c r="B2491" s="66" t="str">
        <f>IFERROR(__xludf.DUMMYFUNCTION("SPLIT('Main dataset (DEPRECATED)'!N2492,"";"")"),"#REF!")</f>
        <v>#REF!</v>
      </c>
      <c r="C2491" s="66" t="s">
        <v>8309</v>
      </c>
    </row>
    <row r="2492" ht="15.75" customHeight="1">
      <c r="A2492" s="66">
        <f>'Main dataset (DEPRECATED)'!Q2493</f>
        <v>346295</v>
      </c>
      <c r="B2492" s="66" t="str">
        <f>IFERROR(__xludf.DUMMYFUNCTION("SPLIT('Main dataset (DEPRECATED)'!N2493,"";"")"),"#REF!")</f>
        <v>#REF!</v>
      </c>
      <c r="C2492" s="66" t="s">
        <v>6851</v>
      </c>
      <c r="D2492" s="66" t="s">
        <v>10990</v>
      </c>
      <c r="E2492" s="66" t="s">
        <v>6624</v>
      </c>
      <c r="F2492" s="66" t="s">
        <v>8239</v>
      </c>
      <c r="G2492" s="66" t="s">
        <v>9703</v>
      </c>
      <c r="H2492" s="66" t="s">
        <v>6323</v>
      </c>
      <c r="I2492" s="66" t="s">
        <v>7625</v>
      </c>
    </row>
    <row r="2493" ht="15.75" customHeight="1">
      <c r="A2493" s="66">
        <f>'Main dataset (DEPRECATED)'!Q2494</f>
        <v>346319</v>
      </c>
      <c r="B2493" s="66" t="str">
        <f>IFERROR(__xludf.DUMMYFUNCTION("SPLIT('Main dataset (DEPRECATED)'!N2494,"";"")"),"#REF!")</f>
        <v>#REF!</v>
      </c>
      <c r="C2493" s="66" t="s">
        <v>8645</v>
      </c>
    </row>
    <row r="2494" ht="15.75" customHeight="1">
      <c r="A2494" s="66">
        <f>'Main dataset (DEPRECATED)'!Q2495</f>
        <v>346336</v>
      </c>
      <c r="B2494" s="66" t="str">
        <f>IFERROR(__xludf.DUMMYFUNCTION("SPLIT('Main dataset (DEPRECATED)'!N2495,"";"")"),"#REF!")</f>
        <v>#REF!</v>
      </c>
      <c r="C2494" s="66" t="s">
        <v>7834</v>
      </c>
    </row>
    <row r="2495" ht="15.75" customHeight="1">
      <c r="A2495" s="66">
        <f>'Main dataset (DEPRECATED)'!Q2496</f>
        <v>346332</v>
      </c>
      <c r="B2495" s="66" t="str">
        <f>IFERROR(__xludf.DUMMYFUNCTION("SPLIT('Main dataset (DEPRECATED)'!N2496,"";"")"),"#REF!")</f>
        <v>#REF!</v>
      </c>
      <c r="C2495" s="66" t="s">
        <v>9495</v>
      </c>
    </row>
    <row r="2496" ht="15.75" customHeight="1">
      <c r="A2496" s="66">
        <f>'Main dataset (DEPRECATED)'!Q2497</f>
        <v>346317</v>
      </c>
      <c r="B2496" s="66" t="str">
        <f>IFERROR(__xludf.DUMMYFUNCTION("SPLIT('Main dataset (DEPRECATED)'!N2497,"";"")"),"#REF!")</f>
        <v>#REF!</v>
      </c>
      <c r="C2496" s="66" t="s">
        <v>6806</v>
      </c>
      <c r="D2496" s="66" t="s">
        <v>10593</v>
      </c>
    </row>
    <row r="2497" ht="15.75" customHeight="1">
      <c r="A2497" s="66">
        <f>'Main dataset (DEPRECATED)'!Q2498</f>
        <v>346298</v>
      </c>
      <c r="B2497" s="66" t="str">
        <f>IFERROR(__xludf.DUMMYFUNCTION("SPLIT('Main dataset (DEPRECATED)'!N2498,"";"")"),"Treinish, L.A.")</f>
        <v>Treinish, L.A.</v>
      </c>
    </row>
    <row r="2498" ht="15.75" customHeight="1">
      <c r="A2498" s="66">
        <f>'Main dataset (DEPRECATED)'!Q2499</f>
        <v>346318</v>
      </c>
      <c r="B2498" s="66" t="str">
        <f>IFERROR(__xludf.DUMMYFUNCTION("SPLIT('Main dataset (DEPRECATED)'!N2499,"";"")"),"#REF!")</f>
        <v>#REF!</v>
      </c>
      <c r="C2498" s="66" t="s">
        <v>6369</v>
      </c>
    </row>
    <row r="2499" ht="15.75" customHeight="1">
      <c r="A2499" s="66">
        <f>'Main dataset (DEPRECATED)'!Q2500</f>
        <v>346322</v>
      </c>
      <c r="B2499" s="66" t="str">
        <f>IFERROR(__xludf.DUMMYFUNCTION("SPLIT('Main dataset (DEPRECATED)'!N2500,"";"")"),"#REF!")</f>
        <v>#REF!</v>
      </c>
      <c r="C2499" s="66" t="s">
        <v>10239</v>
      </c>
      <c r="D2499" s="66" t="s">
        <v>10254</v>
      </c>
    </row>
    <row r="2500" ht="15.75" customHeight="1">
      <c r="A2500" s="66">
        <f>'Main dataset (DEPRECATED)'!Q2501</f>
        <v>346315</v>
      </c>
      <c r="B2500" s="66" t="str">
        <f>IFERROR(__xludf.DUMMYFUNCTION("SPLIT('Main dataset (DEPRECATED)'!N2501,"";"")"),"#REF!")</f>
        <v>#REF!</v>
      </c>
      <c r="C2500" s="66" t="s">
        <v>7996</v>
      </c>
      <c r="D2500" s="66" t="s">
        <v>10196</v>
      </c>
      <c r="E2500" s="66" t="s">
        <v>7264</v>
      </c>
      <c r="F2500" s="66" t="s">
        <v>8765</v>
      </c>
    </row>
    <row r="2501" ht="15.75" customHeight="1">
      <c r="A2501" s="66">
        <f>'Main dataset (DEPRECATED)'!Q2502</f>
        <v>346310</v>
      </c>
      <c r="B2501" s="66" t="str">
        <f>IFERROR(__xludf.DUMMYFUNCTION("SPLIT('Main dataset (DEPRECATED)'!N2502,"";"")"),"#REF!")</f>
        <v>#REF!</v>
      </c>
      <c r="C2501" s="66" t="s">
        <v>9508</v>
      </c>
      <c r="D2501" s="66" t="s">
        <v>10689</v>
      </c>
    </row>
    <row r="2502" ht="15.75" customHeight="1">
      <c r="A2502" s="66">
        <f>'Main dataset (DEPRECATED)'!Q2503</f>
        <v>346326</v>
      </c>
      <c r="B2502" s="66" t="str">
        <f>IFERROR(__xludf.DUMMYFUNCTION("SPLIT('Main dataset (DEPRECATED)'!N2503,"";"")"),"#REF!")</f>
        <v>#REF!</v>
      </c>
      <c r="C2502" s="66" t="s">
        <v>8167</v>
      </c>
    </row>
    <row r="2503" ht="15.75" customHeight="1">
      <c r="A2503" s="66">
        <f>'Main dataset (DEPRECATED)'!Q2504</f>
        <v>346301</v>
      </c>
      <c r="B2503" s="66" t="str">
        <f>IFERROR(__xludf.DUMMYFUNCTION("SPLIT('Main dataset (DEPRECATED)'!N2504,"";"")"),"#REF!")</f>
        <v>#REF!</v>
      </c>
      <c r="C2503" s="66" t="s">
        <v>10340</v>
      </c>
    </row>
    <row r="2504" ht="15.75" customHeight="1">
      <c r="A2504" s="66">
        <f>'Main dataset (DEPRECATED)'!Q2505</f>
        <v>346335</v>
      </c>
      <c r="B2504" s="66" t="str">
        <f>IFERROR(__xludf.DUMMYFUNCTION("SPLIT('Main dataset (DEPRECATED)'!N2505,"";"")"),"#REF!")</f>
        <v>#REF!</v>
      </c>
      <c r="C2504" s="66" t="s">
        <v>10271</v>
      </c>
    </row>
    <row r="2505" ht="15.75" customHeight="1">
      <c r="A2505" s="66">
        <f>'Main dataset (DEPRECATED)'!Q2506</f>
        <v>346311</v>
      </c>
      <c r="B2505" s="66" t="str">
        <f>IFERROR(__xludf.DUMMYFUNCTION("SPLIT('Main dataset (DEPRECATED)'!N2506,"";"")"),"Lane, D.A.")</f>
        <v>Lane, D.A.</v>
      </c>
    </row>
    <row r="2506" ht="15.75" customHeight="1">
      <c r="A2506" s="66">
        <f>'Main dataset (DEPRECATED)'!Q2507</f>
        <v>346316</v>
      </c>
      <c r="B2506" s="66" t="str">
        <f>IFERROR(__xludf.DUMMYFUNCTION("SPLIT('Main dataset (DEPRECATED)'!N2507,"";"")"),"#REF!")</f>
        <v>#REF!</v>
      </c>
      <c r="C2506" s="66" t="s">
        <v>7964</v>
      </c>
    </row>
    <row r="2507" ht="15.75" customHeight="1">
      <c r="A2507" s="66">
        <f>'Main dataset (DEPRECATED)'!Q2508</f>
        <v>346285</v>
      </c>
      <c r="B2507" s="66" t="str">
        <f>IFERROR(__xludf.DUMMYFUNCTION("SPLIT('Main dataset (DEPRECATED)'!N2508,"";"")"),"#REF!")</f>
        <v>#REF!</v>
      </c>
      <c r="C2507" s="66" t="s">
        <v>7297</v>
      </c>
      <c r="D2507" s="66" t="s">
        <v>7475</v>
      </c>
      <c r="E2507" s="66" t="s">
        <v>11206</v>
      </c>
      <c r="F2507" s="66" t="s">
        <v>7434</v>
      </c>
      <c r="G2507" s="66" t="s">
        <v>7784</v>
      </c>
    </row>
    <row r="2508" ht="15.75" customHeight="1">
      <c r="A2508" s="66">
        <f>'Main dataset (DEPRECATED)'!Q2509</f>
        <v>346324</v>
      </c>
      <c r="B2508" s="66" t="str">
        <f>IFERROR(__xludf.DUMMYFUNCTION("SPLIT('Main dataset (DEPRECATED)'!N2509,"";"")"),"#REF!")</f>
        <v>#REF!</v>
      </c>
      <c r="C2508" s="66" t="s">
        <v>8053</v>
      </c>
    </row>
    <row r="2509" ht="15.75" customHeight="1">
      <c r="A2509" s="66">
        <f>'Main dataset (DEPRECATED)'!Q2510</f>
        <v>346300</v>
      </c>
      <c r="B2509" s="66" t="str">
        <f>IFERROR(__xludf.DUMMYFUNCTION("SPLIT('Main dataset (DEPRECATED)'!N2510,"";"")"),"#REF!")</f>
        <v>#REF!</v>
      </c>
      <c r="C2509" s="66" t="s">
        <v>10928</v>
      </c>
      <c r="D2509" s="66" t="s">
        <v>6530</v>
      </c>
      <c r="E2509" s="66" t="s">
        <v>7821</v>
      </c>
      <c r="F2509" s="66" t="s">
        <v>9322</v>
      </c>
      <c r="G2509" s="66" t="s">
        <v>8887</v>
      </c>
      <c r="H2509" s="66" t="s">
        <v>8610</v>
      </c>
    </row>
    <row r="2510" ht="15.75" customHeight="1">
      <c r="A2510" s="66">
        <f>'Main dataset (DEPRECATED)'!Q2511</f>
        <v>346284</v>
      </c>
      <c r="B2510" s="66" t="str">
        <f>IFERROR(__xludf.DUMMYFUNCTION("SPLIT('Main dataset (DEPRECATED)'!N2511,"";"")"),"#REF!")</f>
        <v>#REF!</v>
      </c>
      <c r="C2510" s="66" t="s">
        <v>8387</v>
      </c>
      <c r="D2510" s="66" t="s">
        <v>8769</v>
      </c>
      <c r="E2510" s="66" t="s">
        <v>8786</v>
      </c>
      <c r="F2510" s="66" t="s">
        <v>9167</v>
      </c>
    </row>
    <row r="2511" ht="15.75" customHeight="1">
      <c r="A2511" s="66">
        <f>'Main dataset (DEPRECATED)'!Q2512</f>
        <v>346288</v>
      </c>
      <c r="B2511" s="66" t="str">
        <f>IFERROR(__xludf.DUMMYFUNCTION("SPLIT('Main dataset (DEPRECATED)'!N2512,"";"")"),"#REF!")</f>
        <v>#REF!</v>
      </c>
      <c r="C2511" s="66" t="s">
        <v>6971</v>
      </c>
      <c r="D2511" s="66" t="s">
        <v>7254</v>
      </c>
      <c r="E2511" s="66" t="s">
        <v>7544</v>
      </c>
      <c r="F2511" s="66" t="s">
        <v>9111</v>
      </c>
      <c r="G2511" s="66" t="s">
        <v>9350</v>
      </c>
      <c r="H2511" s="66" t="s">
        <v>9832</v>
      </c>
    </row>
    <row r="2512" ht="15.75" customHeight="1">
      <c r="A2512" s="66">
        <f>'Main dataset (DEPRECATED)'!Q2513</f>
        <v>346294</v>
      </c>
      <c r="B2512" s="66" t="str">
        <f>IFERROR(__xludf.DUMMYFUNCTION("SPLIT('Main dataset (DEPRECATED)'!N2513,"";"")"),"#REF!")</f>
        <v>#REF!</v>
      </c>
      <c r="C2512" s="66" t="s">
        <v>10430</v>
      </c>
      <c r="D2512" s="66" t="s">
        <v>7880</v>
      </c>
    </row>
    <row r="2513" ht="15.75" customHeight="1">
      <c r="A2513" s="66">
        <f>'Main dataset (DEPRECATED)'!Q2514</f>
        <v>346292</v>
      </c>
      <c r="B2513" s="66" t="str">
        <f>IFERROR(__xludf.DUMMYFUNCTION("SPLIT('Main dataset (DEPRECATED)'!N2514,"";"")"),"#REF!")</f>
        <v>#REF!</v>
      </c>
      <c r="C2513" s="66" t="s">
        <v>6921</v>
      </c>
    </row>
    <row r="2514" ht="15.75" customHeight="1">
      <c r="A2514" s="66">
        <f>'Main dataset (DEPRECATED)'!Q2515</f>
        <v>346297</v>
      </c>
      <c r="B2514" s="66" t="str">
        <f>IFERROR(__xludf.DUMMYFUNCTION("SPLIT('Main dataset (DEPRECATED)'!N2515,"";"")"),"#REF!")</f>
        <v>#REF!</v>
      </c>
      <c r="C2514" s="66" t="s">
        <v>9495</v>
      </c>
    </row>
    <row r="2515" ht="15.75" customHeight="1">
      <c r="A2515" s="66">
        <f>'Main dataset (DEPRECATED)'!Q2516</f>
        <v>346290</v>
      </c>
      <c r="B2515" s="66" t="str">
        <f>IFERROR(__xludf.DUMMYFUNCTION("SPLIT('Main dataset (DEPRECATED)'!N2516,"";"")"),"#REF!")</f>
        <v>#REF!</v>
      </c>
      <c r="C2515" s="66" t="s">
        <v>7956</v>
      </c>
    </row>
    <row r="2516" ht="15.75" customHeight="1">
      <c r="A2516" s="66">
        <f>'Main dataset (DEPRECATED)'!Q2517</f>
        <v>346312</v>
      </c>
      <c r="B2516" s="66" t="str">
        <f>IFERROR(__xludf.DUMMYFUNCTION("SPLIT('Main dataset (DEPRECATED)'!N2517,"";"")"),"#REF!")</f>
        <v>#REF!</v>
      </c>
      <c r="C2516" s="66" t="s">
        <v>7060</v>
      </c>
      <c r="D2516" s="66" t="s">
        <v>7853</v>
      </c>
    </row>
    <row r="2517" ht="15.75" customHeight="1">
      <c r="A2517" s="66">
        <f>'Main dataset (DEPRECATED)'!Q2518</f>
        <v>346286</v>
      </c>
      <c r="B2517" s="66" t="str">
        <f>IFERROR(__xludf.DUMMYFUNCTION("SPLIT('Main dataset (DEPRECATED)'!N2518,"";"")"),"#REF!")</f>
        <v>#REF!</v>
      </c>
      <c r="C2517" s="66" t="s">
        <v>7426</v>
      </c>
      <c r="D2517" s="66" t="s">
        <v>6415</v>
      </c>
      <c r="E2517" s="66" t="s">
        <v>10256</v>
      </c>
      <c r="F2517" s="66" t="s">
        <v>9557</v>
      </c>
    </row>
    <row r="2518" ht="15.75" customHeight="1">
      <c r="A2518" s="66">
        <f>'Main dataset (DEPRECATED)'!Q2519</f>
        <v>346313</v>
      </c>
      <c r="B2518" s="66" t="str">
        <f>IFERROR(__xludf.DUMMYFUNCTION("SPLIT('Main dataset (DEPRECATED)'!N2519,"";"")"),"Forssell, L.K.")</f>
        <v>Forssell, L.K.</v>
      </c>
    </row>
    <row r="2519" ht="15.75" customHeight="1">
      <c r="A2519" s="66">
        <f>'Main dataset (DEPRECATED)'!Q2520</f>
        <v>346330</v>
      </c>
      <c r="B2519" s="66" t="str">
        <f>IFERROR(__xludf.DUMMYFUNCTION("SPLIT('Main dataset (DEPRECATED)'!N2520,"";"")"),"#REF!")</f>
        <v>#REF!</v>
      </c>
      <c r="C2519" s="66" t="s">
        <v>8313</v>
      </c>
    </row>
    <row r="2520" ht="15.75" customHeight="1">
      <c r="A2520" s="66">
        <f>'Main dataset (DEPRECATED)'!Q2521</f>
        <v>346287</v>
      </c>
      <c r="B2520" s="66" t="str">
        <f>IFERROR(__xludf.DUMMYFUNCTION("SPLIT('Main dataset (DEPRECATED)'!N2521,"";"")"),"#REF!")</f>
        <v>#REF!</v>
      </c>
      <c r="C2520" s="66" t="s">
        <v>7882</v>
      </c>
      <c r="D2520" s="66" t="s">
        <v>9388</v>
      </c>
      <c r="E2520" s="66" t="s">
        <v>8192</v>
      </c>
    </row>
    <row r="2521" ht="15.75" customHeight="1">
      <c r="A2521" s="66">
        <f>'Main dataset (DEPRECATED)'!Q2522</f>
        <v>346338</v>
      </c>
      <c r="B2521" s="66" t="str">
        <f>IFERROR(__xludf.DUMMYFUNCTION("SPLIT('Main dataset (DEPRECATED)'!N2522,"";"")"),"#REF!")</f>
        <v>#REF!</v>
      </c>
      <c r="C2521" s="66" t="s">
        <v>10898</v>
      </c>
      <c r="D2521" s="66" t="s">
        <v>11538</v>
      </c>
    </row>
    <row r="2522" ht="15.75" customHeight="1">
      <c r="A2522" s="66">
        <f>'Main dataset (DEPRECATED)'!Q2523</f>
        <v>346314</v>
      </c>
      <c r="B2522" s="66" t="str">
        <f>IFERROR(__xludf.DUMMYFUNCTION("SPLIT('Main dataset (DEPRECATED)'!N2523,"";"")"),"#REF!")</f>
        <v>#REF!</v>
      </c>
      <c r="C2522" s="66" t="s">
        <v>11628</v>
      </c>
      <c r="D2522" s="66" t="s">
        <v>10473</v>
      </c>
      <c r="E2522" s="66" t="s">
        <v>8896</v>
      </c>
    </row>
    <row r="2523" ht="15.75" customHeight="1">
      <c r="A2523" s="66">
        <f>'Main dataset (DEPRECATED)'!Q2524</f>
        <v>346291</v>
      </c>
      <c r="B2523" s="66" t="str">
        <f>IFERROR(__xludf.DUMMYFUNCTION("SPLIT('Main dataset (DEPRECATED)'!N2524,"";"")"),"#REF!")</f>
        <v>#REF!</v>
      </c>
      <c r="C2523" s="66" t="s">
        <v>8028</v>
      </c>
      <c r="D2523" s="66" t="s">
        <v>6906</v>
      </c>
    </row>
    <row r="2524" ht="15.75" customHeight="1">
      <c r="A2524" s="66">
        <f>'Main dataset (DEPRECATED)'!Q2525</f>
        <v>346340</v>
      </c>
      <c r="B2524" s="66" t="str">
        <f>IFERROR(__xludf.DUMMYFUNCTION("SPLIT('Main dataset (DEPRECATED)'!N2525,"";"")"),"#REF!")</f>
        <v>#REF!</v>
      </c>
      <c r="C2524" s="66" t="s">
        <v>10963</v>
      </c>
      <c r="D2524" s="66" t="s">
        <v>9047</v>
      </c>
      <c r="E2524" s="66" t="s">
        <v>8645</v>
      </c>
      <c r="F2524" s="66" t="s">
        <v>9891</v>
      </c>
      <c r="G2524" s="66" t="s">
        <v>10621</v>
      </c>
      <c r="H2524" s="66" t="s">
        <v>10696</v>
      </c>
      <c r="I2524" s="66" t="s">
        <v>11325</v>
      </c>
    </row>
    <row r="2525" ht="15.75" customHeight="1">
      <c r="A2525" s="66">
        <f>'Main dataset (DEPRECATED)'!Q2526</f>
        <v>346327</v>
      </c>
      <c r="B2525" s="66" t="str">
        <f>IFERROR(__xludf.DUMMYFUNCTION("SPLIT('Main dataset (DEPRECATED)'!N2526,"";"")"),"#REF!")</f>
        <v>#REF!</v>
      </c>
      <c r="C2525" s="66" t="s">
        <v>10641</v>
      </c>
    </row>
    <row r="2526" ht="15.75" customHeight="1">
      <c r="A2526" s="66">
        <f>'Main dataset (DEPRECATED)'!Q2527</f>
        <v>346333</v>
      </c>
      <c r="B2526" s="66" t="str">
        <f>IFERROR(__xludf.DUMMYFUNCTION("SPLIT('Main dataset (DEPRECATED)'!N2527,"";"")"),"#REF!")</f>
        <v>#REF!</v>
      </c>
      <c r="C2526" s="66" t="s">
        <v>11325</v>
      </c>
      <c r="D2526" s="66" t="s">
        <v>8645</v>
      </c>
    </row>
    <row r="2527" ht="15.75" customHeight="1">
      <c r="A2527" s="66">
        <f>'Main dataset (DEPRECATED)'!Q2528</f>
        <v>346302</v>
      </c>
      <c r="B2527" s="66" t="str">
        <f>IFERROR(__xludf.DUMMYFUNCTION("SPLIT('Main dataset (DEPRECATED)'!N2528,"";"")"),"Ward, M.O.")</f>
        <v>Ward, M.O.</v>
      </c>
    </row>
    <row r="2528" ht="15.75" customHeight="1">
      <c r="A2528" s="66">
        <f>'Main dataset (DEPRECATED)'!Q2529</f>
        <v>398903</v>
      </c>
      <c r="B2528" s="66" t="str">
        <f>IFERROR(__xludf.DUMMYFUNCTION("SPLIT('Main dataset (DEPRECATED)'!N2529,"";"")"),"#REF!")</f>
        <v>#REF!</v>
      </c>
      <c r="C2528" s="66" t="s">
        <v>7709</v>
      </c>
    </row>
    <row r="2529" ht="15.75" customHeight="1">
      <c r="A2529" s="66">
        <f>'Main dataset (DEPRECATED)'!Q2530</f>
        <v>398900</v>
      </c>
      <c r="B2529" s="66" t="str">
        <f>IFERROR(__xludf.DUMMYFUNCTION("SPLIT('Main dataset (DEPRECATED)'!N2530,"";"")"),"Chen, P.C.")</f>
        <v>Chen, P.C.</v>
      </c>
    </row>
    <row r="2530" ht="15.75" customHeight="1">
      <c r="A2530" s="66">
        <f>'Main dataset (DEPRECATED)'!Q2531</f>
        <v>398849</v>
      </c>
      <c r="B2530" s="66" t="str">
        <f>IFERROR(__xludf.DUMMYFUNCTION("SPLIT('Main dataset (DEPRECATED)'!N2531,"";"")"),"#REF!")</f>
        <v>#REF!</v>
      </c>
      <c r="C2530" s="66" t="s">
        <v>11200</v>
      </c>
    </row>
    <row r="2531" ht="15.75" customHeight="1">
      <c r="A2531" s="66">
        <f>'Main dataset (DEPRECATED)'!Q2532</f>
        <v>398852</v>
      </c>
      <c r="B2531" s="66" t="str">
        <f>IFERROR(__xludf.DUMMYFUNCTION("SPLIT('Main dataset (DEPRECATED)'!N2532,"";"")"),"#REF!")</f>
        <v>#REF!</v>
      </c>
      <c r="C2531" s="66" t="s">
        <v>10575</v>
      </c>
    </row>
    <row r="2532" ht="15.75" customHeight="1">
      <c r="A2532" s="66">
        <f>'Main dataset (DEPRECATED)'!Q2533</f>
        <v>398874</v>
      </c>
      <c r="B2532" s="66" t="str">
        <f>IFERROR(__xludf.DUMMYFUNCTION("SPLIT('Main dataset (DEPRECATED)'!N2533,"";"")"),"#REF!")</f>
        <v>#REF!</v>
      </c>
      <c r="C2532" s="66" t="s">
        <v>11091</v>
      </c>
    </row>
    <row r="2533" ht="15.75" customHeight="1">
      <c r="A2533" s="66">
        <f>'Main dataset (DEPRECATED)'!Q2534</f>
        <v>398858</v>
      </c>
      <c r="B2533" s="66" t="str">
        <f>IFERROR(__xludf.DUMMYFUNCTION("SPLIT('Main dataset (DEPRECATED)'!N2534,"";"")"),"Klinker, G.J.")</f>
        <v>Klinker, G.J.</v>
      </c>
    </row>
    <row r="2534" ht="15.75" customHeight="1">
      <c r="A2534" s="66">
        <f>'Main dataset (DEPRECATED)'!Q2535</f>
        <v>398873</v>
      </c>
      <c r="B2534" s="66" t="str">
        <f>IFERROR(__xludf.DUMMYFUNCTION("SPLIT('Main dataset (DEPRECATED)'!N2535,"";"")"),"Springmeyer, R.R.")</f>
        <v>Springmeyer, R.R.</v>
      </c>
    </row>
    <row r="2535" ht="15.75" customHeight="1">
      <c r="A2535" s="66">
        <f>'Main dataset (DEPRECATED)'!Q2536</f>
        <v>398856</v>
      </c>
      <c r="B2535" s="66" t="str">
        <f>IFERROR(__xludf.DUMMYFUNCTION("SPLIT('Main dataset (DEPRECATED)'!N2536,"";"")"),"#REF!")</f>
        <v>#REF!</v>
      </c>
      <c r="C2535" s="66" t="s">
        <v>6176</v>
      </c>
      <c r="D2535" s="66" t="s">
        <v>10520</v>
      </c>
      <c r="E2535" s="66" t="s">
        <v>10553</v>
      </c>
    </row>
    <row r="2536" ht="15.75" customHeight="1">
      <c r="A2536" s="66">
        <f>'Main dataset (DEPRECATED)'!Q2537</f>
        <v>398876</v>
      </c>
      <c r="B2536" s="66" t="str">
        <f>IFERROR(__xludf.DUMMYFUNCTION("SPLIT('Main dataset (DEPRECATED)'!N2537,"";"")"),"#REF!")</f>
        <v>#REF!</v>
      </c>
      <c r="C2536" s="66" t="s">
        <v>10685</v>
      </c>
    </row>
    <row r="2537" ht="15.75" customHeight="1">
      <c r="A2537" s="66">
        <f>'Main dataset (DEPRECATED)'!Q2538</f>
        <v>398883</v>
      </c>
      <c r="B2537" s="66" t="str">
        <f>IFERROR(__xludf.DUMMYFUNCTION("SPLIT('Main dataset (DEPRECATED)'!N2538,"";"")"),"#REF!")</f>
        <v>#REF!</v>
      </c>
      <c r="C2537" s="66" t="s">
        <v>10172</v>
      </c>
      <c r="D2537" s="66" t="s">
        <v>7023</v>
      </c>
      <c r="E2537" s="66" t="s">
        <v>9627</v>
      </c>
      <c r="F2537" s="66" t="s">
        <v>7845</v>
      </c>
    </row>
    <row r="2538" ht="15.75" customHeight="1">
      <c r="A2538" s="66">
        <f>'Main dataset (DEPRECATED)'!Q2539</f>
        <v>398879</v>
      </c>
      <c r="B2538" s="66" t="str">
        <f>IFERROR(__xludf.DUMMYFUNCTION("SPLIT('Main dataset (DEPRECATED)'!N2539,"";"")"),"#REF!")</f>
        <v>#REF!</v>
      </c>
      <c r="C2538" s="66" t="s">
        <v>9174</v>
      </c>
    </row>
    <row r="2539" ht="15.75" customHeight="1">
      <c r="A2539" s="66">
        <f>'Main dataset (DEPRECATED)'!Q2540</f>
        <v>398861</v>
      </c>
      <c r="B2539" s="66" t="str">
        <f>IFERROR(__xludf.DUMMYFUNCTION("SPLIT('Main dataset (DEPRECATED)'!N2540,"";"")"),"#REF!")</f>
        <v>#REF!</v>
      </c>
      <c r="C2539" s="66" t="s">
        <v>11485</v>
      </c>
      <c r="D2539" s="66" t="s">
        <v>7458</v>
      </c>
    </row>
    <row r="2540" ht="15.75" customHeight="1">
      <c r="A2540" s="66">
        <f>'Main dataset (DEPRECATED)'!Q2541</f>
        <v>398871</v>
      </c>
      <c r="B2540" s="66" t="str">
        <f>IFERROR(__xludf.DUMMYFUNCTION("SPLIT('Main dataset (DEPRECATED)'!N2541,"";"")"),"#REF!")</f>
        <v>#REF!</v>
      </c>
      <c r="C2540" s="66" t="s">
        <v>8167</v>
      </c>
    </row>
    <row r="2541" ht="15.75" customHeight="1">
      <c r="A2541" s="66">
        <f>'Main dataset (DEPRECATED)'!Q2542</f>
        <v>398865</v>
      </c>
      <c r="B2541" s="66" t="str">
        <f>IFERROR(__xludf.DUMMYFUNCTION("SPLIT('Main dataset (DEPRECATED)'!N2542,"";"")"),"#REF!")</f>
        <v>#REF!</v>
      </c>
      <c r="C2541" s="66" t="s">
        <v>7744</v>
      </c>
    </row>
    <row r="2542" ht="15.75" customHeight="1">
      <c r="A2542" s="66">
        <f>'Main dataset (DEPRECATED)'!Q2543</f>
        <v>398902</v>
      </c>
      <c r="B2542" s="66" t="str">
        <f>IFERROR(__xludf.DUMMYFUNCTION("SPLIT('Main dataset (DEPRECATED)'!N2543,"";"")"),"#REF!")</f>
        <v>#REF!</v>
      </c>
      <c r="C2542" s="66" t="s">
        <v>6960</v>
      </c>
      <c r="D2542" s="66" t="s">
        <v>9564</v>
      </c>
      <c r="E2542" s="66" t="s">
        <v>8714</v>
      </c>
      <c r="F2542" s="66" t="s">
        <v>6213</v>
      </c>
      <c r="G2542" s="66" t="s">
        <v>7779</v>
      </c>
    </row>
    <row r="2543" ht="15.75" customHeight="1">
      <c r="A2543" s="66">
        <f>'Main dataset (DEPRECATED)'!Q2544</f>
        <v>398897</v>
      </c>
      <c r="B2543" s="66" t="str">
        <f>IFERROR(__xludf.DUMMYFUNCTION("SPLIT('Main dataset (DEPRECATED)'!N2544,"";"")"),"#REF!")</f>
        <v>#REF!</v>
      </c>
      <c r="C2543" s="66" t="s">
        <v>9498</v>
      </c>
    </row>
    <row r="2544" ht="15.75" customHeight="1">
      <c r="A2544" s="66">
        <f>'Main dataset (DEPRECATED)'!Q2545</f>
        <v>398882</v>
      </c>
      <c r="B2544" s="66" t="str">
        <f>IFERROR(__xludf.DUMMYFUNCTION("SPLIT('Main dataset (DEPRECATED)'!N2545,"";"")"),"#REF!")</f>
        <v>#REF!</v>
      </c>
      <c r="C2544" s="66" t="s">
        <v>6673</v>
      </c>
    </row>
    <row r="2545" ht="15.75" customHeight="1">
      <c r="A2545" s="66">
        <f>'Main dataset (DEPRECATED)'!Q2546</f>
        <v>398845</v>
      </c>
      <c r="B2545" s="66" t="str">
        <f>IFERROR(__xludf.DUMMYFUNCTION("SPLIT('Main dataset (DEPRECATED)'!N2546,"";"")"),"#REF!")</f>
        <v>#REF!</v>
      </c>
      <c r="C2545" s="66" t="s">
        <v>8167</v>
      </c>
    </row>
    <row r="2546" ht="15.75" customHeight="1">
      <c r="A2546" s="66">
        <f>'Main dataset (DEPRECATED)'!Q2547</f>
        <v>398901</v>
      </c>
      <c r="B2546" s="66" t="str">
        <f>IFERROR(__xludf.DUMMYFUNCTION("SPLIT('Main dataset (DEPRECATED)'!N2547,"";"")"),"#REF!")</f>
        <v>#REF!</v>
      </c>
      <c r="C2546" s="66" t="s">
        <v>11800</v>
      </c>
    </row>
    <row r="2547" ht="15.75" customHeight="1">
      <c r="A2547" s="66">
        <f>'Main dataset (DEPRECATED)'!Q2548</f>
        <v>398860</v>
      </c>
      <c r="B2547" s="66" t="str">
        <f>IFERROR(__xludf.DUMMYFUNCTION("SPLIT('Main dataset (DEPRECATED)'!N2548,"";"")"),"#REF!")</f>
        <v>#REF!</v>
      </c>
      <c r="C2547" s="66" t="s">
        <v>7803</v>
      </c>
    </row>
    <row r="2548" ht="15.75" customHeight="1">
      <c r="A2548" s="66">
        <f>'Main dataset (DEPRECATED)'!Q2549</f>
        <v>398846</v>
      </c>
      <c r="B2548" s="66" t="str">
        <f>IFERROR(__xludf.DUMMYFUNCTION("SPLIT('Main dataset (DEPRECATED)'!N2549,"";"")"),"#REF!")</f>
        <v>#REF!</v>
      </c>
      <c r="C2548" s="66" t="s">
        <v>6410</v>
      </c>
      <c r="D2548" s="66" t="s">
        <v>7060</v>
      </c>
    </row>
    <row r="2549" ht="15.75" customHeight="1">
      <c r="A2549" s="66">
        <f>'Main dataset (DEPRECATED)'!Q2550</f>
        <v>398878</v>
      </c>
      <c r="B2549" s="66" t="str">
        <f>IFERROR(__xludf.DUMMYFUNCTION("SPLIT('Main dataset (DEPRECATED)'!N2550,"";"")"),"Lorensen, W.F.")</f>
        <v>Lorensen, W.F.</v>
      </c>
    </row>
    <row r="2550" ht="15.75" customHeight="1">
      <c r="A2550" s="66">
        <f>'Main dataset (DEPRECATED)'!Q2551</f>
        <v>398868</v>
      </c>
      <c r="B2550" s="66" t="str">
        <f>IFERROR(__xludf.DUMMYFUNCTION("SPLIT('Main dataset (DEPRECATED)'!N2551,"";"")"),"#REF!")</f>
        <v>#REF!</v>
      </c>
      <c r="C2550" s="66" t="s">
        <v>8047</v>
      </c>
    </row>
    <row r="2551" ht="15.75" customHeight="1">
      <c r="A2551" s="66">
        <f>'Main dataset (DEPRECATED)'!Q2552</f>
        <v>398857</v>
      </c>
      <c r="B2551" s="66" t="str">
        <f>IFERROR(__xludf.DUMMYFUNCTION("SPLIT('Main dataset (DEPRECATED)'!N2552,"";"")"),"#REF!")</f>
        <v>#REF!</v>
      </c>
      <c r="C2551" s="66" t="s">
        <v>9963</v>
      </c>
      <c r="D2551" s="66" t="s">
        <v>11552</v>
      </c>
      <c r="E2551" s="66" t="s">
        <v>6627</v>
      </c>
      <c r="F2551" s="66" t="s">
        <v>6340</v>
      </c>
      <c r="G2551" s="66" t="s">
        <v>7705</v>
      </c>
    </row>
    <row r="2552" ht="15.75" customHeight="1">
      <c r="A2552" s="66">
        <f>'Main dataset (DEPRECATED)'!Q2553</f>
        <v>398859</v>
      </c>
      <c r="B2552" s="66" t="str">
        <f>IFERROR(__xludf.DUMMYFUNCTION("SPLIT('Main dataset (DEPRECATED)'!N2553,"";"")"),"#REF!")</f>
        <v>#REF!</v>
      </c>
      <c r="C2552" s="66" t="s">
        <v>11192</v>
      </c>
    </row>
    <row r="2553" ht="15.75" customHeight="1">
      <c r="A2553" s="66">
        <f>'Main dataset (DEPRECATED)'!Q2554</f>
        <v>398875</v>
      </c>
      <c r="B2553" s="66" t="str">
        <f>IFERROR(__xludf.DUMMYFUNCTION("SPLIT('Main dataset (DEPRECATED)'!N2554,"";"")"),"van Wijk, J.J.")</f>
        <v>van Wijk, J.J.</v>
      </c>
    </row>
    <row r="2554" ht="15.75" customHeight="1">
      <c r="A2554" s="66">
        <f>'Main dataset (DEPRECATED)'!Q2555</f>
        <v>398863</v>
      </c>
      <c r="B2554" s="66" t="str">
        <f>IFERROR(__xludf.DUMMYFUNCTION("SPLIT('Main dataset (DEPRECATED)'!N2555,"";"")"),"Spoerri, A.")</f>
        <v>Spoerri, A.</v>
      </c>
    </row>
    <row r="2555" ht="15.75" customHeight="1">
      <c r="A2555" s="66">
        <f>'Main dataset (DEPRECATED)'!Q2556</f>
        <v>398881</v>
      </c>
      <c r="B2555" s="66" t="str">
        <f>IFERROR(__xludf.DUMMYFUNCTION("SPLIT('Main dataset (DEPRECATED)'!N2556,"";"")"),"#REF!")</f>
        <v>#REF!</v>
      </c>
      <c r="C2555" s="66" t="s">
        <v>10188</v>
      </c>
    </row>
    <row r="2556" ht="15.75" customHeight="1">
      <c r="A2556" s="66">
        <f>'Main dataset (DEPRECATED)'!Q2557</f>
        <v>398869</v>
      </c>
      <c r="B2556" s="66" t="str">
        <f>IFERROR(__xludf.DUMMYFUNCTION("SPLIT('Main dataset (DEPRECATED)'!N2557,"";"")"),"#REF!")</f>
        <v>#REF!</v>
      </c>
      <c r="C2556" s="66" t="s">
        <v>7077</v>
      </c>
    </row>
    <row r="2557" ht="15.75" customHeight="1">
      <c r="A2557" s="66">
        <f>'Main dataset (DEPRECATED)'!Q2558</f>
        <v>398885</v>
      </c>
      <c r="B2557" s="66" t="str">
        <f>IFERROR(__xludf.DUMMYFUNCTION("SPLIT('Main dataset (DEPRECATED)'!N2558,"";"")"),"#REF!")</f>
        <v>#REF!</v>
      </c>
      <c r="C2557" s="66" t="s">
        <v>7714</v>
      </c>
    </row>
    <row r="2558" ht="15.75" customHeight="1">
      <c r="A2558" s="66">
        <f>'Main dataset (DEPRECATED)'!Q2559</f>
        <v>398870</v>
      </c>
      <c r="B2558" s="66" t="str">
        <f>IFERROR(__xludf.DUMMYFUNCTION("SPLIT('Main dataset (DEPRECATED)'!N2559,"";"")"),"#REF!")</f>
        <v>#REF!</v>
      </c>
      <c r="C2558" s="66" t="s">
        <v>11483</v>
      </c>
    </row>
    <row r="2559" ht="15.75" customHeight="1">
      <c r="A2559" s="66">
        <f>'Main dataset (DEPRECATED)'!Q2560</f>
        <v>398898</v>
      </c>
      <c r="B2559" s="66" t="str">
        <f>IFERROR(__xludf.DUMMYFUNCTION("SPLIT('Main dataset (DEPRECATED)'!N2560,"";"")"),"#REF!")</f>
        <v>#REF!</v>
      </c>
      <c r="C2559" s="66" t="s">
        <v>8883</v>
      </c>
      <c r="D2559" s="66" t="s">
        <v>9645</v>
      </c>
    </row>
    <row r="2560" ht="15.75" customHeight="1">
      <c r="A2560" s="66">
        <f>'Main dataset (DEPRECATED)'!Q2561</f>
        <v>398851</v>
      </c>
      <c r="B2560" s="66" t="str">
        <f>IFERROR(__xludf.DUMMYFUNCTION("SPLIT('Main dataset (DEPRECATED)'!N2561,"";"")"),"Carlbom, I.")</f>
        <v>Carlbom, I.</v>
      </c>
    </row>
    <row r="2561" ht="15.75" customHeight="1">
      <c r="A2561" s="66">
        <f>'Main dataset (DEPRECATED)'!Q2562</f>
        <v>398867</v>
      </c>
      <c r="B2561" s="66" t="str">
        <f>IFERROR(__xludf.DUMMYFUNCTION("SPLIT('Main dataset (DEPRECATED)'!N2562,"";"")"),"#REF!")</f>
        <v>#REF!</v>
      </c>
      <c r="C2561" s="66" t="s">
        <v>6797</v>
      </c>
      <c r="D2561" s="66" t="s">
        <v>7859</v>
      </c>
      <c r="E2561" s="66" t="s">
        <v>9847</v>
      </c>
    </row>
    <row r="2562" ht="15.75" customHeight="1">
      <c r="A2562" s="66">
        <f>'Main dataset (DEPRECATED)'!Q2563</f>
        <v>398866</v>
      </c>
      <c r="B2562" s="66" t="str">
        <f>IFERROR(__xludf.DUMMYFUNCTION("SPLIT('Main dataset (DEPRECATED)'!N2563,"";"")"),"#REF!")</f>
        <v>#REF!</v>
      </c>
      <c r="C2562" s="66" t="s">
        <v>10263</v>
      </c>
    </row>
    <row r="2563" ht="15.75" customHeight="1">
      <c r="A2563" s="66">
        <f>'Main dataset (DEPRECATED)'!Q2564</f>
        <v>398853</v>
      </c>
      <c r="B2563" s="66" t="str">
        <f>IFERROR(__xludf.DUMMYFUNCTION("SPLIT('Main dataset (DEPRECATED)'!N2564,"";"")"),"#REF!")</f>
        <v>#REF!</v>
      </c>
      <c r="C2563" s="66" t="s">
        <v>11460</v>
      </c>
    </row>
    <row r="2564" ht="15.75" customHeight="1">
      <c r="A2564" s="66">
        <f>'Main dataset (DEPRECATED)'!Q2565</f>
        <v>398880</v>
      </c>
      <c r="B2564" s="66" t="str">
        <f>IFERROR(__xludf.DUMMYFUNCTION("SPLIT('Main dataset (DEPRECATED)'!N2565,"";"")"),"#REF!")</f>
        <v>#REF!</v>
      </c>
      <c r="C2564" s="66" t="s">
        <v>10683</v>
      </c>
    </row>
    <row r="2565" ht="15.75" customHeight="1">
      <c r="A2565" s="66">
        <f>'Main dataset (DEPRECATED)'!Q2566</f>
        <v>398877</v>
      </c>
      <c r="B2565" s="66" t="str">
        <f>IFERROR(__xludf.DUMMYFUNCTION("SPLIT('Main dataset (DEPRECATED)'!N2566,"";"")"),"#REF!")</f>
        <v>#REF!</v>
      </c>
      <c r="C2565" s="66" t="s">
        <v>9279</v>
      </c>
    </row>
    <row r="2566" ht="15.75" customHeight="1">
      <c r="A2566" s="66">
        <f>'Main dataset (DEPRECATED)'!Q2567</f>
        <v>398911</v>
      </c>
      <c r="B2566" s="66" t="str">
        <f>IFERROR(__xludf.DUMMYFUNCTION("SPLIT('Main dataset (DEPRECATED)'!N2567,"";"")"),"#REF!")</f>
        <v>#REF!</v>
      </c>
      <c r="C2566" s="66" t="s">
        <v>7959</v>
      </c>
      <c r="D2566" s="66" t="s">
        <v>8765</v>
      </c>
      <c r="E2566" s="66" t="s">
        <v>9961</v>
      </c>
      <c r="F2566" s="66" t="s">
        <v>8865</v>
      </c>
      <c r="G2566" s="66" t="s">
        <v>10121</v>
      </c>
    </row>
    <row r="2567" ht="15.75" customHeight="1">
      <c r="A2567" s="66">
        <f>'Main dataset (DEPRECATED)'!Q2568</f>
        <v>398904</v>
      </c>
      <c r="B2567" s="66" t="str">
        <f>IFERROR(__xludf.DUMMYFUNCTION("SPLIT('Main dataset (DEPRECATED)'!N2568,"";"")"),"#REF!")</f>
        <v>#REF!</v>
      </c>
      <c r="C2567" s="66" t="s">
        <v>6478</v>
      </c>
      <c r="D2567" s="66" t="s">
        <v>9523</v>
      </c>
    </row>
    <row r="2568" ht="15.75" customHeight="1">
      <c r="A2568" s="66">
        <f>'Main dataset (DEPRECATED)'!Q2569</f>
        <v>398847</v>
      </c>
      <c r="B2568" s="66" t="str">
        <f>IFERROR(__xludf.DUMMYFUNCTION("SPLIT('Main dataset (DEPRECATED)'!N2569,"";"")"),"#REF!")</f>
        <v>#REF!</v>
      </c>
      <c r="C2568" s="66" t="s">
        <v>7114</v>
      </c>
      <c r="D2568" s="66" t="s">
        <v>10834</v>
      </c>
    </row>
    <row r="2569" ht="15.75" customHeight="1">
      <c r="A2569" s="66">
        <f>'Main dataset (DEPRECATED)'!Q2570</f>
        <v>398855</v>
      </c>
      <c r="B2569" s="66" t="str">
        <f>IFERROR(__xludf.DUMMYFUNCTION("SPLIT('Main dataset (DEPRECATED)'!N2570,"";"")"),"#REF!")</f>
        <v>#REF!</v>
      </c>
      <c r="C2569" s="66" t="s">
        <v>6853</v>
      </c>
      <c r="D2569" s="66" t="s">
        <v>9592</v>
      </c>
      <c r="E2569" s="66" t="s">
        <v>9829</v>
      </c>
      <c r="F2569" s="66" t="s">
        <v>10855</v>
      </c>
      <c r="G2569" s="66" t="s">
        <v>11559</v>
      </c>
    </row>
    <row r="2570" ht="15.75" customHeight="1">
      <c r="A2570" s="66">
        <f>'Main dataset (DEPRECATED)'!Q2571</f>
        <v>398872</v>
      </c>
      <c r="B2570" s="66" t="str">
        <f>IFERROR(__xludf.DUMMYFUNCTION("SPLIT('Main dataset (DEPRECATED)'!N2571,"";"")"),"#REF!")</f>
        <v>#REF!</v>
      </c>
      <c r="C2570" s="66" t="s">
        <v>9113</v>
      </c>
    </row>
    <row r="2571" ht="15.75" customHeight="1">
      <c r="A2571" s="66">
        <f>'Main dataset (DEPRECATED)'!Q2572</f>
        <v>398895</v>
      </c>
      <c r="B2571" s="66" t="str">
        <f>IFERROR(__xludf.DUMMYFUNCTION("SPLIT('Main dataset (DEPRECATED)'!N2572,"";"")"),"#REF!")</f>
        <v>#REF!</v>
      </c>
      <c r="C2571" s="66" t="s">
        <v>8736</v>
      </c>
    </row>
    <row r="2572" ht="15.75" customHeight="1">
      <c r="A2572" s="66">
        <f>'Main dataset (DEPRECATED)'!Q2573</f>
        <v>398894</v>
      </c>
      <c r="B2572" s="66" t="str">
        <f>IFERROR(__xludf.DUMMYFUNCTION("SPLIT('Main dataset (DEPRECATED)'!N2573,"";"")"),"Pagendarm, H.-G.")</f>
        <v>Pagendarm, H.-G.</v>
      </c>
    </row>
    <row r="2573" ht="15.75" customHeight="1">
      <c r="A2573" s="66">
        <f>'Main dataset (DEPRECATED)'!Q2574</f>
        <v>398862</v>
      </c>
      <c r="B2573" s="66" t="str">
        <f>IFERROR(__xludf.DUMMYFUNCTION("SPLIT('Main dataset (DEPRECATED)'!N2574,"";"")"),"#REF!")</f>
        <v>#REF!</v>
      </c>
      <c r="C2573" s="66" t="s">
        <v>8645</v>
      </c>
    </row>
    <row r="2574" ht="15.75" customHeight="1">
      <c r="A2574" s="66">
        <f>'Main dataset (DEPRECATED)'!Q2575</f>
        <v>398864</v>
      </c>
      <c r="B2574" s="66" t="str">
        <f>IFERROR(__xludf.DUMMYFUNCTION("SPLIT('Main dataset (DEPRECATED)'!N2575,"";"")"),"#REF!")</f>
        <v>#REF!</v>
      </c>
      <c r="C2574" s="66" t="s">
        <v>8851</v>
      </c>
      <c r="D2574" s="66" t="s">
        <v>10483</v>
      </c>
    </row>
    <row r="2575" ht="15.75" customHeight="1">
      <c r="A2575" s="66">
        <f>'Main dataset (DEPRECATED)'!Q2576</f>
        <v>398892</v>
      </c>
      <c r="B2575" s="66" t="str">
        <f>IFERROR(__xludf.DUMMYFUNCTION("SPLIT('Main dataset (DEPRECATED)'!N2576,"";"")"),"#REF!")</f>
        <v>#REF!</v>
      </c>
      <c r="C2575" s="66" t="s">
        <v>6820</v>
      </c>
      <c r="D2575" s="66" t="s">
        <v>9497</v>
      </c>
    </row>
    <row r="2576" ht="15.75" customHeight="1">
      <c r="A2576" s="66">
        <f>'Main dataset (DEPRECATED)'!Q2577</f>
        <v>398884</v>
      </c>
      <c r="B2576" s="66" t="str">
        <f>IFERROR(__xludf.DUMMYFUNCTION("SPLIT('Main dataset (DEPRECATED)'!N2577,"";"")"),"Bladek, A.J.")</f>
        <v>Bladek, A.J.</v>
      </c>
    </row>
    <row r="2577" ht="15.75" customHeight="1">
      <c r="A2577" s="66">
        <f>'Main dataset (DEPRECATED)'!Q2578</f>
        <v>398893</v>
      </c>
      <c r="B2577" s="66" t="str">
        <f>IFERROR(__xludf.DUMMYFUNCTION("SPLIT('Main dataset (DEPRECATED)'!N2578,"";"")"),"#REF!")</f>
        <v>#REF!</v>
      </c>
      <c r="C2577" s="66" t="s">
        <v>11469</v>
      </c>
    </row>
    <row r="2578" ht="15.75" customHeight="1">
      <c r="A2578" s="66">
        <f>'Main dataset (DEPRECATED)'!Q2579</f>
        <v>398899</v>
      </c>
      <c r="B2578" s="66" t="str">
        <f>IFERROR(__xludf.DUMMYFUNCTION("SPLIT('Main dataset (DEPRECATED)'!N2579,"";"")"),"Treinish, L.A.")</f>
        <v>Treinish, L.A.</v>
      </c>
    </row>
    <row r="2579" ht="15.75" customHeight="1">
      <c r="A2579" s="66">
        <f>'Main dataset (DEPRECATED)'!Q2580</f>
        <v>398848</v>
      </c>
      <c r="B2579" s="66" t="str">
        <f>IFERROR(__xludf.DUMMYFUNCTION("SPLIT('Main dataset (DEPRECATED)'!N2580,"";"")"),"Lane, D.A.")</f>
        <v>Lane, D.A.</v>
      </c>
    </row>
    <row r="2580" ht="15.75" customHeight="1">
      <c r="A2580" s="66">
        <f>'Main dataset (DEPRECATED)'!Q2581</f>
        <v>398850</v>
      </c>
      <c r="B2580" s="66" t="str">
        <f>IFERROR(__xludf.DUMMYFUNCTION("SPLIT('Main dataset (DEPRECATED)'!N2581,"";"")"),"#REF!")</f>
        <v>#REF!</v>
      </c>
      <c r="C2580" s="66" t="s">
        <v>9973</v>
      </c>
    </row>
    <row r="2581" ht="15.75" customHeight="1">
      <c r="A2581" s="66">
        <f>'Main dataset (DEPRECATED)'!Q2582</f>
        <v>398896</v>
      </c>
      <c r="B2581" s="66" t="str">
        <f>IFERROR(__xludf.DUMMYFUNCTION("SPLIT('Main dataset (DEPRECATED)'!N2582,"";"")"),"#REF!")</f>
        <v>#REF!</v>
      </c>
      <c r="C2581" s="66" t="s">
        <v>10931</v>
      </c>
    </row>
    <row r="2582" ht="15.75" customHeight="1">
      <c r="A2582" s="66">
        <f>'Main dataset (DEPRECATED)'!Q2583</f>
        <v>398854</v>
      </c>
      <c r="B2582" s="66" t="str">
        <f>IFERROR(__xludf.DUMMYFUNCTION("SPLIT('Main dataset (DEPRECATED)'!N2583,"";"")"),"#REF!")</f>
        <v>#REF!</v>
      </c>
      <c r="C2582" s="66" t="s">
        <v>8645</v>
      </c>
    </row>
    <row r="2583" ht="15.75" customHeight="1">
      <c r="A2583" s="66">
        <f>'Main dataset (DEPRECATED)'!Q2584</f>
        <v>235225</v>
      </c>
      <c r="B2583" s="66" t="str">
        <f>IFERROR(__xludf.DUMMYFUNCTION("SPLIT('Main dataset (DEPRECATED)'!N2584,"";"")"),"#REF!")</f>
        <v>#REF!</v>
      </c>
      <c r="C2583" s="66" t="s">
        <v>9208</v>
      </c>
    </row>
    <row r="2584" ht="15.75" customHeight="1">
      <c r="A2584" s="66">
        <f>'Main dataset (DEPRECATED)'!Q2585</f>
        <v>235203</v>
      </c>
      <c r="B2584" s="66" t="str">
        <f>IFERROR(__xludf.DUMMYFUNCTION("SPLIT('Main dataset (DEPRECATED)'!N2585,"";"")"),"#REF!")</f>
        <v>#REF!</v>
      </c>
      <c r="C2584" s="66" t="s">
        <v>6533</v>
      </c>
      <c r="D2584" s="66" t="s">
        <v>9279</v>
      </c>
    </row>
    <row r="2585" ht="15.75" customHeight="1">
      <c r="A2585" s="66">
        <f>'Main dataset (DEPRECATED)'!Q2586</f>
        <v>235204</v>
      </c>
      <c r="B2585" s="66" t="str">
        <f>IFERROR(__xludf.DUMMYFUNCTION("SPLIT('Main dataset (DEPRECATED)'!N2586,"";"")"),"Lucas, B.")</f>
        <v>Lucas, B.</v>
      </c>
    </row>
    <row r="2586" ht="15.75" customHeight="1">
      <c r="A2586" s="66">
        <f>'Main dataset (DEPRECATED)'!Q2587</f>
        <v>235190</v>
      </c>
      <c r="B2586" s="66" t="str">
        <f>IFERROR(__xludf.DUMMYFUNCTION("SPLIT('Main dataset (DEPRECATED)'!N2587,"";"")"),"#REF!")</f>
        <v>#REF!</v>
      </c>
      <c r="C2586" s="66" t="s">
        <v>8278</v>
      </c>
    </row>
    <row r="2587" ht="15.75" customHeight="1">
      <c r="A2587" s="66">
        <f>'Main dataset (DEPRECATED)'!Q2588</f>
        <v>235219</v>
      </c>
      <c r="B2587" s="66" t="str">
        <f>IFERROR(__xludf.DUMMYFUNCTION("SPLIT('Main dataset (DEPRECATED)'!N2588,"";"")"),"#REF!")</f>
        <v>#REF!</v>
      </c>
      <c r="C2587" s="66" t="s">
        <v>6153</v>
      </c>
      <c r="D2587" s="66" t="s">
        <v>6989</v>
      </c>
      <c r="E2587" s="66" t="s">
        <v>7418</v>
      </c>
      <c r="F2587" s="66" t="s">
        <v>7874</v>
      </c>
      <c r="G2587" s="66" t="s">
        <v>9293</v>
      </c>
    </row>
    <row r="2588" ht="15.75" customHeight="1">
      <c r="A2588" s="66">
        <f>'Main dataset (DEPRECATED)'!Q2589</f>
        <v>235216</v>
      </c>
      <c r="B2588" s="66" t="str">
        <f>IFERROR(__xludf.DUMMYFUNCTION("SPLIT('Main dataset (DEPRECATED)'!N2589,"";"")"),"#REF!")</f>
        <v>#REF!</v>
      </c>
      <c r="C2588" s="66" t="s">
        <v>11701</v>
      </c>
    </row>
    <row r="2589" ht="15.75" customHeight="1">
      <c r="A2589" s="66">
        <f>'Main dataset (DEPRECATED)'!Q2590</f>
        <v>235218</v>
      </c>
      <c r="B2589" s="66" t="str">
        <f>IFERROR(__xludf.DUMMYFUNCTION("SPLIT('Main dataset (DEPRECATED)'!N2590,"";"")"),"#REF!")</f>
        <v>#REF!</v>
      </c>
      <c r="C2589" s="66" t="s">
        <v>9949</v>
      </c>
      <c r="D2589" s="66" t="s">
        <v>10156</v>
      </c>
      <c r="E2589" s="66" t="s">
        <v>10400</v>
      </c>
      <c r="F2589" s="66" t="s">
        <v>10437</v>
      </c>
      <c r="G2589" s="66" t="s">
        <v>11046</v>
      </c>
      <c r="H2589" s="66" t="s">
        <v>9051</v>
      </c>
    </row>
    <row r="2590" ht="15.75" customHeight="1">
      <c r="A2590" s="66">
        <f>'Main dataset (DEPRECATED)'!Q2591</f>
        <v>235230</v>
      </c>
      <c r="B2590" s="66" t="str">
        <f>IFERROR(__xludf.DUMMYFUNCTION("SPLIT('Main dataset (DEPRECATED)'!N2591,"";"")"),"Muraki, S.")</f>
        <v>Muraki, S.</v>
      </c>
    </row>
    <row r="2591" ht="15.75" customHeight="1">
      <c r="A2591" s="66">
        <f>'Main dataset (DEPRECATED)'!Q2592</f>
        <v>235197</v>
      </c>
      <c r="B2591" s="66" t="str">
        <f>IFERROR(__xludf.DUMMYFUNCTION("SPLIT('Main dataset (DEPRECATED)'!N2592,"";"")"),"#REF!")</f>
        <v>#REF!</v>
      </c>
      <c r="C2591" s="66" t="s">
        <v>7493</v>
      </c>
    </row>
    <row r="2592" ht="15.75" customHeight="1">
      <c r="A2592" s="66">
        <f>'Main dataset (DEPRECATED)'!Q2593</f>
        <v>235174</v>
      </c>
      <c r="B2592" s="66" t="str">
        <f>IFERROR(__xludf.DUMMYFUNCTION("SPLIT('Main dataset (DEPRECATED)'!N2593,"";"")"),"#REF!")</f>
        <v>#REF!</v>
      </c>
      <c r="C2592" s="66" t="s">
        <v>10624</v>
      </c>
    </row>
    <row r="2593" ht="15.75" customHeight="1">
      <c r="A2593" s="66">
        <f>'Main dataset (DEPRECATED)'!Q2594</f>
        <v>235201</v>
      </c>
      <c r="B2593" s="66" t="str">
        <f>IFERROR(__xludf.DUMMYFUNCTION("SPLIT('Main dataset (DEPRECATED)'!N2594,"";"")"),"Rheingans, P.")</f>
        <v>Rheingans, P.</v>
      </c>
    </row>
    <row r="2594" ht="15.75" customHeight="1">
      <c r="A2594" s="66">
        <f>'Main dataset (DEPRECATED)'!Q2595</f>
        <v>235211</v>
      </c>
      <c r="B2594" s="66" t="str">
        <f>IFERROR(__xludf.DUMMYFUNCTION("SPLIT('Main dataset (DEPRECATED)'!N2595,"";"")"),"Hultquist, J.P.M.")</f>
        <v>Hultquist, J.P.M.</v>
      </c>
    </row>
    <row r="2595" ht="15.75" customHeight="1">
      <c r="A2595" s="66">
        <f>'Main dataset (DEPRECATED)'!Q2596</f>
        <v>235220</v>
      </c>
      <c r="B2595" s="66" t="str">
        <f>IFERROR(__xludf.DUMMYFUNCTION("SPLIT('Main dataset (DEPRECATED)'!N2596,"";"")"),"#REF!")</f>
        <v>#REF!</v>
      </c>
      <c r="C2595" s="66" t="s">
        <v>11362</v>
      </c>
      <c r="D2595" s="66" t="s">
        <v>6958</v>
      </c>
    </row>
    <row r="2596" ht="15.75" customHeight="1">
      <c r="A2596" s="66">
        <f>'Main dataset (DEPRECATED)'!Q2597</f>
        <v>235215</v>
      </c>
      <c r="B2596" s="66" t="str">
        <f>IFERROR(__xludf.DUMMYFUNCTION("SPLIT('Main dataset (DEPRECATED)'!N2597,"";"")"),"#REF!")</f>
        <v>#REF!</v>
      </c>
      <c r="C2596" s="66" t="s">
        <v>7349</v>
      </c>
      <c r="D2596" s="66" t="s">
        <v>9821</v>
      </c>
    </row>
    <row r="2597" ht="15.75" customHeight="1">
      <c r="A2597" s="66">
        <f>'Main dataset (DEPRECATED)'!Q2598</f>
        <v>235212</v>
      </c>
      <c r="B2597" s="66" t="str">
        <f>IFERROR(__xludf.DUMMYFUNCTION("SPLIT('Main dataset (DEPRECATED)'!N2598,"";"")"),"#REF!")</f>
        <v>#REF!</v>
      </c>
      <c r="C2597" s="66" t="s">
        <v>9695</v>
      </c>
      <c r="D2597" s="66" t="s">
        <v>9816</v>
      </c>
    </row>
    <row r="2598" ht="15.75" customHeight="1">
      <c r="A2598" s="66">
        <f>'Main dataset (DEPRECATED)'!Q2599</f>
        <v>235222</v>
      </c>
      <c r="B2598" s="66" t="str">
        <f>IFERROR(__xludf.DUMMYFUNCTION("SPLIT('Main dataset (DEPRECATED)'!N2599,"";"")"),"#REF!")</f>
        <v>#REF!</v>
      </c>
      <c r="C2598" s="66" t="s">
        <v>8143</v>
      </c>
    </row>
    <row r="2599" ht="15.75" customHeight="1">
      <c r="A2599" s="66">
        <f>'Main dataset (DEPRECATED)'!Q2600</f>
        <v>235224</v>
      </c>
      <c r="B2599" s="66" t="str">
        <f>IFERROR(__xludf.DUMMYFUNCTION("SPLIT('Main dataset (DEPRECATED)'!N2600,"";"")"),"#REF!")</f>
        <v>#REF!</v>
      </c>
      <c r="C2599" s="66" t="s">
        <v>7998</v>
      </c>
    </row>
    <row r="2600" ht="15.75" customHeight="1">
      <c r="A2600" s="66">
        <f>'Main dataset (DEPRECATED)'!Q2601</f>
        <v>235186</v>
      </c>
      <c r="B2600" s="66" t="str">
        <f>IFERROR(__xludf.DUMMYFUNCTION("SPLIT('Main dataset (DEPRECATED)'!N2601,"";"")"),"#REF!")</f>
        <v>#REF!</v>
      </c>
      <c r="C2600" s="66" t="s">
        <v>6739</v>
      </c>
      <c r="D2600" s="66" t="s">
        <v>10497</v>
      </c>
      <c r="E2600" s="66" t="s">
        <v>7884</v>
      </c>
      <c r="F2600" s="66" t="s">
        <v>6698</v>
      </c>
    </row>
    <row r="2601" ht="15.75" customHeight="1">
      <c r="A2601" s="66">
        <f>'Main dataset (DEPRECATED)'!Q2602</f>
        <v>235217</v>
      </c>
      <c r="B2601" s="66" t="str">
        <f>IFERROR(__xludf.DUMMYFUNCTION("SPLIT('Main dataset (DEPRECATED)'!N2602,"";"")"),"#REF!")</f>
        <v>#REF!</v>
      </c>
      <c r="C2601" s="66" t="s">
        <v>8529</v>
      </c>
    </row>
    <row r="2602" ht="15.75" customHeight="1">
      <c r="A2602" s="66">
        <f>'Main dataset (DEPRECATED)'!Q2603</f>
        <v>235185</v>
      </c>
      <c r="B2602" s="66" t="str">
        <f>IFERROR(__xludf.DUMMYFUNCTION("SPLIT('Main dataset (DEPRECATED)'!N2603,"";"")"),"#REF!")</f>
        <v>#REF!</v>
      </c>
      <c r="C2602" s="66" t="s">
        <v>7732</v>
      </c>
      <c r="D2602" s="66" t="s">
        <v>9019</v>
      </c>
      <c r="E2602" s="66" t="s">
        <v>9832</v>
      </c>
    </row>
    <row r="2603" ht="15.75" customHeight="1">
      <c r="A2603" s="66">
        <f>'Main dataset (DEPRECATED)'!Q2604</f>
        <v>235228</v>
      </c>
      <c r="B2603" s="66" t="str">
        <f>IFERROR(__xludf.DUMMYFUNCTION("SPLIT('Main dataset (DEPRECATED)'!N2604,"";"")"),"Williams, P.L.")</f>
        <v>Williams, P.L.</v>
      </c>
    </row>
    <row r="2604" ht="15.75" customHeight="1">
      <c r="A2604" s="66">
        <f>'Main dataset (DEPRECATED)'!Q2605</f>
        <v>235189</v>
      </c>
      <c r="B2604" s="66" t="str">
        <f>IFERROR(__xludf.DUMMYFUNCTION("SPLIT('Main dataset (DEPRECATED)'!N2605,"";"")"),"#REF!")</f>
        <v>#REF!</v>
      </c>
      <c r="C2604" s="66" t="s">
        <v>9266</v>
      </c>
      <c r="D2604" s="66" t="s">
        <v>10816</v>
      </c>
      <c r="E2604" s="66" t="s">
        <v>10980</v>
      </c>
      <c r="F2604" s="66" t="s">
        <v>8046</v>
      </c>
    </row>
    <row r="2605" ht="15.75" customHeight="1">
      <c r="A2605" s="66">
        <f>'Main dataset (DEPRECATED)'!Q2606</f>
        <v>235229</v>
      </c>
      <c r="B2605" s="66" t="str">
        <f>IFERROR(__xludf.DUMMYFUNCTION("SPLIT('Main dataset (DEPRECATED)'!N2606,"";"")"),"#REF!")</f>
        <v>#REF!</v>
      </c>
      <c r="C2605" s="66" t="s">
        <v>8080</v>
      </c>
    </row>
    <row r="2606" ht="15.75" customHeight="1">
      <c r="A2606" s="66">
        <f>'Main dataset (DEPRECATED)'!Q2607</f>
        <v>235209</v>
      </c>
      <c r="B2606" s="66" t="str">
        <f>IFERROR(__xludf.DUMMYFUNCTION("SPLIT('Main dataset (DEPRECATED)'!N2607,"";"")"),"#REF!")</f>
        <v>#REF!</v>
      </c>
      <c r="C2606" s="66" t="s">
        <v>8269</v>
      </c>
      <c r="D2606" s="66" t="s">
        <v>8890</v>
      </c>
    </row>
    <row r="2607" ht="15.75" customHeight="1">
      <c r="A2607" s="66">
        <f>'Main dataset (DEPRECATED)'!Q2608</f>
        <v>235223</v>
      </c>
      <c r="B2607" s="66" t="str">
        <f>IFERROR(__xludf.DUMMYFUNCTION("SPLIT('Main dataset (DEPRECATED)'!N2608,"";"")"),"#REF!")</f>
        <v>#REF!</v>
      </c>
      <c r="C2607" s="66" t="s">
        <v>8189</v>
      </c>
    </row>
    <row r="2608" ht="15.75" customHeight="1">
      <c r="A2608" s="66">
        <f>'Main dataset (DEPRECATED)'!Q2609</f>
        <v>235195</v>
      </c>
      <c r="B2608" s="66" t="str">
        <f>IFERROR(__xludf.DUMMYFUNCTION("SPLIT('Main dataset (DEPRECATED)'!N2609,"";"")"),"#REF!")</f>
        <v>#REF!</v>
      </c>
      <c r="C2608" s="66" t="s">
        <v>6317</v>
      </c>
    </row>
    <row r="2609" ht="15.75" customHeight="1">
      <c r="A2609" s="66">
        <f>'Main dataset (DEPRECATED)'!Q2610</f>
        <v>235182</v>
      </c>
      <c r="B2609" s="66" t="str">
        <f>IFERROR(__xludf.DUMMYFUNCTION("SPLIT('Main dataset (DEPRECATED)'!N2610,"";"")"),"#REF!")</f>
        <v>#REF!</v>
      </c>
      <c r="C2609" s="66" t="s">
        <v>6679</v>
      </c>
      <c r="D2609" s="66" t="s">
        <v>9559</v>
      </c>
      <c r="E2609" s="66" t="s">
        <v>7500</v>
      </c>
      <c r="F2609" s="66" t="s">
        <v>10687</v>
      </c>
      <c r="G2609" s="66" t="s">
        <v>11091</v>
      </c>
    </row>
    <row r="2610" ht="15.75" customHeight="1">
      <c r="A2610" s="66">
        <f>'Main dataset (DEPRECATED)'!Q2611</f>
        <v>235191</v>
      </c>
      <c r="B2610" s="66" t="str">
        <f>IFERROR(__xludf.DUMMYFUNCTION("SPLIT('Main dataset (DEPRECATED)'!N2611,"";"")"),"#REF!")</f>
        <v>#REF!</v>
      </c>
      <c r="C2610" s="66" t="s">
        <v>9827</v>
      </c>
    </row>
    <row r="2611" ht="15.75" customHeight="1">
      <c r="A2611" s="66">
        <f>'Main dataset (DEPRECATED)'!Q2612</f>
        <v>235184</v>
      </c>
      <c r="B2611" s="66" t="str">
        <f>IFERROR(__xludf.DUMMYFUNCTION("SPLIT('Main dataset (DEPRECATED)'!N2612,"";"")"),"Breen, P.T., Jr.")</f>
        <v>Breen, P.T., Jr.</v>
      </c>
    </row>
    <row r="2612" ht="15.75" customHeight="1">
      <c r="A2612" s="66">
        <f>'Main dataset (DEPRECATED)'!Q2613</f>
        <v>235226</v>
      </c>
      <c r="B2612" s="66" t="str">
        <f>IFERROR(__xludf.DUMMYFUNCTION("SPLIT('Main dataset (DEPRECATED)'!N2613,"";"")"),"van Wijk, J.J.")</f>
        <v>van Wijk, J.J.</v>
      </c>
    </row>
    <row r="2613" ht="15.75" customHeight="1">
      <c r="A2613" s="66">
        <f>'Main dataset (DEPRECATED)'!Q2614</f>
        <v>235214</v>
      </c>
      <c r="B2613" s="66" t="str">
        <f>IFERROR(__xludf.DUMMYFUNCTION("SPLIT('Main dataset (DEPRECATED)'!N2614,"";"")"),"#REF!")</f>
        <v>#REF!</v>
      </c>
      <c r="C2613" s="66" t="s">
        <v>9599</v>
      </c>
    </row>
    <row r="2614" ht="15.75" customHeight="1">
      <c r="A2614" s="66">
        <f>'Main dataset (DEPRECATED)'!Q2615</f>
        <v>235202</v>
      </c>
      <c r="B2614" s="66" t="str">
        <f>IFERROR(__xludf.DUMMYFUNCTION("SPLIT('Main dataset (DEPRECATED)'!N2615,"";"")"),"#REF!")</f>
        <v>#REF!</v>
      </c>
      <c r="C2614" s="66" t="s">
        <v>10053</v>
      </c>
    </row>
    <row r="2615" ht="15.75" customHeight="1">
      <c r="A2615" s="66">
        <f>'Main dataset (DEPRECATED)'!Q2616</f>
        <v>235200</v>
      </c>
      <c r="B2615" s="66" t="str">
        <f>IFERROR(__xludf.DUMMYFUNCTION("SPLIT('Main dataset (DEPRECATED)'!N2616,"";"")"),"#REF!")</f>
        <v>#REF!</v>
      </c>
      <c r="C2615" s="66" t="s">
        <v>8452</v>
      </c>
      <c r="D2615" s="66" t="s">
        <v>9188</v>
      </c>
    </row>
    <row r="2616" ht="15.75" customHeight="1">
      <c r="A2616" s="66">
        <f>'Main dataset (DEPRECATED)'!Q2617</f>
        <v>235187</v>
      </c>
      <c r="B2616" s="66" t="str">
        <f>IFERROR(__xludf.DUMMYFUNCTION("SPLIT('Main dataset (DEPRECATED)'!N2617,"";"")"),"#REF!")</f>
        <v>#REF!</v>
      </c>
      <c r="C2616" s="66" t="s">
        <v>7074</v>
      </c>
      <c r="D2616" s="66" t="s">
        <v>7496</v>
      </c>
      <c r="E2616" s="66" t="s">
        <v>11306</v>
      </c>
      <c r="F2616" s="66" t="s">
        <v>7798</v>
      </c>
    </row>
    <row r="2617" ht="15.75" customHeight="1">
      <c r="A2617" s="66">
        <f>'Main dataset (DEPRECATED)'!Q2618</f>
        <v>235177</v>
      </c>
      <c r="B2617" s="66" t="str">
        <f>IFERROR(__xludf.DUMMYFUNCTION("SPLIT('Main dataset (DEPRECATED)'!N2618,"";"")"),"#REF!")</f>
        <v>#REF!</v>
      </c>
      <c r="C2617" s="66" t="s">
        <v>7400</v>
      </c>
      <c r="D2617" s="66" t="s">
        <v>11714</v>
      </c>
    </row>
    <row r="2618" ht="15.75" customHeight="1">
      <c r="A2618" s="66">
        <f>'Main dataset (DEPRECATED)'!Q2619</f>
        <v>235207</v>
      </c>
      <c r="B2618" s="66" t="str">
        <f>IFERROR(__xludf.DUMMYFUNCTION("SPLIT('Main dataset (DEPRECATED)'!N2619,"";"")"),"#REF!")</f>
        <v>#REF!</v>
      </c>
      <c r="C2618" s="66" t="s">
        <v>10082</v>
      </c>
      <c r="D2618" s="66" t="s">
        <v>8047</v>
      </c>
    </row>
    <row r="2619" ht="15.75" customHeight="1">
      <c r="A2619" s="66">
        <f>'Main dataset (DEPRECATED)'!Q2620</f>
        <v>235231</v>
      </c>
      <c r="B2619" s="66" t="str">
        <f>IFERROR(__xludf.DUMMYFUNCTION("SPLIT('Main dataset (DEPRECATED)'!N2620,"";"")"),"#REF!")</f>
        <v>#REF!</v>
      </c>
      <c r="C2619" s="66" t="s">
        <v>10696</v>
      </c>
      <c r="D2619" s="66" t="s">
        <v>8645</v>
      </c>
    </row>
    <row r="2620" ht="15.75" customHeight="1">
      <c r="A2620" s="66">
        <f>'Main dataset (DEPRECATED)'!Q2621</f>
        <v>235227</v>
      </c>
      <c r="B2620" s="66" t="str">
        <f>IFERROR(__xludf.DUMMYFUNCTION("SPLIT('Main dataset (DEPRECATED)'!N2621,"";"")"),"#REF!")</f>
        <v>#REF!</v>
      </c>
      <c r="C2620" s="66" t="s">
        <v>10685</v>
      </c>
    </row>
    <row r="2621" ht="15.75" customHeight="1">
      <c r="A2621" s="66">
        <f>'Main dataset (DEPRECATED)'!Q2622</f>
        <v>235196</v>
      </c>
      <c r="B2621" s="66" t="str">
        <f>IFERROR(__xludf.DUMMYFUNCTION("SPLIT('Main dataset (DEPRECATED)'!N2622,"";"")"),"Bryson, S.")</f>
        <v>Bryson, S.</v>
      </c>
    </row>
    <row r="2622" ht="15.75" customHeight="1">
      <c r="A2622" s="66">
        <f>'Main dataset (DEPRECATED)'!Q2623</f>
        <v>235205</v>
      </c>
      <c r="B2622" s="66" t="str">
        <f>IFERROR(__xludf.DUMMYFUNCTION("SPLIT('Main dataset (DEPRECATED)'!N2623,"";"")"),"#REF!")</f>
        <v>#REF!</v>
      </c>
      <c r="C2622" s="66" t="s">
        <v>9124</v>
      </c>
      <c r="D2622" s="66" t="s">
        <v>9483</v>
      </c>
      <c r="E2622" s="66" t="s">
        <v>11272</v>
      </c>
    </row>
    <row r="2623" ht="15.75" customHeight="1">
      <c r="A2623" s="66">
        <f>'Main dataset (DEPRECATED)'!Q2624</f>
        <v>235208</v>
      </c>
      <c r="B2623" s="66" t="str">
        <f>IFERROR(__xludf.DUMMYFUNCTION("SPLIT('Main dataset (DEPRECATED)'!N2624,"";"")"),"#REF!")</f>
        <v>#REF!</v>
      </c>
      <c r="C2623" s="66" t="s">
        <v>9153</v>
      </c>
    </row>
    <row r="2624" ht="15.75" customHeight="1">
      <c r="A2624" s="66">
        <f>'Main dataset (DEPRECATED)'!Q2625</f>
        <v>235198</v>
      </c>
      <c r="B2624" s="66" t="str">
        <f>IFERROR(__xludf.DUMMYFUNCTION("SPLIT('Main dataset (DEPRECATED)'!N2625,"";"")"),"Lin, X.")</f>
        <v>Lin, X.</v>
      </c>
    </row>
    <row r="2625" ht="15.75" customHeight="1">
      <c r="A2625" s="66">
        <f>'Main dataset (DEPRECATED)'!Q2626</f>
        <v>235179</v>
      </c>
      <c r="B2625" s="66" t="str">
        <f>IFERROR(__xludf.DUMMYFUNCTION("SPLIT('Main dataset (DEPRECATED)'!N2626,"";"")"),"#REF!")</f>
        <v>#REF!</v>
      </c>
      <c r="C2625" s="66" t="s">
        <v>7177</v>
      </c>
      <c r="D2625" s="66" t="s">
        <v>8300</v>
      </c>
      <c r="E2625" s="66" t="s">
        <v>6633</v>
      </c>
    </row>
    <row r="2626" ht="15.75" customHeight="1">
      <c r="A2626" s="66">
        <f>'Main dataset (DEPRECATED)'!Q2627</f>
        <v>235183</v>
      </c>
      <c r="B2626" s="66" t="str">
        <f>IFERROR(__xludf.DUMMYFUNCTION("SPLIT('Main dataset (DEPRECATED)'!N2627,"";"")"),"#REF!")</f>
        <v>#REF!</v>
      </c>
      <c r="C2626" s="66" t="s">
        <v>8732</v>
      </c>
      <c r="D2626" s="66" t="s">
        <v>11423</v>
      </c>
      <c r="E2626" s="66" t="s">
        <v>7336</v>
      </c>
    </row>
    <row r="2627" ht="15.75" customHeight="1">
      <c r="A2627" s="66">
        <f>'Main dataset (DEPRECATED)'!Q2628</f>
        <v>235178</v>
      </c>
      <c r="B2627" s="66" t="str">
        <f>IFERROR(__xludf.DUMMYFUNCTION("SPLIT('Main dataset (DEPRECATED)'!N2628,"";"")"),"#REF!")</f>
        <v>#REF!</v>
      </c>
      <c r="C2627" s="66" t="s">
        <v>8530</v>
      </c>
      <c r="D2627" s="66" t="s">
        <v>9267</v>
      </c>
    </row>
    <row r="2628" ht="15.75" customHeight="1">
      <c r="A2628" s="66">
        <f>'Main dataset (DEPRECATED)'!Q2629</f>
        <v>235199</v>
      </c>
      <c r="B2628" s="66" t="str">
        <f>IFERROR(__xludf.DUMMYFUNCTION("SPLIT('Main dataset (DEPRECATED)'!N2629,"";"")"),"Gershon, N.")</f>
        <v>Gershon, N.</v>
      </c>
    </row>
    <row r="2629" ht="15.75" customHeight="1">
      <c r="A2629" s="66">
        <f>'Main dataset (DEPRECATED)'!Q2630</f>
        <v>235192</v>
      </c>
      <c r="B2629" s="66" t="str">
        <f>IFERROR(__xludf.DUMMYFUNCTION("SPLIT('Main dataset (DEPRECATED)'!N2630,"";"")"),"#REF!")</f>
        <v>#REF!</v>
      </c>
      <c r="C2629" s="66" t="s">
        <v>10731</v>
      </c>
    </row>
    <row r="2630" ht="15.75" customHeight="1">
      <c r="A2630" s="66">
        <f>'Main dataset (DEPRECATED)'!Q2631</f>
        <v>235180</v>
      </c>
      <c r="B2630" s="66" t="str">
        <f>IFERROR(__xludf.DUMMYFUNCTION("SPLIT('Main dataset (DEPRECATED)'!N2631,"";"")"),"Popovic, R.")</f>
        <v>Popovic, R.</v>
      </c>
    </row>
    <row r="2631" ht="15.75" customHeight="1">
      <c r="A2631" s="66">
        <f>'Main dataset (DEPRECATED)'!Q2632</f>
        <v>235193</v>
      </c>
      <c r="B2631" s="66" t="str">
        <f>IFERROR(__xludf.DUMMYFUNCTION("SPLIT('Main dataset (DEPRECATED)'!N2632,"";"")"),"#REF!")</f>
        <v>#REF!</v>
      </c>
      <c r="C2631" s="66" t="s">
        <v>8167</v>
      </c>
    </row>
    <row r="2632" ht="15.75" customHeight="1">
      <c r="A2632" s="66">
        <f>'Main dataset (DEPRECATED)'!Q2633</f>
        <v>235213</v>
      </c>
      <c r="B2632" s="66" t="str">
        <f>IFERROR(__xludf.DUMMYFUNCTION("SPLIT('Main dataset (DEPRECATED)'!N2633,"";"")"),"Koyamada, K.")</f>
        <v>Koyamada, K.</v>
      </c>
    </row>
    <row r="2633" ht="15.75" customHeight="1">
      <c r="A2633" s="66">
        <f>'Main dataset (DEPRECATED)'!Q2634</f>
        <v>235175</v>
      </c>
      <c r="B2633" s="66" t="str">
        <f>IFERROR(__xludf.DUMMYFUNCTION("SPLIT('Main dataset (DEPRECATED)'!N2634,"";"")"),"#REF!")</f>
        <v>#REF!</v>
      </c>
      <c r="C2633" s="66" t="s">
        <v>6552</v>
      </c>
      <c r="D2633" s="66" t="s">
        <v>10135</v>
      </c>
      <c r="E2633" s="66" t="s">
        <v>9887</v>
      </c>
      <c r="F2633" s="66" t="s">
        <v>10519</v>
      </c>
      <c r="G2633" s="66" t="s">
        <v>6595</v>
      </c>
      <c r="H2633" s="66" t="s">
        <v>9862</v>
      </c>
      <c r="I2633" s="66" t="s">
        <v>8533</v>
      </c>
      <c r="J2633" s="66" t="s">
        <v>8174</v>
      </c>
      <c r="K2633" s="66" t="s">
        <v>7349</v>
      </c>
      <c r="L2633" s="66" t="s">
        <v>9821</v>
      </c>
      <c r="M2633" s="66" t="s">
        <v>11091</v>
      </c>
    </row>
    <row r="2634" ht="15.75" customHeight="1">
      <c r="A2634" s="66">
        <f>'Main dataset (DEPRECATED)'!Q2635</f>
        <v>235173</v>
      </c>
      <c r="B2634" s="66" t="str">
        <f>IFERROR(__xludf.DUMMYFUNCTION("SPLIT('Main dataset (DEPRECATED)'!N2635,"";"")"),"#REF!")</f>
        <v>#REF!</v>
      </c>
      <c r="C2634" s="66" t="s">
        <v>6301</v>
      </c>
    </row>
    <row r="2635" ht="15.75" customHeight="1">
      <c r="A2635" s="66">
        <f>'Main dataset (DEPRECATED)'!Q2636</f>
        <v>235206</v>
      </c>
      <c r="B2635" s="66" t="str">
        <f>IFERROR(__xludf.DUMMYFUNCTION("SPLIT('Main dataset (DEPRECATED)'!N2636,"";"")"),"#REF!")</f>
        <v>#REF!</v>
      </c>
      <c r="C2635" s="66" t="s">
        <v>10777</v>
      </c>
    </row>
    <row r="2636" ht="15.75" customHeight="1">
      <c r="A2636" s="66">
        <f>'Main dataset (DEPRECATED)'!Q2637</f>
        <v>235188</v>
      </c>
      <c r="B2636" s="66" t="str">
        <f>IFERROR(__xludf.DUMMYFUNCTION("SPLIT('Main dataset (DEPRECATED)'!N2637,"";"")"),"Ervin, S.M.")</f>
        <v>Ervin, S.M.</v>
      </c>
    </row>
    <row r="2637" ht="15.75" customHeight="1">
      <c r="A2637" s="66">
        <f>'Main dataset (DEPRECATED)'!Q2638</f>
        <v>235176</v>
      </c>
      <c r="B2637" s="66" t="str">
        <f>IFERROR(__xludf.DUMMYFUNCTION("SPLIT('Main dataset (DEPRECATED)'!N2638,"";"")"),"#REF!")</f>
        <v>#REF!</v>
      </c>
      <c r="C2637" s="66" t="s">
        <v>10667</v>
      </c>
    </row>
    <row r="2638" ht="15.75" customHeight="1">
      <c r="A2638" s="66">
        <f>'Main dataset (DEPRECATED)'!Q2639</f>
        <v>235181</v>
      </c>
      <c r="B2638" s="66" t="str">
        <f>IFERROR(__xludf.DUMMYFUNCTION("SPLIT('Main dataset (DEPRECATED)'!N2639,"";"")"),"#REF!")</f>
        <v>#REF!</v>
      </c>
      <c r="C2638" s="66" t="s">
        <v>7460</v>
      </c>
      <c r="D2638" s="66" t="s">
        <v>7452</v>
      </c>
      <c r="E2638" s="66" t="s">
        <v>7438</v>
      </c>
    </row>
    <row r="2639" ht="15.75" customHeight="1">
      <c r="A2639" s="66">
        <f>'Main dataset (DEPRECATED)'!Q2640</f>
        <v>235210</v>
      </c>
      <c r="B2639" s="66" t="str">
        <f>IFERROR(__xludf.DUMMYFUNCTION("SPLIT('Main dataset (DEPRECATED)'!N2640,"";"")"),"#REF!")</f>
        <v>#REF!</v>
      </c>
      <c r="C2639" s="66" t="s">
        <v>7060</v>
      </c>
      <c r="D2639" s="66" t="s">
        <v>11472</v>
      </c>
    </row>
    <row r="2640" ht="15.75" customHeight="1">
      <c r="A2640" s="66">
        <f>'Main dataset (DEPRECATED)'!Q2641</f>
        <v>235221</v>
      </c>
      <c r="B2640" s="66" t="str">
        <f>IFERROR(__xludf.DUMMYFUNCTION("SPLIT('Main dataset (DEPRECATED)'!N2641,"";"")"),"Elvins, T.T.")</f>
        <v>Elvins, T.T.</v>
      </c>
    </row>
    <row r="2641" ht="15.75" customHeight="1">
      <c r="A2641" s="66">
        <f>'Main dataset (DEPRECATED)'!Q2642</f>
        <v>235194</v>
      </c>
      <c r="B2641" s="66" t="str">
        <f>IFERROR(__xludf.DUMMYFUNCTION("SPLIT('Main dataset (DEPRECATED)'!N2642,"";"")"),"#REF!")</f>
        <v>#REF!</v>
      </c>
      <c r="C2641" s="66" t="s">
        <v>8309</v>
      </c>
    </row>
    <row r="2642" ht="15.75" customHeight="1">
      <c r="A2642" s="66">
        <f>'Main dataset (DEPRECATED)'!Q2643</f>
        <v>175818</v>
      </c>
      <c r="B2642" s="66" t="str">
        <f>IFERROR(__xludf.DUMMYFUNCTION("SPLIT('Main dataset (DEPRECATED)'!N2643,"";"")"),"#REF!")</f>
        <v>#REF!</v>
      </c>
      <c r="C2642" s="66" t="s">
        <v>9143</v>
      </c>
      <c r="D2642" s="66" t="s">
        <v>6989</v>
      </c>
    </row>
    <row r="2643" ht="15.75" customHeight="1">
      <c r="A2643" s="66">
        <f>'Main dataset (DEPRECATED)'!Q2644</f>
        <v>175806</v>
      </c>
      <c r="B2643" s="66" t="str">
        <f>IFERROR(__xludf.DUMMYFUNCTION("SPLIT('Main dataset (DEPRECATED)'!N2644,"";"")"),"#REF!")</f>
        <v>#REF!</v>
      </c>
      <c r="C2643" s="66" t="s">
        <v>9091</v>
      </c>
    </row>
    <row r="2644" ht="15.75" customHeight="1">
      <c r="A2644" s="66">
        <f>'Main dataset (DEPRECATED)'!Q2645</f>
        <v>175811</v>
      </c>
      <c r="B2644" s="66" t="str">
        <f>IFERROR(__xludf.DUMMYFUNCTION("SPLIT('Main dataset (DEPRECATED)'!N2645,"";"")"),"#REF!")</f>
        <v>#REF!</v>
      </c>
      <c r="C2644" s="66" t="s">
        <v>6206</v>
      </c>
    </row>
    <row r="2645" ht="15.75" customHeight="1">
      <c r="A2645" s="66">
        <f>'Main dataset (DEPRECATED)'!Q2646</f>
        <v>175773</v>
      </c>
      <c r="B2645" s="66" t="str">
        <f>IFERROR(__xludf.DUMMYFUNCTION("SPLIT('Main dataset (DEPRECATED)'!N2646,"";"")"),"#REF!")</f>
        <v>#REF!</v>
      </c>
      <c r="C2645" s="66" t="s">
        <v>9017</v>
      </c>
      <c r="D2645" s="66" t="s">
        <v>8939</v>
      </c>
    </row>
    <row r="2646" ht="15.75" customHeight="1">
      <c r="A2646" s="66">
        <f>'Main dataset (DEPRECATED)'!Q2647</f>
        <v>175778</v>
      </c>
      <c r="B2646" s="66" t="str">
        <f>IFERROR(__xludf.DUMMYFUNCTION("SPLIT('Main dataset (DEPRECATED)'!N2647,"";"")"),"#REF!")</f>
        <v>#REF!</v>
      </c>
      <c r="C2646" s="66" t="s">
        <v>9615</v>
      </c>
      <c r="D2646" s="66" t="s">
        <v>7625</v>
      </c>
      <c r="E2646" s="66" t="s">
        <v>9928</v>
      </c>
      <c r="F2646" s="66" t="s">
        <v>7092</v>
      </c>
      <c r="G2646" s="66" t="s">
        <v>10136</v>
      </c>
      <c r="H2646" s="66" t="s">
        <v>11438</v>
      </c>
    </row>
    <row r="2647" ht="15.75" customHeight="1">
      <c r="A2647" s="66">
        <f>'Main dataset (DEPRECATED)'!Q2648</f>
        <v>175784</v>
      </c>
      <c r="B2647" s="66" t="str">
        <f>IFERROR(__xludf.DUMMYFUNCTION("SPLIT('Main dataset (DEPRECATED)'!N2648,"";"")"),"#REF!")</f>
        <v>#REF!</v>
      </c>
      <c r="C2647" s="66" t="s">
        <v>8608</v>
      </c>
      <c r="D2647" s="66" t="s">
        <v>6428</v>
      </c>
      <c r="E2647" s="66" t="s">
        <v>7407</v>
      </c>
    </row>
    <row r="2648" ht="15.75" customHeight="1">
      <c r="A2648" s="66">
        <f>'Main dataset (DEPRECATED)'!Q2649</f>
        <v>175833</v>
      </c>
      <c r="B2648" s="66" t="str">
        <f>IFERROR(__xludf.DUMMYFUNCTION("SPLIT('Main dataset (DEPRECATED)'!N2649,"";"")"),"Legensky, S.M.")</f>
        <v>Legensky, S.M.</v>
      </c>
    </row>
    <row r="2649" ht="15.75" customHeight="1">
      <c r="A2649" s="66">
        <f>'Main dataset (DEPRECATED)'!Q2650</f>
        <v>175823</v>
      </c>
      <c r="B2649" s="66" t="str">
        <f>IFERROR(__xludf.DUMMYFUNCTION("SPLIT('Main dataset (DEPRECATED)'!N2650,"";"")"),"#REF!")</f>
        <v>#REF!</v>
      </c>
      <c r="C2649" s="66" t="s">
        <v>7978</v>
      </c>
      <c r="D2649" s="66" t="s">
        <v>7513</v>
      </c>
      <c r="E2649" s="66" t="s">
        <v>9790</v>
      </c>
      <c r="F2649" s="66" t="s">
        <v>10807</v>
      </c>
      <c r="G2649" s="66" t="s">
        <v>11497</v>
      </c>
    </row>
    <row r="2650" ht="15.75" customHeight="1">
      <c r="A2650" s="66">
        <f>'Main dataset (DEPRECATED)'!Q2651</f>
        <v>175795</v>
      </c>
      <c r="B2650" s="66" t="str">
        <f>IFERROR(__xludf.DUMMYFUNCTION("SPLIT('Main dataset (DEPRECATED)'!N2651,"";"")"),"Levkowitz, H.")</f>
        <v>Levkowitz, H.</v>
      </c>
    </row>
    <row r="2651" ht="15.75" customHeight="1">
      <c r="A2651" s="66">
        <f>'Main dataset (DEPRECATED)'!Q2652</f>
        <v>175824</v>
      </c>
      <c r="B2651" s="66" t="str">
        <f>IFERROR(__xludf.DUMMYFUNCTION("SPLIT('Main dataset (DEPRECATED)'!N2652,"";"")"),"#REF!")</f>
        <v>#REF!</v>
      </c>
      <c r="C2651" s="66" t="s">
        <v>8237</v>
      </c>
      <c r="D2651" s="66" t="s">
        <v>9375</v>
      </c>
      <c r="E2651" s="66" t="s">
        <v>10188</v>
      </c>
    </row>
    <row r="2652" ht="15.75" customHeight="1">
      <c r="A2652" s="66">
        <f>'Main dataset (DEPRECATED)'!Q2653</f>
        <v>175785</v>
      </c>
      <c r="B2652" s="66" t="str">
        <f>IFERROR(__xludf.DUMMYFUNCTION("SPLIT('Main dataset (DEPRECATED)'!N2653,"";"")"),"Max, N.")</f>
        <v>Max, N.</v>
      </c>
    </row>
    <row r="2653" ht="15.75" customHeight="1">
      <c r="A2653" s="66">
        <f>'Main dataset (DEPRECATED)'!Q2654</f>
        <v>175819</v>
      </c>
      <c r="B2653" s="66" t="str">
        <f>IFERROR(__xludf.DUMMYFUNCTION("SPLIT('Main dataset (DEPRECATED)'!N2654,"";"")"),"#REF!")</f>
        <v>#REF!</v>
      </c>
      <c r="C2653" s="66" t="s">
        <v>7614</v>
      </c>
      <c r="D2653" s="66" t="s">
        <v>8932</v>
      </c>
    </row>
    <row r="2654" ht="15.75" customHeight="1">
      <c r="A2654" s="66">
        <f>'Main dataset (DEPRECATED)'!Q2655</f>
        <v>175820</v>
      </c>
      <c r="B2654" s="66" t="str">
        <f>IFERROR(__xludf.DUMMYFUNCTION("SPLIT('Main dataset (DEPRECATED)'!N2655,"";"")"),"#REF!")</f>
        <v>#REF!</v>
      </c>
      <c r="C2654" s="66" t="s">
        <v>8228</v>
      </c>
    </row>
    <row r="2655" ht="15.75" customHeight="1">
      <c r="A2655" s="66">
        <f>'Main dataset (DEPRECATED)'!Q2656</f>
        <v>175835</v>
      </c>
      <c r="B2655" s="66" t="str">
        <f>IFERROR(__xludf.DUMMYFUNCTION("SPLIT('Main dataset (DEPRECATED)'!N2656,"";"")"),"Sluis, L.V.")</f>
        <v>Sluis, L.V.</v>
      </c>
    </row>
    <row r="2656" ht="15.75" customHeight="1">
      <c r="A2656" s="66">
        <f>'Main dataset (DEPRECATED)'!Q2657</f>
        <v>175834</v>
      </c>
      <c r="B2656" s="66" t="str">
        <f>IFERROR(__xludf.DUMMYFUNCTION("SPLIT('Main dataset (DEPRECATED)'!N2657,"";"")"),"#REF!")</f>
        <v>#REF!</v>
      </c>
      <c r="C2656" s="66" t="s">
        <v>8403</v>
      </c>
      <c r="D2656" s="66" t="s">
        <v>8537</v>
      </c>
      <c r="E2656" s="66" t="s">
        <v>9116</v>
      </c>
      <c r="F2656" s="66" t="s">
        <v>11013</v>
      </c>
      <c r="G2656" s="66" t="s">
        <v>11047</v>
      </c>
    </row>
    <row r="2657" ht="15.75" customHeight="1">
      <c r="A2657" s="66">
        <f>'Main dataset (DEPRECATED)'!Q2658</f>
        <v>175799</v>
      </c>
      <c r="B2657" s="66" t="str">
        <f>IFERROR(__xludf.DUMMYFUNCTION("SPLIT('Main dataset (DEPRECATED)'!N2658,"";"")"),"Gershon, N.")</f>
        <v>Gershon, N.</v>
      </c>
    </row>
    <row r="2658" ht="15.75" customHeight="1">
      <c r="A2658" s="66">
        <f>'Main dataset (DEPRECATED)'!Q2659</f>
        <v>175836</v>
      </c>
      <c r="B2658" s="66" t="str">
        <f>IFERROR(__xludf.DUMMYFUNCTION("SPLIT('Main dataset (DEPRECATED)'!N2659,"";"")"),"Schaller, N.C.")</f>
        <v>Schaller, N.C.</v>
      </c>
    </row>
    <row r="2659" ht="15.75" customHeight="1">
      <c r="A2659" s="66">
        <f>'Main dataset (DEPRECATED)'!Q2660</f>
        <v>175777</v>
      </c>
      <c r="B2659" s="66" t="str">
        <f>IFERROR(__xludf.DUMMYFUNCTION("SPLIT('Main dataset (DEPRECATED)'!N2660,"";"")"),"#REF!")</f>
        <v>#REF!</v>
      </c>
      <c r="C2659" s="66" t="s">
        <v>10335</v>
      </c>
    </row>
    <row r="2660" ht="15.75" customHeight="1">
      <c r="A2660" s="66">
        <f>'Main dataset (DEPRECATED)'!Q2661</f>
        <v>175787</v>
      </c>
      <c r="B2660" s="66" t="str">
        <f>IFERROR(__xludf.DUMMYFUNCTION("SPLIT('Main dataset (DEPRECATED)'!N2661,"";"")"),"#REF!")</f>
        <v>#REF!</v>
      </c>
      <c r="C2660" s="66" t="s">
        <v>11641</v>
      </c>
    </row>
    <row r="2661" ht="15.75" customHeight="1">
      <c r="A2661" s="66">
        <f>'Main dataset (DEPRECATED)'!Q2662</f>
        <v>175791</v>
      </c>
      <c r="B2661" s="66" t="str">
        <f>IFERROR(__xludf.DUMMYFUNCTION("SPLIT('Main dataset (DEPRECATED)'!N2662,"";"")"),"Feeney, W.R.")</f>
        <v>Feeney, W.R.</v>
      </c>
    </row>
    <row r="2662" ht="15.75" customHeight="1">
      <c r="A2662" s="66">
        <f>'Main dataset (DEPRECATED)'!Q2663</f>
        <v>175816</v>
      </c>
      <c r="B2662" s="66" t="str">
        <f>IFERROR(__xludf.DUMMYFUNCTION("SPLIT('Main dataset (DEPRECATED)'!N2663,"";"")"),"Grosse, E.")</f>
        <v>Grosse, E.</v>
      </c>
    </row>
    <row r="2663" ht="15.75" customHeight="1">
      <c r="A2663" s="66">
        <f>'Main dataset (DEPRECATED)'!Q2664</f>
        <v>175826</v>
      </c>
      <c r="B2663" s="66" t="str">
        <f>IFERROR(__xludf.DUMMYFUNCTION("SPLIT('Main dataset (DEPRECATED)'!N2664,"";"")"),"#REF!")</f>
        <v>#REF!</v>
      </c>
      <c r="C2663" s="66" t="s">
        <v>6683</v>
      </c>
      <c r="D2663" s="66" t="s">
        <v>8075</v>
      </c>
      <c r="E2663" s="66" t="s">
        <v>8858</v>
      </c>
      <c r="F2663" s="66" t="s">
        <v>11246</v>
      </c>
    </row>
    <row r="2664" ht="15.75" customHeight="1">
      <c r="A2664" s="66">
        <f>'Main dataset (DEPRECATED)'!Q2665</f>
        <v>175814</v>
      </c>
      <c r="B2664" s="66" t="str">
        <f>IFERROR(__xludf.DUMMYFUNCTION("SPLIT('Main dataset (DEPRECATED)'!N2665,"";"")"),"#REF!")</f>
        <v>#REF!</v>
      </c>
      <c r="C2664" s="66" t="s">
        <v>7400</v>
      </c>
      <c r="D2664" s="66" t="s">
        <v>6317</v>
      </c>
    </row>
    <row r="2665" ht="15.75" customHeight="1">
      <c r="A2665" s="66">
        <f>'Main dataset (DEPRECATED)'!Q2666</f>
        <v>175801</v>
      </c>
      <c r="B2665" s="66" t="str">
        <f>IFERROR(__xludf.DUMMYFUNCTION("SPLIT('Main dataset (DEPRECATED)'!N2666,"";"")"),"#REF!")</f>
        <v>#REF!</v>
      </c>
      <c r="C2665" s="66" t="s">
        <v>6720</v>
      </c>
      <c r="D2665" s="66" t="s">
        <v>8719</v>
      </c>
      <c r="E2665" s="66" t="s">
        <v>9468</v>
      </c>
    </row>
    <row r="2666" ht="15.75" customHeight="1">
      <c r="A2666" s="66">
        <f>'Main dataset (DEPRECATED)'!Q2667</f>
        <v>175812</v>
      </c>
      <c r="B2666" s="66" t="str">
        <f>IFERROR(__xludf.DUMMYFUNCTION("SPLIT('Main dataset (DEPRECATED)'!N2667,"";"")"),"#REF!")</f>
        <v>#REF!</v>
      </c>
      <c r="C2666" s="66" t="s">
        <v>8924</v>
      </c>
      <c r="D2666" s="66" t="s">
        <v>10284</v>
      </c>
    </row>
    <row r="2667" ht="15.75" customHeight="1">
      <c r="A2667" s="66">
        <f>'Main dataset (DEPRECATED)'!Q2668</f>
        <v>175809</v>
      </c>
      <c r="B2667" s="66" t="str">
        <f>IFERROR(__xludf.DUMMYFUNCTION("SPLIT('Main dataset (DEPRECATED)'!N2668,"";"")"),"#REF!")</f>
        <v>#REF!</v>
      </c>
      <c r="C2667" s="66" t="s">
        <v>7884</v>
      </c>
      <c r="D2667" s="66" t="s">
        <v>6453</v>
      </c>
    </row>
    <row r="2668" ht="15.75" customHeight="1">
      <c r="A2668" s="66">
        <f>'Main dataset (DEPRECATED)'!Q2669</f>
        <v>175794</v>
      </c>
      <c r="B2668" s="66" t="str">
        <f>IFERROR(__xludf.DUMMYFUNCTION("SPLIT('Main dataset (DEPRECATED)'!N2669,"";"")"),"#REF!")</f>
        <v>#REF!</v>
      </c>
      <c r="C2668" s="66" t="s">
        <v>9303</v>
      </c>
      <c r="D2668" s="66" t="s">
        <v>9384</v>
      </c>
      <c r="E2668" s="66" t="s">
        <v>10848</v>
      </c>
    </row>
    <row r="2669" ht="15.75" customHeight="1">
      <c r="A2669" s="66">
        <f>'Main dataset (DEPRECATED)'!Q2670</f>
        <v>175804</v>
      </c>
      <c r="B2669" s="66" t="str">
        <f>IFERROR(__xludf.DUMMYFUNCTION("SPLIT('Main dataset (DEPRECATED)'!N2670,"";"")"),"#REF!")</f>
        <v>#REF!</v>
      </c>
      <c r="C2669" s="66" t="s">
        <v>8922</v>
      </c>
    </row>
    <row r="2670" ht="15.75" customHeight="1">
      <c r="A2670" s="66">
        <f>'Main dataset (DEPRECATED)'!Q2671</f>
        <v>175832</v>
      </c>
      <c r="B2670" s="66" t="str">
        <f>IFERROR(__xludf.DUMMYFUNCTION("SPLIT('Main dataset (DEPRECATED)'!N2671,"";"")"),"Dolecek, Q.E.")</f>
        <v>Dolecek, Q.E.</v>
      </c>
    </row>
    <row r="2671" ht="15.75" customHeight="1">
      <c r="A2671" s="66">
        <f>'Main dataset (DEPRECATED)'!Q2672</f>
        <v>175827</v>
      </c>
      <c r="B2671" s="66" t="str">
        <f>IFERROR(__xludf.DUMMYFUNCTION("SPLIT('Main dataset (DEPRECATED)'!N2672,"";"")"),"#REF!")</f>
        <v>#REF!</v>
      </c>
      <c r="C2671" s="66" t="s">
        <v>7884</v>
      </c>
      <c r="D2671" s="66" t="s">
        <v>7783</v>
      </c>
      <c r="E2671" s="66" t="s">
        <v>8184</v>
      </c>
      <c r="F2671" s="66" t="s">
        <v>9017</v>
      </c>
      <c r="G2671" s="66" t="s">
        <v>10687</v>
      </c>
    </row>
    <row r="2672" ht="15.75" customHeight="1">
      <c r="A2672" s="66">
        <f>'Main dataset (DEPRECATED)'!Q2673</f>
        <v>175807</v>
      </c>
      <c r="B2672" s="66" t="str">
        <f>IFERROR(__xludf.DUMMYFUNCTION("SPLIT('Main dataset (DEPRECATED)'!N2673,"";"")"),"#REF!")</f>
        <v>#REF!</v>
      </c>
      <c r="C2672" s="66" t="s">
        <v>9562</v>
      </c>
    </row>
    <row r="2673" ht="15.75" customHeight="1">
      <c r="A2673" s="66">
        <f>'Main dataset (DEPRECATED)'!Q2674</f>
        <v>175805</v>
      </c>
      <c r="B2673" s="66" t="str">
        <f>IFERROR(__xludf.DUMMYFUNCTION("SPLIT('Main dataset (DEPRECATED)'!N2674,"";"")"),"#REF!")</f>
        <v>#REF!</v>
      </c>
      <c r="C2673" s="66" t="s">
        <v>8645</v>
      </c>
      <c r="D2673" s="66" t="s">
        <v>11777</v>
      </c>
    </row>
    <row r="2674" ht="15.75" customHeight="1">
      <c r="A2674" s="66">
        <f>'Main dataset (DEPRECATED)'!Q2675</f>
        <v>175825</v>
      </c>
      <c r="B2674" s="66" t="str">
        <f>IFERROR(__xludf.DUMMYFUNCTION("SPLIT('Main dataset (DEPRECATED)'!N2675,"";"")"),"#REF!")</f>
        <v>#REF!</v>
      </c>
      <c r="C2674" s="66" t="s">
        <v>6604</v>
      </c>
      <c r="D2674" s="66" t="s">
        <v>6632</v>
      </c>
      <c r="E2674" s="66" t="s">
        <v>7927</v>
      </c>
      <c r="F2674" s="66" t="s">
        <v>10803</v>
      </c>
    </row>
    <row r="2675" ht="15.75" customHeight="1">
      <c r="A2675" s="66">
        <f>'Main dataset (DEPRECATED)'!Q2676</f>
        <v>175810</v>
      </c>
      <c r="B2675" s="66" t="str">
        <f>IFERROR(__xludf.DUMMYFUNCTION("SPLIT('Main dataset (DEPRECATED)'!N2676,"";"")"),"#REF!")</f>
        <v>#REF!</v>
      </c>
      <c r="C2675" s="66" t="s">
        <v>8391</v>
      </c>
      <c r="D2675" s="66" t="s">
        <v>7100</v>
      </c>
    </row>
    <row r="2676" ht="15.75" customHeight="1">
      <c r="A2676" s="66">
        <f>'Main dataset (DEPRECATED)'!Q2677</f>
        <v>175767</v>
      </c>
      <c r="B2676" s="66" t="str">
        <f>IFERROR(__xludf.DUMMYFUNCTION("SPLIT('Main dataset (DEPRECATED)'!N2677,"";"")"),"Smarr, L.L.")</f>
        <v>Smarr, L.L.</v>
      </c>
    </row>
    <row r="2677" ht="15.75" customHeight="1">
      <c r="A2677" s="66">
        <f>'Main dataset (DEPRECATED)'!Q2678</f>
        <v>175792</v>
      </c>
      <c r="B2677" s="66" t="str">
        <f>IFERROR(__xludf.DUMMYFUNCTION("SPLIT('Main dataset (DEPRECATED)'!N2678,"";"")"),"#REF!")</f>
        <v>#REF!</v>
      </c>
      <c r="C2677" s="66" t="s">
        <v>8074</v>
      </c>
    </row>
    <row r="2678" ht="15.75" customHeight="1">
      <c r="A2678" s="66">
        <f>'Main dataset (DEPRECATED)'!Q2679</f>
        <v>175780</v>
      </c>
      <c r="B2678" s="66" t="str">
        <f>IFERROR(__xludf.DUMMYFUNCTION("SPLIT('Main dataset (DEPRECATED)'!N2679,"";"")"),"Gallagher, R.S.")</f>
        <v>Gallagher, R.S.</v>
      </c>
    </row>
    <row r="2679" ht="15.75" customHeight="1">
      <c r="A2679" s="66">
        <f>'Main dataset (DEPRECATED)'!Q2680</f>
        <v>175782</v>
      </c>
      <c r="B2679" s="66" t="str">
        <f>IFERROR(__xludf.DUMMYFUNCTION("SPLIT('Main dataset (DEPRECATED)'!N2680,"";"")"),"#REF!")</f>
        <v>#REF!</v>
      </c>
      <c r="C2679" s="66" t="s">
        <v>8023</v>
      </c>
    </row>
    <row r="2680" ht="15.75" customHeight="1">
      <c r="A2680" s="66">
        <f>'Main dataset (DEPRECATED)'!Q2681</f>
        <v>175786</v>
      </c>
      <c r="B2680" s="66" t="str">
        <f>IFERROR(__xludf.DUMMYFUNCTION("SPLIT('Main dataset (DEPRECATED)'!N2681,"";"")"),"#REF!")</f>
        <v>#REF!</v>
      </c>
      <c r="C2680" s="66" t="s">
        <v>9601</v>
      </c>
      <c r="D2680" s="66" t="s">
        <v>8519</v>
      </c>
    </row>
    <row r="2681" ht="15.75" customHeight="1">
      <c r="A2681" s="66">
        <f>'Main dataset (DEPRECATED)'!Q2682</f>
        <v>175790</v>
      </c>
      <c r="B2681" s="66" t="str">
        <f>IFERROR(__xludf.DUMMYFUNCTION("SPLIT('Main dataset (DEPRECATED)'!N2682,"";"")"),"#REF!")</f>
        <v>#REF!</v>
      </c>
      <c r="C2681" s="66" t="s">
        <v>6797</v>
      </c>
    </row>
    <row r="2682" ht="15.75" customHeight="1">
      <c r="A2682" s="66">
        <f>'Main dataset (DEPRECATED)'!Q2683</f>
        <v>175789</v>
      </c>
      <c r="B2682" s="66" t="str">
        <f>IFERROR(__xludf.DUMMYFUNCTION("SPLIT('Main dataset (DEPRECATED)'!N2683,"";"")"),"#REF!")</f>
        <v>#REF!</v>
      </c>
      <c r="C2682" s="66" t="s">
        <v>11272</v>
      </c>
      <c r="D2682" s="66" t="s">
        <v>9124</v>
      </c>
    </row>
    <row r="2683" ht="15.75" customHeight="1">
      <c r="A2683" s="66">
        <f>'Main dataset (DEPRECATED)'!Q2684</f>
        <v>175771</v>
      </c>
      <c r="B2683" s="66" t="str">
        <f>IFERROR(__xludf.DUMMYFUNCTION("SPLIT('Main dataset (DEPRECATED)'!N2684,"";"")"),"#REF!")</f>
        <v>#REF!</v>
      </c>
      <c r="C2683" s="66" t="s">
        <v>9017</v>
      </c>
    </row>
    <row r="2684" ht="15.75" customHeight="1">
      <c r="A2684" s="66">
        <f>'Main dataset (DEPRECATED)'!Q2685</f>
        <v>175797</v>
      </c>
      <c r="B2684" s="66" t="str">
        <f>IFERROR(__xludf.DUMMYFUNCTION("SPLIT('Main dataset (DEPRECATED)'!N2685,"";"")"),"#REF!")</f>
        <v>#REF!</v>
      </c>
      <c r="C2684" s="66" t="s">
        <v>11333</v>
      </c>
    </row>
    <row r="2685" ht="15.75" customHeight="1">
      <c r="A2685" s="66">
        <f>'Main dataset (DEPRECATED)'!Q2686</f>
        <v>175800</v>
      </c>
      <c r="B2685" s="66" t="str">
        <f>IFERROR(__xludf.DUMMYFUNCTION("SPLIT('Main dataset (DEPRECATED)'!N2686,"";"")"),"#REF!")</f>
        <v>#REF!</v>
      </c>
      <c r="C2685" s="66" t="s">
        <v>9682</v>
      </c>
      <c r="D2685" s="66" t="s">
        <v>11428</v>
      </c>
      <c r="E2685" s="66" t="s">
        <v>9606</v>
      </c>
      <c r="F2685" s="66" t="s">
        <v>9913</v>
      </c>
    </row>
    <row r="2686" ht="15.75" customHeight="1">
      <c r="A2686" s="66">
        <f>'Main dataset (DEPRECATED)'!Q2687</f>
        <v>175815</v>
      </c>
      <c r="B2686" s="66" t="str">
        <f>IFERROR(__xludf.DUMMYFUNCTION("SPLIT('Main dataset (DEPRECATED)'!N2687,"";"")"),"#REF!")</f>
        <v>#REF!</v>
      </c>
      <c r="C2686" s="66" t="s">
        <v>10597</v>
      </c>
    </row>
    <row r="2687" ht="15.75" customHeight="1">
      <c r="A2687" s="66">
        <f>'Main dataset (DEPRECATED)'!Q2688</f>
        <v>175776</v>
      </c>
      <c r="B2687" s="66" t="str">
        <f>IFERROR(__xludf.DUMMYFUNCTION("SPLIT('Main dataset (DEPRECATED)'!N2688,"";"")"),"#REF!")</f>
        <v>#REF!</v>
      </c>
      <c r="C2687" s="66" t="s">
        <v>7415</v>
      </c>
      <c r="D2687" s="66" t="s">
        <v>8721</v>
      </c>
      <c r="E2687" s="66" t="s">
        <v>6905</v>
      </c>
      <c r="F2687" s="66" t="s">
        <v>8724</v>
      </c>
      <c r="G2687" s="66" t="s">
        <v>6197</v>
      </c>
    </row>
    <row r="2688" ht="15.75" customHeight="1">
      <c r="A2688" s="66">
        <f>'Main dataset (DEPRECATED)'!Q2689</f>
        <v>175830</v>
      </c>
      <c r="B2688" s="66" t="str">
        <f>IFERROR(__xludf.DUMMYFUNCTION("SPLIT('Main dataset (DEPRECATED)'!N2689,"";"")"),"Stevenson, D.")</f>
        <v>Stevenson, D.</v>
      </c>
    </row>
    <row r="2689" ht="15.75" customHeight="1">
      <c r="A2689" s="66">
        <f>'Main dataset (DEPRECATED)'!Q2690</f>
        <v>175796</v>
      </c>
      <c r="B2689" s="66" t="str">
        <f>IFERROR(__xludf.DUMMYFUNCTION("SPLIT('Main dataset (DEPRECATED)'!N2690,"";"")"),"#REF!")</f>
        <v>#REF!</v>
      </c>
      <c r="C2689" s="66" t="s">
        <v>11054</v>
      </c>
      <c r="D2689" s="66" t="s">
        <v>10467</v>
      </c>
    </row>
    <row r="2690" ht="15.75" customHeight="1">
      <c r="A2690" s="66">
        <f>'Main dataset (DEPRECATED)'!Q2691</f>
        <v>175837</v>
      </c>
      <c r="B2690" s="66" t="str">
        <f>IFERROR(__xludf.DUMMYFUNCTION("SPLIT('Main dataset (DEPRECATED)'!N2691,"";"")"),"#REF!")</f>
        <v>#REF!</v>
      </c>
      <c r="C2690" s="66" t="s">
        <v>7140</v>
      </c>
    </row>
    <row r="2691" ht="15.75" customHeight="1">
      <c r="A2691" s="66">
        <f>'Main dataset (DEPRECATED)'!Q2692</f>
        <v>175781</v>
      </c>
      <c r="B2691" s="66" t="str">
        <f>IFERROR(__xludf.DUMMYFUNCTION("SPLIT('Main dataset (DEPRECATED)'!N2692,"";"")"),"#REF!")</f>
        <v>#REF!</v>
      </c>
      <c r="C2691" s="66" t="s">
        <v>11400</v>
      </c>
      <c r="D2691" s="66" t="s">
        <v>11472</v>
      </c>
      <c r="E2691" s="66" t="s">
        <v>6987</v>
      </c>
    </row>
    <row r="2692" ht="15.75" customHeight="1">
      <c r="A2692" s="66">
        <f>'Main dataset (DEPRECATED)'!Q2693</f>
        <v>175802</v>
      </c>
      <c r="B2692" s="66" t="str">
        <f>IFERROR(__xludf.DUMMYFUNCTION("SPLIT('Main dataset (DEPRECATED)'!N2693,"";"")"),"#REF!")</f>
        <v>#REF!</v>
      </c>
      <c r="C2692" s="66" t="s">
        <v>9722</v>
      </c>
    </row>
    <row r="2693" ht="15.75" customHeight="1">
      <c r="A2693" s="66">
        <f>'Main dataset (DEPRECATED)'!Q2694</f>
        <v>175770</v>
      </c>
      <c r="B2693" s="66" t="str">
        <f>IFERROR(__xludf.DUMMYFUNCTION("SPLIT('Main dataset (DEPRECATED)'!N2694,"";"")"),"#REF!")</f>
        <v>#REF!</v>
      </c>
      <c r="C2693" s="66" t="s">
        <v>7684</v>
      </c>
      <c r="D2693" s="66" t="s">
        <v>11748</v>
      </c>
    </row>
    <row r="2694" ht="15.75" customHeight="1">
      <c r="A2694" s="66">
        <f>'Main dataset (DEPRECATED)'!Q2695</f>
        <v>175831</v>
      </c>
      <c r="B2694" s="66" t="str">
        <f>IFERROR(__xludf.DUMMYFUNCTION("SPLIT('Main dataset (DEPRECATED)'!N2695,"";"")"),"#REF!")</f>
        <v>#REF!</v>
      </c>
      <c r="C2694" s="66" t="s">
        <v>6223</v>
      </c>
      <c r="D2694" s="66" t="s">
        <v>8825</v>
      </c>
    </row>
    <row r="2695" ht="15.75" customHeight="1">
      <c r="A2695" s="66">
        <f>'Main dataset (DEPRECATED)'!Q2696</f>
        <v>175838</v>
      </c>
      <c r="B2695" s="66" t="str">
        <f>IFERROR(__xludf.DUMMYFUNCTION("SPLIT('Main dataset (DEPRECATED)'!N2696,"";"")"),"#REF!")</f>
        <v>#REF!</v>
      </c>
      <c r="C2695" s="66" t="s">
        <v>9220</v>
      </c>
      <c r="D2695" s="66" t="s">
        <v>9448</v>
      </c>
      <c r="E2695" s="66" t="s">
        <v>11211</v>
      </c>
    </row>
    <row r="2696" ht="15.75" customHeight="1">
      <c r="A2696" s="66">
        <f>'Main dataset (DEPRECATED)'!Q2697</f>
        <v>175821</v>
      </c>
      <c r="B2696" s="66" t="str">
        <f>IFERROR(__xludf.DUMMYFUNCTION("SPLIT('Main dataset (DEPRECATED)'!N2697,"";"")"),"#REF!")</f>
        <v>#REF!</v>
      </c>
      <c r="C2696" s="66" t="s">
        <v>8143</v>
      </c>
    </row>
    <row r="2697" ht="15.75" customHeight="1">
      <c r="A2697" s="66">
        <f>'Main dataset (DEPRECATED)'!Q2698</f>
        <v>175772</v>
      </c>
      <c r="B2697" s="66" t="str">
        <f>IFERROR(__xludf.DUMMYFUNCTION("SPLIT('Main dataset (DEPRECATED)'!N2698,"";"")"),"#REF!")</f>
        <v>#REF!</v>
      </c>
      <c r="C2697" s="66" t="s">
        <v>10493</v>
      </c>
    </row>
    <row r="2698" ht="15.75" customHeight="1">
      <c r="A2698" s="66">
        <f>'Main dataset (DEPRECATED)'!Q2699</f>
        <v>175828</v>
      </c>
      <c r="B2698" s="66" t="str">
        <f>IFERROR(__xludf.DUMMYFUNCTION("SPLIT('Main dataset (DEPRECATED)'!N2699,"";"")"),"#REF!")</f>
        <v>#REF!</v>
      </c>
      <c r="C2698" s="66" t="s">
        <v>11444</v>
      </c>
      <c r="D2698" s="66" t="s">
        <v>7442</v>
      </c>
      <c r="E2698" s="66" t="s">
        <v>9261</v>
      </c>
      <c r="F2698" s="66" t="s">
        <v>9746</v>
      </c>
      <c r="G2698" s="66" t="s">
        <v>7544</v>
      </c>
    </row>
    <row r="2699" ht="15.75" customHeight="1">
      <c r="A2699" s="66">
        <f>'Main dataset (DEPRECATED)'!Q2700</f>
        <v>146419</v>
      </c>
      <c r="B2699" s="66" t="str">
        <f>IFERROR(__xludf.DUMMYFUNCTION("SPLIT('Main dataset (DEPRECATED)'!N2700,"";"")"),"#REF!")</f>
        <v>#REF!</v>
      </c>
      <c r="C2699" s="66" t="s">
        <v>7212</v>
      </c>
    </row>
    <row r="2700" ht="15.75" customHeight="1">
      <c r="A2700" s="66">
        <f>'Main dataset (DEPRECATED)'!Q2701</f>
        <v>146385</v>
      </c>
      <c r="B2700" s="66" t="str">
        <f>IFERROR(__xludf.DUMMYFUNCTION("SPLIT('Main dataset (DEPRECATED)'!N2701,"";"")"),"#REF!")</f>
        <v>#REF!</v>
      </c>
      <c r="C2700" s="66" t="s">
        <v>9771</v>
      </c>
    </row>
    <row r="2701" ht="15.75" customHeight="1">
      <c r="A2701" s="66">
        <f>'Main dataset (DEPRECATED)'!Q2702</f>
        <v>146372</v>
      </c>
      <c r="B2701" s="66" t="str">
        <f>IFERROR(__xludf.DUMMYFUNCTION("SPLIT('Main dataset (DEPRECATED)'!N2702,"";"")"),"Robertson, P.K.")</f>
        <v>Robertson, P.K.</v>
      </c>
    </row>
    <row r="2702" ht="15.75" customHeight="1">
      <c r="A2702" s="66">
        <f>'Main dataset (DEPRECATED)'!Q2703</f>
        <v>146393</v>
      </c>
      <c r="B2702" s="66" t="str">
        <f>IFERROR(__xludf.DUMMYFUNCTION("SPLIT('Main dataset (DEPRECATED)'!N2703,"";"")"),"#REF!")</f>
        <v>#REF!</v>
      </c>
      <c r="C2702" s="66" t="s">
        <v>9771</v>
      </c>
      <c r="D2702" s="66" t="s">
        <v>11823</v>
      </c>
    </row>
    <row r="2703" ht="15.75" customHeight="1">
      <c r="A2703" s="66">
        <f>'Main dataset (DEPRECATED)'!Q2704</f>
        <v>146375</v>
      </c>
      <c r="B2703" s="66" t="str">
        <f>IFERROR(__xludf.DUMMYFUNCTION("SPLIT('Main dataset (DEPRECATED)'!N2704,"";"")"),"#REF!")</f>
        <v>#REF!</v>
      </c>
      <c r="C2703" s="66" t="s">
        <v>9024</v>
      </c>
    </row>
    <row r="2704" ht="15.75" customHeight="1">
      <c r="A2704" s="66">
        <f>'Main dataset (DEPRECATED)'!Q2705</f>
        <v>146362</v>
      </c>
      <c r="B2704" s="66" t="str">
        <f>IFERROR(__xludf.DUMMYFUNCTION("SPLIT('Main dataset (DEPRECATED)'!N2705,"";"")"),"Montine, J.L.")</f>
        <v>Montine, J.L.</v>
      </c>
    </row>
    <row r="2705" ht="15.75" customHeight="1">
      <c r="A2705" s="66">
        <f>'Main dataset (DEPRECATED)'!Q2706</f>
        <v>146398</v>
      </c>
      <c r="B2705" s="66" t="str">
        <f>IFERROR(__xludf.DUMMYFUNCTION("SPLIT('Main dataset (DEPRECATED)'!N2706,"";"")"),"#REF!")</f>
        <v>#REF!</v>
      </c>
      <c r="C2705" s="66" t="s">
        <v>10826</v>
      </c>
      <c r="D2705" s="66" t="s">
        <v>7543</v>
      </c>
      <c r="E2705" s="66" t="s">
        <v>7588</v>
      </c>
    </row>
    <row r="2706" ht="15.75" customHeight="1">
      <c r="A2706" s="66">
        <f>'Main dataset (DEPRECATED)'!Q2707</f>
        <v>146382</v>
      </c>
      <c r="B2706" s="66" t="str">
        <f>IFERROR(__xludf.DUMMYFUNCTION("SPLIT('Main dataset (DEPRECATED)'!N2707,"";"")"),"#REF!")</f>
        <v>#REF!</v>
      </c>
      <c r="C2706" s="66" t="s">
        <v>6416</v>
      </c>
      <c r="D2706" s="66" t="s">
        <v>8673</v>
      </c>
      <c r="E2706" s="66" t="s">
        <v>9242</v>
      </c>
    </row>
    <row r="2707" ht="15.75" customHeight="1">
      <c r="A2707" s="66">
        <f>'Main dataset (DEPRECATED)'!Q2708</f>
        <v>146401</v>
      </c>
      <c r="B2707" s="66" t="str">
        <f>IFERROR(__xludf.DUMMYFUNCTION("SPLIT('Main dataset (DEPRECATED)'!N2708,"";"")"),"Rockwood, A.")</f>
        <v>Rockwood, A.</v>
      </c>
    </row>
    <row r="2708" ht="15.75" customHeight="1">
      <c r="A2708" s="66">
        <f>'Main dataset (DEPRECATED)'!Q2709</f>
        <v>146399</v>
      </c>
      <c r="B2708" s="66" t="str">
        <f>IFERROR(__xludf.DUMMYFUNCTION("SPLIT('Main dataset (DEPRECATED)'!N2709,"";"")"),"Phillips, R.L.")</f>
        <v>Phillips, R.L.</v>
      </c>
    </row>
    <row r="2709" ht="15.75" customHeight="1">
      <c r="A2709" s="66">
        <f>'Main dataset (DEPRECATED)'!Q2710</f>
        <v>146366</v>
      </c>
      <c r="B2709" s="66" t="str">
        <f>IFERROR(__xludf.DUMMYFUNCTION("SPLIT('Main dataset (DEPRECATED)'!N2710,"";"")"),"Maeder, A.J.")</f>
        <v>Maeder, A.J.</v>
      </c>
    </row>
    <row r="2710" ht="15.75" customHeight="1">
      <c r="A2710" s="66">
        <f>'Main dataset (DEPRECATED)'!Q2711</f>
        <v>146377</v>
      </c>
      <c r="B2710" s="66" t="str">
        <f>IFERROR(__xludf.DUMMYFUNCTION("SPLIT('Main dataset (DEPRECATED)'!N2711,"";"")"),"#REF!")</f>
        <v>#REF!</v>
      </c>
      <c r="C2710" s="66" t="s">
        <v>7650</v>
      </c>
    </row>
    <row r="2711" ht="15.75" customHeight="1">
      <c r="A2711" s="66">
        <f>'Main dataset (DEPRECATED)'!Q2712</f>
        <v>146395</v>
      </c>
      <c r="B2711" s="66" t="str">
        <f>IFERROR(__xludf.DUMMYFUNCTION("SPLIT('Main dataset (DEPRECATED)'!N2712,"";"")"),"#REF!")</f>
        <v>#REF!</v>
      </c>
      <c r="C2711" s="66" t="s">
        <v>6981</v>
      </c>
    </row>
    <row r="2712" ht="15.75" customHeight="1">
      <c r="A2712" s="66">
        <f>'Main dataset (DEPRECATED)'!Q2713</f>
        <v>146415</v>
      </c>
      <c r="B2712" s="66" t="str">
        <f>IFERROR(__xludf.DUMMYFUNCTION("SPLIT('Main dataset (DEPRECATED)'!N2713,"";"")"),"#REF!")</f>
        <v>#REF!</v>
      </c>
      <c r="C2712" s="66" t="s">
        <v>11232</v>
      </c>
    </row>
    <row r="2713" ht="15.75" customHeight="1">
      <c r="A2713" s="66">
        <f>'Main dataset (DEPRECATED)'!Q2714</f>
        <v>146374</v>
      </c>
      <c r="B2713" s="66" t="str">
        <f>IFERROR(__xludf.DUMMYFUNCTION("SPLIT('Main dataset (DEPRECATED)'!N2714,"";"")"),"#REF!")</f>
        <v>#REF!</v>
      </c>
      <c r="C2713" s="66" t="s">
        <v>10280</v>
      </c>
      <c r="D2713" s="66" t="s">
        <v>6510</v>
      </c>
      <c r="E2713" s="66" t="s">
        <v>11303</v>
      </c>
    </row>
    <row r="2714" ht="15.75" customHeight="1">
      <c r="A2714" s="66">
        <f>'Main dataset (DEPRECATED)'!Q2715</f>
        <v>146397</v>
      </c>
      <c r="B2714" s="66" t="str">
        <f>IFERROR(__xludf.DUMMYFUNCTION("SPLIT('Main dataset (DEPRECATED)'!N2715,"";"")"),"#REF!")</f>
        <v>#REF!</v>
      </c>
      <c r="C2714" s="66" t="s">
        <v>6204</v>
      </c>
      <c r="D2714" s="66" t="s">
        <v>11490</v>
      </c>
      <c r="E2714" s="66" t="s">
        <v>11327</v>
      </c>
    </row>
    <row r="2715" ht="15.75" customHeight="1">
      <c r="A2715" s="66">
        <f>'Main dataset (DEPRECATED)'!Q2716</f>
        <v>146364</v>
      </c>
      <c r="B2715" s="66" t="str">
        <f>IFERROR(__xludf.DUMMYFUNCTION("SPLIT('Main dataset (DEPRECATED)'!N2716,"";"")"),"Yacoob, Y.")</f>
        <v>Yacoob, Y.</v>
      </c>
    </row>
    <row r="2716" ht="15.75" customHeight="1">
      <c r="A2716" s="66">
        <f>'Main dataset (DEPRECATED)'!Q2717</f>
        <v>146369</v>
      </c>
      <c r="B2716" s="66" t="str">
        <f>IFERROR(__xludf.DUMMYFUNCTION("SPLIT('Main dataset (DEPRECATED)'!N2717,"";"")"),"#REF!")</f>
        <v>#REF!</v>
      </c>
      <c r="C2716" s="66" t="s">
        <v>7379</v>
      </c>
      <c r="D2716" s="66" t="s">
        <v>9399</v>
      </c>
      <c r="E2716" s="66" t="s">
        <v>11465</v>
      </c>
    </row>
    <row r="2717" ht="15.75" customHeight="1">
      <c r="A2717" s="66">
        <f>'Main dataset (DEPRECATED)'!Q2718</f>
        <v>146386</v>
      </c>
      <c r="B2717" s="66" t="str">
        <f>IFERROR(__xludf.DUMMYFUNCTION("SPLIT('Main dataset (DEPRECATED)'!N2718,"";"")"),"#REF!")</f>
        <v>#REF!</v>
      </c>
      <c r="C2717" s="66" t="s">
        <v>11333</v>
      </c>
      <c r="D2717" s="66" t="s">
        <v>11508</v>
      </c>
    </row>
    <row r="2718" ht="15.75" customHeight="1">
      <c r="A2718" s="66">
        <f>'Main dataset (DEPRECATED)'!Q2719</f>
        <v>146367</v>
      </c>
      <c r="B2718" s="66" t="str">
        <f>IFERROR(__xludf.DUMMYFUNCTION("SPLIT('Main dataset (DEPRECATED)'!N2719,"";"")"),"#REF!")</f>
        <v>#REF!</v>
      </c>
      <c r="C2718" s="66" t="s">
        <v>6640</v>
      </c>
      <c r="D2718" s="66" t="s">
        <v>11549</v>
      </c>
    </row>
    <row r="2719" ht="15.75" customHeight="1">
      <c r="A2719" s="66">
        <f>'Main dataset (DEPRECATED)'!Q2720</f>
        <v>146360</v>
      </c>
      <c r="B2719" s="66" t="str">
        <f>IFERROR(__xludf.DUMMYFUNCTION("SPLIT('Main dataset (DEPRECATED)'!N2720,"";"")"),"#REF!")</f>
        <v>#REF!</v>
      </c>
      <c r="C2719" s="66" t="s">
        <v>9368</v>
      </c>
      <c r="D2719" s="66" t="s">
        <v>9935</v>
      </c>
      <c r="E2719" s="66" t="s">
        <v>8665</v>
      </c>
      <c r="F2719" s="66" t="s">
        <v>9294</v>
      </c>
      <c r="G2719" s="66" t="s">
        <v>7784</v>
      </c>
    </row>
    <row r="2720" ht="15.75" customHeight="1">
      <c r="A2720" s="66">
        <f>'Main dataset (DEPRECATED)'!Q2721</f>
        <v>146379</v>
      </c>
      <c r="B2720" s="66" t="str">
        <f>IFERROR(__xludf.DUMMYFUNCTION("SPLIT('Main dataset (DEPRECATED)'!N2721,"";"")"),"#REF!")</f>
        <v>#REF!</v>
      </c>
      <c r="C2720" s="66" t="s">
        <v>9827</v>
      </c>
    </row>
    <row r="2721" ht="15.75" customHeight="1">
      <c r="A2721" s="66">
        <f>'Main dataset (DEPRECATED)'!Q2722</f>
        <v>146416</v>
      </c>
      <c r="B2721" s="66" t="str">
        <f>IFERROR(__xludf.DUMMYFUNCTION("SPLIT('Main dataset (DEPRECATED)'!N2722,"";"")"),"Legensky, S.M.")</f>
        <v>Legensky, S.M.</v>
      </c>
    </row>
    <row r="2722" ht="15.75" customHeight="1">
      <c r="A2722" s="66">
        <f>'Main dataset (DEPRECATED)'!Q2723</f>
        <v>146384</v>
      </c>
      <c r="B2722" s="66" t="str">
        <f>IFERROR(__xludf.DUMMYFUNCTION("SPLIT('Main dataset (DEPRECATED)'!N2723,"";"")"),"#REF!")</f>
        <v>#REF!</v>
      </c>
      <c r="C2722" s="66" t="s">
        <v>8644</v>
      </c>
      <c r="D2722" s="66" t="s">
        <v>10346</v>
      </c>
    </row>
    <row r="2723" ht="15.75" customHeight="1">
      <c r="A2723" s="66">
        <f>'Main dataset (DEPRECATED)'!Q2724</f>
        <v>-1</v>
      </c>
      <c r="B2723" s="66" t="str">
        <f>IFERROR(__xludf.DUMMYFUNCTION("SPLIT('Main dataset (DEPRECATED)'!N2724,"";"")"),"Cox, D.")</f>
        <v>Cox, D.</v>
      </c>
    </row>
    <row r="2724" ht="15.75" customHeight="1">
      <c r="A2724" s="66">
        <f>'Main dataset (DEPRECATED)'!Q2725</f>
        <v>146365</v>
      </c>
      <c r="B2724" s="66" t="str">
        <f>IFERROR(__xludf.DUMMYFUNCTION("SPLIT('Main dataset (DEPRECATED)'!N2725,"";"")"),"#REF!")</f>
        <v>#REF!</v>
      </c>
      <c r="C2724" s="66" t="s">
        <v>6339</v>
      </c>
    </row>
    <row r="2725" ht="15.75" customHeight="1">
      <c r="A2725" s="66">
        <f>'Main dataset (DEPRECATED)'!Q2726</f>
        <v>146381</v>
      </c>
      <c r="B2725" s="66" t="str">
        <f>IFERROR(__xludf.DUMMYFUNCTION("SPLIT('Main dataset (DEPRECATED)'!N2726,"";"")"),"#REF!")</f>
        <v>#REF!</v>
      </c>
      <c r="C2725" s="66" t="s">
        <v>10428</v>
      </c>
      <c r="D2725" s="66" t="s">
        <v>7914</v>
      </c>
    </row>
    <row r="2726" ht="15.75" customHeight="1">
      <c r="A2726" s="66">
        <f>'Main dataset (DEPRECATED)'!Q2727</f>
        <v>146373</v>
      </c>
      <c r="B2726" s="66" t="str">
        <f>IFERROR(__xludf.DUMMYFUNCTION("SPLIT('Main dataset (DEPRECATED)'!N2727,"";"")"),"Kerlick, G.D.")</f>
        <v>Kerlick, G.D.</v>
      </c>
    </row>
    <row r="2727" ht="15.75" customHeight="1">
      <c r="A2727" s="66">
        <f>'Main dataset (DEPRECATED)'!Q2728</f>
        <v>146402</v>
      </c>
      <c r="B2727" s="66" t="str">
        <f>IFERROR(__xludf.DUMMYFUNCTION("SPLIT('Main dataset (DEPRECATED)'!N2728,"";"")"),"#REF!")</f>
        <v>#REF!</v>
      </c>
      <c r="C2727" s="66" t="s">
        <v>7257</v>
      </c>
    </row>
    <row r="2728" ht="15.75" customHeight="1">
      <c r="A2728" s="66">
        <f>'Main dataset (DEPRECATED)'!Q2729</f>
        <v>146418</v>
      </c>
      <c r="B2728" s="66" t="str">
        <f>IFERROR(__xludf.DUMMYFUNCTION("SPLIT('Main dataset (DEPRECATED)'!N2729,"";"")"),"#REF!")</f>
        <v>#REF!</v>
      </c>
      <c r="C2728" s="66" t="s">
        <v>9496</v>
      </c>
      <c r="D2728" s="66" t="s">
        <v>8720</v>
      </c>
      <c r="E2728" s="66" t="s">
        <v>11052</v>
      </c>
      <c r="F2728" s="66" t="s">
        <v>7198</v>
      </c>
    </row>
    <row r="2729" ht="15.75" customHeight="1">
      <c r="A2729" s="66">
        <f>'Main dataset (DEPRECATED)'!Q2730</f>
        <v>146390</v>
      </c>
      <c r="B2729" s="66" t="str">
        <f>IFERROR(__xludf.DUMMYFUNCTION("SPLIT('Main dataset (DEPRECATED)'!N2730,"";"")"),"#REF!")</f>
        <v>#REF!</v>
      </c>
      <c r="C2729" s="66" t="s">
        <v>10797</v>
      </c>
    </row>
    <row r="2730" ht="15.75" customHeight="1">
      <c r="A2730" s="66">
        <f>'Main dataset (DEPRECATED)'!Q2731</f>
        <v>146417</v>
      </c>
      <c r="B2730" s="66" t="str">
        <f>IFERROR(__xludf.DUMMYFUNCTION("SPLIT('Main dataset (DEPRECATED)'!N2731,"";"")"),"Prawel, D.")</f>
        <v>Prawel, D.</v>
      </c>
    </row>
    <row r="2731" ht="15.75" customHeight="1">
      <c r="A2731" s="66">
        <f>'Main dataset (DEPRECATED)'!Q2732</f>
        <v>146380</v>
      </c>
      <c r="B2731" s="66" t="str">
        <f>IFERROR(__xludf.DUMMYFUNCTION("SPLIT('Main dataset (DEPRECATED)'!N2732,"";"")"),"Gyorgy, F.")</f>
        <v>Gyorgy, F.</v>
      </c>
    </row>
    <row r="2732" ht="15.75" customHeight="1">
      <c r="A2732" s="66">
        <f>'Main dataset (DEPRECATED)'!Q2733</f>
        <v>146396</v>
      </c>
      <c r="B2732" s="66" t="str">
        <f>IFERROR(__xludf.DUMMYFUNCTION("SPLIT('Main dataset (DEPRECATED)'!N2733,"";"")"),"Voegele, K.")</f>
        <v>Voegele, K.</v>
      </c>
    </row>
    <row r="2733" ht="15.75" customHeight="1">
      <c r="A2733" s="66">
        <f>'Main dataset (DEPRECATED)'!Q2734</f>
        <v>146387</v>
      </c>
      <c r="B2733" s="66" t="str">
        <f>IFERROR(__xludf.DUMMYFUNCTION("SPLIT('Main dataset (DEPRECATED)'!N2734,"";"")"),"Beddow, J.")</f>
        <v>Beddow, J.</v>
      </c>
    </row>
    <row r="2734" ht="15.75" customHeight="1">
      <c r="A2734" s="66">
        <f>'Main dataset (DEPRECATED)'!Q2735</f>
        <v>146383</v>
      </c>
      <c r="B2734" s="66" t="str">
        <f>IFERROR(__xludf.DUMMYFUNCTION("SPLIT('Main dataset (DEPRECATED)'!N2735,"";"")"),"Binh Pham")</f>
        <v>Binh Pham</v>
      </c>
    </row>
    <row r="2735" ht="15.75" customHeight="1">
      <c r="A2735" s="66">
        <f>'Main dataset (DEPRECATED)'!Q2736</f>
        <v>146394</v>
      </c>
      <c r="B2735" s="66" t="str">
        <f>IFERROR(__xludf.DUMMYFUNCTION("SPLIT('Main dataset (DEPRECATED)'!N2736,"";"")"),"#REF!")</f>
        <v>#REF!</v>
      </c>
      <c r="C2735" s="66" t="s">
        <v>10771</v>
      </c>
    </row>
    <row r="2736" ht="15.75" customHeight="1">
      <c r="A2736" s="66">
        <f>'Main dataset (DEPRECATED)'!Q2737</f>
        <v>146359</v>
      </c>
      <c r="B2736" s="66" t="str">
        <f>IFERROR(__xludf.DUMMYFUNCTION("SPLIT('Main dataset (DEPRECATED)'!N2737,"";"")"),"#REF!")</f>
        <v>#REF!</v>
      </c>
      <c r="C2736" s="66" t="s">
        <v>8167</v>
      </c>
    </row>
    <row r="2737" ht="15.75" customHeight="1">
      <c r="A2737" s="66">
        <f>'Main dataset (DEPRECATED)'!Q2738</f>
        <v>146363</v>
      </c>
      <c r="B2737" s="66" t="str">
        <f>IFERROR(__xludf.DUMMYFUNCTION("SPLIT('Main dataset (DEPRECATED)'!N2738,"";"")"),"#REF!")</f>
        <v>#REF!</v>
      </c>
      <c r="C2737" s="66" t="s">
        <v>8023</v>
      </c>
    </row>
    <row r="2738" ht="15.75" customHeight="1">
      <c r="A2738" s="66">
        <f>'Main dataset (DEPRECATED)'!Q2739</f>
        <v>146400</v>
      </c>
      <c r="B2738" s="66" t="str">
        <f>IFERROR(__xludf.DUMMYFUNCTION("SPLIT('Main dataset (DEPRECATED)'!N2739,"";"")"),"Laszlo, M.J.")</f>
        <v>Laszlo, M.J.</v>
      </c>
    </row>
    <row r="2739" ht="15.75" customHeight="1">
      <c r="A2739" s="66">
        <f>'Main dataset (DEPRECATED)'!Q2740</f>
        <v>146370</v>
      </c>
      <c r="B2739" s="66" t="str">
        <f>IFERROR(__xludf.DUMMYFUNCTION("SPLIT('Main dataset (DEPRECATED)'!N2740,"";"")"),"#REF!")</f>
        <v>#REF!</v>
      </c>
      <c r="C2739" s="66" t="s">
        <v>8143</v>
      </c>
      <c r="D2739" s="66" t="s">
        <v>8621</v>
      </c>
    </row>
    <row r="2740" ht="15.75" customHeight="1">
      <c r="A2740" s="66">
        <f>'Main dataset (DEPRECATED)'!Q2741</f>
        <v>146391</v>
      </c>
      <c r="B2740" s="66" t="str">
        <f>IFERROR(__xludf.DUMMYFUNCTION("SPLIT('Main dataset (DEPRECATED)'!N2741,"";"")"),"Krueger, W.")</f>
        <v>Krueger, W.</v>
      </c>
    </row>
    <row r="2741" ht="15.75" customHeight="1">
      <c r="A2741" s="66">
        <f>'Main dataset (DEPRECATED)'!Q2742</f>
        <v>146361</v>
      </c>
      <c r="B2741" s="66" t="str">
        <f>IFERROR(__xludf.DUMMYFUNCTION("SPLIT('Main dataset (DEPRECATED)'!N2742,"";"")"),"#REF!")</f>
        <v>#REF!</v>
      </c>
      <c r="C2741" s="66" t="s">
        <v>10358</v>
      </c>
    </row>
    <row r="2742" ht="15.75" customHeight="1">
      <c r="A2742" s="66">
        <f>'Main dataset (DEPRECATED)'!Q2743</f>
        <v>146376</v>
      </c>
      <c r="B2742" s="66" t="str">
        <f>IFERROR(__xludf.DUMMYFUNCTION("SPLIT('Main dataset (DEPRECATED)'!N2743,"";"")"),"Gershon, N.")</f>
        <v>Gershon, N.</v>
      </c>
    </row>
    <row r="2743" ht="15.75" customHeight="1">
      <c r="A2743" s="66">
        <f>'Main dataset (DEPRECATED)'!Q2744</f>
        <v>146412</v>
      </c>
      <c r="B2743" s="66" t="str">
        <f>IFERROR(__xludf.DUMMYFUNCTION("SPLIT('Main dataset (DEPRECATED)'!N2744,"";"")"),"Edgar, G.W.")</f>
        <v>Edgar, G.W.</v>
      </c>
    </row>
    <row r="2744" ht="15.75" customHeight="1">
      <c r="A2744" s="66">
        <f>'Main dataset (DEPRECATED)'!Q2745</f>
        <v>146414</v>
      </c>
      <c r="B2744" s="66" t="str">
        <f>IFERROR(__xludf.DUMMYFUNCTION("SPLIT('Main dataset (DEPRECATED)'!N2745,"";"")"),"Herr, L.")</f>
        <v>Herr, L.</v>
      </c>
    </row>
    <row r="2745" ht="15.75" customHeight="1">
      <c r="A2745" s="66">
        <f>'Main dataset (DEPRECATED)'!Q2746</f>
        <v>146403</v>
      </c>
      <c r="B2745" s="66" t="str">
        <f>IFERROR(__xludf.DUMMYFUNCTION("SPLIT('Main dataset (DEPRECATED)'!N2746,"";"")"),"Lasser, D.")</f>
        <v>Lasser, D.</v>
      </c>
    </row>
    <row r="2746" ht="15.75" customHeight="1">
      <c r="A2746" s="66">
        <f>'Main dataset (DEPRECATED)'!Q2747</f>
        <v>146388</v>
      </c>
      <c r="B2746" s="66" t="str">
        <f>IFERROR(__xludf.DUMMYFUNCTION("SPLIT('Main dataset (DEPRECATED)'!N2747,"";"")"),"#REF!")</f>
        <v>#REF!</v>
      </c>
      <c r="C2746" s="66" t="s">
        <v>8922</v>
      </c>
    </row>
    <row r="2747" ht="15.75" customHeight="1">
      <c r="A2747" s="66">
        <f>'Main dataset (DEPRECATED)'!Q2748</f>
        <v>146392</v>
      </c>
      <c r="B2747" s="66" t="str">
        <f>IFERROR(__xludf.DUMMYFUNCTION("SPLIT('Main dataset (DEPRECATED)'!N2748,"";"")"),"#REF!")</f>
        <v>#REF!</v>
      </c>
      <c r="C2747" s="66" t="s">
        <v>11086</v>
      </c>
    </row>
    <row r="2748" ht="15.75" customHeight="1">
      <c r="A2748" s="66">
        <f>'Main dataset (DEPRECATED)'!Q2749</f>
        <v>146389</v>
      </c>
      <c r="B2748" s="66" t="str">
        <f>IFERROR(__xludf.DUMMYFUNCTION("SPLIT('Main dataset (DEPRECATED)'!N2749,"";"")"),"#REF!")</f>
        <v>#REF!</v>
      </c>
      <c r="C2748" s="66" t="s">
        <v>7704</v>
      </c>
      <c r="D2748" s="66" t="s">
        <v>11054</v>
      </c>
      <c r="E2748" s="66" t="s">
        <v>10467</v>
      </c>
    </row>
    <row r="2749" ht="15.75" customHeight="1">
      <c r="A2749" s="66">
        <f>'Main dataset (DEPRECATED)'!Q2750</f>
        <v>146371</v>
      </c>
      <c r="B2749" s="66" t="str">
        <f>IFERROR(__xludf.DUMMYFUNCTION("SPLIT('Main dataset (DEPRECATED)'!N2750,"";"")"),"#REF!")</f>
        <v>#REF!</v>
      </c>
      <c r="C2749" s="66" t="s">
        <v>6797</v>
      </c>
      <c r="D2749" s="66" t="s">
        <v>10488</v>
      </c>
    </row>
    <row r="2750" ht="15.75" customHeight="1">
      <c r="A2750" s="66">
        <f>'Main dataset (DEPRECATED)'!Q2751</f>
        <v>146413</v>
      </c>
      <c r="B2750" s="66" t="str">
        <f>IFERROR(__xludf.DUMMYFUNCTION("SPLIT('Main dataset (DEPRECATED)'!N2751,"";"")"),"#REF!")</f>
        <v>#REF!</v>
      </c>
      <c r="C2750" s="66" t="s">
        <v>6259</v>
      </c>
      <c r="D2750" s="66" t="s">
        <v>11207</v>
      </c>
    </row>
    <row r="2751" ht="15.75" customHeight="1">
      <c r="A2751" s="66">
        <f>'Main dataset (DEPRECATED)'!Q2752</f>
        <v>146378</v>
      </c>
      <c r="B2751" s="66" t="str">
        <f>IFERROR(__xludf.DUMMYFUNCTION("SPLIT('Main dataset (DEPRECATED)'!N2752,"";"")"),"#REF!")</f>
        <v>#REF!</v>
      </c>
      <c r="C2751" s="66" t="s">
        <v>11628</v>
      </c>
      <c r="D2751" s="66" t="s">
        <v>6325</v>
      </c>
      <c r="E2751" s="66" t="s">
        <v>10730</v>
      </c>
    </row>
    <row r="2752" ht="15.75" customHeight="1">
      <c r="A2752" s="66">
        <f>'Main dataset (DEPRECATED)'!Q2753</f>
        <v>146368</v>
      </c>
      <c r="B2752" s="66" t="str">
        <f>IFERROR(__xludf.DUMMYFUNCTION("SPLIT('Main dataset (DEPRECATED)'!N2753,"";"")"),"#REF!")</f>
        <v>#REF!</v>
      </c>
      <c r="C2752" s="66" t="s">
        <v>11020</v>
      </c>
      <c r="D2752" s="66" t="s">
        <v>7048</v>
      </c>
      <c r="E2752" s="66" t="s">
        <v>7342</v>
      </c>
      <c r="F2752" s="66" t="s">
        <v>11561</v>
      </c>
      <c r="G2752" s="66" t="s">
        <v>9710</v>
      </c>
    </row>
    <row r="2753" ht="15.75" customHeight="1">
      <c r="A2753" s="66" t="str">
        <f>#REF!</f>
        <v>#REF!</v>
      </c>
    </row>
    <row r="2754" ht="15.75" customHeight="1"/>
    <row r="2755" ht="15.75" customHeight="1">
      <c r="A2755" s="66" t="str">
        <f t="shared" ref="A2755:A2763" si="1">#REF!</f>
        <v>#REF!</v>
      </c>
    </row>
    <row r="2756" ht="15.75" customHeight="1">
      <c r="A2756" s="66" t="str">
        <f t="shared" si="1"/>
        <v>#REF!</v>
      </c>
    </row>
    <row r="2757" ht="15.75" customHeight="1">
      <c r="A2757" s="66" t="str">
        <f t="shared" si="1"/>
        <v>#REF!</v>
      </c>
    </row>
    <row r="2758" ht="15.75" customHeight="1">
      <c r="A2758" s="66" t="str">
        <f t="shared" si="1"/>
        <v>#REF!</v>
      </c>
    </row>
    <row r="2759" ht="15.75" customHeight="1">
      <c r="A2759" s="66" t="str">
        <f t="shared" si="1"/>
        <v>#REF!</v>
      </c>
    </row>
    <row r="2760" ht="15.75" customHeight="1">
      <c r="A2760" s="66" t="str">
        <f t="shared" si="1"/>
        <v>#REF!</v>
      </c>
    </row>
    <row r="2761" ht="15.75" customHeight="1">
      <c r="A2761" s="66" t="str">
        <f t="shared" si="1"/>
        <v>#REF!</v>
      </c>
    </row>
    <row r="2762" ht="15.75" customHeight="1">
      <c r="A2762" s="66" t="str">
        <f t="shared" si="1"/>
        <v>#REF!</v>
      </c>
    </row>
    <row r="2763" ht="15.75" customHeight="1">
      <c r="A2763" s="66" t="str">
        <f t="shared" si="1"/>
        <v>#REF!</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0"/>
    <col customWidth="1" min="2" max="2" width="10.57"/>
    <col customWidth="1" min="3" max="3" width="48.57"/>
    <col customWidth="1" min="4" max="4" width="30.71"/>
    <col customWidth="1" min="5" max="5" width="20.57"/>
    <col customWidth="1" min="6" max="6" width="6.29"/>
    <col customWidth="1" min="7" max="7" width="6.86"/>
    <col customWidth="1" min="8" max="8" width="10.29"/>
    <col customWidth="1" min="9" max="9" width="14.57"/>
    <col customWidth="1" min="10" max="10" width="58.29"/>
    <col customWidth="1" min="11" max="11" width="33.0"/>
    <col customWidth="1" min="12" max="12" width="51.0"/>
    <col customWidth="1" min="13" max="13" width="15.29"/>
    <col customWidth="1" min="14" max="14" width="85.86"/>
    <col customWidth="1" min="15" max="15" width="44.0"/>
    <col customWidth="1" min="16" max="16" width="14.43"/>
    <col customWidth="1" min="17" max="17" width="10.29"/>
    <col customWidth="1" min="18" max="18" width="13.14"/>
    <col customWidth="1" min="19" max="19" width="69.29"/>
    <col customWidth="1" min="20" max="29" width="14.43"/>
  </cols>
  <sheetData>
    <row r="1" ht="31.5" customHeight="1">
      <c r="A1" s="3" t="s">
        <v>0</v>
      </c>
      <c r="B1" s="3" t="s">
        <v>1</v>
      </c>
      <c r="C1" s="3" t="s">
        <v>28252</v>
      </c>
      <c r="D1" s="3" t="s">
        <v>28253</v>
      </c>
      <c r="E1" s="3" t="s">
        <v>4</v>
      </c>
      <c r="F1" s="3" t="s">
        <v>28254</v>
      </c>
      <c r="G1" s="3" t="s">
        <v>28255</v>
      </c>
      <c r="H1" s="134" t="s">
        <v>28256</v>
      </c>
      <c r="I1" s="3" t="s">
        <v>28267</v>
      </c>
      <c r="J1" s="3" t="s">
        <v>8</v>
      </c>
      <c r="K1" s="3" t="s">
        <v>28269</v>
      </c>
      <c r="L1" s="135" t="s">
        <v>28270</v>
      </c>
      <c r="M1" s="3" t="s">
        <v>28274</v>
      </c>
      <c r="N1" s="3" t="s">
        <v>28275</v>
      </c>
      <c r="O1" s="136" t="s">
        <v>28277</v>
      </c>
      <c r="P1" s="137" t="s">
        <v>28283</v>
      </c>
      <c r="Q1" s="3" t="s">
        <v>28284</v>
      </c>
      <c r="R1" s="3" t="s">
        <v>28285</v>
      </c>
      <c r="S1" s="138" t="s">
        <v>28286</v>
      </c>
      <c r="T1" s="13"/>
      <c r="U1" s="13"/>
      <c r="V1" s="13"/>
      <c r="W1" s="13"/>
      <c r="X1" s="13"/>
      <c r="Y1" s="13"/>
      <c r="Z1" s="13"/>
      <c r="AA1" s="13"/>
      <c r="AB1" s="13"/>
      <c r="AC1" s="13"/>
    </row>
    <row r="2" ht="15.75" customHeight="1">
      <c r="A2" s="30" t="s">
        <v>2137</v>
      </c>
      <c r="B2" s="128">
        <v>2015.0</v>
      </c>
      <c r="C2" s="30" t="s">
        <v>27089</v>
      </c>
      <c r="D2" s="30" t="s">
        <v>27090</v>
      </c>
      <c r="E2" s="139" t="s">
        <v>27091</v>
      </c>
      <c r="F2" s="128">
        <v>619.0</v>
      </c>
      <c r="G2" s="128">
        <v>628.0</v>
      </c>
      <c r="H2" s="16"/>
      <c r="I2" s="16" t="s">
        <v>17059</v>
      </c>
      <c r="J2" s="30" t="s">
        <v>27092</v>
      </c>
      <c r="K2" s="30" t="s">
        <v>28300</v>
      </c>
      <c r="L2" s="30" t="s">
        <v>5349</v>
      </c>
      <c r="M2" s="30" t="s">
        <v>5349</v>
      </c>
      <c r="N2" s="30" t="s">
        <v>28300</v>
      </c>
      <c r="O2" s="130" t="s">
        <v>27096</v>
      </c>
      <c r="P2" s="140" t="s">
        <v>27097</v>
      </c>
      <c r="Q2" s="128">
        <v>7192699.0</v>
      </c>
      <c r="R2" s="16"/>
      <c r="S2" s="141" t="s">
        <v>28305</v>
      </c>
      <c r="T2" s="30"/>
      <c r="U2" s="30"/>
      <c r="V2" s="30"/>
      <c r="W2" s="30"/>
      <c r="X2" s="30"/>
      <c r="Y2" s="30"/>
      <c r="Z2" s="30"/>
      <c r="AA2" s="30"/>
      <c r="AB2" s="30"/>
      <c r="AC2" s="30"/>
    </row>
    <row r="3" ht="15.75" customHeight="1">
      <c r="A3" s="30" t="s">
        <v>2137</v>
      </c>
      <c r="B3" s="128">
        <v>2015.0</v>
      </c>
      <c r="C3" s="30" t="s">
        <v>27128</v>
      </c>
      <c r="D3" s="30" t="s">
        <v>27129</v>
      </c>
      <c r="E3" s="139" t="s">
        <v>27130</v>
      </c>
      <c r="F3" s="128">
        <v>698.0</v>
      </c>
      <c r="G3" s="128">
        <v>707.0</v>
      </c>
      <c r="H3" s="16"/>
      <c r="I3" s="16" t="s">
        <v>17059</v>
      </c>
      <c r="J3" s="30" t="s">
        <v>27131</v>
      </c>
      <c r="K3" s="30" t="s">
        <v>28312</v>
      </c>
      <c r="L3" s="30" t="s">
        <v>178</v>
      </c>
      <c r="M3" s="30" t="s">
        <v>178</v>
      </c>
      <c r="N3" s="30" t="s">
        <v>28312</v>
      </c>
      <c r="O3" s="130"/>
      <c r="P3" s="140" t="s">
        <v>27133</v>
      </c>
      <c r="Q3" s="128">
        <v>7192709.0</v>
      </c>
      <c r="R3" s="16"/>
      <c r="S3" s="16"/>
      <c r="T3" s="30"/>
      <c r="U3" s="30"/>
      <c r="V3" s="30"/>
      <c r="W3" s="30"/>
      <c r="X3" s="30"/>
      <c r="Y3" s="30"/>
      <c r="Z3" s="30"/>
      <c r="AA3" s="30"/>
      <c r="AB3" s="30"/>
      <c r="AC3" s="30"/>
    </row>
    <row r="4" ht="15.75" customHeight="1">
      <c r="A4" s="30" t="s">
        <v>2137</v>
      </c>
      <c r="B4" s="128">
        <v>2015.0</v>
      </c>
      <c r="C4" s="30" t="s">
        <v>27269</v>
      </c>
      <c r="D4" s="30" t="s">
        <v>27270</v>
      </c>
      <c r="E4" s="139" t="s">
        <v>27271</v>
      </c>
      <c r="F4" s="128">
        <v>479.0</v>
      </c>
      <c r="G4" s="128">
        <v>488.0</v>
      </c>
      <c r="H4" s="16"/>
      <c r="I4" s="16" t="s">
        <v>17059</v>
      </c>
      <c r="J4" s="30" t="s">
        <v>28322</v>
      </c>
      <c r="K4" s="30" t="s">
        <v>28323</v>
      </c>
      <c r="L4" s="30" t="s">
        <v>28186</v>
      </c>
      <c r="M4" s="30" t="s">
        <v>178</v>
      </c>
      <c r="N4" s="30" t="s">
        <v>28323</v>
      </c>
      <c r="O4" s="130" t="s">
        <v>27277</v>
      </c>
      <c r="P4" s="140" t="s">
        <v>27278</v>
      </c>
      <c r="Q4" s="128">
        <v>7194845.0</v>
      </c>
      <c r="R4" s="16"/>
      <c r="S4" s="141" t="s">
        <v>28325</v>
      </c>
      <c r="T4" s="30"/>
      <c r="U4" s="30"/>
      <c r="V4" s="30"/>
      <c r="W4" s="30"/>
      <c r="X4" s="30"/>
      <c r="Y4" s="30"/>
      <c r="Z4" s="30"/>
      <c r="AA4" s="30"/>
      <c r="AB4" s="30"/>
      <c r="AC4" s="30"/>
    </row>
    <row r="5" ht="15.75" customHeight="1">
      <c r="A5" s="30" t="s">
        <v>2137</v>
      </c>
      <c r="B5" s="128">
        <v>2015.0</v>
      </c>
      <c r="C5" s="30" t="s">
        <v>27279</v>
      </c>
      <c r="D5" s="30" t="s">
        <v>27280</v>
      </c>
      <c r="E5" s="139" t="s">
        <v>27281</v>
      </c>
      <c r="F5" s="128">
        <v>678.0</v>
      </c>
      <c r="G5" s="128">
        <v>687.0</v>
      </c>
      <c r="H5" s="16"/>
      <c r="I5" s="16" t="s">
        <v>17059</v>
      </c>
      <c r="J5" s="30" t="s">
        <v>27282</v>
      </c>
      <c r="K5" s="30" t="s">
        <v>28335</v>
      </c>
      <c r="L5" s="30" t="s">
        <v>494</v>
      </c>
      <c r="M5" s="30" t="s">
        <v>494</v>
      </c>
      <c r="N5" s="30" t="s">
        <v>28336</v>
      </c>
      <c r="O5" s="130" t="s">
        <v>27287</v>
      </c>
      <c r="P5" s="140" t="s">
        <v>27288</v>
      </c>
      <c r="Q5" s="128">
        <v>7192693.0</v>
      </c>
      <c r="R5" s="16"/>
      <c r="S5" s="141" t="s">
        <v>28338</v>
      </c>
      <c r="T5" s="30"/>
      <c r="U5" s="30"/>
      <c r="V5" s="30"/>
      <c r="W5" s="30"/>
      <c r="X5" s="30"/>
      <c r="Y5" s="30"/>
      <c r="Z5" s="30"/>
      <c r="AA5" s="30"/>
      <c r="AB5" s="30"/>
      <c r="AC5" s="30"/>
    </row>
    <row r="6" ht="15.75" customHeight="1">
      <c r="A6" s="30" t="s">
        <v>2137</v>
      </c>
      <c r="B6" s="128">
        <v>2015.0</v>
      </c>
      <c r="C6" s="30" t="s">
        <v>27061</v>
      </c>
      <c r="D6" s="30" t="s">
        <v>27062</v>
      </c>
      <c r="E6" s="139" t="s">
        <v>27063</v>
      </c>
      <c r="F6" s="128">
        <v>509.0</v>
      </c>
      <c r="G6" s="128">
        <v>518.0</v>
      </c>
      <c r="H6" s="16"/>
      <c r="I6" s="16" t="s">
        <v>17059</v>
      </c>
      <c r="J6" s="30" t="s">
        <v>27065</v>
      </c>
      <c r="K6" s="30" t="s">
        <v>28340</v>
      </c>
      <c r="L6" s="30" t="s">
        <v>494</v>
      </c>
      <c r="M6" s="30" t="s">
        <v>494</v>
      </c>
      <c r="N6" s="30" t="s">
        <v>28340</v>
      </c>
      <c r="O6" s="130" t="s">
        <v>27068</v>
      </c>
      <c r="P6" s="140" t="s">
        <v>27069</v>
      </c>
      <c r="Q6" s="128">
        <v>7192636.0</v>
      </c>
      <c r="R6" s="16"/>
      <c r="S6" s="141" t="s">
        <v>28341</v>
      </c>
      <c r="T6" s="30"/>
      <c r="U6" s="30"/>
      <c r="V6" s="30"/>
      <c r="W6" s="30"/>
      <c r="X6" s="30"/>
      <c r="Y6" s="30"/>
      <c r="Z6" s="30"/>
      <c r="AA6" s="30"/>
      <c r="AB6" s="30"/>
      <c r="AC6" s="30"/>
    </row>
    <row r="7" ht="15.75" customHeight="1">
      <c r="A7" s="30" t="s">
        <v>2137</v>
      </c>
      <c r="B7" s="128">
        <v>2015.0</v>
      </c>
      <c r="C7" s="30" t="s">
        <v>26878</v>
      </c>
      <c r="D7" s="30" t="s">
        <v>26879</v>
      </c>
      <c r="E7" s="139" t="s">
        <v>26880</v>
      </c>
      <c r="F7" s="128">
        <v>688.0</v>
      </c>
      <c r="G7" s="128">
        <v>697.0</v>
      </c>
      <c r="H7" s="16"/>
      <c r="I7" s="16" t="s">
        <v>17059</v>
      </c>
      <c r="J7" s="30" t="s">
        <v>26883</v>
      </c>
      <c r="K7" s="30" t="s">
        <v>28348</v>
      </c>
      <c r="L7" s="30" t="s">
        <v>28350</v>
      </c>
      <c r="M7" s="30" t="s">
        <v>494</v>
      </c>
      <c r="N7" s="30" t="s">
        <v>28348</v>
      </c>
      <c r="O7" s="130" t="s">
        <v>26887</v>
      </c>
      <c r="P7" s="140" t="s">
        <v>26888</v>
      </c>
      <c r="Q7" s="128">
        <v>7194854.0</v>
      </c>
      <c r="R7" s="16"/>
      <c r="S7" s="141" t="s">
        <v>28351</v>
      </c>
      <c r="T7" s="30"/>
      <c r="U7" s="30"/>
      <c r="V7" s="30"/>
      <c r="W7" s="30"/>
      <c r="X7" s="30"/>
      <c r="Y7" s="30"/>
      <c r="Z7" s="30"/>
      <c r="AA7" s="30"/>
      <c r="AB7" s="30"/>
      <c r="AC7" s="30"/>
    </row>
    <row r="8" ht="15.75" customHeight="1">
      <c r="A8" s="30" t="s">
        <v>2137</v>
      </c>
      <c r="B8" s="128">
        <v>2015.0</v>
      </c>
      <c r="C8" s="30" t="s">
        <v>27142</v>
      </c>
      <c r="D8" s="30" t="s">
        <v>27143</v>
      </c>
      <c r="E8" s="139" t="s">
        <v>27144</v>
      </c>
      <c r="F8" s="128">
        <v>359.0</v>
      </c>
      <c r="G8" s="128">
        <v>368.0</v>
      </c>
      <c r="H8" s="16"/>
      <c r="I8" s="16" t="s">
        <v>17059</v>
      </c>
      <c r="J8" s="30" t="s">
        <v>27147</v>
      </c>
      <c r="K8" s="30" t="s">
        <v>28357</v>
      </c>
      <c r="L8" s="30" t="s">
        <v>1253</v>
      </c>
      <c r="M8" s="30" t="s">
        <v>1253</v>
      </c>
      <c r="N8" s="30" t="s">
        <v>28357</v>
      </c>
      <c r="O8" s="130" t="s">
        <v>27151</v>
      </c>
      <c r="P8" s="140" t="s">
        <v>27152</v>
      </c>
      <c r="Q8" s="128">
        <v>7192724.0</v>
      </c>
      <c r="R8" s="16"/>
      <c r="S8" s="141" t="s">
        <v>28358</v>
      </c>
      <c r="T8" s="30"/>
      <c r="U8" s="30"/>
      <c r="V8" s="30"/>
      <c r="W8" s="30"/>
      <c r="X8" s="30"/>
      <c r="Y8" s="30"/>
      <c r="Z8" s="30"/>
      <c r="AA8" s="30"/>
      <c r="AB8" s="30"/>
      <c r="AC8" s="30"/>
    </row>
    <row r="9" ht="15.75" customHeight="1">
      <c r="A9" s="30" t="s">
        <v>2137</v>
      </c>
      <c r="B9" s="128">
        <v>2015.0</v>
      </c>
      <c r="C9" s="30" t="s">
        <v>27080</v>
      </c>
      <c r="D9" s="30" t="s">
        <v>27081</v>
      </c>
      <c r="E9" s="139" t="s">
        <v>27082</v>
      </c>
      <c r="F9" s="128">
        <v>669.0</v>
      </c>
      <c r="G9" s="128">
        <v>677.0</v>
      </c>
      <c r="H9" s="16"/>
      <c r="I9" s="16" t="s">
        <v>17059</v>
      </c>
      <c r="J9" s="30" t="s">
        <v>27084</v>
      </c>
      <c r="K9" s="30" t="s">
        <v>28367</v>
      </c>
      <c r="L9" s="30" t="s">
        <v>178</v>
      </c>
      <c r="M9" s="30" t="s">
        <v>178</v>
      </c>
      <c r="N9" s="30" t="s">
        <v>28367</v>
      </c>
      <c r="O9" s="130" t="s">
        <v>27087</v>
      </c>
      <c r="P9" s="140" t="s">
        <v>27088</v>
      </c>
      <c r="Q9" s="128">
        <v>7192658.0</v>
      </c>
      <c r="R9" s="16"/>
      <c r="S9" s="141" t="s">
        <v>28370</v>
      </c>
      <c r="T9" s="30"/>
      <c r="U9" s="30"/>
      <c r="V9" s="30"/>
      <c r="W9" s="30"/>
      <c r="X9" s="30"/>
      <c r="Y9" s="30"/>
      <c r="Z9" s="30"/>
      <c r="AA9" s="30"/>
      <c r="AB9" s="30"/>
      <c r="AC9" s="30"/>
    </row>
    <row r="10" ht="15.75" customHeight="1">
      <c r="A10" s="30" t="s">
        <v>2137</v>
      </c>
      <c r="B10" s="128">
        <v>2015.0</v>
      </c>
      <c r="C10" s="30" t="s">
        <v>27163</v>
      </c>
      <c r="D10" s="30" t="s">
        <v>27164</v>
      </c>
      <c r="E10" s="139" t="s">
        <v>27165</v>
      </c>
      <c r="F10" s="128">
        <v>519.0</v>
      </c>
      <c r="G10" s="128">
        <v>528.0</v>
      </c>
      <c r="H10" s="16"/>
      <c r="I10" s="16" t="s">
        <v>17059</v>
      </c>
      <c r="J10" s="30" t="s">
        <v>28372</v>
      </c>
      <c r="K10" s="30" t="s">
        <v>28373</v>
      </c>
      <c r="L10" s="30" t="s">
        <v>23953</v>
      </c>
      <c r="M10" s="30" t="s">
        <v>23953</v>
      </c>
      <c r="N10" s="30" t="s">
        <v>28376</v>
      </c>
      <c r="O10" s="130" t="s">
        <v>27171</v>
      </c>
      <c r="P10" s="140" t="s">
        <v>27172</v>
      </c>
      <c r="Q10" s="128">
        <v>7192646.0</v>
      </c>
      <c r="R10" s="16"/>
      <c r="S10" s="141" t="s">
        <v>28380</v>
      </c>
      <c r="T10" s="30"/>
      <c r="U10" s="30"/>
      <c r="V10" s="30"/>
      <c r="W10" s="30"/>
      <c r="X10" s="30"/>
      <c r="Y10" s="30"/>
      <c r="Z10" s="30"/>
      <c r="AA10" s="30"/>
      <c r="AB10" s="30"/>
      <c r="AC10" s="30"/>
    </row>
    <row r="11" ht="15.75" customHeight="1">
      <c r="A11" s="30" t="s">
        <v>2137</v>
      </c>
      <c r="B11" s="128">
        <v>2015.0</v>
      </c>
      <c r="C11" s="30" t="s">
        <v>27135</v>
      </c>
      <c r="D11" s="30" t="s">
        <v>27136</v>
      </c>
      <c r="E11" s="139" t="s">
        <v>27137</v>
      </c>
      <c r="F11" s="128">
        <v>469.0</v>
      </c>
      <c r="G11" s="128">
        <v>478.0</v>
      </c>
      <c r="H11" s="16"/>
      <c r="I11" s="16" t="s">
        <v>17059</v>
      </c>
      <c r="J11" s="30" t="s">
        <v>28387</v>
      </c>
      <c r="K11" s="30" t="s">
        <v>28389</v>
      </c>
      <c r="L11" s="30" t="s">
        <v>178</v>
      </c>
      <c r="M11" s="30" t="s">
        <v>178</v>
      </c>
      <c r="N11" s="30" t="s">
        <v>28389</v>
      </c>
      <c r="O11" s="130" t="s">
        <v>25934</v>
      </c>
      <c r="P11" s="140" t="s">
        <v>27141</v>
      </c>
      <c r="Q11" s="128">
        <v>7192661.0</v>
      </c>
      <c r="R11" s="16"/>
      <c r="S11" s="144">
        <v>6875978.0</v>
      </c>
      <c r="T11" s="30"/>
      <c r="U11" s="30"/>
      <c r="V11" s="30"/>
      <c r="W11" s="30"/>
      <c r="X11" s="30"/>
      <c r="Y11" s="30"/>
      <c r="Z11" s="30"/>
      <c r="AA11" s="30"/>
      <c r="AB11" s="30"/>
      <c r="AC11" s="30"/>
    </row>
    <row r="12" ht="15.75" customHeight="1">
      <c r="A12" s="30" t="s">
        <v>2137</v>
      </c>
      <c r="B12" s="128">
        <v>2015.0</v>
      </c>
      <c r="C12" s="30" t="s">
        <v>26858</v>
      </c>
      <c r="D12" s="30" t="s">
        <v>26859</v>
      </c>
      <c r="E12" s="139" t="s">
        <v>26860</v>
      </c>
      <c r="F12" s="128">
        <v>579.0</v>
      </c>
      <c r="G12" s="128">
        <v>588.0</v>
      </c>
      <c r="H12" s="16"/>
      <c r="I12" s="16" t="s">
        <v>17059</v>
      </c>
      <c r="J12" s="30" t="s">
        <v>26862</v>
      </c>
      <c r="K12" s="30" t="s">
        <v>28397</v>
      </c>
      <c r="L12" s="30" t="s">
        <v>28398</v>
      </c>
      <c r="M12" s="30" t="s">
        <v>178</v>
      </c>
      <c r="N12" s="30" t="s">
        <v>28397</v>
      </c>
      <c r="O12" s="130" t="s">
        <v>26865</v>
      </c>
      <c r="P12" s="140" t="s">
        <v>26866</v>
      </c>
      <c r="Q12" s="128">
        <v>7192677.0</v>
      </c>
      <c r="R12" s="16"/>
      <c r="S12" s="141" t="s">
        <v>28399</v>
      </c>
      <c r="T12" s="30"/>
      <c r="U12" s="30"/>
      <c r="V12" s="30"/>
      <c r="W12" s="30"/>
      <c r="X12" s="30"/>
      <c r="Y12" s="30"/>
      <c r="Z12" s="30"/>
      <c r="AA12" s="30"/>
      <c r="AB12" s="30"/>
      <c r="AC12" s="30"/>
    </row>
    <row r="13" ht="15.75" customHeight="1">
      <c r="A13" s="30" t="s">
        <v>2137</v>
      </c>
      <c r="B13" s="128">
        <v>2015.0</v>
      </c>
      <c r="C13" s="30" t="s">
        <v>27211</v>
      </c>
      <c r="D13" s="30" t="s">
        <v>27212</v>
      </c>
      <c r="E13" s="139" t="s">
        <v>27213</v>
      </c>
      <c r="F13" s="128">
        <v>489.0</v>
      </c>
      <c r="G13" s="128">
        <v>498.0</v>
      </c>
      <c r="H13" s="16"/>
      <c r="I13" s="16" t="s">
        <v>17059</v>
      </c>
      <c r="J13" s="30" t="s">
        <v>27216</v>
      </c>
      <c r="K13" s="30" t="s">
        <v>28401</v>
      </c>
      <c r="L13" s="30" t="s">
        <v>880</v>
      </c>
      <c r="M13" s="30" t="s">
        <v>880</v>
      </c>
      <c r="N13" s="30" t="s">
        <v>28401</v>
      </c>
      <c r="O13" s="130" t="s">
        <v>27220</v>
      </c>
      <c r="P13" s="140" t="s">
        <v>27221</v>
      </c>
      <c r="Q13" s="128">
        <v>7192718.0</v>
      </c>
      <c r="R13" s="16"/>
      <c r="S13" s="141" t="s">
        <v>28402</v>
      </c>
      <c r="T13" s="30"/>
      <c r="U13" s="30"/>
      <c r="V13" s="30"/>
      <c r="W13" s="30"/>
      <c r="X13" s="30"/>
      <c r="Y13" s="30"/>
      <c r="Z13" s="30"/>
      <c r="AA13" s="30"/>
      <c r="AB13" s="30"/>
      <c r="AC13" s="30"/>
    </row>
    <row r="14" ht="15.75" customHeight="1">
      <c r="A14" s="30" t="s">
        <v>2137</v>
      </c>
      <c r="B14" s="128">
        <v>2015.0</v>
      </c>
      <c r="C14" s="30" t="s">
        <v>26957</v>
      </c>
      <c r="D14" s="30" t="s">
        <v>26958</v>
      </c>
      <c r="E14" s="139" t="s">
        <v>26959</v>
      </c>
      <c r="F14" s="128">
        <v>339.0</v>
      </c>
      <c r="G14" s="128">
        <v>348.0</v>
      </c>
      <c r="H14" s="16"/>
      <c r="I14" s="16" t="s">
        <v>17059</v>
      </c>
      <c r="J14" s="30" t="s">
        <v>26962</v>
      </c>
      <c r="K14" s="30" t="s">
        <v>28405</v>
      </c>
      <c r="L14" s="30" t="s">
        <v>860</v>
      </c>
      <c r="M14" s="30" t="s">
        <v>860</v>
      </c>
      <c r="N14" s="30" t="s">
        <v>28405</v>
      </c>
      <c r="O14" s="130" t="s">
        <v>27045</v>
      </c>
      <c r="P14" s="140" t="s">
        <v>27046</v>
      </c>
      <c r="Q14" s="128">
        <v>7192733.0</v>
      </c>
      <c r="R14" s="16"/>
      <c r="S14" s="141" t="s">
        <v>28406</v>
      </c>
      <c r="T14" s="30"/>
      <c r="U14" s="30"/>
      <c r="V14" s="30"/>
      <c r="W14" s="30"/>
      <c r="X14" s="30"/>
      <c r="Y14" s="30"/>
      <c r="Z14" s="30"/>
      <c r="AA14" s="30"/>
      <c r="AB14" s="30"/>
      <c r="AC14" s="30"/>
    </row>
    <row r="15" ht="15.75" customHeight="1">
      <c r="A15" s="30" t="s">
        <v>2137</v>
      </c>
      <c r="B15" s="128">
        <v>2015.0</v>
      </c>
      <c r="C15" s="30" t="s">
        <v>27109</v>
      </c>
      <c r="D15" s="30" t="s">
        <v>27110</v>
      </c>
      <c r="E15" s="139" t="s">
        <v>27111</v>
      </c>
      <c r="F15" s="128">
        <v>349.0</v>
      </c>
      <c r="G15" s="128">
        <v>358.0</v>
      </c>
      <c r="H15" s="16"/>
      <c r="I15" s="16" t="s">
        <v>17059</v>
      </c>
      <c r="J15" s="30" t="s">
        <v>28407</v>
      </c>
      <c r="K15" s="30" t="s">
        <v>28408</v>
      </c>
      <c r="L15" s="30" t="s">
        <v>5349</v>
      </c>
      <c r="M15" s="30" t="s">
        <v>5349</v>
      </c>
      <c r="N15" s="30" t="s">
        <v>28408</v>
      </c>
      <c r="O15" s="130" t="s">
        <v>27115</v>
      </c>
      <c r="P15" s="140" t="s">
        <v>27116</v>
      </c>
      <c r="Q15" s="128">
        <v>7192690.0</v>
      </c>
      <c r="R15" s="16"/>
      <c r="S15" s="141" t="s">
        <v>28409</v>
      </c>
      <c r="T15" s="30"/>
      <c r="U15" s="30"/>
      <c r="V15" s="30"/>
      <c r="W15" s="30"/>
      <c r="X15" s="30"/>
      <c r="Y15" s="30"/>
      <c r="Z15" s="30"/>
      <c r="AA15" s="30"/>
      <c r="AB15" s="30"/>
      <c r="AC15" s="30"/>
    </row>
    <row r="16" ht="15.75" customHeight="1">
      <c r="A16" s="30" t="s">
        <v>2137</v>
      </c>
      <c r="B16" s="128">
        <v>2015.0</v>
      </c>
      <c r="C16" s="30" t="s">
        <v>28411</v>
      </c>
      <c r="D16" s="30" t="s">
        <v>26928</v>
      </c>
      <c r="E16" s="139" t="s">
        <v>26929</v>
      </c>
      <c r="F16" s="128">
        <v>499.0</v>
      </c>
      <c r="G16" s="128">
        <v>508.0</v>
      </c>
      <c r="H16" s="16"/>
      <c r="I16" s="16" t="s">
        <v>17059</v>
      </c>
      <c r="J16" s="30" t="s">
        <v>26932</v>
      </c>
      <c r="K16" s="30" t="s">
        <v>28412</v>
      </c>
      <c r="L16" s="30" t="s">
        <v>28413</v>
      </c>
      <c r="M16" s="30" t="s">
        <v>860</v>
      </c>
      <c r="N16" s="30" t="s">
        <v>28412</v>
      </c>
      <c r="O16" s="130" t="s">
        <v>26936</v>
      </c>
      <c r="P16" s="140" t="s">
        <v>26937</v>
      </c>
      <c r="Q16" s="128">
        <v>7192668.0</v>
      </c>
      <c r="R16" s="16"/>
      <c r="S16" s="141" t="s">
        <v>28415</v>
      </c>
      <c r="T16" s="30"/>
      <c r="U16" s="30"/>
      <c r="V16" s="30"/>
      <c r="W16" s="30"/>
      <c r="X16" s="30"/>
      <c r="Y16" s="30"/>
      <c r="Z16" s="30"/>
      <c r="AA16" s="30"/>
      <c r="AB16" s="30"/>
      <c r="AC16" s="30"/>
    </row>
    <row r="17" ht="15.75" customHeight="1">
      <c r="A17" s="30" t="s">
        <v>2137</v>
      </c>
      <c r="B17" s="128">
        <v>2015.0</v>
      </c>
      <c r="C17" s="30" t="s">
        <v>27202</v>
      </c>
      <c r="D17" s="30" t="s">
        <v>27203</v>
      </c>
      <c r="E17" s="139" t="s">
        <v>27204</v>
      </c>
      <c r="F17" s="128">
        <v>529.0</v>
      </c>
      <c r="G17" s="128">
        <v>538.0</v>
      </c>
      <c r="H17" s="16"/>
      <c r="I17" s="16" t="s">
        <v>17059</v>
      </c>
      <c r="J17" s="30" t="s">
        <v>27205</v>
      </c>
      <c r="K17" s="30" t="s">
        <v>28417</v>
      </c>
      <c r="L17" s="30" t="s">
        <v>23953</v>
      </c>
      <c r="M17" s="30" t="s">
        <v>23953</v>
      </c>
      <c r="N17" s="30" t="s">
        <v>28418</v>
      </c>
      <c r="O17" s="130" t="s">
        <v>27209</v>
      </c>
      <c r="P17" s="140" t="s">
        <v>27210</v>
      </c>
      <c r="Q17" s="128">
        <v>7192720.0</v>
      </c>
      <c r="R17" s="16"/>
      <c r="S17" s="141" t="s">
        <v>28419</v>
      </c>
      <c r="T17" s="30"/>
      <c r="U17" s="30"/>
      <c r="V17" s="30"/>
      <c r="W17" s="30"/>
      <c r="X17" s="30"/>
      <c r="Y17" s="30"/>
      <c r="Z17" s="30"/>
      <c r="AA17" s="30"/>
      <c r="AB17" s="30"/>
      <c r="AC17" s="30"/>
    </row>
    <row r="18" ht="15.75" customHeight="1">
      <c r="A18" s="30" t="s">
        <v>2137</v>
      </c>
      <c r="B18" s="128">
        <v>2015.0</v>
      </c>
      <c r="C18" s="30" t="s">
        <v>26848</v>
      </c>
      <c r="D18" s="30" t="s">
        <v>26849</v>
      </c>
      <c r="E18" s="139" t="s">
        <v>26850</v>
      </c>
      <c r="F18" s="128">
        <v>449.0</v>
      </c>
      <c r="G18" s="128">
        <v>458.0</v>
      </c>
      <c r="H18" s="16"/>
      <c r="I18" s="16" t="s">
        <v>17059</v>
      </c>
      <c r="J18" s="30" t="s">
        <v>26853</v>
      </c>
      <c r="K18" s="30" t="s">
        <v>28420</v>
      </c>
      <c r="L18" s="30" t="s">
        <v>5349</v>
      </c>
      <c r="M18" s="30" t="s">
        <v>5349</v>
      </c>
      <c r="N18" s="30" t="s">
        <v>28420</v>
      </c>
      <c r="O18" s="130" t="s">
        <v>26856</v>
      </c>
      <c r="P18" s="140" t="s">
        <v>26857</v>
      </c>
      <c r="Q18" s="128">
        <v>7225156.0</v>
      </c>
      <c r="R18" s="16"/>
      <c r="S18" s="141" t="s">
        <v>28421</v>
      </c>
      <c r="T18" s="30"/>
      <c r="U18" s="30"/>
      <c r="V18" s="30"/>
      <c r="W18" s="30"/>
      <c r="X18" s="30"/>
      <c r="Y18" s="30"/>
      <c r="Z18" s="30"/>
      <c r="AA18" s="30"/>
      <c r="AB18" s="30"/>
      <c r="AC18" s="30"/>
    </row>
    <row r="19" ht="15.75" customHeight="1">
      <c r="A19" s="30" t="s">
        <v>2137</v>
      </c>
      <c r="B19" s="128">
        <v>2015.0</v>
      </c>
      <c r="C19" s="30" t="s">
        <v>27070</v>
      </c>
      <c r="D19" s="30" t="s">
        <v>27071</v>
      </c>
      <c r="E19" s="139" t="s">
        <v>27072</v>
      </c>
      <c r="F19" s="128">
        <v>569.0</v>
      </c>
      <c r="G19" s="128">
        <v>578.0</v>
      </c>
      <c r="H19" s="16"/>
      <c r="I19" s="16" t="s">
        <v>17059</v>
      </c>
      <c r="J19" s="30" t="s">
        <v>27075</v>
      </c>
      <c r="K19" s="30" t="s">
        <v>28422</v>
      </c>
      <c r="L19" s="30" t="s">
        <v>28423</v>
      </c>
      <c r="M19" s="30" t="s">
        <v>5349</v>
      </c>
      <c r="N19" s="30" t="s">
        <v>28422</v>
      </c>
      <c r="O19" s="130" t="s">
        <v>27078</v>
      </c>
      <c r="P19" s="140" t="s">
        <v>27079</v>
      </c>
      <c r="Q19" s="128">
        <v>7192648.0</v>
      </c>
      <c r="R19" s="16"/>
      <c r="S19" s="141" t="s">
        <v>28424</v>
      </c>
      <c r="T19" s="30"/>
      <c r="U19" s="30"/>
      <c r="V19" s="30"/>
      <c r="W19" s="30"/>
      <c r="X19" s="30"/>
      <c r="Y19" s="30"/>
      <c r="Z19" s="30"/>
      <c r="AA19" s="30"/>
      <c r="AB19" s="30"/>
      <c r="AC19" s="30"/>
    </row>
    <row r="20" ht="15.75" customHeight="1">
      <c r="A20" s="30" t="s">
        <v>2137</v>
      </c>
      <c r="B20" s="128">
        <v>2015.0</v>
      </c>
      <c r="C20" s="30" t="s">
        <v>26910</v>
      </c>
      <c r="D20" s="30" t="s">
        <v>26911</v>
      </c>
      <c r="E20" s="139" t="s">
        <v>26912</v>
      </c>
      <c r="F20" s="128">
        <v>609.0</v>
      </c>
      <c r="G20" s="128">
        <v>618.0</v>
      </c>
      <c r="H20" s="16"/>
      <c r="I20" s="16" t="s">
        <v>17059</v>
      </c>
      <c r="J20" s="30" t="s">
        <v>26913</v>
      </c>
      <c r="K20" s="30" t="s">
        <v>28427</v>
      </c>
      <c r="L20" s="30" t="s">
        <v>28428</v>
      </c>
      <c r="M20" s="30" t="s">
        <v>178</v>
      </c>
      <c r="N20" s="30" t="s">
        <v>28427</v>
      </c>
      <c r="O20" s="130" t="s">
        <v>26914</v>
      </c>
      <c r="P20" s="140" t="s">
        <v>26915</v>
      </c>
      <c r="Q20" s="128">
        <v>7192684.0</v>
      </c>
      <c r="R20" s="16"/>
      <c r="S20" s="141" t="s">
        <v>28429</v>
      </c>
      <c r="T20" s="30"/>
      <c r="U20" s="30"/>
      <c r="V20" s="30"/>
      <c r="W20" s="30"/>
      <c r="X20" s="30"/>
      <c r="Y20" s="30"/>
      <c r="Z20" s="30"/>
      <c r="AA20" s="30"/>
      <c r="AB20" s="30"/>
      <c r="AC20" s="30"/>
    </row>
    <row r="21" ht="15.75" customHeight="1">
      <c r="A21" s="30" t="s">
        <v>2137</v>
      </c>
      <c r="B21" s="128">
        <v>2015.0</v>
      </c>
      <c r="C21" s="30" t="s">
        <v>27251</v>
      </c>
      <c r="D21" s="30" t="s">
        <v>27252</v>
      </c>
      <c r="E21" s="139" t="s">
        <v>27253</v>
      </c>
      <c r="F21" s="128">
        <v>589.0</v>
      </c>
      <c r="G21" s="128">
        <v>598.0</v>
      </c>
      <c r="H21" s="16"/>
      <c r="I21" s="16" t="s">
        <v>17059</v>
      </c>
      <c r="J21" s="30" t="s">
        <v>27254</v>
      </c>
      <c r="K21" s="30" t="s">
        <v>28432</v>
      </c>
      <c r="L21" s="30" t="s">
        <v>880</v>
      </c>
      <c r="M21" s="30" t="s">
        <v>880</v>
      </c>
      <c r="N21" s="30" t="s">
        <v>28432</v>
      </c>
      <c r="O21" s="130" t="s">
        <v>27259</v>
      </c>
      <c r="P21" s="140" t="s">
        <v>27260</v>
      </c>
      <c r="Q21" s="128">
        <v>7192696.0</v>
      </c>
      <c r="R21" s="16"/>
      <c r="S21" s="141" t="s">
        <v>28433</v>
      </c>
      <c r="T21" s="30"/>
      <c r="U21" s="30"/>
      <c r="V21" s="30"/>
      <c r="W21" s="30"/>
      <c r="X21" s="30"/>
      <c r="Y21" s="30"/>
      <c r="Z21" s="30"/>
      <c r="AA21" s="30"/>
      <c r="AB21" s="30"/>
      <c r="AC21" s="30"/>
    </row>
    <row r="22" ht="15.75" customHeight="1">
      <c r="A22" s="30" t="s">
        <v>2137</v>
      </c>
      <c r="B22" s="128">
        <v>2015.0</v>
      </c>
      <c r="C22" s="30" t="s">
        <v>27222</v>
      </c>
      <c r="D22" s="30" t="s">
        <v>27223</v>
      </c>
      <c r="E22" s="139" t="s">
        <v>27224</v>
      </c>
      <c r="F22" s="128">
        <v>439.0</v>
      </c>
      <c r="G22" s="128">
        <v>448.0</v>
      </c>
      <c r="H22" s="16"/>
      <c r="I22" s="16" t="s">
        <v>17059</v>
      </c>
      <c r="J22" s="30" t="s">
        <v>27225</v>
      </c>
      <c r="K22" s="30" t="s">
        <v>28436</v>
      </c>
      <c r="L22" s="30" t="s">
        <v>5349</v>
      </c>
      <c r="M22" s="30" t="s">
        <v>5349</v>
      </c>
      <c r="N22" s="30" t="s">
        <v>28436</v>
      </c>
      <c r="O22" s="130" t="s">
        <v>27229</v>
      </c>
      <c r="P22" s="140" t="s">
        <v>27230</v>
      </c>
      <c r="Q22" s="128">
        <v>7192712.0</v>
      </c>
      <c r="R22" s="16"/>
      <c r="S22" s="141" t="s">
        <v>28437</v>
      </c>
      <c r="T22" s="30"/>
      <c r="U22" s="30"/>
      <c r="V22" s="30"/>
      <c r="W22" s="30"/>
      <c r="X22" s="30"/>
      <c r="Y22" s="30"/>
      <c r="Z22" s="30"/>
      <c r="AA22" s="30"/>
      <c r="AB22" s="30"/>
      <c r="AC22" s="30"/>
    </row>
    <row r="23" ht="15.75" customHeight="1">
      <c r="A23" s="30" t="s">
        <v>2137</v>
      </c>
      <c r="B23" s="128">
        <v>2015.0</v>
      </c>
      <c r="C23" s="30" t="s">
        <v>27153</v>
      </c>
      <c r="D23" s="30" t="s">
        <v>27154</v>
      </c>
      <c r="E23" s="139" t="s">
        <v>27155</v>
      </c>
      <c r="F23" s="128">
        <v>629.0</v>
      </c>
      <c r="G23" s="128">
        <v>638.0</v>
      </c>
      <c r="H23" s="16"/>
      <c r="I23" s="16" t="s">
        <v>17059</v>
      </c>
      <c r="J23" s="30" t="s">
        <v>27158</v>
      </c>
      <c r="K23" s="30" t="s">
        <v>28438</v>
      </c>
      <c r="L23" s="30" t="s">
        <v>5349</v>
      </c>
      <c r="M23" s="30" t="s">
        <v>5349</v>
      </c>
      <c r="N23" s="30" t="s">
        <v>28438</v>
      </c>
      <c r="O23" s="130" t="s">
        <v>27161</v>
      </c>
      <c r="P23" s="140" t="s">
        <v>27162</v>
      </c>
      <c r="Q23" s="128">
        <v>7192695.0</v>
      </c>
      <c r="R23" s="16"/>
      <c r="S23" s="141" t="s">
        <v>28439</v>
      </c>
      <c r="T23" s="30"/>
      <c r="U23" s="30"/>
      <c r="V23" s="30"/>
      <c r="W23" s="30"/>
      <c r="X23" s="30"/>
      <c r="Y23" s="30"/>
      <c r="Z23" s="30"/>
      <c r="AA23" s="30"/>
      <c r="AB23" s="30"/>
      <c r="AC23" s="30"/>
    </row>
    <row r="24" ht="15.75" customHeight="1">
      <c r="A24" s="30" t="s">
        <v>2137</v>
      </c>
      <c r="B24" s="128">
        <v>2015.0</v>
      </c>
      <c r="C24" s="30" t="s">
        <v>26889</v>
      </c>
      <c r="D24" s="30" t="s">
        <v>26890</v>
      </c>
      <c r="E24" s="139" t="s">
        <v>26891</v>
      </c>
      <c r="F24" s="128">
        <v>659.0</v>
      </c>
      <c r="G24" s="128">
        <v>668.0</v>
      </c>
      <c r="H24" s="16"/>
      <c r="I24" s="16" t="s">
        <v>17059</v>
      </c>
      <c r="J24" s="30" t="s">
        <v>26893</v>
      </c>
      <c r="K24" s="30" t="s">
        <v>28442</v>
      </c>
      <c r="L24" s="30" t="s">
        <v>5349</v>
      </c>
      <c r="M24" s="30" t="s">
        <v>5349</v>
      </c>
      <c r="N24" s="30" t="s">
        <v>28442</v>
      </c>
      <c r="O24" s="130" t="s">
        <v>26897</v>
      </c>
      <c r="P24" s="140" t="s">
        <v>26898</v>
      </c>
      <c r="Q24" s="128">
        <v>7192704.0</v>
      </c>
      <c r="R24" s="16"/>
      <c r="S24" s="141" t="s">
        <v>28443</v>
      </c>
      <c r="T24" s="30"/>
      <c r="U24" s="30"/>
      <c r="V24" s="30"/>
      <c r="W24" s="30"/>
      <c r="X24" s="30"/>
      <c r="Y24" s="30"/>
      <c r="Z24" s="30"/>
      <c r="AA24" s="30"/>
      <c r="AB24" s="30"/>
      <c r="AC24" s="30"/>
    </row>
    <row r="25" ht="15.75" customHeight="1">
      <c r="A25" s="30" t="s">
        <v>2137</v>
      </c>
      <c r="B25" s="128">
        <v>2015.0</v>
      </c>
      <c r="C25" s="30" t="s">
        <v>26867</v>
      </c>
      <c r="D25" s="30" t="s">
        <v>26868</v>
      </c>
      <c r="E25" s="139" t="s">
        <v>26869</v>
      </c>
      <c r="F25" s="128">
        <v>330.0</v>
      </c>
      <c r="G25" s="128">
        <v>338.0</v>
      </c>
      <c r="H25" s="16"/>
      <c r="I25" s="16" t="s">
        <v>17059</v>
      </c>
      <c r="J25" s="30" t="s">
        <v>26872</v>
      </c>
      <c r="K25" s="30" t="s">
        <v>28445</v>
      </c>
      <c r="L25" s="30" t="s">
        <v>880</v>
      </c>
      <c r="M25" s="30" t="s">
        <v>880</v>
      </c>
      <c r="N25" s="30" t="s">
        <v>28445</v>
      </c>
      <c r="O25" s="130" t="s">
        <v>26876</v>
      </c>
      <c r="P25" s="140" t="s">
        <v>26877</v>
      </c>
      <c r="Q25" s="128">
        <v>7192681.0</v>
      </c>
      <c r="R25" s="16"/>
      <c r="S25" s="141" t="s">
        <v>28446</v>
      </c>
      <c r="T25" s="30"/>
      <c r="U25" s="30"/>
      <c r="V25" s="30"/>
      <c r="W25" s="30"/>
      <c r="X25" s="30"/>
      <c r="Y25" s="30"/>
      <c r="Z25" s="30"/>
      <c r="AA25" s="30"/>
      <c r="AB25" s="30"/>
      <c r="AC25" s="30"/>
    </row>
    <row r="26" ht="15.75" customHeight="1">
      <c r="A26" s="30" t="s">
        <v>2137</v>
      </c>
      <c r="B26" s="128">
        <v>2015.0</v>
      </c>
      <c r="C26" s="30" t="s">
        <v>27048</v>
      </c>
      <c r="D26" s="30" t="s">
        <v>27049</v>
      </c>
      <c r="E26" s="139" t="s">
        <v>27051</v>
      </c>
      <c r="F26" s="128">
        <v>419.0</v>
      </c>
      <c r="G26" s="128">
        <v>428.0</v>
      </c>
      <c r="H26" s="16"/>
      <c r="I26" s="16" t="s">
        <v>17059</v>
      </c>
      <c r="J26" s="30" t="s">
        <v>27053</v>
      </c>
      <c r="K26" s="30" t="s">
        <v>28451</v>
      </c>
      <c r="L26" s="30" t="s">
        <v>494</v>
      </c>
      <c r="M26" s="30" t="s">
        <v>494</v>
      </c>
      <c r="N26" s="30" t="s">
        <v>28451</v>
      </c>
      <c r="O26" s="130" t="s">
        <v>27057</v>
      </c>
      <c r="P26" s="140" t="s">
        <v>27058</v>
      </c>
      <c r="Q26" s="128">
        <v>7192707.0</v>
      </c>
      <c r="R26" s="16"/>
      <c r="S26" s="141" t="s">
        <v>28452</v>
      </c>
      <c r="T26" s="30"/>
      <c r="U26" s="30"/>
      <c r="V26" s="30"/>
      <c r="W26" s="30"/>
      <c r="X26" s="30"/>
      <c r="Y26" s="30"/>
      <c r="Z26" s="30"/>
      <c r="AA26" s="30"/>
      <c r="AB26" s="30"/>
      <c r="AC26" s="30"/>
    </row>
    <row r="27" ht="15.75" customHeight="1">
      <c r="A27" s="30" t="s">
        <v>2137</v>
      </c>
      <c r="B27" s="128">
        <v>2015.0</v>
      </c>
      <c r="C27" s="30" t="s">
        <v>27289</v>
      </c>
      <c r="D27" s="30" t="s">
        <v>27290</v>
      </c>
      <c r="E27" s="139" t="s">
        <v>27292</v>
      </c>
      <c r="F27" s="128">
        <v>459.0</v>
      </c>
      <c r="G27" s="128">
        <v>468.0</v>
      </c>
      <c r="H27" s="16"/>
      <c r="I27" s="16" t="s">
        <v>17059</v>
      </c>
      <c r="J27" s="30" t="s">
        <v>27293</v>
      </c>
      <c r="K27" s="30" t="s">
        <v>28454</v>
      </c>
      <c r="L27" s="30" t="s">
        <v>178</v>
      </c>
      <c r="M27" s="30" t="s">
        <v>178</v>
      </c>
      <c r="N27" s="30" t="s">
        <v>28454</v>
      </c>
      <c r="O27" s="130" t="s">
        <v>27296</v>
      </c>
      <c r="P27" s="140" t="s">
        <v>27297</v>
      </c>
      <c r="Q27" s="128">
        <v>7217849.0</v>
      </c>
      <c r="R27" s="16"/>
      <c r="S27" s="141" t="s">
        <v>28455</v>
      </c>
      <c r="T27" s="30"/>
      <c r="U27" s="30"/>
      <c r="V27" s="30"/>
      <c r="W27" s="30"/>
      <c r="X27" s="30"/>
      <c r="Y27" s="30"/>
      <c r="Z27" s="30"/>
      <c r="AA27" s="30"/>
      <c r="AB27" s="30"/>
      <c r="AC27" s="30"/>
    </row>
    <row r="28" ht="15.75" customHeight="1">
      <c r="A28" s="30" t="s">
        <v>2137</v>
      </c>
      <c r="B28" s="128">
        <v>2015.0</v>
      </c>
      <c r="C28" s="30" t="s">
        <v>27118</v>
      </c>
      <c r="D28" s="30" t="s">
        <v>27119</v>
      </c>
      <c r="E28" s="139" t="s">
        <v>27121</v>
      </c>
      <c r="F28" s="128">
        <v>429.0</v>
      </c>
      <c r="G28" s="128">
        <v>438.0</v>
      </c>
      <c r="H28" s="16"/>
      <c r="I28" s="16" t="s">
        <v>17059</v>
      </c>
      <c r="J28" s="30" t="s">
        <v>27123</v>
      </c>
      <c r="K28" s="30" t="s">
        <v>28463</v>
      </c>
      <c r="L28" s="30" t="s">
        <v>28464</v>
      </c>
      <c r="M28" s="30" t="s">
        <v>494</v>
      </c>
      <c r="N28" s="30" t="s">
        <v>28463</v>
      </c>
      <c r="O28" s="130" t="s">
        <v>27126</v>
      </c>
      <c r="P28" s="140" t="s">
        <v>27127</v>
      </c>
      <c r="Q28" s="128">
        <v>7192666.0</v>
      </c>
      <c r="R28" s="16"/>
      <c r="S28" s="141" t="s">
        <v>28469</v>
      </c>
      <c r="T28" s="30"/>
      <c r="U28" s="30"/>
      <c r="V28" s="30"/>
      <c r="W28" s="30"/>
      <c r="X28" s="30"/>
      <c r="Y28" s="30"/>
      <c r="Z28" s="30"/>
      <c r="AA28" s="30"/>
      <c r="AB28" s="30"/>
      <c r="AC28" s="30"/>
    </row>
    <row r="29" ht="15.75" customHeight="1">
      <c r="A29" s="30" t="s">
        <v>2137</v>
      </c>
      <c r="B29" s="128">
        <v>2015.0</v>
      </c>
      <c r="C29" s="30" t="s">
        <v>26948</v>
      </c>
      <c r="D29" s="30" t="s">
        <v>26949</v>
      </c>
      <c r="E29" s="139" t="s">
        <v>26950</v>
      </c>
      <c r="F29" s="128">
        <v>639.0</v>
      </c>
      <c r="G29" s="128">
        <v>648.0</v>
      </c>
      <c r="H29" s="16"/>
      <c r="I29" s="16" t="s">
        <v>17059</v>
      </c>
      <c r="J29" s="30" t="s">
        <v>26951</v>
      </c>
      <c r="K29" s="30" t="s">
        <v>28475</v>
      </c>
      <c r="L29" s="30" t="s">
        <v>5349</v>
      </c>
      <c r="M29" s="30" t="s">
        <v>5349</v>
      </c>
      <c r="N29" s="30" t="s">
        <v>28476</v>
      </c>
      <c r="O29" s="130" t="s">
        <v>26955</v>
      </c>
      <c r="P29" s="140" t="s">
        <v>26956</v>
      </c>
      <c r="Q29" s="128">
        <v>7192637.0</v>
      </c>
      <c r="R29" s="16"/>
      <c r="S29" s="141" t="s">
        <v>28477</v>
      </c>
      <c r="T29" s="30"/>
      <c r="U29" s="30"/>
      <c r="V29" s="30"/>
      <c r="W29" s="30"/>
      <c r="X29" s="30"/>
      <c r="Y29" s="30"/>
      <c r="Z29" s="30"/>
      <c r="AA29" s="30"/>
      <c r="AB29" s="30"/>
      <c r="AC29" s="30"/>
    </row>
    <row r="30" ht="15.75" customHeight="1">
      <c r="A30" s="30" t="s">
        <v>2137</v>
      </c>
      <c r="B30" s="128">
        <v>2015.0</v>
      </c>
      <c r="C30" s="30" t="s">
        <v>27241</v>
      </c>
      <c r="D30" s="30" t="s">
        <v>27242</v>
      </c>
      <c r="E30" s="139" t="s">
        <v>27243</v>
      </c>
      <c r="F30" s="128">
        <v>559.0</v>
      </c>
      <c r="G30" s="128">
        <v>568.0</v>
      </c>
      <c r="H30" s="16"/>
      <c r="I30" s="16" t="s">
        <v>17059</v>
      </c>
      <c r="J30" s="30" t="s">
        <v>27245</v>
      </c>
      <c r="K30" s="30" t="s">
        <v>28488</v>
      </c>
      <c r="L30" s="30" t="s">
        <v>28489</v>
      </c>
      <c r="M30" s="30" t="s">
        <v>860</v>
      </c>
      <c r="N30" s="30" t="s">
        <v>28488</v>
      </c>
      <c r="O30" s="130" t="s">
        <v>27249</v>
      </c>
      <c r="P30" s="140" t="s">
        <v>27250</v>
      </c>
      <c r="Q30" s="128">
        <v>7192639.0</v>
      </c>
      <c r="R30" s="16"/>
      <c r="S30" s="141" t="s">
        <v>28490</v>
      </c>
      <c r="T30" s="30"/>
      <c r="U30" s="30"/>
      <c r="V30" s="30"/>
      <c r="W30" s="30"/>
      <c r="X30" s="30"/>
      <c r="Y30" s="30"/>
      <c r="Z30" s="30"/>
      <c r="AA30" s="30"/>
      <c r="AB30" s="30"/>
      <c r="AC30" s="30"/>
    </row>
    <row r="31" ht="15.75" customHeight="1">
      <c r="A31" s="30" t="s">
        <v>2137</v>
      </c>
      <c r="B31" s="128">
        <v>2015.0</v>
      </c>
      <c r="C31" s="30" t="s">
        <v>27174</v>
      </c>
      <c r="D31" s="30" t="s">
        <v>27175</v>
      </c>
      <c r="E31" s="139" t="s">
        <v>27176</v>
      </c>
      <c r="F31" s="128">
        <v>549.0</v>
      </c>
      <c r="G31" s="128">
        <v>558.0</v>
      </c>
      <c r="H31" s="16"/>
      <c r="I31" s="16" t="s">
        <v>17059</v>
      </c>
      <c r="J31" s="30" t="s">
        <v>27180</v>
      </c>
      <c r="K31" s="30" t="s">
        <v>28495</v>
      </c>
      <c r="L31" s="30" t="s">
        <v>494</v>
      </c>
      <c r="M31" s="30" t="s">
        <v>494</v>
      </c>
      <c r="N31" s="30" t="s">
        <v>28495</v>
      </c>
      <c r="O31" s="130" t="s">
        <v>27183</v>
      </c>
      <c r="P31" s="140" t="s">
        <v>27184</v>
      </c>
      <c r="Q31" s="128">
        <v>7192735.0</v>
      </c>
      <c r="R31" s="16"/>
      <c r="S31" s="141" t="s">
        <v>28498</v>
      </c>
      <c r="T31" s="30"/>
      <c r="U31" s="30"/>
      <c r="V31" s="30"/>
      <c r="W31" s="30"/>
      <c r="X31" s="30"/>
      <c r="Y31" s="30"/>
      <c r="Z31" s="30"/>
      <c r="AA31" s="30"/>
      <c r="AB31" s="30"/>
      <c r="AC31" s="30"/>
    </row>
    <row r="32" ht="15.75" customHeight="1">
      <c r="A32" s="30" t="s">
        <v>2137</v>
      </c>
      <c r="B32" s="128">
        <v>2015.0</v>
      </c>
      <c r="C32" s="30" t="s">
        <v>27100</v>
      </c>
      <c r="D32" s="30" t="s">
        <v>27101</v>
      </c>
      <c r="E32" s="139" t="s">
        <v>27102</v>
      </c>
      <c r="F32" s="128">
        <v>409.0</v>
      </c>
      <c r="G32" s="128">
        <v>418.0</v>
      </c>
      <c r="H32" s="16"/>
      <c r="I32" s="16" t="s">
        <v>17059</v>
      </c>
      <c r="J32" s="30" t="s">
        <v>27104</v>
      </c>
      <c r="K32" s="30" t="s">
        <v>28503</v>
      </c>
      <c r="L32" s="30" t="s">
        <v>28504</v>
      </c>
      <c r="M32" s="30" t="s">
        <v>880</v>
      </c>
      <c r="N32" s="30" t="s">
        <v>28503</v>
      </c>
      <c r="O32" s="130" t="s">
        <v>27107</v>
      </c>
      <c r="P32" s="140" t="s">
        <v>27108</v>
      </c>
      <c r="Q32" s="128">
        <v>7192713.0</v>
      </c>
      <c r="R32" s="16"/>
      <c r="S32" s="141" t="s">
        <v>28505</v>
      </c>
      <c r="T32" s="30"/>
      <c r="U32" s="30"/>
      <c r="V32" s="30"/>
      <c r="W32" s="30"/>
      <c r="X32" s="30"/>
      <c r="Y32" s="30"/>
      <c r="Z32" s="30"/>
      <c r="AA32" s="30"/>
      <c r="AB32" s="30"/>
      <c r="AC32" s="30"/>
    </row>
    <row r="33" ht="15.75" customHeight="1">
      <c r="A33" s="30" t="s">
        <v>2137</v>
      </c>
      <c r="B33" s="128">
        <v>2015.0</v>
      </c>
      <c r="C33" s="30" t="s">
        <v>27261</v>
      </c>
      <c r="D33" s="30" t="s">
        <v>27262</v>
      </c>
      <c r="E33" s="139" t="s">
        <v>27263</v>
      </c>
      <c r="F33" s="128">
        <v>399.0</v>
      </c>
      <c r="G33" s="128">
        <v>408.0</v>
      </c>
      <c r="H33" s="16"/>
      <c r="I33" s="16" t="s">
        <v>17059</v>
      </c>
      <c r="J33" s="30" t="s">
        <v>27264</v>
      </c>
      <c r="K33" s="30" t="s">
        <v>28515</v>
      </c>
      <c r="L33" s="30" t="s">
        <v>1253</v>
      </c>
      <c r="M33" s="30" t="s">
        <v>1253</v>
      </c>
      <c r="N33" s="30" t="s">
        <v>28515</v>
      </c>
      <c r="O33" s="130" t="s">
        <v>27267</v>
      </c>
      <c r="P33" s="140" t="s">
        <v>27268</v>
      </c>
      <c r="Q33" s="128">
        <v>7192691.0</v>
      </c>
      <c r="R33" s="16"/>
      <c r="S33" s="141" t="s">
        <v>28517</v>
      </c>
      <c r="T33" s="30"/>
      <c r="U33" s="30"/>
      <c r="V33" s="30"/>
      <c r="W33" s="30"/>
      <c r="X33" s="30"/>
      <c r="Y33" s="30"/>
      <c r="Z33" s="30"/>
      <c r="AA33" s="30"/>
      <c r="AB33" s="30"/>
      <c r="AC33" s="30"/>
    </row>
    <row r="34" ht="15.75" customHeight="1">
      <c r="A34" s="30" t="s">
        <v>2137</v>
      </c>
      <c r="B34" s="128">
        <v>2015.0</v>
      </c>
      <c r="C34" s="30" t="s">
        <v>27185</v>
      </c>
      <c r="D34" s="30" t="s">
        <v>27186</v>
      </c>
      <c r="E34" s="139" t="s">
        <v>27187</v>
      </c>
      <c r="F34" s="128">
        <v>539.0</v>
      </c>
      <c r="G34" s="128">
        <v>548.0</v>
      </c>
      <c r="H34" s="16"/>
      <c r="I34" s="16" t="s">
        <v>17059</v>
      </c>
      <c r="J34" s="30" t="s">
        <v>27188</v>
      </c>
      <c r="K34" s="30" t="s">
        <v>28524</v>
      </c>
      <c r="L34" s="30" t="s">
        <v>5349</v>
      </c>
      <c r="M34" s="30" t="s">
        <v>5349</v>
      </c>
      <c r="N34" s="30" t="s">
        <v>28524</v>
      </c>
      <c r="O34" s="130" t="s">
        <v>27191</v>
      </c>
      <c r="P34" s="140" t="s">
        <v>27192</v>
      </c>
      <c r="Q34" s="128">
        <v>7192667.0</v>
      </c>
      <c r="R34" s="16"/>
      <c r="S34" s="141" t="s">
        <v>28525</v>
      </c>
      <c r="T34" s="30"/>
      <c r="U34" s="30"/>
      <c r="V34" s="30"/>
      <c r="W34" s="30"/>
      <c r="X34" s="30"/>
      <c r="Y34" s="30"/>
      <c r="Z34" s="30"/>
      <c r="AA34" s="30"/>
      <c r="AB34" s="30"/>
      <c r="AC34" s="30"/>
    </row>
    <row r="35" ht="15.75" customHeight="1">
      <c r="A35" s="30" t="s">
        <v>2137</v>
      </c>
      <c r="B35" s="128">
        <v>2015.0</v>
      </c>
      <c r="C35" s="30" t="s">
        <v>27232</v>
      </c>
      <c r="D35" s="30" t="s">
        <v>27233</v>
      </c>
      <c r="E35" s="139" t="s">
        <v>27234</v>
      </c>
      <c r="F35" s="128">
        <v>369.0</v>
      </c>
      <c r="G35" s="128">
        <v>378.0</v>
      </c>
      <c r="H35" s="16"/>
      <c r="I35" s="16" t="s">
        <v>17059</v>
      </c>
      <c r="J35" s="30" t="s">
        <v>27236</v>
      </c>
      <c r="K35" s="30" t="s">
        <v>28531</v>
      </c>
      <c r="L35" s="30" t="s">
        <v>5349</v>
      </c>
      <c r="M35" s="30" t="s">
        <v>5349</v>
      </c>
      <c r="N35" s="30" t="s">
        <v>28531</v>
      </c>
      <c r="O35" s="130" t="s">
        <v>27239</v>
      </c>
      <c r="P35" s="140" t="s">
        <v>27240</v>
      </c>
      <c r="Q35" s="128">
        <v>7192708.0</v>
      </c>
      <c r="R35" s="16"/>
      <c r="S35" s="141" t="s">
        <v>28532</v>
      </c>
      <c r="T35" s="30"/>
      <c r="U35" s="30"/>
      <c r="V35" s="30"/>
      <c r="W35" s="30"/>
      <c r="X35" s="30"/>
      <c r="Y35" s="30"/>
      <c r="Z35" s="30"/>
      <c r="AA35" s="30"/>
      <c r="AB35" s="30"/>
      <c r="AC35" s="30"/>
    </row>
    <row r="36" ht="15.75" customHeight="1">
      <c r="A36" s="30" t="s">
        <v>2137</v>
      </c>
      <c r="B36" s="128">
        <v>2015.0</v>
      </c>
      <c r="C36" s="30" t="s">
        <v>26899</v>
      </c>
      <c r="D36" s="30" t="s">
        <v>26900</v>
      </c>
      <c r="E36" s="139" t="s">
        <v>26901</v>
      </c>
      <c r="F36" s="128">
        <v>379.0</v>
      </c>
      <c r="G36" s="128">
        <v>388.0</v>
      </c>
      <c r="H36" s="16"/>
      <c r="I36" s="16" t="s">
        <v>17059</v>
      </c>
      <c r="J36" s="30" t="s">
        <v>26902</v>
      </c>
      <c r="K36" s="30" t="s">
        <v>28543</v>
      </c>
      <c r="L36" s="30" t="s">
        <v>28544</v>
      </c>
      <c r="M36" s="30" t="s">
        <v>5349</v>
      </c>
      <c r="N36" s="30" t="s">
        <v>28543</v>
      </c>
      <c r="O36" s="130" t="s">
        <v>26906</v>
      </c>
      <c r="P36" s="140" t="s">
        <v>26907</v>
      </c>
      <c r="Q36" s="128">
        <v>7192701.0</v>
      </c>
      <c r="R36" s="16"/>
      <c r="S36" s="141" t="s">
        <v>28545</v>
      </c>
      <c r="T36" s="30"/>
      <c r="U36" s="30"/>
      <c r="V36" s="30"/>
      <c r="W36" s="30"/>
      <c r="X36" s="30"/>
      <c r="Y36" s="30"/>
      <c r="Z36" s="30"/>
      <c r="AA36" s="30"/>
      <c r="AB36" s="30"/>
      <c r="AC36" s="30"/>
    </row>
    <row r="37" ht="15.75" customHeight="1">
      <c r="A37" s="30" t="s">
        <v>2137</v>
      </c>
      <c r="B37" s="128">
        <v>2015.0</v>
      </c>
      <c r="C37" s="30" t="s">
        <v>26938</v>
      </c>
      <c r="D37" s="30" t="s">
        <v>26939</v>
      </c>
      <c r="E37" s="139" t="s">
        <v>26940</v>
      </c>
      <c r="F37" s="128">
        <v>599.0</v>
      </c>
      <c r="G37" s="128">
        <v>608.0</v>
      </c>
      <c r="H37" s="16"/>
      <c r="I37" s="16" t="s">
        <v>17059</v>
      </c>
      <c r="J37" s="30" t="s">
        <v>26942</v>
      </c>
      <c r="K37" s="30" t="s">
        <v>28555</v>
      </c>
      <c r="L37" s="30" t="s">
        <v>5349</v>
      </c>
      <c r="M37" s="30" t="s">
        <v>5349</v>
      </c>
      <c r="N37" s="30" t="s">
        <v>28555</v>
      </c>
      <c r="O37" s="130" t="s">
        <v>26946</v>
      </c>
      <c r="P37" s="140" t="s">
        <v>26947</v>
      </c>
      <c r="Q37" s="128">
        <v>7192660.0</v>
      </c>
      <c r="R37" s="16"/>
      <c r="S37" s="141" t="s">
        <v>28558</v>
      </c>
      <c r="T37" s="30"/>
      <c r="U37" s="30"/>
      <c r="V37" s="30"/>
      <c r="W37" s="30"/>
      <c r="X37" s="30"/>
      <c r="Y37" s="30"/>
      <c r="Z37" s="30"/>
      <c r="AA37" s="30"/>
      <c r="AB37" s="30"/>
      <c r="AC37" s="30"/>
    </row>
    <row r="38" ht="15.75" customHeight="1">
      <c r="A38" s="30" t="s">
        <v>2137</v>
      </c>
      <c r="B38" s="128">
        <v>2015.0</v>
      </c>
      <c r="C38" s="30" t="s">
        <v>27193</v>
      </c>
      <c r="D38" s="30" t="s">
        <v>27194</v>
      </c>
      <c r="E38" s="139" t="s">
        <v>27195</v>
      </c>
      <c r="F38" s="128">
        <v>389.0</v>
      </c>
      <c r="G38" s="128">
        <v>398.0</v>
      </c>
      <c r="H38" s="16"/>
      <c r="I38" s="16" t="s">
        <v>17059</v>
      </c>
      <c r="J38" s="30" t="s">
        <v>27197</v>
      </c>
      <c r="K38" s="30" t="s">
        <v>28561</v>
      </c>
      <c r="L38" s="30" t="s">
        <v>178</v>
      </c>
      <c r="M38" s="30" t="s">
        <v>178</v>
      </c>
      <c r="N38" s="30" t="s">
        <v>28561</v>
      </c>
      <c r="O38" s="130" t="s">
        <v>27200</v>
      </c>
      <c r="P38" s="140" t="s">
        <v>27201</v>
      </c>
      <c r="Q38" s="128">
        <v>7192710.0</v>
      </c>
      <c r="R38" s="16"/>
      <c r="S38" s="141" t="s">
        <v>28564</v>
      </c>
      <c r="T38" s="30"/>
      <c r="U38" s="30"/>
      <c r="V38" s="30"/>
      <c r="W38" s="30"/>
      <c r="X38" s="30"/>
      <c r="Y38" s="30"/>
      <c r="Z38" s="30"/>
      <c r="AA38" s="30"/>
      <c r="AB38" s="30"/>
      <c r="AC38" s="30"/>
    </row>
    <row r="39" ht="15.75" customHeight="1">
      <c r="A39" s="30" t="s">
        <v>2137</v>
      </c>
      <c r="B39" s="128">
        <v>2015.0</v>
      </c>
      <c r="C39" s="30" t="s">
        <v>26916</v>
      </c>
      <c r="D39" s="30" t="s">
        <v>26917</v>
      </c>
      <c r="E39" s="139" t="s">
        <v>26918</v>
      </c>
      <c r="F39" s="128">
        <v>649.0</v>
      </c>
      <c r="G39" s="128">
        <v>658.0</v>
      </c>
      <c r="H39" s="16"/>
      <c r="I39" s="16" t="s">
        <v>17059</v>
      </c>
      <c r="J39" s="30" t="s">
        <v>26921</v>
      </c>
      <c r="K39" s="30" t="s">
        <v>28572</v>
      </c>
      <c r="L39" s="30" t="s">
        <v>860</v>
      </c>
      <c r="M39" s="30" t="s">
        <v>860</v>
      </c>
      <c r="N39" s="30" t="s">
        <v>28572</v>
      </c>
      <c r="O39" s="130" t="s">
        <v>26925</v>
      </c>
      <c r="P39" s="140" t="s">
        <v>26926</v>
      </c>
      <c r="Q39" s="128">
        <v>7192728.0</v>
      </c>
      <c r="R39" s="16"/>
      <c r="S39" s="141" t="s">
        <v>28574</v>
      </c>
      <c r="T39" s="30"/>
      <c r="U39" s="30"/>
      <c r="V39" s="30"/>
      <c r="W39" s="30"/>
      <c r="X39" s="30"/>
      <c r="Y39" s="30"/>
      <c r="Z39" s="30"/>
      <c r="AA39" s="30"/>
      <c r="AB39" s="30"/>
      <c r="AC39" s="30"/>
    </row>
    <row r="40" ht="15.75" customHeight="1">
      <c r="A40" s="30" t="s">
        <v>4153</v>
      </c>
      <c r="B40" s="128">
        <v>2015.0</v>
      </c>
      <c r="C40" s="130" t="s">
        <v>27399</v>
      </c>
      <c r="D40" s="130" t="s">
        <v>27400</v>
      </c>
      <c r="E40" s="145" t="s">
        <v>27401</v>
      </c>
      <c r="F40" s="132">
        <v>143.0</v>
      </c>
      <c r="G40" s="132">
        <v>144.0</v>
      </c>
      <c r="H40" s="16"/>
      <c r="I40" s="16" t="s">
        <v>21</v>
      </c>
      <c r="J40" s="130" t="s">
        <v>27404</v>
      </c>
      <c r="K40" s="130" t="s">
        <v>28578</v>
      </c>
      <c r="L40" s="130" t="s">
        <v>28579</v>
      </c>
      <c r="M40" s="16"/>
      <c r="N40" s="130" t="s">
        <v>28580</v>
      </c>
      <c r="O40" s="130"/>
      <c r="P40" s="16"/>
      <c r="Q40" s="132">
        <v>7429504.0</v>
      </c>
      <c r="R40" s="16"/>
      <c r="S40" s="16"/>
      <c r="T40" s="30"/>
      <c r="U40" s="30"/>
      <c r="V40" s="30"/>
      <c r="W40" s="30"/>
      <c r="X40" s="30"/>
      <c r="Y40" s="30"/>
      <c r="Z40" s="30"/>
      <c r="AA40" s="30"/>
      <c r="AB40" s="30"/>
      <c r="AC40" s="30"/>
    </row>
    <row r="41" ht="15.75" customHeight="1">
      <c r="A41" s="30" t="s">
        <v>4153</v>
      </c>
      <c r="B41" s="128">
        <v>2015.0</v>
      </c>
      <c r="C41" s="130" t="s">
        <v>27447</v>
      </c>
      <c r="D41" s="130" t="s">
        <v>27448</v>
      </c>
      <c r="E41" s="145" t="s">
        <v>27449</v>
      </c>
      <c r="F41" s="132">
        <v>155.0</v>
      </c>
      <c r="G41" s="132">
        <v>156.0</v>
      </c>
      <c r="H41" s="16"/>
      <c r="I41" s="16" t="s">
        <v>21</v>
      </c>
      <c r="J41" s="130" t="s">
        <v>27450</v>
      </c>
      <c r="K41" s="130" t="s">
        <v>28583</v>
      </c>
      <c r="L41" s="130" t="s">
        <v>28584</v>
      </c>
      <c r="M41" s="16"/>
      <c r="N41" s="130" t="s">
        <v>28585</v>
      </c>
      <c r="O41" s="130"/>
      <c r="P41" s="16"/>
      <c r="Q41" s="132">
        <v>7429510.0</v>
      </c>
      <c r="R41" s="16"/>
      <c r="S41" s="16"/>
      <c r="T41" s="30"/>
      <c r="U41" s="30"/>
      <c r="V41" s="30"/>
      <c r="W41" s="30"/>
      <c r="X41" s="30"/>
      <c r="Y41" s="30"/>
      <c r="Z41" s="30"/>
      <c r="AA41" s="30"/>
      <c r="AB41" s="30"/>
      <c r="AC41" s="30"/>
    </row>
    <row r="42" ht="15.75" customHeight="1">
      <c r="A42" s="30" t="s">
        <v>4153</v>
      </c>
      <c r="B42" s="128">
        <v>2015.0</v>
      </c>
      <c r="C42" s="16" t="s">
        <v>27298</v>
      </c>
      <c r="D42" s="130" t="s">
        <v>27299</v>
      </c>
      <c r="E42" s="145" t="s">
        <v>27301</v>
      </c>
      <c r="F42" s="132">
        <v>1.0</v>
      </c>
      <c r="G42" s="132">
        <v>8.0</v>
      </c>
      <c r="H42" s="16"/>
      <c r="I42" s="16" t="s">
        <v>28</v>
      </c>
      <c r="J42" s="130" t="s">
        <v>27304</v>
      </c>
      <c r="K42" s="130" t="s">
        <v>28593</v>
      </c>
      <c r="L42" s="130" t="s">
        <v>28594</v>
      </c>
      <c r="M42" s="16"/>
      <c r="N42" s="130" t="s">
        <v>28595</v>
      </c>
      <c r="O42" s="130" t="s">
        <v>27307</v>
      </c>
      <c r="P42" s="140" t="s">
        <v>27308</v>
      </c>
      <c r="Q42" s="132">
        <v>7429485.0</v>
      </c>
      <c r="R42" s="16"/>
      <c r="S42" s="141" t="s">
        <v>28597</v>
      </c>
      <c r="T42" s="30"/>
      <c r="U42" s="30"/>
      <c r="V42" s="30"/>
      <c r="W42" s="30"/>
      <c r="X42" s="30"/>
      <c r="Y42" s="30"/>
      <c r="Z42" s="30"/>
      <c r="AA42" s="30"/>
      <c r="AB42" s="30"/>
      <c r="AC42" s="30"/>
    </row>
    <row r="43" ht="15.75" customHeight="1">
      <c r="A43" s="30" t="s">
        <v>4153</v>
      </c>
      <c r="B43" s="128">
        <v>2015.0</v>
      </c>
      <c r="C43" s="130" t="s">
        <v>27453</v>
      </c>
      <c r="D43" s="130" t="s">
        <v>27454</v>
      </c>
      <c r="E43" s="145" t="s">
        <v>27455</v>
      </c>
      <c r="F43" s="132">
        <v>157.0</v>
      </c>
      <c r="G43" s="132">
        <v>158.0</v>
      </c>
      <c r="H43" s="16"/>
      <c r="I43" s="16" t="s">
        <v>21</v>
      </c>
      <c r="J43" s="130" t="s">
        <v>27456</v>
      </c>
      <c r="K43" s="130" t="s">
        <v>28602</v>
      </c>
      <c r="L43" s="130" t="s">
        <v>494</v>
      </c>
      <c r="M43" s="16"/>
      <c r="N43" s="130" t="s">
        <v>28603</v>
      </c>
      <c r="O43" s="130"/>
      <c r="P43" s="16"/>
      <c r="Q43" s="132">
        <v>7429511.0</v>
      </c>
      <c r="R43" s="16"/>
      <c r="S43" s="16"/>
      <c r="T43" s="30"/>
      <c r="U43" s="30"/>
      <c r="V43" s="30"/>
      <c r="W43" s="30"/>
      <c r="X43" s="30"/>
      <c r="Y43" s="30"/>
      <c r="Z43" s="30"/>
      <c r="AA43" s="30"/>
      <c r="AB43" s="30"/>
      <c r="AC43" s="30"/>
    </row>
    <row r="44" ht="15.75" customHeight="1">
      <c r="A44" s="30" t="s">
        <v>4153</v>
      </c>
      <c r="B44" s="128">
        <v>2015.0</v>
      </c>
      <c r="C44" s="16" t="s">
        <v>27329</v>
      </c>
      <c r="D44" s="130" t="s">
        <v>27330</v>
      </c>
      <c r="E44" s="145" t="s">
        <v>27331</v>
      </c>
      <c r="F44" s="132">
        <v>25.0</v>
      </c>
      <c r="G44" s="132">
        <v>32.0</v>
      </c>
      <c r="H44" s="16"/>
      <c r="I44" s="16" t="s">
        <v>28</v>
      </c>
      <c r="J44" s="130" t="s">
        <v>27332</v>
      </c>
      <c r="K44" s="130" t="s">
        <v>28609</v>
      </c>
      <c r="L44" s="130" t="s">
        <v>28610</v>
      </c>
      <c r="M44" s="16"/>
      <c r="N44" s="130" t="s">
        <v>28611</v>
      </c>
      <c r="O44" s="130" t="s">
        <v>27336</v>
      </c>
      <c r="P44" s="140" t="s">
        <v>27337</v>
      </c>
      <c r="Q44" s="132">
        <v>7429488.0</v>
      </c>
      <c r="R44" s="16"/>
      <c r="S44" s="141" t="s">
        <v>28612</v>
      </c>
      <c r="T44" s="30"/>
      <c r="U44" s="30"/>
      <c r="V44" s="30"/>
      <c r="W44" s="30"/>
      <c r="X44" s="30"/>
      <c r="Y44" s="30"/>
      <c r="Z44" s="30"/>
      <c r="AA44" s="30"/>
      <c r="AB44" s="30"/>
      <c r="AC44" s="30"/>
    </row>
    <row r="45" ht="15.75" customHeight="1">
      <c r="A45" s="30" t="s">
        <v>4153</v>
      </c>
      <c r="B45" s="128">
        <v>2015.0</v>
      </c>
      <c r="C45" s="30" t="s">
        <v>27515</v>
      </c>
      <c r="D45" s="30" t="s">
        <v>27516</v>
      </c>
      <c r="E45" s="139" t="s">
        <v>27517</v>
      </c>
      <c r="F45" s="128">
        <v>708.0</v>
      </c>
      <c r="G45" s="128">
        <v>717.0</v>
      </c>
      <c r="H45" s="16"/>
      <c r="I45" s="16" t="s">
        <v>17059</v>
      </c>
      <c r="J45" s="30" t="s">
        <v>27519</v>
      </c>
      <c r="K45" s="30" t="s">
        <v>28680</v>
      </c>
      <c r="L45" s="30" t="s">
        <v>28681</v>
      </c>
      <c r="M45" s="30" t="s">
        <v>5349</v>
      </c>
      <c r="N45" s="30" t="s">
        <v>28680</v>
      </c>
      <c r="O45" s="130" t="s">
        <v>27523</v>
      </c>
      <c r="P45" s="140" t="s">
        <v>27524</v>
      </c>
      <c r="Q45" s="128">
        <v>7192678.0</v>
      </c>
      <c r="R45" s="16"/>
      <c r="S45" s="141" t="s">
        <v>28682</v>
      </c>
      <c r="T45" s="30"/>
      <c r="U45" s="30"/>
      <c r="V45" s="30"/>
      <c r="W45" s="30"/>
      <c r="X45" s="30"/>
      <c r="Y45" s="30"/>
      <c r="Z45" s="30"/>
      <c r="AA45" s="30"/>
      <c r="AB45" s="30"/>
      <c r="AC45" s="30"/>
    </row>
    <row r="46" ht="15.75" customHeight="1">
      <c r="A46" s="30" t="s">
        <v>4153</v>
      </c>
      <c r="B46" s="128">
        <v>2015.0</v>
      </c>
      <c r="C46" s="30" t="s">
        <v>27615</v>
      </c>
      <c r="D46" s="30" t="s">
        <v>27616</v>
      </c>
      <c r="E46" s="139" t="s">
        <v>27617</v>
      </c>
      <c r="F46" s="128">
        <v>985.0</v>
      </c>
      <c r="G46" s="128">
        <v>994.0</v>
      </c>
      <c r="H46" s="16"/>
      <c r="I46" s="16" t="s">
        <v>17059</v>
      </c>
      <c r="J46" s="30" t="s">
        <v>27619</v>
      </c>
      <c r="K46" s="30" t="s">
        <v>28691</v>
      </c>
      <c r="L46" s="30" t="s">
        <v>1561</v>
      </c>
      <c r="M46" s="30" t="s">
        <v>178</v>
      </c>
      <c r="N46" s="30" t="s">
        <v>28691</v>
      </c>
      <c r="O46" s="130" t="s">
        <v>27621</v>
      </c>
      <c r="P46" s="140" t="s">
        <v>27622</v>
      </c>
      <c r="Q46" s="128">
        <v>7192734.0</v>
      </c>
      <c r="R46" s="16"/>
      <c r="S46" s="141" t="s">
        <v>28692</v>
      </c>
      <c r="T46" s="30"/>
      <c r="U46" s="30"/>
      <c r="V46" s="30"/>
      <c r="W46" s="30"/>
      <c r="X46" s="30"/>
      <c r="Y46" s="30"/>
      <c r="Z46" s="30"/>
      <c r="AA46" s="30"/>
      <c r="AB46" s="30"/>
      <c r="AC46" s="30"/>
    </row>
    <row r="47" ht="15.75" customHeight="1">
      <c r="A47" s="30" t="s">
        <v>4153</v>
      </c>
      <c r="B47" s="128">
        <v>2015.0</v>
      </c>
      <c r="C47" s="130" t="s">
        <v>27425</v>
      </c>
      <c r="D47" s="130" t="s">
        <v>27426</v>
      </c>
      <c r="E47" s="145" t="s">
        <v>27427</v>
      </c>
      <c r="F47" s="132">
        <v>149.0</v>
      </c>
      <c r="G47" s="132">
        <v>150.0</v>
      </c>
      <c r="H47" s="16"/>
      <c r="I47" s="16" t="s">
        <v>21</v>
      </c>
      <c r="J47" s="130" t="s">
        <v>27428</v>
      </c>
      <c r="K47" s="130" t="s">
        <v>28695</v>
      </c>
      <c r="L47" s="130" t="s">
        <v>28696</v>
      </c>
      <c r="M47" s="16"/>
      <c r="N47" s="130" t="s">
        <v>28698</v>
      </c>
      <c r="O47" s="130"/>
      <c r="P47" s="16"/>
      <c r="Q47" s="132">
        <v>7429507.0</v>
      </c>
      <c r="R47" s="16"/>
      <c r="S47" s="16"/>
      <c r="T47" s="30"/>
      <c r="U47" s="30"/>
      <c r="V47" s="30"/>
      <c r="W47" s="30"/>
      <c r="X47" s="30"/>
      <c r="Y47" s="30"/>
      <c r="Z47" s="30"/>
      <c r="AA47" s="30"/>
      <c r="AB47" s="30"/>
      <c r="AC47" s="30"/>
    </row>
    <row r="48" ht="15.75" customHeight="1">
      <c r="A48" s="30" t="s">
        <v>4153</v>
      </c>
      <c r="B48" s="128">
        <v>2015.0</v>
      </c>
      <c r="C48" s="30" t="s">
        <v>27661</v>
      </c>
      <c r="D48" s="30" t="s">
        <v>27662</v>
      </c>
      <c r="E48" s="139" t="s">
        <v>27663</v>
      </c>
      <c r="F48" s="128">
        <v>747.0</v>
      </c>
      <c r="G48" s="128">
        <v>756.0</v>
      </c>
      <c r="H48" s="16"/>
      <c r="I48" s="16" t="s">
        <v>17059</v>
      </c>
      <c r="J48" s="30" t="s">
        <v>27664</v>
      </c>
      <c r="K48" s="30" t="s">
        <v>28704</v>
      </c>
      <c r="L48" s="30" t="s">
        <v>28705</v>
      </c>
      <c r="M48" s="30" t="s">
        <v>880</v>
      </c>
      <c r="N48" s="30" t="s">
        <v>28706</v>
      </c>
      <c r="O48" s="130" t="s">
        <v>27668</v>
      </c>
      <c r="P48" s="140" t="s">
        <v>27669</v>
      </c>
      <c r="Q48" s="128">
        <v>7194835.0</v>
      </c>
      <c r="R48" s="16"/>
      <c r="S48" s="141" t="s">
        <v>28707</v>
      </c>
      <c r="T48" s="30"/>
      <c r="U48" s="30"/>
      <c r="V48" s="30"/>
      <c r="W48" s="30"/>
      <c r="X48" s="30"/>
      <c r="Y48" s="30"/>
      <c r="Z48" s="30"/>
      <c r="AA48" s="30"/>
      <c r="AB48" s="30"/>
      <c r="AC48" s="30"/>
    </row>
    <row r="49" ht="15.75" customHeight="1">
      <c r="A49" s="30" t="s">
        <v>4153</v>
      </c>
      <c r="B49" s="128">
        <v>2015.0</v>
      </c>
      <c r="C49" s="30" t="s">
        <v>27747</v>
      </c>
      <c r="D49" s="30" t="s">
        <v>27748</v>
      </c>
      <c r="E49" s="139" t="s">
        <v>27749</v>
      </c>
      <c r="F49" s="128">
        <v>1015.0</v>
      </c>
      <c r="G49" s="128">
        <v>1024.0</v>
      </c>
      <c r="H49" s="16"/>
      <c r="I49" s="16" t="s">
        <v>17059</v>
      </c>
      <c r="J49" s="30" t="s">
        <v>27856</v>
      </c>
      <c r="K49" s="30" t="s">
        <v>28715</v>
      </c>
      <c r="L49" s="30" t="s">
        <v>28716</v>
      </c>
      <c r="M49" s="30" t="s">
        <v>178</v>
      </c>
      <c r="N49" s="30" t="s">
        <v>28715</v>
      </c>
      <c r="O49" s="130" t="s">
        <v>27859</v>
      </c>
      <c r="P49" s="140" t="s">
        <v>27860</v>
      </c>
      <c r="Q49" s="128">
        <v>7194844.0</v>
      </c>
      <c r="R49" s="16"/>
      <c r="S49" s="141" t="s">
        <v>28717</v>
      </c>
      <c r="T49" s="30"/>
      <c r="U49" s="30"/>
      <c r="V49" s="30"/>
      <c r="W49" s="30"/>
      <c r="X49" s="30"/>
      <c r="Y49" s="30"/>
      <c r="Z49" s="30"/>
      <c r="AA49" s="30"/>
      <c r="AB49" s="30"/>
      <c r="AC49" s="30"/>
    </row>
    <row r="50" ht="15.75" customHeight="1">
      <c r="A50" s="30" t="s">
        <v>4153</v>
      </c>
      <c r="B50" s="128">
        <v>2015.0</v>
      </c>
      <c r="C50" s="30" t="s">
        <v>27635</v>
      </c>
      <c r="D50" s="30" t="s">
        <v>27636</v>
      </c>
      <c r="E50" s="139" t="s">
        <v>27638</v>
      </c>
      <c r="F50" s="128">
        <v>955.0</v>
      </c>
      <c r="G50" s="128">
        <v>964.0</v>
      </c>
      <c r="H50" s="16"/>
      <c r="I50" s="16" t="s">
        <v>17059</v>
      </c>
      <c r="J50" s="30" t="s">
        <v>27640</v>
      </c>
      <c r="K50" s="30" t="s">
        <v>27641</v>
      </c>
      <c r="L50" s="30" t="s">
        <v>178</v>
      </c>
      <c r="M50" s="30" t="s">
        <v>178</v>
      </c>
      <c r="N50" s="30" t="s">
        <v>27641</v>
      </c>
      <c r="O50" s="130" t="s">
        <v>27642</v>
      </c>
      <c r="P50" s="140" t="s">
        <v>27643</v>
      </c>
      <c r="Q50" s="128">
        <v>7192697.0</v>
      </c>
      <c r="R50" s="16"/>
      <c r="S50" s="141" t="s">
        <v>28724</v>
      </c>
      <c r="T50" s="30"/>
      <c r="U50" s="30"/>
      <c r="V50" s="30"/>
      <c r="W50" s="30"/>
      <c r="X50" s="30"/>
      <c r="Y50" s="30"/>
      <c r="Z50" s="30"/>
      <c r="AA50" s="30"/>
      <c r="AB50" s="30"/>
      <c r="AC50" s="30"/>
    </row>
    <row r="51" ht="15.75" customHeight="1">
      <c r="A51" s="30" t="s">
        <v>4153</v>
      </c>
      <c r="B51" s="128">
        <v>2015.0</v>
      </c>
      <c r="C51" s="16" t="s">
        <v>27376</v>
      </c>
      <c r="D51" s="130" t="s">
        <v>27377</v>
      </c>
      <c r="E51" s="145" t="s">
        <v>27378</v>
      </c>
      <c r="F51" s="132">
        <v>65.0</v>
      </c>
      <c r="G51" s="132">
        <v>72.0</v>
      </c>
      <c r="H51" s="16"/>
      <c r="I51" s="16" t="s">
        <v>28</v>
      </c>
      <c r="J51" s="130" t="s">
        <v>27379</v>
      </c>
      <c r="K51" s="130" t="s">
        <v>28727</v>
      </c>
      <c r="L51" s="130" t="s">
        <v>28728</v>
      </c>
      <c r="M51" s="16"/>
      <c r="N51" s="130" t="s">
        <v>28729</v>
      </c>
      <c r="O51" s="130" t="s">
        <v>27384</v>
      </c>
      <c r="P51" s="16"/>
      <c r="Q51" s="132">
        <v>7429493.0</v>
      </c>
      <c r="R51" s="16"/>
      <c r="S51" s="141" t="s">
        <v>28730</v>
      </c>
      <c r="T51" s="30"/>
      <c r="U51" s="30"/>
      <c r="V51" s="30"/>
      <c r="W51" s="30"/>
      <c r="X51" s="30"/>
      <c r="Y51" s="30"/>
      <c r="Z51" s="30"/>
      <c r="AA51" s="30"/>
      <c r="AB51" s="30"/>
      <c r="AC51" s="30"/>
    </row>
    <row r="52" ht="15.75" customHeight="1">
      <c r="A52" s="30" t="s">
        <v>4153</v>
      </c>
      <c r="B52" s="128">
        <v>2015.0</v>
      </c>
      <c r="C52" s="130" t="s">
        <v>27440</v>
      </c>
      <c r="D52" s="130" t="s">
        <v>27441</v>
      </c>
      <c r="E52" s="145" t="s">
        <v>27442</v>
      </c>
      <c r="F52" s="132">
        <v>153.0</v>
      </c>
      <c r="G52" s="132">
        <v>154.0</v>
      </c>
      <c r="H52" s="16"/>
      <c r="I52" s="16" t="s">
        <v>21</v>
      </c>
      <c r="J52" s="130" t="s">
        <v>27443</v>
      </c>
      <c r="K52" s="130" t="s">
        <v>28737</v>
      </c>
      <c r="L52" s="130" t="s">
        <v>28738</v>
      </c>
      <c r="M52" s="16"/>
      <c r="N52" s="130" t="s">
        <v>28739</v>
      </c>
      <c r="O52" s="130"/>
      <c r="P52" s="16"/>
      <c r="Q52" s="132">
        <v>7429509.0</v>
      </c>
      <c r="R52" s="16"/>
      <c r="S52" s="16"/>
      <c r="T52" s="30"/>
      <c r="U52" s="30"/>
      <c r="V52" s="30"/>
      <c r="W52" s="30"/>
      <c r="X52" s="30"/>
      <c r="Y52" s="30"/>
      <c r="Z52" s="30"/>
      <c r="AA52" s="30"/>
      <c r="AB52" s="30"/>
      <c r="AC52" s="30"/>
    </row>
    <row r="53" ht="15.75" customHeight="1">
      <c r="A53" s="30" t="s">
        <v>4153</v>
      </c>
      <c r="B53" s="128">
        <v>2015.0</v>
      </c>
      <c r="C53" s="30" t="s">
        <v>27534</v>
      </c>
      <c r="D53" s="30" t="s">
        <v>27535</v>
      </c>
      <c r="E53" s="139" t="s">
        <v>27537</v>
      </c>
      <c r="F53" s="128">
        <v>886.0</v>
      </c>
      <c r="G53" s="128">
        <v>895.0</v>
      </c>
      <c r="H53" s="16"/>
      <c r="I53" s="16" t="s">
        <v>17059</v>
      </c>
      <c r="J53" s="30" t="s">
        <v>27539</v>
      </c>
      <c r="K53" s="30" t="s">
        <v>28749</v>
      </c>
      <c r="L53" s="30" t="s">
        <v>28750</v>
      </c>
      <c r="M53" s="30" t="s">
        <v>5349</v>
      </c>
      <c r="N53" s="30" t="s">
        <v>28749</v>
      </c>
      <c r="O53" s="130" t="s">
        <v>27541</v>
      </c>
      <c r="P53" s="140" t="s">
        <v>27542</v>
      </c>
      <c r="Q53" s="128">
        <v>7192726.0</v>
      </c>
      <c r="R53" s="16"/>
      <c r="S53" s="141" t="s">
        <v>28751</v>
      </c>
      <c r="T53" s="30"/>
      <c r="U53" s="30"/>
      <c r="V53" s="30"/>
      <c r="W53" s="30"/>
      <c r="X53" s="30"/>
      <c r="Y53" s="30"/>
      <c r="Z53" s="30"/>
      <c r="AA53" s="30"/>
      <c r="AB53" s="30"/>
      <c r="AC53" s="30"/>
    </row>
    <row r="54" ht="15.75" customHeight="1">
      <c r="A54" s="30" t="s">
        <v>4153</v>
      </c>
      <c r="B54" s="128">
        <v>2015.0</v>
      </c>
      <c r="C54" s="30" t="s">
        <v>27543</v>
      </c>
      <c r="D54" s="30" t="s">
        <v>27544</v>
      </c>
      <c r="E54" s="139" t="s">
        <v>27545</v>
      </c>
      <c r="F54" s="128">
        <v>757.0</v>
      </c>
      <c r="G54" s="128">
        <v>766.0</v>
      </c>
      <c r="H54" s="16"/>
      <c r="I54" s="16" t="s">
        <v>17059</v>
      </c>
      <c r="J54" s="30" t="s">
        <v>27548</v>
      </c>
      <c r="K54" s="30" t="s">
        <v>28752</v>
      </c>
      <c r="L54" s="30" t="s">
        <v>26473</v>
      </c>
      <c r="M54" s="30" t="s">
        <v>5349</v>
      </c>
      <c r="N54" s="30" t="s">
        <v>28752</v>
      </c>
      <c r="O54" s="130" t="s">
        <v>27551</v>
      </c>
      <c r="P54" s="140" t="s">
        <v>27552</v>
      </c>
      <c r="Q54" s="128">
        <v>7192711.0</v>
      </c>
      <c r="R54" s="16"/>
      <c r="S54" s="141" t="s">
        <v>28775</v>
      </c>
      <c r="T54" s="30"/>
      <c r="U54" s="30"/>
      <c r="V54" s="30"/>
      <c r="W54" s="30"/>
      <c r="X54" s="30"/>
      <c r="Y54" s="30"/>
      <c r="Z54" s="30"/>
      <c r="AA54" s="30"/>
      <c r="AB54" s="30"/>
      <c r="AC54" s="30"/>
    </row>
    <row r="55" ht="15.75" customHeight="1">
      <c r="A55" s="30" t="s">
        <v>4153</v>
      </c>
      <c r="B55" s="128">
        <v>2015.0</v>
      </c>
      <c r="C55" s="130" t="s">
        <v>27385</v>
      </c>
      <c r="D55" s="130" t="s">
        <v>27386</v>
      </c>
      <c r="E55" s="145" t="s">
        <v>27387</v>
      </c>
      <c r="F55" s="132">
        <v>139.0</v>
      </c>
      <c r="G55" s="132">
        <v>140.0</v>
      </c>
      <c r="H55" s="16"/>
      <c r="I55" s="16" t="s">
        <v>21</v>
      </c>
      <c r="J55" s="130" t="s">
        <v>27389</v>
      </c>
      <c r="K55" s="130" t="s">
        <v>28776</v>
      </c>
      <c r="L55" s="130" t="s">
        <v>28777</v>
      </c>
      <c r="M55" s="16"/>
      <c r="N55" s="130" t="s">
        <v>6148</v>
      </c>
      <c r="O55" s="130"/>
      <c r="P55" s="16"/>
      <c r="Q55" s="132">
        <v>7429502.0</v>
      </c>
      <c r="R55" s="16"/>
      <c r="S55" s="16"/>
      <c r="T55" s="30"/>
      <c r="U55" s="30"/>
      <c r="V55" s="30"/>
      <c r="W55" s="30"/>
      <c r="X55" s="30"/>
      <c r="Y55" s="30"/>
      <c r="Z55" s="30"/>
      <c r="AA55" s="30"/>
      <c r="AB55" s="30"/>
      <c r="AC55" s="30"/>
    </row>
    <row r="56" ht="15.75" customHeight="1">
      <c r="A56" s="30" t="s">
        <v>4153</v>
      </c>
      <c r="B56" s="128">
        <v>2015.0</v>
      </c>
      <c r="C56" s="16" t="s">
        <v>27367</v>
      </c>
      <c r="D56" s="130" t="s">
        <v>27368</v>
      </c>
      <c r="E56" s="145" t="s">
        <v>27369</v>
      </c>
      <c r="F56" s="132">
        <v>57.0</v>
      </c>
      <c r="G56" s="132">
        <v>64.0</v>
      </c>
      <c r="H56" s="16"/>
      <c r="I56" s="16" t="s">
        <v>28</v>
      </c>
      <c r="J56" s="130" t="s">
        <v>27371</v>
      </c>
      <c r="K56" s="130" t="s">
        <v>28778</v>
      </c>
      <c r="L56" s="130" t="s">
        <v>28779</v>
      </c>
      <c r="M56" s="16"/>
      <c r="N56" s="130" t="s">
        <v>28780</v>
      </c>
      <c r="O56" s="130" t="s">
        <v>27374</v>
      </c>
      <c r="P56" s="140" t="s">
        <v>27375</v>
      </c>
      <c r="Q56" s="132">
        <v>7429492.0</v>
      </c>
      <c r="R56" s="16"/>
      <c r="S56" s="141" t="s">
        <v>28781</v>
      </c>
      <c r="T56" s="30"/>
      <c r="U56" s="30"/>
      <c r="V56" s="30"/>
      <c r="W56" s="30"/>
      <c r="X56" s="30"/>
      <c r="Y56" s="30"/>
      <c r="Z56" s="30"/>
      <c r="AA56" s="30"/>
      <c r="AB56" s="30"/>
      <c r="AC56" s="30"/>
    </row>
    <row r="57" ht="15.75" customHeight="1">
      <c r="A57" s="30" t="s">
        <v>4153</v>
      </c>
      <c r="B57" s="128">
        <v>2015.0</v>
      </c>
      <c r="C57" s="30" t="s">
        <v>27702</v>
      </c>
      <c r="D57" s="30" t="s">
        <v>27703</v>
      </c>
      <c r="E57" s="139" t="s">
        <v>27704</v>
      </c>
      <c r="F57" s="128">
        <v>867.0</v>
      </c>
      <c r="G57" s="128">
        <v>876.0</v>
      </c>
      <c r="H57" s="16"/>
      <c r="I57" s="16" t="s">
        <v>17059</v>
      </c>
      <c r="J57" s="30" t="s">
        <v>27707</v>
      </c>
      <c r="K57" s="30" t="s">
        <v>28783</v>
      </c>
      <c r="L57" s="30" t="s">
        <v>880</v>
      </c>
      <c r="M57" s="30" t="s">
        <v>880</v>
      </c>
      <c r="N57" s="30" t="s">
        <v>28783</v>
      </c>
      <c r="O57" s="130" t="s">
        <v>27711</v>
      </c>
      <c r="P57" s="140" t="s">
        <v>27712</v>
      </c>
      <c r="Q57" s="128">
        <v>7192663.0</v>
      </c>
      <c r="R57" s="16"/>
      <c r="S57" s="141" t="s">
        <v>28788</v>
      </c>
      <c r="T57" s="30"/>
      <c r="U57" s="30"/>
      <c r="V57" s="30"/>
      <c r="W57" s="30"/>
      <c r="X57" s="30"/>
      <c r="Y57" s="30"/>
      <c r="Z57" s="30"/>
      <c r="AA57" s="30"/>
      <c r="AB57" s="30"/>
      <c r="AC57" s="30"/>
    </row>
    <row r="58" ht="15.75" customHeight="1">
      <c r="A58" s="30" t="s">
        <v>4153</v>
      </c>
      <c r="B58" s="128">
        <v>2015.0</v>
      </c>
      <c r="C58" s="30" t="s">
        <v>27681</v>
      </c>
      <c r="D58" s="30" t="s">
        <v>27682</v>
      </c>
      <c r="E58" s="139" t="s">
        <v>27683</v>
      </c>
      <c r="F58" s="128">
        <v>837.0</v>
      </c>
      <c r="G58" s="128">
        <v>846.0</v>
      </c>
      <c r="H58" s="16"/>
      <c r="I58" s="16" t="s">
        <v>17059</v>
      </c>
      <c r="J58" s="30" t="s">
        <v>27684</v>
      </c>
      <c r="K58" s="30" t="s">
        <v>28792</v>
      </c>
      <c r="L58" s="30" t="s">
        <v>178</v>
      </c>
      <c r="M58" s="30" t="s">
        <v>178</v>
      </c>
      <c r="N58" s="30" t="s">
        <v>28792</v>
      </c>
      <c r="O58" s="130" t="s">
        <v>27688</v>
      </c>
      <c r="P58" s="140" t="s">
        <v>27689</v>
      </c>
      <c r="Q58" s="128">
        <v>7192664.0</v>
      </c>
      <c r="R58" s="16"/>
      <c r="S58" s="141" t="s">
        <v>28793</v>
      </c>
      <c r="T58" s="30"/>
      <c r="U58" s="30"/>
      <c r="V58" s="30"/>
      <c r="W58" s="30"/>
      <c r="X58" s="30"/>
      <c r="Y58" s="30"/>
      <c r="Z58" s="30"/>
      <c r="AA58" s="30"/>
      <c r="AB58" s="30"/>
      <c r="AC58" s="30"/>
    </row>
    <row r="59" ht="15.75" customHeight="1">
      <c r="A59" s="30" t="s">
        <v>4153</v>
      </c>
      <c r="B59" s="128">
        <v>2015.0</v>
      </c>
      <c r="C59" s="30" t="s">
        <v>27881</v>
      </c>
      <c r="D59" s="30" t="s">
        <v>27882</v>
      </c>
      <c r="E59" s="139" t="s">
        <v>27883</v>
      </c>
      <c r="F59" s="128">
        <v>787.0</v>
      </c>
      <c r="G59" s="128">
        <v>796.0</v>
      </c>
      <c r="H59" s="16"/>
      <c r="I59" s="16" t="s">
        <v>17059</v>
      </c>
      <c r="J59" s="30" t="s">
        <v>27884</v>
      </c>
      <c r="K59" s="30" t="s">
        <v>28799</v>
      </c>
      <c r="L59" s="30" t="s">
        <v>494</v>
      </c>
      <c r="M59" s="30" t="s">
        <v>494</v>
      </c>
      <c r="N59" s="30" t="s">
        <v>28800</v>
      </c>
      <c r="O59" s="130" t="s">
        <v>27887</v>
      </c>
      <c r="P59" s="140" t="s">
        <v>27888</v>
      </c>
      <c r="Q59" s="128">
        <v>7194852.0</v>
      </c>
      <c r="R59" s="16"/>
      <c r="S59" s="141" t="s">
        <v>28803</v>
      </c>
      <c r="T59" s="30"/>
      <c r="U59" s="30"/>
      <c r="V59" s="30"/>
      <c r="W59" s="30"/>
      <c r="X59" s="30"/>
      <c r="Y59" s="30"/>
      <c r="Z59" s="30"/>
      <c r="AA59" s="30"/>
      <c r="AB59" s="30"/>
      <c r="AC59" s="30"/>
    </row>
    <row r="60" ht="15.75" customHeight="1">
      <c r="A60" s="30" t="s">
        <v>4153</v>
      </c>
      <c r="B60" s="128">
        <v>2015.0</v>
      </c>
      <c r="C60" s="30" t="s">
        <v>27740</v>
      </c>
      <c r="D60" s="30" t="s">
        <v>27741</v>
      </c>
      <c r="E60" s="139" t="s">
        <v>27742</v>
      </c>
      <c r="F60" s="128">
        <v>926.0</v>
      </c>
      <c r="G60" s="128">
        <v>934.0</v>
      </c>
      <c r="H60" s="16"/>
      <c r="I60" s="16" t="s">
        <v>17059</v>
      </c>
      <c r="J60" s="30" t="s">
        <v>27743</v>
      </c>
      <c r="K60" s="30" t="s">
        <v>28805</v>
      </c>
      <c r="L60" s="30" t="s">
        <v>28806</v>
      </c>
      <c r="M60" s="30" t="s">
        <v>178</v>
      </c>
      <c r="N60" s="30" t="s">
        <v>28805</v>
      </c>
      <c r="O60" s="130"/>
      <c r="P60" s="140" t="s">
        <v>27746</v>
      </c>
      <c r="Q60" s="128">
        <v>7194846.0</v>
      </c>
      <c r="R60" s="16"/>
      <c r="S60" s="16"/>
      <c r="T60" s="30"/>
      <c r="U60" s="30"/>
      <c r="V60" s="30"/>
      <c r="W60" s="30"/>
      <c r="X60" s="30"/>
      <c r="Y60" s="30"/>
      <c r="Z60" s="30"/>
      <c r="AA60" s="30"/>
      <c r="AB60" s="30"/>
      <c r="AC60" s="30"/>
    </row>
    <row r="61" ht="15.75" customHeight="1">
      <c r="A61" s="30" t="s">
        <v>4153</v>
      </c>
      <c r="B61" s="128">
        <v>2015.0</v>
      </c>
      <c r="C61" s="16" t="s">
        <v>27347</v>
      </c>
      <c r="D61" s="130" t="s">
        <v>27348</v>
      </c>
      <c r="E61" s="145" t="s">
        <v>27349</v>
      </c>
      <c r="F61" s="132">
        <v>41.0</v>
      </c>
      <c r="G61" s="132">
        <v>48.0</v>
      </c>
      <c r="H61" s="16"/>
      <c r="I61" s="16" t="s">
        <v>28</v>
      </c>
      <c r="J61" s="130" t="s">
        <v>27352</v>
      </c>
      <c r="K61" s="130" t="s">
        <v>28815</v>
      </c>
      <c r="L61" s="130" t="s">
        <v>28816</v>
      </c>
      <c r="M61" s="16"/>
      <c r="N61" s="130" t="s">
        <v>28817</v>
      </c>
      <c r="O61" s="130" t="s">
        <v>27356</v>
      </c>
      <c r="P61" s="140" t="s">
        <v>27357</v>
      </c>
      <c r="Q61" s="132">
        <v>7429490.0</v>
      </c>
      <c r="R61" s="16"/>
      <c r="S61" s="141" t="s">
        <v>28818</v>
      </c>
      <c r="T61" s="30"/>
      <c r="U61" s="30"/>
      <c r="V61" s="30"/>
      <c r="W61" s="30"/>
      <c r="X61" s="30"/>
      <c r="Y61" s="30"/>
      <c r="Z61" s="30"/>
      <c r="AA61" s="30"/>
      <c r="AB61" s="30"/>
      <c r="AC61" s="30"/>
    </row>
    <row r="62" ht="15.75" customHeight="1">
      <c r="A62" s="30" t="s">
        <v>4153</v>
      </c>
      <c r="B62" s="128">
        <v>2015.0</v>
      </c>
      <c r="C62" s="30" t="s">
        <v>27482</v>
      </c>
      <c r="D62" s="30" t="s">
        <v>27483</v>
      </c>
      <c r="E62" s="139" t="s">
        <v>27484</v>
      </c>
      <c r="F62" s="128">
        <v>827.0</v>
      </c>
      <c r="G62" s="128">
        <v>836.0</v>
      </c>
      <c r="H62" s="16"/>
      <c r="I62" s="16" t="s">
        <v>17059</v>
      </c>
      <c r="J62" s="30" t="s">
        <v>27485</v>
      </c>
      <c r="K62" s="30" t="s">
        <v>28822</v>
      </c>
      <c r="L62" s="30" t="s">
        <v>28824</v>
      </c>
      <c r="M62" s="30" t="s">
        <v>880</v>
      </c>
      <c r="N62" s="30" t="s">
        <v>28822</v>
      </c>
      <c r="O62" s="130" t="s">
        <v>27489</v>
      </c>
      <c r="P62" s="140" t="s">
        <v>27490</v>
      </c>
      <c r="Q62" s="128">
        <v>7192679.0</v>
      </c>
      <c r="R62" s="16"/>
      <c r="S62" s="141" t="s">
        <v>28826</v>
      </c>
      <c r="T62" s="30"/>
      <c r="U62" s="30"/>
      <c r="V62" s="30"/>
      <c r="W62" s="30"/>
      <c r="X62" s="30"/>
      <c r="Y62" s="30"/>
      <c r="Z62" s="30"/>
      <c r="AA62" s="30"/>
      <c r="AB62" s="30"/>
      <c r="AC62" s="30"/>
    </row>
    <row r="63" ht="15.75" customHeight="1">
      <c r="A63" s="30" t="s">
        <v>4153</v>
      </c>
      <c r="B63" s="128">
        <v>2015.0</v>
      </c>
      <c r="C63" s="16" t="s">
        <v>27358</v>
      </c>
      <c r="D63" s="130" t="s">
        <v>27359</v>
      </c>
      <c r="E63" s="145" t="s">
        <v>27360</v>
      </c>
      <c r="F63" s="132">
        <v>49.0</v>
      </c>
      <c r="G63" s="132">
        <v>56.0</v>
      </c>
      <c r="H63" s="16"/>
      <c r="I63" s="16" t="s">
        <v>28</v>
      </c>
      <c r="J63" s="130" t="s">
        <v>27361</v>
      </c>
      <c r="K63" s="130" t="s">
        <v>28830</v>
      </c>
      <c r="L63" s="130" t="s">
        <v>28832</v>
      </c>
      <c r="M63" s="16"/>
      <c r="N63" s="130" t="s">
        <v>28834</v>
      </c>
      <c r="O63" s="130" t="s">
        <v>27364</v>
      </c>
      <c r="P63" s="140" t="s">
        <v>27365</v>
      </c>
      <c r="Q63" s="132">
        <v>7429491.0</v>
      </c>
      <c r="R63" s="16"/>
      <c r="S63" s="141" t="s">
        <v>28837</v>
      </c>
      <c r="T63" s="30"/>
      <c r="U63" s="30"/>
      <c r="V63" s="30"/>
      <c r="W63" s="30"/>
      <c r="X63" s="30"/>
      <c r="Y63" s="30"/>
      <c r="Z63" s="30"/>
      <c r="AA63" s="30"/>
      <c r="AB63" s="30"/>
      <c r="AC63" s="30"/>
    </row>
    <row r="64" ht="15.75" customHeight="1">
      <c r="A64" s="30" t="s">
        <v>4153</v>
      </c>
      <c r="B64" s="128">
        <v>2015.0</v>
      </c>
      <c r="C64" s="30" t="s">
        <v>27871</v>
      </c>
      <c r="D64" s="30" t="s">
        <v>27872</v>
      </c>
      <c r="E64" s="139" t="s">
        <v>27873</v>
      </c>
      <c r="F64" s="128">
        <v>1005.0</v>
      </c>
      <c r="G64" s="128">
        <v>1014.0</v>
      </c>
      <c r="H64" s="16"/>
      <c r="I64" s="16" t="s">
        <v>17059</v>
      </c>
      <c r="J64" s="30" t="s">
        <v>27874</v>
      </c>
      <c r="K64" s="30" t="s">
        <v>28843</v>
      </c>
      <c r="L64" s="30" t="s">
        <v>860</v>
      </c>
      <c r="M64" s="30" t="s">
        <v>860</v>
      </c>
      <c r="N64" s="30" t="s">
        <v>28843</v>
      </c>
      <c r="O64" s="130" t="s">
        <v>27878</v>
      </c>
      <c r="P64" s="140" t="s">
        <v>27879</v>
      </c>
      <c r="Q64" s="128">
        <v>7194851.0</v>
      </c>
      <c r="R64" s="16"/>
      <c r="S64" s="141" t="s">
        <v>28847</v>
      </c>
      <c r="T64" s="30"/>
      <c r="U64" s="30"/>
      <c r="V64" s="30"/>
      <c r="W64" s="30"/>
      <c r="X64" s="30"/>
      <c r="Y64" s="30"/>
      <c r="Z64" s="30"/>
      <c r="AA64" s="30"/>
      <c r="AB64" s="30"/>
      <c r="AC64" s="30"/>
    </row>
    <row r="65" ht="15.75" customHeight="1">
      <c r="A65" s="30" t="s">
        <v>4153</v>
      </c>
      <c r="B65" s="128">
        <v>2015.0</v>
      </c>
      <c r="C65" s="30" t="s">
        <v>27670</v>
      </c>
      <c r="D65" s="30" t="s">
        <v>27671</v>
      </c>
      <c r="E65" s="139" t="s">
        <v>27672</v>
      </c>
      <c r="F65" s="128">
        <v>797.0</v>
      </c>
      <c r="G65" s="128">
        <v>806.0</v>
      </c>
      <c r="H65" s="16"/>
      <c r="I65" s="16" t="s">
        <v>17059</v>
      </c>
      <c r="J65" s="30" t="s">
        <v>27675</v>
      </c>
      <c r="K65" s="30" t="s">
        <v>28852</v>
      </c>
      <c r="L65" s="30" t="s">
        <v>880</v>
      </c>
      <c r="M65" s="30" t="s">
        <v>880</v>
      </c>
      <c r="N65" s="30" t="s">
        <v>28852</v>
      </c>
      <c r="O65" s="130" t="s">
        <v>27679</v>
      </c>
      <c r="P65" s="140" t="s">
        <v>27680</v>
      </c>
      <c r="Q65" s="128">
        <v>7192722.0</v>
      </c>
      <c r="R65" s="16"/>
      <c r="S65" s="141" t="s">
        <v>28853</v>
      </c>
      <c r="T65" s="30"/>
      <c r="U65" s="30"/>
      <c r="V65" s="30"/>
      <c r="W65" s="30"/>
      <c r="X65" s="30"/>
      <c r="Y65" s="30"/>
      <c r="Z65" s="30"/>
      <c r="AA65" s="30"/>
      <c r="AB65" s="30"/>
      <c r="AC65" s="30"/>
    </row>
    <row r="66" ht="15.75" customHeight="1">
      <c r="A66" s="30" t="s">
        <v>4153</v>
      </c>
      <c r="B66" s="128">
        <v>2015.0</v>
      </c>
      <c r="C66" s="130" t="s">
        <v>27477</v>
      </c>
      <c r="D66" s="130" t="s">
        <v>27478</v>
      </c>
      <c r="E66" s="145" t="s">
        <v>27479</v>
      </c>
      <c r="F66" s="132">
        <v>165.0</v>
      </c>
      <c r="G66" s="132">
        <v>166.0</v>
      </c>
      <c r="H66" s="16"/>
      <c r="I66" s="16" t="s">
        <v>21</v>
      </c>
      <c r="J66" s="130" t="s">
        <v>27480</v>
      </c>
      <c r="K66" s="130" t="s">
        <v>28862</v>
      </c>
      <c r="L66" s="130" t="s">
        <v>28584</v>
      </c>
      <c r="M66" s="16"/>
      <c r="N66" s="130" t="s">
        <v>28863</v>
      </c>
      <c r="O66" s="130"/>
      <c r="P66" s="16"/>
      <c r="Q66" s="132">
        <v>7429515.0</v>
      </c>
      <c r="R66" s="16"/>
      <c r="S66" s="16"/>
      <c r="T66" s="30"/>
      <c r="U66" s="30"/>
      <c r="V66" s="30"/>
      <c r="W66" s="30"/>
      <c r="X66" s="30"/>
      <c r="Y66" s="30"/>
      <c r="Z66" s="30"/>
      <c r="AA66" s="30"/>
      <c r="AB66" s="30"/>
      <c r="AC66" s="30"/>
    </row>
    <row r="67" ht="15.75" customHeight="1">
      <c r="A67" s="30" t="s">
        <v>4153</v>
      </c>
      <c r="B67" s="128">
        <v>2015.0</v>
      </c>
      <c r="C67" s="30" t="s">
        <v>27606</v>
      </c>
      <c r="D67" s="30" t="s">
        <v>27607</v>
      </c>
      <c r="E67" s="139" t="s">
        <v>27608</v>
      </c>
      <c r="F67" s="128">
        <v>857.0</v>
      </c>
      <c r="G67" s="128">
        <v>866.0</v>
      </c>
      <c r="H67" s="16"/>
      <c r="I67" s="16" t="s">
        <v>17059</v>
      </c>
      <c r="J67" s="30" t="s">
        <v>27609</v>
      </c>
      <c r="K67" s="30" t="s">
        <v>28864</v>
      </c>
      <c r="L67" s="30" t="s">
        <v>28865</v>
      </c>
      <c r="M67" s="30" t="s">
        <v>860</v>
      </c>
      <c r="N67" s="30" t="s">
        <v>28864</v>
      </c>
      <c r="O67" s="130" t="s">
        <v>27613</v>
      </c>
      <c r="P67" s="140" t="s">
        <v>27614</v>
      </c>
      <c r="Q67" s="128">
        <v>7192723.0</v>
      </c>
      <c r="R67" s="16"/>
      <c r="S67" s="141" t="s">
        <v>28866</v>
      </c>
      <c r="T67" s="30"/>
      <c r="U67" s="30"/>
      <c r="V67" s="30"/>
      <c r="W67" s="30"/>
      <c r="X67" s="30"/>
      <c r="Y67" s="30"/>
      <c r="Z67" s="30"/>
      <c r="AA67" s="30"/>
      <c r="AB67" s="30"/>
      <c r="AC67" s="30"/>
    </row>
    <row r="68" ht="15.75" customHeight="1">
      <c r="A68" s="30" t="s">
        <v>4153</v>
      </c>
      <c r="B68" s="128">
        <v>2015.0</v>
      </c>
      <c r="C68" s="30" t="s">
        <v>27652</v>
      </c>
      <c r="D68" s="30" t="s">
        <v>27653</v>
      </c>
      <c r="E68" s="139" t="s">
        <v>27654</v>
      </c>
      <c r="F68" s="128">
        <v>945.0</v>
      </c>
      <c r="G68" s="128">
        <v>954.0</v>
      </c>
      <c r="H68" s="16"/>
      <c r="I68" s="16" t="s">
        <v>17059</v>
      </c>
      <c r="J68" s="16" t="s">
        <v>28874</v>
      </c>
      <c r="K68" s="30" t="s">
        <v>28876</v>
      </c>
      <c r="L68" s="30" t="s">
        <v>28877</v>
      </c>
      <c r="M68" s="30" t="s">
        <v>1253</v>
      </c>
      <c r="N68" s="30" t="s">
        <v>28876</v>
      </c>
      <c r="O68" s="130" t="s">
        <v>27659</v>
      </c>
      <c r="P68" s="140" t="s">
        <v>27660</v>
      </c>
      <c r="Q68" s="128">
        <v>7192700.0</v>
      </c>
      <c r="R68" s="16"/>
      <c r="S68" s="141" t="s">
        <v>28878</v>
      </c>
      <c r="T68" s="30"/>
      <c r="U68" s="30"/>
      <c r="V68" s="30"/>
      <c r="W68" s="30"/>
      <c r="X68" s="30"/>
      <c r="Y68" s="30"/>
      <c r="Z68" s="30"/>
      <c r="AA68" s="30"/>
      <c r="AB68" s="30"/>
      <c r="AC68" s="30"/>
    </row>
    <row r="69" ht="15.75" customHeight="1">
      <c r="A69" s="30" t="s">
        <v>4153</v>
      </c>
      <c r="B69" s="128">
        <v>2015.0</v>
      </c>
      <c r="C69" s="30" t="s">
        <v>27644</v>
      </c>
      <c r="D69" s="30" t="s">
        <v>27645</v>
      </c>
      <c r="E69" s="139" t="s">
        <v>27646</v>
      </c>
      <c r="F69" s="128">
        <v>916.0</v>
      </c>
      <c r="G69" s="128">
        <v>925.0</v>
      </c>
      <c r="H69" s="16"/>
      <c r="I69" s="16" t="s">
        <v>17059</v>
      </c>
      <c r="J69" s="30" t="s">
        <v>27647</v>
      </c>
      <c r="K69" s="30" t="s">
        <v>28880</v>
      </c>
      <c r="L69" s="30" t="s">
        <v>5349</v>
      </c>
      <c r="M69" s="30" t="s">
        <v>5349</v>
      </c>
      <c r="N69" s="30" t="s">
        <v>28880</v>
      </c>
      <c r="O69" s="130" t="s">
        <v>27650</v>
      </c>
      <c r="P69" s="140" t="s">
        <v>27651</v>
      </c>
      <c r="Q69" s="128">
        <v>7192674.0</v>
      </c>
      <c r="R69" s="16"/>
      <c r="S69" s="141" t="s">
        <v>28884</v>
      </c>
      <c r="T69" s="30"/>
      <c r="U69" s="30"/>
      <c r="V69" s="30"/>
      <c r="W69" s="30"/>
      <c r="X69" s="30"/>
      <c r="Y69" s="30"/>
      <c r="Z69" s="30"/>
      <c r="AA69" s="30"/>
      <c r="AB69" s="30"/>
      <c r="AC69" s="30"/>
    </row>
    <row r="70" ht="15.75" customHeight="1">
      <c r="A70" s="30" t="s">
        <v>4153</v>
      </c>
      <c r="B70" s="128">
        <v>2015.0</v>
      </c>
      <c r="C70" s="30" t="s">
        <v>27588</v>
      </c>
      <c r="D70" s="30" t="s">
        <v>27589</v>
      </c>
      <c r="E70" s="139" t="s">
        <v>27590</v>
      </c>
      <c r="F70" s="128">
        <v>896.0</v>
      </c>
      <c r="G70" s="128">
        <v>905.0</v>
      </c>
      <c r="H70" s="16"/>
      <c r="I70" s="16" t="s">
        <v>17059</v>
      </c>
      <c r="J70" s="30" t="s">
        <v>27591</v>
      </c>
      <c r="K70" s="30" t="s">
        <v>28889</v>
      </c>
      <c r="L70" s="30" t="s">
        <v>22087</v>
      </c>
      <c r="M70" s="30" t="s">
        <v>494</v>
      </c>
      <c r="N70" s="30" t="s">
        <v>28889</v>
      </c>
      <c r="O70" s="130" t="s">
        <v>27594</v>
      </c>
      <c r="P70" s="140" t="s">
        <v>27595</v>
      </c>
      <c r="Q70" s="128">
        <v>7192682.0</v>
      </c>
      <c r="R70" s="16"/>
      <c r="S70" s="141" t="s">
        <v>28890</v>
      </c>
      <c r="T70" s="30"/>
      <c r="U70" s="30"/>
      <c r="V70" s="30"/>
      <c r="W70" s="30"/>
      <c r="X70" s="30"/>
      <c r="Y70" s="30"/>
      <c r="Z70" s="30"/>
      <c r="AA70" s="30"/>
      <c r="AB70" s="30"/>
      <c r="AC70" s="30"/>
    </row>
    <row r="71" ht="15.75" customHeight="1">
      <c r="A71" s="30" t="s">
        <v>4153</v>
      </c>
      <c r="B71" s="128">
        <v>2015.0</v>
      </c>
      <c r="C71" s="130" t="s">
        <v>27469</v>
      </c>
      <c r="D71" s="130" t="s">
        <v>27470</v>
      </c>
      <c r="E71" s="145" t="s">
        <v>27471</v>
      </c>
      <c r="F71" s="132">
        <v>163.0</v>
      </c>
      <c r="G71" s="132">
        <v>164.0</v>
      </c>
      <c r="H71" s="16"/>
      <c r="I71" s="16" t="s">
        <v>21</v>
      </c>
      <c r="J71" s="130" t="s">
        <v>27473</v>
      </c>
      <c r="K71" s="130" t="s">
        <v>28897</v>
      </c>
      <c r="L71" s="130" t="s">
        <v>28898</v>
      </c>
      <c r="M71" s="16"/>
      <c r="N71" s="130" t="s">
        <v>28899</v>
      </c>
      <c r="O71" s="130"/>
      <c r="P71" s="16"/>
      <c r="Q71" s="132">
        <v>7429514.0</v>
      </c>
      <c r="R71" s="16"/>
      <c r="S71" s="16"/>
      <c r="T71" s="30"/>
      <c r="U71" s="30"/>
      <c r="V71" s="30"/>
      <c r="W71" s="30"/>
      <c r="X71" s="30"/>
      <c r="Y71" s="30"/>
      <c r="Z71" s="30"/>
      <c r="AA71" s="30"/>
      <c r="AB71" s="30"/>
      <c r="AC71" s="30"/>
    </row>
    <row r="72" ht="15.75" customHeight="1">
      <c r="A72" s="30" t="s">
        <v>4153</v>
      </c>
      <c r="B72" s="128">
        <v>2015.0</v>
      </c>
      <c r="C72" s="30" t="s">
        <v>27721</v>
      </c>
      <c r="D72" s="30" t="s">
        <v>27722</v>
      </c>
      <c r="E72" s="139" t="s">
        <v>27723</v>
      </c>
      <c r="F72" s="128">
        <v>777.0</v>
      </c>
      <c r="G72" s="128">
        <v>786.0</v>
      </c>
      <c r="H72" s="16"/>
      <c r="I72" s="16" t="s">
        <v>17059</v>
      </c>
      <c r="J72" s="30" t="s">
        <v>27725</v>
      </c>
      <c r="K72" s="30" t="s">
        <v>28903</v>
      </c>
      <c r="L72" s="30" t="s">
        <v>28904</v>
      </c>
      <c r="M72" s="30" t="s">
        <v>494</v>
      </c>
      <c r="N72" s="30" t="s">
        <v>28903</v>
      </c>
      <c r="O72" s="130" t="s">
        <v>27728</v>
      </c>
      <c r="P72" s="140" t="s">
        <v>27729</v>
      </c>
      <c r="Q72" s="128">
        <v>7192629.0</v>
      </c>
      <c r="R72" s="16"/>
      <c r="S72" s="141" t="s">
        <v>28905</v>
      </c>
      <c r="T72" s="30"/>
      <c r="U72" s="30"/>
      <c r="V72" s="30"/>
      <c r="W72" s="30"/>
      <c r="X72" s="30"/>
      <c r="Y72" s="30"/>
      <c r="Z72" s="30"/>
      <c r="AA72" s="30"/>
      <c r="AB72" s="30"/>
      <c r="AC72" s="30"/>
    </row>
    <row r="73" ht="15.75" customHeight="1">
      <c r="A73" s="30" t="s">
        <v>4153</v>
      </c>
      <c r="B73" s="128">
        <v>2015.0</v>
      </c>
      <c r="C73" s="30" t="s">
        <v>27596</v>
      </c>
      <c r="D73" s="30" t="s">
        <v>27597</v>
      </c>
      <c r="E73" s="139" t="s">
        <v>27598</v>
      </c>
      <c r="F73" s="128">
        <v>1025.0</v>
      </c>
      <c r="G73" s="128">
        <v>1034.0</v>
      </c>
      <c r="H73" s="16"/>
      <c r="I73" s="16" t="s">
        <v>17059</v>
      </c>
      <c r="J73" s="30" t="s">
        <v>27601</v>
      </c>
      <c r="K73" s="30" t="s">
        <v>28914</v>
      </c>
      <c r="L73" s="30" t="s">
        <v>880</v>
      </c>
      <c r="M73" s="30" t="s">
        <v>880</v>
      </c>
      <c r="N73" s="30" t="s">
        <v>28915</v>
      </c>
      <c r="O73" s="130" t="s">
        <v>24141</v>
      </c>
      <c r="P73" s="140" t="s">
        <v>27605</v>
      </c>
      <c r="Q73" s="128">
        <v>7192686.0</v>
      </c>
      <c r="R73" s="16"/>
      <c r="S73" s="144">
        <v>6327233.0</v>
      </c>
      <c r="T73" s="30"/>
      <c r="U73" s="30"/>
      <c r="V73" s="30"/>
      <c r="W73" s="30"/>
      <c r="X73" s="30"/>
      <c r="Y73" s="30"/>
      <c r="Z73" s="30"/>
      <c r="AA73" s="30"/>
      <c r="AB73" s="30"/>
      <c r="AC73" s="30"/>
    </row>
    <row r="74" ht="15.75" customHeight="1">
      <c r="A74" s="30" t="s">
        <v>4153</v>
      </c>
      <c r="B74" s="128">
        <v>2015.0</v>
      </c>
      <c r="C74" s="30" t="s">
        <v>27861</v>
      </c>
      <c r="D74" s="30" t="s">
        <v>27862</v>
      </c>
      <c r="E74" s="139" t="s">
        <v>27863</v>
      </c>
      <c r="F74" s="128">
        <v>965.0</v>
      </c>
      <c r="G74" s="128">
        <v>974.0</v>
      </c>
      <c r="H74" s="16"/>
      <c r="I74" s="16" t="s">
        <v>17059</v>
      </c>
      <c r="J74" s="30" t="s">
        <v>27866</v>
      </c>
      <c r="K74" s="30" t="s">
        <v>28918</v>
      </c>
      <c r="L74" s="30" t="s">
        <v>28920</v>
      </c>
      <c r="M74" s="30" t="s">
        <v>880</v>
      </c>
      <c r="N74" s="30" t="s">
        <v>28918</v>
      </c>
      <c r="O74" s="130" t="s">
        <v>27869</v>
      </c>
      <c r="P74" s="140" t="s">
        <v>27870</v>
      </c>
      <c r="Q74" s="128">
        <v>7194853.0</v>
      </c>
      <c r="R74" s="16"/>
      <c r="S74" s="141" t="s">
        <v>28923</v>
      </c>
      <c r="T74" s="30"/>
      <c r="U74" s="30"/>
      <c r="V74" s="30"/>
      <c r="W74" s="30"/>
      <c r="X74" s="30"/>
      <c r="Y74" s="30"/>
      <c r="Z74" s="30"/>
      <c r="AA74" s="30"/>
      <c r="AB74" s="30"/>
      <c r="AC74" s="30"/>
    </row>
    <row r="75" ht="15.75" customHeight="1">
      <c r="A75" s="30" t="s">
        <v>4153</v>
      </c>
      <c r="B75" s="128">
        <v>2015.0</v>
      </c>
      <c r="C75" s="30" t="s">
        <v>27570</v>
      </c>
      <c r="D75" s="30" t="s">
        <v>27571</v>
      </c>
      <c r="E75" s="139" t="s">
        <v>27572</v>
      </c>
      <c r="F75" s="128">
        <v>807.0</v>
      </c>
      <c r="G75" s="128">
        <v>816.0</v>
      </c>
      <c r="H75" s="16"/>
      <c r="I75" s="16" t="s">
        <v>17059</v>
      </c>
      <c r="J75" s="30" t="s">
        <v>27573</v>
      </c>
      <c r="K75" s="30" t="s">
        <v>28927</v>
      </c>
      <c r="L75" s="30" t="s">
        <v>28928</v>
      </c>
      <c r="M75" s="30" t="s">
        <v>494</v>
      </c>
      <c r="N75" s="30" t="s">
        <v>28927</v>
      </c>
      <c r="O75" s="130" t="s">
        <v>27576</v>
      </c>
      <c r="P75" s="140" t="s">
        <v>27577</v>
      </c>
      <c r="Q75" s="128">
        <v>7192721.0</v>
      </c>
      <c r="R75" s="16"/>
      <c r="S75" s="141" t="s">
        <v>28929</v>
      </c>
      <c r="T75" s="30"/>
      <c r="U75" s="30"/>
      <c r="V75" s="30"/>
      <c r="W75" s="30"/>
      <c r="X75" s="30"/>
      <c r="Y75" s="30"/>
      <c r="Z75" s="30"/>
      <c r="AA75" s="30"/>
      <c r="AB75" s="30"/>
      <c r="AC75" s="30"/>
    </row>
    <row r="76" ht="15.75" customHeight="1">
      <c r="A76" s="30" t="s">
        <v>4153</v>
      </c>
      <c r="B76" s="128">
        <v>2015.0</v>
      </c>
      <c r="C76" s="130" t="s">
        <v>27432</v>
      </c>
      <c r="D76" s="130" t="s">
        <v>27433</v>
      </c>
      <c r="E76" s="145" t="s">
        <v>27434</v>
      </c>
      <c r="F76" s="132">
        <v>151.0</v>
      </c>
      <c r="G76" s="132">
        <v>152.0</v>
      </c>
      <c r="H76" s="16"/>
      <c r="I76" s="16" t="s">
        <v>21</v>
      </c>
      <c r="J76" s="130" t="s">
        <v>27436</v>
      </c>
      <c r="K76" s="130" t="s">
        <v>28938</v>
      </c>
      <c r="L76" s="130" t="s">
        <v>28939</v>
      </c>
      <c r="M76" s="16"/>
      <c r="N76" s="130" t="s">
        <v>28940</v>
      </c>
      <c r="O76" s="130"/>
      <c r="P76" s="16"/>
      <c r="Q76" s="132">
        <v>7429508.0</v>
      </c>
      <c r="R76" s="16"/>
      <c r="S76" s="16"/>
      <c r="T76" s="30"/>
      <c r="U76" s="30"/>
      <c r="V76" s="30"/>
      <c r="W76" s="30"/>
      <c r="X76" s="30"/>
      <c r="Y76" s="30"/>
      <c r="Z76" s="30"/>
      <c r="AA76" s="30"/>
      <c r="AB76" s="30"/>
      <c r="AC76" s="30"/>
    </row>
    <row r="77" ht="15.75" customHeight="1">
      <c r="A77" s="30" t="s">
        <v>4153</v>
      </c>
      <c r="B77" s="128">
        <v>2015.0</v>
      </c>
      <c r="C77" s="30" t="s">
        <v>27691</v>
      </c>
      <c r="D77" s="30" t="s">
        <v>27692</v>
      </c>
      <c r="E77" s="139" t="s">
        <v>27693</v>
      </c>
      <c r="F77" s="128">
        <v>738.0</v>
      </c>
      <c r="G77" s="128">
        <v>746.0</v>
      </c>
      <c r="H77" s="16"/>
      <c r="I77" s="16" t="s">
        <v>17059</v>
      </c>
      <c r="J77" s="30" t="s">
        <v>27695</v>
      </c>
      <c r="K77" s="30" t="s">
        <v>28949</v>
      </c>
      <c r="L77" s="30" t="s">
        <v>1253</v>
      </c>
      <c r="M77" s="30" t="s">
        <v>1253</v>
      </c>
      <c r="N77" s="30" t="s">
        <v>28950</v>
      </c>
      <c r="O77" s="130" t="s">
        <v>27700</v>
      </c>
      <c r="P77" s="140" t="s">
        <v>27701</v>
      </c>
      <c r="Q77" s="128">
        <v>7192653.0</v>
      </c>
      <c r="R77" s="16"/>
      <c r="S77" s="141" t="s">
        <v>28951</v>
      </c>
      <c r="T77" s="30"/>
      <c r="U77" s="30"/>
      <c r="V77" s="30"/>
      <c r="W77" s="30"/>
      <c r="X77" s="30"/>
      <c r="Y77" s="30"/>
      <c r="Z77" s="30"/>
      <c r="AA77" s="30"/>
      <c r="AB77" s="30"/>
      <c r="AC77" s="30"/>
    </row>
    <row r="78" ht="15.75" customHeight="1">
      <c r="A78" s="30" t="s">
        <v>4153</v>
      </c>
      <c r="B78" s="128">
        <v>2015.0</v>
      </c>
      <c r="C78" s="30" t="s">
        <v>27730</v>
      </c>
      <c r="D78" s="30" t="s">
        <v>27731</v>
      </c>
      <c r="E78" s="139" t="s">
        <v>27732</v>
      </c>
      <c r="F78" s="128">
        <v>728.0</v>
      </c>
      <c r="G78" s="128">
        <v>737.0</v>
      </c>
      <c r="H78" s="16"/>
      <c r="I78" s="16" t="s">
        <v>17059</v>
      </c>
      <c r="J78" s="30" t="s">
        <v>27733</v>
      </c>
      <c r="K78" s="30" t="s">
        <v>28961</v>
      </c>
      <c r="L78" s="30" t="s">
        <v>28962</v>
      </c>
      <c r="M78" s="30" t="s">
        <v>880</v>
      </c>
      <c r="N78" s="30" t="s">
        <v>28961</v>
      </c>
      <c r="O78" s="130" t="s">
        <v>27738</v>
      </c>
      <c r="P78" s="140" t="s">
        <v>27739</v>
      </c>
      <c r="Q78" s="128">
        <v>7194839.0</v>
      </c>
      <c r="R78" s="16"/>
      <c r="S78" s="141" t="s">
        <v>28963</v>
      </c>
      <c r="T78" s="30"/>
      <c r="U78" s="30"/>
      <c r="V78" s="30"/>
      <c r="W78" s="30"/>
      <c r="X78" s="30"/>
      <c r="Y78" s="30"/>
      <c r="Z78" s="30"/>
      <c r="AA78" s="30"/>
      <c r="AB78" s="30"/>
      <c r="AC78" s="30"/>
    </row>
    <row r="79" ht="15.75" customHeight="1">
      <c r="A79" s="30" t="s">
        <v>4153</v>
      </c>
      <c r="B79" s="128">
        <v>2015.0</v>
      </c>
      <c r="C79" s="130" t="s">
        <v>27392</v>
      </c>
      <c r="D79" s="130" t="s">
        <v>27393</v>
      </c>
      <c r="E79" s="145" t="s">
        <v>27394</v>
      </c>
      <c r="F79" s="132">
        <v>141.0</v>
      </c>
      <c r="G79" s="132">
        <v>142.0</v>
      </c>
      <c r="H79" s="16"/>
      <c r="I79" s="16" t="s">
        <v>21</v>
      </c>
      <c r="J79" s="130" t="s">
        <v>27396</v>
      </c>
      <c r="K79" s="130" t="s">
        <v>28968</v>
      </c>
      <c r="L79" s="130" t="s">
        <v>28969</v>
      </c>
      <c r="M79" s="16"/>
      <c r="N79" s="130" t="s">
        <v>28970</v>
      </c>
      <c r="O79" s="130"/>
      <c r="P79" s="16"/>
      <c r="Q79" s="132">
        <v>7429503.0</v>
      </c>
      <c r="R79" s="16"/>
      <c r="S79" s="16"/>
      <c r="T79" s="30"/>
      <c r="U79" s="30"/>
      <c r="V79" s="30"/>
      <c r="W79" s="30"/>
      <c r="X79" s="30"/>
      <c r="Y79" s="30"/>
      <c r="Z79" s="30"/>
      <c r="AA79" s="30"/>
      <c r="AB79" s="30"/>
      <c r="AC79" s="30"/>
    </row>
    <row r="80" ht="15.75" customHeight="1">
      <c r="A80" s="30" t="s">
        <v>4153</v>
      </c>
      <c r="B80" s="128">
        <v>2015.0</v>
      </c>
      <c r="C80" s="130" t="s">
        <v>27457</v>
      </c>
      <c r="D80" s="130" t="s">
        <v>27458</v>
      </c>
      <c r="E80" s="145" t="s">
        <v>27459</v>
      </c>
      <c r="F80" s="132">
        <v>159.0</v>
      </c>
      <c r="G80" s="132">
        <v>160.0</v>
      </c>
      <c r="H80" s="16"/>
      <c r="I80" s="16" t="s">
        <v>21</v>
      </c>
      <c r="J80" s="130" t="s">
        <v>27460</v>
      </c>
      <c r="K80" s="130" t="s">
        <v>28974</v>
      </c>
      <c r="L80" s="130" t="s">
        <v>28975</v>
      </c>
      <c r="M80" s="16"/>
      <c r="N80" s="130" t="s">
        <v>28976</v>
      </c>
      <c r="O80" s="130"/>
      <c r="P80" s="16"/>
      <c r="Q80" s="132">
        <v>7429512.0</v>
      </c>
      <c r="R80" s="16"/>
      <c r="S80" s="16"/>
      <c r="T80" s="30"/>
      <c r="U80" s="30"/>
      <c r="V80" s="30"/>
      <c r="W80" s="30"/>
      <c r="X80" s="30"/>
      <c r="Y80" s="30"/>
      <c r="Z80" s="30"/>
      <c r="AA80" s="30"/>
      <c r="AB80" s="30"/>
      <c r="AC80" s="30"/>
    </row>
    <row r="81" ht="15.75" customHeight="1">
      <c r="A81" s="30" t="s">
        <v>4153</v>
      </c>
      <c r="B81" s="128">
        <v>2015.0</v>
      </c>
      <c r="C81" s="30" t="s">
        <v>27623</v>
      </c>
      <c r="D81" s="30" t="s">
        <v>27624</v>
      </c>
      <c r="E81" s="139" t="s">
        <v>27625</v>
      </c>
      <c r="F81" s="128">
        <v>906.0</v>
      </c>
      <c r="G81" s="128">
        <v>915.0</v>
      </c>
      <c r="H81" s="16"/>
      <c r="I81" s="16" t="s">
        <v>17059</v>
      </c>
      <c r="J81" s="30" t="s">
        <v>27627</v>
      </c>
      <c r="K81" s="30" t="s">
        <v>28986</v>
      </c>
      <c r="L81" s="30" t="s">
        <v>178</v>
      </c>
      <c r="M81" s="30" t="s">
        <v>178</v>
      </c>
      <c r="N81" s="30" t="s">
        <v>28986</v>
      </c>
      <c r="O81" s="130" t="s">
        <v>27632</v>
      </c>
      <c r="P81" s="140" t="s">
        <v>27595</v>
      </c>
      <c r="Q81" s="128">
        <v>7192698.0</v>
      </c>
      <c r="R81" s="16"/>
      <c r="S81" s="141" t="s">
        <v>28987</v>
      </c>
      <c r="T81" s="30"/>
      <c r="U81" s="30"/>
      <c r="V81" s="30"/>
      <c r="W81" s="30"/>
      <c r="X81" s="30"/>
      <c r="Y81" s="30"/>
      <c r="Z81" s="30"/>
      <c r="AA81" s="30"/>
      <c r="AB81" s="30"/>
      <c r="AC81" s="30"/>
    </row>
    <row r="82" ht="15.75" customHeight="1">
      <c r="A82" s="30" t="s">
        <v>4153</v>
      </c>
      <c r="B82" s="128">
        <v>2015.0</v>
      </c>
      <c r="C82" s="130" t="s">
        <v>27407</v>
      </c>
      <c r="D82" s="130" t="s">
        <v>27408</v>
      </c>
      <c r="E82" s="145" t="s">
        <v>27409</v>
      </c>
      <c r="F82" s="132">
        <v>145.0</v>
      </c>
      <c r="G82" s="132">
        <v>146.0</v>
      </c>
      <c r="H82" s="16"/>
      <c r="I82" s="16" t="s">
        <v>21</v>
      </c>
      <c r="J82" s="130" t="s">
        <v>27412</v>
      </c>
      <c r="K82" s="130" t="s">
        <v>28993</v>
      </c>
      <c r="L82" s="130" t="s">
        <v>28994</v>
      </c>
      <c r="M82" s="16"/>
      <c r="N82" s="130" t="s">
        <v>28995</v>
      </c>
      <c r="O82" s="130"/>
      <c r="P82" s="16"/>
      <c r="Q82" s="132">
        <v>7429505.0</v>
      </c>
      <c r="R82" s="16"/>
      <c r="S82" s="16"/>
      <c r="T82" s="30"/>
      <c r="U82" s="30"/>
      <c r="V82" s="30"/>
      <c r="W82" s="30"/>
      <c r="X82" s="30"/>
      <c r="Y82" s="30"/>
      <c r="Z82" s="30"/>
      <c r="AA82" s="30"/>
      <c r="AB82" s="30"/>
      <c r="AC82" s="30"/>
    </row>
    <row r="83" ht="15.75" customHeight="1">
      <c r="A83" s="30" t="s">
        <v>4153</v>
      </c>
      <c r="B83" s="128">
        <v>2015.0</v>
      </c>
      <c r="C83" s="30" t="s">
        <v>27578</v>
      </c>
      <c r="D83" s="30" t="s">
        <v>27579</v>
      </c>
      <c r="E83" s="139" t="s">
        <v>27580</v>
      </c>
      <c r="F83" s="128">
        <v>718.0</v>
      </c>
      <c r="G83" s="128">
        <v>727.0</v>
      </c>
      <c r="H83" s="16"/>
      <c r="I83" s="16" t="s">
        <v>17059</v>
      </c>
      <c r="J83" s="30" t="s">
        <v>27581</v>
      </c>
      <c r="K83" s="30" t="s">
        <v>28999</v>
      </c>
      <c r="L83" s="30" t="s">
        <v>5349</v>
      </c>
      <c r="M83" s="30" t="s">
        <v>5349</v>
      </c>
      <c r="N83" s="30" t="s">
        <v>28999</v>
      </c>
      <c r="O83" s="130" t="s">
        <v>27585</v>
      </c>
      <c r="P83" s="140" t="s">
        <v>27586</v>
      </c>
      <c r="Q83" s="128">
        <v>7192702.0</v>
      </c>
      <c r="R83" s="16"/>
      <c r="S83" s="141" t="s">
        <v>29000</v>
      </c>
      <c r="T83" s="30"/>
      <c r="U83" s="30"/>
      <c r="V83" s="30"/>
      <c r="W83" s="30"/>
      <c r="X83" s="30"/>
      <c r="Y83" s="30"/>
      <c r="Z83" s="30"/>
      <c r="AA83" s="30"/>
      <c r="AB83" s="30"/>
      <c r="AC83" s="30"/>
    </row>
    <row r="84" ht="15.75" customHeight="1">
      <c r="A84" s="30" t="s">
        <v>4153</v>
      </c>
      <c r="B84" s="128">
        <v>2015.0</v>
      </c>
      <c r="C84" s="16" t="s">
        <v>27338</v>
      </c>
      <c r="D84" s="130" t="s">
        <v>27339</v>
      </c>
      <c r="E84" s="145" t="s">
        <v>27340</v>
      </c>
      <c r="F84" s="132">
        <v>33.0</v>
      </c>
      <c r="G84" s="132">
        <v>40.0</v>
      </c>
      <c r="H84" s="16"/>
      <c r="I84" s="16" t="s">
        <v>28</v>
      </c>
      <c r="J84" s="130" t="s">
        <v>27342</v>
      </c>
      <c r="K84" s="130" t="s">
        <v>29010</v>
      </c>
      <c r="L84" s="130" t="s">
        <v>880</v>
      </c>
      <c r="M84" s="16"/>
      <c r="N84" s="130" t="s">
        <v>29011</v>
      </c>
      <c r="O84" s="130" t="s">
        <v>27345</v>
      </c>
      <c r="P84" s="140" t="s">
        <v>27346</v>
      </c>
      <c r="Q84" s="132">
        <v>7429489.0</v>
      </c>
      <c r="R84" s="16"/>
      <c r="S84" s="141" t="s">
        <v>29012</v>
      </c>
      <c r="T84" s="30"/>
      <c r="U84" s="30"/>
      <c r="V84" s="30"/>
      <c r="W84" s="30"/>
      <c r="X84" s="30"/>
      <c r="Y84" s="30"/>
      <c r="Z84" s="30"/>
      <c r="AA84" s="30"/>
      <c r="AB84" s="30"/>
      <c r="AC84" s="30"/>
    </row>
    <row r="85" ht="15.75" customHeight="1">
      <c r="A85" s="30" t="s">
        <v>4153</v>
      </c>
      <c r="B85" s="128">
        <v>2015.0</v>
      </c>
      <c r="C85" s="30" t="s">
        <v>27561</v>
      </c>
      <c r="D85" s="30" t="s">
        <v>27562</v>
      </c>
      <c r="E85" s="139" t="s">
        <v>27563</v>
      </c>
      <c r="F85" s="128">
        <v>995.0</v>
      </c>
      <c r="G85" s="128">
        <v>1004.0</v>
      </c>
      <c r="H85" s="16"/>
      <c r="I85" s="16" t="s">
        <v>17059</v>
      </c>
      <c r="J85" s="30" t="s">
        <v>27564</v>
      </c>
      <c r="K85" s="30" t="s">
        <v>29019</v>
      </c>
      <c r="L85" s="30" t="s">
        <v>29020</v>
      </c>
      <c r="M85" s="30" t="s">
        <v>860</v>
      </c>
      <c r="N85" s="30" t="s">
        <v>29019</v>
      </c>
      <c r="O85" s="130" t="s">
        <v>27568</v>
      </c>
      <c r="P85" s="140" t="s">
        <v>27569</v>
      </c>
      <c r="Q85" s="128">
        <v>7210213.0</v>
      </c>
      <c r="R85" s="16"/>
      <c r="S85" s="141" t="s">
        <v>29024</v>
      </c>
      <c r="T85" s="30"/>
      <c r="U85" s="30"/>
      <c r="V85" s="30"/>
      <c r="W85" s="30"/>
      <c r="X85" s="30"/>
      <c r="Y85" s="30"/>
      <c r="Z85" s="30"/>
      <c r="AA85" s="30"/>
      <c r="AB85" s="30"/>
      <c r="AC85" s="30"/>
    </row>
    <row r="86" ht="15.75" customHeight="1">
      <c r="A86" s="30" t="s">
        <v>4153</v>
      </c>
      <c r="B86" s="128">
        <v>2015.0</v>
      </c>
      <c r="C86" s="30" t="s">
        <v>27526</v>
      </c>
      <c r="D86" s="30" t="s">
        <v>27527</v>
      </c>
      <c r="E86" s="139" t="s">
        <v>27528</v>
      </c>
      <c r="F86" s="128">
        <v>817.0</v>
      </c>
      <c r="G86" s="128">
        <v>826.0</v>
      </c>
      <c r="H86" s="16"/>
      <c r="I86" s="16" t="s">
        <v>17059</v>
      </c>
      <c r="J86" s="30" t="s">
        <v>27529</v>
      </c>
      <c r="K86" s="30" t="s">
        <v>29025</v>
      </c>
      <c r="L86" s="30" t="s">
        <v>494</v>
      </c>
      <c r="M86" s="30" t="s">
        <v>494</v>
      </c>
      <c r="N86" s="30" t="s">
        <v>29025</v>
      </c>
      <c r="O86" s="130" t="s">
        <v>27532</v>
      </c>
      <c r="P86" s="140" t="s">
        <v>27533</v>
      </c>
      <c r="Q86" s="128">
        <v>7192689.0</v>
      </c>
      <c r="R86" s="16"/>
      <c r="S86" s="141" t="s">
        <v>29026</v>
      </c>
      <c r="T86" s="30"/>
      <c r="U86" s="30"/>
      <c r="V86" s="30"/>
      <c r="W86" s="30"/>
      <c r="X86" s="30"/>
      <c r="Y86" s="30"/>
      <c r="Z86" s="30"/>
      <c r="AA86" s="30"/>
      <c r="AB86" s="30"/>
      <c r="AC86" s="30"/>
    </row>
    <row r="87" ht="15.75" customHeight="1">
      <c r="A87" s="30" t="s">
        <v>4153</v>
      </c>
      <c r="B87" s="128">
        <v>2015.0</v>
      </c>
      <c r="C87" s="30" t="s">
        <v>27553</v>
      </c>
      <c r="D87" s="30" t="s">
        <v>27554</v>
      </c>
      <c r="E87" s="139" t="s">
        <v>27555</v>
      </c>
      <c r="F87" s="128">
        <v>767.0</v>
      </c>
      <c r="G87" s="128">
        <v>776.0</v>
      </c>
      <c r="H87" s="16"/>
      <c r="I87" s="16" t="s">
        <v>17059</v>
      </c>
      <c r="J87" s="30" t="s">
        <v>27556</v>
      </c>
      <c r="K87" s="30" t="s">
        <v>29035</v>
      </c>
      <c r="L87" s="30" t="s">
        <v>22133</v>
      </c>
      <c r="M87" s="30" t="s">
        <v>494</v>
      </c>
      <c r="N87" s="30" t="s">
        <v>29035</v>
      </c>
      <c r="O87" s="130" t="s">
        <v>27559</v>
      </c>
      <c r="P87" s="140" t="s">
        <v>27560</v>
      </c>
      <c r="Q87" s="128">
        <v>7192675.0</v>
      </c>
      <c r="R87" s="16"/>
      <c r="S87" s="141" t="s">
        <v>29036</v>
      </c>
      <c r="T87" s="30"/>
      <c r="U87" s="30"/>
      <c r="V87" s="30"/>
      <c r="W87" s="30"/>
      <c r="X87" s="30"/>
      <c r="Y87" s="30"/>
      <c r="Z87" s="30"/>
      <c r="AA87" s="30"/>
      <c r="AB87" s="30"/>
      <c r="AC87" s="30"/>
    </row>
    <row r="88" ht="15.75" customHeight="1">
      <c r="A88" s="30" t="s">
        <v>4153</v>
      </c>
      <c r="B88" s="128">
        <v>2015.0</v>
      </c>
      <c r="C88" s="30" t="s">
        <v>27507</v>
      </c>
      <c r="D88" s="30" t="s">
        <v>27508</v>
      </c>
      <c r="E88" s="139" t="s">
        <v>27509</v>
      </c>
      <c r="F88" s="128">
        <v>935.0</v>
      </c>
      <c r="G88" s="128">
        <v>944.0</v>
      </c>
      <c r="H88" s="16"/>
      <c r="I88" s="16" t="s">
        <v>17059</v>
      </c>
      <c r="J88" s="30" t="s">
        <v>27510</v>
      </c>
      <c r="K88" s="30" t="s">
        <v>29046</v>
      </c>
      <c r="L88" s="30" t="s">
        <v>23953</v>
      </c>
      <c r="M88" s="30" t="s">
        <v>23953</v>
      </c>
      <c r="N88" s="30" t="s">
        <v>29046</v>
      </c>
      <c r="O88" s="130" t="s">
        <v>27513</v>
      </c>
      <c r="P88" s="140" t="s">
        <v>27514</v>
      </c>
      <c r="Q88" s="128">
        <v>7192730.0</v>
      </c>
      <c r="R88" s="16"/>
      <c r="S88" s="141" t="s">
        <v>29047</v>
      </c>
      <c r="T88" s="30"/>
      <c r="U88" s="30"/>
      <c r="V88" s="30"/>
      <c r="W88" s="30"/>
      <c r="X88" s="30"/>
      <c r="Y88" s="30"/>
      <c r="Z88" s="30"/>
      <c r="AA88" s="30"/>
      <c r="AB88" s="30"/>
      <c r="AC88" s="30"/>
    </row>
    <row r="89" ht="15.75" customHeight="1">
      <c r="A89" s="30" t="s">
        <v>4153</v>
      </c>
      <c r="B89" s="128">
        <v>2015.0</v>
      </c>
      <c r="C89" s="16" t="s">
        <v>27309</v>
      </c>
      <c r="D89" s="130" t="s">
        <v>27310</v>
      </c>
      <c r="E89" s="145" t="s">
        <v>27311</v>
      </c>
      <c r="F89" s="132">
        <v>9.0</v>
      </c>
      <c r="G89" s="132">
        <v>16.0</v>
      </c>
      <c r="H89" s="16"/>
      <c r="I89" s="16" t="s">
        <v>28</v>
      </c>
      <c r="J89" s="130" t="s">
        <v>27314</v>
      </c>
      <c r="K89" s="130" t="s">
        <v>29049</v>
      </c>
      <c r="L89" s="130" t="s">
        <v>29050</v>
      </c>
      <c r="M89" s="16"/>
      <c r="N89" s="130" t="s">
        <v>29052</v>
      </c>
      <c r="O89" s="130" t="s">
        <v>27318</v>
      </c>
      <c r="P89" s="140" t="s">
        <v>27319</v>
      </c>
      <c r="Q89" s="132">
        <v>7429486.0</v>
      </c>
      <c r="R89" s="16"/>
      <c r="S89" s="141" t="s">
        <v>29056</v>
      </c>
      <c r="T89" s="30"/>
      <c r="U89" s="30"/>
      <c r="V89" s="30"/>
      <c r="W89" s="30"/>
      <c r="X89" s="30"/>
      <c r="Y89" s="30"/>
      <c r="Z89" s="30"/>
      <c r="AA89" s="30"/>
      <c r="AB89" s="30"/>
      <c r="AC89" s="30"/>
    </row>
    <row r="90" ht="15.75" customHeight="1">
      <c r="A90" s="30" t="s">
        <v>4153</v>
      </c>
      <c r="B90" s="128">
        <v>2015.0</v>
      </c>
      <c r="C90" s="16" t="s">
        <v>27320</v>
      </c>
      <c r="D90" s="130" t="s">
        <v>27321</v>
      </c>
      <c r="E90" s="145" t="s">
        <v>27322</v>
      </c>
      <c r="F90" s="132">
        <v>17.0</v>
      </c>
      <c r="G90" s="132">
        <v>24.0</v>
      </c>
      <c r="H90" s="16"/>
      <c r="I90" s="16" t="s">
        <v>28</v>
      </c>
      <c r="J90" s="130" t="s">
        <v>27324</v>
      </c>
      <c r="K90" s="130" t="s">
        <v>29060</v>
      </c>
      <c r="L90" s="130" t="s">
        <v>29061</v>
      </c>
      <c r="M90" s="16"/>
      <c r="N90" s="130" t="s">
        <v>29062</v>
      </c>
      <c r="O90" s="130" t="s">
        <v>27327</v>
      </c>
      <c r="P90" s="140" t="s">
        <v>27328</v>
      </c>
      <c r="Q90" s="132">
        <v>7429487.0</v>
      </c>
      <c r="R90" s="16"/>
      <c r="S90" s="141" t="s">
        <v>29063</v>
      </c>
      <c r="T90" s="30"/>
      <c r="U90" s="30"/>
      <c r="V90" s="30"/>
      <c r="W90" s="30"/>
      <c r="X90" s="30"/>
      <c r="Y90" s="30"/>
      <c r="Z90" s="30"/>
      <c r="AA90" s="30"/>
      <c r="AB90" s="30"/>
      <c r="AC90" s="30"/>
    </row>
    <row r="91" ht="15.75" customHeight="1">
      <c r="A91" s="30" t="s">
        <v>4153</v>
      </c>
      <c r="B91" s="128">
        <v>2015.0</v>
      </c>
      <c r="C91" s="30" t="s">
        <v>27713</v>
      </c>
      <c r="D91" s="30" t="s">
        <v>27714</v>
      </c>
      <c r="E91" s="139" t="s">
        <v>27715</v>
      </c>
      <c r="F91" s="128">
        <v>847.0</v>
      </c>
      <c r="G91" s="128">
        <v>856.0</v>
      </c>
      <c r="H91" s="16"/>
      <c r="I91" s="16" t="s">
        <v>17059</v>
      </c>
      <c r="J91" s="30" t="s">
        <v>27716</v>
      </c>
      <c r="K91" s="30" t="s">
        <v>29071</v>
      </c>
      <c r="L91" s="30" t="s">
        <v>29073</v>
      </c>
      <c r="M91" s="30" t="s">
        <v>860</v>
      </c>
      <c r="N91" s="30" t="s">
        <v>29071</v>
      </c>
      <c r="O91" s="130" t="s">
        <v>27719</v>
      </c>
      <c r="P91" s="140" t="s">
        <v>27720</v>
      </c>
      <c r="Q91" s="128">
        <v>7192672.0</v>
      </c>
      <c r="R91" s="16"/>
      <c r="S91" s="141" t="s">
        <v>29074</v>
      </c>
      <c r="T91" s="30"/>
      <c r="U91" s="30"/>
      <c r="V91" s="30"/>
      <c r="W91" s="30"/>
      <c r="X91" s="30"/>
      <c r="Y91" s="30"/>
      <c r="Z91" s="30"/>
      <c r="AA91" s="30"/>
      <c r="AB91" s="30"/>
      <c r="AC91" s="30"/>
    </row>
    <row r="92" ht="15.75" customHeight="1">
      <c r="A92" s="30" t="s">
        <v>4153</v>
      </c>
      <c r="B92" s="128">
        <v>2015.0</v>
      </c>
      <c r="C92" s="30" t="s">
        <v>29075</v>
      </c>
      <c r="D92" s="30" t="s">
        <v>27500</v>
      </c>
      <c r="E92" s="139" t="s">
        <v>27501</v>
      </c>
      <c r="F92" s="128">
        <v>877.0</v>
      </c>
      <c r="G92" s="128">
        <v>885.0</v>
      </c>
      <c r="H92" s="16"/>
      <c r="I92" s="16" t="s">
        <v>17059</v>
      </c>
      <c r="J92" s="30" t="s">
        <v>29076</v>
      </c>
      <c r="K92" s="30" t="s">
        <v>29077</v>
      </c>
      <c r="L92" s="30" t="s">
        <v>178</v>
      </c>
      <c r="M92" s="30" t="s">
        <v>178</v>
      </c>
      <c r="N92" s="30" t="s">
        <v>29077</v>
      </c>
      <c r="O92" s="130" t="s">
        <v>27505</v>
      </c>
      <c r="P92" s="140" t="s">
        <v>27506</v>
      </c>
      <c r="Q92" s="128">
        <v>7185456.0</v>
      </c>
      <c r="R92" s="16"/>
      <c r="S92" s="141" t="s">
        <v>29080</v>
      </c>
      <c r="T92" s="30"/>
      <c r="U92" s="30"/>
      <c r="V92" s="30"/>
      <c r="W92" s="30"/>
      <c r="X92" s="30"/>
      <c r="Y92" s="30"/>
      <c r="Z92" s="30"/>
      <c r="AA92" s="30"/>
      <c r="AB92" s="30"/>
      <c r="AC92" s="30"/>
    </row>
    <row r="93" ht="15.75" customHeight="1">
      <c r="A93" s="30" t="s">
        <v>4153</v>
      </c>
      <c r="B93" s="128">
        <v>2015.0</v>
      </c>
      <c r="C93" s="130" t="s">
        <v>27463</v>
      </c>
      <c r="D93" s="130" t="s">
        <v>27464</v>
      </c>
      <c r="E93" s="145" t="s">
        <v>27465</v>
      </c>
      <c r="F93" s="132">
        <v>161.0</v>
      </c>
      <c r="G93" s="132">
        <v>162.0</v>
      </c>
      <c r="H93" s="16"/>
      <c r="I93" s="16" t="s">
        <v>21</v>
      </c>
      <c r="J93" s="130" t="s">
        <v>27466</v>
      </c>
      <c r="K93" s="130" t="s">
        <v>29088</v>
      </c>
      <c r="L93" s="130" t="s">
        <v>29089</v>
      </c>
      <c r="M93" s="16"/>
      <c r="N93" s="130" t="s">
        <v>29090</v>
      </c>
      <c r="O93" s="130"/>
      <c r="P93" s="16"/>
      <c r="Q93" s="132">
        <v>7429513.0</v>
      </c>
      <c r="R93" s="16"/>
      <c r="S93" s="16"/>
      <c r="T93" s="30"/>
      <c r="U93" s="30"/>
      <c r="V93" s="30"/>
      <c r="W93" s="30"/>
      <c r="X93" s="30"/>
      <c r="Y93" s="30"/>
      <c r="Z93" s="30"/>
      <c r="AA93" s="30"/>
      <c r="AB93" s="30"/>
      <c r="AC93" s="30"/>
    </row>
    <row r="94" ht="15.75" customHeight="1">
      <c r="A94" s="30" t="s">
        <v>4153</v>
      </c>
      <c r="B94" s="128">
        <v>2015.0</v>
      </c>
      <c r="C94" s="130" t="s">
        <v>27416</v>
      </c>
      <c r="D94" s="130" t="s">
        <v>27417</v>
      </c>
      <c r="E94" s="145" t="s">
        <v>27418</v>
      </c>
      <c r="F94" s="132">
        <v>147.0</v>
      </c>
      <c r="G94" s="132">
        <v>148.0</v>
      </c>
      <c r="H94" s="16"/>
      <c r="I94" s="16" t="s">
        <v>21</v>
      </c>
      <c r="J94" s="130" t="s">
        <v>27421</v>
      </c>
      <c r="K94" s="130" t="s">
        <v>29099</v>
      </c>
      <c r="L94" s="130" t="s">
        <v>28832</v>
      </c>
      <c r="M94" s="16"/>
      <c r="N94" s="130" t="s">
        <v>29100</v>
      </c>
      <c r="O94" s="130"/>
      <c r="P94" s="16"/>
      <c r="Q94" s="132">
        <v>7429506.0</v>
      </c>
      <c r="R94" s="16"/>
      <c r="S94" s="16"/>
      <c r="T94" s="30"/>
      <c r="U94" s="30"/>
      <c r="V94" s="30"/>
      <c r="W94" s="30"/>
      <c r="X94" s="30"/>
      <c r="Y94" s="30"/>
      <c r="Z94" s="30"/>
      <c r="AA94" s="30"/>
      <c r="AB94" s="30"/>
      <c r="AC94" s="30"/>
    </row>
    <row r="95" ht="15.75" customHeight="1">
      <c r="A95" s="30" t="s">
        <v>4153</v>
      </c>
      <c r="B95" s="128">
        <v>2015.0</v>
      </c>
      <c r="C95" s="30" t="s">
        <v>27491</v>
      </c>
      <c r="D95" s="30" t="s">
        <v>27492</v>
      </c>
      <c r="E95" s="139" t="s">
        <v>27493</v>
      </c>
      <c r="F95" s="128">
        <v>975.0</v>
      </c>
      <c r="G95" s="128">
        <v>984.0</v>
      </c>
      <c r="H95" s="16"/>
      <c r="I95" s="16" t="s">
        <v>17059</v>
      </c>
      <c r="J95" s="30" t="s">
        <v>27494</v>
      </c>
      <c r="K95" s="30" t="s">
        <v>29101</v>
      </c>
      <c r="L95" s="30" t="s">
        <v>29102</v>
      </c>
      <c r="M95" s="30" t="s">
        <v>5349</v>
      </c>
      <c r="N95" s="30" t="s">
        <v>29101</v>
      </c>
      <c r="O95" s="130" t="s">
        <v>27497</v>
      </c>
      <c r="P95" s="140" t="s">
        <v>27498</v>
      </c>
      <c r="Q95" s="128">
        <v>7192624.0</v>
      </c>
      <c r="R95" s="16"/>
      <c r="S95" s="141" t="s">
        <v>29103</v>
      </c>
      <c r="T95" s="30"/>
      <c r="U95" s="30"/>
      <c r="V95" s="30"/>
      <c r="W95" s="30"/>
      <c r="X95" s="30"/>
      <c r="Y95" s="30"/>
      <c r="Z95" s="30"/>
      <c r="AA95" s="30"/>
      <c r="AB95" s="30"/>
      <c r="AC95" s="30"/>
    </row>
    <row r="96" ht="15.75" customHeight="1">
      <c r="A96" s="30" t="s">
        <v>120</v>
      </c>
      <c r="B96" s="128">
        <v>2015.0</v>
      </c>
      <c r="C96" s="16" t="s">
        <v>28306</v>
      </c>
      <c r="D96" s="16" t="s">
        <v>28308</v>
      </c>
      <c r="E96" s="139" t="s">
        <v>28309</v>
      </c>
      <c r="F96" s="128">
        <v>81.0</v>
      </c>
      <c r="G96" s="128">
        <v>90.0</v>
      </c>
      <c r="H96" s="16"/>
      <c r="I96" s="16" t="s">
        <v>17059</v>
      </c>
      <c r="J96" s="30" t="s">
        <v>28314</v>
      </c>
      <c r="K96" s="30" t="s">
        <v>29112</v>
      </c>
      <c r="L96" s="16" t="s">
        <v>29113</v>
      </c>
      <c r="M96" s="30" t="s">
        <v>1253</v>
      </c>
      <c r="N96" s="30" t="s">
        <v>29114</v>
      </c>
      <c r="O96" s="130" t="s">
        <v>28317</v>
      </c>
      <c r="P96" s="140" t="s">
        <v>28318</v>
      </c>
      <c r="Q96" s="128">
        <v>7194847.0</v>
      </c>
      <c r="R96" s="16"/>
      <c r="S96" s="141" t="s">
        <v>29115</v>
      </c>
      <c r="T96" s="16"/>
      <c r="U96" s="16"/>
      <c r="V96" s="16"/>
      <c r="W96" s="16"/>
      <c r="X96" s="16"/>
      <c r="Y96" s="16"/>
      <c r="Z96" s="16"/>
      <c r="AA96" s="16"/>
      <c r="AB96" s="16"/>
      <c r="AC96" s="16"/>
    </row>
    <row r="97" ht="15.75" customHeight="1">
      <c r="A97" s="30" t="s">
        <v>120</v>
      </c>
      <c r="B97" s="128">
        <v>2015.0</v>
      </c>
      <c r="C97" s="30" t="s">
        <v>28075</v>
      </c>
      <c r="D97" s="30" t="s">
        <v>28076</v>
      </c>
      <c r="E97" s="139" t="s">
        <v>28077</v>
      </c>
      <c r="F97" s="128">
        <v>51.0</v>
      </c>
      <c r="G97" s="128">
        <v>60.0</v>
      </c>
      <c r="H97" s="16"/>
      <c r="I97" s="16" t="s">
        <v>17059</v>
      </c>
      <c r="J97" s="30" t="s">
        <v>28080</v>
      </c>
      <c r="K97" s="30" t="s">
        <v>29121</v>
      </c>
      <c r="L97" s="30" t="s">
        <v>5349</v>
      </c>
      <c r="M97" s="30" t="s">
        <v>5349</v>
      </c>
      <c r="N97" s="30" t="s">
        <v>29121</v>
      </c>
      <c r="O97" s="130" t="s">
        <v>28083</v>
      </c>
      <c r="P97" s="140" t="s">
        <v>28084</v>
      </c>
      <c r="Q97" s="128">
        <v>7192662.0</v>
      </c>
      <c r="R97" s="16"/>
      <c r="S97" s="141" t="s">
        <v>29124</v>
      </c>
      <c r="T97" s="30"/>
      <c r="U97" s="30"/>
      <c r="V97" s="30"/>
      <c r="W97" s="30"/>
      <c r="X97" s="30"/>
      <c r="Y97" s="30"/>
      <c r="Z97" s="30"/>
      <c r="AA97" s="30"/>
      <c r="AB97" s="30"/>
      <c r="AC97" s="30"/>
    </row>
    <row r="98" ht="15.75" customHeight="1">
      <c r="A98" s="30" t="s">
        <v>120</v>
      </c>
      <c r="B98" s="128">
        <v>2015.0</v>
      </c>
      <c r="C98" s="30" t="s">
        <v>28625</v>
      </c>
      <c r="D98" s="30" t="s">
        <v>28626</v>
      </c>
      <c r="E98" s="139" t="s">
        <v>28627</v>
      </c>
      <c r="F98" s="128">
        <v>193.0</v>
      </c>
      <c r="G98" s="128">
        <v>194.0</v>
      </c>
      <c r="H98" s="16" t="s">
        <v>18275</v>
      </c>
      <c r="I98" s="16" t="s">
        <v>21</v>
      </c>
      <c r="J98" s="30" t="s">
        <v>28628</v>
      </c>
      <c r="K98" s="30" t="s">
        <v>29141</v>
      </c>
      <c r="L98" s="30" t="s">
        <v>494</v>
      </c>
      <c r="M98" s="30" t="s">
        <v>494</v>
      </c>
      <c r="N98" s="30" t="s">
        <v>29142</v>
      </c>
      <c r="O98" s="130"/>
      <c r="P98" s="16"/>
      <c r="Q98" s="128">
        <v>7347674.0</v>
      </c>
      <c r="R98" s="16"/>
      <c r="S98" s="16"/>
      <c r="T98" s="30"/>
      <c r="U98" s="30"/>
      <c r="V98" s="30"/>
      <c r="W98" s="30"/>
      <c r="X98" s="30"/>
      <c r="Y98" s="30"/>
      <c r="Z98" s="30"/>
      <c r="AA98" s="30"/>
      <c r="AB98" s="30"/>
      <c r="AC98" s="30"/>
    </row>
    <row r="99" ht="15.75" customHeight="1">
      <c r="A99" s="30" t="s">
        <v>120</v>
      </c>
      <c r="B99" s="128">
        <v>2015.0</v>
      </c>
      <c r="C99" s="30" t="s">
        <v>28646</v>
      </c>
      <c r="D99" s="30" t="s">
        <v>28647</v>
      </c>
      <c r="E99" s="139" t="s">
        <v>28648</v>
      </c>
      <c r="F99" s="128">
        <v>199.0</v>
      </c>
      <c r="G99" s="128">
        <v>200.0</v>
      </c>
      <c r="H99" s="16" t="s">
        <v>18275</v>
      </c>
      <c r="I99" s="16" t="s">
        <v>21</v>
      </c>
      <c r="J99" s="30" t="s">
        <v>28651</v>
      </c>
      <c r="K99" s="30" t="s">
        <v>29143</v>
      </c>
      <c r="L99" s="30" t="s">
        <v>5349</v>
      </c>
      <c r="M99" s="30" t="s">
        <v>5349</v>
      </c>
      <c r="N99" s="30" t="s">
        <v>29143</v>
      </c>
      <c r="O99" s="130"/>
      <c r="P99" s="16"/>
      <c r="Q99" s="128">
        <v>7347677.0</v>
      </c>
      <c r="R99" s="16"/>
      <c r="S99" s="16"/>
      <c r="T99" s="30"/>
      <c r="U99" s="30"/>
      <c r="V99" s="30"/>
      <c r="W99" s="30"/>
      <c r="X99" s="30"/>
      <c r="Y99" s="30"/>
      <c r="Z99" s="30"/>
      <c r="AA99" s="30"/>
      <c r="AB99" s="30"/>
      <c r="AC99" s="30"/>
    </row>
    <row r="100" ht="15.75" customHeight="1">
      <c r="A100" s="30" t="s">
        <v>120</v>
      </c>
      <c r="B100" s="128">
        <v>2015.0</v>
      </c>
      <c r="C100" s="30" t="s">
        <v>27941</v>
      </c>
      <c r="D100" s="30" t="s">
        <v>27942</v>
      </c>
      <c r="E100" s="139" t="s">
        <v>27943</v>
      </c>
      <c r="F100" s="128">
        <v>250.0</v>
      </c>
      <c r="G100" s="128">
        <v>259.0</v>
      </c>
      <c r="H100" s="16"/>
      <c r="I100" s="16" t="s">
        <v>17059</v>
      </c>
      <c r="J100" s="30" t="s">
        <v>27946</v>
      </c>
      <c r="K100" s="30" t="s">
        <v>27947</v>
      </c>
      <c r="L100" s="30" t="s">
        <v>860</v>
      </c>
      <c r="M100" s="30" t="s">
        <v>860</v>
      </c>
      <c r="N100" s="30" t="s">
        <v>27947</v>
      </c>
      <c r="O100" s="130" t="s">
        <v>27949</v>
      </c>
      <c r="P100" s="140" t="s">
        <v>27950</v>
      </c>
      <c r="Q100" s="128">
        <v>7192694.0</v>
      </c>
      <c r="R100" s="16"/>
      <c r="S100" s="141" t="s">
        <v>29144</v>
      </c>
      <c r="T100" s="30"/>
      <c r="U100" s="30"/>
      <c r="V100" s="30"/>
      <c r="W100" s="30"/>
      <c r="X100" s="30"/>
      <c r="Y100" s="30"/>
      <c r="Z100" s="30"/>
      <c r="AA100" s="30"/>
      <c r="AB100" s="30"/>
      <c r="AC100" s="30"/>
    </row>
    <row r="101" ht="15.75" customHeight="1">
      <c r="A101" s="30" t="s">
        <v>120</v>
      </c>
      <c r="B101" s="128">
        <v>2015.0</v>
      </c>
      <c r="C101" s="30" t="s">
        <v>28185</v>
      </c>
      <c r="D101" s="30" t="s">
        <v>28187</v>
      </c>
      <c r="E101" s="139" t="s">
        <v>28188</v>
      </c>
      <c r="F101" s="128">
        <v>310.0</v>
      </c>
      <c r="G101" s="128">
        <v>319.0</v>
      </c>
      <c r="H101" s="16"/>
      <c r="I101" s="16" t="s">
        <v>17059</v>
      </c>
      <c r="J101" s="30" t="s">
        <v>29145</v>
      </c>
      <c r="K101" s="30" t="s">
        <v>29146</v>
      </c>
      <c r="L101" s="30" t="s">
        <v>5349</v>
      </c>
      <c r="M101" s="30" t="s">
        <v>5349</v>
      </c>
      <c r="N101" s="30" t="s">
        <v>29146</v>
      </c>
      <c r="O101" s="130" t="s">
        <v>28193</v>
      </c>
      <c r="P101" s="140" t="s">
        <v>28194</v>
      </c>
      <c r="Q101" s="128">
        <v>7192715.0</v>
      </c>
      <c r="R101" s="16"/>
      <c r="S101" s="141" t="s">
        <v>29147</v>
      </c>
      <c r="T101" s="30"/>
      <c r="U101" s="30"/>
      <c r="V101" s="30"/>
      <c r="W101" s="30"/>
      <c r="X101" s="30"/>
      <c r="Y101" s="30"/>
      <c r="Z101" s="30"/>
      <c r="AA101" s="30"/>
      <c r="AB101" s="30"/>
      <c r="AC101" s="30"/>
    </row>
    <row r="102" ht="15.75" customHeight="1">
      <c r="A102" s="30" t="s">
        <v>120</v>
      </c>
      <c r="B102" s="128">
        <v>2015.0</v>
      </c>
      <c r="C102" s="30" t="s">
        <v>27912</v>
      </c>
      <c r="D102" s="30" t="s">
        <v>27913</v>
      </c>
      <c r="E102" s="139" t="s">
        <v>27914</v>
      </c>
      <c r="F102" s="128">
        <v>31.0</v>
      </c>
      <c r="G102" s="128">
        <v>40.0</v>
      </c>
      <c r="H102" s="16"/>
      <c r="I102" s="16" t="s">
        <v>17059</v>
      </c>
      <c r="J102" s="30" t="s">
        <v>27917</v>
      </c>
      <c r="K102" s="30" t="s">
        <v>29149</v>
      </c>
      <c r="L102" s="30" t="s">
        <v>5349</v>
      </c>
      <c r="M102" s="30" t="s">
        <v>5349</v>
      </c>
      <c r="N102" s="30" t="s">
        <v>29149</v>
      </c>
      <c r="O102" s="130" t="s">
        <v>27921</v>
      </c>
      <c r="P102" s="140" t="s">
        <v>27922</v>
      </c>
      <c r="Q102" s="128">
        <v>7192714.0</v>
      </c>
      <c r="R102" s="16"/>
      <c r="S102" s="141" t="s">
        <v>29150</v>
      </c>
      <c r="T102" s="30"/>
      <c r="U102" s="30"/>
      <c r="V102" s="30"/>
      <c r="W102" s="30"/>
      <c r="X102" s="30"/>
      <c r="Y102" s="30"/>
      <c r="Z102" s="30"/>
      <c r="AA102" s="30"/>
      <c r="AB102" s="30"/>
      <c r="AC102" s="30"/>
    </row>
    <row r="103" ht="15.75" customHeight="1">
      <c r="A103" s="30" t="s">
        <v>120</v>
      </c>
      <c r="B103" s="128">
        <v>2015.0</v>
      </c>
      <c r="C103" s="30" t="s">
        <v>28128</v>
      </c>
      <c r="D103" s="30" t="s">
        <v>28129</v>
      </c>
      <c r="E103" s="139" t="s">
        <v>28130</v>
      </c>
      <c r="F103" s="128">
        <v>190.0</v>
      </c>
      <c r="G103" s="128">
        <v>199.0</v>
      </c>
      <c r="H103" s="16"/>
      <c r="I103" s="16" t="s">
        <v>17059</v>
      </c>
      <c r="J103" s="30" t="s">
        <v>28133</v>
      </c>
      <c r="K103" s="30" t="s">
        <v>29151</v>
      </c>
      <c r="L103" s="30" t="s">
        <v>494</v>
      </c>
      <c r="M103" s="30" t="s">
        <v>494</v>
      </c>
      <c r="N103" s="30" t="s">
        <v>29151</v>
      </c>
      <c r="O103" s="130" t="s">
        <v>28136</v>
      </c>
      <c r="P103" s="140" t="s">
        <v>28137</v>
      </c>
      <c r="Q103" s="128">
        <v>7192685.0</v>
      </c>
      <c r="R103" s="16"/>
      <c r="S103" s="141" t="s">
        <v>29152</v>
      </c>
      <c r="T103" s="30"/>
      <c r="U103" s="30"/>
      <c r="V103" s="30"/>
      <c r="W103" s="30"/>
      <c r="X103" s="30"/>
      <c r="Y103" s="30"/>
      <c r="Z103" s="30"/>
      <c r="AA103" s="30"/>
      <c r="AB103" s="30"/>
      <c r="AC103" s="30"/>
    </row>
    <row r="104" ht="15.75" customHeight="1">
      <c r="A104" s="30" t="s">
        <v>120</v>
      </c>
      <c r="B104" s="128">
        <v>2015.0</v>
      </c>
      <c r="C104" s="16" t="s">
        <v>28383</v>
      </c>
      <c r="D104" s="16" t="s">
        <v>28384</v>
      </c>
      <c r="E104" s="148" t="s">
        <v>28385</v>
      </c>
      <c r="F104" s="143">
        <v>25.0</v>
      </c>
      <c r="G104" s="143">
        <v>32.0</v>
      </c>
      <c r="H104" s="16"/>
      <c r="I104" s="16" t="s">
        <v>28</v>
      </c>
      <c r="J104" s="16" t="s">
        <v>28388</v>
      </c>
      <c r="K104" s="16" t="s">
        <v>29155</v>
      </c>
      <c r="L104" s="16" t="s">
        <v>29156</v>
      </c>
      <c r="M104" s="16" t="s">
        <v>5349</v>
      </c>
      <c r="N104" s="16" t="s">
        <v>29157</v>
      </c>
      <c r="O104" s="130" t="s">
        <v>28393</v>
      </c>
      <c r="P104" s="140" t="s">
        <v>28394</v>
      </c>
      <c r="Q104" s="143">
        <v>7347627.0</v>
      </c>
      <c r="R104" s="16"/>
      <c r="S104" s="141" t="s">
        <v>29158</v>
      </c>
      <c r="T104" s="30"/>
      <c r="U104" s="30"/>
      <c r="V104" s="30"/>
      <c r="W104" s="30"/>
      <c r="X104" s="30"/>
      <c r="Y104" s="30"/>
      <c r="Z104" s="30"/>
      <c r="AA104" s="30"/>
      <c r="AB104" s="30"/>
      <c r="AC104" s="30"/>
    </row>
    <row r="105" ht="15.75" customHeight="1">
      <c r="A105" s="30" t="s">
        <v>120</v>
      </c>
      <c r="B105" s="128">
        <v>2015.0</v>
      </c>
      <c r="C105" s="30" t="s">
        <v>28526</v>
      </c>
      <c r="D105" s="30" t="s">
        <v>28527</v>
      </c>
      <c r="E105" s="139" t="s">
        <v>28528</v>
      </c>
      <c r="F105" s="128">
        <v>81.0</v>
      </c>
      <c r="G105" s="128">
        <v>88.0</v>
      </c>
      <c r="H105" s="16"/>
      <c r="I105" s="16" t="s">
        <v>28</v>
      </c>
      <c r="J105" s="30" t="s">
        <v>28533</v>
      </c>
      <c r="K105" s="30" t="s">
        <v>29160</v>
      </c>
      <c r="L105" s="30" t="s">
        <v>29161</v>
      </c>
      <c r="M105" s="30" t="s">
        <v>5349</v>
      </c>
      <c r="N105" s="30" t="s">
        <v>29160</v>
      </c>
      <c r="O105" s="130" t="s">
        <v>28536</v>
      </c>
      <c r="P105" s="140" t="s">
        <v>28537</v>
      </c>
      <c r="Q105" s="128">
        <v>7347634.0</v>
      </c>
      <c r="R105" s="16"/>
      <c r="S105" s="141" t="s">
        <v>29162</v>
      </c>
      <c r="T105" s="30"/>
      <c r="U105" s="30"/>
      <c r="V105" s="30"/>
      <c r="W105" s="30"/>
      <c r="X105" s="30"/>
      <c r="Y105" s="30"/>
      <c r="Z105" s="30"/>
      <c r="AA105" s="30"/>
      <c r="AB105" s="30"/>
      <c r="AC105" s="30"/>
    </row>
    <row r="106" ht="15.75" customHeight="1">
      <c r="A106" s="30" t="s">
        <v>120</v>
      </c>
      <c r="B106" s="128">
        <v>2015.0</v>
      </c>
      <c r="C106" s="16" t="s">
        <v>28485</v>
      </c>
      <c r="D106" s="16" t="s">
        <v>28486</v>
      </c>
      <c r="E106" s="148" t="s">
        <v>28487</v>
      </c>
      <c r="F106" s="143">
        <v>57.0</v>
      </c>
      <c r="G106" s="143">
        <v>64.0</v>
      </c>
      <c r="H106" s="16"/>
      <c r="I106" s="16" t="s">
        <v>28</v>
      </c>
      <c r="J106" s="16" t="s">
        <v>28491</v>
      </c>
      <c r="K106" s="16" t="s">
        <v>29163</v>
      </c>
      <c r="L106" s="16" t="s">
        <v>29164</v>
      </c>
      <c r="M106" s="16" t="s">
        <v>860</v>
      </c>
      <c r="N106" s="16" t="s">
        <v>29163</v>
      </c>
      <c r="O106" s="130" t="s">
        <v>28496</v>
      </c>
      <c r="P106" s="140" t="s">
        <v>28497</v>
      </c>
      <c r="Q106" s="143">
        <v>7347631.0</v>
      </c>
      <c r="R106" s="16"/>
      <c r="S106" s="141" t="s">
        <v>29165</v>
      </c>
      <c r="T106" s="30"/>
      <c r="U106" s="30"/>
      <c r="V106" s="30"/>
      <c r="W106" s="30"/>
      <c r="X106" s="30"/>
      <c r="Y106" s="30"/>
      <c r="Z106" s="30"/>
      <c r="AA106" s="30"/>
      <c r="AB106" s="30"/>
      <c r="AC106" s="30"/>
    </row>
    <row r="107" ht="15.75" customHeight="1">
      <c r="A107" s="30" t="s">
        <v>120</v>
      </c>
      <c r="B107" s="128">
        <v>2015.0</v>
      </c>
      <c r="C107" s="16" t="s">
        <v>28499</v>
      </c>
      <c r="D107" s="16" t="s">
        <v>28500</v>
      </c>
      <c r="E107" s="148" t="s">
        <v>28501</v>
      </c>
      <c r="F107" s="143">
        <v>65.0</v>
      </c>
      <c r="G107" s="143">
        <v>72.0</v>
      </c>
      <c r="H107" s="16"/>
      <c r="I107" s="16" t="s">
        <v>28</v>
      </c>
      <c r="J107" s="16" t="s">
        <v>28507</v>
      </c>
      <c r="K107" s="16" t="s">
        <v>28509</v>
      </c>
      <c r="L107" s="16" t="s">
        <v>29166</v>
      </c>
      <c r="M107" s="30" t="s">
        <v>860</v>
      </c>
      <c r="N107" s="16" t="s">
        <v>28509</v>
      </c>
      <c r="O107" s="130" t="s">
        <v>28511</v>
      </c>
      <c r="P107" s="16"/>
      <c r="Q107" s="143">
        <v>7347632.0</v>
      </c>
      <c r="R107" s="16"/>
      <c r="S107" s="141" t="s">
        <v>29167</v>
      </c>
      <c r="T107" s="30"/>
      <c r="U107" s="30"/>
      <c r="V107" s="30"/>
      <c r="W107" s="30"/>
      <c r="X107" s="30"/>
      <c r="Y107" s="30"/>
      <c r="Z107" s="30"/>
      <c r="AA107" s="30"/>
      <c r="AB107" s="30"/>
      <c r="AC107" s="30"/>
    </row>
    <row r="108" ht="15.75" customHeight="1">
      <c r="A108" s="30" t="s">
        <v>120</v>
      </c>
      <c r="B108" s="128">
        <v>2015.0</v>
      </c>
      <c r="C108" s="30" t="s">
        <v>28294</v>
      </c>
      <c r="D108" s="30" t="s">
        <v>28295</v>
      </c>
      <c r="E108" s="139" t="s">
        <v>28296</v>
      </c>
      <c r="F108" s="128">
        <v>260.0</v>
      </c>
      <c r="G108" s="128">
        <v>269.0</v>
      </c>
      <c r="H108" s="16"/>
      <c r="I108" s="16" t="s">
        <v>17059</v>
      </c>
      <c r="J108" s="30" t="s">
        <v>28299</v>
      </c>
      <c r="K108" s="30" t="s">
        <v>29168</v>
      </c>
      <c r="L108" s="30" t="s">
        <v>26881</v>
      </c>
      <c r="M108" s="30" t="s">
        <v>860</v>
      </c>
      <c r="N108" s="30" t="s">
        <v>29168</v>
      </c>
      <c r="O108" s="130" t="s">
        <v>28303</v>
      </c>
      <c r="P108" s="140" t="s">
        <v>28304</v>
      </c>
      <c r="Q108" s="128">
        <v>7192725.0</v>
      </c>
      <c r="R108" s="16"/>
      <c r="S108" s="141" t="s">
        <v>29169</v>
      </c>
      <c r="T108" s="30"/>
      <c r="U108" s="30"/>
      <c r="V108" s="30"/>
      <c r="W108" s="30"/>
      <c r="X108" s="30"/>
      <c r="Y108" s="30"/>
      <c r="Z108" s="30"/>
      <c r="AA108" s="30"/>
      <c r="AB108" s="30"/>
      <c r="AC108" s="30"/>
    </row>
    <row r="109" ht="15.75" customHeight="1">
      <c r="A109" s="30" t="s">
        <v>120</v>
      </c>
      <c r="B109" s="128">
        <v>2015.0</v>
      </c>
      <c r="C109" s="30" t="s">
        <v>28746</v>
      </c>
      <c r="D109" s="30" t="s">
        <v>28747</v>
      </c>
      <c r="E109" s="139" t="s">
        <v>28748</v>
      </c>
      <c r="F109" s="128">
        <v>219.0</v>
      </c>
      <c r="G109" s="128">
        <v>220.0</v>
      </c>
      <c r="H109" s="16" t="s">
        <v>18275</v>
      </c>
      <c r="I109" s="16" t="s">
        <v>21</v>
      </c>
      <c r="J109" s="30" t="s">
        <v>28753</v>
      </c>
      <c r="K109" s="30" t="s">
        <v>29172</v>
      </c>
      <c r="L109" s="30" t="s">
        <v>29173</v>
      </c>
      <c r="M109" s="30" t="s">
        <v>5349</v>
      </c>
      <c r="N109" s="30" t="s">
        <v>29172</v>
      </c>
      <c r="O109" s="130"/>
      <c r="P109" s="16"/>
      <c r="Q109" s="128">
        <v>7347687.0</v>
      </c>
      <c r="R109" s="16"/>
      <c r="S109" s="16"/>
      <c r="T109" s="30"/>
      <c r="U109" s="30"/>
      <c r="V109" s="30"/>
      <c r="W109" s="30"/>
      <c r="X109" s="30"/>
      <c r="Y109" s="30"/>
      <c r="Z109" s="30"/>
      <c r="AA109" s="30"/>
      <c r="AB109" s="30"/>
      <c r="AC109" s="30"/>
    </row>
    <row r="110" ht="15.75" customHeight="1">
      <c r="A110" s="30" t="s">
        <v>120</v>
      </c>
      <c r="B110" s="128">
        <v>2015.0</v>
      </c>
      <c r="C110" s="30" t="s">
        <v>28240</v>
      </c>
      <c r="D110" s="30" t="s">
        <v>28241</v>
      </c>
      <c r="E110" s="139" t="s">
        <v>28242</v>
      </c>
      <c r="F110" s="128">
        <v>220.0</v>
      </c>
      <c r="G110" s="128">
        <v>229.0</v>
      </c>
      <c r="H110" s="16"/>
      <c r="I110" s="16" t="s">
        <v>17059</v>
      </c>
      <c r="J110" s="30" t="s">
        <v>28244</v>
      </c>
      <c r="K110" s="30" t="s">
        <v>29176</v>
      </c>
      <c r="L110" s="30" t="s">
        <v>13886</v>
      </c>
      <c r="M110" s="30" t="s">
        <v>13886</v>
      </c>
      <c r="N110" s="30" t="s">
        <v>29176</v>
      </c>
      <c r="O110" s="130" t="s">
        <v>28247</v>
      </c>
      <c r="P110" s="140" t="s">
        <v>28248</v>
      </c>
      <c r="Q110" s="128">
        <v>7192705.0</v>
      </c>
      <c r="R110" s="16"/>
      <c r="S110" s="141" t="s">
        <v>29177</v>
      </c>
      <c r="T110" s="30"/>
      <c r="U110" s="30"/>
      <c r="V110" s="30"/>
      <c r="W110" s="30"/>
      <c r="X110" s="30"/>
      <c r="Y110" s="30"/>
      <c r="Z110" s="30"/>
      <c r="AA110" s="30"/>
      <c r="AB110" s="30"/>
      <c r="AC110" s="30"/>
    </row>
    <row r="111" ht="15.75" customHeight="1">
      <c r="A111" s="30" t="s">
        <v>120</v>
      </c>
      <c r="B111" s="128">
        <v>2015.0</v>
      </c>
      <c r="C111" s="30" t="s">
        <v>28569</v>
      </c>
      <c r="D111" s="30" t="s">
        <v>28570</v>
      </c>
      <c r="E111" s="149" t="s">
        <v>28571</v>
      </c>
      <c r="F111" s="128">
        <v>105.0</v>
      </c>
      <c r="G111" s="128">
        <v>112.0</v>
      </c>
      <c r="H111" s="16"/>
      <c r="I111" s="16" t="s">
        <v>28</v>
      </c>
      <c r="J111" s="30" t="s">
        <v>28586</v>
      </c>
      <c r="K111" s="30" t="s">
        <v>29179</v>
      </c>
      <c r="L111" s="30" t="s">
        <v>29180</v>
      </c>
      <c r="M111" s="30" t="s">
        <v>860</v>
      </c>
      <c r="N111" s="30" t="s">
        <v>29181</v>
      </c>
      <c r="O111" s="130" t="s">
        <v>21675</v>
      </c>
      <c r="P111" s="16"/>
      <c r="Q111" s="128">
        <v>7347637.0</v>
      </c>
      <c r="R111" s="16"/>
      <c r="S111" s="144">
        <v>5652443.0</v>
      </c>
      <c r="T111" s="30"/>
      <c r="U111" s="30"/>
      <c r="V111" s="30"/>
      <c r="W111" s="30"/>
      <c r="X111" s="30"/>
      <c r="Y111" s="30"/>
      <c r="Z111" s="30"/>
      <c r="AA111" s="30"/>
      <c r="AB111" s="30"/>
      <c r="AC111" s="30"/>
    </row>
    <row r="112" ht="15.75" customHeight="1">
      <c r="A112" s="30" t="s">
        <v>120</v>
      </c>
      <c r="B112" s="128">
        <v>2015.0</v>
      </c>
      <c r="C112" s="16" t="s">
        <v>28447</v>
      </c>
      <c r="D112" s="16" t="s">
        <v>28448</v>
      </c>
      <c r="E112" s="148" t="s">
        <v>28449</v>
      </c>
      <c r="F112" s="143">
        <v>33.0</v>
      </c>
      <c r="G112" s="143">
        <v>40.0</v>
      </c>
      <c r="H112" s="16"/>
      <c r="I112" s="16" t="s">
        <v>28</v>
      </c>
      <c r="J112" s="16" t="s">
        <v>28456</v>
      </c>
      <c r="K112" s="16" t="s">
        <v>29182</v>
      </c>
      <c r="L112" s="16" t="s">
        <v>29183</v>
      </c>
      <c r="M112" s="16" t="s">
        <v>5349</v>
      </c>
      <c r="N112" s="16" t="s">
        <v>29184</v>
      </c>
      <c r="O112" s="130" t="s">
        <v>19321</v>
      </c>
      <c r="P112" s="16"/>
      <c r="Q112" s="143">
        <v>7347628.0</v>
      </c>
      <c r="R112" s="16"/>
      <c r="S112" s="144">
        <v>4677358.0</v>
      </c>
      <c r="T112" s="30"/>
      <c r="U112" s="30"/>
      <c r="V112" s="30"/>
      <c r="W112" s="30"/>
      <c r="X112" s="30"/>
      <c r="Y112" s="30"/>
      <c r="Z112" s="30"/>
      <c r="AA112" s="30"/>
      <c r="AB112" s="30"/>
      <c r="AC112" s="30"/>
    </row>
    <row r="113" ht="15.75" customHeight="1">
      <c r="A113" s="30" t="s">
        <v>120</v>
      </c>
      <c r="B113" s="128">
        <v>2015.0</v>
      </c>
      <c r="C113" s="30" t="s">
        <v>28512</v>
      </c>
      <c r="D113" s="30" t="s">
        <v>28513</v>
      </c>
      <c r="E113" s="139" t="s">
        <v>28514</v>
      </c>
      <c r="F113" s="143">
        <v>73.0</v>
      </c>
      <c r="G113" s="128">
        <v>80.0</v>
      </c>
      <c r="H113" s="16"/>
      <c r="I113" s="16" t="s">
        <v>28</v>
      </c>
      <c r="J113" s="30" t="s">
        <v>28519</v>
      </c>
      <c r="K113" s="30" t="s">
        <v>28520</v>
      </c>
      <c r="L113" s="30" t="s">
        <v>29189</v>
      </c>
      <c r="M113" s="30" t="s">
        <v>494</v>
      </c>
      <c r="N113" s="30" t="s">
        <v>28520</v>
      </c>
      <c r="O113" s="130" t="s">
        <v>28522</v>
      </c>
      <c r="P113" s="140" t="s">
        <v>28523</v>
      </c>
      <c r="Q113" s="128">
        <v>7347633.0</v>
      </c>
      <c r="R113" s="16"/>
      <c r="S113" s="141" t="s">
        <v>29192</v>
      </c>
      <c r="T113" s="30"/>
      <c r="U113" s="30"/>
      <c r="V113" s="30"/>
      <c r="W113" s="30"/>
      <c r="X113" s="30"/>
      <c r="Y113" s="30"/>
      <c r="Z113" s="30"/>
      <c r="AA113" s="30"/>
      <c r="AB113" s="30"/>
      <c r="AC113" s="30"/>
    </row>
    <row r="114" ht="15.75" customHeight="1">
      <c r="A114" s="30" t="s">
        <v>120</v>
      </c>
      <c r="B114" s="128">
        <v>2015.0</v>
      </c>
      <c r="C114" s="30" t="s">
        <v>28631</v>
      </c>
      <c r="D114" s="30" t="s">
        <v>28632</v>
      </c>
      <c r="E114" s="139" t="s">
        <v>28633</v>
      </c>
      <c r="F114" s="128">
        <v>195.0</v>
      </c>
      <c r="G114" s="128">
        <v>196.0</v>
      </c>
      <c r="H114" s="16" t="s">
        <v>18275</v>
      </c>
      <c r="I114" s="16" t="s">
        <v>21</v>
      </c>
      <c r="J114" s="30" t="s">
        <v>28634</v>
      </c>
      <c r="K114" s="30" t="s">
        <v>28636</v>
      </c>
      <c r="L114" s="30" t="s">
        <v>29198</v>
      </c>
      <c r="M114" s="30" t="s">
        <v>880</v>
      </c>
      <c r="N114" s="30" t="s">
        <v>28636</v>
      </c>
      <c r="O114" s="130"/>
      <c r="P114" s="16"/>
      <c r="Q114" s="128">
        <v>7347675.0</v>
      </c>
      <c r="R114" s="16"/>
      <c r="S114" s="16"/>
      <c r="T114" s="30"/>
      <c r="U114" s="30"/>
      <c r="V114" s="30"/>
      <c r="W114" s="30"/>
      <c r="X114" s="30"/>
      <c r="Y114" s="30"/>
      <c r="Z114" s="30"/>
      <c r="AA114" s="30"/>
      <c r="AB114" s="30"/>
      <c r="AC114" s="30"/>
    </row>
    <row r="115" ht="15.75" customHeight="1">
      <c r="A115" s="30" t="s">
        <v>120</v>
      </c>
      <c r="B115" s="128">
        <v>2015.0</v>
      </c>
      <c r="C115" s="16" t="s">
        <v>28366</v>
      </c>
      <c r="D115" s="16" t="s">
        <v>28368</v>
      </c>
      <c r="E115" s="148" t="s">
        <v>28369</v>
      </c>
      <c r="F115" s="143">
        <v>17.0</v>
      </c>
      <c r="G115" s="143">
        <v>24.0</v>
      </c>
      <c r="H115" s="16"/>
      <c r="I115" s="16" t="s">
        <v>28</v>
      </c>
      <c r="J115" s="16" t="s">
        <v>28375</v>
      </c>
      <c r="K115" s="16" t="s">
        <v>29208</v>
      </c>
      <c r="L115" s="16" t="s">
        <v>29209</v>
      </c>
      <c r="M115" s="16" t="s">
        <v>5349</v>
      </c>
      <c r="N115" s="16" t="s">
        <v>29208</v>
      </c>
      <c r="O115" s="130" t="s">
        <v>28381</v>
      </c>
      <c r="P115" s="140" t="s">
        <v>28382</v>
      </c>
      <c r="Q115" s="143">
        <v>7347626.0</v>
      </c>
      <c r="R115" s="16"/>
      <c r="S115" s="141" t="s">
        <v>29212</v>
      </c>
      <c r="T115" s="30"/>
      <c r="U115" s="30"/>
      <c r="V115" s="30"/>
      <c r="W115" s="30"/>
      <c r="X115" s="30"/>
      <c r="Y115" s="30"/>
      <c r="Z115" s="30"/>
      <c r="AA115" s="30"/>
      <c r="AB115" s="30"/>
      <c r="AC115" s="30"/>
    </row>
    <row r="116" ht="15.75" customHeight="1">
      <c r="A116" s="30" t="s">
        <v>120</v>
      </c>
      <c r="B116" s="128">
        <v>2015.0</v>
      </c>
      <c r="C116" s="30" t="s">
        <v>28638</v>
      </c>
      <c r="D116" s="30" t="s">
        <v>28639</v>
      </c>
      <c r="E116" s="139" t="s">
        <v>28640</v>
      </c>
      <c r="F116" s="128">
        <v>197.0</v>
      </c>
      <c r="G116" s="128">
        <v>198.0</v>
      </c>
      <c r="H116" s="16" t="s">
        <v>18275</v>
      </c>
      <c r="I116" s="16" t="s">
        <v>21</v>
      </c>
      <c r="J116" s="30" t="s">
        <v>28642</v>
      </c>
      <c r="K116" s="30" t="s">
        <v>29217</v>
      </c>
      <c r="L116" s="30" t="s">
        <v>29218</v>
      </c>
      <c r="M116" s="30" t="s">
        <v>1253</v>
      </c>
      <c r="N116" s="30" t="s">
        <v>29217</v>
      </c>
      <c r="O116" s="130"/>
      <c r="P116" s="16"/>
      <c r="Q116" s="128">
        <v>7347676.0</v>
      </c>
      <c r="R116" s="16"/>
      <c r="S116" s="16"/>
      <c r="T116" s="30"/>
      <c r="U116" s="30"/>
      <c r="V116" s="30"/>
      <c r="W116" s="30"/>
      <c r="X116" s="30"/>
      <c r="Y116" s="30"/>
      <c r="Z116" s="30"/>
      <c r="AA116" s="30"/>
      <c r="AB116" s="30"/>
      <c r="AC116" s="30"/>
    </row>
    <row r="117" ht="15.75" customHeight="1">
      <c r="A117" s="30" t="s">
        <v>120</v>
      </c>
      <c r="B117" s="128">
        <v>2015.0</v>
      </c>
      <c r="C117" s="30" t="s">
        <v>28108</v>
      </c>
      <c r="D117" s="30" t="s">
        <v>28109</v>
      </c>
      <c r="E117" s="139" t="s">
        <v>28110</v>
      </c>
      <c r="F117" s="128">
        <v>270.0</v>
      </c>
      <c r="G117" s="128">
        <v>279.0</v>
      </c>
      <c r="H117" s="16"/>
      <c r="I117" s="16" t="s">
        <v>17059</v>
      </c>
      <c r="J117" s="30" t="s">
        <v>28113</v>
      </c>
      <c r="K117" s="30" t="s">
        <v>29227</v>
      </c>
      <c r="L117" s="30" t="s">
        <v>23953</v>
      </c>
      <c r="M117" s="30" t="s">
        <v>23953</v>
      </c>
      <c r="N117" s="30" t="s">
        <v>29227</v>
      </c>
      <c r="O117" s="130" t="s">
        <v>28117</v>
      </c>
      <c r="P117" s="140" t="s">
        <v>28118</v>
      </c>
      <c r="Q117" s="128">
        <v>7192688.0</v>
      </c>
      <c r="R117" s="16"/>
      <c r="S117" s="141" t="s">
        <v>29232</v>
      </c>
      <c r="T117" s="30"/>
      <c r="U117" s="30"/>
      <c r="V117" s="30"/>
      <c r="W117" s="30"/>
      <c r="X117" s="30"/>
      <c r="Y117" s="30"/>
      <c r="Z117" s="30"/>
      <c r="AA117" s="30"/>
      <c r="AB117" s="30"/>
      <c r="AC117" s="30"/>
    </row>
    <row r="118" ht="15.75" customHeight="1">
      <c r="A118" s="30" t="s">
        <v>120</v>
      </c>
      <c r="B118" s="128">
        <v>2015.0</v>
      </c>
      <c r="C118" s="30" t="s">
        <v>28119</v>
      </c>
      <c r="D118" s="30" t="s">
        <v>28120</v>
      </c>
      <c r="E118" s="139" t="s">
        <v>28121</v>
      </c>
      <c r="F118" s="128">
        <v>200.0</v>
      </c>
      <c r="G118" s="128">
        <v>209.0</v>
      </c>
      <c r="H118" s="16"/>
      <c r="I118" s="16" t="s">
        <v>17059</v>
      </c>
      <c r="J118" s="30" t="s">
        <v>28123</v>
      </c>
      <c r="K118" s="30" t="s">
        <v>29238</v>
      </c>
      <c r="L118" s="30" t="s">
        <v>29239</v>
      </c>
      <c r="M118" s="30" t="s">
        <v>494</v>
      </c>
      <c r="N118" s="30" t="s">
        <v>29238</v>
      </c>
      <c r="O118" s="130" t="s">
        <v>28126</v>
      </c>
      <c r="P118" s="140" t="s">
        <v>28127</v>
      </c>
      <c r="Q118" s="128">
        <v>7192680.0</v>
      </c>
      <c r="R118" s="16"/>
      <c r="S118" s="141" t="s">
        <v>29240</v>
      </c>
      <c r="T118" s="30"/>
      <c r="U118" s="30"/>
      <c r="V118" s="30"/>
      <c r="W118" s="30"/>
      <c r="X118" s="30"/>
      <c r="Y118" s="30"/>
      <c r="Z118" s="30"/>
      <c r="AA118" s="30"/>
      <c r="AB118" s="30"/>
      <c r="AC118" s="30"/>
    </row>
    <row r="119" ht="15.75" customHeight="1">
      <c r="A119" s="30" t="s">
        <v>120</v>
      </c>
      <c r="B119" s="128">
        <v>2015.0</v>
      </c>
      <c r="C119" s="30" t="s">
        <v>28538</v>
      </c>
      <c r="D119" s="30" t="s">
        <v>28540</v>
      </c>
      <c r="E119" s="139" t="s">
        <v>28541</v>
      </c>
      <c r="F119" s="128">
        <v>89.0</v>
      </c>
      <c r="G119" s="128">
        <v>96.0</v>
      </c>
      <c r="H119" s="16"/>
      <c r="I119" s="16" t="s">
        <v>28</v>
      </c>
      <c r="J119" s="30" t="s">
        <v>28548</v>
      </c>
      <c r="K119" s="30" t="s">
        <v>29250</v>
      </c>
      <c r="L119" s="30" t="s">
        <v>29251</v>
      </c>
      <c r="M119" s="30" t="s">
        <v>880</v>
      </c>
      <c r="N119" s="30" t="s">
        <v>29250</v>
      </c>
      <c r="O119" s="130" t="s">
        <v>28552</v>
      </c>
      <c r="P119" s="140" t="s">
        <v>28553</v>
      </c>
      <c r="Q119" s="128">
        <v>7347635.0</v>
      </c>
      <c r="R119" s="16"/>
      <c r="S119" s="141" t="s">
        <v>29252</v>
      </c>
      <c r="T119" s="30"/>
      <c r="U119" s="30"/>
      <c r="V119" s="30"/>
      <c r="W119" s="30"/>
      <c r="X119" s="30"/>
      <c r="Y119" s="30"/>
      <c r="Z119" s="30"/>
      <c r="AA119" s="30"/>
      <c r="AB119" s="30"/>
      <c r="AC119" s="30"/>
    </row>
    <row r="120" ht="15.75" customHeight="1">
      <c r="A120" s="30" t="s">
        <v>120</v>
      </c>
      <c r="B120" s="128">
        <v>2015.0</v>
      </c>
      <c r="C120" s="30" t="s">
        <v>28085</v>
      </c>
      <c r="D120" s="30" t="s">
        <v>28086</v>
      </c>
      <c r="E120" s="139" t="s">
        <v>28087</v>
      </c>
      <c r="F120" s="128">
        <v>131.0</v>
      </c>
      <c r="G120" s="128">
        <v>140.0</v>
      </c>
      <c r="H120" s="16"/>
      <c r="I120" s="16" t="s">
        <v>17059</v>
      </c>
      <c r="J120" s="30" t="s">
        <v>28091</v>
      </c>
      <c r="K120" s="30" t="s">
        <v>29258</v>
      </c>
      <c r="L120" s="30" t="s">
        <v>5349</v>
      </c>
      <c r="M120" s="30" t="s">
        <v>5349</v>
      </c>
      <c r="N120" s="30" t="s">
        <v>29258</v>
      </c>
      <c r="O120" s="130" t="s">
        <v>28094</v>
      </c>
      <c r="P120" s="140" t="s">
        <v>28095</v>
      </c>
      <c r="Q120" s="128">
        <v>7192671.0</v>
      </c>
      <c r="R120" s="16"/>
      <c r="S120" s="141" t="s">
        <v>29259</v>
      </c>
      <c r="T120" s="30"/>
      <c r="U120" s="30"/>
      <c r="V120" s="30"/>
      <c r="W120" s="30"/>
      <c r="X120" s="30"/>
      <c r="Y120" s="30"/>
      <c r="Z120" s="30"/>
      <c r="AA120" s="30"/>
      <c r="AB120" s="30"/>
      <c r="AC120" s="30"/>
    </row>
    <row r="121" ht="15.75" customHeight="1">
      <c r="A121" s="30" t="s">
        <v>120</v>
      </c>
      <c r="B121" s="128">
        <v>2015.0</v>
      </c>
      <c r="C121" s="16" t="s">
        <v>28471</v>
      </c>
      <c r="D121" s="16" t="s">
        <v>28472</v>
      </c>
      <c r="E121" s="148" t="s">
        <v>28473</v>
      </c>
      <c r="F121" s="143">
        <v>49.0</v>
      </c>
      <c r="G121" s="143">
        <v>56.0</v>
      </c>
      <c r="H121" s="16"/>
      <c r="I121" s="16" t="s">
        <v>28</v>
      </c>
      <c r="J121" s="16" t="s">
        <v>28479</v>
      </c>
      <c r="K121" s="16" t="s">
        <v>29263</v>
      </c>
      <c r="L121" s="16" t="s">
        <v>29264</v>
      </c>
      <c r="M121" s="16" t="s">
        <v>13886</v>
      </c>
      <c r="N121" s="16" t="s">
        <v>29263</v>
      </c>
      <c r="O121" s="130" t="s">
        <v>28482</v>
      </c>
      <c r="P121" s="140" t="s">
        <v>28483</v>
      </c>
      <c r="Q121" s="143">
        <v>7347630.0</v>
      </c>
      <c r="R121" s="16"/>
      <c r="S121" s="141" t="s">
        <v>29265</v>
      </c>
      <c r="T121" s="30"/>
      <c r="U121" s="30"/>
      <c r="V121" s="30"/>
      <c r="W121" s="30"/>
      <c r="X121" s="30"/>
      <c r="Y121" s="30"/>
      <c r="Z121" s="30"/>
      <c r="AA121" s="30"/>
      <c r="AB121" s="30"/>
      <c r="AC121" s="30"/>
    </row>
    <row r="122" ht="15.75" customHeight="1">
      <c r="A122" s="30" t="s">
        <v>120</v>
      </c>
      <c r="B122" s="128">
        <v>2015.0</v>
      </c>
      <c r="C122" s="30" t="s">
        <v>28249</v>
      </c>
      <c r="D122" s="30" t="s">
        <v>28250</v>
      </c>
      <c r="E122" s="139" t="s">
        <v>28251</v>
      </c>
      <c r="F122" s="128">
        <v>290.0</v>
      </c>
      <c r="G122" s="128">
        <v>299.0</v>
      </c>
      <c r="H122" s="16"/>
      <c r="I122" s="16" t="s">
        <v>17059</v>
      </c>
      <c r="J122" s="30" t="s">
        <v>28258</v>
      </c>
      <c r="K122" s="30" t="s">
        <v>29274</v>
      </c>
      <c r="L122" s="30" t="s">
        <v>860</v>
      </c>
      <c r="M122" s="30" t="s">
        <v>860</v>
      </c>
      <c r="N122" s="30" t="s">
        <v>29275</v>
      </c>
      <c r="O122" s="130" t="s">
        <v>28262</v>
      </c>
      <c r="P122" s="140" t="s">
        <v>28263</v>
      </c>
      <c r="Q122" s="128">
        <v>7192703.0</v>
      </c>
      <c r="R122" s="16"/>
      <c r="S122" s="141" t="s">
        <v>29276</v>
      </c>
      <c r="T122" s="30"/>
      <c r="U122" s="30"/>
      <c r="V122" s="30"/>
      <c r="W122" s="30"/>
      <c r="X122" s="30"/>
      <c r="Y122" s="30"/>
      <c r="Z122" s="30"/>
      <c r="AA122" s="30"/>
      <c r="AB122" s="30"/>
      <c r="AC122" s="30"/>
    </row>
    <row r="123" ht="15.75" customHeight="1">
      <c r="A123" s="30" t="s">
        <v>120</v>
      </c>
      <c r="B123" s="128">
        <v>2015.0</v>
      </c>
      <c r="C123" s="16" t="s">
        <v>28353</v>
      </c>
      <c r="D123" s="16" t="s">
        <v>28354</v>
      </c>
      <c r="E123" s="148" t="s">
        <v>28355</v>
      </c>
      <c r="F123" s="143">
        <v>9.0</v>
      </c>
      <c r="G123" s="143">
        <v>16.0</v>
      </c>
      <c r="H123" s="16"/>
      <c r="I123" s="16" t="s">
        <v>28</v>
      </c>
      <c r="J123" s="16" t="s">
        <v>28359</v>
      </c>
      <c r="K123" s="16" t="s">
        <v>29282</v>
      </c>
      <c r="L123" s="16" t="s">
        <v>29284</v>
      </c>
      <c r="M123" s="16" t="s">
        <v>1253</v>
      </c>
      <c r="N123" s="16" t="s">
        <v>29286</v>
      </c>
      <c r="O123" s="130" t="s">
        <v>28363</v>
      </c>
      <c r="P123" s="140" t="s">
        <v>28364</v>
      </c>
      <c r="Q123" s="143">
        <v>7347625.0</v>
      </c>
      <c r="R123" s="16"/>
      <c r="S123" s="141" t="s">
        <v>29288</v>
      </c>
      <c r="T123" s="30"/>
      <c r="U123" s="30"/>
      <c r="V123" s="30"/>
      <c r="W123" s="30"/>
      <c r="X123" s="30"/>
      <c r="Y123" s="30"/>
      <c r="Z123" s="30"/>
      <c r="AA123" s="30"/>
      <c r="AB123" s="30"/>
      <c r="AC123" s="30"/>
    </row>
    <row r="124" ht="15.75" customHeight="1">
      <c r="A124" s="30" t="s">
        <v>120</v>
      </c>
      <c r="B124" s="128">
        <v>2015.0</v>
      </c>
      <c r="C124" s="30" t="s">
        <v>28280</v>
      </c>
      <c r="D124" s="30" t="s">
        <v>28281</v>
      </c>
      <c r="E124" s="139" t="s">
        <v>28282</v>
      </c>
      <c r="F124" s="128">
        <v>11.0</v>
      </c>
      <c r="G124" s="128">
        <v>20.0</v>
      </c>
      <c r="H124" s="16"/>
      <c r="I124" s="16" t="s">
        <v>17059</v>
      </c>
      <c r="J124" s="30" t="s">
        <v>28288</v>
      </c>
      <c r="K124" s="30" t="s">
        <v>29289</v>
      </c>
      <c r="L124" s="30" t="s">
        <v>29290</v>
      </c>
      <c r="M124" s="30" t="s">
        <v>860</v>
      </c>
      <c r="N124" s="30" t="s">
        <v>29289</v>
      </c>
      <c r="O124" s="130" t="s">
        <v>28292</v>
      </c>
      <c r="P124" s="140" t="s">
        <v>28293</v>
      </c>
      <c r="Q124" s="128">
        <v>7192732.0</v>
      </c>
      <c r="R124" s="16"/>
      <c r="S124" s="141" t="s">
        <v>29292</v>
      </c>
      <c r="T124" s="30"/>
      <c r="U124" s="30"/>
      <c r="V124" s="30"/>
      <c r="W124" s="30"/>
      <c r="X124" s="30"/>
      <c r="Y124" s="30"/>
      <c r="Z124" s="30"/>
      <c r="AA124" s="30"/>
      <c r="AB124" s="30"/>
      <c r="AC124" s="30"/>
    </row>
    <row r="125" ht="15.75" customHeight="1">
      <c r="A125" s="30" t="s">
        <v>120</v>
      </c>
      <c r="B125" s="128">
        <v>2015.0</v>
      </c>
      <c r="C125" s="30" t="s">
        <v>28319</v>
      </c>
      <c r="D125" s="30" t="s">
        <v>28320</v>
      </c>
      <c r="E125" s="139" t="s">
        <v>28321</v>
      </c>
      <c r="F125" s="128">
        <v>21.0</v>
      </c>
      <c r="G125" s="128">
        <v>30.0</v>
      </c>
      <c r="H125" s="16"/>
      <c r="I125" s="16" t="s">
        <v>17059</v>
      </c>
      <c r="J125" s="30" t="s">
        <v>28327</v>
      </c>
      <c r="K125" s="30" t="s">
        <v>29301</v>
      </c>
      <c r="L125" s="30" t="s">
        <v>29302</v>
      </c>
      <c r="M125" s="30" t="s">
        <v>494</v>
      </c>
      <c r="N125" s="30" t="s">
        <v>29301</v>
      </c>
      <c r="O125" s="130" t="s">
        <v>28330</v>
      </c>
      <c r="P125" s="140" t="s">
        <v>28331</v>
      </c>
      <c r="Q125" s="128">
        <v>7194831.0</v>
      </c>
      <c r="R125" s="16"/>
      <c r="S125" s="141" t="s">
        <v>29303</v>
      </c>
      <c r="T125" s="30"/>
      <c r="U125" s="30"/>
      <c r="V125" s="30"/>
      <c r="W125" s="30"/>
      <c r="X125" s="30"/>
      <c r="Y125" s="30"/>
      <c r="Z125" s="30"/>
      <c r="AA125" s="30"/>
      <c r="AB125" s="30"/>
      <c r="AC125" s="30"/>
    </row>
    <row r="126" ht="15.75" customHeight="1">
      <c r="A126" s="30" t="s">
        <v>120</v>
      </c>
      <c r="B126" s="128">
        <v>2015.0</v>
      </c>
      <c r="C126" s="30" t="s">
        <v>28152</v>
      </c>
      <c r="D126" s="30" t="s">
        <v>28153</v>
      </c>
      <c r="E126" s="139" t="s">
        <v>28154</v>
      </c>
      <c r="F126" s="128">
        <v>101.0</v>
      </c>
      <c r="G126" s="128">
        <v>110.0</v>
      </c>
      <c r="H126" s="16"/>
      <c r="I126" s="16" t="s">
        <v>17059</v>
      </c>
      <c r="J126" s="30" t="s">
        <v>28156</v>
      </c>
      <c r="K126" s="30" t="s">
        <v>29309</v>
      </c>
      <c r="L126" s="30" t="s">
        <v>1253</v>
      </c>
      <c r="M126" s="30" t="s">
        <v>1253</v>
      </c>
      <c r="N126" s="30" t="s">
        <v>29309</v>
      </c>
      <c r="O126" s="130" t="s">
        <v>28160</v>
      </c>
      <c r="P126" s="140" t="s">
        <v>28161</v>
      </c>
      <c r="Q126" s="128">
        <v>7192670.0</v>
      </c>
      <c r="R126" s="16"/>
      <c r="S126" s="141" t="s">
        <v>29310</v>
      </c>
      <c r="T126" s="30"/>
      <c r="U126" s="30"/>
      <c r="V126" s="30"/>
      <c r="W126" s="30"/>
      <c r="X126" s="30"/>
      <c r="Y126" s="30"/>
      <c r="Z126" s="30"/>
      <c r="AA126" s="30"/>
      <c r="AB126" s="30"/>
      <c r="AC126" s="30"/>
    </row>
    <row r="127" ht="15.75" customHeight="1">
      <c r="A127" s="30" t="s">
        <v>120</v>
      </c>
      <c r="B127" s="128">
        <v>2015.0</v>
      </c>
      <c r="C127" s="30" t="s">
        <v>28264</v>
      </c>
      <c r="D127" s="30" t="s">
        <v>28265</v>
      </c>
      <c r="E127" s="139" t="s">
        <v>28266</v>
      </c>
      <c r="F127" s="128">
        <v>1.0</v>
      </c>
      <c r="G127" s="128">
        <v>10.0</v>
      </c>
      <c r="H127" s="16"/>
      <c r="I127" s="16" t="s">
        <v>17059</v>
      </c>
      <c r="J127" s="30" t="s">
        <v>28272</v>
      </c>
      <c r="K127" s="30" t="s">
        <v>29314</v>
      </c>
      <c r="L127" s="30" t="s">
        <v>5349</v>
      </c>
      <c r="M127" s="30" t="s">
        <v>5349</v>
      </c>
      <c r="N127" s="30" t="s">
        <v>29314</v>
      </c>
      <c r="O127" s="130" t="s">
        <v>28278</v>
      </c>
      <c r="P127" s="140" t="s">
        <v>28279</v>
      </c>
      <c r="Q127" s="128">
        <v>7192717.0</v>
      </c>
      <c r="R127" s="16"/>
      <c r="S127" s="141" t="s">
        <v>29315</v>
      </c>
      <c r="T127" s="30"/>
      <c r="U127" s="30"/>
      <c r="V127" s="30"/>
      <c r="W127" s="30"/>
      <c r="X127" s="30"/>
      <c r="Y127" s="30"/>
      <c r="Z127" s="30"/>
      <c r="AA127" s="30"/>
      <c r="AB127" s="30"/>
      <c r="AC127" s="30"/>
    </row>
    <row r="128" ht="15.75" customHeight="1">
      <c r="A128" s="30" t="s">
        <v>120</v>
      </c>
      <c r="B128" s="128">
        <v>2015.0</v>
      </c>
      <c r="C128" s="30" t="s">
        <v>28051</v>
      </c>
      <c r="D128" s="30" t="s">
        <v>28052</v>
      </c>
      <c r="E128" s="139" t="s">
        <v>28053</v>
      </c>
      <c r="F128" s="128">
        <v>41.0</v>
      </c>
      <c r="G128" s="128">
        <v>50.0</v>
      </c>
      <c r="H128" s="16"/>
      <c r="I128" s="16" t="s">
        <v>17059</v>
      </c>
      <c r="J128" s="30" t="s">
        <v>28058</v>
      </c>
      <c r="K128" s="30" t="s">
        <v>29321</v>
      </c>
      <c r="L128" s="30" t="s">
        <v>860</v>
      </c>
      <c r="M128" s="30" t="s">
        <v>860</v>
      </c>
      <c r="N128" s="30" t="s">
        <v>29321</v>
      </c>
      <c r="O128" s="130" t="s">
        <v>28062</v>
      </c>
      <c r="P128" s="140" t="s">
        <v>28063</v>
      </c>
      <c r="Q128" s="128">
        <v>7194834.0</v>
      </c>
      <c r="R128" s="16"/>
      <c r="S128" s="141" t="s">
        <v>29325</v>
      </c>
      <c r="T128" s="30"/>
      <c r="U128" s="30"/>
      <c r="V128" s="30"/>
      <c r="W128" s="30"/>
      <c r="X128" s="30"/>
      <c r="Y128" s="30"/>
      <c r="Z128" s="30"/>
      <c r="AA128" s="30"/>
      <c r="AB128" s="30"/>
      <c r="AC128" s="30"/>
    </row>
    <row r="129" ht="15.75" customHeight="1">
      <c r="A129" s="30" t="s">
        <v>120</v>
      </c>
      <c r="B129" s="128">
        <v>2015.0</v>
      </c>
      <c r="C129" s="30" t="s">
        <v>28712</v>
      </c>
      <c r="D129" s="30" t="s">
        <v>28713</v>
      </c>
      <c r="E129" s="139" t="s">
        <v>28714</v>
      </c>
      <c r="F129" s="128">
        <v>213.0</v>
      </c>
      <c r="G129" s="128">
        <v>214.0</v>
      </c>
      <c r="H129" s="16" t="s">
        <v>18275</v>
      </c>
      <c r="I129" s="16" t="s">
        <v>21</v>
      </c>
      <c r="J129" s="30" t="s">
        <v>28719</v>
      </c>
      <c r="K129" s="30" t="s">
        <v>29326</v>
      </c>
      <c r="L129" s="30" t="s">
        <v>27982</v>
      </c>
      <c r="M129" s="30" t="s">
        <v>5349</v>
      </c>
      <c r="N129" s="30" t="s">
        <v>29326</v>
      </c>
      <c r="O129" s="130"/>
      <c r="P129" s="16"/>
      <c r="Q129" s="128">
        <v>7347684.0</v>
      </c>
      <c r="R129" s="16"/>
      <c r="S129" s="16"/>
      <c r="T129" s="30"/>
      <c r="U129" s="30"/>
      <c r="V129" s="30"/>
      <c r="W129" s="30"/>
      <c r="X129" s="30"/>
      <c r="Y129" s="30"/>
      <c r="Z129" s="30"/>
      <c r="AA129" s="30"/>
      <c r="AB129" s="30"/>
      <c r="AC129" s="30"/>
    </row>
    <row r="130" ht="15.75" customHeight="1">
      <c r="A130" s="30" t="s">
        <v>120</v>
      </c>
      <c r="B130" s="128">
        <v>2015.0</v>
      </c>
      <c r="C130" s="30" t="s">
        <v>28619</v>
      </c>
      <c r="D130" s="30" t="s">
        <v>28620</v>
      </c>
      <c r="E130" s="139" t="s">
        <v>28621</v>
      </c>
      <c r="F130" s="128">
        <v>191.0</v>
      </c>
      <c r="G130" s="128">
        <v>192.0</v>
      </c>
      <c r="H130" s="16" t="s">
        <v>18275</v>
      </c>
      <c r="I130" s="16" t="s">
        <v>21</v>
      </c>
      <c r="J130" s="16"/>
      <c r="K130" s="30" t="s">
        <v>29335</v>
      </c>
      <c r="L130" s="30" t="s">
        <v>880</v>
      </c>
      <c r="M130" s="30" t="s">
        <v>880</v>
      </c>
      <c r="N130" s="30" t="s">
        <v>29335</v>
      </c>
      <c r="O130" s="130"/>
      <c r="P130" s="16"/>
      <c r="Q130" s="128">
        <v>7347673.0</v>
      </c>
      <c r="R130" s="16"/>
      <c r="S130" s="16"/>
      <c r="T130" s="30"/>
      <c r="U130" s="30"/>
      <c r="V130" s="30"/>
      <c r="W130" s="30"/>
      <c r="X130" s="30"/>
      <c r="Y130" s="30"/>
      <c r="Z130" s="30"/>
      <c r="AA130" s="30"/>
      <c r="AB130" s="30"/>
      <c r="AC130" s="30"/>
    </row>
    <row r="131" ht="15.75" customHeight="1">
      <c r="A131" s="30" t="s">
        <v>120</v>
      </c>
      <c r="B131" s="128">
        <v>2015.0</v>
      </c>
      <c r="C131" s="16" t="s">
        <v>28459</v>
      </c>
      <c r="D131" s="16" t="s">
        <v>28460</v>
      </c>
      <c r="E131" s="148" t="s">
        <v>28461</v>
      </c>
      <c r="F131" s="143">
        <v>41.0</v>
      </c>
      <c r="G131" s="143">
        <v>48.0</v>
      </c>
      <c r="H131" s="16"/>
      <c r="I131" s="16" t="s">
        <v>28</v>
      </c>
      <c r="J131" s="16" t="s">
        <v>28465</v>
      </c>
      <c r="K131" s="16" t="s">
        <v>29340</v>
      </c>
      <c r="L131" s="16" t="s">
        <v>29341</v>
      </c>
      <c r="M131" s="16" t="s">
        <v>23953</v>
      </c>
      <c r="N131" s="16" t="s">
        <v>29340</v>
      </c>
      <c r="O131" s="130" t="s">
        <v>28470</v>
      </c>
      <c r="P131" s="16"/>
      <c r="Q131" s="143">
        <v>7347629.0</v>
      </c>
      <c r="R131" s="16"/>
      <c r="S131" s="141" t="s">
        <v>29345</v>
      </c>
      <c r="T131" s="30"/>
      <c r="U131" s="30"/>
      <c r="V131" s="30"/>
      <c r="W131" s="30"/>
      <c r="X131" s="30"/>
      <c r="Y131" s="30"/>
      <c r="Z131" s="30"/>
      <c r="AA131" s="30"/>
      <c r="AB131" s="30"/>
      <c r="AC131" s="30"/>
    </row>
    <row r="132" ht="15.75" customHeight="1">
      <c r="A132" s="30" t="s">
        <v>120</v>
      </c>
      <c r="B132" s="128">
        <v>2015.0</v>
      </c>
      <c r="C132" s="30" t="s">
        <v>28138</v>
      </c>
      <c r="D132" s="30" t="s">
        <v>28139</v>
      </c>
      <c r="E132" s="139" t="s">
        <v>28140</v>
      </c>
      <c r="F132" s="128">
        <v>91.0</v>
      </c>
      <c r="G132" s="128">
        <v>100.0</v>
      </c>
      <c r="H132" s="16"/>
      <c r="I132" s="16" t="s">
        <v>17059</v>
      </c>
      <c r="J132" s="30" t="s">
        <v>28144</v>
      </c>
      <c r="K132" s="30" t="s">
        <v>29348</v>
      </c>
      <c r="L132" s="30" t="s">
        <v>494</v>
      </c>
      <c r="M132" s="30" t="s">
        <v>494</v>
      </c>
      <c r="N132" s="30" t="s">
        <v>29348</v>
      </c>
      <c r="O132" s="130" t="s">
        <v>28147</v>
      </c>
      <c r="P132" s="140" t="s">
        <v>28148</v>
      </c>
      <c r="Q132" s="128">
        <v>7192665.0</v>
      </c>
      <c r="R132" s="16"/>
      <c r="S132" s="141" t="s">
        <v>29354</v>
      </c>
      <c r="T132" s="30"/>
      <c r="U132" s="30"/>
      <c r="V132" s="30"/>
      <c r="W132" s="30"/>
      <c r="X132" s="30"/>
      <c r="Y132" s="30"/>
      <c r="Z132" s="30"/>
      <c r="AA132" s="30"/>
      <c r="AB132" s="30"/>
      <c r="AC132" s="30"/>
    </row>
    <row r="133" ht="15.75" customHeight="1">
      <c r="A133" s="30" t="s">
        <v>120</v>
      </c>
      <c r="B133" s="128">
        <v>2015.0</v>
      </c>
      <c r="C133" s="30" t="s">
        <v>27889</v>
      </c>
      <c r="D133" s="30" t="s">
        <v>27890</v>
      </c>
      <c r="E133" s="139" t="s">
        <v>27892</v>
      </c>
      <c r="F133" s="128">
        <v>280.0</v>
      </c>
      <c r="G133" s="128">
        <v>289.0</v>
      </c>
      <c r="H133" s="16"/>
      <c r="I133" s="16" t="s">
        <v>17059</v>
      </c>
      <c r="J133" s="30" t="s">
        <v>27894</v>
      </c>
      <c r="K133" s="30" t="s">
        <v>29358</v>
      </c>
      <c r="L133" s="30" t="s">
        <v>860</v>
      </c>
      <c r="M133" s="30" t="s">
        <v>860</v>
      </c>
      <c r="N133" s="30" t="s">
        <v>29358</v>
      </c>
      <c r="O133" s="130" t="s">
        <v>27898</v>
      </c>
      <c r="P133" s="140" t="s">
        <v>27899</v>
      </c>
      <c r="Q133" s="128">
        <v>7185421.0</v>
      </c>
      <c r="R133" s="16"/>
      <c r="S133" s="141" t="s">
        <v>29359</v>
      </c>
      <c r="T133" s="30"/>
      <c r="U133" s="30"/>
      <c r="V133" s="30"/>
      <c r="W133" s="30"/>
      <c r="X133" s="30"/>
      <c r="Y133" s="30"/>
      <c r="Z133" s="30"/>
      <c r="AA133" s="30"/>
      <c r="AB133" s="30"/>
      <c r="AC133" s="30"/>
    </row>
    <row r="134" ht="15.75" customHeight="1">
      <c r="A134" s="30" t="s">
        <v>120</v>
      </c>
      <c r="B134" s="128">
        <v>2015.0</v>
      </c>
      <c r="C134" s="30" t="s">
        <v>28097</v>
      </c>
      <c r="D134" s="30" t="s">
        <v>28098</v>
      </c>
      <c r="E134" s="139" t="s">
        <v>28099</v>
      </c>
      <c r="F134" s="128">
        <v>320.0</v>
      </c>
      <c r="G134" s="128">
        <v>329.0</v>
      </c>
      <c r="H134" s="16"/>
      <c r="I134" s="16" t="s">
        <v>17059</v>
      </c>
      <c r="J134" s="30" t="s">
        <v>28103</v>
      </c>
      <c r="K134" s="30" t="s">
        <v>29369</v>
      </c>
      <c r="L134" s="30" t="s">
        <v>29370</v>
      </c>
      <c r="M134" s="30" t="s">
        <v>178</v>
      </c>
      <c r="N134" s="30" t="s">
        <v>29369</v>
      </c>
      <c r="O134" s="130" t="s">
        <v>28106</v>
      </c>
      <c r="P134" s="140" t="s">
        <v>26813</v>
      </c>
      <c r="Q134" s="128">
        <v>7194832.0</v>
      </c>
      <c r="R134" s="16"/>
      <c r="S134" s="141" t="s">
        <v>29371</v>
      </c>
      <c r="T134" s="30"/>
      <c r="U134" s="30"/>
      <c r="V134" s="30"/>
      <c r="W134" s="30"/>
      <c r="X134" s="30"/>
      <c r="Y134" s="30"/>
      <c r="Z134" s="30"/>
      <c r="AA134" s="30"/>
      <c r="AB134" s="30"/>
      <c r="AC134" s="30"/>
    </row>
    <row r="135" ht="15.75" customHeight="1">
      <c r="A135" s="30" t="s">
        <v>120</v>
      </c>
      <c r="B135" s="128">
        <v>2015.0</v>
      </c>
      <c r="C135" s="30" t="s">
        <v>28700</v>
      </c>
      <c r="D135" s="30" t="s">
        <v>28701</v>
      </c>
      <c r="E135" s="139" t="s">
        <v>28702</v>
      </c>
      <c r="F135" s="128">
        <v>211.0</v>
      </c>
      <c r="G135" s="128">
        <v>212.0</v>
      </c>
      <c r="H135" s="16" t="s">
        <v>18275</v>
      </c>
      <c r="I135" s="16" t="s">
        <v>21</v>
      </c>
      <c r="J135" s="30" t="s">
        <v>28708</v>
      </c>
      <c r="K135" s="30" t="s">
        <v>29378</v>
      </c>
      <c r="L135" s="30" t="s">
        <v>29379</v>
      </c>
      <c r="M135" s="30" t="s">
        <v>5349</v>
      </c>
      <c r="N135" s="30" t="s">
        <v>29378</v>
      </c>
      <c r="O135" s="130"/>
      <c r="P135" s="16"/>
      <c r="Q135" s="128">
        <v>7347683.0</v>
      </c>
      <c r="R135" s="16"/>
      <c r="S135" s="16"/>
      <c r="T135" s="30"/>
      <c r="U135" s="30"/>
      <c r="V135" s="30"/>
      <c r="W135" s="30"/>
      <c r="X135" s="30"/>
      <c r="Y135" s="30"/>
      <c r="Z135" s="30"/>
      <c r="AA135" s="30"/>
      <c r="AB135" s="30"/>
      <c r="AC135" s="30"/>
    </row>
    <row r="136" ht="15.75" customHeight="1">
      <c r="A136" s="30" t="s">
        <v>120</v>
      </c>
      <c r="B136" s="128">
        <v>2015.0</v>
      </c>
      <c r="C136" s="30" t="s">
        <v>27931</v>
      </c>
      <c r="D136" s="30" t="s">
        <v>27932</v>
      </c>
      <c r="E136" s="139" t="s">
        <v>27933</v>
      </c>
      <c r="F136" s="128">
        <v>141.0</v>
      </c>
      <c r="G136" s="128">
        <v>150.0</v>
      </c>
      <c r="H136" s="16"/>
      <c r="I136" s="16" t="s">
        <v>17059</v>
      </c>
      <c r="J136" s="30" t="s">
        <v>27935</v>
      </c>
      <c r="K136" s="30" t="s">
        <v>29383</v>
      </c>
      <c r="L136" s="30" t="s">
        <v>23066</v>
      </c>
      <c r="M136" s="30" t="s">
        <v>5349</v>
      </c>
      <c r="N136" s="30" t="s">
        <v>29383</v>
      </c>
      <c r="O136" s="130" t="s">
        <v>27939</v>
      </c>
      <c r="P136" s="140" t="s">
        <v>27940</v>
      </c>
      <c r="Q136" s="128">
        <v>7192673.0</v>
      </c>
      <c r="R136" s="16"/>
      <c r="S136" s="141" t="s">
        <v>29384</v>
      </c>
      <c r="T136" s="30"/>
      <c r="U136" s="30"/>
      <c r="V136" s="30"/>
      <c r="W136" s="30"/>
      <c r="X136" s="30"/>
      <c r="Y136" s="30"/>
      <c r="Z136" s="30"/>
      <c r="AA136" s="30"/>
      <c r="AB136" s="30"/>
      <c r="AC136" s="30"/>
    </row>
    <row r="137" ht="15.75" customHeight="1">
      <c r="A137" s="30" t="s">
        <v>120</v>
      </c>
      <c r="B137" s="128">
        <v>2015.0</v>
      </c>
      <c r="C137" s="30" t="s">
        <v>27923</v>
      </c>
      <c r="D137" s="30" t="s">
        <v>27924</v>
      </c>
      <c r="E137" s="139" t="s">
        <v>27925</v>
      </c>
      <c r="F137" s="128">
        <v>121.0</v>
      </c>
      <c r="G137" s="128">
        <v>130.0</v>
      </c>
      <c r="H137" s="16"/>
      <c r="I137" s="16" t="s">
        <v>17059</v>
      </c>
      <c r="J137" s="30" t="s">
        <v>27926</v>
      </c>
      <c r="K137" s="30" t="s">
        <v>29390</v>
      </c>
      <c r="L137" s="30" t="s">
        <v>178</v>
      </c>
      <c r="M137" s="30" t="s">
        <v>178</v>
      </c>
      <c r="N137" s="30" t="s">
        <v>29390</v>
      </c>
      <c r="O137" s="130" t="s">
        <v>27929</v>
      </c>
      <c r="P137" s="140" t="s">
        <v>27930</v>
      </c>
      <c r="Q137" s="128">
        <v>7194836.0</v>
      </c>
      <c r="R137" s="16"/>
      <c r="S137" s="141" t="s">
        <v>29392</v>
      </c>
      <c r="T137" s="30"/>
      <c r="U137" s="30"/>
      <c r="V137" s="30"/>
      <c r="W137" s="30"/>
      <c r="X137" s="30"/>
      <c r="Y137" s="30"/>
      <c r="Z137" s="30"/>
      <c r="AA137" s="30"/>
      <c r="AB137" s="30"/>
      <c r="AC137" s="30"/>
    </row>
    <row r="138" ht="15.75" customHeight="1">
      <c r="A138" s="30" t="s">
        <v>120</v>
      </c>
      <c r="B138" s="128">
        <v>2015.0</v>
      </c>
      <c r="C138" s="30" t="s">
        <v>27962</v>
      </c>
      <c r="D138" s="30" t="s">
        <v>27963</v>
      </c>
      <c r="E138" s="139" t="s">
        <v>27964</v>
      </c>
      <c r="F138" s="128">
        <v>240.0</v>
      </c>
      <c r="G138" s="128">
        <v>249.0</v>
      </c>
      <c r="H138" s="16"/>
      <c r="I138" s="16" t="s">
        <v>17059</v>
      </c>
      <c r="J138" s="30" t="s">
        <v>27967</v>
      </c>
      <c r="K138" s="30" t="s">
        <v>29396</v>
      </c>
      <c r="L138" s="30" t="s">
        <v>880</v>
      </c>
      <c r="M138" s="30" t="s">
        <v>880</v>
      </c>
      <c r="N138" s="30" t="s">
        <v>29396</v>
      </c>
      <c r="O138" s="130" t="s">
        <v>28039</v>
      </c>
      <c r="P138" s="140" t="s">
        <v>28040</v>
      </c>
      <c r="Q138" s="128">
        <v>7192716.0</v>
      </c>
      <c r="R138" s="16"/>
      <c r="S138" s="141" t="s">
        <v>29397</v>
      </c>
      <c r="T138" s="30"/>
      <c r="U138" s="30"/>
      <c r="V138" s="30"/>
      <c r="W138" s="30"/>
      <c r="X138" s="30"/>
      <c r="Y138" s="30"/>
      <c r="Z138" s="30"/>
      <c r="AA138" s="30"/>
      <c r="AB138" s="30"/>
      <c r="AC138" s="30"/>
    </row>
    <row r="139" ht="15.75" customHeight="1">
      <c r="A139" s="30" t="s">
        <v>120</v>
      </c>
      <c r="B139" s="128">
        <v>2015.0</v>
      </c>
      <c r="C139" s="30" t="s">
        <v>28207</v>
      </c>
      <c r="D139" s="30" t="s">
        <v>28208</v>
      </c>
      <c r="E139" s="139" t="s">
        <v>28209</v>
      </c>
      <c r="F139" s="128">
        <v>230.0</v>
      </c>
      <c r="G139" s="128">
        <v>239.0</v>
      </c>
      <c r="H139" s="16"/>
      <c r="I139" s="16" t="s">
        <v>17059</v>
      </c>
      <c r="J139" s="30" t="s">
        <v>28211</v>
      </c>
      <c r="K139" s="30" t="s">
        <v>29406</v>
      </c>
      <c r="L139" s="30" t="s">
        <v>29407</v>
      </c>
      <c r="M139" s="30" t="s">
        <v>178</v>
      </c>
      <c r="N139" s="30" t="s">
        <v>29406</v>
      </c>
      <c r="O139" s="130" t="s">
        <v>28215</v>
      </c>
      <c r="P139" s="140" t="s">
        <v>28216</v>
      </c>
      <c r="Q139" s="128">
        <v>7192729.0</v>
      </c>
      <c r="R139" s="16"/>
      <c r="S139" s="141" t="s">
        <v>29409</v>
      </c>
      <c r="T139" s="30"/>
      <c r="U139" s="30"/>
      <c r="V139" s="30"/>
      <c r="W139" s="30"/>
      <c r="X139" s="30"/>
      <c r="Y139" s="30"/>
      <c r="Z139" s="30"/>
      <c r="AA139" s="30"/>
      <c r="AB139" s="30"/>
      <c r="AC139" s="30"/>
    </row>
    <row r="140" ht="15.75" customHeight="1">
      <c r="A140" s="30" t="s">
        <v>120</v>
      </c>
      <c r="B140" s="128">
        <v>2015.0</v>
      </c>
      <c r="C140" s="30" t="s">
        <v>27900</v>
      </c>
      <c r="D140" s="30" t="s">
        <v>27901</v>
      </c>
      <c r="E140" s="139" t="s">
        <v>27902</v>
      </c>
      <c r="F140" s="128">
        <v>300.0</v>
      </c>
      <c r="G140" s="128">
        <v>309.0</v>
      </c>
      <c r="H140" s="16"/>
      <c r="I140" s="16" t="s">
        <v>17059</v>
      </c>
      <c r="J140" s="30" t="s">
        <v>27906</v>
      </c>
      <c r="K140" s="30" t="s">
        <v>29410</v>
      </c>
      <c r="L140" s="30" t="s">
        <v>494</v>
      </c>
      <c r="M140" s="30" t="s">
        <v>494</v>
      </c>
      <c r="N140" s="30" t="s">
        <v>29410</v>
      </c>
      <c r="O140" s="130" t="s">
        <v>27910</v>
      </c>
      <c r="P140" s="140" t="s">
        <v>27911</v>
      </c>
      <c r="Q140" s="128">
        <v>7192669.0</v>
      </c>
      <c r="R140" s="16"/>
      <c r="S140" s="141" t="s">
        <v>29416</v>
      </c>
      <c r="T140" s="30"/>
      <c r="U140" s="30"/>
      <c r="V140" s="30"/>
      <c r="W140" s="30"/>
      <c r="X140" s="30"/>
      <c r="Y140" s="30"/>
      <c r="Z140" s="30"/>
      <c r="AA140" s="30"/>
      <c r="AB140" s="30"/>
      <c r="AC140" s="30"/>
    </row>
    <row r="141" ht="15.75" customHeight="1">
      <c r="A141" s="30" t="s">
        <v>120</v>
      </c>
      <c r="B141" s="128">
        <v>2015.0</v>
      </c>
      <c r="C141" s="30" t="s">
        <v>28688</v>
      </c>
      <c r="D141" s="30" t="s">
        <v>28689</v>
      </c>
      <c r="E141" s="139" t="s">
        <v>28690</v>
      </c>
      <c r="F141" s="128">
        <v>209.0</v>
      </c>
      <c r="G141" s="128">
        <v>210.0</v>
      </c>
      <c r="H141" s="16" t="s">
        <v>18275</v>
      </c>
      <c r="I141" s="16" t="s">
        <v>21</v>
      </c>
      <c r="J141" s="30" t="s">
        <v>28693</v>
      </c>
      <c r="K141" s="30" t="s">
        <v>29421</v>
      </c>
      <c r="L141" s="30" t="s">
        <v>880</v>
      </c>
      <c r="M141" s="30" t="s">
        <v>880</v>
      </c>
      <c r="N141" s="30" t="s">
        <v>29421</v>
      </c>
      <c r="O141" s="130"/>
      <c r="P141" s="16"/>
      <c r="Q141" s="128">
        <v>7347682.0</v>
      </c>
      <c r="R141" s="16"/>
      <c r="S141" s="16"/>
      <c r="T141" s="30"/>
      <c r="U141" s="30"/>
      <c r="V141" s="30"/>
      <c r="W141" s="30"/>
      <c r="X141" s="30"/>
      <c r="Y141" s="30"/>
      <c r="Z141" s="30"/>
      <c r="AA141" s="30"/>
      <c r="AB141" s="30"/>
      <c r="AC141" s="30"/>
    </row>
    <row r="142" ht="15.75" customHeight="1">
      <c r="A142" s="30" t="s">
        <v>120</v>
      </c>
      <c r="B142" s="128">
        <v>2015.0</v>
      </c>
      <c r="C142" s="30" t="s">
        <v>28677</v>
      </c>
      <c r="D142" s="30" t="s">
        <v>28678</v>
      </c>
      <c r="E142" s="139" t="s">
        <v>28679</v>
      </c>
      <c r="F142" s="128">
        <v>207.0</v>
      </c>
      <c r="G142" s="128">
        <v>208.0</v>
      </c>
      <c r="H142" s="16" t="s">
        <v>18275</v>
      </c>
      <c r="I142" s="16" t="s">
        <v>21</v>
      </c>
      <c r="J142" s="30" t="s">
        <v>28684</v>
      </c>
      <c r="K142" s="30" t="s">
        <v>29431</v>
      </c>
      <c r="L142" s="30" t="s">
        <v>29432</v>
      </c>
      <c r="M142" s="30" t="s">
        <v>5349</v>
      </c>
      <c r="N142" s="30" t="s">
        <v>29431</v>
      </c>
      <c r="O142" s="130"/>
      <c r="P142" s="16"/>
      <c r="Q142" s="128">
        <v>7347681.0</v>
      </c>
      <c r="R142" s="16"/>
      <c r="S142" s="16"/>
      <c r="T142" s="30"/>
      <c r="U142" s="30"/>
      <c r="V142" s="30"/>
      <c r="W142" s="30"/>
      <c r="X142" s="30"/>
      <c r="Y142" s="30"/>
      <c r="Z142" s="30"/>
      <c r="AA142" s="30"/>
      <c r="AB142" s="30"/>
      <c r="AC142" s="30"/>
    </row>
    <row r="143" ht="15.75" customHeight="1">
      <c r="A143" s="30" t="s">
        <v>120</v>
      </c>
      <c r="B143" s="128">
        <v>2015.0</v>
      </c>
      <c r="C143" s="30" t="s">
        <v>28173</v>
      </c>
      <c r="D143" s="30" t="s">
        <v>28174</v>
      </c>
      <c r="E143" s="139" t="s">
        <v>28175</v>
      </c>
      <c r="F143" s="128">
        <v>160.0</v>
      </c>
      <c r="G143" s="128">
        <v>169.0</v>
      </c>
      <c r="H143" s="16"/>
      <c r="I143" s="16" t="s">
        <v>17059</v>
      </c>
      <c r="J143" s="30" t="s">
        <v>28178</v>
      </c>
      <c r="K143" s="30" t="s">
        <v>29433</v>
      </c>
      <c r="L143" s="30" t="s">
        <v>860</v>
      </c>
      <c r="M143" s="30" t="s">
        <v>860</v>
      </c>
      <c r="N143" s="30" t="s">
        <v>29433</v>
      </c>
      <c r="O143" s="130" t="s">
        <v>28181</v>
      </c>
      <c r="P143" s="140" t="s">
        <v>28182</v>
      </c>
      <c r="Q143" s="128">
        <v>7192687.0</v>
      </c>
      <c r="R143" s="16"/>
      <c r="S143" s="141" t="s">
        <v>29436</v>
      </c>
      <c r="T143" s="30"/>
      <c r="U143" s="30"/>
      <c r="V143" s="30"/>
      <c r="W143" s="30"/>
      <c r="X143" s="30"/>
      <c r="Y143" s="30"/>
      <c r="Z143" s="30"/>
      <c r="AA143" s="30"/>
      <c r="AB143" s="30"/>
      <c r="AC143" s="30"/>
    </row>
    <row r="144" ht="15.75" customHeight="1">
      <c r="A144" s="30" t="s">
        <v>120</v>
      </c>
      <c r="B144" s="128">
        <v>2015.0</v>
      </c>
      <c r="C144" s="30" t="s">
        <v>28757</v>
      </c>
      <c r="D144" s="30" t="s">
        <v>28758</v>
      </c>
      <c r="E144" s="139" t="s">
        <v>28759</v>
      </c>
      <c r="F144" s="128">
        <v>221.0</v>
      </c>
      <c r="G144" s="128">
        <v>222.0</v>
      </c>
      <c r="H144" s="16" t="s">
        <v>18275</v>
      </c>
      <c r="I144" s="16" t="s">
        <v>21</v>
      </c>
      <c r="J144" s="30" t="s">
        <v>29444</v>
      </c>
      <c r="K144" s="30" t="s">
        <v>29445</v>
      </c>
      <c r="L144" s="30" t="s">
        <v>29446</v>
      </c>
      <c r="M144" s="30" t="s">
        <v>860</v>
      </c>
      <c r="N144" s="30" t="s">
        <v>29445</v>
      </c>
      <c r="O144" s="130"/>
      <c r="P144" s="16"/>
      <c r="Q144" s="128">
        <v>7347688.0</v>
      </c>
      <c r="R144" s="16"/>
      <c r="S144" s="16"/>
      <c r="T144" s="30"/>
      <c r="U144" s="30"/>
      <c r="V144" s="30"/>
      <c r="W144" s="30"/>
      <c r="X144" s="30"/>
      <c r="Y144" s="30"/>
      <c r="Z144" s="30"/>
      <c r="AA144" s="30"/>
      <c r="AB144" s="30"/>
      <c r="AC144" s="30"/>
    </row>
    <row r="145" ht="15.75" customHeight="1">
      <c r="A145" s="30" t="s">
        <v>120</v>
      </c>
      <c r="B145" s="128">
        <v>2015.0</v>
      </c>
      <c r="C145" s="30" t="s">
        <v>28734</v>
      </c>
      <c r="D145" s="30" t="s">
        <v>28735</v>
      </c>
      <c r="E145" s="139" t="s">
        <v>28736</v>
      </c>
      <c r="F145" s="128">
        <v>217.0</v>
      </c>
      <c r="G145" s="128">
        <v>218.0</v>
      </c>
      <c r="H145" s="16" t="s">
        <v>18275</v>
      </c>
      <c r="I145" s="16" t="s">
        <v>21</v>
      </c>
      <c r="J145" s="30" t="s">
        <v>28742</v>
      </c>
      <c r="K145" s="30" t="s">
        <v>29452</v>
      </c>
      <c r="L145" s="30" t="s">
        <v>29453</v>
      </c>
      <c r="M145" s="30" t="s">
        <v>494</v>
      </c>
      <c r="N145" s="30" t="s">
        <v>29452</v>
      </c>
      <c r="O145" s="130"/>
      <c r="P145" s="16"/>
      <c r="Q145" s="128">
        <v>7347686.0</v>
      </c>
      <c r="R145" s="16"/>
      <c r="S145" s="16"/>
      <c r="T145" s="30"/>
      <c r="U145" s="30"/>
      <c r="V145" s="30"/>
      <c r="W145" s="30"/>
      <c r="X145" s="30"/>
      <c r="Y145" s="30"/>
      <c r="Z145" s="30"/>
      <c r="AA145" s="30"/>
      <c r="AB145" s="30"/>
      <c r="AC145" s="30"/>
    </row>
    <row r="146" ht="15.75" customHeight="1">
      <c r="A146" s="30" t="s">
        <v>120</v>
      </c>
      <c r="B146" s="128">
        <v>2015.0</v>
      </c>
      <c r="C146" s="30" t="s">
        <v>28556</v>
      </c>
      <c r="D146" s="30" t="s">
        <v>28557</v>
      </c>
      <c r="E146" s="139" t="s">
        <v>28559</v>
      </c>
      <c r="F146" s="128">
        <v>97.0</v>
      </c>
      <c r="G146" s="128">
        <v>104.0</v>
      </c>
      <c r="H146" s="16"/>
      <c r="I146" s="16" t="s">
        <v>28</v>
      </c>
      <c r="J146" s="30" t="s">
        <v>28562</v>
      </c>
      <c r="K146" s="30" t="s">
        <v>29458</v>
      </c>
      <c r="L146" s="30" t="s">
        <v>29460</v>
      </c>
      <c r="M146" s="30" t="s">
        <v>23953</v>
      </c>
      <c r="N146" s="30" t="s">
        <v>29461</v>
      </c>
      <c r="O146" s="130" t="s">
        <v>28568</v>
      </c>
      <c r="P146" s="16"/>
      <c r="Q146" s="128">
        <v>7347636.0</v>
      </c>
      <c r="R146" s="16"/>
      <c r="S146" s="141" t="s">
        <v>29464</v>
      </c>
      <c r="T146" s="30"/>
      <c r="U146" s="30"/>
      <c r="V146" s="30"/>
      <c r="W146" s="30"/>
      <c r="X146" s="30"/>
      <c r="Y146" s="30"/>
      <c r="Z146" s="30"/>
      <c r="AA146" s="30"/>
      <c r="AB146" s="30"/>
      <c r="AC146" s="30"/>
    </row>
    <row r="147" ht="15.75" customHeight="1">
      <c r="A147" s="30" t="s">
        <v>120</v>
      </c>
      <c r="B147" s="128">
        <v>2015.0</v>
      </c>
      <c r="C147" s="30" t="s">
        <v>28671</v>
      </c>
      <c r="D147" s="30" t="s">
        <v>28672</v>
      </c>
      <c r="E147" s="139" t="s">
        <v>28673</v>
      </c>
      <c r="F147" s="128">
        <v>205.0</v>
      </c>
      <c r="G147" s="128">
        <v>206.0</v>
      </c>
      <c r="H147" s="16" t="s">
        <v>18275</v>
      </c>
      <c r="I147" s="16" t="s">
        <v>21</v>
      </c>
      <c r="J147" s="30" t="s">
        <v>28674</v>
      </c>
      <c r="K147" s="30" t="s">
        <v>29469</v>
      </c>
      <c r="L147" s="30" t="s">
        <v>29470</v>
      </c>
      <c r="M147" s="30" t="s">
        <v>178</v>
      </c>
      <c r="N147" s="30" t="s">
        <v>29469</v>
      </c>
      <c r="O147" s="130"/>
      <c r="P147" s="16"/>
      <c r="Q147" s="128">
        <v>7347680.0</v>
      </c>
      <c r="R147" s="16"/>
      <c r="S147" s="16"/>
      <c r="T147" s="30"/>
      <c r="U147" s="30"/>
      <c r="V147" s="30"/>
      <c r="W147" s="30"/>
      <c r="X147" s="30"/>
      <c r="Y147" s="30"/>
      <c r="Z147" s="30"/>
      <c r="AA147" s="30"/>
      <c r="AB147" s="30"/>
      <c r="AC147" s="30"/>
    </row>
    <row r="148" ht="15.75" customHeight="1">
      <c r="A148" s="30" t="s">
        <v>120</v>
      </c>
      <c r="B148" s="128">
        <v>2015.0</v>
      </c>
      <c r="C148" s="30" t="s">
        <v>28196</v>
      </c>
      <c r="D148" s="30" t="s">
        <v>28197</v>
      </c>
      <c r="E148" s="139" t="s">
        <v>28199</v>
      </c>
      <c r="F148" s="128">
        <v>61.0</v>
      </c>
      <c r="G148" s="128">
        <v>70.0</v>
      </c>
      <c r="H148" s="16"/>
      <c r="I148" s="16" t="s">
        <v>17059</v>
      </c>
      <c r="J148" s="16" t="s">
        <v>28201</v>
      </c>
      <c r="K148" s="30" t="s">
        <v>29479</v>
      </c>
      <c r="L148" s="30" t="s">
        <v>29480</v>
      </c>
      <c r="M148" s="30" t="s">
        <v>880</v>
      </c>
      <c r="N148" s="30" t="s">
        <v>29479</v>
      </c>
      <c r="O148" s="130" t="s">
        <v>28204</v>
      </c>
      <c r="P148" s="140" t="s">
        <v>28205</v>
      </c>
      <c r="Q148" s="128">
        <v>7192649.0</v>
      </c>
      <c r="R148" s="16"/>
      <c r="S148" s="141" t="s">
        <v>29481</v>
      </c>
      <c r="T148" s="30"/>
      <c r="U148" s="30"/>
      <c r="V148" s="30"/>
      <c r="W148" s="30"/>
      <c r="X148" s="30"/>
      <c r="Y148" s="30"/>
      <c r="Z148" s="30"/>
      <c r="AA148" s="30"/>
      <c r="AB148" s="30"/>
      <c r="AC148" s="30"/>
    </row>
    <row r="149" ht="15.75" customHeight="1">
      <c r="A149" s="30" t="s">
        <v>120</v>
      </c>
      <c r="B149" s="128">
        <v>2015.0</v>
      </c>
      <c r="C149" s="30" t="s">
        <v>28229</v>
      </c>
      <c r="D149" s="30" t="s">
        <v>28230</v>
      </c>
      <c r="E149" s="139" t="s">
        <v>28231</v>
      </c>
      <c r="F149" s="128">
        <v>210.0</v>
      </c>
      <c r="G149" s="128">
        <v>219.0</v>
      </c>
      <c r="H149" s="16"/>
      <c r="I149" s="16" t="s">
        <v>17059</v>
      </c>
      <c r="J149" s="30" t="s">
        <v>28235</v>
      </c>
      <c r="K149" s="30" t="s">
        <v>29490</v>
      </c>
      <c r="L149" s="30" t="s">
        <v>880</v>
      </c>
      <c r="M149" s="30" t="s">
        <v>880</v>
      </c>
      <c r="N149" s="30" t="s">
        <v>29490</v>
      </c>
      <c r="O149" s="130" t="s">
        <v>28238</v>
      </c>
      <c r="P149" s="140" t="s">
        <v>28239</v>
      </c>
      <c r="Q149" s="128">
        <v>7192676.0</v>
      </c>
      <c r="R149" s="16"/>
      <c r="S149" s="141" t="s">
        <v>29491</v>
      </c>
      <c r="T149" s="30"/>
      <c r="U149" s="30"/>
      <c r="V149" s="30"/>
      <c r="W149" s="30"/>
      <c r="X149" s="30"/>
      <c r="Y149" s="30"/>
      <c r="Z149" s="30"/>
      <c r="AA149" s="30"/>
      <c r="AB149" s="30"/>
      <c r="AC149" s="30"/>
    </row>
    <row r="150" ht="15.75" customHeight="1">
      <c r="A150" s="30" t="s">
        <v>120</v>
      </c>
      <c r="B150" s="128">
        <v>2015.0</v>
      </c>
      <c r="C150" s="30" t="s">
        <v>28217</v>
      </c>
      <c r="D150" s="30" t="s">
        <v>28218</v>
      </c>
      <c r="E150" s="139" t="s">
        <v>28219</v>
      </c>
      <c r="F150" s="128">
        <v>111.0</v>
      </c>
      <c r="G150" s="128">
        <v>120.0</v>
      </c>
      <c r="H150" s="16"/>
      <c r="I150" s="16" t="s">
        <v>17059</v>
      </c>
      <c r="J150" s="30" t="s">
        <v>28223</v>
      </c>
      <c r="K150" s="30" t="s">
        <v>29492</v>
      </c>
      <c r="L150" s="30" t="s">
        <v>29493</v>
      </c>
      <c r="M150" s="30" t="s">
        <v>494</v>
      </c>
      <c r="N150" s="30" t="s">
        <v>29494</v>
      </c>
      <c r="O150" s="130" t="s">
        <v>28227</v>
      </c>
      <c r="P150" s="140" t="s">
        <v>28228</v>
      </c>
      <c r="Q150" s="128">
        <v>7192692.0</v>
      </c>
      <c r="R150" s="16"/>
      <c r="S150" s="141" t="s">
        <v>29495</v>
      </c>
      <c r="T150" s="30"/>
      <c r="U150" s="30"/>
      <c r="V150" s="30"/>
      <c r="W150" s="30"/>
      <c r="X150" s="30"/>
      <c r="Y150" s="30"/>
      <c r="Z150" s="30"/>
      <c r="AA150" s="30"/>
      <c r="AB150" s="30"/>
      <c r="AC150" s="30"/>
    </row>
    <row r="151" ht="15.75" customHeight="1">
      <c r="A151" s="30" t="s">
        <v>120</v>
      </c>
      <c r="B151" s="128">
        <v>2015.0</v>
      </c>
      <c r="C151" s="30" t="s">
        <v>27951</v>
      </c>
      <c r="D151" s="30" t="s">
        <v>27952</v>
      </c>
      <c r="E151" s="139" t="s">
        <v>27953</v>
      </c>
      <c r="F151" s="128">
        <v>71.0</v>
      </c>
      <c r="G151" s="128">
        <v>80.0</v>
      </c>
      <c r="H151" s="16"/>
      <c r="I151" s="16" t="s">
        <v>17059</v>
      </c>
      <c r="J151" s="30" t="s">
        <v>27957</v>
      </c>
      <c r="K151" s="30" t="s">
        <v>27958</v>
      </c>
      <c r="L151" s="30" t="s">
        <v>860</v>
      </c>
      <c r="M151" s="30" t="s">
        <v>860</v>
      </c>
      <c r="N151" s="30" t="s">
        <v>27958</v>
      </c>
      <c r="O151" s="130" t="s">
        <v>27960</v>
      </c>
      <c r="P151" s="140" t="s">
        <v>27961</v>
      </c>
      <c r="Q151" s="128">
        <v>7192683.0</v>
      </c>
      <c r="R151" s="16"/>
      <c r="S151" s="141" t="s">
        <v>29506</v>
      </c>
      <c r="T151" s="30"/>
      <c r="U151" s="30"/>
      <c r="V151" s="30"/>
      <c r="W151" s="30"/>
      <c r="X151" s="30"/>
      <c r="Y151" s="30"/>
      <c r="Z151" s="30"/>
      <c r="AA151" s="30"/>
      <c r="AB151" s="30"/>
      <c r="AC151" s="30"/>
    </row>
    <row r="152" ht="15.75" customHeight="1">
      <c r="A152" s="30" t="s">
        <v>120</v>
      </c>
      <c r="B152" s="128">
        <v>2015.0</v>
      </c>
      <c r="C152" s="30" t="s">
        <v>28162</v>
      </c>
      <c r="D152" s="30" t="s">
        <v>28163</v>
      </c>
      <c r="E152" s="139" t="s">
        <v>28164</v>
      </c>
      <c r="F152" s="128">
        <v>180.0</v>
      </c>
      <c r="G152" s="128">
        <v>189.0</v>
      </c>
      <c r="H152" s="16"/>
      <c r="I152" s="16" t="s">
        <v>17059</v>
      </c>
      <c r="J152" s="30" t="s">
        <v>28167</v>
      </c>
      <c r="K152" s="30" t="s">
        <v>29507</v>
      </c>
      <c r="L152" s="30" t="s">
        <v>28666</v>
      </c>
      <c r="M152" s="30" t="s">
        <v>494</v>
      </c>
      <c r="N152" s="30" t="s">
        <v>29507</v>
      </c>
      <c r="O152" s="130" t="s">
        <v>28171</v>
      </c>
      <c r="P152" s="140" t="s">
        <v>28172</v>
      </c>
      <c r="Q152" s="128">
        <v>7192633.0</v>
      </c>
      <c r="R152" s="16"/>
      <c r="S152" s="141" t="s">
        <v>29508</v>
      </c>
      <c r="T152" s="30"/>
      <c r="U152" s="30"/>
      <c r="V152" s="30"/>
      <c r="W152" s="30"/>
      <c r="X152" s="30"/>
      <c r="Y152" s="30"/>
      <c r="Z152" s="30"/>
      <c r="AA152" s="30"/>
      <c r="AB152" s="30"/>
      <c r="AC152" s="30"/>
    </row>
    <row r="153" ht="15.75" customHeight="1">
      <c r="A153" s="30" t="s">
        <v>120</v>
      </c>
      <c r="B153" s="128">
        <v>2015.0</v>
      </c>
      <c r="C153" s="30" t="s">
        <v>28663</v>
      </c>
      <c r="D153" s="30" t="s">
        <v>28664</v>
      </c>
      <c r="E153" s="139" t="s">
        <v>28665</v>
      </c>
      <c r="F153" s="128">
        <v>203.0</v>
      </c>
      <c r="G153" s="128">
        <v>204.0</v>
      </c>
      <c r="H153" s="16" t="s">
        <v>18275</v>
      </c>
      <c r="I153" s="16" t="s">
        <v>21</v>
      </c>
      <c r="J153" s="30" t="s">
        <v>28667</v>
      </c>
      <c r="K153" s="30" t="s">
        <v>29509</v>
      </c>
      <c r="L153" s="30" t="s">
        <v>28606</v>
      </c>
      <c r="M153" s="30" t="s">
        <v>880</v>
      </c>
      <c r="N153" s="30" t="s">
        <v>29509</v>
      </c>
      <c r="O153" s="130"/>
      <c r="P153" s="16"/>
      <c r="Q153" s="128">
        <v>7347679.0</v>
      </c>
      <c r="R153" s="16"/>
      <c r="S153" s="16"/>
      <c r="T153" s="30"/>
      <c r="U153" s="30"/>
      <c r="V153" s="30"/>
      <c r="W153" s="30"/>
      <c r="X153" s="30"/>
      <c r="Y153" s="30"/>
      <c r="Z153" s="30"/>
      <c r="AA153" s="30"/>
      <c r="AB153" s="30"/>
      <c r="AC153" s="30"/>
    </row>
    <row r="154" ht="15.75" customHeight="1">
      <c r="A154" s="30" t="s">
        <v>120</v>
      </c>
      <c r="B154" s="128">
        <v>2015.0</v>
      </c>
      <c r="C154" s="30" t="s">
        <v>28065</v>
      </c>
      <c r="D154" s="30" t="s">
        <v>28066</v>
      </c>
      <c r="E154" s="139" t="s">
        <v>28067</v>
      </c>
      <c r="F154" s="128">
        <v>151.0</v>
      </c>
      <c r="G154" s="128">
        <v>159.0</v>
      </c>
      <c r="H154" s="16"/>
      <c r="I154" s="16" t="s">
        <v>17059</v>
      </c>
      <c r="J154" s="30" t="s">
        <v>28069</v>
      </c>
      <c r="K154" s="30" t="s">
        <v>29510</v>
      </c>
      <c r="L154" s="30" t="s">
        <v>29511</v>
      </c>
      <c r="M154" s="30" t="s">
        <v>880</v>
      </c>
      <c r="N154" s="30" t="s">
        <v>29510</v>
      </c>
      <c r="O154" s="130" t="s">
        <v>25382</v>
      </c>
      <c r="P154" s="140" t="s">
        <v>28074</v>
      </c>
      <c r="Q154" s="128">
        <v>7192719.0</v>
      </c>
      <c r="R154" s="16"/>
      <c r="S154" s="144">
        <v>6634112.0</v>
      </c>
      <c r="T154" s="30"/>
      <c r="U154" s="30"/>
      <c r="V154" s="30"/>
      <c r="W154" s="30"/>
      <c r="X154" s="30"/>
      <c r="Y154" s="30"/>
      <c r="Z154" s="30"/>
      <c r="AA154" s="30"/>
      <c r="AB154" s="30"/>
      <c r="AC154" s="30"/>
    </row>
    <row r="155" ht="15.75" customHeight="1">
      <c r="A155" s="30" t="s">
        <v>120</v>
      </c>
      <c r="B155" s="128">
        <v>2015.0</v>
      </c>
      <c r="C155" s="30" t="s">
        <v>28654</v>
      </c>
      <c r="D155" s="30" t="s">
        <v>28655</v>
      </c>
      <c r="E155" s="139" t="s">
        <v>28656</v>
      </c>
      <c r="F155" s="128">
        <v>201.0</v>
      </c>
      <c r="G155" s="128">
        <v>202.0</v>
      </c>
      <c r="H155" s="16" t="s">
        <v>18275</v>
      </c>
      <c r="I155" s="16" t="s">
        <v>21</v>
      </c>
      <c r="J155" s="30" t="s">
        <v>28659</v>
      </c>
      <c r="K155" s="30" t="s">
        <v>29512</v>
      </c>
      <c r="L155" s="30" t="s">
        <v>29513</v>
      </c>
      <c r="M155" s="30" t="s">
        <v>880</v>
      </c>
      <c r="N155" s="30" t="s">
        <v>29512</v>
      </c>
      <c r="O155" s="130"/>
      <c r="P155" s="16"/>
      <c r="Q155" s="128">
        <v>7347678.0</v>
      </c>
      <c r="R155" s="16"/>
      <c r="S155" s="16"/>
      <c r="T155" s="30"/>
      <c r="U155" s="30"/>
      <c r="V155" s="30"/>
      <c r="W155" s="30"/>
      <c r="X155" s="30"/>
      <c r="Y155" s="30"/>
      <c r="Z155" s="30"/>
      <c r="AA155" s="30"/>
      <c r="AB155" s="30"/>
      <c r="AC155" s="30"/>
    </row>
    <row r="156" ht="15.75" customHeight="1">
      <c r="A156" s="30" t="s">
        <v>120</v>
      </c>
      <c r="B156" s="128">
        <v>2015.0</v>
      </c>
      <c r="C156" s="30" t="s">
        <v>28764</v>
      </c>
      <c r="D156" s="30" t="s">
        <v>28765</v>
      </c>
      <c r="E156" s="139" t="s">
        <v>28766</v>
      </c>
      <c r="F156" s="128">
        <v>223.0</v>
      </c>
      <c r="G156" s="128">
        <v>224.0</v>
      </c>
      <c r="H156" s="16" t="s">
        <v>18275</v>
      </c>
      <c r="I156" s="16" t="s">
        <v>21</v>
      </c>
      <c r="J156" s="30" t="s">
        <v>28767</v>
      </c>
      <c r="K156" s="30" t="s">
        <v>29514</v>
      </c>
      <c r="L156" s="30" t="s">
        <v>29515</v>
      </c>
      <c r="M156" s="30" t="s">
        <v>13886</v>
      </c>
      <c r="N156" s="30" t="s">
        <v>29514</v>
      </c>
      <c r="O156" s="130"/>
      <c r="P156" s="16"/>
      <c r="Q156" s="128">
        <v>7347689.0</v>
      </c>
      <c r="R156" s="16"/>
      <c r="S156" s="16"/>
      <c r="T156" s="30"/>
      <c r="U156" s="30"/>
      <c r="V156" s="30"/>
      <c r="W156" s="30"/>
      <c r="X156" s="30"/>
      <c r="Y156" s="30"/>
      <c r="Z156" s="30"/>
      <c r="AA156" s="30"/>
      <c r="AB156" s="30"/>
      <c r="AC156" s="30"/>
    </row>
    <row r="157" ht="15.75" customHeight="1">
      <c r="A157" s="30" t="s">
        <v>120</v>
      </c>
      <c r="B157" s="128">
        <v>2015.0</v>
      </c>
      <c r="C157" s="30" t="s">
        <v>28722</v>
      </c>
      <c r="D157" s="30" t="s">
        <v>28723</v>
      </c>
      <c r="E157" s="139" t="s">
        <v>28725</v>
      </c>
      <c r="F157" s="128">
        <v>215.0</v>
      </c>
      <c r="G157" s="128">
        <v>216.0</v>
      </c>
      <c r="H157" s="16" t="s">
        <v>18275</v>
      </c>
      <c r="I157" s="16" t="s">
        <v>21</v>
      </c>
      <c r="J157" s="30" t="s">
        <v>29516</v>
      </c>
      <c r="K157" s="30" t="s">
        <v>29517</v>
      </c>
      <c r="L157" s="30" t="s">
        <v>29518</v>
      </c>
      <c r="M157" s="30" t="s">
        <v>178</v>
      </c>
      <c r="N157" s="30" t="s">
        <v>29517</v>
      </c>
      <c r="O157" s="130"/>
      <c r="P157" s="16"/>
      <c r="Q157" s="128">
        <v>7347685.0</v>
      </c>
      <c r="R157" s="16"/>
      <c r="S157" s="16"/>
      <c r="T157" s="30"/>
      <c r="U157" s="30"/>
      <c r="V157" s="30"/>
      <c r="W157" s="30"/>
      <c r="X157" s="30"/>
      <c r="Y157" s="30"/>
      <c r="Z157" s="30"/>
      <c r="AA157" s="30"/>
      <c r="AB157" s="30"/>
      <c r="AC157" s="30"/>
    </row>
    <row r="158" ht="15.75" customHeight="1">
      <c r="A158" s="30" t="s">
        <v>120</v>
      </c>
      <c r="B158" s="128">
        <v>2015.0</v>
      </c>
      <c r="C158" s="30" t="s">
        <v>28590</v>
      </c>
      <c r="D158" s="54" t="s">
        <v>28591</v>
      </c>
      <c r="E158" s="139" t="s">
        <v>28592</v>
      </c>
      <c r="F158" s="128">
        <v>187.0</v>
      </c>
      <c r="G158" s="128">
        <v>188.0</v>
      </c>
      <c r="H158" s="16" t="s">
        <v>18275</v>
      </c>
      <c r="I158" s="16" t="s">
        <v>21</v>
      </c>
      <c r="J158" s="30" t="s">
        <v>28598</v>
      </c>
      <c r="K158" s="30" t="s">
        <v>29519</v>
      </c>
      <c r="L158" s="30" t="s">
        <v>29520</v>
      </c>
      <c r="M158" s="30" t="s">
        <v>880</v>
      </c>
      <c r="N158" s="30" t="s">
        <v>29519</v>
      </c>
      <c r="O158" s="130"/>
      <c r="P158" s="16"/>
      <c r="Q158" s="128">
        <v>7347671.0</v>
      </c>
      <c r="R158" s="16"/>
      <c r="S158" s="16"/>
      <c r="T158" s="30"/>
      <c r="U158" s="30"/>
      <c r="V158" s="30"/>
      <c r="W158" s="30"/>
      <c r="X158" s="30"/>
      <c r="Y158" s="30"/>
      <c r="Z158" s="30"/>
      <c r="AA158" s="30"/>
      <c r="AB158" s="30"/>
      <c r="AC158" s="30"/>
    </row>
    <row r="159" ht="15.75" customHeight="1">
      <c r="A159" s="30" t="s">
        <v>120</v>
      </c>
      <c r="B159" s="128">
        <v>2015.0</v>
      </c>
      <c r="C159" s="30" t="s">
        <v>28604</v>
      </c>
      <c r="D159" s="30" t="s">
        <v>28605</v>
      </c>
      <c r="E159" s="139" t="s">
        <v>28607</v>
      </c>
      <c r="F159" s="128">
        <v>189.0</v>
      </c>
      <c r="G159" s="128">
        <v>190.0</v>
      </c>
      <c r="H159" s="16" t="s">
        <v>18275</v>
      </c>
      <c r="I159" s="16" t="s">
        <v>21</v>
      </c>
      <c r="J159" s="30" t="s">
        <v>28613</v>
      </c>
      <c r="K159" s="30" t="s">
        <v>29521</v>
      </c>
      <c r="L159" s="30" t="s">
        <v>29522</v>
      </c>
      <c r="M159" s="30" t="s">
        <v>1253</v>
      </c>
      <c r="N159" s="30" t="s">
        <v>29521</v>
      </c>
      <c r="O159" s="130"/>
      <c r="P159" s="16"/>
      <c r="Q159" s="128">
        <v>7347672.0</v>
      </c>
      <c r="R159" s="16"/>
      <c r="S159" s="16"/>
      <c r="T159" s="30"/>
      <c r="U159" s="30"/>
      <c r="V159" s="30"/>
      <c r="W159" s="30"/>
      <c r="X159" s="30"/>
      <c r="Y159" s="30"/>
      <c r="Z159" s="30"/>
      <c r="AA159" s="30"/>
      <c r="AB159" s="30"/>
      <c r="AC159" s="30"/>
    </row>
    <row r="160" ht="15.75" customHeight="1">
      <c r="A160" s="30" t="s">
        <v>120</v>
      </c>
      <c r="B160" s="128">
        <v>2015.0</v>
      </c>
      <c r="C160" s="30" t="s">
        <v>28041</v>
      </c>
      <c r="D160" s="30" t="s">
        <v>28042</v>
      </c>
      <c r="E160" s="139" t="s">
        <v>28043</v>
      </c>
      <c r="F160" s="128">
        <v>170.0</v>
      </c>
      <c r="G160" s="128">
        <v>179.0</v>
      </c>
      <c r="H160" s="16"/>
      <c r="I160" s="16" t="s">
        <v>17059</v>
      </c>
      <c r="J160" s="30" t="s">
        <v>28045</v>
      </c>
      <c r="K160" s="30" t="s">
        <v>29523</v>
      </c>
      <c r="L160" s="30" t="s">
        <v>5349</v>
      </c>
      <c r="M160" s="30" t="s">
        <v>5349</v>
      </c>
      <c r="N160" s="30" t="s">
        <v>29523</v>
      </c>
      <c r="O160" s="130" t="s">
        <v>28048</v>
      </c>
      <c r="P160" s="140" t="s">
        <v>28049</v>
      </c>
      <c r="Q160" s="128">
        <v>7192706.0</v>
      </c>
      <c r="R160" s="16"/>
      <c r="S160" s="141" t="s">
        <v>29524</v>
      </c>
      <c r="T160" s="30"/>
      <c r="U160" s="30"/>
      <c r="V160" s="30"/>
      <c r="W160" s="30"/>
      <c r="X160" s="30"/>
      <c r="Y160" s="30"/>
      <c r="Z160" s="30"/>
      <c r="AA160" s="30"/>
      <c r="AB160" s="30"/>
      <c r="AC160" s="30"/>
    </row>
    <row r="161" ht="15.75" customHeight="1">
      <c r="A161" s="30" t="s">
        <v>120</v>
      </c>
      <c r="B161" s="128">
        <v>2015.0</v>
      </c>
      <c r="C161" s="16" t="s">
        <v>28332</v>
      </c>
      <c r="D161" s="16" t="s">
        <v>28333</v>
      </c>
      <c r="E161" s="148" t="s">
        <v>28334</v>
      </c>
      <c r="F161" s="143">
        <v>1.0</v>
      </c>
      <c r="G161" s="143">
        <v>8.0</v>
      </c>
      <c r="H161" s="16"/>
      <c r="I161" s="16" t="s">
        <v>28</v>
      </c>
      <c r="J161" s="16" t="s">
        <v>28343</v>
      </c>
      <c r="K161" s="16" t="s">
        <v>29525</v>
      </c>
      <c r="L161" s="16" t="s">
        <v>880</v>
      </c>
      <c r="M161" s="16" t="s">
        <v>880</v>
      </c>
      <c r="N161" s="16" t="s">
        <v>29525</v>
      </c>
      <c r="O161" s="130" t="s">
        <v>28347</v>
      </c>
      <c r="P161" s="140" t="s">
        <v>28349</v>
      </c>
      <c r="Q161" s="143">
        <v>7347624.0</v>
      </c>
      <c r="R161" s="16"/>
      <c r="S161" s="141" t="s">
        <v>29526</v>
      </c>
      <c r="T161" s="30"/>
      <c r="U161" s="30"/>
      <c r="V161" s="30"/>
      <c r="W161" s="30"/>
      <c r="X161" s="30"/>
      <c r="Y161" s="30"/>
      <c r="Z161" s="30"/>
      <c r="AA161" s="30"/>
      <c r="AB161" s="30"/>
      <c r="AC161" s="30"/>
    </row>
    <row r="162" ht="15.75" customHeight="1">
      <c r="A162" s="14" t="s">
        <v>2137</v>
      </c>
      <c r="B162" s="14">
        <v>2014.0</v>
      </c>
      <c r="C162" s="14" t="s">
        <v>25953</v>
      </c>
      <c r="D162" s="14" t="s">
        <v>25954</v>
      </c>
      <c r="E162" s="150" t="s">
        <v>25955</v>
      </c>
      <c r="F162" s="14">
        <v>1963.0</v>
      </c>
      <c r="G162" s="14">
        <v>1972.0</v>
      </c>
      <c r="H162" s="151"/>
      <c r="I162" s="14" t="s">
        <v>17059</v>
      </c>
      <c r="J162" s="14" t="s">
        <v>25956</v>
      </c>
      <c r="K162" s="14" t="s">
        <v>29527</v>
      </c>
      <c r="L162" s="152" t="s">
        <v>29528</v>
      </c>
      <c r="M162" s="14" t="s">
        <v>5349</v>
      </c>
      <c r="N162" s="14" t="s">
        <v>29529</v>
      </c>
      <c r="O162" s="130" t="s">
        <v>22365</v>
      </c>
      <c r="P162" s="153" t="s">
        <v>25960</v>
      </c>
      <c r="Q162" s="14">
        <v>6875906.0</v>
      </c>
      <c r="R162" s="95"/>
      <c r="S162" s="154">
        <v>6065014.0</v>
      </c>
      <c r="T162" s="84"/>
      <c r="U162" s="84"/>
      <c r="V162" s="84"/>
      <c r="W162" s="84"/>
      <c r="X162" s="84"/>
      <c r="Y162" s="84"/>
      <c r="Z162" s="84"/>
      <c r="AA162" s="84"/>
      <c r="AB162" s="84"/>
      <c r="AC162" s="84"/>
    </row>
    <row r="163" ht="15.75" customHeight="1">
      <c r="A163" s="14" t="s">
        <v>2137</v>
      </c>
      <c r="B163" s="14">
        <v>2014.0</v>
      </c>
      <c r="C163" s="14" t="s">
        <v>25969</v>
      </c>
      <c r="D163" s="14" t="s">
        <v>25970</v>
      </c>
      <c r="E163" s="150" t="s">
        <v>25971</v>
      </c>
      <c r="F163" s="14">
        <v>2201.0</v>
      </c>
      <c r="G163" s="14">
        <v>2210.0</v>
      </c>
      <c r="H163" s="151"/>
      <c r="I163" s="14" t="s">
        <v>17059</v>
      </c>
      <c r="J163" s="14" t="s">
        <v>25973</v>
      </c>
      <c r="K163" s="14" t="s">
        <v>29530</v>
      </c>
      <c r="L163" s="152" t="s">
        <v>29531</v>
      </c>
      <c r="M163" s="14" t="s">
        <v>880</v>
      </c>
      <c r="N163" s="14" t="s">
        <v>29530</v>
      </c>
      <c r="O163" s="130" t="s">
        <v>25976</v>
      </c>
      <c r="P163" s="153" t="s">
        <v>25977</v>
      </c>
      <c r="Q163" s="14">
        <v>6888482.0</v>
      </c>
      <c r="R163" s="95"/>
      <c r="S163" s="154" t="s">
        <v>29532</v>
      </c>
      <c r="T163" s="84"/>
      <c r="U163" s="84"/>
      <c r="V163" s="84"/>
      <c r="W163" s="84"/>
      <c r="X163" s="84"/>
      <c r="Y163" s="84"/>
      <c r="Z163" s="84"/>
      <c r="AA163" s="84"/>
      <c r="AB163" s="84"/>
      <c r="AC163" s="84"/>
    </row>
    <row r="164" ht="15.75" customHeight="1">
      <c r="A164" s="14" t="s">
        <v>2137</v>
      </c>
      <c r="B164" s="14">
        <v>2014.0</v>
      </c>
      <c r="C164" s="14" t="s">
        <v>25623</v>
      </c>
      <c r="D164" s="14" t="s">
        <v>25624</v>
      </c>
      <c r="E164" s="150" t="s">
        <v>25625</v>
      </c>
      <c r="F164" s="14">
        <v>2181.0</v>
      </c>
      <c r="G164" s="14">
        <v>2190.0</v>
      </c>
      <c r="H164" s="151"/>
      <c r="I164" s="14" t="s">
        <v>17059</v>
      </c>
      <c r="J164" s="14" t="s">
        <v>25626</v>
      </c>
      <c r="K164" s="14" t="s">
        <v>29533</v>
      </c>
      <c r="L164" s="152" t="s">
        <v>29534</v>
      </c>
      <c r="M164" s="14" t="s">
        <v>178</v>
      </c>
      <c r="N164" s="14" t="s">
        <v>29535</v>
      </c>
      <c r="O164" s="130" t="s">
        <v>25630</v>
      </c>
      <c r="P164" s="153" t="s">
        <v>25631</v>
      </c>
      <c r="Q164" s="14">
        <v>6875930.0</v>
      </c>
      <c r="R164" s="95"/>
      <c r="S164" s="154" t="s">
        <v>29536</v>
      </c>
      <c r="T164" s="84"/>
      <c r="U164" s="84"/>
      <c r="V164" s="84"/>
      <c r="W164" s="84"/>
      <c r="X164" s="84"/>
      <c r="Y164" s="84"/>
      <c r="Z164" s="84"/>
      <c r="AA164" s="84"/>
      <c r="AB164" s="84"/>
      <c r="AC164" s="84"/>
    </row>
    <row r="165" ht="15.75" customHeight="1">
      <c r="A165" s="14" t="s">
        <v>2137</v>
      </c>
      <c r="B165" s="14">
        <v>2014.0</v>
      </c>
      <c r="C165" s="14" t="s">
        <v>25473</v>
      </c>
      <c r="D165" s="14" t="s">
        <v>25474</v>
      </c>
      <c r="E165" s="150" t="s">
        <v>25475</v>
      </c>
      <c r="F165" s="14">
        <v>2033.0</v>
      </c>
      <c r="G165" s="14">
        <v>2042.0</v>
      </c>
      <c r="H165" s="151"/>
      <c r="I165" s="14" t="s">
        <v>17059</v>
      </c>
      <c r="J165" s="14" t="s">
        <v>25477</v>
      </c>
      <c r="K165" s="14" t="s">
        <v>29537</v>
      </c>
      <c r="L165" s="152" t="s">
        <v>29148</v>
      </c>
      <c r="M165" s="14" t="s">
        <v>880</v>
      </c>
      <c r="N165" s="14" t="s">
        <v>29537</v>
      </c>
      <c r="O165" s="130" t="s">
        <v>25481</v>
      </c>
      <c r="P165" s="153" t="s">
        <v>25482</v>
      </c>
      <c r="Q165" s="14">
        <v>6875987.0</v>
      </c>
      <c r="R165" s="95"/>
      <c r="S165" s="154" t="s">
        <v>29538</v>
      </c>
      <c r="T165" s="84"/>
      <c r="U165" s="84"/>
      <c r="V165" s="84"/>
      <c r="W165" s="84"/>
      <c r="X165" s="84"/>
      <c r="Y165" s="84"/>
      <c r="Z165" s="84"/>
      <c r="AA165" s="84"/>
      <c r="AB165" s="84"/>
      <c r="AC165" s="84"/>
    </row>
    <row r="166" ht="15.75" customHeight="1">
      <c r="A166" s="14" t="s">
        <v>2137</v>
      </c>
      <c r="B166" s="14">
        <v>2014.0</v>
      </c>
      <c r="C166" s="14" t="s">
        <v>25450</v>
      </c>
      <c r="D166" s="14" t="s">
        <v>25451</v>
      </c>
      <c r="E166" s="150" t="s">
        <v>25452</v>
      </c>
      <c r="F166" s="14">
        <v>2013.0</v>
      </c>
      <c r="G166" s="14">
        <v>2022.0</v>
      </c>
      <c r="H166" s="151"/>
      <c r="I166" s="14" t="s">
        <v>17059</v>
      </c>
      <c r="J166" s="14" t="s">
        <v>25455</v>
      </c>
      <c r="K166" s="14" t="s">
        <v>29539</v>
      </c>
      <c r="L166" s="152" t="s">
        <v>28741</v>
      </c>
      <c r="M166" s="14" t="s">
        <v>178</v>
      </c>
      <c r="N166" s="14" t="s">
        <v>29539</v>
      </c>
      <c r="O166" s="130" t="s">
        <v>25459</v>
      </c>
      <c r="P166" s="153" t="s">
        <v>25460</v>
      </c>
      <c r="Q166" s="14">
        <v>6875998.0</v>
      </c>
      <c r="R166" s="95"/>
      <c r="S166" s="154" t="s">
        <v>29540</v>
      </c>
      <c r="T166" s="84"/>
      <c r="U166" s="84"/>
      <c r="V166" s="84"/>
      <c r="W166" s="84"/>
      <c r="X166" s="84"/>
      <c r="Y166" s="84"/>
      <c r="Z166" s="84"/>
      <c r="AA166" s="84"/>
      <c r="AB166" s="84"/>
      <c r="AC166" s="84"/>
    </row>
    <row r="167" ht="15.75" customHeight="1">
      <c r="A167" s="14" t="s">
        <v>2137</v>
      </c>
      <c r="B167" s="14">
        <v>2014.0</v>
      </c>
      <c r="C167" s="14" t="s">
        <v>25913</v>
      </c>
      <c r="D167" s="14" t="s">
        <v>25914</v>
      </c>
      <c r="E167" s="150" t="s">
        <v>25915</v>
      </c>
      <c r="F167" s="14">
        <v>2349.0</v>
      </c>
      <c r="G167" s="14">
        <v>2358.0</v>
      </c>
      <c r="H167" s="151"/>
      <c r="I167" s="14" t="s">
        <v>17059</v>
      </c>
      <c r="J167" s="14" t="s">
        <v>25917</v>
      </c>
      <c r="K167" s="14" t="s">
        <v>29541</v>
      </c>
      <c r="L167" s="152" t="s">
        <v>29542</v>
      </c>
      <c r="M167" s="14" t="s">
        <v>1253</v>
      </c>
      <c r="N167" s="14" t="s">
        <v>29541</v>
      </c>
      <c r="O167" s="130" t="s">
        <v>25921</v>
      </c>
      <c r="P167" s="153" t="s">
        <v>25922</v>
      </c>
      <c r="Q167" s="14">
        <v>6876005.0</v>
      </c>
      <c r="R167" s="95"/>
      <c r="S167" s="154" t="s">
        <v>29543</v>
      </c>
      <c r="T167" s="84"/>
      <c r="U167" s="84"/>
      <c r="V167" s="84"/>
      <c r="W167" s="84"/>
      <c r="X167" s="84"/>
      <c r="Y167" s="84"/>
      <c r="Z167" s="84"/>
      <c r="AA167" s="84"/>
      <c r="AB167" s="84"/>
      <c r="AC167" s="84"/>
    </row>
    <row r="168" ht="15.75" customHeight="1">
      <c r="A168" s="14" t="s">
        <v>2137</v>
      </c>
      <c r="B168" s="14">
        <v>2014.0</v>
      </c>
      <c r="C168" s="14" t="s">
        <v>25776</v>
      </c>
      <c r="D168" s="14" t="s">
        <v>25777</v>
      </c>
      <c r="E168" s="150" t="s">
        <v>25778</v>
      </c>
      <c r="F168" s="14">
        <v>2221.0</v>
      </c>
      <c r="G168" s="14">
        <v>2230.0</v>
      </c>
      <c r="H168" s="151"/>
      <c r="I168" s="14" t="s">
        <v>17059</v>
      </c>
      <c r="J168" s="14" t="s">
        <v>25781</v>
      </c>
      <c r="K168" s="14" t="s">
        <v>29544</v>
      </c>
      <c r="L168" s="152" t="s">
        <v>494</v>
      </c>
      <c r="M168" s="14" t="s">
        <v>494</v>
      </c>
      <c r="N168" s="14" t="s">
        <v>29544</v>
      </c>
      <c r="O168" s="130" t="s">
        <v>25784</v>
      </c>
      <c r="P168" s="153" t="s">
        <v>25785</v>
      </c>
      <c r="Q168" s="14">
        <v>6875968.0</v>
      </c>
      <c r="R168" s="95"/>
      <c r="S168" s="154" t="s">
        <v>29545</v>
      </c>
      <c r="T168" s="84"/>
      <c r="U168" s="84"/>
      <c r="V168" s="84"/>
      <c r="W168" s="84"/>
      <c r="X168" s="84"/>
      <c r="Y168" s="84"/>
      <c r="Z168" s="84"/>
      <c r="AA168" s="84"/>
      <c r="AB168" s="84"/>
      <c r="AC168" s="84"/>
    </row>
    <row r="169" ht="15.75" customHeight="1">
      <c r="A169" s="14" t="s">
        <v>2137</v>
      </c>
      <c r="B169" s="14">
        <v>2014.0</v>
      </c>
      <c r="C169" s="14" t="s">
        <v>25540</v>
      </c>
      <c r="D169" s="14" t="s">
        <v>25541</v>
      </c>
      <c r="E169" s="150" t="s">
        <v>25542</v>
      </c>
      <c r="F169" s="14">
        <v>2102.0</v>
      </c>
      <c r="G169" s="14">
        <v>2111.0</v>
      </c>
      <c r="H169" s="151"/>
      <c r="I169" s="14" t="s">
        <v>17059</v>
      </c>
      <c r="J169" s="14" t="s">
        <v>25543</v>
      </c>
      <c r="K169" s="14" t="s">
        <v>29546</v>
      </c>
      <c r="L169" s="152" t="s">
        <v>29178</v>
      </c>
      <c r="M169" s="14" t="s">
        <v>494</v>
      </c>
      <c r="N169" s="14" t="s">
        <v>29546</v>
      </c>
      <c r="O169" s="130" t="s">
        <v>25546</v>
      </c>
      <c r="P169" s="153" t="s">
        <v>25547</v>
      </c>
      <c r="Q169" s="14">
        <v>6875946.0</v>
      </c>
      <c r="R169" s="95"/>
      <c r="S169" s="154" t="s">
        <v>29547</v>
      </c>
      <c r="T169" s="84"/>
      <c r="U169" s="84"/>
      <c r="V169" s="84"/>
      <c r="W169" s="84"/>
      <c r="X169" s="84"/>
      <c r="Y169" s="84"/>
      <c r="Z169" s="84"/>
      <c r="AA169" s="84"/>
      <c r="AB169" s="84"/>
      <c r="AC169" s="84"/>
    </row>
    <row r="170" ht="15.75" customHeight="1">
      <c r="A170" s="14" t="s">
        <v>2137</v>
      </c>
      <c r="B170" s="14">
        <v>2014.0</v>
      </c>
      <c r="C170" s="14" t="s">
        <v>25632</v>
      </c>
      <c r="D170" s="14" t="s">
        <v>25633</v>
      </c>
      <c r="E170" s="150" t="s">
        <v>25634</v>
      </c>
      <c r="F170" s="14">
        <v>2191.0</v>
      </c>
      <c r="G170" s="14">
        <v>2200.0</v>
      </c>
      <c r="H170" s="151"/>
      <c r="I170" s="14" t="s">
        <v>17059</v>
      </c>
      <c r="J170" s="14" t="s">
        <v>25635</v>
      </c>
      <c r="K170" s="14" t="s">
        <v>29548</v>
      </c>
      <c r="L170" s="152" t="s">
        <v>27273</v>
      </c>
      <c r="M170" s="14" t="s">
        <v>5349</v>
      </c>
      <c r="N170" s="14" t="s">
        <v>29548</v>
      </c>
      <c r="O170" s="130" t="s">
        <v>25639</v>
      </c>
      <c r="P170" s="153" t="s">
        <v>25640</v>
      </c>
      <c r="Q170" s="14">
        <v>6876000.0</v>
      </c>
      <c r="R170" s="95"/>
      <c r="S170" s="154" t="s">
        <v>29549</v>
      </c>
      <c r="T170" s="84"/>
      <c r="U170" s="84"/>
      <c r="V170" s="84"/>
      <c r="W170" s="84"/>
      <c r="X170" s="84"/>
      <c r="Y170" s="84"/>
      <c r="Z170" s="84"/>
      <c r="AA170" s="84"/>
      <c r="AB170" s="84"/>
      <c r="AC170" s="84"/>
    </row>
    <row r="171" ht="15.75" customHeight="1">
      <c r="A171" s="14" t="s">
        <v>2137</v>
      </c>
      <c r="B171" s="14">
        <v>2014.0</v>
      </c>
      <c r="C171" s="14" t="s">
        <v>25441</v>
      </c>
      <c r="D171" s="14" t="s">
        <v>25442</v>
      </c>
      <c r="E171" s="150" t="s">
        <v>25443</v>
      </c>
      <c r="F171" s="14">
        <v>2003.0</v>
      </c>
      <c r="G171" s="14">
        <v>2012.0</v>
      </c>
      <c r="H171" s="151"/>
      <c r="I171" s="14" t="s">
        <v>17059</v>
      </c>
      <c r="J171" s="14" t="s">
        <v>25445</v>
      </c>
      <c r="K171" s="14" t="s">
        <v>29550</v>
      </c>
      <c r="L171" s="152" t="s">
        <v>28726</v>
      </c>
      <c r="M171" s="14" t="s">
        <v>178</v>
      </c>
      <c r="N171" s="14" t="s">
        <v>29550</v>
      </c>
      <c r="O171" s="130" t="s">
        <v>25448</v>
      </c>
      <c r="P171" s="153" t="s">
        <v>25449</v>
      </c>
      <c r="Q171" s="14">
        <v>6875985.0</v>
      </c>
      <c r="R171" s="95"/>
      <c r="S171" s="154" t="s">
        <v>29551</v>
      </c>
      <c r="T171" s="84"/>
      <c r="U171" s="84"/>
      <c r="V171" s="84"/>
      <c r="W171" s="84"/>
      <c r="X171" s="84"/>
      <c r="Y171" s="84"/>
      <c r="Z171" s="84"/>
      <c r="AA171" s="84"/>
      <c r="AB171" s="84"/>
      <c r="AC171" s="84"/>
    </row>
    <row r="172" ht="15.75" customHeight="1">
      <c r="A172" s="14" t="s">
        <v>2137</v>
      </c>
      <c r="B172" s="14">
        <v>2014.0</v>
      </c>
      <c r="C172" s="14" t="s">
        <v>25462</v>
      </c>
      <c r="D172" s="14" t="s">
        <v>25463</v>
      </c>
      <c r="E172" s="150" t="s">
        <v>25464</v>
      </c>
      <c r="F172" s="14">
        <v>2023.0</v>
      </c>
      <c r="G172" s="14">
        <v>2032.0</v>
      </c>
      <c r="H172" s="151"/>
      <c r="I172" s="14" t="s">
        <v>17059</v>
      </c>
      <c r="J172" s="14" t="s">
        <v>25467</v>
      </c>
      <c r="K172" s="14" t="s">
        <v>29552</v>
      </c>
      <c r="L172" s="152" t="s">
        <v>28200</v>
      </c>
      <c r="M172" s="14" t="s">
        <v>880</v>
      </c>
      <c r="N172" s="14" t="s">
        <v>29552</v>
      </c>
      <c r="O172" s="130" t="s">
        <v>25471</v>
      </c>
      <c r="P172" s="153" t="s">
        <v>25472</v>
      </c>
      <c r="Q172" s="14">
        <v>6875920.0</v>
      </c>
      <c r="R172" s="95"/>
      <c r="S172" s="154" t="s">
        <v>29553</v>
      </c>
      <c r="T172" s="84"/>
      <c r="U172" s="84"/>
      <c r="V172" s="84"/>
      <c r="W172" s="84"/>
      <c r="X172" s="84"/>
      <c r="Y172" s="84"/>
      <c r="Z172" s="84"/>
      <c r="AA172" s="84"/>
      <c r="AB172" s="84"/>
      <c r="AC172" s="84"/>
    </row>
    <row r="173" ht="15.75" customHeight="1">
      <c r="A173" s="14" t="s">
        <v>2137</v>
      </c>
      <c r="B173" s="14">
        <v>2014.0</v>
      </c>
      <c r="C173" s="14" t="s">
        <v>25857</v>
      </c>
      <c r="D173" s="14" t="s">
        <v>25858</v>
      </c>
      <c r="E173" s="150" t="s">
        <v>25859</v>
      </c>
      <c r="F173" s="14">
        <v>2301.0</v>
      </c>
      <c r="G173" s="14">
        <v>2309.0</v>
      </c>
      <c r="H173" s="151"/>
      <c r="I173" s="14" t="s">
        <v>17059</v>
      </c>
      <c r="J173" s="14" t="s">
        <v>25860</v>
      </c>
      <c r="K173" s="14" t="s">
        <v>29554</v>
      </c>
      <c r="L173" s="152" t="s">
        <v>178</v>
      </c>
      <c r="M173" s="14" t="s">
        <v>178</v>
      </c>
      <c r="N173" s="14" t="s">
        <v>29554</v>
      </c>
      <c r="O173" s="130"/>
      <c r="P173" s="153" t="s">
        <v>25863</v>
      </c>
      <c r="Q173" s="14">
        <v>6875979.0</v>
      </c>
      <c r="R173" s="95"/>
      <c r="S173" s="154"/>
      <c r="T173" s="124"/>
      <c r="U173" s="124"/>
      <c r="V173" s="124"/>
      <c r="W173" s="124"/>
      <c r="X173" s="124"/>
      <c r="Y173" s="124"/>
      <c r="Z173" s="124"/>
      <c r="AA173" s="124"/>
      <c r="AB173" s="124"/>
      <c r="AC173" s="124"/>
    </row>
    <row r="174" ht="15.75" customHeight="1">
      <c r="A174" s="14" t="s">
        <v>2137</v>
      </c>
      <c r="B174" s="14">
        <v>2014.0</v>
      </c>
      <c r="C174" s="14" t="s">
        <v>25568</v>
      </c>
      <c r="D174" s="14" t="s">
        <v>25569</v>
      </c>
      <c r="E174" s="150" t="s">
        <v>25570</v>
      </c>
      <c r="F174" s="14">
        <v>2142.0</v>
      </c>
      <c r="G174" s="14">
        <v>2151.0</v>
      </c>
      <c r="H174" s="151"/>
      <c r="I174" s="14" t="s">
        <v>17059</v>
      </c>
      <c r="J174" s="14" t="s">
        <v>25574</v>
      </c>
      <c r="K174" s="14" t="s">
        <v>29555</v>
      </c>
      <c r="L174" s="152" t="s">
        <v>29504</v>
      </c>
      <c r="M174" s="14" t="s">
        <v>178</v>
      </c>
      <c r="N174" s="14" t="s">
        <v>29555</v>
      </c>
      <c r="O174" s="130" t="s">
        <v>25577</v>
      </c>
      <c r="P174" s="153" t="s">
        <v>25578</v>
      </c>
      <c r="Q174" s="14">
        <v>6875915.0</v>
      </c>
      <c r="R174" s="95"/>
      <c r="S174" s="154" t="s">
        <v>29556</v>
      </c>
      <c r="T174" s="84"/>
      <c r="U174" s="84"/>
      <c r="V174" s="84"/>
      <c r="W174" s="84"/>
      <c r="X174" s="84"/>
      <c r="Y174" s="84"/>
      <c r="Z174" s="84"/>
      <c r="AA174" s="84"/>
      <c r="AB174" s="84"/>
      <c r="AC174" s="84"/>
    </row>
    <row r="175" ht="15.75" customHeight="1">
      <c r="A175" s="14" t="s">
        <v>2137</v>
      </c>
      <c r="B175" s="14">
        <v>2014.0</v>
      </c>
      <c r="C175" s="14" t="s">
        <v>25847</v>
      </c>
      <c r="D175" s="14" t="s">
        <v>25848</v>
      </c>
      <c r="E175" s="150" t="s">
        <v>25849</v>
      </c>
      <c r="F175" s="14">
        <v>2291.0</v>
      </c>
      <c r="G175" s="14">
        <v>2300.0</v>
      </c>
      <c r="H175" s="151"/>
      <c r="I175" s="14" t="s">
        <v>17059</v>
      </c>
      <c r="J175" s="14" t="s">
        <v>25852</v>
      </c>
      <c r="K175" s="14" t="s">
        <v>29557</v>
      </c>
      <c r="L175" s="152" t="s">
        <v>5349</v>
      </c>
      <c r="M175" s="14" t="s">
        <v>5349</v>
      </c>
      <c r="N175" s="14" t="s">
        <v>29558</v>
      </c>
      <c r="O175" s="130" t="s">
        <v>25855</v>
      </c>
      <c r="P175" s="153" t="s">
        <v>25856</v>
      </c>
      <c r="Q175" s="14">
        <v>6875917.0</v>
      </c>
      <c r="R175" s="95"/>
      <c r="S175" s="154" t="s">
        <v>29559</v>
      </c>
      <c r="T175" s="84"/>
      <c r="U175" s="84"/>
      <c r="V175" s="84"/>
      <c r="W175" s="84"/>
      <c r="X175" s="84"/>
      <c r="Y175" s="84"/>
      <c r="Z175" s="84"/>
      <c r="AA175" s="84"/>
      <c r="AB175" s="84"/>
      <c r="AC175" s="84"/>
    </row>
    <row r="176" ht="15.75" customHeight="1">
      <c r="A176" s="14" t="s">
        <v>2137</v>
      </c>
      <c r="B176" s="14">
        <v>2014.0</v>
      </c>
      <c r="C176" s="14" t="s">
        <v>25601</v>
      </c>
      <c r="D176" s="14" t="s">
        <v>25602</v>
      </c>
      <c r="E176" s="150" t="s">
        <v>25603</v>
      </c>
      <c r="F176" s="14">
        <v>2152.0</v>
      </c>
      <c r="G176" s="14">
        <v>2160.0</v>
      </c>
      <c r="H176" s="151"/>
      <c r="I176" s="14" t="s">
        <v>17059</v>
      </c>
      <c r="J176" s="14" t="s">
        <v>29560</v>
      </c>
      <c r="K176" s="14" t="s">
        <v>29561</v>
      </c>
      <c r="L176" s="152" t="s">
        <v>29562</v>
      </c>
      <c r="M176" s="14" t="s">
        <v>494</v>
      </c>
      <c r="N176" s="14" t="s">
        <v>29561</v>
      </c>
      <c r="O176" s="130" t="s">
        <v>23724</v>
      </c>
      <c r="P176" s="153" t="s">
        <v>25607</v>
      </c>
      <c r="Q176" s="14">
        <v>6876021.0</v>
      </c>
      <c r="R176" s="95"/>
      <c r="S176" s="154">
        <v>6327278.0</v>
      </c>
      <c r="T176" s="84"/>
      <c r="U176" s="84"/>
      <c r="V176" s="84"/>
      <c r="W176" s="84"/>
      <c r="X176" s="84"/>
      <c r="Y176" s="84"/>
      <c r="Z176" s="84"/>
      <c r="AA176" s="84"/>
      <c r="AB176" s="84"/>
      <c r="AC176" s="84"/>
    </row>
    <row r="177" ht="15.75" customHeight="1">
      <c r="A177" s="14" t="s">
        <v>2137</v>
      </c>
      <c r="B177" s="14">
        <v>2014.0</v>
      </c>
      <c r="C177" s="14" t="s">
        <v>25874</v>
      </c>
      <c r="D177" s="14" t="s">
        <v>25875</v>
      </c>
      <c r="E177" s="150" t="s">
        <v>25876</v>
      </c>
      <c r="F177" s="14">
        <v>2320.0</v>
      </c>
      <c r="G177" s="14">
        <v>2328.0</v>
      </c>
      <c r="H177" s="151"/>
      <c r="I177" s="14" t="s">
        <v>17059</v>
      </c>
      <c r="J177" s="14" t="s">
        <v>25878</v>
      </c>
      <c r="K177" s="14" t="s">
        <v>29563</v>
      </c>
      <c r="L177" s="152" t="s">
        <v>2704</v>
      </c>
      <c r="M177" s="14" t="s">
        <v>1253</v>
      </c>
      <c r="N177" s="14" t="s">
        <v>29563</v>
      </c>
      <c r="O177" s="130" t="s">
        <v>25882</v>
      </c>
      <c r="P177" s="153" t="s">
        <v>25883</v>
      </c>
      <c r="Q177" s="14">
        <v>6875969.0</v>
      </c>
      <c r="R177" s="95"/>
      <c r="S177" s="154" t="s">
        <v>29564</v>
      </c>
      <c r="T177" s="84"/>
      <c r="U177" s="84"/>
      <c r="V177" s="84"/>
      <c r="W177" s="84"/>
      <c r="X177" s="84"/>
      <c r="Y177" s="84"/>
      <c r="Z177" s="84"/>
      <c r="AA177" s="84"/>
      <c r="AB177" s="84"/>
      <c r="AC177" s="84"/>
    </row>
    <row r="178" ht="15.75" customHeight="1">
      <c r="A178" s="14" t="s">
        <v>2137</v>
      </c>
      <c r="B178" s="14">
        <v>2014.0</v>
      </c>
      <c r="C178" s="14" t="s">
        <v>25836</v>
      </c>
      <c r="D178" s="14" t="s">
        <v>25837</v>
      </c>
      <c r="E178" s="150" t="s">
        <v>25838</v>
      </c>
      <c r="F178" s="14">
        <v>2281.0</v>
      </c>
      <c r="G178" s="14">
        <v>2290.0</v>
      </c>
      <c r="H178" s="151"/>
      <c r="I178" s="14" t="s">
        <v>17059</v>
      </c>
      <c r="J178" s="14" t="s">
        <v>25841</v>
      </c>
      <c r="K178" s="14" t="s">
        <v>25843</v>
      </c>
      <c r="L178" s="152" t="s">
        <v>29565</v>
      </c>
      <c r="M178" s="14" t="s">
        <v>5349</v>
      </c>
      <c r="N178" s="14" t="s">
        <v>25843</v>
      </c>
      <c r="O178" s="130" t="s">
        <v>25845</v>
      </c>
      <c r="P178" s="153" t="s">
        <v>25846</v>
      </c>
      <c r="Q178" s="14">
        <v>6875938.0</v>
      </c>
      <c r="R178" s="95"/>
      <c r="S178" s="154" t="s">
        <v>29566</v>
      </c>
      <c r="T178" s="84"/>
      <c r="U178" s="84"/>
      <c r="V178" s="84"/>
      <c r="W178" s="84"/>
      <c r="X178" s="84"/>
      <c r="Y178" s="84"/>
      <c r="Z178" s="84"/>
      <c r="AA178" s="84"/>
      <c r="AB178" s="84"/>
      <c r="AC178" s="84"/>
    </row>
    <row r="179" ht="15.75" customHeight="1">
      <c r="A179" s="14" t="s">
        <v>2137</v>
      </c>
      <c r="B179" s="14">
        <v>2014.0</v>
      </c>
      <c r="C179" s="14" t="s">
        <v>25529</v>
      </c>
      <c r="D179" s="14" t="s">
        <v>25530</v>
      </c>
      <c r="E179" s="150" t="s">
        <v>25531</v>
      </c>
      <c r="F179" s="14">
        <v>2092.0</v>
      </c>
      <c r="G179" s="14">
        <v>2101.0</v>
      </c>
      <c r="H179" s="151"/>
      <c r="I179" s="14" t="s">
        <v>17059</v>
      </c>
      <c r="J179" s="14" t="s">
        <v>25534</v>
      </c>
      <c r="K179" s="14" t="s">
        <v>29567</v>
      </c>
      <c r="L179" s="152" t="s">
        <v>29175</v>
      </c>
      <c r="M179" s="14" t="s">
        <v>494</v>
      </c>
      <c r="N179" s="14" t="s">
        <v>29567</v>
      </c>
      <c r="O179" s="130" t="s">
        <v>25537</v>
      </c>
      <c r="P179" s="153" t="s">
        <v>25539</v>
      </c>
      <c r="Q179" s="14">
        <v>6876042.0</v>
      </c>
      <c r="R179" s="95"/>
      <c r="S179" s="154" t="s">
        <v>29568</v>
      </c>
      <c r="T179" s="84"/>
      <c r="U179" s="84"/>
      <c r="V179" s="84"/>
      <c r="W179" s="84"/>
      <c r="X179" s="84"/>
      <c r="Y179" s="84"/>
      <c r="Z179" s="84"/>
      <c r="AA179" s="84"/>
      <c r="AB179" s="84"/>
      <c r="AC179" s="84"/>
    </row>
    <row r="180" ht="15.75" customHeight="1">
      <c r="A180" s="14" t="s">
        <v>2137</v>
      </c>
      <c r="B180" s="14">
        <v>2014.0</v>
      </c>
      <c r="C180" s="14" t="s">
        <v>25923</v>
      </c>
      <c r="D180" s="14" t="s">
        <v>25924</v>
      </c>
      <c r="E180" s="150" t="s">
        <v>25925</v>
      </c>
      <c r="F180" s="14">
        <v>1933.0</v>
      </c>
      <c r="G180" s="14">
        <v>1942.0</v>
      </c>
      <c r="H180" s="151"/>
      <c r="I180" s="14" t="s">
        <v>17059</v>
      </c>
      <c r="J180" s="14" t="s">
        <v>25927</v>
      </c>
      <c r="K180" s="14" t="s">
        <v>29569</v>
      </c>
      <c r="L180" s="152" t="s">
        <v>29570</v>
      </c>
      <c r="M180" s="14" t="s">
        <v>494</v>
      </c>
      <c r="N180" s="14" t="s">
        <v>29571</v>
      </c>
      <c r="O180" s="130" t="s">
        <v>25931</v>
      </c>
      <c r="P180" s="153" t="s">
        <v>25932</v>
      </c>
      <c r="Q180" s="14">
        <v>6875950.0</v>
      </c>
      <c r="R180" s="95"/>
      <c r="S180" s="154" t="s">
        <v>29572</v>
      </c>
      <c r="T180" s="84"/>
      <c r="U180" s="84"/>
      <c r="V180" s="84"/>
      <c r="W180" s="84"/>
      <c r="X180" s="84"/>
      <c r="Y180" s="84"/>
      <c r="Z180" s="84"/>
      <c r="AA180" s="84"/>
      <c r="AB180" s="84"/>
      <c r="AC180" s="84"/>
    </row>
    <row r="181" ht="15.75" customHeight="1">
      <c r="A181" s="14" t="s">
        <v>2137</v>
      </c>
      <c r="B181" s="14">
        <v>2014.0</v>
      </c>
      <c r="C181" s="14" t="s">
        <v>25903</v>
      </c>
      <c r="D181" s="14" t="s">
        <v>25904</v>
      </c>
      <c r="E181" s="150" t="s">
        <v>25905</v>
      </c>
      <c r="F181" s="14">
        <v>2329.0</v>
      </c>
      <c r="G181" s="14">
        <v>2338.0</v>
      </c>
      <c r="H181" s="151"/>
      <c r="I181" s="14" t="s">
        <v>17059</v>
      </c>
      <c r="J181" s="14" t="s">
        <v>25906</v>
      </c>
      <c r="K181" s="14" t="s">
        <v>25908</v>
      </c>
      <c r="L181" s="152" t="s">
        <v>22142</v>
      </c>
      <c r="M181" s="14" t="s">
        <v>880</v>
      </c>
      <c r="N181" s="14" t="s">
        <v>25908</v>
      </c>
      <c r="O181" s="130" t="s">
        <v>25910</v>
      </c>
      <c r="P181" s="153" t="s">
        <v>25911</v>
      </c>
      <c r="Q181" s="14">
        <v>6875942.0</v>
      </c>
      <c r="R181" s="95"/>
      <c r="S181" s="154" t="s">
        <v>29573</v>
      </c>
      <c r="T181" s="84"/>
      <c r="U181" s="84"/>
      <c r="V181" s="84"/>
      <c r="W181" s="84"/>
      <c r="X181" s="84"/>
      <c r="Y181" s="84"/>
      <c r="Z181" s="84"/>
      <c r="AA181" s="84"/>
      <c r="AB181" s="84"/>
      <c r="AC181" s="84"/>
    </row>
    <row r="182" ht="15.75" customHeight="1">
      <c r="A182" s="14" t="s">
        <v>2137</v>
      </c>
      <c r="B182" s="14">
        <v>2014.0</v>
      </c>
      <c r="C182" s="14" t="s">
        <v>25579</v>
      </c>
      <c r="D182" s="14" t="s">
        <v>25580</v>
      </c>
      <c r="E182" s="150" t="s">
        <v>25581</v>
      </c>
      <c r="F182" s="14">
        <v>2359.0</v>
      </c>
      <c r="G182" s="14">
        <v>2368.0</v>
      </c>
      <c r="H182" s="151"/>
      <c r="I182" s="14" t="s">
        <v>17059</v>
      </c>
      <c r="J182" s="14" t="s">
        <v>25583</v>
      </c>
      <c r="K182" s="14" t="s">
        <v>29574</v>
      </c>
      <c r="L182" s="152" t="s">
        <v>29505</v>
      </c>
      <c r="M182" s="14" t="s">
        <v>880</v>
      </c>
      <c r="N182" s="14" t="s">
        <v>29574</v>
      </c>
      <c r="O182" s="130" t="s">
        <v>25587</v>
      </c>
      <c r="P182" s="153" t="s">
        <v>25588</v>
      </c>
      <c r="Q182" s="14">
        <v>6876050.0</v>
      </c>
      <c r="R182" s="95"/>
      <c r="S182" s="154" t="s">
        <v>29575</v>
      </c>
      <c r="T182" s="84"/>
      <c r="U182" s="84"/>
      <c r="V182" s="84"/>
      <c r="W182" s="84"/>
      <c r="X182" s="84"/>
      <c r="Y182" s="84"/>
      <c r="Z182" s="84"/>
      <c r="AA182" s="84"/>
      <c r="AB182" s="84"/>
      <c r="AC182" s="84"/>
    </row>
    <row r="183" ht="15.75" customHeight="1">
      <c r="A183" s="14" t="s">
        <v>2137</v>
      </c>
      <c r="B183" s="14">
        <v>2014.0</v>
      </c>
      <c r="C183" s="14" t="s">
        <v>25616</v>
      </c>
      <c r="D183" s="14" t="s">
        <v>25617</v>
      </c>
      <c r="E183" s="150" t="s">
        <v>25618</v>
      </c>
      <c r="F183" s="14">
        <v>2171.0</v>
      </c>
      <c r="G183" s="14">
        <v>2180.0</v>
      </c>
      <c r="H183" s="151"/>
      <c r="I183" s="14" t="s">
        <v>17059</v>
      </c>
      <c r="J183" s="14" t="s">
        <v>25619</v>
      </c>
      <c r="K183" s="14" t="s">
        <v>29576</v>
      </c>
      <c r="L183" s="152" t="s">
        <v>26976</v>
      </c>
      <c r="M183" s="14" t="s">
        <v>494</v>
      </c>
      <c r="N183" s="14" t="s">
        <v>29576</v>
      </c>
      <c r="O183" s="130" t="s">
        <v>25621</v>
      </c>
      <c r="P183" s="153" t="s">
        <v>25622</v>
      </c>
      <c r="Q183" s="14">
        <v>6875966.0</v>
      </c>
      <c r="R183" s="95"/>
      <c r="S183" s="154" t="s">
        <v>29577</v>
      </c>
      <c r="T183" s="84"/>
      <c r="U183" s="84"/>
      <c r="V183" s="84"/>
      <c r="W183" s="84"/>
      <c r="X183" s="84"/>
      <c r="Y183" s="84"/>
      <c r="Z183" s="84"/>
      <c r="AA183" s="84"/>
      <c r="AB183" s="84"/>
      <c r="AC183" s="84"/>
    </row>
    <row r="184" ht="15.75" customHeight="1">
      <c r="A184" s="14" t="s">
        <v>2137</v>
      </c>
      <c r="B184" s="14">
        <v>2014.0</v>
      </c>
      <c r="C184" s="14" t="s">
        <v>25865</v>
      </c>
      <c r="D184" s="14" t="s">
        <v>25866</v>
      </c>
      <c r="E184" s="150" t="s">
        <v>25867</v>
      </c>
      <c r="F184" s="14">
        <v>2310.0</v>
      </c>
      <c r="G184" s="14">
        <v>2319.0</v>
      </c>
      <c r="H184" s="151"/>
      <c r="I184" s="14" t="s">
        <v>17059</v>
      </c>
      <c r="J184" s="14" t="s">
        <v>25870</v>
      </c>
      <c r="K184" s="14" t="s">
        <v>29579</v>
      </c>
      <c r="L184" s="152" t="s">
        <v>29580</v>
      </c>
      <c r="M184" s="14" t="s">
        <v>178</v>
      </c>
      <c r="N184" s="14" t="s">
        <v>29579</v>
      </c>
      <c r="O184" s="130" t="s">
        <v>25872</v>
      </c>
      <c r="P184" s="153" t="s">
        <v>25873</v>
      </c>
      <c r="Q184" s="14">
        <v>6875972.0</v>
      </c>
      <c r="R184" s="95"/>
      <c r="S184" s="154" t="s">
        <v>29581</v>
      </c>
      <c r="T184" s="84"/>
      <c r="U184" s="84"/>
      <c r="V184" s="84"/>
      <c r="W184" s="84"/>
      <c r="X184" s="84"/>
      <c r="Y184" s="84"/>
      <c r="Z184" s="84"/>
      <c r="AA184" s="84"/>
      <c r="AB184" s="84"/>
      <c r="AC184" s="84"/>
    </row>
    <row r="185" ht="15.75" customHeight="1">
      <c r="A185" s="14" t="s">
        <v>2137</v>
      </c>
      <c r="B185" s="14">
        <v>2014.0</v>
      </c>
      <c r="C185" s="14" t="s">
        <v>25590</v>
      </c>
      <c r="D185" s="14" t="s">
        <v>25591</v>
      </c>
      <c r="E185" s="150" t="s">
        <v>25592</v>
      </c>
      <c r="F185" s="14">
        <v>2369.0</v>
      </c>
      <c r="G185" s="14">
        <v>2378.0</v>
      </c>
      <c r="H185" s="151"/>
      <c r="I185" s="14" t="s">
        <v>17059</v>
      </c>
      <c r="J185" s="14" t="s">
        <v>25593</v>
      </c>
      <c r="K185" s="14" t="s">
        <v>29582</v>
      </c>
      <c r="L185" s="152" t="s">
        <v>29578</v>
      </c>
      <c r="M185" s="14" t="s">
        <v>1253</v>
      </c>
      <c r="N185" s="14" t="s">
        <v>29583</v>
      </c>
      <c r="O185" s="130" t="s">
        <v>25599</v>
      </c>
      <c r="P185" s="153" t="s">
        <v>25600</v>
      </c>
      <c r="Q185" s="14">
        <v>6875935.0</v>
      </c>
      <c r="R185" s="95"/>
      <c r="S185" s="154" t="s">
        <v>29584</v>
      </c>
      <c r="T185" s="84"/>
      <c r="U185" s="84"/>
      <c r="V185" s="84"/>
      <c r="W185" s="84"/>
      <c r="X185" s="84"/>
      <c r="Y185" s="84"/>
      <c r="Z185" s="84"/>
      <c r="AA185" s="84"/>
      <c r="AB185" s="84"/>
      <c r="AC185" s="84"/>
    </row>
    <row r="186" ht="15.75" customHeight="1">
      <c r="A186" s="14" t="s">
        <v>2137</v>
      </c>
      <c r="B186" s="14">
        <v>2014.0</v>
      </c>
      <c r="C186" s="14" t="s">
        <v>25501</v>
      </c>
      <c r="D186" s="14" t="s">
        <v>25502</v>
      </c>
      <c r="E186" s="150" t="s">
        <v>25503</v>
      </c>
      <c r="F186" s="14">
        <v>2063.0</v>
      </c>
      <c r="G186" s="14">
        <v>2071.0</v>
      </c>
      <c r="H186" s="151"/>
      <c r="I186" s="14" t="s">
        <v>17059</v>
      </c>
      <c r="J186" s="14" t="s">
        <v>25505</v>
      </c>
      <c r="K186" s="14" t="s">
        <v>29586</v>
      </c>
      <c r="L186" s="152" t="s">
        <v>29159</v>
      </c>
      <c r="M186" s="14" t="s">
        <v>880</v>
      </c>
      <c r="N186" s="14" t="s">
        <v>29586</v>
      </c>
      <c r="O186" s="130" t="s">
        <v>25509</v>
      </c>
      <c r="P186" s="153" t="s">
        <v>25510</v>
      </c>
      <c r="Q186" s="14">
        <v>6876012.0</v>
      </c>
      <c r="R186" s="95"/>
      <c r="S186" s="154" t="s">
        <v>29587</v>
      </c>
      <c r="T186" s="84"/>
      <c r="U186" s="84"/>
      <c r="V186" s="84"/>
      <c r="W186" s="84"/>
      <c r="X186" s="84"/>
      <c r="Y186" s="84"/>
      <c r="Z186" s="84"/>
      <c r="AA186" s="84"/>
      <c r="AB186" s="84"/>
      <c r="AC186" s="84"/>
    </row>
    <row r="187" ht="15.75" customHeight="1">
      <c r="A187" s="14" t="s">
        <v>2137</v>
      </c>
      <c r="B187" s="14">
        <v>2014.0</v>
      </c>
      <c r="C187" s="14" t="s">
        <v>25786</v>
      </c>
      <c r="D187" s="14" t="s">
        <v>25787</v>
      </c>
      <c r="E187" s="150" t="s">
        <v>25789</v>
      </c>
      <c r="F187" s="14">
        <v>2231.0</v>
      </c>
      <c r="G187" s="14">
        <v>2240.0</v>
      </c>
      <c r="H187" s="151"/>
      <c r="I187" s="14" t="s">
        <v>17059</v>
      </c>
      <c r="J187" s="14" t="s">
        <v>25790</v>
      </c>
      <c r="K187" s="14" t="s">
        <v>29590</v>
      </c>
      <c r="L187" s="152" t="s">
        <v>29591</v>
      </c>
      <c r="M187" s="14" t="s">
        <v>5349</v>
      </c>
      <c r="N187" s="14" t="s">
        <v>29590</v>
      </c>
      <c r="O187" s="130" t="s">
        <v>25794</v>
      </c>
      <c r="P187" s="153" t="s">
        <v>25795</v>
      </c>
      <c r="Q187" s="14">
        <v>6876036.0</v>
      </c>
      <c r="R187" s="95"/>
      <c r="S187" s="154" t="s">
        <v>29592</v>
      </c>
      <c r="T187" s="84"/>
      <c r="U187" s="84"/>
      <c r="V187" s="84"/>
      <c r="W187" s="84"/>
      <c r="X187" s="84"/>
      <c r="Y187" s="84"/>
      <c r="Z187" s="84"/>
      <c r="AA187" s="84"/>
      <c r="AB187" s="84"/>
      <c r="AC187" s="84"/>
    </row>
    <row r="188" ht="15.75" customHeight="1">
      <c r="A188" s="14" t="s">
        <v>2137</v>
      </c>
      <c r="B188" s="14">
        <v>2014.0</v>
      </c>
      <c r="C188" s="14" t="s">
        <v>25431</v>
      </c>
      <c r="D188" s="14" t="s">
        <v>25432</v>
      </c>
      <c r="E188" s="150" t="s">
        <v>25433</v>
      </c>
      <c r="F188" s="14">
        <v>1993.0</v>
      </c>
      <c r="G188" s="14">
        <v>2002.0</v>
      </c>
      <c r="H188" s="151"/>
      <c r="I188" s="14" t="s">
        <v>17059</v>
      </c>
      <c r="J188" s="14" t="s">
        <v>25435</v>
      </c>
      <c r="K188" s="14" t="s">
        <v>29593</v>
      </c>
      <c r="L188" s="152" t="s">
        <v>28718</v>
      </c>
      <c r="M188" s="14" t="s">
        <v>5349</v>
      </c>
      <c r="N188" s="14" t="s">
        <v>29593</v>
      </c>
      <c r="O188" s="130" t="s">
        <v>25439</v>
      </c>
      <c r="P188" s="153" t="s">
        <v>25440</v>
      </c>
      <c r="Q188" s="14">
        <v>6876026.0</v>
      </c>
      <c r="R188" s="95"/>
      <c r="S188" s="154" t="s">
        <v>29595</v>
      </c>
      <c r="T188" s="84"/>
      <c r="U188" s="84"/>
      <c r="V188" s="84"/>
      <c r="W188" s="84"/>
      <c r="X188" s="84"/>
      <c r="Y188" s="84"/>
      <c r="Z188" s="84"/>
      <c r="AA188" s="84"/>
      <c r="AB188" s="84"/>
      <c r="AC188" s="84"/>
    </row>
    <row r="189" ht="15.75" customHeight="1">
      <c r="A189" s="14" t="s">
        <v>2137</v>
      </c>
      <c r="B189" s="14">
        <v>2014.0</v>
      </c>
      <c r="C189" s="14" t="s">
        <v>25818</v>
      </c>
      <c r="D189" s="14" t="s">
        <v>25819</v>
      </c>
      <c r="E189" s="150" t="s">
        <v>25820</v>
      </c>
      <c r="F189" s="14">
        <v>2261.0</v>
      </c>
      <c r="G189" s="14">
        <v>2270.0</v>
      </c>
      <c r="H189" s="151"/>
      <c r="I189" s="14" t="s">
        <v>17059</v>
      </c>
      <c r="J189" s="14" t="s">
        <v>25822</v>
      </c>
      <c r="K189" s="14" t="s">
        <v>29596</v>
      </c>
      <c r="L189" s="152" t="s">
        <v>494</v>
      </c>
      <c r="M189" s="14" t="s">
        <v>494</v>
      </c>
      <c r="N189" s="14" t="s">
        <v>29596</v>
      </c>
      <c r="O189" s="130" t="s">
        <v>25825</v>
      </c>
      <c r="P189" s="153" t="s">
        <v>25826</v>
      </c>
      <c r="Q189" s="14">
        <v>6875940.0</v>
      </c>
      <c r="R189" s="95"/>
      <c r="S189" s="154" t="s">
        <v>29597</v>
      </c>
      <c r="T189" s="84"/>
      <c r="U189" s="84"/>
      <c r="V189" s="84"/>
      <c r="W189" s="84"/>
      <c r="X189" s="84"/>
      <c r="Y189" s="84"/>
      <c r="Z189" s="84"/>
      <c r="AA189" s="84"/>
      <c r="AB189" s="84"/>
      <c r="AC189" s="84"/>
    </row>
    <row r="190" ht="15.75" customHeight="1">
      <c r="A190" s="14" t="s">
        <v>2137</v>
      </c>
      <c r="B190" s="14">
        <v>2014.0</v>
      </c>
      <c r="C190" s="14" t="s">
        <v>25483</v>
      </c>
      <c r="D190" s="14" t="s">
        <v>25484</v>
      </c>
      <c r="E190" s="150" t="s">
        <v>25485</v>
      </c>
      <c r="F190" s="14">
        <v>2043.0</v>
      </c>
      <c r="G190" s="14">
        <v>2052.0</v>
      </c>
      <c r="H190" s="151"/>
      <c r="I190" s="14" t="s">
        <v>17059</v>
      </c>
      <c r="J190" s="14" t="s">
        <v>25486</v>
      </c>
      <c r="K190" s="14" t="s">
        <v>25488</v>
      </c>
      <c r="L190" s="152" t="s">
        <v>29153</v>
      </c>
      <c r="M190" s="14" t="s">
        <v>178</v>
      </c>
      <c r="N190" s="14" t="s">
        <v>25488</v>
      </c>
      <c r="O190" s="130" t="s">
        <v>25490</v>
      </c>
      <c r="P190" s="153" t="s">
        <v>25491</v>
      </c>
      <c r="Q190" s="14">
        <v>6875983.0</v>
      </c>
      <c r="R190" s="95"/>
      <c r="S190" s="154" t="s">
        <v>29598</v>
      </c>
      <c r="T190" s="84"/>
      <c r="U190" s="84"/>
      <c r="V190" s="84"/>
      <c r="W190" s="84"/>
      <c r="X190" s="84"/>
      <c r="Y190" s="84"/>
      <c r="Z190" s="84"/>
      <c r="AA190" s="84"/>
      <c r="AB190" s="84"/>
      <c r="AC190" s="84"/>
    </row>
    <row r="191" ht="15.75" customHeight="1">
      <c r="A191" s="14" t="s">
        <v>2137</v>
      </c>
      <c r="B191" s="14">
        <v>2014.0</v>
      </c>
      <c r="C191" s="14" t="s">
        <v>25827</v>
      </c>
      <c r="D191" s="14" t="s">
        <v>25828</v>
      </c>
      <c r="E191" s="150" t="s">
        <v>25829</v>
      </c>
      <c r="F191" s="14">
        <v>2271.0</v>
      </c>
      <c r="G191" s="14">
        <v>2280.0</v>
      </c>
      <c r="H191" s="151"/>
      <c r="I191" s="14" t="s">
        <v>17059</v>
      </c>
      <c r="J191" s="14" t="s">
        <v>29599</v>
      </c>
      <c r="K191" s="14" t="s">
        <v>29600</v>
      </c>
      <c r="L191" s="152" t="s">
        <v>27755</v>
      </c>
      <c r="M191" s="14" t="s">
        <v>5349</v>
      </c>
      <c r="N191" s="14" t="s">
        <v>29600</v>
      </c>
      <c r="O191" s="130" t="s">
        <v>25834</v>
      </c>
      <c r="P191" s="153" t="s">
        <v>25835</v>
      </c>
      <c r="Q191" s="14">
        <v>6875900.0</v>
      </c>
      <c r="R191" s="95"/>
      <c r="S191" s="154" t="s">
        <v>29601</v>
      </c>
      <c r="T191" s="84"/>
      <c r="U191" s="84"/>
      <c r="V191" s="84"/>
      <c r="W191" s="84"/>
      <c r="X191" s="84"/>
      <c r="Y191" s="84"/>
      <c r="Z191" s="84"/>
      <c r="AA191" s="84"/>
      <c r="AB191" s="84"/>
      <c r="AC191" s="84"/>
    </row>
    <row r="192" ht="15.75" customHeight="1">
      <c r="A192" s="14" t="s">
        <v>2137</v>
      </c>
      <c r="B192" s="14">
        <v>2014.0</v>
      </c>
      <c r="C192" s="14" t="s">
        <v>25549</v>
      </c>
      <c r="D192" s="14" t="s">
        <v>25550</v>
      </c>
      <c r="E192" s="150" t="s">
        <v>25551</v>
      </c>
      <c r="F192" s="14">
        <v>2112.0</v>
      </c>
      <c r="G192" s="14">
        <v>2121.0</v>
      </c>
      <c r="H192" s="151"/>
      <c r="I192" s="14" t="s">
        <v>17059</v>
      </c>
      <c r="J192" s="14" t="s">
        <v>25552</v>
      </c>
      <c r="K192" s="14" t="s">
        <v>29602</v>
      </c>
      <c r="L192" s="152" t="s">
        <v>494</v>
      </c>
      <c r="M192" s="14" t="s">
        <v>494</v>
      </c>
      <c r="N192" s="14" t="s">
        <v>29603</v>
      </c>
      <c r="O192" s="130" t="s">
        <v>25556</v>
      </c>
      <c r="P192" s="153" t="s">
        <v>25557</v>
      </c>
      <c r="Q192" s="14">
        <v>6876039.0</v>
      </c>
      <c r="R192" s="95"/>
      <c r="S192" s="154" t="s">
        <v>29604</v>
      </c>
      <c r="T192" s="84"/>
      <c r="U192" s="84"/>
      <c r="V192" s="84"/>
      <c r="W192" s="84"/>
      <c r="X192" s="84"/>
      <c r="Y192" s="84"/>
      <c r="Z192" s="84"/>
      <c r="AA192" s="84"/>
      <c r="AB192" s="84"/>
      <c r="AC192" s="84"/>
    </row>
    <row r="193" ht="15.75" customHeight="1">
      <c r="A193" s="14" t="s">
        <v>2137</v>
      </c>
      <c r="B193" s="14">
        <v>2014.0</v>
      </c>
      <c r="C193" s="14" t="s">
        <v>25933</v>
      </c>
      <c r="D193" s="14" t="s">
        <v>25934</v>
      </c>
      <c r="E193" s="150" t="s">
        <v>25935</v>
      </c>
      <c r="F193" s="14">
        <v>1943.0</v>
      </c>
      <c r="G193" s="14">
        <v>1952.0</v>
      </c>
      <c r="H193" s="151"/>
      <c r="I193" s="14" t="s">
        <v>17059</v>
      </c>
      <c r="J193" s="14" t="s">
        <v>25937</v>
      </c>
      <c r="K193" s="14" t="s">
        <v>29607</v>
      </c>
      <c r="L193" s="152" t="s">
        <v>29608</v>
      </c>
      <c r="M193" s="14" t="s">
        <v>5349</v>
      </c>
      <c r="N193" s="14" t="s">
        <v>29607</v>
      </c>
      <c r="O193" s="130" t="s">
        <v>25940</v>
      </c>
      <c r="P193" s="153" t="s">
        <v>25941</v>
      </c>
      <c r="Q193" s="14">
        <v>6875978.0</v>
      </c>
      <c r="R193" s="95"/>
      <c r="S193" s="154" t="s">
        <v>29609</v>
      </c>
      <c r="T193" s="84"/>
      <c r="U193" s="84"/>
      <c r="V193" s="84"/>
      <c r="W193" s="84"/>
      <c r="X193" s="84"/>
      <c r="Y193" s="84"/>
      <c r="Z193" s="84"/>
      <c r="AA193" s="84"/>
      <c r="AB193" s="84"/>
      <c r="AC193" s="84"/>
    </row>
    <row r="194" ht="15.75" customHeight="1">
      <c r="A194" s="14" t="s">
        <v>2137</v>
      </c>
      <c r="B194" s="14">
        <v>2014.0</v>
      </c>
      <c r="C194" s="14" t="s">
        <v>25962</v>
      </c>
      <c r="D194" s="14" t="s">
        <v>25963</v>
      </c>
      <c r="E194" s="150" t="s">
        <v>25964</v>
      </c>
      <c r="F194" s="14">
        <v>1973.0</v>
      </c>
      <c r="G194" s="14">
        <v>1982.0</v>
      </c>
      <c r="H194" s="151"/>
      <c r="I194" s="14" t="s">
        <v>17059</v>
      </c>
      <c r="J194" s="14" t="s">
        <v>25966</v>
      </c>
      <c r="K194" s="14" t="s">
        <v>29610</v>
      </c>
      <c r="L194" s="152" t="s">
        <v>4242</v>
      </c>
      <c r="M194" s="14" t="s">
        <v>178</v>
      </c>
      <c r="N194" s="14" t="s">
        <v>29610</v>
      </c>
      <c r="O194" s="130" t="s">
        <v>25967</v>
      </c>
      <c r="P194" s="153" t="s">
        <v>25968</v>
      </c>
      <c r="Q194" s="14">
        <v>6875960.0</v>
      </c>
      <c r="R194" s="95"/>
      <c r="S194" s="154" t="s">
        <v>29611</v>
      </c>
      <c r="T194" s="84"/>
      <c r="U194" s="84"/>
      <c r="V194" s="84"/>
      <c r="W194" s="84"/>
      <c r="X194" s="84"/>
      <c r="Y194" s="84"/>
      <c r="Z194" s="84"/>
      <c r="AA194" s="84"/>
      <c r="AB194" s="84"/>
      <c r="AC194" s="84"/>
    </row>
    <row r="195" ht="15.75" customHeight="1">
      <c r="A195" s="14" t="s">
        <v>2137</v>
      </c>
      <c r="B195" s="14">
        <v>2014.0</v>
      </c>
      <c r="C195" s="14" t="s">
        <v>25521</v>
      </c>
      <c r="D195" s="14" t="s">
        <v>25522</v>
      </c>
      <c r="E195" s="150" t="s">
        <v>25523</v>
      </c>
      <c r="F195" s="14">
        <v>2082.0</v>
      </c>
      <c r="G195" s="14">
        <v>2091.0</v>
      </c>
      <c r="H195" s="151"/>
      <c r="I195" s="14" t="s">
        <v>17059</v>
      </c>
      <c r="J195" s="14" t="s">
        <v>29612</v>
      </c>
      <c r="K195" s="14" t="s">
        <v>29613</v>
      </c>
      <c r="L195" s="152" t="s">
        <v>29171</v>
      </c>
      <c r="M195" s="14" t="s">
        <v>494</v>
      </c>
      <c r="N195" s="14" t="s">
        <v>29614</v>
      </c>
      <c r="O195" s="130" t="s">
        <v>25527</v>
      </c>
      <c r="P195" s="153" t="s">
        <v>25528</v>
      </c>
      <c r="Q195" s="14">
        <v>6875988.0</v>
      </c>
      <c r="R195" s="95"/>
      <c r="S195" s="154" t="s">
        <v>29615</v>
      </c>
      <c r="T195" s="84"/>
      <c r="U195" s="84"/>
      <c r="V195" s="84"/>
      <c r="W195" s="84"/>
      <c r="X195" s="84"/>
      <c r="Y195" s="84"/>
      <c r="Z195" s="84"/>
      <c r="AA195" s="84"/>
      <c r="AB195" s="84"/>
      <c r="AC195" s="84"/>
    </row>
    <row r="196" ht="15.75" customHeight="1">
      <c r="A196" s="14" t="s">
        <v>2137</v>
      </c>
      <c r="B196" s="14">
        <v>2014.0</v>
      </c>
      <c r="C196" s="14" t="s">
        <v>25493</v>
      </c>
      <c r="D196" s="14" t="s">
        <v>25494</v>
      </c>
      <c r="E196" s="150" t="s">
        <v>25495</v>
      </c>
      <c r="F196" s="14">
        <v>2053.0</v>
      </c>
      <c r="G196" s="14">
        <v>2062.0</v>
      </c>
      <c r="H196" s="151"/>
      <c r="I196" s="14" t="s">
        <v>17059</v>
      </c>
      <c r="J196" s="14" t="s">
        <v>29154</v>
      </c>
      <c r="K196" s="14" t="s">
        <v>29617</v>
      </c>
      <c r="L196" s="152" t="s">
        <v>22935</v>
      </c>
      <c r="M196" s="14" t="s">
        <v>5349</v>
      </c>
      <c r="N196" s="14" t="s">
        <v>29617</v>
      </c>
      <c r="O196" s="130" t="s">
        <v>16117</v>
      </c>
      <c r="P196" s="153" t="s">
        <v>25499</v>
      </c>
      <c r="Q196" s="14">
        <v>6876003.0</v>
      </c>
      <c r="R196" s="95"/>
      <c r="S196" s="154">
        <v>1532145.0</v>
      </c>
      <c r="T196" s="84"/>
      <c r="U196" s="84"/>
      <c r="V196" s="84"/>
      <c r="W196" s="84"/>
      <c r="X196" s="84"/>
      <c r="Y196" s="84"/>
      <c r="Z196" s="84"/>
      <c r="AA196" s="84"/>
      <c r="AB196" s="84"/>
      <c r="AC196" s="84"/>
    </row>
    <row r="197" ht="15.75" customHeight="1">
      <c r="A197" s="14" t="s">
        <v>2137</v>
      </c>
      <c r="B197" s="14">
        <v>2014.0</v>
      </c>
      <c r="C197" s="14" t="s">
        <v>25884</v>
      </c>
      <c r="D197" s="14" t="s">
        <v>25885</v>
      </c>
      <c r="E197" s="150" t="s">
        <v>25886</v>
      </c>
      <c r="F197" s="14">
        <v>2339.0</v>
      </c>
      <c r="G197" s="14">
        <v>2348.0</v>
      </c>
      <c r="H197" s="151"/>
      <c r="I197" s="14" t="s">
        <v>17059</v>
      </c>
      <c r="J197" s="14" t="s">
        <v>25889</v>
      </c>
      <c r="K197" s="14" t="s">
        <v>29619</v>
      </c>
      <c r="L197" s="152" t="s">
        <v>29620</v>
      </c>
      <c r="M197" s="14" t="s">
        <v>5349</v>
      </c>
      <c r="N197" s="14" t="s">
        <v>29619</v>
      </c>
      <c r="O197" s="130" t="s">
        <v>25892</v>
      </c>
      <c r="P197" s="153" t="s">
        <v>25893</v>
      </c>
      <c r="Q197" s="14">
        <v>6876044.0</v>
      </c>
      <c r="R197" s="95"/>
      <c r="S197" s="154" t="s">
        <v>29621</v>
      </c>
      <c r="T197" s="84"/>
      <c r="U197" s="84"/>
      <c r="V197" s="84"/>
      <c r="W197" s="84"/>
      <c r="X197" s="84"/>
      <c r="Y197" s="84"/>
      <c r="Z197" s="84"/>
      <c r="AA197" s="84"/>
      <c r="AB197" s="84"/>
      <c r="AC197" s="84"/>
    </row>
    <row r="198" ht="15.75" customHeight="1">
      <c r="A198" s="14" t="s">
        <v>2137</v>
      </c>
      <c r="B198" s="14">
        <v>2014.0</v>
      </c>
      <c r="C198" s="14" t="s">
        <v>25895</v>
      </c>
      <c r="D198" s="14" t="s">
        <v>25896</v>
      </c>
      <c r="E198" s="150" t="s">
        <v>25897</v>
      </c>
      <c r="F198" s="14">
        <v>2122.0</v>
      </c>
      <c r="G198" s="14">
        <v>2131.0</v>
      </c>
      <c r="H198" s="151"/>
      <c r="I198" s="14" t="s">
        <v>17059</v>
      </c>
      <c r="J198" s="14" t="s">
        <v>25898</v>
      </c>
      <c r="K198" s="14" t="s">
        <v>29622</v>
      </c>
      <c r="L198" s="152" t="s">
        <v>178</v>
      </c>
      <c r="M198" s="14" t="s">
        <v>178</v>
      </c>
      <c r="N198" s="14" t="s">
        <v>29622</v>
      </c>
      <c r="O198" s="130" t="s">
        <v>21426</v>
      </c>
      <c r="P198" s="153" t="s">
        <v>25901</v>
      </c>
      <c r="Q198" s="14">
        <v>6876022.0</v>
      </c>
      <c r="R198" s="95"/>
      <c r="S198" s="154">
        <v>5613437.0</v>
      </c>
      <c r="T198" s="84"/>
      <c r="U198" s="84"/>
      <c r="V198" s="84"/>
      <c r="W198" s="84"/>
      <c r="X198" s="84"/>
      <c r="Y198" s="84"/>
      <c r="Z198" s="84"/>
      <c r="AA198" s="84"/>
      <c r="AB198" s="84"/>
      <c r="AC198" s="84"/>
    </row>
    <row r="199" ht="15.75" customHeight="1">
      <c r="A199" s="14" t="s">
        <v>2137</v>
      </c>
      <c r="B199" s="14">
        <v>2014.0</v>
      </c>
      <c r="C199" s="14" t="s">
        <v>25808</v>
      </c>
      <c r="D199" s="14" t="s">
        <v>25809</v>
      </c>
      <c r="E199" s="150" t="s">
        <v>25810</v>
      </c>
      <c r="F199" s="14">
        <v>2251.0</v>
      </c>
      <c r="G199" s="14">
        <v>2260.0</v>
      </c>
      <c r="H199" s="151"/>
      <c r="I199" s="14" t="s">
        <v>17059</v>
      </c>
      <c r="J199" s="14" t="s">
        <v>29623</v>
      </c>
      <c r="K199" s="14" t="s">
        <v>29624</v>
      </c>
      <c r="L199" s="152" t="s">
        <v>29625</v>
      </c>
      <c r="M199" s="14" t="s">
        <v>880</v>
      </c>
      <c r="N199" s="14" t="s">
        <v>29624</v>
      </c>
      <c r="O199" s="130" t="s">
        <v>25816</v>
      </c>
      <c r="P199" s="153" t="s">
        <v>25817</v>
      </c>
      <c r="Q199" s="14">
        <v>6875973.0</v>
      </c>
      <c r="R199" s="95"/>
      <c r="S199" s="154" t="s">
        <v>29626</v>
      </c>
      <c r="T199" s="84"/>
      <c r="U199" s="84"/>
      <c r="V199" s="84"/>
      <c r="W199" s="84"/>
      <c r="X199" s="84"/>
      <c r="Y199" s="84"/>
      <c r="Z199" s="84"/>
      <c r="AA199" s="84"/>
      <c r="AB199" s="84"/>
      <c r="AC199" s="84"/>
    </row>
    <row r="200" ht="15.75" customHeight="1">
      <c r="A200" s="14" t="s">
        <v>2137</v>
      </c>
      <c r="B200" s="14">
        <v>2014.0</v>
      </c>
      <c r="C200" s="14" t="s">
        <v>25797</v>
      </c>
      <c r="D200" s="14" t="s">
        <v>25798</v>
      </c>
      <c r="E200" s="150" t="s">
        <v>25799</v>
      </c>
      <c r="F200" s="14">
        <v>2241.0</v>
      </c>
      <c r="G200" s="14">
        <v>2250.0</v>
      </c>
      <c r="H200" s="151"/>
      <c r="I200" s="14" t="s">
        <v>17059</v>
      </c>
      <c r="J200" s="14" t="s">
        <v>25802</v>
      </c>
      <c r="K200" s="14" t="s">
        <v>29627</v>
      </c>
      <c r="L200" s="152" t="s">
        <v>29628</v>
      </c>
      <c r="M200" s="14" t="s">
        <v>494</v>
      </c>
      <c r="N200" s="14" t="s">
        <v>29627</v>
      </c>
      <c r="O200" s="130" t="s">
        <v>25805</v>
      </c>
      <c r="P200" s="153" t="s">
        <v>25806</v>
      </c>
      <c r="Q200" s="14">
        <v>6876010.0</v>
      </c>
      <c r="R200" s="95"/>
      <c r="S200" s="154" t="s">
        <v>29629</v>
      </c>
      <c r="T200" s="84"/>
      <c r="U200" s="84"/>
      <c r="V200" s="84"/>
      <c r="W200" s="84"/>
      <c r="X200" s="84"/>
      <c r="Y200" s="84"/>
      <c r="Z200" s="84"/>
      <c r="AA200" s="84"/>
      <c r="AB200" s="84"/>
      <c r="AC200" s="84"/>
    </row>
    <row r="201" ht="15.75" customHeight="1">
      <c r="A201" s="14" t="s">
        <v>2137</v>
      </c>
      <c r="B201" s="14">
        <v>2014.0</v>
      </c>
      <c r="C201" s="14" t="s">
        <v>25641</v>
      </c>
      <c r="D201" s="14" t="s">
        <v>25642</v>
      </c>
      <c r="E201" s="150" t="s">
        <v>25643</v>
      </c>
      <c r="F201" s="14">
        <v>2211.0</v>
      </c>
      <c r="G201" s="14">
        <v>2220.0</v>
      </c>
      <c r="H201" s="151"/>
      <c r="I201" s="14" t="s">
        <v>17059</v>
      </c>
      <c r="J201" s="14" t="s">
        <v>25644</v>
      </c>
      <c r="K201" s="14" t="s">
        <v>29630</v>
      </c>
      <c r="L201" s="152" t="s">
        <v>29631</v>
      </c>
      <c r="M201" s="14" t="s">
        <v>880</v>
      </c>
      <c r="N201" s="14" t="s">
        <v>29630</v>
      </c>
      <c r="O201" s="130" t="s">
        <v>25647</v>
      </c>
      <c r="P201" s="153" t="s">
        <v>25648</v>
      </c>
      <c r="Q201" s="14">
        <v>6876023.0</v>
      </c>
      <c r="R201" s="95"/>
      <c r="S201" s="154" t="s">
        <v>29632</v>
      </c>
      <c r="T201" s="84"/>
      <c r="U201" s="84"/>
      <c r="V201" s="84"/>
      <c r="W201" s="84"/>
      <c r="X201" s="84"/>
      <c r="Y201" s="84"/>
      <c r="Z201" s="84"/>
      <c r="AA201" s="84"/>
      <c r="AB201" s="84"/>
      <c r="AC201" s="84"/>
    </row>
    <row r="202" ht="15.75" customHeight="1">
      <c r="A202" s="14" t="s">
        <v>2137</v>
      </c>
      <c r="B202" s="14">
        <v>2014.0</v>
      </c>
      <c r="C202" s="14" t="s">
        <v>25942</v>
      </c>
      <c r="D202" s="14" t="s">
        <v>25943</v>
      </c>
      <c r="E202" s="150" t="s">
        <v>25944</v>
      </c>
      <c r="F202" s="14">
        <v>1953.0</v>
      </c>
      <c r="G202" s="14">
        <v>1962.0</v>
      </c>
      <c r="H202" s="151"/>
      <c r="I202" s="14" t="s">
        <v>17059</v>
      </c>
      <c r="J202" s="14" t="s">
        <v>29633</v>
      </c>
      <c r="K202" s="14" t="s">
        <v>29634</v>
      </c>
      <c r="L202" s="152" t="s">
        <v>27846</v>
      </c>
      <c r="M202" s="14" t="s">
        <v>494</v>
      </c>
      <c r="N202" s="14" t="s">
        <v>29635</v>
      </c>
      <c r="O202" s="130" t="s">
        <v>25951</v>
      </c>
      <c r="P202" s="153" t="s">
        <v>25952</v>
      </c>
      <c r="Q202" s="14">
        <v>6875989.0</v>
      </c>
      <c r="R202" s="95"/>
      <c r="S202" s="154" t="s">
        <v>29636</v>
      </c>
      <c r="T202" s="84"/>
      <c r="U202" s="84"/>
      <c r="V202" s="84"/>
      <c r="W202" s="84"/>
      <c r="X202" s="84"/>
      <c r="Y202" s="84"/>
      <c r="Z202" s="84"/>
      <c r="AA202" s="84"/>
      <c r="AB202" s="84"/>
      <c r="AC202" s="84"/>
    </row>
    <row r="203" ht="15.75" customHeight="1">
      <c r="A203" s="14" t="s">
        <v>2137</v>
      </c>
      <c r="B203" s="14">
        <v>2014.0</v>
      </c>
      <c r="C203" s="14" t="s">
        <v>25511</v>
      </c>
      <c r="D203" s="14" t="s">
        <v>25512</v>
      </c>
      <c r="E203" s="150" t="s">
        <v>25513</v>
      </c>
      <c r="F203" s="14">
        <v>2072.0</v>
      </c>
      <c r="G203" s="14">
        <v>2081.0</v>
      </c>
      <c r="H203" s="151"/>
      <c r="I203" s="14" t="s">
        <v>17059</v>
      </c>
      <c r="J203" s="14" t="s">
        <v>25516</v>
      </c>
      <c r="K203" s="14" t="s">
        <v>29637</v>
      </c>
      <c r="L203" s="152" t="s">
        <v>178</v>
      </c>
      <c r="M203" s="14" t="s">
        <v>178</v>
      </c>
      <c r="N203" s="14" t="s">
        <v>29637</v>
      </c>
      <c r="O203" s="130" t="s">
        <v>25519</v>
      </c>
      <c r="P203" s="153" t="s">
        <v>25520</v>
      </c>
      <c r="Q203" s="14">
        <v>6875961.0</v>
      </c>
      <c r="R203" s="95"/>
      <c r="S203" s="154" t="s">
        <v>29638</v>
      </c>
      <c r="T203" s="84"/>
      <c r="U203" s="84"/>
      <c r="V203" s="84"/>
      <c r="W203" s="84"/>
      <c r="X203" s="84"/>
      <c r="Y203" s="84"/>
      <c r="Z203" s="84"/>
      <c r="AA203" s="84"/>
      <c r="AB203" s="84"/>
      <c r="AC203" s="84"/>
    </row>
    <row r="204" ht="15.75" customHeight="1">
      <c r="A204" s="14" t="s">
        <v>2137</v>
      </c>
      <c r="B204" s="14">
        <v>2014.0</v>
      </c>
      <c r="C204" s="14" t="s">
        <v>25422</v>
      </c>
      <c r="D204" s="14" t="s">
        <v>25423</v>
      </c>
      <c r="E204" s="150" t="s">
        <v>25424</v>
      </c>
      <c r="F204" s="14">
        <v>1983.0</v>
      </c>
      <c r="G204" s="14">
        <v>1992.0</v>
      </c>
      <c r="H204" s="151"/>
      <c r="I204" s="14" t="s">
        <v>17059</v>
      </c>
      <c r="J204" s="14" t="s">
        <v>25425</v>
      </c>
      <c r="K204" s="14" t="s">
        <v>29639</v>
      </c>
      <c r="L204" s="152" t="s">
        <v>28703</v>
      </c>
      <c r="M204" s="14" t="s">
        <v>880</v>
      </c>
      <c r="N204" s="14" t="s">
        <v>29639</v>
      </c>
      <c r="O204" s="130" t="s">
        <v>25428</v>
      </c>
      <c r="P204" s="153" t="s">
        <v>25429</v>
      </c>
      <c r="Q204" s="14">
        <v>6876017.0</v>
      </c>
      <c r="R204" s="95"/>
      <c r="S204" s="154" t="s">
        <v>29640</v>
      </c>
      <c r="T204" s="84"/>
      <c r="U204" s="84"/>
      <c r="V204" s="84"/>
      <c r="W204" s="84"/>
      <c r="X204" s="84"/>
      <c r="Y204" s="84"/>
      <c r="Z204" s="84"/>
      <c r="AA204" s="84"/>
      <c r="AB204" s="84"/>
      <c r="AC204" s="84"/>
    </row>
    <row r="205" ht="15.75" customHeight="1">
      <c r="A205" s="14" t="s">
        <v>2137</v>
      </c>
      <c r="B205" s="14">
        <v>2014.0</v>
      </c>
      <c r="C205" s="14" t="s">
        <v>25608</v>
      </c>
      <c r="D205" s="14" t="s">
        <v>25609</v>
      </c>
      <c r="E205" s="150" t="s">
        <v>25610</v>
      </c>
      <c r="F205" s="14">
        <v>2161.0</v>
      </c>
      <c r="G205" s="14">
        <v>2170.0</v>
      </c>
      <c r="H205" s="151"/>
      <c r="I205" s="14" t="s">
        <v>17059</v>
      </c>
      <c r="J205" s="14" t="s">
        <v>25611</v>
      </c>
      <c r="K205" s="14" t="s">
        <v>29641</v>
      </c>
      <c r="L205" s="152" t="s">
        <v>29606</v>
      </c>
      <c r="M205" s="14" t="s">
        <v>880</v>
      </c>
      <c r="N205" s="14" t="s">
        <v>29641</v>
      </c>
      <c r="O205" s="130" t="s">
        <v>25614</v>
      </c>
      <c r="P205" s="153" t="s">
        <v>25615</v>
      </c>
      <c r="Q205" s="14">
        <v>6876043.0</v>
      </c>
      <c r="R205" s="95"/>
      <c r="S205" s="154" t="s">
        <v>29642</v>
      </c>
      <c r="T205" s="84"/>
      <c r="U205" s="84"/>
      <c r="V205" s="84"/>
      <c r="W205" s="84"/>
      <c r="X205" s="84"/>
      <c r="Y205" s="84"/>
      <c r="Z205" s="84"/>
      <c r="AA205" s="84"/>
      <c r="AB205" s="84"/>
      <c r="AC205" s="84"/>
    </row>
    <row r="206" ht="15.75" customHeight="1">
      <c r="A206" s="14" t="s">
        <v>2137</v>
      </c>
      <c r="B206" s="14">
        <v>2014.0</v>
      </c>
      <c r="C206" s="14" t="s">
        <v>25559</v>
      </c>
      <c r="D206" s="14" t="s">
        <v>25560</v>
      </c>
      <c r="E206" s="150" t="s">
        <v>25561</v>
      </c>
      <c r="F206" s="14">
        <v>2132.0</v>
      </c>
      <c r="G206" s="14">
        <v>2141.0</v>
      </c>
      <c r="H206" s="151"/>
      <c r="I206" s="14" t="s">
        <v>17059</v>
      </c>
      <c r="J206" s="14" t="s">
        <v>29643</v>
      </c>
      <c r="K206" s="14" t="s">
        <v>29644</v>
      </c>
      <c r="L206" s="152" t="s">
        <v>178</v>
      </c>
      <c r="M206" s="14" t="s">
        <v>178</v>
      </c>
      <c r="N206" s="14" t="s">
        <v>29644</v>
      </c>
      <c r="O206" s="130" t="s">
        <v>25566</v>
      </c>
      <c r="P206" s="153" t="s">
        <v>25567</v>
      </c>
      <c r="Q206" s="14">
        <v>6875927.0</v>
      </c>
      <c r="R206" s="95"/>
      <c r="S206" s="154" t="s">
        <v>29645</v>
      </c>
      <c r="T206" s="84"/>
      <c r="U206" s="84"/>
      <c r="V206" s="84"/>
      <c r="W206" s="84"/>
      <c r="X206" s="84"/>
      <c r="Y206" s="84"/>
      <c r="Z206" s="84"/>
      <c r="AA206" s="84"/>
      <c r="AB206" s="84"/>
      <c r="AC206" s="84"/>
    </row>
    <row r="207" ht="15.75" customHeight="1">
      <c r="A207" s="14" t="s">
        <v>4153</v>
      </c>
      <c r="B207" s="14">
        <v>2014.0</v>
      </c>
      <c r="C207" s="14" t="s">
        <v>26125</v>
      </c>
      <c r="D207" s="14" t="s">
        <v>26126</v>
      </c>
      <c r="E207" s="150" t="s">
        <v>26127</v>
      </c>
      <c r="F207" s="14">
        <v>2526.0</v>
      </c>
      <c r="G207" s="14">
        <v>2534.0</v>
      </c>
      <c r="H207" s="151"/>
      <c r="I207" s="14" t="s">
        <v>17059</v>
      </c>
      <c r="J207" s="14" t="s">
        <v>26129</v>
      </c>
      <c r="K207" s="14" t="s">
        <v>26130</v>
      </c>
      <c r="L207" s="152" t="s">
        <v>29646</v>
      </c>
      <c r="M207" s="14" t="s">
        <v>5349</v>
      </c>
      <c r="N207" s="14" t="s">
        <v>26130</v>
      </c>
      <c r="O207" s="130" t="s">
        <v>26132</v>
      </c>
      <c r="P207" s="153" t="s">
        <v>26133</v>
      </c>
      <c r="Q207" s="14">
        <v>6875965.0</v>
      </c>
      <c r="R207" s="95"/>
      <c r="S207" s="154" t="s">
        <v>29647</v>
      </c>
      <c r="T207" s="84"/>
      <c r="U207" s="84"/>
      <c r="V207" s="84"/>
      <c r="W207" s="84"/>
      <c r="X207" s="84"/>
      <c r="Y207" s="84"/>
      <c r="Z207" s="84"/>
      <c r="AA207" s="84"/>
      <c r="AB207" s="84"/>
      <c r="AC207" s="84"/>
    </row>
    <row r="208" ht="15.75" customHeight="1">
      <c r="A208" s="14" t="s">
        <v>4153</v>
      </c>
      <c r="B208" s="14">
        <v>2014.0</v>
      </c>
      <c r="C208" s="14" t="s">
        <v>26093</v>
      </c>
      <c r="D208" s="14" t="s">
        <v>26094</v>
      </c>
      <c r="E208" s="150" t="s">
        <v>26095</v>
      </c>
      <c r="F208" s="14">
        <v>2496.0</v>
      </c>
      <c r="G208" s="14">
        <v>2505.0</v>
      </c>
      <c r="H208" s="151"/>
      <c r="I208" s="14" t="s">
        <v>17059</v>
      </c>
      <c r="J208" s="14" t="s">
        <v>26098</v>
      </c>
      <c r="K208" s="14" t="s">
        <v>29648</v>
      </c>
      <c r="L208" s="152" t="s">
        <v>29649</v>
      </c>
      <c r="M208" s="14" t="s">
        <v>860</v>
      </c>
      <c r="N208" s="14" t="s">
        <v>29648</v>
      </c>
      <c r="O208" s="130" t="s">
        <v>26102</v>
      </c>
      <c r="P208" s="153" t="s">
        <v>26103</v>
      </c>
      <c r="Q208" s="14">
        <v>6876018.0</v>
      </c>
      <c r="R208" s="95"/>
      <c r="S208" s="154" t="s">
        <v>29650</v>
      </c>
      <c r="T208" s="84"/>
      <c r="U208" s="84"/>
      <c r="V208" s="84"/>
      <c r="W208" s="84"/>
      <c r="X208" s="84"/>
      <c r="Y208" s="84"/>
      <c r="Z208" s="84"/>
      <c r="AA208" s="84"/>
      <c r="AB208" s="84"/>
      <c r="AC208" s="84"/>
    </row>
    <row r="209" ht="15.75" customHeight="1">
      <c r="A209" s="14" t="s">
        <v>4153</v>
      </c>
      <c r="B209" s="14">
        <v>2014.0</v>
      </c>
      <c r="C209" s="14" t="s">
        <v>26150</v>
      </c>
      <c r="D209" s="14" t="s">
        <v>26151</v>
      </c>
      <c r="E209" s="150" t="s">
        <v>26152</v>
      </c>
      <c r="F209" s="14">
        <v>2555.0</v>
      </c>
      <c r="G209" s="14">
        <v>2564.0</v>
      </c>
      <c r="H209" s="151"/>
      <c r="I209" s="14" t="s">
        <v>17059</v>
      </c>
      <c r="J209" s="14" t="s">
        <v>26153</v>
      </c>
      <c r="K209" s="14" t="s">
        <v>26156</v>
      </c>
      <c r="L209" s="152" t="s">
        <v>23953</v>
      </c>
      <c r="M209" s="14" t="s">
        <v>23953</v>
      </c>
      <c r="N209" s="14" t="s">
        <v>26156</v>
      </c>
      <c r="O209" s="130" t="s">
        <v>26159</v>
      </c>
      <c r="P209" s="153" t="s">
        <v>26160</v>
      </c>
      <c r="Q209" s="14">
        <v>6875971.0</v>
      </c>
      <c r="R209" s="95"/>
      <c r="S209" s="154" t="s">
        <v>29652</v>
      </c>
      <c r="T209" s="84"/>
      <c r="U209" s="84"/>
      <c r="V209" s="84"/>
      <c r="W209" s="84"/>
      <c r="X209" s="84"/>
      <c r="Y209" s="84"/>
      <c r="Z209" s="84"/>
      <c r="AA209" s="84"/>
      <c r="AB209" s="84"/>
      <c r="AC209" s="84"/>
    </row>
    <row r="210" ht="15.75" customHeight="1">
      <c r="A210" s="14" t="s">
        <v>4153</v>
      </c>
      <c r="B210" s="14">
        <v>2014.0</v>
      </c>
      <c r="C210" s="14" t="s">
        <v>26054</v>
      </c>
      <c r="D210" s="14" t="s">
        <v>26055</v>
      </c>
      <c r="E210" s="150" t="s">
        <v>26056</v>
      </c>
      <c r="F210" s="14">
        <v>2456.0</v>
      </c>
      <c r="G210" s="14">
        <v>2465.0</v>
      </c>
      <c r="H210" s="151"/>
      <c r="I210" s="14" t="s">
        <v>17059</v>
      </c>
      <c r="J210" s="14" t="s">
        <v>29653</v>
      </c>
      <c r="K210" s="14" t="s">
        <v>29654</v>
      </c>
      <c r="L210" s="152" t="s">
        <v>880</v>
      </c>
      <c r="M210" s="14" t="s">
        <v>880</v>
      </c>
      <c r="N210" s="14" t="s">
        <v>29654</v>
      </c>
      <c r="O210" s="130" t="s">
        <v>26060</v>
      </c>
      <c r="P210" s="153" t="s">
        <v>26061</v>
      </c>
      <c r="Q210" s="14">
        <v>6876019.0</v>
      </c>
      <c r="R210" s="95"/>
      <c r="S210" s="154" t="s">
        <v>29655</v>
      </c>
      <c r="T210" s="84"/>
      <c r="U210" s="84"/>
      <c r="V210" s="84"/>
      <c r="W210" s="84"/>
      <c r="X210" s="84"/>
      <c r="Y210" s="84"/>
      <c r="Z210" s="84"/>
      <c r="AA210" s="84"/>
      <c r="AB210" s="84"/>
      <c r="AC210" s="84"/>
    </row>
    <row r="211" ht="15.75" customHeight="1">
      <c r="A211" s="14" t="s">
        <v>4153</v>
      </c>
      <c r="B211" s="14">
        <v>2014.0</v>
      </c>
      <c r="C211" s="14" t="s">
        <v>26043</v>
      </c>
      <c r="D211" s="14" t="s">
        <v>26044</v>
      </c>
      <c r="E211" s="150" t="s">
        <v>26045</v>
      </c>
      <c r="F211" s="14">
        <v>2447.0</v>
      </c>
      <c r="G211" s="14">
        <v>2455.0</v>
      </c>
      <c r="H211" s="151"/>
      <c r="I211" s="14" t="s">
        <v>17059</v>
      </c>
      <c r="J211" s="14" t="s">
        <v>26047</v>
      </c>
      <c r="K211" s="14" t="s">
        <v>29658</v>
      </c>
      <c r="L211" s="152" t="s">
        <v>29657</v>
      </c>
      <c r="M211" s="14" t="s">
        <v>5349</v>
      </c>
      <c r="N211" s="14" t="s">
        <v>29658</v>
      </c>
      <c r="O211" s="130" t="s">
        <v>26051</v>
      </c>
      <c r="P211" s="153" t="s">
        <v>26052</v>
      </c>
      <c r="Q211" s="14">
        <v>6876035.0</v>
      </c>
      <c r="R211" s="95"/>
      <c r="S211" s="154" t="s">
        <v>29659</v>
      </c>
      <c r="T211" s="84"/>
      <c r="U211" s="84"/>
      <c r="V211" s="84"/>
      <c r="W211" s="84"/>
      <c r="X211" s="84"/>
      <c r="Y211" s="84"/>
      <c r="Z211" s="84"/>
      <c r="AA211" s="84"/>
      <c r="AB211" s="84"/>
      <c r="AC211" s="84"/>
    </row>
    <row r="212" ht="15.75" customHeight="1">
      <c r="A212" s="14" t="s">
        <v>4153</v>
      </c>
      <c r="B212" s="14">
        <v>2014.0</v>
      </c>
      <c r="C212" s="14" t="s">
        <v>26073</v>
      </c>
      <c r="D212" s="14" t="s">
        <v>26074</v>
      </c>
      <c r="E212" s="150" t="s">
        <v>26075</v>
      </c>
      <c r="F212" s="14">
        <v>2476.0</v>
      </c>
      <c r="G212" s="14">
        <v>2485.0</v>
      </c>
      <c r="H212" s="151"/>
      <c r="I212" s="14" t="s">
        <v>17059</v>
      </c>
      <c r="J212" s="14" t="s">
        <v>26078</v>
      </c>
      <c r="K212" s="14" t="s">
        <v>29660</v>
      </c>
      <c r="L212" s="152" t="s">
        <v>29662</v>
      </c>
      <c r="M212" s="14" t="s">
        <v>880</v>
      </c>
      <c r="N212" s="14" t="s">
        <v>29660</v>
      </c>
      <c r="O212" s="130" t="s">
        <v>26082</v>
      </c>
      <c r="P212" s="153" t="s">
        <v>26083</v>
      </c>
      <c r="Q212" s="14">
        <v>6875922.0</v>
      </c>
      <c r="R212" s="95"/>
      <c r="S212" s="154" t="s">
        <v>29663</v>
      </c>
      <c r="T212" s="84"/>
      <c r="U212" s="84"/>
      <c r="V212" s="84"/>
      <c r="W212" s="84"/>
      <c r="X212" s="84"/>
      <c r="Y212" s="84"/>
      <c r="Z212" s="84"/>
      <c r="AA212" s="84"/>
      <c r="AB212" s="84"/>
      <c r="AC212" s="84"/>
    </row>
    <row r="213" ht="15.75" customHeight="1">
      <c r="A213" s="14" t="s">
        <v>4153</v>
      </c>
      <c r="B213" s="14">
        <v>2014.0</v>
      </c>
      <c r="C213" s="14" t="s">
        <v>26212</v>
      </c>
      <c r="D213" s="14" t="s">
        <v>26213</v>
      </c>
      <c r="E213" s="150" t="s">
        <v>26214</v>
      </c>
      <c r="F213" s="14">
        <v>2624.0</v>
      </c>
      <c r="G213" s="14">
        <v>2633.0</v>
      </c>
      <c r="H213" s="151"/>
      <c r="I213" s="14" t="s">
        <v>17059</v>
      </c>
      <c r="J213" s="14" t="s">
        <v>26216</v>
      </c>
      <c r="K213" s="14" t="s">
        <v>29664</v>
      </c>
      <c r="L213" s="152" t="s">
        <v>29665</v>
      </c>
      <c r="M213" s="14" t="s">
        <v>5349</v>
      </c>
      <c r="N213" s="14" t="s">
        <v>29664</v>
      </c>
      <c r="O213" s="130"/>
      <c r="P213" s="153" t="s">
        <v>26219</v>
      </c>
      <c r="Q213" s="14">
        <v>6875954.0</v>
      </c>
      <c r="R213" s="95"/>
      <c r="S213" s="154"/>
      <c r="T213" s="124"/>
      <c r="U213" s="124"/>
      <c r="V213" s="124"/>
      <c r="W213" s="124"/>
      <c r="X213" s="124"/>
      <c r="Y213" s="124"/>
      <c r="Z213" s="124"/>
      <c r="AA213" s="124"/>
      <c r="AB213" s="124"/>
      <c r="AC213" s="124"/>
    </row>
    <row r="214" ht="15.75" customHeight="1">
      <c r="A214" s="14" t="s">
        <v>4153</v>
      </c>
      <c r="B214" s="14">
        <v>2014.0</v>
      </c>
      <c r="C214" s="14" t="s">
        <v>26105</v>
      </c>
      <c r="D214" s="14" t="s">
        <v>26106</v>
      </c>
      <c r="E214" s="150" t="s">
        <v>26107</v>
      </c>
      <c r="F214" s="14">
        <v>2506.0</v>
      </c>
      <c r="G214" s="14">
        <v>2515.0</v>
      </c>
      <c r="H214" s="151"/>
      <c r="I214" s="14" t="s">
        <v>17059</v>
      </c>
      <c r="J214" s="14" t="s">
        <v>26108</v>
      </c>
      <c r="K214" s="14" t="s">
        <v>29666</v>
      </c>
      <c r="L214" s="152" t="s">
        <v>29667</v>
      </c>
      <c r="M214" s="14" t="s">
        <v>880</v>
      </c>
      <c r="N214" s="14" t="s">
        <v>29666</v>
      </c>
      <c r="O214" s="130" t="s">
        <v>26112</v>
      </c>
      <c r="P214" s="153" t="s">
        <v>26113</v>
      </c>
      <c r="Q214" s="14">
        <v>6877722.0</v>
      </c>
      <c r="R214" s="95"/>
      <c r="S214" s="154" t="s">
        <v>29668</v>
      </c>
      <c r="T214" s="84"/>
      <c r="U214" s="84"/>
      <c r="V214" s="84"/>
      <c r="W214" s="84"/>
      <c r="X214" s="84"/>
      <c r="Y214" s="84"/>
      <c r="Z214" s="84"/>
      <c r="AA214" s="84"/>
      <c r="AB214" s="84"/>
      <c r="AC214" s="84"/>
    </row>
    <row r="215" ht="15.75" customHeight="1">
      <c r="A215" s="14" t="s">
        <v>4153</v>
      </c>
      <c r="B215" s="14">
        <v>2014.0</v>
      </c>
      <c r="C215" s="14" t="s">
        <v>26191</v>
      </c>
      <c r="D215" s="14" t="s">
        <v>26192</v>
      </c>
      <c r="E215" s="150" t="s">
        <v>26193</v>
      </c>
      <c r="F215" s="14">
        <v>2595.0</v>
      </c>
      <c r="G215" s="14">
        <v>2603.0</v>
      </c>
      <c r="H215" s="151"/>
      <c r="I215" s="14" t="s">
        <v>17059</v>
      </c>
      <c r="J215" s="14" t="s">
        <v>26197</v>
      </c>
      <c r="K215" s="14" t="s">
        <v>29670</v>
      </c>
      <c r="L215" s="152" t="s">
        <v>28210</v>
      </c>
      <c r="M215" s="14" t="s">
        <v>880</v>
      </c>
      <c r="N215" s="14" t="s">
        <v>29670</v>
      </c>
      <c r="O215" s="130" t="s">
        <v>26200</v>
      </c>
      <c r="P215" s="153" t="s">
        <v>26201</v>
      </c>
      <c r="Q215" s="14">
        <v>6875918.0</v>
      </c>
      <c r="R215" s="95"/>
      <c r="S215" s="154" t="s">
        <v>29671</v>
      </c>
      <c r="T215" s="84"/>
      <c r="U215" s="84"/>
      <c r="V215" s="84"/>
      <c r="W215" s="84"/>
      <c r="X215" s="84"/>
      <c r="Y215" s="84"/>
      <c r="Z215" s="84"/>
      <c r="AA215" s="84"/>
      <c r="AB215" s="84"/>
      <c r="AC215" s="84"/>
    </row>
    <row r="216" ht="15.75" customHeight="1">
      <c r="A216" s="14" t="s">
        <v>4153</v>
      </c>
      <c r="B216" s="14">
        <v>2014.0</v>
      </c>
      <c r="C216" s="14" t="s">
        <v>26265</v>
      </c>
      <c r="D216" s="14" t="s">
        <v>26266</v>
      </c>
      <c r="E216" s="150" t="s">
        <v>26267</v>
      </c>
      <c r="F216" s="14">
        <v>2654.0</v>
      </c>
      <c r="G216" s="14">
        <v>2663.0</v>
      </c>
      <c r="H216" s="151"/>
      <c r="I216" s="14" t="s">
        <v>17059</v>
      </c>
      <c r="J216" s="14" t="s">
        <v>26268</v>
      </c>
      <c r="K216" s="14" t="s">
        <v>29672</v>
      </c>
      <c r="L216" s="152" t="s">
        <v>26046</v>
      </c>
      <c r="M216" s="14" t="s">
        <v>494</v>
      </c>
      <c r="N216" s="14" t="s">
        <v>29672</v>
      </c>
      <c r="O216" s="130" t="s">
        <v>26272</v>
      </c>
      <c r="P216" s="153" t="s">
        <v>26273</v>
      </c>
      <c r="Q216" s="14">
        <v>6875964.0</v>
      </c>
      <c r="R216" s="95"/>
      <c r="S216" s="154" t="s">
        <v>29673</v>
      </c>
      <c r="T216" s="84"/>
      <c r="U216" s="84"/>
      <c r="V216" s="84"/>
      <c r="W216" s="84"/>
      <c r="X216" s="84"/>
      <c r="Y216" s="84"/>
      <c r="Z216" s="84"/>
      <c r="AA216" s="84"/>
      <c r="AB216" s="84"/>
      <c r="AC216" s="84"/>
    </row>
    <row r="217" ht="15.75" customHeight="1">
      <c r="A217" s="14" t="s">
        <v>4153</v>
      </c>
      <c r="B217" s="14">
        <v>2014.0</v>
      </c>
      <c r="C217" s="14" t="s">
        <v>26223</v>
      </c>
      <c r="D217" s="14" t="s">
        <v>26224</v>
      </c>
      <c r="E217" s="150" t="s">
        <v>26225</v>
      </c>
      <c r="F217" s="14">
        <v>2684.0</v>
      </c>
      <c r="G217" s="14">
        <v>2693.0</v>
      </c>
      <c r="H217" s="151"/>
      <c r="I217" s="14" t="s">
        <v>17059</v>
      </c>
      <c r="J217" s="14" t="s">
        <v>26228</v>
      </c>
      <c r="K217" s="14" t="s">
        <v>29674</v>
      </c>
      <c r="L217" s="152" t="s">
        <v>29675</v>
      </c>
      <c r="M217" s="14" t="s">
        <v>494</v>
      </c>
      <c r="N217" s="14" t="s">
        <v>29674</v>
      </c>
      <c r="O217" s="130" t="s">
        <v>26232</v>
      </c>
      <c r="P217" s="153" t="s">
        <v>26233</v>
      </c>
      <c r="Q217" s="14">
        <v>6875963.0</v>
      </c>
      <c r="R217" s="95"/>
      <c r="S217" s="154" t="s">
        <v>29676</v>
      </c>
      <c r="T217" s="84"/>
      <c r="U217" s="84"/>
      <c r="V217" s="84"/>
      <c r="W217" s="84"/>
      <c r="X217" s="84"/>
      <c r="Y217" s="84"/>
      <c r="Z217" s="84"/>
      <c r="AA217" s="84"/>
      <c r="AB217" s="84"/>
      <c r="AC217" s="84"/>
    </row>
    <row r="218" ht="15.75" customHeight="1">
      <c r="A218" s="14" t="s">
        <v>4153</v>
      </c>
      <c r="B218" s="14">
        <v>2014.0</v>
      </c>
      <c r="C218" s="14" t="s">
        <v>26063</v>
      </c>
      <c r="D218" s="14" t="s">
        <v>26064</v>
      </c>
      <c r="E218" s="150" t="s">
        <v>26065</v>
      </c>
      <c r="F218" s="14">
        <v>2466.0</v>
      </c>
      <c r="G218" s="14">
        <v>2475.0</v>
      </c>
      <c r="H218" s="151"/>
      <c r="I218" s="14" t="s">
        <v>17059</v>
      </c>
      <c r="J218" s="14" t="s">
        <v>26067</v>
      </c>
      <c r="K218" s="14" t="s">
        <v>29678</v>
      </c>
      <c r="L218" s="152" t="s">
        <v>28064</v>
      </c>
      <c r="M218" s="14" t="s">
        <v>1253</v>
      </c>
      <c r="N218" s="14" t="s">
        <v>29679</v>
      </c>
      <c r="O218" s="130" t="s">
        <v>26071</v>
      </c>
      <c r="P218" s="153" t="s">
        <v>26072</v>
      </c>
      <c r="Q218" s="14">
        <v>6875931.0</v>
      </c>
      <c r="R218" s="95"/>
      <c r="S218" s="154" t="s">
        <v>29680</v>
      </c>
      <c r="T218" s="84"/>
      <c r="U218" s="84"/>
      <c r="V218" s="84"/>
      <c r="W218" s="84"/>
      <c r="X218" s="84"/>
      <c r="Y218" s="84"/>
      <c r="Z218" s="84"/>
      <c r="AA218" s="84"/>
      <c r="AB218" s="84"/>
      <c r="AC218" s="84"/>
    </row>
    <row r="219" ht="15.75" customHeight="1">
      <c r="A219" s="14" t="s">
        <v>4153</v>
      </c>
      <c r="B219" s="14">
        <v>2014.0</v>
      </c>
      <c r="C219" s="14" t="s">
        <v>26202</v>
      </c>
      <c r="D219" s="14" t="s">
        <v>26203</v>
      </c>
      <c r="E219" s="150" t="s">
        <v>26204</v>
      </c>
      <c r="F219" s="14">
        <v>2604.0</v>
      </c>
      <c r="G219" s="14">
        <v>2613.0</v>
      </c>
      <c r="H219" s="151"/>
      <c r="I219" s="14" t="s">
        <v>17059</v>
      </c>
      <c r="J219" s="14" t="s">
        <v>26206</v>
      </c>
      <c r="K219" s="14" t="s">
        <v>29681</v>
      </c>
      <c r="L219" s="152" t="s">
        <v>29594</v>
      </c>
      <c r="M219" s="14" t="s">
        <v>5349</v>
      </c>
      <c r="N219" s="14" t="s">
        <v>29681</v>
      </c>
      <c r="O219" s="130" t="s">
        <v>26210</v>
      </c>
      <c r="P219" s="153" t="s">
        <v>26211</v>
      </c>
      <c r="Q219" s="14">
        <v>6875962.0</v>
      </c>
      <c r="R219" s="95"/>
      <c r="S219" s="154" t="s">
        <v>29682</v>
      </c>
      <c r="T219" s="84"/>
      <c r="U219" s="84"/>
      <c r="V219" s="84"/>
      <c r="W219" s="84"/>
      <c r="X219" s="84"/>
      <c r="Y219" s="84"/>
      <c r="Z219" s="84"/>
      <c r="AA219" s="84"/>
      <c r="AB219" s="84"/>
      <c r="AC219" s="84"/>
    </row>
    <row r="220" ht="15.75" customHeight="1">
      <c r="A220" s="14" t="s">
        <v>4153</v>
      </c>
      <c r="B220" s="14">
        <v>2014.0</v>
      </c>
      <c r="C220" s="14" t="s">
        <v>26180</v>
      </c>
      <c r="D220" s="14" t="s">
        <v>26181</v>
      </c>
      <c r="E220" s="150" t="s">
        <v>26182</v>
      </c>
      <c r="F220" s="14">
        <v>2585.0</v>
      </c>
      <c r="G220" s="14">
        <v>2594.0</v>
      </c>
      <c r="H220" s="151"/>
      <c r="I220" s="14" t="s">
        <v>17059</v>
      </c>
      <c r="J220" s="14" t="s">
        <v>26186</v>
      </c>
      <c r="K220" s="14" t="s">
        <v>29684</v>
      </c>
      <c r="L220" s="152" t="s">
        <v>29685</v>
      </c>
      <c r="M220" s="14" t="s">
        <v>860</v>
      </c>
      <c r="N220" s="14" t="s">
        <v>29684</v>
      </c>
      <c r="O220" s="130" t="s">
        <v>26189</v>
      </c>
      <c r="P220" s="153" t="s">
        <v>26190</v>
      </c>
      <c r="Q220" s="14">
        <v>6875939.0</v>
      </c>
      <c r="R220" s="95"/>
      <c r="S220" s="154" t="s">
        <v>29686</v>
      </c>
      <c r="T220" s="84"/>
      <c r="U220" s="84"/>
      <c r="V220" s="84"/>
      <c r="W220" s="84"/>
      <c r="X220" s="84"/>
      <c r="Y220" s="84"/>
      <c r="Z220" s="84"/>
      <c r="AA220" s="84"/>
      <c r="AB220" s="84"/>
      <c r="AC220" s="84"/>
    </row>
    <row r="221" ht="15.75" customHeight="1">
      <c r="A221" s="14" t="s">
        <v>4153</v>
      </c>
      <c r="B221" s="14">
        <v>2014.0</v>
      </c>
      <c r="C221" s="14" t="s">
        <v>26283</v>
      </c>
      <c r="D221" s="14" t="s">
        <v>26284</v>
      </c>
      <c r="E221" s="150" t="s">
        <v>26285</v>
      </c>
      <c r="F221" s="14">
        <v>2674.0</v>
      </c>
      <c r="G221" s="14">
        <v>2683.0</v>
      </c>
      <c r="H221" s="151"/>
      <c r="I221" s="14" t="s">
        <v>17059</v>
      </c>
      <c r="J221" s="14" t="s">
        <v>29696</v>
      </c>
      <c r="K221" s="14" t="s">
        <v>9072</v>
      </c>
      <c r="L221" s="152" t="s">
        <v>29697</v>
      </c>
      <c r="M221" s="14"/>
      <c r="N221" s="14" t="s">
        <v>9072</v>
      </c>
      <c r="O221" s="130" t="s">
        <v>26290</v>
      </c>
      <c r="P221" s="153" t="s">
        <v>26291</v>
      </c>
      <c r="Q221" s="14">
        <v>6876024.0</v>
      </c>
      <c r="R221" s="95"/>
      <c r="S221" s="154" t="s">
        <v>29698</v>
      </c>
      <c r="T221" s="84"/>
      <c r="U221" s="84"/>
      <c r="V221" s="84"/>
      <c r="W221" s="84"/>
      <c r="X221" s="84"/>
      <c r="Y221" s="84"/>
      <c r="Z221" s="84"/>
      <c r="AA221" s="84"/>
      <c r="AB221" s="84"/>
      <c r="AC221" s="84"/>
    </row>
    <row r="222" ht="15.75" customHeight="1">
      <c r="A222" s="14" t="s">
        <v>4153</v>
      </c>
      <c r="B222" s="14">
        <v>2014.0</v>
      </c>
      <c r="C222" s="14" t="s">
        <v>26142</v>
      </c>
      <c r="D222" s="14" t="s">
        <v>26143</v>
      </c>
      <c r="E222" s="150" t="s">
        <v>26144</v>
      </c>
      <c r="F222" s="14">
        <v>2545.0</v>
      </c>
      <c r="G222" s="14">
        <v>2554.0</v>
      </c>
      <c r="H222" s="151"/>
      <c r="I222" s="14" t="s">
        <v>17059</v>
      </c>
      <c r="J222" s="14" t="s">
        <v>26145</v>
      </c>
      <c r="K222" s="14" t="s">
        <v>26146</v>
      </c>
      <c r="L222" s="152" t="s">
        <v>29705</v>
      </c>
      <c r="M222" s="14" t="s">
        <v>860</v>
      </c>
      <c r="N222" s="14" t="s">
        <v>26146</v>
      </c>
      <c r="O222" s="130" t="s">
        <v>26148</v>
      </c>
      <c r="P222" s="153" t="s">
        <v>26149</v>
      </c>
      <c r="Q222" s="14">
        <v>6875956.0</v>
      </c>
      <c r="R222" s="95"/>
      <c r="S222" s="154" t="s">
        <v>29708</v>
      </c>
      <c r="T222" s="84"/>
      <c r="U222" s="84"/>
      <c r="V222" s="84"/>
      <c r="W222" s="84"/>
      <c r="X222" s="84"/>
      <c r="Y222" s="84"/>
      <c r="Z222" s="84"/>
      <c r="AA222" s="84"/>
      <c r="AB222" s="84"/>
      <c r="AC222" s="84"/>
    </row>
    <row r="223" ht="15.75" customHeight="1">
      <c r="A223" s="14" t="s">
        <v>4153</v>
      </c>
      <c r="B223" s="14">
        <v>2014.0</v>
      </c>
      <c r="C223" s="14" t="s">
        <v>25996</v>
      </c>
      <c r="D223" s="14" t="s">
        <v>25997</v>
      </c>
      <c r="E223" s="150" t="s">
        <v>25998</v>
      </c>
      <c r="F223" s="14">
        <v>2397.0</v>
      </c>
      <c r="G223" s="14">
        <v>2406.0</v>
      </c>
      <c r="H223" s="151"/>
      <c r="I223" s="14" t="s">
        <v>17059</v>
      </c>
      <c r="J223" s="14" t="s">
        <v>26002</v>
      </c>
      <c r="K223" s="14" t="s">
        <v>29710</v>
      </c>
      <c r="L223" s="152" t="s">
        <v>29594</v>
      </c>
      <c r="M223" s="14" t="s">
        <v>5349</v>
      </c>
      <c r="N223" s="14" t="s">
        <v>29710</v>
      </c>
      <c r="O223" s="130" t="s">
        <v>26005</v>
      </c>
      <c r="P223" s="153" t="s">
        <v>26006</v>
      </c>
      <c r="Q223" s="14">
        <v>6875936.0</v>
      </c>
      <c r="R223" s="95"/>
      <c r="S223" s="154" t="s">
        <v>29715</v>
      </c>
      <c r="T223" s="84"/>
      <c r="U223" s="84"/>
      <c r="V223" s="84"/>
      <c r="W223" s="84"/>
      <c r="X223" s="84"/>
      <c r="Y223" s="84"/>
      <c r="Z223" s="84"/>
      <c r="AA223" s="84"/>
      <c r="AB223" s="84"/>
      <c r="AC223" s="84"/>
    </row>
    <row r="224" ht="15.75" customHeight="1">
      <c r="A224" s="14" t="s">
        <v>4153</v>
      </c>
      <c r="B224" s="14">
        <v>2014.0</v>
      </c>
      <c r="C224" s="14" t="s">
        <v>26084</v>
      </c>
      <c r="D224" s="14" t="s">
        <v>26085</v>
      </c>
      <c r="E224" s="150" t="s">
        <v>26086</v>
      </c>
      <c r="F224" s="14">
        <v>2486.0</v>
      </c>
      <c r="G224" s="14">
        <v>2495.0</v>
      </c>
      <c r="H224" s="151"/>
      <c r="I224" s="14" t="s">
        <v>17059</v>
      </c>
      <c r="J224" s="14" t="s">
        <v>26089</v>
      </c>
      <c r="K224" s="14" t="s">
        <v>29720</v>
      </c>
      <c r="L224" s="152" t="s">
        <v>26656</v>
      </c>
      <c r="M224" s="14" t="s">
        <v>494</v>
      </c>
      <c r="N224" s="14" t="s">
        <v>29720</v>
      </c>
      <c r="O224" s="130" t="s">
        <v>26091</v>
      </c>
      <c r="P224" s="153" t="s">
        <v>26092</v>
      </c>
      <c r="Q224" s="14">
        <v>6876051.0</v>
      </c>
      <c r="R224" s="95"/>
      <c r="S224" s="154" t="s">
        <v>29721</v>
      </c>
      <c r="T224" s="84"/>
      <c r="U224" s="84"/>
      <c r="V224" s="84"/>
      <c r="W224" s="84"/>
      <c r="X224" s="84"/>
      <c r="Y224" s="84"/>
      <c r="Z224" s="84"/>
      <c r="AA224" s="84"/>
      <c r="AB224" s="84"/>
      <c r="AC224" s="84"/>
    </row>
    <row r="225" ht="15.75" customHeight="1">
      <c r="A225" s="14" t="s">
        <v>4153</v>
      </c>
      <c r="B225" s="14">
        <v>2014.0</v>
      </c>
      <c r="C225" s="14" t="s">
        <v>26034</v>
      </c>
      <c r="D225" s="14" t="s">
        <v>26035</v>
      </c>
      <c r="E225" s="150" t="s">
        <v>26036</v>
      </c>
      <c r="F225" s="14">
        <v>2437.0</v>
      </c>
      <c r="G225" s="14">
        <v>2446.0</v>
      </c>
      <c r="H225" s="151"/>
      <c r="I225" s="14" t="s">
        <v>17059</v>
      </c>
      <c r="J225" s="14" t="s">
        <v>26038</v>
      </c>
      <c r="K225" s="14" t="s">
        <v>29730</v>
      </c>
      <c r="L225" s="152" t="s">
        <v>29651</v>
      </c>
      <c r="M225" s="14" t="s">
        <v>5349</v>
      </c>
      <c r="N225" s="14" t="s">
        <v>29730</v>
      </c>
      <c r="O225" s="130" t="s">
        <v>26041</v>
      </c>
      <c r="P225" s="153" t="s">
        <v>26042</v>
      </c>
      <c r="Q225" s="14">
        <v>6875905.0</v>
      </c>
      <c r="R225" s="95"/>
      <c r="S225" s="154" t="s">
        <v>29731</v>
      </c>
      <c r="T225" s="84"/>
      <c r="U225" s="84"/>
      <c r="V225" s="84"/>
      <c r="W225" s="84"/>
      <c r="X225" s="84"/>
      <c r="Y225" s="84"/>
      <c r="Z225" s="84"/>
      <c r="AA225" s="84"/>
      <c r="AB225" s="84"/>
      <c r="AC225" s="84"/>
    </row>
    <row r="226" ht="15.75" customHeight="1">
      <c r="A226" s="14" t="s">
        <v>4153</v>
      </c>
      <c r="B226" s="14">
        <v>2014.0</v>
      </c>
      <c r="C226" s="14" t="s">
        <v>26234</v>
      </c>
      <c r="D226" s="14" t="s">
        <v>26235</v>
      </c>
      <c r="E226" s="150" t="s">
        <v>26236</v>
      </c>
      <c r="F226" s="14">
        <v>2694.0</v>
      </c>
      <c r="G226" s="14">
        <v>2703.0</v>
      </c>
      <c r="H226" s="151"/>
      <c r="I226" s="14" t="s">
        <v>17059</v>
      </c>
      <c r="J226" s="14" t="s">
        <v>26240</v>
      </c>
      <c r="K226" s="14" t="s">
        <v>29733</v>
      </c>
      <c r="L226" s="152" t="s">
        <v>29735</v>
      </c>
      <c r="M226" s="14" t="s">
        <v>494</v>
      </c>
      <c r="N226" s="14" t="s">
        <v>29733</v>
      </c>
      <c r="O226" s="130" t="s">
        <v>26243</v>
      </c>
      <c r="P226" s="153" t="s">
        <v>26244</v>
      </c>
      <c r="Q226" s="14">
        <v>6875990.0</v>
      </c>
      <c r="R226" s="95"/>
      <c r="S226" s="154" t="s">
        <v>29739</v>
      </c>
      <c r="T226" s="84"/>
      <c r="U226" s="84"/>
      <c r="V226" s="84"/>
      <c r="W226" s="84"/>
      <c r="X226" s="84"/>
      <c r="Y226" s="84"/>
      <c r="Z226" s="84"/>
      <c r="AA226" s="84"/>
      <c r="AB226" s="84"/>
      <c r="AC226" s="84"/>
    </row>
    <row r="227" ht="15.75" customHeight="1">
      <c r="A227" s="14" t="s">
        <v>4153</v>
      </c>
      <c r="B227" s="14">
        <v>2014.0</v>
      </c>
      <c r="C227" s="14" t="s">
        <v>26026</v>
      </c>
      <c r="D227" s="14" t="s">
        <v>26027</v>
      </c>
      <c r="E227" s="150" t="s">
        <v>26028</v>
      </c>
      <c r="F227" s="14">
        <v>2427.0</v>
      </c>
      <c r="G227" s="14">
        <v>2436.0</v>
      </c>
      <c r="H227" s="151"/>
      <c r="I227" s="14" t="s">
        <v>17059</v>
      </c>
      <c r="J227" s="14" t="s">
        <v>26030</v>
      </c>
      <c r="K227" s="14" t="s">
        <v>29743</v>
      </c>
      <c r="L227" s="152" t="s">
        <v>26421</v>
      </c>
      <c r="M227" s="14" t="s">
        <v>178</v>
      </c>
      <c r="N227" s="14" t="s">
        <v>29743</v>
      </c>
      <c r="O227" s="130" t="s">
        <v>26032</v>
      </c>
      <c r="P227" s="153" t="s">
        <v>26033</v>
      </c>
      <c r="Q227" s="14">
        <v>6875976.0</v>
      </c>
      <c r="R227" s="95"/>
      <c r="S227" s="154" t="s">
        <v>29744</v>
      </c>
      <c r="T227" s="84"/>
      <c r="U227" s="84"/>
      <c r="V227" s="84"/>
      <c r="W227" s="84"/>
      <c r="X227" s="84"/>
      <c r="Y227" s="84"/>
      <c r="Z227" s="84"/>
      <c r="AA227" s="84"/>
      <c r="AB227" s="84"/>
      <c r="AC227" s="84"/>
    </row>
    <row r="228" ht="15.75" customHeight="1">
      <c r="A228" s="14" t="s">
        <v>4153</v>
      </c>
      <c r="B228" s="14">
        <v>2014.0</v>
      </c>
      <c r="C228" s="14" t="s">
        <v>25978</v>
      </c>
      <c r="D228" s="14" t="s">
        <v>25979</v>
      </c>
      <c r="E228" s="150" t="s">
        <v>25980</v>
      </c>
      <c r="F228" s="14">
        <v>2379.0</v>
      </c>
      <c r="G228" s="14">
        <v>2387.0</v>
      </c>
      <c r="H228" s="151"/>
      <c r="I228" s="14" t="s">
        <v>17059</v>
      </c>
      <c r="J228" s="14" t="s">
        <v>25982</v>
      </c>
      <c r="K228" s="14" t="s">
        <v>29752</v>
      </c>
      <c r="L228" s="152" t="s">
        <v>29585</v>
      </c>
      <c r="M228" s="14" t="s">
        <v>5349</v>
      </c>
      <c r="N228" s="14" t="s">
        <v>29752</v>
      </c>
      <c r="O228" s="130" t="s">
        <v>25985</v>
      </c>
      <c r="P228" s="153" t="s">
        <v>25986</v>
      </c>
      <c r="Q228" s="14">
        <v>6876031.0</v>
      </c>
      <c r="R228" s="95"/>
      <c r="S228" s="154" t="s">
        <v>29753</v>
      </c>
      <c r="T228" s="84"/>
      <c r="U228" s="84"/>
      <c r="V228" s="84"/>
      <c r="W228" s="84"/>
      <c r="X228" s="84"/>
      <c r="Y228" s="84"/>
      <c r="Z228" s="84"/>
      <c r="AA228" s="84"/>
      <c r="AB228" s="84"/>
      <c r="AC228" s="84"/>
    </row>
    <row r="229" ht="15.75" customHeight="1">
      <c r="A229" s="14" t="s">
        <v>4153</v>
      </c>
      <c r="B229" s="14">
        <v>2014.0</v>
      </c>
      <c r="C229" s="14" t="s">
        <v>26016</v>
      </c>
      <c r="D229" s="14" t="s">
        <v>26017</v>
      </c>
      <c r="E229" s="150" t="s">
        <v>26018</v>
      </c>
      <c r="F229" s="14">
        <v>2417.0</v>
      </c>
      <c r="G229" s="14">
        <v>2426.0</v>
      </c>
      <c r="H229" s="151"/>
      <c r="I229" s="14" t="s">
        <v>17059</v>
      </c>
      <c r="J229" s="14" t="s">
        <v>26019</v>
      </c>
      <c r="K229" s="14" t="s">
        <v>29759</v>
      </c>
      <c r="L229" s="152" t="s">
        <v>29618</v>
      </c>
      <c r="M229" s="14" t="s">
        <v>5349</v>
      </c>
      <c r="N229" s="14" t="s">
        <v>29759</v>
      </c>
      <c r="O229" s="130" t="s">
        <v>26023</v>
      </c>
      <c r="P229" s="153" t="s">
        <v>26024</v>
      </c>
      <c r="Q229" s="14">
        <v>6876002.0</v>
      </c>
      <c r="R229" s="95"/>
      <c r="S229" s="154" t="s">
        <v>29760</v>
      </c>
      <c r="T229" s="84"/>
      <c r="U229" s="84"/>
      <c r="V229" s="84"/>
      <c r="W229" s="84"/>
      <c r="X229" s="84"/>
      <c r="Y229" s="84"/>
      <c r="Z229" s="84"/>
      <c r="AA229" s="84"/>
      <c r="AB229" s="84"/>
      <c r="AC229" s="84"/>
    </row>
    <row r="230" ht="15.75" customHeight="1">
      <c r="A230" s="14" t="s">
        <v>4153</v>
      </c>
      <c r="B230" s="14">
        <v>2014.0</v>
      </c>
      <c r="C230" s="14" t="s">
        <v>26292</v>
      </c>
      <c r="D230" s="14" t="s">
        <v>26293</v>
      </c>
      <c r="E230" s="150" t="s">
        <v>26294</v>
      </c>
      <c r="F230" s="14">
        <v>2704.0</v>
      </c>
      <c r="G230" s="14">
        <v>2713.0</v>
      </c>
      <c r="H230" s="151"/>
      <c r="I230" s="14" t="s">
        <v>17059</v>
      </c>
      <c r="J230" s="14" t="s">
        <v>29763</v>
      </c>
      <c r="K230" s="14" t="s">
        <v>29764</v>
      </c>
      <c r="L230" s="152" t="s">
        <v>29765</v>
      </c>
      <c r="M230" s="14" t="s">
        <v>1253</v>
      </c>
      <c r="N230" s="14" t="s">
        <v>29764</v>
      </c>
      <c r="O230" s="130" t="s">
        <v>26298</v>
      </c>
      <c r="P230" s="153" t="s">
        <v>26299</v>
      </c>
      <c r="Q230" s="14">
        <v>6875945.0</v>
      </c>
      <c r="R230" s="95"/>
      <c r="S230" s="154" t="s">
        <v>29766</v>
      </c>
      <c r="T230" s="84"/>
      <c r="U230" s="84"/>
      <c r="V230" s="84"/>
      <c r="W230" s="84"/>
      <c r="X230" s="84"/>
      <c r="Y230" s="84"/>
      <c r="Z230" s="84"/>
      <c r="AA230" s="84"/>
      <c r="AB230" s="84"/>
      <c r="AC230" s="84"/>
    </row>
    <row r="231" ht="15.75" customHeight="1">
      <c r="A231" s="14" t="s">
        <v>4153</v>
      </c>
      <c r="B231" s="14">
        <v>2014.0</v>
      </c>
      <c r="C231" s="14" t="s">
        <v>26161</v>
      </c>
      <c r="D231" s="14" t="s">
        <v>26163</v>
      </c>
      <c r="E231" s="150" t="s">
        <v>26164</v>
      </c>
      <c r="F231" s="14">
        <v>2565.0</v>
      </c>
      <c r="G231" s="14">
        <v>2574.0</v>
      </c>
      <c r="H231" s="151"/>
      <c r="I231" s="14" t="s">
        <v>17059</v>
      </c>
      <c r="J231" s="14" t="s">
        <v>26165</v>
      </c>
      <c r="K231" s="14" t="s">
        <v>29774</v>
      </c>
      <c r="L231" s="152" t="s">
        <v>27988</v>
      </c>
      <c r="M231" s="14" t="s">
        <v>494</v>
      </c>
      <c r="N231" s="14" t="s">
        <v>29774</v>
      </c>
      <c r="O231" s="130" t="s">
        <v>26168</v>
      </c>
      <c r="P231" s="153" t="s">
        <v>26169</v>
      </c>
      <c r="Q231" s="14">
        <v>6875975.0</v>
      </c>
      <c r="R231" s="95"/>
      <c r="S231" s="154" t="s">
        <v>29775</v>
      </c>
      <c r="T231" s="84"/>
      <c r="U231" s="84"/>
      <c r="V231" s="84"/>
      <c r="W231" s="84"/>
      <c r="X231" s="84"/>
      <c r="Y231" s="84"/>
      <c r="Z231" s="84"/>
      <c r="AA231" s="84"/>
      <c r="AB231" s="84"/>
      <c r="AC231" s="84"/>
    </row>
    <row r="232" ht="15.75" customHeight="1">
      <c r="A232" s="14" t="s">
        <v>4153</v>
      </c>
      <c r="B232" s="14">
        <v>2014.0</v>
      </c>
      <c r="C232" s="14" t="s">
        <v>26255</v>
      </c>
      <c r="D232" s="14" t="s">
        <v>26256</v>
      </c>
      <c r="E232" s="150" t="s">
        <v>26257</v>
      </c>
      <c r="F232" s="14">
        <v>2644.0</v>
      </c>
      <c r="G232" s="14">
        <v>2653.0</v>
      </c>
      <c r="H232" s="151"/>
      <c r="I232" s="14" t="s">
        <v>17059</v>
      </c>
      <c r="J232" s="14" t="s">
        <v>26259</v>
      </c>
      <c r="K232" s="14" t="s">
        <v>29782</v>
      </c>
      <c r="L232" s="152" t="s">
        <v>29783</v>
      </c>
      <c r="M232" s="14" t="s">
        <v>23953</v>
      </c>
      <c r="N232" s="14" t="s">
        <v>29782</v>
      </c>
      <c r="O232" s="130" t="s">
        <v>26263</v>
      </c>
      <c r="P232" s="153" t="s">
        <v>26264</v>
      </c>
      <c r="Q232" s="14">
        <v>6875981.0</v>
      </c>
      <c r="R232" s="95"/>
      <c r="S232" s="154" t="s">
        <v>29784</v>
      </c>
      <c r="T232" s="84"/>
      <c r="U232" s="84"/>
      <c r="V232" s="84"/>
      <c r="W232" s="84"/>
      <c r="X232" s="84"/>
      <c r="Y232" s="84"/>
      <c r="Z232" s="84"/>
      <c r="AA232" s="84"/>
      <c r="AB232" s="84"/>
      <c r="AC232" s="84"/>
    </row>
    <row r="233" ht="15.75" customHeight="1">
      <c r="A233" s="14" t="s">
        <v>4153</v>
      </c>
      <c r="B233" s="14">
        <v>2014.0</v>
      </c>
      <c r="C233" s="14" t="s">
        <v>26245</v>
      </c>
      <c r="D233" s="14" t="s">
        <v>26246</v>
      </c>
      <c r="E233" s="150" t="s">
        <v>26247</v>
      </c>
      <c r="F233" s="14">
        <v>2634.0</v>
      </c>
      <c r="G233" s="14">
        <v>2643.0</v>
      </c>
      <c r="H233" s="151"/>
      <c r="I233" s="14" t="s">
        <v>17059</v>
      </c>
      <c r="J233" s="14" t="s">
        <v>26251</v>
      </c>
      <c r="K233" s="14" t="s">
        <v>29788</v>
      </c>
      <c r="L233" s="152" t="s">
        <v>29631</v>
      </c>
      <c r="M233" s="14" t="s">
        <v>880</v>
      </c>
      <c r="N233" s="14" t="s">
        <v>29788</v>
      </c>
      <c r="O233" s="130" t="s">
        <v>26253</v>
      </c>
      <c r="P233" s="153" t="s">
        <v>26254</v>
      </c>
      <c r="Q233" s="14">
        <v>6876004.0</v>
      </c>
      <c r="R233" s="95"/>
      <c r="S233" s="154" t="s">
        <v>29789</v>
      </c>
      <c r="T233" s="84"/>
      <c r="U233" s="84"/>
      <c r="V233" s="84"/>
      <c r="W233" s="84"/>
      <c r="X233" s="84"/>
      <c r="Y233" s="84"/>
      <c r="Z233" s="84"/>
      <c r="AA233" s="84"/>
      <c r="AB233" s="84"/>
      <c r="AC233" s="84"/>
    </row>
    <row r="234" ht="15.75" customHeight="1">
      <c r="A234" s="14" t="s">
        <v>4153</v>
      </c>
      <c r="B234" s="14">
        <v>2014.0</v>
      </c>
      <c r="C234" s="14" t="s">
        <v>25987</v>
      </c>
      <c r="D234" s="14" t="s">
        <v>25988</v>
      </c>
      <c r="E234" s="150" t="s">
        <v>25989</v>
      </c>
      <c r="F234" s="14">
        <v>2388.0</v>
      </c>
      <c r="G234" s="14">
        <v>2396.0</v>
      </c>
      <c r="H234" s="151"/>
      <c r="I234" s="14" t="s">
        <v>17059</v>
      </c>
      <c r="J234" s="14" t="s">
        <v>25991</v>
      </c>
      <c r="K234" s="14" t="s">
        <v>29799</v>
      </c>
      <c r="L234" s="152" t="s">
        <v>29589</v>
      </c>
      <c r="M234" s="14" t="s">
        <v>5349</v>
      </c>
      <c r="N234" s="14" t="s">
        <v>29799</v>
      </c>
      <c r="O234" s="130" t="s">
        <v>25994</v>
      </c>
      <c r="P234" s="153" t="s">
        <v>25995</v>
      </c>
      <c r="Q234" s="14">
        <v>6876040.0</v>
      </c>
      <c r="R234" s="95"/>
      <c r="S234" s="154" t="s">
        <v>29800</v>
      </c>
      <c r="T234" s="84"/>
      <c r="U234" s="84"/>
      <c r="V234" s="84"/>
      <c r="W234" s="84"/>
      <c r="X234" s="84"/>
      <c r="Y234" s="84"/>
      <c r="Z234" s="84"/>
      <c r="AA234" s="84"/>
      <c r="AB234" s="84"/>
      <c r="AC234" s="84"/>
    </row>
    <row r="235" ht="15.75" customHeight="1">
      <c r="A235" s="14" t="s">
        <v>4153</v>
      </c>
      <c r="B235" s="14">
        <v>2014.0</v>
      </c>
      <c r="C235" s="14" t="s">
        <v>26115</v>
      </c>
      <c r="D235" s="14" t="s">
        <v>26116</v>
      </c>
      <c r="E235" s="150" t="s">
        <v>26117</v>
      </c>
      <c r="F235" s="14">
        <v>2516.0</v>
      </c>
      <c r="G235" s="14">
        <v>2525.0</v>
      </c>
      <c r="H235" s="151"/>
      <c r="I235" s="14" t="s">
        <v>17059</v>
      </c>
      <c r="J235" s="14" t="s">
        <v>26119</v>
      </c>
      <c r="K235" s="14" t="s">
        <v>29807</v>
      </c>
      <c r="L235" s="152" t="s">
        <v>29809</v>
      </c>
      <c r="M235" s="14" t="s">
        <v>5349</v>
      </c>
      <c r="N235" s="14" t="s">
        <v>29807</v>
      </c>
      <c r="O235" s="130" t="s">
        <v>26122</v>
      </c>
      <c r="P235" s="153" t="s">
        <v>26123</v>
      </c>
      <c r="Q235" s="14">
        <v>6875910.0</v>
      </c>
      <c r="R235" s="95"/>
      <c r="S235" s="154" t="s">
        <v>29812</v>
      </c>
      <c r="T235" s="84"/>
      <c r="U235" s="84"/>
      <c r="V235" s="84"/>
      <c r="W235" s="84"/>
      <c r="X235" s="84"/>
      <c r="Y235" s="84"/>
      <c r="Z235" s="84"/>
      <c r="AA235" s="84"/>
      <c r="AB235" s="84"/>
      <c r="AC235" s="84"/>
    </row>
    <row r="236" ht="15.75" customHeight="1">
      <c r="A236" s="14" t="s">
        <v>4153</v>
      </c>
      <c r="B236" s="14">
        <v>2014.0</v>
      </c>
      <c r="C236" s="14" t="s">
        <v>26300</v>
      </c>
      <c r="D236" s="14" t="s">
        <v>26301</v>
      </c>
      <c r="E236" s="150" t="s">
        <v>26302</v>
      </c>
      <c r="F236" s="14">
        <v>2614.0</v>
      </c>
      <c r="G236" s="14">
        <v>2623.0</v>
      </c>
      <c r="H236" s="151"/>
      <c r="I236" s="14" t="s">
        <v>17059</v>
      </c>
      <c r="J236" s="14" t="s">
        <v>26304</v>
      </c>
      <c r="K236" s="14" t="s">
        <v>11200</v>
      </c>
      <c r="L236" s="152" t="s">
        <v>29813</v>
      </c>
      <c r="M236" s="14"/>
      <c r="N236" s="14" t="s">
        <v>11200</v>
      </c>
      <c r="O236" s="130"/>
      <c r="P236" s="153" t="s">
        <v>26305</v>
      </c>
      <c r="Q236" s="14">
        <v>6887357.0</v>
      </c>
      <c r="R236" s="95"/>
      <c r="S236" s="154"/>
      <c r="T236" s="124"/>
      <c r="U236" s="124"/>
      <c r="V236" s="124"/>
      <c r="W236" s="124"/>
      <c r="X236" s="124"/>
      <c r="Y236" s="124"/>
      <c r="Z236" s="124"/>
      <c r="AA236" s="124"/>
      <c r="AB236" s="124"/>
      <c r="AC236" s="124"/>
    </row>
    <row r="237" ht="15.75" customHeight="1">
      <c r="A237" s="14" t="s">
        <v>4153</v>
      </c>
      <c r="B237" s="14">
        <v>2014.0</v>
      </c>
      <c r="C237" s="14" t="s">
        <v>26170</v>
      </c>
      <c r="D237" s="14" t="s">
        <v>26171</v>
      </c>
      <c r="E237" s="150" t="s">
        <v>26172</v>
      </c>
      <c r="F237" s="14">
        <v>2575.0</v>
      </c>
      <c r="G237" s="14">
        <v>2584.0</v>
      </c>
      <c r="H237" s="151"/>
      <c r="I237" s="14" t="s">
        <v>17059</v>
      </c>
      <c r="J237" s="14" t="s">
        <v>26174</v>
      </c>
      <c r="K237" s="14" t="s">
        <v>26176</v>
      </c>
      <c r="L237" s="152" t="s">
        <v>29823</v>
      </c>
      <c r="M237" s="14" t="s">
        <v>494</v>
      </c>
      <c r="N237" s="14" t="s">
        <v>26176</v>
      </c>
      <c r="O237" s="130" t="s">
        <v>26178</v>
      </c>
      <c r="P237" s="153" t="s">
        <v>26179</v>
      </c>
      <c r="Q237" s="14">
        <v>6876027.0</v>
      </c>
      <c r="R237" s="95"/>
      <c r="S237" s="154" t="s">
        <v>29824</v>
      </c>
      <c r="T237" s="84"/>
      <c r="U237" s="84"/>
      <c r="V237" s="84"/>
      <c r="W237" s="84"/>
      <c r="X237" s="84"/>
      <c r="Y237" s="84"/>
      <c r="Z237" s="84"/>
      <c r="AA237" s="84"/>
      <c r="AB237" s="84"/>
      <c r="AC237" s="84"/>
    </row>
    <row r="238" ht="15.75" customHeight="1">
      <c r="A238" s="14" t="s">
        <v>4153</v>
      </c>
      <c r="B238" s="14">
        <v>2014.0</v>
      </c>
      <c r="C238" s="14" t="s">
        <v>26007</v>
      </c>
      <c r="D238" s="14" t="s">
        <v>26008</v>
      </c>
      <c r="E238" s="150" t="s">
        <v>26009</v>
      </c>
      <c r="F238" s="14">
        <v>2407.0</v>
      </c>
      <c r="G238" s="14">
        <v>2416.0</v>
      </c>
      <c r="H238" s="151"/>
      <c r="I238" s="14" t="s">
        <v>17059</v>
      </c>
      <c r="J238" s="14" t="s">
        <v>26011</v>
      </c>
      <c r="K238" s="14" t="s">
        <v>29831</v>
      </c>
      <c r="L238" s="152" t="s">
        <v>860</v>
      </c>
      <c r="M238" s="14" t="s">
        <v>860</v>
      </c>
      <c r="N238" s="14" t="s">
        <v>29831</v>
      </c>
      <c r="O238" s="130" t="s">
        <v>15838</v>
      </c>
      <c r="P238" s="153" t="s">
        <v>26014</v>
      </c>
      <c r="Q238" s="14">
        <v>6875916.0</v>
      </c>
      <c r="R238" s="95"/>
      <c r="S238" s="154">
        <v>1372194.0</v>
      </c>
      <c r="T238" s="84"/>
      <c r="U238" s="84"/>
      <c r="V238" s="84"/>
      <c r="W238" s="84"/>
      <c r="X238" s="84"/>
      <c r="Y238" s="84"/>
      <c r="Z238" s="84"/>
      <c r="AA238" s="84"/>
      <c r="AB238" s="84"/>
      <c r="AC238" s="84"/>
    </row>
    <row r="239" ht="15.75" customHeight="1">
      <c r="A239" s="14" t="s">
        <v>4153</v>
      </c>
      <c r="B239" s="14">
        <v>2014.0</v>
      </c>
      <c r="C239" s="14" t="s">
        <v>26274</v>
      </c>
      <c r="D239" s="14" t="s">
        <v>26275</v>
      </c>
      <c r="E239" s="150" t="s">
        <v>26276</v>
      </c>
      <c r="F239" s="14">
        <v>2664.0</v>
      </c>
      <c r="G239" s="14">
        <v>2673.0</v>
      </c>
      <c r="H239" s="151"/>
      <c r="I239" s="14" t="s">
        <v>17059</v>
      </c>
      <c r="J239" s="14" t="s">
        <v>26277</v>
      </c>
      <c r="K239" s="14" t="s">
        <v>29832</v>
      </c>
      <c r="L239" s="152" t="s">
        <v>29833</v>
      </c>
      <c r="M239" s="14" t="s">
        <v>494</v>
      </c>
      <c r="N239" s="14" t="s">
        <v>29832</v>
      </c>
      <c r="O239" s="130" t="s">
        <v>26281</v>
      </c>
      <c r="P239" s="153" t="s">
        <v>26282</v>
      </c>
      <c r="Q239" s="14">
        <v>6875953.0</v>
      </c>
      <c r="R239" s="95"/>
      <c r="S239" s="154" t="s">
        <v>29834</v>
      </c>
      <c r="T239" s="84"/>
      <c r="U239" s="84"/>
      <c r="V239" s="84"/>
      <c r="W239" s="84"/>
      <c r="X239" s="84"/>
      <c r="Y239" s="84"/>
      <c r="Z239" s="84"/>
      <c r="AA239" s="84"/>
      <c r="AB239" s="84"/>
      <c r="AC239" s="84"/>
    </row>
    <row r="240" ht="15.75" customHeight="1">
      <c r="A240" s="14" t="s">
        <v>4153</v>
      </c>
      <c r="B240" s="14">
        <v>2014.0</v>
      </c>
      <c r="C240" s="14" t="s">
        <v>26134</v>
      </c>
      <c r="D240" s="14" t="s">
        <v>26135</v>
      </c>
      <c r="E240" s="150" t="s">
        <v>26136</v>
      </c>
      <c r="F240" s="14">
        <v>2535.0</v>
      </c>
      <c r="G240" s="14">
        <v>2544.0</v>
      </c>
      <c r="H240" s="151"/>
      <c r="I240" s="14" t="s">
        <v>17059</v>
      </c>
      <c r="J240" s="14" t="s">
        <v>26137</v>
      </c>
      <c r="K240" s="14" t="s">
        <v>29835</v>
      </c>
      <c r="L240" s="152" t="s">
        <v>178</v>
      </c>
      <c r="M240" s="14" t="s">
        <v>178</v>
      </c>
      <c r="N240" s="14" t="s">
        <v>29835</v>
      </c>
      <c r="O240" s="130" t="s">
        <v>26140</v>
      </c>
      <c r="P240" s="153" t="s">
        <v>26141</v>
      </c>
      <c r="Q240" s="14">
        <v>6875993.0</v>
      </c>
      <c r="R240" s="95"/>
      <c r="S240" s="154" t="s">
        <v>29836</v>
      </c>
      <c r="T240" s="84"/>
      <c r="U240" s="84"/>
      <c r="V240" s="84"/>
      <c r="W240" s="84"/>
      <c r="X240" s="84"/>
      <c r="Y240" s="84"/>
      <c r="Z240" s="84"/>
      <c r="AA240" s="84"/>
      <c r="AB240" s="84"/>
      <c r="AC240" s="84"/>
    </row>
    <row r="241" ht="15.75" customHeight="1">
      <c r="A241" s="14" t="s">
        <v>120</v>
      </c>
      <c r="B241" s="14">
        <v>2014.0</v>
      </c>
      <c r="C241" s="14" t="s">
        <v>26605</v>
      </c>
      <c r="D241" s="14" t="s">
        <v>26606</v>
      </c>
      <c r="E241" s="150" t="s">
        <v>26607</v>
      </c>
      <c r="F241" s="14">
        <v>1773.0</v>
      </c>
      <c r="G241" s="14">
        <v>1782.0</v>
      </c>
      <c r="H241" s="151"/>
      <c r="I241" s="14" t="s">
        <v>17059</v>
      </c>
      <c r="J241" s="14" t="s">
        <v>26608</v>
      </c>
      <c r="K241" s="14" t="s">
        <v>29837</v>
      </c>
      <c r="L241" s="152" t="s">
        <v>29838</v>
      </c>
      <c r="M241" s="14" t="s">
        <v>860</v>
      </c>
      <c r="N241" s="14" t="s">
        <v>29837</v>
      </c>
      <c r="O241" s="130" t="s">
        <v>26611</v>
      </c>
      <c r="P241" s="153" t="s">
        <v>26612</v>
      </c>
      <c r="Q241" s="14">
        <v>6876013.0</v>
      </c>
      <c r="R241" s="95"/>
      <c r="S241" s="154" t="s">
        <v>29839</v>
      </c>
      <c r="T241" s="84"/>
      <c r="U241" s="84"/>
      <c r="V241" s="84"/>
      <c r="W241" s="84"/>
      <c r="X241" s="84"/>
      <c r="Y241" s="84"/>
      <c r="Z241" s="84"/>
      <c r="AA241" s="84"/>
      <c r="AB241" s="84"/>
      <c r="AC241" s="84"/>
    </row>
    <row r="242" ht="15.75" customHeight="1">
      <c r="A242" s="14" t="s">
        <v>120</v>
      </c>
      <c r="B242" s="14">
        <v>2014.0</v>
      </c>
      <c r="C242" s="14" t="s">
        <v>26411</v>
      </c>
      <c r="D242" s="14" t="s">
        <v>26412</v>
      </c>
      <c r="E242" s="150" t="s">
        <v>26413</v>
      </c>
      <c r="F242" s="14">
        <v>1713.0</v>
      </c>
      <c r="G242" s="14">
        <v>1722.0</v>
      </c>
      <c r="H242" s="151"/>
      <c r="I242" s="14" t="s">
        <v>17059</v>
      </c>
      <c r="J242" s="14" t="s">
        <v>26414</v>
      </c>
      <c r="K242" s="14" t="s">
        <v>29840</v>
      </c>
      <c r="L242" s="152" t="s">
        <v>27978</v>
      </c>
      <c r="M242" s="14" t="s">
        <v>494</v>
      </c>
      <c r="N242" s="14" t="s">
        <v>29840</v>
      </c>
      <c r="O242" s="130" t="s">
        <v>26417</v>
      </c>
      <c r="P242" s="153" t="s">
        <v>26418</v>
      </c>
      <c r="Q242" s="14">
        <v>6875974.0</v>
      </c>
      <c r="R242" s="95"/>
      <c r="S242" s="154" t="s">
        <v>29841</v>
      </c>
      <c r="T242" s="84"/>
      <c r="U242" s="84"/>
      <c r="V242" s="84"/>
      <c r="W242" s="84"/>
      <c r="X242" s="84"/>
      <c r="Y242" s="84"/>
      <c r="Z242" s="84"/>
      <c r="AA242" s="84"/>
      <c r="AB242" s="84"/>
      <c r="AC242" s="84"/>
    </row>
    <row r="243" ht="15.75" customHeight="1">
      <c r="A243" s="14" t="s">
        <v>120</v>
      </c>
      <c r="B243" s="14">
        <v>2014.0</v>
      </c>
      <c r="C243" s="14" t="s">
        <v>26664</v>
      </c>
      <c r="D243" s="14" t="s">
        <v>26665</v>
      </c>
      <c r="E243" s="150" t="s">
        <v>26666</v>
      </c>
      <c r="F243" s="14">
        <v>33.0</v>
      </c>
      <c r="G243" s="14">
        <v>42.0</v>
      </c>
      <c r="H243" s="151"/>
      <c r="I243" s="14" t="s">
        <v>28</v>
      </c>
      <c r="J243" s="14" t="s">
        <v>26668</v>
      </c>
      <c r="K243" s="14" t="s">
        <v>29842</v>
      </c>
      <c r="L243" s="152" t="s">
        <v>29843</v>
      </c>
      <c r="M243" s="14" t="s">
        <v>494</v>
      </c>
      <c r="N243" s="14" t="s">
        <v>29842</v>
      </c>
      <c r="O243" s="130" t="s">
        <v>26672</v>
      </c>
      <c r="P243" s="153" t="s">
        <v>26673</v>
      </c>
      <c r="Q243" s="14">
        <v>7042479.0</v>
      </c>
      <c r="R243" s="95"/>
      <c r="S243" s="154" t="s">
        <v>29844</v>
      </c>
      <c r="T243" s="84"/>
      <c r="U243" s="84"/>
      <c r="V243" s="84"/>
      <c r="W243" s="84"/>
      <c r="X243" s="84"/>
      <c r="Y243" s="84"/>
      <c r="Z243" s="84"/>
      <c r="AA243" s="84"/>
      <c r="AB243" s="84"/>
      <c r="AC243" s="84"/>
    </row>
    <row r="244" ht="15.75" customHeight="1">
      <c r="A244" s="14" t="s">
        <v>120</v>
      </c>
      <c r="B244" s="14">
        <v>2014.0</v>
      </c>
      <c r="C244" s="14" t="s">
        <v>26732</v>
      </c>
      <c r="D244" s="14" t="s">
        <v>26733</v>
      </c>
      <c r="E244" s="150" t="s">
        <v>26734</v>
      </c>
      <c r="F244" s="14">
        <v>103.0</v>
      </c>
      <c r="G244" s="14">
        <v>112.0</v>
      </c>
      <c r="H244" s="151"/>
      <c r="I244" s="14" t="s">
        <v>28</v>
      </c>
      <c r="J244" s="14" t="s">
        <v>29845</v>
      </c>
      <c r="K244" s="14" t="s">
        <v>26739</v>
      </c>
      <c r="L244" s="152" t="s">
        <v>29846</v>
      </c>
      <c r="M244" s="14" t="s">
        <v>13886</v>
      </c>
      <c r="N244" s="14" t="s">
        <v>26739</v>
      </c>
      <c r="O244" s="130" t="s">
        <v>26741</v>
      </c>
      <c r="P244" s="153" t="s">
        <v>26742</v>
      </c>
      <c r="Q244" s="14">
        <v>7042486.0</v>
      </c>
      <c r="R244" s="95"/>
      <c r="S244" s="154" t="s">
        <v>29847</v>
      </c>
      <c r="T244" s="84"/>
      <c r="U244" s="84"/>
      <c r="V244" s="84"/>
      <c r="W244" s="84"/>
      <c r="X244" s="84"/>
      <c r="Y244" s="84"/>
      <c r="Z244" s="84"/>
      <c r="AA244" s="84"/>
      <c r="AB244" s="84"/>
      <c r="AC244" s="84"/>
    </row>
    <row r="245" ht="15.75" customHeight="1">
      <c r="A245" s="14" t="s">
        <v>120</v>
      </c>
      <c r="B245" s="14">
        <v>2014.0</v>
      </c>
      <c r="C245" s="14" t="s">
        <v>26693</v>
      </c>
      <c r="D245" s="14" t="s">
        <v>26694</v>
      </c>
      <c r="E245" s="150" t="s">
        <v>26695</v>
      </c>
      <c r="F245" s="14">
        <v>63.0</v>
      </c>
      <c r="G245" s="14">
        <v>72.0</v>
      </c>
      <c r="H245" s="151"/>
      <c r="I245" s="14" t="s">
        <v>28</v>
      </c>
      <c r="J245" s="14" t="s">
        <v>26696</v>
      </c>
      <c r="K245" s="14" t="s">
        <v>29848</v>
      </c>
      <c r="L245" s="152" t="s">
        <v>15137</v>
      </c>
      <c r="M245" s="14" t="s">
        <v>5349</v>
      </c>
      <c r="N245" s="14" t="s">
        <v>29848</v>
      </c>
      <c r="O245" s="130" t="s">
        <v>26700</v>
      </c>
      <c r="P245" s="153" t="s">
        <v>26701</v>
      </c>
      <c r="Q245" s="14">
        <v>7042482.0</v>
      </c>
      <c r="R245" s="95"/>
      <c r="S245" s="154" t="s">
        <v>29849</v>
      </c>
      <c r="T245" s="84"/>
      <c r="U245" s="84"/>
      <c r="V245" s="84"/>
      <c r="W245" s="84"/>
      <c r="X245" s="84"/>
      <c r="Y245" s="84"/>
      <c r="Z245" s="84"/>
      <c r="AA245" s="84"/>
      <c r="AB245" s="84"/>
      <c r="AC245" s="84"/>
    </row>
    <row r="246" ht="15.75" customHeight="1">
      <c r="A246" s="14" t="s">
        <v>120</v>
      </c>
      <c r="B246" s="14">
        <v>2014.0</v>
      </c>
      <c r="C246" s="14" t="s">
        <v>26684</v>
      </c>
      <c r="D246" s="14" t="s">
        <v>26685</v>
      </c>
      <c r="E246" s="150" t="s">
        <v>26686</v>
      </c>
      <c r="F246" s="14">
        <v>53.0</v>
      </c>
      <c r="G246" s="14">
        <v>62.0</v>
      </c>
      <c r="H246" s="151"/>
      <c r="I246" s="14" t="s">
        <v>28</v>
      </c>
      <c r="J246" s="14" t="s">
        <v>29850</v>
      </c>
      <c r="K246" s="14" t="s">
        <v>29851</v>
      </c>
      <c r="L246" s="152" t="s">
        <v>29852</v>
      </c>
      <c r="M246" s="14" t="s">
        <v>1253</v>
      </c>
      <c r="N246" s="14" t="s">
        <v>29851</v>
      </c>
      <c r="O246" s="130" t="s">
        <v>26691</v>
      </c>
      <c r="P246" s="153" t="s">
        <v>26692</v>
      </c>
      <c r="Q246" s="14">
        <v>7042481.0</v>
      </c>
      <c r="R246" s="95"/>
      <c r="S246" s="154" t="s">
        <v>29853</v>
      </c>
      <c r="T246" s="84"/>
      <c r="U246" s="84"/>
      <c r="V246" s="84"/>
      <c r="W246" s="84"/>
      <c r="X246" s="84"/>
      <c r="Y246" s="84"/>
      <c r="Z246" s="84"/>
      <c r="AA246" s="84"/>
      <c r="AB246" s="84"/>
      <c r="AC246" s="84"/>
    </row>
    <row r="247" ht="15.75" customHeight="1">
      <c r="A247" s="14" t="s">
        <v>120</v>
      </c>
      <c r="B247" s="14">
        <v>2014.0</v>
      </c>
      <c r="C247" s="14" t="s">
        <v>26713</v>
      </c>
      <c r="D247" s="14" t="s">
        <v>26714</v>
      </c>
      <c r="E247" s="150" t="s">
        <v>26715</v>
      </c>
      <c r="F247" s="14">
        <v>83.0</v>
      </c>
      <c r="G247" s="14">
        <v>92.0</v>
      </c>
      <c r="H247" s="151"/>
      <c r="I247" s="14" t="s">
        <v>28</v>
      </c>
      <c r="J247" s="14" t="s">
        <v>26717</v>
      </c>
      <c r="K247" s="14" t="s">
        <v>29854</v>
      </c>
      <c r="L247" s="152" t="s">
        <v>29855</v>
      </c>
      <c r="M247" s="14" t="s">
        <v>13886</v>
      </c>
      <c r="N247" s="14" t="s">
        <v>29856</v>
      </c>
      <c r="O247" s="130" t="s">
        <v>26721</v>
      </c>
      <c r="P247" s="16"/>
      <c r="Q247" s="14">
        <v>7042484.0</v>
      </c>
      <c r="R247" s="95"/>
      <c r="S247" s="154" t="s">
        <v>29857</v>
      </c>
      <c r="T247" s="84"/>
      <c r="U247" s="84"/>
      <c r="V247" s="84"/>
      <c r="W247" s="84"/>
      <c r="X247" s="84"/>
      <c r="Y247" s="84"/>
      <c r="Z247" s="84"/>
      <c r="AA247" s="84"/>
      <c r="AB247" s="84"/>
      <c r="AC247" s="84"/>
    </row>
    <row r="248" ht="15.75" customHeight="1">
      <c r="A248" s="14" t="s">
        <v>120</v>
      </c>
      <c r="B248" s="14">
        <v>2014.0</v>
      </c>
      <c r="C248" s="14" t="s">
        <v>26653</v>
      </c>
      <c r="D248" s="14" t="s">
        <v>26654</v>
      </c>
      <c r="E248" s="150" t="s">
        <v>26655</v>
      </c>
      <c r="F248" s="14">
        <v>23.0</v>
      </c>
      <c r="G248" s="14">
        <v>32.0</v>
      </c>
      <c r="H248" s="151"/>
      <c r="I248" s="14" t="s">
        <v>28</v>
      </c>
      <c r="J248" s="14" t="s">
        <v>26658</v>
      </c>
      <c r="K248" s="14" t="s">
        <v>29858</v>
      </c>
      <c r="L248" s="152" t="s">
        <v>5349</v>
      </c>
      <c r="M248" s="14" t="s">
        <v>5349</v>
      </c>
      <c r="N248" s="14" t="s">
        <v>29859</v>
      </c>
      <c r="O248" s="130" t="s">
        <v>26662</v>
      </c>
      <c r="P248" s="153" t="s">
        <v>26663</v>
      </c>
      <c r="Q248" s="14">
        <v>7042478.0</v>
      </c>
      <c r="R248" s="95"/>
      <c r="S248" s="154" t="s">
        <v>29860</v>
      </c>
      <c r="T248" s="84"/>
      <c r="U248" s="84"/>
      <c r="V248" s="84"/>
      <c r="W248" s="84"/>
      <c r="X248" s="84"/>
      <c r="Y248" s="84"/>
      <c r="Z248" s="84"/>
      <c r="AA248" s="84"/>
      <c r="AB248" s="84"/>
      <c r="AC248" s="84"/>
    </row>
    <row r="249" ht="15.75" customHeight="1">
      <c r="A249" s="14" t="s">
        <v>120</v>
      </c>
      <c r="B249" s="14">
        <v>2014.0</v>
      </c>
      <c r="C249" s="14" t="s">
        <v>26771</v>
      </c>
      <c r="D249" s="14" t="s">
        <v>26773</v>
      </c>
      <c r="E249" s="150" t="s">
        <v>26774</v>
      </c>
      <c r="F249" s="14">
        <v>143.0</v>
      </c>
      <c r="G249" s="14">
        <v>152.0</v>
      </c>
      <c r="H249" s="151"/>
      <c r="I249" s="14" t="s">
        <v>28</v>
      </c>
      <c r="J249" s="14" t="s">
        <v>26776</v>
      </c>
      <c r="K249" s="14" t="s">
        <v>29861</v>
      </c>
      <c r="L249" s="152" t="s">
        <v>26881</v>
      </c>
      <c r="M249" s="14" t="s">
        <v>860</v>
      </c>
      <c r="N249" s="14" t="s">
        <v>29861</v>
      </c>
      <c r="O249" s="130" t="s">
        <v>26780</v>
      </c>
      <c r="P249" s="153" t="s">
        <v>26781</v>
      </c>
      <c r="Q249" s="14">
        <v>7042490.0</v>
      </c>
      <c r="R249" s="95"/>
      <c r="S249" s="154" t="s">
        <v>29862</v>
      </c>
      <c r="T249" s="84"/>
      <c r="U249" s="84"/>
      <c r="V249" s="84"/>
      <c r="W249" s="84"/>
      <c r="X249" s="84"/>
      <c r="Y249" s="84"/>
      <c r="Z249" s="84"/>
      <c r="AA249" s="84"/>
      <c r="AB249" s="84"/>
      <c r="AC249" s="84"/>
    </row>
    <row r="250" ht="15.75" customHeight="1">
      <c r="A250" s="14" t="s">
        <v>120</v>
      </c>
      <c r="B250" s="14">
        <v>2014.0</v>
      </c>
      <c r="C250" s="14" t="s">
        <v>26491</v>
      </c>
      <c r="D250" s="14" t="s">
        <v>26492</v>
      </c>
      <c r="E250" s="150" t="s">
        <v>26493</v>
      </c>
      <c r="F250" s="14">
        <v>1883.0</v>
      </c>
      <c r="G250" s="14">
        <v>1892.0</v>
      </c>
      <c r="H250" s="151"/>
      <c r="I250" s="14" t="s">
        <v>17059</v>
      </c>
      <c r="J250" s="14" t="s">
        <v>26494</v>
      </c>
      <c r="K250" s="14" t="s">
        <v>29863</v>
      </c>
      <c r="L250" s="152" t="s">
        <v>29864</v>
      </c>
      <c r="M250" s="14" t="s">
        <v>1253</v>
      </c>
      <c r="N250" s="14" t="s">
        <v>29865</v>
      </c>
      <c r="O250" s="130" t="s">
        <v>26498</v>
      </c>
      <c r="P250" s="153" t="s">
        <v>26499</v>
      </c>
      <c r="Q250" s="14">
        <v>6875994.0</v>
      </c>
      <c r="R250" s="95"/>
      <c r="S250" s="154" t="s">
        <v>29866</v>
      </c>
      <c r="T250" s="84"/>
      <c r="U250" s="84"/>
      <c r="V250" s="84"/>
      <c r="W250" s="84"/>
      <c r="X250" s="84"/>
      <c r="Y250" s="84"/>
      <c r="Z250" s="84"/>
      <c r="AA250" s="84"/>
      <c r="AB250" s="84"/>
      <c r="AC250" s="84"/>
    </row>
    <row r="251" ht="15.75" customHeight="1">
      <c r="A251" s="14" t="s">
        <v>120</v>
      </c>
      <c r="B251" s="14">
        <v>2014.0</v>
      </c>
      <c r="C251" s="14" t="s">
        <v>26391</v>
      </c>
      <c r="D251" s="14" t="s">
        <v>26392</v>
      </c>
      <c r="E251" s="150" t="s">
        <v>26393</v>
      </c>
      <c r="F251" s="14">
        <v>1693.0</v>
      </c>
      <c r="G251" s="14">
        <v>1702.0</v>
      </c>
      <c r="H251" s="151"/>
      <c r="I251" s="14" t="s">
        <v>17059</v>
      </c>
      <c r="J251" s="14" t="s">
        <v>26397</v>
      </c>
      <c r="K251" s="14" t="s">
        <v>29867</v>
      </c>
      <c r="L251" s="152" t="s">
        <v>29868</v>
      </c>
      <c r="M251" s="14" t="s">
        <v>5349</v>
      </c>
      <c r="N251" s="14" t="s">
        <v>29869</v>
      </c>
      <c r="O251" s="130" t="s">
        <v>26400</v>
      </c>
      <c r="P251" s="153" t="s">
        <v>26401</v>
      </c>
      <c r="Q251" s="14">
        <v>6875958.0</v>
      </c>
      <c r="R251" s="95"/>
      <c r="S251" s="154" t="s">
        <v>29870</v>
      </c>
      <c r="T251" s="84"/>
      <c r="U251" s="84"/>
      <c r="V251" s="84"/>
      <c r="W251" s="84"/>
      <c r="X251" s="84"/>
      <c r="Y251" s="84"/>
      <c r="Z251" s="84"/>
      <c r="AA251" s="84"/>
      <c r="AB251" s="84"/>
      <c r="AC251" s="84"/>
    </row>
    <row r="252" ht="15.75" customHeight="1">
      <c r="A252" s="14" t="s">
        <v>120</v>
      </c>
      <c r="B252" s="14">
        <v>2014.0</v>
      </c>
      <c r="C252" s="14" t="s">
        <v>26430</v>
      </c>
      <c r="D252" s="14" t="s">
        <v>26431</v>
      </c>
      <c r="E252" s="150" t="s">
        <v>26432</v>
      </c>
      <c r="F252" s="14">
        <v>1783.0</v>
      </c>
      <c r="G252" s="14">
        <v>1792.0</v>
      </c>
      <c r="H252" s="151"/>
      <c r="I252" s="14" t="s">
        <v>17059</v>
      </c>
      <c r="J252" s="14" t="s">
        <v>26436</v>
      </c>
      <c r="K252" s="14" t="s">
        <v>29871</v>
      </c>
      <c r="L252" s="152" t="s">
        <v>29872</v>
      </c>
      <c r="M252" s="14" t="s">
        <v>178</v>
      </c>
      <c r="N252" s="14" t="s">
        <v>29871</v>
      </c>
      <c r="O252" s="130" t="s">
        <v>26439</v>
      </c>
      <c r="P252" s="153" t="s">
        <v>26440</v>
      </c>
      <c r="Q252" s="14">
        <v>6875996.0</v>
      </c>
      <c r="R252" s="95"/>
      <c r="S252" s="154" t="s">
        <v>29873</v>
      </c>
      <c r="T252" s="84"/>
      <c r="U252" s="84"/>
      <c r="V252" s="84"/>
      <c r="W252" s="84"/>
      <c r="X252" s="84"/>
      <c r="Y252" s="84"/>
      <c r="Z252" s="84"/>
      <c r="AA252" s="84"/>
      <c r="AB252" s="84"/>
      <c r="AC252" s="84"/>
    </row>
    <row r="253" ht="15.75" customHeight="1">
      <c r="A253" s="14" t="s">
        <v>120</v>
      </c>
      <c r="B253" s="14">
        <v>2014.0</v>
      </c>
      <c r="C253" s="14" t="s">
        <v>26470</v>
      </c>
      <c r="D253" s="14" t="s">
        <v>26471</v>
      </c>
      <c r="E253" s="150" t="s">
        <v>26472</v>
      </c>
      <c r="F253" s="14">
        <v>1823.0</v>
      </c>
      <c r="G253" s="14">
        <v>1832.0</v>
      </c>
      <c r="H253" s="151"/>
      <c r="I253" s="14" t="s">
        <v>17059</v>
      </c>
      <c r="J253" s="14" t="s">
        <v>26474</v>
      </c>
      <c r="K253" s="14" t="s">
        <v>29874</v>
      </c>
      <c r="L253" s="152" t="s">
        <v>29875</v>
      </c>
      <c r="M253" s="14" t="s">
        <v>23953</v>
      </c>
      <c r="N253" s="14" t="s">
        <v>29874</v>
      </c>
      <c r="O253" s="130" t="s">
        <v>26478</v>
      </c>
      <c r="P253" s="153" t="s">
        <v>26479</v>
      </c>
      <c r="Q253" s="14">
        <v>6876046.0</v>
      </c>
      <c r="R253" s="95"/>
      <c r="S253" s="154" t="s">
        <v>29876</v>
      </c>
      <c r="T253" s="84"/>
      <c r="U253" s="84"/>
      <c r="V253" s="84"/>
      <c r="W253" s="84"/>
      <c r="X253" s="84"/>
      <c r="Y253" s="84"/>
      <c r="Z253" s="84"/>
      <c r="AA253" s="84"/>
      <c r="AB253" s="84"/>
      <c r="AC253" s="84"/>
    </row>
    <row r="254" ht="15.75" customHeight="1">
      <c r="A254" s="14" t="s">
        <v>120</v>
      </c>
      <c r="B254" s="14">
        <v>2014.0</v>
      </c>
      <c r="C254" s="14" t="s">
        <v>26584</v>
      </c>
      <c r="D254" s="14" t="s">
        <v>26586</v>
      </c>
      <c r="E254" s="150" t="s">
        <v>26587</v>
      </c>
      <c r="F254" s="14">
        <v>1753.0</v>
      </c>
      <c r="G254" s="14">
        <v>1762.0</v>
      </c>
      <c r="H254" s="151"/>
      <c r="I254" s="14" t="s">
        <v>17059</v>
      </c>
      <c r="J254" s="14" t="s">
        <v>29877</v>
      </c>
      <c r="K254" s="14" t="s">
        <v>29878</v>
      </c>
      <c r="L254" s="152" t="s">
        <v>860</v>
      </c>
      <c r="M254" s="14" t="s">
        <v>860</v>
      </c>
      <c r="N254" s="14" t="s">
        <v>29878</v>
      </c>
      <c r="O254" s="130" t="s">
        <v>26592</v>
      </c>
      <c r="P254" s="153" t="s">
        <v>26593</v>
      </c>
      <c r="Q254" s="14">
        <v>6875992.0</v>
      </c>
      <c r="R254" s="95"/>
      <c r="S254" s="154" t="s">
        <v>29879</v>
      </c>
      <c r="T254" s="84"/>
      <c r="U254" s="84"/>
      <c r="V254" s="84"/>
      <c r="W254" s="84"/>
      <c r="X254" s="84"/>
      <c r="Y254" s="84"/>
      <c r="Z254" s="84"/>
      <c r="AA254" s="84"/>
      <c r="AB254" s="84"/>
      <c r="AC254" s="84"/>
    </row>
    <row r="255" ht="15.75" customHeight="1">
      <c r="A255" s="14" t="s">
        <v>120</v>
      </c>
      <c r="B255" s="14">
        <v>2014.0</v>
      </c>
      <c r="C255" s="14" t="s">
        <v>26642</v>
      </c>
      <c r="D255" s="14" t="s">
        <v>26643</v>
      </c>
      <c r="E255" s="150" t="s">
        <v>26644</v>
      </c>
      <c r="F255" s="14">
        <v>13.0</v>
      </c>
      <c r="G255" s="14">
        <v>22.0</v>
      </c>
      <c r="H255" s="151"/>
      <c r="I255" s="14" t="s">
        <v>28</v>
      </c>
      <c r="J255" s="14" t="s">
        <v>26648</v>
      </c>
      <c r="K255" s="14" t="s">
        <v>29880</v>
      </c>
      <c r="L255" s="152" t="s">
        <v>29881</v>
      </c>
      <c r="M255" s="14" t="s">
        <v>860</v>
      </c>
      <c r="N255" s="14" t="s">
        <v>29882</v>
      </c>
      <c r="O255" s="130" t="s">
        <v>26651</v>
      </c>
      <c r="P255" s="153" t="s">
        <v>26652</v>
      </c>
      <c r="Q255" s="14">
        <v>7042477.0</v>
      </c>
      <c r="R255" s="95"/>
      <c r="S255" s="154" t="s">
        <v>29883</v>
      </c>
      <c r="T255" s="84"/>
      <c r="U255" s="84"/>
      <c r="V255" s="84"/>
      <c r="W255" s="84"/>
      <c r="X255" s="84"/>
      <c r="Y255" s="84"/>
      <c r="Z255" s="84"/>
      <c r="AA255" s="84"/>
      <c r="AB255" s="84"/>
      <c r="AC255" s="84"/>
    </row>
    <row r="256" ht="15.75" customHeight="1">
      <c r="A256" s="14" t="s">
        <v>120</v>
      </c>
      <c r="B256" s="14">
        <v>2014.0</v>
      </c>
      <c r="C256" s="14" t="s">
        <v>26674</v>
      </c>
      <c r="D256" s="14" t="s">
        <v>26676</v>
      </c>
      <c r="E256" s="150" t="s">
        <v>26677</v>
      </c>
      <c r="F256" s="14">
        <v>43.0</v>
      </c>
      <c r="G256" s="14">
        <v>52.0</v>
      </c>
      <c r="H256" s="151"/>
      <c r="I256" s="14" t="s">
        <v>28</v>
      </c>
      <c r="J256" s="14" t="s">
        <v>26678</v>
      </c>
      <c r="K256" s="14" t="s">
        <v>29884</v>
      </c>
      <c r="L256" s="152" t="s">
        <v>29885</v>
      </c>
      <c r="M256" s="14" t="s">
        <v>5349</v>
      </c>
      <c r="N256" s="14" t="s">
        <v>29884</v>
      </c>
      <c r="O256" s="130" t="s">
        <v>26681</v>
      </c>
      <c r="P256" s="153" t="s">
        <v>26682</v>
      </c>
      <c r="Q256" s="14">
        <v>7042480.0</v>
      </c>
      <c r="R256" s="95"/>
      <c r="S256" s="154" t="s">
        <v>29886</v>
      </c>
      <c r="T256" s="84"/>
      <c r="U256" s="84"/>
      <c r="V256" s="84"/>
      <c r="W256" s="84"/>
      <c r="X256" s="84"/>
      <c r="Y256" s="84"/>
      <c r="Z256" s="84"/>
      <c r="AA256" s="84"/>
      <c r="AB256" s="84"/>
      <c r="AC256" s="84"/>
    </row>
    <row r="257" ht="15.75" customHeight="1">
      <c r="A257" s="14" t="s">
        <v>120</v>
      </c>
      <c r="B257" s="14">
        <v>2014.0</v>
      </c>
      <c r="C257" s="14" t="s">
        <v>26354</v>
      </c>
      <c r="D257" s="14" t="s">
        <v>26355</v>
      </c>
      <c r="E257" s="150" t="s">
        <v>26356</v>
      </c>
      <c r="F257" s="14">
        <v>1663.0</v>
      </c>
      <c r="G257" s="14">
        <v>1672.0</v>
      </c>
      <c r="H257" s="151"/>
      <c r="I257" s="14" t="s">
        <v>17059</v>
      </c>
      <c r="J257" s="14" t="s">
        <v>26357</v>
      </c>
      <c r="K257" s="14" t="s">
        <v>29887</v>
      </c>
      <c r="L257" s="152" t="s">
        <v>29888</v>
      </c>
      <c r="M257" s="14" t="s">
        <v>1253</v>
      </c>
      <c r="N257" s="14" t="s">
        <v>29887</v>
      </c>
      <c r="O257" s="130" t="s">
        <v>26361</v>
      </c>
      <c r="P257" s="153" t="s">
        <v>26362</v>
      </c>
      <c r="Q257" s="14">
        <v>6875913.0</v>
      </c>
      <c r="R257" s="95"/>
      <c r="S257" s="154" t="s">
        <v>29889</v>
      </c>
      <c r="T257" s="84"/>
      <c r="U257" s="84"/>
      <c r="V257" s="84"/>
      <c r="W257" s="84"/>
      <c r="X257" s="84"/>
      <c r="Y257" s="84"/>
      <c r="Z257" s="84"/>
      <c r="AA257" s="84"/>
      <c r="AB257" s="84"/>
      <c r="AC257" s="84"/>
    </row>
    <row r="258" ht="15.75" customHeight="1">
      <c r="A258" s="14" t="s">
        <v>120</v>
      </c>
      <c r="B258" s="14">
        <v>2014.0</v>
      </c>
      <c r="C258" s="14" t="s">
        <v>26441</v>
      </c>
      <c r="D258" s="14" t="s">
        <v>26442</v>
      </c>
      <c r="E258" s="150" t="s">
        <v>26443</v>
      </c>
      <c r="F258" s="14">
        <v>1793.0</v>
      </c>
      <c r="G258" s="14">
        <v>1802.0</v>
      </c>
      <c r="H258" s="151"/>
      <c r="I258" s="14" t="s">
        <v>17059</v>
      </c>
      <c r="J258" s="14" t="s">
        <v>29890</v>
      </c>
      <c r="K258" s="14" t="s">
        <v>29891</v>
      </c>
      <c r="L258" s="152" t="s">
        <v>880</v>
      </c>
      <c r="M258" s="14" t="s">
        <v>880</v>
      </c>
      <c r="N258" s="14" t="s">
        <v>29891</v>
      </c>
      <c r="O258" s="130" t="s">
        <v>26449</v>
      </c>
      <c r="P258" s="153" t="s">
        <v>26450</v>
      </c>
      <c r="Q258" s="14">
        <v>6875947.0</v>
      </c>
      <c r="R258" s="95"/>
      <c r="S258" s="154" t="s">
        <v>29893</v>
      </c>
      <c r="T258" s="84"/>
      <c r="U258" s="84"/>
      <c r="V258" s="84"/>
      <c r="W258" s="84"/>
      <c r="X258" s="84"/>
      <c r="Y258" s="84"/>
      <c r="Z258" s="84"/>
      <c r="AA258" s="84"/>
      <c r="AB258" s="84"/>
      <c r="AC258" s="84"/>
    </row>
    <row r="259" ht="15.75" customHeight="1">
      <c r="A259" s="14" t="s">
        <v>120</v>
      </c>
      <c r="B259" s="14">
        <v>2014.0</v>
      </c>
      <c r="C259" s="14" t="s">
        <v>26500</v>
      </c>
      <c r="D259" s="14" t="s">
        <v>26501</v>
      </c>
      <c r="E259" s="150" t="s">
        <v>26502</v>
      </c>
      <c r="F259" s="14">
        <v>1903.0</v>
      </c>
      <c r="G259" s="14">
        <v>1912.0</v>
      </c>
      <c r="H259" s="151"/>
      <c r="I259" s="14" t="s">
        <v>17059</v>
      </c>
      <c r="J259" s="14" t="s">
        <v>26505</v>
      </c>
      <c r="K259" s="14" t="s">
        <v>29894</v>
      </c>
      <c r="L259" s="152" t="s">
        <v>29895</v>
      </c>
      <c r="M259" s="14" t="s">
        <v>13886</v>
      </c>
      <c r="N259" s="14" t="s">
        <v>29894</v>
      </c>
      <c r="O259" s="130" t="s">
        <v>26509</v>
      </c>
      <c r="P259" s="153" t="s">
        <v>26510</v>
      </c>
      <c r="Q259" s="14">
        <v>6876028.0</v>
      </c>
      <c r="R259" s="95"/>
      <c r="S259" s="154" t="s">
        <v>29896</v>
      </c>
      <c r="T259" s="84"/>
      <c r="U259" s="84"/>
      <c r="V259" s="84"/>
      <c r="W259" s="84"/>
      <c r="X259" s="84"/>
      <c r="Y259" s="84"/>
      <c r="Z259" s="84"/>
      <c r="AA259" s="84"/>
      <c r="AB259" s="84"/>
      <c r="AC259" s="84"/>
    </row>
    <row r="260" ht="15.75" customHeight="1">
      <c r="A260" s="14" t="s">
        <v>120</v>
      </c>
      <c r="B260" s="14">
        <v>2014.0</v>
      </c>
      <c r="C260" s="14" t="s">
        <v>26752</v>
      </c>
      <c r="D260" s="14" t="s">
        <v>26753</v>
      </c>
      <c r="E260" s="150" t="s">
        <v>26754</v>
      </c>
      <c r="F260" s="14">
        <v>123.0</v>
      </c>
      <c r="G260" s="14">
        <v>132.0</v>
      </c>
      <c r="H260" s="151"/>
      <c r="I260" s="14" t="s">
        <v>28</v>
      </c>
      <c r="J260" s="14" t="s">
        <v>29897</v>
      </c>
      <c r="K260" s="14" t="s">
        <v>29898</v>
      </c>
      <c r="L260" s="152" t="s">
        <v>29899</v>
      </c>
      <c r="M260" s="14" t="s">
        <v>10709</v>
      </c>
      <c r="N260" s="14" t="s">
        <v>29898</v>
      </c>
      <c r="O260" s="130" t="s">
        <v>26759</v>
      </c>
      <c r="P260" s="153" t="s">
        <v>26761</v>
      </c>
      <c r="Q260" s="14">
        <v>7042488.0</v>
      </c>
      <c r="R260" s="95"/>
      <c r="S260" s="154" t="s">
        <v>29900</v>
      </c>
      <c r="T260" s="84"/>
      <c r="U260" s="84"/>
      <c r="V260" s="84"/>
      <c r="W260" s="84"/>
      <c r="X260" s="84"/>
      <c r="Y260" s="84"/>
      <c r="Z260" s="84"/>
      <c r="AA260" s="84"/>
      <c r="AB260" s="84"/>
      <c r="AC260" s="84"/>
    </row>
    <row r="261" ht="15.75" customHeight="1">
      <c r="A261" s="14" t="s">
        <v>120</v>
      </c>
      <c r="B261" s="14">
        <v>2014.0</v>
      </c>
      <c r="C261" s="14" t="s">
        <v>26318</v>
      </c>
      <c r="D261" s="14" t="s">
        <v>26319</v>
      </c>
      <c r="E261" s="150" t="s">
        <v>26320</v>
      </c>
      <c r="F261" s="14">
        <v>1614.0</v>
      </c>
      <c r="G261" s="14">
        <v>1623.0</v>
      </c>
      <c r="H261" s="151"/>
      <c r="I261" s="14" t="s">
        <v>17059</v>
      </c>
      <c r="J261" s="14" t="s">
        <v>26321</v>
      </c>
      <c r="K261" s="14" t="s">
        <v>29901</v>
      </c>
      <c r="L261" s="152" t="s">
        <v>494</v>
      </c>
      <c r="M261" s="14" t="s">
        <v>494</v>
      </c>
      <c r="N261" s="14" t="s">
        <v>29901</v>
      </c>
      <c r="O261" s="130" t="s">
        <v>26324</v>
      </c>
      <c r="P261" s="153" t="s">
        <v>26325</v>
      </c>
      <c r="Q261" s="14">
        <v>6876047.0</v>
      </c>
      <c r="R261" s="95"/>
      <c r="S261" s="154" t="s">
        <v>29902</v>
      </c>
      <c r="T261" s="84"/>
      <c r="U261" s="84"/>
      <c r="V261" s="84"/>
      <c r="W261" s="84"/>
      <c r="X261" s="84"/>
      <c r="Y261" s="84"/>
      <c r="Z261" s="84"/>
      <c r="AA261" s="84"/>
      <c r="AB261" s="84"/>
      <c r="AC261" s="84"/>
    </row>
    <row r="262" ht="15.75" customHeight="1">
      <c r="A262" s="14" t="s">
        <v>120</v>
      </c>
      <c r="B262" s="14">
        <v>2014.0</v>
      </c>
      <c r="C262" s="14" t="s">
        <v>26825</v>
      </c>
      <c r="D262" s="14" t="s">
        <v>26826</v>
      </c>
      <c r="E262" s="150" t="s">
        <v>26827</v>
      </c>
      <c r="F262" s="14">
        <v>193.0</v>
      </c>
      <c r="G262" s="14">
        <v>202.0</v>
      </c>
      <c r="H262" s="151"/>
      <c r="I262" s="14" t="s">
        <v>28</v>
      </c>
      <c r="J262" s="14" t="s">
        <v>26828</v>
      </c>
      <c r="K262" s="14" t="s">
        <v>29903</v>
      </c>
      <c r="L262" s="152" t="s">
        <v>29904</v>
      </c>
      <c r="M262" s="14" t="s">
        <v>1253</v>
      </c>
      <c r="N262" s="14" t="s">
        <v>29905</v>
      </c>
      <c r="O262" s="130" t="s">
        <v>26832</v>
      </c>
      <c r="P262" s="153" t="s">
        <v>26833</v>
      </c>
      <c r="Q262" s="14">
        <v>7042495.0</v>
      </c>
      <c r="R262" s="95"/>
      <c r="S262" s="154" t="s">
        <v>29906</v>
      </c>
      <c r="T262" s="84"/>
      <c r="U262" s="84"/>
      <c r="V262" s="84"/>
      <c r="W262" s="84"/>
      <c r="X262" s="84"/>
      <c r="Y262" s="84"/>
      <c r="Z262" s="84"/>
      <c r="AA262" s="84"/>
      <c r="AB262" s="84"/>
      <c r="AC262" s="84"/>
    </row>
    <row r="263" ht="15.75" customHeight="1">
      <c r="A263" s="14" t="s">
        <v>120</v>
      </c>
      <c r="B263" s="14">
        <v>2014.0</v>
      </c>
      <c r="C263" s="14" t="s">
        <v>26373</v>
      </c>
      <c r="D263" s="14" t="s">
        <v>26374</v>
      </c>
      <c r="E263" s="150" t="s">
        <v>26375</v>
      </c>
      <c r="F263" s="14">
        <v>1673.0</v>
      </c>
      <c r="G263" s="14">
        <v>1682.0</v>
      </c>
      <c r="H263" s="151"/>
      <c r="I263" s="14" t="s">
        <v>17059</v>
      </c>
      <c r="J263" s="14" t="s">
        <v>26376</v>
      </c>
      <c r="K263" s="14" t="s">
        <v>29910</v>
      </c>
      <c r="L263" s="152" t="s">
        <v>29911</v>
      </c>
      <c r="M263" s="14" t="s">
        <v>860</v>
      </c>
      <c r="N263" s="14" t="s">
        <v>29910</v>
      </c>
      <c r="O263" s="130" t="s">
        <v>26379</v>
      </c>
      <c r="P263" s="153" t="s">
        <v>26380</v>
      </c>
      <c r="Q263" s="14">
        <v>6876009.0</v>
      </c>
      <c r="R263" s="95"/>
      <c r="S263" s="154" t="s">
        <v>29912</v>
      </c>
      <c r="T263" s="84"/>
      <c r="U263" s="84"/>
      <c r="V263" s="84"/>
      <c r="W263" s="84"/>
      <c r="X263" s="84"/>
      <c r="Y263" s="84"/>
      <c r="Z263" s="84"/>
      <c r="AA263" s="84"/>
      <c r="AB263" s="84"/>
      <c r="AC263" s="84"/>
    </row>
    <row r="264" ht="15.75" customHeight="1">
      <c r="A264" s="14" t="s">
        <v>120</v>
      </c>
      <c r="B264" s="14">
        <v>2014.0</v>
      </c>
      <c r="C264" s="14" t="s">
        <v>26306</v>
      </c>
      <c r="D264" s="14" t="s">
        <v>26307</v>
      </c>
      <c r="E264" s="150" t="s">
        <v>26308</v>
      </c>
      <c r="F264" s="14">
        <v>1604.0</v>
      </c>
      <c r="G264" s="14">
        <v>1613.0</v>
      </c>
      <c r="H264" s="151"/>
      <c r="I264" s="14" t="s">
        <v>17059</v>
      </c>
      <c r="J264" s="14" t="s">
        <v>26312</v>
      </c>
      <c r="K264" s="14" t="s">
        <v>29915</v>
      </c>
      <c r="L264" s="152" t="s">
        <v>29916</v>
      </c>
      <c r="M264" s="14" t="s">
        <v>860</v>
      </c>
      <c r="N264" s="14" t="s">
        <v>29915</v>
      </c>
      <c r="O264" s="130" t="s">
        <v>26316</v>
      </c>
      <c r="P264" s="153" t="s">
        <v>26317</v>
      </c>
      <c r="Q264" s="14">
        <v>6875967.0</v>
      </c>
      <c r="R264" s="95"/>
      <c r="S264" s="154" t="s">
        <v>29917</v>
      </c>
      <c r="T264" s="84"/>
      <c r="U264" s="84"/>
      <c r="V264" s="84"/>
      <c r="W264" s="84"/>
      <c r="X264" s="84"/>
      <c r="Y264" s="84"/>
      <c r="Z264" s="84"/>
      <c r="AA264" s="84"/>
      <c r="AB264" s="84"/>
      <c r="AC264" s="84"/>
    </row>
    <row r="265" ht="15.75" customHeight="1">
      <c r="A265" s="14" t="s">
        <v>120</v>
      </c>
      <c r="B265" s="14">
        <v>2014.0</v>
      </c>
      <c r="C265" s="14" t="s">
        <v>26564</v>
      </c>
      <c r="D265" s="14" t="s">
        <v>26565</v>
      </c>
      <c r="E265" s="150" t="s">
        <v>26566</v>
      </c>
      <c r="F265" s="14">
        <v>1733.0</v>
      </c>
      <c r="G265" s="14">
        <v>1742.0</v>
      </c>
      <c r="H265" s="151"/>
      <c r="I265" s="14" t="s">
        <v>17059</v>
      </c>
      <c r="J265" s="14" t="s">
        <v>26567</v>
      </c>
      <c r="K265" s="14" t="s">
        <v>26568</v>
      </c>
      <c r="L265" s="152" t="s">
        <v>22137</v>
      </c>
      <c r="M265" s="14" t="s">
        <v>880</v>
      </c>
      <c r="N265" s="14" t="s">
        <v>26568</v>
      </c>
      <c r="O265" s="130" t="s">
        <v>26572</v>
      </c>
      <c r="P265" s="153" t="s">
        <v>26573</v>
      </c>
      <c r="Q265" s="14">
        <v>6876038.0</v>
      </c>
      <c r="R265" s="95"/>
      <c r="S265" s="154" t="s">
        <v>29924</v>
      </c>
      <c r="T265" s="84"/>
      <c r="U265" s="84"/>
      <c r="V265" s="84"/>
      <c r="W265" s="84"/>
      <c r="X265" s="84"/>
      <c r="Y265" s="84"/>
      <c r="Z265" s="84"/>
      <c r="AA265" s="84"/>
      <c r="AB265" s="84"/>
      <c r="AC265" s="84"/>
    </row>
    <row r="266" ht="15.75" customHeight="1">
      <c r="A266" s="14" t="s">
        <v>120</v>
      </c>
      <c r="B266" s="14">
        <v>2014.0</v>
      </c>
      <c r="C266" s="14" t="s">
        <v>26793</v>
      </c>
      <c r="D266" s="14" t="s">
        <v>26794</v>
      </c>
      <c r="E266" s="150" t="s">
        <v>26795</v>
      </c>
      <c r="F266" s="14">
        <v>163.0</v>
      </c>
      <c r="G266" s="14">
        <v>172.0</v>
      </c>
      <c r="H266" s="151"/>
      <c r="I266" s="14" t="s">
        <v>28</v>
      </c>
      <c r="J266" s="14" t="s">
        <v>26799</v>
      </c>
      <c r="K266" s="14" t="s">
        <v>29933</v>
      </c>
      <c r="L266" s="152" t="s">
        <v>5349</v>
      </c>
      <c r="M266" s="14" t="s">
        <v>5349</v>
      </c>
      <c r="N266" s="14" t="s">
        <v>29933</v>
      </c>
      <c r="O266" s="130" t="s">
        <v>26802</v>
      </c>
      <c r="P266" s="153" t="s">
        <v>26803</v>
      </c>
      <c r="Q266" s="14">
        <v>7042492.0</v>
      </c>
      <c r="R266" s="95"/>
      <c r="S266" s="154" t="s">
        <v>29935</v>
      </c>
      <c r="T266" s="84"/>
      <c r="U266" s="84"/>
      <c r="V266" s="84"/>
      <c r="W266" s="84"/>
      <c r="X266" s="84"/>
      <c r="Y266" s="84"/>
      <c r="Z266" s="84"/>
      <c r="AA266" s="84"/>
      <c r="AB266" s="84"/>
      <c r="AC266" s="84"/>
    </row>
    <row r="267" ht="15.75" customHeight="1">
      <c r="A267" s="14" t="s">
        <v>120</v>
      </c>
      <c r="B267" s="14">
        <v>2014.0</v>
      </c>
      <c r="C267" s="14" t="s">
        <v>26363</v>
      </c>
      <c r="D267" s="14" t="s">
        <v>26364</v>
      </c>
      <c r="E267" s="150" t="s">
        <v>26365</v>
      </c>
      <c r="F267" s="14">
        <v>1643.0</v>
      </c>
      <c r="G267" s="14">
        <v>1652.0</v>
      </c>
      <c r="H267" s="151"/>
      <c r="I267" s="14" t="s">
        <v>17059</v>
      </c>
      <c r="J267" s="14" t="s">
        <v>26368</v>
      </c>
      <c r="K267" s="14" t="s">
        <v>29937</v>
      </c>
      <c r="L267" s="152" t="s">
        <v>16655</v>
      </c>
      <c r="M267" s="14" t="s">
        <v>880</v>
      </c>
      <c r="N267" s="14" t="s">
        <v>29937</v>
      </c>
      <c r="O267" s="130" t="s">
        <v>26371</v>
      </c>
      <c r="P267" s="153" t="s">
        <v>26372</v>
      </c>
      <c r="Q267" s="14">
        <v>6875995.0</v>
      </c>
      <c r="R267" s="95"/>
      <c r="S267" s="154" t="s">
        <v>29941</v>
      </c>
      <c r="T267" s="84"/>
      <c r="U267" s="84"/>
      <c r="V267" s="84"/>
      <c r="W267" s="84"/>
      <c r="X267" s="84"/>
      <c r="Y267" s="84"/>
      <c r="Z267" s="84"/>
      <c r="AA267" s="84"/>
      <c r="AB267" s="84"/>
      <c r="AC267" s="84"/>
    </row>
    <row r="268" ht="15.75" customHeight="1">
      <c r="A268" s="14" t="s">
        <v>120</v>
      </c>
      <c r="B268" s="14">
        <v>2014.0</v>
      </c>
      <c r="C268" s="14" t="s">
        <v>26594</v>
      </c>
      <c r="D268" s="14" t="s">
        <v>26595</v>
      </c>
      <c r="E268" s="150" t="s">
        <v>26596</v>
      </c>
      <c r="F268" s="14">
        <v>1763.0</v>
      </c>
      <c r="G268" s="14">
        <v>1772.0</v>
      </c>
      <c r="H268" s="151"/>
      <c r="I268" s="14" t="s">
        <v>17059</v>
      </c>
      <c r="J268" s="14" t="s">
        <v>26599</v>
      </c>
      <c r="K268" s="14" t="s">
        <v>26601</v>
      </c>
      <c r="L268" s="152" t="s">
        <v>29946</v>
      </c>
      <c r="M268" s="14" t="s">
        <v>880</v>
      </c>
      <c r="N268" s="14" t="s">
        <v>26601</v>
      </c>
      <c r="O268" s="130" t="s">
        <v>26603</v>
      </c>
      <c r="P268" s="153" t="s">
        <v>26604</v>
      </c>
      <c r="Q268" s="14">
        <v>6876032.0</v>
      </c>
      <c r="R268" s="95"/>
      <c r="S268" s="154" t="s">
        <v>29947</v>
      </c>
      <c r="T268" s="84"/>
      <c r="U268" s="84"/>
      <c r="V268" s="84"/>
      <c r="W268" s="84"/>
      <c r="X268" s="84"/>
      <c r="Y268" s="84"/>
      <c r="Z268" s="84"/>
      <c r="AA268" s="84"/>
      <c r="AB268" s="84"/>
      <c r="AC268" s="84"/>
    </row>
    <row r="269" ht="15.75" customHeight="1">
      <c r="A269" s="14" t="s">
        <v>120</v>
      </c>
      <c r="B269" s="14">
        <v>2014.0</v>
      </c>
      <c r="C269" s="14" t="s">
        <v>26834</v>
      </c>
      <c r="D269" s="14" t="s">
        <v>26835</v>
      </c>
      <c r="E269" s="150" t="s">
        <v>26836</v>
      </c>
      <c r="F269" s="14">
        <v>203.0</v>
      </c>
      <c r="G269" s="14">
        <v>212.0</v>
      </c>
      <c r="H269" s="151"/>
      <c r="I269" s="14" t="s">
        <v>28</v>
      </c>
      <c r="J269" s="14" t="s">
        <v>26839</v>
      </c>
      <c r="K269" s="14" t="s">
        <v>29956</v>
      </c>
      <c r="L269" s="152" t="s">
        <v>5349</v>
      </c>
      <c r="M269" s="14" t="s">
        <v>5349</v>
      </c>
      <c r="N269" s="14" t="s">
        <v>29956</v>
      </c>
      <c r="O269" s="130" t="s">
        <v>26843</v>
      </c>
      <c r="P269" s="153" t="s">
        <v>26844</v>
      </c>
      <c r="Q269" s="14">
        <v>7042496.0</v>
      </c>
      <c r="R269" s="95"/>
      <c r="S269" s="154" t="s">
        <v>29957</v>
      </c>
      <c r="T269" s="84"/>
      <c r="U269" s="84"/>
      <c r="V269" s="84"/>
      <c r="W269" s="84"/>
      <c r="X269" s="84"/>
      <c r="Y269" s="84"/>
      <c r="Z269" s="84"/>
      <c r="AA269" s="84"/>
      <c r="AB269" s="84"/>
      <c r="AC269" s="84"/>
    </row>
    <row r="270" ht="15.75" customHeight="1">
      <c r="A270" s="14" t="s">
        <v>120</v>
      </c>
      <c r="B270" s="14">
        <v>2014.0</v>
      </c>
      <c r="C270" s="14" t="s">
        <v>26614</v>
      </c>
      <c r="D270" s="14" t="s">
        <v>26615</v>
      </c>
      <c r="E270" s="150" t="s">
        <v>26616</v>
      </c>
      <c r="F270" s="14">
        <v>1863.0</v>
      </c>
      <c r="G270" s="14">
        <v>1872.0</v>
      </c>
      <c r="H270" s="151"/>
      <c r="I270" s="14" t="s">
        <v>17059</v>
      </c>
      <c r="J270" s="14" t="s">
        <v>26618</v>
      </c>
      <c r="K270" s="14" t="s">
        <v>29960</v>
      </c>
      <c r="L270" s="152" t="s">
        <v>12225</v>
      </c>
      <c r="M270" s="14" t="s">
        <v>880</v>
      </c>
      <c r="N270" s="14" t="s">
        <v>29960</v>
      </c>
      <c r="O270" s="130" t="s">
        <v>26621</v>
      </c>
      <c r="P270" s="153" t="s">
        <v>26622</v>
      </c>
      <c r="Q270" s="14">
        <v>6875970.0</v>
      </c>
      <c r="R270" s="95"/>
      <c r="S270" s="154" t="s">
        <v>29965</v>
      </c>
      <c r="T270" s="84"/>
      <c r="U270" s="84"/>
      <c r="V270" s="84"/>
      <c r="W270" s="84"/>
      <c r="X270" s="84"/>
      <c r="Y270" s="84"/>
      <c r="Z270" s="84"/>
      <c r="AA270" s="84"/>
      <c r="AB270" s="84"/>
      <c r="AC270" s="84"/>
    </row>
    <row r="271" ht="15.75" customHeight="1">
      <c r="A271" s="14" t="s">
        <v>120</v>
      </c>
      <c r="B271" s="14">
        <v>2014.0</v>
      </c>
      <c r="C271" s="14" t="s">
        <v>26345</v>
      </c>
      <c r="D271" s="14" t="s">
        <v>26346</v>
      </c>
      <c r="E271" s="150" t="s">
        <v>26347</v>
      </c>
      <c r="F271" s="14">
        <v>1653.0</v>
      </c>
      <c r="G271" s="14">
        <v>1662.0</v>
      </c>
      <c r="H271" s="151"/>
      <c r="I271" s="14" t="s">
        <v>17059</v>
      </c>
      <c r="J271" s="14" t="s">
        <v>26348</v>
      </c>
      <c r="K271" s="14" t="s">
        <v>29970</v>
      </c>
      <c r="L271" s="152" t="s">
        <v>23044</v>
      </c>
      <c r="M271" s="14" t="s">
        <v>494</v>
      </c>
      <c r="N271" s="14" t="s">
        <v>29970</v>
      </c>
      <c r="O271" s="130" t="s">
        <v>26352</v>
      </c>
      <c r="P271" s="153" t="s">
        <v>26353</v>
      </c>
      <c r="Q271" s="14">
        <v>6876049.0</v>
      </c>
      <c r="R271" s="95"/>
      <c r="S271" s="154" t="s">
        <v>29976</v>
      </c>
      <c r="T271" s="84"/>
      <c r="U271" s="84"/>
      <c r="V271" s="84"/>
      <c r="W271" s="84"/>
      <c r="X271" s="84"/>
      <c r="Y271" s="84"/>
      <c r="Z271" s="84"/>
      <c r="AA271" s="84"/>
      <c r="AB271" s="84"/>
      <c r="AC271" s="84"/>
    </row>
    <row r="272" ht="15.75" customHeight="1">
      <c r="A272" s="14" t="s">
        <v>120</v>
      </c>
      <c r="B272" s="14">
        <v>2014.0</v>
      </c>
      <c r="C272" s="14" t="s">
        <v>26623</v>
      </c>
      <c r="D272" s="14" t="s">
        <v>26624</v>
      </c>
      <c r="E272" s="150" t="s">
        <v>26625</v>
      </c>
      <c r="F272" s="14">
        <v>1873.0</v>
      </c>
      <c r="G272" s="14">
        <v>1882.0</v>
      </c>
      <c r="H272" s="151"/>
      <c r="I272" s="14" t="s">
        <v>17059</v>
      </c>
      <c r="J272" s="14" t="s">
        <v>26627</v>
      </c>
      <c r="K272" s="14" t="s">
        <v>29980</v>
      </c>
      <c r="L272" s="152" t="s">
        <v>26249</v>
      </c>
      <c r="M272" s="14" t="s">
        <v>1253</v>
      </c>
      <c r="N272" s="14" t="s">
        <v>29981</v>
      </c>
      <c r="O272" s="130" t="s">
        <v>26631</v>
      </c>
      <c r="P272" s="153" t="s">
        <v>26632</v>
      </c>
      <c r="Q272" s="14">
        <v>6875941.0</v>
      </c>
      <c r="R272" s="95"/>
      <c r="S272" s="154" t="s">
        <v>29982</v>
      </c>
      <c r="T272" s="84"/>
      <c r="U272" s="84"/>
      <c r="V272" s="84"/>
      <c r="W272" s="84"/>
      <c r="X272" s="84"/>
      <c r="Y272" s="84"/>
      <c r="Z272" s="84"/>
      <c r="AA272" s="84"/>
      <c r="AB272" s="84"/>
      <c r="AC272" s="84"/>
    </row>
    <row r="273" ht="15.75" customHeight="1">
      <c r="A273" s="14" t="s">
        <v>120</v>
      </c>
      <c r="B273" s="14">
        <v>2014.0</v>
      </c>
      <c r="C273" s="14" t="s">
        <v>26804</v>
      </c>
      <c r="D273" s="14" t="s">
        <v>26805</v>
      </c>
      <c r="E273" s="150" t="s">
        <v>26806</v>
      </c>
      <c r="F273" s="14">
        <v>173.0</v>
      </c>
      <c r="G273" s="14">
        <v>182.0</v>
      </c>
      <c r="H273" s="151"/>
      <c r="I273" s="14" t="s">
        <v>28</v>
      </c>
      <c r="J273" s="14" t="s">
        <v>26807</v>
      </c>
      <c r="K273" s="14" t="s">
        <v>29983</v>
      </c>
      <c r="L273" s="152" t="s">
        <v>29984</v>
      </c>
      <c r="M273" s="14" t="s">
        <v>880</v>
      </c>
      <c r="N273" s="14" t="s">
        <v>29983</v>
      </c>
      <c r="O273" s="130" t="s">
        <v>26812</v>
      </c>
      <c r="P273" s="153" t="s">
        <v>26813</v>
      </c>
      <c r="Q273" s="14">
        <v>7042493.0</v>
      </c>
      <c r="R273" s="95"/>
      <c r="S273" s="154" t="s">
        <v>29985</v>
      </c>
      <c r="T273" s="84"/>
      <c r="U273" s="84"/>
      <c r="V273" s="84"/>
      <c r="W273" s="84"/>
      <c r="X273" s="84"/>
      <c r="Y273" s="84"/>
      <c r="Z273" s="84"/>
      <c r="AA273" s="84"/>
      <c r="AB273" s="84"/>
      <c r="AC273" s="84"/>
    </row>
    <row r="274" ht="15.75" customHeight="1">
      <c r="A274" s="14" t="s">
        <v>120</v>
      </c>
      <c r="B274" s="14">
        <v>2014.0</v>
      </c>
      <c r="C274" s="14" t="s">
        <v>26336</v>
      </c>
      <c r="D274" s="14" t="s">
        <v>26337</v>
      </c>
      <c r="E274" s="150" t="s">
        <v>26338</v>
      </c>
      <c r="F274" s="14">
        <v>1633.0</v>
      </c>
      <c r="G274" s="14">
        <v>1642.0</v>
      </c>
      <c r="H274" s="151"/>
      <c r="I274" s="14" t="s">
        <v>17059</v>
      </c>
      <c r="J274" s="14" t="s">
        <v>26340</v>
      </c>
      <c r="K274" s="14" t="s">
        <v>29986</v>
      </c>
      <c r="L274" s="152" t="s">
        <v>29987</v>
      </c>
      <c r="M274" s="14" t="s">
        <v>178</v>
      </c>
      <c r="N274" s="14" t="s">
        <v>29986</v>
      </c>
      <c r="O274" s="130" t="s">
        <v>26343</v>
      </c>
      <c r="P274" s="153" t="s">
        <v>26344</v>
      </c>
      <c r="Q274" s="14">
        <v>6875986.0</v>
      </c>
      <c r="R274" s="95"/>
      <c r="S274" s="154" t="s">
        <v>29989</v>
      </c>
      <c r="T274" s="84"/>
      <c r="U274" s="84"/>
      <c r="V274" s="84"/>
      <c r="W274" s="84"/>
      <c r="X274" s="84"/>
      <c r="Y274" s="84"/>
      <c r="Z274" s="84"/>
      <c r="AA274" s="84"/>
      <c r="AB274" s="84"/>
      <c r="AC274" s="84"/>
    </row>
    <row r="275" ht="15.75" customHeight="1">
      <c r="A275" s="14" t="s">
        <v>120</v>
      </c>
      <c r="B275" s="14">
        <v>2014.0</v>
      </c>
      <c r="C275" s="14" t="s">
        <v>26511</v>
      </c>
      <c r="D275" s="14" t="s">
        <v>26512</v>
      </c>
      <c r="E275" s="150" t="s">
        <v>26513</v>
      </c>
      <c r="F275" s="14">
        <v>1913.0</v>
      </c>
      <c r="G275" s="14">
        <v>1922.0</v>
      </c>
      <c r="H275" s="151"/>
      <c r="I275" s="14" t="s">
        <v>17059</v>
      </c>
      <c r="J275" s="14" t="s">
        <v>29990</v>
      </c>
      <c r="K275" s="14" t="s">
        <v>29991</v>
      </c>
      <c r="L275" s="152" t="s">
        <v>29992</v>
      </c>
      <c r="M275" s="14" t="s">
        <v>1253</v>
      </c>
      <c r="N275" s="14" t="s">
        <v>29993</v>
      </c>
      <c r="O275" s="130" t="s">
        <v>26519</v>
      </c>
      <c r="P275" s="153" t="s">
        <v>26520</v>
      </c>
      <c r="Q275" s="14">
        <v>6875977.0</v>
      </c>
      <c r="R275" s="95"/>
      <c r="S275" s="154" t="s">
        <v>29994</v>
      </c>
      <c r="T275" s="84"/>
      <c r="U275" s="84"/>
      <c r="V275" s="84"/>
      <c r="W275" s="84"/>
      <c r="X275" s="84"/>
      <c r="Y275" s="84"/>
      <c r="Z275" s="84"/>
      <c r="AA275" s="84"/>
      <c r="AB275" s="84"/>
      <c r="AC275" s="84"/>
    </row>
    <row r="276" ht="15.75" customHeight="1">
      <c r="A276" s="14" t="s">
        <v>120</v>
      </c>
      <c r="B276" s="14">
        <v>2014.0</v>
      </c>
      <c r="C276" s="14" t="s">
        <v>26814</v>
      </c>
      <c r="D276" s="14" t="s">
        <v>26815</v>
      </c>
      <c r="E276" s="150" t="s">
        <v>26816</v>
      </c>
      <c r="F276" s="14">
        <v>183.0</v>
      </c>
      <c r="G276" s="14">
        <v>192.0</v>
      </c>
      <c r="H276" s="151"/>
      <c r="I276" s="14" t="s">
        <v>28</v>
      </c>
      <c r="J276" s="14" t="s">
        <v>26817</v>
      </c>
      <c r="K276" s="14" t="s">
        <v>29995</v>
      </c>
      <c r="L276" s="152" t="s">
        <v>880</v>
      </c>
      <c r="M276" s="14" t="s">
        <v>880</v>
      </c>
      <c r="N276" s="14" t="s">
        <v>29995</v>
      </c>
      <c r="O276" s="130" t="s">
        <v>26822</v>
      </c>
      <c r="P276" s="153" t="s">
        <v>26823</v>
      </c>
      <c r="Q276" s="14">
        <v>7042494.0</v>
      </c>
      <c r="R276" s="95"/>
      <c r="S276" s="154" t="s">
        <v>29996</v>
      </c>
      <c r="T276" s="84"/>
      <c r="U276" s="84"/>
      <c r="V276" s="84"/>
      <c r="W276" s="84"/>
      <c r="X276" s="84"/>
      <c r="Y276" s="84"/>
      <c r="Z276" s="84"/>
      <c r="AA276" s="84"/>
      <c r="AB276" s="84"/>
      <c r="AC276" s="84"/>
    </row>
    <row r="277" ht="15.75" customHeight="1">
      <c r="A277" s="14" t="s">
        <v>120</v>
      </c>
      <c r="B277" s="14">
        <v>2014.0</v>
      </c>
      <c r="C277" s="14" t="s">
        <v>26633</v>
      </c>
      <c r="D277" s="14" t="s">
        <v>26634</v>
      </c>
      <c r="E277" s="150" t="s">
        <v>26635</v>
      </c>
      <c r="F277" s="14">
        <v>3.0</v>
      </c>
      <c r="G277" s="14">
        <v>12.0</v>
      </c>
      <c r="H277" s="151"/>
      <c r="I277" s="14" t="s">
        <v>28</v>
      </c>
      <c r="J277" s="14" t="s">
        <v>26637</v>
      </c>
      <c r="K277" s="14" t="s">
        <v>29997</v>
      </c>
      <c r="L277" s="152" t="s">
        <v>29998</v>
      </c>
      <c r="M277" s="14" t="s">
        <v>178</v>
      </c>
      <c r="N277" s="14" t="s">
        <v>29997</v>
      </c>
      <c r="O277" s="130" t="s">
        <v>26640</v>
      </c>
      <c r="P277" s="153" t="s">
        <v>26641</v>
      </c>
      <c r="Q277" s="14">
        <v>7042476.0</v>
      </c>
      <c r="R277" s="95"/>
      <c r="S277" s="154" t="s">
        <v>29999</v>
      </c>
      <c r="T277" s="84"/>
      <c r="U277" s="84"/>
      <c r="V277" s="84"/>
      <c r="W277" s="84"/>
      <c r="X277" s="84"/>
      <c r="Y277" s="84"/>
      <c r="Z277" s="84"/>
      <c r="AA277" s="84"/>
      <c r="AB277" s="84"/>
      <c r="AC277" s="84"/>
    </row>
    <row r="278" ht="15.75" customHeight="1">
      <c r="A278" s="14" t="s">
        <v>120</v>
      </c>
      <c r="B278" s="14">
        <v>2014.0</v>
      </c>
      <c r="C278" s="14" t="s">
        <v>26327</v>
      </c>
      <c r="D278" s="14" t="s">
        <v>26328</v>
      </c>
      <c r="E278" s="150" t="s">
        <v>26329</v>
      </c>
      <c r="F278" s="14">
        <v>1624.0</v>
      </c>
      <c r="G278" s="14">
        <v>1632.0</v>
      </c>
      <c r="H278" s="151"/>
      <c r="I278" s="14" t="s">
        <v>17059</v>
      </c>
      <c r="J278" s="14" t="s">
        <v>26330</v>
      </c>
      <c r="K278" s="14" t="s">
        <v>30000</v>
      </c>
      <c r="L278" s="152" t="s">
        <v>30001</v>
      </c>
      <c r="M278" s="14" t="s">
        <v>178</v>
      </c>
      <c r="N278" s="14" t="s">
        <v>30000</v>
      </c>
      <c r="O278" s="130" t="s">
        <v>26334</v>
      </c>
      <c r="P278" s="153" t="s">
        <v>26335</v>
      </c>
      <c r="Q278" s="14">
        <v>6875999.0</v>
      </c>
      <c r="R278" s="95"/>
      <c r="S278" s="154" t="s">
        <v>30002</v>
      </c>
      <c r="T278" s="84"/>
      <c r="U278" s="84"/>
      <c r="V278" s="84"/>
      <c r="W278" s="84"/>
      <c r="X278" s="84"/>
      <c r="Y278" s="84"/>
      <c r="Z278" s="84"/>
      <c r="AA278" s="84"/>
      <c r="AB278" s="84"/>
      <c r="AC278" s="84"/>
    </row>
    <row r="279" ht="15.75" customHeight="1">
      <c r="A279" s="14" t="s">
        <v>120</v>
      </c>
      <c r="B279" s="14">
        <v>2014.0</v>
      </c>
      <c r="C279" s="14" t="s">
        <v>26743</v>
      </c>
      <c r="D279" s="14" t="s">
        <v>26744</v>
      </c>
      <c r="E279" s="150" t="s">
        <v>26745</v>
      </c>
      <c r="F279" s="14">
        <v>113.0</v>
      </c>
      <c r="G279" s="14">
        <v>122.0</v>
      </c>
      <c r="H279" s="151"/>
      <c r="I279" s="14" t="s">
        <v>28</v>
      </c>
      <c r="J279" s="14" t="s">
        <v>26746</v>
      </c>
      <c r="K279" s="14" t="s">
        <v>30003</v>
      </c>
      <c r="L279" s="152" t="s">
        <v>30004</v>
      </c>
      <c r="M279" s="14" t="s">
        <v>178</v>
      </c>
      <c r="N279" s="14" t="s">
        <v>30003</v>
      </c>
      <c r="O279" s="130" t="s">
        <v>26749</v>
      </c>
      <c r="P279" s="153" t="s">
        <v>26750</v>
      </c>
      <c r="Q279" s="14">
        <v>7042487.0</v>
      </c>
      <c r="R279" s="95"/>
      <c r="S279" s="154" t="s">
        <v>30005</v>
      </c>
      <c r="T279" s="84"/>
      <c r="U279" s="84"/>
      <c r="V279" s="84"/>
      <c r="W279" s="84"/>
      <c r="X279" s="84"/>
      <c r="Y279" s="84"/>
      <c r="Z279" s="84"/>
      <c r="AA279" s="84"/>
      <c r="AB279" s="84"/>
      <c r="AC279" s="84"/>
    </row>
    <row r="280" ht="15.75" customHeight="1">
      <c r="A280" s="14" t="s">
        <v>120</v>
      </c>
      <c r="B280" s="14">
        <v>2014.0</v>
      </c>
      <c r="C280" s="14" t="s">
        <v>26574</v>
      </c>
      <c r="D280" s="14" t="s">
        <v>26575</v>
      </c>
      <c r="E280" s="150" t="s">
        <v>26577</v>
      </c>
      <c r="F280" s="14">
        <v>1743.0</v>
      </c>
      <c r="G280" s="14">
        <v>1752.0</v>
      </c>
      <c r="H280" s="151"/>
      <c r="I280" s="14" t="s">
        <v>17059</v>
      </c>
      <c r="J280" s="14" t="s">
        <v>26578</v>
      </c>
      <c r="K280" s="14" t="s">
        <v>30006</v>
      </c>
      <c r="L280" s="152" t="s">
        <v>30007</v>
      </c>
      <c r="M280" s="14" t="s">
        <v>860</v>
      </c>
      <c r="N280" s="14" t="s">
        <v>30006</v>
      </c>
      <c r="O280" s="130" t="s">
        <v>26582</v>
      </c>
      <c r="P280" s="153" t="s">
        <v>26583</v>
      </c>
      <c r="Q280" s="14">
        <v>6876015.0</v>
      </c>
      <c r="R280" s="95"/>
      <c r="S280" s="154" t="s">
        <v>30008</v>
      </c>
      <c r="T280" s="84"/>
      <c r="U280" s="84"/>
      <c r="V280" s="84"/>
      <c r="W280" s="84"/>
      <c r="X280" s="84"/>
      <c r="Y280" s="84"/>
      <c r="Z280" s="84"/>
      <c r="AA280" s="84"/>
      <c r="AB280" s="84"/>
      <c r="AC280" s="84"/>
    </row>
    <row r="281" ht="15.75" customHeight="1">
      <c r="A281" s="14" t="s">
        <v>120</v>
      </c>
      <c r="B281" s="14">
        <v>2014.0</v>
      </c>
      <c r="C281" s="14" t="s">
        <v>26419</v>
      </c>
      <c r="D281" s="14" t="s">
        <v>26420</v>
      </c>
      <c r="E281" s="150" t="s">
        <v>26422</v>
      </c>
      <c r="F281" s="14">
        <v>1723.0</v>
      </c>
      <c r="G281" s="14">
        <v>1732.0</v>
      </c>
      <c r="H281" s="151"/>
      <c r="I281" s="14" t="s">
        <v>17059</v>
      </c>
      <c r="J281" s="14" t="s">
        <v>26424</v>
      </c>
      <c r="K281" s="14" t="s">
        <v>30009</v>
      </c>
      <c r="L281" s="152" t="s">
        <v>30010</v>
      </c>
      <c r="M281" s="14" t="s">
        <v>880</v>
      </c>
      <c r="N281" s="14" t="s">
        <v>30009</v>
      </c>
      <c r="O281" s="130" t="s">
        <v>26428</v>
      </c>
      <c r="P281" s="153" t="s">
        <v>26429</v>
      </c>
      <c r="Q281" s="14">
        <v>6875959.0</v>
      </c>
      <c r="R281" s="95"/>
      <c r="S281" s="154" t="s">
        <v>30011</v>
      </c>
      <c r="T281" s="84"/>
      <c r="U281" s="84"/>
      <c r="V281" s="84"/>
      <c r="W281" s="84"/>
      <c r="X281" s="84"/>
      <c r="Y281" s="84"/>
      <c r="Z281" s="84"/>
      <c r="AA281" s="84"/>
      <c r="AB281" s="84"/>
      <c r="AC281" s="84"/>
    </row>
    <row r="282" ht="15.75" customHeight="1">
      <c r="A282" s="14" t="s">
        <v>120</v>
      </c>
      <c r="B282" s="14">
        <v>2014.0</v>
      </c>
      <c r="C282" s="14" t="s">
        <v>26553</v>
      </c>
      <c r="D282" s="14" t="s">
        <v>26554</v>
      </c>
      <c r="E282" s="150" t="s">
        <v>26555</v>
      </c>
      <c r="F282" s="14">
        <v>1853.0</v>
      </c>
      <c r="G282" s="14">
        <v>1862.0</v>
      </c>
      <c r="H282" s="151"/>
      <c r="I282" s="14" t="s">
        <v>17059</v>
      </c>
      <c r="J282" s="14" t="s">
        <v>26557</v>
      </c>
      <c r="K282" s="14" t="s">
        <v>30013</v>
      </c>
      <c r="L282" s="152" t="s">
        <v>30014</v>
      </c>
      <c r="M282" s="14" t="s">
        <v>30015</v>
      </c>
      <c r="N282" s="14" t="s">
        <v>30013</v>
      </c>
      <c r="O282" s="130" t="s">
        <v>26562</v>
      </c>
      <c r="P282" s="153" t="s">
        <v>26563</v>
      </c>
      <c r="Q282" s="14">
        <v>6875926.0</v>
      </c>
      <c r="R282" s="95"/>
      <c r="S282" s="154" t="s">
        <v>30017</v>
      </c>
      <c r="T282" s="84"/>
      <c r="U282" s="84"/>
      <c r="V282" s="84"/>
      <c r="W282" s="84"/>
      <c r="X282" s="84"/>
      <c r="Y282" s="84"/>
      <c r="Z282" s="84"/>
      <c r="AA282" s="84"/>
      <c r="AB282" s="84"/>
      <c r="AC282" s="84"/>
    </row>
    <row r="283" ht="15.75" customHeight="1">
      <c r="A283" s="14" t="s">
        <v>120</v>
      </c>
      <c r="B283" s="14">
        <v>2014.0</v>
      </c>
      <c r="C283" s="14" t="s">
        <v>26762</v>
      </c>
      <c r="D283" s="14" t="s">
        <v>26763</v>
      </c>
      <c r="E283" s="150" t="s">
        <v>26765</v>
      </c>
      <c r="F283" s="14">
        <v>133.0</v>
      </c>
      <c r="G283" s="14">
        <v>142.0</v>
      </c>
      <c r="H283" s="151"/>
      <c r="I283" s="14" t="s">
        <v>28</v>
      </c>
      <c r="J283" s="14" t="s">
        <v>26766</v>
      </c>
      <c r="K283" s="14" t="s">
        <v>26767</v>
      </c>
      <c r="L283" s="152" t="s">
        <v>30024</v>
      </c>
      <c r="M283" s="14" t="s">
        <v>494</v>
      </c>
      <c r="N283" s="14" t="s">
        <v>26767</v>
      </c>
      <c r="O283" s="130" t="s">
        <v>26769</v>
      </c>
      <c r="P283" s="153" t="s">
        <v>26770</v>
      </c>
      <c r="Q283" s="14">
        <v>7042489.0</v>
      </c>
      <c r="R283" s="95"/>
      <c r="S283" s="154" t="s">
        <v>30025</v>
      </c>
      <c r="T283" s="84"/>
      <c r="U283" s="84"/>
      <c r="V283" s="84"/>
      <c r="W283" s="84"/>
      <c r="X283" s="84"/>
      <c r="Y283" s="84"/>
      <c r="Z283" s="84"/>
      <c r="AA283" s="84"/>
      <c r="AB283" s="84"/>
      <c r="AC283" s="84"/>
    </row>
    <row r="284" ht="15.75" customHeight="1">
      <c r="A284" s="14" t="s">
        <v>120</v>
      </c>
      <c r="B284" s="14">
        <v>2014.0</v>
      </c>
      <c r="C284" s="14" t="s">
        <v>26381</v>
      </c>
      <c r="D284" s="14" t="s">
        <v>26383</v>
      </c>
      <c r="E284" s="150" t="s">
        <v>26384</v>
      </c>
      <c r="F284" s="14">
        <v>1683.0</v>
      </c>
      <c r="G284" s="14">
        <v>1692.0</v>
      </c>
      <c r="H284" s="151"/>
      <c r="I284" s="14" t="s">
        <v>17059</v>
      </c>
      <c r="J284" s="14" t="s">
        <v>26385</v>
      </c>
      <c r="K284" s="14" t="s">
        <v>26387</v>
      </c>
      <c r="L284" s="152" t="s">
        <v>30026</v>
      </c>
      <c r="M284" s="14" t="s">
        <v>23953</v>
      </c>
      <c r="N284" s="14" t="s">
        <v>26387</v>
      </c>
      <c r="O284" s="130" t="s">
        <v>26389</v>
      </c>
      <c r="P284" s="153" t="s">
        <v>26390</v>
      </c>
      <c r="Q284" s="14">
        <v>6875982.0</v>
      </c>
      <c r="R284" s="95"/>
      <c r="S284" s="154" t="s">
        <v>30029</v>
      </c>
      <c r="T284" s="84"/>
      <c r="U284" s="84"/>
      <c r="V284" s="84"/>
      <c r="W284" s="84"/>
      <c r="X284" s="84"/>
      <c r="Y284" s="84"/>
      <c r="Z284" s="84"/>
      <c r="AA284" s="84"/>
      <c r="AB284" s="84"/>
      <c r="AC284" s="84"/>
    </row>
    <row r="285" ht="15.75" customHeight="1">
      <c r="A285" s="14" t="s">
        <v>120</v>
      </c>
      <c r="B285" s="14">
        <v>2014.0</v>
      </c>
      <c r="C285" s="14" t="s">
        <v>26722</v>
      </c>
      <c r="D285" s="14" t="s">
        <v>26723</v>
      </c>
      <c r="E285" s="150" t="s">
        <v>26724</v>
      </c>
      <c r="F285" s="14">
        <v>93.0</v>
      </c>
      <c r="G285" s="14">
        <v>102.0</v>
      </c>
      <c r="H285" s="151"/>
      <c r="I285" s="14" t="s">
        <v>28</v>
      </c>
      <c r="J285" s="14" t="s">
        <v>26726</v>
      </c>
      <c r="K285" s="14" t="s">
        <v>30036</v>
      </c>
      <c r="L285" s="152" t="s">
        <v>30037</v>
      </c>
      <c r="M285" s="14" t="s">
        <v>880</v>
      </c>
      <c r="N285" s="14" t="s">
        <v>30036</v>
      </c>
      <c r="O285" s="130" t="s">
        <v>26730</v>
      </c>
      <c r="P285" s="153" t="s">
        <v>26731</v>
      </c>
      <c r="Q285" s="14">
        <v>7042485.0</v>
      </c>
      <c r="R285" s="95"/>
      <c r="S285" s="154" t="s">
        <v>30038</v>
      </c>
      <c r="T285" s="84"/>
      <c r="U285" s="84"/>
      <c r="V285" s="84"/>
      <c r="W285" s="84"/>
      <c r="X285" s="84"/>
      <c r="Y285" s="84"/>
      <c r="Z285" s="84"/>
      <c r="AA285" s="84"/>
      <c r="AB285" s="84"/>
      <c r="AC285" s="84"/>
    </row>
    <row r="286" ht="15.75" customHeight="1">
      <c r="A286" s="14" t="s">
        <v>120</v>
      </c>
      <c r="B286" s="14">
        <v>2014.0</v>
      </c>
      <c r="C286" s="14" t="s">
        <v>26541</v>
      </c>
      <c r="D286" s="14" t="s">
        <v>26542</v>
      </c>
      <c r="E286" s="150" t="s">
        <v>26543</v>
      </c>
      <c r="F286" s="14">
        <v>1843.0</v>
      </c>
      <c r="G286" s="14">
        <v>1852.0</v>
      </c>
      <c r="H286" s="151"/>
      <c r="I286" s="14" t="s">
        <v>17059</v>
      </c>
      <c r="J286" s="14" t="s">
        <v>26547</v>
      </c>
      <c r="K286" s="14" t="s">
        <v>30047</v>
      </c>
      <c r="L286" s="152" t="s">
        <v>30048</v>
      </c>
      <c r="M286" s="14" t="s">
        <v>23953</v>
      </c>
      <c r="N286" s="14" t="s">
        <v>30047</v>
      </c>
      <c r="O286" s="130" t="s">
        <v>26551</v>
      </c>
      <c r="P286" s="153" t="s">
        <v>26552</v>
      </c>
      <c r="Q286" s="14">
        <v>6876008.0</v>
      </c>
      <c r="R286" s="95"/>
      <c r="S286" s="154" t="s">
        <v>30050</v>
      </c>
      <c r="T286" s="84"/>
      <c r="U286" s="84"/>
      <c r="V286" s="84"/>
      <c r="W286" s="84"/>
      <c r="X286" s="84"/>
      <c r="Y286" s="84"/>
      <c r="Z286" s="84"/>
      <c r="AA286" s="84"/>
      <c r="AB286" s="84"/>
      <c r="AC286" s="84"/>
    </row>
    <row r="287" ht="15.75" customHeight="1">
      <c r="A287" s="14" t="s">
        <v>120</v>
      </c>
      <c r="B287" s="14">
        <v>2014.0</v>
      </c>
      <c r="C287" s="14" t="s">
        <v>26481</v>
      </c>
      <c r="D287" s="14" t="s">
        <v>26482</v>
      </c>
      <c r="E287" s="150" t="s">
        <v>26483</v>
      </c>
      <c r="F287" s="14">
        <v>1893.0</v>
      </c>
      <c r="G287" s="14">
        <v>1902.0</v>
      </c>
      <c r="H287" s="151"/>
      <c r="I287" s="14" t="s">
        <v>17059</v>
      </c>
      <c r="J287" s="14" t="s">
        <v>26484</v>
      </c>
      <c r="K287" s="14" t="s">
        <v>30051</v>
      </c>
      <c r="L287" s="152" t="s">
        <v>30052</v>
      </c>
      <c r="M287" s="14" t="s">
        <v>5349</v>
      </c>
      <c r="N287" s="14" t="s">
        <v>30051</v>
      </c>
      <c r="O287" s="130" t="s">
        <v>26488</v>
      </c>
      <c r="P287" s="153" t="s">
        <v>26489</v>
      </c>
      <c r="Q287" s="14">
        <v>6876007.0</v>
      </c>
      <c r="R287" s="95"/>
      <c r="S287" s="154" t="s">
        <v>30056</v>
      </c>
      <c r="T287" s="84"/>
      <c r="U287" s="84"/>
      <c r="V287" s="84"/>
      <c r="W287" s="84"/>
      <c r="X287" s="84"/>
      <c r="Y287" s="84"/>
      <c r="Z287" s="84"/>
      <c r="AA287" s="84"/>
      <c r="AB287" s="84"/>
      <c r="AC287" s="84"/>
    </row>
    <row r="288" ht="15.75" customHeight="1">
      <c r="A288" s="14" t="s">
        <v>120</v>
      </c>
      <c r="B288" s="14">
        <v>2014.0</v>
      </c>
      <c r="C288" s="14" t="s">
        <v>26451</v>
      </c>
      <c r="D288" s="14" t="s">
        <v>26452</v>
      </c>
      <c r="E288" s="150" t="s">
        <v>26453</v>
      </c>
      <c r="F288" s="14">
        <v>1803.0</v>
      </c>
      <c r="G288" s="14">
        <v>1812.0</v>
      </c>
      <c r="H288" s="151"/>
      <c r="I288" s="14" t="s">
        <v>17059</v>
      </c>
      <c r="J288" s="14" t="s">
        <v>30062</v>
      </c>
      <c r="K288" s="14" t="s">
        <v>30063</v>
      </c>
      <c r="L288" s="152" t="s">
        <v>30064</v>
      </c>
      <c r="M288" s="14" t="s">
        <v>1253</v>
      </c>
      <c r="N288" s="14" t="s">
        <v>30063</v>
      </c>
      <c r="O288" s="130" t="s">
        <v>26459</v>
      </c>
      <c r="P288" s="153" t="s">
        <v>26460</v>
      </c>
      <c r="Q288" s="14">
        <v>6876045.0</v>
      </c>
      <c r="R288" s="95"/>
      <c r="S288" s="154" t="s">
        <v>30065</v>
      </c>
      <c r="T288" s="84"/>
      <c r="U288" s="84"/>
      <c r="V288" s="84"/>
      <c r="W288" s="84"/>
      <c r="X288" s="84"/>
      <c r="Y288" s="84"/>
      <c r="Z288" s="84"/>
      <c r="AA288" s="84"/>
      <c r="AB288" s="84"/>
      <c r="AC288" s="84"/>
    </row>
    <row r="289" ht="15.75" customHeight="1">
      <c r="A289" s="14" t="s">
        <v>120</v>
      </c>
      <c r="B289" s="14">
        <v>2014.0</v>
      </c>
      <c r="C289" s="14" t="s">
        <v>26461</v>
      </c>
      <c r="D289" s="14" t="s">
        <v>26462</v>
      </c>
      <c r="E289" s="150" t="s">
        <v>26463</v>
      </c>
      <c r="F289" s="14">
        <v>1813.0</v>
      </c>
      <c r="G289" s="14">
        <v>1822.0</v>
      </c>
      <c r="H289" s="151"/>
      <c r="I289" s="14" t="s">
        <v>17059</v>
      </c>
      <c r="J289" s="14" t="s">
        <v>26465</v>
      </c>
      <c r="K289" s="14" t="s">
        <v>30072</v>
      </c>
      <c r="L289" s="152" t="s">
        <v>30073</v>
      </c>
      <c r="M289" s="14" t="s">
        <v>1253</v>
      </c>
      <c r="N289" s="14" t="s">
        <v>30072</v>
      </c>
      <c r="O289" s="130" t="s">
        <v>26468</v>
      </c>
      <c r="P289" s="153" t="s">
        <v>26469</v>
      </c>
      <c r="Q289" s="14">
        <v>6876014.0</v>
      </c>
      <c r="R289" s="95"/>
      <c r="S289" s="154" t="s">
        <v>30074</v>
      </c>
      <c r="T289" s="84"/>
      <c r="U289" s="84"/>
      <c r="V289" s="84"/>
      <c r="W289" s="84"/>
      <c r="X289" s="84"/>
      <c r="Y289" s="84"/>
      <c r="Z289" s="84"/>
      <c r="AA289" s="84"/>
      <c r="AB289" s="84"/>
      <c r="AC289" s="84"/>
    </row>
    <row r="290" ht="15.75" customHeight="1">
      <c r="A290" s="14" t="s">
        <v>120</v>
      </c>
      <c r="B290" s="14">
        <v>2014.0</v>
      </c>
      <c r="C290" s="14" t="s">
        <v>26402</v>
      </c>
      <c r="D290" s="14" t="s">
        <v>26403</v>
      </c>
      <c r="E290" s="150" t="s">
        <v>26404</v>
      </c>
      <c r="F290" s="14">
        <v>1703.0</v>
      </c>
      <c r="G290" s="14">
        <v>1712.0</v>
      </c>
      <c r="H290" s="151"/>
      <c r="I290" s="14" t="s">
        <v>17059</v>
      </c>
      <c r="J290" s="14" t="s">
        <v>26405</v>
      </c>
      <c r="K290" s="14" t="s">
        <v>30078</v>
      </c>
      <c r="L290" s="152" t="s">
        <v>29513</v>
      </c>
      <c r="M290" s="14" t="s">
        <v>880</v>
      </c>
      <c r="N290" s="14" t="s">
        <v>30078</v>
      </c>
      <c r="O290" s="130" t="s">
        <v>26408</v>
      </c>
      <c r="P290" s="153" t="s">
        <v>26409</v>
      </c>
      <c r="Q290" s="14">
        <v>6875957.0</v>
      </c>
      <c r="R290" s="95"/>
      <c r="S290" s="154" t="s">
        <v>30079</v>
      </c>
      <c r="T290" s="84"/>
      <c r="U290" s="84"/>
      <c r="V290" s="84"/>
      <c r="W290" s="84"/>
      <c r="X290" s="84"/>
      <c r="Y290" s="84"/>
      <c r="Z290" s="84"/>
      <c r="AA290" s="84"/>
      <c r="AB290" s="84"/>
      <c r="AC290" s="84"/>
    </row>
    <row r="291" ht="15.75" customHeight="1">
      <c r="A291" s="14" t="s">
        <v>120</v>
      </c>
      <c r="B291" s="14">
        <v>2014.0</v>
      </c>
      <c r="C291" s="14" t="s">
        <v>26521</v>
      </c>
      <c r="D291" s="14" t="s">
        <v>26523</v>
      </c>
      <c r="E291" s="150" t="s">
        <v>26524</v>
      </c>
      <c r="F291" s="14">
        <v>1923.0</v>
      </c>
      <c r="G291" s="14">
        <v>1932.0</v>
      </c>
      <c r="H291" s="151"/>
      <c r="I291" s="14" t="s">
        <v>17059</v>
      </c>
      <c r="J291" s="14" t="s">
        <v>26525</v>
      </c>
      <c r="K291" s="14" t="s">
        <v>30088</v>
      </c>
      <c r="L291" s="152" t="s">
        <v>30089</v>
      </c>
      <c r="M291" s="14" t="s">
        <v>13886</v>
      </c>
      <c r="N291" s="14" t="s">
        <v>30088</v>
      </c>
      <c r="O291" s="130" t="s">
        <v>26529</v>
      </c>
      <c r="P291" s="153" t="s">
        <v>26530</v>
      </c>
      <c r="Q291" s="14">
        <v>6876041.0</v>
      </c>
      <c r="R291" s="95"/>
      <c r="S291" s="154" t="s">
        <v>30090</v>
      </c>
      <c r="T291" s="84"/>
      <c r="U291" s="84"/>
      <c r="V291" s="84"/>
      <c r="W291" s="84"/>
      <c r="X291" s="84"/>
      <c r="Y291" s="84"/>
      <c r="Z291" s="84"/>
      <c r="AA291" s="84"/>
      <c r="AB291" s="84"/>
      <c r="AC291" s="84"/>
    </row>
    <row r="292" ht="15.75" customHeight="1">
      <c r="A292" s="14" t="s">
        <v>120</v>
      </c>
      <c r="B292" s="14">
        <v>2014.0</v>
      </c>
      <c r="C292" s="14" t="s">
        <v>26531</v>
      </c>
      <c r="D292" s="14" t="s">
        <v>26532</v>
      </c>
      <c r="E292" s="150" t="s">
        <v>26534</v>
      </c>
      <c r="F292" s="14">
        <v>1833.0</v>
      </c>
      <c r="G292" s="14">
        <v>1842.0</v>
      </c>
      <c r="H292" s="151"/>
      <c r="I292" s="14" t="s">
        <v>17059</v>
      </c>
      <c r="J292" s="14" t="s">
        <v>26536</v>
      </c>
      <c r="K292" s="14" t="s">
        <v>30096</v>
      </c>
      <c r="L292" s="152" t="s">
        <v>30098</v>
      </c>
      <c r="M292" s="14" t="s">
        <v>880</v>
      </c>
      <c r="N292" s="14" t="s">
        <v>30096</v>
      </c>
      <c r="O292" s="130" t="s">
        <v>26539</v>
      </c>
      <c r="P292" s="153" t="s">
        <v>26540</v>
      </c>
      <c r="Q292" s="14">
        <v>6876029.0</v>
      </c>
      <c r="R292" s="95"/>
      <c r="S292" s="154" t="s">
        <v>30099</v>
      </c>
      <c r="T292" s="84"/>
      <c r="U292" s="84"/>
      <c r="V292" s="84"/>
      <c r="W292" s="84"/>
      <c r="X292" s="84"/>
      <c r="Y292" s="84"/>
      <c r="Z292" s="84"/>
      <c r="AA292" s="84"/>
      <c r="AB292" s="84"/>
      <c r="AC292" s="84"/>
    </row>
    <row r="293" ht="15.75" customHeight="1">
      <c r="A293" s="14" t="s">
        <v>120</v>
      </c>
      <c r="B293" s="14">
        <v>2014.0</v>
      </c>
      <c r="C293" s="14" t="s">
        <v>26702</v>
      </c>
      <c r="D293" s="14" t="s">
        <v>26704</v>
      </c>
      <c r="E293" s="150" t="s">
        <v>26705</v>
      </c>
      <c r="F293" s="14">
        <v>73.0</v>
      </c>
      <c r="G293" s="14">
        <v>82.0</v>
      </c>
      <c r="H293" s="151"/>
      <c r="I293" s="14" t="s">
        <v>28</v>
      </c>
      <c r="J293" s="14" t="s">
        <v>30103</v>
      </c>
      <c r="K293" s="14" t="s">
        <v>30104</v>
      </c>
      <c r="L293" s="152" t="s">
        <v>30105</v>
      </c>
      <c r="M293" s="14" t="s">
        <v>880</v>
      </c>
      <c r="N293" s="14" t="s">
        <v>30104</v>
      </c>
      <c r="O293" s="130" t="s">
        <v>26711</v>
      </c>
      <c r="P293" s="153" t="s">
        <v>26712</v>
      </c>
      <c r="Q293" s="14">
        <v>7042483.0</v>
      </c>
      <c r="R293" s="95"/>
      <c r="S293" s="154" t="s">
        <v>30106</v>
      </c>
      <c r="T293" s="84"/>
      <c r="U293" s="84"/>
      <c r="V293" s="84"/>
      <c r="W293" s="84"/>
      <c r="X293" s="84"/>
      <c r="Y293" s="84"/>
      <c r="Z293" s="84"/>
      <c r="AA293" s="84"/>
      <c r="AB293" s="84"/>
      <c r="AC293" s="84"/>
    </row>
    <row r="294" ht="15.75" customHeight="1">
      <c r="A294" s="14" t="s">
        <v>120</v>
      </c>
      <c r="B294" s="14">
        <v>2014.0</v>
      </c>
      <c r="C294" s="14" t="s">
        <v>26782</v>
      </c>
      <c r="D294" s="14" t="s">
        <v>26783</v>
      </c>
      <c r="E294" s="150" t="s">
        <v>26784</v>
      </c>
      <c r="F294" s="14">
        <v>153.0</v>
      </c>
      <c r="G294" s="14">
        <v>162.0</v>
      </c>
      <c r="H294" s="151"/>
      <c r="I294" s="14" t="s">
        <v>28</v>
      </c>
      <c r="J294" s="14" t="s">
        <v>26788</v>
      </c>
      <c r="K294" s="14" t="s">
        <v>30116</v>
      </c>
      <c r="L294" s="152" t="s">
        <v>28547</v>
      </c>
      <c r="M294" s="14" t="s">
        <v>860</v>
      </c>
      <c r="N294" s="14" t="s">
        <v>30117</v>
      </c>
      <c r="O294" s="130" t="s">
        <v>26791</v>
      </c>
      <c r="P294" s="153" t="s">
        <v>26792</v>
      </c>
      <c r="Q294" s="14">
        <v>7042491.0</v>
      </c>
      <c r="R294" s="95"/>
      <c r="S294" s="154" t="s">
        <v>30118</v>
      </c>
      <c r="T294" s="84"/>
      <c r="U294" s="84"/>
      <c r="V294" s="84"/>
      <c r="W294" s="84"/>
      <c r="X294" s="84"/>
      <c r="Y294" s="84"/>
      <c r="Z294" s="84"/>
      <c r="AA294" s="84"/>
      <c r="AB294" s="84"/>
      <c r="AC294" s="84"/>
    </row>
    <row r="295" ht="15.75" customHeight="1">
      <c r="A295" s="14" t="s">
        <v>2137</v>
      </c>
      <c r="B295" s="14">
        <v>2013.0</v>
      </c>
      <c r="C295" s="14" t="s">
        <v>24648</v>
      </c>
      <c r="D295" s="14" t="s">
        <v>24649</v>
      </c>
      <c r="E295" s="150" t="str">
        <f t="shared" ref="E295:E339" si="1">"http://dx.doi.org/" &amp; D295</f>
        <v>http://dx.doi.org/10.1109/TVCG.2013.119</v>
      </c>
      <c r="F295" s="14">
        <v>2406.0</v>
      </c>
      <c r="G295" s="14">
        <v>2415.0</v>
      </c>
      <c r="H295" s="151"/>
      <c r="I295" s="14" t="s">
        <v>17059</v>
      </c>
      <c r="J295" s="14" t="s">
        <v>24650</v>
      </c>
      <c r="K295" s="14" t="s">
        <v>30123</v>
      </c>
      <c r="L295" s="152" t="s">
        <v>860</v>
      </c>
      <c r="M295" s="14" t="s">
        <v>860</v>
      </c>
      <c r="N295" s="54" t="s">
        <v>30123</v>
      </c>
      <c r="O295" s="130" t="s">
        <v>24654</v>
      </c>
      <c r="P295" s="153" t="s">
        <v>24655</v>
      </c>
      <c r="Q295" s="14">
        <v>6634182.0</v>
      </c>
      <c r="R295" s="95"/>
      <c r="S295" s="154" t="s">
        <v>30127</v>
      </c>
      <c r="T295" s="84"/>
      <c r="U295" s="84"/>
      <c r="V295" s="84"/>
      <c r="W295" s="84"/>
      <c r="X295" s="84"/>
      <c r="Y295" s="84"/>
      <c r="Z295" s="84"/>
      <c r="AA295" s="84"/>
      <c r="AB295" s="84"/>
      <c r="AC295" s="84"/>
    </row>
    <row r="296" ht="15.75" customHeight="1">
      <c r="A296" s="14" t="s">
        <v>2137</v>
      </c>
      <c r="B296" s="14">
        <v>2013.0</v>
      </c>
      <c r="C296" s="14" t="s">
        <v>24656</v>
      </c>
      <c r="D296" s="14" t="s">
        <v>24657</v>
      </c>
      <c r="E296" s="150" t="str">
        <f t="shared" si="1"/>
        <v>http://dx.doi.org/10.1109/TVCG.2013.120</v>
      </c>
      <c r="F296" s="14">
        <v>2366.0</v>
      </c>
      <c r="G296" s="14">
        <v>2375.0</v>
      </c>
      <c r="H296" s="151"/>
      <c r="I296" s="14" t="s">
        <v>17059</v>
      </c>
      <c r="J296" s="14" t="s">
        <v>24658</v>
      </c>
      <c r="K296" s="14" t="s">
        <v>30128</v>
      </c>
      <c r="L296" s="152" t="s">
        <v>27982</v>
      </c>
      <c r="M296" s="14" t="s">
        <v>5349</v>
      </c>
      <c r="N296" s="54" t="s">
        <v>30129</v>
      </c>
      <c r="O296" s="130" t="s">
        <v>24661</v>
      </c>
      <c r="P296" s="153" t="s">
        <v>24662</v>
      </c>
      <c r="Q296" s="14">
        <v>6634156.0</v>
      </c>
      <c r="R296" s="95"/>
      <c r="S296" s="154" t="s">
        <v>30130</v>
      </c>
      <c r="T296" s="84"/>
      <c r="U296" s="84"/>
      <c r="V296" s="84"/>
      <c r="W296" s="84"/>
      <c r="X296" s="84"/>
      <c r="Y296" s="84"/>
      <c r="Z296" s="84"/>
      <c r="AA296" s="84"/>
      <c r="AB296" s="84"/>
      <c r="AC296" s="84"/>
    </row>
    <row r="297" ht="15.75" customHeight="1">
      <c r="A297" s="14" t="s">
        <v>2137</v>
      </c>
      <c r="B297" s="14">
        <v>2013.0</v>
      </c>
      <c r="C297" s="14" t="s">
        <v>24664</v>
      </c>
      <c r="D297" s="14" t="s">
        <v>24665</v>
      </c>
      <c r="E297" s="150" t="str">
        <f t="shared" si="1"/>
        <v>http://dx.doi.org/10.1109/TVCG.2013.122</v>
      </c>
      <c r="F297" s="14">
        <v>2287.0</v>
      </c>
      <c r="G297" s="14">
        <v>2296.0</v>
      </c>
      <c r="H297" s="151"/>
      <c r="I297" s="14" t="s">
        <v>17059</v>
      </c>
      <c r="J297" s="14" t="s">
        <v>24666</v>
      </c>
      <c r="K297" s="14" t="s">
        <v>30136</v>
      </c>
      <c r="L297" s="152" t="s">
        <v>11861</v>
      </c>
      <c r="M297" s="14" t="s">
        <v>5349</v>
      </c>
      <c r="N297" s="54" t="s">
        <v>30136</v>
      </c>
      <c r="O297" s="130" t="s">
        <v>24669</v>
      </c>
      <c r="P297" s="153" t="s">
        <v>24670</v>
      </c>
      <c r="Q297" s="14">
        <v>6634111.0</v>
      </c>
      <c r="R297" s="95"/>
      <c r="S297" s="154" t="s">
        <v>30140</v>
      </c>
      <c r="T297" s="84"/>
      <c r="U297" s="84"/>
      <c r="V297" s="84"/>
      <c r="W297" s="84"/>
      <c r="X297" s="84"/>
      <c r="Y297" s="84"/>
      <c r="Z297" s="84"/>
      <c r="AA297" s="84"/>
      <c r="AB297" s="84"/>
      <c r="AC297" s="84"/>
    </row>
    <row r="298" ht="15.75" customHeight="1">
      <c r="A298" s="14" t="s">
        <v>2137</v>
      </c>
      <c r="B298" s="14">
        <v>2013.0</v>
      </c>
      <c r="C298" s="14" t="s">
        <v>24672</v>
      </c>
      <c r="D298" s="14" t="s">
        <v>24673</v>
      </c>
      <c r="E298" s="150" t="str">
        <f t="shared" si="1"/>
        <v>http://dx.doi.org/10.1109/TVCG.2013.124</v>
      </c>
      <c r="F298" s="14">
        <v>2376.0</v>
      </c>
      <c r="G298" s="14">
        <v>2385.0</v>
      </c>
      <c r="H298" s="151"/>
      <c r="I298" s="14" t="s">
        <v>17059</v>
      </c>
      <c r="J298" s="14" t="s">
        <v>24674</v>
      </c>
      <c r="K298" s="14" t="s">
        <v>30141</v>
      </c>
      <c r="L298" s="152" t="s">
        <v>178</v>
      </c>
      <c r="M298" s="14" t="s">
        <v>178</v>
      </c>
      <c r="N298" s="54" t="s">
        <v>30141</v>
      </c>
      <c r="O298" s="130" t="s">
        <v>24677</v>
      </c>
      <c r="P298" s="153" t="s">
        <v>24678</v>
      </c>
      <c r="Q298" s="14">
        <v>6634168.0</v>
      </c>
      <c r="R298" s="95"/>
      <c r="S298" s="154" t="s">
        <v>30142</v>
      </c>
      <c r="T298" s="84"/>
      <c r="U298" s="84"/>
      <c r="V298" s="84"/>
      <c r="W298" s="84"/>
      <c r="X298" s="84"/>
      <c r="Y298" s="84"/>
      <c r="Z298" s="84"/>
      <c r="AA298" s="84"/>
      <c r="AB298" s="84"/>
      <c r="AC298" s="84"/>
    </row>
    <row r="299" ht="15.75" customHeight="1">
      <c r="A299" s="14" t="s">
        <v>2137</v>
      </c>
      <c r="B299" s="14">
        <v>2013.0</v>
      </c>
      <c r="C299" s="14" t="s">
        <v>24679</v>
      </c>
      <c r="D299" s="14" t="s">
        <v>24680</v>
      </c>
      <c r="E299" s="150" t="str">
        <f t="shared" si="1"/>
        <v>http://dx.doi.org/10.1109/TVCG.2013.130</v>
      </c>
      <c r="F299" s="14">
        <v>2356.0</v>
      </c>
      <c r="G299" s="14">
        <v>2365.0</v>
      </c>
      <c r="H299" s="151"/>
      <c r="I299" s="14" t="s">
        <v>17059</v>
      </c>
      <c r="J299" s="14" t="s">
        <v>28002</v>
      </c>
      <c r="K299" s="14" t="s">
        <v>10252</v>
      </c>
      <c r="L299" s="152" t="s">
        <v>28003</v>
      </c>
      <c r="M299" s="14"/>
      <c r="N299" s="54" t="s">
        <v>10252</v>
      </c>
      <c r="O299" s="130" t="s">
        <v>24684</v>
      </c>
      <c r="P299" s="153" t="s">
        <v>24685</v>
      </c>
      <c r="Q299" s="14">
        <v>6634181.0</v>
      </c>
      <c r="R299" s="95"/>
      <c r="S299" s="154" t="s">
        <v>30150</v>
      </c>
      <c r="T299" s="84"/>
      <c r="U299" s="84"/>
      <c r="V299" s="84"/>
      <c r="W299" s="84"/>
      <c r="X299" s="84"/>
      <c r="Y299" s="84"/>
      <c r="Z299" s="84"/>
      <c r="AA299" s="84"/>
      <c r="AB299" s="84"/>
      <c r="AC299" s="84"/>
    </row>
    <row r="300" ht="15.75" customHeight="1">
      <c r="A300" s="14" t="s">
        <v>2137</v>
      </c>
      <c r="B300" s="14">
        <v>2013.0</v>
      </c>
      <c r="C300" s="14" t="s">
        <v>24686</v>
      </c>
      <c r="D300" s="14" t="s">
        <v>24687</v>
      </c>
      <c r="E300" s="150" t="str">
        <f t="shared" si="1"/>
        <v>http://dx.doi.org/10.1109/TVCG.2013.134</v>
      </c>
      <c r="F300" s="14">
        <v>2396.0</v>
      </c>
      <c r="G300" s="14">
        <v>2405.0</v>
      </c>
      <c r="H300" s="151"/>
      <c r="I300" s="14" t="s">
        <v>17059</v>
      </c>
      <c r="J300" s="14" t="s">
        <v>24689</v>
      </c>
      <c r="K300" s="14" t="s">
        <v>30152</v>
      </c>
      <c r="L300" s="152" t="s">
        <v>28011</v>
      </c>
      <c r="M300" s="14" t="s">
        <v>178</v>
      </c>
      <c r="N300" s="54" t="s">
        <v>30152</v>
      </c>
      <c r="O300" s="130" t="s">
        <v>24692</v>
      </c>
      <c r="P300" s="153" t="s">
        <v>24693</v>
      </c>
      <c r="Q300" s="14">
        <v>6634126.0</v>
      </c>
      <c r="R300" s="95"/>
      <c r="S300" s="154" t="s">
        <v>30153</v>
      </c>
      <c r="T300" s="84"/>
      <c r="U300" s="84"/>
      <c r="V300" s="84"/>
      <c r="W300" s="84"/>
      <c r="X300" s="84"/>
      <c r="Y300" s="84"/>
      <c r="Z300" s="84"/>
      <c r="AA300" s="84"/>
      <c r="AB300" s="84"/>
      <c r="AC300" s="84"/>
    </row>
    <row r="301" ht="15.75" customHeight="1">
      <c r="A301" s="14" t="s">
        <v>2137</v>
      </c>
      <c r="B301" s="14">
        <v>2013.0</v>
      </c>
      <c r="C301" s="14" t="s">
        <v>24694</v>
      </c>
      <c r="D301" s="14" t="s">
        <v>24695</v>
      </c>
      <c r="E301" s="150" t="str">
        <f t="shared" si="1"/>
        <v>http://dx.doi.org/10.1109/TVCG.2013.137</v>
      </c>
      <c r="F301" s="14">
        <v>2586.0</v>
      </c>
      <c r="G301" s="14">
        <v>2595.0</v>
      </c>
      <c r="H301" s="151"/>
      <c r="I301" s="14" t="s">
        <v>17059</v>
      </c>
      <c r="J301" s="14" t="s">
        <v>24696</v>
      </c>
      <c r="K301" s="14" t="s">
        <v>30154</v>
      </c>
      <c r="L301" s="152" t="s">
        <v>28015</v>
      </c>
      <c r="M301" s="14" t="s">
        <v>494</v>
      </c>
      <c r="N301" s="54" t="s">
        <v>30154</v>
      </c>
      <c r="O301" s="130" t="s">
        <v>24700</v>
      </c>
      <c r="P301" s="153" t="s">
        <v>24701</v>
      </c>
      <c r="Q301" s="14">
        <v>6634099.0</v>
      </c>
      <c r="R301" s="95"/>
      <c r="S301" s="154" t="s">
        <v>30155</v>
      </c>
      <c r="T301" s="84"/>
      <c r="U301" s="84"/>
      <c r="V301" s="84"/>
      <c r="W301" s="84"/>
      <c r="X301" s="84"/>
      <c r="Y301" s="84"/>
      <c r="Z301" s="84"/>
      <c r="AA301" s="84"/>
      <c r="AB301" s="84"/>
      <c r="AC301" s="84"/>
    </row>
    <row r="302" ht="15.75" customHeight="1">
      <c r="A302" s="14" t="s">
        <v>2137</v>
      </c>
      <c r="B302" s="14">
        <v>2013.0</v>
      </c>
      <c r="C302" s="14" t="s">
        <v>24702</v>
      </c>
      <c r="D302" s="14" t="s">
        <v>24703</v>
      </c>
      <c r="E302" s="150" t="str">
        <f t="shared" si="1"/>
        <v>http://dx.doi.org/10.1109/TVCG.2013.140</v>
      </c>
      <c r="F302" s="14">
        <v>2297.0</v>
      </c>
      <c r="G302" s="14">
        <v>2305.0</v>
      </c>
      <c r="H302" s="151"/>
      <c r="I302" s="14" t="s">
        <v>17059</v>
      </c>
      <c r="J302" s="14" t="s">
        <v>24705</v>
      </c>
      <c r="K302" s="14" t="s">
        <v>30161</v>
      </c>
      <c r="L302" s="152" t="s">
        <v>178</v>
      </c>
      <c r="M302" s="14" t="s">
        <v>178</v>
      </c>
      <c r="N302" s="54" t="s">
        <v>30161</v>
      </c>
      <c r="O302" s="130" t="s">
        <v>24708</v>
      </c>
      <c r="P302" s="153" t="s">
        <v>24709</v>
      </c>
      <c r="Q302" s="14">
        <v>6634157.0</v>
      </c>
      <c r="R302" s="95"/>
      <c r="S302" s="154" t="s">
        <v>30162</v>
      </c>
      <c r="T302" s="84"/>
      <c r="U302" s="84"/>
      <c r="V302" s="84"/>
      <c r="W302" s="84"/>
      <c r="X302" s="84"/>
      <c r="Y302" s="84"/>
      <c r="Z302" s="84"/>
      <c r="AA302" s="84"/>
      <c r="AB302" s="84"/>
      <c r="AC302" s="84"/>
    </row>
    <row r="303" ht="15.75" customHeight="1">
      <c r="A303" s="14" t="s">
        <v>2137</v>
      </c>
      <c r="B303" s="14">
        <v>2013.0</v>
      </c>
      <c r="C303" s="14" t="s">
        <v>24710</v>
      </c>
      <c r="D303" s="14" t="s">
        <v>24711</v>
      </c>
      <c r="E303" s="150" t="str">
        <f t="shared" si="1"/>
        <v>http://dx.doi.org/10.1109/TVCG.2013.145</v>
      </c>
      <c r="F303" s="14">
        <v>2516.0</v>
      </c>
      <c r="G303" s="14">
        <v>2525.0</v>
      </c>
      <c r="H303" s="151"/>
      <c r="I303" s="14" t="s">
        <v>17059</v>
      </c>
      <c r="J303" s="14" t="s">
        <v>24712</v>
      </c>
      <c r="K303" s="14" t="s">
        <v>30166</v>
      </c>
      <c r="L303" s="152" t="s">
        <v>28028</v>
      </c>
      <c r="M303" s="14" t="s">
        <v>13886</v>
      </c>
      <c r="N303" s="54" t="s">
        <v>30166</v>
      </c>
      <c r="O303" s="130" t="s">
        <v>24715</v>
      </c>
      <c r="P303" s="153" t="s">
        <v>24716</v>
      </c>
      <c r="Q303" s="14">
        <v>6634166.0</v>
      </c>
      <c r="R303" s="95"/>
      <c r="S303" s="154" t="s">
        <v>30167</v>
      </c>
      <c r="T303" s="84"/>
      <c r="U303" s="84"/>
      <c r="V303" s="84"/>
      <c r="W303" s="84"/>
      <c r="X303" s="84"/>
      <c r="Y303" s="84"/>
      <c r="Z303" s="84"/>
      <c r="AA303" s="84"/>
      <c r="AB303" s="84"/>
      <c r="AC303" s="84"/>
    </row>
    <row r="304" ht="15.75" customHeight="1">
      <c r="A304" s="14" t="s">
        <v>2137</v>
      </c>
      <c r="B304" s="14">
        <v>2013.0</v>
      </c>
      <c r="C304" s="14" t="s">
        <v>24717</v>
      </c>
      <c r="D304" s="14" t="s">
        <v>24718</v>
      </c>
      <c r="E304" s="150" t="str">
        <f t="shared" si="1"/>
        <v>http://dx.doi.org/10.1109/TVCG.2013.149</v>
      </c>
      <c r="F304" s="14">
        <v>2556.0</v>
      </c>
      <c r="G304" s="14">
        <v>2565.0</v>
      </c>
      <c r="H304" s="151"/>
      <c r="I304" s="14" t="s">
        <v>17059</v>
      </c>
      <c r="J304" s="14" t="s">
        <v>24719</v>
      </c>
      <c r="K304" s="14" t="s">
        <v>30168</v>
      </c>
      <c r="L304" s="152" t="s">
        <v>22154</v>
      </c>
      <c r="M304" s="14" t="s">
        <v>178</v>
      </c>
      <c r="N304" s="54" t="s">
        <v>30168</v>
      </c>
      <c r="O304" s="130" t="s">
        <v>24722</v>
      </c>
      <c r="P304" s="153" t="s">
        <v>24723</v>
      </c>
      <c r="Q304" s="14">
        <v>6634116.0</v>
      </c>
      <c r="R304" s="95"/>
      <c r="S304" s="154" t="s">
        <v>30169</v>
      </c>
      <c r="T304" s="84"/>
      <c r="U304" s="84"/>
      <c r="V304" s="84"/>
      <c r="W304" s="84"/>
      <c r="X304" s="84"/>
      <c r="Y304" s="84"/>
      <c r="Z304" s="84"/>
      <c r="AA304" s="84"/>
      <c r="AB304" s="84"/>
      <c r="AC304" s="84"/>
    </row>
    <row r="305" ht="15.75" customHeight="1">
      <c r="A305" s="14" t="s">
        <v>2137</v>
      </c>
      <c r="B305" s="14">
        <v>2013.0</v>
      </c>
      <c r="C305" s="14" t="s">
        <v>24724</v>
      </c>
      <c r="D305" s="14" t="s">
        <v>24726</v>
      </c>
      <c r="E305" s="150" t="str">
        <f t="shared" si="1"/>
        <v>http://dx.doi.org/10.1109/TVCG.2013.150</v>
      </c>
      <c r="F305" s="14">
        <v>2625.0</v>
      </c>
      <c r="G305" s="14">
        <v>2633.0</v>
      </c>
      <c r="H305" s="151"/>
      <c r="I305" s="14" t="s">
        <v>17059</v>
      </c>
      <c r="J305" s="14" t="s">
        <v>24727</v>
      </c>
      <c r="K305" s="14" t="s">
        <v>24728</v>
      </c>
      <c r="L305" s="152" t="s">
        <v>28037</v>
      </c>
      <c r="M305" s="14" t="s">
        <v>5349</v>
      </c>
      <c r="N305" s="54" t="s">
        <v>24728</v>
      </c>
      <c r="O305" s="130" t="s">
        <v>24731</v>
      </c>
      <c r="P305" s="153" t="s">
        <v>24732</v>
      </c>
      <c r="Q305" s="14">
        <v>6634155.0</v>
      </c>
      <c r="R305" s="95"/>
      <c r="S305" s="154" t="s">
        <v>30179</v>
      </c>
      <c r="T305" s="84"/>
      <c r="U305" s="84"/>
      <c r="V305" s="84"/>
      <c r="W305" s="84"/>
      <c r="X305" s="84"/>
      <c r="Y305" s="84"/>
      <c r="Z305" s="84"/>
      <c r="AA305" s="84"/>
      <c r="AB305" s="84"/>
      <c r="AC305" s="84"/>
    </row>
    <row r="306" ht="15.75" customHeight="1">
      <c r="A306" s="14" t="s">
        <v>2137</v>
      </c>
      <c r="B306" s="14">
        <v>2013.0</v>
      </c>
      <c r="C306" s="14" t="s">
        <v>24733</v>
      </c>
      <c r="D306" s="14" t="s">
        <v>24734</v>
      </c>
      <c r="E306" s="150" t="str">
        <f t="shared" si="1"/>
        <v>http://dx.doi.org/10.1109/TVCG.2013.151</v>
      </c>
      <c r="F306" s="14">
        <v>2596.0</v>
      </c>
      <c r="G306" s="14">
        <v>2605.0</v>
      </c>
      <c r="H306" s="151"/>
      <c r="I306" s="14" t="s">
        <v>17059</v>
      </c>
      <c r="J306" s="14" t="s">
        <v>24735</v>
      </c>
      <c r="K306" s="14" t="s">
        <v>30180</v>
      </c>
      <c r="L306" s="152" t="s">
        <v>5349</v>
      </c>
      <c r="M306" s="14" t="s">
        <v>5349</v>
      </c>
      <c r="N306" s="54" t="s">
        <v>30180</v>
      </c>
      <c r="O306" s="130" t="s">
        <v>24738</v>
      </c>
      <c r="P306" s="153" t="s">
        <v>24739</v>
      </c>
      <c r="Q306" s="14">
        <v>6634098.0</v>
      </c>
      <c r="R306" s="95"/>
      <c r="S306" s="154" t="s">
        <v>30181</v>
      </c>
      <c r="T306" s="84"/>
      <c r="U306" s="84"/>
      <c r="V306" s="84"/>
      <c r="W306" s="84"/>
      <c r="X306" s="84"/>
      <c r="Y306" s="84"/>
      <c r="Z306" s="84"/>
      <c r="AA306" s="84"/>
      <c r="AB306" s="84"/>
      <c r="AC306" s="84"/>
    </row>
    <row r="307" ht="15.75" customHeight="1">
      <c r="A307" s="14" t="s">
        <v>2137</v>
      </c>
      <c r="B307" s="14">
        <v>2013.0</v>
      </c>
      <c r="C307" s="14" t="s">
        <v>24740</v>
      </c>
      <c r="D307" s="14" t="s">
        <v>24741</v>
      </c>
      <c r="E307" s="150" t="str">
        <f t="shared" si="1"/>
        <v>http://dx.doi.org/10.1109/TVCG.2013.153</v>
      </c>
      <c r="F307" s="14">
        <v>2634.0</v>
      </c>
      <c r="G307" s="14">
        <v>2643.0</v>
      </c>
      <c r="H307" s="151"/>
      <c r="I307" s="14" t="s">
        <v>17059</v>
      </c>
      <c r="J307" s="14" t="s">
        <v>24742</v>
      </c>
      <c r="K307" s="14" t="s">
        <v>30182</v>
      </c>
      <c r="L307" s="152" t="s">
        <v>28054</v>
      </c>
      <c r="M307" s="14" t="s">
        <v>494</v>
      </c>
      <c r="N307" s="54" t="s">
        <v>30182</v>
      </c>
      <c r="O307" s="130" t="s">
        <v>24745</v>
      </c>
      <c r="P307" s="153" t="s">
        <v>24746</v>
      </c>
      <c r="Q307" s="14">
        <v>6634128.0</v>
      </c>
      <c r="R307" s="95"/>
      <c r="S307" s="154" t="s">
        <v>30183</v>
      </c>
      <c r="T307" s="84"/>
      <c r="U307" s="84"/>
      <c r="V307" s="84"/>
      <c r="W307" s="84"/>
      <c r="X307" s="84"/>
      <c r="Y307" s="84"/>
      <c r="Z307" s="84"/>
      <c r="AA307" s="84"/>
      <c r="AB307" s="84"/>
      <c r="AC307" s="84"/>
    </row>
    <row r="308" ht="15.75" customHeight="1">
      <c r="A308" s="14" t="s">
        <v>2137</v>
      </c>
      <c r="B308" s="14">
        <v>2013.0</v>
      </c>
      <c r="C308" s="14" t="s">
        <v>24747</v>
      </c>
      <c r="D308" s="14" t="s">
        <v>24748</v>
      </c>
      <c r="E308" s="150" t="str">
        <f t="shared" si="1"/>
        <v>http://dx.doi.org/10.1109/TVCG.2013.154</v>
      </c>
      <c r="F308" s="14">
        <v>2536.0</v>
      </c>
      <c r="G308" s="14">
        <v>2545.0</v>
      </c>
      <c r="H308" s="151"/>
      <c r="I308" s="14" t="s">
        <v>17059</v>
      </c>
      <c r="J308" s="14" t="s">
        <v>24750</v>
      </c>
      <c r="K308" s="14" t="s">
        <v>30197</v>
      </c>
      <c r="L308" s="152" t="s">
        <v>28056</v>
      </c>
      <c r="M308" s="14" t="s">
        <v>23953</v>
      </c>
      <c r="N308" s="54" t="s">
        <v>30197</v>
      </c>
      <c r="O308" s="130" t="s">
        <v>24753</v>
      </c>
      <c r="P308" s="153" t="s">
        <v>24754</v>
      </c>
      <c r="Q308" s="14">
        <v>6634190.0</v>
      </c>
      <c r="R308" s="95"/>
      <c r="S308" s="154" t="s">
        <v>30200</v>
      </c>
      <c r="T308" s="84"/>
      <c r="U308" s="84"/>
      <c r="V308" s="84"/>
      <c r="W308" s="84"/>
      <c r="X308" s="84"/>
      <c r="Y308" s="84"/>
      <c r="Z308" s="84"/>
      <c r="AA308" s="84"/>
      <c r="AB308" s="84"/>
      <c r="AC308" s="84"/>
    </row>
    <row r="309" ht="15.75" customHeight="1">
      <c r="A309" s="14" t="s">
        <v>2137</v>
      </c>
      <c r="B309" s="14">
        <v>2013.0</v>
      </c>
      <c r="C309" s="14" t="s">
        <v>24756</v>
      </c>
      <c r="D309" s="14" t="s">
        <v>24757</v>
      </c>
      <c r="E309" s="150" t="str">
        <f t="shared" si="1"/>
        <v>http://dx.doi.org/10.1109/TVCG.2013.155</v>
      </c>
      <c r="F309" s="14">
        <v>2476.0</v>
      </c>
      <c r="G309" s="14">
        <v>2485.0</v>
      </c>
      <c r="H309" s="151"/>
      <c r="I309" s="14" t="s">
        <v>17059</v>
      </c>
      <c r="J309" s="14" t="s">
        <v>24758</v>
      </c>
      <c r="K309" s="14" t="s">
        <v>30204</v>
      </c>
      <c r="L309" s="152" t="s">
        <v>28064</v>
      </c>
      <c r="M309" s="14" t="s">
        <v>1253</v>
      </c>
      <c r="N309" s="54" t="s">
        <v>30205</v>
      </c>
      <c r="O309" s="130" t="s">
        <v>24762</v>
      </c>
      <c r="P309" s="153" t="s">
        <v>24763</v>
      </c>
      <c r="Q309" s="14">
        <v>6634189.0</v>
      </c>
      <c r="R309" s="95"/>
      <c r="S309" s="154" t="s">
        <v>30206</v>
      </c>
      <c r="T309" s="84"/>
      <c r="U309" s="84"/>
      <c r="V309" s="84"/>
      <c r="W309" s="84"/>
      <c r="X309" s="84"/>
      <c r="Y309" s="84"/>
      <c r="Z309" s="84"/>
      <c r="AA309" s="84"/>
      <c r="AB309" s="84"/>
      <c r="AC309" s="84"/>
    </row>
    <row r="310" ht="15.75" customHeight="1">
      <c r="A310" s="14" t="s">
        <v>2137</v>
      </c>
      <c r="B310" s="14">
        <v>2013.0</v>
      </c>
      <c r="C310" s="14" t="s">
        <v>24764</v>
      </c>
      <c r="D310" s="14" t="s">
        <v>24765</v>
      </c>
      <c r="E310" s="150" t="str">
        <f t="shared" si="1"/>
        <v>http://dx.doi.org/10.1109/TVCG.2013.160</v>
      </c>
      <c r="F310" s="14">
        <v>2606.0</v>
      </c>
      <c r="G310" s="14">
        <v>2614.0</v>
      </c>
      <c r="H310" s="151"/>
      <c r="I310" s="14" t="s">
        <v>17059</v>
      </c>
      <c r="J310" s="14" t="s">
        <v>24766</v>
      </c>
      <c r="K310" s="14" t="s">
        <v>30207</v>
      </c>
      <c r="L310" s="152" t="s">
        <v>28102</v>
      </c>
      <c r="M310" s="14" t="s">
        <v>494</v>
      </c>
      <c r="N310" s="54" t="s">
        <v>30207</v>
      </c>
      <c r="O310" s="130" t="s">
        <v>24769</v>
      </c>
      <c r="P310" s="153" t="s">
        <v>24770</v>
      </c>
      <c r="Q310" s="14">
        <v>6634192.0</v>
      </c>
      <c r="R310" s="95"/>
      <c r="S310" s="154" t="s">
        <v>30208</v>
      </c>
      <c r="T310" s="84"/>
      <c r="U310" s="84"/>
      <c r="V310" s="84"/>
      <c r="W310" s="84"/>
      <c r="X310" s="84"/>
      <c r="Y310" s="84"/>
      <c r="Z310" s="84"/>
      <c r="AA310" s="84"/>
      <c r="AB310" s="84"/>
      <c r="AC310" s="84"/>
    </row>
    <row r="311" ht="15.75" customHeight="1">
      <c r="A311" s="14" t="s">
        <v>2137</v>
      </c>
      <c r="B311" s="14">
        <v>2013.0</v>
      </c>
      <c r="C311" s="14" t="s">
        <v>24772</v>
      </c>
      <c r="D311" s="14" t="s">
        <v>24773</v>
      </c>
      <c r="E311" s="150" t="str">
        <f t="shared" si="1"/>
        <v>http://dx.doi.org/10.1109/TVCG.2013.163</v>
      </c>
      <c r="F311" s="14">
        <v>2346.0</v>
      </c>
      <c r="G311" s="14">
        <v>2355.0</v>
      </c>
      <c r="H311" s="151"/>
      <c r="I311" s="14" t="s">
        <v>17059</v>
      </c>
      <c r="J311" s="14" t="s">
        <v>24775</v>
      </c>
      <c r="K311" s="14" t="s">
        <v>30214</v>
      </c>
      <c r="L311" s="152" t="s">
        <v>28131</v>
      </c>
      <c r="M311" s="14" t="s">
        <v>880</v>
      </c>
      <c r="N311" s="54" t="s">
        <v>30216</v>
      </c>
      <c r="O311" s="130" t="s">
        <v>24778</v>
      </c>
      <c r="P311" s="153" t="s">
        <v>24779</v>
      </c>
      <c r="Q311" s="14">
        <v>6634173.0</v>
      </c>
      <c r="R311" s="95"/>
      <c r="S311" s="154" t="s">
        <v>30217</v>
      </c>
      <c r="T311" s="84"/>
      <c r="U311" s="84"/>
      <c r="V311" s="84"/>
      <c r="W311" s="84"/>
      <c r="X311" s="84"/>
      <c r="Y311" s="84"/>
      <c r="Z311" s="84"/>
      <c r="AA311" s="84"/>
      <c r="AB311" s="84"/>
      <c r="AC311" s="84"/>
    </row>
    <row r="312" ht="15.75" customHeight="1">
      <c r="A312" s="14" t="s">
        <v>2137</v>
      </c>
      <c r="B312" s="14">
        <v>2013.0</v>
      </c>
      <c r="C312" s="14" t="s">
        <v>24780</v>
      </c>
      <c r="D312" s="14" t="s">
        <v>24781</v>
      </c>
      <c r="E312" s="150" t="str">
        <f t="shared" si="1"/>
        <v>http://dx.doi.org/10.1109/TVCG.2013.166</v>
      </c>
      <c r="F312" s="14">
        <v>2386.0</v>
      </c>
      <c r="G312" s="14">
        <v>2395.0</v>
      </c>
      <c r="H312" s="151"/>
      <c r="I312" s="14" t="s">
        <v>17059</v>
      </c>
      <c r="J312" s="14" t="s">
        <v>24782</v>
      </c>
      <c r="K312" s="14" t="s">
        <v>30220</v>
      </c>
      <c r="L312" s="152" t="s">
        <v>28150</v>
      </c>
      <c r="M312" s="14" t="s">
        <v>5349</v>
      </c>
      <c r="N312" s="54" t="s">
        <v>30220</v>
      </c>
      <c r="O312" s="130" t="s">
        <v>24786</v>
      </c>
      <c r="P312" s="153" t="s">
        <v>24787</v>
      </c>
      <c r="Q312" s="14">
        <v>6634094.0</v>
      </c>
      <c r="R312" s="95"/>
      <c r="S312" s="154" t="s">
        <v>30221</v>
      </c>
      <c r="T312" s="84"/>
      <c r="U312" s="84"/>
      <c r="V312" s="84"/>
      <c r="W312" s="84"/>
      <c r="X312" s="84"/>
      <c r="Y312" s="84"/>
      <c r="Z312" s="84"/>
      <c r="AA312" s="84"/>
      <c r="AB312" s="84"/>
      <c r="AC312" s="84"/>
    </row>
    <row r="313" ht="15.75" customHeight="1">
      <c r="A313" s="14" t="s">
        <v>2137</v>
      </c>
      <c r="B313" s="14">
        <v>2013.0</v>
      </c>
      <c r="C313" s="14" t="s">
        <v>24788</v>
      </c>
      <c r="D313" s="14" t="s">
        <v>24789</v>
      </c>
      <c r="E313" s="150" t="str">
        <f t="shared" si="1"/>
        <v>http://dx.doi.org/10.1109/TVCG.2013.170</v>
      </c>
      <c r="F313" s="14">
        <v>2336.0</v>
      </c>
      <c r="G313" s="14">
        <v>2345.0</v>
      </c>
      <c r="H313" s="151"/>
      <c r="I313" s="14" t="s">
        <v>17059</v>
      </c>
      <c r="J313" s="14" t="s">
        <v>28183</v>
      </c>
      <c r="K313" s="14" t="s">
        <v>30222</v>
      </c>
      <c r="L313" s="152" t="s">
        <v>28186</v>
      </c>
      <c r="M313" s="14" t="s">
        <v>178</v>
      </c>
      <c r="N313" s="54" t="s">
        <v>30222</v>
      </c>
      <c r="O313" s="130" t="s">
        <v>24796</v>
      </c>
      <c r="P313" s="153" t="s">
        <v>24797</v>
      </c>
      <c r="Q313" s="14">
        <v>6634121.0</v>
      </c>
      <c r="R313" s="95"/>
      <c r="S313" s="154" t="s">
        <v>30223</v>
      </c>
      <c r="T313" s="84"/>
      <c r="U313" s="84"/>
      <c r="V313" s="84"/>
      <c r="W313" s="84"/>
      <c r="X313" s="84"/>
      <c r="Y313" s="84"/>
      <c r="Z313" s="84"/>
      <c r="AA313" s="84"/>
      <c r="AB313" s="84"/>
      <c r="AC313" s="84"/>
    </row>
    <row r="314" ht="15.75" customHeight="1">
      <c r="A314" s="14" t="s">
        <v>2137</v>
      </c>
      <c r="B314" s="14">
        <v>2013.0</v>
      </c>
      <c r="C314" s="14" t="s">
        <v>24799</v>
      </c>
      <c r="D314" s="14" t="s">
        <v>24800</v>
      </c>
      <c r="E314" s="150" t="str">
        <f t="shared" si="1"/>
        <v>http://dx.doi.org/10.1109/TVCG.2013.173</v>
      </c>
      <c r="F314" s="14">
        <v>2277.0</v>
      </c>
      <c r="G314" s="14">
        <v>2286.0</v>
      </c>
      <c r="H314" s="151"/>
      <c r="I314" s="14" t="s">
        <v>17059</v>
      </c>
      <c r="J314" s="14" t="s">
        <v>24801</v>
      </c>
      <c r="K314" s="14" t="s">
        <v>30230</v>
      </c>
      <c r="L314" s="152" t="s">
        <v>28200</v>
      </c>
      <c r="M314" s="14" t="s">
        <v>880</v>
      </c>
      <c r="N314" s="54" t="s">
        <v>30230</v>
      </c>
      <c r="O314" s="130" t="s">
        <v>24804</v>
      </c>
      <c r="P314" s="153" t="s">
        <v>24805</v>
      </c>
      <c r="Q314" s="14">
        <v>6634146.0</v>
      </c>
      <c r="R314" s="95"/>
      <c r="S314" s="154" t="s">
        <v>30234</v>
      </c>
      <c r="T314" s="84"/>
      <c r="U314" s="84"/>
      <c r="V314" s="84"/>
      <c r="W314" s="84"/>
      <c r="X314" s="84"/>
      <c r="Y314" s="84"/>
      <c r="Z314" s="84"/>
      <c r="AA314" s="84"/>
      <c r="AB314" s="84"/>
      <c r="AC314" s="84"/>
    </row>
    <row r="315" ht="15.75" customHeight="1">
      <c r="A315" s="14" t="s">
        <v>2137</v>
      </c>
      <c r="B315" s="14">
        <v>2013.0</v>
      </c>
      <c r="C315" s="14" t="s">
        <v>24806</v>
      </c>
      <c r="D315" s="14" t="s">
        <v>24807</v>
      </c>
      <c r="E315" s="150" t="str">
        <f t="shared" si="1"/>
        <v>http://dx.doi.org/10.1109/TVCG.2013.179</v>
      </c>
      <c r="F315" s="14">
        <v>2456.0</v>
      </c>
      <c r="G315" s="14">
        <v>2465.0</v>
      </c>
      <c r="H315" s="151"/>
      <c r="I315" s="14" t="s">
        <v>17059</v>
      </c>
      <c r="J315" s="14" t="s">
        <v>24808</v>
      </c>
      <c r="K315" s="14" t="s">
        <v>30235</v>
      </c>
      <c r="L315" s="152" t="s">
        <v>494</v>
      </c>
      <c r="M315" s="14" t="s">
        <v>494</v>
      </c>
      <c r="N315" s="54" t="s">
        <v>30236</v>
      </c>
      <c r="O315" s="130" t="s">
        <v>24813</v>
      </c>
      <c r="P315" s="153" t="s">
        <v>24814</v>
      </c>
      <c r="Q315" s="14">
        <v>6634137.0</v>
      </c>
      <c r="R315" s="95"/>
      <c r="S315" s="154" t="s">
        <v>30237</v>
      </c>
      <c r="T315" s="84"/>
      <c r="U315" s="84"/>
      <c r="V315" s="84"/>
      <c r="W315" s="84"/>
      <c r="X315" s="84"/>
      <c r="Y315" s="84"/>
      <c r="Z315" s="84"/>
      <c r="AA315" s="84"/>
      <c r="AB315" s="84"/>
      <c r="AC315" s="84"/>
    </row>
    <row r="316" ht="15.75" customHeight="1">
      <c r="A316" s="14" t="s">
        <v>2137</v>
      </c>
      <c r="B316" s="14">
        <v>2013.0</v>
      </c>
      <c r="C316" s="14" t="s">
        <v>24815</v>
      </c>
      <c r="D316" s="14" t="s">
        <v>24817</v>
      </c>
      <c r="E316" s="150" t="str">
        <f t="shared" si="1"/>
        <v>http://dx.doi.org/10.1109/TVCG.2013.182</v>
      </c>
      <c r="F316" s="14">
        <v>2615.0</v>
      </c>
      <c r="G316" s="14">
        <v>2624.0</v>
      </c>
      <c r="H316" s="151"/>
      <c r="I316" s="14" t="s">
        <v>17059</v>
      </c>
      <c r="J316" s="14" t="s">
        <v>24818</v>
      </c>
      <c r="K316" s="14" t="s">
        <v>28427</v>
      </c>
      <c r="L316" s="152" t="s">
        <v>24200</v>
      </c>
      <c r="M316" s="14" t="s">
        <v>178</v>
      </c>
      <c r="N316" s="54" t="s">
        <v>28427</v>
      </c>
      <c r="O316" s="130" t="s">
        <v>3776</v>
      </c>
      <c r="P316" s="153" t="s">
        <v>24819</v>
      </c>
      <c r="Q316" s="14">
        <v>6634131.0</v>
      </c>
      <c r="R316" s="95"/>
      <c r="S316" s="154">
        <v>663916.0</v>
      </c>
      <c r="T316" s="84"/>
      <c r="U316" s="84"/>
      <c r="V316" s="84"/>
      <c r="W316" s="84"/>
      <c r="X316" s="84"/>
      <c r="Y316" s="84"/>
      <c r="Z316" s="84"/>
      <c r="AA316" s="84"/>
      <c r="AB316" s="84"/>
      <c r="AC316" s="84"/>
    </row>
    <row r="317" ht="15.75" customHeight="1">
      <c r="A317" s="14" t="s">
        <v>2137</v>
      </c>
      <c r="B317" s="14">
        <v>2013.0</v>
      </c>
      <c r="C317" s="14" t="s">
        <v>24820</v>
      </c>
      <c r="D317" s="14" t="s">
        <v>24821</v>
      </c>
      <c r="E317" s="150" t="str">
        <f t="shared" si="1"/>
        <v>http://dx.doi.org/10.1109/TVCG.2013.183</v>
      </c>
      <c r="F317" s="14">
        <v>2316.0</v>
      </c>
      <c r="G317" s="14">
        <v>2325.0</v>
      </c>
      <c r="H317" s="151"/>
      <c r="I317" s="14" t="s">
        <v>17059</v>
      </c>
      <c r="J317" s="14" t="s">
        <v>24822</v>
      </c>
      <c r="K317" s="14" t="s">
        <v>30246</v>
      </c>
      <c r="L317" s="152" t="s">
        <v>28297</v>
      </c>
      <c r="M317" s="14" t="s">
        <v>5349</v>
      </c>
      <c r="N317" s="54" t="s">
        <v>30246</v>
      </c>
      <c r="O317" s="130" t="s">
        <v>23708</v>
      </c>
      <c r="P317" s="153" t="s">
        <v>24825</v>
      </c>
      <c r="Q317" s="14">
        <v>6634120.0</v>
      </c>
      <c r="R317" s="95"/>
      <c r="S317" s="154">
        <v>6327245.0</v>
      </c>
      <c r="T317" s="84"/>
      <c r="U317" s="84"/>
      <c r="V317" s="84"/>
      <c r="W317" s="84"/>
      <c r="X317" s="84"/>
      <c r="Y317" s="84"/>
      <c r="Z317" s="84"/>
      <c r="AA317" s="84"/>
      <c r="AB317" s="84"/>
      <c r="AC317" s="84"/>
    </row>
    <row r="318" ht="15.75" customHeight="1">
      <c r="A318" s="14" t="s">
        <v>2137</v>
      </c>
      <c r="B318" s="14">
        <v>2013.0</v>
      </c>
      <c r="C318" s="14" t="s">
        <v>24826</v>
      </c>
      <c r="D318" s="14" t="s">
        <v>24827</v>
      </c>
      <c r="E318" s="150" t="str">
        <f t="shared" si="1"/>
        <v>http://dx.doi.org/10.1109/TVCG.2013.184</v>
      </c>
      <c r="F318" s="14">
        <v>2496.0</v>
      </c>
      <c r="G318" s="14">
        <v>2505.0</v>
      </c>
      <c r="H318" s="151"/>
      <c r="I318" s="14" t="s">
        <v>17059</v>
      </c>
      <c r="J318" s="14" t="s">
        <v>24829</v>
      </c>
      <c r="K318" s="14" t="s">
        <v>30248</v>
      </c>
      <c r="L318" s="152" t="s">
        <v>26184</v>
      </c>
      <c r="M318" s="14" t="s">
        <v>5349</v>
      </c>
      <c r="N318" s="54" t="s">
        <v>30248</v>
      </c>
      <c r="O318" s="130" t="s">
        <v>24832</v>
      </c>
      <c r="P318" s="153" t="s">
        <v>24833</v>
      </c>
      <c r="Q318" s="14">
        <v>6634104.0</v>
      </c>
      <c r="R318" s="95"/>
      <c r="S318" s="154" t="s">
        <v>30249</v>
      </c>
      <c r="T318" s="84"/>
      <c r="U318" s="84"/>
      <c r="V318" s="84"/>
      <c r="W318" s="84"/>
      <c r="X318" s="84"/>
      <c r="Y318" s="84"/>
      <c r="Z318" s="84"/>
      <c r="AA318" s="84"/>
      <c r="AB318" s="84"/>
      <c r="AC318" s="84"/>
    </row>
    <row r="319" ht="15.75" customHeight="1">
      <c r="A319" s="14" t="s">
        <v>2137</v>
      </c>
      <c r="B319" s="14">
        <v>2013.0</v>
      </c>
      <c r="C319" s="14" t="s">
        <v>24834</v>
      </c>
      <c r="D319" s="14" t="s">
        <v>24835</v>
      </c>
      <c r="E319" s="150" t="str">
        <f t="shared" si="1"/>
        <v>http://dx.doi.org/10.1109/TVCG.2013.187</v>
      </c>
      <c r="F319" s="14">
        <v>2326.0</v>
      </c>
      <c r="G319" s="14">
        <v>2335.0</v>
      </c>
      <c r="H319" s="151"/>
      <c r="I319" s="14" t="s">
        <v>17059</v>
      </c>
      <c r="J319" s="14" t="s">
        <v>24836</v>
      </c>
      <c r="K319" s="14" t="s">
        <v>30252</v>
      </c>
      <c r="L319" s="152" t="s">
        <v>28324</v>
      </c>
      <c r="M319" s="14" t="s">
        <v>5349</v>
      </c>
      <c r="N319" s="54" t="s">
        <v>30252</v>
      </c>
      <c r="O319" s="130" t="s">
        <v>24840</v>
      </c>
      <c r="P319" s="153" t="s">
        <v>24841</v>
      </c>
      <c r="Q319" s="14">
        <v>6634178.0</v>
      </c>
      <c r="R319" s="95"/>
      <c r="S319" s="154" t="s">
        <v>30256</v>
      </c>
      <c r="T319" s="84"/>
      <c r="U319" s="84"/>
      <c r="V319" s="84"/>
      <c r="W319" s="84"/>
      <c r="X319" s="84"/>
      <c r="Y319" s="84"/>
      <c r="Z319" s="84"/>
      <c r="AA319" s="84"/>
      <c r="AB319" s="84"/>
      <c r="AC319" s="84"/>
    </row>
    <row r="320" ht="15.75" customHeight="1">
      <c r="A320" s="14" t="s">
        <v>2137</v>
      </c>
      <c r="B320" s="14">
        <v>2013.0</v>
      </c>
      <c r="C320" s="14" t="s">
        <v>24842</v>
      </c>
      <c r="D320" s="14" t="s">
        <v>24843</v>
      </c>
      <c r="E320" s="150" t="str">
        <f t="shared" si="1"/>
        <v>http://dx.doi.org/10.1109/TVCG.2013.191</v>
      </c>
      <c r="F320" s="14">
        <v>2416.0</v>
      </c>
      <c r="G320" s="14">
        <v>2425.0</v>
      </c>
      <c r="H320" s="151"/>
      <c r="I320" s="14" t="s">
        <v>17059</v>
      </c>
      <c r="J320" s="14" t="s">
        <v>24846</v>
      </c>
      <c r="K320" s="14" t="s">
        <v>30260</v>
      </c>
      <c r="L320" s="152" t="s">
        <v>494</v>
      </c>
      <c r="M320" s="14" t="s">
        <v>494</v>
      </c>
      <c r="N320" s="54" t="s">
        <v>30260</v>
      </c>
      <c r="O320" s="130" t="s">
        <v>24849</v>
      </c>
      <c r="P320" s="153" t="s">
        <v>24850</v>
      </c>
      <c r="Q320" s="14">
        <v>6634113.0</v>
      </c>
      <c r="R320" s="95"/>
      <c r="S320" s="154" t="s">
        <v>30261</v>
      </c>
      <c r="T320" s="84"/>
      <c r="U320" s="84"/>
      <c r="V320" s="84"/>
      <c r="W320" s="84"/>
      <c r="X320" s="84"/>
      <c r="Y320" s="84"/>
      <c r="Z320" s="84"/>
      <c r="AA320" s="84"/>
      <c r="AB320" s="84"/>
      <c r="AC320" s="84"/>
    </row>
    <row r="321" ht="15.75" customHeight="1">
      <c r="A321" s="14" t="s">
        <v>2137</v>
      </c>
      <c r="B321" s="14">
        <v>2013.0</v>
      </c>
      <c r="C321" s="14" t="s">
        <v>24852</v>
      </c>
      <c r="D321" s="14" t="s">
        <v>24853</v>
      </c>
      <c r="E321" s="150" t="str">
        <f t="shared" si="1"/>
        <v>http://dx.doi.org/10.1109/TVCG.2013.192</v>
      </c>
      <c r="F321" s="14">
        <v>2506.0</v>
      </c>
      <c r="G321" s="14">
        <v>2515.0</v>
      </c>
      <c r="H321" s="151"/>
      <c r="I321" s="14" t="s">
        <v>17059</v>
      </c>
      <c r="J321" s="14" t="s">
        <v>24854</v>
      </c>
      <c r="K321" s="14" t="s">
        <v>30262</v>
      </c>
      <c r="L321" s="152" t="s">
        <v>28371</v>
      </c>
      <c r="M321" s="14" t="s">
        <v>494</v>
      </c>
      <c r="N321" s="54" t="s">
        <v>30263</v>
      </c>
      <c r="O321" s="130" t="s">
        <v>24857</v>
      </c>
      <c r="P321" s="153" t="s">
        <v>24858</v>
      </c>
      <c r="Q321" s="14">
        <v>6634087.0</v>
      </c>
      <c r="R321" s="95"/>
      <c r="S321" s="154" t="s">
        <v>30264</v>
      </c>
      <c r="T321" s="84"/>
      <c r="U321" s="84"/>
      <c r="V321" s="84"/>
      <c r="W321" s="84"/>
      <c r="X321" s="84"/>
      <c r="Y321" s="84"/>
      <c r="Z321" s="84"/>
      <c r="AA321" s="84"/>
      <c r="AB321" s="84"/>
      <c r="AC321" s="84"/>
    </row>
    <row r="322" ht="15.75" customHeight="1">
      <c r="A322" s="14" t="s">
        <v>2137</v>
      </c>
      <c r="B322" s="14">
        <v>2013.0</v>
      </c>
      <c r="C322" s="14" t="s">
        <v>24859</v>
      </c>
      <c r="D322" s="14" t="s">
        <v>24860</v>
      </c>
      <c r="E322" s="150" t="str">
        <f t="shared" si="1"/>
        <v>http://dx.doi.org/10.1109/TVCG.2013.196</v>
      </c>
      <c r="F322" s="14">
        <v>2436.0</v>
      </c>
      <c r="G322" s="14">
        <v>2445.0</v>
      </c>
      <c r="H322" s="151"/>
      <c r="I322" s="14" t="s">
        <v>17059</v>
      </c>
      <c r="J322" s="14" t="s">
        <v>24862</v>
      </c>
      <c r="K322" s="14" t="s">
        <v>24865</v>
      </c>
      <c r="L322" s="152" t="s">
        <v>880</v>
      </c>
      <c r="M322" s="14" t="s">
        <v>880</v>
      </c>
      <c r="N322" s="54" t="s">
        <v>24865</v>
      </c>
      <c r="O322" s="130" t="s">
        <v>24867</v>
      </c>
      <c r="P322" s="153" t="s">
        <v>24868</v>
      </c>
      <c r="Q322" s="14">
        <v>6634164.0</v>
      </c>
      <c r="R322" s="95"/>
      <c r="S322" s="154" t="s">
        <v>30270</v>
      </c>
      <c r="T322" s="84"/>
      <c r="U322" s="84"/>
      <c r="V322" s="84"/>
      <c r="W322" s="84"/>
      <c r="X322" s="84"/>
      <c r="Y322" s="84"/>
      <c r="Z322" s="84"/>
      <c r="AA322" s="84"/>
      <c r="AB322" s="84"/>
      <c r="AC322" s="84"/>
    </row>
    <row r="323" ht="15.75" customHeight="1">
      <c r="A323" s="14" t="s">
        <v>2137</v>
      </c>
      <c r="B323" s="14">
        <v>2013.0</v>
      </c>
      <c r="C323" s="14" t="s">
        <v>24869</v>
      </c>
      <c r="D323" s="14" t="s">
        <v>24870</v>
      </c>
      <c r="E323" s="150" t="str">
        <f t="shared" si="1"/>
        <v>http://dx.doi.org/10.1109/TVCG.2013.209</v>
      </c>
      <c r="F323" s="14">
        <v>2526.0</v>
      </c>
      <c r="G323" s="14">
        <v>2535.0</v>
      </c>
      <c r="H323" s="151"/>
      <c r="I323" s="14" t="s">
        <v>17059</v>
      </c>
      <c r="J323" s="14" t="s">
        <v>24871</v>
      </c>
      <c r="K323" s="14" t="s">
        <v>30274</v>
      </c>
      <c r="L323" s="152" t="s">
        <v>880</v>
      </c>
      <c r="M323" s="14" t="s">
        <v>880</v>
      </c>
      <c r="N323" s="54" t="s">
        <v>30274</v>
      </c>
      <c r="O323" s="130" t="s">
        <v>24875</v>
      </c>
      <c r="P323" s="153" t="s">
        <v>24876</v>
      </c>
      <c r="Q323" s="14">
        <v>6634088.0</v>
      </c>
      <c r="R323" s="95"/>
      <c r="S323" s="154" t="s">
        <v>30275</v>
      </c>
      <c r="T323" s="84"/>
      <c r="U323" s="84"/>
      <c r="V323" s="84"/>
      <c r="W323" s="84"/>
      <c r="X323" s="84"/>
      <c r="Y323" s="84"/>
      <c r="Z323" s="84"/>
      <c r="AA323" s="84"/>
      <c r="AB323" s="84"/>
      <c r="AC323" s="84"/>
    </row>
    <row r="324" ht="15.75" customHeight="1">
      <c r="A324" s="14" t="s">
        <v>2137</v>
      </c>
      <c r="B324" s="14">
        <v>2013.0</v>
      </c>
      <c r="C324" s="14" t="s">
        <v>24877</v>
      </c>
      <c r="D324" s="14" t="s">
        <v>24878</v>
      </c>
      <c r="E324" s="150" t="str">
        <f t="shared" si="1"/>
        <v>http://dx.doi.org/10.1109/TVCG.2013.210</v>
      </c>
      <c r="F324" s="14">
        <v>2426.0</v>
      </c>
      <c r="G324" s="14">
        <v>2435.0</v>
      </c>
      <c r="H324" s="151"/>
      <c r="I324" s="14" t="s">
        <v>17059</v>
      </c>
      <c r="J324" s="14" t="s">
        <v>24880</v>
      </c>
      <c r="K324" s="14" t="s">
        <v>30284</v>
      </c>
      <c r="L324" s="152" t="s">
        <v>28450</v>
      </c>
      <c r="M324" s="14" t="s">
        <v>494</v>
      </c>
      <c r="N324" s="54" t="s">
        <v>30284</v>
      </c>
      <c r="O324" s="130" t="s">
        <v>23587</v>
      </c>
      <c r="P324" s="153" t="s">
        <v>24884</v>
      </c>
      <c r="Q324" s="14">
        <v>6634143.0</v>
      </c>
      <c r="R324" s="95"/>
      <c r="S324" s="154">
        <v>6327259.0</v>
      </c>
      <c r="T324" s="84"/>
      <c r="U324" s="84"/>
      <c r="V324" s="84"/>
      <c r="W324" s="84"/>
      <c r="X324" s="84"/>
      <c r="Y324" s="84"/>
      <c r="Z324" s="84"/>
      <c r="AA324" s="84"/>
      <c r="AB324" s="84"/>
      <c r="AC324" s="84"/>
    </row>
    <row r="325" ht="15.75" customHeight="1">
      <c r="A325" s="14" t="s">
        <v>2137</v>
      </c>
      <c r="B325" s="14">
        <v>2013.0</v>
      </c>
      <c r="C325" s="14" t="s">
        <v>24885</v>
      </c>
      <c r="D325" s="14" t="s">
        <v>24886</v>
      </c>
      <c r="E325" s="150" t="str">
        <f t="shared" si="1"/>
        <v>http://dx.doi.org/10.1109/TVCG.2013.214</v>
      </c>
      <c r="F325" s="14">
        <v>2546.0</v>
      </c>
      <c r="G325" s="14">
        <v>2555.0</v>
      </c>
      <c r="H325" s="151"/>
      <c r="I325" s="14" t="s">
        <v>17059</v>
      </c>
      <c r="J325" s="14" t="s">
        <v>24887</v>
      </c>
      <c r="K325" s="14" t="s">
        <v>30285</v>
      </c>
      <c r="L325" s="152" t="s">
        <v>494</v>
      </c>
      <c r="M325" s="14" t="s">
        <v>494</v>
      </c>
      <c r="N325" s="54" t="s">
        <v>30285</v>
      </c>
      <c r="O325" s="130" t="s">
        <v>24890</v>
      </c>
      <c r="P325" s="153" t="s">
        <v>24891</v>
      </c>
      <c r="Q325" s="14">
        <v>6634170.0</v>
      </c>
      <c r="R325" s="95"/>
      <c r="S325" s="154" t="s">
        <v>30286</v>
      </c>
      <c r="T325" s="84"/>
      <c r="U325" s="84"/>
      <c r="V325" s="84"/>
      <c r="W325" s="84"/>
      <c r="X325" s="84"/>
      <c r="Y325" s="84"/>
      <c r="Z325" s="84"/>
      <c r="AA325" s="84"/>
      <c r="AB325" s="84"/>
      <c r="AC325" s="84"/>
    </row>
    <row r="326" ht="15.75" customHeight="1">
      <c r="A326" s="14" t="s">
        <v>2137</v>
      </c>
      <c r="B326" s="14">
        <v>2013.0</v>
      </c>
      <c r="C326" s="14" t="s">
        <v>24892</v>
      </c>
      <c r="D326" s="14" t="s">
        <v>24893</v>
      </c>
      <c r="E326" s="150" t="str">
        <f t="shared" si="1"/>
        <v>http://dx.doi.org/10.1109/TVCG.2013.225</v>
      </c>
      <c r="F326" s="14">
        <v>2576.0</v>
      </c>
      <c r="G326" s="14">
        <v>2585.0</v>
      </c>
      <c r="H326" s="151"/>
      <c r="I326" s="14" t="s">
        <v>17059</v>
      </c>
      <c r="J326" s="14" t="s">
        <v>24894</v>
      </c>
      <c r="K326" s="14" t="s">
        <v>30293</v>
      </c>
      <c r="L326" s="152" t="s">
        <v>27776</v>
      </c>
      <c r="M326" s="14" t="s">
        <v>880</v>
      </c>
      <c r="N326" s="54" t="s">
        <v>30294</v>
      </c>
      <c r="O326" s="130" t="s">
        <v>24895</v>
      </c>
      <c r="P326" s="153" t="s">
        <v>24896</v>
      </c>
      <c r="Q326" s="14">
        <v>6634198.0</v>
      </c>
      <c r="R326" s="95"/>
      <c r="S326" s="154" t="s">
        <v>30296</v>
      </c>
      <c r="T326" s="84"/>
      <c r="U326" s="84"/>
      <c r="V326" s="84"/>
      <c r="W326" s="84"/>
      <c r="X326" s="84"/>
      <c r="Y326" s="84"/>
      <c r="Z326" s="84"/>
      <c r="AA326" s="84"/>
      <c r="AB326" s="84"/>
      <c r="AC326" s="84"/>
    </row>
    <row r="327" ht="15.75" customHeight="1">
      <c r="A327" s="14" t="s">
        <v>2137</v>
      </c>
      <c r="B327" s="14">
        <v>2013.0</v>
      </c>
      <c r="C327" s="14" t="s">
        <v>24899</v>
      </c>
      <c r="D327" s="14" t="s">
        <v>24900</v>
      </c>
      <c r="E327" s="150" t="str">
        <f t="shared" si="1"/>
        <v>http://dx.doi.org/10.1109/TVCG.2013.227</v>
      </c>
      <c r="F327" s="14">
        <v>2446.0</v>
      </c>
      <c r="G327" s="14">
        <v>2455.0</v>
      </c>
      <c r="H327" s="151"/>
      <c r="I327" s="14" t="s">
        <v>17059</v>
      </c>
      <c r="J327" s="14" t="s">
        <v>24902</v>
      </c>
      <c r="K327" s="14" t="s">
        <v>30299</v>
      </c>
      <c r="L327" s="152" t="s">
        <v>494</v>
      </c>
      <c r="M327" s="14" t="s">
        <v>494</v>
      </c>
      <c r="N327" s="54" t="s">
        <v>30300</v>
      </c>
      <c r="O327" s="130" t="s">
        <v>24904</v>
      </c>
      <c r="P327" s="153" t="s">
        <v>24905</v>
      </c>
      <c r="Q327" s="14">
        <v>6634152.0</v>
      </c>
      <c r="R327" s="95"/>
      <c r="S327" s="154" t="s">
        <v>30301</v>
      </c>
      <c r="T327" s="84"/>
      <c r="U327" s="84"/>
      <c r="V327" s="84"/>
      <c r="W327" s="84"/>
      <c r="X327" s="84"/>
      <c r="Y327" s="84"/>
      <c r="Z327" s="84"/>
      <c r="AA327" s="84"/>
      <c r="AB327" s="84"/>
      <c r="AC327" s="84"/>
    </row>
    <row r="328" ht="15.75" customHeight="1">
      <c r="A328" s="14" t="s">
        <v>2137</v>
      </c>
      <c r="B328" s="14">
        <v>2013.0</v>
      </c>
      <c r="C328" s="14" t="s">
        <v>24906</v>
      </c>
      <c r="D328" s="14" t="s">
        <v>24907</v>
      </c>
      <c r="E328" s="150" t="str">
        <f t="shared" si="1"/>
        <v>http://dx.doi.org/10.1109/TVCG.2013.230</v>
      </c>
      <c r="F328" s="14">
        <v>2644.0</v>
      </c>
      <c r="G328" s="14">
        <v>2652.0</v>
      </c>
      <c r="H328" s="151"/>
      <c r="I328" s="14" t="s">
        <v>17059</v>
      </c>
      <c r="J328" s="14" t="s">
        <v>24908</v>
      </c>
      <c r="K328" s="14" t="s">
        <v>30302</v>
      </c>
      <c r="L328" s="152" t="s">
        <v>28649</v>
      </c>
      <c r="M328" s="14" t="s">
        <v>178</v>
      </c>
      <c r="N328" s="54" t="s">
        <v>30302</v>
      </c>
      <c r="O328" s="130" t="s">
        <v>24911</v>
      </c>
      <c r="P328" s="153" t="s">
        <v>24912</v>
      </c>
      <c r="Q328" s="14">
        <v>6634092.0</v>
      </c>
      <c r="R328" s="95"/>
      <c r="S328" s="154" t="s">
        <v>30303</v>
      </c>
      <c r="T328" s="84"/>
      <c r="U328" s="84"/>
      <c r="V328" s="84"/>
      <c r="W328" s="84"/>
      <c r="X328" s="84"/>
      <c r="Y328" s="84"/>
      <c r="Z328" s="84"/>
      <c r="AA328" s="84"/>
      <c r="AB328" s="84"/>
      <c r="AC328" s="84"/>
    </row>
    <row r="329" ht="15.75" customHeight="1">
      <c r="A329" s="14" t="s">
        <v>2137</v>
      </c>
      <c r="B329" s="14">
        <v>2013.0</v>
      </c>
      <c r="C329" s="14" t="s">
        <v>24913</v>
      </c>
      <c r="D329" s="14" t="s">
        <v>24914</v>
      </c>
      <c r="E329" s="150" t="str">
        <f t="shared" si="1"/>
        <v>http://dx.doi.org/10.1109/TVCG.2013.231</v>
      </c>
      <c r="F329" s="14">
        <v>2566.0</v>
      </c>
      <c r="G329" s="14">
        <v>2575.0</v>
      </c>
      <c r="H329" s="151"/>
      <c r="I329" s="14" t="s">
        <v>17059</v>
      </c>
      <c r="J329" s="14" t="s">
        <v>24915</v>
      </c>
      <c r="K329" s="14" t="s">
        <v>30310</v>
      </c>
      <c r="L329" s="152" t="s">
        <v>28658</v>
      </c>
      <c r="M329" s="14" t="s">
        <v>5349</v>
      </c>
      <c r="N329" s="54" t="s">
        <v>30310</v>
      </c>
      <c r="O329" s="130" t="s">
        <v>24919</v>
      </c>
      <c r="P329" s="153" t="s">
        <v>24920</v>
      </c>
      <c r="Q329" s="14">
        <v>6634101.0</v>
      </c>
      <c r="R329" s="95"/>
      <c r="S329" s="154" t="s">
        <v>30314</v>
      </c>
      <c r="T329" s="84"/>
      <c r="U329" s="84"/>
      <c r="V329" s="84"/>
      <c r="W329" s="84"/>
      <c r="X329" s="84"/>
      <c r="Y329" s="84"/>
      <c r="Z329" s="84"/>
      <c r="AA329" s="84"/>
      <c r="AB329" s="84"/>
      <c r="AC329" s="84"/>
    </row>
    <row r="330" ht="15.75" customHeight="1">
      <c r="A330" s="14" t="s">
        <v>2137</v>
      </c>
      <c r="B330" s="14">
        <v>2013.0</v>
      </c>
      <c r="C330" s="14" t="s">
        <v>24921</v>
      </c>
      <c r="D330" s="14" t="s">
        <v>24922</v>
      </c>
      <c r="E330" s="150" t="str">
        <f t="shared" si="1"/>
        <v>http://dx.doi.org/10.1109/TVCG.2013.232</v>
      </c>
      <c r="F330" s="14">
        <v>2486.0</v>
      </c>
      <c r="G330" s="14">
        <v>2495.0</v>
      </c>
      <c r="H330" s="151"/>
      <c r="I330" s="14" t="s">
        <v>17059</v>
      </c>
      <c r="J330" s="14" t="s">
        <v>24924</v>
      </c>
      <c r="K330" s="14" t="s">
        <v>30315</v>
      </c>
      <c r="L330" s="152" t="s">
        <v>28666</v>
      </c>
      <c r="M330" s="14" t="s">
        <v>494</v>
      </c>
      <c r="N330" s="54" t="s">
        <v>30315</v>
      </c>
      <c r="O330" s="130" t="s">
        <v>24928</v>
      </c>
      <c r="P330" s="153" t="s">
        <v>24929</v>
      </c>
      <c r="Q330" s="14">
        <v>6634179.0</v>
      </c>
      <c r="R330" s="95"/>
      <c r="S330" s="154" t="s">
        <v>30316</v>
      </c>
      <c r="T330" s="84"/>
      <c r="U330" s="84"/>
      <c r="V330" s="84"/>
      <c r="W330" s="84"/>
      <c r="X330" s="84"/>
      <c r="Y330" s="84"/>
      <c r="Z330" s="84"/>
      <c r="AA330" s="84"/>
      <c r="AB330" s="84"/>
      <c r="AC330" s="84"/>
    </row>
    <row r="331" ht="15.75" customHeight="1">
      <c r="A331" s="14" t="s">
        <v>2137</v>
      </c>
      <c r="B331" s="14">
        <v>2013.0</v>
      </c>
      <c r="C331" s="14" t="s">
        <v>24930</v>
      </c>
      <c r="D331" s="14" t="s">
        <v>24931</v>
      </c>
      <c r="E331" s="150" t="str">
        <f t="shared" si="1"/>
        <v>http://dx.doi.org/10.1109/TVCG.2013.233</v>
      </c>
      <c r="F331" s="14">
        <v>2466.0</v>
      </c>
      <c r="G331" s="14">
        <v>2475.0</v>
      </c>
      <c r="H331" s="151"/>
      <c r="I331" s="14" t="s">
        <v>17059</v>
      </c>
      <c r="J331" s="14" t="s">
        <v>24932</v>
      </c>
      <c r="K331" s="14" t="s">
        <v>30322</v>
      </c>
      <c r="L331" s="152" t="s">
        <v>5349</v>
      </c>
      <c r="M331" s="14" t="s">
        <v>5349</v>
      </c>
      <c r="N331" s="54" t="s">
        <v>30322</v>
      </c>
      <c r="O331" s="130" t="s">
        <v>24935</v>
      </c>
      <c r="P331" s="153" t="s">
        <v>24936</v>
      </c>
      <c r="Q331" s="14">
        <v>6634197.0</v>
      </c>
      <c r="R331" s="95"/>
      <c r="S331" s="154" t="s">
        <v>30323</v>
      </c>
      <c r="T331" s="84"/>
      <c r="U331" s="84"/>
      <c r="V331" s="84"/>
      <c r="W331" s="84"/>
      <c r="X331" s="84"/>
      <c r="Y331" s="84"/>
      <c r="Z331" s="84"/>
      <c r="AA331" s="84"/>
      <c r="AB331" s="84"/>
      <c r="AC331" s="84"/>
    </row>
    <row r="332" ht="15.75" customHeight="1">
      <c r="A332" s="14" t="s">
        <v>2137</v>
      </c>
      <c r="B332" s="14">
        <v>2013.0</v>
      </c>
      <c r="C332" s="14" t="s">
        <v>24937</v>
      </c>
      <c r="D332" s="14" t="s">
        <v>24938</v>
      </c>
      <c r="E332" s="150" t="str">
        <f t="shared" si="1"/>
        <v>http://dx.doi.org/10.1109/TVCG.2013.234</v>
      </c>
      <c r="F332" s="14">
        <v>2306.0</v>
      </c>
      <c r="G332" s="14">
        <v>2315.0</v>
      </c>
      <c r="H332" s="151"/>
      <c r="I332" s="14" t="s">
        <v>17059</v>
      </c>
      <c r="J332" s="14" t="s">
        <v>24939</v>
      </c>
      <c r="K332" s="14" t="s">
        <v>30327</v>
      </c>
      <c r="L332" s="152" t="s">
        <v>28064</v>
      </c>
      <c r="M332" s="14" t="s">
        <v>1253</v>
      </c>
      <c r="N332" s="54" t="s">
        <v>30328</v>
      </c>
      <c r="O332" s="130" t="s">
        <v>24943</v>
      </c>
      <c r="P332" s="153" t="s">
        <v>24944</v>
      </c>
      <c r="Q332" s="14">
        <v>6634103.0</v>
      </c>
      <c r="R332" s="95"/>
      <c r="S332" s="154" t="s">
        <v>30329</v>
      </c>
      <c r="T332" s="84"/>
      <c r="U332" s="84"/>
      <c r="V332" s="84"/>
      <c r="W332" s="84"/>
      <c r="X332" s="84"/>
      <c r="Y332" s="84"/>
      <c r="Z332" s="84"/>
      <c r="AA332" s="84"/>
      <c r="AB332" s="84"/>
      <c r="AC332" s="84"/>
    </row>
    <row r="333" ht="15.75" customHeight="1">
      <c r="A333" s="14" t="s">
        <v>4153</v>
      </c>
      <c r="B333" s="14">
        <v>2013.0</v>
      </c>
      <c r="C333" s="14" t="s">
        <v>24945</v>
      </c>
      <c r="D333" s="14" t="s">
        <v>24946</v>
      </c>
      <c r="E333" s="150" t="str">
        <f t="shared" si="1"/>
        <v>http://dx.doi.org/10.1109/TVCG.2013.121</v>
      </c>
      <c r="F333" s="14">
        <v>2802.0</v>
      </c>
      <c r="G333" s="14">
        <v>2809.0</v>
      </c>
      <c r="H333" s="151"/>
      <c r="I333" s="14" t="s">
        <v>17059</v>
      </c>
      <c r="J333" s="14" t="s">
        <v>24947</v>
      </c>
      <c r="K333" s="14" t="s">
        <v>30330</v>
      </c>
      <c r="L333" s="152" t="s">
        <v>27984</v>
      </c>
      <c r="M333" s="14" t="s">
        <v>880</v>
      </c>
      <c r="N333" s="54" t="s">
        <v>30330</v>
      </c>
      <c r="O333" s="130" t="s">
        <v>24950</v>
      </c>
      <c r="P333" s="153" t="s">
        <v>24951</v>
      </c>
      <c r="Q333" s="14">
        <v>6651934.0</v>
      </c>
      <c r="R333" s="95"/>
      <c r="S333" s="154" t="s">
        <v>30333</v>
      </c>
      <c r="T333" s="84"/>
      <c r="U333" s="84"/>
      <c r="V333" s="84"/>
      <c r="W333" s="84"/>
      <c r="X333" s="84"/>
      <c r="Y333" s="84"/>
      <c r="Z333" s="84"/>
      <c r="AA333" s="84"/>
      <c r="AB333" s="84"/>
      <c r="AC333" s="84"/>
    </row>
    <row r="334" ht="15.75" customHeight="1">
      <c r="A334" s="14" t="s">
        <v>4153</v>
      </c>
      <c r="B334" s="14">
        <v>2013.0</v>
      </c>
      <c r="C334" s="14" t="s">
        <v>24952</v>
      </c>
      <c r="D334" s="14" t="s">
        <v>24953</v>
      </c>
      <c r="E334" s="150" t="str">
        <f t="shared" si="1"/>
        <v>http://dx.doi.org/10.1109/TVCG.2013.123</v>
      </c>
      <c r="F334" s="14">
        <v>2792.0</v>
      </c>
      <c r="G334" s="14">
        <v>2801.0</v>
      </c>
      <c r="H334" s="151"/>
      <c r="I334" s="14" t="s">
        <v>17059</v>
      </c>
      <c r="J334" s="14" t="s">
        <v>24954</v>
      </c>
      <c r="K334" s="14" t="s">
        <v>24955</v>
      </c>
      <c r="L334" s="152" t="s">
        <v>27988</v>
      </c>
      <c r="M334" s="14" t="s">
        <v>494</v>
      </c>
      <c r="N334" s="54" t="s">
        <v>24955</v>
      </c>
      <c r="O334" s="130" t="s">
        <v>24956</v>
      </c>
      <c r="P334" s="153" t="s">
        <v>24957</v>
      </c>
      <c r="Q334" s="14">
        <v>6634149.0</v>
      </c>
      <c r="R334" s="95"/>
      <c r="S334" s="154" t="s">
        <v>30339</v>
      </c>
      <c r="T334" s="84"/>
      <c r="U334" s="84"/>
      <c r="V334" s="84"/>
      <c r="W334" s="84"/>
      <c r="X334" s="84"/>
      <c r="Y334" s="84"/>
      <c r="Z334" s="84"/>
      <c r="AA334" s="84"/>
      <c r="AB334" s="84"/>
      <c r="AC334" s="84"/>
    </row>
    <row r="335" ht="15.75" customHeight="1">
      <c r="A335" s="14" t="s">
        <v>4153</v>
      </c>
      <c r="B335" s="14">
        <v>2013.0</v>
      </c>
      <c r="C335" s="14" t="s">
        <v>24958</v>
      </c>
      <c r="D335" s="14" t="s">
        <v>24959</v>
      </c>
      <c r="E335" s="150" t="str">
        <f t="shared" si="1"/>
        <v>http://dx.doi.org/10.1109/TVCG.2013.126</v>
      </c>
      <c r="F335" s="14">
        <v>2818.0</v>
      </c>
      <c r="G335" s="14">
        <v>2827.0</v>
      </c>
      <c r="H335" s="151"/>
      <c r="I335" s="14" t="s">
        <v>17059</v>
      </c>
      <c r="J335" s="14" t="s">
        <v>24960</v>
      </c>
      <c r="K335" s="14" t="s">
        <v>30340</v>
      </c>
      <c r="L335" s="152" t="s">
        <v>27994</v>
      </c>
      <c r="M335" s="14" t="s">
        <v>880</v>
      </c>
      <c r="N335" s="54" t="s">
        <v>30340</v>
      </c>
      <c r="O335" s="130" t="s">
        <v>24964</v>
      </c>
      <c r="P335" s="153" t="s">
        <v>24965</v>
      </c>
      <c r="Q335" s="14">
        <v>6634108.0</v>
      </c>
      <c r="R335" s="95"/>
      <c r="S335" s="154" t="s">
        <v>30341</v>
      </c>
      <c r="T335" s="84"/>
      <c r="U335" s="84"/>
      <c r="V335" s="84"/>
      <c r="W335" s="84"/>
      <c r="X335" s="84"/>
      <c r="Y335" s="84"/>
      <c r="Z335" s="84"/>
      <c r="AA335" s="84"/>
      <c r="AB335" s="84"/>
      <c r="AC335" s="84"/>
    </row>
    <row r="336" ht="15.75" customHeight="1">
      <c r="A336" s="14" t="s">
        <v>4153</v>
      </c>
      <c r="B336" s="14">
        <v>2013.0</v>
      </c>
      <c r="C336" s="14" t="s">
        <v>24966</v>
      </c>
      <c r="D336" s="14" t="s">
        <v>24967</v>
      </c>
      <c r="E336" s="150" t="str">
        <f t="shared" si="1"/>
        <v>http://dx.doi.org/10.1109/TVCG.2013.127</v>
      </c>
      <c r="F336" s="14">
        <v>2886.0</v>
      </c>
      <c r="G336" s="14">
        <v>2895.0</v>
      </c>
      <c r="H336" s="151"/>
      <c r="I336" s="14" t="s">
        <v>17059</v>
      </c>
      <c r="J336" s="14" t="s">
        <v>24968</v>
      </c>
      <c r="K336" s="14" t="s">
        <v>30342</v>
      </c>
      <c r="L336" s="152" t="s">
        <v>27996</v>
      </c>
      <c r="M336" s="14" t="s">
        <v>178</v>
      </c>
      <c r="N336" s="54" t="s">
        <v>30345</v>
      </c>
      <c r="O336" s="130" t="s">
        <v>24970</v>
      </c>
      <c r="P336" s="153" t="s">
        <v>24971</v>
      </c>
      <c r="Q336" s="14">
        <v>6634175.0</v>
      </c>
      <c r="R336" s="95"/>
      <c r="S336" s="154" t="s">
        <v>30347</v>
      </c>
      <c r="T336" s="84"/>
      <c r="U336" s="84"/>
      <c r="V336" s="84"/>
      <c r="W336" s="84"/>
      <c r="X336" s="84"/>
      <c r="Y336" s="84"/>
      <c r="Z336" s="84"/>
      <c r="AA336" s="84"/>
      <c r="AB336" s="84"/>
      <c r="AC336" s="84"/>
    </row>
    <row r="337" ht="15.75" customHeight="1">
      <c r="A337" s="14" t="s">
        <v>4153</v>
      </c>
      <c r="B337" s="14">
        <v>2013.0</v>
      </c>
      <c r="C337" s="14" t="s">
        <v>24972</v>
      </c>
      <c r="D337" s="14" t="s">
        <v>24973</v>
      </c>
      <c r="E337" s="150" t="str">
        <f t="shared" si="1"/>
        <v>http://dx.doi.org/10.1109/TVCG.2013.128</v>
      </c>
      <c r="F337" s="14">
        <v>2753.0</v>
      </c>
      <c r="G337" s="14">
        <v>2762.0</v>
      </c>
      <c r="H337" s="151"/>
      <c r="I337" s="14" t="s">
        <v>17059</v>
      </c>
      <c r="J337" s="14" t="s">
        <v>24974</v>
      </c>
      <c r="K337" s="14" t="s">
        <v>30351</v>
      </c>
      <c r="L337" s="152" t="s">
        <v>27998</v>
      </c>
      <c r="M337" s="14" t="s">
        <v>178</v>
      </c>
      <c r="N337" s="54" t="s">
        <v>30351</v>
      </c>
      <c r="O337" s="130" t="s">
        <v>24977</v>
      </c>
      <c r="P337" s="153" t="s">
        <v>24978</v>
      </c>
      <c r="Q337" s="14">
        <v>6634133.0</v>
      </c>
      <c r="R337" s="95"/>
      <c r="S337" s="154" t="s">
        <v>30352</v>
      </c>
      <c r="T337" s="84"/>
      <c r="U337" s="84"/>
      <c r="V337" s="84"/>
      <c r="W337" s="84"/>
      <c r="X337" s="84"/>
      <c r="Y337" s="84"/>
      <c r="Z337" s="84"/>
      <c r="AA337" s="84"/>
      <c r="AB337" s="84"/>
      <c r="AC337" s="84"/>
    </row>
    <row r="338" ht="15.75" customHeight="1">
      <c r="A338" s="14" t="s">
        <v>4153</v>
      </c>
      <c r="B338" s="14">
        <v>2013.0</v>
      </c>
      <c r="C338" s="14" t="s">
        <v>24979</v>
      </c>
      <c r="D338" s="14" t="s">
        <v>24980</v>
      </c>
      <c r="E338" s="150" t="str">
        <f t="shared" si="1"/>
        <v>http://dx.doi.org/10.1109/TVCG.2013.129</v>
      </c>
      <c r="F338" s="14">
        <v>2936.0</v>
      </c>
      <c r="G338" s="14">
        <v>2945.0</v>
      </c>
      <c r="H338" s="151"/>
      <c r="I338" s="14" t="s">
        <v>17059</v>
      </c>
      <c r="J338" s="14" t="s">
        <v>24981</v>
      </c>
      <c r="K338" s="14" t="s">
        <v>30353</v>
      </c>
      <c r="L338" s="152" t="s">
        <v>28000</v>
      </c>
      <c r="M338" s="14" t="s">
        <v>494</v>
      </c>
      <c r="N338" s="54" t="s">
        <v>30353</v>
      </c>
      <c r="O338" s="130" t="s">
        <v>24984</v>
      </c>
      <c r="P338" s="153" t="s">
        <v>24985</v>
      </c>
      <c r="Q338" s="14">
        <v>6634150.0</v>
      </c>
      <c r="R338" s="95"/>
      <c r="S338" s="154" t="s">
        <v>30354</v>
      </c>
      <c r="T338" s="84"/>
      <c r="U338" s="84"/>
      <c r="V338" s="84"/>
      <c r="W338" s="84"/>
      <c r="X338" s="84"/>
      <c r="Y338" s="84"/>
      <c r="Z338" s="84"/>
      <c r="AA338" s="84"/>
      <c r="AB338" s="84"/>
      <c r="AC338" s="84"/>
    </row>
    <row r="339" ht="15.75" customHeight="1">
      <c r="A339" s="14" t="s">
        <v>4153</v>
      </c>
      <c r="B339" s="14">
        <v>2013.0</v>
      </c>
      <c r="C339" s="14" t="s">
        <v>24986</v>
      </c>
      <c r="D339" s="14" t="s">
        <v>24987</v>
      </c>
      <c r="E339" s="150" t="str">
        <f t="shared" si="1"/>
        <v>http://dx.doi.org/10.1109/TVCG.2013.131</v>
      </c>
      <c r="F339" s="14">
        <v>2896.0</v>
      </c>
      <c r="G339" s="14">
        <v>2905.0</v>
      </c>
      <c r="H339" s="151"/>
      <c r="I339" s="14" t="s">
        <v>17059</v>
      </c>
      <c r="J339" s="14" t="s">
        <v>24988</v>
      </c>
      <c r="K339" s="14" t="s">
        <v>30357</v>
      </c>
      <c r="L339" s="152" t="s">
        <v>28005</v>
      </c>
      <c r="M339" s="14" t="s">
        <v>494</v>
      </c>
      <c r="N339" s="54" t="s">
        <v>30357</v>
      </c>
      <c r="O339" s="130" t="s">
        <v>24991</v>
      </c>
      <c r="P339" s="153" t="s">
        <v>24992</v>
      </c>
      <c r="Q339" s="14">
        <v>6634109.0</v>
      </c>
      <c r="R339" s="95"/>
      <c r="S339" s="154" t="s">
        <v>30361</v>
      </c>
      <c r="T339" s="84"/>
      <c r="U339" s="84"/>
      <c r="V339" s="84"/>
      <c r="W339" s="84"/>
      <c r="X339" s="84"/>
      <c r="Y339" s="84"/>
      <c r="Z339" s="84"/>
      <c r="AA339" s="84"/>
      <c r="AB339" s="84"/>
      <c r="AC339" s="84"/>
    </row>
    <row r="340" ht="15.75" customHeight="1">
      <c r="A340" s="14" t="s">
        <v>4153</v>
      </c>
      <c r="B340" s="14">
        <v>2013.0</v>
      </c>
      <c r="C340" s="14" t="s">
        <v>24993</v>
      </c>
      <c r="D340" s="54" t="s">
        <v>24994</v>
      </c>
      <c r="E340" s="156" t="str">
        <f>HYPERLINK("http://dx.doi.org/10.1109/TVCG.2013.133","http://dx.doi.org/10.1109/TVCG.2013.133")</f>
        <v>http://dx.doi.org/10.1109/TVCG.2013.133</v>
      </c>
      <c r="F340" s="122">
        <v>2683.0</v>
      </c>
      <c r="G340" s="50">
        <v>2692.0</v>
      </c>
      <c r="H340" s="151"/>
      <c r="I340" s="14" t="s">
        <v>17059</v>
      </c>
      <c r="J340" s="14" t="s">
        <v>24995</v>
      </c>
      <c r="K340" s="14" t="s">
        <v>30371</v>
      </c>
      <c r="L340" s="152" t="s">
        <v>28009</v>
      </c>
      <c r="M340" s="14" t="s">
        <v>5349</v>
      </c>
      <c r="N340" s="54" t="s">
        <v>30371</v>
      </c>
      <c r="O340" s="130" t="s">
        <v>24998</v>
      </c>
      <c r="P340" s="153" t="s">
        <v>24999</v>
      </c>
      <c r="Q340" s="14">
        <v>6634187.0</v>
      </c>
      <c r="R340" s="95"/>
      <c r="S340" s="154" t="s">
        <v>30372</v>
      </c>
      <c r="T340" s="84"/>
      <c r="U340" s="84"/>
      <c r="V340" s="84"/>
      <c r="W340" s="84"/>
      <c r="X340" s="84"/>
      <c r="Y340" s="84"/>
      <c r="Z340" s="84"/>
      <c r="AA340" s="84"/>
      <c r="AB340" s="84"/>
      <c r="AC340" s="84"/>
    </row>
    <row r="341" ht="15.75" customHeight="1">
      <c r="A341" s="14" t="s">
        <v>4153</v>
      </c>
      <c r="B341" s="14">
        <v>2013.0</v>
      </c>
      <c r="C341" s="14" t="s">
        <v>25000</v>
      </c>
      <c r="D341" s="14" t="s">
        <v>25001</v>
      </c>
      <c r="E341" s="150" t="str">
        <f t="shared" ref="E341:E578" si="2">"http://dx.doi.org/" &amp; D341</f>
        <v>http://dx.doi.org/10.1109/TVCG.2013.135</v>
      </c>
      <c r="F341" s="14">
        <v>2838.0</v>
      </c>
      <c r="G341" s="14">
        <v>2847.0</v>
      </c>
      <c r="H341" s="151"/>
      <c r="I341" s="14" t="s">
        <v>17059</v>
      </c>
      <c r="J341" s="14" t="s">
        <v>28013</v>
      </c>
      <c r="K341" s="14" t="s">
        <v>30373</v>
      </c>
      <c r="L341" s="152" t="s">
        <v>1253</v>
      </c>
      <c r="M341" s="14" t="s">
        <v>1253</v>
      </c>
      <c r="N341" s="54" t="s">
        <v>30374</v>
      </c>
      <c r="O341" s="130" t="s">
        <v>23177</v>
      </c>
      <c r="P341" s="153" t="s">
        <v>25006</v>
      </c>
      <c r="Q341" s="14">
        <v>6634117.0</v>
      </c>
      <c r="R341" s="95"/>
      <c r="S341" s="154">
        <v>6064964.0</v>
      </c>
      <c r="T341" s="84"/>
      <c r="U341" s="84"/>
      <c r="V341" s="84"/>
      <c r="W341" s="84"/>
      <c r="X341" s="84"/>
      <c r="Y341" s="84"/>
      <c r="Z341" s="84"/>
      <c r="AA341" s="84"/>
      <c r="AB341" s="84"/>
      <c r="AC341" s="84"/>
    </row>
    <row r="342" ht="15.75" customHeight="1">
      <c r="A342" s="14" t="s">
        <v>4153</v>
      </c>
      <c r="B342" s="14">
        <v>2013.0</v>
      </c>
      <c r="C342" s="14" t="s">
        <v>25007</v>
      </c>
      <c r="D342" s="14" t="s">
        <v>25008</v>
      </c>
      <c r="E342" s="150" t="str">
        <f t="shared" si="2"/>
        <v>http://dx.doi.org/10.1109/TVCG.2013.138</v>
      </c>
      <c r="F342" s="14">
        <v>2703.0</v>
      </c>
      <c r="G342" s="14">
        <v>2712.0</v>
      </c>
      <c r="H342" s="151"/>
      <c r="I342" s="14" t="s">
        <v>17059</v>
      </c>
      <c r="J342" s="14" t="s">
        <v>25009</v>
      </c>
      <c r="K342" s="14" t="s">
        <v>30379</v>
      </c>
      <c r="L342" s="152" t="s">
        <v>1253</v>
      </c>
      <c r="M342" s="14" t="s">
        <v>1253</v>
      </c>
      <c r="N342" s="54" t="s">
        <v>30379</v>
      </c>
      <c r="O342" s="130" t="s">
        <v>25013</v>
      </c>
      <c r="P342" s="153" t="s">
        <v>25014</v>
      </c>
      <c r="Q342" s="14">
        <v>6634123.0</v>
      </c>
      <c r="R342" s="95"/>
      <c r="S342" s="154" t="s">
        <v>30382</v>
      </c>
      <c r="T342" s="84"/>
      <c r="U342" s="84"/>
      <c r="V342" s="84"/>
      <c r="W342" s="84"/>
      <c r="X342" s="84"/>
      <c r="Y342" s="84"/>
      <c r="Z342" s="84"/>
      <c r="AA342" s="84"/>
      <c r="AB342" s="84"/>
      <c r="AC342" s="84"/>
    </row>
    <row r="343" ht="15.75" customHeight="1">
      <c r="A343" s="14" t="s">
        <v>4153</v>
      </c>
      <c r="B343" s="14">
        <v>2013.0</v>
      </c>
      <c r="C343" s="14" t="s">
        <v>25015</v>
      </c>
      <c r="D343" s="14" t="s">
        <v>25016</v>
      </c>
      <c r="E343" s="150" t="str">
        <f t="shared" si="2"/>
        <v>http://dx.doi.org/10.1109/TVCG.2013.139</v>
      </c>
      <c r="F343" s="14">
        <v>2848.0</v>
      </c>
      <c r="G343" s="14">
        <v>2857.0</v>
      </c>
      <c r="H343" s="151"/>
      <c r="I343" s="14" t="s">
        <v>17059</v>
      </c>
      <c r="J343" s="14" t="s">
        <v>25017</v>
      </c>
      <c r="K343" s="14" t="s">
        <v>30384</v>
      </c>
      <c r="L343" s="152" t="s">
        <v>28018</v>
      </c>
      <c r="M343" s="14" t="s">
        <v>880</v>
      </c>
      <c r="N343" s="54" t="s">
        <v>30384</v>
      </c>
      <c r="O343" s="130" t="s">
        <v>25021</v>
      </c>
      <c r="P343" s="153" t="s">
        <v>25022</v>
      </c>
      <c r="Q343" s="14">
        <v>6634145.0</v>
      </c>
      <c r="R343" s="95"/>
      <c r="S343" s="154" t="s">
        <v>30385</v>
      </c>
      <c r="T343" s="84"/>
      <c r="U343" s="84"/>
      <c r="V343" s="84"/>
      <c r="W343" s="84"/>
      <c r="X343" s="84"/>
      <c r="Y343" s="84"/>
      <c r="Z343" s="84"/>
      <c r="AA343" s="84"/>
      <c r="AB343" s="84"/>
      <c r="AC343" s="84"/>
    </row>
    <row r="344" ht="15.75" customHeight="1">
      <c r="A344" s="14" t="s">
        <v>4153</v>
      </c>
      <c r="B344" s="14">
        <v>2013.0</v>
      </c>
      <c r="C344" s="14" t="s">
        <v>25023</v>
      </c>
      <c r="D344" s="14" t="s">
        <v>25024</v>
      </c>
      <c r="E344" s="150" t="str">
        <f t="shared" si="2"/>
        <v>http://dx.doi.org/10.1109/TVCG.2013.141</v>
      </c>
      <c r="F344" s="14">
        <v>2743.0</v>
      </c>
      <c r="G344" s="14">
        <v>2752.0</v>
      </c>
      <c r="H344" s="151"/>
      <c r="I344" s="14" t="s">
        <v>17059</v>
      </c>
      <c r="J344" s="14" t="s">
        <v>25025</v>
      </c>
      <c r="K344" s="14" t="s">
        <v>30400</v>
      </c>
      <c r="L344" s="152" t="s">
        <v>28021</v>
      </c>
      <c r="M344" s="14" t="s">
        <v>5349</v>
      </c>
      <c r="N344" s="54" t="s">
        <v>30400</v>
      </c>
      <c r="O344" s="130" t="s">
        <v>25028</v>
      </c>
      <c r="P344" s="153" t="s">
        <v>25029</v>
      </c>
      <c r="Q344" s="14">
        <v>6634122.0</v>
      </c>
      <c r="R344" s="95"/>
      <c r="S344" s="154" t="s">
        <v>30401</v>
      </c>
      <c r="T344" s="84"/>
      <c r="U344" s="84"/>
      <c r="V344" s="84"/>
      <c r="W344" s="84"/>
      <c r="X344" s="84"/>
      <c r="Y344" s="84"/>
      <c r="Z344" s="84"/>
      <c r="AA344" s="84"/>
      <c r="AB344" s="84"/>
      <c r="AC344" s="84"/>
    </row>
    <row r="345" ht="15.75" customHeight="1">
      <c r="A345" s="14" t="s">
        <v>4153</v>
      </c>
      <c r="B345" s="14">
        <v>2013.0</v>
      </c>
      <c r="C345" s="14" t="s">
        <v>25030</v>
      </c>
      <c r="D345" s="14" t="s">
        <v>25031</v>
      </c>
      <c r="E345" s="150" t="str">
        <f t="shared" si="2"/>
        <v>http://dx.doi.org/10.1109/TVCG.2013.142</v>
      </c>
      <c r="F345" s="14">
        <v>2868.0</v>
      </c>
      <c r="G345" s="14">
        <v>2877.0</v>
      </c>
      <c r="H345" s="151"/>
      <c r="I345" s="14" t="s">
        <v>17059</v>
      </c>
      <c r="J345" s="14" t="s">
        <v>25032</v>
      </c>
      <c r="K345" s="14" t="s">
        <v>30402</v>
      </c>
      <c r="L345" s="152" t="s">
        <v>28023</v>
      </c>
      <c r="M345" s="14" t="s">
        <v>860</v>
      </c>
      <c r="N345" s="54" t="s">
        <v>30404</v>
      </c>
      <c r="O345" s="130" t="s">
        <v>25036</v>
      </c>
      <c r="P345" s="153" t="s">
        <v>25037</v>
      </c>
      <c r="Q345" s="14">
        <v>6634132.0</v>
      </c>
      <c r="R345" s="95"/>
      <c r="S345" s="154" t="s">
        <v>30406</v>
      </c>
      <c r="T345" s="84"/>
      <c r="U345" s="84"/>
      <c r="V345" s="84"/>
      <c r="W345" s="84"/>
      <c r="X345" s="84"/>
      <c r="Y345" s="84"/>
      <c r="Z345" s="84"/>
      <c r="AA345" s="84"/>
      <c r="AB345" s="84"/>
      <c r="AC345" s="84"/>
    </row>
    <row r="346" ht="15.75" customHeight="1">
      <c r="A346" s="14" t="s">
        <v>4153</v>
      </c>
      <c r="B346" s="14">
        <v>2013.0</v>
      </c>
      <c r="C346" s="14" t="s">
        <v>25038</v>
      </c>
      <c r="D346" s="14" t="s">
        <v>25039</v>
      </c>
      <c r="E346" s="150" t="str">
        <f t="shared" si="2"/>
        <v>http://dx.doi.org/10.1109/TVCG.2013.143</v>
      </c>
      <c r="F346" s="14">
        <v>2713.0</v>
      </c>
      <c r="G346" s="14">
        <v>2722.0</v>
      </c>
      <c r="H346" s="151"/>
      <c r="I346" s="14" t="s">
        <v>17059</v>
      </c>
      <c r="J346" s="14" t="s">
        <v>25040</v>
      </c>
      <c r="K346" s="14" t="s">
        <v>30409</v>
      </c>
      <c r="L346" s="152" t="s">
        <v>26046</v>
      </c>
      <c r="M346" s="14" t="s">
        <v>494</v>
      </c>
      <c r="N346" s="54" t="s">
        <v>30409</v>
      </c>
      <c r="O346" s="130" t="s">
        <v>25044</v>
      </c>
      <c r="P346" s="153" t="s">
        <v>25045</v>
      </c>
      <c r="Q346" s="14">
        <v>6634129.0</v>
      </c>
      <c r="R346" s="95"/>
      <c r="S346" s="154" t="s">
        <v>30413</v>
      </c>
      <c r="T346" s="84"/>
      <c r="U346" s="84"/>
      <c r="V346" s="84"/>
      <c r="W346" s="84"/>
      <c r="X346" s="84"/>
      <c r="Y346" s="84"/>
      <c r="Z346" s="84"/>
      <c r="AA346" s="84"/>
      <c r="AB346" s="84"/>
      <c r="AC346" s="84"/>
    </row>
    <row r="347" ht="15.75" customHeight="1">
      <c r="A347" s="14" t="s">
        <v>4153</v>
      </c>
      <c r="B347" s="14">
        <v>2013.0</v>
      </c>
      <c r="C347" s="14" t="s">
        <v>25046</v>
      </c>
      <c r="D347" s="14" t="s">
        <v>25047</v>
      </c>
      <c r="E347" s="150" t="str">
        <f t="shared" si="2"/>
        <v>http://dx.doi.org/10.1109/TVCG.2013.144</v>
      </c>
      <c r="F347" s="14">
        <v>2733.0</v>
      </c>
      <c r="G347" s="14">
        <v>2742.0</v>
      </c>
      <c r="H347" s="151"/>
      <c r="I347" s="14" t="s">
        <v>17059</v>
      </c>
      <c r="J347" s="14" t="s">
        <v>25048</v>
      </c>
      <c r="K347" s="14" t="s">
        <v>25050</v>
      </c>
      <c r="L347" s="152" t="s">
        <v>28026</v>
      </c>
      <c r="M347" s="14" t="s">
        <v>5349</v>
      </c>
      <c r="N347" s="54" t="s">
        <v>25050</v>
      </c>
      <c r="O347" s="130" t="s">
        <v>25052</v>
      </c>
      <c r="P347" s="153" t="s">
        <v>25053</v>
      </c>
      <c r="Q347" s="14">
        <v>6634188.0</v>
      </c>
      <c r="R347" s="95"/>
      <c r="S347" s="154" t="s">
        <v>30414</v>
      </c>
      <c r="T347" s="84"/>
      <c r="U347" s="84"/>
      <c r="V347" s="84"/>
      <c r="W347" s="84"/>
      <c r="X347" s="84"/>
      <c r="Y347" s="84"/>
      <c r="Z347" s="84"/>
      <c r="AA347" s="84"/>
      <c r="AB347" s="84"/>
      <c r="AC347" s="84"/>
    </row>
    <row r="348" ht="15.75" customHeight="1">
      <c r="A348" s="14" t="s">
        <v>4153</v>
      </c>
      <c r="B348" s="14">
        <v>2013.0</v>
      </c>
      <c r="C348" s="14" t="s">
        <v>25054</v>
      </c>
      <c r="D348" s="14" t="s">
        <v>25055</v>
      </c>
      <c r="E348" s="150" t="str">
        <f t="shared" si="2"/>
        <v>http://dx.doi.org/10.1109/TVCG.2013.147</v>
      </c>
      <c r="F348" s="14">
        <v>2783.0</v>
      </c>
      <c r="G348" s="14">
        <v>2791.0</v>
      </c>
      <c r="H348" s="151"/>
      <c r="I348" s="14" t="s">
        <v>17059</v>
      </c>
      <c r="J348" s="14" t="s">
        <v>25056</v>
      </c>
      <c r="K348" s="14" t="s">
        <v>30415</v>
      </c>
      <c r="L348" s="152" t="s">
        <v>28032</v>
      </c>
      <c r="M348" s="14" t="s">
        <v>5349</v>
      </c>
      <c r="N348" s="54" t="s">
        <v>30415</v>
      </c>
      <c r="O348" s="130" t="s">
        <v>25059</v>
      </c>
      <c r="P348" s="153" t="s">
        <v>25060</v>
      </c>
      <c r="Q348" s="14">
        <v>6634138.0</v>
      </c>
      <c r="R348" s="95"/>
      <c r="S348" s="154" t="s">
        <v>30418</v>
      </c>
      <c r="T348" s="84"/>
      <c r="U348" s="84"/>
      <c r="V348" s="84"/>
      <c r="W348" s="84"/>
      <c r="X348" s="84"/>
      <c r="Y348" s="84"/>
      <c r="Z348" s="84"/>
      <c r="AA348" s="84"/>
      <c r="AB348" s="84"/>
      <c r="AC348" s="84"/>
    </row>
    <row r="349" ht="15.75" customHeight="1">
      <c r="A349" s="14" t="s">
        <v>4153</v>
      </c>
      <c r="B349" s="14">
        <v>2013.0</v>
      </c>
      <c r="C349" s="14" t="s">
        <v>25061</v>
      </c>
      <c r="D349" s="14" t="s">
        <v>25062</v>
      </c>
      <c r="E349" s="150" t="str">
        <f t="shared" si="2"/>
        <v>http://dx.doi.org/10.1109/TVCG.2013.148</v>
      </c>
      <c r="F349" s="14">
        <v>2663.0</v>
      </c>
      <c r="G349" s="14">
        <v>2672.0</v>
      </c>
      <c r="H349" s="151"/>
      <c r="I349" s="14" t="s">
        <v>17059</v>
      </c>
      <c r="J349" s="14" t="s">
        <v>25063</v>
      </c>
      <c r="K349" s="14" t="s">
        <v>29743</v>
      </c>
      <c r="L349" s="152" t="s">
        <v>26421</v>
      </c>
      <c r="M349" s="14" t="s">
        <v>178</v>
      </c>
      <c r="N349" s="54" t="s">
        <v>29743</v>
      </c>
      <c r="O349" s="130" t="s">
        <v>25065</v>
      </c>
      <c r="P349" s="153" t="s">
        <v>25066</v>
      </c>
      <c r="Q349" s="14">
        <v>6634095.0</v>
      </c>
      <c r="R349" s="95"/>
      <c r="S349" s="154" t="s">
        <v>30422</v>
      </c>
      <c r="T349" s="84"/>
      <c r="U349" s="84"/>
      <c r="V349" s="84"/>
      <c r="W349" s="84"/>
      <c r="X349" s="84"/>
      <c r="Y349" s="84"/>
      <c r="Z349" s="84"/>
      <c r="AA349" s="84"/>
      <c r="AB349" s="84"/>
      <c r="AC349" s="84"/>
    </row>
    <row r="350" ht="15.75" customHeight="1">
      <c r="A350" s="14" t="s">
        <v>4153</v>
      </c>
      <c r="B350" s="14">
        <v>2013.0</v>
      </c>
      <c r="C350" s="14" t="s">
        <v>25067</v>
      </c>
      <c r="D350" s="14" t="s">
        <v>25068</v>
      </c>
      <c r="E350" s="150" t="str">
        <f t="shared" si="2"/>
        <v>http://dx.doi.org/10.1109/TVCG.2013.152</v>
      </c>
      <c r="F350" s="14">
        <v>2693.0</v>
      </c>
      <c r="G350" s="14">
        <v>2702.0</v>
      </c>
      <c r="H350" s="151"/>
      <c r="I350" s="14" t="s">
        <v>17059</v>
      </c>
      <c r="J350" s="14" t="s">
        <v>25069</v>
      </c>
      <c r="K350" s="14" t="s">
        <v>21264</v>
      </c>
      <c r="L350" s="152" t="s">
        <v>12159</v>
      </c>
      <c r="M350" s="14" t="s">
        <v>178</v>
      </c>
      <c r="N350" s="54" t="s">
        <v>21264</v>
      </c>
      <c r="O350" s="130" t="s">
        <v>25070</v>
      </c>
      <c r="P350" s="153" t="s">
        <v>25071</v>
      </c>
      <c r="Q350" s="14">
        <v>6634159.0</v>
      </c>
      <c r="R350" s="95"/>
      <c r="S350" s="154" t="s">
        <v>30423</v>
      </c>
      <c r="T350" s="84"/>
      <c r="U350" s="84"/>
      <c r="V350" s="84"/>
      <c r="W350" s="84"/>
      <c r="X350" s="84"/>
      <c r="Y350" s="84"/>
      <c r="Z350" s="84"/>
      <c r="AA350" s="84"/>
      <c r="AB350" s="84"/>
      <c r="AC350" s="84"/>
    </row>
    <row r="351" ht="15.75" customHeight="1">
      <c r="A351" s="14" t="s">
        <v>4153</v>
      </c>
      <c r="B351" s="14">
        <v>2013.0</v>
      </c>
      <c r="C351" s="14" t="s">
        <v>25072</v>
      </c>
      <c r="D351" s="14" t="s">
        <v>25073</v>
      </c>
      <c r="E351" s="150" t="str">
        <f t="shared" si="2"/>
        <v>http://dx.doi.org/10.1109/TVCG.2013.156</v>
      </c>
      <c r="F351" s="14">
        <v>2810.0</v>
      </c>
      <c r="G351" s="14">
        <v>2817.0</v>
      </c>
      <c r="H351" s="151"/>
      <c r="I351" s="14" t="s">
        <v>17059</v>
      </c>
      <c r="J351" s="14" t="s">
        <v>25074</v>
      </c>
      <c r="K351" s="14" t="s">
        <v>30424</v>
      </c>
      <c r="L351" s="152" t="s">
        <v>5349</v>
      </c>
      <c r="M351" s="14" t="s">
        <v>5349</v>
      </c>
      <c r="N351" s="54" t="s">
        <v>30424</v>
      </c>
      <c r="O351" s="130" t="s">
        <v>25077</v>
      </c>
      <c r="P351" s="153" t="s">
        <v>25078</v>
      </c>
      <c r="Q351" s="14">
        <v>6634097.0</v>
      </c>
      <c r="R351" s="95"/>
      <c r="S351" s="154" t="s">
        <v>30425</v>
      </c>
      <c r="T351" s="84"/>
      <c r="U351" s="84"/>
      <c r="V351" s="84"/>
      <c r="W351" s="84"/>
      <c r="X351" s="84"/>
      <c r="Y351" s="84"/>
      <c r="Z351" s="84"/>
      <c r="AA351" s="84"/>
      <c r="AB351" s="84"/>
      <c r="AC351" s="84"/>
    </row>
    <row r="352" ht="15.75" customHeight="1">
      <c r="A352" s="14" t="s">
        <v>4153</v>
      </c>
      <c r="B352" s="14">
        <v>2013.0</v>
      </c>
      <c r="C352" s="14" t="s">
        <v>25079</v>
      </c>
      <c r="D352" s="14" t="s">
        <v>25080</v>
      </c>
      <c r="E352" s="150" t="str">
        <f t="shared" si="2"/>
        <v>http://dx.doi.org/10.1109/TVCG.2013.158</v>
      </c>
      <c r="F352" s="14">
        <v>2653.0</v>
      </c>
      <c r="G352" s="14">
        <v>2662.0</v>
      </c>
      <c r="H352" s="151"/>
      <c r="I352" s="14" t="s">
        <v>17059</v>
      </c>
      <c r="J352" s="14" t="s">
        <v>25081</v>
      </c>
      <c r="K352" s="14" t="s">
        <v>30426</v>
      </c>
      <c r="L352" s="152" t="s">
        <v>28089</v>
      </c>
      <c r="M352" s="14" t="s">
        <v>178</v>
      </c>
      <c r="N352" s="54" t="s">
        <v>30426</v>
      </c>
      <c r="O352" s="130" t="s">
        <v>25084</v>
      </c>
      <c r="P352" s="153" t="s">
        <v>25085</v>
      </c>
      <c r="Q352" s="14">
        <v>6634161.0</v>
      </c>
      <c r="R352" s="95"/>
      <c r="S352" s="154" t="s">
        <v>30427</v>
      </c>
      <c r="T352" s="84"/>
      <c r="U352" s="84"/>
      <c r="V352" s="84"/>
      <c r="W352" s="84"/>
      <c r="X352" s="84"/>
      <c r="Y352" s="84"/>
      <c r="Z352" s="84"/>
      <c r="AA352" s="84"/>
      <c r="AB352" s="84"/>
      <c r="AC352" s="84"/>
    </row>
    <row r="353" ht="15.75" customHeight="1">
      <c r="A353" s="14" t="s">
        <v>4153</v>
      </c>
      <c r="B353" s="14">
        <v>2013.0</v>
      </c>
      <c r="C353" s="14" t="s">
        <v>25086</v>
      </c>
      <c r="D353" s="14" t="s">
        <v>25087</v>
      </c>
      <c r="E353" s="150" t="str">
        <f t="shared" si="2"/>
        <v>http://dx.doi.org/10.1109/TVCG.2013.159</v>
      </c>
      <c r="F353" s="14">
        <v>2673.0</v>
      </c>
      <c r="G353" s="14">
        <v>2682.0</v>
      </c>
      <c r="H353" s="151"/>
      <c r="I353" s="14" t="s">
        <v>17059</v>
      </c>
      <c r="J353" s="14" t="s">
        <v>25088</v>
      </c>
      <c r="K353" s="14" t="s">
        <v>30428</v>
      </c>
      <c r="L353" s="152" t="s">
        <v>28096</v>
      </c>
      <c r="M353" s="14" t="s">
        <v>880</v>
      </c>
      <c r="N353" s="54" t="s">
        <v>30428</v>
      </c>
      <c r="O353" s="130" t="s">
        <v>25091</v>
      </c>
      <c r="P353" s="153" t="s">
        <v>25092</v>
      </c>
      <c r="Q353" s="14">
        <v>6634177.0</v>
      </c>
      <c r="R353" s="95"/>
      <c r="S353" s="154" t="s">
        <v>30429</v>
      </c>
      <c r="T353" s="84"/>
      <c r="U353" s="84"/>
      <c r="V353" s="84"/>
      <c r="W353" s="84"/>
      <c r="X353" s="84"/>
      <c r="Y353" s="84"/>
      <c r="Z353" s="84"/>
      <c r="AA353" s="84"/>
      <c r="AB353" s="84"/>
      <c r="AC353" s="84"/>
    </row>
    <row r="354" ht="15.75" customHeight="1">
      <c r="A354" s="14" t="s">
        <v>4153</v>
      </c>
      <c r="B354" s="14">
        <v>2013.0</v>
      </c>
      <c r="C354" s="14" t="s">
        <v>25093</v>
      </c>
      <c r="D354" s="14" t="s">
        <v>25094</v>
      </c>
      <c r="E354" s="150" t="str">
        <f t="shared" si="2"/>
        <v>http://dx.doi.org/10.1109/TVCG.2013.161</v>
      </c>
      <c r="F354" s="14">
        <v>2916.0</v>
      </c>
      <c r="G354" s="14">
        <v>2925.0</v>
      </c>
      <c r="H354" s="151"/>
      <c r="I354" s="14" t="s">
        <v>17059</v>
      </c>
      <c r="J354" s="14" t="s">
        <v>25095</v>
      </c>
      <c r="K354" s="14" t="s">
        <v>30430</v>
      </c>
      <c r="L354" s="152" t="s">
        <v>28111</v>
      </c>
      <c r="M354" s="14" t="s">
        <v>23953</v>
      </c>
      <c r="N354" s="54" t="s">
        <v>30430</v>
      </c>
      <c r="O354" s="130" t="s">
        <v>25099</v>
      </c>
      <c r="P354" s="153" t="s">
        <v>25100</v>
      </c>
      <c r="Q354" s="14">
        <v>6634119.0</v>
      </c>
      <c r="R354" s="95"/>
      <c r="S354" s="154" t="s">
        <v>30431</v>
      </c>
      <c r="T354" s="84"/>
      <c r="U354" s="84"/>
      <c r="V354" s="84"/>
      <c r="W354" s="84"/>
      <c r="X354" s="84"/>
      <c r="Y354" s="84"/>
      <c r="Z354" s="84"/>
      <c r="AA354" s="84"/>
      <c r="AB354" s="84"/>
      <c r="AC354" s="84"/>
    </row>
    <row r="355" ht="15.75" customHeight="1">
      <c r="A355" s="14" t="s">
        <v>4153</v>
      </c>
      <c r="B355" s="14">
        <v>2013.0</v>
      </c>
      <c r="C355" s="14" t="s">
        <v>25101</v>
      </c>
      <c r="D355" s="14" t="s">
        <v>25102</v>
      </c>
      <c r="E355" s="150" t="str">
        <f t="shared" si="2"/>
        <v>http://dx.doi.org/10.1109/TVCG.2013.169</v>
      </c>
      <c r="F355" s="14">
        <v>2828.0</v>
      </c>
      <c r="G355" s="14">
        <v>2837.0</v>
      </c>
      <c r="H355" s="151"/>
      <c r="I355" s="14" t="s">
        <v>17059</v>
      </c>
      <c r="J355" s="14" t="s">
        <v>25103</v>
      </c>
      <c r="K355" s="14" t="s">
        <v>30432</v>
      </c>
      <c r="L355" s="152" t="s">
        <v>28176</v>
      </c>
      <c r="M355" s="14" t="s">
        <v>5349</v>
      </c>
      <c r="N355" s="54" t="s">
        <v>30432</v>
      </c>
      <c r="O355" s="130" t="s">
        <v>25106</v>
      </c>
      <c r="P355" s="153" t="s">
        <v>25107</v>
      </c>
      <c r="Q355" s="14">
        <v>6634086.0</v>
      </c>
      <c r="R355" s="95"/>
      <c r="S355" s="154" t="s">
        <v>30433</v>
      </c>
      <c r="T355" s="84"/>
      <c r="U355" s="84"/>
      <c r="V355" s="84"/>
      <c r="W355" s="84"/>
      <c r="X355" s="84"/>
      <c r="Y355" s="84"/>
      <c r="Z355" s="84"/>
      <c r="AA355" s="84"/>
      <c r="AB355" s="84"/>
      <c r="AC355" s="84"/>
    </row>
    <row r="356" ht="15.75" customHeight="1">
      <c r="A356" s="14" t="s">
        <v>4153</v>
      </c>
      <c r="B356" s="14">
        <v>2013.0</v>
      </c>
      <c r="C356" s="14" t="s">
        <v>25108</v>
      </c>
      <c r="D356" s="14" t="s">
        <v>25109</v>
      </c>
      <c r="E356" s="150" t="str">
        <f t="shared" si="2"/>
        <v>http://dx.doi.org/10.1109/TVCG.2013.172</v>
      </c>
      <c r="F356" s="14">
        <v>2946.0</v>
      </c>
      <c r="G356" s="14">
        <v>2955.0</v>
      </c>
      <c r="H356" s="151"/>
      <c r="I356" s="14" t="s">
        <v>17059</v>
      </c>
      <c r="J356" s="14" t="s">
        <v>25110</v>
      </c>
      <c r="K356" s="14" t="s">
        <v>25111</v>
      </c>
      <c r="L356" s="152" t="s">
        <v>28195</v>
      </c>
      <c r="M356" s="14" t="s">
        <v>178</v>
      </c>
      <c r="N356" s="54" t="s">
        <v>25111</v>
      </c>
      <c r="O356" s="130" t="s">
        <v>25112</v>
      </c>
      <c r="P356" s="153" t="s">
        <v>25113</v>
      </c>
      <c r="Q356" s="14">
        <v>6634193.0</v>
      </c>
      <c r="R356" s="95"/>
      <c r="S356" s="154" t="s">
        <v>30434</v>
      </c>
      <c r="T356" s="84"/>
      <c r="U356" s="84"/>
      <c r="V356" s="84"/>
      <c r="W356" s="84"/>
      <c r="X356" s="84"/>
      <c r="Y356" s="84"/>
      <c r="Z356" s="84"/>
      <c r="AA356" s="84"/>
      <c r="AB356" s="84"/>
      <c r="AC356" s="84"/>
    </row>
    <row r="357" ht="15.75" customHeight="1">
      <c r="A357" s="14" t="s">
        <v>4153</v>
      </c>
      <c r="B357" s="14">
        <v>2013.0</v>
      </c>
      <c r="C357" s="14" t="s">
        <v>25114</v>
      </c>
      <c r="D357" s="14" t="s">
        <v>25115</v>
      </c>
      <c r="E357" s="150" t="str">
        <f t="shared" si="2"/>
        <v>http://dx.doi.org/10.1109/TVCG.2013.174</v>
      </c>
      <c r="F357" s="14">
        <v>2878.0</v>
      </c>
      <c r="G357" s="14">
        <v>2885.0</v>
      </c>
      <c r="H357" s="151"/>
      <c r="I357" s="14" t="s">
        <v>17059</v>
      </c>
      <c r="J357" s="14" t="s">
        <v>25116</v>
      </c>
      <c r="K357" s="14" t="s">
        <v>30435</v>
      </c>
      <c r="L357" s="152" t="s">
        <v>28210</v>
      </c>
      <c r="M357" s="14" t="s">
        <v>880</v>
      </c>
      <c r="N357" s="54" t="s">
        <v>30435</v>
      </c>
      <c r="O357" s="130" t="s">
        <v>18721</v>
      </c>
      <c r="P357" s="153" t="s">
        <v>25119</v>
      </c>
      <c r="Q357" s="14">
        <v>6634144.0</v>
      </c>
      <c r="R357" s="95"/>
      <c r="S357" s="154">
        <v>4376172.0</v>
      </c>
      <c r="T357" s="84"/>
      <c r="U357" s="84"/>
      <c r="V357" s="84"/>
      <c r="W357" s="84"/>
      <c r="X357" s="84"/>
      <c r="Y357" s="84"/>
      <c r="Z357" s="84"/>
      <c r="AA357" s="84"/>
      <c r="AB357" s="84"/>
      <c r="AC357" s="84"/>
    </row>
    <row r="358" ht="15.75" customHeight="1">
      <c r="A358" s="14" t="s">
        <v>4153</v>
      </c>
      <c r="B358" s="14">
        <v>2013.0</v>
      </c>
      <c r="C358" s="14" t="s">
        <v>25120</v>
      </c>
      <c r="D358" s="14" t="s">
        <v>25121</v>
      </c>
      <c r="E358" s="150" t="str">
        <f t="shared" si="2"/>
        <v>http://dx.doi.org/10.1109/TVCG.2013.177</v>
      </c>
      <c r="F358" s="14">
        <v>2906.0</v>
      </c>
      <c r="G358" s="14">
        <v>2915.0</v>
      </c>
      <c r="H358" s="151"/>
      <c r="I358" s="14" t="s">
        <v>17059</v>
      </c>
      <c r="J358" s="14" t="s">
        <v>25122</v>
      </c>
      <c r="K358" s="14" t="s">
        <v>30436</v>
      </c>
      <c r="L358" s="152" t="s">
        <v>28221</v>
      </c>
      <c r="M358" s="14" t="s">
        <v>880</v>
      </c>
      <c r="N358" s="54" t="s">
        <v>30437</v>
      </c>
      <c r="O358" s="130" t="s">
        <v>25125</v>
      </c>
      <c r="P358" s="153" t="s">
        <v>25126</v>
      </c>
      <c r="Q358" s="14">
        <v>6634106.0</v>
      </c>
      <c r="R358" s="95"/>
      <c r="S358" s="154" t="s">
        <v>30438</v>
      </c>
      <c r="T358" s="84"/>
      <c r="U358" s="84"/>
      <c r="V358" s="84"/>
      <c r="W358" s="84"/>
      <c r="X358" s="84"/>
      <c r="Y358" s="84"/>
      <c r="Z358" s="84"/>
      <c r="AA358" s="84"/>
      <c r="AB358" s="84"/>
      <c r="AC358" s="84"/>
    </row>
    <row r="359" ht="15.75" customHeight="1">
      <c r="A359" s="14" t="s">
        <v>4153</v>
      </c>
      <c r="B359" s="14">
        <v>2013.0</v>
      </c>
      <c r="C359" s="14" t="s">
        <v>25127</v>
      </c>
      <c r="D359" s="14" t="s">
        <v>25128</v>
      </c>
      <c r="E359" s="150" t="str">
        <f t="shared" si="2"/>
        <v>http://dx.doi.org/10.1109/TVCG.2013.180</v>
      </c>
      <c r="F359" s="14">
        <v>2926.0</v>
      </c>
      <c r="G359" s="14">
        <v>2935.0</v>
      </c>
      <c r="H359" s="151"/>
      <c r="I359" s="14" t="s">
        <v>17059</v>
      </c>
      <c r="J359" s="14" t="s">
        <v>25129</v>
      </c>
      <c r="K359" s="14" t="s">
        <v>30439</v>
      </c>
      <c r="L359" s="152" t="s">
        <v>25796</v>
      </c>
      <c r="M359" s="14" t="s">
        <v>5349</v>
      </c>
      <c r="N359" s="54" t="s">
        <v>30439</v>
      </c>
      <c r="O359" s="130" t="s">
        <v>25132</v>
      </c>
      <c r="P359" s="153" t="s">
        <v>25133</v>
      </c>
      <c r="Q359" s="14">
        <v>6634151.0</v>
      </c>
      <c r="R359" s="95"/>
      <c r="S359" s="154" t="s">
        <v>30440</v>
      </c>
      <c r="T359" s="84"/>
      <c r="U359" s="84"/>
      <c r="V359" s="84"/>
      <c r="W359" s="84"/>
      <c r="X359" s="84"/>
      <c r="Y359" s="84"/>
      <c r="Z359" s="84"/>
      <c r="AA359" s="84"/>
      <c r="AB359" s="84"/>
      <c r="AC359" s="84"/>
    </row>
    <row r="360" ht="15.75" customHeight="1">
      <c r="A360" s="14" t="s">
        <v>4153</v>
      </c>
      <c r="B360" s="14">
        <v>2013.0</v>
      </c>
      <c r="C360" s="14" t="s">
        <v>25134</v>
      </c>
      <c r="D360" s="14" t="s">
        <v>25135</v>
      </c>
      <c r="E360" s="150" t="str">
        <f t="shared" si="2"/>
        <v>http://dx.doi.org/10.1109/TVCG.2013.189</v>
      </c>
      <c r="F360" s="14">
        <v>2773.0</v>
      </c>
      <c r="G360" s="14">
        <v>2782.0</v>
      </c>
      <c r="H360" s="151"/>
      <c r="I360" s="14" t="s">
        <v>17059</v>
      </c>
      <c r="J360" s="14" t="s">
        <v>25136</v>
      </c>
      <c r="K360" s="14" t="s">
        <v>30441</v>
      </c>
      <c r="L360" s="152" t="s">
        <v>860</v>
      </c>
      <c r="M360" s="14" t="s">
        <v>860</v>
      </c>
      <c r="N360" s="54" t="s">
        <v>30441</v>
      </c>
      <c r="O360" s="130" t="s">
        <v>25140</v>
      </c>
      <c r="P360" s="153" t="s">
        <v>25141</v>
      </c>
      <c r="Q360" s="14">
        <v>6634153.0</v>
      </c>
      <c r="R360" s="95"/>
      <c r="S360" s="154" t="s">
        <v>30442</v>
      </c>
      <c r="T360" s="84"/>
      <c r="U360" s="84"/>
      <c r="V360" s="84"/>
      <c r="W360" s="84"/>
      <c r="X360" s="84"/>
      <c r="Y360" s="84"/>
      <c r="Z360" s="84"/>
      <c r="AA360" s="84"/>
      <c r="AB360" s="84"/>
      <c r="AC360" s="84"/>
    </row>
    <row r="361" ht="15.75" customHeight="1">
      <c r="A361" s="14" t="s">
        <v>4153</v>
      </c>
      <c r="B361" s="14">
        <v>2013.0</v>
      </c>
      <c r="C361" s="14" t="s">
        <v>25142</v>
      </c>
      <c r="D361" s="14" t="s">
        <v>25143</v>
      </c>
      <c r="E361" s="150" t="str">
        <f t="shared" si="2"/>
        <v>http://dx.doi.org/10.1109/TVCG.2013.208</v>
      </c>
      <c r="F361" s="14">
        <v>2723.0</v>
      </c>
      <c r="G361" s="14">
        <v>2732.0</v>
      </c>
      <c r="H361" s="151"/>
      <c r="I361" s="14" t="s">
        <v>17059</v>
      </c>
      <c r="J361" s="14" t="s">
        <v>25144</v>
      </c>
      <c r="K361" s="14" t="s">
        <v>30443</v>
      </c>
      <c r="L361" s="152" t="s">
        <v>28440</v>
      </c>
      <c r="M361" s="14" t="s">
        <v>178</v>
      </c>
      <c r="N361" s="54" t="s">
        <v>30443</v>
      </c>
      <c r="O361" s="130" t="s">
        <v>25147</v>
      </c>
      <c r="P361" s="153" t="s">
        <v>25148</v>
      </c>
      <c r="Q361" s="14">
        <v>6634171.0</v>
      </c>
      <c r="R361" s="95"/>
      <c r="S361" s="154" t="s">
        <v>30444</v>
      </c>
      <c r="T361" s="84"/>
      <c r="U361" s="84"/>
      <c r="V361" s="84"/>
      <c r="W361" s="84"/>
      <c r="X361" s="84"/>
      <c r="Y361" s="84"/>
      <c r="Z361" s="84"/>
      <c r="AA361" s="84"/>
      <c r="AB361" s="84"/>
      <c r="AC361" s="84"/>
    </row>
    <row r="362" ht="15.75" customHeight="1">
      <c r="A362" s="14" t="s">
        <v>4153</v>
      </c>
      <c r="B362" s="14">
        <v>2013.0</v>
      </c>
      <c r="C362" s="14" t="s">
        <v>25149</v>
      </c>
      <c r="D362" s="14" t="s">
        <v>25150</v>
      </c>
      <c r="E362" s="150" t="str">
        <f t="shared" si="2"/>
        <v>http://dx.doi.org/10.1109/TVCG.2013.215</v>
      </c>
      <c r="F362" s="14">
        <v>2858.0</v>
      </c>
      <c r="G362" s="14">
        <v>2867.0</v>
      </c>
      <c r="H362" s="151"/>
      <c r="I362" s="14" t="s">
        <v>17059</v>
      </c>
      <c r="J362" s="14" t="s">
        <v>25151</v>
      </c>
      <c r="K362" s="14" t="s">
        <v>30445</v>
      </c>
      <c r="L362" s="152" t="s">
        <v>27966</v>
      </c>
      <c r="M362" s="14" t="s">
        <v>23953</v>
      </c>
      <c r="N362" s="54" t="s">
        <v>30446</v>
      </c>
      <c r="O362" s="130" t="s">
        <v>25154</v>
      </c>
      <c r="P362" s="153" t="s">
        <v>25155</v>
      </c>
      <c r="Q362" s="14">
        <v>6634141.0</v>
      </c>
      <c r="R362" s="95"/>
      <c r="S362" s="154" t="s">
        <v>30447</v>
      </c>
      <c r="T362" s="84"/>
      <c r="U362" s="84"/>
      <c r="V362" s="84"/>
      <c r="W362" s="84"/>
      <c r="X362" s="84"/>
      <c r="Y362" s="84"/>
      <c r="Z362" s="84"/>
      <c r="AA362" s="84"/>
      <c r="AB362" s="84"/>
      <c r="AC362" s="84"/>
    </row>
    <row r="363" ht="15.75" customHeight="1">
      <c r="A363" s="14" t="s">
        <v>4153</v>
      </c>
      <c r="B363" s="14">
        <v>2013.0</v>
      </c>
      <c r="C363" s="14" t="s">
        <v>25156</v>
      </c>
      <c r="D363" s="14" t="s">
        <v>25157</v>
      </c>
      <c r="E363" s="150" t="str">
        <f t="shared" si="2"/>
        <v>http://dx.doi.org/10.1109/TVCG.2013.229</v>
      </c>
      <c r="F363" s="14">
        <v>2763.0</v>
      </c>
      <c r="G363" s="14">
        <v>2772.0</v>
      </c>
      <c r="H363" s="151"/>
      <c r="I363" s="14" t="s">
        <v>17059</v>
      </c>
      <c r="J363" s="14" t="s">
        <v>25158</v>
      </c>
      <c r="K363" s="14" t="s">
        <v>30448</v>
      </c>
      <c r="L363" s="152" t="s">
        <v>28618</v>
      </c>
      <c r="M363" s="14" t="s">
        <v>178</v>
      </c>
      <c r="N363" s="54" t="s">
        <v>30448</v>
      </c>
      <c r="O363" s="130" t="s">
        <v>25162</v>
      </c>
      <c r="P363" s="153" t="s">
        <v>25163</v>
      </c>
      <c r="Q363" s="14">
        <v>6634162.0</v>
      </c>
      <c r="R363" s="95"/>
      <c r="S363" s="154" t="s">
        <v>30449</v>
      </c>
      <c r="T363" s="84"/>
      <c r="U363" s="84"/>
      <c r="V363" s="84"/>
      <c r="W363" s="84"/>
      <c r="X363" s="84"/>
      <c r="Y363" s="84"/>
      <c r="Z363" s="84"/>
      <c r="AA363" s="84"/>
      <c r="AB363" s="84"/>
      <c r="AC363" s="84"/>
    </row>
    <row r="364" ht="15.75" customHeight="1">
      <c r="A364" s="14" t="s">
        <v>120</v>
      </c>
      <c r="B364" s="14">
        <v>2013.0</v>
      </c>
      <c r="C364" s="14" t="s">
        <v>25164</v>
      </c>
      <c r="D364" s="14" t="s">
        <v>25165</v>
      </c>
      <c r="E364" s="150" t="str">
        <f t="shared" si="2"/>
        <v>http://dx.doi.org/10.1109/TVCG.2013.125</v>
      </c>
      <c r="F364" s="14">
        <v>1962.0</v>
      </c>
      <c r="G364" s="14">
        <v>1971.0</v>
      </c>
      <c r="H364" s="151"/>
      <c r="I364" s="14" t="s">
        <v>17059</v>
      </c>
      <c r="J364" s="14" t="s">
        <v>25167</v>
      </c>
      <c r="K364" s="14" t="s">
        <v>30450</v>
      </c>
      <c r="L364" s="152" t="s">
        <v>178</v>
      </c>
      <c r="M364" s="14" t="s">
        <v>178</v>
      </c>
      <c r="N364" s="54" t="s">
        <v>30450</v>
      </c>
      <c r="O364" s="130" t="s">
        <v>25170</v>
      </c>
      <c r="P364" s="153" t="s">
        <v>25171</v>
      </c>
      <c r="Q364" s="14">
        <v>6634169.0</v>
      </c>
      <c r="R364" s="95"/>
      <c r="S364" s="154" t="s">
        <v>30451</v>
      </c>
      <c r="T364" s="84"/>
      <c r="U364" s="84"/>
      <c r="V364" s="84"/>
      <c r="W364" s="84"/>
      <c r="X364" s="84"/>
      <c r="Y364" s="84"/>
      <c r="Z364" s="84"/>
      <c r="AA364" s="84"/>
      <c r="AB364" s="84"/>
      <c r="AC364" s="84"/>
    </row>
    <row r="365" ht="15.75" customHeight="1">
      <c r="A365" s="14" t="s">
        <v>120</v>
      </c>
      <c r="B365" s="14">
        <v>2013.0</v>
      </c>
      <c r="C365" s="14" t="s">
        <v>25172</v>
      </c>
      <c r="D365" s="14" t="s">
        <v>25173</v>
      </c>
      <c r="E365" s="150" t="str">
        <f t="shared" si="2"/>
        <v>http://dx.doi.org/10.1109/TVCG.2013.132</v>
      </c>
      <c r="F365" s="14">
        <v>2139.0</v>
      </c>
      <c r="G365" s="14">
        <v>2148.0</v>
      </c>
      <c r="H365" s="151"/>
      <c r="I365" s="14" t="s">
        <v>17059</v>
      </c>
      <c r="J365" s="14" t="s">
        <v>25174</v>
      </c>
      <c r="K365" s="14" t="s">
        <v>30452</v>
      </c>
      <c r="L365" s="152" t="s">
        <v>28007</v>
      </c>
      <c r="M365" s="14" t="s">
        <v>13886</v>
      </c>
      <c r="N365" s="54" t="s">
        <v>30452</v>
      </c>
      <c r="O365" s="130" t="s">
        <v>25178</v>
      </c>
      <c r="P365" s="153" t="s">
        <v>25179</v>
      </c>
      <c r="Q365" s="14">
        <v>6634110.0</v>
      </c>
      <c r="R365" s="95"/>
      <c r="S365" s="154" t="s">
        <v>30453</v>
      </c>
      <c r="T365" s="84"/>
      <c r="U365" s="84"/>
      <c r="V365" s="84"/>
      <c r="W365" s="84"/>
      <c r="X365" s="84"/>
      <c r="Y365" s="84"/>
      <c r="Z365" s="84"/>
      <c r="AA365" s="84"/>
      <c r="AB365" s="84"/>
      <c r="AC365" s="84"/>
    </row>
    <row r="366" ht="15.75" customHeight="1">
      <c r="A366" s="14" t="s">
        <v>120</v>
      </c>
      <c r="B366" s="14">
        <v>2013.0</v>
      </c>
      <c r="C366" s="14" t="s">
        <v>25180</v>
      </c>
      <c r="D366" s="14" t="s">
        <v>25181</v>
      </c>
      <c r="E366" s="150" t="str">
        <f t="shared" si="2"/>
        <v>http://dx.doi.org/10.1109/TVCG.2013.146</v>
      </c>
      <c r="F366" s="14">
        <v>1972.0</v>
      </c>
      <c r="G366" s="14">
        <v>1981.0</v>
      </c>
      <c r="H366" s="151"/>
      <c r="I366" s="14" t="s">
        <v>17059</v>
      </c>
      <c r="J366" s="14" t="s">
        <v>25182</v>
      </c>
      <c r="K366" s="14" t="s">
        <v>30454</v>
      </c>
      <c r="L366" s="152" t="s">
        <v>28030</v>
      </c>
      <c r="M366" s="14" t="s">
        <v>5349</v>
      </c>
      <c r="N366" s="54" t="s">
        <v>30454</v>
      </c>
      <c r="O366" s="130" t="s">
        <v>25186</v>
      </c>
      <c r="P366" s="153" t="s">
        <v>25187</v>
      </c>
      <c r="Q366" s="14">
        <v>6634184.0</v>
      </c>
      <c r="R366" s="95"/>
      <c r="S366" s="154" t="s">
        <v>30455</v>
      </c>
      <c r="T366" s="84"/>
      <c r="U366" s="84"/>
      <c r="V366" s="84"/>
      <c r="W366" s="84"/>
      <c r="X366" s="84"/>
      <c r="Y366" s="84"/>
      <c r="Z366" s="84"/>
      <c r="AA366" s="84"/>
      <c r="AB366" s="84"/>
      <c r="AC366" s="84"/>
    </row>
    <row r="367" ht="15.75" customHeight="1">
      <c r="A367" s="14" t="s">
        <v>120</v>
      </c>
      <c r="B367" s="14">
        <v>2013.0</v>
      </c>
      <c r="C367" s="14" t="s">
        <v>25189</v>
      </c>
      <c r="D367" s="14" t="s">
        <v>25190</v>
      </c>
      <c r="E367" s="150" t="str">
        <f t="shared" si="2"/>
        <v>http://dx.doi.org/10.1109/TVCG.2013.157</v>
      </c>
      <c r="F367" s="14">
        <v>2042.0</v>
      </c>
      <c r="G367" s="14">
        <v>2051.0</v>
      </c>
      <c r="H367" s="151"/>
      <c r="I367" s="14" t="s">
        <v>17059</v>
      </c>
      <c r="J367" s="14" t="s">
        <v>25192</v>
      </c>
      <c r="K367" s="14" t="s">
        <v>7780</v>
      </c>
      <c r="L367" s="152" t="s">
        <v>28078</v>
      </c>
      <c r="M367" s="14"/>
      <c r="N367" s="54" t="s">
        <v>7780</v>
      </c>
      <c r="O367" s="130" t="s">
        <v>25195</v>
      </c>
      <c r="P367" s="153" t="s">
        <v>25196</v>
      </c>
      <c r="Q367" s="14">
        <v>6634124.0</v>
      </c>
      <c r="R367" s="95"/>
      <c r="S367" s="154" t="s">
        <v>30456</v>
      </c>
      <c r="T367" s="84"/>
      <c r="U367" s="84"/>
      <c r="V367" s="84"/>
      <c r="W367" s="84"/>
      <c r="X367" s="84"/>
      <c r="Y367" s="84"/>
      <c r="Z367" s="84"/>
      <c r="AA367" s="84"/>
      <c r="AB367" s="84"/>
      <c r="AC367" s="84"/>
    </row>
    <row r="368" ht="15.75" customHeight="1">
      <c r="A368" s="14" t="s">
        <v>120</v>
      </c>
      <c r="B368" s="14">
        <v>2013.0</v>
      </c>
      <c r="C368" s="14" t="s">
        <v>25197</v>
      </c>
      <c r="D368" s="14" t="s">
        <v>25198</v>
      </c>
      <c r="E368" s="150" t="str">
        <f t="shared" si="2"/>
        <v>http://dx.doi.org/10.1109/TVCG.2013.162</v>
      </c>
      <c r="F368" s="14">
        <v>2002.0</v>
      </c>
      <c r="G368" s="14">
        <v>2011.0</v>
      </c>
      <c r="H368" s="151"/>
      <c r="I368" s="14" t="s">
        <v>17059</v>
      </c>
      <c r="J368" s="14" t="s">
        <v>25199</v>
      </c>
      <c r="K368" s="14" t="s">
        <v>30457</v>
      </c>
      <c r="L368" s="152" t="s">
        <v>25727</v>
      </c>
      <c r="M368" s="14" t="s">
        <v>880</v>
      </c>
      <c r="N368" s="54" t="s">
        <v>30457</v>
      </c>
      <c r="O368" s="130" t="s">
        <v>25201</v>
      </c>
      <c r="P368" s="153" t="s">
        <v>25202</v>
      </c>
      <c r="Q368" s="14">
        <v>6634160.0</v>
      </c>
      <c r="R368" s="95"/>
      <c r="S368" s="154" t="s">
        <v>30458</v>
      </c>
      <c r="T368" s="84"/>
      <c r="U368" s="84"/>
      <c r="V368" s="84"/>
      <c r="W368" s="84"/>
      <c r="X368" s="84"/>
      <c r="Y368" s="84"/>
      <c r="Z368" s="84"/>
      <c r="AA368" s="84"/>
      <c r="AB368" s="84"/>
      <c r="AC368" s="84"/>
    </row>
    <row r="369" ht="15.75" customHeight="1">
      <c r="A369" s="14" t="s">
        <v>120</v>
      </c>
      <c r="B369" s="14">
        <v>2013.0</v>
      </c>
      <c r="C369" s="14" t="s">
        <v>25203</v>
      </c>
      <c r="D369" s="14" t="s">
        <v>25204</v>
      </c>
      <c r="E369" s="150" t="str">
        <f t="shared" si="2"/>
        <v>http://dx.doi.org/10.1109/TVCG.2013.164</v>
      </c>
      <c r="F369" s="14">
        <v>2198.0</v>
      </c>
      <c r="G369" s="14">
        <v>2206.0</v>
      </c>
      <c r="H369" s="151"/>
      <c r="I369" s="14" t="s">
        <v>17059</v>
      </c>
      <c r="J369" s="14" t="s">
        <v>25207</v>
      </c>
      <c r="K369" s="14" t="s">
        <v>30459</v>
      </c>
      <c r="L369" s="152" t="s">
        <v>28142</v>
      </c>
      <c r="M369" s="14" t="s">
        <v>880</v>
      </c>
      <c r="N369" s="54" t="s">
        <v>30459</v>
      </c>
      <c r="O369" s="130" t="s">
        <v>18191</v>
      </c>
      <c r="P369" s="153" t="s">
        <v>25210</v>
      </c>
      <c r="Q369" s="14">
        <v>6634191.0</v>
      </c>
      <c r="R369" s="95"/>
      <c r="S369" s="154">
        <v>4376131.0</v>
      </c>
      <c r="T369" s="84"/>
      <c r="U369" s="84"/>
      <c r="V369" s="84"/>
      <c r="W369" s="84"/>
      <c r="X369" s="84"/>
      <c r="Y369" s="84"/>
      <c r="Z369" s="84"/>
      <c r="AA369" s="84"/>
      <c r="AB369" s="84"/>
      <c r="AC369" s="84"/>
    </row>
    <row r="370" ht="15.75" customHeight="1">
      <c r="A370" s="14" t="s">
        <v>120</v>
      </c>
      <c r="B370" s="14">
        <v>2013.0</v>
      </c>
      <c r="C370" s="14" t="s">
        <v>25212</v>
      </c>
      <c r="D370" s="14" t="s">
        <v>25213</v>
      </c>
      <c r="E370" s="150" t="str">
        <f t="shared" si="2"/>
        <v>http://dx.doi.org/10.1109/TVCG.2013.167</v>
      </c>
      <c r="F370" s="14">
        <v>2080.0</v>
      </c>
      <c r="G370" s="14">
        <v>2089.0</v>
      </c>
      <c r="H370" s="151"/>
      <c r="I370" s="14" t="s">
        <v>17059</v>
      </c>
      <c r="J370" s="14" t="s">
        <v>25214</v>
      </c>
      <c r="K370" s="14" t="s">
        <v>30461</v>
      </c>
      <c r="L370" s="152" t="s">
        <v>27366</v>
      </c>
      <c r="M370" s="14" t="s">
        <v>5349</v>
      </c>
      <c r="N370" s="54" t="s">
        <v>30461</v>
      </c>
      <c r="O370" s="130" t="s">
        <v>25217</v>
      </c>
      <c r="P370" s="153" t="s">
        <v>25218</v>
      </c>
      <c r="Q370" s="14">
        <v>6634163.0</v>
      </c>
      <c r="R370" s="95"/>
      <c r="S370" s="154" t="s">
        <v>30462</v>
      </c>
      <c r="T370" s="84"/>
      <c r="U370" s="84"/>
      <c r="V370" s="84"/>
      <c r="W370" s="84"/>
      <c r="X370" s="84"/>
      <c r="Y370" s="84"/>
      <c r="Z370" s="84"/>
      <c r="AA370" s="84"/>
      <c r="AB370" s="84"/>
      <c r="AC370" s="84"/>
    </row>
    <row r="371" ht="15.75" customHeight="1">
      <c r="A371" s="14" t="s">
        <v>120</v>
      </c>
      <c r="B371" s="14">
        <v>2013.0</v>
      </c>
      <c r="C371" s="14" t="s">
        <v>25219</v>
      </c>
      <c r="D371" s="14" t="s">
        <v>25220</v>
      </c>
      <c r="E371" s="150" t="str">
        <f t="shared" si="2"/>
        <v>http://dx.doi.org/10.1109/TVCG.2013.168</v>
      </c>
      <c r="F371" s="14">
        <v>2119.0</v>
      </c>
      <c r="G371" s="14">
        <v>2128.0</v>
      </c>
      <c r="H371" s="151"/>
      <c r="I371" s="14" t="s">
        <v>17059</v>
      </c>
      <c r="J371" s="14" t="s">
        <v>25221</v>
      </c>
      <c r="K371" s="14" t="s">
        <v>30463</v>
      </c>
      <c r="L371" s="152" t="s">
        <v>28165</v>
      </c>
      <c r="M371" s="14" t="s">
        <v>178</v>
      </c>
      <c r="N371" s="54" t="s">
        <v>30463</v>
      </c>
      <c r="O371" s="130" t="s">
        <v>25224</v>
      </c>
      <c r="P371" s="153" t="s">
        <v>25225</v>
      </c>
      <c r="Q371" s="14">
        <v>6634090.0</v>
      </c>
      <c r="R371" s="95"/>
      <c r="S371" s="154" t="s">
        <v>30464</v>
      </c>
      <c r="T371" s="84"/>
      <c r="U371" s="84"/>
      <c r="V371" s="84"/>
      <c r="W371" s="84"/>
      <c r="X371" s="84"/>
      <c r="Y371" s="84"/>
      <c r="Z371" s="84"/>
      <c r="AA371" s="84"/>
      <c r="AB371" s="84"/>
      <c r="AC371" s="84"/>
    </row>
    <row r="372" ht="15.75" customHeight="1">
      <c r="A372" s="14" t="s">
        <v>120</v>
      </c>
      <c r="B372" s="14">
        <v>2013.0</v>
      </c>
      <c r="C372" s="14" t="s">
        <v>25226</v>
      </c>
      <c r="D372" s="14" t="s">
        <v>25227</v>
      </c>
      <c r="E372" s="150" t="str">
        <f t="shared" si="2"/>
        <v>http://dx.doi.org/10.1109/TVCG.2013.178</v>
      </c>
      <c r="F372" s="14">
        <v>2257.0</v>
      </c>
      <c r="G372" s="14">
        <v>2266.0</v>
      </c>
      <c r="H372" s="151"/>
      <c r="I372" s="14" t="s">
        <v>17059</v>
      </c>
      <c r="J372" s="14" t="s">
        <v>25229</v>
      </c>
      <c r="K372" s="14" t="s">
        <v>30465</v>
      </c>
      <c r="L372" s="152" t="s">
        <v>28233</v>
      </c>
      <c r="M372" s="14" t="s">
        <v>860</v>
      </c>
      <c r="N372" s="54" t="s">
        <v>30465</v>
      </c>
      <c r="O372" s="130" t="s">
        <v>25232</v>
      </c>
      <c r="P372" s="153" t="s">
        <v>25233</v>
      </c>
      <c r="Q372" s="14">
        <v>6634102.0</v>
      </c>
      <c r="R372" s="95"/>
      <c r="S372" s="154" t="s">
        <v>30467</v>
      </c>
      <c r="T372" s="84"/>
      <c r="U372" s="84"/>
      <c r="V372" s="84"/>
      <c r="W372" s="84"/>
      <c r="X372" s="84"/>
      <c r="Y372" s="84"/>
      <c r="Z372" s="84"/>
      <c r="AA372" s="84"/>
      <c r="AB372" s="84"/>
      <c r="AC372" s="84"/>
    </row>
    <row r="373" ht="15.75" customHeight="1">
      <c r="A373" s="14" t="s">
        <v>120</v>
      </c>
      <c r="B373" s="14">
        <v>2013.0</v>
      </c>
      <c r="C373" s="14" t="s">
        <v>25234</v>
      </c>
      <c r="D373" s="14" t="s">
        <v>25235</v>
      </c>
      <c r="E373" s="150" t="str">
        <f t="shared" si="2"/>
        <v>http://dx.doi.org/10.1109/TVCG.2013.181</v>
      </c>
      <c r="F373" s="14">
        <v>2100.0</v>
      </c>
      <c r="G373" s="14">
        <v>2108.0</v>
      </c>
      <c r="H373" s="151"/>
      <c r="I373" s="14" t="s">
        <v>17059</v>
      </c>
      <c r="J373" s="14" t="s">
        <v>25236</v>
      </c>
      <c r="K373" s="14" t="s">
        <v>30468</v>
      </c>
      <c r="L373" s="152" t="s">
        <v>28268</v>
      </c>
      <c r="M373" s="14" t="s">
        <v>178</v>
      </c>
      <c r="N373" s="54" t="s">
        <v>30469</v>
      </c>
      <c r="O373" s="130" t="s">
        <v>25238</v>
      </c>
      <c r="P373" s="153" t="s">
        <v>25239</v>
      </c>
      <c r="Q373" s="14">
        <v>6634089.0</v>
      </c>
      <c r="R373" s="95"/>
      <c r="S373" s="154" t="s">
        <v>30470</v>
      </c>
      <c r="T373" s="84"/>
      <c r="U373" s="84"/>
      <c r="V373" s="84"/>
      <c r="W373" s="84"/>
      <c r="X373" s="84"/>
      <c r="Y373" s="84"/>
      <c r="Z373" s="84"/>
      <c r="AA373" s="84"/>
      <c r="AB373" s="84"/>
      <c r="AC373" s="84"/>
    </row>
    <row r="374" ht="18.75" customHeight="1">
      <c r="A374" s="14" t="s">
        <v>120</v>
      </c>
      <c r="B374" s="14">
        <v>2013.0</v>
      </c>
      <c r="C374" s="14" t="s">
        <v>25240</v>
      </c>
      <c r="D374" s="14" t="s">
        <v>25241</v>
      </c>
      <c r="E374" s="150" t="str">
        <f t="shared" si="2"/>
        <v>http://dx.doi.org/10.1109/TVCG.2013.186</v>
      </c>
      <c r="F374" s="14">
        <v>2022.0</v>
      </c>
      <c r="G374" s="14">
        <v>2031.0</v>
      </c>
      <c r="H374" s="151"/>
      <c r="I374" s="14" t="s">
        <v>17059</v>
      </c>
      <c r="J374" s="14" t="s">
        <v>25243</v>
      </c>
      <c r="K374" s="14" t="s">
        <v>30471</v>
      </c>
      <c r="L374" s="152" t="s">
        <v>28311</v>
      </c>
      <c r="M374" s="14" t="s">
        <v>23953</v>
      </c>
      <c r="N374" s="54" t="s">
        <v>30471</v>
      </c>
      <c r="O374" s="130" t="s">
        <v>25247</v>
      </c>
      <c r="P374" s="153" t="s">
        <v>25248</v>
      </c>
      <c r="Q374" s="14">
        <v>6634195.0</v>
      </c>
      <c r="R374" s="95"/>
      <c r="S374" s="154" t="s">
        <v>30472</v>
      </c>
      <c r="T374" s="84"/>
      <c r="U374" s="84"/>
      <c r="V374" s="84"/>
      <c r="W374" s="84"/>
      <c r="X374" s="84"/>
      <c r="Y374" s="84"/>
      <c r="Z374" s="84"/>
      <c r="AA374" s="84"/>
      <c r="AB374" s="84"/>
      <c r="AC374" s="84"/>
    </row>
    <row r="375" ht="15.75" customHeight="1">
      <c r="A375" s="14" t="s">
        <v>120</v>
      </c>
      <c r="B375" s="14">
        <v>2013.0</v>
      </c>
      <c r="C375" s="14" t="s">
        <v>25250</v>
      </c>
      <c r="D375" s="14" t="s">
        <v>25251</v>
      </c>
      <c r="E375" s="150" t="str">
        <f t="shared" si="2"/>
        <v>http://dx.doi.org/10.1109/TVCG.2013.188</v>
      </c>
      <c r="F375" s="14">
        <v>2052.0</v>
      </c>
      <c r="G375" s="14">
        <v>2059.0</v>
      </c>
      <c r="H375" s="151"/>
      <c r="I375" s="14" t="s">
        <v>17059</v>
      </c>
      <c r="J375" s="14" t="s">
        <v>25252</v>
      </c>
      <c r="K375" s="14" t="s">
        <v>30473</v>
      </c>
      <c r="L375" s="152" t="s">
        <v>860</v>
      </c>
      <c r="M375" s="14" t="s">
        <v>860</v>
      </c>
      <c r="N375" s="54" t="s">
        <v>30473</v>
      </c>
      <c r="O375" s="130" t="s">
        <v>25255</v>
      </c>
      <c r="P375" s="153" t="s">
        <v>25256</v>
      </c>
      <c r="Q375" s="14">
        <v>6634115.0</v>
      </c>
      <c r="R375" s="95"/>
      <c r="S375" s="154" t="s">
        <v>30474</v>
      </c>
      <c r="T375" s="84"/>
      <c r="U375" s="84"/>
      <c r="V375" s="84"/>
      <c r="W375" s="84"/>
      <c r="X375" s="84"/>
      <c r="Y375" s="84"/>
      <c r="Z375" s="84"/>
      <c r="AA375" s="84"/>
      <c r="AB375" s="84"/>
      <c r="AC375" s="84"/>
    </row>
    <row r="376" ht="15.75" customHeight="1">
      <c r="A376" s="14" t="s">
        <v>120</v>
      </c>
      <c r="B376" s="14">
        <v>2013.0</v>
      </c>
      <c r="C376" s="14" t="s">
        <v>25257</v>
      </c>
      <c r="D376" s="14" t="s">
        <v>25258</v>
      </c>
      <c r="E376" s="150" t="str">
        <f t="shared" si="2"/>
        <v>http://dx.doi.org/10.1109/TVCG.2013.190</v>
      </c>
      <c r="F376" s="14">
        <v>2060.0</v>
      </c>
      <c r="G376" s="14">
        <v>2069.0</v>
      </c>
      <c r="H376" s="151"/>
      <c r="I376" s="14" t="s">
        <v>17059</v>
      </c>
      <c r="J376" s="157" t="s">
        <v>28352</v>
      </c>
      <c r="K376" s="14" t="s">
        <v>30476</v>
      </c>
      <c r="L376" s="152" t="s">
        <v>25695</v>
      </c>
      <c r="M376" s="14" t="s">
        <v>494</v>
      </c>
      <c r="N376" s="54" t="s">
        <v>30476</v>
      </c>
      <c r="O376" s="130" t="s">
        <v>25264</v>
      </c>
      <c r="P376" s="153" t="s">
        <v>25265</v>
      </c>
      <c r="Q376" s="14">
        <v>6634118.0</v>
      </c>
      <c r="R376" s="95"/>
      <c r="S376" s="154" t="s">
        <v>30477</v>
      </c>
      <c r="T376" s="84"/>
      <c r="U376" s="84"/>
      <c r="V376" s="84"/>
      <c r="W376" s="84"/>
      <c r="X376" s="84"/>
      <c r="Y376" s="84"/>
      <c r="Z376" s="84"/>
      <c r="AA376" s="84"/>
      <c r="AB376" s="84"/>
      <c r="AC376" s="84"/>
    </row>
    <row r="377" ht="15.75" customHeight="1">
      <c r="A377" s="14" t="s">
        <v>120</v>
      </c>
      <c r="B377" s="14">
        <v>2013.0</v>
      </c>
      <c r="C377" s="14" t="s">
        <v>25267</v>
      </c>
      <c r="D377" s="14" t="s">
        <v>25268</v>
      </c>
      <c r="E377" s="150" t="str">
        <f t="shared" si="2"/>
        <v>http://dx.doi.org/10.1109/TVCG.2013.193</v>
      </c>
      <c r="F377" s="14">
        <v>2169.0</v>
      </c>
      <c r="G377" s="14">
        <v>2178.0</v>
      </c>
      <c r="H377" s="151"/>
      <c r="I377" s="14" t="s">
        <v>17059</v>
      </c>
      <c r="J377" s="14" t="s">
        <v>25269</v>
      </c>
      <c r="K377" s="14" t="s">
        <v>30478</v>
      </c>
      <c r="L377" s="152" t="s">
        <v>880</v>
      </c>
      <c r="M377" s="14" t="s">
        <v>880</v>
      </c>
      <c r="N377" s="54" t="s">
        <v>30478</v>
      </c>
      <c r="O377" s="130" t="s">
        <v>25273</v>
      </c>
      <c r="P377" s="153" t="s">
        <v>25274</v>
      </c>
      <c r="Q377" s="14">
        <v>6634194.0</v>
      </c>
      <c r="R377" s="95"/>
      <c r="S377" s="154" t="s">
        <v>30479</v>
      </c>
      <c r="T377" s="84"/>
      <c r="U377" s="84"/>
      <c r="V377" s="84"/>
      <c r="W377" s="84"/>
      <c r="X377" s="84"/>
      <c r="Y377" s="84"/>
      <c r="Z377" s="84"/>
      <c r="AA377" s="84"/>
      <c r="AB377" s="84"/>
      <c r="AC377" s="84"/>
    </row>
    <row r="378" ht="15.75" customHeight="1">
      <c r="A378" s="14" t="s">
        <v>120</v>
      </c>
      <c r="B378" s="14">
        <v>2013.0</v>
      </c>
      <c r="C378" s="14" t="s">
        <v>25275</v>
      </c>
      <c r="D378" s="14" t="s">
        <v>25276</v>
      </c>
      <c r="E378" s="150" t="str">
        <f t="shared" si="2"/>
        <v>http://dx.doi.org/10.1109/TVCG.2013.194</v>
      </c>
      <c r="F378" s="14">
        <v>2129.0</v>
      </c>
      <c r="G378" s="14">
        <v>2138.0</v>
      </c>
      <c r="H378" s="151"/>
      <c r="I378" s="14" t="s">
        <v>17059</v>
      </c>
      <c r="J378" s="14" t="s">
        <v>25277</v>
      </c>
      <c r="K378" s="14" t="s">
        <v>30480</v>
      </c>
      <c r="L378" s="152" t="s">
        <v>28395</v>
      </c>
      <c r="M378" s="14" t="s">
        <v>178</v>
      </c>
      <c r="N378" s="54" t="s">
        <v>30480</v>
      </c>
      <c r="O378" s="130" t="s">
        <v>25280</v>
      </c>
      <c r="P378" s="153" t="s">
        <v>25281</v>
      </c>
      <c r="Q378" s="14">
        <v>6634139.0</v>
      </c>
      <c r="R378" s="95"/>
      <c r="S378" s="154" t="s">
        <v>30481</v>
      </c>
      <c r="T378" s="84"/>
      <c r="U378" s="84"/>
      <c r="V378" s="84"/>
      <c r="W378" s="84"/>
      <c r="X378" s="84"/>
      <c r="Y378" s="84"/>
      <c r="Z378" s="84"/>
      <c r="AA378" s="84"/>
      <c r="AB378" s="84"/>
      <c r="AC378" s="84"/>
    </row>
    <row r="379" ht="15.75" customHeight="1">
      <c r="A379" s="14" t="s">
        <v>120</v>
      </c>
      <c r="B379" s="14">
        <v>2013.0</v>
      </c>
      <c r="C379" s="14" t="s">
        <v>25283</v>
      </c>
      <c r="D379" s="14" t="s">
        <v>25284</v>
      </c>
      <c r="E379" s="150" t="str">
        <f t="shared" si="2"/>
        <v>http://dx.doi.org/10.1109/TVCG.2013.197</v>
      </c>
      <c r="F379" s="14">
        <v>2189.0</v>
      </c>
      <c r="G379" s="14">
        <v>2197.0</v>
      </c>
      <c r="H379" s="151"/>
      <c r="I379" s="14" t="s">
        <v>17059</v>
      </c>
      <c r="J379" s="14" t="s">
        <v>28403</v>
      </c>
      <c r="K379" s="14" t="s">
        <v>30482</v>
      </c>
      <c r="L379" s="152" t="s">
        <v>22110</v>
      </c>
      <c r="M379" s="14" t="s">
        <v>494</v>
      </c>
      <c r="N379" s="54" t="s">
        <v>30482</v>
      </c>
      <c r="O379" s="130" t="s">
        <v>25288</v>
      </c>
      <c r="P379" s="153" t="s">
        <v>25289</v>
      </c>
      <c r="Q379" s="14">
        <v>6634130.0</v>
      </c>
      <c r="R379" s="95"/>
      <c r="S379" s="154" t="s">
        <v>30483</v>
      </c>
      <c r="T379" s="84"/>
      <c r="U379" s="84"/>
      <c r="V379" s="84"/>
      <c r="W379" s="84"/>
      <c r="X379" s="84"/>
      <c r="Y379" s="84"/>
      <c r="Z379" s="84"/>
      <c r="AA379" s="84"/>
      <c r="AB379" s="84"/>
      <c r="AC379" s="84"/>
    </row>
    <row r="380" ht="15.75" customHeight="1">
      <c r="A380" s="14" t="s">
        <v>120</v>
      </c>
      <c r="B380" s="14">
        <v>2013.0</v>
      </c>
      <c r="C380" s="14" t="s">
        <v>25290</v>
      </c>
      <c r="D380" s="14" t="s">
        <v>25291</v>
      </c>
      <c r="E380" s="150" t="str">
        <f t="shared" si="2"/>
        <v>http://dx.doi.org/10.1109/TVCG.2013.198</v>
      </c>
      <c r="F380" s="14">
        <v>2267.0</v>
      </c>
      <c r="G380" s="14">
        <v>2276.0</v>
      </c>
      <c r="H380" s="151"/>
      <c r="I380" s="14" t="s">
        <v>17059</v>
      </c>
      <c r="J380" s="14" t="s">
        <v>25292</v>
      </c>
      <c r="K380" s="14" t="s">
        <v>30484</v>
      </c>
      <c r="L380" s="152" t="s">
        <v>27982</v>
      </c>
      <c r="M380" s="14" t="s">
        <v>5349</v>
      </c>
      <c r="N380" s="54" t="s">
        <v>30484</v>
      </c>
      <c r="O380" s="130" t="s">
        <v>25295</v>
      </c>
      <c r="P380" s="153" t="s">
        <v>25296</v>
      </c>
      <c r="Q380" s="14">
        <v>6634085.0</v>
      </c>
      <c r="R380" s="95"/>
      <c r="S380" s="154" t="s">
        <v>30485</v>
      </c>
      <c r="T380" s="84"/>
      <c r="U380" s="84"/>
      <c r="V380" s="84"/>
      <c r="W380" s="84"/>
      <c r="X380" s="84"/>
      <c r="Y380" s="84"/>
      <c r="Z380" s="84"/>
      <c r="AA380" s="84"/>
      <c r="AB380" s="84"/>
      <c r="AC380" s="84"/>
    </row>
    <row r="381" ht="15.75" customHeight="1">
      <c r="A381" s="14" t="s">
        <v>120</v>
      </c>
      <c r="B381" s="14">
        <v>2013.0</v>
      </c>
      <c r="C381" s="14" t="s">
        <v>25298</v>
      </c>
      <c r="D381" s="14" t="s">
        <v>25299</v>
      </c>
      <c r="E381" s="150" t="str">
        <f t="shared" si="2"/>
        <v>http://dx.doi.org/10.1109/TVCG.2013.200</v>
      </c>
      <c r="F381" s="14">
        <v>2227.0</v>
      </c>
      <c r="G381" s="14">
        <v>2236.0</v>
      </c>
      <c r="H381" s="151"/>
      <c r="I381" s="14" t="s">
        <v>17059</v>
      </c>
      <c r="J381" s="14" t="s">
        <v>25301</v>
      </c>
      <c r="K381" s="14" t="s">
        <v>30486</v>
      </c>
      <c r="L381" s="152" t="s">
        <v>28414</v>
      </c>
      <c r="M381" s="14" t="s">
        <v>880</v>
      </c>
      <c r="N381" s="54" t="s">
        <v>30486</v>
      </c>
      <c r="O381" s="130" t="s">
        <v>25304</v>
      </c>
      <c r="P381" s="153" t="s">
        <v>25305</v>
      </c>
      <c r="Q381" s="14">
        <v>6634100.0</v>
      </c>
      <c r="R381" s="95"/>
      <c r="S381" s="154" t="s">
        <v>30487</v>
      </c>
      <c r="T381" s="84"/>
      <c r="U381" s="84"/>
      <c r="V381" s="84"/>
      <c r="W381" s="84"/>
      <c r="X381" s="84"/>
      <c r="Y381" s="84"/>
      <c r="Z381" s="84"/>
      <c r="AA381" s="84"/>
      <c r="AB381" s="84"/>
      <c r="AC381" s="84"/>
    </row>
    <row r="382" ht="15.75" customHeight="1">
      <c r="A382" s="14" t="s">
        <v>120</v>
      </c>
      <c r="B382" s="14">
        <v>2013.0</v>
      </c>
      <c r="C382" s="14" t="s">
        <v>25306</v>
      </c>
      <c r="D382" s="14" t="s">
        <v>25307</v>
      </c>
      <c r="E382" s="150" t="str">
        <f t="shared" si="2"/>
        <v>http://dx.doi.org/10.1109/TVCG.2013.205</v>
      </c>
      <c r="F382" s="14">
        <v>2207.0</v>
      </c>
      <c r="G382" s="14">
        <v>2216.0</v>
      </c>
      <c r="H382" s="151"/>
      <c r="I382" s="14" t="s">
        <v>17059</v>
      </c>
      <c r="J382" s="14" t="s">
        <v>25308</v>
      </c>
      <c r="K382" s="14" t="s">
        <v>30488</v>
      </c>
      <c r="L382" s="152" t="s">
        <v>28425</v>
      </c>
      <c r="M382" s="14" t="s">
        <v>178</v>
      </c>
      <c r="N382" s="54" t="s">
        <v>30488</v>
      </c>
      <c r="O382" s="130" t="s">
        <v>25310</v>
      </c>
      <c r="P382" s="153" t="s">
        <v>25311</v>
      </c>
      <c r="Q382" s="14">
        <v>6634176.0</v>
      </c>
      <c r="R382" s="95"/>
      <c r="S382" s="154" t="s">
        <v>30489</v>
      </c>
      <c r="T382" s="84"/>
      <c r="U382" s="84"/>
      <c r="V382" s="84"/>
      <c r="W382" s="84"/>
      <c r="X382" s="84"/>
      <c r="Y382" s="84"/>
      <c r="Z382" s="84"/>
      <c r="AA382" s="84"/>
      <c r="AB382" s="84"/>
      <c r="AC382" s="84"/>
    </row>
    <row r="383" ht="15.75" customHeight="1">
      <c r="A383" s="14" t="s">
        <v>120</v>
      </c>
      <c r="B383" s="14">
        <v>2013.0</v>
      </c>
      <c r="C383" s="14" t="s">
        <v>25312</v>
      </c>
      <c r="D383" s="14" t="s">
        <v>25313</v>
      </c>
      <c r="E383" s="150" t="str">
        <f t="shared" si="2"/>
        <v>http://dx.doi.org/10.1109/TVCG.2013.206</v>
      </c>
      <c r="F383" s="14">
        <v>2247.0</v>
      </c>
      <c r="G383" s="14">
        <v>2256.0</v>
      </c>
      <c r="H383" s="151"/>
      <c r="I383" s="14" t="s">
        <v>17059</v>
      </c>
      <c r="J383" s="14" t="s">
        <v>25316</v>
      </c>
      <c r="K383" s="14" t="s">
        <v>30490</v>
      </c>
      <c r="L383" s="152" t="s">
        <v>28430</v>
      </c>
      <c r="M383" s="14" t="s">
        <v>880</v>
      </c>
      <c r="N383" s="54" t="s">
        <v>30490</v>
      </c>
      <c r="O383" s="130" t="s">
        <v>25319</v>
      </c>
      <c r="P383" s="153" t="s">
        <v>25321</v>
      </c>
      <c r="Q383" s="14">
        <v>6634096.0</v>
      </c>
      <c r="R383" s="95"/>
      <c r="S383" s="154" t="s">
        <v>30491</v>
      </c>
      <c r="T383" s="84"/>
      <c r="U383" s="84"/>
      <c r="V383" s="84"/>
      <c r="W383" s="84"/>
      <c r="X383" s="84"/>
      <c r="Y383" s="84"/>
      <c r="Z383" s="84"/>
      <c r="AA383" s="84"/>
      <c r="AB383" s="84"/>
      <c r="AC383" s="84"/>
    </row>
    <row r="384" ht="15.75" customHeight="1">
      <c r="A384" s="14" t="s">
        <v>120</v>
      </c>
      <c r="B384" s="14">
        <v>2013.0</v>
      </c>
      <c r="C384" s="14" t="s">
        <v>25322</v>
      </c>
      <c r="D384" s="14" t="s">
        <v>25323</v>
      </c>
      <c r="E384" s="150" t="str">
        <f t="shared" si="2"/>
        <v>http://dx.doi.org/10.1109/TVCG.2013.207</v>
      </c>
      <c r="F384" s="14">
        <v>2109.0</v>
      </c>
      <c r="G384" s="14">
        <v>2118.0</v>
      </c>
      <c r="H384" s="151"/>
      <c r="I384" s="14" t="s">
        <v>17059</v>
      </c>
      <c r="J384" s="14" t="s">
        <v>25324</v>
      </c>
      <c r="K384" s="14" t="s">
        <v>30492</v>
      </c>
      <c r="L384" s="152" t="s">
        <v>28434</v>
      </c>
      <c r="M384" s="14" t="s">
        <v>1253</v>
      </c>
      <c r="N384" s="54" t="s">
        <v>30493</v>
      </c>
      <c r="O384" s="130" t="s">
        <v>25328</v>
      </c>
      <c r="P384" s="153" t="s">
        <v>25329</v>
      </c>
      <c r="Q384" s="14">
        <v>6634165.0</v>
      </c>
      <c r="R384" s="95"/>
      <c r="S384" s="154" t="s">
        <v>30494</v>
      </c>
      <c r="T384" s="84"/>
      <c r="U384" s="84"/>
      <c r="V384" s="84"/>
      <c r="W384" s="84"/>
      <c r="X384" s="84"/>
      <c r="Y384" s="84"/>
      <c r="Z384" s="84"/>
      <c r="AA384" s="84"/>
      <c r="AB384" s="84"/>
      <c r="AC384" s="84"/>
    </row>
    <row r="385" ht="15.75" customHeight="1">
      <c r="A385" s="14" t="s">
        <v>120</v>
      </c>
      <c r="B385" s="14">
        <v>2013.0</v>
      </c>
      <c r="C385" s="14" t="s">
        <v>25330</v>
      </c>
      <c r="D385" s="14" t="s">
        <v>25332</v>
      </c>
      <c r="E385" s="150" t="str">
        <f t="shared" si="2"/>
        <v>http://dx.doi.org/10.1109/TVCG.2013.211</v>
      </c>
      <c r="F385" s="14">
        <v>2217.0</v>
      </c>
      <c r="G385" s="14">
        <v>2226.0</v>
      </c>
      <c r="H385" s="151"/>
      <c r="I385" s="14" t="s">
        <v>17059</v>
      </c>
      <c r="J385" s="14" t="s">
        <v>25334</v>
      </c>
      <c r="K385" s="14" t="s">
        <v>30495</v>
      </c>
      <c r="L385" s="152" t="s">
        <v>27014</v>
      </c>
      <c r="M385" s="14" t="s">
        <v>880</v>
      </c>
      <c r="N385" s="54" t="s">
        <v>30495</v>
      </c>
      <c r="O385" s="130" t="s">
        <v>25338</v>
      </c>
      <c r="P385" s="153" t="s">
        <v>25339</v>
      </c>
      <c r="Q385" s="14">
        <v>6651935.0</v>
      </c>
      <c r="R385" s="95"/>
      <c r="S385" s="154" t="s">
        <v>30496</v>
      </c>
      <c r="T385" s="84"/>
      <c r="U385" s="84"/>
      <c r="V385" s="84"/>
      <c r="W385" s="84"/>
      <c r="X385" s="84"/>
      <c r="Y385" s="84"/>
      <c r="Z385" s="84"/>
      <c r="AA385" s="84"/>
      <c r="AB385" s="84"/>
      <c r="AC385" s="84"/>
    </row>
    <row r="386" ht="15.75" customHeight="1">
      <c r="A386" s="14" t="s">
        <v>120</v>
      </c>
      <c r="B386" s="14">
        <v>2013.0</v>
      </c>
      <c r="C386" s="14" t="s">
        <v>25340</v>
      </c>
      <c r="D386" s="14" t="s">
        <v>25341</v>
      </c>
      <c r="E386" s="150" t="str">
        <f t="shared" si="2"/>
        <v>http://dx.doi.org/10.1109/TVCG.2013.212</v>
      </c>
      <c r="F386" s="14">
        <v>1992.0</v>
      </c>
      <c r="G386" s="14">
        <v>2001.0</v>
      </c>
      <c r="H386" s="151"/>
      <c r="I386" s="14" t="s">
        <v>17059</v>
      </c>
      <c r="J386" s="14" t="s">
        <v>25342</v>
      </c>
      <c r="K386" s="14" t="s">
        <v>30498</v>
      </c>
      <c r="L386" s="152" t="s">
        <v>23932</v>
      </c>
      <c r="M386" s="14" t="s">
        <v>5349</v>
      </c>
      <c r="N386" s="54" t="s">
        <v>30499</v>
      </c>
      <c r="O386" s="130" t="s">
        <v>25345</v>
      </c>
      <c r="P386" s="158" t="s">
        <v>30500</v>
      </c>
      <c r="Q386" s="14">
        <v>6634167.0</v>
      </c>
      <c r="R386" s="95"/>
      <c r="S386" s="154" t="s">
        <v>30501</v>
      </c>
      <c r="T386" s="84"/>
      <c r="U386" s="84"/>
      <c r="V386" s="84"/>
      <c r="W386" s="84"/>
      <c r="X386" s="84"/>
      <c r="Y386" s="84"/>
      <c r="Z386" s="84"/>
      <c r="AA386" s="84"/>
      <c r="AB386" s="84"/>
      <c r="AC386" s="84"/>
    </row>
    <row r="387" ht="15.75" customHeight="1">
      <c r="A387" s="14" t="s">
        <v>120</v>
      </c>
      <c r="B387" s="14">
        <v>2013.0</v>
      </c>
      <c r="C387" s="14" t="s">
        <v>25347</v>
      </c>
      <c r="D387" s="14" t="s">
        <v>25348</v>
      </c>
      <c r="E387" s="150" t="str">
        <f t="shared" si="2"/>
        <v>http://dx.doi.org/10.1109/TVCG.2013.213</v>
      </c>
      <c r="F387" s="14">
        <v>2090.0</v>
      </c>
      <c r="G387" s="14">
        <v>2099.0</v>
      </c>
      <c r="H387" s="151"/>
      <c r="I387" s="14" t="s">
        <v>17059</v>
      </c>
      <c r="J387" s="14" t="s">
        <v>25350</v>
      </c>
      <c r="K387" s="14" t="s">
        <v>30502</v>
      </c>
      <c r="L387" s="152" t="s">
        <v>27779</v>
      </c>
      <c r="M387" s="14" t="s">
        <v>494</v>
      </c>
      <c r="N387" s="54" t="s">
        <v>30503</v>
      </c>
      <c r="O387" s="130" t="s">
        <v>25354</v>
      </c>
      <c r="P387" s="153" t="s">
        <v>25355</v>
      </c>
      <c r="Q387" s="14">
        <v>6634107.0</v>
      </c>
      <c r="R387" s="95"/>
      <c r="S387" s="154" t="s">
        <v>30504</v>
      </c>
      <c r="T387" s="84"/>
      <c r="U387" s="84"/>
      <c r="V387" s="84"/>
      <c r="W387" s="84"/>
      <c r="X387" s="84"/>
      <c r="Y387" s="84"/>
      <c r="Z387" s="84"/>
      <c r="AA387" s="84"/>
      <c r="AB387" s="84"/>
      <c r="AC387" s="84"/>
    </row>
    <row r="388" ht="15.75" customHeight="1">
      <c r="A388" s="14" t="s">
        <v>120</v>
      </c>
      <c r="B388" s="14">
        <v>2013.0</v>
      </c>
      <c r="C388" s="14" t="s">
        <v>25356</v>
      </c>
      <c r="D388" s="14" t="s">
        <v>25357</v>
      </c>
      <c r="E388" s="150" t="str">
        <f t="shared" si="2"/>
        <v>http://dx.doi.org/10.1109/TVCG.2013.219</v>
      </c>
      <c r="F388" s="14">
        <v>1982.0</v>
      </c>
      <c r="G388" s="14">
        <v>1991.0</v>
      </c>
      <c r="H388" s="151"/>
      <c r="I388" s="14" t="s">
        <v>17059</v>
      </c>
      <c r="J388" s="14" t="s">
        <v>25358</v>
      </c>
      <c r="K388" s="14" t="s">
        <v>30505</v>
      </c>
      <c r="L388" s="152" t="s">
        <v>28516</v>
      </c>
      <c r="M388" s="14" t="s">
        <v>880</v>
      </c>
      <c r="N388" s="54" t="s">
        <v>30505</v>
      </c>
      <c r="O388" s="130" t="s">
        <v>25362</v>
      </c>
      <c r="P388" s="153" t="s">
        <v>25363</v>
      </c>
      <c r="Q388" s="14">
        <v>6634172.0</v>
      </c>
      <c r="R388" s="95"/>
      <c r="S388" s="154" t="s">
        <v>30506</v>
      </c>
      <c r="T388" s="84"/>
      <c r="U388" s="84"/>
      <c r="V388" s="84"/>
      <c r="W388" s="84"/>
      <c r="X388" s="84"/>
      <c r="Y388" s="84"/>
      <c r="Z388" s="84"/>
      <c r="AA388" s="84"/>
      <c r="AB388" s="84"/>
      <c r="AC388" s="84"/>
    </row>
    <row r="389" ht="15.75" customHeight="1">
      <c r="A389" s="14" t="s">
        <v>120</v>
      </c>
      <c r="B389" s="14">
        <v>2013.0</v>
      </c>
      <c r="C389" s="14" t="s">
        <v>25364</v>
      </c>
      <c r="D389" s="14" t="s">
        <v>25365</v>
      </c>
      <c r="E389" s="150" t="str">
        <f t="shared" si="2"/>
        <v>http://dx.doi.org/10.1109/TVCG.2013.220</v>
      </c>
      <c r="F389" s="14">
        <v>2070.0</v>
      </c>
      <c r="G389" s="14">
        <v>2079.0</v>
      </c>
      <c r="H389" s="151"/>
      <c r="I389" s="14" t="s">
        <v>17059</v>
      </c>
      <c r="J389" s="14" t="s">
        <v>25366</v>
      </c>
      <c r="K389" s="14" t="s">
        <v>30507</v>
      </c>
      <c r="L389" s="152" t="s">
        <v>28529</v>
      </c>
      <c r="M389" s="14" t="s">
        <v>178</v>
      </c>
      <c r="N389" s="54" t="s">
        <v>30507</v>
      </c>
      <c r="O389" s="130" t="s">
        <v>25369</v>
      </c>
      <c r="P389" s="153" t="s">
        <v>25370</v>
      </c>
      <c r="Q389" s="14">
        <v>6634154.0</v>
      </c>
      <c r="R389" s="95"/>
      <c r="S389" s="154" t="s">
        <v>30508</v>
      </c>
      <c r="T389" s="84"/>
      <c r="U389" s="84"/>
      <c r="V389" s="84"/>
      <c r="W389" s="84"/>
      <c r="X389" s="84"/>
      <c r="Y389" s="84"/>
      <c r="Z389" s="84"/>
      <c r="AA389" s="84"/>
      <c r="AB389" s="84"/>
      <c r="AC389" s="84"/>
    </row>
    <row r="390" ht="15.75" customHeight="1">
      <c r="A390" s="14" t="s">
        <v>120</v>
      </c>
      <c r="B390" s="14">
        <v>2013.0</v>
      </c>
      <c r="C390" s="14" t="s">
        <v>25372</v>
      </c>
      <c r="D390" s="14" t="s">
        <v>25373</v>
      </c>
      <c r="E390" s="150" t="str">
        <f t="shared" si="2"/>
        <v>http://dx.doi.org/10.1109/TVCG.2013.221</v>
      </c>
      <c r="F390" s="14">
        <v>2012.0</v>
      </c>
      <c r="G390" s="14">
        <v>2021.0</v>
      </c>
      <c r="H390" s="151"/>
      <c r="I390" s="14" t="s">
        <v>17059</v>
      </c>
      <c r="J390" s="14" t="s">
        <v>25375</v>
      </c>
      <c r="K390" s="14" t="s">
        <v>30509</v>
      </c>
      <c r="L390" s="152" t="s">
        <v>28539</v>
      </c>
      <c r="M390" s="14" t="s">
        <v>1253</v>
      </c>
      <c r="N390" s="54" t="s">
        <v>30509</v>
      </c>
      <c r="O390" s="130" t="s">
        <v>25379</v>
      </c>
      <c r="P390" s="153" t="s">
        <v>25380</v>
      </c>
      <c r="Q390" s="14">
        <v>6634134.0</v>
      </c>
      <c r="R390" s="95"/>
      <c r="S390" s="154" t="s">
        <v>30510</v>
      </c>
      <c r="T390" s="84"/>
      <c r="U390" s="84"/>
      <c r="V390" s="84"/>
      <c r="W390" s="84"/>
      <c r="X390" s="84"/>
      <c r="Y390" s="84"/>
      <c r="Z390" s="84"/>
      <c r="AA390" s="84"/>
      <c r="AB390" s="84"/>
      <c r="AC390" s="84"/>
    </row>
    <row r="391" ht="15.75" customHeight="1">
      <c r="A391" s="14" t="s">
        <v>120</v>
      </c>
      <c r="B391" s="14">
        <v>2013.0</v>
      </c>
      <c r="C391" s="14" t="s">
        <v>25381</v>
      </c>
      <c r="D391" s="14" t="s">
        <v>25382</v>
      </c>
      <c r="E391" s="150" t="str">
        <f t="shared" si="2"/>
        <v>http://dx.doi.org/10.1109/TVCG.2013.222</v>
      </c>
      <c r="F391" s="14">
        <v>2237.0</v>
      </c>
      <c r="G391" s="14">
        <v>2246.0</v>
      </c>
      <c r="H391" s="151"/>
      <c r="I391" s="14" t="s">
        <v>17059</v>
      </c>
      <c r="J391" s="14" t="s">
        <v>25383</v>
      </c>
      <c r="K391" s="14" t="s">
        <v>30511</v>
      </c>
      <c r="L391" s="152" t="s">
        <v>28547</v>
      </c>
      <c r="M391" s="14" t="s">
        <v>860</v>
      </c>
      <c r="N391" s="54" t="s">
        <v>30511</v>
      </c>
      <c r="O391" s="130" t="s">
        <v>25386</v>
      </c>
      <c r="P391" s="153" t="s">
        <v>25387</v>
      </c>
      <c r="Q391" s="14">
        <v>6634112.0</v>
      </c>
      <c r="R391" s="95"/>
      <c r="S391" s="154" t="s">
        <v>30512</v>
      </c>
      <c r="T391" s="84"/>
      <c r="U391" s="84"/>
      <c r="V391" s="84"/>
      <c r="W391" s="84"/>
      <c r="X391" s="84"/>
      <c r="Y391" s="84"/>
      <c r="Z391" s="84"/>
      <c r="AA391" s="84"/>
      <c r="AB391" s="84"/>
      <c r="AC391" s="84"/>
    </row>
    <row r="392" ht="15.75" customHeight="1">
      <c r="A392" s="14" t="s">
        <v>120</v>
      </c>
      <c r="B392" s="14">
        <v>2013.0</v>
      </c>
      <c r="C392" s="14" t="s">
        <v>25388</v>
      </c>
      <c r="D392" s="14" t="s">
        <v>25389</v>
      </c>
      <c r="E392" s="150" t="str">
        <f t="shared" si="2"/>
        <v>http://dx.doi.org/10.1109/TVCG.2013.223</v>
      </c>
      <c r="F392" s="14">
        <v>2032.0</v>
      </c>
      <c r="G392" s="14">
        <v>2041.0</v>
      </c>
      <c r="H392" s="151"/>
      <c r="I392" s="14" t="s">
        <v>17059</v>
      </c>
      <c r="J392" s="14" t="s">
        <v>25390</v>
      </c>
      <c r="K392" s="14" t="s">
        <v>30513</v>
      </c>
      <c r="L392" s="152" t="s">
        <v>28560</v>
      </c>
      <c r="M392" s="14" t="s">
        <v>880</v>
      </c>
      <c r="N392" s="54" t="s">
        <v>30513</v>
      </c>
      <c r="O392" s="130" t="s">
        <v>25394</v>
      </c>
      <c r="P392" s="153" t="s">
        <v>25395</v>
      </c>
      <c r="Q392" s="14">
        <v>6634091.0</v>
      </c>
      <c r="R392" s="95"/>
      <c r="S392" s="154" t="s">
        <v>30514</v>
      </c>
      <c r="T392" s="84"/>
      <c r="U392" s="84"/>
      <c r="V392" s="84"/>
      <c r="W392" s="84"/>
      <c r="X392" s="84"/>
      <c r="Y392" s="84"/>
      <c r="Z392" s="84"/>
      <c r="AA392" s="84"/>
      <c r="AB392" s="84"/>
      <c r="AC392" s="84"/>
    </row>
    <row r="393" ht="15.75" customHeight="1">
      <c r="A393" s="14" t="s">
        <v>120</v>
      </c>
      <c r="B393" s="14">
        <v>2013.0</v>
      </c>
      <c r="C393" s="14" t="s">
        <v>25397</v>
      </c>
      <c r="D393" s="14" t="s">
        <v>25398</v>
      </c>
      <c r="E393" s="150" t="str">
        <f t="shared" si="2"/>
        <v>http://dx.doi.org/10.1109/TVCG.2013.224</v>
      </c>
      <c r="F393" s="14">
        <v>2179.0</v>
      </c>
      <c r="G393" s="14">
        <v>2188.0</v>
      </c>
      <c r="H393" s="151"/>
      <c r="I393" s="14" t="s">
        <v>17059</v>
      </c>
      <c r="J393" s="14" t="s">
        <v>25399</v>
      </c>
      <c r="K393" s="14" t="s">
        <v>30515</v>
      </c>
      <c r="L393" s="152" t="s">
        <v>28575</v>
      </c>
      <c r="M393" s="14" t="s">
        <v>880</v>
      </c>
      <c r="N393" s="54" t="s">
        <v>30515</v>
      </c>
      <c r="O393" s="130" t="s">
        <v>25402</v>
      </c>
      <c r="P393" s="153" t="s">
        <v>25403</v>
      </c>
      <c r="Q393" s="14">
        <v>6634158.0</v>
      </c>
      <c r="R393" s="95"/>
      <c r="S393" s="154" t="s">
        <v>30516</v>
      </c>
      <c r="T393" s="84"/>
      <c r="U393" s="84"/>
      <c r="V393" s="84"/>
      <c r="W393" s="84"/>
      <c r="X393" s="84"/>
      <c r="Y393" s="84"/>
      <c r="Z393" s="84"/>
      <c r="AA393" s="84"/>
      <c r="AB393" s="84"/>
      <c r="AC393" s="84"/>
    </row>
    <row r="394" ht="15.75" customHeight="1">
      <c r="A394" s="14" t="s">
        <v>120</v>
      </c>
      <c r="B394" s="14">
        <v>2013.0</v>
      </c>
      <c r="C394" s="14" t="s">
        <v>25404</v>
      </c>
      <c r="D394" s="14" t="s">
        <v>25405</v>
      </c>
      <c r="E394" s="150" t="str">
        <f t="shared" si="2"/>
        <v>http://dx.doi.org/10.1109/TVCG.2013.226</v>
      </c>
      <c r="F394" s="14">
        <v>2149.0</v>
      </c>
      <c r="G394" s="14">
        <v>2158.0</v>
      </c>
      <c r="H394" s="151"/>
      <c r="I394" s="14" t="s">
        <v>17059</v>
      </c>
      <c r="J394" s="14" t="s">
        <v>25406</v>
      </c>
      <c r="K394" s="14" t="s">
        <v>30517</v>
      </c>
      <c r="L394" s="152" t="s">
        <v>880</v>
      </c>
      <c r="M394" s="14" t="s">
        <v>880</v>
      </c>
      <c r="N394" s="54" t="s">
        <v>30517</v>
      </c>
      <c r="O394" s="130" t="s">
        <v>25410</v>
      </c>
      <c r="P394" s="153" t="s">
        <v>25412</v>
      </c>
      <c r="Q394" s="14">
        <v>6634127.0</v>
      </c>
      <c r="R394" s="95"/>
      <c r="S394" s="154" t="s">
        <v>30518</v>
      </c>
      <c r="T394" s="84"/>
      <c r="U394" s="84"/>
      <c r="V394" s="84"/>
      <c r="W394" s="84"/>
      <c r="X394" s="84"/>
      <c r="Y394" s="84"/>
      <c r="Z394" s="84"/>
      <c r="AA394" s="84"/>
      <c r="AB394" s="84"/>
      <c r="AC394" s="84"/>
    </row>
    <row r="395" ht="15.75" customHeight="1">
      <c r="A395" s="14" t="s">
        <v>120</v>
      </c>
      <c r="B395" s="14">
        <v>2013.0</v>
      </c>
      <c r="C395" s="14" t="s">
        <v>25413</v>
      </c>
      <c r="D395" s="14" t="s">
        <v>25414</v>
      </c>
      <c r="E395" s="150" t="str">
        <f t="shared" si="2"/>
        <v>http://dx.doi.org/10.1109/TVCG.2013.228</v>
      </c>
      <c r="F395" s="14">
        <v>2159.0</v>
      </c>
      <c r="G395" s="14">
        <v>2168.0</v>
      </c>
      <c r="H395" s="151"/>
      <c r="I395" s="14" t="s">
        <v>17059</v>
      </c>
      <c r="J395" s="14" t="s">
        <v>25416</v>
      </c>
      <c r="K395" s="14" t="s">
        <v>30519</v>
      </c>
      <c r="L395" s="152" t="s">
        <v>28606</v>
      </c>
      <c r="M395" s="14" t="s">
        <v>880</v>
      </c>
      <c r="N395" s="54" t="s">
        <v>30519</v>
      </c>
      <c r="O395" s="130" t="s">
        <v>25419</v>
      </c>
      <c r="P395" s="153" t="s">
        <v>25420</v>
      </c>
      <c r="Q395" s="14">
        <v>6634174.0</v>
      </c>
      <c r="R395" s="95"/>
      <c r="S395" s="154" t="s">
        <v>30520</v>
      </c>
      <c r="T395" s="84"/>
      <c r="U395" s="84"/>
      <c r="V395" s="84"/>
      <c r="W395" s="84"/>
      <c r="X395" s="84"/>
      <c r="Y395" s="84"/>
      <c r="Z395" s="84"/>
      <c r="AA395" s="84"/>
      <c r="AB395" s="84"/>
      <c r="AC395" s="84"/>
    </row>
    <row r="396" ht="15.75" customHeight="1">
      <c r="A396" s="14" t="s">
        <v>2137</v>
      </c>
      <c r="B396" s="14">
        <v>2012.0</v>
      </c>
      <c r="C396" s="14" t="s">
        <v>23546</v>
      </c>
      <c r="D396" s="14" t="s">
        <v>23547</v>
      </c>
      <c r="E396" s="150" t="str">
        <f t="shared" si="2"/>
        <v>http://dx.doi.org/10.1109/TVCG.2012.189</v>
      </c>
      <c r="F396" s="14">
        <v>2449.0</v>
      </c>
      <c r="G396" s="14">
        <v>2456.0</v>
      </c>
      <c r="H396" s="151"/>
      <c r="I396" s="14" t="s">
        <v>17059</v>
      </c>
      <c r="J396" s="14" t="s">
        <v>23548</v>
      </c>
      <c r="K396" s="14" t="s">
        <v>30521</v>
      </c>
      <c r="L396" s="152" t="s">
        <v>27014</v>
      </c>
      <c r="M396" s="14" t="s">
        <v>30522</v>
      </c>
      <c r="N396" s="54" t="s">
        <v>30521</v>
      </c>
      <c r="O396" s="130" t="s">
        <v>23552</v>
      </c>
      <c r="P396" s="153" t="s">
        <v>23553</v>
      </c>
      <c r="Q396" s="14">
        <v>6327250.0</v>
      </c>
      <c r="R396" s="95"/>
      <c r="S396" s="154" t="s">
        <v>30523</v>
      </c>
      <c r="T396" s="84"/>
      <c r="U396" s="84"/>
      <c r="V396" s="84"/>
      <c r="W396" s="84"/>
      <c r="X396" s="84"/>
      <c r="Y396" s="84"/>
      <c r="Z396" s="84"/>
      <c r="AA396" s="84"/>
      <c r="AB396" s="84"/>
      <c r="AC396" s="84"/>
    </row>
    <row r="397" ht="15.75" customHeight="1">
      <c r="A397" s="14" t="s">
        <v>2137</v>
      </c>
      <c r="B397" s="14">
        <v>2012.0</v>
      </c>
      <c r="C397" s="14" t="s">
        <v>23555</v>
      </c>
      <c r="D397" s="14" t="s">
        <v>23556</v>
      </c>
      <c r="E397" s="150" t="str">
        <f t="shared" si="2"/>
        <v>http://dx.doi.org/10.1109/TVCG.2012.192</v>
      </c>
      <c r="F397" s="14">
        <v>2575.0</v>
      </c>
      <c r="G397" s="14">
        <v>2582.0</v>
      </c>
      <c r="H397" s="151"/>
      <c r="I397" s="14" t="s">
        <v>17059</v>
      </c>
      <c r="J397" s="14" t="s">
        <v>23558</v>
      </c>
      <c r="K397" s="14" t="s">
        <v>8445</v>
      </c>
      <c r="L397" s="152" t="s">
        <v>27021</v>
      </c>
      <c r="M397" s="14">
        <v>3.84889173E10</v>
      </c>
      <c r="N397" s="54" t="s">
        <v>8445</v>
      </c>
      <c r="O397" s="130" t="s">
        <v>23561</v>
      </c>
      <c r="P397" s="153" t="s">
        <v>23562</v>
      </c>
      <c r="Q397" s="14">
        <v>6327263.0</v>
      </c>
      <c r="R397" s="95"/>
      <c r="S397" s="154" t="s">
        <v>30525</v>
      </c>
      <c r="T397" s="84"/>
      <c r="U397" s="84"/>
      <c r="V397" s="84"/>
      <c r="W397" s="84"/>
      <c r="X397" s="84"/>
      <c r="Y397" s="84"/>
      <c r="Z397" s="84"/>
      <c r="AA397" s="84"/>
      <c r="AB397" s="84"/>
      <c r="AC397" s="84"/>
    </row>
    <row r="398" ht="15.75" customHeight="1">
      <c r="A398" s="14" t="s">
        <v>2137</v>
      </c>
      <c r="B398" s="14">
        <v>2012.0</v>
      </c>
      <c r="C398" s="14" t="s">
        <v>23563</v>
      </c>
      <c r="D398" s="14" t="s">
        <v>23564</v>
      </c>
      <c r="E398" s="150" t="str">
        <f t="shared" si="2"/>
        <v>http://dx.doi.org/10.1109/TVCG.2012.193</v>
      </c>
      <c r="F398" s="14">
        <v>2583.0</v>
      </c>
      <c r="G398" s="14">
        <v>2592.0</v>
      </c>
      <c r="H398" s="151"/>
      <c r="I398" s="14" t="s">
        <v>17059</v>
      </c>
      <c r="J398" s="14" t="s">
        <v>23565</v>
      </c>
      <c r="K398" s="14" t="s">
        <v>30526</v>
      </c>
      <c r="L398" s="152" t="s">
        <v>27024</v>
      </c>
      <c r="M398" s="14" t="s">
        <v>30527</v>
      </c>
      <c r="N398" s="54" t="s">
        <v>30526</v>
      </c>
      <c r="O398" s="130" t="s">
        <v>23569</v>
      </c>
      <c r="P398" s="153" t="s">
        <v>23570</v>
      </c>
      <c r="Q398" s="14">
        <v>6327264.0</v>
      </c>
      <c r="R398" s="95"/>
      <c r="S398" s="154" t="s">
        <v>30528</v>
      </c>
      <c r="T398" s="84"/>
      <c r="U398" s="84"/>
      <c r="V398" s="84"/>
      <c r="W398" s="84"/>
      <c r="X398" s="84"/>
      <c r="Y398" s="84"/>
      <c r="Z398" s="84"/>
      <c r="AA398" s="84"/>
      <c r="AB398" s="84"/>
      <c r="AC398" s="84"/>
    </row>
    <row r="399" ht="15.75" customHeight="1">
      <c r="A399" s="14" t="s">
        <v>2137</v>
      </c>
      <c r="B399" s="14">
        <v>2012.0</v>
      </c>
      <c r="C399" s="14" t="s">
        <v>23571</v>
      </c>
      <c r="D399" s="14" t="s">
        <v>23572</v>
      </c>
      <c r="E399" s="150" t="str">
        <f t="shared" si="2"/>
        <v>http://dx.doi.org/10.1109/TVCG.2012.196</v>
      </c>
      <c r="F399" s="14">
        <v>2613.0</v>
      </c>
      <c r="G399" s="14">
        <v>2620.0</v>
      </c>
      <c r="H399" s="151"/>
      <c r="I399" s="14" t="s">
        <v>17059</v>
      </c>
      <c r="J399" s="14" t="s">
        <v>30529</v>
      </c>
      <c r="K399" s="14" t="s">
        <v>30530</v>
      </c>
      <c r="L399" s="152" t="s">
        <v>494</v>
      </c>
      <c r="M399" s="14" t="s">
        <v>30531</v>
      </c>
      <c r="N399" s="54" t="s">
        <v>30530</v>
      </c>
      <c r="O399" s="130" t="s">
        <v>23575</v>
      </c>
      <c r="P399" s="153" t="s">
        <v>23576</v>
      </c>
      <c r="Q399" s="14">
        <v>6327267.0</v>
      </c>
      <c r="R399" s="95"/>
      <c r="S399" s="154" t="s">
        <v>30533</v>
      </c>
      <c r="T399" s="84"/>
      <c r="U399" s="84"/>
      <c r="V399" s="84"/>
      <c r="W399" s="84"/>
      <c r="X399" s="84"/>
      <c r="Y399" s="84"/>
      <c r="Z399" s="84"/>
      <c r="AA399" s="84"/>
      <c r="AB399" s="84"/>
      <c r="AC399" s="84"/>
    </row>
    <row r="400" ht="15.75" customHeight="1">
      <c r="A400" s="14" t="s">
        <v>2137</v>
      </c>
      <c r="B400" s="14">
        <v>2012.0</v>
      </c>
      <c r="C400" s="14" t="s">
        <v>23578</v>
      </c>
      <c r="D400" s="14" t="s">
        <v>23579</v>
      </c>
      <c r="E400" s="150" t="str">
        <f t="shared" si="2"/>
        <v>http://dx.doi.org/10.1109/TVCG.2012.197</v>
      </c>
      <c r="F400" s="14">
        <v>2759.0</v>
      </c>
      <c r="G400" s="14">
        <v>2768.0</v>
      </c>
      <c r="H400" s="151"/>
      <c r="I400" s="14" t="s">
        <v>17059</v>
      </c>
      <c r="J400" s="14" t="s">
        <v>30534</v>
      </c>
      <c r="K400" s="14" t="s">
        <v>30535</v>
      </c>
      <c r="L400" s="152" t="s">
        <v>27033</v>
      </c>
      <c r="M400" s="14" t="s">
        <v>30536</v>
      </c>
      <c r="N400" s="54" t="s">
        <v>30537</v>
      </c>
      <c r="O400" s="130" t="s">
        <v>23584</v>
      </c>
      <c r="P400" s="153" t="s">
        <v>23585</v>
      </c>
      <c r="Q400" s="14">
        <v>6327282.0</v>
      </c>
      <c r="R400" s="95"/>
      <c r="S400" s="154" t="s">
        <v>30538</v>
      </c>
      <c r="T400" s="84"/>
      <c r="U400" s="84"/>
      <c r="V400" s="84"/>
      <c r="W400" s="84"/>
      <c r="X400" s="84"/>
      <c r="Y400" s="84"/>
      <c r="Z400" s="84"/>
      <c r="AA400" s="84"/>
      <c r="AB400" s="84"/>
      <c r="AC400" s="84"/>
    </row>
    <row r="401" ht="15.75" customHeight="1">
      <c r="A401" s="14" t="s">
        <v>2137</v>
      </c>
      <c r="B401" s="14">
        <v>2012.0</v>
      </c>
      <c r="C401" s="14" t="s">
        <v>23586</v>
      </c>
      <c r="D401" s="14" t="s">
        <v>23587</v>
      </c>
      <c r="E401" s="150" t="str">
        <f t="shared" si="2"/>
        <v>http://dx.doi.org/10.1109/TVCG.2012.199</v>
      </c>
      <c r="F401" s="14">
        <v>2536.0</v>
      </c>
      <c r="G401" s="14">
        <v>2545.0</v>
      </c>
      <c r="H401" s="151"/>
      <c r="I401" s="14" t="s">
        <v>17059</v>
      </c>
      <c r="J401" s="14" t="s">
        <v>23588</v>
      </c>
      <c r="K401" s="14" t="s">
        <v>30539</v>
      </c>
      <c r="L401" s="152" t="s">
        <v>27037</v>
      </c>
      <c r="M401" s="14" t="s">
        <v>30540</v>
      </c>
      <c r="N401" s="54" t="s">
        <v>30539</v>
      </c>
      <c r="O401" s="130" t="s">
        <v>23591</v>
      </c>
      <c r="P401" s="153" t="s">
        <v>23592</v>
      </c>
      <c r="Q401" s="14">
        <v>6327259.0</v>
      </c>
      <c r="R401" s="95"/>
      <c r="S401" s="154" t="s">
        <v>30541</v>
      </c>
      <c r="T401" s="84"/>
      <c r="U401" s="84"/>
      <c r="V401" s="84"/>
      <c r="W401" s="84"/>
      <c r="X401" s="84"/>
      <c r="Y401" s="84"/>
      <c r="Z401" s="84"/>
      <c r="AA401" s="84"/>
      <c r="AB401" s="84"/>
      <c r="AC401" s="84"/>
    </row>
    <row r="402" ht="15.75" customHeight="1">
      <c r="A402" s="14" t="s">
        <v>2137</v>
      </c>
      <c r="B402" s="14">
        <v>2012.0</v>
      </c>
      <c r="C402" s="14" t="s">
        <v>23593</v>
      </c>
      <c r="D402" s="14" t="s">
        <v>23594</v>
      </c>
      <c r="E402" s="150" t="str">
        <f t="shared" si="2"/>
        <v>http://dx.doi.org/10.1109/TVCG.2012.204</v>
      </c>
      <c r="F402" s="14">
        <v>2689.0</v>
      </c>
      <c r="G402" s="14">
        <v>2698.0</v>
      </c>
      <c r="H402" s="151"/>
      <c r="I402" s="14" t="s">
        <v>17059</v>
      </c>
      <c r="J402" s="14" t="s">
        <v>30542</v>
      </c>
      <c r="K402" s="14" t="s">
        <v>30543</v>
      </c>
      <c r="L402" s="152" t="s">
        <v>5349</v>
      </c>
      <c r="M402" s="14" t="s">
        <v>30544</v>
      </c>
      <c r="N402" s="54" t="s">
        <v>30543</v>
      </c>
      <c r="O402" s="130" t="s">
        <v>23599</v>
      </c>
      <c r="P402" s="153" t="s">
        <v>23600</v>
      </c>
      <c r="Q402" s="14">
        <v>6327275.0</v>
      </c>
      <c r="R402" s="95"/>
      <c r="S402" s="154" t="s">
        <v>30545</v>
      </c>
      <c r="T402" s="84"/>
      <c r="U402" s="84"/>
      <c r="V402" s="84"/>
      <c r="W402" s="84"/>
      <c r="X402" s="84"/>
      <c r="Y402" s="84"/>
      <c r="Z402" s="84"/>
      <c r="AA402" s="84"/>
      <c r="AB402" s="84"/>
      <c r="AC402" s="84"/>
    </row>
    <row r="403" ht="15.75" customHeight="1">
      <c r="A403" s="14" t="s">
        <v>2137</v>
      </c>
      <c r="B403" s="14">
        <v>2012.0</v>
      </c>
      <c r="C403" s="14" t="s">
        <v>23601</v>
      </c>
      <c r="D403" s="14" t="s">
        <v>23602</v>
      </c>
      <c r="E403" s="150" t="str">
        <f t="shared" si="2"/>
        <v>http://dx.doi.org/10.1109/TVCG.2012.205</v>
      </c>
      <c r="F403" s="14">
        <v>2593.0</v>
      </c>
      <c r="G403" s="14">
        <v>2602.0</v>
      </c>
      <c r="H403" s="151"/>
      <c r="I403" s="14" t="s">
        <v>17059</v>
      </c>
      <c r="J403" s="14" t="s">
        <v>23603</v>
      </c>
      <c r="K403" s="14" t="s">
        <v>30546</v>
      </c>
      <c r="L403" s="152" t="s">
        <v>178</v>
      </c>
      <c r="M403" s="14" t="s">
        <v>178</v>
      </c>
      <c r="N403" s="54" t="s">
        <v>30546</v>
      </c>
      <c r="O403" s="130" t="s">
        <v>23606</v>
      </c>
      <c r="P403" s="153" t="s">
        <v>23607</v>
      </c>
      <c r="Q403" s="14">
        <v>6327265.0</v>
      </c>
      <c r="R403" s="14"/>
      <c r="S403" s="154" t="s">
        <v>30547</v>
      </c>
      <c r="T403" s="84"/>
      <c r="U403" s="84"/>
      <c r="V403" s="84"/>
      <c r="W403" s="84"/>
      <c r="X403" s="84"/>
      <c r="Y403" s="84"/>
      <c r="Z403" s="84"/>
      <c r="AA403" s="84"/>
      <c r="AB403" s="84"/>
      <c r="AC403" s="84"/>
    </row>
    <row r="404" ht="15.75" customHeight="1">
      <c r="A404" s="14" t="s">
        <v>2137</v>
      </c>
      <c r="B404" s="14">
        <v>2012.0</v>
      </c>
      <c r="C404" s="14" t="s">
        <v>23608</v>
      </c>
      <c r="D404" s="14" t="s">
        <v>23609</v>
      </c>
      <c r="E404" s="150" t="str">
        <f t="shared" si="2"/>
        <v>http://dx.doi.org/10.1109/TVCG.2012.207</v>
      </c>
      <c r="F404" s="14">
        <v>2506.0</v>
      </c>
      <c r="G404" s="14">
        <v>2515.0</v>
      </c>
      <c r="H404" s="151"/>
      <c r="I404" s="14" t="s">
        <v>17059</v>
      </c>
      <c r="J404" s="14" t="s">
        <v>30548</v>
      </c>
      <c r="K404" s="14" t="s">
        <v>30549</v>
      </c>
      <c r="L404" s="152" t="s">
        <v>27120</v>
      </c>
      <c r="M404" s="14" t="s">
        <v>30550</v>
      </c>
      <c r="N404" s="54" t="s">
        <v>30549</v>
      </c>
      <c r="O404" s="130" t="s">
        <v>23614</v>
      </c>
      <c r="P404" s="153" t="s">
        <v>23616</v>
      </c>
      <c r="Q404" s="14">
        <v>6327256.0</v>
      </c>
      <c r="R404" s="95"/>
      <c r="S404" s="154" t="s">
        <v>30551</v>
      </c>
      <c r="T404" s="84"/>
      <c r="U404" s="84"/>
      <c r="V404" s="84"/>
      <c r="W404" s="84"/>
      <c r="X404" s="84"/>
      <c r="Y404" s="84"/>
      <c r="Z404" s="84"/>
      <c r="AA404" s="84"/>
      <c r="AB404" s="84"/>
      <c r="AC404" s="84"/>
    </row>
    <row r="405" ht="15.75" customHeight="1">
      <c r="A405" s="14" t="s">
        <v>2137</v>
      </c>
      <c r="B405" s="14">
        <v>2012.0</v>
      </c>
      <c r="C405" s="14" t="s">
        <v>23617</v>
      </c>
      <c r="D405" s="14" t="s">
        <v>23618</v>
      </c>
      <c r="E405" s="150" t="str">
        <f t="shared" si="2"/>
        <v>http://dx.doi.org/10.1109/TVCG.2012.208</v>
      </c>
      <c r="F405" s="14">
        <v>2457.0</v>
      </c>
      <c r="G405" s="14">
        <v>2466.0</v>
      </c>
      <c r="H405" s="151"/>
      <c r="I405" s="14" t="s">
        <v>17059</v>
      </c>
      <c r="J405" s="14" t="s">
        <v>23620</v>
      </c>
      <c r="K405" s="14" t="s">
        <v>30552</v>
      </c>
      <c r="L405" s="152" t="s">
        <v>494</v>
      </c>
      <c r="M405" s="14" t="s">
        <v>30553</v>
      </c>
      <c r="N405" s="54" t="s">
        <v>30552</v>
      </c>
      <c r="O405" s="130" t="s">
        <v>23623</v>
      </c>
      <c r="P405" s="153" t="s">
        <v>23624</v>
      </c>
      <c r="Q405" s="14">
        <v>6327251.0</v>
      </c>
      <c r="R405" s="95"/>
      <c r="S405" s="154" t="s">
        <v>30554</v>
      </c>
      <c r="T405" s="84"/>
      <c r="U405" s="84"/>
      <c r="V405" s="84"/>
      <c r="W405" s="84"/>
      <c r="X405" s="84"/>
      <c r="Y405" s="84"/>
      <c r="Z405" s="84"/>
      <c r="AA405" s="84"/>
      <c r="AB405" s="84"/>
      <c r="AC405" s="84"/>
    </row>
    <row r="406" ht="15.75" customHeight="1">
      <c r="A406" s="14" t="s">
        <v>2137</v>
      </c>
      <c r="B406" s="14">
        <v>2012.0</v>
      </c>
      <c r="C406" s="14" t="s">
        <v>23625</v>
      </c>
      <c r="D406" s="14" t="s">
        <v>23626</v>
      </c>
      <c r="E406" s="150" t="str">
        <f t="shared" si="2"/>
        <v>http://dx.doi.org/10.1109/TVCG.2012.212</v>
      </c>
      <c r="F406" s="14">
        <v>2679.0</v>
      </c>
      <c r="G406" s="14">
        <v>2688.0</v>
      </c>
      <c r="H406" s="151"/>
      <c r="I406" s="14" t="s">
        <v>17059</v>
      </c>
      <c r="J406" s="14" t="s">
        <v>30555</v>
      </c>
      <c r="K406" s="14" t="s">
        <v>30556</v>
      </c>
      <c r="L406" s="152" t="s">
        <v>27178</v>
      </c>
      <c r="M406" s="14" t="s">
        <v>30557</v>
      </c>
      <c r="N406" s="54" t="s">
        <v>30556</v>
      </c>
      <c r="O406" s="130" t="s">
        <v>23630</v>
      </c>
      <c r="P406" s="153" t="s">
        <v>23631</v>
      </c>
      <c r="Q406" s="14">
        <v>6327274.0</v>
      </c>
      <c r="R406" s="95"/>
      <c r="S406" s="154" t="s">
        <v>30558</v>
      </c>
      <c r="T406" s="84"/>
      <c r="U406" s="84"/>
      <c r="V406" s="84"/>
      <c r="W406" s="84"/>
      <c r="X406" s="84"/>
      <c r="Y406" s="84"/>
      <c r="Z406" s="84"/>
      <c r="AA406" s="84"/>
      <c r="AB406" s="84"/>
      <c r="AC406" s="84"/>
    </row>
    <row r="407" ht="15.75" customHeight="1">
      <c r="A407" s="14" t="s">
        <v>2137</v>
      </c>
      <c r="B407" s="14">
        <v>2012.0</v>
      </c>
      <c r="C407" s="14" t="s">
        <v>23632</v>
      </c>
      <c r="D407" s="14" t="s">
        <v>23634</v>
      </c>
      <c r="E407" s="150" t="str">
        <f t="shared" si="2"/>
        <v>http://dx.doi.org/10.1109/TVCG.2012.213</v>
      </c>
      <c r="F407" s="14">
        <v>2431.0</v>
      </c>
      <c r="G407" s="14">
        <v>2440.0</v>
      </c>
      <c r="H407" s="151"/>
      <c r="I407" s="14" t="s">
        <v>17059</v>
      </c>
      <c r="J407" s="14" t="s">
        <v>23636</v>
      </c>
      <c r="K407" s="14" t="s">
        <v>30559</v>
      </c>
      <c r="L407" s="152" t="s">
        <v>494</v>
      </c>
      <c r="M407" s="14" t="s">
        <v>30560</v>
      </c>
      <c r="N407" s="54" t="s">
        <v>30559</v>
      </c>
      <c r="O407" s="130" t="s">
        <v>23640</v>
      </c>
      <c r="P407" s="153" t="s">
        <v>23641</v>
      </c>
      <c r="Q407" s="14">
        <v>6327248.0</v>
      </c>
      <c r="R407" s="95"/>
      <c r="S407" s="154" t="s">
        <v>30561</v>
      </c>
      <c r="T407" s="84"/>
      <c r="U407" s="84"/>
      <c r="V407" s="84"/>
      <c r="W407" s="84"/>
      <c r="X407" s="84"/>
      <c r="Y407" s="84"/>
      <c r="Z407" s="84"/>
      <c r="AA407" s="84"/>
      <c r="AB407" s="84"/>
      <c r="AC407" s="84"/>
    </row>
    <row r="408" ht="15.75" customHeight="1">
      <c r="A408" s="14" t="s">
        <v>2137</v>
      </c>
      <c r="B408" s="14">
        <v>2012.0</v>
      </c>
      <c r="C408" s="14" t="s">
        <v>23642</v>
      </c>
      <c r="D408" s="14" t="s">
        <v>23643</v>
      </c>
      <c r="E408" s="150" t="str">
        <f t="shared" si="2"/>
        <v>http://dx.doi.org/10.1109/TVCG.2012.214</v>
      </c>
      <c r="F408" s="14">
        <v>2411.0</v>
      </c>
      <c r="G408" s="14">
        <v>2420.0</v>
      </c>
      <c r="H408" s="151"/>
      <c r="I408" s="14" t="s">
        <v>17059</v>
      </c>
      <c r="J408" s="14" t="s">
        <v>30562</v>
      </c>
      <c r="K408" s="14" t="s">
        <v>30563</v>
      </c>
      <c r="L408" s="152" t="s">
        <v>27215</v>
      </c>
      <c r="M408" s="14" t="s">
        <v>30564</v>
      </c>
      <c r="N408" s="54" t="s">
        <v>30563</v>
      </c>
      <c r="O408" s="130" t="s">
        <v>23648</v>
      </c>
      <c r="P408" s="153" t="s">
        <v>23649</v>
      </c>
      <c r="Q408" s="14">
        <v>6327246.0</v>
      </c>
      <c r="R408" s="95"/>
      <c r="S408" s="154" t="s">
        <v>30565</v>
      </c>
      <c r="T408" s="84"/>
      <c r="U408" s="84"/>
      <c r="V408" s="84"/>
      <c r="W408" s="84"/>
      <c r="X408" s="84"/>
      <c r="Y408" s="84"/>
      <c r="Z408" s="84"/>
      <c r="AA408" s="84"/>
      <c r="AB408" s="84"/>
      <c r="AC408" s="84"/>
    </row>
    <row r="409" ht="15.75" customHeight="1">
      <c r="A409" s="14" t="s">
        <v>2137</v>
      </c>
      <c r="B409" s="14">
        <v>2012.0</v>
      </c>
      <c r="C409" s="14" t="s">
        <v>23650</v>
      </c>
      <c r="D409" s="14" t="s">
        <v>23651</v>
      </c>
      <c r="E409" s="150" t="str">
        <f t="shared" si="2"/>
        <v>http://dx.doi.org/10.1109/TVCG.2012.215</v>
      </c>
      <c r="F409" s="14">
        <v>2421.0</v>
      </c>
      <c r="G409" s="14">
        <v>2430.0</v>
      </c>
      <c r="H409" s="151"/>
      <c r="I409" s="14" t="s">
        <v>17059</v>
      </c>
      <c r="J409" s="14" t="s">
        <v>23655</v>
      </c>
      <c r="K409" s="14" t="s">
        <v>30566</v>
      </c>
      <c r="L409" s="152" t="s">
        <v>27231</v>
      </c>
      <c r="M409" s="14" t="s">
        <v>30567</v>
      </c>
      <c r="N409" s="54" t="s">
        <v>30566</v>
      </c>
      <c r="O409" s="130" t="s">
        <v>23657</v>
      </c>
      <c r="P409" s="153" t="s">
        <v>23658</v>
      </c>
      <c r="Q409" s="14">
        <v>6327247.0</v>
      </c>
      <c r="R409" s="95"/>
      <c r="S409" s="154" t="s">
        <v>30568</v>
      </c>
      <c r="T409" s="84"/>
      <c r="U409" s="84"/>
      <c r="V409" s="84"/>
      <c r="W409" s="84"/>
      <c r="X409" s="84"/>
      <c r="Y409" s="84"/>
      <c r="Z409" s="84"/>
      <c r="AA409" s="84"/>
      <c r="AB409" s="84"/>
      <c r="AC409" s="84"/>
    </row>
    <row r="410" ht="15.75" customHeight="1">
      <c r="A410" s="14" t="s">
        <v>2137</v>
      </c>
      <c r="B410" s="14">
        <v>2012.0</v>
      </c>
      <c r="C410" s="14" t="s">
        <v>23659</v>
      </c>
      <c r="D410" s="14" t="s">
        <v>23660</v>
      </c>
      <c r="E410" s="150" t="str">
        <f t="shared" si="2"/>
        <v>http://dx.doi.org/10.1109/TVCG.2012.220</v>
      </c>
      <c r="F410" s="14">
        <v>2769.0</v>
      </c>
      <c r="G410" s="14">
        <v>2778.0</v>
      </c>
      <c r="H410" s="151"/>
      <c r="I410" s="14" t="s">
        <v>17059</v>
      </c>
      <c r="J410" s="14" t="s">
        <v>23661</v>
      </c>
      <c r="K410" s="14" t="s">
        <v>30569</v>
      </c>
      <c r="L410" s="152" t="s">
        <v>26797</v>
      </c>
      <c r="M410" s="14" t="s">
        <v>5349</v>
      </c>
      <c r="N410" s="54" t="s">
        <v>30569</v>
      </c>
      <c r="O410" s="130" t="s">
        <v>23665</v>
      </c>
      <c r="P410" s="153" t="s">
        <v>23666</v>
      </c>
      <c r="Q410" s="14">
        <v>6327283.0</v>
      </c>
      <c r="R410" s="95"/>
      <c r="S410" s="154" t="s">
        <v>30570</v>
      </c>
      <c r="T410" s="84"/>
      <c r="U410" s="84"/>
      <c r="V410" s="84"/>
      <c r="W410" s="84"/>
      <c r="X410" s="84"/>
      <c r="Y410" s="84"/>
      <c r="Z410" s="84"/>
      <c r="AA410" s="84"/>
      <c r="AB410" s="84"/>
      <c r="AC410" s="84"/>
    </row>
    <row r="411" ht="15.75" customHeight="1">
      <c r="A411" s="14" t="s">
        <v>2137</v>
      </c>
      <c r="B411" s="14">
        <v>2012.0</v>
      </c>
      <c r="C411" s="14" t="s">
        <v>23667</v>
      </c>
      <c r="D411" s="14" t="s">
        <v>23668</v>
      </c>
      <c r="E411" s="150" t="str">
        <f t="shared" si="2"/>
        <v>http://dx.doi.org/10.1109/TVCG.2012.221</v>
      </c>
      <c r="F411" s="14">
        <v>2739.0</v>
      </c>
      <c r="G411" s="14">
        <v>2748.0</v>
      </c>
      <c r="H411" s="151"/>
      <c r="I411" s="14" t="s">
        <v>17059</v>
      </c>
      <c r="J411" s="14" t="s">
        <v>23669</v>
      </c>
      <c r="K411" s="14" t="s">
        <v>30571</v>
      </c>
      <c r="L411" s="152" t="s">
        <v>880</v>
      </c>
      <c r="M411" s="14" t="s">
        <v>30572</v>
      </c>
      <c r="N411" s="54" t="s">
        <v>30571</v>
      </c>
      <c r="O411" s="130" t="s">
        <v>23674</v>
      </c>
      <c r="P411" s="153" t="s">
        <v>23675</v>
      </c>
      <c r="Q411" s="14">
        <v>6327280.0</v>
      </c>
      <c r="R411" s="95"/>
      <c r="S411" s="154" t="s">
        <v>30573</v>
      </c>
      <c r="T411" s="84"/>
      <c r="U411" s="84"/>
      <c r="V411" s="84"/>
      <c r="W411" s="84"/>
      <c r="X411" s="84"/>
      <c r="Y411" s="84"/>
      <c r="Z411" s="84"/>
      <c r="AA411" s="84"/>
      <c r="AB411" s="84"/>
      <c r="AC411" s="84"/>
    </row>
    <row r="412" ht="15.75" customHeight="1">
      <c r="A412" s="14" t="s">
        <v>2137</v>
      </c>
      <c r="B412" s="14">
        <v>2012.0</v>
      </c>
      <c r="C412" s="14" t="s">
        <v>23676</v>
      </c>
      <c r="D412" s="14" t="s">
        <v>23677</v>
      </c>
      <c r="E412" s="150" t="str">
        <f t="shared" si="2"/>
        <v>http://dx.doi.org/10.1109/TVCG.2012.225</v>
      </c>
      <c r="F412" s="14">
        <v>2659.0</v>
      </c>
      <c r="G412" s="14">
        <v>2668.0</v>
      </c>
      <c r="H412" s="151"/>
      <c r="I412" s="14" t="s">
        <v>17059</v>
      </c>
      <c r="J412" s="14" t="s">
        <v>23679</v>
      </c>
      <c r="K412" s="14" t="s">
        <v>30574</v>
      </c>
      <c r="L412" s="152" t="s">
        <v>27350</v>
      </c>
      <c r="M412" s="14" t="s">
        <v>30575</v>
      </c>
      <c r="N412" s="54" t="s">
        <v>30574</v>
      </c>
      <c r="O412" s="130" t="s">
        <v>23682</v>
      </c>
      <c r="P412" s="153" t="s">
        <v>23683</v>
      </c>
      <c r="Q412" s="14">
        <v>6327272.0</v>
      </c>
      <c r="R412" s="95"/>
      <c r="S412" s="154" t="s">
        <v>30576</v>
      </c>
      <c r="T412" s="84"/>
      <c r="U412" s="84"/>
      <c r="V412" s="84"/>
      <c r="W412" s="84"/>
      <c r="X412" s="84"/>
      <c r="Y412" s="84"/>
      <c r="Z412" s="84"/>
      <c r="AA412" s="84"/>
      <c r="AB412" s="84"/>
      <c r="AC412" s="84"/>
    </row>
    <row r="413" ht="15.75" customHeight="1">
      <c r="A413" s="14" t="s">
        <v>2137</v>
      </c>
      <c r="B413" s="14">
        <v>2012.0</v>
      </c>
      <c r="C413" s="14" t="s">
        <v>23684</v>
      </c>
      <c r="D413" s="14" t="s">
        <v>23685</v>
      </c>
      <c r="E413" s="150" t="str">
        <f t="shared" si="2"/>
        <v>http://dx.doi.org/10.1109/TVCG.2012.226</v>
      </c>
      <c r="F413" s="14">
        <v>2639.0</v>
      </c>
      <c r="G413" s="14">
        <v>2648.0</v>
      </c>
      <c r="H413" s="151"/>
      <c r="I413" s="14" t="s">
        <v>17059</v>
      </c>
      <c r="J413" s="14" t="s">
        <v>23686</v>
      </c>
      <c r="K413" s="14" t="s">
        <v>30577</v>
      </c>
      <c r="L413" s="152" t="s">
        <v>27366</v>
      </c>
      <c r="M413" s="14" t="s">
        <v>30578</v>
      </c>
      <c r="N413" s="54" t="s">
        <v>30577</v>
      </c>
      <c r="O413" s="130" t="s">
        <v>23689</v>
      </c>
      <c r="P413" s="153" t="s">
        <v>23690</v>
      </c>
      <c r="Q413" s="14">
        <v>6327270.0</v>
      </c>
      <c r="R413" s="95"/>
      <c r="S413" s="154" t="s">
        <v>30579</v>
      </c>
      <c r="T413" s="84"/>
      <c r="U413" s="84"/>
      <c r="V413" s="84"/>
      <c r="W413" s="84"/>
      <c r="X413" s="84"/>
      <c r="Y413" s="84"/>
      <c r="Z413" s="84"/>
      <c r="AA413" s="84"/>
      <c r="AB413" s="84"/>
      <c r="AC413" s="84"/>
    </row>
    <row r="414" ht="15.75" customHeight="1">
      <c r="A414" s="14" t="s">
        <v>2137</v>
      </c>
      <c r="B414" s="14">
        <v>2012.0</v>
      </c>
      <c r="C414" s="14" t="s">
        <v>23691</v>
      </c>
      <c r="D414" s="14" t="s">
        <v>23692</v>
      </c>
      <c r="E414" s="150" t="str">
        <f t="shared" si="2"/>
        <v>http://dx.doi.org/10.1109/TVCG.2012.229</v>
      </c>
      <c r="F414" s="14">
        <v>2631.0</v>
      </c>
      <c r="G414" s="14">
        <v>2638.0</v>
      </c>
      <c r="H414" s="151"/>
      <c r="I414" s="14" t="s">
        <v>17059</v>
      </c>
      <c r="J414" s="14" t="s">
        <v>23694</v>
      </c>
      <c r="K414" s="14" t="s">
        <v>30580</v>
      </c>
      <c r="L414" s="152" t="s">
        <v>27402</v>
      </c>
      <c r="M414" s="14" t="s">
        <v>30581</v>
      </c>
      <c r="N414" s="54" t="s">
        <v>30580</v>
      </c>
      <c r="O414" s="130" t="s">
        <v>23698</v>
      </c>
      <c r="P414" s="153" t="s">
        <v>23699</v>
      </c>
      <c r="Q414" s="14">
        <v>6327269.0</v>
      </c>
      <c r="R414" s="95"/>
      <c r="S414" s="154" t="s">
        <v>30582</v>
      </c>
      <c r="T414" s="84"/>
      <c r="U414" s="84"/>
      <c r="V414" s="84"/>
      <c r="W414" s="84"/>
      <c r="X414" s="84"/>
      <c r="Y414" s="84"/>
      <c r="Z414" s="84"/>
      <c r="AA414" s="84"/>
      <c r="AB414" s="84"/>
      <c r="AC414" s="84"/>
    </row>
    <row r="415" ht="15.75" customHeight="1">
      <c r="A415" s="14" t="s">
        <v>2137</v>
      </c>
      <c r="B415" s="14">
        <v>2012.0</v>
      </c>
      <c r="C415" s="14" t="s">
        <v>23700</v>
      </c>
      <c r="D415" s="14" t="s">
        <v>23701</v>
      </c>
      <c r="E415" s="150" t="str">
        <f t="shared" si="2"/>
        <v>http://dx.doi.org/10.1109/TVCG.2012.230</v>
      </c>
      <c r="F415" s="14">
        <v>2441.0</v>
      </c>
      <c r="G415" s="14">
        <v>2448.0</v>
      </c>
      <c r="H415" s="151"/>
      <c r="I415" s="14" t="s">
        <v>17059</v>
      </c>
      <c r="J415" s="14" t="s">
        <v>23702</v>
      </c>
      <c r="K415" s="14" t="s">
        <v>30583</v>
      </c>
      <c r="L415" s="152" t="s">
        <v>27410</v>
      </c>
      <c r="M415" s="14" t="s">
        <v>30584</v>
      </c>
      <c r="N415" s="54" t="s">
        <v>30583</v>
      </c>
      <c r="O415" s="130" t="s">
        <v>23705</v>
      </c>
      <c r="P415" s="153" t="s">
        <v>23706</v>
      </c>
      <c r="Q415" s="14">
        <v>6327249.0</v>
      </c>
      <c r="R415" s="95"/>
      <c r="S415" s="154" t="s">
        <v>30585</v>
      </c>
      <c r="T415" s="84"/>
      <c r="U415" s="84"/>
      <c r="V415" s="84"/>
      <c r="W415" s="84"/>
      <c r="X415" s="84"/>
      <c r="Y415" s="84"/>
      <c r="Z415" s="84"/>
      <c r="AA415" s="84"/>
      <c r="AB415" s="84"/>
      <c r="AC415" s="84"/>
    </row>
    <row r="416" ht="15.75" customHeight="1">
      <c r="A416" s="14" t="s">
        <v>2137</v>
      </c>
      <c r="B416" s="14">
        <v>2012.0</v>
      </c>
      <c r="C416" s="14" t="s">
        <v>23707</v>
      </c>
      <c r="D416" s="14" t="s">
        <v>23708</v>
      </c>
      <c r="E416" s="150" t="str">
        <f t="shared" si="2"/>
        <v>http://dx.doi.org/10.1109/TVCG.2012.233</v>
      </c>
      <c r="F416" s="14">
        <v>2402.0</v>
      </c>
      <c r="G416" s="14">
        <v>2410.0</v>
      </c>
      <c r="H416" s="151"/>
      <c r="I416" s="14" t="s">
        <v>17059</v>
      </c>
      <c r="J416" s="14" t="s">
        <v>23709</v>
      </c>
      <c r="K416" s="14" t="s">
        <v>30586</v>
      </c>
      <c r="L416" s="152" t="s">
        <v>25582</v>
      </c>
      <c r="M416" s="14" t="s">
        <v>30587</v>
      </c>
      <c r="N416" s="54" t="s">
        <v>30586</v>
      </c>
      <c r="O416" s="130" t="s">
        <v>23713</v>
      </c>
      <c r="P416" s="153" t="s">
        <v>23714</v>
      </c>
      <c r="Q416" s="14">
        <v>6327245.0</v>
      </c>
      <c r="R416" s="95"/>
      <c r="S416" s="154" t="s">
        <v>30588</v>
      </c>
      <c r="T416" s="84"/>
      <c r="U416" s="84"/>
      <c r="V416" s="84"/>
      <c r="W416" s="84"/>
      <c r="X416" s="84"/>
      <c r="Y416" s="84"/>
      <c r="Z416" s="84"/>
      <c r="AA416" s="84"/>
      <c r="AB416" s="84"/>
      <c r="AC416" s="84"/>
    </row>
    <row r="417" ht="15.75" customHeight="1">
      <c r="A417" s="14" t="s">
        <v>2137</v>
      </c>
      <c r="B417" s="14">
        <v>2012.0</v>
      </c>
      <c r="C417" s="14" t="s">
        <v>23716</v>
      </c>
      <c r="D417" s="14" t="s">
        <v>23717</v>
      </c>
      <c r="E417" s="150" t="str">
        <f t="shared" si="2"/>
        <v>http://dx.doi.org/10.1109/TVCG.2012.236</v>
      </c>
      <c r="F417" s="14">
        <v>2699.0</v>
      </c>
      <c r="G417" s="14">
        <v>2708.0</v>
      </c>
      <c r="H417" s="151"/>
      <c r="I417" s="14" t="s">
        <v>17059</v>
      </c>
      <c r="J417" s="14" t="s">
        <v>23718</v>
      </c>
      <c r="K417" s="14" t="s">
        <v>23719</v>
      </c>
      <c r="L417" s="152" t="s">
        <v>27536</v>
      </c>
      <c r="M417" s="14" t="s">
        <v>30589</v>
      </c>
      <c r="N417" s="54" t="s">
        <v>23719</v>
      </c>
      <c r="O417" s="130" t="s">
        <v>23721</v>
      </c>
      <c r="P417" s="153" t="s">
        <v>23722</v>
      </c>
      <c r="Q417" s="14">
        <v>6327276.0</v>
      </c>
      <c r="R417" s="95"/>
      <c r="S417" s="154" t="s">
        <v>30590</v>
      </c>
      <c r="T417" s="84"/>
      <c r="U417" s="84"/>
      <c r="V417" s="84"/>
      <c r="W417" s="84"/>
      <c r="X417" s="84"/>
      <c r="Y417" s="84"/>
      <c r="Z417" s="84"/>
      <c r="AA417" s="84"/>
      <c r="AB417" s="84"/>
      <c r="AC417" s="84"/>
    </row>
    <row r="418" ht="15.75" customHeight="1">
      <c r="A418" s="14" t="s">
        <v>2137</v>
      </c>
      <c r="B418" s="14">
        <v>2012.0</v>
      </c>
      <c r="C418" s="14" t="s">
        <v>23723</v>
      </c>
      <c r="D418" s="14" t="s">
        <v>23724</v>
      </c>
      <c r="E418" s="150" t="str">
        <f t="shared" si="2"/>
        <v>http://dx.doi.org/10.1109/TVCG.2012.237</v>
      </c>
      <c r="F418" s="14">
        <v>2719.0</v>
      </c>
      <c r="G418" s="14">
        <v>2728.0</v>
      </c>
      <c r="H418" s="151"/>
      <c r="I418" s="14" t="s">
        <v>17059</v>
      </c>
      <c r="J418" s="14" t="s">
        <v>23725</v>
      </c>
      <c r="K418" s="14" t="s">
        <v>30591</v>
      </c>
      <c r="L418" s="152" t="s">
        <v>27546</v>
      </c>
      <c r="M418" s="14" t="s">
        <v>30592</v>
      </c>
      <c r="N418" s="54" t="s">
        <v>30591</v>
      </c>
      <c r="O418" s="130" t="s">
        <v>23728</v>
      </c>
      <c r="P418" s="153" t="s">
        <v>23729</v>
      </c>
      <c r="Q418" s="14">
        <v>6327278.0</v>
      </c>
      <c r="R418" s="95"/>
      <c r="S418" s="154" t="s">
        <v>30593</v>
      </c>
      <c r="T418" s="84"/>
      <c r="U418" s="84"/>
      <c r="V418" s="84"/>
      <c r="W418" s="84"/>
      <c r="X418" s="84"/>
      <c r="Y418" s="84"/>
      <c r="Z418" s="84"/>
      <c r="AA418" s="84"/>
      <c r="AB418" s="84"/>
      <c r="AC418" s="84"/>
    </row>
    <row r="419" ht="15.75" customHeight="1">
      <c r="A419" s="14" t="s">
        <v>2137</v>
      </c>
      <c r="B419" s="14">
        <v>2012.0</v>
      </c>
      <c r="C419" s="14" t="s">
        <v>23730</v>
      </c>
      <c r="D419" s="14" t="s">
        <v>23731</v>
      </c>
      <c r="E419" s="150" t="str">
        <f t="shared" si="2"/>
        <v>http://dx.doi.org/10.1109/TVCG.2012.238</v>
      </c>
      <c r="F419" s="14">
        <v>2486.0</v>
      </c>
      <c r="G419" s="14">
        <v>2495.0</v>
      </c>
      <c r="H419" s="151"/>
      <c r="I419" s="14" t="s">
        <v>17059</v>
      </c>
      <c r="J419" s="14" t="s">
        <v>23733</v>
      </c>
      <c r="K419" s="14" t="s">
        <v>30594</v>
      </c>
      <c r="L419" s="152" t="s">
        <v>5349</v>
      </c>
      <c r="M419" s="14" t="s">
        <v>30595</v>
      </c>
      <c r="N419" s="54" t="s">
        <v>30594</v>
      </c>
      <c r="O419" s="130" t="s">
        <v>23737</v>
      </c>
      <c r="P419" s="153" t="s">
        <v>23738</v>
      </c>
      <c r="Q419" s="14">
        <v>6327254.0</v>
      </c>
      <c r="R419" s="95"/>
      <c r="S419" s="154" t="s">
        <v>30596</v>
      </c>
      <c r="T419" s="84"/>
      <c r="U419" s="84"/>
      <c r="V419" s="84"/>
      <c r="W419" s="84"/>
      <c r="X419" s="84"/>
      <c r="Y419" s="84"/>
      <c r="Z419" s="84"/>
      <c r="AA419" s="84"/>
      <c r="AB419" s="84"/>
      <c r="AC419" s="84"/>
    </row>
    <row r="420" ht="15.75" customHeight="1">
      <c r="A420" s="14" t="s">
        <v>2137</v>
      </c>
      <c r="B420" s="14">
        <v>2012.0</v>
      </c>
      <c r="C420" s="14" t="s">
        <v>23739</v>
      </c>
      <c r="D420" s="14" t="s">
        <v>23740</v>
      </c>
      <c r="E420" s="150" t="str">
        <f t="shared" si="2"/>
        <v>http://dx.doi.org/10.1109/TVCG.2012.244</v>
      </c>
      <c r="F420" s="14">
        <v>2799.0</v>
      </c>
      <c r="G420" s="14">
        <v>2808.0</v>
      </c>
      <c r="H420" s="151"/>
      <c r="I420" s="14" t="s">
        <v>17059</v>
      </c>
      <c r="J420" s="14" t="s">
        <v>23741</v>
      </c>
      <c r="K420" s="14" t="s">
        <v>30597</v>
      </c>
      <c r="L420" s="152" t="s">
        <v>27673</v>
      </c>
      <c r="M420" s="14" t="s">
        <v>30598</v>
      </c>
      <c r="N420" s="54" t="s">
        <v>30597</v>
      </c>
      <c r="O420" s="130" t="s">
        <v>23744</v>
      </c>
      <c r="P420" s="153" t="s">
        <v>23745</v>
      </c>
      <c r="Q420" s="14">
        <v>6327286.0</v>
      </c>
      <c r="R420" s="95"/>
      <c r="S420" s="154" t="s">
        <v>30599</v>
      </c>
      <c r="T420" s="84"/>
      <c r="U420" s="84"/>
      <c r="V420" s="84"/>
      <c r="W420" s="84"/>
      <c r="X420" s="84"/>
      <c r="Y420" s="84"/>
      <c r="Z420" s="84"/>
      <c r="AA420" s="84"/>
      <c r="AB420" s="84"/>
      <c r="AC420" s="84"/>
    </row>
    <row r="421" ht="15.75" customHeight="1">
      <c r="A421" s="14" t="s">
        <v>2137</v>
      </c>
      <c r="B421" s="14">
        <v>2012.0</v>
      </c>
      <c r="C421" s="14" t="s">
        <v>23746</v>
      </c>
      <c r="D421" s="14" t="s">
        <v>23747</v>
      </c>
      <c r="E421" s="150" t="str">
        <f t="shared" si="2"/>
        <v>http://dx.doi.org/10.1109/TVCG.2012.245</v>
      </c>
      <c r="F421" s="14">
        <v>2477.0</v>
      </c>
      <c r="G421" s="14">
        <v>2485.0</v>
      </c>
      <c r="H421" s="151"/>
      <c r="I421" s="14" t="s">
        <v>17059</v>
      </c>
      <c r="J421" s="14" t="s">
        <v>23748</v>
      </c>
      <c r="K421" s="14" t="s">
        <v>30601</v>
      </c>
      <c r="L421" s="152" t="s">
        <v>27685</v>
      </c>
      <c r="M421" s="14" t="s">
        <v>30602</v>
      </c>
      <c r="N421" s="54" t="s">
        <v>30601</v>
      </c>
      <c r="O421" s="130" t="s">
        <v>23752</v>
      </c>
      <c r="P421" s="153" t="s">
        <v>23753</v>
      </c>
      <c r="Q421" s="14">
        <v>6327253.0</v>
      </c>
      <c r="R421" s="95"/>
      <c r="S421" s="154" t="s">
        <v>30603</v>
      </c>
      <c r="T421" s="84"/>
      <c r="U421" s="84"/>
      <c r="V421" s="84"/>
      <c r="W421" s="84"/>
      <c r="X421" s="84"/>
      <c r="Y421" s="84"/>
      <c r="Z421" s="84"/>
      <c r="AA421" s="84"/>
      <c r="AB421" s="84"/>
      <c r="AC421" s="84"/>
    </row>
    <row r="422" ht="15.75" customHeight="1">
      <c r="A422" s="14" t="s">
        <v>2137</v>
      </c>
      <c r="B422" s="14">
        <v>2012.0</v>
      </c>
      <c r="C422" s="14" t="s">
        <v>23755</v>
      </c>
      <c r="D422" s="14" t="s">
        <v>23756</v>
      </c>
      <c r="E422" s="150" t="str">
        <f t="shared" si="2"/>
        <v>http://dx.doi.org/10.1109/TVCG.2012.250</v>
      </c>
      <c r="F422" s="14">
        <v>2546.0</v>
      </c>
      <c r="G422" s="14">
        <v>2555.0</v>
      </c>
      <c r="H422" s="151"/>
      <c r="I422" s="14" t="s">
        <v>17059</v>
      </c>
      <c r="J422" s="14" t="s">
        <v>23758</v>
      </c>
      <c r="K422" s="14" t="s">
        <v>30604</v>
      </c>
      <c r="L422" s="152" t="s">
        <v>178</v>
      </c>
      <c r="M422" s="14" t="s">
        <v>178</v>
      </c>
      <c r="N422" s="54" t="s">
        <v>30604</v>
      </c>
      <c r="O422" s="130" t="s">
        <v>23760</v>
      </c>
      <c r="P422" s="153" t="s">
        <v>23761</v>
      </c>
      <c r="Q422" s="14">
        <v>6327260.0</v>
      </c>
      <c r="R422" s="95"/>
      <c r="S422" s="154" t="s">
        <v>30605</v>
      </c>
      <c r="T422" s="84"/>
      <c r="U422" s="84"/>
      <c r="V422" s="84"/>
      <c r="W422" s="84"/>
      <c r="X422" s="84"/>
      <c r="Y422" s="84"/>
      <c r="Z422" s="84"/>
      <c r="AA422" s="84"/>
      <c r="AB422" s="84"/>
      <c r="AC422" s="84"/>
    </row>
    <row r="423" ht="15.75" customHeight="1">
      <c r="A423" s="14" t="s">
        <v>2137</v>
      </c>
      <c r="B423" s="14">
        <v>2012.0</v>
      </c>
      <c r="C423" s="14" t="s">
        <v>23762</v>
      </c>
      <c r="D423" s="14" t="s">
        <v>23763</v>
      </c>
      <c r="E423" s="150" t="str">
        <f t="shared" si="2"/>
        <v>http://dx.doi.org/10.1109/TVCG.2012.251</v>
      </c>
      <c r="F423" s="14">
        <v>2516.0</v>
      </c>
      <c r="G423" s="14">
        <v>2525.0</v>
      </c>
      <c r="H423" s="151"/>
      <c r="I423" s="14" t="s">
        <v>17059</v>
      </c>
      <c r="J423" s="14" t="s">
        <v>23765</v>
      </c>
      <c r="K423" s="14" t="s">
        <v>30606</v>
      </c>
      <c r="L423" s="152" t="s">
        <v>178</v>
      </c>
      <c r="M423" s="14" t="s">
        <v>30607</v>
      </c>
      <c r="N423" s="54" t="s">
        <v>30606</v>
      </c>
      <c r="O423" s="130" t="s">
        <v>23768</v>
      </c>
      <c r="P423" s="153" t="s">
        <v>23769</v>
      </c>
      <c r="Q423" s="14">
        <v>6327257.0</v>
      </c>
      <c r="R423" s="95"/>
      <c r="S423" s="154" t="s">
        <v>30608</v>
      </c>
      <c r="T423" s="84"/>
      <c r="U423" s="84"/>
      <c r="V423" s="84"/>
      <c r="W423" s="84"/>
      <c r="X423" s="84"/>
      <c r="Y423" s="84"/>
      <c r="Z423" s="84"/>
      <c r="AA423" s="84"/>
      <c r="AB423" s="84"/>
      <c r="AC423" s="84"/>
    </row>
    <row r="424" ht="15.75" customHeight="1">
      <c r="A424" s="14" t="s">
        <v>2137</v>
      </c>
      <c r="B424" s="14">
        <v>2012.0</v>
      </c>
      <c r="C424" s="14" t="s">
        <v>23771</v>
      </c>
      <c r="D424" s="14" t="s">
        <v>23772</v>
      </c>
      <c r="E424" s="150" t="str">
        <f t="shared" si="2"/>
        <v>http://dx.doi.org/10.1109/TVCG.2012.252</v>
      </c>
      <c r="F424" s="14">
        <v>2709.0</v>
      </c>
      <c r="G424" s="14">
        <v>2718.0</v>
      </c>
      <c r="H424" s="151"/>
      <c r="I424" s="14" t="s">
        <v>17059</v>
      </c>
      <c r="J424" s="14" t="s">
        <v>23773</v>
      </c>
      <c r="K424" s="14" t="s">
        <v>30609</v>
      </c>
      <c r="L424" s="152" t="s">
        <v>5349</v>
      </c>
      <c r="M424" s="14" t="s">
        <v>30610</v>
      </c>
      <c r="N424" s="54" t="s">
        <v>30609</v>
      </c>
      <c r="O424" s="130" t="s">
        <v>23777</v>
      </c>
      <c r="P424" s="153" t="s">
        <v>23778</v>
      </c>
      <c r="Q424" s="14">
        <v>6327277.0</v>
      </c>
      <c r="R424" s="95"/>
      <c r="S424" s="154" t="s">
        <v>30611</v>
      </c>
      <c r="T424" s="84"/>
      <c r="U424" s="84"/>
      <c r="V424" s="84"/>
      <c r="W424" s="84"/>
      <c r="X424" s="84"/>
      <c r="Y424" s="84"/>
      <c r="Z424" s="84"/>
      <c r="AA424" s="84"/>
      <c r="AB424" s="84"/>
      <c r="AC424" s="84"/>
    </row>
    <row r="425" ht="15.75" customHeight="1">
      <c r="A425" s="14" t="s">
        <v>2137</v>
      </c>
      <c r="B425" s="14">
        <v>2012.0</v>
      </c>
      <c r="C425" s="14" t="s">
        <v>23779</v>
      </c>
      <c r="D425" s="14" t="s">
        <v>23780</v>
      </c>
      <c r="E425" s="150" t="str">
        <f t="shared" si="2"/>
        <v>http://dx.doi.org/10.1109/TVCG.2012.253</v>
      </c>
      <c r="F425" s="14">
        <v>2669.0</v>
      </c>
      <c r="G425" s="14">
        <v>2678.0</v>
      </c>
      <c r="H425" s="151"/>
      <c r="I425" s="14" t="s">
        <v>17059</v>
      </c>
      <c r="J425" s="14" t="s">
        <v>23781</v>
      </c>
      <c r="K425" s="14" t="s">
        <v>23783</v>
      </c>
      <c r="L425" s="152" t="s">
        <v>26881</v>
      </c>
      <c r="M425" s="14" t="s">
        <v>30612</v>
      </c>
      <c r="N425" s="54" t="s">
        <v>23783</v>
      </c>
      <c r="O425" s="130" t="s">
        <v>23786</v>
      </c>
      <c r="P425" s="153" t="s">
        <v>23787</v>
      </c>
      <c r="Q425" s="14">
        <v>6327273.0</v>
      </c>
      <c r="R425" s="95"/>
      <c r="S425" s="154" t="s">
        <v>30613</v>
      </c>
      <c r="T425" s="84"/>
      <c r="U425" s="84"/>
      <c r="V425" s="84"/>
      <c r="W425" s="84"/>
      <c r="X425" s="84"/>
      <c r="Y425" s="84"/>
      <c r="Z425" s="84"/>
      <c r="AA425" s="84"/>
      <c r="AB425" s="84"/>
      <c r="AC425" s="84"/>
    </row>
    <row r="426" ht="15.75" customHeight="1">
      <c r="A426" s="14" t="s">
        <v>2137</v>
      </c>
      <c r="B426" s="14">
        <v>2012.0</v>
      </c>
      <c r="C426" s="14" t="s">
        <v>23788</v>
      </c>
      <c r="D426" s="14" t="s">
        <v>23789</v>
      </c>
      <c r="E426" s="150" t="str">
        <f t="shared" si="2"/>
        <v>http://dx.doi.org/10.1109/TVCG.2012.255</v>
      </c>
      <c r="F426" s="14">
        <v>2729.0</v>
      </c>
      <c r="G426" s="14">
        <v>2738.0</v>
      </c>
      <c r="H426" s="151"/>
      <c r="I426" s="14" t="s">
        <v>17059</v>
      </c>
      <c r="J426" s="14" t="s">
        <v>23791</v>
      </c>
      <c r="K426" s="14" t="s">
        <v>30614</v>
      </c>
      <c r="L426" s="152" t="s">
        <v>27755</v>
      </c>
      <c r="M426" s="14" t="s">
        <v>30615</v>
      </c>
      <c r="N426" s="54" t="s">
        <v>30614</v>
      </c>
      <c r="O426" s="130" t="s">
        <v>23794</v>
      </c>
      <c r="P426" s="153" t="s">
        <v>23795</v>
      </c>
      <c r="Q426" s="14">
        <v>6327279.0</v>
      </c>
      <c r="R426" s="95"/>
      <c r="S426" s="154" t="s">
        <v>30616</v>
      </c>
      <c r="T426" s="84"/>
      <c r="U426" s="84"/>
      <c r="V426" s="84"/>
      <c r="W426" s="84"/>
      <c r="X426" s="84"/>
      <c r="Y426" s="84"/>
      <c r="Z426" s="84"/>
      <c r="AA426" s="84"/>
      <c r="AB426" s="84"/>
      <c r="AC426" s="84"/>
    </row>
    <row r="427" ht="15.75" customHeight="1">
      <c r="A427" s="14" t="s">
        <v>2137</v>
      </c>
      <c r="B427" s="14">
        <v>2012.0</v>
      </c>
      <c r="C427" s="14" t="s">
        <v>23796</v>
      </c>
      <c r="D427" s="14" t="s">
        <v>23797</v>
      </c>
      <c r="E427" s="150" t="str">
        <f t="shared" si="2"/>
        <v>http://dx.doi.org/10.1109/TVCG.2012.256</v>
      </c>
      <c r="F427" s="14">
        <v>2621.0</v>
      </c>
      <c r="G427" s="14">
        <v>2630.0</v>
      </c>
      <c r="H427" s="151"/>
      <c r="I427" s="14" t="s">
        <v>17059</v>
      </c>
      <c r="J427" s="14" t="s">
        <v>23798</v>
      </c>
      <c r="K427" s="14" t="s">
        <v>30617</v>
      </c>
      <c r="L427" s="152" t="s">
        <v>27012</v>
      </c>
      <c r="M427" s="14" t="s">
        <v>30618</v>
      </c>
      <c r="N427" s="54" t="s">
        <v>30619</v>
      </c>
      <c r="O427" s="130" t="s">
        <v>23802</v>
      </c>
      <c r="P427" s="153" t="s">
        <v>23803</v>
      </c>
      <c r="Q427" s="14">
        <v>6327268.0</v>
      </c>
      <c r="R427" s="95"/>
      <c r="S427" s="154" t="s">
        <v>30620</v>
      </c>
      <c r="T427" s="84"/>
      <c r="U427" s="84"/>
      <c r="V427" s="84"/>
      <c r="W427" s="84"/>
      <c r="X427" s="84"/>
      <c r="Y427" s="84"/>
      <c r="Z427" s="84"/>
      <c r="AA427" s="84"/>
      <c r="AB427" s="84"/>
      <c r="AC427" s="84"/>
    </row>
    <row r="428" ht="15.75" customHeight="1">
      <c r="A428" s="14" t="s">
        <v>2137</v>
      </c>
      <c r="B428" s="14">
        <v>2012.0</v>
      </c>
      <c r="C428" s="14" t="s">
        <v>23804</v>
      </c>
      <c r="D428" s="14" t="s">
        <v>23805</v>
      </c>
      <c r="E428" s="150" t="str">
        <f t="shared" si="2"/>
        <v>http://dx.doi.org/10.1109/TVCG.2012.262</v>
      </c>
      <c r="F428" s="14">
        <v>2749.0</v>
      </c>
      <c r="G428" s="14">
        <v>2758.0</v>
      </c>
      <c r="H428" s="151"/>
      <c r="I428" s="14" t="s">
        <v>17059</v>
      </c>
      <c r="J428" s="14" t="s">
        <v>23806</v>
      </c>
      <c r="K428" s="14" t="s">
        <v>30621</v>
      </c>
      <c r="L428" s="152" t="s">
        <v>27766</v>
      </c>
      <c r="M428" s="14" t="s">
        <v>30622</v>
      </c>
      <c r="N428" s="54" t="s">
        <v>30621</v>
      </c>
      <c r="O428" s="130" t="s">
        <v>23810</v>
      </c>
      <c r="P428" s="153" t="s">
        <v>23811</v>
      </c>
      <c r="Q428" s="14">
        <v>6327281.0</v>
      </c>
      <c r="R428" s="95"/>
      <c r="S428" s="154" t="s">
        <v>30623</v>
      </c>
      <c r="T428" s="84"/>
      <c r="U428" s="84"/>
      <c r="V428" s="84"/>
      <c r="W428" s="84"/>
      <c r="X428" s="84"/>
      <c r="Y428" s="84"/>
      <c r="Z428" s="84"/>
      <c r="AA428" s="84"/>
      <c r="AB428" s="84"/>
      <c r="AC428" s="84"/>
    </row>
    <row r="429" ht="15.75" customHeight="1">
      <c r="A429" s="14" t="s">
        <v>2137</v>
      </c>
      <c r="B429" s="14">
        <v>2012.0</v>
      </c>
      <c r="C429" s="14" t="s">
        <v>23813</v>
      </c>
      <c r="D429" s="14" t="s">
        <v>23814</v>
      </c>
      <c r="E429" s="150" t="str">
        <f t="shared" si="2"/>
        <v>http://dx.doi.org/10.1109/TVCG.2012.263</v>
      </c>
      <c r="F429" s="14">
        <v>2819.0</v>
      </c>
      <c r="G429" s="14">
        <v>2828.0</v>
      </c>
      <c r="H429" s="151"/>
      <c r="I429" s="14" t="s">
        <v>17059</v>
      </c>
      <c r="J429" s="14" t="s">
        <v>23815</v>
      </c>
      <c r="K429" s="14" t="s">
        <v>30624</v>
      </c>
      <c r="L429" s="152" t="s">
        <v>5349</v>
      </c>
      <c r="M429" s="14" t="s">
        <v>30625</v>
      </c>
      <c r="N429" s="54" t="s">
        <v>30626</v>
      </c>
      <c r="O429" s="130" t="s">
        <v>23818</v>
      </c>
      <c r="P429" s="153" t="s">
        <v>23819</v>
      </c>
      <c r="Q429" s="14">
        <v>6327288.0</v>
      </c>
      <c r="R429" s="95"/>
      <c r="S429" s="154" t="s">
        <v>30627</v>
      </c>
      <c r="T429" s="84"/>
      <c r="U429" s="84"/>
      <c r="V429" s="84"/>
      <c r="W429" s="84"/>
      <c r="X429" s="84"/>
      <c r="Y429" s="84"/>
      <c r="Z429" s="84"/>
      <c r="AA429" s="84"/>
      <c r="AB429" s="84"/>
      <c r="AC429" s="84"/>
    </row>
    <row r="430" ht="15.75" customHeight="1">
      <c r="A430" s="14" t="s">
        <v>2137</v>
      </c>
      <c r="B430" s="14">
        <v>2012.0</v>
      </c>
      <c r="C430" s="14" t="s">
        <v>23822</v>
      </c>
      <c r="D430" s="14" t="s">
        <v>23823</v>
      </c>
      <c r="E430" s="150" t="str">
        <f t="shared" si="2"/>
        <v>http://dx.doi.org/10.1109/TVCG.2012.264</v>
      </c>
      <c r="F430" s="14">
        <v>2556.0</v>
      </c>
      <c r="G430" s="14">
        <v>2564.0</v>
      </c>
      <c r="H430" s="151"/>
      <c r="I430" s="14" t="s">
        <v>17059</v>
      </c>
      <c r="J430" s="14" t="s">
        <v>23824</v>
      </c>
      <c r="K430" s="14" t="s">
        <v>30628</v>
      </c>
      <c r="L430" s="152" t="s">
        <v>27769</v>
      </c>
      <c r="M430" s="14" t="s">
        <v>30629</v>
      </c>
      <c r="N430" s="54" t="s">
        <v>30628</v>
      </c>
      <c r="O430" s="130" t="s">
        <v>23827</v>
      </c>
      <c r="P430" s="153" t="s">
        <v>23828</v>
      </c>
      <c r="Q430" s="14">
        <v>6327261.0</v>
      </c>
      <c r="R430" s="95"/>
      <c r="S430" s="154" t="s">
        <v>30630</v>
      </c>
      <c r="T430" s="84"/>
      <c r="U430" s="84"/>
      <c r="V430" s="84"/>
      <c r="W430" s="84"/>
      <c r="X430" s="84"/>
      <c r="Y430" s="84"/>
      <c r="Z430" s="84"/>
      <c r="AA430" s="84"/>
      <c r="AB430" s="84"/>
      <c r="AC430" s="84"/>
    </row>
    <row r="431" ht="15.75" customHeight="1">
      <c r="A431" s="14" t="s">
        <v>2137</v>
      </c>
      <c r="B431" s="14">
        <v>2012.0</v>
      </c>
      <c r="C431" s="14" t="s">
        <v>23829</v>
      </c>
      <c r="D431" s="14" t="s">
        <v>23830</v>
      </c>
      <c r="E431" s="150" t="str">
        <f t="shared" si="2"/>
        <v>http://dx.doi.org/10.1109/TVCG.2012.265</v>
      </c>
      <c r="F431" s="14">
        <v>2565.0</v>
      </c>
      <c r="G431" s="14">
        <v>2574.0</v>
      </c>
      <c r="H431" s="151"/>
      <c r="I431" s="14" t="s">
        <v>17059</v>
      </c>
      <c r="J431" s="14" t="s">
        <v>23831</v>
      </c>
      <c r="K431" s="14" t="s">
        <v>30631</v>
      </c>
      <c r="L431" s="152" t="s">
        <v>5349</v>
      </c>
      <c r="M431" s="14" t="s">
        <v>30632</v>
      </c>
      <c r="N431" s="54" t="s">
        <v>30631</v>
      </c>
      <c r="O431" s="130" t="s">
        <v>23835</v>
      </c>
      <c r="P431" s="153" t="s">
        <v>23836</v>
      </c>
      <c r="Q431" s="14">
        <v>6327262.0</v>
      </c>
      <c r="R431" s="95"/>
      <c r="S431" s="154" t="s">
        <v>30633</v>
      </c>
      <c r="T431" s="84"/>
      <c r="U431" s="84"/>
      <c r="V431" s="84"/>
      <c r="W431" s="84"/>
      <c r="X431" s="84"/>
      <c r="Y431" s="84"/>
      <c r="Z431" s="84"/>
      <c r="AA431" s="84"/>
      <c r="AB431" s="84"/>
      <c r="AC431" s="84"/>
    </row>
    <row r="432" ht="15.75" customHeight="1">
      <c r="A432" s="14" t="s">
        <v>2137</v>
      </c>
      <c r="B432" s="14">
        <v>2012.0</v>
      </c>
      <c r="C432" s="14" t="s">
        <v>23837</v>
      </c>
      <c r="D432" s="14" t="s">
        <v>23838</v>
      </c>
      <c r="E432" s="150" t="str">
        <f t="shared" si="2"/>
        <v>http://dx.doi.org/10.1109/TVCG.2012.271</v>
      </c>
      <c r="F432" s="14">
        <v>2603.0</v>
      </c>
      <c r="G432" s="14">
        <v>2612.0</v>
      </c>
      <c r="H432" s="151"/>
      <c r="I432" s="14" t="s">
        <v>17059</v>
      </c>
      <c r="J432" s="14" t="s">
        <v>23839</v>
      </c>
      <c r="K432" s="14" t="s">
        <v>30293</v>
      </c>
      <c r="L432" s="152" t="s">
        <v>27776</v>
      </c>
      <c r="M432" s="14" t="s">
        <v>30634</v>
      </c>
      <c r="N432" s="54" t="s">
        <v>30294</v>
      </c>
      <c r="O432" s="130" t="s">
        <v>23842</v>
      </c>
      <c r="P432" s="153" t="s">
        <v>23843</v>
      </c>
      <c r="Q432" s="14">
        <v>6327266.0</v>
      </c>
      <c r="R432" s="95"/>
      <c r="S432" s="154" t="s">
        <v>30635</v>
      </c>
      <c r="T432" s="84"/>
      <c r="U432" s="84"/>
      <c r="V432" s="84"/>
      <c r="W432" s="84"/>
      <c r="X432" s="84"/>
      <c r="Y432" s="84"/>
      <c r="Z432" s="84"/>
      <c r="AA432" s="84"/>
      <c r="AB432" s="84"/>
      <c r="AC432" s="84"/>
    </row>
    <row r="433" ht="15.75" customHeight="1">
      <c r="A433" s="14" t="s">
        <v>2137</v>
      </c>
      <c r="B433" s="14">
        <v>2012.0</v>
      </c>
      <c r="C433" s="14" t="s">
        <v>23844</v>
      </c>
      <c r="D433" s="14" t="s">
        <v>23845</v>
      </c>
      <c r="E433" s="150" t="str">
        <f t="shared" si="2"/>
        <v>http://dx.doi.org/10.1109/TVCG.2012.272</v>
      </c>
      <c r="F433" s="14">
        <v>2789.0</v>
      </c>
      <c r="G433" s="14">
        <v>2798.0</v>
      </c>
      <c r="H433" s="151"/>
      <c r="I433" s="14" t="s">
        <v>17059</v>
      </c>
      <c r="J433" s="14" t="s">
        <v>23846</v>
      </c>
      <c r="K433" s="14" t="s">
        <v>30636</v>
      </c>
      <c r="L433" s="152" t="s">
        <v>860</v>
      </c>
      <c r="M433" s="14" t="s">
        <v>30637</v>
      </c>
      <c r="N433" s="54" t="s">
        <v>30636</v>
      </c>
      <c r="O433" s="130" t="s">
        <v>23849</v>
      </c>
      <c r="P433" s="153" t="s">
        <v>23850</v>
      </c>
      <c r="Q433" s="14">
        <v>6327285.0</v>
      </c>
      <c r="R433" s="95"/>
      <c r="S433" s="154" t="s">
        <v>30638</v>
      </c>
      <c r="T433" s="84"/>
      <c r="U433" s="84"/>
      <c r="V433" s="84"/>
      <c r="W433" s="84"/>
      <c r="X433" s="84"/>
      <c r="Y433" s="84"/>
      <c r="Z433" s="84"/>
      <c r="AA433" s="84"/>
      <c r="AB433" s="84"/>
      <c r="AC433" s="84"/>
    </row>
    <row r="434" ht="15.75" customHeight="1">
      <c r="A434" s="14" t="s">
        <v>2137</v>
      </c>
      <c r="B434" s="14">
        <v>2012.0</v>
      </c>
      <c r="C434" s="14" t="s">
        <v>23851</v>
      </c>
      <c r="D434" s="14" t="s">
        <v>23852</v>
      </c>
      <c r="E434" s="150" t="str">
        <f t="shared" si="2"/>
        <v>http://dx.doi.org/10.1109/TVCG.2012.275</v>
      </c>
      <c r="F434" s="14">
        <v>2779.0</v>
      </c>
      <c r="G434" s="14">
        <v>2788.0</v>
      </c>
      <c r="H434" s="151"/>
      <c r="I434" s="14" t="s">
        <v>17059</v>
      </c>
      <c r="J434" s="14" t="s">
        <v>23854</v>
      </c>
      <c r="K434" s="14" t="s">
        <v>30639</v>
      </c>
      <c r="L434" s="152" t="s">
        <v>880</v>
      </c>
      <c r="M434" s="14" t="s">
        <v>30640</v>
      </c>
      <c r="N434" s="54" t="s">
        <v>30639</v>
      </c>
      <c r="O434" s="130" t="s">
        <v>23857</v>
      </c>
      <c r="P434" s="153" t="s">
        <v>23858</v>
      </c>
      <c r="Q434" s="14">
        <v>6327284.0</v>
      </c>
      <c r="R434" s="95"/>
      <c r="S434" s="154" t="s">
        <v>30641</v>
      </c>
      <c r="T434" s="84"/>
      <c r="U434" s="84"/>
      <c r="V434" s="84"/>
      <c r="W434" s="84"/>
      <c r="X434" s="84"/>
      <c r="Y434" s="84"/>
      <c r="Z434" s="84"/>
      <c r="AA434" s="84"/>
      <c r="AB434" s="84"/>
      <c r="AC434" s="84"/>
    </row>
    <row r="435" ht="15.75" customHeight="1">
      <c r="A435" s="14" t="s">
        <v>2137</v>
      </c>
      <c r="B435" s="14">
        <v>2012.0</v>
      </c>
      <c r="C435" s="14" t="s">
        <v>23859</v>
      </c>
      <c r="D435" s="14" t="s">
        <v>23860</v>
      </c>
      <c r="E435" s="150" t="str">
        <f t="shared" si="2"/>
        <v>http://dx.doi.org/10.1109/TVCG.2012.279</v>
      </c>
      <c r="F435" s="14">
        <v>2496.0</v>
      </c>
      <c r="G435" s="14">
        <v>2505.0</v>
      </c>
      <c r="H435" s="151"/>
      <c r="I435" s="14" t="s">
        <v>17059</v>
      </c>
      <c r="J435" s="14" t="s">
        <v>23861</v>
      </c>
      <c r="K435" s="14" t="s">
        <v>30642</v>
      </c>
      <c r="L435" s="152" t="s">
        <v>860</v>
      </c>
      <c r="M435" s="14" t="s">
        <v>30643</v>
      </c>
      <c r="N435" s="54" t="s">
        <v>30642</v>
      </c>
      <c r="O435" s="130" t="s">
        <v>23864</v>
      </c>
      <c r="P435" s="153" t="s">
        <v>23865</v>
      </c>
      <c r="Q435" s="14">
        <v>6327255.0</v>
      </c>
      <c r="R435" s="95"/>
      <c r="S435" s="154" t="s">
        <v>30644</v>
      </c>
      <c r="T435" s="84"/>
      <c r="U435" s="84"/>
      <c r="V435" s="84"/>
      <c r="W435" s="84"/>
      <c r="X435" s="84"/>
      <c r="Y435" s="84"/>
      <c r="Z435" s="84"/>
      <c r="AA435" s="84"/>
      <c r="AB435" s="84"/>
      <c r="AC435" s="84"/>
    </row>
    <row r="436" ht="15.75" customHeight="1">
      <c r="A436" s="14" t="s">
        <v>2137</v>
      </c>
      <c r="B436" s="14">
        <v>2012.0</v>
      </c>
      <c r="C436" s="14" t="s">
        <v>23868</v>
      </c>
      <c r="D436" s="14" t="s">
        <v>23869</v>
      </c>
      <c r="E436" s="150" t="str">
        <f t="shared" si="2"/>
        <v>http://dx.doi.org/10.1109/TVCG.2012.285</v>
      </c>
      <c r="F436" s="14">
        <v>2526.0</v>
      </c>
      <c r="G436" s="14">
        <v>2535.0</v>
      </c>
      <c r="H436" s="151"/>
      <c r="I436" s="14" t="s">
        <v>17059</v>
      </c>
      <c r="J436" s="14" t="s">
        <v>23870</v>
      </c>
      <c r="K436" s="14" t="s">
        <v>23871</v>
      </c>
      <c r="L436" s="152" t="s">
        <v>23188</v>
      </c>
      <c r="M436" s="14" t="s">
        <v>30645</v>
      </c>
      <c r="N436" s="54" t="s">
        <v>23871</v>
      </c>
      <c r="O436" s="130" t="s">
        <v>23872</v>
      </c>
      <c r="P436" s="153" t="s">
        <v>23873</v>
      </c>
      <c r="Q436" s="14">
        <v>6327258.0</v>
      </c>
      <c r="R436" s="95"/>
      <c r="S436" s="154" t="s">
        <v>30646</v>
      </c>
      <c r="T436" s="84"/>
      <c r="U436" s="84"/>
      <c r="V436" s="84"/>
      <c r="W436" s="84"/>
      <c r="X436" s="84"/>
      <c r="Y436" s="84"/>
      <c r="Z436" s="84"/>
      <c r="AA436" s="84"/>
      <c r="AB436" s="84"/>
      <c r="AC436" s="84"/>
    </row>
    <row r="437" ht="15.75" customHeight="1">
      <c r="A437" s="14" t="s">
        <v>2137</v>
      </c>
      <c r="B437" s="14">
        <v>2012.0</v>
      </c>
      <c r="C437" s="14" t="s">
        <v>23874</v>
      </c>
      <c r="D437" s="14" t="s">
        <v>23875</v>
      </c>
      <c r="E437" s="150" t="str">
        <f t="shared" si="2"/>
        <v>http://dx.doi.org/10.1109/TVCG.2012.286</v>
      </c>
      <c r="F437" s="14">
        <v>2467.0</v>
      </c>
      <c r="G437" s="14">
        <v>2476.0</v>
      </c>
      <c r="H437" s="151"/>
      <c r="I437" s="14" t="s">
        <v>17059</v>
      </c>
      <c r="J437" s="14" t="s">
        <v>23876</v>
      </c>
      <c r="K437" s="14" t="s">
        <v>30647</v>
      </c>
      <c r="L437" s="152" t="s">
        <v>13886</v>
      </c>
      <c r="M437" s="14" t="s">
        <v>30648</v>
      </c>
      <c r="N437" s="54" t="s">
        <v>30649</v>
      </c>
      <c r="O437" s="130" t="s">
        <v>23880</v>
      </c>
      <c r="P437" s="153" t="s">
        <v>23881</v>
      </c>
      <c r="Q437" s="14">
        <v>6327252.0</v>
      </c>
      <c r="R437" s="95"/>
      <c r="S437" s="154" t="s">
        <v>30650</v>
      </c>
      <c r="T437" s="84"/>
      <c r="U437" s="84"/>
      <c r="V437" s="84"/>
      <c r="W437" s="84"/>
      <c r="X437" s="84"/>
      <c r="Y437" s="84"/>
      <c r="Z437" s="84"/>
      <c r="AA437" s="84"/>
      <c r="AB437" s="84"/>
      <c r="AC437" s="84"/>
    </row>
    <row r="438" ht="15.75" customHeight="1">
      <c r="A438" s="14" t="s">
        <v>2137</v>
      </c>
      <c r="B438" s="14">
        <v>2012.0</v>
      </c>
      <c r="C438" s="14" t="s">
        <v>23883</v>
      </c>
      <c r="D438" s="14" t="s">
        <v>23884</v>
      </c>
      <c r="E438" s="150" t="str">
        <f t="shared" si="2"/>
        <v>http://dx.doi.org/10.1109/TVCG.2012.288</v>
      </c>
      <c r="F438" s="14">
        <v>2809.0</v>
      </c>
      <c r="G438" s="14">
        <v>2818.0</v>
      </c>
      <c r="H438" s="151"/>
      <c r="I438" s="14" t="s">
        <v>17059</v>
      </c>
      <c r="J438" s="14" t="s">
        <v>23955</v>
      </c>
      <c r="K438" s="14" t="s">
        <v>30651</v>
      </c>
      <c r="L438" s="152" t="s">
        <v>27805</v>
      </c>
      <c r="M438" s="14" t="s">
        <v>30652</v>
      </c>
      <c r="N438" s="54" t="s">
        <v>30651</v>
      </c>
      <c r="O438" s="130" t="s">
        <v>23958</v>
      </c>
      <c r="P438" s="153" t="s">
        <v>23959</v>
      </c>
      <c r="Q438" s="14">
        <v>6327287.0</v>
      </c>
      <c r="R438" s="95"/>
      <c r="S438" s="154" t="s">
        <v>30654</v>
      </c>
      <c r="T438" s="84"/>
      <c r="U438" s="84"/>
      <c r="V438" s="84"/>
      <c r="W438" s="84"/>
      <c r="X438" s="84"/>
      <c r="Y438" s="84"/>
      <c r="Z438" s="84"/>
      <c r="AA438" s="84"/>
      <c r="AB438" s="84"/>
      <c r="AC438" s="84"/>
    </row>
    <row r="439" ht="15.75" customHeight="1">
      <c r="A439" s="14" t="s">
        <v>2137</v>
      </c>
      <c r="B439" s="14">
        <v>2012.0</v>
      </c>
      <c r="C439" s="14" t="s">
        <v>23960</v>
      </c>
      <c r="D439" s="14" t="s">
        <v>23961</v>
      </c>
      <c r="E439" s="150" t="str">
        <f t="shared" si="2"/>
        <v>http://dx.doi.org/10.1109/TVCG.2012.291</v>
      </c>
      <c r="F439" s="14">
        <v>2649.0</v>
      </c>
      <c r="G439" s="14">
        <v>2658.0</v>
      </c>
      <c r="H439" s="151"/>
      <c r="I439" s="14" t="s">
        <v>17059</v>
      </c>
      <c r="J439" s="14" t="s">
        <v>30655</v>
      </c>
      <c r="K439" s="14" t="s">
        <v>30656</v>
      </c>
      <c r="L439" s="152" t="s">
        <v>26881</v>
      </c>
      <c r="M439" s="14" t="s">
        <v>30657</v>
      </c>
      <c r="N439" s="54" t="s">
        <v>30656</v>
      </c>
      <c r="O439" s="130" t="s">
        <v>23967</v>
      </c>
      <c r="P439" s="153" t="s">
        <v>23968</v>
      </c>
      <c r="Q439" s="14">
        <v>6327271.0</v>
      </c>
      <c r="R439" s="95"/>
      <c r="S439" s="154" t="s">
        <v>30658</v>
      </c>
      <c r="T439" s="84"/>
      <c r="U439" s="84"/>
      <c r="V439" s="84"/>
      <c r="W439" s="84"/>
      <c r="X439" s="84"/>
      <c r="Y439" s="84"/>
      <c r="Z439" s="84"/>
      <c r="AA439" s="84"/>
      <c r="AB439" s="84"/>
      <c r="AC439" s="84"/>
    </row>
    <row r="440" ht="15.75" customHeight="1">
      <c r="A440" s="14" t="s">
        <v>120</v>
      </c>
      <c r="B440" s="14">
        <v>2012.0</v>
      </c>
      <c r="C440" s="14" t="s">
        <v>24461</v>
      </c>
      <c r="D440" s="14" t="s">
        <v>24463</v>
      </c>
      <c r="E440" s="150" t="str">
        <f t="shared" si="2"/>
        <v>http://dx.doi.org/10.1109/VAST.2012.6400532</v>
      </c>
      <c r="F440" s="14">
        <v>243.0</v>
      </c>
      <c r="G440" s="14">
        <v>244.0</v>
      </c>
      <c r="H440" s="159" t="s">
        <v>30659</v>
      </c>
      <c r="I440" s="14" t="s">
        <v>21</v>
      </c>
      <c r="J440" s="14" t="s">
        <v>24464</v>
      </c>
      <c r="K440" s="14" t="s">
        <v>30660</v>
      </c>
      <c r="L440" s="152" t="s">
        <v>27831</v>
      </c>
      <c r="M440" s="14" t="s">
        <v>494</v>
      </c>
      <c r="N440" s="54" t="s">
        <v>30660</v>
      </c>
      <c r="O440" s="130"/>
      <c r="P440" s="16"/>
      <c r="Q440" s="14">
        <v>6400532.0</v>
      </c>
      <c r="R440" s="95"/>
      <c r="S440" s="154"/>
      <c r="T440" s="84"/>
      <c r="U440" s="84"/>
      <c r="V440" s="84"/>
      <c r="W440" s="84"/>
      <c r="X440" s="84"/>
      <c r="Y440" s="84"/>
      <c r="Z440" s="84"/>
      <c r="AA440" s="84"/>
      <c r="AB440" s="84"/>
      <c r="AC440" s="84"/>
    </row>
    <row r="441" ht="15.75" customHeight="1">
      <c r="A441" s="14" t="s">
        <v>120</v>
      </c>
      <c r="B441" s="14">
        <v>2012.0</v>
      </c>
      <c r="C441" s="14" t="s">
        <v>24423</v>
      </c>
      <c r="D441" s="14" t="s">
        <v>24424</v>
      </c>
      <c r="E441" s="150" t="str">
        <f t="shared" si="2"/>
        <v>http://dx.doi.org/10.1109/VAST.2012.6400491</v>
      </c>
      <c r="F441" s="14">
        <v>33.0</v>
      </c>
      <c r="G441" s="14">
        <v>42.0</v>
      </c>
      <c r="H441" s="151"/>
      <c r="I441" s="14" t="s">
        <v>28</v>
      </c>
      <c r="J441" s="14" t="s">
        <v>24426</v>
      </c>
      <c r="K441" s="14" t="s">
        <v>30661</v>
      </c>
      <c r="L441" s="152" t="s">
        <v>27821</v>
      </c>
      <c r="M441" s="14" t="s">
        <v>860</v>
      </c>
      <c r="N441" s="54" t="s">
        <v>30661</v>
      </c>
      <c r="O441" s="130" t="s">
        <v>24429</v>
      </c>
      <c r="P441" s="153" t="s">
        <v>24430</v>
      </c>
      <c r="Q441" s="14">
        <v>6400491.0</v>
      </c>
      <c r="R441" s="95"/>
      <c r="S441" s="154" t="s">
        <v>30662</v>
      </c>
      <c r="T441" s="84"/>
      <c r="U441" s="84"/>
      <c r="V441" s="84"/>
      <c r="W441" s="84"/>
      <c r="X441" s="84"/>
      <c r="Y441" s="84"/>
      <c r="Z441" s="84"/>
      <c r="AA441" s="84"/>
      <c r="AB441" s="84"/>
      <c r="AC441" s="84"/>
    </row>
    <row r="442" ht="15.75" customHeight="1">
      <c r="A442" s="14" t="s">
        <v>120</v>
      </c>
      <c r="B442" s="14">
        <v>2012.0</v>
      </c>
      <c r="C442" s="14" t="s">
        <v>24489</v>
      </c>
      <c r="D442" s="14" t="s">
        <v>24491</v>
      </c>
      <c r="E442" s="150" t="str">
        <f t="shared" si="2"/>
        <v>http://dx.doi.org/10.1109/VAST.2012.6400537</v>
      </c>
      <c r="F442" s="14">
        <v>233.0</v>
      </c>
      <c r="G442" s="14">
        <v>234.0</v>
      </c>
      <c r="H442" s="159" t="s">
        <v>30659</v>
      </c>
      <c r="I442" s="14" t="s">
        <v>21</v>
      </c>
      <c r="J442" s="14" t="s">
        <v>24492</v>
      </c>
      <c r="K442" s="14" t="s">
        <v>30663</v>
      </c>
      <c r="L442" s="152" t="s">
        <v>11861</v>
      </c>
      <c r="M442" s="14" t="s">
        <v>5349</v>
      </c>
      <c r="N442" s="54" t="s">
        <v>30663</v>
      </c>
      <c r="O442" s="130"/>
      <c r="P442" s="16"/>
      <c r="Q442" s="14">
        <v>6400537.0</v>
      </c>
      <c r="R442" s="95"/>
      <c r="S442" s="154"/>
      <c r="T442" s="84"/>
      <c r="U442" s="84"/>
      <c r="V442" s="84"/>
      <c r="W442" s="84"/>
      <c r="X442" s="84"/>
      <c r="Y442" s="84"/>
      <c r="Z442" s="84"/>
      <c r="AA442" s="84"/>
      <c r="AB442" s="84"/>
      <c r="AC442" s="84"/>
    </row>
    <row r="443" ht="15.75" customHeight="1">
      <c r="A443" s="14" t="s">
        <v>120</v>
      </c>
      <c r="B443" s="14">
        <v>2012.0</v>
      </c>
      <c r="C443" s="14" t="s">
        <v>24291</v>
      </c>
      <c r="D443" s="14" t="s">
        <v>24292</v>
      </c>
      <c r="E443" s="150" t="str">
        <f t="shared" si="2"/>
        <v>http://dx.doi.org/10.1109/TVCG.2012.191</v>
      </c>
      <c r="F443" s="14">
        <v>2899.0</v>
      </c>
      <c r="G443" s="14">
        <v>2907.0</v>
      </c>
      <c r="H443" s="151"/>
      <c r="I443" s="14" t="s">
        <v>17059</v>
      </c>
      <c r="J443" s="14" t="s">
        <v>24293</v>
      </c>
      <c r="K443" s="14" t="s">
        <v>30666</v>
      </c>
      <c r="L443" s="152" t="s">
        <v>27019</v>
      </c>
      <c r="M443" s="14" t="s">
        <v>30668</v>
      </c>
      <c r="N443" s="54" t="s">
        <v>30666</v>
      </c>
      <c r="O443" s="130" t="s">
        <v>24296</v>
      </c>
      <c r="P443" s="153" t="s">
        <v>24297</v>
      </c>
      <c r="Q443" s="14">
        <v>6327296.0</v>
      </c>
      <c r="R443" s="95"/>
      <c r="S443" s="154" t="s">
        <v>30669</v>
      </c>
      <c r="T443" s="84"/>
      <c r="U443" s="84"/>
      <c r="V443" s="84"/>
      <c r="W443" s="84"/>
      <c r="X443" s="84"/>
      <c r="Y443" s="84"/>
      <c r="Z443" s="84"/>
      <c r="AA443" s="84"/>
      <c r="AB443" s="84"/>
      <c r="AC443" s="84"/>
    </row>
    <row r="444" ht="15.75" customHeight="1">
      <c r="A444" s="14" t="s">
        <v>120</v>
      </c>
      <c r="B444" s="14">
        <v>2012.0</v>
      </c>
      <c r="C444" s="14" t="s">
        <v>24567</v>
      </c>
      <c r="D444" s="14" t="s">
        <v>24568</v>
      </c>
      <c r="E444" s="150" t="str">
        <f t="shared" si="2"/>
        <v>http://dx.doi.org/10.1109/VAST.2012.6400550</v>
      </c>
      <c r="F444" s="14">
        <v>207.0</v>
      </c>
      <c r="G444" s="14">
        <v>208.0</v>
      </c>
      <c r="H444" s="159" t="s">
        <v>30659</v>
      </c>
      <c r="I444" s="14" t="s">
        <v>21</v>
      </c>
      <c r="J444" s="14" t="s">
        <v>27903</v>
      </c>
      <c r="K444" s="14" t="s">
        <v>30670</v>
      </c>
      <c r="L444" s="152" t="s">
        <v>27904</v>
      </c>
      <c r="M444" s="14" t="s">
        <v>494</v>
      </c>
      <c r="N444" s="54" t="s">
        <v>30670</v>
      </c>
      <c r="O444" s="130"/>
      <c r="P444" s="16"/>
      <c r="Q444" s="14">
        <v>6400550.0</v>
      </c>
      <c r="R444" s="95"/>
      <c r="S444" s="154"/>
      <c r="T444" s="84"/>
      <c r="U444" s="84"/>
      <c r="V444" s="84"/>
      <c r="W444" s="84"/>
      <c r="X444" s="84"/>
      <c r="Y444" s="84"/>
      <c r="Z444" s="84"/>
      <c r="AA444" s="84"/>
      <c r="AB444" s="84"/>
      <c r="AC444" s="84"/>
    </row>
    <row r="445" ht="15.75" customHeight="1">
      <c r="A445" s="14" t="s">
        <v>120</v>
      </c>
      <c r="B445" s="14">
        <v>2012.0</v>
      </c>
      <c r="C445" s="14" t="s">
        <v>24611</v>
      </c>
      <c r="D445" s="14" t="s">
        <v>24612</v>
      </c>
      <c r="E445" s="150" t="str">
        <f t="shared" si="2"/>
        <v>http://dx.doi.org/10.1109/VAST.2012.6400556</v>
      </c>
      <c r="F445" s="14">
        <v>153.0</v>
      </c>
      <c r="G445" s="14">
        <v>162.0</v>
      </c>
      <c r="H445" s="151"/>
      <c r="I445" s="14" t="s">
        <v>28</v>
      </c>
      <c r="J445" s="14" t="s">
        <v>24613</v>
      </c>
      <c r="K445" s="14" t="s">
        <v>30671</v>
      </c>
      <c r="L445" s="152" t="s">
        <v>494</v>
      </c>
      <c r="M445" s="14" t="s">
        <v>494</v>
      </c>
      <c r="N445" s="54" t="s">
        <v>30671</v>
      </c>
      <c r="O445" s="130" t="s">
        <v>24616</v>
      </c>
      <c r="P445" s="16"/>
      <c r="Q445" s="14">
        <v>6400556.0</v>
      </c>
      <c r="R445" s="95"/>
      <c r="S445" s="154" t="s">
        <v>30672</v>
      </c>
      <c r="T445" s="84"/>
      <c r="U445" s="84"/>
      <c r="V445" s="84"/>
      <c r="W445" s="84"/>
      <c r="X445" s="84"/>
      <c r="Y445" s="84"/>
      <c r="Z445" s="84"/>
      <c r="AA445" s="84"/>
      <c r="AB445" s="84"/>
      <c r="AC445" s="84"/>
    </row>
    <row r="446" ht="15.75" customHeight="1">
      <c r="A446" s="14" t="s">
        <v>120</v>
      </c>
      <c r="B446" s="14">
        <v>2012.0</v>
      </c>
      <c r="C446" s="14" t="s">
        <v>24437</v>
      </c>
      <c r="D446" s="14" t="s">
        <v>24438</v>
      </c>
      <c r="E446" s="150" t="str">
        <f t="shared" si="2"/>
        <v>http://dx.doi.org/10.1109/VAST.2012.6400493</v>
      </c>
      <c r="F446" s="14">
        <v>13.0</v>
      </c>
      <c r="G446" s="14">
        <v>22.0</v>
      </c>
      <c r="H446" s="151"/>
      <c r="I446" s="14" t="s">
        <v>28</v>
      </c>
      <c r="J446" s="14" t="s">
        <v>24440</v>
      </c>
      <c r="K446" s="14" t="s">
        <v>30681</v>
      </c>
      <c r="L446" s="152" t="s">
        <v>27825</v>
      </c>
      <c r="M446" s="14" t="s">
        <v>178</v>
      </c>
      <c r="N446" s="54" t="s">
        <v>30681</v>
      </c>
      <c r="O446" s="130" t="s">
        <v>24443</v>
      </c>
      <c r="P446" s="16"/>
      <c r="Q446" s="14">
        <v>6400493.0</v>
      </c>
      <c r="R446" s="95"/>
      <c r="S446" s="154" t="s">
        <v>30682</v>
      </c>
      <c r="T446" s="84"/>
      <c r="U446" s="84"/>
      <c r="V446" s="84"/>
      <c r="W446" s="84"/>
      <c r="X446" s="84"/>
      <c r="Y446" s="84"/>
      <c r="Z446" s="84"/>
      <c r="AA446" s="84"/>
      <c r="AB446" s="84"/>
      <c r="AC446" s="84"/>
    </row>
    <row r="447" ht="15.75" customHeight="1">
      <c r="A447" s="14" t="s">
        <v>120</v>
      </c>
      <c r="B447" s="14">
        <v>2012.0</v>
      </c>
      <c r="C447" s="14" t="s">
        <v>24298</v>
      </c>
      <c r="D447" s="14" t="s">
        <v>24299</v>
      </c>
      <c r="E447" s="150" t="str">
        <f t="shared" si="2"/>
        <v>http://dx.doi.org/10.1109/TVCG.2012.195</v>
      </c>
      <c r="F447" s="14">
        <v>2859.0</v>
      </c>
      <c r="G447" s="14">
        <v>2868.0</v>
      </c>
      <c r="H447" s="151"/>
      <c r="I447" s="14" t="s">
        <v>17059</v>
      </c>
      <c r="J447" s="14" t="s">
        <v>30683</v>
      </c>
      <c r="K447" s="14" t="s">
        <v>30684</v>
      </c>
      <c r="L447" s="152" t="s">
        <v>178</v>
      </c>
      <c r="M447" s="14" t="s">
        <v>30685</v>
      </c>
      <c r="N447" s="54" t="s">
        <v>30684</v>
      </c>
      <c r="O447" s="130" t="s">
        <v>24304</v>
      </c>
      <c r="P447" s="153" t="s">
        <v>24305</v>
      </c>
      <c r="Q447" s="14">
        <v>6327292.0</v>
      </c>
      <c r="R447" s="95"/>
      <c r="S447" s="154" t="s">
        <v>30686</v>
      </c>
      <c r="T447" s="84"/>
      <c r="U447" s="84"/>
      <c r="V447" s="84"/>
      <c r="W447" s="84"/>
      <c r="X447" s="84"/>
      <c r="Y447" s="84"/>
      <c r="Z447" s="84"/>
      <c r="AA447" s="84"/>
      <c r="AB447" s="84"/>
      <c r="AC447" s="84"/>
    </row>
    <row r="448" ht="15.75" customHeight="1">
      <c r="A448" s="14" t="s">
        <v>120</v>
      </c>
      <c r="B448" s="14">
        <v>2012.0</v>
      </c>
      <c r="C448" s="14" t="s">
        <v>24634</v>
      </c>
      <c r="D448" s="14" t="s">
        <v>24635</v>
      </c>
      <c r="E448" s="150" t="str">
        <f t="shared" si="2"/>
        <v>http://dx.doi.org/10.1109/VAST.2012.6400559</v>
      </c>
      <c r="F448" s="14">
        <v>123.0</v>
      </c>
      <c r="G448" s="14">
        <v>131.0</v>
      </c>
      <c r="H448" s="151"/>
      <c r="I448" s="14" t="s">
        <v>28</v>
      </c>
      <c r="J448" s="14" t="s">
        <v>24636</v>
      </c>
      <c r="K448" s="14" t="s">
        <v>30488</v>
      </c>
      <c r="L448" s="152" t="s">
        <v>27976</v>
      </c>
      <c r="M448" s="14" t="s">
        <v>178</v>
      </c>
      <c r="N448" s="54" t="s">
        <v>30488</v>
      </c>
      <c r="O448" s="130" t="s">
        <v>24638</v>
      </c>
      <c r="P448" s="153" t="s">
        <v>24639</v>
      </c>
      <c r="Q448" s="14">
        <v>6400559.0</v>
      </c>
      <c r="R448" s="95"/>
      <c r="S448" s="154" t="s">
        <v>30695</v>
      </c>
      <c r="T448" s="84"/>
      <c r="U448" s="84"/>
      <c r="V448" s="84"/>
      <c r="W448" s="84"/>
      <c r="X448" s="84"/>
      <c r="Y448" s="84"/>
      <c r="Z448" s="84"/>
      <c r="AA448" s="84"/>
      <c r="AB448" s="84"/>
      <c r="AC448" s="84"/>
    </row>
    <row r="449" ht="15.75" customHeight="1">
      <c r="A449" s="14" t="s">
        <v>120</v>
      </c>
      <c r="B449" s="14">
        <v>2012.0</v>
      </c>
      <c r="C449" s="14" t="s">
        <v>24547</v>
      </c>
      <c r="D449" s="14" t="s">
        <v>24548</v>
      </c>
      <c r="E449" s="150" t="str">
        <f t="shared" si="2"/>
        <v>http://dx.doi.org/10.1109/VAST.2012.6400547</v>
      </c>
      <c r="F449" s="14">
        <v>213.0</v>
      </c>
      <c r="G449" s="14">
        <v>214.0</v>
      </c>
      <c r="H449" s="159" t="s">
        <v>30659</v>
      </c>
      <c r="I449" s="14" t="s">
        <v>21</v>
      </c>
      <c r="J449" s="14" t="s">
        <v>24550</v>
      </c>
      <c r="K449" s="14" t="s">
        <v>30696</v>
      </c>
      <c r="L449" s="152" t="s">
        <v>494</v>
      </c>
      <c r="M449" s="14" t="s">
        <v>494</v>
      </c>
      <c r="N449" s="54" t="s">
        <v>30696</v>
      </c>
      <c r="O449" s="130"/>
      <c r="P449" s="16"/>
      <c r="Q449" s="14">
        <v>6400547.0</v>
      </c>
      <c r="R449" s="95"/>
      <c r="S449" s="154"/>
      <c r="T449" s="84"/>
      <c r="U449" s="84"/>
      <c r="V449" s="84"/>
      <c r="W449" s="84"/>
      <c r="X449" s="84"/>
      <c r="Y449" s="84"/>
      <c r="Z449" s="84"/>
      <c r="AA449" s="84"/>
      <c r="AB449" s="84"/>
      <c r="AC449" s="84"/>
    </row>
    <row r="450" ht="15.75" customHeight="1">
      <c r="A450" s="14" t="s">
        <v>120</v>
      </c>
      <c r="B450" s="14">
        <v>2012.0</v>
      </c>
      <c r="C450" s="14" t="s">
        <v>24387</v>
      </c>
      <c r="D450" s="14" t="s">
        <v>24388</v>
      </c>
      <c r="E450" s="150" t="str">
        <f t="shared" si="2"/>
        <v>http://dx.doi.org/10.1109/VAST.2012.6400486</v>
      </c>
      <c r="F450" s="14">
        <v>83.0</v>
      </c>
      <c r="G450" s="14">
        <v>92.0</v>
      </c>
      <c r="H450" s="151"/>
      <c r="I450" s="14" t="s">
        <v>28</v>
      </c>
      <c r="J450" s="14" t="s">
        <v>24389</v>
      </c>
      <c r="K450" s="14" t="s">
        <v>30697</v>
      </c>
      <c r="L450" s="152" t="s">
        <v>27814</v>
      </c>
      <c r="M450" s="14" t="s">
        <v>5349</v>
      </c>
      <c r="N450" s="54" t="s">
        <v>30697</v>
      </c>
      <c r="O450" s="130" t="s">
        <v>24392</v>
      </c>
      <c r="P450" s="16"/>
      <c r="Q450" s="14">
        <v>6400486.0</v>
      </c>
      <c r="R450" s="95"/>
      <c r="S450" s="154" t="s">
        <v>30700</v>
      </c>
      <c r="T450" s="84"/>
      <c r="U450" s="84"/>
      <c r="V450" s="84"/>
      <c r="W450" s="84"/>
      <c r="X450" s="84"/>
      <c r="Y450" s="84"/>
      <c r="Z450" s="84"/>
      <c r="AA450" s="84"/>
      <c r="AB450" s="84"/>
      <c r="AC450" s="84"/>
    </row>
    <row r="451" ht="15.75" customHeight="1">
      <c r="A451" s="14" t="s">
        <v>120</v>
      </c>
      <c r="B451" s="14">
        <v>2012.0</v>
      </c>
      <c r="C451" s="14" t="s">
        <v>24307</v>
      </c>
      <c r="D451" s="14" t="s">
        <v>24308</v>
      </c>
      <c r="E451" s="150" t="str">
        <f t="shared" si="2"/>
        <v>http://dx.doi.org/10.1109/TVCG.2012.219</v>
      </c>
      <c r="F451" s="14">
        <v>2917.0</v>
      </c>
      <c r="G451" s="14">
        <v>2926.0</v>
      </c>
      <c r="H451" s="151"/>
      <c r="I451" s="14" t="s">
        <v>17059</v>
      </c>
      <c r="J451" s="14" t="s">
        <v>24309</v>
      </c>
      <c r="K451" s="14" t="s">
        <v>30706</v>
      </c>
      <c r="L451" s="152" t="s">
        <v>27283</v>
      </c>
      <c r="M451" s="14" t="s">
        <v>30707</v>
      </c>
      <c r="N451" s="54" t="s">
        <v>30706</v>
      </c>
      <c r="O451" s="130" t="s">
        <v>24312</v>
      </c>
      <c r="P451" s="153" t="s">
        <v>24313</v>
      </c>
      <c r="Q451" s="14">
        <v>6327298.0</v>
      </c>
      <c r="R451" s="95"/>
      <c r="S451" s="154" t="s">
        <v>30708</v>
      </c>
      <c r="T451" s="84"/>
      <c r="U451" s="84"/>
      <c r="V451" s="84"/>
      <c r="W451" s="84"/>
      <c r="X451" s="84"/>
      <c r="Y451" s="84"/>
      <c r="Z451" s="84"/>
      <c r="AA451" s="84"/>
      <c r="AB451" s="84"/>
      <c r="AC451" s="84"/>
    </row>
    <row r="452" ht="15.75" customHeight="1">
      <c r="A452" s="14" t="s">
        <v>120</v>
      </c>
      <c r="B452" s="14">
        <v>2012.0</v>
      </c>
      <c r="C452" s="14" t="s">
        <v>24314</v>
      </c>
      <c r="D452" s="14" t="s">
        <v>24315</v>
      </c>
      <c r="E452" s="150" t="str">
        <f t="shared" si="2"/>
        <v>http://dx.doi.org/10.1109/TVCG.2012.224</v>
      </c>
      <c r="F452" s="14">
        <v>2869.0</v>
      </c>
      <c r="G452" s="14">
        <v>2878.0</v>
      </c>
      <c r="H452" s="151"/>
      <c r="I452" s="14" t="s">
        <v>17059</v>
      </c>
      <c r="J452" s="14" t="s">
        <v>24318</v>
      </c>
      <c r="K452" s="14" t="s">
        <v>30709</v>
      </c>
      <c r="L452" s="152" t="s">
        <v>178</v>
      </c>
      <c r="M452" s="14" t="s">
        <v>178</v>
      </c>
      <c r="N452" s="54" t="s">
        <v>30709</v>
      </c>
      <c r="O452" s="130" t="s">
        <v>24320</v>
      </c>
      <c r="P452" s="153" t="s">
        <v>24322</v>
      </c>
      <c r="Q452" s="14">
        <v>6327293.0</v>
      </c>
      <c r="R452" s="95"/>
      <c r="S452" s="154" t="s">
        <v>30710</v>
      </c>
      <c r="T452" s="84"/>
      <c r="U452" s="84"/>
      <c r="V452" s="84"/>
      <c r="W452" s="84"/>
      <c r="X452" s="84"/>
      <c r="Y452" s="84"/>
      <c r="Z452" s="84"/>
      <c r="AA452" s="84"/>
      <c r="AB452" s="84"/>
      <c r="AC452" s="84"/>
    </row>
    <row r="453" ht="15.75" customHeight="1">
      <c r="A453" s="14" t="s">
        <v>120</v>
      </c>
      <c r="B453" s="14">
        <v>2012.0</v>
      </c>
      <c r="C453" s="14" t="s">
        <v>24512</v>
      </c>
      <c r="D453" s="14" t="s">
        <v>24513</v>
      </c>
      <c r="E453" s="150" t="str">
        <f t="shared" si="2"/>
        <v>http://dx.doi.org/10.1109/VAST.2012.6400541</v>
      </c>
      <c r="F453" s="14">
        <v>225.0</v>
      </c>
      <c r="G453" s="14">
        <v>226.0</v>
      </c>
      <c r="H453" s="159" t="s">
        <v>30659</v>
      </c>
      <c r="I453" s="14" t="s">
        <v>21</v>
      </c>
      <c r="J453" s="14" t="s">
        <v>24514</v>
      </c>
      <c r="K453" s="14" t="s">
        <v>30711</v>
      </c>
      <c r="L453" s="152" t="s">
        <v>27844</v>
      </c>
      <c r="M453" s="14" t="s">
        <v>30713</v>
      </c>
      <c r="N453" s="54" t="s">
        <v>30714</v>
      </c>
      <c r="O453" s="130"/>
      <c r="P453" s="16"/>
      <c r="Q453" s="14">
        <v>6400541.0</v>
      </c>
      <c r="R453" s="95"/>
      <c r="S453" s="154"/>
      <c r="T453" s="84"/>
      <c r="U453" s="84"/>
      <c r="V453" s="84"/>
      <c r="W453" s="84"/>
      <c r="X453" s="84"/>
      <c r="Y453" s="84"/>
      <c r="Z453" s="84"/>
      <c r="AA453" s="84"/>
      <c r="AB453" s="84"/>
      <c r="AC453" s="84"/>
    </row>
    <row r="454" ht="15.75" customHeight="1">
      <c r="A454" s="14" t="s">
        <v>120</v>
      </c>
      <c r="B454" s="14">
        <v>2012.0</v>
      </c>
      <c r="C454" s="14" t="s">
        <v>24505</v>
      </c>
      <c r="D454" s="14" t="s">
        <v>24506</v>
      </c>
      <c r="E454" s="150" t="str">
        <f t="shared" si="2"/>
        <v>http://dx.doi.org/10.1109/VAST.2012.6400540</v>
      </c>
      <c r="F454" s="14">
        <v>227.0</v>
      </c>
      <c r="G454" s="14">
        <v>228.0</v>
      </c>
      <c r="H454" s="159" t="s">
        <v>30659</v>
      </c>
      <c r="I454" s="14" t="s">
        <v>21</v>
      </c>
      <c r="J454" s="14" t="s">
        <v>24508</v>
      </c>
      <c r="K454" s="14" t="s">
        <v>30722</v>
      </c>
      <c r="L454" s="152" t="s">
        <v>27841</v>
      </c>
      <c r="M454" s="14" t="s">
        <v>494</v>
      </c>
      <c r="N454" s="54" t="s">
        <v>30722</v>
      </c>
      <c r="O454" s="130"/>
      <c r="P454" s="16"/>
      <c r="Q454" s="14">
        <v>6400540.0</v>
      </c>
      <c r="R454" s="95"/>
      <c r="S454" s="154"/>
      <c r="T454" s="84"/>
      <c r="U454" s="84"/>
      <c r="V454" s="84"/>
      <c r="W454" s="84"/>
      <c r="X454" s="84"/>
      <c r="Y454" s="84"/>
      <c r="Z454" s="84"/>
      <c r="AA454" s="84"/>
      <c r="AB454" s="84"/>
      <c r="AC454" s="84"/>
    </row>
    <row r="455" ht="15.75" customHeight="1">
      <c r="A455" s="14" t="s">
        <v>120</v>
      </c>
      <c r="B455" s="14">
        <v>2012.0</v>
      </c>
      <c r="C455" s="14" t="s">
        <v>24554</v>
      </c>
      <c r="D455" s="14" t="s">
        <v>24555</v>
      </c>
      <c r="E455" s="150" t="str">
        <f t="shared" si="2"/>
        <v>http://dx.doi.org/10.1109/VAST.2012.6400548</v>
      </c>
      <c r="F455" s="14">
        <v>211.0</v>
      </c>
      <c r="G455" s="14">
        <v>212.0</v>
      </c>
      <c r="H455" s="159" t="s">
        <v>30659</v>
      </c>
      <c r="I455" s="14" t="s">
        <v>21</v>
      </c>
      <c r="J455" s="14" t="s">
        <v>24556</v>
      </c>
      <c r="K455" s="14" t="s">
        <v>30723</v>
      </c>
      <c r="L455" s="152" t="s">
        <v>27877</v>
      </c>
      <c r="M455" s="14" t="s">
        <v>5349</v>
      </c>
      <c r="N455" s="54" t="s">
        <v>30723</v>
      </c>
      <c r="O455" s="130"/>
      <c r="P455" s="16"/>
      <c r="Q455" s="14">
        <v>6400548.0</v>
      </c>
      <c r="R455" s="95"/>
      <c r="S455" s="154"/>
      <c r="T455" s="84"/>
      <c r="U455" s="84"/>
      <c r="V455" s="84"/>
      <c r="W455" s="84"/>
      <c r="X455" s="84"/>
      <c r="Y455" s="84"/>
      <c r="Z455" s="84"/>
      <c r="AA455" s="84"/>
      <c r="AB455" s="84"/>
      <c r="AC455" s="84"/>
    </row>
    <row r="456" ht="15.75" customHeight="1">
      <c r="A456" s="14" t="s">
        <v>120</v>
      </c>
      <c r="B456" s="14">
        <v>2012.0</v>
      </c>
      <c r="C456" s="14" t="s">
        <v>24409</v>
      </c>
      <c r="D456" s="14" t="s">
        <v>24410</v>
      </c>
      <c r="E456" s="150" t="str">
        <f t="shared" si="2"/>
        <v>http://dx.doi.org/10.1109/VAST.2012.6400489</v>
      </c>
      <c r="F456" s="14">
        <v>53.0</v>
      </c>
      <c r="G456" s="14">
        <v>62.0</v>
      </c>
      <c r="H456" s="151"/>
      <c r="I456" s="14" t="s">
        <v>28</v>
      </c>
      <c r="J456" s="14" t="s">
        <v>24411</v>
      </c>
      <c r="K456" s="14" t="s">
        <v>30724</v>
      </c>
      <c r="L456" s="152" t="s">
        <v>860</v>
      </c>
      <c r="M456" s="14" t="s">
        <v>860</v>
      </c>
      <c r="N456" s="54" t="s">
        <v>30724</v>
      </c>
      <c r="O456" s="130" t="s">
        <v>24415</v>
      </c>
      <c r="P456" s="16"/>
      <c r="Q456" s="14">
        <v>6400489.0</v>
      </c>
      <c r="R456" s="95"/>
      <c r="S456" s="154" t="s">
        <v>30728</v>
      </c>
      <c r="T456" s="84"/>
      <c r="U456" s="84"/>
      <c r="V456" s="84"/>
      <c r="W456" s="84"/>
      <c r="X456" s="84"/>
      <c r="Y456" s="84"/>
      <c r="Z456" s="84"/>
      <c r="AA456" s="84"/>
      <c r="AB456" s="84"/>
      <c r="AC456" s="84"/>
    </row>
    <row r="457" ht="15.75" customHeight="1">
      <c r="A457" s="14" t="s">
        <v>120</v>
      </c>
      <c r="B457" s="14">
        <v>2012.0</v>
      </c>
      <c r="C457" s="14" t="s">
        <v>24518</v>
      </c>
      <c r="D457" s="14" t="s">
        <v>24519</v>
      </c>
      <c r="E457" s="150" t="str">
        <f t="shared" si="2"/>
        <v>http://dx.doi.org/10.1109/VAST.2012.6400542</v>
      </c>
      <c r="F457" s="14">
        <v>223.0</v>
      </c>
      <c r="G457" s="14">
        <v>224.0</v>
      </c>
      <c r="H457" s="159" t="s">
        <v>30659</v>
      </c>
      <c r="I457" s="14" t="s">
        <v>21</v>
      </c>
      <c r="J457" s="14" t="s">
        <v>24520</v>
      </c>
      <c r="K457" s="14" t="s">
        <v>30732</v>
      </c>
      <c r="L457" s="152" t="s">
        <v>27846</v>
      </c>
      <c r="M457" s="14" t="s">
        <v>494</v>
      </c>
      <c r="N457" s="54" t="s">
        <v>30732</v>
      </c>
      <c r="O457" s="130"/>
      <c r="P457" s="16"/>
      <c r="Q457" s="14">
        <v>6400542.0</v>
      </c>
      <c r="R457" s="95"/>
      <c r="S457" s="154"/>
      <c r="T457" s="84"/>
      <c r="U457" s="84"/>
      <c r="V457" s="84"/>
      <c r="W457" s="84"/>
      <c r="X457" s="84"/>
      <c r="Y457" s="84"/>
      <c r="Z457" s="84"/>
      <c r="AA457" s="84"/>
      <c r="AB457" s="84"/>
      <c r="AC457" s="84"/>
    </row>
    <row r="458" ht="15.75" customHeight="1">
      <c r="A458" s="14" t="s">
        <v>120</v>
      </c>
      <c r="B458" s="14">
        <v>2012.0</v>
      </c>
      <c r="C458" s="14" t="s">
        <v>24467</v>
      </c>
      <c r="D458" s="14" t="s">
        <v>24468</v>
      </c>
      <c r="E458" s="150" t="str">
        <f t="shared" si="2"/>
        <v>http://dx.doi.org/10.1109/VAST.2012.6400533</v>
      </c>
      <c r="F458" s="14">
        <v>241.0</v>
      </c>
      <c r="G458" s="14">
        <v>242.0</v>
      </c>
      <c r="H458" s="159" t="s">
        <v>30659</v>
      </c>
      <c r="I458" s="14" t="s">
        <v>21</v>
      </c>
      <c r="J458" s="14" t="s">
        <v>24469</v>
      </c>
      <c r="K458" s="14" t="s">
        <v>10461</v>
      </c>
      <c r="L458" s="152"/>
      <c r="M458" s="14"/>
      <c r="N458" s="54" t="s">
        <v>10461</v>
      </c>
      <c r="O458" s="130"/>
      <c r="P458" s="16"/>
      <c r="Q458" s="14">
        <v>6400533.0</v>
      </c>
      <c r="R458" s="95"/>
      <c r="S458" s="154"/>
      <c r="T458" s="84"/>
      <c r="U458" s="84"/>
      <c r="V458" s="84"/>
      <c r="W458" s="84"/>
      <c r="X458" s="84"/>
      <c r="Y458" s="84"/>
      <c r="Z458" s="84"/>
      <c r="AA458" s="84"/>
      <c r="AB458" s="84"/>
      <c r="AC458" s="84"/>
    </row>
    <row r="459" ht="15.75" customHeight="1">
      <c r="A459" s="14" t="s">
        <v>120</v>
      </c>
      <c r="B459" s="14">
        <v>2012.0</v>
      </c>
      <c r="C459" s="14" t="s">
        <v>30733</v>
      </c>
      <c r="D459" s="14" t="s">
        <v>24574</v>
      </c>
      <c r="E459" s="150" t="str">
        <f t="shared" si="2"/>
        <v>http://dx.doi.org/10.1109/VAST.2012.6400551</v>
      </c>
      <c r="F459" s="14">
        <v>204.0</v>
      </c>
      <c r="G459" s="14">
        <v>206.0</v>
      </c>
      <c r="H459" s="159" t="s">
        <v>30659</v>
      </c>
      <c r="I459" s="14" t="s">
        <v>21</v>
      </c>
      <c r="J459" s="14" t="s">
        <v>30734</v>
      </c>
      <c r="K459" s="14" t="s">
        <v>30735</v>
      </c>
      <c r="L459" s="152" t="s">
        <v>27916</v>
      </c>
      <c r="M459" s="14" t="s">
        <v>880</v>
      </c>
      <c r="N459" s="54" t="s">
        <v>30735</v>
      </c>
      <c r="O459" s="130"/>
      <c r="P459" s="16"/>
      <c r="Q459" s="14">
        <v>6400551.0</v>
      </c>
      <c r="R459" s="95"/>
      <c r="S459" s="154"/>
      <c r="T459" s="84"/>
      <c r="U459" s="84"/>
      <c r="V459" s="84"/>
      <c r="W459" s="84"/>
      <c r="X459" s="84"/>
      <c r="Y459" s="84"/>
      <c r="Z459" s="84"/>
      <c r="AA459" s="84"/>
      <c r="AB459" s="84"/>
      <c r="AC459" s="84"/>
    </row>
    <row r="460" ht="15.75" customHeight="1">
      <c r="A460" s="14" t="s">
        <v>120</v>
      </c>
      <c r="B460" s="14">
        <v>2012.0</v>
      </c>
      <c r="C460" s="14" t="s">
        <v>24431</v>
      </c>
      <c r="D460" s="14" t="s">
        <v>24432</v>
      </c>
      <c r="E460" s="150" t="str">
        <f t="shared" si="2"/>
        <v>http://dx.doi.org/10.1109/VAST.2012.6400492</v>
      </c>
      <c r="F460" s="14">
        <v>23.0</v>
      </c>
      <c r="G460" s="14">
        <v>32.0</v>
      </c>
      <c r="H460" s="151"/>
      <c r="I460" s="14" t="s">
        <v>28</v>
      </c>
      <c r="J460" s="14" t="s">
        <v>24433</v>
      </c>
      <c r="K460" s="14" t="s">
        <v>30737</v>
      </c>
      <c r="L460" s="152" t="s">
        <v>880</v>
      </c>
      <c r="M460" s="14" t="s">
        <v>880</v>
      </c>
      <c r="N460" s="54" t="s">
        <v>30737</v>
      </c>
      <c r="O460" s="130" t="s">
        <v>24436</v>
      </c>
      <c r="P460" s="16"/>
      <c r="Q460" s="14">
        <v>6400492.0</v>
      </c>
      <c r="R460" s="95"/>
      <c r="S460" s="154" t="s">
        <v>30738</v>
      </c>
      <c r="T460" s="84"/>
      <c r="U460" s="84"/>
      <c r="V460" s="84"/>
      <c r="W460" s="84"/>
      <c r="X460" s="84"/>
      <c r="Y460" s="84"/>
      <c r="Z460" s="84"/>
      <c r="AA460" s="84"/>
      <c r="AB460" s="84"/>
      <c r="AC460" s="84"/>
    </row>
    <row r="461" ht="15.75" customHeight="1">
      <c r="A461" s="14" t="s">
        <v>120</v>
      </c>
      <c r="B461" s="14">
        <v>2012.0</v>
      </c>
      <c r="C461" s="14" t="s">
        <v>24393</v>
      </c>
      <c r="D461" s="14" t="s">
        <v>24394</v>
      </c>
      <c r="E461" s="150" t="str">
        <f t="shared" si="2"/>
        <v>http://dx.doi.org/10.1109/VAST.2012.6400487</v>
      </c>
      <c r="F461" s="14">
        <v>73.0</v>
      </c>
      <c r="G461" s="14">
        <v>82.0</v>
      </c>
      <c r="H461" s="151"/>
      <c r="I461" s="14" t="s">
        <v>28</v>
      </c>
      <c r="J461" s="14" t="s">
        <v>24395</v>
      </c>
      <c r="K461" s="14" t="s">
        <v>8614</v>
      </c>
      <c r="L461" s="152"/>
      <c r="M461" s="14"/>
      <c r="N461" s="54" t="s">
        <v>8614</v>
      </c>
      <c r="O461" s="130" t="s">
        <v>24398</v>
      </c>
      <c r="P461" s="153" t="s">
        <v>24399</v>
      </c>
      <c r="Q461" s="14">
        <v>6400487.0</v>
      </c>
      <c r="R461" s="95"/>
      <c r="S461" s="154" t="s">
        <v>30739</v>
      </c>
      <c r="T461" s="84"/>
      <c r="U461" s="84"/>
      <c r="V461" s="84"/>
      <c r="W461" s="84"/>
      <c r="X461" s="84"/>
      <c r="Y461" s="84"/>
      <c r="Z461" s="84"/>
      <c r="AA461" s="84"/>
      <c r="AB461" s="84"/>
      <c r="AC461" s="84"/>
    </row>
    <row r="462" ht="15.75" customHeight="1">
      <c r="A462" s="14" t="s">
        <v>120</v>
      </c>
      <c r="B462" s="14">
        <v>2012.0</v>
      </c>
      <c r="C462" s="14" t="s">
        <v>24379</v>
      </c>
      <c r="D462" s="14" t="s">
        <v>24380</v>
      </c>
      <c r="E462" s="150" t="str">
        <f t="shared" si="2"/>
        <v>http://dx.doi.org/10.1109/VAST.2012.6400485</v>
      </c>
      <c r="F462" s="14">
        <v>93.0</v>
      </c>
      <c r="G462" s="14">
        <v>102.0</v>
      </c>
      <c r="H462" s="151"/>
      <c r="I462" s="14" t="s">
        <v>28</v>
      </c>
      <c r="J462" s="14" t="s">
        <v>24382</v>
      </c>
      <c r="K462" s="14" t="s">
        <v>30740</v>
      </c>
      <c r="L462" s="152" t="s">
        <v>25727</v>
      </c>
      <c r="M462" s="14" t="s">
        <v>880</v>
      </c>
      <c r="N462" s="54" t="s">
        <v>30740</v>
      </c>
      <c r="O462" s="130" t="s">
        <v>24385</v>
      </c>
      <c r="P462" s="16"/>
      <c r="Q462" s="14">
        <v>6400485.0</v>
      </c>
      <c r="R462" s="95"/>
      <c r="S462" s="154" t="s">
        <v>30741</v>
      </c>
      <c r="T462" s="84"/>
      <c r="U462" s="84"/>
      <c r="V462" s="84"/>
      <c r="W462" s="84"/>
      <c r="X462" s="84"/>
      <c r="Y462" s="84"/>
      <c r="Z462" s="84"/>
      <c r="AA462" s="84"/>
      <c r="AB462" s="84"/>
      <c r="AC462" s="84"/>
    </row>
    <row r="463" ht="15.75" customHeight="1">
      <c r="A463" s="14" t="s">
        <v>120</v>
      </c>
      <c r="B463" s="14">
        <v>2012.0</v>
      </c>
      <c r="C463" s="14" t="s">
        <v>24450</v>
      </c>
      <c r="D463" s="14" t="s">
        <v>24451</v>
      </c>
      <c r="E463" s="150" t="str">
        <f t="shared" si="2"/>
        <v>http://dx.doi.org/10.1109/VAST.2012.6400530</v>
      </c>
      <c r="F463" s="14">
        <v>247.0</v>
      </c>
      <c r="G463" s="14">
        <v>248.0</v>
      </c>
      <c r="H463" s="159" t="s">
        <v>30659</v>
      </c>
      <c r="I463" s="14" t="s">
        <v>21</v>
      </c>
      <c r="J463" s="14" t="s">
        <v>24452</v>
      </c>
      <c r="K463" s="14" t="s">
        <v>30742</v>
      </c>
      <c r="L463" s="152" t="s">
        <v>5349</v>
      </c>
      <c r="M463" s="14" t="s">
        <v>5349</v>
      </c>
      <c r="N463" s="54" t="s">
        <v>30742</v>
      </c>
      <c r="O463" s="130"/>
      <c r="P463" s="16"/>
      <c r="Q463" s="14">
        <v>6400530.0</v>
      </c>
      <c r="R463" s="95"/>
      <c r="S463" s="154"/>
      <c r="T463" s="84"/>
      <c r="U463" s="84"/>
      <c r="V463" s="84"/>
      <c r="W463" s="84"/>
      <c r="X463" s="84"/>
      <c r="Y463" s="84"/>
      <c r="Z463" s="84"/>
      <c r="AA463" s="84"/>
      <c r="AB463" s="84"/>
      <c r="AC463" s="84"/>
    </row>
    <row r="464" ht="15.75" customHeight="1">
      <c r="A464" s="14" t="s">
        <v>120</v>
      </c>
      <c r="B464" s="14">
        <v>2012.0</v>
      </c>
      <c r="C464" s="14" t="s">
        <v>24560</v>
      </c>
      <c r="D464" s="14" t="s">
        <v>24561</v>
      </c>
      <c r="E464" s="150" t="str">
        <f t="shared" si="2"/>
        <v>http://dx.doi.org/10.1109/VAST.2012.6400549</v>
      </c>
      <c r="F464" s="14">
        <v>209.0</v>
      </c>
      <c r="G464" s="14">
        <v>210.0</v>
      </c>
      <c r="H464" s="159" t="s">
        <v>30659</v>
      </c>
      <c r="I464" s="14" t="s">
        <v>21</v>
      </c>
      <c r="J464" s="14" t="s">
        <v>24562</v>
      </c>
      <c r="K464" s="14" t="s">
        <v>30744</v>
      </c>
      <c r="L464" s="152" t="s">
        <v>880</v>
      </c>
      <c r="M464" s="14" t="s">
        <v>880</v>
      </c>
      <c r="N464" s="54" t="s">
        <v>30745</v>
      </c>
      <c r="O464" s="130"/>
      <c r="P464" s="16"/>
      <c r="Q464" s="14">
        <v>6400549.0</v>
      </c>
      <c r="R464" s="95"/>
      <c r="S464" s="154"/>
      <c r="T464" s="84"/>
      <c r="U464" s="84"/>
      <c r="V464" s="84"/>
      <c r="W464" s="84"/>
      <c r="X464" s="84"/>
      <c r="Y464" s="84"/>
      <c r="Z464" s="84"/>
      <c r="AA464" s="84"/>
      <c r="AB464" s="84"/>
      <c r="AC464" s="84"/>
    </row>
    <row r="465" ht="15.75" customHeight="1">
      <c r="A465" s="14" t="s">
        <v>120</v>
      </c>
      <c r="B465" s="14">
        <v>2012.0</v>
      </c>
      <c r="C465" s="14" t="s">
        <v>24528</v>
      </c>
      <c r="D465" s="14" t="s">
        <v>24530</v>
      </c>
      <c r="E465" s="150" t="str">
        <f t="shared" si="2"/>
        <v>http://dx.doi.org/10.1109/VAST.2012.6400544</v>
      </c>
      <c r="F465" s="14">
        <v>219.0</v>
      </c>
      <c r="G465" s="14">
        <v>220.0</v>
      </c>
      <c r="H465" s="159" t="s">
        <v>30659</v>
      </c>
      <c r="I465" s="14" t="s">
        <v>21</v>
      </c>
      <c r="J465" s="14" t="s">
        <v>24531</v>
      </c>
      <c r="K465" s="14" t="s">
        <v>30746</v>
      </c>
      <c r="L465" s="152" t="s">
        <v>178</v>
      </c>
      <c r="M465" s="14" t="s">
        <v>178</v>
      </c>
      <c r="N465" s="54" t="s">
        <v>30746</v>
      </c>
      <c r="O465" s="130"/>
      <c r="P465" s="16"/>
      <c r="Q465" s="14">
        <v>6400544.0</v>
      </c>
      <c r="R465" s="95"/>
      <c r="S465" s="154"/>
      <c r="T465" s="84"/>
      <c r="U465" s="84"/>
      <c r="V465" s="84"/>
      <c r="W465" s="84"/>
      <c r="X465" s="84"/>
      <c r="Y465" s="84"/>
      <c r="Z465" s="84"/>
      <c r="AA465" s="84"/>
      <c r="AB465" s="84"/>
      <c r="AC465" s="84"/>
    </row>
    <row r="466" ht="15.75" customHeight="1">
      <c r="A466" s="14" t="s">
        <v>120</v>
      </c>
      <c r="B466" s="14">
        <v>2012.0</v>
      </c>
      <c r="C466" s="14" t="s">
        <v>24479</v>
      </c>
      <c r="D466" s="14" t="s">
        <v>24480</v>
      </c>
      <c r="E466" s="150" t="str">
        <f t="shared" si="2"/>
        <v>http://dx.doi.org/10.1109/VAST.2012.6400535</v>
      </c>
      <c r="F466" s="14">
        <v>237.0</v>
      </c>
      <c r="G466" s="14">
        <v>238.0</v>
      </c>
      <c r="H466" s="159" t="s">
        <v>30659</v>
      </c>
      <c r="I466" s="14" t="s">
        <v>21</v>
      </c>
      <c r="J466" s="14" t="s">
        <v>24481</v>
      </c>
      <c r="K466" s="14" t="s">
        <v>30747</v>
      </c>
      <c r="L466" s="152" t="s">
        <v>5349</v>
      </c>
      <c r="M466" s="14" t="s">
        <v>5349</v>
      </c>
      <c r="N466" s="54" t="s">
        <v>30747</v>
      </c>
      <c r="O466" s="130"/>
      <c r="P466" s="16"/>
      <c r="Q466" s="14">
        <v>6400535.0</v>
      </c>
      <c r="R466" s="95"/>
      <c r="S466" s="154"/>
      <c r="T466" s="84"/>
      <c r="U466" s="84"/>
      <c r="V466" s="84"/>
      <c r="W466" s="84"/>
      <c r="X466" s="84"/>
      <c r="Y466" s="84"/>
      <c r="Z466" s="84"/>
      <c r="AA466" s="84"/>
      <c r="AB466" s="84"/>
      <c r="AC466" s="84"/>
    </row>
    <row r="467" ht="15.75" customHeight="1">
      <c r="A467" s="14" t="s">
        <v>120</v>
      </c>
      <c r="B467" s="14">
        <v>2012.0</v>
      </c>
      <c r="C467" s="14" t="s">
        <v>24323</v>
      </c>
      <c r="D467" s="14" t="s">
        <v>24324</v>
      </c>
      <c r="E467" s="150" t="str">
        <f t="shared" si="2"/>
        <v>http://dx.doi.org/10.1109/TVCG.2012.254</v>
      </c>
      <c r="F467" s="14">
        <v>2849.0</v>
      </c>
      <c r="G467" s="14">
        <v>2858.0</v>
      </c>
      <c r="H467" s="151"/>
      <c r="I467" s="14" t="s">
        <v>17059</v>
      </c>
      <c r="J467" s="14" t="s">
        <v>24325</v>
      </c>
      <c r="K467" s="14" t="s">
        <v>30748</v>
      </c>
      <c r="L467" s="152" t="s">
        <v>5349</v>
      </c>
      <c r="M467" s="14" t="s">
        <v>30749</v>
      </c>
      <c r="N467" s="54" t="s">
        <v>30750</v>
      </c>
      <c r="O467" s="130" t="s">
        <v>24328</v>
      </c>
      <c r="P467" s="153" t="s">
        <v>24329</v>
      </c>
      <c r="Q467" s="14">
        <v>6327291.0</v>
      </c>
      <c r="R467" s="95"/>
      <c r="S467" s="154" t="s">
        <v>30751</v>
      </c>
      <c r="T467" s="84"/>
      <c r="U467" s="84"/>
      <c r="V467" s="84"/>
      <c r="W467" s="84"/>
      <c r="X467" s="84"/>
      <c r="Y467" s="84"/>
      <c r="Z467" s="84"/>
      <c r="AA467" s="84"/>
      <c r="AB467" s="84"/>
      <c r="AC467" s="84"/>
    </row>
    <row r="468" ht="15.75" customHeight="1">
      <c r="A468" s="14" t="s">
        <v>120</v>
      </c>
      <c r="B468" s="14">
        <v>2012.0</v>
      </c>
      <c r="C468" s="14" t="s">
        <v>24371</v>
      </c>
      <c r="D468" s="14" t="s">
        <v>24372</v>
      </c>
      <c r="E468" s="150" t="str">
        <f t="shared" si="2"/>
        <v>http://dx.doi.org/10.1109/VAST.2012.6400484</v>
      </c>
      <c r="F468" s="14">
        <v>103.0</v>
      </c>
      <c r="G468" s="14">
        <v>112.0</v>
      </c>
      <c r="H468" s="151"/>
      <c r="I468" s="14" t="s">
        <v>28</v>
      </c>
      <c r="J468" s="14" t="s">
        <v>24373</v>
      </c>
      <c r="K468" s="14" t="s">
        <v>30752</v>
      </c>
      <c r="L468" s="152" t="s">
        <v>494</v>
      </c>
      <c r="M468" s="14" t="s">
        <v>494</v>
      </c>
      <c r="N468" s="54" t="s">
        <v>30752</v>
      </c>
      <c r="O468" s="130" t="s">
        <v>24377</v>
      </c>
      <c r="P468" s="153" t="s">
        <v>24378</v>
      </c>
      <c r="Q468" s="14">
        <v>6400484.0</v>
      </c>
      <c r="R468" s="95"/>
      <c r="S468" s="154" t="s">
        <v>30753</v>
      </c>
      <c r="T468" s="84"/>
      <c r="U468" s="84"/>
      <c r="V468" s="84"/>
      <c r="W468" s="84"/>
      <c r="X468" s="84"/>
      <c r="Y468" s="84"/>
      <c r="Z468" s="84"/>
      <c r="AA468" s="84"/>
      <c r="AB468" s="84"/>
      <c r="AC468" s="84"/>
    </row>
    <row r="469" ht="15.75" customHeight="1">
      <c r="A469" s="14" t="s">
        <v>120</v>
      </c>
      <c r="B469" s="14">
        <v>2012.0</v>
      </c>
      <c r="C469" s="14" t="s">
        <v>24330</v>
      </c>
      <c r="D469" s="14" t="s">
        <v>24331</v>
      </c>
      <c r="E469" s="150" t="str">
        <f t="shared" si="2"/>
        <v>http://dx.doi.org/10.1109/TVCG.2012.258</v>
      </c>
      <c r="F469" s="14">
        <v>2829.0</v>
      </c>
      <c r="G469" s="14">
        <v>2838.0</v>
      </c>
      <c r="H469" s="151"/>
      <c r="I469" s="14" t="s">
        <v>17059</v>
      </c>
      <c r="J469" s="14" t="s">
        <v>24332</v>
      </c>
      <c r="K469" s="14" t="s">
        <v>30754</v>
      </c>
      <c r="L469" s="152" t="s">
        <v>25715</v>
      </c>
      <c r="M469" s="14" t="s">
        <v>30755</v>
      </c>
      <c r="N469" s="54" t="s">
        <v>30754</v>
      </c>
      <c r="O469" s="130" t="s">
        <v>24335</v>
      </c>
      <c r="P469" s="153" t="s">
        <v>24336</v>
      </c>
      <c r="Q469" s="14">
        <v>6327289.0</v>
      </c>
      <c r="R469" s="95"/>
      <c r="S469" s="154" t="s">
        <v>30756</v>
      </c>
      <c r="T469" s="84"/>
      <c r="U469" s="84"/>
      <c r="V469" s="84"/>
      <c r="W469" s="84"/>
      <c r="X469" s="84"/>
      <c r="Y469" s="84"/>
      <c r="Z469" s="84"/>
      <c r="AA469" s="84"/>
      <c r="AB469" s="84"/>
      <c r="AC469" s="84"/>
    </row>
    <row r="470" ht="15.75" customHeight="1">
      <c r="A470" s="14" t="s">
        <v>120</v>
      </c>
      <c r="B470" s="14">
        <v>2012.0</v>
      </c>
      <c r="C470" s="14" t="s">
        <v>24339</v>
      </c>
      <c r="D470" s="14" t="s">
        <v>24340</v>
      </c>
      <c r="E470" s="150" t="str">
        <f t="shared" si="2"/>
        <v>http://dx.doi.org/10.1109/TVCG.2012.260</v>
      </c>
      <c r="F470" s="14">
        <v>2879.0</v>
      </c>
      <c r="G470" s="14">
        <v>2888.0</v>
      </c>
      <c r="H470" s="151"/>
      <c r="I470" s="14" t="s">
        <v>17059</v>
      </c>
      <c r="J470" s="14" t="s">
        <v>24342</v>
      </c>
      <c r="K470" s="14" t="s">
        <v>30757</v>
      </c>
      <c r="L470" s="152" t="s">
        <v>494</v>
      </c>
      <c r="M470" s="14" t="s">
        <v>30758</v>
      </c>
      <c r="N470" s="54" t="s">
        <v>30757</v>
      </c>
      <c r="O470" s="130" t="s">
        <v>24345</v>
      </c>
      <c r="P470" s="153" t="s">
        <v>24346</v>
      </c>
      <c r="Q470" s="14">
        <v>6327294.0</v>
      </c>
      <c r="R470" s="95"/>
      <c r="S470" s="154" t="s">
        <v>30760</v>
      </c>
      <c r="T470" s="84"/>
      <c r="U470" s="84"/>
      <c r="V470" s="84"/>
      <c r="W470" s="84"/>
      <c r="X470" s="84"/>
      <c r="Y470" s="84"/>
      <c r="Z470" s="84"/>
      <c r="AA470" s="84"/>
      <c r="AB470" s="84"/>
      <c r="AC470" s="84"/>
    </row>
    <row r="471" ht="15.75" customHeight="1">
      <c r="A471" s="14" t="s">
        <v>120</v>
      </c>
      <c r="B471" s="14">
        <v>2012.0</v>
      </c>
      <c r="C471" s="14" t="s">
        <v>24603</v>
      </c>
      <c r="D471" s="14" t="s">
        <v>24604</v>
      </c>
      <c r="E471" s="150" t="str">
        <f t="shared" si="2"/>
        <v>http://dx.doi.org/10.1109/VAST.2012.6400555</v>
      </c>
      <c r="F471" s="14">
        <v>163.0</v>
      </c>
      <c r="G471" s="14">
        <v>172.0</v>
      </c>
      <c r="H471" s="151"/>
      <c r="I471" s="14" t="s">
        <v>28</v>
      </c>
      <c r="J471" s="14" t="s">
        <v>24605</v>
      </c>
      <c r="K471" s="14" t="s">
        <v>30761</v>
      </c>
      <c r="L471" s="152" t="s">
        <v>27966</v>
      </c>
      <c r="M471" s="14" t="s">
        <v>23953</v>
      </c>
      <c r="N471" s="54" t="s">
        <v>30762</v>
      </c>
      <c r="O471" s="130" t="s">
        <v>24609</v>
      </c>
      <c r="P471" s="153" t="s">
        <v>24610</v>
      </c>
      <c r="Q471" s="14">
        <v>6400555.0</v>
      </c>
      <c r="R471" s="95"/>
      <c r="S471" s="154" t="s">
        <v>30763</v>
      </c>
      <c r="T471" s="84"/>
      <c r="U471" s="84"/>
      <c r="V471" s="84"/>
      <c r="W471" s="84"/>
      <c r="X471" s="84"/>
      <c r="Y471" s="84"/>
      <c r="Z471" s="84"/>
      <c r="AA471" s="84"/>
      <c r="AB471" s="84"/>
      <c r="AC471" s="84"/>
    </row>
    <row r="472" ht="15.75" customHeight="1">
      <c r="A472" s="14" t="s">
        <v>120</v>
      </c>
      <c r="B472" s="14">
        <v>2012.0</v>
      </c>
      <c r="C472" s="14" t="s">
        <v>24626</v>
      </c>
      <c r="D472" s="14" t="s">
        <v>24627</v>
      </c>
      <c r="E472" s="150" t="str">
        <f t="shared" si="2"/>
        <v>http://dx.doi.org/10.1109/VAST.2012.6400558</v>
      </c>
      <c r="F472" s="14">
        <v>133.0</v>
      </c>
      <c r="G472" s="14">
        <v>142.0</v>
      </c>
      <c r="H472" s="151"/>
      <c r="I472" s="14" t="s">
        <v>28</v>
      </c>
      <c r="J472" s="14" t="s">
        <v>24628</v>
      </c>
      <c r="K472" s="14" t="s">
        <v>30764</v>
      </c>
      <c r="L472" s="152" t="s">
        <v>27974</v>
      </c>
      <c r="M472" s="14" t="s">
        <v>5349</v>
      </c>
      <c r="N472" s="54" t="s">
        <v>30764</v>
      </c>
      <c r="O472" s="130" t="s">
        <v>24632</v>
      </c>
      <c r="P472" s="153" t="s">
        <v>24633</v>
      </c>
      <c r="Q472" s="14">
        <v>6400558.0</v>
      </c>
      <c r="R472" s="95"/>
      <c r="S472" s="154" t="s">
        <v>30765</v>
      </c>
      <c r="T472" s="84"/>
      <c r="U472" s="84"/>
      <c r="V472" s="84"/>
      <c r="W472" s="84"/>
      <c r="X472" s="84"/>
      <c r="Y472" s="84"/>
      <c r="Z472" s="84"/>
      <c r="AA472" s="84"/>
      <c r="AB472" s="84"/>
      <c r="AC472" s="84"/>
    </row>
    <row r="473" ht="15.75" customHeight="1">
      <c r="A473" s="14" t="s">
        <v>120</v>
      </c>
      <c r="B473" s="14">
        <v>2012.0</v>
      </c>
      <c r="C473" s="14" t="s">
        <v>24619</v>
      </c>
      <c r="D473" s="14" t="s">
        <v>24620</v>
      </c>
      <c r="E473" s="150" t="str">
        <f t="shared" si="2"/>
        <v>http://dx.doi.org/10.1109/VAST.2012.6400557</v>
      </c>
      <c r="F473" s="14">
        <v>143.0</v>
      </c>
      <c r="G473" s="14">
        <v>152.0</v>
      </c>
      <c r="H473" s="151"/>
      <c r="I473" s="14" t="s">
        <v>28</v>
      </c>
      <c r="J473" s="14" t="s">
        <v>24621</v>
      </c>
      <c r="K473" s="14" t="s">
        <v>30766</v>
      </c>
      <c r="L473" s="152" t="s">
        <v>1253</v>
      </c>
      <c r="M473" s="14" t="s">
        <v>1253</v>
      </c>
      <c r="N473" s="54" t="s">
        <v>30766</v>
      </c>
      <c r="O473" s="130" t="s">
        <v>24625</v>
      </c>
      <c r="P473" s="16"/>
      <c r="Q473" s="14">
        <v>6400557.0</v>
      </c>
      <c r="R473" s="95"/>
      <c r="S473" s="154" t="s">
        <v>30767</v>
      </c>
      <c r="T473" s="84"/>
      <c r="U473" s="84"/>
      <c r="V473" s="84"/>
      <c r="W473" s="84"/>
      <c r="X473" s="84"/>
      <c r="Y473" s="84"/>
      <c r="Z473" s="84"/>
      <c r="AA473" s="84"/>
      <c r="AB473" s="84"/>
      <c r="AC473" s="84"/>
    </row>
    <row r="474" ht="15.75" customHeight="1">
      <c r="A474" s="14" t="s">
        <v>120</v>
      </c>
      <c r="B474" s="14">
        <v>2012.0</v>
      </c>
      <c r="C474" s="14" t="s">
        <v>24400</v>
      </c>
      <c r="D474" s="14" t="s">
        <v>24401</v>
      </c>
      <c r="E474" s="150" t="str">
        <f t="shared" si="2"/>
        <v>http://dx.doi.org/10.1109/VAST.2012.6400488</v>
      </c>
      <c r="F474" s="14">
        <v>63.0</v>
      </c>
      <c r="G474" s="14">
        <v>72.0</v>
      </c>
      <c r="H474" s="151"/>
      <c r="I474" s="14" t="s">
        <v>28</v>
      </c>
      <c r="J474" s="14" t="s">
        <v>24403</v>
      </c>
      <c r="K474" s="14" t="s">
        <v>30768</v>
      </c>
      <c r="L474" s="152" t="s">
        <v>23476</v>
      </c>
      <c r="M474" s="14" t="s">
        <v>1253</v>
      </c>
      <c r="N474" s="54" t="s">
        <v>30769</v>
      </c>
      <c r="O474" s="130" t="s">
        <v>24407</v>
      </c>
      <c r="P474" s="16"/>
      <c r="Q474" s="14">
        <v>6400488.0</v>
      </c>
      <c r="R474" s="95"/>
      <c r="S474" s="154" t="s">
        <v>30770</v>
      </c>
      <c r="T474" s="84"/>
      <c r="U474" s="84"/>
      <c r="V474" s="84"/>
      <c r="W474" s="84"/>
      <c r="X474" s="84"/>
      <c r="Y474" s="84"/>
      <c r="Z474" s="84"/>
      <c r="AA474" s="84"/>
      <c r="AB474" s="84"/>
      <c r="AC474" s="84"/>
    </row>
    <row r="475" ht="15.75" customHeight="1">
      <c r="A475" s="14" t="s">
        <v>120</v>
      </c>
      <c r="B475" s="14">
        <v>2012.0</v>
      </c>
      <c r="C475" s="14" t="s">
        <v>24640</v>
      </c>
      <c r="D475" s="14" t="s">
        <v>24641</v>
      </c>
      <c r="E475" s="150" t="str">
        <f t="shared" si="2"/>
        <v>http://dx.doi.org/10.1109/VAST.2012.6400560</v>
      </c>
      <c r="F475" s="14">
        <v>113.0</v>
      </c>
      <c r="G475" s="14">
        <v>122.0</v>
      </c>
      <c r="H475" s="151"/>
      <c r="I475" s="14" t="s">
        <v>28</v>
      </c>
      <c r="J475" s="14" t="s">
        <v>24643</v>
      </c>
      <c r="K475" s="14" t="s">
        <v>30772</v>
      </c>
      <c r="L475" s="152" t="s">
        <v>27978</v>
      </c>
      <c r="M475" s="14" t="s">
        <v>494</v>
      </c>
      <c r="N475" s="54" t="s">
        <v>30772</v>
      </c>
      <c r="O475" s="130"/>
      <c r="P475" s="16"/>
      <c r="Q475" s="14">
        <v>6400560.0</v>
      </c>
      <c r="R475" s="95"/>
      <c r="S475" s="154"/>
      <c r="T475" s="84"/>
      <c r="U475" s="84"/>
      <c r="V475" s="84"/>
      <c r="W475" s="84"/>
      <c r="X475" s="84"/>
      <c r="Y475" s="84"/>
      <c r="Z475" s="84"/>
      <c r="AA475" s="84"/>
      <c r="AB475" s="84"/>
      <c r="AC475" s="84"/>
    </row>
    <row r="476" ht="15.75" customHeight="1">
      <c r="A476" s="14" t="s">
        <v>120</v>
      </c>
      <c r="B476" s="14">
        <v>2012.0</v>
      </c>
      <c r="C476" s="14" t="s">
        <v>24484</v>
      </c>
      <c r="D476" s="14" t="s">
        <v>24485</v>
      </c>
      <c r="E476" s="150" t="str">
        <f t="shared" si="2"/>
        <v>http://dx.doi.org/10.1109/VAST.2012.6400536</v>
      </c>
      <c r="F476" s="14">
        <v>235.0</v>
      </c>
      <c r="G476" s="14">
        <v>236.0</v>
      </c>
      <c r="H476" s="159" t="s">
        <v>30659</v>
      </c>
      <c r="I476" s="14" t="s">
        <v>21</v>
      </c>
      <c r="J476" s="14" t="s">
        <v>24486</v>
      </c>
      <c r="K476" s="14" t="s">
        <v>30773</v>
      </c>
      <c r="L476" s="152" t="s">
        <v>25680</v>
      </c>
      <c r="M476" s="14" t="s">
        <v>178</v>
      </c>
      <c r="N476" s="54" t="s">
        <v>30773</v>
      </c>
      <c r="O476" s="130"/>
      <c r="P476" s="16"/>
      <c r="Q476" s="14">
        <v>6400536.0</v>
      </c>
      <c r="R476" s="95"/>
      <c r="S476" s="154"/>
      <c r="T476" s="84"/>
      <c r="U476" s="84"/>
      <c r="V476" s="84"/>
      <c r="W476" s="84"/>
      <c r="X476" s="84"/>
      <c r="Y476" s="84"/>
      <c r="Z476" s="84"/>
      <c r="AA476" s="84"/>
      <c r="AB476" s="84"/>
      <c r="AC476" s="84"/>
    </row>
    <row r="477" ht="15.75" customHeight="1">
      <c r="A477" s="14" t="s">
        <v>120</v>
      </c>
      <c r="B477" s="14">
        <v>2012.0</v>
      </c>
      <c r="C477" s="14" t="s">
        <v>24347</v>
      </c>
      <c r="D477" s="14" t="s">
        <v>24348</v>
      </c>
      <c r="E477" s="150" t="str">
        <f t="shared" si="2"/>
        <v>http://dx.doi.org/10.1109/TVCG.2012.273</v>
      </c>
      <c r="F477" s="14">
        <v>2908.0</v>
      </c>
      <c r="G477" s="14">
        <v>2916.0</v>
      </c>
      <c r="H477" s="151"/>
      <c r="I477" s="14" t="s">
        <v>17059</v>
      </c>
      <c r="J477" s="14" t="s">
        <v>24349</v>
      </c>
      <c r="K477" s="14" t="s">
        <v>30774</v>
      </c>
      <c r="L477" s="152" t="s">
        <v>27779</v>
      </c>
      <c r="M477" s="14" t="s">
        <v>30775</v>
      </c>
      <c r="N477" s="54" t="s">
        <v>30774</v>
      </c>
      <c r="O477" s="130" t="s">
        <v>24352</v>
      </c>
      <c r="P477" s="153" t="s">
        <v>24353</v>
      </c>
      <c r="Q477" s="14">
        <v>6327297.0</v>
      </c>
      <c r="R477" s="95"/>
      <c r="S477" s="154" t="s">
        <v>30776</v>
      </c>
      <c r="T477" s="84"/>
      <c r="U477" s="84"/>
      <c r="V477" s="84"/>
      <c r="W477" s="84"/>
      <c r="X477" s="84"/>
      <c r="Y477" s="84"/>
      <c r="Z477" s="84"/>
      <c r="AA477" s="84"/>
      <c r="AB477" s="84"/>
      <c r="AC477" s="84"/>
    </row>
    <row r="478" ht="15.75" customHeight="1">
      <c r="A478" s="14" t="s">
        <v>120</v>
      </c>
      <c r="B478" s="14">
        <v>2012.0</v>
      </c>
      <c r="C478" s="14" t="s">
        <v>24539</v>
      </c>
      <c r="D478" s="14" t="s">
        <v>24540</v>
      </c>
      <c r="E478" s="150" t="str">
        <f t="shared" si="2"/>
        <v>http://dx.doi.org/10.1109/VAST.2012.6400546</v>
      </c>
      <c r="F478" s="14">
        <v>215.0</v>
      </c>
      <c r="G478" s="14">
        <v>216.0</v>
      </c>
      <c r="H478" s="159" t="s">
        <v>30659</v>
      </c>
      <c r="I478" s="14" t="s">
        <v>21</v>
      </c>
      <c r="J478" s="14" t="s">
        <v>24542</v>
      </c>
      <c r="K478" s="14" t="s">
        <v>30777</v>
      </c>
      <c r="L478" s="152" t="s">
        <v>27854</v>
      </c>
      <c r="M478" s="14" t="s">
        <v>880</v>
      </c>
      <c r="N478" s="54" t="s">
        <v>30777</v>
      </c>
      <c r="O478" s="130"/>
      <c r="P478" s="16"/>
      <c r="Q478" s="14">
        <v>6400546.0</v>
      </c>
      <c r="R478" s="95"/>
      <c r="S478" s="154"/>
      <c r="T478" s="84"/>
      <c r="U478" s="84"/>
      <c r="V478" s="84"/>
      <c r="W478" s="84"/>
      <c r="X478" s="84"/>
      <c r="Y478" s="84"/>
      <c r="Z478" s="84"/>
      <c r="AA478" s="84"/>
      <c r="AB478" s="84"/>
      <c r="AC478" s="84"/>
    </row>
    <row r="479" ht="15.75" customHeight="1">
      <c r="A479" s="14" t="s">
        <v>120</v>
      </c>
      <c r="B479" s="14">
        <v>2012.0</v>
      </c>
      <c r="C479" s="14" t="s">
        <v>24523</v>
      </c>
      <c r="D479" s="14" t="s">
        <v>24524</v>
      </c>
      <c r="E479" s="150" t="str">
        <f t="shared" si="2"/>
        <v>http://dx.doi.org/10.1109/VAST.2012.6400543</v>
      </c>
      <c r="F479" s="14">
        <v>221.0</v>
      </c>
      <c r="G479" s="14">
        <v>222.0</v>
      </c>
      <c r="H479" s="159" t="s">
        <v>30659</v>
      </c>
      <c r="I479" s="14" t="s">
        <v>21</v>
      </c>
      <c r="J479" s="14" t="s">
        <v>30778</v>
      </c>
      <c r="K479" s="14" t="s">
        <v>30779</v>
      </c>
      <c r="L479" s="152" t="s">
        <v>27849</v>
      </c>
      <c r="M479" s="14" t="s">
        <v>178</v>
      </c>
      <c r="N479" s="54" t="s">
        <v>30779</v>
      </c>
      <c r="O479" s="130"/>
      <c r="P479" s="16"/>
      <c r="Q479" s="14">
        <v>6400543.0</v>
      </c>
      <c r="R479" s="95"/>
      <c r="S479" s="154"/>
      <c r="T479" s="84"/>
      <c r="U479" s="84"/>
      <c r="V479" s="84"/>
      <c r="W479" s="84"/>
      <c r="X479" s="84"/>
      <c r="Y479" s="84"/>
      <c r="Z479" s="84"/>
      <c r="AA479" s="84"/>
      <c r="AB479" s="84"/>
      <c r="AC479" s="84"/>
    </row>
    <row r="480" ht="15.75" customHeight="1">
      <c r="A480" s="14" t="s">
        <v>120</v>
      </c>
      <c r="B480" s="14">
        <v>2012.0</v>
      </c>
      <c r="C480" s="14" t="s">
        <v>24496</v>
      </c>
      <c r="D480" s="14" t="s">
        <v>24497</v>
      </c>
      <c r="E480" s="150" t="str">
        <f t="shared" si="2"/>
        <v>http://dx.doi.org/10.1109/VAST.2012.6400538</v>
      </c>
      <c r="F480" s="14">
        <v>231.0</v>
      </c>
      <c r="G480" s="14">
        <v>232.0</v>
      </c>
      <c r="H480" s="159" t="s">
        <v>30659</v>
      </c>
      <c r="I480" s="14" t="s">
        <v>21</v>
      </c>
      <c r="J480" s="14" t="s">
        <v>24498</v>
      </c>
      <c r="K480" s="14" t="s">
        <v>30780</v>
      </c>
      <c r="L480" s="152" t="s">
        <v>26087</v>
      </c>
      <c r="M480" s="14" t="s">
        <v>178</v>
      </c>
      <c r="N480" s="54" t="s">
        <v>30780</v>
      </c>
      <c r="O480" s="130"/>
      <c r="P480" s="16"/>
      <c r="Q480" s="14">
        <v>6400538.0</v>
      </c>
      <c r="R480" s="95"/>
      <c r="S480" s="154"/>
      <c r="T480" s="84"/>
      <c r="U480" s="84"/>
      <c r="V480" s="84"/>
      <c r="W480" s="84"/>
      <c r="X480" s="84"/>
      <c r="Y480" s="84"/>
      <c r="Z480" s="84"/>
      <c r="AA480" s="84"/>
      <c r="AB480" s="84"/>
      <c r="AC480" s="84"/>
    </row>
    <row r="481" ht="15.75" customHeight="1">
      <c r="A481" s="14" t="s">
        <v>120</v>
      </c>
      <c r="B481" s="14">
        <v>2012.0</v>
      </c>
      <c r="C481" s="14" t="s">
        <v>24454</v>
      </c>
      <c r="D481" s="14" t="s">
        <v>24455</v>
      </c>
      <c r="E481" s="150" t="str">
        <f t="shared" si="2"/>
        <v>http://dx.doi.org/10.1109/VAST.2012.6400531</v>
      </c>
      <c r="F481" s="14">
        <v>245.0</v>
      </c>
      <c r="G481" s="14">
        <v>246.0</v>
      </c>
      <c r="H481" s="159" t="s">
        <v>30659</v>
      </c>
      <c r="I481" s="14" t="s">
        <v>21</v>
      </c>
      <c r="J481" s="14" t="s">
        <v>24457</v>
      </c>
      <c r="K481" s="14" t="s">
        <v>24459</v>
      </c>
      <c r="L481" s="152" t="s">
        <v>27829</v>
      </c>
      <c r="M481" s="14" t="s">
        <v>5349</v>
      </c>
      <c r="N481" s="54" t="s">
        <v>24459</v>
      </c>
      <c r="O481" s="130"/>
      <c r="P481" s="16"/>
      <c r="Q481" s="14">
        <v>6400531.0</v>
      </c>
      <c r="R481" s="95"/>
      <c r="S481" s="154"/>
      <c r="T481" s="84"/>
      <c r="U481" s="84"/>
      <c r="V481" s="84"/>
      <c r="W481" s="84"/>
      <c r="X481" s="84"/>
      <c r="Y481" s="84"/>
      <c r="Z481" s="84"/>
      <c r="AA481" s="84"/>
      <c r="AB481" s="84"/>
      <c r="AC481" s="84"/>
    </row>
    <row r="482" ht="15.75" customHeight="1">
      <c r="A482" s="14" t="s">
        <v>120</v>
      </c>
      <c r="B482" s="14">
        <v>2012.0</v>
      </c>
      <c r="C482" s="14" t="s">
        <v>24596</v>
      </c>
      <c r="D482" s="14" t="s">
        <v>24597</v>
      </c>
      <c r="E482" s="150" t="str">
        <f t="shared" si="2"/>
        <v>http://dx.doi.org/10.1109/VAST.2012.6400554</v>
      </c>
      <c r="F482" s="14">
        <v>173.0</v>
      </c>
      <c r="G482" s="14">
        <v>182.0</v>
      </c>
      <c r="H482" s="151"/>
      <c r="I482" s="14" t="s">
        <v>28</v>
      </c>
      <c r="J482" s="14" t="s">
        <v>24598</v>
      </c>
      <c r="K482" s="14" t="s">
        <v>30781</v>
      </c>
      <c r="L482" s="152" t="s">
        <v>27955</v>
      </c>
      <c r="M482" s="14" t="s">
        <v>13886</v>
      </c>
      <c r="N482" s="54" t="s">
        <v>30782</v>
      </c>
      <c r="O482" s="130" t="s">
        <v>24602</v>
      </c>
      <c r="P482" s="16"/>
      <c r="Q482" s="14">
        <v>6400554.0</v>
      </c>
      <c r="R482" s="95"/>
      <c r="S482" s="154" t="s">
        <v>30783</v>
      </c>
      <c r="T482" s="84"/>
      <c r="U482" s="84"/>
      <c r="V482" s="84"/>
      <c r="W482" s="84"/>
      <c r="X482" s="84"/>
      <c r="Y482" s="84"/>
      <c r="Z482" s="84"/>
      <c r="AA482" s="84"/>
      <c r="AB482" s="84"/>
      <c r="AC482" s="84"/>
    </row>
    <row r="483" ht="15.75" customHeight="1">
      <c r="A483" s="14" t="s">
        <v>120</v>
      </c>
      <c r="B483" s="14">
        <v>2012.0</v>
      </c>
      <c r="C483" s="14" t="s">
        <v>24354</v>
      </c>
      <c r="D483" s="14" t="s">
        <v>24355</v>
      </c>
      <c r="E483" s="150" t="str">
        <f t="shared" si="2"/>
        <v>http://dx.doi.org/10.1109/TVCG.2012.276</v>
      </c>
      <c r="F483" s="14">
        <v>2889.0</v>
      </c>
      <c r="G483" s="14">
        <v>2898.0</v>
      </c>
      <c r="H483" s="151"/>
      <c r="I483" s="14" t="s">
        <v>17059</v>
      </c>
      <c r="J483" s="14" t="s">
        <v>24356</v>
      </c>
      <c r="K483" s="14" t="s">
        <v>30784</v>
      </c>
      <c r="L483" s="152" t="s">
        <v>5349</v>
      </c>
      <c r="M483" s="14" t="s">
        <v>30785</v>
      </c>
      <c r="N483" s="54" t="s">
        <v>30784</v>
      </c>
      <c r="O483" s="130" t="s">
        <v>24361</v>
      </c>
      <c r="P483" s="153" t="s">
        <v>24362</v>
      </c>
      <c r="Q483" s="14">
        <v>6327295.0</v>
      </c>
      <c r="R483" s="95"/>
      <c r="S483" s="154" t="s">
        <v>30786</v>
      </c>
      <c r="T483" s="84"/>
      <c r="U483" s="84"/>
      <c r="V483" s="84"/>
      <c r="W483" s="84"/>
      <c r="X483" s="84"/>
      <c r="Y483" s="84"/>
      <c r="Z483" s="84"/>
      <c r="AA483" s="84"/>
      <c r="AB483" s="84"/>
      <c r="AC483" s="84"/>
    </row>
    <row r="484" ht="15.75" customHeight="1">
      <c r="A484" s="14" t="s">
        <v>120</v>
      </c>
      <c r="B484" s="14">
        <v>2012.0</v>
      </c>
      <c r="C484" s="14" t="s">
        <v>24588</v>
      </c>
      <c r="D484" s="14" t="s">
        <v>24589</v>
      </c>
      <c r="E484" s="150" t="str">
        <f t="shared" si="2"/>
        <v>http://dx.doi.org/10.1109/VAST.2012.6400553</v>
      </c>
      <c r="F484" s="14">
        <v>183.0</v>
      </c>
      <c r="G484" s="14">
        <v>192.0</v>
      </c>
      <c r="H484" s="151"/>
      <c r="I484" s="14" t="s">
        <v>28</v>
      </c>
      <c r="J484" s="14" t="s">
        <v>24591</v>
      </c>
      <c r="K484" s="14" t="s">
        <v>30787</v>
      </c>
      <c r="L484" s="152" t="s">
        <v>27944</v>
      </c>
      <c r="M484" s="14" t="s">
        <v>880</v>
      </c>
      <c r="N484" s="54" t="s">
        <v>30787</v>
      </c>
      <c r="O484" s="130" t="s">
        <v>24595</v>
      </c>
      <c r="P484" s="16"/>
      <c r="Q484" s="14">
        <v>6400553.0</v>
      </c>
      <c r="R484" s="95"/>
      <c r="S484" s="154" t="s">
        <v>30788</v>
      </c>
      <c r="T484" s="84"/>
      <c r="U484" s="84"/>
      <c r="V484" s="84"/>
      <c r="W484" s="84"/>
      <c r="X484" s="84"/>
      <c r="Y484" s="84"/>
      <c r="Z484" s="84"/>
      <c r="AA484" s="84"/>
      <c r="AB484" s="84"/>
      <c r="AC484" s="84"/>
    </row>
    <row r="485" ht="15.75" customHeight="1">
      <c r="A485" s="14" t="s">
        <v>120</v>
      </c>
      <c r="B485" s="14">
        <v>2012.0</v>
      </c>
      <c r="C485" s="14" t="s">
        <v>24363</v>
      </c>
      <c r="D485" s="14" t="s">
        <v>24364</v>
      </c>
      <c r="E485" s="150" t="str">
        <f t="shared" si="2"/>
        <v>http://dx.doi.org/10.1109/TVCG.2012.277</v>
      </c>
      <c r="F485" s="14">
        <v>2839.0</v>
      </c>
      <c r="G485" s="14">
        <v>2848.0</v>
      </c>
      <c r="H485" s="151"/>
      <c r="I485" s="14" t="s">
        <v>17059</v>
      </c>
      <c r="J485" s="14" t="s">
        <v>24366</v>
      </c>
      <c r="K485" s="14" t="s">
        <v>30789</v>
      </c>
      <c r="L485" s="152" t="s">
        <v>27786</v>
      </c>
      <c r="M485" s="14" t="s">
        <v>30790</v>
      </c>
      <c r="N485" s="54" t="s">
        <v>30789</v>
      </c>
      <c r="O485" s="130" t="s">
        <v>24369</v>
      </c>
      <c r="P485" s="153" t="s">
        <v>24370</v>
      </c>
      <c r="Q485" s="14">
        <v>6327290.0</v>
      </c>
      <c r="R485" s="95"/>
      <c r="S485" s="154" t="s">
        <v>30791</v>
      </c>
      <c r="T485" s="84"/>
      <c r="U485" s="84"/>
      <c r="V485" s="84"/>
      <c r="W485" s="84"/>
      <c r="X485" s="84"/>
      <c r="Y485" s="84"/>
      <c r="Z485" s="84"/>
      <c r="AA485" s="84"/>
      <c r="AB485" s="84"/>
      <c r="AC485" s="84"/>
    </row>
    <row r="486" ht="15.75" customHeight="1">
      <c r="A486" s="14" t="s">
        <v>120</v>
      </c>
      <c r="B486" s="14">
        <v>2012.0</v>
      </c>
      <c r="C486" s="14" t="s">
        <v>24444</v>
      </c>
      <c r="D486" s="14" t="s">
        <v>24445</v>
      </c>
      <c r="E486" s="150" t="str">
        <f t="shared" si="2"/>
        <v>http://dx.doi.org/10.1109/VAST.2012.6400494</v>
      </c>
      <c r="F486" s="14">
        <v>3.0</v>
      </c>
      <c r="G486" s="14">
        <v>12.0</v>
      </c>
      <c r="H486" s="151"/>
      <c r="I486" s="14" t="s">
        <v>28</v>
      </c>
      <c r="J486" s="14" t="s">
        <v>24446</v>
      </c>
      <c r="K486" s="14" t="s">
        <v>30792</v>
      </c>
      <c r="L486" s="152" t="s">
        <v>5349</v>
      </c>
      <c r="M486" s="14" t="s">
        <v>5349</v>
      </c>
      <c r="N486" s="54" t="s">
        <v>30792</v>
      </c>
      <c r="O486" s="130" t="s">
        <v>24449</v>
      </c>
      <c r="P486" s="16"/>
      <c r="Q486" s="14">
        <v>6400494.0</v>
      </c>
      <c r="R486" s="95"/>
      <c r="S486" s="154" t="s">
        <v>30793</v>
      </c>
      <c r="T486" s="84"/>
      <c r="U486" s="84"/>
      <c r="V486" s="84"/>
      <c r="W486" s="84"/>
      <c r="X486" s="84"/>
      <c r="Y486" s="84"/>
      <c r="Z486" s="84"/>
      <c r="AA486" s="84"/>
      <c r="AB486" s="84"/>
      <c r="AC486" s="84"/>
    </row>
    <row r="487" ht="15.75" customHeight="1">
      <c r="A487" s="14" t="s">
        <v>120</v>
      </c>
      <c r="B487" s="14">
        <v>2012.0</v>
      </c>
      <c r="C487" s="14" t="s">
        <v>24472</v>
      </c>
      <c r="D487" s="14" t="s">
        <v>24473</v>
      </c>
      <c r="E487" s="150" t="str">
        <f t="shared" si="2"/>
        <v>http://dx.doi.org/10.1109/VAST.2012.6400534</v>
      </c>
      <c r="F487" s="14">
        <v>239.0</v>
      </c>
      <c r="G487" s="14">
        <v>240.0</v>
      </c>
      <c r="H487" s="159" t="s">
        <v>30659</v>
      </c>
      <c r="I487" s="14" t="s">
        <v>21</v>
      </c>
      <c r="J487" s="14" t="s">
        <v>24475</v>
      </c>
      <c r="K487" s="14" t="s">
        <v>30794</v>
      </c>
      <c r="L487" s="152" t="s">
        <v>23476</v>
      </c>
      <c r="M487" s="14" t="s">
        <v>1253</v>
      </c>
      <c r="N487" s="54" t="s">
        <v>30794</v>
      </c>
      <c r="O487" s="130"/>
      <c r="P487" s="16"/>
      <c r="Q487" s="14">
        <v>6400534.0</v>
      </c>
      <c r="R487" s="95"/>
      <c r="S487" s="154"/>
      <c r="T487" s="84"/>
      <c r="U487" s="84"/>
      <c r="V487" s="84"/>
      <c r="W487" s="84"/>
      <c r="X487" s="84"/>
      <c r="Y487" s="84"/>
      <c r="Z487" s="84"/>
      <c r="AA487" s="84"/>
      <c r="AB487" s="84"/>
      <c r="AC487" s="84"/>
    </row>
    <row r="488" ht="15.75" customHeight="1">
      <c r="A488" s="14" t="s">
        <v>120</v>
      </c>
      <c r="B488" s="14">
        <v>2012.0</v>
      </c>
      <c r="C488" s="14" t="s">
        <v>24416</v>
      </c>
      <c r="D488" s="14" t="s">
        <v>24417</v>
      </c>
      <c r="E488" s="150" t="str">
        <f t="shared" si="2"/>
        <v>http://dx.doi.org/10.1109/VAST.2012.6400490</v>
      </c>
      <c r="F488" s="14">
        <v>43.0</v>
      </c>
      <c r="G488" s="14">
        <v>52.0</v>
      </c>
      <c r="H488" s="151"/>
      <c r="I488" s="14" t="s">
        <v>28</v>
      </c>
      <c r="J488" s="14" t="s">
        <v>24418</v>
      </c>
      <c r="K488" s="14" t="s">
        <v>30795</v>
      </c>
      <c r="L488" s="152" t="s">
        <v>25331</v>
      </c>
      <c r="M488" s="14" t="s">
        <v>494</v>
      </c>
      <c r="N488" s="54" t="s">
        <v>30795</v>
      </c>
      <c r="O488" s="130" t="s">
        <v>24421</v>
      </c>
      <c r="P488" s="153" t="s">
        <v>24422</v>
      </c>
      <c r="Q488" s="14">
        <v>6400490.0</v>
      </c>
      <c r="R488" s="95"/>
      <c r="S488" s="154" t="s">
        <v>30796</v>
      </c>
      <c r="T488" s="84"/>
      <c r="U488" s="84"/>
      <c r="V488" s="84"/>
      <c r="W488" s="84"/>
      <c r="X488" s="84"/>
      <c r="Y488" s="84"/>
      <c r="Z488" s="84"/>
      <c r="AA488" s="84"/>
      <c r="AB488" s="84"/>
      <c r="AC488" s="84"/>
    </row>
    <row r="489" ht="15.75" customHeight="1">
      <c r="A489" s="14" t="s">
        <v>120</v>
      </c>
      <c r="B489" s="14">
        <v>2012.0</v>
      </c>
      <c r="C489" s="14" t="s">
        <v>24534</v>
      </c>
      <c r="D489" s="14" t="s">
        <v>24535</v>
      </c>
      <c r="E489" s="150" t="str">
        <f t="shared" si="2"/>
        <v>http://dx.doi.org/10.1109/VAST.2012.6400545</v>
      </c>
      <c r="F489" s="14">
        <v>217.0</v>
      </c>
      <c r="G489" s="14">
        <v>218.0</v>
      </c>
      <c r="H489" s="159" t="s">
        <v>30659</v>
      </c>
      <c r="I489" s="14" t="s">
        <v>21</v>
      </c>
      <c r="J489" s="14" t="s">
        <v>24536</v>
      </c>
      <c r="K489" s="14" t="s">
        <v>30803</v>
      </c>
      <c r="L489" s="152" t="s">
        <v>26087</v>
      </c>
      <c r="M489" s="14" t="s">
        <v>178</v>
      </c>
      <c r="N489" s="54" t="s">
        <v>30803</v>
      </c>
      <c r="O489" s="130"/>
      <c r="P489" s="16"/>
      <c r="Q489" s="14">
        <v>6400545.0</v>
      </c>
      <c r="R489" s="95"/>
      <c r="S489" s="154"/>
      <c r="T489" s="84"/>
      <c r="U489" s="84"/>
      <c r="V489" s="84"/>
      <c r="W489" s="84"/>
      <c r="X489" s="84"/>
      <c r="Y489" s="84"/>
      <c r="Z489" s="84"/>
      <c r="AA489" s="84"/>
      <c r="AB489" s="84"/>
      <c r="AC489" s="84"/>
    </row>
    <row r="490" ht="15.75" customHeight="1">
      <c r="A490" s="14" t="s">
        <v>120</v>
      </c>
      <c r="B490" s="14">
        <v>2012.0</v>
      </c>
      <c r="C490" s="14" t="s">
        <v>24500</v>
      </c>
      <c r="D490" s="14" t="s">
        <v>24501</v>
      </c>
      <c r="E490" s="150" t="str">
        <f t="shared" si="2"/>
        <v>http://dx.doi.org/10.1109/VAST.2012.6400539</v>
      </c>
      <c r="F490" s="14">
        <v>229.0</v>
      </c>
      <c r="G490" s="14">
        <v>230.0</v>
      </c>
      <c r="H490" s="159" t="s">
        <v>30659</v>
      </c>
      <c r="I490" s="14" t="s">
        <v>21</v>
      </c>
      <c r="J490" s="14" t="s">
        <v>24502</v>
      </c>
      <c r="K490" s="14" t="s">
        <v>30804</v>
      </c>
      <c r="L490" s="152" t="s">
        <v>5349</v>
      </c>
      <c r="M490" s="14" t="s">
        <v>5349</v>
      </c>
      <c r="N490" s="54" t="s">
        <v>30804</v>
      </c>
      <c r="O490" s="130"/>
      <c r="P490" s="16"/>
      <c r="Q490" s="14">
        <v>6400539.0</v>
      </c>
      <c r="R490" s="95"/>
      <c r="S490" s="154"/>
      <c r="T490" s="84"/>
      <c r="U490" s="84"/>
      <c r="V490" s="84"/>
      <c r="W490" s="84"/>
      <c r="X490" s="84"/>
      <c r="Y490" s="84"/>
      <c r="Z490" s="84"/>
      <c r="AA490" s="84"/>
      <c r="AB490" s="84"/>
      <c r="AC490" s="84"/>
    </row>
    <row r="491" ht="15.75" customHeight="1">
      <c r="A491" s="14" t="s">
        <v>120</v>
      </c>
      <c r="B491" s="14">
        <v>2012.0</v>
      </c>
      <c r="C491" s="14" t="s">
        <v>24579</v>
      </c>
      <c r="D491" s="14" t="s">
        <v>24580</v>
      </c>
      <c r="E491" s="150" t="str">
        <f t="shared" si="2"/>
        <v>http://dx.doi.org/10.1109/VAST.2012.6400552</v>
      </c>
      <c r="F491" s="14">
        <v>193.0</v>
      </c>
      <c r="G491" s="14">
        <v>202.0</v>
      </c>
      <c r="H491" s="151"/>
      <c r="I491" s="14" t="s">
        <v>28</v>
      </c>
      <c r="J491" s="14" t="s">
        <v>24581</v>
      </c>
      <c r="K491" s="14" t="s">
        <v>30808</v>
      </c>
      <c r="L491" s="152" t="s">
        <v>95</v>
      </c>
      <c r="M491" s="14" t="s">
        <v>494</v>
      </c>
      <c r="N491" s="54" t="s">
        <v>30808</v>
      </c>
      <c r="O491" s="130" t="s">
        <v>24584</v>
      </c>
      <c r="P491" s="153" t="s">
        <v>24585</v>
      </c>
      <c r="Q491" s="14">
        <v>6400552.0</v>
      </c>
      <c r="R491" s="95"/>
      <c r="S491" s="154" t="s">
        <v>30809</v>
      </c>
      <c r="T491" s="84"/>
      <c r="U491" s="84"/>
      <c r="V491" s="84"/>
      <c r="W491" s="84"/>
      <c r="X491" s="84"/>
      <c r="Y491" s="84"/>
      <c r="Z491" s="84"/>
      <c r="AA491" s="84"/>
      <c r="AB491" s="84"/>
      <c r="AC491" s="84"/>
    </row>
    <row r="492" ht="15.75" customHeight="1">
      <c r="A492" s="14" t="s">
        <v>17</v>
      </c>
      <c r="B492" s="14">
        <v>2012.0</v>
      </c>
      <c r="C492" s="14" t="s">
        <v>23969</v>
      </c>
      <c r="D492" s="14" t="s">
        <v>23970</v>
      </c>
      <c r="E492" s="150" t="str">
        <f t="shared" si="2"/>
        <v>http://dx.doi.org/10.1109/TVCG.2012.186</v>
      </c>
      <c r="F492" s="14">
        <v>2122.0</v>
      </c>
      <c r="G492" s="14">
        <v>2129.0</v>
      </c>
      <c r="H492" s="151"/>
      <c r="I492" s="14" t="s">
        <v>17059</v>
      </c>
      <c r="J492" s="14" t="s">
        <v>23971</v>
      </c>
      <c r="K492" s="14" t="s">
        <v>30810</v>
      </c>
      <c r="L492" s="152" t="s">
        <v>880</v>
      </c>
      <c r="M492" s="14" t="s">
        <v>30811</v>
      </c>
      <c r="N492" s="54" t="s">
        <v>30810</v>
      </c>
      <c r="O492" s="130" t="s">
        <v>23975</v>
      </c>
      <c r="P492" s="153" t="s">
        <v>23976</v>
      </c>
      <c r="Q492" s="14">
        <v>6327217.0</v>
      </c>
      <c r="R492" s="95"/>
      <c r="S492" s="154" t="s">
        <v>30814</v>
      </c>
      <c r="T492" s="84"/>
      <c r="U492" s="84"/>
      <c r="V492" s="84"/>
      <c r="W492" s="84"/>
      <c r="X492" s="84"/>
      <c r="Y492" s="84"/>
      <c r="Z492" s="84"/>
      <c r="AA492" s="84"/>
      <c r="AB492" s="84"/>
      <c r="AC492" s="84"/>
    </row>
    <row r="493" ht="15.75" customHeight="1">
      <c r="A493" s="14" t="s">
        <v>17</v>
      </c>
      <c r="B493" s="14">
        <v>2012.0</v>
      </c>
      <c r="C493" s="14" t="s">
        <v>23977</v>
      </c>
      <c r="D493" s="14" t="s">
        <v>23978</v>
      </c>
      <c r="E493" s="150" t="str">
        <f t="shared" si="2"/>
        <v>http://dx.doi.org/10.1109/TVCG.2012.187</v>
      </c>
      <c r="F493" s="14">
        <v>2078.0</v>
      </c>
      <c r="G493" s="14">
        <v>2087.0</v>
      </c>
      <c r="H493" s="151"/>
      <c r="I493" s="14" t="s">
        <v>17059</v>
      </c>
      <c r="J493" s="14" t="s">
        <v>23979</v>
      </c>
      <c r="K493" s="14" t="s">
        <v>30819</v>
      </c>
      <c r="L493" s="152" t="s">
        <v>494</v>
      </c>
      <c r="M493" s="14" t="s">
        <v>30820</v>
      </c>
      <c r="N493" s="54" t="s">
        <v>30819</v>
      </c>
      <c r="O493" s="130" t="s">
        <v>23983</v>
      </c>
      <c r="P493" s="153" t="s">
        <v>23984</v>
      </c>
      <c r="Q493" s="14">
        <v>6327212.0</v>
      </c>
      <c r="R493" s="95"/>
      <c r="S493" s="154" t="s">
        <v>30821</v>
      </c>
      <c r="T493" s="84"/>
      <c r="U493" s="84"/>
      <c r="V493" s="84"/>
      <c r="W493" s="84"/>
      <c r="X493" s="84"/>
      <c r="Y493" s="84"/>
      <c r="Z493" s="84"/>
      <c r="AA493" s="84"/>
      <c r="AB493" s="84"/>
      <c r="AC493" s="84"/>
    </row>
    <row r="494" ht="15.75" customHeight="1">
      <c r="A494" s="14" t="s">
        <v>17</v>
      </c>
      <c r="B494" s="14">
        <v>2012.0</v>
      </c>
      <c r="C494" s="14" t="s">
        <v>23985</v>
      </c>
      <c r="D494" s="14" t="s">
        <v>23986</v>
      </c>
      <c r="E494" s="150" t="str">
        <f t="shared" si="2"/>
        <v>http://dx.doi.org/10.1109/TVCG.2012.188</v>
      </c>
      <c r="F494" s="14">
        <v>2265.0</v>
      </c>
      <c r="G494" s="14">
        <v>2274.0</v>
      </c>
      <c r="H494" s="151"/>
      <c r="I494" s="14" t="s">
        <v>17059</v>
      </c>
      <c r="J494" s="14" t="s">
        <v>23987</v>
      </c>
      <c r="K494" s="14" t="s">
        <v>30825</v>
      </c>
      <c r="L494" s="152" t="s">
        <v>27012</v>
      </c>
      <c r="M494" s="14" t="s">
        <v>30826</v>
      </c>
      <c r="N494" s="54" t="s">
        <v>30825</v>
      </c>
      <c r="O494" s="130" t="s">
        <v>23127</v>
      </c>
      <c r="P494" s="153" t="s">
        <v>23991</v>
      </c>
      <c r="Q494" s="14">
        <v>6327231.0</v>
      </c>
      <c r="R494" s="95"/>
      <c r="S494" s="154">
        <v>6064955.0</v>
      </c>
      <c r="T494" s="84"/>
      <c r="U494" s="84"/>
      <c r="V494" s="84"/>
      <c r="W494" s="84"/>
      <c r="X494" s="84"/>
      <c r="Y494" s="84"/>
      <c r="Z494" s="84"/>
      <c r="AA494" s="84"/>
      <c r="AB494" s="84"/>
      <c r="AC494" s="84"/>
    </row>
    <row r="495" ht="15.75" customHeight="1">
      <c r="A495" s="14" t="s">
        <v>17</v>
      </c>
      <c r="B495" s="14">
        <v>2012.0</v>
      </c>
      <c r="C495" s="14" t="s">
        <v>23992</v>
      </c>
      <c r="D495" s="14" t="s">
        <v>23993</v>
      </c>
      <c r="E495" s="150" t="str">
        <f t="shared" si="2"/>
        <v>http://dx.doi.org/10.1109/TVCG.2012.190</v>
      </c>
      <c r="F495" s="14">
        <v>2216.0</v>
      </c>
      <c r="G495" s="14">
        <v>2225.0</v>
      </c>
      <c r="H495" s="151"/>
      <c r="I495" s="14" t="s">
        <v>17059</v>
      </c>
      <c r="J495" s="14" t="s">
        <v>23994</v>
      </c>
      <c r="K495" s="14" t="s">
        <v>30827</v>
      </c>
      <c r="L495" s="152" t="s">
        <v>27016</v>
      </c>
      <c r="M495" s="14" t="s">
        <v>30828</v>
      </c>
      <c r="N495" s="54" t="s">
        <v>30827</v>
      </c>
      <c r="O495" s="130" t="s">
        <v>23997</v>
      </c>
      <c r="P495" s="153" t="s">
        <v>23998</v>
      </c>
      <c r="Q495" s="14">
        <v>6327226.0</v>
      </c>
      <c r="R495" s="95"/>
      <c r="S495" s="154" t="s">
        <v>30829</v>
      </c>
      <c r="T495" s="84"/>
      <c r="U495" s="84"/>
      <c r="V495" s="84"/>
      <c r="W495" s="84"/>
      <c r="X495" s="84"/>
      <c r="Y495" s="84"/>
      <c r="Z495" s="84"/>
      <c r="AA495" s="84"/>
      <c r="AB495" s="84"/>
      <c r="AC495" s="84"/>
    </row>
    <row r="496" ht="15.75" customHeight="1">
      <c r="A496" s="14" t="s">
        <v>17</v>
      </c>
      <c r="B496" s="14">
        <v>2012.0</v>
      </c>
      <c r="C496" s="14" t="s">
        <v>23999</v>
      </c>
      <c r="D496" s="14" t="s">
        <v>24000</v>
      </c>
      <c r="E496" s="150" t="str">
        <f t="shared" si="2"/>
        <v>http://dx.doi.org/10.1109/TVCG.2012.194</v>
      </c>
      <c r="F496" s="14">
        <v>2295.0</v>
      </c>
      <c r="G496" s="14">
        <v>2304.0</v>
      </c>
      <c r="H496" s="151"/>
      <c r="I496" s="14" t="s">
        <v>17059</v>
      </c>
      <c r="J496" s="14" t="s">
        <v>24001</v>
      </c>
      <c r="K496" s="14" t="s">
        <v>30837</v>
      </c>
      <c r="L496" s="152" t="s">
        <v>27026</v>
      </c>
      <c r="M496" s="14" t="s">
        <v>30839</v>
      </c>
      <c r="N496" s="54" t="s">
        <v>30837</v>
      </c>
      <c r="O496" s="130" t="s">
        <v>24002</v>
      </c>
      <c r="P496" s="153" t="s">
        <v>24003</v>
      </c>
      <c r="Q496" s="14">
        <v>6327234.0</v>
      </c>
      <c r="R496" s="95"/>
      <c r="S496" s="154" t="s">
        <v>30841</v>
      </c>
      <c r="T496" s="84"/>
      <c r="U496" s="84"/>
      <c r="V496" s="84"/>
      <c r="W496" s="84"/>
      <c r="X496" s="84"/>
      <c r="Y496" s="84"/>
      <c r="Z496" s="84"/>
      <c r="AA496" s="84"/>
      <c r="AB496" s="84"/>
      <c r="AC496" s="84"/>
    </row>
    <row r="497" ht="15.75" customHeight="1">
      <c r="A497" s="14" t="s">
        <v>17</v>
      </c>
      <c r="B497" s="14">
        <v>2012.0</v>
      </c>
      <c r="C497" s="14" t="s">
        <v>24004</v>
      </c>
      <c r="D497" s="14" t="s">
        <v>24005</v>
      </c>
      <c r="E497" s="150" t="str">
        <f t="shared" si="2"/>
        <v>http://dx.doi.org/10.1109/TVCG.2012.198</v>
      </c>
      <c r="F497" s="14">
        <v>2140.0</v>
      </c>
      <c r="G497" s="14">
        <v>2148.0</v>
      </c>
      <c r="H497" s="151"/>
      <c r="I497" s="14" t="s">
        <v>17059</v>
      </c>
      <c r="J497" s="14" t="s">
        <v>24006</v>
      </c>
      <c r="K497" s="14" t="s">
        <v>30842</v>
      </c>
      <c r="L497" s="152" t="s">
        <v>27035</v>
      </c>
      <c r="M497" s="14" t="s">
        <v>30843</v>
      </c>
      <c r="N497" s="54" t="s">
        <v>30842</v>
      </c>
      <c r="O497" s="130" t="s">
        <v>5162</v>
      </c>
      <c r="P497" s="153" t="s">
        <v>24009</v>
      </c>
      <c r="Q497" s="14">
        <v>6327219.0</v>
      </c>
      <c r="R497" s="95"/>
      <c r="S497" s="154">
        <v>809896.0</v>
      </c>
      <c r="T497" s="84"/>
      <c r="U497" s="84"/>
      <c r="V497" s="84"/>
      <c r="W497" s="84"/>
      <c r="X497" s="84"/>
      <c r="Y497" s="84"/>
      <c r="Z497" s="84"/>
      <c r="AA497" s="84"/>
      <c r="AB497" s="84"/>
      <c r="AC497" s="84"/>
    </row>
    <row r="498" ht="15.75" customHeight="1">
      <c r="A498" s="14" t="s">
        <v>17</v>
      </c>
      <c r="B498" s="14">
        <v>2012.0</v>
      </c>
      <c r="C498" s="14" t="s">
        <v>24010</v>
      </c>
      <c r="D498" s="14" t="s">
        <v>24011</v>
      </c>
      <c r="E498" s="150" t="str">
        <f t="shared" si="2"/>
        <v>http://dx.doi.org/10.1109/TVCG.2012.200</v>
      </c>
      <c r="F498" s="14">
        <v>2041.0</v>
      </c>
      <c r="G498" s="14">
        <v>2050.0</v>
      </c>
      <c r="H498" s="151"/>
      <c r="I498" s="14" t="s">
        <v>17059</v>
      </c>
      <c r="J498" s="14" t="s">
        <v>27039</v>
      </c>
      <c r="K498" s="14" t="s">
        <v>30844</v>
      </c>
      <c r="L498" s="152" t="s">
        <v>27040</v>
      </c>
      <c r="M498" s="14" t="s">
        <v>30845</v>
      </c>
      <c r="N498" s="54" t="s">
        <v>30844</v>
      </c>
      <c r="O498" s="130" t="s">
        <v>24016</v>
      </c>
      <c r="P498" s="153" t="s">
        <v>24017</v>
      </c>
      <c r="Q498" s="14">
        <v>6327208.0</v>
      </c>
      <c r="R498" s="95"/>
      <c r="S498" s="154" t="s">
        <v>30847</v>
      </c>
      <c r="T498" s="84"/>
      <c r="U498" s="84"/>
      <c r="V498" s="84"/>
      <c r="W498" s="84"/>
      <c r="X498" s="84"/>
      <c r="Y498" s="84"/>
      <c r="Z498" s="84"/>
      <c r="AA498" s="84"/>
      <c r="AB498" s="84"/>
      <c r="AC498" s="84"/>
    </row>
    <row r="499" ht="15.75" customHeight="1">
      <c r="A499" s="14" t="s">
        <v>17</v>
      </c>
      <c r="B499" s="14">
        <v>2012.0</v>
      </c>
      <c r="C499" s="14" t="s">
        <v>24018</v>
      </c>
      <c r="D499" s="14" t="s">
        <v>24019</v>
      </c>
      <c r="E499" s="150" t="str">
        <f t="shared" si="2"/>
        <v>http://dx.doi.org/10.1109/TVCG.2012.202</v>
      </c>
      <c r="F499" s="14">
        <v>2178.0</v>
      </c>
      <c r="G499" s="14">
        <v>2187.0</v>
      </c>
      <c r="H499" s="151"/>
      <c r="I499" s="14" t="s">
        <v>17059</v>
      </c>
      <c r="J499" s="14" t="s">
        <v>24020</v>
      </c>
      <c r="K499" s="14" t="s">
        <v>30848</v>
      </c>
      <c r="L499" s="152" t="s">
        <v>27050</v>
      </c>
      <c r="M499" s="14" t="s">
        <v>30849</v>
      </c>
      <c r="N499" s="54" t="s">
        <v>30848</v>
      </c>
      <c r="O499" s="130" t="s">
        <v>24023</v>
      </c>
      <c r="P499" s="153" t="s">
        <v>24024</v>
      </c>
      <c r="Q499" s="14">
        <v>6327222.0</v>
      </c>
      <c r="R499" s="95"/>
      <c r="S499" s="154" t="s">
        <v>30850</v>
      </c>
      <c r="T499" s="84"/>
      <c r="U499" s="84"/>
      <c r="V499" s="84"/>
      <c r="W499" s="84"/>
      <c r="X499" s="84"/>
      <c r="Y499" s="84"/>
      <c r="Z499" s="84"/>
      <c r="AA499" s="84"/>
      <c r="AB499" s="84"/>
      <c r="AC499" s="84"/>
    </row>
    <row r="500" ht="15.75" customHeight="1">
      <c r="A500" s="14" t="s">
        <v>17</v>
      </c>
      <c r="B500" s="14">
        <v>2012.0</v>
      </c>
      <c r="C500" s="14" t="s">
        <v>24025</v>
      </c>
      <c r="D500" s="14" t="s">
        <v>24026</v>
      </c>
      <c r="E500" s="150" t="str">
        <f t="shared" si="2"/>
        <v>http://dx.doi.org/10.1109/TVCG.2012.203</v>
      </c>
      <c r="F500" s="14">
        <v>2345.0</v>
      </c>
      <c r="G500" s="14">
        <v>2354.0</v>
      </c>
      <c r="H500" s="151"/>
      <c r="I500" s="14" t="s">
        <v>17059</v>
      </c>
      <c r="J500" s="14" t="s">
        <v>24027</v>
      </c>
      <c r="K500" s="14" t="s">
        <v>30851</v>
      </c>
      <c r="L500" s="152" t="s">
        <v>27060</v>
      </c>
      <c r="M500" s="14" t="s">
        <v>30852</v>
      </c>
      <c r="N500" s="54" t="s">
        <v>30851</v>
      </c>
      <c r="O500" s="130" t="s">
        <v>24030</v>
      </c>
      <c r="P500" s="153" t="s">
        <v>24031</v>
      </c>
      <c r="Q500" s="14">
        <v>6327239.0</v>
      </c>
      <c r="R500" s="95"/>
      <c r="S500" s="154" t="s">
        <v>30853</v>
      </c>
      <c r="T500" s="84"/>
      <c r="U500" s="84"/>
      <c r="V500" s="84"/>
      <c r="W500" s="84"/>
      <c r="X500" s="84"/>
      <c r="Y500" s="84"/>
      <c r="Z500" s="84"/>
      <c r="AA500" s="84"/>
      <c r="AB500" s="84"/>
      <c r="AC500" s="84"/>
    </row>
    <row r="501" ht="15.75" customHeight="1">
      <c r="A501" s="14" t="s">
        <v>17</v>
      </c>
      <c r="B501" s="14">
        <v>2012.0</v>
      </c>
      <c r="C501" s="14" t="s">
        <v>24032</v>
      </c>
      <c r="D501" s="14" t="s">
        <v>24033</v>
      </c>
      <c r="E501" s="150" t="str">
        <f t="shared" si="2"/>
        <v>http://dx.doi.org/10.1109/TVCG.2012.206</v>
      </c>
      <c r="F501" s="14">
        <v>2315.0</v>
      </c>
      <c r="G501" s="14">
        <v>2324.0</v>
      </c>
      <c r="H501" s="151"/>
      <c r="I501" s="14" t="s">
        <v>17059</v>
      </c>
      <c r="J501" s="14" t="s">
        <v>24034</v>
      </c>
      <c r="K501" s="14" t="s">
        <v>30854</v>
      </c>
      <c r="L501" s="152" t="s">
        <v>27099</v>
      </c>
      <c r="M501" s="14" t="s">
        <v>30855</v>
      </c>
      <c r="N501" s="54" t="s">
        <v>30854</v>
      </c>
      <c r="O501" s="130" t="s">
        <v>24037</v>
      </c>
      <c r="P501" s="153" t="s">
        <v>24038</v>
      </c>
      <c r="Q501" s="14">
        <v>6327236.0</v>
      </c>
      <c r="R501" s="95"/>
      <c r="S501" s="154" t="s">
        <v>30856</v>
      </c>
      <c r="T501" s="84"/>
      <c r="U501" s="84"/>
      <c r="V501" s="84"/>
      <c r="W501" s="84"/>
      <c r="X501" s="84"/>
      <c r="Y501" s="84"/>
      <c r="Z501" s="84"/>
      <c r="AA501" s="84"/>
      <c r="AB501" s="84"/>
      <c r="AC501" s="84"/>
    </row>
    <row r="502" ht="15.75" customHeight="1">
      <c r="A502" s="14" t="s">
        <v>17</v>
      </c>
      <c r="B502" s="14">
        <v>2012.0</v>
      </c>
      <c r="C502" s="14" t="s">
        <v>24039</v>
      </c>
      <c r="D502" s="14" t="s">
        <v>24040</v>
      </c>
      <c r="E502" s="150" t="str">
        <f t="shared" si="2"/>
        <v>http://dx.doi.org/10.1109/TVCG.2012.209</v>
      </c>
      <c r="F502" s="14">
        <v>2014.0</v>
      </c>
      <c r="G502" s="14">
        <v>2022.0</v>
      </c>
      <c r="H502" s="151"/>
      <c r="I502" s="14" t="s">
        <v>17059</v>
      </c>
      <c r="J502" s="14" t="s">
        <v>24041</v>
      </c>
      <c r="K502" s="14" t="s">
        <v>30857</v>
      </c>
      <c r="L502" s="152" t="s">
        <v>27145</v>
      </c>
      <c r="M502" s="14" t="s">
        <v>30858</v>
      </c>
      <c r="N502" s="54" t="s">
        <v>30859</v>
      </c>
      <c r="O502" s="130" t="s">
        <v>24044</v>
      </c>
      <c r="P502" s="153" t="s">
        <v>24045</v>
      </c>
      <c r="Q502" s="14">
        <v>6327205.0</v>
      </c>
      <c r="R502" s="95"/>
      <c r="S502" s="154" t="s">
        <v>30860</v>
      </c>
      <c r="T502" s="84"/>
      <c r="U502" s="84"/>
      <c r="V502" s="84"/>
      <c r="W502" s="84"/>
      <c r="X502" s="84"/>
      <c r="Y502" s="84"/>
      <c r="Z502" s="84"/>
      <c r="AA502" s="84"/>
      <c r="AB502" s="84"/>
      <c r="AC502" s="84"/>
    </row>
    <row r="503" ht="15.75" customHeight="1">
      <c r="A503" s="14" t="s">
        <v>17</v>
      </c>
      <c r="B503" s="14">
        <v>2012.0</v>
      </c>
      <c r="C503" s="14" t="s">
        <v>24046</v>
      </c>
      <c r="D503" s="14" t="s">
        <v>24048</v>
      </c>
      <c r="E503" s="150" t="str">
        <f t="shared" si="2"/>
        <v>http://dx.doi.org/10.1109/TVCG.2012.210</v>
      </c>
      <c r="F503" s="14">
        <v>2069.0</v>
      </c>
      <c r="G503" s="14">
        <v>2077.0</v>
      </c>
      <c r="H503" s="151"/>
      <c r="I503" s="14" t="s">
        <v>17059</v>
      </c>
      <c r="J503" s="14" t="s">
        <v>24049</v>
      </c>
      <c r="K503" s="14" t="s">
        <v>30861</v>
      </c>
      <c r="L503" s="152" t="s">
        <v>27156</v>
      </c>
      <c r="M503" s="14" t="s">
        <v>30862</v>
      </c>
      <c r="N503" s="54" t="s">
        <v>30861</v>
      </c>
      <c r="O503" s="130" t="s">
        <v>24052</v>
      </c>
      <c r="P503" s="153" t="s">
        <v>24053</v>
      </c>
      <c r="Q503" s="14">
        <v>6327211.0</v>
      </c>
      <c r="R503" s="95"/>
      <c r="S503" s="154" t="s">
        <v>30863</v>
      </c>
      <c r="T503" s="84"/>
      <c r="U503" s="84"/>
      <c r="V503" s="84"/>
      <c r="W503" s="84"/>
      <c r="X503" s="84"/>
      <c r="Y503" s="84"/>
      <c r="Z503" s="84"/>
      <c r="AA503" s="84"/>
      <c r="AB503" s="84"/>
      <c r="AC503" s="84"/>
    </row>
    <row r="504" ht="15.75" customHeight="1">
      <c r="A504" s="14" t="s">
        <v>17</v>
      </c>
      <c r="B504" s="14">
        <v>2012.0</v>
      </c>
      <c r="C504" s="14" t="s">
        <v>24054</v>
      </c>
      <c r="D504" s="14" t="s">
        <v>24055</v>
      </c>
      <c r="E504" s="150" t="str">
        <f t="shared" si="2"/>
        <v>http://dx.doi.org/10.1109/TVCG.2012.211</v>
      </c>
      <c r="F504" s="14">
        <v>2149.0</v>
      </c>
      <c r="G504" s="14">
        <v>2158.0</v>
      </c>
      <c r="H504" s="151"/>
      <c r="I504" s="14" t="s">
        <v>17059</v>
      </c>
      <c r="J504" s="14" t="s">
        <v>24056</v>
      </c>
      <c r="K504" s="14" t="s">
        <v>30864</v>
      </c>
      <c r="L504" s="152" t="s">
        <v>27169</v>
      </c>
      <c r="M504" s="14" t="s">
        <v>30865</v>
      </c>
      <c r="N504" s="54" t="s">
        <v>30864</v>
      </c>
      <c r="O504" s="130" t="s">
        <v>24058</v>
      </c>
      <c r="P504" s="153" t="s">
        <v>24059</v>
      </c>
      <c r="Q504" s="14">
        <v>6327220.0</v>
      </c>
      <c r="R504" s="95"/>
      <c r="S504" s="154" t="s">
        <v>30866</v>
      </c>
      <c r="T504" s="84"/>
      <c r="U504" s="84"/>
      <c r="V504" s="84"/>
      <c r="W504" s="84"/>
      <c r="X504" s="84"/>
      <c r="Y504" s="84"/>
      <c r="Z504" s="84"/>
      <c r="AA504" s="84"/>
      <c r="AB504" s="84"/>
      <c r="AC504" s="84"/>
    </row>
    <row r="505" ht="15.75" customHeight="1">
      <c r="A505" s="14" t="s">
        <v>17</v>
      </c>
      <c r="B505" s="14">
        <v>2012.0</v>
      </c>
      <c r="C505" s="14" t="s">
        <v>24060</v>
      </c>
      <c r="D505" s="14" t="s">
        <v>24061</v>
      </c>
      <c r="E505" s="150" t="str">
        <f t="shared" si="2"/>
        <v>http://dx.doi.org/10.1109/TVCG.2012.216</v>
      </c>
      <c r="F505" s="14">
        <v>2130.0</v>
      </c>
      <c r="G505" s="14">
        <v>2139.0</v>
      </c>
      <c r="H505" s="151"/>
      <c r="I505" s="14" t="s">
        <v>17059</v>
      </c>
      <c r="J505" s="14" t="s">
        <v>24062</v>
      </c>
      <c r="K505" s="14" t="s">
        <v>30868</v>
      </c>
      <c r="L505" s="152" t="s">
        <v>5349</v>
      </c>
      <c r="M505" s="14" t="s">
        <v>30869</v>
      </c>
      <c r="N505" s="54" t="s">
        <v>30868</v>
      </c>
      <c r="O505" s="130" t="s">
        <v>24065</v>
      </c>
      <c r="P505" s="153" t="s">
        <v>24066</v>
      </c>
      <c r="Q505" s="14">
        <v>6327218.0</v>
      </c>
      <c r="R505" s="95"/>
      <c r="S505" s="154" t="s">
        <v>30870</v>
      </c>
      <c r="T505" s="84"/>
      <c r="U505" s="84"/>
      <c r="V505" s="84"/>
      <c r="W505" s="84"/>
      <c r="X505" s="84"/>
      <c r="Y505" s="84"/>
      <c r="Z505" s="84"/>
      <c r="AA505" s="84"/>
      <c r="AB505" s="84"/>
      <c r="AC505" s="84"/>
    </row>
    <row r="506" ht="15.75" customHeight="1">
      <c r="A506" s="14" t="s">
        <v>17</v>
      </c>
      <c r="B506" s="14">
        <v>2012.0</v>
      </c>
      <c r="C506" s="14" t="s">
        <v>24067</v>
      </c>
      <c r="D506" s="14" t="s">
        <v>24068</v>
      </c>
      <c r="E506" s="150" t="str">
        <f t="shared" si="2"/>
        <v>http://dx.doi.org/10.1109/TVCG.2012.217</v>
      </c>
      <c r="F506" s="14">
        <v>2245.0</v>
      </c>
      <c r="G506" s="14">
        <v>2254.0</v>
      </c>
      <c r="H506" s="151"/>
      <c r="I506" s="14" t="s">
        <v>17059</v>
      </c>
      <c r="J506" s="14" t="s">
        <v>24069</v>
      </c>
      <c r="K506" s="14" t="s">
        <v>28749</v>
      </c>
      <c r="L506" s="152" t="s">
        <v>22124</v>
      </c>
      <c r="M506" s="14" t="s">
        <v>30871</v>
      </c>
      <c r="N506" s="54" t="s">
        <v>28749</v>
      </c>
      <c r="O506" s="130" t="s">
        <v>24073</v>
      </c>
      <c r="P506" s="153" t="s">
        <v>24074</v>
      </c>
      <c r="Q506" s="14">
        <v>6327229.0</v>
      </c>
      <c r="R506" s="95"/>
      <c r="S506" s="154" t="s">
        <v>30872</v>
      </c>
      <c r="T506" s="84"/>
      <c r="U506" s="84"/>
      <c r="V506" s="84"/>
      <c r="W506" s="84"/>
      <c r="X506" s="84"/>
      <c r="Y506" s="84"/>
      <c r="Z506" s="84"/>
      <c r="AA506" s="84"/>
      <c r="AB506" s="84"/>
      <c r="AC506" s="84"/>
    </row>
    <row r="507" ht="15.75" customHeight="1">
      <c r="A507" s="14" t="s">
        <v>17</v>
      </c>
      <c r="B507" s="14">
        <v>2012.0</v>
      </c>
      <c r="C507" s="14" t="s">
        <v>24075</v>
      </c>
      <c r="D507" s="14" t="s">
        <v>24076</v>
      </c>
      <c r="E507" s="150" t="str">
        <f t="shared" si="2"/>
        <v>http://dx.doi.org/10.1109/TVCG.2012.218</v>
      </c>
      <c r="F507" s="14">
        <v>2325.0</v>
      </c>
      <c r="G507" s="14">
        <v>2334.0</v>
      </c>
      <c r="H507" s="151"/>
      <c r="I507" s="14" t="s">
        <v>17059</v>
      </c>
      <c r="J507" s="14" t="s">
        <v>27272</v>
      </c>
      <c r="K507" s="14" t="s">
        <v>30873</v>
      </c>
      <c r="L507" s="152" t="s">
        <v>27273</v>
      </c>
      <c r="M507" s="14" t="s">
        <v>30874</v>
      </c>
      <c r="N507" s="54" t="s">
        <v>30873</v>
      </c>
      <c r="O507" s="130" t="s">
        <v>24081</v>
      </c>
      <c r="P507" s="153" t="s">
        <v>24082</v>
      </c>
      <c r="Q507" s="14">
        <v>6327237.0</v>
      </c>
      <c r="R507" s="95"/>
      <c r="S507" s="154" t="s">
        <v>30875</v>
      </c>
      <c r="T507" s="84"/>
      <c r="U507" s="84"/>
      <c r="V507" s="84"/>
      <c r="W507" s="84"/>
      <c r="X507" s="84"/>
      <c r="Y507" s="84"/>
      <c r="Z507" s="84"/>
      <c r="AA507" s="84"/>
      <c r="AB507" s="84"/>
      <c r="AC507" s="84"/>
    </row>
    <row r="508" ht="15.75" customHeight="1">
      <c r="A508" s="14" t="s">
        <v>17</v>
      </c>
      <c r="B508" s="14">
        <v>2012.0</v>
      </c>
      <c r="C508" s="14" t="s">
        <v>24083</v>
      </c>
      <c r="D508" s="14" t="s">
        <v>24084</v>
      </c>
      <c r="E508" s="150" t="str">
        <f t="shared" si="2"/>
        <v>http://dx.doi.org/10.1109/TVCG.2012.222</v>
      </c>
      <c r="F508" s="14">
        <v>2095.0</v>
      </c>
      <c r="G508" s="14">
        <v>2103.0</v>
      </c>
      <c r="H508" s="151"/>
      <c r="I508" s="14" t="s">
        <v>17059</v>
      </c>
      <c r="J508" s="14" t="s">
        <v>24085</v>
      </c>
      <c r="K508" s="14" t="s">
        <v>30876</v>
      </c>
      <c r="L508" s="152" t="s">
        <v>880</v>
      </c>
      <c r="M508" s="14" t="s">
        <v>30877</v>
      </c>
      <c r="N508" s="54" t="s">
        <v>30876</v>
      </c>
      <c r="O508" s="130" t="s">
        <v>24088</v>
      </c>
      <c r="P508" s="153" t="s">
        <v>24089</v>
      </c>
      <c r="Q508" s="14">
        <v>6327214.0</v>
      </c>
      <c r="R508" s="95"/>
      <c r="S508" s="154" t="s">
        <v>30878</v>
      </c>
      <c r="T508" s="84"/>
      <c r="U508" s="84"/>
      <c r="V508" s="84"/>
      <c r="W508" s="84"/>
      <c r="X508" s="84"/>
      <c r="Y508" s="84"/>
      <c r="Z508" s="84"/>
      <c r="AA508" s="84"/>
      <c r="AB508" s="84"/>
      <c r="AC508" s="84"/>
    </row>
    <row r="509" ht="15.75" customHeight="1">
      <c r="A509" s="14" t="s">
        <v>17</v>
      </c>
      <c r="B509" s="14">
        <v>2012.0</v>
      </c>
      <c r="C509" s="14" t="s">
        <v>24090</v>
      </c>
      <c r="D509" s="14" t="s">
        <v>24091</v>
      </c>
      <c r="E509" s="150" t="str">
        <f t="shared" si="2"/>
        <v>http://dx.doi.org/10.1109/TVCG.2012.223</v>
      </c>
      <c r="F509" s="14">
        <v>2114.0</v>
      </c>
      <c r="G509" s="14">
        <v>2121.0</v>
      </c>
      <c r="H509" s="151"/>
      <c r="I509" s="14" t="s">
        <v>17059</v>
      </c>
      <c r="J509" s="14" t="s">
        <v>24092</v>
      </c>
      <c r="K509" s="14" t="s">
        <v>30880</v>
      </c>
      <c r="L509" s="152" t="s">
        <v>494</v>
      </c>
      <c r="M509" s="14" t="s">
        <v>30881</v>
      </c>
      <c r="N509" s="54" t="s">
        <v>30880</v>
      </c>
      <c r="O509" s="130" t="s">
        <v>24095</v>
      </c>
      <c r="P509" s="153" t="s">
        <v>24096</v>
      </c>
      <c r="Q509" s="14">
        <v>6327216.0</v>
      </c>
      <c r="R509" s="95"/>
      <c r="S509" s="154" t="s">
        <v>30882</v>
      </c>
      <c r="T509" s="84"/>
      <c r="U509" s="84"/>
      <c r="V509" s="84"/>
      <c r="W509" s="84"/>
      <c r="X509" s="84"/>
      <c r="Y509" s="84"/>
      <c r="Z509" s="84"/>
      <c r="AA509" s="84"/>
      <c r="AB509" s="84"/>
      <c r="AC509" s="84"/>
    </row>
    <row r="510" ht="15.75" customHeight="1">
      <c r="A510" s="14" t="s">
        <v>17</v>
      </c>
      <c r="B510" s="14">
        <v>2012.0</v>
      </c>
      <c r="C510" s="14" t="s">
        <v>24097</v>
      </c>
      <c r="D510" s="14" t="s">
        <v>24098</v>
      </c>
      <c r="E510" s="150" t="str">
        <f t="shared" si="2"/>
        <v>http://dx.doi.org/10.1109/TVCG.2012.227</v>
      </c>
      <c r="F510" s="14">
        <v>2335.0</v>
      </c>
      <c r="G510" s="14">
        <v>2344.0</v>
      </c>
      <c r="H510" s="151"/>
      <c r="I510" s="14" t="s">
        <v>17059</v>
      </c>
      <c r="J510" s="14" t="s">
        <v>24099</v>
      </c>
      <c r="K510" s="14" t="s">
        <v>30837</v>
      </c>
      <c r="L510" s="152" t="s">
        <v>178</v>
      </c>
      <c r="M510" s="14" t="s">
        <v>30839</v>
      </c>
      <c r="N510" s="54" t="s">
        <v>30837</v>
      </c>
      <c r="O510" s="130" t="s">
        <v>24100</v>
      </c>
      <c r="P510" s="153" t="s">
        <v>24101</v>
      </c>
      <c r="Q510" s="14">
        <v>6327238.0</v>
      </c>
      <c r="R510" s="95"/>
      <c r="S510" s="154" t="s">
        <v>30883</v>
      </c>
      <c r="T510" s="84"/>
      <c r="U510" s="84"/>
      <c r="V510" s="84"/>
      <c r="W510" s="84"/>
      <c r="X510" s="84"/>
      <c r="Y510" s="84"/>
      <c r="Z510" s="84"/>
      <c r="AA510" s="84"/>
      <c r="AB510" s="84"/>
      <c r="AC510" s="84"/>
    </row>
    <row r="511" ht="15.75" customHeight="1">
      <c r="A511" s="14" t="s">
        <v>17</v>
      </c>
      <c r="B511" s="14">
        <v>2012.0</v>
      </c>
      <c r="C511" s="14" t="s">
        <v>24102</v>
      </c>
      <c r="D511" s="14" t="s">
        <v>24103</v>
      </c>
      <c r="E511" s="150" t="str">
        <f t="shared" si="2"/>
        <v>http://dx.doi.org/10.1109/TVCG.2012.228</v>
      </c>
      <c r="F511" s="14">
        <v>2005.0</v>
      </c>
      <c r="G511" s="14">
        <v>2013.0</v>
      </c>
      <c r="H511" s="151"/>
      <c r="I511" s="14" t="s">
        <v>17059</v>
      </c>
      <c r="J511" s="14" t="s">
        <v>30885</v>
      </c>
      <c r="K511" s="14" t="s">
        <v>30886</v>
      </c>
      <c r="L511" s="152" t="s">
        <v>27391</v>
      </c>
      <c r="M511" s="14" t="s">
        <v>30887</v>
      </c>
      <c r="N511" s="54" t="s">
        <v>30886</v>
      </c>
      <c r="O511" s="130" t="s">
        <v>24108</v>
      </c>
      <c r="P511" s="153" t="s">
        <v>24109</v>
      </c>
      <c r="Q511" s="14">
        <v>6327204.0</v>
      </c>
      <c r="R511" s="95"/>
      <c r="S511" s="154" t="s">
        <v>30888</v>
      </c>
      <c r="T511" s="84"/>
      <c r="U511" s="84"/>
      <c r="V511" s="84"/>
      <c r="W511" s="84"/>
      <c r="X511" s="84"/>
      <c r="Y511" s="84"/>
      <c r="Z511" s="84"/>
      <c r="AA511" s="84"/>
      <c r="AB511" s="84"/>
      <c r="AC511" s="84"/>
    </row>
    <row r="512" ht="15.75" customHeight="1">
      <c r="A512" s="14" t="s">
        <v>17</v>
      </c>
      <c r="B512" s="14">
        <v>2012.0</v>
      </c>
      <c r="C512" s="14" t="s">
        <v>24110</v>
      </c>
      <c r="D512" s="14" t="s">
        <v>24111</v>
      </c>
      <c r="E512" s="150" t="str">
        <f t="shared" si="2"/>
        <v>http://dx.doi.org/10.1109/TVCG.2012.231</v>
      </c>
      <c r="F512" s="14">
        <v>2355.0</v>
      </c>
      <c r="G512" s="14">
        <v>2363.0</v>
      </c>
      <c r="H512" s="151"/>
      <c r="I512" s="14" t="s">
        <v>17059</v>
      </c>
      <c r="J512" s="14" t="s">
        <v>24112</v>
      </c>
      <c r="K512" s="14" t="s">
        <v>30889</v>
      </c>
      <c r="L512" s="152" t="s">
        <v>27420</v>
      </c>
      <c r="M512" s="14" t="s">
        <v>30890</v>
      </c>
      <c r="N512" s="54" t="s">
        <v>30889</v>
      </c>
      <c r="O512" s="130" t="s">
        <v>24116</v>
      </c>
      <c r="P512" s="153" t="s">
        <v>24117</v>
      </c>
      <c r="Q512" s="14">
        <v>6327240.0</v>
      </c>
      <c r="R512" s="95"/>
      <c r="S512" s="154" t="s">
        <v>30891</v>
      </c>
      <c r="T512" s="84"/>
      <c r="U512" s="84"/>
      <c r="V512" s="84"/>
      <c r="W512" s="84"/>
      <c r="X512" s="84"/>
      <c r="Y512" s="84"/>
      <c r="Z512" s="84"/>
      <c r="AA512" s="84"/>
      <c r="AB512" s="84"/>
      <c r="AC512" s="84"/>
    </row>
    <row r="513" ht="15.75" customHeight="1">
      <c r="A513" s="14" t="s">
        <v>17</v>
      </c>
      <c r="B513" s="14">
        <v>2012.0</v>
      </c>
      <c r="C513" s="14" t="s">
        <v>24118</v>
      </c>
      <c r="D513" s="14" t="s">
        <v>24119</v>
      </c>
      <c r="E513" s="150" t="str">
        <f t="shared" si="2"/>
        <v>http://dx.doi.org/10.1109/TVCG.2012.232</v>
      </c>
      <c r="F513" s="14">
        <v>2364.0</v>
      </c>
      <c r="G513" s="14">
        <v>2371.0</v>
      </c>
      <c r="H513" s="151"/>
      <c r="I513" s="14" t="s">
        <v>17059</v>
      </c>
      <c r="J513" s="14" t="s">
        <v>24120</v>
      </c>
      <c r="K513" s="14" t="s">
        <v>30893</v>
      </c>
      <c r="L513" s="152" t="s">
        <v>27431</v>
      </c>
      <c r="M513" s="14" t="s">
        <v>30894</v>
      </c>
      <c r="N513" s="54" t="s">
        <v>30893</v>
      </c>
      <c r="O513" s="130" t="s">
        <v>23321</v>
      </c>
      <c r="P513" s="153" t="s">
        <v>24123</v>
      </c>
      <c r="Q513" s="14">
        <v>6327241.0</v>
      </c>
      <c r="R513" s="95"/>
      <c r="S513" s="154">
        <v>6064977.0</v>
      </c>
      <c r="T513" s="84"/>
      <c r="U513" s="84"/>
      <c r="V513" s="84"/>
      <c r="W513" s="84"/>
      <c r="X513" s="84"/>
      <c r="Y513" s="84"/>
      <c r="Z513" s="84"/>
      <c r="AA513" s="84"/>
      <c r="AB513" s="84"/>
      <c r="AC513" s="84"/>
    </row>
    <row r="514" ht="15.75" customHeight="1">
      <c r="A514" s="14" t="s">
        <v>17</v>
      </c>
      <c r="B514" s="14">
        <v>2012.0</v>
      </c>
      <c r="C514" s="14" t="s">
        <v>24124</v>
      </c>
      <c r="D514" s="14" t="s">
        <v>24125</v>
      </c>
      <c r="E514" s="150" t="str">
        <f t="shared" si="2"/>
        <v>http://dx.doi.org/10.1109/TVCG.2012.234</v>
      </c>
      <c r="F514" s="14">
        <v>2104.0</v>
      </c>
      <c r="G514" s="14">
        <v>2113.0</v>
      </c>
      <c r="H514" s="151"/>
      <c r="I514" s="14" t="s">
        <v>17059</v>
      </c>
      <c r="J514" s="14" t="s">
        <v>30897</v>
      </c>
      <c r="K514" s="14" t="s">
        <v>30898</v>
      </c>
      <c r="L514" s="152" t="s">
        <v>25695</v>
      </c>
      <c r="M514" s="14" t="s">
        <v>30900</v>
      </c>
      <c r="N514" s="54" t="s">
        <v>30898</v>
      </c>
      <c r="O514" s="130" t="s">
        <v>24129</v>
      </c>
      <c r="P514" s="153" t="s">
        <v>24131</v>
      </c>
      <c r="Q514" s="14">
        <v>6327215.0</v>
      </c>
      <c r="R514" s="95"/>
      <c r="S514" s="154" t="s">
        <v>30903</v>
      </c>
      <c r="T514" s="84"/>
      <c r="U514" s="84"/>
      <c r="V514" s="84"/>
      <c r="W514" s="84"/>
      <c r="X514" s="84"/>
      <c r="Y514" s="84"/>
      <c r="Z514" s="84"/>
      <c r="AA514" s="84"/>
      <c r="AB514" s="84"/>
      <c r="AC514" s="84"/>
    </row>
    <row r="515" ht="15.75" customHeight="1">
      <c r="A515" s="14" t="s">
        <v>17</v>
      </c>
      <c r="B515" s="14">
        <v>2012.0</v>
      </c>
      <c r="C515" s="14" t="s">
        <v>24132</v>
      </c>
      <c r="D515" s="14" t="s">
        <v>24133</v>
      </c>
      <c r="E515" s="150" t="str">
        <f t="shared" si="2"/>
        <v>http://dx.doi.org/10.1109/TVCG.2012.239</v>
      </c>
      <c r="F515" s="14">
        <v>2208.0</v>
      </c>
      <c r="G515" s="14">
        <v>2215.0</v>
      </c>
      <c r="H515" s="151"/>
      <c r="I515" s="14" t="s">
        <v>17059</v>
      </c>
      <c r="J515" s="14" t="s">
        <v>24135</v>
      </c>
      <c r="K515" s="14" t="s">
        <v>30908</v>
      </c>
      <c r="L515" s="152" t="s">
        <v>27599</v>
      </c>
      <c r="M515" s="14" t="s">
        <v>30909</v>
      </c>
      <c r="N515" s="54" t="s">
        <v>30908</v>
      </c>
      <c r="O515" s="130"/>
      <c r="P515" s="153" t="s">
        <v>24139</v>
      </c>
      <c r="Q515" s="14">
        <v>6327225.0</v>
      </c>
      <c r="R515" s="95"/>
      <c r="S515" s="154"/>
      <c r="T515" s="84"/>
      <c r="U515" s="84"/>
      <c r="V515" s="84"/>
      <c r="W515" s="84"/>
      <c r="X515" s="84"/>
      <c r="Y515" s="84"/>
      <c r="Z515" s="84"/>
      <c r="AA515" s="84"/>
      <c r="AB515" s="84"/>
      <c r="AC515" s="84"/>
    </row>
    <row r="516" ht="15.75" customHeight="1">
      <c r="A516" s="14" t="s">
        <v>17</v>
      </c>
      <c r="B516" s="14">
        <v>2012.0</v>
      </c>
      <c r="C516" s="14" t="s">
        <v>24140</v>
      </c>
      <c r="D516" s="14" t="s">
        <v>24141</v>
      </c>
      <c r="E516" s="150" t="str">
        <f t="shared" si="2"/>
        <v>http://dx.doi.org/10.1109/TVCG.2012.240</v>
      </c>
      <c r="F516" s="14">
        <v>2285.0</v>
      </c>
      <c r="G516" s="14">
        <v>2294.0</v>
      </c>
      <c r="H516" s="151"/>
      <c r="I516" s="14" t="s">
        <v>17059</v>
      </c>
      <c r="J516" s="14" t="s">
        <v>24142</v>
      </c>
      <c r="K516" s="14" t="s">
        <v>30913</v>
      </c>
      <c r="L516" s="152" t="s">
        <v>5349</v>
      </c>
      <c r="M516" s="14" t="s">
        <v>30915</v>
      </c>
      <c r="N516" s="54" t="s">
        <v>30913</v>
      </c>
      <c r="O516" s="130" t="s">
        <v>24145</v>
      </c>
      <c r="P516" s="153" t="s">
        <v>24146</v>
      </c>
      <c r="Q516" s="14">
        <v>6327233.0</v>
      </c>
      <c r="R516" s="95"/>
      <c r="S516" s="154" t="s">
        <v>30918</v>
      </c>
      <c r="T516" s="84"/>
      <c r="U516" s="84"/>
      <c r="V516" s="84"/>
      <c r="W516" s="84"/>
      <c r="X516" s="84"/>
      <c r="Y516" s="84"/>
      <c r="Z516" s="84"/>
      <c r="AA516" s="84"/>
      <c r="AB516" s="84"/>
      <c r="AC516" s="84"/>
    </row>
    <row r="517" ht="15.75" customHeight="1">
      <c r="A517" s="14" t="s">
        <v>17</v>
      </c>
      <c r="B517" s="14">
        <v>2012.0</v>
      </c>
      <c r="C517" s="14" t="s">
        <v>24147</v>
      </c>
      <c r="D517" s="14" t="s">
        <v>24148</v>
      </c>
      <c r="E517" s="150" t="str">
        <f t="shared" si="2"/>
        <v>http://dx.doi.org/10.1109/TVCG.2012.242</v>
      </c>
      <c r="F517" s="14">
        <v>2051.0</v>
      </c>
      <c r="G517" s="14">
        <v>2060.0</v>
      </c>
      <c r="H517" s="151"/>
      <c r="I517" s="14" t="s">
        <v>17059</v>
      </c>
      <c r="J517" s="14" t="s">
        <v>24149</v>
      </c>
      <c r="K517" s="14" t="s">
        <v>24151</v>
      </c>
      <c r="L517" s="152" t="s">
        <v>27626</v>
      </c>
      <c r="M517" s="14" t="s">
        <v>30923</v>
      </c>
      <c r="N517" s="54" t="s">
        <v>24151</v>
      </c>
      <c r="O517" s="130" t="s">
        <v>24153</v>
      </c>
      <c r="P517" s="153" t="s">
        <v>24154</v>
      </c>
      <c r="Q517" s="14">
        <v>6327209.0</v>
      </c>
      <c r="R517" s="95"/>
      <c r="S517" s="154" t="s">
        <v>30924</v>
      </c>
      <c r="T517" s="84"/>
      <c r="U517" s="84"/>
      <c r="V517" s="84"/>
      <c r="W517" s="84"/>
      <c r="X517" s="84"/>
      <c r="Y517" s="84"/>
      <c r="Z517" s="84"/>
      <c r="AA517" s="84"/>
      <c r="AB517" s="84"/>
      <c r="AC517" s="84"/>
    </row>
    <row r="518" ht="15.75" customHeight="1">
      <c r="A518" s="14" t="s">
        <v>17</v>
      </c>
      <c r="B518" s="14">
        <v>2012.0</v>
      </c>
      <c r="C518" s="14" t="s">
        <v>24156</v>
      </c>
      <c r="D518" s="14" t="s">
        <v>24157</v>
      </c>
      <c r="E518" s="150" t="str">
        <f t="shared" si="2"/>
        <v>http://dx.doi.org/10.1109/TVCG.2012.243</v>
      </c>
      <c r="F518" s="14">
        <v>2159.0</v>
      </c>
      <c r="G518" s="14">
        <v>2168.0</v>
      </c>
      <c r="H518" s="151"/>
      <c r="I518" s="14" t="s">
        <v>17059</v>
      </c>
      <c r="J518" s="14" t="s">
        <v>24158</v>
      </c>
      <c r="K518" s="14" t="s">
        <v>30925</v>
      </c>
      <c r="L518" s="152" t="s">
        <v>27637</v>
      </c>
      <c r="M518" s="14" t="s">
        <v>30926</v>
      </c>
      <c r="N518" s="54" t="s">
        <v>30925</v>
      </c>
      <c r="O518" s="130" t="s">
        <v>24162</v>
      </c>
      <c r="P518" s="153" t="s">
        <v>24163</v>
      </c>
      <c r="Q518" s="14">
        <v>6327221.0</v>
      </c>
      <c r="R518" s="95"/>
      <c r="S518" s="154" t="s">
        <v>30929</v>
      </c>
      <c r="T518" s="84"/>
      <c r="U518" s="84"/>
      <c r="V518" s="84"/>
      <c r="W518" s="84"/>
      <c r="X518" s="84"/>
      <c r="Y518" s="84"/>
      <c r="Z518" s="84"/>
      <c r="AA518" s="84"/>
      <c r="AB518" s="84"/>
      <c r="AC518" s="84"/>
    </row>
    <row r="519" ht="15.75" customHeight="1">
      <c r="A519" s="14" t="s">
        <v>17</v>
      </c>
      <c r="B519" s="14">
        <v>2012.0</v>
      </c>
      <c r="C519" s="14" t="s">
        <v>24164</v>
      </c>
      <c r="D519" s="14" t="s">
        <v>24165</v>
      </c>
      <c r="E519" s="150" t="str">
        <f t="shared" si="2"/>
        <v>http://dx.doi.org/10.1109/TVCG.2012.248</v>
      </c>
      <c r="F519" s="14">
        <v>2382.0</v>
      </c>
      <c r="G519" s="14">
        <v>2391.0</v>
      </c>
      <c r="H519" s="151"/>
      <c r="I519" s="14" t="s">
        <v>17059</v>
      </c>
      <c r="J519" s="14" t="s">
        <v>24166</v>
      </c>
      <c r="K519" s="14" t="s">
        <v>30938</v>
      </c>
      <c r="L519" s="152" t="s">
        <v>27694</v>
      </c>
      <c r="M519" s="14" t="s">
        <v>30939</v>
      </c>
      <c r="N519" s="54" t="s">
        <v>30938</v>
      </c>
      <c r="O519" s="130" t="s">
        <v>24169</v>
      </c>
      <c r="P519" s="153" t="s">
        <v>24170</v>
      </c>
      <c r="Q519" s="14">
        <v>6327243.0</v>
      </c>
      <c r="R519" s="95"/>
      <c r="S519" s="154" t="s">
        <v>30940</v>
      </c>
      <c r="T519" s="84"/>
      <c r="U519" s="84"/>
      <c r="V519" s="84"/>
      <c r="W519" s="84"/>
      <c r="X519" s="84"/>
      <c r="Y519" s="84"/>
      <c r="Z519" s="84"/>
      <c r="AA519" s="84"/>
      <c r="AB519" s="84"/>
      <c r="AC519" s="84"/>
    </row>
    <row r="520" ht="15.75" customHeight="1">
      <c r="A520" s="14" t="s">
        <v>17</v>
      </c>
      <c r="B520" s="14">
        <v>2012.0</v>
      </c>
      <c r="C520" s="14" t="s">
        <v>24171</v>
      </c>
      <c r="D520" s="14" t="s">
        <v>24172</v>
      </c>
      <c r="E520" s="150" t="str">
        <f t="shared" si="2"/>
        <v>http://dx.doi.org/10.1109/TVCG.2012.249</v>
      </c>
      <c r="F520" s="14">
        <v>2305.0</v>
      </c>
      <c r="G520" s="14">
        <v>2314.0</v>
      </c>
      <c r="H520" s="151"/>
      <c r="I520" s="14" t="s">
        <v>17059</v>
      </c>
      <c r="J520" s="14" t="s">
        <v>24173</v>
      </c>
      <c r="K520" s="14" t="s">
        <v>30941</v>
      </c>
      <c r="L520" s="152" t="s">
        <v>27705</v>
      </c>
      <c r="M520" s="14" t="s">
        <v>30942</v>
      </c>
      <c r="N520" s="54" t="s">
        <v>30941</v>
      </c>
      <c r="O520" s="130" t="s">
        <v>24176</v>
      </c>
      <c r="P520" s="153" t="s">
        <v>24177</v>
      </c>
      <c r="Q520" s="14">
        <v>6327235.0</v>
      </c>
      <c r="R520" s="95"/>
      <c r="S520" s="154" t="s">
        <v>30943</v>
      </c>
      <c r="T520" s="84"/>
      <c r="U520" s="84"/>
      <c r="V520" s="84"/>
      <c r="W520" s="84"/>
      <c r="X520" s="84"/>
      <c r="Y520" s="84"/>
      <c r="Z520" s="84"/>
      <c r="AA520" s="84"/>
      <c r="AB520" s="84"/>
      <c r="AC520" s="84"/>
    </row>
    <row r="521" ht="15.75" customHeight="1">
      <c r="A521" s="14" t="s">
        <v>17</v>
      </c>
      <c r="B521" s="14">
        <v>2012.0</v>
      </c>
      <c r="C521" s="14" t="s">
        <v>24178</v>
      </c>
      <c r="D521" s="14" t="s">
        <v>24179</v>
      </c>
      <c r="E521" s="150" t="str">
        <f t="shared" si="2"/>
        <v>http://dx.doi.org/10.1109/TVCG.2012.259</v>
      </c>
      <c r="F521" s="14">
        <v>2226.0</v>
      </c>
      <c r="G521" s="14">
        <v>2235.0</v>
      </c>
      <c r="H521" s="151"/>
      <c r="I521" s="14" t="s">
        <v>17059</v>
      </c>
      <c r="J521" s="14" t="s">
        <v>24181</v>
      </c>
      <c r="K521" s="14" t="s">
        <v>30944</v>
      </c>
      <c r="L521" s="152" t="s">
        <v>27760</v>
      </c>
      <c r="M521" s="14" t="s">
        <v>30945</v>
      </c>
      <c r="N521" s="54" t="s">
        <v>30944</v>
      </c>
      <c r="O521" s="130" t="s">
        <v>24185</v>
      </c>
      <c r="P521" s="153" t="s">
        <v>24186</v>
      </c>
      <c r="Q521" s="14">
        <v>6327227.0</v>
      </c>
      <c r="R521" s="95"/>
      <c r="S521" s="154" t="s">
        <v>30946</v>
      </c>
      <c r="T521" s="84"/>
      <c r="U521" s="84"/>
      <c r="V521" s="84"/>
      <c r="W521" s="84"/>
      <c r="X521" s="84"/>
      <c r="Y521" s="84"/>
      <c r="Z521" s="84"/>
      <c r="AA521" s="84"/>
      <c r="AB521" s="84"/>
      <c r="AC521" s="84"/>
    </row>
    <row r="522" ht="16.5" customHeight="1">
      <c r="A522" s="14" t="s">
        <v>17</v>
      </c>
      <c r="B522" s="14">
        <v>2012.0</v>
      </c>
      <c r="C522" s="14" t="s">
        <v>24188</v>
      </c>
      <c r="D522" s="14" t="s">
        <v>24189</v>
      </c>
      <c r="E522" s="150" t="str">
        <f t="shared" si="2"/>
        <v>http://dx.doi.org/10.1109/TVCG.2012.261</v>
      </c>
      <c r="F522" s="14">
        <v>2255.0</v>
      </c>
      <c r="G522" s="14">
        <v>2264.0</v>
      </c>
      <c r="H522" s="151"/>
      <c r="I522" s="14" t="s">
        <v>17059</v>
      </c>
      <c r="J522" s="14" t="s">
        <v>24190</v>
      </c>
      <c r="K522" s="14" t="s">
        <v>30948</v>
      </c>
      <c r="L522" s="152" t="s">
        <v>27764</v>
      </c>
      <c r="M522" s="14" t="s">
        <v>30949</v>
      </c>
      <c r="N522" s="54" t="s">
        <v>30950</v>
      </c>
      <c r="O522" s="130" t="s">
        <v>24194</v>
      </c>
      <c r="P522" s="153" t="s">
        <v>24195</v>
      </c>
      <c r="Q522" s="14">
        <v>6327230.0</v>
      </c>
      <c r="R522" s="95"/>
      <c r="S522" s="154" t="s">
        <v>30951</v>
      </c>
      <c r="T522" s="84"/>
      <c r="U522" s="84"/>
      <c r="V522" s="84"/>
      <c r="W522" s="84"/>
      <c r="X522" s="84"/>
      <c r="Y522" s="84"/>
      <c r="Z522" s="84"/>
      <c r="AA522" s="84"/>
      <c r="AB522" s="84"/>
      <c r="AC522" s="84"/>
    </row>
    <row r="523" ht="16.5" customHeight="1">
      <c r="A523" s="14" t="s">
        <v>17</v>
      </c>
      <c r="B523" s="14">
        <v>2012.0</v>
      </c>
      <c r="C523" s="14" t="s">
        <v>24196</v>
      </c>
      <c r="D523" s="14" t="s">
        <v>24197</v>
      </c>
      <c r="E523" s="150" t="str">
        <f t="shared" si="2"/>
        <v>http://dx.doi.org/10.1109/TVCG.2012.267</v>
      </c>
      <c r="F523" s="14">
        <v>2372.0</v>
      </c>
      <c r="G523" s="14">
        <v>2381.0</v>
      </c>
      <c r="H523" s="151"/>
      <c r="I523" s="14" t="s">
        <v>17059</v>
      </c>
      <c r="J523" s="14" t="s">
        <v>24199</v>
      </c>
      <c r="K523" s="14" t="s">
        <v>30952</v>
      </c>
      <c r="L523" s="152" t="s">
        <v>27772</v>
      </c>
      <c r="M523" s="14" t="s">
        <v>860</v>
      </c>
      <c r="N523" s="54" t="s">
        <v>30952</v>
      </c>
      <c r="O523" s="130" t="s">
        <v>24204</v>
      </c>
      <c r="P523" s="153" t="s">
        <v>24205</v>
      </c>
      <c r="Q523" s="14">
        <v>6327242.0</v>
      </c>
      <c r="R523" s="95"/>
      <c r="S523" s="154" t="s">
        <v>30953</v>
      </c>
      <c r="T523" s="84"/>
      <c r="U523" s="84"/>
      <c r="V523" s="84"/>
      <c r="W523" s="84"/>
      <c r="X523" s="84"/>
      <c r="Y523" s="84"/>
      <c r="Z523" s="84"/>
      <c r="AA523" s="84"/>
      <c r="AB523" s="84"/>
      <c r="AC523" s="84"/>
    </row>
    <row r="524" ht="1.5" customHeight="1">
      <c r="A524" s="14" t="s">
        <v>17</v>
      </c>
      <c r="B524" s="14">
        <v>2012.0</v>
      </c>
      <c r="C524" s="14" t="s">
        <v>24207</v>
      </c>
      <c r="D524" s="14" t="s">
        <v>24208</v>
      </c>
      <c r="E524" s="150" t="str">
        <f t="shared" si="2"/>
        <v>http://dx.doi.org/10.1109/TVCG.2012.269</v>
      </c>
      <c r="F524" s="14">
        <v>2392.0</v>
      </c>
      <c r="G524" s="14">
        <v>2401.0</v>
      </c>
      <c r="H524" s="151"/>
      <c r="I524" s="14" t="s">
        <v>17059</v>
      </c>
      <c r="J524" s="14" t="s">
        <v>24209</v>
      </c>
      <c r="K524" s="14" t="s">
        <v>30954</v>
      </c>
      <c r="L524" s="152" t="s">
        <v>494</v>
      </c>
      <c r="M524" s="14" t="s">
        <v>30955</v>
      </c>
      <c r="N524" s="54" t="s">
        <v>30954</v>
      </c>
      <c r="O524" s="130" t="s">
        <v>24212</v>
      </c>
      <c r="P524" s="153" t="s">
        <v>24213</v>
      </c>
      <c r="Q524" s="14">
        <v>6327244.0</v>
      </c>
      <c r="R524" s="95"/>
      <c r="S524" s="154" t="s">
        <v>30956</v>
      </c>
      <c r="T524" s="84"/>
      <c r="U524" s="84"/>
      <c r="V524" s="84"/>
      <c r="W524" s="84"/>
      <c r="X524" s="84"/>
      <c r="Y524" s="84"/>
      <c r="Z524" s="84"/>
      <c r="AA524" s="84"/>
      <c r="AB524" s="84"/>
      <c r="AC524" s="84"/>
    </row>
    <row r="525">
      <c r="A525" s="14" t="s">
        <v>17</v>
      </c>
      <c r="B525" s="14">
        <v>2012.0</v>
      </c>
      <c r="C525" s="14" t="s">
        <v>24214</v>
      </c>
      <c r="D525" s="14" t="s">
        <v>24215</v>
      </c>
      <c r="E525" s="150" t="str">
        <f t="shared" si="2"/>
        <v>http://dx.doi.org/10.1109/TVCG.2012.274</v>
      </c>
      <c r="F525" s="14">
        <v>2169.0</v>
      </c>
      <c r="G525" s="14">
        <v>2177.0</v>
      </c>
      <c r="H525" s="151"/>
      <c r="I525" s="14" t="s">
        <v>17059</v>
      </c>
      <c r="J525" s="14" t="s">
        <v>24216</v>
      </c>
      <c r="K525" s="14" t="s">
        <v>30957</v>
      </c>
      <c r="L525" s="152" t="s">
        <v>27782</v>
      </c>
      <c r="M525" s="14" t="s">
        <v>30958</v>
      </c>
      <c r="N525" s="54" t="s">
        <v>30957</v>
      </c>
      <c r="O525" s="130" t="s">
        <v>24220</v>
      </c>
      <c r="P525" s="153" t="s">
        <v>24221</v>
      </c>
      <c r="Q525" s="14">
        <v>6327475.0</v>
      </c>
      <c r="R525" s="95"/>
      <c r="S525" s="154" t="s">
        <v>30959</v>
      </c>
      <c r="T525" s="84"/>
      <c r="U525" s="84"/>
      <c r="V525" s="84"/>
      <c r="W525" s="84"/>
      <c r="X525" s="84"/>
      <c r="Y525" s="84"/>
      <c r="Z525" s="84"/>
      <c r="AA525" s="84"/>
      <c r="AB525" s="84"/>
      <c r="AC525" s="84"/>
    </row>
    <row r="526" ht="15.75" customHeight="1">
      <c r="A526" s="14" t="s">
        <v>17</v>
      </c>
      <c r="B526" s="14">
        <v>2012.0</v>
      </c>
      <c r="C526" s="14" t="s">
        <v>24222</v>
      </c>
      <c r="D526" s="14" t="s">
        <v>24223</v>
      </c>
      <c r="E526" s="150" t="str">
        <f t="shared" si="2"/>
        <v>http://dx.doi.org/10.1109/TVCG.2012.278</v>
      </c>
      <c r="F526" s="14">
        <v>2088.0</v>
      </c>
      <c r="G526" s="14">
        <v>2094.0</v>
      </c>
      <c r="H526" s="151"/>
      <c r="I526" s="14" t="s">
        <v>17059</v>
      </c>
      <c r="J526" s="14" t="s">
        <v>24224</v>
      </c>
      <c r="K526" s="14" t="s">
        <v>30960</v>
      </c>
      <c r="L526" s="152" t="s">
        <v>27788</v>
      </c>
      <c r="M526" s="14" t="s">
        <v>30961</v>
      </c>
      <c r="N526" s="54" t="s">
        <v>30960</v>
      </c>
      <c r="O526" s="130"/>
      <c r="P526" s="153" t="s">
        <v>24230</v>
      </c>
      <c r="Q526" s="14">
        <v>6327213.0</v>
      </c>
      <c r="R526" s="95"/>
      <c r="S526" s="154"/>
      <c r="T526" s="84"/>
      <c r="U526" s="84"/>
      <c r="V526" s="84"/>
      <c r="W526" s="84"/>
      <c r="X526" s="84"/>
      <c r="Y526" s="84"/>
      <c r="Z526" s="84"/>
      <c r="AA526" s="84"/>
      <c r="AB526" s="84"/>
      <c r="AC526" s="84"/>
    </row>
    <row r="527" ht="15.75" customHeight="1">
      <c r="A527" s="14" t="s">
        <v>17</v>
      </c>
      <c r="B527" s="14">
        <v>2012.0</v>
      </c>
      <c r="C527" s="14" t="s">
        <v>24231</v>
      </c>
      <c r="D527" s="14" t="s">
        <v>24232</v>
      </c>
      <c r="E527" s="150" t="str">
        <f t="shared" si="2"/>
        <v>http://dx.doi.org/10.1109/TVCG.2012.280</v>
      </c>
      <c r="F527" s="14">
        <v>2275.0</v>
      </c>
      <c r="G527" s="14">
        <v>2284.0</v>
      </c>
      <c r="H527" s="151"/>
      <c r="I527" s="14" t="s">
        <v>17059</v>
      </c>
      <c r="J527" s="14" t="s">
        <v>24234</v>
      </c>
      <c r="K527" s="14" t="s">
        <v>30962</v>
      </c>
      <c r="L527" s="152" t="s">
        <v>27791</v>
      </c>
      <c r="M527" s="14" t="s">
        <v>30963</v>
      </c>
      <c r="N527" s="54" t="s">
        <v>30962</v>
      </c>
      <c r="O527" s="130" t="s">
        <v>24238</v>
      </c>
      <c r="P527" s="153" t="s">
        <v>24239</v>
      </c>
      <c r="Q527" s="14">
        <v>6327232.0</v>
      </c>
      <c r="R527" s="95"/>
      <c r="S527" s="154" t="s">
        <v>30964</v>
      </c>
      <c r="T527" s="84"/>
      <c r="U527" s="84"/>
      <c r="V527" s="84"/>
      <c r="W527" s="84"/>
      <c r="X527" s="84"/>
      <c r="Y527" s="84"/>
      <c r="Z527" s="84"/>
      <c r="AA527" s="84"/>
      <c r="AB527" s="84"/>
      <c r="AC527" s="84"/>
    </row>
    <row r="528" ht="15.75" customHeight="1">
      <c r="A528" s="14" t="s">
        <v>17</v>
      </c>
      <c r="B528" s="14">
        <v>2012.0</v>
      </c>
      <c r="C528" s="14" t="s">
        <v>24240</v>
      </c>
      <c r="D528" s="14" t="s">
        <v>24241</v>
      </c>
      <c r="E528" s="150" t="str">
        <f t="shared" si="2"/>
        <v>http://dx.doi.org/10.1109/TVCG.2012.281</v>
      </c>
      <c r="F528" s="14">
        <v>2188.0</v>
      </c>
      <c r="G528" s="14">
        <v>2197.0</v>
      </c>
      <c r="H528" s="151"/>
      <c r="I528" s="14" t="s">
        <v>17059</v>
      </c>
      <c r="J528" s="14" t="s">
        <v>24242</v>
      </c>
      <c r="K528" s="14" t="s">
        <v>30965</v>
      </c>
      <c r="L528" s="152" t="s">
        <v>27793</v>
      </c>
      <c r="M528" s="14" t="s">
        <v>30966</v>
      </c>
      <c r="N528" s="54" t="s">
        <v>30965</v>
      </c>
      <c r="O528" s="130" t="s">
        <v>24246</v>
      </c>
      <c r="P528" s="153" t="s">
        <v>24247</v>
      </c>
      <c r="Q528" s="14">
        <v>6327223.0</v>
      </c>
      <c r="R528" s="95"/>
      <c r="S528" s="154" t="s">
        <v>30967</v>
      </c>
      <c r="T528" s="84"/>
      <c r="U528" s="84"/>
      <c r="V528" s="84"/>
      <c r="W528" s="84"/>
      <c r="X528" s="84"/>
      <c r="Y528" s="84"/>
      <c r="Z528" s="84"/>
      <c r="AA528" s="84"/>
      <c r="AB528" s="84"/>
      <c r="AC528" s="84"/>
    </row>
    <row r="529" ht="15.75" customHeight="1">
      <c r="A529" s="14" t="s">
        <v>17</v>
      </c>
      <c r="B529" s="14">
        <v>2012.0</v>
      </c>
      <c r="C529" s="14" t="s">
        <v>24248</v>
      </c>
      <c r="D529" s="14" t="s">
        <v>24249</v>
      </c>
      <c r="E529" s="150" t="str">
        <f t="shared" si="2"/>
        <v>http://dx.doi.org/10.1109/TVCG.2012.282</v>
      </c>
      <c r="F529" s="14">
        <v>2061.0</v>
      </c>
      <c r="G529" s="14">
        <v>2068.0</v>
      </c>
      <c r="H529" s="151"/>
      <c r="I529" s="14" t="s">
        <v>17059</v>
      </c>
      <c r="J529" s="14" t="s">
        <v>24251</v>
      </c>
      <c r="K529" s="14" t="s">
        <v>30968</v>
      </c>
      <c r="L529" s="152" t="s">
        <v>1253</v>
      </c>
      <c r="M529" s="14" t="s">
        <v>30969</v>
      </c>
      <c r="N529" s="54" t="s">
        <v>30968</v>
      </c>
      <c r="O529" s="130" t="s">
        <v>24256</v>
      </c>
      <c r="P529" s="153" t="s">
        <v>24257</v>
      </c>
      <c r="Q529" s="14">
        <v>6327210.0</v>
      </c>
      <c r="R529" s="95"/>
      <c r="S529" s="154" t="s">
        <v>30970</v>
      </c>
      <c r="T529" s="84"/>
      <c r="U529" s="84"/>
      <c r="V529" s="84"/>
      <c r="W529" s="84"/>
      <c r="X529" s="84"/>
      <c r="Y529" s="84"/>
      <c r="Z529" s="84"/>
      <c r="AA529" s="84"/>
      <c r="AB529" s="84"/>
      <c r="AC529" s="84"/>
    </row>
    <row r="530" ht="15.75" customHeight="1">
      <c r="A530" s="14" t="s">
        <v>17</v>
      </c>
      <c r="B530" s="14">
        <v>2012.0</v>
      </c>
      <c r="C530" s="14" t="s">
        <v>24260</v>
      </c>
      <c r="D530" s="14" t="s">
        <v>24261</v>
      </c>
      <c r="E530" s="150" t="str">
        <f t="shared" si="2"/>
        <v>http://dx.doi.org/10.1109/TVCG.2012.283</v>
      </c>
      <c r="F530" s="14">
        <v>2198.0</v>
      </c>
      <c r="G530" s="14">
        <v>2207.0</v>
      </c>
      <c r="H530" s="151"/>
      <c r="I530" s="14" t="s">
        <v>17059</v>
      </c>
      <c r="J530" s="14" t="s">
        <v>24262</v>
      </c>
      <c r="K530" s="14" t="s">
        <v>30971</v>
      </c>
      <c r="L530" s="152" t="s">
        <v>27798</v>
      </c>
      <c r="M530" s="14" t="s">
        <v>30972</v>
      </c>
      <c r="N530" s="54" t="s">
        <v>30971</v>
      </c>
      <c r="O530" s="130" t="s">
        <v>22022</v>
      </c>
      <c r="P530" s="153" t="s">
        <v>24265</v>
      </c>
      <c r="Q530" s="14">
        <v>6327224.0</v>
      </c>
      <c r="R530" s="95"/>
      <c r="S530" s="154">
        <v>5613496.0</v>
      </c>
      <c r="T530" s="84"/>
      <c r="U530" s="84"/>
      <c r="V530" s="84"/>
      <c r="W530" s="84"/>
      <c r="X530" s="84"/>
      <c r="Y530" s="84"/>
      <c r="Z530" s="84"/>
      <c r="AA530" s="84"/>
      <c r="AB530" s="84"/>
      <c r="AC530" s="84"/>
    </row>
    <row r="531" ht="15.75" customHeight="1">
      <c r="A531" s="14" t="s">
        <v>17</v>
      </c>
      <c r="B531" s="14">
        <v>2012.0</v>
      </c>
      <c r="C531" s="14" t="s">
        <v>24266</v>
      </c>
      <c r="D531" s="14" t="s">
        <v>24267</v>
      </c>
      <c r="E531" s="150" t="str">
        <f t="shared" si="2"/>
        <v>http://dx.doi.org/10.1109/TVCG.2012.284</v>
      </c>
      <c r="F531" s="14">
        <v>2023.0</v>
      </c>
      <c r="G531" s="14">
        <v>2032.0</v>
      </c>
      <c r="H531" s="151"/>
      <c r="I531" s="14" t="s">
        <v>17059</v>
      </c>
      <c r="J531" s="14" t="s">
        <v>24268</v>
      </c>
      <c r="K531" s="14" t="s">
        <v>30973</v>
      </c>
      <c r="L531" s="152" t="s">
        <v>25315</v>
      </c>
      <c r="M531" s="14" t="s">
        <v>30974</v>
      </c>
      <c r="N531" s="54" t="s">
        <v>30973</v>
      </c>
      <c r="O531" s="130" t="s">
        <v>24271</v>
      </c>
      <c r="P531" s="153" t="s">
        <v>24272</v>
      </c>
      <c r="Q531" s="14">
        <v>6327206.0</v>
      </c>
      <c r="R531" s="95"/>
      <c r="S531" s="154" t="s">
        <v>30975</v>
      </c>
      <c r="T531" s="84"/>
      <c r="U531" s="84"/>
      <c r="V531" s="84"/>
      <c r="W531" s="84"/>
      <c r="X531" s="84"/>
      <c r="Y531" s="84"/>
      <c r="Z531" s="84"/>
      <c r="AA531" s="84"/>
      <c r="AB531" s="84"/>
      <c r="AC531" s="84"/>
    </row>
    <row r="532" ht="15.75" customHeight="1">
      <c r="A532" s="14" t="s">
        <v>17</v>
      </c>
      <c r="B532" s="14">
        <v>2012.0</v>
      </c>
      <c r="C532" s="14" t="s">
        <v>24274</v>
      </c>
      <c r="D532" s="14" t="s">
        <v>24275</v>
      </c>
      <c r="E532" s="150" t="str">
        <f t="shared" si="2"/>
        <v>http://dx.doi.org/10.1109/TVCG.2012.287</v>
      </c>
      <c r="F532" s="14">
        <v>2033.0</v>
      </c>
      <c r="G532" s="14">
        <v>2040.0</v>
      </c>
      <c r="H532" s="151"/>
      <c r="I532" s="14" t="s">
        <v>17059</v>
      </c>
      <c r="J532" s="14" t="s">
        <v>24276</v>
      </c>
      <c r="K532" s="14" t="s">
        <v>30977</v>
      </c>
      <c r="L532" s="152" t="s">
        <v>27803</v>
      </c>
      <c r="M532" s="14" t="s">
        <v>30978</v>
      </c>
      <c r="N532" s="54" t="s">
        <v>30977</v>
      </c>
      <c r="O532" s="130" t="s">
        <v>19805</v>
      </c>
      <c r="P532" s="153" t="s">
        <v>24280</v>
      </c>
      <c r="Q532" s="14">
        <v>6327207.0</v>
      </c>
      <c r="R532" s="95"/>
      <c r="S532" s="154">
        <v>4658165.0</v>
      </c>
      <c r="T532" s="84"/>
      <c r="U532" s="84"/>
      <c r="V532" s="84"/>
      <c r="W532" s="84"/>
      <c r="X532" s="84"/>
      <c r="Y532" s="84"/>
      <c r="Z532" s="84"/>
      <c r="AA532" s="84"/>
      <c r="AB532" s="84"/>
      <c r="AC532" s="84"/>
    </row>
    <row r="533" ht="15.75" customHeight="1">
      <c r="A533" s="14" t="s">
        <v>17</v>
      </c>
      <c r="B533" s="14">
        <v>2012.0</v>
      </c>
      <c r="C533" s="14" t="s">
        <v>24281</v>
      </c>
      <c r="D533" s="14" t="s">
        <v>24282</v>
      </c>
      <c r="E533" s="150" t="str">
        <f t="shared" si="2"/>
        <v>http://dx.doi.org/10.1109/TVCG.2012.292</v>
      </c>
      <c r="F533" s="14">
        <v>2236.0</v>
      </c>
      <c r="G533" s="14">
        <v>2244.0</v>
      </c>
      <c r="H533" s="151"/>
      <c r="I533" s="14" t="s">
        <v>17059</v>
      </c>
      <c r="J533" s="14" t="s">
        <v>30987</v>
      </c>
      <c r="K533" s="14" t="s">
        <v>30988</v>
      </c>
      <c r="L533" s="152" t="s">
        <v>27810</v>
      </c>
      <c r="M533" s="14" t="s">
        <v>30989</v>
      </c>
      <c r="N533" s="54" t="s">
        <v>30988</v>
      </c>
      <c r="O533" s="130" t="s">
        <v>24289</v>
      </c>
      <c r="P533" s="153" t="s">
        <v>24290</v>
      </c>
      <c r="Q533" s="14">
        <v>6327228.0</v>
      </c>
      <c r="R533" s="95"/>
      <c r="S533" s="154" t="s">
        <v>30990</v>
      </c>
      <c r="T533" s="84"/>
      <c r="U533" s="84"/>
      <c r="V533" s="84"/>
      <c r="W533" s="84"/>
      <c r="X533" s="84"/>
      <c r="Y533" s="84"/>
      <c r="Z533" s="84"/>
      <c r="AA533" s="84"/>
      <c r="AB533" s="84"/>
      <c r="AC533" s="84"/>
    </row>
    <row r="534" ht="15.75" customHeight="1">
      <c r="A534" s="14" t="s">
        <v>2137</v>
      </c>
      <c r="B534" s="14">
        <v>2011.0</v>
      </c>
      <c r="C534" s="14" t="s">
        <v>22364</v>
      </c>
      <c r="D534" s="14" t="s">
        <v>22365</v>
      </c>
      <c r="E534" s="150" t="str">
        <f t="shared" si="2"/>
        <v>http://dx.doi.org/10.1109/TVCG.2011.160</v>
      </c>
      <c r="F534" s="14">
        <v>2469.0</v>
      </c>
      <c r="G534" s="14">
        <v>2478.0</v>
      </c>
      <c r="H534" s="151"/>
      <c r="I534" s="14" t="s">
        <v>17059</v>
      </c>
      <c r="J534" s="14" t="s">
        <v>22366</v>
      </c>
      <c r="K534" s="14" t="s">
        <v>30993</v>
      </c>
      <c r="L534" s="152" t="s">
        <v>25740</v>
      </c>
      <c r="M534" s="14" t="s">
        <v>30994</v>
      </c>
      <c r="N534" s="54" t="s">
        <v>30993</v>
      </c>
      <c r="O534" s="130" t="s">
        <v>22369</v>
      </c>
      <c r="P534" s="153" t="s">
        <v>22370</v>
      </c>
      <c r="Q534" s="14">
        <v>6065014.0</v>
      </c>
      <c r="R534" s="95"/>
      <c r="S534" s="154" t="s">
        <v>30998</v>
      </c>
      <c r="T534" s="84"/>
      <c r="U534" s="84"/>
      <c r="V534" s="84"/>
      <c r="W534" s="84"/>
      <c r="X534" s="84"/>
      <c r="Y534" s="84"/>
      <c r="Z534" s="84"/>
      <c r="AA534" s="84"/>
      <c r="AB534" s="84"/>
      <c r="AC534" s="84"/>
    </row>
    <row r="535" ht="15.75" customHeight="1">
      <c r="A535" s="14" t="s">
        <v>2137</v>
      </c>
      <c r="B535" s="14">
        <v>2011.0</v>
      </c>
      <c r="C535" s="14" t="s">
        <v>22371</v>
      </c>
      <c r="D535" s="14" t="s">
        <v>22372</v>
      </c>
      <c r="E535" s="150" t="str">
        <f t="shared" si="2"/>
        <v>http://dx.doi.org/10.1109/TVCG.2011.163</v>
      </c>
      <c r="F535" s="14">
        <v>2241.0</v>
      </c>
      <c r="G535" s="14">
        <v>2248.0</v>
      </c>
      <c r="H535" s="151"/>
      <c r="I535" s="14" t="s">
        <v>17059</v>
      </c>
      <c r="J535" s="14" t="s">
        <v>22373</v>
      </c>
      <c r="K535" s="14" t="s">
        <v>31004</v>
      </c>
      <c r="L535" s="152" t="s">
        <v>178</v>
      </c>
      <c r="M535" s="14" t="s">
        <v>31005</v>
      </c>
      <c r="N535" s="54" t="s">
        <v>31004</v>
      </c>
      <c r="O535" s="130" t="s">
        <v>22375</v>
      </c>
      <c r="P535" s="153" t="s">
        <v>22376</v>
      </c>
      <c r="Q535" s="14">
        <v>6064989.0</v>
      </c>
      <c r="R535" s="95"/>
      <c r="S535" s="154" t="s">
        <v>31006</v>
      </c>
      <c r="T535" s="84"/>
      <c r="U535" s="84"/>
      <c r="V535" s="84"/>
      <c r="W535" s="84"/>
      <c r="X535" s="84"/>
      <c r="Y535" s="84"/>
      <c r="Z535" s="84"/>
      <c r="AA535" s="84"/>
      <c r="AB535" s="84"/>
      <c r="AC535" s="84"/>
    </row>
    <row r="536" ht="15.75" customHeight="1">
      <c r="A536" s="14" t="s">
        <v>2137</v>
      </c>
      <c r="B536" s="14">
        <v>2011.0</v>
      </c>
      <c r="C536" s="14" t="s">
        <v>22377</v>
      </c>
      <c r="D536" s="14" t="s">
        <v>22378</v>
      </c>
      <c r="E536" s="150" t="str">
        <f t="shared" si="2"/>
        <v>http://dx.doi.org/10.1109/TVCG.2011.166</v>
      </c>
      <c r="F536" s="14">
        <v>2572.0</v>
      </c>
      <c r="G536" s="14">
        <v>2580.0</v>
      </c>
      <c r="H536" s="151"/>
      <c r="I536" s="14" t="s">
        <v>17059</v>
      </c>
      <c r="J536" s="14" t="s">
        <v>22379</v>
      </c>
      <c r="K536" s="14" t="s">
        <v>31007</v>
      </c>
      <c r="L536" s="152" t="s">
        <v>25751</v>
      </c>
      <c r="M536" s="14" t="s">
        <v>31008</v>
      </c>
      <c r="N536" s="54" t="s">
        <v>31007</v>
      </c>
      <c r="O536" s="130" t="s">
        <v>22383</v>
      </c>
      <c r="P536" s="153" t="s">
        <v>22384</v>
      </c>
      <c r="Q536" s="14">
        <v>6065025.0</v>
      </c>
      <c r="R536" s="95"/>
      <c r="S536" s="154" t="s">
        <v>31009</v>
      </c>
      <c r="T536" s="84"/>
      <c r="U536" s="84"/>
      <c r="V536" s="84"/>
      <c r="W536" s="84"/>
      <c r="X536" s="84"/>
      <c r="Y536" s="84"/>
      <c r="Z536" s="84"/>
      <c r="AA536" s="84"/>
      <c r="AB536" s="84"/>
      <c r="AC536" s="84"/>
    </row>
    <row r="537" ht="15.75" customHeight="1">
      <c r="A537" s="14" t="s">
        <v>2137</v>
      </c>
      <c r="B537" s="14">
        <v>2011.0</v>
      </c>
      <c r="C537" s="14" t="s">
        <v>22385</v>
      </c>
      <c r="D537" s="14" t="s">
        <v>22386</v>
      </c>
      <c r="E537" s="150" t="str">
        <f t="shared" si="2"/>
        <v>http://dx.doi.org/10.1109/TVCG.2011.167</v>
      </c>
      <c r="F537" s="14">
        <v>2276.0</v>
      </c>
      <c r="G537" s="14">
        <v>2282.0</v>
      </c>
      <c r="H537" s="151"/>
      <c r="I537" s="14" t="s">
        <v>17059</v>
      </c>
      <c r="J537" s="14" t="s">
        <v>22387</v>
      </c>
      <c r="K537" s="14" t="s">
        <v>30530</v>
      </c>
      <c r="L537" s="152" t="s">
        <v>494</v>
      </c>
      <c r="M537" s="14" t="s">
        <v>494</v>
      </c>
      <c r="N537" s="54" t="s">
        <v>30530</v>
      </c>
      <c r="O537" s="130" t="s">
        <v>17295</v>
      </c>
      <c r="P537" s="153" t="s">
        <v>22389</v>
      </c>
      <c r="Q537" s="14">
        <v>6064993.0</v>
      </c>
      <c r="R537" s="95"/>
      <c r="S537" s="154">
        <v>4015420.0</v>
      </c>
      <c r="T537" s="84"/>
      <c r="U537" s="84"/>
      <c r="V537" s="84"/>
      <c r="W537" s="84"/>
      <c r="X537" s="84"/>
      <c r="Y537" s="84"/>
      <c r="Z537" s="84"/>
      <c r="AA537" s="84"/>
      <c r="AB537" s="84"/>
      <c r="AC537" s="84"/>
    </row>
    <row r="538" ht="15.75" customHeight="1">
      <c r="A538" s="14" t="s">
        <v>2137</v>
      </c>
      <c r="B538" s="14">
        <v>2011.0</v>
      </c>
      <c r="C538" s="14" t="s">
        <v>22390</v>
      </c>
      <c r="D538" s="14" t="s">
        <v>22391</v>
      </c>
      <c r="E538" s="150" t="str">
        <f t="shared" si="2"/>
        <v>http://dx.doi.org/10.1109/TVCG.2011.169</v>
      </c>
      <c r="F538" s="14">
        <v>2283.0</v>
      </c>
      <c r="G538" s="14">
        <v>2290.0</v>
      </c>
      <c r="H538" s="151"/>
      <c r="I538" s="14" t="s">
        <v>17059</v>
      </c>
      <c r="J538" s="14" t="s">
        <v>22392</v>
      </c>
      <c r="K538" s="14" t="s">
        <v>31010</v>
      </c>
      <c r="L538" s="152" t="s">
        <v>25756</v>
      </c>
      <c r="M538" s="14" t="s">
        <v>31011</v>
      </c>
      <c r="N538" s="54" t="s">
        <v>31010</v>
      </c>
      <c r="O538" s="130" t="s">
        <v>22395</v>
      </c>
      <c r="P538" s="153" t="s">
        <v>22396</v>
      </c>
      <c r="Q538" s="14">
        <v>6064994.0</v>
      </c>
      <c r="R538" s="95"/>
      <c r="S538" s="154" t="s">
        <v>31012</v>
      </c>
      <c r="T538" s="84"/>
      <c r="U538" s="84"/>
      <c r="V538" s="84"/>
      <c r="W538" s="84"/>
      <c r="X538" s="84"/>
      <c r="Y538" s="84"/>
      <c r="Z538" s="84"/>
      <c r="AA538" s="84"/>
      <c r="AB538" s="84"/>
      <c r="AC538" s="84"/>
    </row>
    <row r="539" ht="15.75" customHeight="1">
      <c r="A539" s="14" t="s">
        <v>2137</v>
      </c>
      <c r="B539" s="14">
        <v>2011.0</v>
      </c>
      <c r="C539" s="14" t="s">
        <v>22397</v>
      </c>
      <c r="D539" s="14" t="s">
        <v>22398</v>
      </c>
      <c r="E539" s="150" t="str">
        <f t="shared" si="2"/>
        <v>http://dx.doi.org/10.1109/TVCG.2011.174</v>
      </c>
      <c r="F539" s="14">
        <v>2384.0</v>
      </c>
      <c r="G539" s="14">
        <v>2391.0</v>
      </c>
      <c r="H539" s="151"/>
      <c r="I539" s="14" t="s">
        <v>17059</v>
      </c>
      <c r="J539" s="14" t="s">
        <v>22399</v>
      </c>
      <c r="K539" s="14" t="s">
        <v>31013</v>
      </c>
      <c r="L539" s="152" t="s">
        <v>5349</v>
      </c>
      <c r="M539" s="14" t="s">
        <v>31014</v>
      </c>
      <c r="N539" s="54" t="s">
        <v>31013</v>
      </c>
      <c r="O539" s="130" t="s">
        <v>22402</v>
      </c>
      <c r="P539" s="153" t="s">
        <v>22403</v>
      </c>
      <c r="Q539" s="14">
        <v>6065005.0</v>
      </c>
      <c r="R539" s="95"/>
      <c r="S539" s="154" t="s">
        <v>31015</v>
      </c>
      <c r="T539" s="84"/>
      <c r="U539" s="84"/>
      <c r="V539" s="84"/>
      <c r="W539" s="84"/>
      <c r="X539" s="84"/>
      <c r="Y539" s="84"/>
      <c r="Z539" s="84"/>
      <c r="AA539" s="84"/>
      <c r="AB539" s="84"/>
      <c r="AC539" s="84"/>
    </row>
    <row r="540" ht="15.75" customHeight="1">
      <c r="A540" s="14" t="s">
        <v>2137</v>
      </c>
      <c r="B540" s="14">
        <v>2011.0</v>
      </c>
      <c r="C540" s="14" t="s">
        <v>22404</v>
      </c>
      <c r="D540" s="14" t="s">
        <v>22405</v>
      </c>
      <c r="E540" s="150" t="str">
        <f t="shared" si="2"/>
        <v>http://dx.doi.org/10.1109/TVCG.2011.175</v>
      </c>
      <c r="F540" s="14">
        <v>2213.0</v>
      </c>
      <c r="G540" s="14">
        <v>2222.0</v>
      </c>
      <c r="H540" s="151"/>
      <c r="I540" s="14" t="s">
        <v>17059</v>
      </c>
      <c r="J540" s="14" t="s">
        <v>22406</v>
      </c>
      <c r="K540" s="14" t="s">
        <v>31016</v>
      </c>
      <c r="L540" s="152" t="s">
        <v>494</v>
      </c>
      <c r="M540" s="14" t="s">
        <v>31019</v>
      </c>
      <c r="N540" s="54" t="s">
        <v>31016</v>
      </c>
      <c r="O540" s="130" t="s">
        <v>22409</v>
      </c>
      <c r="P540" s="153" t="s">
        <v>22410</v>
      </c>
      <c r="Q540" s="14">
        <v>6064986.0</v>
      </c>
      <c r="R540" s="95"/>
      <c r="S540" s="154" t="s">
        <v>31021</v>
      </c>
      <c r="T540" s="84"/>
      <c r="U540" s="84"/>
      <c r="V540" s="84"/>
      <c r="W540" s="84"/>
      <c r="X540" s="84"/>
      <c r="Y540" s="84"/>
      <c r="Z540" s="84"/>
      <c r="AA540" s="84"/>
      <c r="AB540" s="84"/>
      <c r="AC540" s="84"/>
    </row>
    <row r="541" ht="15.75" customHeight="1">
      <c r="A541" s="14" t="s">
        <v>2137</v>
      </c>
      <c r="B541" s="14">
        <v>2011.0</v>
      </c>
      <c r="C541" s="14" t="s">
        <v>22411</v>
      </c>
      <c r="D541" s="14" t="s">
        <v>22412</v>
      </c>
      <c r="E541" s="150" t="str">
        <f t="shared" si="2"/>
        <v>http://dx.doi.org/10.1109/TVCG.2011.176</v>
      </c>
      <c r="F541" s="14">
        <v>2374.0</v>
      </c>
      <c r="G541" s="14">
        <v>2383.0</v>
      </c>
      <c r="H541" s="151"/>
      <c r="I541" s="14" t="s">
        <v>17059</v>
      </c>
      <c r="J541" s="14" t="s">
        <v>25765</v>
      </c>
      <c r="K541" s="14" t="s">
        <v>31029</v>
      </c>
      <c r="L541" s="152" t="s">
        <v>1253</v>
      </c>
      <c r="M541" s="14" t="s">
        <v>31030</v>
      </c>
      <c r="N541" s="54" t="s">
        <v>31031</v>
      </c>
      <c r="O541" s="130" t="s">
        <v>22417</v>
      </c>
      <c r="P541" s="153" t="s">
        <v>22418</v>
      </c>
      <c r="Q541" s="14">
        <v>6065004.0</v>
      </c>
      <c r="R541" s="95"/>
      <c r="S541" s="154" t="s">
        <v>31032</v>
      </c>
      <c r="T541" s="84"/>
      <c r="U541" s="84"/>
      <c r="V541" s="84"/>
      <c r="W541" s="84"/>
      <c r="X541" s="84"/>
      <c r="Y541" s="84"/>
      <c r="Z541" s="84"/>
      <c r="AA541" s="84"/>
      <c r="AB541" s="84"/>
      <c r="AC541" s="84"/>
    </row>
    <row r="542" ht="15.75" customHeight="1">
      <c r="A542" s="14" t="s">
        <v>2137</v>
      </c>
      <c r="B542" s="14">
        <v>2011.0</v>
      </c>
      <c r="C542" s="14" t="s">
        <v>22419</v>
      </c>
      <c r="D542" s="14" t="s">
        <v>22420</v>
      </c>
      <c r="E542" s="150" t="str">
        <f t="shared" si="2"/>
        <v>http://dx.doi.org/10.1109/TVCG.2011.178</v>
      </c>
      <c r="F542" s="14">
        <v>2591.0</v>
      </c>
      <c r="G542" s="14">
        <v>2599.0</v>
      </c>
      <c r="H542" s="151"/>
      <c r="I542" s="14" t="s">
        <v>17059</v>
      </c>
      <c r="J542" s="14" t="s">
        <v>22421</v>
      </c>
      <c r="K542" s="14" t="s">
        <v>31033</v>
      </c>
      <c r="L542" s="152" t="s">
        <v>25770</v>
      </c>
      <c r="M542" s="14" t="s">
        <v>31034</v>
      </c>
      <c r="N542" s="54" t="s">
        <v>31035</v>
      </c>
      <c r="O542" s="130" t="s">
        <v>22424</v>
      </c>
      <c r="P542" s="153" t="s">
        <v>22425</v>
      </c>
      <c r="Q542" s="14">
        <v>6065027.0</v>
      </c>
      <c r="R542" s="95"/>
      <c r="S542" s="154" t="s">
        <v>31037</v>
      </c>
      <c r="T542" s="84"/>
      <c r="U542" s="84"/>
      <c r="V542" s="84"/>
      <c r="W542" s="84"/>
      <c r="X542" s="84"/>
      <c r="Y542" s="84"/>
      <c r="Z542" s="84"/>
      <c r="AA542" s="84"/>
      <c r="AB542" s="84"/>
      <c r="AC542" s="84"/>
    </row>
    <row r="543" ht="15.75" customHeight="1">
      <c r="A543" s="14" t="s">
        <v>2137</v>
      </c>
      <c r="B543" s="14">
        <v>2011.0</v>
      </c>
      <c r="C543" s="14" t="s">
        <v>22426</v>
      </c>
      <c r="D543" s="14" t="s">
        <v>22427</v>
      </c>
      <c r="E543" s="150" t="str">
        <f t="shared" si="2"/>
        <v>http://dx.doi.org/10.1109/TVCG.2011.179</v>
      </c>
      <c r="F543" s="14">
        <v>2432.0</v>
      </c>
      <c r="G543" s="14">
        <v>2439.0</v>
      </c>
      <c r="H543" s="151"/>
      <c r="I543" s="14" t="s">
        <v>17059</v>
      </c>
      <c r="J543" s="14" t="s">
        <v>22428</v>
      </c>
      <c r="K543" s="14" t="s">
        <v>31047</v>
      </c>
      <c r="L543" s="152" t="s">
        <v>25772</v>
      </c>
      <c r="M543" s="14" t="s">
        <v>31048</v>
      </c>
      <c r="N543" s="54" t="s">
        <v>31047</v>
      </c>
      <c r="O543" s="130" t="s">
        <v>22431</v>
      </c>
      <c r="P543" s="153" t="s">
        <v>22432</v>
      </c>
      <c r="Q543" s="14">
        <v>6065010.0</v>
      </c>
      <c r="R543" s="95"/>
      <c r="S543" s="154" t="s">
        <v>31049</v>
      </c>
      <c r="T543" s="84"/>
      <c r="U543" s="84"/>
      <c r="V543" s="84"/>
      <c r="W543" s="84"/>
      <c r="X543" s="84"/>
      <c r="Y543" s="84"/>
      <c r="Z543" s="84"/>
      <c r="AA543" s="84"/>
      <c r="AB543" s="84"/>
      <c r="AC543" s="84"/>
    </row>
    <row r="544" ht="15.75" customHeight="1">
      <c r="A544" s="14" t="s">
        <v>2137</v>
      </c>
      <c r="B544" s="14">
        <v>2011.0</v>
      </c>
      <c r="C544" s="14" t="s">
        <v>22433</v>
      </c>
      <c r="D544" s="14" t="s">
        <v>22434</v>
      </c>
      <c r="E544" s="150" t="str">
        <f t="shared" si="2"/>
        <v>http://dx.doi.org/10.1109/TVCG.2011.181</v>
      </c>
      <c r="F544" s="14">
        <v>2518.0</v>
      </c>
      <c r="G544" s="14">
        <v>2527.0</v>
      </c>
      <c r="H544" s="151"/>
      <c r="I544" s="14" t="s">
        <v>17059</v>
      </c>
      <c r="J544" s="14" t="s">
        <v>22435</v>
      </c>
      <c r="K544" s="14" t="s">
        <v>31050</v>
      </c>
      <c r="L544" s="152" t="s">
        <v>25774</v>
      </c>
      <c r="M544" s="14" t="s">
        <v>31051</v>
      </c>
      <c r="N544" s="54" t="s">
        <v>31050</v>
      </c>
      <c r="O544" s="130" t="s">
        <v>22439</v>
      </c>
      <c r="P544" s="153" t="s">
        <v>22440</v>
      </c>
      <c r="Q544" s="14">
        <v>6065019.0</v>
      </c>
      <c r="R544" s="95"/>
      <c r="S544" s="154" t="s">
        <v>31052</v>
      </c>
      <c r="T544" s="84"/>
      <c r="U544" s="84"/>
      <c r="V544" s="84"/>
      <c r="W544" s="84"/>
      <c r="X544" s="84"/>
      <c r="Y544" s="84"/>
      <c r="Z544" s="84"/>
      <c r="AA544" s="84"/>
      <c r="AB544" s="84"/>
      <c r="AC544" s="84"/>
    </row>
    <row r="545" ht="15.75" customHeight="1">
      <c r="A545" s="14" t="s">
        <v>2137</v>
      </c>
      <c r="B545" s="14">
        <v>2011.0</v>
      </c>
      <c r="C545" s="14" t="s">
        <v>22441</v>
      </c>
      <c r="D545" s="14" t="s">
        <v>22442</v>
      </c>
      <c r="E545" s="150" t="str">
        <f t="shared" si="2"/>
        <v>http://dx.doi.org/10.1109/TVCG.2011.183</v>
      </c>
      <c r="F545" s="14">
        <v>2249.0</v>
      </c>
      <c r="G545" s="14">
        <v>2258.0</v>
      </c>
      <c r="H545" s="151"/>
      <c r="I545" s="14" t="s">
        <v>17059</v>
      </c>
      <c r="J545" s="14" t="s">
        <v>22443</v>
      </c>
      <c r="K545" s="14" t="s">
        <v>31061</v>
      </c>
      <c r="L545" s="152" t="s">
        <v>880</v>
      </c>
      <c r="M545" s="14" t="s">
        <v>31062</v>
      </c>
      <c r="N545" s="54" t="s">
        <v>31061</v>
      </c>
      <c r="O545" s="130" t="s">
        <v>22446</v>
      </c>
      <c r="P545" s="153" t="s">
        <v>22447</v>
      </c>
      <c r="Q545" s="14">
        <v>6064990.0</v>
      </c>
      <c r="R545" s="95"/>
      <c r="S545" s="154" t="s">
        <v>31066</v>
      </c>
      <c r="T545" s="84"/>
      <c r="U545" s="84"/>
      <c r="V545" s="84"/>
      <c r="W545" s="84"/>
      <c r="X545" s="84"/>
      <c r="Y545" s="84"/>
      <c r="Z545" s="84"/>
      <c r="AA545" s="84"/>
      <c r="AB545" s="84"/>
      <c r="AC545" s="84"/>
    </row>
    <row r="546" ht="15.75" customHeight="1">
      <c r="A546" s="14" t="s">
        <v>2137</v>
      </c>
      <c r="B546" s="14">
        <v>2011.0</v>
      </c>
      <c r="C546" s="14" t="s">
        <v>31067</v>
      </c>
      <c r="D546" s="14" t="s">
        <v>22449</v>
      </c>
      <c r="E546" s="150" t="str">
        <f t="shared" si="2"/>
        <v>http://dx.doi.org/10.1109/TVCG.2011.185</v>
      </c>
      <c r="F546" s="14">
        <v>2301.0</v>
      </c>
      <c r="G546" s="14">
        <v>2309.0</v>
      </c>
      <c r="H546" s="151"/>
      <c r="I546" s="14" t="s">
        <v>17059</v>
      </c>
      <c r="J546" s="14" t="s">
        <v>22450</v>
      </c>
      <c r="K546" s="14" t="s">
        <v>31068</v>
      </c>
      <c r="L546" s="152" t="s">
        <v>25807</v>
      </c>
      <c r="M546" s="14" t="s">
        <v>31069</v>
      </c>
      <c r="N546" s="54" t="s">
        <v>31068</v>
      </c>
      <c r="O546" s="130" t="s">
        <v>22452</v>
      </c>
      <c r="P546" s="153" t="s">
        <v>20228</v>
      </c>
      <c r="Q546" s="14">
        <v>6064996.0</v>
      </c>
      <c r="R546" s="95"/>
      <c r="S546" s="154" t="s">
        <v>31070</v>
      </c>
      <c r="T546" s="84"/>
      <c r="U546" s="84"/>
      <c r="V546" s="84"/>
      <c r="W546" s="84"/>
      <c r="X546" s="84"/>
      <c r="Y546" s="84"/>
      <c r="Z546" s="84"/>
      <c r="AA546" s="84"/>
      <c r="AB546" s="84"/>
      <c r="AC546" s="84"/>
    </row>
    <row r="547" ht="15.75" customHeight="1">
      <c r="A547" s="14" t="s">
        <v>2137</v>
      </c>
      <c r="B547" s="14">
        <v>2011.0</v>
      </c>
      <c r="C547" s="14" t="s">
        <v>22453</v>
      </c>
      <c r="D547" s="14" t="s">
        <v>22454</v>
      </c>
      <c r="E547" s="150" t="str">
        <f t="shared" si="2"/>
        <v>http://dx.doi.org/10.1109/TVCG.2011.186</v>
      </c>
      <c r="F547" s="14">
        <v>2259.0</v>
      </c>
      <c r="G547" s="14">
        <v>2267.0</v>
      </c>
      <c r="H547" s="151"/>
      <c r="I547" s="14" t="s">
        <v>17059</v>
      </c>
      <c r="J547" s="14" t="s">
        <v>22455</v>
      </c>
      <c r="K547" s="14" t="s">
        <v>31072</v>
      </c>
      <c r="L547" s="152" t="s">
        <v>5349</v>
      </c>
      <c r="M547" s="14" t="s">
        <v>31073</v>
      </c>
      <c r="N547" s="54" t="s">
        <v>31074</v>
      </c>
      <c r="O547" s="130" t="s">
        <v>22459</v>
      </c>
      <c r="P547" s="158" t="s">
        <v>31076</v>
      </c>
      <c r="Q547" s="14">
        <v>6064991.0</v>
      </c>
      <c r="R547" s="95"/>
      <c r="S547" s="154" t="s">
        <v>31078</v>
      </c>
      <c r="T547" s="84"/>
      <c r="U547" s="84"/>
      <c r="V547" s="84"/>
      <c r="W547" s="84"/>
      <c r="X547" s="84"/>
      <c r="Y547" s="84"/>
      <c r="Z547" s="84"/>
      <c r="AA547" s="84"/>
      <c r="AB547" s="84"/>
      <c r="AC547" s="84"/>
    </row>
    <row r="548" ht="15.75" customHeight="1">
      <c r="A548" s="14" t="s">
        <v>2137</v>
      </c>
      <c r="B548" s="14">
        <v>2011.0</v>
      </c>
      <c r="C548" s="14" t="s">
        <v>22461</v>
      </c>
      <c r="D548" s="14" t="s">
        <v>22462</v>
      </c>
      <c r="E548" s="150" t="str">
        <f t="shared" si="2"/>
        <v>http://dx.doi.org/10.1109/TVCG.2011.187</v>
      </c>
      <c r="F548" s="14">
        <v>2268.0</v>
      </c>
      <c r="G548" s="14">
        <v>2275.0</v>
      </c>
      <c r="H548" s="151"/>
      <c r="I548" s="14" t="s">
        <v>17059</v>
      </c>
      <c r="J548" s="14" t="s">
        <v>22463</v>
      </c>
      <c r="K548" s="14" t="s">
        <v>31083</v>
      </c>
      <c r="L548" s="152" t="s">
        <v>178</v>
      </c>
      <c r="M548" s="14" t="s">
        <v>31084</v>
      </c>
      <c r="N548" s="54" t="s">
        <v>31083</v>
      </c>
      <c r="O548" s="130" t="s">
        <v>22466</v>
      </c>
      <c r="P548" s="153" t="s">
        <v>22467</v>
      </c>
      <c r="Q548" s="14">
        <v>6064992.0</v>
      </c>
      <c r="R548" s="95"/>
      <c r="S548" s="154" t="s">
        <v>31085</v>
      </c>
      <c r="T548" s="84"/>
      <c r="U548" s="84"/>
      <c r="V548" s="84"/>
      <c r="W548" s="84"/>
      <c r="X548" s="84"/>
      <c r="Y548" s="84"/>
      <c r="Z548" s="84"/>
      <c r="AA548" s="84"/>
      <c r="AB548" s="84"/>
      <c r="AC548" s="84"/>
    </row>
    <row r="549" ht="15.75" customHeight="1">
      <c r="A549" s="14" t="s">
        <v>2137</v>
      </c>
      <c r="B549" s="14">
        <v>2011.0</v>
      </c>
      <c r="C549" s="14" t="s">
        <v>22468</v>
      </c>
      <c r="D549" s="14" t="s">
        <v>22469</v>
      </c>
      <c r="E549" s="150" t="str">
        <f t="shared" si="2"/>
        <v>http://dx.doi.org/10.1109/TVCG.2011.188</v>
      </c>
      <c r="F549" s="14">
        <v>2581.0</v>
      </c>
      <c r="G549" s="14">
        <v>2590.0</v>
      </c>
      <c r="H549" s="151"/>
      <c r="I549" s="14" t="s">
        <v>17059</v>
      </c>
      <c r="J549" s="14" t="s">
        <v>22470</v>
      </c>
      <c r="K549" s="14" t="s">
        <v>31087</v>
      </c>
      <c r="L549" s="152" t="s">
        <v>25839</v>
      </c>
      <c r="M549" s="14" t="s">
        <v>31088</v>
      </c>
      <c r="N549" s="54" t="s">
        <v>31087</v>
      </c>
      <c r="O549" s="130" t="s">
        <v>22473</v>
      </c>
      <c r="P549" s="153" t="s">
        <v>22474</v>
      </c>
      <c r="Q549" s="14">
        <v>6065026.0</v>
      </c>
      <c r="R549" s="95"/>
      <c r="S549" s="154" t="s">
        <v>31089</v>
      </c>
      <c r="T549" s="84"/>
      <c r="U549" s="84"/>
      <c r="V549" s="84"/>
      <c r="W549" s="84"/>
      <c r="X549" s="84"/>
      <c r="Y549" s="84"/>
      <c r="Z549" s="84"/>
      <c r="AA549" s="84"/>
      <c r="AB549" s="84"/>
      <c r="AC549" s="84"/>
    </row>
    <row r="550" ht="15.75" customHeight="1">
      <c r="A550" s="14" t="s">
        <v>2137</v>
      </c>
      <c r="B550" s="14">
        <v>2011.0</v>
      </c>
      <c r="C550" s="14" t="s">
        <v>22475</v>
      </c>
      <c r="D550" s="14" t="s">
        <v>22476</v>
      </c>
      <c r="E550" s="150" t="str">
        <f t="shared" si="2"/>
        <v>http://dx.doi.org/10.1109/TVCG.2011.190</v>
      </c>
      <c r="F550" s="14">
        <v>2354.0</v>
      </c>
      <c r="G550" s="14">
        <v>2363.0</v>
      </c>
      <c r="H550" s="151"/>
      <c r="I550" s="14" t="s">
        <v>17059</v>
      </c>
      <c r="J550" s="14" t="s">
        <v>25861</v>
      </c>
      <c r="K550" s="14" t="s">
        <v>31090</v>
      </c>
      <c r="L550" s="152" t="s">
        <v>25807</v>
      </c>
      <c r="M550" s="14" t="s">
        <v>31091</v>
      </c>
      <c r="N550" s="54" t="s">
        <v>31090</v>
      </c>
      <c r="O550" s="130" t="s">
        <v>22479</v>
      </c>
      <c r="P550" s="153" t="s">
        <v>22480</v>
      </c>
      <c r="Q550" s="14">
        <v>6065002.0</v>
      </c>
      <c r="R550" s="95"/>
      <c r="S550" s="154" t="s">
        <v>31092</v>
      </c>
      <c r="T550" s="84"/>
      <c r="U550" s="84"/>
      <c r="V550" s="84"/>
      <c r="W550" s="84"/>
      <c r="X550" s="84"/>
      <c r="Y550" s="84"/>
      <c r="Z550" s="84"/>
      <c r="AA550" s="84"/>
      <c r="AB550" s="84"/>
      <c r="AC550" s="84"/>
    </row>
    <row r="551" ht="15.75" customHeight="1">
      <c r="A551" s="14" t="s">
        <v>2137</v>
      </c>
      <c r="B551" s="14">
        <v>2011.0</v>
      </c>
      <c r="C551" s="14" t="s">
        <v>22481</v>
      </c>
      <c r="D551" s="14" t="s">
        <v>22482</v>
      </c>
      <c r="E551" s="150" t="str">
        <f t="shared" si="2"/>
        <v>http://dx.doi.org/10.1109/TVCG.2011.191</v>
      </c>
      <c r="F551" s="14">
        <v>2555.0</v>
      </c>
      <c r="G551" s="14">
        <v>2562.0</v>
      </c>
      <c r="H551" s="151"/>
      <c r="I551" s="14" t="s">
        <v>17059</v>
      </c>
      <c r="J551" s="14" t="s">
        <v>22483</v>
      </c>
      <c r="K551" s="14" t="s">
        <v>31094</v>
      </c>
      <c r="L551" s="152" t="s">
        <v>31095</v>
      </c>
      <c r="M551" s="14" t="s">
        <v>31096</v>
      </c>
      <c r="N551" s="54" t="s">
        <v>31094</v>
      </c>
      <c r="O551" s="130" t="s">
        <v>22486</v>
      </c>
      <c r="P551" s="153" t="s">
        <v>22487</v>
      </c>
      <c r="Q551" s="14">
        <v>6065023.0</v>
      </c>
      <c r="R551" s="95"/>
      <c r="S551" s="154" t="s">
        <v>31097</v>
      </c>
      <c r="T551" s="84"/>
      <c r="U551" s="84"/>
      <c r="V551" s="84"/>
      <c r="W551" s="84"/>
      <c r="X551" s="84"/>
      <c r="Y551" s="84"/>
      <c r="Z551" s="84"/>
      <c r="AA551" s="84"/>
      <c r="AB551" s="84"/>
      <c r="AC551" s="84"/>
    </row>
    <row r="552" ht="15.75" customHeight="1">
      <c r="A552" s="14" t="s">
        <v>2137</v>
      </c>
      <c r="B552" s="14">
        <v>2011.0</v>
      </c>
      <c r="C552" s="14" t="s">
        <v>22488</v>
      </c>
      <c r="D552" s="14" t="s">
        <v>22489</v>
      </c>
      <c r="E552" s="150" t="str">
        <f t="shared" si="2"/>
        <v>http://dx.doi.org/10.1109/TVCG.2011.192</v>
      </c>
      <c r="F552" s="14">
        <v>2479.0</v>
      </c>
      <c r="G552" s="14">
        <v>2488.0</v>
      </c>
      <c r="H552" s="151"/>
      <c r="I552" s="14" t="s">
        <v>17059</v>
      </c>
      <c r="J552" s="14" t="s">
        <v>22490</v>
      </c>
      <c r="K552" s="14" t="s">
        <v>31098</v>
      </c>
      <c r="L552" s="152" t="s">
        <v>23953</v>
      </c>
      <c r="M552" s="14" t="s">
        <v>31099</v>
      </c>
      <c r="N552" s="54" t="s">
        <v>31098</v>
      </c>
      <c r="O552" s="130" t="s">
        <v>22494</v>
      </c>
      <c r="P552" s="153" t="s">
        <v>22495</v>
      </c>
      <c r="Q552" s="14">
        <v>6065015.0</v>
      </c>
      <c r="R552" s="95"/>
      <c r="S552" s="154" t="s">
        <v>31100</v>
      </c>
      <c r="T552" s="84"/>
      <c r="U552" s="84"/>
      <c r="V552" s="84"/>
      <c r="W552" s="84"/>
      <c r="X552" s="84"/>
      <c r="Y552" s="84"/>
      <c r="Z552" s="84"/>
      <c r="AA552" s="84"/>
      <c r="AB552" s="84"/>
      <c r="AC552" s="84"/>
    </row>
    <row r="553" ht="15.75" customHeight="1">
      <c r="A553" s="14" t="s">
        <v>2137</v>
      </c>
      <c r="B553" s="14">
        <v>2011.0</v>
      </c>
      <c r="C553" s="14" t="s">
        <v>22496</v>
      </c>
      <c r="D553" s="14" t="s">
        <v>22497</v>
      </c>
      <c r="E553" s="150" t="str">
        <f t="shared" si="2"/>
        <v>http://dx.doi.org/10.1109/TVCG.2011.193</v>
      </c>
      <c r="F553" s="14">
        <v>2440.0</v>
      </c>
      <c r="G553" s="14">
        <v>2448.0</v>
      </c>
      <c r="H553" s="151"/>
      <c r="I553" s="14" t="s">
        <v>17059</v>
      </c>
      <c r="J553" s="14" t="s">
        <v>22498</v>
      </c>
      <c r="K553" s="14" t="s">
        <v>31101</v>
      </c>
      <c r="L553" s="152" t="s">
        <v>25888</v>
      </c>
      <c r="M553" s="14" t="s">
        <v>31102</v>
      </c>
      <c r="N553" s="54" t="s">
        <v>31101</v>
      </c>
      <c r="O553" s="130" t="s">
        <v>22502</v>
      </c>
      <c r="P553" s="153" t="s">
        <v>22503</v>
      </c>
      <c r="Q553" s="14">
        <v>6065011.0</v>
      </c>
      <c r="R553" s="95"/>
      <c r="S553" s="154" t="s">
        <v>31103</v>
      </c>
      <c r="T553" s="84"/>
      <c r="U553" s="84"/>
      <c r="V553" s="84"/>
      <c r="W553" s="84"/>
      <c r="X553" s="84"/>
      <c r="Y553" s="84"/>
      <c r="Z553" s="84"/>
      <c r="AA553" s="84"/>
      <c r="AB553" s="84"/>
      <c r="AC553" s="84"/>
    </row>
    <row r="554" ht="15.75" customHeight="1">
      <c r="A554" s="14" t="s">
        <v>2137</v>
      </c>
      <c r="B554" s="14">
        <v>2011.0</v>
      </c>
      <c r="C554" s="14" t="s">
        <v>22504</v>
      </c>
      <c r="D554" s="14" t="s">
        <v>22505</v>
      </c>
      <c r="E554" s="150" t="str">
        <f t="shared" si="2"/>
        <v>http://dx.doi.org/10.1109/TVCG.2011.195</v>
      </c>
      <c r="F554" s="14">
        <v>2422.0</v>
      </c>
      <c r="G554" s="14">
        <v>2431.0</v>
      </c>
      <c r="H554" s="151"/>
      <c r="I554" s="14" t="s">
        <v>17059</v>
      </c>
      <c r="J554" s="14" t="s">
        <v>22506</v>
      </c>
      <c r="K554" s="14" t="s">
        <v>31104</v>
      </c>
      <c r="L554" s="152" t="s">
        <v>25912</v>
      </c>
      <c r="M554" s="14" t="s">
        <v>31105</v>
      </c>
      <c r="N554" s="54" t="s">
        <v>31104</v>
      </c>
      <c r="O554" s="130" t="s">
        <v>22509</v>
      </c>
      <c r="P554" s="153" t="s">
        <v>22510</v>
      </c>
      <c r="Q554" s="14">
        <v>6065009.0</v>
      </c>
      <c r="R554" s="95"/>
      <c r="S554" s="154" t="s">
        <v>31106</v>
      </c>
      <c r="T554" s="84"/>
      <c r="U554" s="84"/>
      <c r="V554" s="84"/>
      <c r="W554" s="84"/>
      <c r="X554" s="84"/>
      <c r="Y554" s="84"/>
      <c r="Z554" s="84"/>
      <c r="AA554" s="84"/>
      <c r="AB554" s="84"/>
      <c r="AC554" s="84"/>
    </row>
    <row r="555" ht="15.75" customHeight="1">
      <c r="A555" s="14" t="s">
        <v>2137</v>
      </c>
      <c r="B555" s="14">
        <v>2011.0</v>
      </c>
      <c r="C555" s="14" t="s">
        <v>22511</v>
      </c>
      <c r="D555" s="14" t="s">
        <v>22512</v>
      </c>
      <c r="E555" s="150" t="str">
        <f t="shared" si="2"/>
        <v>http://dx.doi.org/10.1109/TVCG.2011.196</v>
      </c>
      <c r="F555" s="14">
        <v>2489.0</v>
      </c>
      <c r="G555" s="14">
        <v>2497.0</v>
      </c>
      <c r="H555" s="151"/>
      <c r="I555" s="14" t="s">
        <v>17059</v>
      </c>
      <c r="J555" s="14" t="s">
        <v>22513</v>
      </c>
      <c r="K555" s="14" t="s">
        <v>31107</v>
      </c>
      <c r="L555" s="152" t="s">
        <v>178</v>
      </c>
      <c r="M555" s="14" t="s">
        <v>31108</v>
      </c>
      <c r="N555" s="54" t="s">
        <v>31107</v>
      </c>
      <c r="O555" s="130" t="s">
        <v>22516</v>
      </c>
      <c r="P555" s="153" t="s">
        <v>22517</v>
      </c>
      <c r="Q555" s="14">
        <v>6065016.0</v>
      </c>
      <c r="R555" s="95"/>
      <c r="S555" s="154" t="s">
        <v>31109</v>
      </c>
      <c r="T555" s="84"/>
      <c r="U555" s="84"/>
      <c r="V555" s="84"/>
      <c r="W555" s="84"/>
      <c r="X555" s="84"/>
      <c r="Y555" s="84"/>
      <c r="Z555" s="84"/>
      <c r="AA555" s="84"/>
      <c r="AB555" s="84"/>
      <c r="AC555" s="84"/>
    </row>
    <row r="556" ht="15.75" customHeight="1">
      <c r="A556" s="14" t="s">
        <v>2137</v>
      </c>
      <c r="B556" s="14">
        <v>2011.0</v>
      </c>
      <c r="C556" s="14" t="s">
        <v>22518</v>
      </c>
      <c r="D556" s="14" t="s">
        <v>22519</v>
      </c>
      <c r="E556" s="150" t="str">
        <f t="shared" si="2"/>
        <v>http://dx.doi.org/10.1109/TVCG.2011.197</v>
      </c>
      <c r="F556" s="14">
        <v>2545.0</v>
      </c>
      <c r="G556" s="14">
        <v>2554.0</v>
      </c>
      <c r="H556" s="151"/>
      <c r="I556" s="14" t="s">
        <v>17059</v>
      </c>
      <c r="J556" s="14" t="s">
        <v>22520</v>
      </c>
      <c r="K556" s="14" t="s">
        <v>31110</v>
      </c>
      <c r="L556" s="152" t="s">
        <v>494</v>
      </c>
      <c r="M556" s="14" t="s">
        <v>31111</v>
      </c>
      <c r="N556" s="54" t="s">
        <v>31110</v>
      </c>
      <c r="O556" s="130" t="s">
        <v>22522</v>
      </c>
      <c r="P556" s="153" t="s">
        <v>22523</v>
      </c>
      <c r="Q556" s="14">
        <v>6065022.0</v>
      </c>
      <c r="R556" s="95"/>
      <c r="S556" s="154" t="s">
        <v>31112</v>
      </c>
      <c r="T556" s="84"/>
      <c r="U556" s="84"/>
      <c r="V556" s="84"/>
      <c r="W556" s="84"/>
      <c r="X556" s="84"/>
      <c r="Y556" s="84"/>
      <c r="Z556" s="84"/>
      <c r="AA556" s="84"/>
      <c r="AB556" s="84"/>
      <c r="AC556" s="84"/>
    </row>
    <row r="557" ht="15.75" customHeight="1">
      <c r="A557" s="14" t="s">
        <v>2137</v>
      </c>
      <c r="B557" s="14">
        <v>2011.0</v>
      </c>
      <c r="C557" s="14" t="s">
        <v>22524</v>
      </c>
      <c r="D557" s="14" t="s">
        <v>22525</v>
      </c>
      <c r="E557" s="150" t="str">
        <f t="shared" si="2"/>
        <v>http://dx.doi.org/10.1109/TVCG.2011.201</v>
      </c>
      <c r="F557" s="14">
        <v>2310.0</v>
      </c>
      <c r="G557" s="14">
        <v>2316.0</v>
      </c>
      <c r="H557" s="151"/>
      <c r="I557" s="14" t="s">
        <v>17059</v>
      </c>
      <c r="J557" s="14" t="s">
        <v>22526</v>
      </c>
      <c r="K557" s="14" t="s">
        <v>31113</v>
      </c>
      <c r="L557" s="152" t="s">
        <v>25981</v>
      </c>
      <c r="M557" s="14" t="s">
        <v>31114</v>
      </c>
      <c r="N557" s="54" t="s">
        <v>31113</v>
      </c>
      <c r="O557" s="130" t="s">
        <v>22530</v>
      </c>
      <c r="P557" s="153" t="s">
        <v>22531</v>
      </c>
      <c r="Q557" s="14">
        <v>6064997.0</v>
      </c>
      <c r="R557" s="95"/>
      <c r="S557" s="154" t="s">
        <v>31115</v>
      </c>
      <c r="T557" s="84"/>
      <c r="U557" s="84"/>
      <c r="V557" s="84"/>
      <c r="W557" s="84"/>
      <c r="X557" s="84"/>
      <c r="Y557" s="84"/>
      <c r="Z557" s="84"/>
      <c r="AA557" s="84"/>
      <c r="AB557" s="84"/>
      <c r="AC557" s="84"/>
    </row>
    <row r="558" ht="15.75" customHeight="1">
      <c r="A558" s="14" t="s">
        <v>2137</v>
      </c>
      <c r="B558" s="14">
        <v>2011.0</v>
      </c>
      <c r="C558" s="14" t="s">
        <v>22532</v>
      </c>
      <c r="D558" s="14" t="s">
        <v>22533</v>
      </c>
      <c r="E558" s="150" t="str">
        <f t="shared" si="2"/>
        <v>http://dx.doi.org/10.1109/TVCG.2011.202</v>
      </c>
      <c r="F558" s="14">
        <v>2536.0</v>
      </c>
      <c r="G558" s="14">
        <v>2544.0</v>
      </c>
      <c r="H558" s="151"/>
      <c r="I558" s="14" t="s">
        <v>17059</v>
      </c>
      <c r="J558" s="14" t="s">
        <v>22534</v>
      </c>
      <c r="K558" s="14" t="s">
        <v>31116</v>
      </c>
      <c r="L558" s="152" t="s">
        <v>25999</v>
      </c>
      <c r="M558" s="14" t="s">
        <v>31117</v>
      </c>
      <c r="N558" s="54" t="s">
        <v>31116</v>
      </c>
      <c r="O558" s="130" t="s">
        <v>22537</v>
      </c>
      <c r="P558" s="153" t="s">
        <v>22538</v>
      </c>
      <c r="Q558" s="14">
        <v>6065021.0</v>
      </c>
      <c r="R558" s="95"/>
      <c r="S558" s="154" t="s">
        <v>31118</v>
      </c>
      <c r="T558" s="84"/>
      <c r="U558" s="84"/>
      <c r="V558" s="84"/>
      <c r="W558" s="84"/>
      <c r="X558" s="84"/>
      <c r="Y558" s="84"/>
      <c r="Z558" s="84"/>
      <c r="AA558" s="84"/>
      <c r="AB558" s="84"/>
      <c r="AC558" s="84"/>
    </row>
    <row r="559" ht="15.75" customHeight="1">
      <c r="A559" s="14" t="s">
        <v>2137</v>
      </c>
      <c r="B559" s="14">
        <v>2011.0</v>
      </c>
      <c r="C559" s="14" t="s">
        <v>22539</v>
      </c>
      <c r="D559" s="14" t="s">
        <v>22540</v>
      </c>
      <c r="E559" s="150" t="str">
        <f t="shared" si="2"/>
        <v>http://dx.doi.org/10.1109/TVCG.2011.205</v>
      </c>
      <c r="F559" s="14">
        <v>2528.0</v>
      </c>
      <c r="G559" s="14">
        <v>2535.0</v>
      </c>
      <c r="H559" s="151"/>
      <c r="I559" s="14" t="s">
        <v>17059</v>
      </c>
      <c r="J559" s="14" t="s">
        <v>22541</v>
      </c>
      <c r="K559" s="14" t="s">
        <v>22542</v>
      </c>
      <c r="L559" s="152" t="s">
        <v>178</v>
      </c>
      <c r="M559" s="14" t="s">
        <v>31121</v>
      </c>
      <c r="N559" s="54" t="s">
        <v>22542</v>
      </c>
      <c r="O559" s="130" t="s">
        <v>22544</v>
      </c>
      <c r="P559" s="153" t="s">
        <v>22545</v>
      </c>
      <c r="Q559" s="14">
        <v>6065020.0</v>
      </c>
      <c r="R559" s="95"/>
      <c r="S559" s="154" t="s">
        <v>31123</v>
      </c>
      <c r="T559" s="84"/>
      <c r="U559" s="84"/>
      <c r="V559" s="84"/>
      <c r="W559" s="84"/>
      <c r="X559" s="84"/>
      <c r="Y559" s="84"/>
      <c r="Z559" s="84"/>
      <c r="AA559" s="84"/>
      <c r="AB559" s="84"/>
      <c r="AC559" s="84"/>
    </row>
    <row r="560" ht="15.75" customHeight="1">
      <c r="A560" s="14" t="s">
        <v>2137</v>
      </c>
      <c r="B560" s="14">
        <v>2011.0</v>
      </c>
      <c r="C560" s="14" t="s">
        <v>22546</v>
      </c>
      <c r="D560" s="14" t="s">
        <v>22547</v>
      </c>
      <c r="E560" s="150" t="str">
        <f t="shared" si="2"/>
        <v>http://dx.doi.org/10.1109/TVCG.2011.209</v>
      </c>
      <c r="F560" s="14">
        <v>2498.0</v>
      </c>
      <c r="G560" s="14">
        <v>2507.0</v>
      </c>
      <c r="H560" s="151"/>
      <c r="I560" s="14" t="s">
        <v>17059</v>
      </c>
      <c r="J560" s="14" t="s">
        <v>22548</v>
      </c>
      <c r="K560" s="14" t="s">
        <v>31124</v>
      </c>
      <c r="L560" s="152" t="s">
        <v>26087</v>
      </c>
      <c r="M560" s="14" t="s">
        <v>31125</v>
      </c>
      <c r="N560" s="54" t="s">
        <v>31124</v>
      </c>
      <c r="O560" s="130" t="s">
        <v>22550</v>
      </c>
      <c r="P560" s="153" t="s">
        <v>22551</v>
      </c>
      <c r="Q560" s="14">
        <v>6065017.0</v>
      </c>
      <c r="R560" s="95"/>
      <c r="S560" s="154" t="s">
        <v>31126</v>
      </c>
      <c r="T560" s="84"/>
      <c r="U560" s="84"/>
      <c r="V560" s="84"/>
      <c r="W560" s="84"/>
      <c r="X560" s="84"/>
      <c r="Y560" s="84"/>
      <c r="Z560" s="84"/>
      <c r="AA560" s="84"/>
      <c r="AB560" s="84"/>
      <c r="AC560" s="84"/>
    </row>
    <row r="561" ht="15.75" customHeight="1">
      <c r="A561" s="14" t="s">
        <v>2137</v>
      </c>
      <c r="B561" s="14">
        <v>2011.0</v>
      </c>
      <c r="C561" s="14" t="s">
        <v>22552</v>
      </c>
      <c r="D561" s="14" t="s">
        <v>22553</v>
      </c>
      <c r="E561" s="150" t="str">
        <f t="shared" si="2"/>
        <v>http://dx.doi.org/10.1109/TVCG.2011.212</v>
      </c>
      <c r="F561" s="14">
        <v>2459.0</v>
      </c>
      <c r="G561" s="14">
        <v>2468.0</v>
      </c>
      <c r="H561" s="151"/>
      <c r="I561" s="14" t="s">
        <v>17059</v>
      </c>
      <c r="J561" s="14" t="s">
        <v>22554</v>
      </c>
      <c r="K561" s="14" t="s">
        <v>31127</v>
      </c>
      <c r="L561" s="152" t="s">
        <v>26114</v>
      </c>
      <c r="M561" s="14" t="s">
        <v>31128</v>
      </c>
      <c r="N561" s="54" t="s">
        <v>31127</v>
      </c>
      <c r="O561" s="130" t="s">
        <v>22558</v>
      </c>
      <c r="P561" s="153" t="s">
        <v>22559</v>
      </c>
      <c r="Q561" s="14">
        <v>6065013.0</v>
      </c>
      <c r="R561" s="95"/>
      <c r="S561" s="154" t="s">
        <v>31129</v>
      </c>
      <c r="T561" s="84"/>
      <c r="U561" s="84"/>
      <c r="V561" s="84"/>
      <c r="W561" s="84"/>
      <c r="X561" s="84"/>
      <c r="Y561" s="84"/>
      <c r="Z561" s="84"/>
      <c r="AA561" s="84"/>
      <c r="AB561" s="84"/>
      <c r="AC561" s="84"/>
    </row>
    <row r="562" ht="15.75" customHeight="1">
      <c r="A562" s="14" t="s">
        <v>2137</v>
      </c>
      <c r="B562" s="14">
        <v>2011.0</v>
      </c>
      <c r="C562" s="14" t="s">
        <v>22560</v>
      </c>
      <c r="D562" s="14" t="s">
        <v>22561</v>
      </c>
      <c r="E562" s="150" t="str">
        <f t="shared" si="2"/>
        <v>http://dx.doi.org/10.1109/TVCG.2011.213</v>
      </c>
      <c r="F562" s="14">
        <v>2334.0</v>
      </c>
      <c r="G562" s="14">
        <v>2343.0</v>
      </c>
      <c r="H562" s="151"/>
      <c r="I562" s="14" t="s">
        <v>17059</v>
      </c>
      <c r="J562" s="14" t="s">
        <v>22562</v>
      </c>
      <c r="K562" s="14" t="s">
        <v>31130</v>
      </c>
      <c r="L562" s="152" t="s">
        <v>494</v>
      </c>
      <c r="M562" s="14" t="s">
        <v>31131</v>
      </c>
      <c r="N562" s="54" t="s">
        <v>31130</v>
      </c>
      <c r="O562" s="130" t="s">
        <v>22566</v>
      </c>
      <c r="P562" s="153" t="s">
        <v>22567</v>
      </c>
      <c r="Q562" s="14">
        <v>6065000.0</v>
      </c>
      <c r="R562" s="95"/>
      <c r="S562" s="154" t="s">
        <v>31132</v>
      </c>
      <c r="T562" s="84"/>
      <c r="U562" s="84"/>
      <c r="V562" s="84"/>
      <c r="W562" s="84"/>
      <c r="X562" s="84"/>
      <c r="Y562" s="84"/>
      <c r="Z562" s="84"/>
      <c r="AA562" s="84"/>
      <c r="AB562" s="84"/>
      <c r="AC562" s="84"/>
    </row>
    <row r="563" ht="15.75" customHeight="1">
      <c r="A563" s="14" t="s">
        <v>2137</v>
      </c>
      <c r="B563" s="14">
        <v>2011.0</v>
      </c>
      <c r="C563" s="14" t="s">
        <v>22568</v>
      </c>
      <c r="D563" s="14" t="s">
        <v>22569</v>
      </c>
      <c r="E563" s="150" t="str">
        <f t="shared" si="2"/>
        <v>http://dx.doi.org/10.1109/TVCG.2011.220</v>
      </c>
      <c r="F563" s="14">
        <v>2563.0</v>
      </c>
      <c r="G563" s="14">
        <v>2571.0</v>
      </c>
      <c r="H563" s="151"/>
      <c r="I563" s="14" t="s">
        <v>17059</v>
      </c>
      <c r="J563" s="14" t="s">
        <v>22570</v>
      </c>
      <c r="K563" s="14" t="s">
        <v>31137</v>
      </c>
      <c r="L563" s="152" t="s">
        <v>26221</v>
      </c>
      <c r="M563" s="14" t="s">
        <v>31138</v>
      </c>
      <c r="N563" s="54" t="s">
        <v>31137</v>
      </c>
      <c r="O563" s="130" t="s">
        <v>22574</v>
      </c>
      <c r="P563" s="153" t="s">
        <v>22575</v>
      </c>
      <c r="Q563" s="14">
        <v>6065024.0</v>
      </c>
      <c r="R563" s="95"/>
      <c r="S563" s="154" t="s">
        <v>31139</v>
      </c>
      <c r="T563" s="84"/>
      <c r="U563" s="84"/>
      <c r="V563" s="84"/>
      <c r="W563" s="84"/>
      <c r="X563" s="84"/>
      <c r="Y563" s="84"/>
      <c r="Z563" s="84"/>
      <c r="AA563" s="84"/>
      <c r="AB563" s="84"/>
      <c r="AC563" s="84"/>
    </row>
    <row r="564" ht="15.75" customHeight="1">
      <c r="A564" s="14" t="s">
        <v>2137</v>
      </c>
      <c r="B564" s="14">
        <v>2011.0</v>
      </c>
      <c r="C564" s="14" t="s">
        <v>22576</v>
      </c>
      <c r="D564" s="14" t="s">
        <v>22577</v>
      </c>
      <c r="E564" s="150" t="str">
        <f t="shared" si="2"/>
        <v>http://dx.doi.org/10.1109/TVCG.2011.223</v>
      </c>
      <c r="F564" s="14">
        <v>2600.0</v>
      </c>
      <c r="G564" s="14">
        <v>2609.0</v>
      </c>
      <c r="H564" s="151"/>
      <c r="I564" s="14" t="s">
        <v>17059</v>
      </c>
      <c r="J564" s="14" t="s">
        <v>22578</v>
      </c>
      <c r="K564" s="14" t="s">
        <v>31140</v>
      </c>
      <c r="L564" s="162" t="s">
        <v>26226</v>
      </c>
      <c r="M564" s="14" t="s">
        <v>31141</v>
      </c>
      <c r="N564" s="54" t="s">
        <v>31140</v>
      </c>
      <c r="O564" s="130" t="s">
        <v>22581</v>
      </c>
      <c r="P564" s="153" t="s">
        <v>22582</v>
      </c>
      <c r="Q564" s="14">
        <v>6065028.0</v>
      </c>
      <c r="R564" s="95"/>
      <c r="S564" s="154" t="s">
        <v>31142</v>
      </c>
      <c r="T564" s="84"/>
      <c r="U564" s="84"/>
      <c r="V564" s="84"/>
      <c r="W564" s="84"/>
      <c r="X564" s="84"/>
      <c r="Y564" s="84"/>
      <c r="Z564" s="84"/>
      <c r="AA564" s="84"/>
      <c r="AB564" s="84"/>
      <c r="AC564" s="84"/>
    </row>
    <row r="565" ht="15.75" customHeight="1">
      <c r="A565" s="14" t="s">
        <v>2137</v>
      </c>
      <c r="B565" s="14">
        <v>2011.0</v>
      </c>
      <c r="C565" s="14" t="s">
        <v>22583</v>
      </c>
      <c r="D565" s="14" t="s">
        <v>22584</v>
      </c>
      <c r="E565" s="150" t="str">
        <f t="shared" si="2"/>
        <v>http://dx.doi.org/10.1109/TVCG.2011.226</v>
      </c>
      <c r="F565" s="14">
        <v>2344.0</v>
      </c>
      <c r="G565" s="14">
        <v>2353.0</v>
      </c>
      <c r="H565" s="151"/>
      <c r="I565" s="14" t="s">
        <v>17059</v>
      </c>
      <c r="J565" s="14" t="s">
        <v>22585</v>
      </c>
      <c r="K565" s="14" t="s">
        <v>31143</v>
      </c>
      <c r="L565" s="152" t="s">
        <v>26258</v>
      </c>
      <c r="M565" s="14" t="s">
        <v>31144</v>
      </c>
      <c r="N565" s="54" t="s">
        <v>31143</v>
      </c>
      <c r="O565" s="130" t="s">
        <v>22589</v>
      </c>
      <c r="P565" s="153" t="s">
        <v>22590</v>
      </c>
      <c r="Q565" s="14">
        <v>6065001.0</v>
      </c>
      <c r="R565" s="95"/>
      <c r="S565" s="154" t="s">
        <v>31145</v>
      </c>
      <c r="T565" s="84"/>
      <c r="U565" s="84"/>
      <c r="V565" s="84"/>
      <c r="W565" s="84"/>
      <c r="X565" s="84"/>
      <c r="Y565" s="84"/>
      <c r="Z565" s="84"/>
      <c r="AA565" s="84"/>
      <c r="AB565" s="84"/>
      <c r="AC565" s="84"/>
    </row>
    <row r="566" ht="15.75" customHeight="1">
      <c r="A566" s="14" t="s">
        <v>2137</v>
      </c>
      <c r="B566" s="14">
        <v>2011.0</v>
      </c>
      <c r="C566" s="14" t="s">
        <v>22591</v>
      </c>
      <c r="D566" s="14" t="s">
        <v>22592</v>
      </c>
      <c r="E566" s="150" t="str">
        <f t="shared" si="2"/>
        <v>http://dx.doi.org/10.1109/TVCG.2011.227</v>
      </c>
      <c r="F566" s="14">
        <v>2223.0</v>
      </c>
      <c r="G566" s="14">
        <v>2230.0</v>
      </c>
      <c r="H566" s="151"/>
      <c r="I566" s="14" t="s">
        <v>17059</v>
      </c>
      <c r="J566" s="14" t="s">
        <v>22593</v>
      </c>
      <c r="K566" s="14" t="s">
        <v>31147</v>
      </c>
      <c r="L566" s="152" t="s">
        <v>178</v>
      </c>
      <c r="M566" s="14" t="s">
        <v>31148</v>
      </c>
      <c r="N566" s="54" t="s">
        <v>31147</v>
      </c>
      <c r="O566" s="130" t="s">
        <v>22596</v>
      </c>
      <c r="P566" s="153" t="s">
        <v>22597</v>
      </c>
      <c r="Q566" s="14">
        <v>6064987.0</v>
      </c>
      <c r="R566" s="95"/>
      <c r="S566" s="154" t="s">
        <v>31149</v>
      </c>
      <c r="T566" s="84"/>
      <c r="U566" s="84"/>
      <c r="V566" s="84"/>
      <c r="W566" s="84"/>
      <c r="X566" s="84"/>
      <c r="Y566" s="84"/>
      <c r="Z566" s="84"/>
      <c r="AA566" s="84"/>
      <c r="AB566" s="84"/>
      <c r="AC566" s="84"/>
    </row>
    <row r="567" ht="15.75" customHeight="1">
      <c r="A567" s="14" t="s">
        <v>2137</v>
      </c>
      <c r="B567" s="14">
        <v>2011.0</v>
      </c>
      <c r="C567" s="14" t="s">
        <v>22598</v>
      </c>
      <c r="D567" s="14" t="s">
        <v>22599</v>
      </c>
      <c r="E567" s="150" t="str">
        <f t="shared" si="2"/>
        <v>http://dx.doi.org/10.1109/TVCG.2011.229</v>
      </c>
      <c r="F567" s="14">
        <v>2203.0</v>
      </c>
      <c r="G567" s="14">
        <v>2212.0</v>
      </c>
      <c r="H567" s="151"/>
      <c r="I567" s="14" t="s">
        <v>17059</v>
      </c>
      <c r="J567" s="14" t="s">
        <v>22600</v>
      </c>
      <c r="K567" s="14" t="s">
        <v>31150</v>
      </c>
      <c r="L567" s="152" t="s">
        <v>25772</v>
      </c>
      <c r="M567" s="14" t="s">
        <v>31151</v>
      </c>
      <c r="N567" s="54" t="s">
        <v>31152</v>
      </c>
      <c r="O567" s="130" t="s">
        <v>22603</v>
      </c>
      <c r="P567" s="153" t="s">
        <v>22604</v>
      </c>
      <c r="Q567" s="14">
        <v>6064985.0</v>
      </c>
      <c r="R567" s="95"/>
      <c r="S567" s="154" t="s">
        <v>31153</v>
      </c>
      <c r="T567" s="84"/>
      <c r="U567" s="84"/>
      <c r="V567" s="84"/>
      <c r="W567" s="84"/>
      <c r="X567" s="84"/>
      <c r="Y567" s="84"/>
      <c r="Z567" s="84"/>
      <c r="AA567" s="84"/>
      <c r="AB567" s="84"/>
      <c r="AC567" s="84"/>
    </row>
    <row r="568" ht="15.75" customHeight="1">
      <c r="A568" s="14" t="s">
        <v>2137</v>
      </c>
      <c r="B568" s="14">
        <v>2011.0</v>
      </c>
      <c r="C568" s="14" t="s">
        <v>22605</v>
      </c>
      <c r="D568" s="14" t="s">
        <v>22606</v>
      </c>
      <c r="E568" s="150" t="str">
        <f t="shared" si="2"/>
        <v>http://dx.doi.org/10.1109/TVCG.2011.232</v>
      </c>
      <c r="F568" s="14">
        <v>2392.0</v>
      </c>
      <c r="G568" s="14">
        <v>2401.0</v>
      </c>
      <c r="H568" s="151"/>
      <c r="I568" s="14" t="s">
        <v>17059</v>
      </c>
      <c r="J568" s="14" t="s">
        <v>22607</v>
      </c>
      <c r="K568" s="14" t="s">
        <v>31154</v>
      </c>
      <c r="L568" s="152" t="s">
        <v>26366</v>
      </c>
      <c r="M568" s="14" t="s">
        <v>31155</v>
      </c>
      <c r="N568" s="54" t="s">
        <v>31154</v>
      </c>
      <c r="O568" s="130" t="s">
        <v>22611</v>
      </c>
      <c r="P568" s="153" t="s">
        <v>22612</v>
      </c>
      <c r="Q568" s="14">
        <v>6065006.0</v>
      </c>
      <c r="R568" s="95"/>
      <c r="S568" s="154" t="s">
        <v>31156</v>
      </c>
      <c r="T568" s="84"/>
      <c r="U568" s="84"/>
      <c r="V568" s="84"/>
      <c r="W568" s="84"/>
      <c r="X568" s="84"/>
      <c r="Y568" s="84"/>
      <c r="Z568" s="84"/>
      <c r="AA568" s="84"/>
      <c r="AB568" s="84"/>
      <c r="AC568" s="84"/>
    </row>
    <row r="569" ht="15.75" customHeight="1">
      <c r="A569" s="14" t="s">
        <v>2137</v>
      </c>
      <c r="B569" s="14">
        <v>2011.0</v>
      </c>
      <c r="C569" s="14" t="s">
        <v>22613</v>
      </c>
      <c r="D569" s="14" t="s">
        <v>22614</v>
      </c>
      <c r="E569" s="150" t="str">
        <f t="shared" si="2"/>
        <v>http://dx.doi.org/10.1109/TVCG.2011.233</v>
      </c>
      <c r="F569" s="14">
        <v>2364.0</v>
      </c>
      <c r="G569" s="14">
        <v>2373.0</v>
      </c>
      <c r="H569" s="151"/>
      <c r="I569" s="14" t="s">
        <v>17059</v>
      </c>
      <c r="J569" s="14" t="s">
        <v>22615</v>
      </c>
      <c r="K569" s="14" t="s">
        <v>31157</v>
      </c>
      <c r="L569" s="152" t="s">
        <v>24419</v>
      </c>
      <c r="M569" s="14" t="s">
        <v>31158</v>
      </c>
      <c r="N569" s="54" t="s">
        <v>31157</v>
      </c>
      <c r="O569" s="130" t="s">
        <v>22619</v>
      </c>
      <c r="P569" s="153" t="s">
        <v>22620</v>
      </c>
      <c r="Q569" s="14">
        <v>6065003.0</v>
      </c>
      <c r="R569" s="95"/>
      <c r="S569" s="154" t="s">
        <v>31159</v>
      </c>
      <c r="T569" s="84"/>
      <c r="U569" s="84"/>
      <c r="V569" s="84"/>
      <c r="W569" s="84"/>
      <c r="X569" s="84"/>
      <c r="Y569" s="84"/>
      <c r="Z569" s="84"/>
      <c r="AA569" s="84"/>
      <c r="AB569" s="84"/>
      <c r="AC569" s="84"/>
    </row>
    <row r="570" ht="15.75" customHeight="1">
      <c r="A570" s="14" t="s">
        <v>2137</v>
      </c>
      <c r="B570" s="14">
        <v>2011.0</v>
      </c>
      <c r="C570" s="14" t="s">
        <v>22621</v>
      </c>
      <c r="D570" s="14" t="s">
        <v>22622</v>
      </c>
      <c r="E570" s="150" t="str">
        <f t="shared" si="2"/>
        <v>http://dx.doi.org/10.1109/TVCG.2011.234</v>
      </c>
      <c r="F570" s="14">
        <v>2325.0</v>
      </c>
      <c r="G570" s="14">
        <v>2333.0</v>
      </c>
      <c r="H570" s="151"/>
      <c r="I570" s="14" t="s">
        <v>17059</v>
      </c>
      <c r="J570" s="14" t="s">
        <v>22623</v>
      </c>
      <c r="K570" s="14" t="s">
        <v>31160</v>
      </c>
      <c r="L570" s="152" t="s">
        <v>26395</v>
      </c>
      <c r="M570" s="14" t="s">
        <v>31161</v>
      </c>
      <c r="N570" s="54" t="s">
        <v>31160</v>
      </c>
      <c r="O570" s="130" t="s">
        <v>22627</v>
      </c>
      <c r="P570" s="153" t="s">
        <v>22628</v>
      </c>
      <c r="Q570" s="14">
        <v>6064999.0</v>
      </c>
      <c r="R570" s="95"/>
      <c r="S570" s="154" t="s">
        <v>31162</v>
      </c>
      <c r="T570" s="84"/>
      <c r="U570" s="84"/>
      <c r="V570" s="84"/>
      <c r="W570" s="84"/>
      <c r="X570" s="84"/>
      <c r="Y570" s="84"/>
      <c r="Z570" s="84"/>
      <c r="AA570" s="84"/>
      <c r="AB570" s="84"/>
      <c r="AC570" s="84"/>
    </row>
    <row r="571" ht="15.75" customHeight="1">
      <c r="A571" s="14" t="s">
        <v>2137</v>
      </c>
      <c r="B571" s="14">
        <v>2011.0</v>
      </c>
      <c r="C571" s="14" t="s">
        <v>22629</v>
      </c>
      <c r="D571" s="14" t="s">
        <v>22630</v>
      </c>
      <c r="E571" s="150" t="str">
        <f t="shared" si="2"/>
        <v>http://dx.doi.org/10.1109/TVCG.2011.237</v>
      </c>
      <c r="F571" s="14">
        <v>2317.0</v>
      </c>
      <c r="G571" s="14">
        <v>2324.0</v>
      </c>
      <c r="H571" s="151"/>
      <c r="I571" s="14" t="s">
        <v>17059</v>
      </c>
      <c r="J571" s="14" t="s">
        <v>22631</v>
      </c>
      <c r="K571" s="14" t="s">
        <v>31163</v>
      </c>
      <c r="L571" s="152" t="s">
        <v>26434</v>
      </c>
      <c r="M571" s="14" t="s">
        <v>31164</v>
      </c>
      <c r="N571" s="54" t="s">
        <v>31163</v>
      </c>
      <c r="O571" s="130" t="s">
        <v>22635</v>
      </c>
      <c r="P571" s="153" t="s">
        <v>22636</v>
      </c>
      <c r="Q571" s="14">
        <v>6064998.0</v>
      </c>
      <c r="R571" s="95"/>
      <c r="S571" s="154" t="s">
        <v>31165</v>
      </c>
      <c r="T571" s="84"/>
      <c r="U571" s="84"/>
      <c r="V571" s="84"/>
      <c r="W571" s="84"/>
      <c r="X571" s="84"/>
      <c r="Y571" s="84"/>
      <c r="Z571" s="84"/>
      <c r="AA571" s="84"/>
      <c r="AB571" s="84"/>
      <c r="AC571" s="84"/>
    </row>
    <row r="572" ht="15.75" customHeight="1">
      <c r="A572" s="14" t="s">
        <v>2137</v>
      </c>
      <c r="B572" s="14">
        <v>2011.0</v>
      </c>
      <c r="C572" s="14" t="s">
        <v>22637</v>
      </c>
      <c r="D572" s="14" t="s">
        <v>22638</v>
      </c>
      <c r="E572" s="150" t="str">
        <f t="shared" si="2"/>
        <v>http://dx.doi.org/10.1109/TVCG.2011.239</v>
      </c>
      <c r="F572" s="14">
        <v>2412.0</v>
      </c>
      <c r="G572" s="14">
        <v>2421.0</v>
      </c>
      <c r="H572" s="151"/>
      <c r="I572" s="14" t="s">
        <v>17059</v>
      </c>
      <c r="J572" s="14" t="s">
        <v>22640</v>
      </c>
      <c r="K572" s="14" t="s">
        <v>22641</v>
      </c>
      <c r="L572" s="152" t="s">
        <v>26448</v>
      </c>
      <c r="M572" s="14" t="s">
        <v>31167</v>
      </c>
      <c r="N572" s="54" t="s">
        <v>22641</v>
      </c>
      <c r="O572" s="130" t="s">
        <v>22643</v>
      </c>
      <c r="P572" s="153" t="s">
        <v>22644</v>
      </c>
      <c r="Q572" s="14">
        <v>6065008.0</v>
      </c>
      <c r="R572" s="95"/>
      <c r="S572" s="154" t="s">
        <v>31168</v>
      </c>
      <c r="T572" s="84"/>
      <c r="U572" s="84"/>
      <c r="V572" s="84"/>
      <c r="W572" s="84"/>
      <c r="X572" s="84"/>
      <c r="Y572" s="84"/>
      <c r="Z572" s="84"/>
      <c r="AA572" s="84"/>
      <c r="AB572" s="84"/>
      <c r="AC572" s="84"/>
    </row>
    <row r="573" ht="15.75" customHeight="1">
      <c r="A573" s="14" t="s">
        <v>2137</v>
      </c>
      <c r="B573" s="14">
        <v>2011.0</v>
      </c>
      <c r="C573" s="14" t="s">
        <v>22645</v>
      </c>
      <c r="D573" s="14" t="s">
        <v>22646</v>
      </c>
      <c r="E573" s="150" t="str">
        <f t="shared" si="2"/>
        <v>http://dx.doi.org/10.1109/TVCG.2011.247</v>
      </c>
      <c r="F573" s="14">
        <v>2449.0</v>
      </c>
      <c r="G573" s="14">
        <v>2458.0</v>
      </c>
      <c r="H573" s="151"/>
      <c r="I573" s="14" t="s">
        <v>17059</v>
      </c>
      <c r="J573" s="14" t="s">
        <v>22647</v>
      </c>
      <c r="K573" s="14" t="s">
        <v>31169</v>
      </c>
      <c r="L573" s="152" t="s">
        <v>26533</v>
      </c>
      <c r="M573" s="14" t="s">
        <v>31170</v>
      </c>
      <c r="N573" s="54" t="s">
        <v>31169</v>
      </c>
      <c r="O573" s="130" t="s">
        <v>22651</v>
      </c>
      <c r="P573" s="153" t="s">
        <v>22652</v>
      </c>
      <c r="Q573" s="14">
        <v>6065012.0</v>
      </c>
      <c r="R573" s="95"/>
      <c r="S573" s="154" t="s">
        <v>31171</v>
      </c>
      <c r="T573" s="84"/>
      <c r="U573" s="84"/>
      <c r="V573" s="84"/>
      <c r="W573" s="84"/>
      <c r="X573" s="84"/>
      <c r="Y573" s="84"/>
      <c r="Z573" s="84"/>
      <c r="AA573" s="84"/>
      <c r="AB573" s="84"/>
      <c r="AC573" s="84"/>
    </row>
    <row r="574" ht="15.75" customHeight="1">
      <c r="A574" s="14" t="s">
        <v>2137</v>
      </c>
      <c r="B574" s="14">
        <v>2011.0</v>
      </c>
      <c r="C574" s="14" t="s">
        <v>22653</v>
      </c>
      <c r="D574" s="14" t="s">
        <v>22654</v>
      </c>
      <c r="E574" s="150" t="str">
        <f t="shared" si="2"/>
        <v>http://dx.doi.org/10.1109/TVCG.2011.250</v>
      </c>
      <c r="F574" s="14">
        <v>2291.0</v>
      </c>
      <c r="G574" s="14">
        <v>2300.0</v>
      </c>
      <c r="H574" s="151"/>
      <c r="I574" s="14" t="s">
        <v>17059</v>
      </c>
      <c r="J574" s="14" t="s">
        <v>22655</v>
      </c>
      <c r="K574" s="14" t="s">
        <v>31173</v>
      </c>
      <c r="L574" s="152" t="s">
        <v>26571</v>
      </c>
      <c r="M574" s="14" t="s">
        <v>31174</v>
      </c>
      <c r="N574" s="54" t="s">
        <v>31173</v>
      </c>
      <c r="O574" s="130" t="s">
        <v>22658</v>
      </c>
      <c r="P574" s="153" t="s">
        <v>22659</v>
      </c>
      <c r="Q574" s="14">
        <v>6064995.0</v>
      </c>
      <c r="R574" s="95"/>
      <c r="S574" s="154" t="s">
        <v>31175</v>
      </c>
      <c r="T574" s="84"/>
      <c r="U574" s="84"/>
      <c r="V574" s="84"/>
      <c r="W574" s="84"/>
      <c r="X574" s="84"/>
      <c r="Y574" s="84"/>
      <c r="Z574" s="84"/>
      <c r="AA574" s="84"/>
      <c r="AB574" s="84"/>
      <c r="AC574" s="84"/>
    </row>
    <row r="575" ht="15.75" customHeight="1">
      <c r="A575" s="14" t="s">
        <v>2137</v>
      </c>
      <c r="B575" s="14">
        <v>2011.0</v>
      </c>
      <c r="C575" s="14" t="s">
        <v>22660</v>
      </c>
      <c r="D575" s="14" t="s">
        <v>22662</v>
      </c>
      <c r="E575" s="150" t="str">
        <f t="shared" si="2"/>
        <v>http://dx.doi.org/10.1109/TVCG.2011.251</v>
      </c>
      <c r="F575" s="14">
        <v>2508.0</v>
      </c>
      <c r="G575" s="14">
        <v>2517.0</v>
      </c>
      <c r="H575" s="151"/>
      <c r="I575" s="14" t="s">
        <v>17059</v>
      </c>
      <c r="J575" s="14" t="s">
        <v>22663</v>
      </c>
      <c r="K575" s="14" t="s">
        <v>31176</v>
      </c>
      <c r="L575" s="152" t="s">
        <v>26585</v>
      </c>
      <c r="M575" s="14" t="s">
        <v>31177</v>
      </c>
      <c r="N575" s="54" t="s">
        <v>31176</v>
      </c>
      <c r="O575" s="130" t="s">
        <v>22667</v>
      </c>
      <c r="P575" s="153" t="s">
        <v>22668</v>
      </c>
      <c r="Q575" s="14">
        <v>6065018.0</v>
      </c>
      <c r="R575" s="95"/>
      <c r="S575" s="154" t="s">
        <v>31178</v>
      </c>
      <c r="T575" s="84"/>
      <c r="U575" s="84"/>
      <c r="V575" s="84"/>
      <c r="W575" s="84"/>
      <c r="X575" s="84"/>
      <c r="Y575" s="84"/>
      <c r="Z575" s="84"/>
      <c r="AA575" s="84"/>
      <c r="AB575" s="84"/>
      <c r="AC575" s="84"/>
    </row>
    <row r="576" ht="15.75" customHeight="1">
      <c r="A576" s="14" t="s">
        <v>2137</v>
      </c>
      <c r="B576" s="14">
        <v>2011.0</v>
      </c>
      <c r="C576" s="14" t="s">
        <v>22669</v>
      </c>
      <c r="D576" s="14" t="s">
        <v>22670</v>
      </c>
      <c r="E576" s="150" t="str">
        <f t="shared" si="2"/>
        <v>http://dx.doi.org/10.1109/TVCG.2011.253</v>
      </c>
      <c r="F576" s="14">
        <v>2402.0</v>
      </c>
      <c r="G576" s="14">
        <v>2411.0</v>
      </c>
      <c r="H576" s="151"/>
      <c r="I576" s="14" t="s">
        <v>17059</v>
      </c>
      <c r="J576" s="14" t="s">
        <v>22671</v>
      </c>
      <c r="K576" s="14" t="s">
        <v>31179</v>
      </c>
      <c r="L576" s="152" t="s">
        <v>26613</v>
      </c>
      <c r="M576" s="14" t="s">
        <v>31180</v>
      </c>
      <c r="N576" s="54" t="s">
        <v>31179</v>
      </c>
      <c r="O576" s="130" t="s">
        <v>22674</v>
      </c>
      <c r="P576" s="153" t="s">
        <v>22675</v>
      </c>
      <c r="Q576" s="14">
        <v>6065007.0</v>
      </c>
      <c r="R576" s="95"/>
      <c r="S576" s="154" t="s">
        <v>31181</v>
      </c>
      <c r="T576" s="84"/>
      <c r="U576" s="84"/>
      <c r="V576" s="84"/>
      <c r="W576" s="84"/>
      <c r="X576" s="84"/>
      <c r="Y576" s="84"/>
      <c r="Z576" s="84"/>
      <c r="AA576" s="84"/>
      <c r="AB576" s="84"/>
      <c r="AC576" s="84"/>
    </row>
    <row r="577" ht="15.75" customHeight="1">
      <c r="A577" s="14" t="s">
        <v>2137</v>
      </c>
      <c r="B577" s="14">
        <v>2011.0</v>
      </c>
      <c r="C577" s="14" t="s">
        <v>22676</v>
      </c>
      <c r="D577" s="14" t="s">
        <v>22677</v>
      </c>
      <c r="E577" s="150" t="str">
        <f t="shared" si="2"/>
        <v>http://dx.doi.org/10.1109/TVCG.2011.255</v>
      </c>
      <c r="F577" s="14">
        <v>2231.0</v>
      </c>
      <c r="G577" s="14">
        <v>2240.0</v>
      </c>
      <c r="H577" s="151"/>
      <c r="I577" s="14" t="s">
        <v>17059</v>
      </c>
      <c r="J577" s="14" t="s">
        <v>22678</v>
      </c>
      <c r="K577" s="14" t="s">
        <v>31182</v>
      </c>
      <c r="L577" s="152" t="s">
        <v>178</v>
      </c>
      <c r="M577" s="14" t="s">
        <v>31183</v>
      </c>
      <c r="N577" s="54" t="s">
        <v>31182</v>
      </c>
      <c r="O577" s="130" t="s">
        <v>22682</v>
      </c>
      <c r="P577" s="153" t="s">
        <v>22683</v>
      </c>
      <c r="Q577" s="14">
        <v>6064988.0</v>
      </c>
      <c r="R577" s="95"/>
      <c r="S577" s="154" t="s">
        <v>31184</v>
      </c>
      <c r="T577" s="84"/>
      <c r="U577" s="84"/>
      <c r="V577" s="84"/>
      <c r="W577" s="84"/>
      <c r="X577" s="84"/>
      <c r="Y577" s="84"/>
      <c r="Z577" s="84"/>
      <c r="AA577" s="84"/>
      <c r="AB577" s="84"/>
      <c r="AC577" s="84"/>
    </row>
    <row r="578" ht="15.75" customHeight="1">
      <c r="A578" s="14" t="s">
        <v>120</v>
      </c>
      <c r="B578" s="14">
        <v>2011.0</v>
      </c>
      <c r="C578" s="14" t="s">
        <v>22959</v>
      </c>
      <c r="D578" s="14" t="s">
        <v>22960</v>
      </c>
      <c r="E578" s="150" t="str">
        <f t="shared" si="2"/>
        <v>http://dx.doi.org/10.1109/VAST.2011.6102475</v>
      </c>
      <c r="F578" s="14">
        <v>283.0</v>
      </c>
      <c r="G578" s="14">
        <v>284.0</v>
      </c>
      <c r="H578" s="159" t="s">
        <v>31186</v>
      </c>
      <c r="I578" s="14" t="s">
        <v>21</v>
      </c>
      <c r="J578" s="14" t="s">
        <v>22961</v>
      </c>
      <c r="K578" s="14" t="s">
        <v>31187</v>
      </c>
      <c r="L578" s="152" t="s">
        <v>26989</v>
      </c>
      <c r="M578" s="14" t="s">
        <v>31188</v>
      </c>
      <c r="N578" s="54" t="s">
        <v>31187</v>
      </c>
      <c r="O578" s="130"/>
      <c r="P578" s="16"/>
      <c r="Q578" s="14">
        <v>6102475.0</v>
      </c>
      <c r="R578" s="95"/>
      <c r="S578" s="154"/>
      <c r="T578" s="84"/>
      <c r="U578" s="84"/>
      <c r="V578" s="84"/>
      <c r="W578" s="84"/>
      <c r="X578" s="84"/>
      <c r="Y578" s="84"/>
      <c r="Z578" s="84"/>
      <c r="AA578" s="84"/>
      <c r="AB578" s="84"/>
      <c r="AC578" s="84"/>
    </row>
    <row r="579" ht="15.75" customHeight="1">
      <c r="A579" s="14" t="s">
        <v>120</v>
      </c>
      <c r="B579" s="14">
        <v>2011.0</v>
      </c>
      <c r="C579" s="14" t="s">
        <v>31189</v>
      </c>
      <c r="D579" s="14" t="s">
        <v>22966</v>
      </c>
      <c r="E579" s="150" t="s">
        <v>22967</v>
      </c>
      <c r="F579" s="14">
        <v>285.0</v>
      </c>
      <c r="G579" s="14">
        <v>286.0</v>
      </c>
      <c r="H579" s="151" t="s">
        <v>30659</v>
      </c>
      <c r="I579" s="121" t="s">
        <v>21</v>
      </c>
      <c r="J579" s="121" t="s">
        <v>22970</v>
      </c>
      <c r="K579" s="14" t="s">
        <v>31190</v>
      </c>
      <c r="L579" s="163" t="s">
        <v>26990</v>
      </c>
      <c r="M579" s="14" t="s">
        <v>31197</v>
      </c>
      <c r="N579" s="54" t="s">
        <v>31190</v>
      </c>
      <c r="O579" s="130"/>
      <c r="P579" s="16"/>
      <c r="Q579" s="14">
        <v>6102476.0</v>
      </c>
      <c r="R579" s="95"/>
      <c r="S579" s="154"/>
      <c r="T579" s="84"/>
      <c r="U579" s="84"/>
      <c r="V579" s="84"/>
      <c r="W579" s="84"/>
      <c r="X579" s="84"/>
      <c r="Y579" s="84"/>
      <c r="Z579" s="84"/>
      <c r="AA579" s="84"/>
      <c r="AB579" s="84"/>
      <c r="AC579" s="84"/>
    </row>
    <row r="580" ht="15.75" customHeight="1">
      <c r="A580" s="14" t="s">
        <v>120</v>
      </c>
      <c r="B580" s="14">
        <v>2011.0</v>
      </c>
      <c r="C580" s="14" t="s">
        <v>22878</v>
      </c>
      <c r="D580" s="14" t="s">
        <v>22879</v>
      </c>
      <c r="E580" s="150" t="str">
        <f t="shared" ref="E580:E582" si="3">"http://dx.doi.org/" &amp; D580</f>
        <v>http://dx.doi.org/10.1109/VAST.2011.6102463</v>
      </c>
      <c r="F580" s="14">
        <v>251.0</v>
      </c>
      <c r="G580" s="14">
        <v>260.0</v>
      </c>
      <c r="H580" s="151"/>
      <c r="I580" s="14" t="s">
        <v>28</v>
      </c>
      <c r="J580" s="14" t="s">
        <v>22881</v>
      </c>
      <c r="K580" s="14" t="s">
        <v>31200</v>
      </c>
      <c r="L580" s="152" t="s">
        <v>26965</v>
      </c>
      <c r="M580" s="14" t="s">
        <v>31201</v>
      </c>
      <c r="N580" s="54" t="s">
        <v>31200</v>
      </c>
      <c r="O580" s="130" t="s">
        <v>22884</v>
      </c>
      <c r="P580" s="153" t="s">
        <v>22885</v>
      </c>
      <c r="Q580" s="14">
        <v>6102463.0</v>
      </c>
      <c r="R580" s="95"/>
      <c r="S580" s="154" t="s">
        <v>31203</v>
      </c>
      <c r="T580" s="84"/>
      <c r="U580" s="84"/>
      <c r="V580" s="84"/>
      <c r="W580" s="84"/>
      <c r="X580" s="84"/>
      <c r="Y580" s="84"/>
      <c r="Z580" s="84"/>
      <c r="AA580" s="84"/>
      <c r="AB580" s="84"/>
      <c r="AC580" s="84"/>
    </row>
    <row r="581" ht="15.75" customHeight="1">
      <c r="A581" s="14" t="s">
        <v>120</v>
      </c>
      <c r="B581" s="14">
        <v>2011.0</v>
      </c>
      <c r="C581" s="14" t="s">
        <v>22854</v>
      </c>
      <c r="D581" s="14" t="s">
        <v>22855</v>
      </c>
      <c r="E581" s="150" t="str">
        <f t="shared" si="3"/>
        <v>http://dx.doi.org/10.1109/VAST.2011.6102460</v>
      </c>
      <c r="F581" s="14">
        <v>221.0</v>
      </c>
      <c r="G581" s="14">
        <v>230.0</v>
      </c>
      <c r="H581" s="151"/>
      <c r="I581" s="14" t="s">
        <v>28</v>
      </c>
      <c r="J581" s="14" t="s">
        <v>22857</v>
      </c>
      <c r="K581" s="14" t="s">
        <v>31211</v>
      </c>
      <c r="L581" s="152" t="s">
        <v>26941</v>
      </c>
      <c r="M581" s="14" t="s">
        <v>31212</v>
      </c>
      <c r="N581" s="54" t="s">
        <v>31211</v>
      </c>
      <c r="O581" s="130" t="s">
        <v>22860</v>
      </c>
      <c r="P581" s="153" t="s">
        <v>22861</v>
      </c>
      <c r="Q581" s="14">
        <v>6102460.0</v>
      </c>
      <c r="R581" s="95"/>
      <c r="S581" s="154" t="s">
        <v>31213</v>
      </c>
      <c r="T581" s="84"/>
      <c r="U581" s="84"/>
      <c r="V581" s="84"/>
      <c r="W581" s="84"/>
      <c r="X581" s="84"/>
      <c r="Y581" s="84"/>
      <c r="Z581" s="84"/>
      <c r="AA581" s="84"/>
      <c r="AB581" s="84"/>
      <c r="AC581" s="84"/>
    </row>
    <row r="582" ht="15.75" customHeight="1">
      <c r="A582" s="14" t="s">
        <v>120</v>
      </c>
      <c r="B582" s="14">
        <v>2011.0</v>
      </c>
      <c r="C582" s="14" t="s">
        <v>22846</v>
      </c>
      <c r="D582" s="14" t="s">
        <v>22847</v>
      </c>
      <c r="E582" s="150" t="str">
        <f t="shared" si="3"/>
        <v>http://dx.doi.org/10.1109/VAST.2011.6102459</v>
      </c>
      <c r="F582" s="14">
        <v>211.0</v>
      </c>
      <c r="G582" s="14">
        <v>220.0</v>
      </c>
      <c r="H582" s="151"/>
      <c r="I582" s="14" t="s">
        <v>28</v>
      </c>
      <c r="J582" s="14" t="s">
        <v>22848</v>
      </c>
      <c r="K582" s="14" t="s">
        <v>31214</v>
      </c>
      <c r="L582" s="152" t="s">
        <v>26930</v>
      </c>
      <c r="M582" s="14" t="s">
        <v>31215</v>
      </c>
      <c r="N582" s="54" t="s">
        <v>31214</v>
      </c>
      <c r="O582" s="130" t="s">
        <v>22852</v>
      </c>
      <c r="P582" s="153" t="s">
        <v>22853</v>
      </c>
      <c r="Q582" s="14">
        <v>6102459.0</v>
      </c>
      <c r="R582" s="95"/>
      <c r="S582" s="154" t="s">
        <v>31217</v>
      </c>
      <c r="T582" s="84"/>
      <c r="U582" s="84"/>
      <c r="V582" s="84"/>
      <c r="W582" s="84"/>
      <c r="X582" s="84"/>
      <c r="Y582" s="84"/>
      <c r="Z582" s="84"/>
      <c r="AA582" s="84"/>
      <c r="AB582" s="84"/>
      <c r="AC582" s="84"/>
    </row>
    <row r="583" ht="15.75" customHeight="1">
      <c r="A583" s="14" t="s">
        <v>120</v>
      </c>
      <c r="B583" s="14">
        <v>2011.0</v>
      </c>
      <c r="C583" s="14" t="s">
        <v>31219</v>
      </c>
      <c r="D583" s="14" t="s">
        <v>23076</v>
      </c>
      <c r="E583" s="150" t="s">
        <v>23078</v>
      </c>
      <c r="F583" s="14">
        <v>319.0</v>
      </c>
      <c r="G583" s="14">
        <v>321.0</v>
      </c>
      <c r="H583" s="151" t="s">
        <v>30659</v>
      </c>
      <c r="I583" s="121" t="s">
        <v>21</v>
      </c>
      <c r="J583" s="121" t="s">
        <v>23079</v>
      </c>
      <c r="K583" s="14" t="s">
        <v>8913</v>
      </c>
      <c r="L583" s="163" t="s">
        <v>27002</v>
      </c>
      <c r="M583" s="14">
        <v>3.82336079E10</v>
      </c>
      <c r="N583" s="54" t="s">
        <v>8913</v>
      </c>
      <c r="O583" s="130"/>
      <c r="P583" s="16"/>
      <c r="Q583" s="14">
        <v>6102493.0</v>
      </c>
      <c r="R583" s="95"/>
      <c r="S583" s="154"/>
      <c r="T583" s="84"/>
      <c r="U583" s="84"/>
      <c r="V583" s="84"/>
      <c r="W583" s="84"/>
      <c r="X583" s="84"/>
      <c r="Y583" s="84"/>
      <c r="Z583" s="84"/>
      <c r="AA583" s="84"/>
      <c r="AB583" s="84"/>
      <c r="AC583" s="84"/>
    </row>
    <row r="584" ht="15.75" customHeight="1">
      <c r="A584" s="14" t="s">
        <v>120</v>
      </c>
      <c r="B584" s="14">
        <v>2011.0</v>
      </c>
      <c r="C584" s="14" t="s">
        <v>22869</v>
      </c>
      <c r="D584" s="14" t="s">
        <v>22870</v>
      </c>
      <c r="E584" s="150" t="str">
        <f>"http://dx.doi.org/" &amp; D584</f>
        <v>http://dx.doi.org/10.1109/VAST.2011.6102462</v>
      </c>
      <c r="F584" s="14">
        <v>241.0</v>
      </c>
      <c r="G584" s="14">
        <v>250.0</v>
      </c>
      <c r="H584" s="151"/>
      <c r="I584" s="14" t="s">
        <v>28</v>
      </c>
      <c r="J584" s="14" t="s">
        <v>22871</v>
      </c>
      <c r="K584" s="14" t="s">
        <v>31235</v>
      </c>
      <c r="L584" s="152" t="s">
        <v>26963</v>
      </c>
      <c r="M584" s="14" t="s">
        <v>31236</v>
      </c>
      <c r="N584" s="54" t="s">
        <v>31235</v>
      </c>
      <c r="O584" s="130" t="s">
        <v>22875</v>
      </c>
      <c r="P584" s="153" t="s">
        <v>22876</v>
      </c>
      <c r="Q584" s="14">
        <v>6102462.0</v>
      </c>
      <c r="R584" s="95"/>
      <c r="S584" s="154" t="s">
        <v>31237</v>
      </c>
      <c r="T584" s="84"/>
      <c r="U584" s="84"/>
      <c r="V584" s="84"/>
      <c r="W584" s="84"/>
      <c r="X584" s="84"/>
      <c r="Y584" s="84"/>
      <c r="Z584" s="84"/>
      <c r="AA584" s="84"/>
      <c r="AB584" s="84"/>
      <c r="AC584" s="84"/>
    </row>
    <row r="585" ht="15.75" customHeight="1">
      <c r="A585" s="14" t="s">
        <v>120</v>
      </c>
      <c r="B585" s="14">
        <v>2011.0</v>
      </c>
      <c r="C585" s="14" t="s">
        <v>31238</v>
      </c>
      <c r="D585" s="14" t="s">
        <v>23083</v>
      </c>
      <c r="E585" s="150" t="s">
        <v>23084</v>
      </c>
      <c r="F585" s="14">
        <v>323.0</v>
      </c>
      <c r="G585" s="14">
        <v>324.0</v>
      </c>
      <c r="H585" s="151" t="s">
        <v>30659</v>
      </c>
      <c r="I585" s="121" t="s">
        <v>21</v>
      </c>
      <c r="J585" s="121" t="s">
        <v>23088</v>
      </c>
      <c r="K585" s="14" t="s">
        <v>31246</v>
      </c>
      <c r="L585" s="163" t="s">
        <v>880</v>
      </c>
      <c r="M585" s="14" t="s">
        <v>31249</v>
      </c>
      <c r="N585" s="54" t="s">
        <v>31246</v>
      </c>
      <c r="O585" s="130"/>
      <c r="P585" s="16"/>
      <c r="Q585" s="14">
        <v>6102495.0</v>
      </c>
      <c r="R585" s="95"/>
      <c r="S585" s="154"/>
      <c r="T585" s="84"/>
      <c r="U585" s="84"/>
      <c r="V585" s="84"/>
      <c r="W585" s="84"/>
      <c r="X585" s="84"/>
      <c r="Y585" s="84"/>
      <c r="Z585" s="84"/>
      <c r="AA585" s="84"/>
      <c r="AB585" s="84"/>
      <c r="AC585" s="84"/>
    </row>
    <row r="586" ht="15.75" customHeight="1">
      <c r="A586" s="14" t="s">
        <v>120</v>
      </c>
      <c r="B586" s="14">
        <v>2011.0</v>
      </c>
      <c r="C586" s="14" t="s">
        <v>22946</v>
      </c>
      <c r="D586" s="14" t="s">
        <v>22947</v>
      </c>
      <c r="E586" s="150" t="str">
        <f t="shared" ref="E586:E589" si="4">"http://dx.doi.org/" &amp; D586</f>
        <v>http://dx.doi.org/10.1109/VAST.2011.6102473</v>
      </c>
      <c r="F586" s="14">
        <v>279.0</v>
      </c>
      <c r="G586" s="14">
        <v>280.0</v>
      </c>
      <c r="H586" s="159" t="s">
        <v>30659</v>
      </c>
      <c r="I586" s="14" t="s">
        <v>21</v>
      </c>
      <c r="J586" s="14" t="s">
        <v>22949</v>
      </c>
      <c r="K586" s="14" t="s">
        <v>31251</v>
      </c>
      <c r="L586" s="152" t="s">
        <v>26984</v>
      </c>
      <c r="M586" s="14" t="s">
        <v>31252</v>
      </c>
      <c r="N586" s="54" t="s">
        <v>31251</v>
      </c>
      <c r="O586" s="130"/>
      <c r="P586" s="16"/>
      <c r="Q586" s="14">
        <v>6102473.0</v>
      </c>
      <c r="R586" s="95"/>
      <c r="S586" s="154"/>
      <c r="T586" s="84"/>
      <c r="U586" s="84"/>
      <c r="V586" s="84"/>
      <c r="W586" s="84"/>
      <c r="X586" s="84"/>
      <c r="Y586" s="84"/>
      <c r="Z586" s="84"/>
      <c r="AA586" s="84"/>
      <c r="AB586" s="84"/>
      <c r="AC586" s="84"/>
    </row>
    <row r="587" ht="15.75" customHeight="1">
      <c r="A587" s="14" t="s">
        <v>120</v>
      </c>
      <c r="B587" s="14">
        <v>2011.0</v>
      </c>
      <c r="C587" s="14" t="s">
        <v>22954</v>
      </c>
      <c r="D587" s="14" t="s">
        <v>22955</v>
      </c>
      <c r="E587" s="150" t="str">
        <f t="shared" si="4"/>
        <v>http://dx.doi.org/10.1109/VAST.2011.6102474</v>
      </c>
      <c r="F587" s="14">
        <v>281.0</v>
      </c>
      <c r="G587" s="14">
        <v>282.0</v>
      </c>
      <c r="H587" s="159" t="s">
        <v>30659</v>
      </c>
      <c r="I587" s="14" t="s">
        <v>21</v>
      </c>
      <c r="J587" s="14" t="s">
        <v>26986</v>
      </c>
      <c r="K587" s="14" t="s">
        <v>31263</v>
      </c>
      <c r="L587" s="152" t="s">
        <v>26987</v>
      </c>
      <c r="M587" s="14" t="s">
        <v>31264</v>
      </c>
      <c r="N587" s="54" t="s">
        <v>31263</v>
      </c>
      <c r="O587" s="130"/>
      <c r="P587" s="16"/>
      <c r="Q587" s="14">
        <v>6102474.0</v>
      </c>
      <c r="R587" s="95"/>
      <c r="S587" s="154"/>
      <c r="T587" s="84"/>
      <c r="U587" s="84"/>
      <c r="V587" s="84"/>
      <c r="W587" s="84"/>
      <c r="X587" s="84"/>
      <c r="Y587" s="84"/>
      <c r="Z587" s="84"/>
      <c r="AA587" s="84"/>
      <c r="AB587" s="84"/>
      <c r="AC587" s="84"/>
    </row>
    <row r="588" ht="15.75" customHeight="1">
      <c r="A588" s="14" t="s">
        <v>120</v>
      </c>
      <c r="B588" s="14">
        <v>2011.0</v>
      </c>
      <c r="C588" s="14" t="s">
        <v>22801</v>
      </c>
      <c r="D588" s="14" t="s">
        <v>22802</v>
      </c>
      <c r="E588" s="150" t="str">
        <f t="shared" si="4"/>
        <v>http://dx.doi.org/10.1109/VAST.2011.6102453</v>
      </c>
      <c r="F588" s="14">
        <v>151.0</v>
      </c>
      <c r="G588" s="14">
        <v>160.0</v>
      </c>
      <c r="H588" s="151"/>
      <c r="I588" s="14" t="s">
        <v>28</v>
      </c>
      <c r="J588" s="14" t="s">
        <v>22804</v>
      </c>
      <c r="K588" s="14" t="s">
        <v>29579</v>
      </c>
      <c r="L588" s="152" t="s">
        <v>25981</v>
      </c>
      <c r="M588" s="14" t="s">
        <v>31265</v>
      </c>
      <c r="N588" s="54" t="s">
        <v>29579</v>
      </c>
      <c r="O588" s="130" t="s">
        <v>22807</v>
      </c>
      <c r="P588" s="16"/>
      <c r="Q588" s="14">
        <v>6102453.0</v>
      </c>
      <c r="R588" s="95"/>
      <c r="S588" s="154" t="s">
        <v>31266</v>
      </c>
      <c r="T588" s="84"/>
      <c r="U588" s="84"/>
      <c r="V588" s="84"/>
      <c r="W588" s="84"/>
      <c r="X588" s="84"/>
      <c r="Y588" s="84"/>
      <c r="Z588" s="84"/>
      <c r="AA588" s="84"/>
      <c r="AB588" s="84"/>
      <c r="AC588" s="84"/>
    </row>
    <row r="589" ht="15.75" customHeight="1">
      <c r="A589" s="14" t="s">
        <v>120</v>
      </c>
      <c r="B589" s="14">
        <v>2011.0</v>
      </c>
      <c r="C589" s="14" t="s">
        <v>22701</v>
      </c>
      <c r="D589" s="14" t="s">
        <v>22702</v>
      </c>
      <c r="E589" s="150" t="str">
        <f t="shared" si="4"/>
        <v>http://dx.doi.org/10.1109/VAST.2011.6102438</v>
      </c>
      <c r="F589" s="14">
        <v>21.0</v>
      </c>
      <c r="G589" s="14">
        <v>30.0</v>
      </c>
      <c r="H589" s="151"/>
      <c r="I589" s="14" t="s">
        <v>28</v>
      </c>
      <c r="J589" s="14" t="s">
        <v>22705</v>
      </c>
      <c r="K589" s="14" t="s">
        <v>30709</v>
      </c>
      <c r="L589" s="152" t="s">
        <v>4435</v>
      </c>
      <c r="M589" s="14" t="s">
        <v>31278</v>
      </c>
      <c r="N589" s="54" t="s">
        <v>30709</v>
      </c>
      <c r="O589" s="130" t="s">
        <v>22709</v>
      </c>
      <c r="P589" s="153" t="s">
        <v>31279</v>
      </c>
      <c r="Q589" s="14">
        <v>6102438.0</v>
      </c>
      <c r="R589" s="95"/>
      <c r="S589" s="154" t="s">
        <v>31280</v>
      </c>
      <c r="T589" s="84"/>
      <c r="U589" s="84"/>
      <c r="V589" s="84"/>
      <c r="W589" s="84"/>
      <c r="X589" s="84"/>
      <c r="Y589" s="84"/>
      <c r="Z589" s="84"/>
      <c r="AA589" s="84"/>
      <c r="AB589" s="84"/>
      <c r="AC589" s="84"/>
    </row>
    <row r="590" ht="15.75" customHeight="1">
      <c r="A590" s="14" t="s">
        <v>120</v>
      </c>
      <c r="B590" s="14">
        <v>2011.0</v>
      </c>
      <c r="C590" s="14" t="s">
        <v>31281</v>
      </c>
      <c r="D590" s="14" t="s">
        <v>23022</v>
      </c>
      <c r="E590" s="150" t="s">
        <v>23023</v>
      </c>
      <c r="F590" s="14">
        <v>305.0</v>
      </c>
      <c r="G590" s="14">
        <v>306.0</v>
      </c>
      <c r="H590" s="151" t="s">
        <v>30659</v>
      </c>
      <c r="I590" s="121" t="s">
        <v>21</v>
      </c>
      <c r="J590" s="121" t="s">
        <v>23025</v>
      </c>
      <c r="K590" s="14" t="s">
        <v>31289</v>
      </c>
      <c r="L590" s="163" t="s">
        <v>26996</v>
      </c>
      <c r="M590" s="14" t="s">
        <v>31291</v>
      </c>
      <c r="N590" s="54" t="s">
        <v>31289</v>
      </c>
      <c r="O590" s="130"/>
      <c r="P590" s="16"/>
      <c r="Q590" s="14">
        <v>6102485.0</v>
      </c>
      <c r="R590" s="95"/>
      <c r="S590" s="154"/>
      <c r="T590" s="84"/>
      <c r="U590" s="84"/>
      <c r="V590" s="84"/>
      <c r="W590" s="84"/>
      <c r="X590" s="84"/>
      <c r="Y590" s="84"/>
      <c r="Z590" s="84"/>
      <c r="AA590" s="84"/>
      <c r="AB590" s="84"/>
      <c r="AC590" s="84"/>
    </row>
    <row r="591" ht="15.75" customHeight="1">
      <c r="A591" s="14" t="s">
        <v>120</v>
      </c>
      <c r="B591" s="14">
        <v>2011.0</v>
      </c>
      <c r="C591" s="14" t="s">
        <v>23045</v>
      </c>
      <c r="D591" s="14" t="s">
        <v>23046</v>
      </c>
      <c r="E591" s="150" t="s">
        <v>23047</v>
      </c>
      <c r="F591" s="14">
        <v>311.0</v>
      </c>
      <c r="G591" s="14">
        <v>312.0</v>
      </c>
      <c r="H591" s="151" t="s">
        <v>30659</v>
      </c>
      <c r="I591" s="121" t="s">
        <v>21</v>
      </c>
      <c r="J591" s="121" t="s">
        <v>23049</v>
      </c>
      <c r="K591" s="14" t="s">
        <v>31296</v>
      </c>
      <c r="L591" s="163" t="s">
        <v>26999</v>
      </c>
      <c r="M591" s="14" t="s">
        <v>31297</v>
      </c>
      <c r="N591" s="54" t="s">
        <v>31296</v>
      </c>
      <c r="O591" s="130"/>
      <c r="P591" s="16"/>
      <c r="Q591" s="14">
        <v>6102489.0</v>
      </c>
      <c r="R591" s="95"/>
      <c r="S591" s="154"/>
      <c r="T591" s="84"/>
      <c r="U591" s="84"/>
      <c r="V591" s="84"/>
      <c r="W591" s="84"/>
      <c r="X591" s="84"/>
      <c r="Y591" s="84"/>
      <c r="Z591" s="84"/>
      <c r="AA591" s="84"/>
      <c r="AB591" s="84"/>
      <c r="AC591" s="84"/>
    </row>
    <row r="592" ht="15.75" customHeight="1">
      <c r="A592" s="14" t="s">
        <v>120</v>
      </c>
      <c r="B592" s="14">
        <v>2011.0</v>
      </c>
      <c r="C592" s="14" t="s">
        <v>22892</v>
      </c>
      <c r="D592" s="14" t="s">
        <v>22893</v>
      </c>
      <c r="E592" s="150" t="str">
        <f t="shared" ref="E592:E593" si="5">"http://dx.doi.org/" &amp; D592</f>
        <v>http://dx.doi.org/10.1109/VAST.2011.6102466</v>
      </c>
      <c r="F592" s="14">
        <v>265.0</v>
      </c>
      <c r="G592" s="14">
        <v>266.0</v>
      </c>
      <c r="H592" s="159" t="s">
        <v>30659</v>
      </c>
      <c r="I592" s="121" t="s">
        <v>21</v>
      </c>
      <c r="J592" s="14" t="s">
        <v>31306</v>
      </c>
      <c r="K592" s="14" t="s">
        <v>31307</v>
      </c>
      <c r="L592" s="152" t="s">
        <v>26969</v>
      </c>
      <c r="M592" s="14" t="s">
        <v>31308</v>
      </c>
      <c r="N592" s="54" t="s">
        <v>31307</v>
      </c>
      <c r="O592" s="130"/>
      <c r="P592" s="16"/>
      <c r="Q592" s="14">
        <v>6102466.0</v>
      </c>
      <c r="R592" s="95"/>
      <c r="S592" s="154"/>
      <c r="T592" s="84"/>
      <c r="U592" s="84"/>
      <c r="V592" s="84"/>
      <c r="W592" s="84"/>
      <c r="X592" s="84"/>
      <c r="Y592" s="84"/>
      <c r="Z592" s="84"/>
      <c r="AA592" s="84"/>
      <c r="AB592" s="84"/>
      <c r="AC592" s="84"/>
    </row>
    <row r="593" ht="15.75" customHeight="1">
      <c r="A593" s="14" t="s">
        <v>120</v>
      </c>
      <c r="B593" s="14">
        <v>2011.0</v>
      </c>
      <c r="C593" s="14" t="s">
        <v>22913</v>
      </c>
      <c r="D593" s="14" t="s">
        <v>22914</v>
      </c>
      <c r="E593" s="150" t="str">
        <f t="shared" si="5"/>
        <v>http://dx.doi.org/10.1109/VAST.2011.6102469</v>
      </c>
      <c r="F593" s="14">
        <v>271.0</v>
      </c>
      <c r="G593" s="14">
        <v>272.0</v>
      </c>
      <c r="H593" s="159" t="s">
        <v>30659</v>
      </c>
      <c r="I593" s="121" t="s">
        <v>21</v>
      </c>
      <c r="J593" s="14" t="s">
        <v>22916</v>
      </c>
      <c r="K593" s="14" t="s">
        <v>31312</v>
      </c>
      <c r="L593" s="152" t="s">
        <v>26974</v>
      </c>
      <c r="M593" s="14" t="s">
        <v>31313</v>
      </c>
      <c r="N593" s="54" t="s">
        <v>31312</v>
      </c>
      <c r="O593" s="130"/>
      <c r="P593" s="16"/>
      <c r="Q593" s="14">
        <v>6102469.0</v>
      </c>
      <c r="R593" s="95"/>
      <c r="S593" s="154"/>
      <c r="T593" s="84"/>
      <c r="U593" s="84"/>
      <c r="V593" s="84"/>
      <c r="W593" s="84"/>
      <c r="X593" s="84"/>
      <c r="Y593" s="84"/>
      <c r="Z593" s="84"/>
      <c r="AA593" s="84"/>
      <c r="AB593" s="84"/>
      <c r="AC593" s="84"/>
    </row>
    <row r="594" ht="15.75" customHeight="1">
      <c r="A594" s="14" t="s">
        <v>120</v>
      </c>
      <c r="B594" s="14">
        <v>2011.0</v>
      </c>
      <c r="C594" s="14" t="s">
        <v>23005</v>
      </c>
      <c r="D594" s="14" t="s">
        <v>23006</v>
      </c>
      <c r="E594" s="150" t="s">
        <v>23007</v>
      </c>
      <c r="F594" s="14">
        <v>295.0</v>
      </c>
      <c r="G594" s="14">
        <v>296.0</v>
      </c>
      <c r="H594" s="151" t="s">
        <v>30659</v>
      </c>
      <c r="I594" s="121" t="s">
        <v>21</v>
      </c>
      <c r="J594" s="121" t="s">
        <v>23009</v>
      </c>
      <c r="K594" s="14" t="s">
        <v>31314</v>
      </c>
      <c r="L594" s="163" t="s">
        <v>25675</v>
      </c>
      <c r="M594" s="14" t="s">
        <v>31315</v>
      </c>
      <c r="N594" s="54" t="s">
        <v>31314</v>
      </c>
      <c r="O594" s="130"/>
      <c r="P594" s="16"/>
      <c r="Q594" s="14">
        <v>6102481.0</v>
      </c>
      <c r="R594" s="95"/>
      <c r="S594" s="154"/>
      <c r="T594" s="84"/>
      <c r="U594" s="84"/>
      <c r="V594" s="84"/>
      <c r="W594" s="84"/>
      <c r="X594" s="84"/>
      <c r="Y594" s="84"/>
      <c r="Z594" s="84"/>
      <c r="AA594" s="84"/>
      <c r="AB594" s="84"/>
      <c r="AC594" s="84"/>
    </row>
    <row r="595" ht="15.75" customHeight="1">
      <c r="A595" s="14" t="s">
        <v>120</v>
      </c>
      <c r="B595" s="14">
        <v>2011.0</v>
      </c>
      <c r="C595" s="14" t="s">
        <v>22982</v>
      </c>
      <c r="D595" s="14" t="s">
        <v>22983</v>
      </c>
      <c r="E595" s="150" t="s">
        <v>22984</v>
      </c>
      <c r="F595" s="14">
        <v>289.0</v>
      </c>
      <c r="G595" s="14">
        <v>290.0</v>
      </c>
      <c r="H595" s="151" t="s">
        <v>30659</v>
      </c>
      <c r="I595" s="121" t="s">
        <v>21</v>
      </c>
      <c r="J595" s="121" t="s">
        <v>22986</v>
      </c>
      <c r="K595" s="14" t="s">
        <v>31323</v>
      </c>
      <c r="L595" s="163" t="s">
        <v>26974</v>
      </c>
      <c r="M595" s="14" t="s">
        <v>31324</v>
      </c>
      <c r="N595" s="54" t="s">
        <v>31323</v>
      </c>
      <c r="O595" s="130"/>
      <c r="P595" s="16"/>
      <c r="Q595" s="14">
        <v>6102478.0</v>
      </c>
      <c r="R595" s="95"/>
      <c r="S595" s="154"/>
      <c r="T595" s="84"/>
      <c r="U595" s="84"/>
      <c r="V595" s="84"/>
      <c r="W595" s="84"/>
      <c r="X595" s="84"/>
      <c r="Y595" s="84"/>
      <c r="Z595" s="84"/>
      <c r="AA595" s="84"/>
      <c r="AB595" s="84"/>
      <c r="AC595" s="84"/>
    </row>
    <row r="596" ht="15.75" customHeight="1">
      <c r="A596" s="14" t="s">
        <v>120</v>
      </c>
      <c r="B596" s="14">
        <v>2011.0</v>
      </c>
      <c r="C596" s="14" t="s">
        <v>22809</v>
      </c>
      <c r="D596" s="14" t="s">
        <v>22810</v>
      </c>
      <c r="E596" s="150" t="str">
        <f t="shared" ref="E596:E597" si="6">"http://dx.doi.org/" &amp; D596</f>
        <v>http://dx.doi.org/10.1109/VAST.2011.6102454</v>
      </c>
      <c r="F596" s="14">
        <v>161.0</v>
      </c>
      <c r="G596" s="14">
        <v>170.0</v>
      </c>
      <c r="H596" s="151"/>
      <c r="I596" s="14" t="s">
        <v>28</v>
      </c>
      <c r="J596" s="14" t="s">
        <v>22811</v>
      </c>
      <c r="K596" s="14" t="s">
        <v>31336</v>
      </c>
      <c r="L596" s="152" t="s">
        <v>26870</v>
      </c>
      <c r="M596" s="14" t="s">
        <v>31337</v>
      </c>
      <c r="N596" s="54" t="s">
        <v>31336</v>
      </c>
      <c r="O596" s="130" t="s">
        <v>22815</v>
      </c>
      <c r="P596" s="153" t="s">
        <v>31338</v>
      </c>
      <c r="Q596" s="14">
        <v>6102454.0</v>
      </c>
      <c r="R596" s="95"/>
      <c r="S596" s="154" t="s">
        <v>31339</v>
      </c>
      <c r="T596" s="84"/>
      <c r="U596" s="84"/>
      <c r="V596" s="84"/>
      <c r="W596" s="84"/>
      <c r="X596" s="84"/>
      <c r="Y596" s="84"/>
      <c r="Z596" s="84"/>
      <c r="AA596" s="84"/>
      <c r="AB596" s="84"/>
      <c r="AC596" s="84"/>
    </row>
    <row r="597" ht="15.75" customHeight="1">
      <c r="A597" s="14" t="s">
        <v>120</v>
      </c>
      <c r="B597" s="14">
        <v>2011.0</v>
      </c>
      <c r="C597" s="14" t="s">
        <v>22733</v>
      </c>
      <c r="D597" s="14" t="s">
        <v>22734</v>
      </c>
      <c r="E597" s="150" t="str">
        <f t="shared" si="6"/>
        <v>http://dx.doi.org/10.1109/VAST.2011.6102442</v>
      </c>
      <c r="F597" s="14">
        <v>61.0</v>
      </c>
      <c r="G597" s="14">
        <v>70.0</v>
      </c>
      <c r="H597" s="151"/>
      <c r="I597" s="14" t="s">
        <v>28</v>
      </c>
      <c r="J597" s="14" t="s">
        <v>22735</v>
      </c>
      <c r="K597" s="14" t="s">
        <v>31350</v>
      </c>
      <c r="L597" s="152" t="s">
        <v>26760</v>
      </c>
      <c r="M597" s="14" t="s">
        <v>31351</v>
      </c>
      <c r="N597" s="54" t="s">
        <v>31350</v>
      </c>
      <c r="O597" s="130" t="s">
        <v>22738</v>
      </c>
      <c r="P597" s="153" t="s">
        <v>22739</v>
      </c>
      <c r="Q597" s="14">
        <v>6102442.0</v>
      </c>
      <c r="R597" s="95"/>
      <c r="S597" s="154" t="s">
        <v>31352</v>
      </c>
      <c r="T597" s="84"/>
      <c r="U597" s="84"/>
      <c r="V597" s="84"/>
      <c r="W597" s="84"/>
      <c r="X597" s="84"/>
      <c r="Y597" s="84"/>
      <c r="Z597" s="84"/>
      <c r="AA597" s="84"/>
      <c r="AB597" s="84"/>
      <c r="AC597" s="84"/>
    </row>
    <row r="598" ht="15.75" customHeight="1">
      <c r="A598" s="14" t="s">
        <v>120</v>
      </c>
      <c r="B598" s="14">
        <v>2011.0</v>
      </c>
      <c r="C598" s="14" t="s">
        <v>23062</v>
      </c>
      <c r="D598" s="14" t="s">
        <v>23063</v>
      </c>
      <c r="E598" s="150" t="s">
        <v>23064</v>
      </c>
      <c r="F598" s="14">
        <v>315.0</v>
      </c>
      <c r="G598" s="14">
        <v>316.0</v>
      </c>
      <c r="H598" s="151" t="s">
        <v>30659</v>
      </c>
      <c r="I598" s="121" t="s">
        <v>21</v>
      </c>
      <c r="J598" s="121" t="s">
        <v>31364</v>
      </c>
      <c r="K598" s="14" t="s">
        <v>31365</v>
      </c>
      <c r="L598" s="163" t="s">
        <v>26533</v>
      </c>
      <c r="M598" s="14" t="s">
        <v>31366</v>
      </c>
      <c r="N598" s="54" t="s">
        <v>31365</v>
      </c>
      <c r="O598" s="130"/>
      <c r="P598" s="16"/>
      <c r="Q598" s="14">
        <v>6102491.0</v>
      </c>
      <c r="R598" s="95"/>
      <c r="S598" s="154"/>
      <c r="T598" s="84"/>
      <c r="U598" s="84"/>
      <c r="V598" s="84"/>
      <c r="W598" s="84"/>
      <c r="X598" s="84"/>
      <c r="Y598" s="84"/>
      <c r="Z598" s="84"/>
      <c r="AA598" s="84"/>
      <c r="AB598" s="84"/>
      <c r="AC598" s="84"/>
    </row>
    <row r="599" ht="15.75" customHeight="1">
      <c r="A599" s="14" t="s">
        <v>120</v>
      </c>
      <c r="B599" s="14">
        <v>2011.0</v>
      </c>
      <c r="C599" s="14" t="s">
        <v>22772</v>
      </c>
      <c r="D599" s="14" t="s">
        <v>22773</v>
      </c>
      <c r="E599" s="150" t="str">
        <f>"http://dx.doi.org/" &amp; D599</f>
        <v>http://dx.doi.org/10.1109/VAST.2011.6102448</v>
      </c>
      <c r="F599" s="14">
        <v>111.0</v>
      </c>
      <c r="G599" s="14">
        <v>120.0</v>
      </c>
      <c r="H599" s="151"/>
      <c r="I599" s="14" t="s">
        <v>28</v>
      </c>
      <c r="J599" s="14" t="s">
        <v>22774</v>
      </c>
      <c r="K599" s="14" t="s">
        <v>31367</v>
      </c>
      <c r="L599" s="152" t="s">
        <v>26821</v>
      </c>
      <c r="M599" s="14" t="s">
        <v>31368</v>
      </c>
      <c r="N599" s="54" t="s">
        <v>31367</v>
      </c>
      <c r="O599" s="130" t="s">
        <v>22777</v>
      </c>
      <c r="P599" s="16"/>
      <c r="Q599" s="14">
        <v>6102448.0</v>
      </c>
      <c r="R599" s="95"/>
      <c r="S599" s="154" t="s">
        <v>31369</v>
      </c>
      <c r="T599" s="84"/>
      <c r="U599" s="84"/>
      <c r="V599" s="84"/>
      <c r="W599" s="84"/>
      <c r="X599" s="84"/>
      <c r="Y599" s="84"/>
      <c r="Z599" s="84"/>
      <c r="AA599" s="84"/>
      <c r="AB599" s="84"/>
      <c r="AC599" s="84"/>
    </row>
    <row r="600" ht="15.75" customHeight="1">
      <c r="A600" s="14" t="s">
        <v>120</v>
      </c>
      <c r="B600" s="14">
        <v>2011.0</v>
      </c>
      <c r="C600" s="14" t="s">
        <v>23071</v>
      </c>
      <c r="D600" s="14" t="s">
        <v>23072</v>
      </c>
      <c r="E600" s="150" t="s">
        <v>23073</v>
      </c>
      <c r="F600" s="14">
        <v>317.0</v>
      </c>
      <c r="G600" s="14">
        <v>318.0</v>
      </c>
      <c r="H600" s="151" t="s">
        <v>30659</v>
      </c>
      <c r="I600" s="121" t="s">
        <v>21</v>
      </c>
      <c r="J600" s="121" t="s">
        <v>23074</v>
      </c>
      <c r="K600" s="14" t="s">
        <v>31251</v>
      </c>
      <c r="L600" s="163" t="s">
        <v>26984</v>
      </c>
      <c r="M600" s="14" t="s">
        <v>31252</v>
      </c>
      <c r="N600" s="54" t="s">
        <v>31251</v>
      </c>
      <c r="O600" s="130"/>
      <c r="P600" s="16"/>
      <c r="Q600" s="14">
        <v>6102492.0</v>
      </c>
      <c r="R600" s="95"/>
      <c r="S600" s="154"/>
      <c r="T600" s="84"/>
      <c r="U600" s="84"/>
      <c r="V600" s="84"/>
      <c r="W600" s="84"/>
      <c r="X600" s="84"/>
      <c r="Y600" s="84"/>
      <c r="Z600" s="84"/>
      <c r="AA600" s="84"/>
      <c r="AB600" s="84"/>
      <c r="AC600" s="84"/>
    </row>
    <row r="601" ht="15.75" customHeight="1">
      <c r="A601" s="14" t="s">
        <v>120</v>
      </c>
      <c r="B601" s="14">
        <v>2011.0</v>
      </c>
      <c r="C601" s="14" t="s">
        <v>22749</v>
      </c>
      <c r="D601" s="14" t="s">
        <v>22750</v>
      </c>
      <c r="E601" s="150" t="str">
        <f>"http://dx.doi.org/" &amp; D601</f>
        <v>http://dx.doi.org/10.1109/VAST.2011.6102445</v>
      </c>
      <c r="F601" s="14">
        <v>81.0</v>
      </c>
      <c r="G601" s="14">
        <v>90.0</v>
      </c>
      <c r="H601" s="151"/>
      <c r="I601" s="14" t="s">
        <v>28</v>
      </c>
      <c r="J601" s="14" t="s">
        <v>31372</v>
      </c>
      <c r="K601" s="14" t="s">
        <v>31373</v>
      </c>
      <c r="L601" s="152" t="s">
        <v>26786</v>
      </c>
      <c r="M601" s="14" t="s">
        <v>31374</v>
      </c>
      <c r="N601" s="54" t="s">
        <v>31373</v>
      </c>
      <c r="O601" s="130" t="s">
        <v>22754</v>
      </c>
      <c r="P601" s="16"/>
      <c r="Q601" s="14">
        <v>6102445.0</v>
      </c>
      <c r="R601" s="95"/>
      <c r="S601" s="154" t="s">
        <v>31375</v>
      </c>
      <c r="T601" s="84"/>
      <c r="U601" s="84"/>
      <c r="V601" s="84"/>
      <c r="W601" s="84"/>
      <c r="X601" s="84"/>
      <c r="Y601" s="84"/>
      <c r="Z601" s="84"/>
      <c r="AA601" s="84"/>
      <c r="AB601" s="84"/>
      <c r="AC601" s="84"/>
    </row>
    <row r="602" ht="15.75" customHeight="1">
      <c r="A602" s="14" t="s">
        <v>120</v>
      </c>
      <c r="B602" s="14">
        <v>2011.0</v>
      </c>
      <c r="C602" s="14" t="s">
        <v>31376</v>
      </c>
      <c r="D602" s="14" t="s">
        <v>23102</v>
      </c>
      <c r="E602" s="150" t="s">
        <v>23103</v>
      </c>
      <c r="F602" s="14">
        <v>327.0</v>
      </c>
      <c r="G602" s="14">
        <v>328.0</v>
      </c>
      <c r="H602" s="151" t="s">
        <v>30659</v>
      </c>
      <c r="I602" s="121" t="s">
        <v>21</v>
      </c>
      <c r="J602" s="121" t="s">
        <v>23104</v>
      </c>
      <c r="K602" s="14" t="s">
        <v>31377</v>
      </c>
      <c r="L602" s="163" t="s">
        <v>178</v>
      </c>
      <c r="M602" s="14" t="s">
        <v>31378</v>
      </c>
      <c r="N602" s="54" t="s">
        <v>31377</v>
      </c>
      <c r="O602" s="130"/>
      <c r="P602" s="16"/>
      <c r="Q602" s="14">
        <v>6102497.0</v>
      </c>
      <c r="R602" s="95"/>
      <c r="S602" s="154"/>
      <c r="T602" s="84"/>
      <c r="U602" s="84"/>
      <c r="V602" s="84"/>
      <c r="W602" s="84"/>
      <c r="X602" s="84"/>
      <c r="Y602" s="84"/>
      <c r="Z602" s="84"/>
      <c r="AA602" s="84"/>
      <c r="AB602" s="84"/>
      <c r="AC602" s="84"/>
    </row>
    <row r="603" ht="15.75" customHeight="1">
      <c r="A603" s="14" t="s">
        <v>120</v>
      </c>
      <c r="B603" s="14">
        <v>2011.0</v>
      </c>
      <c r="C603" s="14" t="s">
        <v>22793</v>
      </c>
      <c r="D603" s="14" t="s">
        <v>22794</v>
      </c>
      <c r="E603" s="150" t="str">
        <f t="shared" ref="E603:E604" si="7">"http://dx.doi.org/" &amp; D603</f>
        <v>http://dx.doi.org/10.1109/VAST.2011.6102451</v>
      </c>
      <c r="F603" s="14">
        <v>141.0</v>
      </c>
      <c r="G603" s="14">
        <v>149.0</v>
      </c>
      <c r="H603" s="151"/>
      <c r="I603" s="14" t="s">
        <v>28</v>
      </c>
      <c r="J603" s="14" t="s">
        <v>22795</v>
      </c>
      <c r="K603" s="14" t="s">
        <v>31379</v>
      </c>
      <c r="L603" s="152" t="s">
        <v>26851</v>
      </c>
      <c r="M603" s="14" t="s">
        <v>31380</v>
      </c>
      <c r="N603" s="54" t="s">
        <v>31381</v>
      </c>
      <c r="O603" s="130" t="s">
        <v>22799</v>
      </c>
      <c r="P603" s="153" t="s">
        <v>31382</v>
      </c>
      <c r="Q603" s="14">
        <v>6102451.0</v>
      </c>
      <c r="R603" s="95"/>
      <c r="S603" s="154" t="s">
        <v>31383</v>
      </c>
      <c r="T603" s="84"/>
      <c r="U603" s="84"/>
      <c r="V603" s="84"/>
      <c r="W603" s="84"/>
      <c r="X603" s="84"/>
      <c r="Y603" s="84"/>
      <c r="Z603" s="84"/>
      <c r="AA603" s="84"/>
      <c r="AB603" s="84"/>
      <c r="AC603" s="84"/>
    </row>
    <row r="604" ht="15.75" customHeight="1">
      <c r="A604" s="14" t="s">
        <v>120</v>
      </c>
      <c r="B604" s="14">
        <v>2011.0</v>
      </c>
      <c r="C604" s="14" t="s">
        <v>22712</v>
      </c>
      <c r="D604" s="14" t="s">
        <v>22713</v>
      </c>
      <c r="E604" s="150" t="str">
        <f t="shared" si="7"/>
        <v>http://dx.doi.org/10.1109/VAST.2011.6102439</v>
      </c>
      <c r="F604" s="14">
        <v>31.0</v>
      </c>
      <c r="G604" s="14">
        <v>40.0</v>
      </c>
      <c r="H604" s="151"/>
      <c r="I604" s="14" t="s">
        <v>28</v>
      </c>
      <c r="J604" s="14" t="s">
        <v>22714</v>
      </c>
      <c r="K604" s="14" t="s">
        <v>31384</v>
      </c>
      <c r="L604" s="152" t="s">
        <v>26725</v>
      </c>
      <c r="M604" s="14" t="s">
        <v>31385</v>
      </c>
      <c r="N604" s="54" t="s">
        <v>31384</v>
      </c>
      <c r="O604" s="130" t="s">
        <v>22718</v>
      </c>
      <c r="P604" s="16"/>
      <c r="Q604" s="14">
        <v>6102439.0</v>
      </c>
      <c r="R604" s="95"/>
      <c r="S604" s="154" t="s">
        <v>31386</v>
      </c>
      <c r="T604" s="84"/>
      <c r="U604" s="84"/>
      <c r="V604" s="84"/>
      <c r="W604" s="84"/>
      <c r="X604" s="84"/>
      <c r="Y604" s="84"/>
      <c r="Z604" s="84"/>
      <c r="AA604" s="84"/>
      <c r="AB604" s="84"/>
      <c r="AC604" s="84"/>
    </row>
    <row r="605" ht="15.75" customHeight="1">
      <c r="A605" s="14" t="s">
        <v>120</v>
      </c>
      <c r="B605" s="14">
        <v>2011.0</v>
      </c>
      <c r="C605" s="14" t="s">
        <v>23091</v>
      </c>
      <c r="D605" s="14" t="s">
        <v>23092</v>
      </c>
      <c r="E605" s="150" t="s">
        <v>23093</v>
      </c>
      <c r="F605" s="14">
        <v>325.0</v>
      </c>
      <c r="G605" s="14">
        <v>326.0</v>
      </c>
      <c r="H605" s="151" t="s">
        <v>30659</v>
      </c>
      <c r="I605" s="121" t="s">
        <v>21</v>
      </c>
      <c r="J605" s="121" t="s">
        <v>23096</v>
      </c>
      <c r="K605" s="14" t="s">
        <v>31388</v>
      </c>
      <c r="L605" s="163" t="s">
        <v>27004</v>
      </c>
      <c r="M605" s="14" t="s">
        <v>31389</v>
      </c>
      <c r="N605" s="54" t="s">
        <v>31388</v>
      </c>
      <c r="O605" s="130"/>
      <c r="P605" s="16"/>
      <c r="Q605" s="14">
        <v>6102496.0</v>
      </c>
      <c r="R605" s="95"/>
      <c r="S605" s="154"/>
      <c r="T605" s="84"/>
      <c r="U605" s="84"/>
      <c r="V605" s="84"/>
      <c r="W605" s="84"/>
      <c r="X605" s="84"/>
      <c r="Y605" s="84"/>
      <c r="Z605" s="84"/>
      <c r="AA605" s="84"/>
      <c r="AB605" s="84"/>
      <c r="AC605" s="84"/>
    </row>
    <row r="606" ht="15.75" customHeight="1">
      <c r="A606" s="14" t="s">
        <v>120</v>
      </c>
      <c r="B606" s="14">
        <v>2011.0</v>
      </c>
      <c r="C606" s="14" t="s">
        <v>22988</v>
      </c>
      <c r="D606" s="14" t="s">
        <v>22989</v>
      </c>
      <c r="E606" s="150" t="s">
        <v>22990</v>
      </c>
      <c r="F606" s="14">
        <v>291.0</v>
      </c>
      <c r="G606" s="14">
        <v>292.0</v>
      </c>
      <c r="H606" s="151" t="s">
        <v>30659</v>
      </c>
      <c r="I606" s="121" t="s">
        <v>21</v>
      </c>
      <c r="J606" s="121" t="s">
        <v>22993</v>
      </c>
      <c r="K606" s="14" t="s">
        <v>31391</v>
      </c>
      <c r="L606" s="163" t="s">
        <v>26991</v>
      </c>
      <c r="M606" s="14" t="s">
        <v>31392</v>
      </c>
      <c r="N606" s="54" t="s">
        <v>31391</v>
      </c>
      <c r="O606" s="130"/>
      <c r="P606" s="16"/>
      <c r="Q606" s="14">
        <v>6102479.0</v>
      </c>
      <c r="R606" s="95"/>
      <c r="S606" s="154"/>
      <c r="T606" s="84"/>
      <c r="U606" s="84"/>
      <c r="V606" s="84"/>
      <c r="W606" s="84"/>
      <c r="X606" s="84"/>
      <c r="Y606" s="84"/>
      <c r="Z606" s="84"/>
      <c r="AA606" s="84"/>
      <c r="AB606" s="84"/>
      <c r="AC606" s="84"/>
    </row>
    <row r="607" ht="15.75" customHeight="1">
      <c r="A607" s="14" t="s">
        <v>120</v>
      </c>
      <c r="B607" s="14">
        <v>2011.0</v>
      </c>
      <c r="C607" s="14" t="s">
        <v>23029</v>
      </c>
      <c r="D607" s="14" t="s">
        <v>23030</v>
      </c>
      <c r="E607" s="150" t="s">
        <v>23031</v>
      </c>
      <c r="F607" s="14">
        <v>307.0</v>
      </c>
      <c r="G607" s="14">
        <v>308.0</v>
      </c>
      <c r="H607" s="151" t="s">
        <v>30659</v>
      </c>
      <c r="I607" s="121" t="s">
        <v>21</v>
      </c>
      <c r="J607" s="121" t="s">
        <v>23034</v>
      </c>
      <c r="K607" s="14" t="s">
        <v>31393</v>
      </c>
      <c r="L607" s="163" t="s">
        <v>178</v>
      </c>
      <c r="M607" s="14" t="s">
        <v>31394</v>
      </c>
      <c r="N607" s="54" t="s">
        <v>31393</v>
      </c>
      <c r="O607" s="130"/>
      <c r="P607" s="16"/>
      <c r="Q607" s="14">
        <v>6102486.0</v>
      </c>
      <c r="R607" s="95"/>
      <c r="S607" s="154"/>
      <c r="T607" s="84"/>
      <c r="U607" s="84"/>
      <c r="V607" s="84"/>
      <c r="W607" s="84"/>
      <c r="X607" s="84"/>
      <c r="Y607" s="84"/>
      <c r="Z607" s="84"/>
      <c r="AA607" s="84"/>
      <c r="AB607" s="84"/>
      <c r="AC607" s="84"/>
    </row>
    <row r="608" ht="15.75" customHeight="1">
      <c r="A608" s="14" t="s">
        <v>120</v>
      </c>
      <c r="B608" s="14">
        <v>2011.0</v>
      </c>
      <c r="C608" s="14" t="s">
        <v>23053</v>
      </c>
      <c r="D608" s="14" t="s">
        <v>23054</v>
      </c>
      <c r="E608" s="150" t="s">
        <v>23055</v>
      </c>
      <c r="F608" s="14">
        <v>313.0</v>
      </c>
      <c r="G608" s="14">
        <v>314.0</v>
      </c>
      <c r="H608" s="151" t="s">
        <v>30659</v>
      </c>
      <c r="I608" s="121" t="s">
        <v>21</v>
      </c>
      <c r="J608" s="121" t="s">
        <v>23058</v>
      </c>
      <c r="K608" s="14" t="s">
        <v>31395</v>
      </c>
      <c r="L608" s="163" t="s">
        <v>27000</v>
      </c>
      <c r="M608" s="14" t="s">
        <v>31396</v>
      </c>
      <c r="N608" s="54" t="s">
        <v>31397</v>
      </c>
      <c r="O608" s="130"/>
      <c r="P608" s="16"/>
      <c r="Q608" s="14">
        <v>6102490.0</v>
      </c>
      <c r="R608" s="95"/>
      <c r="S608" s="154"/>
      <c r="T608" s="84"/>
      <c r="U608" s="84"/>
      <c r="V608" s="84"/>
      <c r="W608" s="84"/>
      <c r="X608" s="84"/>
      <c r="Y608" s="84"/>
      <c r="Z608" s="84"/>
      <c r="AA608" s="84"/>
      <c r="AB608" s="84"/>
      <c r="AC608" s="84"/>
    </row>
    <row r="609" ht="15.75" customHeight="1">
      <c r="A609" s="14" t="s">
        <v>120</v>
      </c>
      <c r="B609" s="14">
        <v>2011.0</v>
      </c>
      <c r="C609" s="14" t="s">
        <v>22719</v>
      </c>
      <c r="D609" s="14" t="s">
        <v>22720</v>
      </c>
      <c r="E609" s="150" t="str">
        <f t="shared" ref="E609:E614" si="8">"http://dx.doi.org/" &amp; D609</f>
        <v>http://dx.doi.org/10.1109/VAST.2011.6102440</v>
      </c>
      <c r="F609" s="14">
        <v>41.0</v>
      </c>
      <c r="G609" s="14">
        <v>50.0</v>
      </c>
      <c r="H609" s="151"/>
      <c r="I609" s="14" t="s">
        <v>28</v>
      </c>
      <c r="J609" s="14" t="s">
        <v>22721</v>
      </c>
      <c r="K609" s="14" t="s">
        <v>31398</v>
      </c>
      <c r="L609" s="152" t="s">
        <v>26735</v>
      </c>
      <c r="M609" s="14" t="s">
        <v>31399</v>
      </c>
      <c r="N609" s="54" t="s">
        <v>31400</v>
      </c>
      <c r="O609" s="130" t="s">
        <v>22724</v>
      </c>
      <c r="P609" s="16"/>
      <c r="Q609" s="14">
        <v>6102440.0</v>
      </c>
      <c r="R609" s="95"/>
      <c r="S609" s="154" t="s">
        <v>31401</v>
      </c>
      <c r="T609" s="84"/>
      <c r="U609" s="84"/>
      <c r="V609" s="84"/>
      <c r="W609" s="84"/>
      <c r="X609" s="84"/>
      <c r="Y609" s="84"/>
      <c r="Z609" s="84"/>
      <c r="AA609" s="84"/>
      <c r="AB609" s="84"/>
      <c r="AC609" s="84"/>
    </row>
    <row r="610" ht="15.75" customHeight="1">
      <c r="A610" s="14" t="s">
        <v>120</v>
      </c>
      <c r="B610" s="14">
        <v>2011.0</v>
      </c>
      <c r="C610" s="14" t="s">
        <v>22778</v>
      </c>
      <c r="D610" s="14" t="s">
        <v>22779</v>
      </c>
      <c r="E610" s="150" t="str">
        <f t="shared" si="8"/>
        <v>http://dx.doi.org/10.1109/VAST.2011.6102449</v>
      </c>
      <c r="F610" s="14">
        <v>121.0</v>
      </c>
      <c r="G610" s="14">
        <v>130.0</v>
      </c>
      <c r="H610" s="151"/>
      <c r="I610" s="14" t="s">
        <v>28</v>
      </c>
      <c r="J610" s="14" t="s">
        <v>31403</v>
      </c>
      <c r="K610" s="14" t="s">
        <v>31404</v>
      </c>
      <c r="L610" s="152" t="s">
        <v>25715</v>
      </c>
      <c r="M610" s="14" t="s">
        <v>31405</v>
      </c>
      <c r="N610" s="54" t="s">
        <v>31404</v>
      </c>
      <c r="O610" s="130"/>
      <c r="P610" s="153" t="s">
        <v>22783</v>
      </c>
      <c r="Q610" s="14">
        <v>6102449.0</v>
      </c>
      <c r="R610" s="95"/>
      <c r="S610" s="154"/>
      <c r="T610" s="84"/>
      <c r="U610" s="84"/>
      <c r="V610" s="84"/>
      <c r="W610" s="84"/>
      <c r="X610" s="84"/>
      <c r="Y610" s="84"/>
      <c r="Z610" s="84"/>
      <c r="AA610" s="84"/>
      <c r="AB610" s="84"/>
      <c r="AC610" s="84"/>
    </row>
    <row r="611" ht="15.75" customHeight="1">
      <c r="A611" s="14" t="s">
        <v>120</v>
      </c>
      <c r="B611" s="14">
        <v>2011.0</v>
      </c>
      <c r="C611" s="14" t="s">
        <v>22755</v>
      </c>
      <c r="D611" s="14" t="s">
        <v>22756</v>
      </c>
      <c r="E611" s="150" t="str">
        <f t="shared" si="8"/>
        <v>http://dx.doi.org/10.1109/VAST.2011.6102446</v>
      </c>
      <c r="F611" s="14">
        <v>91.0</v>
      </c>
      <c r="G611" s="14">
        <v>100.0</v>
      </c>
      <c r="H611" s="151"/>
      <c r="I611" s="14" t="s">
        <v>28</v>
      </c>
      <c r="J611" s="14" t="s">
        <v>31406</v>
      </c>
      <c r="K611" s="14" t="s">
        <v>31407</v>
      </c>
      <c r="L611" s="152" t="s">
        <v>26797</v>
      </c>
      <c r="M611" s="14" t="s">
        <v>31408</v>
      </c>
      <c r="N611" s="54" t="s">
        <v>31407</v>
      </c>
      <c r="O611" s="130" t="s">
        <v>22761</v>
      </c>
      <c r="P611" s="16"/>
      <c r="Q611" s="14">
        <v>6102446.0</v>
      </c>
      <c r="R611" s="95"/>
      <c r="S611" s="154" t="s">
        <v>31409</v>
      </c>
      <c r="T611" s="84"/>
      <c r="U611" s="84"/>
      <c r="V611" s="84"/>
      <c r="W611" s="84"/>
      <c r="X611" s="84"/>
      <c r="Y611" s="84"/>
      <c r="Z611" s="84"/>
      <c r="AA611" s="84"/>
      <c r="AB611" s="84"/>
      <c r="AC611" s="84"/>
    </row>
    <row r="612" ht="15.75" customHeight="1">
      <c r="A612" s="14" t="s">
        <v>120</v>
      </c>
      <c r="B612" s="14">
        <v>2011.0</v>
      </c>
      <c r="C612" s="14" t="s">
        <v>22725</v>
      </c>
      <c r="D612" s="14" t="s">
        <v>22726</v>
      </c>
      <c r="E612" s="150" t="str">
        <f t="shared" si="8"/>
        <v>http://dx.doi.org/10.1109/VAST.2011.6102441</v>
      </c>
      <c r="F612" s="14">
        <v>51.0</v>
      </c>
      <c r="G612" s="14">
        <v>60.0</v>
      </c>
      <c r="H612" s="151"/>
      <c r="I612" s="14" t="s">
        <v>28</v>
      </c>
      <c r="J612" s="14" t="s">
        <v>22728</v>
      </c>
      <c r="K612" s="14" t="s">
        <v>31410</v>
      </c>
      <c r="L612" s="152" t="s">
        <v>24791</v>
      </c>
      <c r="M612" s="14" t="s">
        <v>31411</v>
      </c>
      <c r="N612" s="54" t="s">
        <v>31410</v>
      </c>
      <c r="O612" s="130" t="s">
        <v>22731</v>
      </c>
      <c r="P612" s="153" t="s">
        <v>31412</v>
      </c>
      <c r="Q612" s="14">
        <v>6102441.0</v>
      </c>
      <c r="R612" s="95"/>
      <c r="S612" s="154" t="s">
        <v>31413</v>
      </c>
      <c r="T612" s="84"/>
      <c r="U612" s="84"/>
      <c r="V612" s="84"/>
      <c r="W612" s="84"/>
      <c r="X612" s="84"/>
      <c r="Y612" s="84"/>
      <c r="Z612" s="84"/>
      <c r="AA612" s="84"/>
      <c r="AB612" s="84"/>
      <c r="AC612" s="84"/>
    </row>
    <row r="613" ht="15.75" customHeight="1">
      <c r="A613" s="14" t="s">
        <v>120</v>
      </c>
      <c r="B613" s="14">
        <v>2011.0</v>
      </c>
      <c r="C613" s="14" t="s">
        <v>22863</v>
      </c>
      <c r="D613" s="14" t="s">
        <v>22864</v>
      </c>
      <c r="E613" s="150" t="str">
        <f t="shared" si="8"/>
        <v>http://dx.doi.org/10.1109/VAST.2011.6102461</v>
      </c>
      <c r="F613" s="14">
        <v>231.0</v>
      </c>
      <c r="G613" s="14">
        <v>240.0</v>
      </c>
      <c r="H613" s="151"/>
      <c r="I613" s="14" t="s">
        <v>28</v>
      </c>
      <c r="J613" s="14" t="s">
        <v>22865</v>
      </c>
      <c r="K613" s="14" t="s">
        <v>31414</v>
      </c>
      <c r="L613" s="152" t="s">
        <v>26960</v>
      </c>
      <c r="M613" s="14" t="s">
        <v>31415</v>
      </c>
      <c r="N613" s="54" t="s">
        <v>31414</v>
      </c>
      <c r="O613" s="130" t="s">
        <v>22868</v>
      </c>
      <c r="P613" s="16"/>
      <c r="Q613" s="14">
        <v>6102461.0</v>
      </c>
      <c r="R613" s="95"/>
      <c r="S613" s="154" t="s">
        <v>31416</v>
      </c>
      <c r="T613" s="84"/>
      <c r="U613" s="84"/>
      <c r="V613" s="84"/>
      <c r="W613" s="84"/>
      <c r="X613" s="84"/>
      <c r="Y613" s="84"/>
      <c r="Z613" s="84"/>
      <c r="AA613" s="84"/>
      <c r="AB613" s="84"/>
      <c r="AC613" s="84"/>
    </row>
    <row r="614" ht="15.75" customHeight="1">
      <c r="A614" s="14" t="s">
        <v>120</v>
      </c>
      <c r="B614" s="14">
        <v>2011.0</v>
      </c>
      <c r="C614" s="14" t="s">
        <v>22694</v>
      </c>
      <c r="D614" s="14" t="s">
        <v>22695</v>
      </c>
      <c r="E614" s="150" t="str">
        <f t="shared" si="8"/>
        <v>http://dx.doi.org/10.1109/VAST.2011.6102437</v>
      </c>
      <c r="F614" s="14">
        <v>13.0</v>
      </c>
      <c r="G614" s="14">
        <v>20.0</v>
      </c>
      <c r="H614" s="151"/>
      <c r="I614" s="14" t="s">
        <v>28</v>
      </c>
      <c r="J614" s="14" t="s">
        <v>22696</v>
      </c>
      <c r="K614" s="14" t="s">
        <v>31417</v>
      </c>
      <c r="L614" s="152" t="s">
        <v>26706</v>
      </c>
      <c r="M614" s="14" t="s">
        <v>31418</v>
      </c>
      <c r="N614" s="54" t="s">
        <v>31417</v>
      </c>
      <c r="O614" s="130" t="s">
        <v>22700</v>
      </c>
      <c r="P614" s="16"/>
      <c r="Q614" s="14">
        <v>6102437.0</v>
      </c>
      <c r="R614" s="95"/>
      <c r="S614" s="154" t="s">
        <v>31419</v>
      </c>
      <c r="T614" s="84"/>
      <c r="U614" s="84"/>
      <c r="V614" s="84"/>
      <c r="W614" s="84"/>
      <c r="X614" s="84"/>
      <c r="Y614" s="84"/>
      <c r="Z614" s="84"/>
      <c r="AA614" s="84"/>
      <c r="AB614" s="84"/>
      <c r="AC614" s="84"/>
    </row>
    <row r="615" ht="15.75" customHeight="1">
      <c r="A615" s="14" t="s">
        <v>120</v>
      </c>
      <c r="B615" s="14">
        <v>2011.0</v>
      </c>
      <c r="C615" s="14" t="s">
        <v>23012</v>
      </c>
      <c r="D615" s="14" t="s">
        <v>23014</v>
      </c>
      <c r="E615" s="150" t="s">
        <v>23015</v>
      </c>
      <c r="F615" s="14">
        <v>297.0</v>
      </c>
      <c r="G615" s="14">
        <v>298.0</v>
      </c>
      <c r="H615" s="151" t="s">
        <v>30659</v>
      </c>
      <c r="I615" s="121" t="s">
        <v>21</v>
      </c>
      <c r="J615" s="121" t="s">
        <v>23016</v>
      </c>
      <c r="K615" s="14" t="s">
        <v>31420</v>
      </c>
      <c r="L615" s="163" t="s">
        <v>26994</v>
      </c>
      <c r="M615" s="14" t="s">
        <v>31421</v>
      </c>
      <c r="N615" s="54" t="s">
        <v>31420</v>
      </c>
      <c r="O615" s="130"/>
      <c r="P615" s="16"/>
      <c r="Q615" s="14">
        <v>6102482.0</v>
      </c>
      <c r="R615" s="95"/>
      <c r="S615" s="154"/>
      <c r="T615" s="84"/>
      <c r="U615" s="84"/>
      <c r="V615" s="84"/>
      <c r="W615" s="84"/>
      <c r="X615" s="84"/>
      <c r="Y615" s="84"/>
      <c r="Z615" s="84"/>
      <c r="AA615" s="84"/>
      <c r="AB615" s="84"/>
      <c r="AC615" s="84"/>
    </row>
    <row r="616" ht="15.75" customHeight="1">
      <c r="A616" s="14" t="s">
        <v>120</v>
      </c>
      <c r="B616" s="14">
        <v>2011.0</v>
      </c>
      <c r="C616" s="14" t="s">
        <v>22785</v>
      </c>
      <c r="D616" s="14" t="s">
        <v>22786</v>
      </c>
      <c r="E616" s="150" t="str">
        <f>"http://dx.doi.org/" &amp; D616</f>
        <v>http://dx.doi.org/10.1109/VAST.2011.6102450</v>
      </c>
      <c r="F616" s="14">
        <v>131.0</v>
      </c>
      <c r="G616" s="14">
        <v>140.0</v>
      </c>
      <c r="H616" s="151"/>
      <c r="I616" s="14" t="s">
        <v>28</v>
      </c>
      <c r="J616" s="14" t="s">
        <v>22788</v>
      </c>
      <c r="K616" s="14" t="s">
        <v>31430</v>
      </c>
      <c r="L616" s="152" t="s">
        <v>26846</v>
      </c>
      <c r="M616" s="14" t="s">
        <v>31431</v>
      </c>
      <c r="N616" s="54" t="s">
        <v>31430</v>
      </c>
      <c r="O616" s="130" t="s">
        <v>22791</v>
      </c>
      <c r="P616" s="153" t="s">
        <v>22792</v>
      </c>
      <c r="Q616" s="14">
        <v>6102450.0</v>
      </c>
      <c r="R616" s="95"/>
      <c r="S616" s="154" t="s">
        <v>31432</v>
      </c>
      <c r="T616" s="84"/>
      <c r="U616" s="84"/>
      <c r="V616" s="84"/>
      <c r="W616" s="84"/>
      <c r="X616" s="84"/>
      <c r="Y616" s="84"/>
      <c r="Z616" s="84"/>
      <c r="AA616" s="84"/>
      <c r="AB616" s="84"/>
      <c r="AC616" s="84"/>
    </row>
    <row r="617" ht="15.75" customHeight="1">
      <c r="A617" s="14" t="s">
        <v>120</v>
      </c>
      <c r="B617" s="14">
        <v>2011.0</v>
      </c>
      <c r="C617" s="14" t="s">
        <v>22997</v>
      </c>
      <c r="D617" s="14" t="s">
        <v>22998</v>
      </c>
      <c r="E617" s="150" t="s">
        <v>22999</v>
      </c>
      <c r="F617" s="14">
        <v>293.0</v>
      </c>
      <c r="G617" s="14">
        <v>294.0</v>
      </c>
      <c r="H617" s="151" t="s">
        <v>30659</v>
      </c>
      <c r="I617" s="121" t="s">
        <v>21</v>
      </c>
      <c r="J617" s="121" t="s">
        <v>23002</v>
      </c>
      <c r="K617" s="14" t="s">
        <v>31439</v>
      </c>
      <c r="L617" s="163" t="s">
        <v>26993</v>
      </c>
      <c r="M617" s="14" t="s">
        <v>31440</v>
      </c>
      <c r="N617" s="54" t="s">
        <v>31439</v>
      </c>
      <c r="O617" s="130"/>
      <c r="P617" s="16"/>
      <c r="Q617" s="14">
        <v>6102480.0</v>
      </c>
      <c r="R617" s="95"/>
      <c r="S617" s="154"/>
      <c r="T617" s="84"/>
      <c r="U617" s="84"/>
      <c r="V617" s="84"/>
      <c r="W617" s="84"/>
      <c r="X617" s="84"/>
      <c r="Y617" s="84"/>
      <c r="Z617" s="84"/>
      <c r="AA617" s="84"/>
      <c r="AB617" s="84"/>
      <c r="AC617" s="84"/>
    </row>
    <row r="618" ht="15.75" customHeight="1">
      <c r="A618" s="14" t="s">
        <v>120</v>
      </c>
      <c r="B618" s="14">
        <v>2011.0</v>
      </c>
      <c r="C618" s="14" t="s">
        <v>22901</v>
      </c>
      <c r="D618" s="14" t="s">
        <v>22903</v>
      </c>
      <c r="E618" s="150" t="str">
        <f t="shared" ref="E618:E620" si="9">"http://dx.doi.org/" &amp; D618</f>
        <v>http://dx.doi.org/10.1109/VAST.2011.6102467</v>
      </c>
      <c r="F618" s="14">
        <v>267.0</v>
      </c>
      <c r="G618" s="14">
        <v>268.0</v>
      </c>
      <c r="H618" s="159" t="s">
        <v>30659</v>
      </c>
      <c r="I618" s="14" t="s">
        <v>21</v>
      </c>
      <c r="J618" s="14" t="s">
        <v>22905</v>
      </c>
      <c r="K618" s="14" t="s">
        <v>31444</v>
      </c>
      <c r="L618" s="152" t="s">
        <v>26971</v>
      </c>
      <c r="M618" s="14" t="s">
        <v>31445</v>
      </c>
      <c r="N618" s="54" t="s">
        <v>31444</v>
      </c>
      <c r="O618" s="130"/>
      <c r="P618" s="16"/>
      <c r="Q618" s="14">
        <v>6102467.0</v>
      </c>
      <c r="R618" s="95"/>
      <c r="S618" s="154"/>
      <c r="T618" s="84"/>
      <c r="U618" s="84"/>
      <c r="V618" s="84"/>
      <c r="W618" s="84"/>
      <c r="X618" s="84"/>
      <c r="Y618" s="84"/>
      <c r="Z618" s="84"/>
      <c r="AA618" s="84"/>
      <c r="AB618" s="84"/>
      <c r="AC618" s="84"/>
    </row>
    <row r="619" ht="15.75" customHeight="1">
      <c r="A619" s="14" t="s">
        <v>120</v>
      </c>
      <c r="B619" s="14">
        <v>2011.0</v>
      </c>
      <c r="C619" s="14" t="s">
        <v>22909</v>
      </c>
      <c r="D619" s="14" t="s">
        <v>22910</v>
      </c>
      <c r="E619" s="150" t="str">
        <f t="shared" si="9"/>
        <v>http://dx.doi.org/10.1109/VAST.2011.6102468</v>
      </c>
      <c r="F619" s="14">
        <v>269.0</v>
      </c>
      <c r="G619" s="14">
        <v>270.0</v>
      </c>
      <c r="H619" s="159" t="s">
        <v>30659</v>
      </c>
      <c r="I619" s="14" t="s">
        <v>21</v>
      </c>
      <c r="J619" s="14" t="s">
        <v>22911</v>
      </c>
      <c r="K619" s="14" t="s">
        <v>31449</v>
      </c>
      <c r="L619" s="152" t="s">
        <v>178</v>
      </c>
      <c r="M619" s="14" t="s">
        <v>31450</v>
      </c>
      <c r="N619" s="54" t="s">
        <v>31449</v>
      </c>
      <c r="O619" s="130"/>
      <c r="P619" s="16"/>
      <c r="Q619" s="14">
        <v>6102468.0</v>
      </c>
      <c r="R619" s="95"/>
      <c r="S619" s="154"/>
      <c r="T619" s="84"/>
      <c r="U619" s="84"/>
      <c r="V619" s="84"/>
      <c r="W619" s="84"/>
      <c r="X619" s="84"/>
      <c r="Y619" s="84"/>
      <c r="Z619" s="84"/>
      <c r="AA619" s="84"/>
      <c r="AB619" s="84"/>
      <c r="AC619" s="84"/>
    </row>
    <row r="620" ht="15.75" customHeight="1">
      <c r="A620" s="14" t="s">
        <v>120</v>
      </c>
      <c r="B620" s="14">
        <v>2011.0</v>
      </c>
      <c r="C620" s="14" t="s">
        <v>22840</v>
      </c>
      <c r="D620" s="14" t="s">
        <v>22841</v>
      </c>
      <c r="E620" s="150" t="str">
        <f t="shared" si="9"/>
        <v>http://dx.doi.org/10.1109/VAST.2011.6102458</v>
      </c>
      <c r="F620" s="14">
        <v>201.0</v>
      </c>
      <c r="G620" s="14">
        <v>210.0</v>
      </c>
      <c r="H620" s="151"/>
      <c r="I620" s="14" t="s">
        <v>28</v>
      </c>
      <c r="J620" s="14" t="s">
        <v>22842</v>
      </c>
      <c r="K620" s="14" t="s">
        <v>31451</v>
      </c>
      <c r="L620" s="152" t="s">
        <v>26919</v>
      </c>
      <c r="M620" s="14" t="s">
        <v>31452</v>
      </c>
      <c r="N620" s="54" t="s">
        <v>31451</v>
      </c>
      <c r="O620" s="130" t="s">
        <v>22845</v>
      </c>
      <c r="P620" s="16"/>
      <c r="Q620" s="14">
        <v>6102458.0</v>
      </c>
      <c r="R620" s="95"/>
      <c r="S620" s="154" t="s">
        <v>31453</v>
      </c>
      <c r="T620" s="84"/>
      <c r="U620" s="84"/>
      <c r="V620" s="84"/>
      <c r="W620" s="84"/>
      <c r="X620" s="84"/>
      <c r="Y620" s="84"/>
      <c r="Z620" s="84"/>
      <c r="AA620" s="84"/>
      <c r="AB620" s="84"/>
      <c r="AC620" s="84"/>
    </row>
    <row r="621" ht="15.75" customHeight="1">
      <c r="A621" s="14" t="s">
        <v>120</v>
      </c>
      <c r="B621" s="14">
        <v>2011.0</v>
      </c>
      <c r="C621" s="14" t="s">
        <v>23037</v>
      </c>
      <c r="D621" s="14" t="s">
        <v>23038</v>
      </c>
      <c r="E621" s="150" t="s">
        <v>23039</v>
      </c>
      <c r="F621" s="14">
        <v>309.0</v>
      </c>
      <c r="G621" s="14">
        <v>310.0</v>
      </c>
      <c r="H621" s="151" t="s">
        <v>30659</v>
      </c>
      <c r="I621" s="121" t="s">
        <v>21</v>
      </c>
      <c r="J621" s="121" t="s">
        <v>23040</v>
      </c>
      <c r="K621" s="14" t="s">
        <v>31454</v>
      </c>
      <c r="L621" s="163" t="s">
        <v>26998</v>
      </c>
      <c r="M621" s="14" t="s">
        <v>31455</v>
      </c>
      <c r="N621" s="54" t="s">
        <v>31454</v>
      </c>
      <c r="O621" s="130"/>
      <c r="P621" s="16"/>
      <c r="Q621" s="14">
        <v>6102488.0</v>
      </c>
      <c r="R621" s="95"/>
      <c r="S621" s="154"/>
      <c r="T621" s="84"/>
      <c r="U621" s="84"/>
      <c r="V621" s="84"/>
      <c r="W621" s="84"/>
      <c r="X621" s="84"/>
      <c r="Y621" s="84"/>
      <c r="Z621" s="84"/>
      <c r="AA621" s="84"/>
      <c r="AB621" s="84"/>
      <c r="AC621" s="84"/>
    </row>
    <row r="622" ht="15.75" customHeight="1">
      <c r="A622" s="14" t="s">
        <v>120</v>
      </c>
      <c r="B622" s="14">
        <v>2011.0</v>
      </c>
      <c r="C622" s="14" t="s">
        <v>22823</v>
      </c>
      <c r="D622" s="14" t="s">
        <v>22824</v>
      </c>
      <c r="E622" s="150" t="str">
        <f t="shared" ref="E622:E629" si="10">"http://dx.doi.org/" &amp; D622</f>
        <v>http://dx.doi.org/10.1109/VAST.2011.6102456</v>
      </c>
      <c r="F622" s="14">
        <v>181.0</v>
      </c>
      <c r="G622" s="14">
        <v>190.0</v>
      </c>
      <c r="H622" s="151"/>
      <c r="I622" s="14" t="s">
        <v>28</v>
      </c>
      <c r="J622" s="14" t="s">
        <v>22827</v>
      </c>
      <c r="K622" s="14" t="s">
        <v>31458</v>
      </c>
      <c r="L622" s="152" t="s">
        <v>26892</v>
      </c>
      <c r="M622" s="14" t="s">
        <v>31460</v>
      </c>
      <c r="N622" s="54" t="s">
        <v>31462</v>
      </c>
      <c r="O622" s="130" t="s">
        <v>22831</v>
      </c>
      <c r="P622" s="153" t="s">
        <v>22832</v>
      </c>
      <c r="Q622" s="14">
        <v>6102456.0</v>
      </c>
      <c r="R622" s="95"/>
      <c r="S622" s="154" t="s">
        <v>31465</v>
      </c>
      <c r="T622" s="84"/>
      <c r="U622" s="84"/>
      <c r="V622" s="84"/>
      <c r="W622" s="84"/>
      <c r="X622" s="84"/>
      <c r="Y622" s="84"/>
      <c r="Z622" s="84"/>
      <c r="AA622" s="84"/>
      <c r="AB622" s="84"/>
      <c r="AC622" s="84"/>
    </row>
    <row r="623" ht="15.75" customHeight="1">
      <c r="A623" s="14" t="s">
        <v>120</v>
      </c>
      <c r="B623" s="14">
        <v>2011.0</v>
      </c>
      <c r="C623" s="14" t="s">
        <v>22762</v>
      </c>
      <c r="D623" s="14" t="s">
        <v>22763</v>
      </c>
      <c r="E623" s="150" t="str">
        <f t="shared" si="10"/>
        <v>http://dx.doi.org/10.1109/VAST.2011.6102447</v>
      </c>
      <c r="F623" s="14">
        <v>101.0</v>
      </c>
      <c r="G623" s="14">
        <v>110.0</v>
      </c>
      <c r="H623" s="151"/>
      <c r="I623" s="14" t="s">
        <v>28</v>
      </c>
      <c r="J623" s="14" t="s">
        <v>22765</v>
      </c>
      <c r="K623" s="14" t="s">
        <v>31469</v>
      </c>
      <c r="L623" s="152" t="s">
        <v>25727</v>
      </c>
      <c r="M623" s="14" t="s">
        <v>31470</v>
      </c>
      <c r="N623" s="54" t="s">
        <v>31469</v>
      </c>
      <c r="O623" s="130" t="s">
        <v>22770</v>
      </c>
      <c r="P623" s="153" t="s">
        <v>22771</v>
      </c>
      <c r="Q623" s="14">
        <v>6102447.0</v>
      </c>
      <c r="R623" s="95"/>
      <c r="S623" s="154" t="s">
        <v>31471</v>
      </c>
      <c r="T623" s="84"/>
      <c r="U623" s="84"/>
      <c r="V623" s="84"/>
      <c r="W623" s="84"/>
      <c r="X623" s="84"/>
      <c r="Y623" s="84"/>
      <c r="Z623" s="84"/>
      <c r="AA623" s="84"/>
      <c r="AB623" s="84"/>
      <c r="AC623" s="84"/>
    </row>
    <row r="624" ht="15.75" customHeight="1">
      <c r="A624" s="14" t="s">
        <v>120</v>
      </c>
      <c r="B624" s="14">
        <v>2011.0</v>
      </c>
      <c r="C624" s="14" t="s">
        <v>22933</v>
      </c>
      <c r="D624" s="14" t="s">
        <v>22934</v>
      </c>
      <c r="E624" s="150" t="str">
        <f t="shared" si="10"/>
        <v>http://dx.doi.org/10.1109/VAST.2011.6102471</v>
      </c>
      <c r="F624" s="14">
        <v>275.0</v>
      </c>
      <c r="G624" s="14">
        <v>276.0</v>
      </c>
      <c r="H624" s="159" t="s">
        <v>30659</v>
      </c>
      <c r="I624" s="14" t="s">
        <v>21</v>
      </c>
      <c r="J624" s="14" t="s">
        <v>22936</v>
      </c>
      <c r="K624" s="14" t="s">
        <v>31493</v>
      </c>
      <c r="L624" s="152" t="s">
        <v>26979</v>
      </c>
      <c r="M624" s="14" t="s">
        <v>31494</v>
      </c>
      <c r="N624" s="54" t="s">
        <v>31493</v>
      </c>
      <c r="O624" s="130"/>
      <c r="P624" s="16"/>
      <c r="Q624" s="14">
        <v>6102471.0</v>
      </c>
      <c r="R624" s="95"/>
      <c r="S624" s="154"/>
      <c r="T624" s="84"/>
      <c r="U624" s="84"/>
      <c r="V624" s="84"/>
      <c r="W624" s="84"/>
      <c r="X624" s="84"/>
      <c r="Y624" s="84"/>
      <c r="Z624" s="84"/>
      <c r="AA624" s="84"/>
      <c r="AB624" s="84"/>
      <c r="AC624" s="84"/>
    </row>
    <row r="625" ht="15.75" customHeight="1">
      <c r="A625" s="14" t="s">
        <v>120</v>
      </c>
      <c r="B625" s="14">
        <v>2011.0</v>
      </c>
      <c r="C625" s="14" t="s">
        <v>22886</v>
      </c>
      <c r="D625" s="14" t="s">
        <v>22887</v>
      </c>
      <c r="E625" s="150" t="str">
        <f t="shared" si="10"/>
        <v>http://dx.doi.org/10.1109/VAST.2011.6102465</v>
      </c>
      <c r="F625" s="14">
        <v>263.0</v>
      </c>
      <c r="G625" s="14">
        <v>264.0</v>
      </c>
      <c r="H625" s="159" t="s">
        <v>30659</v>
      </c>
      <c r="I625" s="14" t="s">
        <v>21</v>
      </c>
      <c r="J625" s="14" t="s">
        <v>22888</v>
      </c>
      <c r="K625" s="14" t="s">
        <v>30795</v>
      </c>
      <c r="L625" s="152" t="s">
        <v>25331</v>
      </c>
      <c r="M625" s="14" t="s">
        <v>31495</v>
      </c>
      <c r="N625" s="54" t="s">
        <v>30795</v>
      </c>
      <c r="O625" s="130"/>
      <c r="P625" s="16"/>
      <c r="Q625" s="14">
        <v>6102465.0</v>
      </c>
      <c r="R625" s="95"/>
      <c r="S625" s="154"/>
      <c r="T625" s="84"/>
      <c r="U625" s="84"/>
      <c r="V625" s="84"/>
      <c r="W625" s="84"/>
      <c r="X625" s="84"/>
      <c r="Y625" s="84"/>
      <c r="Z625" s="84"/>
      <c r="AA625" s="84"/>
      <c r="AB625" s="84"/>
      <c r="AC625" s="84"/>
    </row>
    <row r="626" ht="15.75" customHeight="1">
      <c r="A626" s="14" t="s">
        <v>120</v>
      </c>
      <c r="B626" s="14">
        <v>2011.0</v>
      </c>
      <c r="C626" s="14" t="s">
        <v>22817</v>
      </c>
      <c r="D626" s="14" t="s">
        <v>22818</v>
      </c>
      <c r="E626" s="150" t="str">
        <f t="shared" si="10"/>
        <v>http://dx.doi.org/10.1109/VAST.2011.6102455</v>
      </c>
      <c r="F626" s="14">
        <v>171.0</v>
      </c>
      <c r="G626" s="14">
        <v>180.0</v>
      </c>
      <c r="H626" s="151"/>
      <c r="I626" s="14" t="s">
        <v>28</v>
      </c>
      <c r="J626" s="14" t="s">
        <v>22819</v>
      </c>
      <c r="K626" s="14" t="s">
        <v>31498</v>
      </c>
      <c r="L626" s="152" t="s">
        <v>26881</v>
      </c>
      <c r="M626" s="14" t="s">
        <v>31499</v>
      </c>
      <c r="N626" s="54" t="s">
        <v>31498</v>
      </c>
      <c r="O626" s="130" t="s">
        <v>22822</v>
      </c>
      <c r="P626" s="16"/>
      <c r="Q626" s="14">
        <v>6102455.0</v>
      </c>
      <c r="R626" s="95"/>
      <c r="S626" s="154" t="s">
        <v>31501</v>
      </c>
      <c r="T626" s="84"/>
      <c r="U626" s="84"/>
      <c r="V626" s="84"/>
      <c r="W626" s="84"/>
      <c r="X626" s="84"/>
      <c r="Y626" s="84"/>
      <c r="Z626" s="84"/>
      <c r="AA626" s="84"/>
      <c r="AB626" s="84"/>
      <c r="AC626" s="84"/>
    </row>
    <row r="627" ht="15.75" customHeight="1">
      <c r="A627" s="14" t="s">
        <v>120</v>
      </c>
      <c r="B627" s="14">
        <v>2011.0</v>
      </c>
      <c r="C627" s="14" t="s">
        <v>22685</v>
      </c>
      <c r="D627" s="14" t="s">
        <v>22686</v>
      </c>
      <c r="E627" s="150" t="str">
        <f t="shared" si="10"/>
        <v>http://dx.doi.org/10.1109/VAST.2011.6102435</v>
      </c>
      <c r="F627" s="14">
        <v>3.0</v>
      </c>
      <c r="G627" s="14">
        <v>11.0</v>
      </c>
      <c r="H627" s="151"/>
      <c r="I627" s="14" t="s">
        <v>28</v>
      </c>
      <c r="J627" s="14" t="s">
        <v>31509</v>
      </c>
      <c r="K627" s="14" t="s">
        <v>31510</v>
      </c>
      <c r="L627" s="152" t="s">
        <v>15776</v>
      </c>
      <c r="M627" s="14" t="s">
        <v>31511</v>
      </c>
      <c r="N627" s="54" t="s">
        <v>31512</v>
      </c>
      <c r="O627" s="130" t="s">
        <v>22692</v>
      </c>
      <c r="P627" s="158" t="s">
        <v>31513</v>
      </c>
      <c r="Q627" s="14">
        <v>6102435.0</v>
      </c>
      <c r="R627" s="95"/>
      <c r="S627" s="154" t="s">
        <v>31514</v>
      </c>
      <c r="T627" s="84"/>
      <c r="U627" s="84"/>
      <c r="V627" s="84"/>
      <c r="W627" s="84"/>
      <c r="X627" s="84"/>
      <c r="Y627" s="84"/>
      <c r="Z627" s="84"/>
      <c r="AA627" s="84"/>
      <c r="AB627" s="84"/>
      <c r="AC627" s="84"/>
    </row>
    <row r="628" ht="15.75" customHeight="1">
      <c r="A628" s="14" t="s">
        <v>120</v>
      </c>
      <c r="B628" s="14">
        <v>2011.0</v>
      </c>
      <c r="C628" s="14" t="s">
        <v>22927</v>
      </c>
      <c r="D628" s="14" t="s">
        <v>22928</v>
      </c>
      <c r="E628" s="150" t="str">
        <f t="shared" si="10"/>
        <v>http://dx.doi.org/10.1109/VAST.2011.6102470</v>
      </c>
      <c r="F628" s="14">
        <v>273.0</v>
      </c>
      <c r="G628" s="14">
        <v>274.0</v>
      </c>
      <c r="H628" s="159" t="s">
        <v>30659</v>
      </c>
      <c r="I628" s="14" t="s">
        <v>21</v>
      </c>
      <c r="J628" s="14" t="s">
        <v>22930</v>
      </c>
      <c r="K628" s="14" t="s">
        <v>31522</v>
      </c>
      <c r="L628" s="152" t="s">
        <v>26976</v>
      </c>
      <c r="M628" s="14" t="s">
        <v>31523</v>
      </c>
      <c r="N628" s="54" t="s">
        <v>31522</v>
      </c>
      <c r="O628" s="130"/>
      <c r="P628" s="16"/>
      <c r="Q628" s="14">
        <v>6102470.0</v>
      </c>
      <c r="R628" s="95"/>
      <c r="S628" s="154"/>
      <c r="T628" s="84"/>
      <c r="U628" s="84"/>
      <c r="V628" s="84"/>
      <c r="W628" s="84"/>
      <c r="X628" s="84"/>
      <c r="Y628" s="84"/>
      <c r="Z628" s="84"/>
      <c r="AA628" s="84"/>
      <c r="AB628" s="84"/>
      <c r="AC628" s="84"/>
    </row>
    <row r="629" ht="15.75" customHeight="1">
      <c r="A629" s="14" t="s">
        <v>120</v>
      </c>
      <c r="B629" s="14">
        <v>2011.0</v>
      </c>
      <c r="C629" s="14" t="s">
        <v>22833</v>
      </c>
      <c r="D629" s="14" t="s">
        <v>22834</v>
      </c>
      <c r="E629" s="150" t="str">
        <f t="shared" si="10"/>
        <v>http://dx.doi.org/10.1109/VAST.2011.6102457</v>
      </c>
      <c r="F629" s="14">
        <v>191.0</v>
      </c>
      <c r="G629" s="14">
        <v>200.0</v>
      </c>
      <c r="H629" s="151"/>
      <c r="I629" s="14" t="s">
        <v>28</v>
      </c>
      <c r="J629" s="14" t="s">
        <v>22835</v>
      </c>
      <c r="K629" s="14" t="s">
        <v>31527</v>
      </c>
      <c r="L629" s="152" t="s">
        <v>26908</v>
      </c>
      <c r="M629" s="14" t="s">
        <v>31528</v>
      </c>
      <c r="N629" s="54" t="s">
        <v>31527</v>
      </c>
      <c r="O629" s="130" t="s">
        <v>22838</v>
      </c>
      <c r="P629" s="16"/>
      <c r="Q629" s="14">
        <v>6102457.0</v>
      </c>
      <c r="R629" s="95"/>
      <c r="S629" s="154" t="s">
        <v>31529</v>
      </c>
      <c r="T629" s="84"/>
      <c r="U629" s="84"/>
      <c r="V629" s="84"/>
      <c r="W629" s="84"/>
      <c r="X629" s="84"/>
      <c r="Y629" s="84"/>
      <c r="Z629" s="84"/>
      <c r="AA629" s="84"/>
      <c r="AB629" s="84"/>
      <c r="AC629" s="84"/>
    </row>
    <row r="630" ht="15.75" customHeight="1">
      <c r="A630" s="14" t="s">
        <v>120</v>
      </c>
      <c r="B630" s="14">
        <v>2011.0</v>
      </c>
      <c r="C630" s="14" t="s">
        <v>23109</v>
      </c>
      <c r="D630" s="14" t="s">
        <v>23110</v>
      </c>
      <c r="E630" s="150" t="s">
        <v>23111</v>
      </c>
      <c r="F630" s="14">
        <v>329.0</v>
      </c>
      <c r="G630" s="14">
        <v>330.0</v>
      </c>
      <c r="H630" s="151" t="s">
        <v>30659</v>
      </c>
      <c r="I630" s="121" t="s">
        <v>21</v>
      </c>
      <c r="J630" s="121" t="s">
        <v>23112</v>
      </c>
      <c r="K630" s="14" t="s">
        <v>31541</v>
      </c>
      <c r="L630" s="163" t="s">
        <v>27006</v>
      </c>
      <c r="M630" s="14" t="s">
        <v>31542</v>
      </c>
      <c r="N630" s="54" t="s">
        <v>31541</v>
      </c>
      <c r="O630" s="130"/>
      <c r="P630" s="16"/>
      <c r="Q630" s="14">
        <v>6102498.0</v>
      </c>
      <c r="R630" s="95"/>
      <c r="S630" s="154"/>
      <c r="T630" s="84"/>
      <c r="U630" s="84"/>
      <c r="V630" s="84"/>
      <c r="W630" s="84"/>
      <c r="X630" s="84"/>
      <c r="Y630" s="84"/>
      <c r="Z630" s="84"/>
      <c r="AA630" s="84"/>
      <c r="AB630" s="84"/>
      <c r="AC630" s="84"/>
    </row>
    <row r="631" ht="15.75" customHeight="1">
      <c r="A631" s="14" t="s">
        <v>120</v>
      </c>
      <c r="B631" s="14">
        <v>2011.0</v>
      </c>
      <c r="C631" s="14" t="s">
        <v>22940</v>
      </c>
      <c r="D631" s="14" t="s">
        <v>22941</v>
      </c>
      <c r="E631" s="150" t="str">
        <f t="shared" ref="E631:E632" si="11">"http://dx.doi.org/" &amp; D631</f>
        <v>http://dx.doi.org/10.1109/VAST.2011.6102472</v>
      </c>
      <c r="F631" s="14">
        <v>277.0</v>
      </c>
      <c r="G631" s="14">
        <v>278.0</v>
      </c>
      <c r="H631" s="159" t="s">
        <v>30659</v>
      </c>
      <c r="I631" s="14" t="s">
        <v>21</v>
      </c>
      <c r="J631" s="14" t="s">
        <v>22942</v>
      </c>
      <c r="K631" s="14" t="s">
        <v>31553</v>
      </c>
      <c r="L631" s="152" t="s">
        <v>26982</v>
      </c>
      <c r="M631" s="14" t="s">
        <v>31554</v>
      </c>
      <c r="N631" s="54" t="s">
        <v>31553</v>
      </c>
      <c r="O631" s="130"/>
      <c r="P631" s="16"/>
      <c r="Q631" s="14">
        <v>6102472.0</v>
      </c>
      <c r="R631" s="95"/>
      <c r="S631" s="154"/>
      <c r="T631" s="84"/>
      <c r="U631" s="84"/>
      <c r="V631" s="84"/>
      <c r="W631" s="84"/>
      <c r="X631" s="84"/>
      <c r="Y631" s="84"/>
      <c r="Z631" s="84"/>
      <c r="AA631" s="84"/>
      <c r="AB631" s="84"/>
      <c r="AC631" s="84"/>
    </row>
    <row r="632" ht="15.75" customHeight="1">
      <c r="A632" s="14" t="s">
        <v>120</v>
      </c>
      <c r="B632" s="14">
        <v>2011.0</v>
      </c>
      <c r="C632" s="14" t="s">
        <v>22740</v>
      </c>
      <c r="D632" s="14" t="s">
        <v>22741</v>
      </c>
      <c r="E632" s="150" t="str">
        <f t="shared" si="11"/>
        <v>http://dx.doi.org/10.1109/VAST.2011.6102443</v>
      </c>
      <c r="F632" s="14">
        <v>71.0</v>
      </c>
      <c r="G632" s="14">
        <v>79.0</v>
      </c>
      <c r="H632" s="151"/>
      <c r="I632" s="14" t="s">
        <v>28</v>
      </c>
      <c r="J632" s="14" t="s">
        <v>22743</v>
      </c>
      <c r="K632" s="14" t="s">
        <v>31561</v>
      </c>
      <c r="L632" s="152" t="s">
        <v>26772</v>
      </c>
      <c r="M632" s="14" t="s">
        <v>31563</v>
      </c>
      <c r="N632" s="54" t="s">
        <v>31561</v>
      </c>
      <c r="O632" s="130" t="s">
        <v>22747</v>
      </c>
      <c r="P632" s="153" t="s">
        <v>31565</v>
      </c>
      <c r="Q632" s="14">
        <v>6102443.0</v>
      </c>
      <c r="R632" s="95"/>
      <c r="S632" s="154" t="s">
        <v>31566</v>
      </c>
      <c r="T632" s="84"/>
      <c r="U632" s="84"/>
      <c r="V632" s="84"/>
      <c r="W632" s="84"/>
      <c r="X632" s="84"/>
      <c r="Y632" s="84"/>
      <c r="Z632" s="84"/>
      <c r="AA632" s="84"/>
      <c r="AB632" s="84"/>
      <c r="AC632" s="84"/>
    </row>
    <row r="633" ht="15.75" customHeight="1">
      <c r="A633" s="14" t="s">
        <v>120</v>
      </c>
      <c r="B633" s="14">
        <v>2011.0</v>
      </c>
      <c r="C633" s="14" t="s">
        <v>22973</v>
      </c>
      <c r="D633" s="14" t="s">
        <v>22974</v>
      </c>
      <c r="E633" s="150" t="s">
        <v>22975</v>
      </c>
      <c r="F633" s="14">
        <v>287.0</v>
      </c>
      <c r="G633" s="14">
        <v>288.0</v>
      </c>
      <c r="H633" s="151" t="s">
        <v>30659</v>
      </c>
      <c r="I633" s="121" t="s">
        <v>21</v>
      </c>
      <c r="J633" s="121" t="s">
        <v>22978</v>
      </c>
      <c r="K633" s="14" t="s">
        <v>31570</v>
      </c>
      <c r="L633" s="163" t="s">
        <v>880</v>
      </c>
      <c r="M633" s="14" t="s">
        <v>31571</v>
      </c>
      <c r="N633" s="54" t="s">
        <v>31570</v>
      </c>
      <c r="O633" s="130"/>
      <c r="P633" s="16"/>
      <c r="Q633" s="14">
        <v>6102477.0</v>
      </c>
      <c r="R633" s="95"/>
      <c r="S633" s="154"/>
      <c r="T633" s="84"/>
      <c r="U633" s="84"/>
      <c r="V633" s="84"/>
      <c r="W633" s="84"/>
      <c r="X633" s="84"/>
      <c r="Y633" s="84"/>
      <c r="Z633" s="84"/>
      <c r="AA633" s="84"/>
      <c r="AB633" s="84"/>
      <c r="AC633" s="84"/>
    </row>
    <row r="634" ht="15.75" customHeight="1">
      <c r="A634" s="14" t="s">
        <v>17</v>
      </c>
      <c r="B634" s="14">
        <v>2011.0</v>
      </c>
      <c r="C634" s="14" t="s">
        <v>23116</v>
      </c>
      <c r="D634" s="14" t="s">
        <v>23117</v>
      </c>
      <c r="E634" s="150" t="str">
        <f t="shared" ref="E634:E719" si="12">"http://dx.doi.org/" &amp; D634</f>
        <v>http://dx.doi.org/10.1109/TVCG.2011.159</v>
      </c>
      <c r="F634" s="14">
        <v>2045.0</v>
      </c>
      <c r="G634" s="14">
        <v>2052.0</v>
      </c>
      <c r="H634" s="151"/>
      <c r="I634" s="14" t="s">
        <v>17059</v>
      </c>
      <c r="J634" s="14" t="s">
        <v>23120</v>
      </c>
      <c r="K634" s="14" t="s">
        <v>31582</v>
      </c>
      <c r="L634" s="152" t="s">
        <v>25738</v>
      </c>
      <c r="M634" s="14" t="s">
        <v>31583</v>
      </c>
      <c r="N634" s="54" t="s">
        <v>31582</v>
      </c>
      <c r="O634" s="130" t="s">
        <v>23124</v>
      </c>
      <c r="P634" s="153" t="s">
        <v>23125</v>
      </c>
      <c r="Q634" s="14">
        <v>6064968.0</v>
      </c>
      <c r="R634" s="95"/>
      <c r="S634" s="154" t="s">
        <v>31584</v>
      </c>
      <c r="T634" s="84"/>
      <c r="U634" s="84"/>
      <c r="V634" s="84"/>
      <c r="W634" s="84"/>
      <c r="X634" s="84"/>
      <c r="Y634" s="84"/>
      <c r="Z634" s="84"/>
      <c r="AA634" s="84"/>
      <c r="AB634" s="84"/>
      <c r="AC634" s="84"/>
    </row>
    <row r="635" ht="15.75" customHeight="1">
      <c r="A635" s="14" t="s">
        <v>17</v>
      </c>
      <c r="B635" s="14">
        <v>2011.0</v>
      </c>
      <c r="C635" s="14" t="s">
        <v>23126</v>
      </c>
      <c r="D635" s="14" t="s">
        <v>23127</v>
      </c>
      <c r="E635" s="150" t="str">
        <f t="shared" si="12"/>
        <v>http://dx.doi.org/10.1109/TVCG.2011.161</v>
      </c>
      <c r="F635" s="14">
        <v>1922.0</v>
      </c>
      <c r="G635" s="14">
        <v>1931.0</v>
      </c>
      <c r="H635" s="151"/>
      <c r="I635" s="14" t="s">
        <v>17059</v>
      </c>
      <c r="J635" s="14" t="s">
        <v>23128</v>
      </c>
      <c r="K635" s="14" t="s">
        <v>31585</v>
      </c>
      <c r="L635" s="152" t="s">
        <v>25742</v>
      </c>
      <c r="M635" s="14" t="s">
        <v>31586</v>
      </c>
      <c r="N635" s="54" t="s">
        <v>31585</v>
      </c>
      <c r="O635" s="130" t="s">
        <v>23131</v>
      </c>
      <c r="P635" s="153" t="s">
        <v>23132</v>
      </c>
      <c r="Q635" s="14">
        <v>6064955.0</v>
      </c>
      <c r="R635" s="95"/>
      <c r="S635" s="154" t="s">
        <v>31587</v>
      </c>
      <c r="T635" s="84"/>
      <c r="U635" s="84"/>
      <c r="V635" s="84"/>
      <c r="W635" s="84"/>
      <c r="X635" s="84"/>
      <c r="Y635" s="84"/>
      <c r="Z635" s="84"/>
      <c r="AA635" s="84"/>
      <c r="AB635" s="84"/>
      <c r="AC635" s="84"/>
    </row>
    <row r="636" ht="15.75" customHeight="1">
      <c r="A636" s="14" t="s">
        <v>17</v>
      </c>
      <c r="B636" s="14">
        <v>2011.0</v>
      </c>
      <c r="C636" s="14" t="s">
        <v>23133</v>
      </c>
      <c r="D636" s="14" t="s">
        <v>23134</v>
      </c>
      <c r="E636" s="150" t="str">
        <f t="shared" si="12"/>
        <v>http://dx.doi.org/10.1109/TVCG.2011.162</v>
      </c>
      <c r="F636" s="14">
        <v>2088.0</v>
      </c>
      <c r="G636" s="14">
        <v>2095.0</v>
      </c>
      <c r="H636" s="151"/>
      <c r="I636" s="14" t="s">
        <v>17059</v>
      </c>
      <c r="J636" s="14" t="s">
        <v>23137</v>
      </c>
      <c r="K636" s="14" t="s">
        <v>31588</v>
      </c>
      <c r="L636" s="152" t="s">
        <v>25744</v>
      </c>
      <c r="M636" s="14" t="s">
        <v>31589</v>
      </c>
      <c r="N636" s="54" t="s">
        <v>31588</v>
      </c>
      <c r="O636" s="130" t="s">
        <v>23141</v>
      </c>
      <c r="P636" s="153" t="s">
        <v>23142</v>
      </c>
      <c r="Q636" s="14">
        <v>6064973.0</v>
      </c>
      <c r="R636" s="95"/>
      <c r="S636" s="154" t="s">
        <v>31590</v>
      </c>
      <c r="T636" s="84"/>
      <c r="U636" s="84"/>
      <c r="V636" s="84"/>
      <c r="W636" s="84"/>
      <c r="X636" s="84"/>
      <c r="Y636" s="84"/>
      <c r="Z636" s="84"/>
      <c r="AA636" s="84"/>
      <c r="AB636" s="84"/>
      <c r="AC636" s="84"/>
    </row>
    <row r="637" ht="15.75" customHeight="1">
      <c r="A637" s="14" t="s">
        <v>17</v>
      </c>
      <c r="B637" s="14">
        <v>2011.0</v>
      </c>
      <c r="C637" s="14" t="s">
        <v>23144</v>
      </c>
      <c r="D637" s="14" t="s">
        <v>23145</v>
      </c>
      <c r="E637" s="150" t="str">
        <f t="shared" si="12"/>
        <v>http://dx.doi.org/10.1109/TVCG.2011.164</v>
      </c>
      <c r="F637" s="14">
        <v>2144.0</v>
      </c>
      <c r="G637" s="14">
        <v>2152.0</v>
      </c>
      <c r="H637" s="151"/>
      <c r="I637" s="14" t="s">
        <v>17059</v>
      </c>
      <c r="J637" s="14" t="s">
        <v>23146</v>
      </c>
      <c r="K637" s="14" t="s">
        <v>23148</v>
      </c>
      <c r="L637" s="152" t="s">
        <v>25747</v>
      </c>
      <c r="M637" s="14" t="s">
        <v>31591</v>
      </c>
      <c r="N637" s="54" t="s">
        <v>23148</v>
      </c>
      <c r="O637" s="130" t="s">
        <v>23150</v>
      </c>
      <c r="P637" s="153" t="s">
        <v>23151</v>
      </c>
      <c r="Q637" s="14">
        <v>6064979.0</v>
      </c>
      <c r="R637" s="95"/>
      <c r="S637" s="154" t="s">
        <v>31592</v>
      </c>
      <c r="T637" s="84"/>
      <c r="U637" s="84"/>
      <c r="V637" s="84"/>
      <c r="W637" s="84"/>
      <c r="X637" s="84"/>
      <c r="Y637" s="84"/>
      <c r="Z637" s="84"/>
      <c r="AA637" s="84"/>
      <c r="AB637" s="84"/>
      <c r="AC637" s="84"/>
    </row>
    <row r="638" ht="15.75" customHeight="1">
      <c r="A638" s="14" t="s">
        <v>17</v>
      </c>
      <c r="B638" s="14">
        <v>2011.0</v>
      </c>
      <c r="C638" s="14" t="s">
        <v>23152</v>
      </c>
      <c r="D638" s="14" t="s">
        <v>23153</v>
      </c>
      <c r="E638" s="150" t="str">
        <f t="shared" si="12"/>
        <v>http://dx.doi.org/10.1109/TVCG.2011.165</v>
      </c>
      <c r="F638" s="14">
        <v>1989.0</v>
      </c>
      <c r="G638" s="14">
        <v>1996.0</v>
      </c>
      <c r="H638" s="151"/>
      <c r="I638" s="14" t="s">
        <v>17059</v>
      </c>
      <c r="J638" s="14" t="s">
        <v>23154</v>
      </c>
      <c r="K638" s="14" t="s">
        <v>31594</v>
      </c>
      <c r="L638" s="152" t="s">
        <v>25749</v>
      </c>
      <c r="M638" s="14" t="s">
        <v>31595</v>
      </c>
      <c r="N638" s="54" t="s">
        <v>31594</v>
      </c>
      <c r="O638" s="130" t="s">
        <v>15280</v>
      </c>
      <c r="P638" s="153" t="s">
        <v>23159</v>
      </c>
      <c r="Q638" s="14">
        <v>6064962.0</v>
      </c>
      <c r="R638" s="95"/>
      <c r="S638" s="154">
        <v>1372206.0</v>
      </c>
      <c r="T638" s="84"/>
      <c r="U638" s="84"/>
      <c r="V638" s="84"/>
      <c r="W638" s="84"/>
      <c r="X638" s="84"/>
      <c r="Y638" s="84"/>
      <c r="Z638" s="84"/>
      <c r="AA638" s="84"/>
      <c r="AB638" s="84"/>
      <c r="AC638" s="84"/>
    </row>
    <row r="639" ht="15.75" customHeight="1">
      <c r="A639" s="14" t="s">
        <v>17</v>
      </c>
      <c r="B639" s="14">
        <v>2011.0</v>
      </c>
      <c r="C639" s="14" t="s">
        <v>23160</v>
      </c>
      <c r="D639" s="14" t="s">
        <v>23162</v>
      </c>
      <c r="E639" s="150" t="str">
        <f t="shared" si="12"/>
        <v>http://dx.doi.org/10.1109/TVCG.2011.168</v>
      </c>
      <c r="F639" s="14">
        <v>1757.0</v>
      </c>
      <c r="G639" s="14">
        <v>1764.0</v>
      </c>
      <c r="H639" s="151"/>
      <c r="I639" s="14" t="s">
        <v>17059</v>
      </c>
      <c r="J639" s="14" t="s">
        <v>23163</v>
      </c>
      <c r="K639" s="14" t="s">
        <v>31596</v>
      </c>
      <c r="L639" s="152" t="s">
        <v>25754</v>
      </c>
      <c r="M639" s="14" t="s">
        <v>31597</v>
      </c>
      <c r="N639" s="54" t="s">
        <v>31596</v>
      </c>
      <c r="O639" s="130" t="s">
        <v>6032</v>
      </c>
      <c r="P639" s="153" t="s">
        <v>23167</v>
      </c>
      <c r="Q639" s="14">
        <v>6064938.0</v>
      </c>
      <c r="R639" s="95"/>
      <c r="S639" s="154" t="s">
        <v>31598</v>
      </c>
      <c r="T639" s="84"/>
      <c r="U639" s="84"/>
      <c r="V639" s="84"/>
      <c r="W639" s="84"/>
      <c r="X639" s="84"/>
      <c r="Y639" s="84"/>
      <c r="Z639" s="84"/>
      <c r="AA639" s="84"/>
      <c r="AB639" s="84"/>
      <c r="AC639" s="84"/>
    </row>
    <row r="640" ht="15.75" customHeight="1">
      <c r="A640" s="14" t="s">
        <v>17</v>
      </c>
      <c r="B640" s="14">
        <v>2011.0</v>
      </c>
      <c r="C640" s="14" t="s">
        <v>23168</v>
      </c>
      <c r="D640" s="14" t="s">
        <v>23169</v>
      </c>
      <c r="E640" s="150" t="str">
        <f t="shared" si="12"/>
        <v>http://dx.doi.org/10.1109/TVCG.2011.170</v>
      </c>
      <c r="F640" s="14">
        <v>1979.0</v>
      </c>
      <c r="G640" s="14">
        <v>1988.0</v>
      </c>
      <c r="H640" s="151"/>
      <c r="I640" s="14" t="s">
        <v>17059</v>
      </c>
      <c r="J640" s="14" t="s">
        <v>23170</v>
      </c>
      <c r="K640" s="14" t="s">
        <v>31599</v>
      </c>
      <c r="L640" s="152" t="s">
        <v>25758</v>
      </c>
      <c r="M640" s="14" t="s">
        <v>31600</v>
      </c>
      <c r="N640" s="54" t="s">
        <v>31599</v>
      </c>
      <c r="O640" s="130" t="s">
        <v>23174</v>
      </c>
      <c r="P640" s="153" t="s">
        <v>23175</v>
      </c>
      <c r="Q640" s="14">
        <v>6064961.0</v>
      </c>
      <c r="R640" s="95"/>
      <c r="S640" s="154" t="s">
        <v>31601</v>
      </c>
      <c r="T640" s="84"/>
      <c r="U640" s="84"/>
      <c r="V640" s="84"/>
      <c r="W640" s="84"/>
      <c r="X640" s="84"/>
      <c r="Y640" s="84"/>
      <c r="Z640" s="84"/>
      <c r="AA640" s="84"/>
      <c r="AB640" s="84"/>
      <c r="AC640" s="84"/>
    </row>
    <row r="641" ht="15.75" customHeight="1">
      <c r="A641" s="14" t="s">
        <v>17</v>
      </c>
      <c r="B641" s="14">
        <v>2011.0</v>
      </c>
      <c r="C641" s="14" t="s">
        <v>23176</v>
      </c>
      <c r="D641" s="14" t="s">
        <v>23177</v>
      </c>
      <c r="E641" s="150" t="str">
        <f t="shared" si="12"/>
        <v>http://dx.doi.org/10.1109/TVCG.2011.171</v>
      </c>
      <c r="F641" s="14">
        <v>2005.0</v>
      </c>
      <c r="G641" s="14">
        <v>2014.0</v>
      </c>
      <c r="H641" s="151"/>
      <c r="I641" s="14" t="s">
        <v>17059</v>
      </c>
      <c r="J641" s="14" t="s">
        <v>23197</v>
      </c>
      <c r="K641" s="14" t="s">
        <v>23198</v>
      </c>
      <c r="L641" s="152" t="s">
        <v>25760</v>
      </c>
      <c r="M641" s="14" t="s">
        <v>31604</v>
      </c>
      <c r="N641" s="54" t="s">
        <v>23198</v>
      </c>
      <c r="O641" s="130" t="s">
        <v>23200</v>
      </c>
      <c r="P641" s="153" t="s">
        <v>23202</v>
      </c>
      <c r="Q641" s="14">
        <v>6064964.0</v>
      </c>
      <c r="R641" s="95"/>
      <c r="S641" s="154" t="s">
        <v>31605</v>
      </c>
      <c r="T641" s="84"/>
      <c r="U641" s="84"/>
      <c r="V641" s="84"/>
      <c r="W641" s="84"/>
      <c r="X641" s="84"/>
      <c r="Y641" s="84"/>
      <c r="Z641" s="84"/>
      <c r="AA641" s="84"/>
      <c r="AB641" s="84"/>
      <c r="AC641" s="84"/>
    </row>
    <row r="642" ht="15.75" customHeight="1">
      <c r="A642" s="14" t="s">
        <v>17</v>
      </c>
      <c r="B642" s="14">
        <v>2011.0</v>
      </c>
      <c r="C642" s="14" t="s">
        <v>23203</v>
      </c>
      <c r="D642" s="14" t="s">
        <v>23204</v>
      </c>
      <c r="E642" s="150" t="str">
        <f t="shared" si="12"/>
        <v>http://dx.doi.org/10.1109/TVCG.2011.173</v>
      </c>
      <c r="F642" s="14">
        <v>1932.0</v>
      </c>
      <c r="G642" s="14">
        <v>1941.0</v>
      </c>
      <c r="H642" s="151"/>
      <c r="I642" s="14" t="s">
        <v>17059</v>
      </c>
      <c r="J642" s="14" t="s">
        <v>23205</v>
      </c>
      <c r="K642" s="14" t="s">
        <v>31607</v>
      </c>
      <c r="L642" s="152" t="s">
        <v>860</v>
      </c>
      <c r="M642" s="14" t="s">
        <v>31608</v>
      </c>
      <c r="N642" s="54" t="s">
        <v>31607</v>
      </c>
      <c r="O642" s="130" t="s">
        <v>23209</v>
      </c>
      <c r="P642" s="153" t="s">
        <v>23210</v>
      </c>
      <c r="Q642" s="14">
        <v>6064956.0</v>
      </c>
      <c r="R642" s="95"/>
      <c r="S642" s="154" t="s">
        <v>31609</v>
      </c>
      <c r="T642" s="84"/>
      <c r="U642" s="84"/>
      <c r="V642" s="84"/>
      <c r="W642" s="84"/>
      <c r="X642" s="84"/>
      <c r="Y642" s="84"/>
      <c r="Z642" s="84"/>
      <c r="AA642" s="84"/>
      <c r="AB642" s="84"/>
      <c r="AC642" s="84"/>
    </row>
    <row r="643" ht="15.75" customHeight="1">
      <c r="A643" s="14" t="s">
        <v>17</v>
      </c>
      <c r="B643" s="14">
        <v>2011.0</v>
      </c>
      <c r="C643" s="14" t="s">
        <v>23212</v>
      </c>
      <c r="D643" s="14" t="s">
        <v>23213</v>
      </c>
      <c r="E643" s="150" t="str">
        <f t="shared" si="12"/>
        <v>http://dx.doi.org/10.1109/TVCG.2011.177</v>
      </c>
      <c r="F643" s="14">
        <v>1902.0</v>
      </c>
      <c r="G643" s="14">
        <v>1911.0</v>
      </c>
      <c r="H643" s="151"/>
      <c r="I643" s="14" t="s">
        <v>17059</v>
      </c>
      <c r="J643" s="14" t="s">
        <v>23214</v>
      </c>
      <c r="K643" s="14" t="s">
        <v>31610</v>
      </c>
      <c r="L643" s="152" t="s">
        <v>25768</v>
      </c>
      <c r="M643" s="14" t="s">
        <v>31611</v>
      </c>
      <c r="N643" s="54" t="s">
        <v>31610</v>
      </c>
      <c r="O643" s="130" t="s">
        <v>23217</v>
      </c>
      <c r="P643" s="153" t="s">
        <v>23218</v>
      </c>
      <c r="Q643" s="14">
        <v>6064953.0</v>
      </c>
      <c r="R643" s="95"/>
      <c r="S643" s="154" t="s">
        <v>31612</v>
      </c>
      <c r="T643" s="84"/>
      <c r="U643" s="84"/>
      <c r="V643" s="84"/>
      <c r="W643" s="84"/>
      <c r="X643" s="84"/>
      <c r="Y643" s="84"/>
      <c r="Z643" s="84"/>
      <c r="AA643" s="84"/>
      <c r="AB643" s="84"/>
      <c r="AC643" s="84"/>
    </row>
    <row r="644" ht="15.75" customHeight="1">
      <c r="A644" s="14" t="s">
        <v>17</v>
      </c>
      <c r="B644" s="14">
        <v>2011.0</v>
      </c>
      <c r="C644" s="14" t="s">
        <v>23219</v>
      </c>
      <c r="D644" s="14" t="s">
        <v>23220</v>
      </c>
      <c r="E644" s="150" t="str">
        <f t="shared" si="12"/>
        <v>http://dx.doi.org/10.1109/TVCG.2011.182</v>
      </c>
      <c r="F644" s="14">
        <v>1997.0</v>
      </c>
      <c r="G644" s="14">
        <v>2004.0</v>
      </c>
      <c r="H644" s="151"/>
      <c r="I644" s="14" t="s">
        <v>17059</v>
      </c>
      <c r="J644" s="14" t="s">
        <v>23222</v>
      </c>
      <c r="K644" s="14" t="s">
        <v>31613</v>
      </c>
      <c r="L644" s="152" t="s">
        <v>25779</v>
      </c>
      <c r="M644" s="14" t="s">
        <v>31614</v>
      </c>
      <c r="N644" s="54" t="s">
        <v>31613</v>
      </c>
      <c r="O644" s="130" t="s">
        <v>23226</v>
      </c>
      <c r="P644" s="153" t="s">
        <v>23227</v>
      </c>
      <c r="Q644" s="14">
        <v>6064963.0</v>
      </c>
      <c r="R644" s="95"/>
      <c r="S644" s="154" t="s">
        <v>31615</v>
      </c>
      <c r="T644" s="84"/>
      <c r="U644" s="84"/>
      <c r="V644" s="84"/>
      <c r="W644" s="84"/>
      <c r="X644" s="84"/>
      <c r="Y644" s="84"/>
      <c r="Z644" s="84"/>
      <c r="AA644" s="84"/>
      <c r="AB644" s="84"/>
      <c r="AC644" s="84"/>
    </row>
    <row r="645" ht="15.75" customHeight="1">
      <c r="A645" s="14" t="s">
        <v>17</v>
      </c>
      <c r="B645" s="14">
        <v>2011.0</v>
      </c>
      <c r="C645" s="14" t="s">
        <v>23229</v>
      </c>
      <c r="D645" s="14" t="s">
        <v>23230</v>
      </c>
      <c r="E645" s="150" t="str">
        <f t="shared" si="12"/>
        <v>http://dx.doi.org/10.1109/TVCG.2011.184</v>
      </c>
      <c r="F645" s="14">
        <v>2163.0</v>
      </c>
      <c r="G645" s="14">
        <v>2172.0</v>
      </c>
      <c r="H645" s="151"/>
      <c r="I645" s="14" t="s">
        <v>17059</v>
      </c>
      <c r="J645" s="14" t="s">
        <v>23231</v>
      </c>
      <c r="K645" s="14" t="s">
        <v>31616</v>
      </c>
      <c r="L645" s="152" t="s">
        <v>25796</v>
      </c>
      <c r="M645" s="14" t="s">
        <v>31617</v>
      </c>
      <c r="N645" s="54" t="s">
        <v>31616</v>
      </c>
      <c r="O645" s="130" t="s">
        <v>18763</v>
      </c>
      <c r="P645" s="153" t="s">
        <v>23234</v>
      </c>
      <c r="Q645" s="14">
        <v>6064981.0</v>
      </c>
      <c r="R645" s="95"/>
      <c r="S645" s="154">
        <v>4376204.0</v>
      </c>
      <c r="T645" s="84"/>
      <c r="U645" s="84"/>
      <c r="V645" s="84"/>
      <c r="W645" s="84"/>
      <c r="X645" s="84"/>
      <c r="Y645" s="84"/>
      <c r="Z645" s="84"/>
      <c r="AA645" s="84"/>
      <c r="AB645" s="84"/>
      <c r="AC645" s="84"/>
    </row>
    <row r="646" ht="15.75" customHeight="1">
      <c r="A646" s="14" t="s">
        <v>17</v>
      </c>
      <c r="B646" s="14">
        <v>2011.0</v>
      </c>
      <c r="C646" s="14" t="s">
        <v>23235</v>
      </c>
      <c r="D646" s="14" t="s">
        <v>23236</v>
      </c>
      <c r="E646" s="150" t="str">
        <f t="shared" si="12"/>
        <v>http://dx.doi.org/10.1109/TVCG.2011.189</v>
      </c>
      <c r="F646" s="14">
        <v>2173.0</v>
      </c>
      <c r="G646" s="14">
        <v>2182.0</v>
      </c>
      <c r="H646" s="151"/>
      <c r="I646" s="14" t="s">
        <v>17059</v>
      </c>
      <c r="J646" s="14" t="s">
        <v>23238</v>
      </c>
      <c r="K646" s="14" t="s">
        <v>31618</v>
      </c>
      <c r="L646" s="152" t="s">
        <v>22133</v>
      </c>
      <c r="M646" s="14" t="s">
        <v>31619</v>
      </c>
      <c r="N646" s="54" t="s">
        <v>31618</v>
      </c>
      <c r="O646" s="130" t="s">
        <v>23242</v>
      </c>
      <c r="P646" s="153" t="s">
        <v>23243</v>
      </c>
      <c r="Q646" s="14">
        <v>6064982.0</v>
      </c>
      <c r="R646" s="95"/>
      <c r="S646" s="154" t="s">
        <v>31620</v>
      </c>
      <c r="T646" s="84"/>
      <c r="U646" s="84"/>
      <c r="V646" s="84"/>
      <c r="W646" s="84"/>
      <c r="X646" s="84"/>
      <c r="Y646" s="84"/>
      <c r="Z646" s="84"/>
      <c r="AA646" s="84"/>
      <c r="AB646" s="84"/>
      <c r="AC646" s="84"/>
    </row>
    <row r="647" ht="15.75" customHeight="1">
      <c r="A647" s="14" t="s">
        <v>17</v>
      </c>
      <c r="B647" s="14">
        <v>2011.0</v>
      </c>
      <c r="C647" s="14" t="s">
        <v>23244</v>
      </c>
      <c r="D647" s="14" t="s">
        <v>23245</v>
      </c>
      <c r="E647" s="150" t="str">
        <f t="shared" si="12"/>
        <v>http://dx.doi.org/10.1109/TVCG.2011.194</v>
      </c>
      <c r="F647" s="14">
        <v>2053.0</v>
      </c>
      <c r="G647" s="14">
        <v>2062.0</v>
      </c>
      <c r="H647" s="151"/>
      <c r="I647" s="14" t="s">
        <v>17059</v>
      </c>
      <c r="J647" s="14" t="s">
        <v>23246</v>
      </c>
      <c r="K647" s="14" t="s">
        <v>31622</v>
      </c>
      <c r="L647" s="152" t="s">
        <v>178</v>
      </c>
      <c r="M647" s="14" t="s">
        <v>31623</v>
      </c>
      <c r="N647" s="54" t="s">
        <v>31622</v>
      </c>
      <c r="O647" s="130" t="s">
        <v>23250</v>
      </c>
      <c r="P647" s="153" t="s">
        <v>23251</v>
      </c>
      <c r="Q647" s="14">
        <v>6064969.0</v>
      </c>
      <c r="R647" s="95"/>
      <c r="S647" s="154" t="s">
        <v>31624</v>
      </c>
      <c r="T647" s="84"/>
      <c r="U647" s="84"/>
      <c r="V647" s="84"/>
      <c r="W647" s="84"/>
      <c r="X647" s="84"/>
      <c r="Y647" s="84"/>
      <c r="Z647" s="84"/>
      <c r="AA647" s="84"/>
      <c r="AB647" s="84"/>
      <c r="AC647" s="84"/>
    </row>
    <row r="648" ht="15.75" customHeight="1">
      <c r="A648" s="14" t="s">
        <v>17</v>
      </c>
      <c r="B648" s="14">
        <v>2011.0</v>
      </c>
      <c r="C648" s="14" t="s">
        <v>23252</v>
      </c>
      <c r="D648" s="14" t="s">
        <v>23253</v>
      </c>
      <c r="E648" s="150" t="str">
        <f t="shared" si="12"/>
        <v>http://dx.doi.org/10.1109/TVCG.2011.198</v>
      </c>
      <c r="F648" s="14">
        <v>1795.0</v>
      </c>
      <c r="G648" s="14">
        <v>1802.0</v>
      </c>
      <c r="H648" s="151"/>
      <c r="I648" s="14" t="s">
        <v>17059</v>
      </c>
      <c r="J648" s="14" t="s">
        <v>23254</v>
      </c>
      <c r="K648" s="14" t="s">
        <v>31625</v>
      </c>
      <c r="L648" s="152" t="s">
        <v>25945</v>
      </c>
      <c r="M648" s="14" t="s">
        <v>31626</v>
      </c>
      <c r="N648" s="54" t="s">
        <v>31625</v>
      </c>
      <c r="O648" s="130" t="s">
        <v>23257</v>
      </c>
      <c r="P648" s="153" t="s">
        <v>23258</v>
      </c>
      <c r="Q648" s="14">
        <v>6064942.0</v>
      </c>
      <c r="R648" s="95"/>
      <c r="S648" s="154" t="s">
        <v>31627</v>
      </c>
      <c r="T648" s="84"/>
      <c r="U648" s="84"/>
      <c r="V648" s="84"/>
      <c r="W648" s="84"/>
      <c r="X648" s="84"/>
      <c r="Y648" s="84"/>
      <c r="Z648" s="84"/>
      <c r="AA648" s="84"/>
      <c r="AB648" s="84"/>
      <c r="AC648" s="84"/>
    </row>
    <row r="649" ht="15.75" customHeight="1">
      <c r="A649" s="14" t="s">
        <v>17</v>
      </c>
      <c r="B649" s="14">
        <v>2011.0</v>
      </c>
      <c r="C649" s="14" t="s">
        <v>23259</v>
      </c>
      <c r="D649" s="14" t="s">
        <v>23260</v>
      </c>
      <c r="E649" s="150" t="str">
        <f t="shared" si="12"/>
        <v>http://dx.doi.org/10.1109/TVCG.2011.199</v>
      </c>
      <c r="F649" s="14">
        <v>1822.0</v>
      </c>
      <c r="G649" s="14">
        <v>1831.0</v>
      </c>
      <c r="H649" s="151"/>
      <c r="I649" s="14" t="s">
        <v>17059</v>
      </c>
      <c r="J649" s="14" t="s">
        <v>25959</v>
      </c>
      <c r="K649" s="14" t="s">
        <v>31628</v>
      </c>
      <c r="L649" s="152" t="s">
        <v>25961</v>
      </c>
      <c r="M649" s="14" t="s">
        <v>31629</v>
      </c>
      <c r="N649" s="54" t="s">
        <v>31628</v>
      </c>
      <c r="O649" s="130" t="s">
        <v>23266</v>
      </c>
      <c r="P649" s="153" t="s">
        <v>23267</v>
      </c>
      <c r="Q649" s="14">
        <v>6064945.0</v>
      </c>
      <c r="R649" s="95"/>
      <c r="S649" s="154" t="s">
        <v>31630</v>
      </c>
      <c r="T649" s="84"/>
      <c r="U649" s="84"/>
      <c r="V649" s="84"/>
      <c r="W649" s="84"/>
      <c r="X649" s="84"/>
      <c r="Y649" s="84"/>
      <c r="Z649" s="84"/>
      <c r="AA649" s="84"/>
      <c r="AB649" s="84"/>
      <c r="AC649" s="84"/>
    </row>
    <row r="650" ht="15.75" customHeight="1">
      <c r="A650" s="14" t="s">
        <v>17</v>
      </c>
      <c r="B650" s="14">
        <v>2011.0</v>
      </c>
      <c r="C650" s="14" t="s">
        <v>23268</v>
      </c>
      <c r="D650" s="14" t="s">
        <v>23269</v>
      </c>
      <c r="E650" s="150" t="str">
        <f t="shared" si="12"/>
        <v>http://dx.doi.org/10.1109/TVCG.2011.200</v>
      </c>
      <c r="F650" s="14">
        <v>1912.0</v>
      </c>
      <c r="G650" s="14">
        <v>1921.0</v>
      </c>
      <c r="H650" s="151"/>
      <c r="I650" s="14" t="s">
        <v>17059</v>
      </c>
      <c r="J650" s="14" t="s">
        <v>23270</v>
      </c>
      <c r="K650" s="14" t="s">
        <v>28427</v>
      </c>
      <c r="L650" s="152" t="s">
        <v>24200</v>
      </c>
      <c r="M650" s="14" t="s">
        <v>31631</v>
      </c>
      <c r="N650" s="54" t="s">
        <v>28427</v>
      </c>
      <c r="O650" s="130" t="s">
        <v>23272</v>
      </c>
      <c r="P650" s="153" t="s">
        <v>23273</v>
      </c>
      <c r="Q650" s="14">
        <v>6064954.0</v>
      </c>
      <c r="R650" s="95"/>
      <c r="S650" s="154" t="s">
        <v>31632</v>
      </c>
      <c r="T650" s="84"/>
      <c r="U650" s="84"/>
      <c r="V650" s="84"/>
      <c r="W650" s="84"/>
      <c r="X650" s="84"/>
      <c r="Y650" s="84"/>
      <c r="Z650" s="84"/>
      <c r="AA650" s="84"/>
      <c r="AB650" s="84"/>
      <c r="AC650" s="84"/>
    </row>
    <row r="651" ht="15.75" customHeight="1">
      <c r="A651" s="14" t="s">
        <v>17</v>
      </c>
      <c r="B651" s="14">
        <v>2011.0</v>
      </c>
      <c r="C651" s="14" t="s">
        <v>26000</v>
      </c>
      <c r="D651" s="14" t="s">
        <v>23275</v>
      </c>
      <c r="E651" s="150" t="str">
        <f t="shared" si="12"/>
        <v>http://dx.doi.org/10.1109/TVCG.2011.203</v>
      </c>
      <c r="F651" s="14">
        <v>1949.0</v>
      </c>
      <c r="G651" s="14">
        <v>1958.0</v>
      </c>
      <c r="H651" s="151"/>
      <c r="I651" s="14" t="s">
        <v>17059</v>
      </c>
      <c r="J651" s="14" t="s">
        <v>23278</v>
      </c>
      <c r="K651" s="14" t="s">
        <v>31633</v>
      </c>
      <c r="L651" s="152" t="s">
        <v>26010</v>
      </c>
      <c r="M651" s="14" t="s">
        <v>31634</v>
      </c>
      <c r="N651" s="54" t="s">
        <v>31633</v>
      </c>
      <c r="O651" s="130" t="s">
        <v>23282</v>
      </c>
      <c r="P651" s="153" t="s">
        <v>23283</v>
      </c>
      <c r="Q651" s="14">
        <v>6064958.0</v>
      </c>
      <c r="R651" s="95"/>
      <c r="S651" s="154" t="s">
        <v>31635</v>
      </c>
      <c r="T651" s="84"/>
      <c r="U651" s="84"/>
      <c r="V651" s="84"/>
      <c r="W651" s="84"/>
      <c r="X651" s="84"/>
      <c r="Y651" s="84"/>
      <c r="Z651" s="84"/>
      <c r="AA651" s="84"/>
      <c r="AB651" s="84"/>
      <c r="AC651" s="84"/>
    </row>
    <row r="652" ht="15.75" customHeight="1">
      <c r="A652" s="14" t="s">
        <v>17</v>
      </c>
      <c r="B652" s="14">
        <v>2011.0</v>
      </c>
      <c r="C652" s="14" t="s">
        <v>23285</v>
      </c>
      <c r="D652" s="14" t="s">
        <v>23286</v>
      </c>
      <c r="E652" s="150" t="str">
        <f t="shared" si="12"/>
        <v>http://dx.doi.org/10.1109/TVCG.2011.204</v>
      </c>
      <c r="F652" s="14">
        <v>2096.0</v>
      </c>
      <c r="G652" s="14">
        <v>2105.0</v>
      </c>
      <c r="H652" s="151"/>
      <c r="I652" s="14" t="s">
        <v>17059</v>
      </c>
      <c r="J652" s="14" t="s">
        <v>23287</v>
      </c>
      <c r="K652" s="14" t="s">
        <v>31636</v>
      </c>
      <c r="L652" s="152" t="s">
        <v>26025</v>
      </c>
      <c r="M652" s="14" t="s">
        <v>31637</v>
      </c>
      <c r="N652" s="54" t="s">
        <v>31636</v>
      </c>
      <c r="O652" s="130" t="s">
        <v>23291</v>
      </c>
      <c r="P652" s="153" t="s">
        <v>23292</v>
      </c>
      <c r="Q652" s="14">
        <v>6064974.0</v>
      </c>
      <c r="R652" s="95"/>
      <c r="S652" s="154" t="s">
        <v>31638</v>
      </c>
      <c r="T652" s="84"/>
      <c r="U652" s="84"/>
      <c r="V652" s="84"/>
      <c r="W652" s="84"/>
      <c r="X652" s="84"/>
      <c r="Y652" s="84"/>
      <c r="Z652" s="84"/>
      <c r="AA652" s="84"/>
      <c r="AB652" s="84"/>
      <c r="AC652" s="84"/>
    </row>
    <row r="653" ht="15.75" customHeight="1">
      <c r="A653" s="14" t="s">
        <v>17</v>
      </c>
      <c r="B653" s="14">
        <v>2011.0</v>
      </c>
      <c r="C653" s="14" t="s">
        <v>23293</v>
      </c>
      <c r="D653" s="14" t="s">
        <v>23294</v>
      </c>
      <c r="E653" s="150" t="str">
        <f t="shared" si="12"/>
        <v>http://dx.doi.org/10.1109/TVCG.2011.206</v>
      </c>
      <c r="F653" s="14">
        <v>1803.0</v>
      </c>
      <c r="G653" s="14">
        <v>1811.0</v>
      </c>
      <c r="H653" s="151"/>
      <c r="I653" s="14" t="s">
        <v>17059</v>
      </c>
      <c r="J653" s="14" t="s">
        <v>23295</v>
      </c>
      <c r="K653" s="14" t="s">
        <v>31639</v>
      </c>
      <c r="L653" s="152" t="s">
        <v>26046</v>
      </c>
      <c r="M653" s="14" t="s">
        <v>31640</v>
      </c>
      <c r="N653" s="54" t="s">
        <v>31639</v>
      </c>
      <c r="O653" s="130" t="s">
        <v>23299</v>
      </c>
      <c r="P653" s="153" t="s">
        <v>21598</v>
      </c>
      <c r="Q653" s="14">
        <v>6064943.0</v>
      </c>
      <c r="R653" s="95"/>
      <c r="S653" s="154" t="s">
        <v>31641</v>
      </c>
      <c r="T653" s="84"/>
      <c r="U653" s="84"/>
      <c r="V653" s="84"/>
      <c r="W653" s="84"/>
      <c r="X653" s="84"/>
      <c r="Y653" s="84"/>
      <c r="Z653" s="84"/>
      <c r="AA653" s="84"/>
      <c r="AB653" s="84"/>
      <c r="AC653" s="84"/>
    </row>
    <row r="654" ht="15.75" customHeight="1">
      <c r="A654" s="14" t="s">
        <v>17</v>
      </c>
      <c r="B654" s="14">
        <v>2011.0</v>
      </c>
      <c r="C654" s="14" t="s">
        <v>23301</v>
      </c>
      <c r="D654" s="14" t="s">
        <v>23302</v>
      </c>
      <c r="E654" s="150" t="str">
        <f t="shared" si="12"/>
        <v>http://dx.doi.org/10.1109/TVCG.2011.207</v>
      </c>
      <c r="F654" s="14">
        <v>1812.0</v>
      </c>
      <c r="G654" s="14">
        <v>1821.0</v>
      </c>
      <c r="H654" s="151"/>
      <c r="I654" s="14" t="s">
        <v>17059</v>
      </c>
      <c r="J654" s="14" t="s">
        <v>23304</v>
      </c>
      <c r="K654" s="14" t="s">
        <v>31642</v>
      </c>
      <c r="L654" s="152" t="s">
        <v>5349</v>
      </c>
      <c r="M654" s="14" t="s">
        <v>31643</v>
      </c>
      <c r="N654" s="54" t="s">
        <v>31642</v>
      </c>
      <c r="O654" s="130" t="s">
        <v>23308</v>
      </c>
      <c r="P654" s="153" t="s">
        <v>23309</v>
      </c>
      <c r="Q654" s="14">
        <v>6064944.0</v>
      </c>
      <c r="R654" s="95"/>
      <c r="S654" s="154" t="s">
        <v>31644</v>
      </c>
      <c r="T654" s="84"/>
      <c r="U654" s="84"/>
      <c r="V654" s="84"/>
      <c r="W654" s="84"/>
      <c r="X654" s="84"/>
      <c r="Y654" s="84"/>
      <c r="Z654" s="84"/>
      <c r="AA654" s="84"/>
      <c r="AB654" s="84"/>
      <c r="AC654" s="84"/>
    </row>
    <row r="655" ht="15.75" customHeight="1">
      <c r="A655" s="14" t="s">
        <v>17</v>
      </c>
      <c r="B655" s="14">
        <v>2011.0</v>
      </c>
      <c r="C655" s="14" t="s">
        <v>23310</v>
      </c>
      <c r="D655" s="14" t="s">
        <v>23311</v>
      </c>
      <c r="E655" s="150" t="str">
        <f t="shared" si="12"/>
        <v>http://dx.doi.org/10.1109/TVCG.2011.208</v>
      </c>
      <c r="F655" s="14">
        <v>1747.0</v>
      </c>
      <c r="G655" s="14">
        <v>1756.0</v>
      </c>
      <c r="H655" s="151"/>
      <c r="I655" s="14" t="s">
        <v>17059</v>
      </c>
      <c r="J655" s="14" t="s">
        <v>23312</v>
      </c>
      <c r="K655" s="14" t="s">
        <v>31646</v>
      </c>
      <c r="L655" s="152" t="s">
        <v>26076</v>
      </c>
      <c r="M655" s="14" t="s">
        <v>31647</v>
      </c>
      <c r="N655" s="54" t="s">
        <v>31646</v>
      </c>
      <c r="O655" s="130" t="s">
        <v>23317</v>
      </c>
      <c r="P655" s="153" t="s">
        <v>23318</v>
      </c>
      <c r="Q655" s="14">
        <v>6064937.0</v>
      </c>
      <c r="R655" s="95"/>
      <c r="S655" s="154" t="s">
        <v>31648</v>
      </c>
      <c r="T655" s="84"/>
      <c r="U655" s="84"/>
      <c r="V655" s="84"/>
      <c r="W655" s="84"/>
      <c r="X655" s="84"/>
      <c r="Y655" s="84"/>
      <c r="Z655" s="84"/>
      <c r="AA655" s="84"/>
      <c r="AB655" s="84"/>
      <c r="AC655" s="84"/>
    </row>
    <row r="656" ht="15.75" customHeight="1">
      <c r="A656" s="14" t="s">
        <v>17</v>
      </c>
      <c r="B656" s="14">
        <v>2011.0</v>
      </c>
      <c r="C656" s="14" t="s">
        <v>23320</v>
      </c>
      <c r="D656" s="14" t="s">
        <v>23321</v>
      </c>
      <c r="E656" s="150" t="str">
        <f t="shared" si="12"/>
        <v>http://dx.doi.org/10.1109/TVCG.2011.211</v>
      </c>
      <c r="F656" s="14">
        <v>2125.0</v>
      </c>
      <c r="G656" s="14">
        <v>2134.0</v>
      </c>
      <c r="H656" s="151"/>
      <c r="I656" s="14" t="s">
        <v>17059</v>
      </c>
      <c r="J656" s="14" t="s">
        <v>23322</v>
      </c>
      <c r="K656" s="14" t="s">
        <v>31649</v>
      </c>
      <c r="L656" s="152" t="s">
        <v>26097</v>
      </c>
      <c r="M656" s="14" t="s">
        <v>31650</v>
      </c>
      <c r="N656" s="54" t="s">
        <v>31649</v>
      </c>
      <c r="O656" s="130" t="s">
        <v>23326</v>
      </c>
      <c r="P656" s="153" t="s">
        <v>23327</v>
      </c>
      <c r="Q656" s="14">
        <v>6064977.0</v>
      </c>
      <c r="R656" s="95"/>
      <c r="S656" s="154" t="s">
        <v>31651</v>
      </c>
      <c r="T656" s="84"/>
      <c r="U656" s="84"/>
      <c r="V656" s="84"/>
      <c r="W656" s="84"/>
      <c r="X656" s="84"/>
      <c r="Y656" s="84"/>
      <c r="Z656" s="84"/>
      <c r="AA656" s="84"/>
      <c r="AB656" s="84"/>
      <c r="AC656" s="84"/>
    </row>
    <row r="657" ht="15.75" customHeight="1">
      <c r="A657" s="14" t="s">
        <v>17</v>
      </c>
      <c r="B657" s="14">
        <v>2011.0</v>
      </c>
      <c r="C657" s="14" t="s">
        <v>23328</v>
      </c>
      <c r="D657" s="14" t="s">
        <v>23329</v>
      </c>
      <c r="E657" s="150" t="str">
        <f t="shared" si="12"/>
        <v>http://dx.doi.org/10.1109/TVCG.2011.214</v>
      </c>
      <c r="F657" s="14">
        <v>2135.0</v>
      </c>
      <c r="G657" s="14">
        <v>2143.0</v>
      </c>
      <c r="H657" s="151"/>
      <c r="I657" s="14" t="s">
        <v>17059</v>
      </c>
      <c r="J657" s="14" t="s">
        <v>23330</v>
      </c>
      <c r="K657" s="14" t="s">
        <v>31652</v>
      </c>
      <c r="L657" s="152" t="s">
        <v>26157</v>
      </c>
      <c r="M657" s="14" t="s">
        <v>31653</v>
      </c>
      <c r="N657" s="54" t="s">
        <v>31652</v>
      </c>
      <c r="O657" s="130" t="s">
        <v>23334</v>
      </c>
      <c r="P657" s="153" t="s">
        <v>23335</v>
      </c>
      <c r="Q657" s="14">
        <v>6064978.0</v>
      </c>
      <c r="R657" s="95"/>
      <c r="S657" s="154" t="s">
        <v>31654</v>
      </c>
      <c r="T657" s="84"/>
      <c r="U657" s="84"/>
      <c r="V657" s="84"/>
      <c r="W657" s="84"/>
      <c r="X657" s="84"/>
      <c r="Y657" s="84"/>
      <c r="Z657" s="84"/>
      <c r="AA657" s="84"/>
      <c r="AB657" s="84"/>
      <c r="AC657" s="84"/>
    </row>
    <row r="658" ht="15.75" customHeight="1">
      <c r="A658" s="14" t="s">
        <v>17</v>
      </c>
      <c r="B658" s="14">
        <v>2011.0</v>
      </c>
      <c r="C658" s="14" t="s">
        <v>23337</v>
      </c>
      <c r="D658" s="14" t="s">
        <v>23338</v>
      </c>
      <c r="E658" s="150" t="str">
        <f t="shared" si="12"/>
        <v>http://dx.doi.org/10.1109/TVCG.2011.215</v>
      </c>
      <c r="F658" s="14">
        <v>2153.0</v>
      </c>
      <c r="G658" s="14">
        <v>2162.0</v>
      </c>
      <c r="H658" s="151"/>
      <c r="I658" s="14" t="s">
        <v>17059</v>
      </c>
      <c r="J658" s="14" t="s">
        <v>23340</v>
      </c>
      <c r="K658" s="14" t="s">
        <v>31655</v>
      </c>
      <c r="L658" s="152" t="s">
        <v>24338</v>
      </c>
      <c r="M658" s="14" t="s">
        <v>31656</v>
      </c>
      <c r="N658" s="54" t="s">
        <v>31657</v>
      </c>
      <c r="O658" s="130" t="s">
        <v>23342</v>
      </c>
      <c r="P658" s="153" t="s">
        <v>23343</v>
      </c>
      <c r="Q658" s="14">
        <v>6064980.0</v>
      </c>
      <c r="R658" s="95"/>
      <c r="S658" s="154" t="s">
        <v>31658</v>
      </c>
      <c r="T658" s="84"/>
      <c r="U658" s="84"/>
      <c r="V658" s="84"/>
      <c r="W658" s="84"/>
      <c r="X658" s="84"/>
      <c r="Y658" s="84"/>
      <c r="Z658" s="84"/>
      <c r="AA658" s="84"/>
      <c r="AB658" s="84"/>
      <c r="AC658" s="84"/>
    </row>
    <row r="659" ht="15.75" customHeight="1">
      <c r="A659" s="14" t="s">
        <v>17</v>
      </c>
      <c r="B659" s="14">
        <v>2011.0</v>
      </c>
      <c r="C659" s="14" t="s">
        <v>23344</v>
      </c>
      <c r="D659" s="14" t="s">
        <v>23345</v>
      </c>
      <c r="E659" s="150" t="str">
        <f t="shared" si="12"/>
        <v>http://dx.doi.org/10.1109/TVCG.2011.216</v>
      </c>
      <c r="F659" s="14">
        <v>2115.0</v>
      </c>
      <c r="G659" s="14">
        <v>2124.0</v>
      </c>
      <c r="H659" s="151"/>
      <c r="I659" s="14" t="s">
        <v>17059</v>
      </c>
      <c r="J659" s="14" t="s">
        <v>23346</v>
      </c>
      <c r="K659" s="14" t="s">
        <v>31659</v>
      </c>
      <c r="L659" s="152" t="s">
        <v>26184</v>
      </c>
      <c r="M659" s="14" t="s">
        <v>31660</v>
      </c>
      <c r="N659" s="54" t="s">
        <v>31659</v>
      </c>
      <c r="O659" s="130" t="s">
        <v>23350</v>
      </c>
      <c r="P659" s="153" t="s">
        <v>23351</v>
      </c>
      <c r="Q659" s="14">
        <v>6064976.0</v>
      </c>
      <c r="R659" s="95"/>
      <c r="S659" s="154" t="s">
        <v>31661</v>
      </c>
      <c r="T659" s="84"/>
      <c r="U659" s="84"/>
      <c r="V659" s="84"/>
      <c r="W659" s="84"/>
      <c r="X659" s="84"/>
      <c r="Y659" s="84"/>
      <c r="Z659" s="84"/>
      <c r="AA659" s="84"/>
      <c r="AB659" s="84"/>
      <c r="AC659" s="84"/>
    </row>
    <row r="660" ht="15.75" customHeight="1">
      <c r="A660" s="14" t="s">
        <v>17</v>
      </c>
      <c r="B660" s="14">
        <v>2011.0</v>
      </c>
      <c r="C660" s="14" t="s">
        <v>23352</v>
      </c>
      <c r="D660" s="14" t="s">
        <v>23353</v>
      </c>
      <c r="E660" s="150" t="str">
        <f t="shared" si="12"/>
        <v>http://dx.doi.org/10.1109/TVCG.2011.217</v>
      </c>
      <c r="F660" s="14">
        <v>1882.0</v>
      </c>
      <c r="G660" s="14">
        <v>1891.0</v>
      </c>
      <c r="H660" s="151"/>
      <c r="I660" s="14" t="s">
        <v>17059</v>
      </c>
      <c r="J660" s="14" t="s">
        <v>23355</v>
      </c>
      <c r="K660" s="14" t="s">
        <v>31662</v>
      </c>
      <c r="L660" s="152" t="s">
        <v>26195</v>
      </c>
      <c r="M660" s="14" t="s">
        <v>31663</v>
      </c>
      <c r="N660" s="54" t="s">
        <v>31662</v>
      </c>
      <c r="O660" s="130" t="s">
        <v>23359</v>
      </c>
      <c r="P660" s="153" t="s">
        <v>23360</v>
      </c>
      <c r="Q660" s="14">
        <v>6064951.0</v>
      </c>
      <c r="R660" s="95"/>
      <c r="S660" s="154" t="s">
        <v>31664</v>
      </c>
      <c r="T660" s="84"/>
      <c r="U660" s="84"/>
      <c r="V660" s="84"/>
      <c r="W660" s="84"/>
      <c r="X660" s="84"/>
      <c r="Y660" s="84"/>
      <c r="Z660" s="84"/>
      <c r="AA660" s="84"/>
      <c r="AB660" s="84"/>
      <c r="AC660" s="84"/>
    </row>
    <row r="661" ht="15.75" customHeight="1">
      <c r="A661" s="14" t="s">
        <v>17</v>
      </c>
      <c r="B661" s="14">
        <v>2011.0</v>
      </c>
      <c r="C661" s="14" t="s">
        <v>23362</v>
      </c>
      <c r="D661" s="14" t="s">
        <v>23363</v>
      </c>
      <c r="E661" s="150" t="str">
        <f t="shared" si="12"/>
        <v>http://dx.doi.org/10.1109/TVCG.2011.218</v>
      </c>
      <c r="F661" s="14">
        <v>1959.0</v>
      </c>
      <c r="G661" s="14">
        <v>1968.0</v>
      </c>
      <c r="H661" s="151"/>
      <c r="I661" s="14" t="s">
        <v>17059</v>
      </c>
      <c r="J661" s="14" t="s">
        <v>23364</v>
      </c>
      <c r="K661" s="14" t="s">
        <v>31665</v>
      </c>
      <c r="L661" s="152" t="s">
        <v>25695</v>
      </c>
      <c r="M661" s="14" t="s">
        <v>31666</v>
      </c>
      <c r="N661" s="54" t="s">
        <v>31665</v>
      </c>
      <c r="O661" s="130" t="s">
        <v>23366</v>
      </c>
      <c r="P661" s="153" t="s">
        <v>23367</v>
      </c>
      <c r="Q661" s="14">
        <v>6064959.0</v>
      </c>
      <c r="R661" s="95"/>
      <c r="S661" s="154" t="s">
        <v>31667</v>
      </c>
      <c r="T661" s="84"/>
      <c r="U661" s="84"/>
      <c r="V661" s="84"/>
      <c r="W661" s="84"/>
      <c r="X661" s="84"/>
      <c r="Y661" s="84"/>
      <c r="Z661" s="84"/>
      <c r="AA661" s="84"/>
      <c r="AB661" s="84"/>
      <c r="AC661" s="84"/>
    </row>
    <row r="662" ht="15.75" customHeight="1">
      <c r="A662" s="14" t="s">
        <v>17</v>
      </c>
      <c r="B662" s="14">
        <v>2011.0</v>
      </c>
      <c r="C662" s="14" t="s">
        <v>23368</v>
      </c>
      <c r="D662" s="14" t="s">
        <v>23369</v>
      </c>
      <c r="E662" s="150" t="str">
        <f t="shared" si="12"/>
        <v>http://dx.doi.org/10.1109/TVCG.2011.219</v>
      </c>
      <c r="F662" s="14">
        <v>1785.0</v>
      </c>
      <c r="G662" s="14">
        <v>1794.0</v>
      </c>
      <c r="H662" s="151"/>
      <c r="I662" s="14" t="s">
        <v>17059</v>
      </c>
      <c r="J662" s="14" t="s">
        <v>23370</v>
      </c>
      <c r="K662" s="14" t="s">
        <v>31668</v>
      </c>
      <c r="L662" s="152" t="s">
        <v>12380</v>
      </c>
      <c r="M662" s="14" t="s">
        <v>31669</v>
      </c>
      <c r="N662" s="54" t="s">
        <v>31668</v>
      </c>
      <c r="O662" s="130"/>
      <c r="P662" s="153" t="s">
        <v>23372</v>
      </c>
      <c r="Q662" s="14">
        <v>6064941.0</v>
      </c>
      <c r="R662" s="95"/>
      <c r="S662" s="154"/>
      <c r="T662" s="84"/>
      <c r="U662" s="84"/>
      <c r="V662" s="84"/>
      <c r="W662" s="84"/>
      <c r="X662" s="84"/>
      <c r="Y662" s="84"/>
      <c r="Z662" s="84"/>
      <c r="AA662" s="84"/>
      <c r="AB662" s="84"/>
      <c r="AC662" s="84"/>
    </row>
    <row r="663" ht="15.75" customHeight="1">
      <c r="A663" s="14" t="s">
        <v>17</v>
      </c>
      <c r="B663" s="14">
        <v>2011.0</v>
      </c>
      <c r="C663" s="14" t="s">
        <v>23374</v>
      </c>
      <c r="D663" s="14" t="s">
        <v>23375</v>
      </c>
      <c r="E663" s="150" t="str">
        <f t="shared" si="12"/>
        <v>http://dx.doi.org/10.1109/TVCG.2011.224</v>
      </c>
      <c r="F663" s="14">
        <v>1775.0</v>
      </c>
      <c r="G663" s="14">
        <v>1784.0</v>
      </c>
      <c r="H663" s="151"/>
      <c r="I663" s="14" t="s">
        <v>17059</v>
      </c>
      <c r="J663" s="14" t="s">
        <v>23377</v>
      </c>
      <c r="K663" s="14" t="s">
        <v>31670</v>
      </c>
      <c r="L663" s="152" t="s">
        <v>26238</v>
      </c>
      <c r="M663" s="14" t="s">
        <v>31671</v>
      </c>
      <c r="N663" s="54" t="s">
        <v>31670</v>
      </c>
      <c r="O663" s="130" t="s">
        <v>23381</v>
      </c>
      <c r="P663" s="153" t="s">
        <v>23382</v>
      </c>
      <c r="Q663" s="14">
        <v>6064940.0</v>
      </c>
      <c r="R663" s="95"/>
      <c r="S663" s="154" t="s">
        <v>31672</v>
      </c>
      <c r="T663" s="84"/>
      <c r="U663" s="84"/>
      <c r="V663" s="84"/>
      <c r="W663" s="84"/>
      <c r="X663" s="84"/>
      <c r="Y663" s="84"/>
      <c r="Z663" s="84"/>
      <c r="AA663" s="84"/>
      <c r="AB663" s="84"/>
      <c r="AC663" s="84"/>
    </row>
    <row r="664" ht="15.75" customHeight="1">
      <c r="A664" s="14" t="s">
        <v>17</v>
      </c>
      <c r="B664" s="14">
        <v>2011.0</v>
      </c>
      <c r="C664" s="14" t="s">
        <v>23383</v>
      </c>
      <c r="D664" s="14" t="s">
        <v>23384</v>
      </c>
      <c r="E664" s="150" t="str">
        <f t="shared" si="12"/>
        <v>http://dx.doi.org/10.1109/TVCG.2011.225</v>
      </c>
      <c r="F664" s="14">
        <v>1872.0</v>
      </c>
      <c r="G664" s="14">
        <v>1881.0</v>
      </c>
      <c r="H664" s="151"/>
      <c r="I664" s="14" t="s">
        <v>17059</v>
      </c>
      <c r="J664" s="14" t="s">
        <v>23385</v>
      </c>
      <c r="K664" s="14" t="s">
        <v>31673</v>
      </c>
      <c r="L664" s="152" t="s">
        <v>26249</v>
      </c>
      <c r="M664" s="14" t="s">
        <v>31674</v>
      </c>
      <c r="N664" s="54" t="s">
        <v>31675</v>
      </c>
      <c r="O664" s="130" t="s">
        <v>23389</v>
      </c>
      <c r="P664" s="153" t="s">
        <v>23390</v>
      </c>
      <c r="Q664" s="14">
        <v>6064950.0</v>
      </c>
      <c r="R664" s="95"/>
      <c r="S664" s="154" t="s">
        <v>31676</v>
      </c>
      <c r="T664" s="84"/>
      <c r="U664" s="84"/>
      <c r="V664" s="84"/>
      <c r="W664" s="84"/>
      <c r="X664" s="84"/>
      <c r="Y664" s="84"/>
      <c r="Z664" s="84"/>
      <c r="AA664" s="84"/>
      <c r="AB664" s="84"/>
      <c r="AC664" s="84"/>
    </row>
    <row r="665" ht="15.75" customHeight="1">
      <c r="A665" s="14" t="s">
        <v>17</v>
      </c>
      <c r="B665" s="14">
        <v>2011.0</v>
      </c>
      <c r="C665" s="14" t="s">
        <v>23391</v>
      </c>
      <c r="D665" s="14" t="s">
        <v>23392</v>
      </c>
      <c r="E665" s="150" t="str">
        <f t="shared" si="12"/>
        <v>http://dx.doi.org/10.1109/TVCG.2011.228</v>
      </c>
      <c r="F665" s="14">
        <v>2193.0</v>
      </c>
      <c r="G665" s="14">
        <v>2202.0</v>
      </c>
      <c r="H665" s="151"/>
      <c r="I665" s="14" t="s">
        <v>17059</v>
      </c>
      <c r="J665" s="14" t="s">
        <v>23395</v>
      </c>
      <c r="K665" s="14" t="s">
        <v>31679</v>
      </c>
      <c r="L665" s="152" t="s">
        <v>26310</v>
      </c>
      <c r="M665" s="14" t="s">
        <v>31680</v>
      </c>
      <c r="N665" s="54" t="s">
        <v>31679</v>
      </c>
      <c r="O665" s="130" t="s">
        <v>23399</v>
      </c>
      <c r="P665" s="153" t="s">
        <v>23401</v>
      </c>
      <c r="Q665" s="14">
        <v>6064984.0</v>
      </c>
      <c r="R665" s="95"/>
      <c r="S665" s="154" t="s">
        <v>31681</v>
      </c>
      <c r="T665" s="84"/>
      <c r="U665" s="84"/>
      <c r="V665" s="84"/>
      <c r="W665" s="84"/>
      <c r="X665" s="84"/>
      <c r="Y665" s="84"/>
      <c r="Z665" s="84"/>
      <c r="AA665" s="84"/>
      <c r="AB665" s="84"/>
      <c r="AC665" s="84"/>
    </row>
    <row r="666" ht="15.75" customHeight="1">
      <c r="A666" s="14" t="s">
        <v>17</v>
      </c>
      <c r="B666" s="14">
        <v>2011.0</v>
      </c>
      <c r="C666" s="14" t="s">
        <v>23402</v>
      </c>
      <c r="D666" s="14" t="s">
        <v>23403</v>
      </c>
      <c r="E666" s="150" t="str">
        <f t="shared" si="12"/>
        <v>http://dx.doi.org/10.1109/TVCG.2011.230</v>
      </c>
      <c r="F666" s="14">
        <v>1832.0</v>
      </c>
      <c r="G666" s="14">
        <v>1841.0</v>
      </c>
      <c r="H666" s="151"/>
      <c r="I666" s="14" t="s">
        <v>17059</v>
      </c>
      <c r="J666" s="14" t="s">
        <v>23404</v>
      </c>
      <c r="K666" s="14" t="s">
        <v>31682</v>
      </c>
      <c r="L666" s="152" t="s">
        <v>178</v>
      </c>
      <c r="M666" s="14" t="s">
        <v>31683</v>
      </c>
      <c r="N666" s="54" t="s">
        <v>31682</v>
      </c>
      <c r="O666" s="130" t="s">
        <v>23407</v>
      </c>
      <c r="P666" s="153" t="s">
        <v>23408</v>
      </c>
      <c r="Q666" s="14">
        <v>6064946.0</v>
      </c>
      <c r="R666" s="95"/>
      <c r="S666" s="154" t="s">
        <v>31684</v>
      </c>
      <c r="T666" s="84"/>
      <c r="U666" s="84"/>
      <c r="V666" s="84"/>
      <c r="W666" s="84"/>
      <c r="X666" s="84"/>
      <c r="Y666" s="84"/>
      <c r="Z666" s="84"/>
      <c r="AA666" s="84"/>
      <c r="AB666" s="84"/>
      <c r="AC666" s="84"/>
    </row>
    <row r="667" ht="15.75" customHeight="1">
      <c r="A667" s="14" t="s">
        <v>17</v>
      </c>
      <c r="B667" s="14">
        <v>2011.0</v>
      </c>
      <c r="C667" s="14" t="s">
        <v>23409</v>
      </c>
      <c r="D667" s="14" t="s">
        <v>23410</v>
      </c>
      <c r="E667" s="150" t="str">
        <f t="shared" si="12"/>
        <v>http://dx.doi.org/10.1109/TVCG.2011.231</v>
      </c>
      <c r="F667" s="14">
        <v>1737.0</v>
      </c>
      <c r="G667" s="14">
        <v>1746.0</v>
      </c>
      <c r="H667" s="151"/>
      <c r="I667" s="14" t="s">
        <v>17059</v>
      </c>
      <c r="J667" s="14" t="s">
        <v>23411</v>
      </c>
      <c r="K667" s="14" t="s">
        <v>31685</v>
      </c>
      <c r="L667" s="152" t="s">
        <v>23105</v>
      </c>
      <c r="M667" s="14" t="s">
        <v>31686</v>
      </c>
      <c r="N667" s="54" t="s">
        <v>31685</v>
      </c>
      <c r="O667" s="130" t="s">
        <v>23414</v>
      </c>
      <c r="P667" s="153" t="s">
        <v>23415</v>
      </c>
      <c r="Q667" s="14">
        <v>6064936.0</v>
      </c>
      <c r="R667" s="95"/>
      <c r="S667" s="154" t="s">
        <v>31687</v>
      </c>
      <c r="T667" s="84"/>
      <c r="U667" s="84"/>
      <c r="V667" s="84"/>
      <c r="W667" s="84"/>
      <c r="X667" s="84"/>
      <c r="Y667" s="84"/>
      <c r="Z667" s="84"/>
      <c r="AA667" s="84"/>
      <c r="AB667" s="84"/>
      <c r="AC667" s="84"/>
    </row>
    <row r="668" ht="15.75" customHeight="1">
      <c r="A668" s="14" t="s">
        <v>17</v>
      </c>
      <c r="B668" s="14">
        <v>2011.0</v>
      </c>
      <c r="C668" s="14" t="s">
        <v>23417</v>
      </c>
      <c r="D668" s="14" t="s">
        <v>23419</v>
      </c>
      <c r="E668" s="150" t="str">
        <f t="shared" si="12"/>
        <v>http://dx.doi.org/10.1109/TVCG.2011.235</v>
      </c>
      <c r="F668" s="14">
        <v>2063.0</v>
      </c>
      <c r="G668" s="14">
        <v>2070.0</v>
      </c>
      <c r="H668" s="151"/>
      <c r="I668" s="14" t="s">
        <v>17059</v>
      </c>
      <c r="J668" s="14" t="s">
        <v>23420</v>
      </c>
      <c r="K668" s="14" t="s">
        <v>31689</v>
      </c>
      <c r="L668" s="152" t="s">
        <v>178</v>
      </c>
      <c r="M668" s="14" t="s">
        <v>31690</v>
      </c>
      <c r="N668" s="54" t="s">
        <v>31689</v>
      </c>
      <c r="O668" s="130" t="s">
        <v>23423</v>
      </c>
      <c r="P668" s="153" t="s">
        <v>23424</v>
      </c>
      <c r="Q668" s="14">
        <v>6064970.0</v>
      </c>
      <c r="R668" s="95"/>
      <c r="S668" s="154" t="s">
        <v>31691</v>
      </c>
      <c r="T668" s="84"/>
      <c r="U668" s="84"/>
      <c r="V668" s="84"/>
      <c r="W668" s="84"/>
      <c r="X668" s="84"/>
      <c r="Y668" s="84"/>
      <c r="Z668" s="84"/>
      <c r="AA668" s="84"/>
      <c r="AB668" s="84"/>
      <c r="AC668" s="84"/>
    </row>
    <row r="669" ht="15.75" customHeight="1">
      <c r="A669" s="14" t="s">
        <v>17</v>
      </c>
      <c r="B669" s="14">
        <v>2011.0</v>
      </c>
      <c r="C669" s="14" t="s">
        <v>23425</v>
      </c>
      <c r="D669" s="14" t="s">
        <v>23426</v>
      </c>
      <c r="E669" s="150" t="str">
        <f t="shared" si="12"/>
        <v>http://dx.doi.org/10.1109/TVCG.2011.236</v>
      </c>
      <c r="F669" s="14">
        <v>2035.0</v>
      </c>
      <c r="G669" s="14">
        <v>2044.0</v>
      </c>
      <c r="H669" s="151"/>
      <c r="I669" s="14" t="s">
        <v>17059</v>
      </c>
      <c r="J669" s="14" t="s">
        <v>23427</v>
      </c>
      <c r="K669" s="14" t="s">
        <v>29743</v>
      </c>
      <c r="L669" s="152" t="s">
        <v>26421</v>
      </c>
      <c r="M669" s="14" t="s">
        <v>31692</v>
      </c>
      <c r="N669" s="54" t="s">
        <v>29743</v>
      </c>
      <c r="O669" s="130" t="s">
        <v>23430</v>
      </c>
      <c r="P669" s="153" t="s">
        <v>23431</v>
      </c>
      <c r="Q669" s="14">
        <v>6064967.0</v>
      </c>
      <c r="R669" s="95"/>
      <c r="S669" s="154" t="s">
        <v>31693</v>
      </c>
      <c r="T669" s="84"/>
      <c r="U669" s="84"/>
      <c r="V669" s="84"/>
      <c r="W669" s="84"/>
      <c r="X669" s="84"/>
      <c r="Y669" s="84"/>
      <c r="Z669" s="84"/>
      <c r="AA669" s="84"/>
      <c r="AB669" s="84"/>
      <c r="AC669" s="84"/>
    </row>
    <row r="670" ht="15.75" customHeight="1">
      <c r="A670" s="14" t="s">
        <v>17</v>
      </c>
      <c r="B670" s="14">
        <v>2011.0</v>
      </c>
      <c r="C670" s="14" t="s">
        <v>23432</v>
      </c>
      <c r="D670" s="14" t="s">
        <v>23433</v>
      </c>
      <c r="E670" s="150" t="str">
        <f t="shared" si="12"/>
        <v>http://dx.doi.org/10.1109/TVCG.2011.242</v>
      </c>
      <c r="F670" s="14">
        <v>1942.0</v>
      </c>
      <c r="G670" s="14">
        <v>1948.0</v>
      </c>
      <c r="H670" s="151"/>
      <c r="I670" s="14" t="s">
        <v>17059</v>
      </c>
      <c r="J670" s="14" t="s">
        <v>23436</v>
      </c>
      <c r="K670" s="14" t="s">
        <v>31694</v>
      </c>
      <c r="L670" s="152" t="s">
        <v>494</v>
      </c>
      <c r="M670" s="14" t="s">
        <v>31695</v>
      </c>
      <c r="N670" s="54" t="s">
        <v>31694</v>
      </c>
      <c r="O670" s="130" t="s">
        <v>23441</v>
      </c>
      <c r="P670" s="153" t="s">
        <v>23442</v>
      </c>
      <c r="Q670" s="14">
        <v>6064957.0</v>
      </c>
      <c r="R670" s="95"/>
      <c r="S670" s="154" t="s">
        <v>31696</v>
      </c>
      <c r="T670" s="84"/>
      <c r="U670" s="84"/>
      <c r="V670" s="84"/>
      <c r="W670" s="84"/>
      <c r="X670" s="84"/>
      <c r="Y670" s="84"/>
      <c r="Z670" s="84"/>
      <c r="AA670" s="84"/>
      <c r="AB670" s="84"/>
      <c r="AC670" s="84"/>
    </row>
    <row r="671" ht="15.75" customHeight="1">
      <c r="A671" s="14" t="s">
        <v>17</v>
      </c>
      <c r="B671" s="14">
        <v>2011.0</v>
      </c>
      <c r="C671" s="14" t="s">
        <v>23443</v>
      </c>
      <c r="D671" s="14" t="s">
        <v>23444</v>
      </c>
      <c r="E671" s="150" t="str">
        <f t="shared" si="12"/>
        <v>http://dx.doi.org/10.1109/TVCG.2011.243</v>
      </c>
      <c r="F671" s="14">
        <v>2183.0</v>
      </c>
      <c r="G671" s="14">
        <v>2192.0</v>
      </c>
      <c r="H671" s="151"/>
      <c r="I671" s="14" t="s">
        <v>17059</v>
      </c>
      <c r="J671" s="14" t="s">
        <v>23445</v>
      </c>
      <c r="K671" s="14" t="s">
        <v>31697</v>
      </c>
      <c r="L671" s="152" t="s">
        <v>26473</v>
      </c>
      <c r="M671" s="14" t="s">
        <v>31698</v>
      </c>
      <c r="N671" s="54" t="s">
        <v>31697</v>
      </c>
      <c r="O671" s="130" t="s">
        <v>23448</v>
      </c>
      <c r="P671" s="153" t="s">
        <v>23449</v>
      </c>
      <c r="Q671" s="14">
        <v>6064983.0</v>
      </c>
      <c r="R671" s="95"/>
      <c r="S671" s="154" t="s">
        <v>31699</v>
      </c>
      <c r="T671" s="84"/>
      <c r="U671" s="84"/>
      <c r="V671" s="84"/>
      <c r="W671" s="84"/>
      <c r="X671" s="84"/>
      <c r="Y671" s="84"/>
      <c r="Z671" s="84"/>
      <c r="AA671" s="84"/>
      <c r="AB671" s="84"/>
      <c r="AC671" s="84"/>
    </row>
    <row r="672" ht="15.75" customHeight="1">
      <c r="A672" s="14" t="s">
        <v>17</v>
      </c>
      <c r="B672" s="14">
        <v>2011.0</v>
      </c>
      <c r="C672" s="14" t="s">
        <v>23450</v>
      </c>
      <c r="D672" s="14" t="s">
        <v>23451</v>
      </c>
      <c r="E672" s="150" t="str">
        <f t="shared" si="12"/>
        <v>http://dx.doi.org/10.1109/TVCG.2011.244</v>
      </c>
      <c r="F672" s="14">
        <v>1842.0</v>
      </c>
      <c r="G672" s="14">
        <v>1851.0</v>
      </c>
      <c r="H672" s="151"/>
      <c r="I672" s="14" t="s">
        <v>17059</v>
      </c>
      <c r="J672" s="14" t="s">
        <v>23452</v>
      </c>
      <c r="K672" s="14" t="s">
        <v>31700</v>
      </c>
      <c r="L672" s="152" t="s">
        <v>26485</v>
      </c>
      <c r="M672" s="14" t="s">
        <v>31701</v>
      </c>
      <c r="N672" s="54" t="s">
        <v>31700</v>
      </c>
      <c r="O672" s="130" t="s">
        <v>23457</v>
      </c>
      <c r="P672" s="153" t="s">
        <v>23458</v>
      </c>
      <c r="Q672" s="14">
        <v>6064947.0</v>
      </c>
      <c r="R672" s="95"/>
      <c r="S672" s="154" t="s">
        <v>31702</v>
      </c>
      <c r="T672" s="84"/>
      <c r="U672" s="84"/>
      <c r="V672" s="84"/>
      <c r="W672" s="84"/>
      <c r="X672" s="84"/>
      <c r="Y672" s="84"/>
      <c r="Z672" s="84"/>
      <c r="AA672" s="84"/>
      <c r="AB672" s="84"/>
      <c r="AC672" s="84"/>
    </row>
    <row r="673" ht="15.75" customHeight="1">
      <c r="A673" s="14" t="s">
        <v>17</v>
      </c>
      <c r="B673" s="14">
        <v>2011.0</v>
      </c>
      <c r="C673" s="14" t="s">
        <v>23460</v>
      </c>
      <c r="D673" s="14" t="s">
        <v>23461</v>
      </c>
      <c r="E673" s="150" t="str">
        <f t="shared" si="12"/>
        <v>http://dx.doi.org/10.1109/TVCG.2011.245</v>
      </c>
      <c r="F673" s="14">
        <v>1852.0</v>
      </c>
      <c r="G673" s="14">
        <v>1861.0</v>
      </c>
      <c r="H673" s="151"/>
      <c r="I673" s="14" t="s">
        <v>17059</v>
      </c>
      <c r="J673" s="14" t="s">
        <v>23462</v>
      </c>
      <c r="K673" s="14" t="s">
        <v>31703</v>
      </c>
      <c r="L673" s="152" t="s">
        <v>26503</v>
      </c>
      <c r="M673" s="14" t="s">
        <v>31704</v>
      </c>
      <c r="N673" s="54" t="s">
        <v>31703</v>
      </c>
      <c r="O673" s="130" t="s">
        <v>23466</v>
      </c>
      <c r="P673" s="153" t="s">
        <v>23467</v>
      </c>
      <c r="Q673" s="14">
        <v>6064948.0</v>
      </c>
      <c r="R673" s="95"/>
      <c r="S673" s="154" t="s">
        <v>31705</v>
      </c>
      <c r="T673" s="84"/>
      <c r="U673" s="84"/>
      <c r="V673" s="84"/>
      <c r="W673" s="84"/>
      <c r="X673" s="84"/>
      <c r="Y673" s="84"/>
      <c r="Z673" s="84"/>
      <c r="AA673" s="84"/>
      <c r="AB673" s="84"/>
      <c r="AC673" s="84"/>
    </row>
    <row r="674" ht="15.75" customHeight="1">
      <c r="A674" s="14" t="s">
        <v>17</v>
      </c>
      <c r="B674" s="14">
        <v>2011.0</v>
      </c>
      <c r="C674" s="14" t="s">
        <v>23468</v>
      </c>
      <c r="D674" s="14" t="s">
        <v>23469</v>
      </c>
      <c r="E674" s="150" t="str">
        <f t="shared" si="12"/>
        <v>http://dx.doi.org/10.1109/TVCG.2011.246</v>
      </c>
      <c r="F674" s="14">
        <v>2015.0</v>
      </c>
      <c r="G674" s="14">
        <v>2024.0</v>
      </c>
      <c r="H674" s="151"/>
      <c r="I674" s="14" t="s">
        <v>17059</v>
      </c>
      <c r="J674" s="14" t="s">
        <v>23470</v>
      </c>
      <c r="K674" s="14" t="s">
        <v>23471</v>
      </c>
      <c r="L674" s="152" t="s">
        <v>26514</v>
      </c>
      <c r="M674" s="14" t="s">
        <v>31706</v>
      </c>
      <c r="N674" s="54" t="s">
        <v>23471</v>
      </c>
      <c r="O674" s="130" t="s">
        <v>23474</v>
      </c>
      <c r="P674" s="153" t="s">
        <v>23475</v>
      </c>
      <c r="Q674" s="14">
        <v>6064965.0</v>
      </c>
      <c r="R674" s="95"/>
      <c r="S674" s="154" t="s">
        <v>31707</v>
      </c>
      <c r="T674" s="84"/>
      <c r="U674" s="84"/>
      <c r="V674" s="84"/>
      <c r="W674" s="84"/>
      <c r="X674" s="84"/>
      <c r="Y674" s="84"/>
      <c r="Z674" s="84"/>
      <c r="AA674" s="84"/>
      <c r="AB674" s="84"/>
      <c r="AC674" s="84"/>
    </row>
    <row r="675" ht="15.75" customHeight="1">
      <c r="A675" s="14" t="s">
        <v>17</v>
      </c>
      <c r="B675" s="14">
        <v>2011.0</v>
      </c>
      <c r="C675" s="14" t="s">
        <v>23477</v>
      </c>
      <c r="D675" s="14" t="s">
        <v>23479</v>
      </c>
      <c r="E675" s="150" t="str">
        <f t="shared" si="12"/>
        <v>http://dx.doi.org/10.1109/TVCG.2011.248</v>
      </c>
      <c r="F675" s="14">
        <v>1892.0</v>
      </c>
      <c r="G675" s="14">
        <v>1901.0</v>
      </c>
      <c r="H675" s="151"/>
      <c r="I675" s="14" t="s">
        <v>17059</v>
      </c>
      <c r="J675" s="14" t="s">
        <v>23480</v>
      </c>
      <c r="K675" s="14" t="s">
        <v>31708</v>
      </c>
      <c r="L675" s="152" t="s">
        <v>26545</v>
      </c>
      <c r="M675" s="14" t="s">
        <v>31709</v>
      </c>
      <c r="N675" s="54" t="s">
        <v>31708</v>
      </c>
      <c r="O675" s="130" t="s">
        <v>23484</v>
      </c>
      <c r="P675" s="153" t="s">
        <v>23485</v>
      </c>
      <c r="Q675" s="14">
        <v>6064952.0</v>
      </c>
      <c r="R675" s="95"/>
      <c r="S675" s="154" t="s">
        <v>31710</v>
      </c>
      <c r="T675" s="84"/>
      <c r="U675" s="84"/>
      <c r="V675" s="84"/>
      <c r="W675" s="84"/>
      <c r="X675" s="84"/>
      <c r="Y675" s="84"/>
      <c r="Z675" s="84"/>
      <c r="AA675" s="84"/>
      <c r="AB675" s="84"/>
      <c r="AC675" s="84"/>
    </row>
    <row r="676" ht="15.75" customHeight="1">
      <c r="A676" s="14" t="s">
        <v>17</v>
      </c>
      <c r="B676" s="14">
        <v>2011.0</v>
      </c>
      <c r="C676" s="14" t="s">
        <v>23486</v>
      </c>
      <c r="D676" s="14" t="s">
        <v>23487</v>
      </c>
      <c r="E676" s="150" t="str">
        <f t="shared" si="12"/>
        <v>http://dx.doi.org/10.1109/TVCG.2011.249</v>
      </c>
      <c r="F676" s="14">
        <v>2080.0</v>
      </c>
      <c r="G676" s="14">
        <v>2087.0</v>
      </c>
      <c r="H676" s="151"/>
      <c r="I676" s="14" t="s">
        <v>17059</v>
      </c>
      <c r="J676" s="14" t="s">
        <v>23488</v>
      </c>
      <c r="K676" s="14" t="s">
        <v>31711</v>
      </c>
      <c r="L676" s="152" t="s">
        <v>26556</v>
      </c>
      <c r="M676" s="14" t="s">
        <v>31712</v>
      </c>
      <c r="N676" s="54" t="s">
        <v>31711</v>
      </c>
      <c r="O676" s="130" t="s">
        <v>23491</v>
      </c>
      <c r="P676" s="153" t="s">
        <v>23492</v>
      </c>
      <c r="Q676" s="14">
        <v>6064972.0</v>
      </c>
      <c r="R676" s="95"/>
      <c r="S676" s="154" t="s">
        <v>31713</v>
      </c>
      <c r="T676" s="84"/>
      <c r="U676" s="84"/>
      <c r="V676" s="84"/>
      <c r="W676" s="84"/>
      <c r="X676" s="84"/>
      <c r="Y676" s="84"/>
      <c r="Z676" s="84"/>
      <c r="AA676" s="84"/>
      <c r="AB676" s="84"/>
      <c r="AC676" s="84"/>
    </row>
    <row r="677" ht="15.75" customHeight="1">
      <c r="A677" s="14" t="s">
        <v>17</v>
      </c>
      <c r="B677" s="14">
        <v>2011.0</v>
      </c>
      <c r="C677" s="14" t="s">
        <v>23493</v>
      </c>
      <c r="D677" s="14" t="s">
        <v>23494</v>
      </c>
      <c r="E677" s="150" t="str">
        <f t="shared" si="12"/>
        <v>http://dx.doi.org/10.1109/TVCG.2011.252</v>
      </c>
      <c r="F677" s="14">
        <v>1862.0</v>
      </c>
      <c r="G677" s="14">
        <v>1871.0</v>
      </c>
      <c r="H677" s="151"/>
      <c r="I677" s="14" t="s">
        <v>17059</v>
      </c>
      <c r="J677" s="14" t="s">
        <v>26597</v>
      </c>
      <c r="K677" s="14" t="s">
        <v>31714</v>
      </c>
      <c r="L677" s="152" t="s">
        <v>26598</v>
      </c>
      <c r="M677" s="14" t="s">
        <v>31715</v>
      </c>
      <c r="N677" s="54" t="s">
        <v>31714</v>
      </c>
      <c r="O677" s="130" t="s">
        <v>23500</v>
      </c>
      <c r="P677" s="153" t="s">
        <v>23501</v>
      </c>
      <c r="Q677" s="14">
        <v>6064949.0</v>
      </c>
      <c r="R677" s="95"/>
      <c r="S677" s="154" t="s">
        <v>31716</v>
      </c>
      <c r="T677" s="84"/>
      <c r="U677" s="84"/>
      <c r="V677" s="84"/>
      <c r="W677" s="84"/>
      <c r="X677" s="84"/>
      <c r="Y677" s="84"/>
      <c r="Z677" s="84"/>
      <c r="AA677" s="84"/>
      <c r="AB677" s="84"/>
      <c r="AC677" s="84"/>
    </row>
    <row r="678" ht="15.75" customHeight="1">
      <c r="A678" s="14" t="s">
        <v>17</v>
      </c>
      <c r="B678" s="14">
        <v>2011.0</v>
      </c>
      <c r="C678" s="14" t="s">
        <v>23502</v>
      </c>
      <c r="D678" s="14" t="s">
        <v>23503</v>
      </c>
      <c r="E678" s="150" t="str">
        <f t="shared" si="12"/>
        <v>http://dx.doi.org/10.1109/TVCG.2011.254</v>
      </c>
      <c r="F678" s="14">
        <v>1765.0</v>
      </c>
      <c r="G678" s="14">
        <v>1774.0</v>
      </c>
      <c r="H678" s="151"/>
      <c r="I678" s="14" t="s">
        <v>17059</v>
      </c>
      <c r="J678" s="14" t="s">
        <v>23504</v>
      </c>
      <c r="K678" s="14" t="s">
        <v>31717</v>
      </c>
      <c r="L678" s="152" t="s">
        <v>15776</v>
      </c>
      <c r="M678" s="14" t="s">
        <v>31718</v>
      </c>
      <c r="N678" s="54" t="s">
        <v>31717</v>
      </c>
      <c r="O678" s="130" t="s">
        <v>23508</v>
      </c>
      <c r="P678" s="153" t="s">
        <v>23509</v>
      </c>
      <c r="Q678" s="14">
        <v>6064939.0</v>
      </c>
      <c r="R678" s="95"/>
      <c r="S678" s="154" t="s">
        <v>31719</v>
      </c>
      <c r="T678" s="84"/>
      <c r="U678" s="84"/>
      <c r="V678" s="84"/>
      <c r="W678" s="84"/>
      <c r="X678" s="84"/>
      <c r="Y678" s="84"/>
      <c r="Z678" s="84"/>
      <c r="AA678" s="84"/>
      <c r="AB678" s="84"/>
      <c r="AC678" s="84"/>
    </row>
    <row r="679" ht="15.75" customHeight="1">
      <c r="A679" s="14" t="s">
        <v>17</v>
      </c>
      <c r="B679" s="14">
        <v>2011.0</v>
      </c>
      <c r="C679" s="14" t="s">
        <v>23511</v>
      </c>
      <c r="D679" s="14" t="s">
        <v>23512</v>
      </c>
      <c r="E679" s="150" t="str">
        <f t="shared" si="12"/>
        <v>http://dx.doi.org/10.1109/TVCG.2011.258</v>
      </c>
      <c r="F679" s="14">
        <v>1969.0</v>
      </c>
      <c r="G679" s="14">
        <v>1978.0</v>
      </c>
      <c r="H679" s="151"/>
      <c r="I679" s="14" t="s">
        <v>17059</v>
      </c>
      <c r="J679" s="14" t="s">
        <v>23515</v>
      </c>
      <c r="K679" s="14" t="s">
        <v>31720</v>
      </c>
      <c r="L679" s="152" t="s">
        <v>26646</v>
      </c>
      <c r="M679" s="14" t="s">
        <v>31721</v>
      </c>
      <c r="N679" s="54" t="s">
        <v>31720</v>
      </c>
      <c r="O679" s="130" t="s">
        <v>23519</v>
      </c>
      <c r="P679" s="153" t="s">
        <v>23520</v>
      </c>
      <c r="Q679" s="14">
        <v>6064960.0</v>
      </c>
      <c r="R679" s="95"/>
      <c r="S679" s="154" t="s">
        <v>31722</v>
      </c>
      <c r="T679" s="84"/>
      <c r="U679" s="84"/>
      <c r="V679" s="84"/>
      <c r="W679" s="84"/>
      <c r="X679" s="84"/>
      <c r="Y679" s="84"/>
      <c r="Z679" s="84"/>
      <c r="AA679" s="84"/>
      <c r="AB679" s="84"/>
      <c r="AC679" s="84"/>
    </row>
    <row r="680" ht="15.75" customHeight="1">
      <c r="A680" s="14" t="s">
        <v>17</v>
      </c>
      <c r="B680" s="14">
        <v>2011.0</v>
      </c>
      <c r="C680" s="14" t="s">
        <v>23522</v>
      </c>
      <c r="D680" s="14" t="s">
        <v>23523</v>
      </c>
      <c r="E680" s="150" t="str">
        <f t="shared" si="12"/>
        <v>http://dx.doi.org/10.1109/TVCG.2011.259</v>
      </c>
      <c r="F680" s="14">
        <v>2025.0</v>
      </c>
      <c r="G680" s="14">
        <v>2034.0</v>
      </c>
      <c r="H680" s="151"/>
      <c r="I680" s="14" t="s">
        <v>17059</v>
      </c>
      <c r="J680" s="14" t="s">
        <v>23524</v>
      </c>
      <c r="K680" s="14" t="s">
        <v>29720</v>
      </c>
      <c r="L680" s="152" t="s">
        <v>26656</v>
      </c>
      <c r="M680" s="14" t="s">
        <v>31723</v>
      </c>
      <c r="N680" s="54" t="s">
        <v>29720</v>
      </c>
      <c r="O680" s="130" t="s">
        <v>23527</v>
      </c>
      <c r="P680" s="153" t="s">
        <v>23528</v>
      </c>
      <c r="Q680" s="14">
        <v>6064966.0</v>
      </c>
      <c r="R680" s="95"/>
      <c r="S680" s="154" t="s">
        <v>31724</v>
      </c>
      <c r="T680" s="84"/>
      <c r="U680" s="84"/>
      <c r="V680" s="84"/>
      <c r="W680" s="84"/>
      <c r="X680" s="84"/>
      <c r="Y680" s="84"/>
      <c r="Z680" s="84"/>
      <c r="AA680" s="84"/>
      <c r="AB680" s="84"/>
      <c r="AC680" s="84"/>
    </row>
    <row r="681" ht="15.75" customHeight="1">
      <c r="A681" s="14" t="s">
        <v>17</v>
      </c>
      <c r="B681" s="14">
        <v>2011.0</v>
      </c>
      <c r="C681" s="14" t="s">
        <v>23529</v>
      </c>
      <c r="D681" s="14" t="s">
        <v>23530</v>
      </c>
      <c r="E681" s="150" t="str">
        <f t="shared" si="12"/>
        <v>http://dx.doi.org/10.1109/TVCG.2011.260</v>
      </c>
      <c r="F681" s="14">
        <v>2071.0</v>
      </c>
      <c r="G681" s="14">
        <v>2079.0</v>
      </c>
      <c r="H681" s="151"/>
      <c r="I681" s="14" t="s">
        <v>17059</v>
      </c>
      <c r="J681" s="14" t="s">
        <v>26667</v>
      </c>
      <c r="K681" s="14" t="s">
        <v>31726</v>
      </c>
      <c r="L681" s="152" t="s">
        <v>26669</v>
      </c>
      <c r="M681" s="14" t="s">
        <v>31727</v>
      </c>
      <c r="N681" s="54" t="s">
        <v>31726</v>
      </c>
      <c r="O681" s="130" t="s">
        <v>23534</v>
      </c>
      <c r="P681" s="153" t="s">
        <v>23536</v>
      </c>
      <c r="Q681" s="14">
        <v>6064971.0</v>
      </c>
      <c r="R681" s="95"/>
      <c r="S681" s="154" t="s">
        <v>31728</v>
      </c>
      <c r="T681" s="84"/>
      <c r="U681" s="84"/>
      <c r="V681" s="84"/>
      <c r="W681" s="84"/>
      <c r="X681" s="84"/>
      <c r="Y681" s="84"/>
      <c r="Z681" s="84"/>
      <c r="AA681" s="84"/>
      <c r="AB681" s="84"/>
      <c r="AC681" s="84"/>
    </row>
    <row r="682" ht="15.75" customHeight="1">
      <c r="A682" s="14" t="s">
        <v>17</v>
      </c>
      <c r="B682" s="14">
        <v>2011.0</v>
      </c>
      <c r="C682" s="14" t="s">
        <v>23538</v>
      </c>
      <c r="D682" s="14" t="s">
        <v>23539</v>
      </c>
      <c r="E682" s="150" t="str">
        <f t="shared" si="12"/>
        <v>http://dx.doi.org/10.1109/TVCG.2011.261</v>
      </c>
      <c r="F682" s="14">
        <v>2106.0</v>
      </c>
      <c r="G682" s="14">
        <v>2114.0</v>
      </c>
      <c r="H682" s="151"/>
      <c r="I682" s="14" t="s">
        <v>17059</v>
      </c>
      <c r="J682" s="14" t="s">
        <v>23540</v>
      </c>
      <c r="K682" s="14" t="s">
        <v>23541</v>
      </c>
      <c r="L682" s="152" t="s">
        <v>26683</v>
      </c>
      <c r="M682" s="14" t="s">
        <v>31729</v>
      </c>
      <c r="N682" s="54" t="s">
        <v>23541</v>
      </c>
      <c r="O682" s="130" t="s">
        <v>23543</v>
      </c>
      <c r="P682" s="153" t="s">
        <v>23544</v>
      </c>
      <c r="Q682" s="14">
        <v>6064975.0</v>
      </c>
      <c r="R682" s="95"/>
      <c r="S682" s="154" t="s">
        <v>31730</v>
      </c>
      <c r="T682" s="84"/>
      <c r="U682" s="84"/>
      <c r="V682" s="84"/>
      <c r="W682" s="84"/>
      <c r="X682" s="84"/>
      <c r="Y682" s="84"/>
      <c r="Z682" s="84"/>
      <c r="AA682" s="84"/>
      <c r="AB682" s="84"/>
      <c r="AC682" s="84"/>
    </row>
    <row r="683" ht="15.75" customHeight="1">
      <c r="A683" s="14" t="s">
        <v>2137</v>
      </c>
      <c r="B683" s="14">
        <v>2010.0</v>
      </c>
      <c r="C683" s="14" t="s">
        <v>21300</v>
      </c>
      <c r="D683" s="14" t="s">
        <v>21301</v>
      </c>
      <c r="E683" s="150" t="str">
        <f t="shared" si="12"/>
        <v>http://dx.doi.org/10.1109/TVCG.2010.129</v>
      </c>
      <c r="F683" s="14">
        <v>1129.0</v>
      </c>
      <c r="G683" s="14">
        <v>1138.0</v>
      </c>
      <c r="H683" s="151"/>
      <c r="I683" s="14" t="s">
        <v>17059</v>
      </c>
      <c r="J683" s="14" t="s">
        <v>21302</v>
      </c>
      <c r="K683" s="14" t="s">
        <v>31732</v>
      </c>
      <c r="L683" s="152" t="s">
        <v>5349</v>
      </c>
      <c r="M683" s="14" t="s">
        <v>31733</v>
      </c>
      <c r="N683" s="54" t="s">
        <v>31732</v>
      </c>
      <c r="O683" s="130" t="s">
        <v>21306</v>
      </c>
      <c r="P683" s="153" t="s">
        <v>21307</v>
      </c>
      <c r="Q683" s="14">
        <v>5613451.0</v>
      </c>
      <c r="R683" s="95"/>
      <c r="S683" s="154" t="s">
        <v>31734</v>
      </c>
      <c r="T683" s="84"/>
      <c r="U683" s="84"/>
      <c r="V683" s="84"/>
      <c r="W683" s="84"/>
      <c r="X683" s="84"/>
      <c r="Y683" s="84"/>
      <c r="Z683" s="84"/>
      <c r="AA683" s="84"/>
      <c r="AB683" s="84"/>
      <c r="AC683" s="84"/>
    </row>
    <row r="684" ht="15.75" customHeight="1">
      <c r="A684" s="14" t="s">
        <v>2137</v>
      </c>
      <c r="B684" s="14">
        <v>2010.0</v>
      </c>
      <c r="C684" s="14" t="s">
        <v>21308</v>
      </c>
      <c r="D684" s="14" t="s">
        <v>21309</v>
      </c>
      <c r="E684" s="150" t="str">
        <f t="shared" si="12"/>
        <v>http://dx.doi.org/10.1109/TVCG.2010.130</v>
      </c>
      <c r="F684" s="14">
        <v>1036.0</v>
      </c>
      <c r="G684" s="14">
        <v>1043.0</v>
      </c>
      <c r="H684" s="151"/>
      <c r="I684" s="14" t="s">
        <v>17059</v>
      </c>
      <c r="J684" s="14" t="s">
        <v>21311</v>
      </c>
      <c r="K684" s="14" t="s">
        <v>31735</v>
      </c>
      <c r="L684" s="152" t="s">
        <v>494</v>
      </c>
      <c r="M684" s="14" t="s">
        <v>31736</v>
      </c>
      <c r="N684" s="54" t="s">
        <v>31735</v>
      </c>
      <c r="O684" s="130"/>
      <c r="P684" s="153" t="s">
        <v>21314</v>
      </c>
      <c r="Q684" s="14">
        <v>5613441.0</v>
      </c>
      <c r="R684" s="95"/>
      <c r="S684" s="154"/>
      <c r="T684" s="84"/>
      <c r="U684" s="84"/>
      <c r="V684" s="84"/>
      <c r="W684" s="84"/>
      <c r="X684" s="84"/>
      <c r="Y684" s="84"/>
      <c r="Z684" s="84"/>
      <c r="AA684" s="84"/>
      <c r="AB684" s="84"/>
      <c r="AC684" s="84"/>
    </row>
    <row r="685" ht="15.75" customHeight="1">
      <c r="A685" s="14" t="s">
        <v>2137</v>
      </c>
      <c r="B685" s="14">
        <v>2010.0</v>
      </c>
      <c r="C685" s="14" t="s">
        <v>21290</v>
      </c>
      <c r="D685" s="14" t="s">
        <v>21291</v>
      </c>
      <c r="E685" s="150" t="str">
        <f t="shared" si="12"/>
        <v>http://dx.doi.org/10.1109/TVCG.2010.126</v>
      </c>
      <c r="F685" s="14">
        <v>1164.0</v>
      </c>
      <c r="G685" s="14">
        <v>1171.0</v>
      </c>
      <c r="H685" s="151"/>
      <c r="I685" s="14" t="s">
        <v>17059</v>
      </c>
      <c r="J685" s="14" t="s">
        <v>21292</v>
      </c>
      <c r="K685" s="14" t="s">
        <v>31737</v>
      </c>
      <c r="L685" s="152" t="s">
        <v>23939</v>
      </c>
      <c r="M685" s="14" t="s">
        <v>31738</v>
      </c>
      <c r="N685" s="54" t="s">
        <v>31739</v>
      </c>
      <c r="O685" s="130" t="s">
        <v>21296</v>
      </c>
      <c r="P685" s="164" t="s">
        <v>21297</v>
      </c>
      <c r="Q685" s="14">
        <v>5613455.0</v>
      </c>
      <c r="R685" s="95"/>
      <c r="S685" s="154" t="s">
        <v>31740</v>
      </c>
      <c r="T685" s="84"/>
      <c r="U685" s="84"/>
      <c r="V685" s="84"/>
      <c r="W685" s="84"/>
      <c r="X685" s="84"/>
      <c r="Y685" s="84"/>
      <c r="Z685" s="84"/>
      <c r="AA685" s="84"/>
      <c r="AB685" s="84"/>
      <c r="AC685" s="84"/>
    </row>
    <row r="686" ht="15.75" customHeight="1">
      <c r="A686" s="14" t="s">
        <v>2137</v>
      </c>
      <c r="B686" s="14">
        <v>2010.0</v>
      </c>
      <c r="C686" s="14" t="s">
        <v>21322</v>
      </c>
      <c r="D686" s="14" t="s">
        <v>21323</v>
      </c>
      <c r="E686" s="150" t="str">
        <f t="shared" si="12"/>
        <v>http://dx.doi.org/10.1109/TVCG.2010.138</v>
      </c>
      <c r="F686" s="14">
        <v>1027.0</v>
      </c>
      <c r="G686" s="14">
        <v>1035.0</v>
      </c>
      <c r="H686" s="151"/>
      <c r="I686" s="14" t="s">
        <v>17059</v>
      </c>
      <c r="J686" s="14" t="s">
        <v>21325</v>
      </c>
      <c r="K686" s="14" t="s">
        <v>31741</v>
      </c>
      <c r="L686" s="152" t="s">
        <v>880</v>
      </c>
      <c r="M686" s="14" t="s">
        <v>31742</v>
      </c>
      <c r="N686" s="54" t="s">
        <v>31741</v>
      </c>
      <c r="O686" s="130" t="s">
        <v>21327</v>
      </c>
      <c r="P686" s="153" t="s">
        <v>21328</v>
      </c>
      <c r="Q686" s="14">
        <v>5613440.0</v>
      </c>
      <c r="R686" s="95"/>
      <c r="S686" s="154" t="s">
        <v>31743</v>
      </c>
      <c r="T686" s="84"/>
      <c r="U686" s="84"/>
      <c r="V686" s="84"/>
      <c r="W686" s="84"/>
      <c r="X686" s="84"/>
      <c r="Y686" s="84"/>
      <c r="Z686" s="84"/>
      <c r="AA686" s="84"/>
      <c r="AB686" s="84"/>
      <c r="AC686" s="84"/>
    </row>
    <row r="687" ht="15.75" customHeight="1">
      <c r="A687" s="14" t="s">
        <v>2137</v>
      </c>
      <c r="B687" s="14">
        <v>2010.0</v>
      </c>
      <c r="C687" s="14" t="s">
        <v>21330</v>
      </c>
      <c r="D687" s="14" t="s">
        <v>21331</v>
      </c>
      <c r="E687" s="150" t="str">
        <f t="shared" si="12"/>
        <v>http://dx.doi.org/10.1109/TVCG.2010.144</v>
      </c>
      <c r="F687" s="14">
        <v>1149.0</v>
      </c>
      <c r="G687" s="14">
        <v>1156.0</v>
      </c>
      <c r="H687" s="151"/>
      <c r="I687" s="14" t="s">
        <v>17059</v>
      </c>
      <c r="J687" s="14" t="s">
        <v>21332</v>
      </c>
      <c r="K687" s="14" t="s">
        <v>31744</v>
      </c>
      <c r="L687" s="152" t="s">
        <v>22981</v>
      </c>
      <c r="M687" s="14" t="s">
        <v>31745</v>
      </c>
      <c r="N687" s="54" t="s">
        <v>31744</v>
      </c>
      <c r="O687" s="130" t="s">
        <v>21334</v>
      </c>
      <c r="P687" s="153" t="s">
        <v>21335</v>
      </c>
      <c r="Q687" s="14">
        <v>5613453.0</v>
      </c>
      <c r="R687" s="95"/>
      <c r="S687" s="154" t="s">
        <v>31746</v>
      </c>
      <c r="T687" s="84"/>
      <c r="U687" s="84"/>
      <c r="V687" s="84"/>
      <c r="W687" s="84"/>
      <c r="X687" s="84"/>
      <c r="Y687" s="84"/>
      <c r="Z687" s="84"/>
      <c r="AA687" s="84"/>
      <c r="AB687" s="84"/>
      <c r="AC687" s="84"/>
    </row>
    <row r="688" ht="15.75" customHeight="1">
      <c r="A688" s="14" t="s">
        <v>2137</v>
      </c>
      <c r="B688" s="14">
        <v>2010.0</v>
      </c>
      <c r="C688" s="14" t="s">
        <v>24258</v>
      </c>
      <c r="D688" s="14" t="s">
        <v>21337</v>
      </c>
      <c r="E688" s="150" t="str">
        <f t="shared" si="12"/>
        <v>http://dx.doi.org/10.1109/TVCG.2010.149</v>
      </c>
      <c r="F688" s="14">
        <v>953.0</v>
      </c>
      <c r="G688" s="14">
        <v>962.0</v>
      </c>
      <c r="H688" s="151"/>
      <c r="I688" s="14" t="s">
        <v>17059</v>
      </c>
      <c r="J688" s="14" t="s">
        <v>21338</v>
      </c>
      <c r="K688" s="14" t="s">
        <v>31747</v>
      </c>
      <c r="L688" s="152" t="s">
        <v>494</v>
      </c>
      <c r="M688" s="14" t="s">
        <v>31748</v>
      </c>
      <c r="N688" s="54" t="s">
        <v>31747</v>
      </c>
      <c r="O688" s="130" t="s">
        <v>21341</v>
      </c>
      <c r="P688" s="16"/>
      <c r="Q688" s="14">
        <v>5613432.0</v>
      </c>
      <c r="R688" s="95"/>
      <c r="S688" s="154" t="s">
        <v>31749</v>
      </c>
      <c r="T688" s="84"/>
      <c r="U688" s="84"/>
      <c r="V688" s="84"/>
      <c r="W688" s="84"/>
      <c r="X688" s="84"/>
      <c r="Y688" s="84"/>
      <c r="Z688" s="84"/>
      <c r="AA688" s="84"/>
      <c r="AB688" s="84"/>
      <c r="AC688" s="84"/>
    </row>
    <row r="689" ht="15.75" customHeight="1">
      <c r="A689" s="14" t="s">
        <v>2137</v>
      </c>
      <c r="B689" s="14">
        <v>2010.0</v>
      </c>
      <c r="C689" s="14" t="s">
        <v>21342</v>
      </c>
      <c r="D689" s="14" t="s">
        <v>21343</v>
      </c>
      <c r="E689" s="150" t="str">
        <f t="shared" si="12"/>
        <v>http://dx.doi.org/10.1109/TVCG.2010.150</v>
      </c>
      <c r="F689" s="14">
        <v>963.0</v>
      </c>
      <c r="G689" s="14">
        <v>972.0</v>
      </c>
      <c r="H689" s="151"/>
      <c r="I689" s="14" t="s">
        <v>17059</v>
      </c>
      <c r="J689" s="14" t="s">
        <v>21345</v>
      </c>
      <c r="K689" s="14" t="s">
        <v>31750</v>
      </c>
      <c r="L689" s="152" t="s">
        <v>24283</v>
      </c>
      <c r="M689" s="14" t="s">
        <v>31751</v>
      </c>
      <c r="N689" s="54" t="s">
        <v>31752</v>
      </c>
      <c r="O689" s="130" t="s">
        <v>2378</v>
      </c>
      <c r="P689" s="153" t="s">
        <v>21350</v>
      </c>
      <c r="Q689" s="14">
        <v>5613433.0</v>
      </c>
      <c r="R689" s="95"/>
      <c r="S689" s="154">
        <v>480803.0</v>
      </c>
      <c r="T689" s="84"/>
      <c r="U689" s="84"/>
      <c r="V689" s="84"/>
      <c r="W689" s="84"/>
      <c r="X689" s="84"/>
      <c r="Y689" s="84"/>
      <c r="Z689" s="84"/>
      <c r="AA689" s="84"/>
      <c r="AB689" s="84"/>
      <c r="AC689" s="84"/>
    </row>
    <row r="690" ht="15.75" customHeight="1">
      <c r="A690" s="14" t="s">
        <v>2137</v>
      </c>
      <c r="B690" s="14">
        <v>2010.0</v>
      </c>
      <c r="C690" s="14" t="s">
        <v>21352</v>
      </c>
      <c r="D690" s="14" t="s">
        <v>21353</v>
      </c>
      <c r="E690" s="150" t="str">
        <f t="shared" si="12"/>
        <v>http://dx.doi.org/10.1109/TVCG.2010.154</v>
      </c>
      <c r="F690" s="14">
        <v>1172.0</v>
      </c>
      <c r="G690" s="14">
        <v>1181.0</v>
      </c>
      <c r="H690" s="151"/>
      <c r="I690" s="14" t="s">
        <v>17059</v>
      </c>
      <c r="J690" s="14" t="s">
        <v>21354</v>
      </c>
      <c r="K690" s="14" t="s">
        <v>31753</v>
      </c>
      <c r="L690" s="152" t="s">
        <v>24359</v>
      </c>
      <c r="M690" s="14" t="s">
        <v>31754</v>
      </c>
      <c r="N690" s="54" t="s">
        <v>31753</v>
      </c>
      <c r="O690" s="130" t="s">
        <v>21357</v>
      </c>
      <c r="P690" s="153" t="s">
        <v>21358</v>
      </c>
      <c r="Q690" s="14">
        <v>5613456.0</v>
      </c>
      <c r="R690" s="95"/>
      <c r="S690" s="154" t="s">
        <v>31755</v>
      </c>
      <c r="T690" s="84"/>
      <c r="U690" s="84"/>
      <c r="V690" s="84"/>
      <c r="W690" s="84"/>
      <c r="X690" s="84"/>
      <c r="Y690" s="84"/>
      <c r="Z690" s="84"/>
      <c r="AA690" s="84"/>
      <c r="AB690" s="84"/>
      <c r="AC690" s="84"/>
    </row>
    <row r="691" ht="15.75" customHeight="1">
      <c r="A691" s="14" t="s">
        <v>2137</v>
      </c>
      <c r="B691" s="14">
        <v>2010.0</v>
      </c>
      <c r="C691" s="14" t="s">
        <v>21359</v>
      </c>
      <c r="D691" s="14" t="s">
        <v>21360</v>
      </c>
      <c r="E691" s="150" t="str">
        <f t="shared" si="12"/>
        <v>http://dx.doi.org/10.1109/TVCG.2010.159</v>
      </c>
      <c r="F691" s="14">
        <v>1073.0</v>
      </c>
      <c r="G691" s="14">
        <v>1081.0</v>
      </c>
      <c r="H691" s="151"/>
      <c r="I691" s="14" t="s">
        <v>17059</v>
      </c>
      <c r="J691" s="14" t="s">
        <v>24439</v>
      </c>
      <c r="K691" s="14" t="s">
        <v>31757</v>
      </c>
      <c r="L691" s="152" t="s">
        <v>880</v>
      </c>
      <c r="M691" s="14" t="s">
        <v>31758</v>
      </c>
      <c r="N691" s="54" t="s">
        <v>31757</v>
      </c>
      <c r="O691" s="130" t="s">
        <v>21364</v>
      </c>
      <c r="P691" s="153" t="s">
        <v>21365</v>
      </c>
      <c r="Q691" s="14">
        <v>5613445.0</v>
      </c>
      <c r="R691" s="95"/>
      <c r="S691" s="154" t="s">
        <v>31759</v>
      </c>
      <c r="T691" s="84"/>
      <c r="U691" s="84"/>
      <c r="V691" s="84"/>
      <c r="W691" s="84"/>
      <c r="X691" s="84"/>
      <c r="Y691" s="84"/>
      <c r="Z691" s="84"/>
      <c r="AA691" s="84"/>
      <c r="AB691" s="84"/>
      <c r="AC691" s="84"/>
    </row>
    <row r="692" ht="15.75" customHeight="1">
      <c r="A692" s="14" t="s">
        <v>2137</v>
      </c>
      <c r="B692" s="14">
        <v>2010.0</v>
      </c>
      <c r="C692" s="14" t="s">
        <v>21368</v>
      </c>
      <c r="D692" s="14" t="s">
        <v>21369</v>
      </c>
      <c r="E692" s="150" t="str">
        <f t="shared" si="12"/>
        <v>http://dx.doi.org/10.1109/TVCG.2010.161</v>
      </c>
      <c r="F692" s="14">
        <v>973.0</v>
      </c>
      <c r="G692" s="14">
        <v>979.0</v>
      </c>
      <c r="H692" s="151"/>
      <c r="I692" s="14" t="s">
        <v>17059</v>
      </c>
      <c r="J692" s="14" t="s">
        <v>21370</v>
      </c>
      <c r="K692" s="14" t="s">
        <v>31760</v>
      </c>
      <c r="L692" s="152" t="s">
        <v>24474</v>
      </c>
      <c r="M692" s="14" t="s">
        <v>31761</v>
      </c>
      <c r="N692" s="54" t="s">
        <v>31762</v>
      </c>
      <c r="O692" s="130" t="s">
        <v>18191</v>
      </c>
      <c r="P692" s="153" t="s">
        <v>21374</v>
      </c>
      <c r="Q692" s="14">
        <v>5613434.0</v>
      </c>
      <c r="R692" s="95"/>
      <c r="S692" s="154">
        <v>4376131.0</v>
      </c>
      <c r="T692" s="84"/>
      <c r="U692" s="84"/>
      <c r="V692" s="84"/>
      <c r="W692" s="84"/>
      <c r="X692" s="84"/>
      <c r="Y692" s="84"/>
      <c r="Z692" s="84"/>
      <c r="AA692" s="84"/>
      <c r="AB692" s="84"/>
      <c r="AC692" s="84"/>
    </row>
    <row r="693" ht="15.75" customHeight="1">
      <c r="A693" s="14" t="s">
        <v>2137</v>
      </c>
      <c r="B693" s="14">
        <v>2010.0</v>
      </c>
      <c r="C693" s="14" t="s">
        <v>21375</v>
      </c>
      <c r="D693" s="14" t="s">
        <v>21376</v>
      </c>
      <c r="E693" s="150" t="str">
        <f t="shared" si="12"/>
        <v>http://dx.doi.org/10.1109/TVCG.2010.162</v>
      </c>
      <c r="F693" s="14">
        <v>927.0</v>
      </c>
      <c r="G693" s="14">
        <v>934.0</v>
      </c>
      <c r="H693" s="151"/>
      <c r="I693" s="14" t="s">
        <v>17059</v>
      </c>
      <c r="J693" s="14" t="s">
        <v>21378</v>
      </c>
      <c r="K693" s="14" t="s">
        <v>31763</v>
      </c>
      <c r="L693" s="152" t="s">
        <v>24490</v>
      </c>
      <c r="M693" s="14" t="s">
        <v>31764</v>
      </c>
      <c r="N693" s="54" t="s">
        <v>31763</v>
      </c>
      <c r="O693" s="130" t="s">
        <v>21381</v>
      </c>
      <c r="P693" s="153" t="s">
        <v>21382</v>
      </c>
      <c r="Q693" s="14">
        <v>5613429.0</v>
      </c>
      <c r="R693" s="95"/>
      <c r="S693" s="154" t="s">
        <v>31765</v>
      </c>
      <c r="T693" s="84"/>
      <c r="U693" s="84"/>
      <c r="V693" s="84"/>
      <c r="W693" s="84"/>
      <c r="X693" s="84"/>
      <c r="Y693" s="84"/>
      <c r="Z693" s="84"/>
      <c r="AA693" s="84"/>
      <c r="AB693" s="84"/>
      <c r="AC693" s="84"/>
    </row>
    <row r="694" ht="15.75" customHeight="1">
      <c r="A694" s="14" t="s">
        <v>2137</v>
      </c>
      <c r="B694" s="14">
        <v>2010.0</v>
      </c>
      <c r="C694" s="14" t="s">
        <v>21383</v>
      </c>
      <c r="D694" s="14" t="s">
        <v>21384</v>
      </c>
      <c r="E694" s="150" t="str">
        <f t="shared" si="12"/>
        <v>http://dx.doi.org/10.1109/TVCG.2010.163</v>
      </c>
      <c r="F694" s="14">
        <v>918.0</v>
      </c>
      <c r="G694" s="14">
        <v>926.0</v>
      </c>
      <c r="H694" s="151"/>
      <c r="I694" s="14" t="s">
        <v>17059</v>
      </c>
      <c r="J694" s="14" t="s">
        <v>21385</v>
      </c>
      <c r="K694" s="14" t="s">
        <v>31766</v>
      </c>
      <c r="L694" s="152" t="s">
        <v>24507</v>
      </c>
      <c r="M694" s="14" t="s">
        <v>31767</v>
      </c>
      <c r="N694" s="54" t="s">
        <v>31766</v>
      </c>
      <c r="O694" s="130" t="s">
        <v>21389</v>
      </c>
      <c r="P694" s="153" t="s">
        <v>21390</v>
      </c>
      <c r="Q694" s="14">
        <v>5613428.0</v>
      </c>
      <c r="R694" s="95"/>
      <c r="S694" s="154" t="s">
        <v>31768</v>
      </c>
      <c r="T694" s="84"/>
      <c r="U694" s="84"/>
      <c r="V694" s="84"/>
      <c r="W694" s="84"/>
      <c r="X694" s="84"/>
      <c r="Y694" s="84"/>
      <c r="Z694" s="84"/>
      <c r="AA694" s="84"/>
      <c r="AB694" s="84"/>
      <c r="AC694" s="84"/>
    </row>
    <row r="695" ht="15.75" customHeight="1">
      <c r="A695" s="14" t="s">
        <v>2137</v>
      </c>
      <c r="B695" s="14">
        <v>2010.0</v>
      </c>
      <c r="C695" s="14" t="s">
        <v>21392</v>
      </c>
      <c r="D695" s="14" t="s">
        <v>21393</v>
      </c>
      <c r="E695" s="150" t="str">
        <f t="shared" si="12"/>
        <v>http://dx.doi.org/10.1109/TVCG.2010.164</v>
      </c>
      <c r="F695" s="14">
        <v>943.0</v>
      </c>
      <c r="G695" s="14">
        <v>952.0</v>
      </c>
      <c r="H695" s="151"/>
      <c r="I695" s="14" t="s">
        <v>17059</v>
      </c>
      <c r="J695" s="14" t="s">
        <v>21395</v>
      </c>
      <c r="K695" s="14" t="s">
        <v>31769</v>
      </c>
      <c r="L695" s="152" t="s">
        <v>22110</v>
      </c>
      <c r="M695" s="14" t="s">
        <v>31770</v>
      </c>
      <c r="N695" s="54" t="s">
        <v>31771</v>
      </c>
      <c r="O695" s="130" t="s">
        <v>21399</v>
      </c>
      <c r="P695" s="153" t="s">
        <v>21400</v>
      </c>
      <c r="Q695" s="14">
        <v>5613431.0</v>
      </c>
      <c r="R695" s="95"/>
      <c r="S695" s="154" t="s">
        <v>31772</v>
      </c>
      <c r="T695" s="84"/>
      <c r="U695" s="84"/>
      <c r="V695" s="84"/>
      <c r="W695" s="84"/>
      <c r="X695" s="84"/>
      <c r="Y695" s="84"/>
      <c r="Z695" s="84"/>
      <c r="AA695" s="84"/>
      <c r="AB695" s="84"/>
      <c r="AC695" s="84"/>
    </row>
    <row r="696" ht="15.75" customHeight="1">
      <c r="A696" s="14" t="s">
        <v>2137</v>
      </c>
      <c r="B696" s="14">
        <v>2010.0</v>
      </c>
      <c r="C696" s="14" t="s">
        <v>21401</v>
      </c>
      <c r="D696" s="14" t="s">
        <v>21402</v>
      </c>
      <c r="E696" s="150" t="str">
        <f t="shared" si="12"/>
        <v>http://dx.doi.org/10.1109/TVCG.2010.174</v>
      </c>
      <c r="F696" s="14">
        <v>1009.0</v>
      </c>
      <c r="G696" s="14">
        <v>1016.0</v>
      </c>
      <c r="H696" s="151"/>
      <c r="I696" s="14" t="s">
        <v>17059</v>
      </c>
      <c r="J696" s="14" t="s">
        <v>21403</v>
      </c>
      <c r="K696" s="14" t="s">
        <v>31773</v>
      </c>
      <c r="L696" s="152" t="s">
        <v>178</v>
      </c>
      <c r="M696" s="14" t="s">
        <v>31774</v>
      </c>
      <c r="N696" s="54" t="s">
        <v>31773</v>
      </c>
      <c r="O696" s="130" t="s">
        <v>19071</v>
      </c>
      <c r="P696" s="153" t="s">
        <v>21405</v>
      </c>
      <c r="Q696" s="14">
        <v>5613438.0</v>
      </c>
      <c r="R696" s="95"/>
      <c r="S696" s="154">
        <v>4658146.0</v>
      </c>
      <c r="T696" s="84"/>
      <c r="U696" s="84"/>
      <c r="V696" s="84"/>
      <c r="W696" s="84"/>
      <c r="X696" s="84"/>
      <c r="Y696" s="84"/>
      <c r="Z696" s="84"/>
      <c r="AA696" s="84"/>
      <c r="AB696" s="84"/>
      <c r="AC696" s="84"/>
    </row>
    <row r="697" ht="15.75" customHeight="1">
      <c r="A697" s="14" t="s">
        <v>2137</v>
      </c>
      <c r="B697" s="14">
        <v>2010.0</v>
      </c>
      <c r="C697" s="14" t="s">
        <v>21406</v>
      </c>
      <c r="D697" s="14" t="s">
        <v>21408</v>
      </c>
      <c r="E697" s="150" t="str">
        <f t="shared" si="12"/>
        <v>http://dx.doi.org/10.1109/TVCG.2010.175</v>
      </c>
      <c r="F697" s="14">
        <v>1190.0</v>
      </c>
      <c r="G697" s="14">
        <v>1197.0</v>
      </c>
      <c r="H697" s="151"/>
      <c r="I697" s="14" t="s">
        <v>17059</v>
      </c>
      <c r="J697" s="14" t="s">
        <v>21409</v>
      </c>
      <c r="K697" s="14" t="s">
        <v>21411</v>
      </c>
      <c r="L697" s="152" t="s">
        <v>24725</v>
      </c>
      <c r="M697" s="14" t="s">
        <v>31775</v>
      </c>
      <c r="N697" s="54" t="s">
        <v>31776</v>
      </c>
      <c r="O697" s="130" t="s">
        <v>21413</v>
      </c>
      <c r="P697" s="153" t="s">
        <v>21414</v>
      </c>
      <c r="Q697" s="14">
        <v>5613458.0</v>
      </c>
      <c r="R697" s="95"/>
      <c r="S697" s="154" t="s">
        <v>31777</v>
      </c>
      <c r="T697" s="84"/>
      <c r="U697" s="84"/>
      <c r="V697" s="84"/>
      <c r="W697" s="84"/>
      <c r="X697" s="84"/>
      <c r="Y697" s="84"/>
      <c r="Z697" s="84"/>
      <c r="AA697" s="84"/>
      <c r="AB697" s="84"/>
      <c r="AC697" s="84"/>
    </row>
    <row r="698" ht="15.75" customHeight="1">
      <c r="A698" s="14" t="s">
        <v>2137</v>
      </c>
      <c r="B698" s="14">
        <v>2010.0</v>
      </c>
      <c r="C698" s="14" t="s">
        <v>21415</v>
      </c>
      <c r="D698" s="14" t="s">
        <v>21416</v>
      </c>
      <c r="E698" s="150" t="str">
        <f t="shared" si="12"/>
        <v>http://dx.doi.org/10.1109/TVCG.2010.176</v>
      </c>
      <c r="F698" s="14">
        <v>980.0</v>
      </c>
      <c r="G698" s="14">
        <v>989.0</v>
      </c>
      <c r="H698" s="151"/>
      <c r="I698" s="14" t="s">
        <v>17059</v>
      </c>
      <c r="J698" s="14" t="s">
        <v>21418</v>
      </c>
      <c r="K698" s="14" t="s">
        <v>31778</v>
      </c>
      <c r="L698" s="152" t="s">
        <v>24749</v>
      </c>
      <c r="M698" s="14" t="s">
        <v>31779</v>
      </c>
      <c r="N698" s="54" t="s">
        <v>31778</v>
      </c>
      <c r="O698" s="130" t="s">
        <v>21422</v>
      </c>
      <c r="P698" s="153" t="s">
        <v>21423</v>
      </c>
      <c r="Q698" s="14">
        <v>5613435.0</v>
      </c>
      <c r="R698" s="95"/>
      <c r="S698" s="154" t="s">
        <v>31780</v>
      </c>
      <c r="T698" s="84"/>
      <c r="U698" s="84"/>
      <c r="V698" s="84"/>
      <c r="W698" s="84"/>
      <c r="X698" s="84"/>
      <c r="Y698" s="84"/>
      <c r="Z698" s="84"/>
      <c r="AA698" s="84"/>
      <c r="AB698" s="84"/>
      <c r="AC698" s="84"/>
    </row>
    <row r="699" ht="15.75" customHeight="1">
      <c r="A699" s="14" t="s">
        <v>2137</v>
      </c>
      <c r="B699" s="14">
        <v>2010.0</v>
      </c>
      <c r="C699" s="14" t="s">
        <v>21425</v>
      </c>
      <c r="D699" s="14" t="s">
        <v>21426</v>
      </c>
      <c r="E699" s="150" t="str">
        <f t="shared" si="12"/>
        <v>http://dx.doi.org/10.1109/TVCG.2010.177</v>
      </c>
      <c r="F699" s="14">
        <v>999.0</v>
      </c>
      <c r="G699" s="14">
        <v>1008.0</v>
      </c>
      <c r="H699" s="151"/>
      <c r="I699" s="14" t="s">
        <v>17059</v>
      </c>
      <c r="J699" s="14" t="s">
        <v>21427</v>
      </c>
      <c r="K699" s="14" t="s">
        <v>32052</v>
      </c>
      <c r="L699" s="152" t="s">
        <v>24771</v>
      </c>
      <c r="M699" s="14" t="s">
        <v>32053</v>
      </c>
      <c r="N699" s="54" t="s">
        <v>32054</v>
      </c>
      <c r="O699" s="130" t="s">
        <v>21431</v>
      </c>
      <c r="P699" s="153" t="s">
        <v>21432</v>
      </c>
      <c r="Q699" s="14">
        <v>5613437.0</v>
      </c>
      <c r="R699" s="95"/>
      <c r="S699" s="154" t="s">
        <v>32055</v>
      </c>
      <c r="T699" s="84"/>
      <c r="U699" s="84"/>
      <c r="V699" s="84"/>
      <c r="W699" s="84"/>
      <c r="X699" s="84"/>
      <c r="Y699" s="84"/>
      <c r="Z699" s="84"/>
      <c r="AA699" s="84"/>
      <c r="AB699" s="84"/>
      <c r="AC699" s="84"/>
    </row>
    <row r="700" ht="15.75" customHeight="1">
      <c r="A700" s="14" t="s">
        <v>2137</v>
      </c>
      <c r="B700" s="14">
        <v>2010.0</v>
      </c>
      <c r="C700" s="14" t="s">
        <v>21315</v>
      </c>
      <c r="D700" s="14" t="s">
        <v>21316</v>
      </c>
      <c r="E700" s="150" t="str">
        <f t="shared" si="12"/>
        <v>http://dx.doi.org/10.1109/TVCG.2010.137</v>
      </c>
      <c r="F700" s="14">
        <v>908.0</v>
      </c>
      <c r="G700" s="14">
        <v>917.0</v>
      </c>
      <c r="H700" s="151"/>
      <c r="I700" s="14" t="s">
        <v>17059</v>
      </c>
      <c r="J700" s="14" t="s">
        <v>21317</v>
      </c>
      <c r="K700" s="14" t="s">
        <v>32056</v>
      </c>
      <c r="L700" s="152" t="s">
        <v>5349</v>
      </c>
      <c r="M700" s="14" t="s">
        <v>32057</v>
      </c>
      <c r="N700" s="54" t="s">
        <v>32056</v>
      </c>
      <c r="O700" s="130" t="s">
        <v>21320</v>
      </c>
      <c r="P700" s="153" t="s">
        <v>21321</v>
      </c>
      <c r="Q700" s="14">
        <v>5613427.0</v>
      </c>
      <c r="R700" s="95"/>
      <c r="S700" s="154" t="s">
        <v>32058</v>
      </c>
      <c r="T700" s="84"/>
      <c r="U700" s="84"/>
      <c r="V700" s="84"/>
      <c r="W700" s="84"/>
      <c r="X700" s="84"/>
      <c r="Y700" s="84"/>
      <c r="Z700" s="84"/>
      <c r="AA700" s="84"/>
      <c r="AB700" s="84"/>
      <c r="AC700" s="84"/>
    </row>
    <row r="701" ht="15.75" customHeight="1">
      <c r="A701" s="14" t="s">
        <v>2137</v>
      </c>
      <c r="B701" s="14">
        <v>2010.0</v>
      </c>
      <c r="C701" s="14" t="s">
        <v>21433</v>
      </c>
      <c r="D701" s="14" t="s">
        <v>21434</v>
      </c>
      <c r="E701" s="150" t="str">
        <f t="shared" si="12"/>
        <v>http://dx.doi.org/10.1109/TVCG.2010.179</v>
      </c>
      <c r="F701" s="14">
        <v>1139.0</v>
      </c>
      <c r="G701" s="14">
        <v>1148.0</v>
      </c>
      <c r="H701" s="151"/>
      <c r="I701" s="14" t="s">
        <v>17059</v>
      </c>
      <c r="J701" s="14" t="s">
        <v>32059</v>
      </c>
      <c r="K701" s="14" t="s">
        <v>32060</v>
      </c>
      <c r="L701" s="152" t="s">
        <v>24791</v>
      </c>
      <c r="M701" s="14" t="s">
        <v>32061</v>
      </c>
      <c r="N701" s="54" t="s">
        <v>32060</v>
      </c>
      <c r="O701" s="130" t="s">
        <v>21437</v>
      </c>
      <c r="P701" s="153" t="s">
        <v>21438</v>
      </c>
      <c r="Q701" s="14">
        <v>5613452.0</v>
      </c>
      <c r="R701" s="95"/>
      <c r="S701" s="154" t="s">
        <v>32062</v>
      </c>
      <c r="T701" s="84"/>
      <c r="U701" s="84"/>
      <c r="V701" s="84"/>
      <c r="W701" s="84"/>
      <c r="X701" s="84"/>
      <c r="Y701" s="84"/>
      <c r="Z701" s="84"/>
      <c r="AA701" s="84"/>
      <c r="AB701" s="84"/>
      <c r="AC701" s="84"/>
    </row>
    <row r="702" ht="15.75" customHeight="1">
      <c r="A702" s="14" t="s">
        <v>2137</v>
      </c>
      <c r="B702" s="14">
        <v>2010.0</v>
      </c>
      <c r="C702" s="14" t="s">
        <v>21439</v>
      </c>
      <c r="D702" s="14" t="s">
        <v>21440</v>
      </c>
      <c r="E702" s="150" t="str">
        <f t="shared" si="12"/>
        <v>http://dx.doi.org/10.1109/TVCG.2010.180</v>
      </c>
      <c r="F702" s="14">
        <v>881.0</v>
      </c>
      <c r="G702" s="14">
        <v>889.0</v>
      </c>
      <c r="H702" s="151"/>
      <c r="I702" s="14" t="s">
        <v>17059</v>
      </c>
      <c r="J702" s="14" t="s">
        <v>21449</v>
      </c>
      <c r="K702" s="14" t="s">
        <v>32064</v>
      </c>
      <c r="L702" s="152" t="s">
        <v>24810</v>
      </c>
      <c r="M702" s="14" t="s">
        <v>32065</v>
      </c>
      <c r="N702" s="54" t="s">
        <v>32064</v>
      </c>
      <c r="O702" s="130" t="s">
        <v>21452</v>
      </c>
      <c r="P702" s="153" t="s">
        <v>21453</v>
      </c>
      <c r="Q702" s="14">
        <v>5613424.0</v>
      </c>
      <c r="R702" s="95"/>
      <c r="S702" s="154" t="s">
        <v>32066</v>
      </c>
      <c r="T702" s="84"/>
      <c r="U702" s="84"/>
      <c r="V702" s="84"/>
      <c r="W702" s="84"/>
      <c r="X702" s="84"/>
      <c r="Y702" s="84"/>
      <c r="Z702" s="84"/>
      <c r="AA702" s="84"/>
      <c r="AB702" s="84"/>
      <c r="AC702" s="84"/>
    </row>
    <row r="703" ht="15.75" customHeight="1">
      <c r="A703" s="14" t="s">
        <v>2137</v>
      </c>
      <c r="B703" s="14">
        <v>2010.0</v>
      </c>
      <c r="C703" s="14" t="s">
        <v>21455</v>
      </c>
      <c r="D703" s="14" t="s">
        <v>21456</v>
      </c>
      <c r="E703" s="150" t="str">
        <f t="shared" si="12"/>
        <v>http://dx.doi.org/10.1109/TVCG.2010.183</v>
      </c>
      <c r="F703" s="14">
        <v>1109.0</v>
      </c>
      <c r="G703" s="14">
        <v>1118.0</v>
      </c>
      <c r="H703" s="151"/>
      <c r="I703" s="14" t="s">
        <v>17059</v>
      </c>
      <c r="J703" s="14" t="s">
        <v>21458</v>
      </c>
      <c r="K703" s="14" t="s">
        <v>32067</v>
      </c>
      <c r="L703" s="152" t="s">
        <v>24861</v>
      </c>
      <c r="M703" s="14" t="s">
        <v>32068</v>
      </c>
      <c r="N703" s="54" t="s">
        <v>32067</v>
      </c>
      <c r="O703" s="130" t="s">
        <v>21460</v>
      </c>
      <c r="P703" s="153" t="s">
        <v>21461</v>
      </c>
      <c r="Q703" s="14">
        <v>5613449.0</v>
      </c>
      <c r="R703" s="95"/>
      <c r="S703" s="154" t="s">
        <v>32069</v>
      </c>
      <c r="T703" s="84"/>
      <c r="U703" s="84"/>
      <c r="V703" s="84"/>
      <c r="W703" s="84"/>
      <c r="X703" s="84"/>
      <c r="Y703" s="84"/>
      <c r="Z703" s="84"/>
      <c r="AA703" s="84"/>
      <c r="AB703" s="84"/>
      <c r="AC703" s="84"/>
    </row>
    <row r="704" ht="15.75" customHeight="1">
      <c r="A704" s="14" t="s">
        <v>2137</v>
      </c>
      <c r="B704" s="14">
        <v>2010.0</v>
      </c>
      <c r="C704" s="14" t="s">
        <v>21462</v>
      </c>
      <c r="D704" s="14" t="s">
        <v>21463</v>
      </c>
      <c r="E704" s="150" t="str">
        <f t="shared" si="12"/>
        <v>http://dx.doi.org/10.1109/TVCG.2010.184</v>
      </c>
      <c r="F704" s="14">
        <v>1017.0</v>
      </c>
      <c r="G704" s="14">
        <v>1026.0</v>
      </c>
      <c r="H704" s="151"/>
      <c r="I704" s="14" t="s">
        <v>17059</v>
      </c>
      <c r="J704" s="14" t="s">
        <v>21464</v>
      </c>
      <c r="K704" s="14" t="s">
        <v>31004</v>
      </c>
      <c r="L704" s="152" t="s">
        <v>24879</v>
      </c>
      <c r="M704" s="14" t="s">
        <v>31005</v>
      </c>
      <c r="N704" s="54" t="s">
        <v>31004</v>
      </c>
      <c r="O704" s="130" t="s">
        <v>21467</v>
      </c>
      <c r="P704" s="153" t="s">
        <v>21468</v>
      </c>
      <c r="Q704" s="14">
        <v>5613439.0</v>
      </c>
      <c r="R704" s="95"/>
      <c r="S704" s="154" t="s">
        <v>32070</v>
      </c>
      <c r="T704" s="84"/>
      <c r="U704" s="84"/>
      <c r="V704" s="84"/>
      <c r="W704" s="84"/>
      <c r="X704" s="84"/>
      <c r="Y704" s="84"/>
      <c r="Z704" s="84"/>
      <c r="AA704" s="84"/>
      <c r="AB704" s="84"/>
      <c r="AC704" s="84"/>
    </row>
    <row r="705" ht="15.75" customHeight="1">
      <c r="A705" s="14" t="s">
        <v>2137</v>
      </c>
      <c r="B705" s="14">
        <v>2010.0</v>
      </c>
      <c r="C705" s="14" t="s">
        <v>21469</v>
      </c>
      <c r="D705" s="14" t="s">
        <v>21470</v>
      </c>
      <c r="E705" s="150" t="str">
        <f t="shared" si="12"/>
        <v>http://dx.doi.org/10.1109/TVCG.2010.185</v>
      </c>
      <c r="F705" s="14">
        <v>1063.0</v>
      </c>
      <c r="G705" s="14">
        <v>1072.0</v>
      </c>
      <c r="H705" s="151"/>
      <c r="I705" s="14" t="s">
        <v>17059</v>
      </c>
      <c r="J705" s="14" t="s">
        <v>21471</v>
      </c>
      <c r="K705" s="14" t="s">
        <v>32072</v>
      </c>
      <c r="L705" s="152" t="s">
        <v>24898</v>
      </c>
      <c r="M705" s="14" t="s">
        <v>32073</v>
      </c>
      <c r="N705" s="54" t="s">
        <v>32072</v>
      </c>
      <c r="O705" s="130" t="s">
        <v>21475</v>
      </c>
      <c r="P705" s="153" t="s">
        <v>21476</v>
      </c>
      <c r="Q705" s="14">
        <v>5613444.0</v>
      </c>
      <c r="R705" s="95"/>
      <c r="S705" s="154" t="s">
        <v>32074</v>
      </c>
      <c r="T705" s="84"/>
      <c r="U705" s="84"/>
      <c r="V705" s="84"/>
      <c r="W705" s="84"/>
      <c r="X705" s="84"/>
      <c r="Y705" s="84"/>
      <c r="Z705" s="84"/>
      <c r="AA705" s="84"/>
      <c r="AB705" s="84"/>
      <c r="AC705" s="84"/>
    </row>
    <row r="706" ht="15.75" customHeight="1">
      <c r="A706" s="14" t="s">
        <v>2137</v>
      </c>
      <c r="B706" s="14">
        <v>2010.0</v>
      </c>
      <c r="C706" s="14" t="s">
        <v>21477</v>
      </c>
      <c r="D706" s="14" t="s">
        <v>21478</v>
      </c>
      <c r="E706" s="150" t="str">
        <f t="shared" si="12"/>
        <v>http://dx.doi.org/10.1109/TVCG.2010.186</v>
      </c>
      <c r="F706" s="14">
        <v>990.0</v>
      </c>
      <c r="G706" s="14">
        <v>998.0</v>
      </c>
      <c r="H706" s="151"/>
      <c r="I706" s="14" t="s">
        <v>17059</v>
      </c>
      <c r="J706" s="14" t="s">
        <v>21479</v>
      </c>
      <c r="K706" s="14" t="s">
        <v>32075</v>
      </c>
      <c r="L706" s="152" t="s">
        <v>24923</v>
      </c>
      <c r="M706" s="14" t="s">
        <v>32076</v>
      </c>
      <c r="N706" s="54" t="s">
        <v>32075</v>
      </c>
      <c r="O706" s="130" t="s">
        <v>21482</v>
      </c>
      <c r="P706" s="153" t="s">
        <v>21483</v>
      </c>
      <c r="Q706" s="14">
        <v>5613436.0</v>
      </c>
      <c r="R706" s="95"/>
      <c r="S706" s="154" t="s">
        <v>32077</v>
      </c>
      <c r="T706" s="84"/>
      <c r="U706" s="84"/>
      <c r="V706" s="84"/>
      <c r="W706" s="84"/>
      <c r="X706" s="84"/>
      <c r="Y706" s="84"/>
      <c r="Z706" s="84"/>
      <c r="AA706" s="84"/>
      <c r="AB706" s="84"/>
      <c r="AC706" s="84"/>
    </row>
    <row r="707" ht="15.75" customHeight="1">
      <c r="A707" s="14" t="s">
        <v>2137</v>
      </c>
      <c r="B707" s="14">
        <v>2010.0</v>
      </c>
      <c r="C707" s="14" t="s">
        <v>21484</v>
      </c>
      <c r="D707" s="14" t="s">
        <v>21485</v>
      </c>
      <c r="E707" s="150" t="str">
        <f t="shared" si="12"/>
        <v>http://dx.doi.org/10.1109/TVCG.2010.191</v>
      </c>
      <c r="F707" s="14">
        <v>890.0</v>
      </c>
      <c r="G707" s="14">
        <v>899.0</v>
      </c>
      <c r="H707" s="151"/>
      <c r="I707" s="14" t="s">
        <v>17059</v>
      </c>
      <c r="J707" s="14" t="s">
        <v>21487</v>
      </c>
      <c r="K707" s="14" t="s">
        <v>32078</v>
      </c>
      <c r="L707" s="152" t="s">
        <v>22112</v>
      </c>
      <c r="M707" s="14" t="s">
        <v>32079</v>
      </c>
      <c r="N707" s="54" t="s">
        <v>32078</v>
      </c>
      <c r="O707" s="130" t="s">
        <v>21489</v>
      </c>
      <c r="P707" s="153" t="s">
        <v>21490</v>
      </c>
      <c r="Q707" s="14">
        <v>5613425.0</v>
      </c>
      <c r="R707" s="95"/>
      <c r="S707" s="154" t="s">
        <v>32081</v>
      </c>
      <c r="T707" s="84"/>
      <c r="U707" s="84"/>
      <c r="V707" s="84"/>
      <c r="W707" s="84"/>
      <c r="X707" s="84"/>
      <c r="Y707" s="84"/>
      <c r="Z707" s="84"/>
      <c r="AA707" s="84"/>
      <c r="AB707" s="84"/>
      <c r="AC707" s="84"/>
    </row>
    <row r="708" ht="15.75" customHeight="1">
      <c r="A708" s="14" t="s">
        <v>2137</v>
      </c>
      <c r="B708" s="14">
        <v>2010.0</v>
      </c>
      <c r="C708" s="14" t="s">
        <v>21492</v>
      </c>
      <c r="D708" s="14" t="s">
        <v>21493</v>
      </c>
      <c r="E708" s="150" t="str">
        <f t="shared" si="12"/>
        <v>http://dx.doi.org/10.1109/TVCG.2010.193</v>
      </c>
      <c r="F708" s="14">
        <v>900.0</v>
      </c>
      <c r="G708" s="14">
        <v>907.0</v>
      </c>
      <c r="H708" s="151"/>
      <c r="I708" s="14" t="s">
        <v>17059</v>
      </c>
      <c r="J708" s="14" t="s">
        <v>21494</v>
      </c>
      <c r="K708" s="14" t="s">
        <v>8727</v>
      </c>
      <c r="L708" s="152" t="s">
        <v>25262</v>
      </c>
      <c r="M708" s="14">
        <v>3.75879841E10</v>
      </c>
      <c r="N708" s="54" t="s">
        <v>8727</v>
      </c>
      <c r="O708" s="130" t="s">
        <v>20588</v>
      </c>
      <c r="P708" s="153" t="s">
        <v>21497</v>
      </c>
      <c r="Q708" s="14">
        <v>5613426.0</v>
      </c>
      <c r="R708" s="95"/>
      <c r="S708" s="154">
        <v>5333895.0</v>
      </c>
      <c r="T708" s="84"/>
      <c r="U708" s="84"/>
      <c r="V708" s="84"/>
      <c r="W708" s="84"/>
      <c r="X708" s="84"/>
      <c r="Y708" s="84"/>
      <c r="Z708" s="84"/>
      <c r="AA708" s="84"/>
      <c r="AB708" s="84"/>
      <c r="AC708" s="84"/>
    </row>
    <row r="709" ht="15.75" customHeight="1">
      <c r="A709" s="14" t="s">
        <v>2137</v>
      </c>
      <c r="B709" s="14">
        <v>2010.0</v>
      </c>
      <c r="C709" s="14" t="s">
        <v>21498</v>
      </c>
      <c r="D709" s="14" t="s">
        <v>21499</v>
      </c>
      <c r="E709" s="150" t="str">
        <f t="shared" si="12"/>
        <v>http://dx.doi.org/10.1109/TVCG.2010.194</v>
      </c>
      <c r="F709" s="14">
        <v>1182.0</v>
      </c>
      <c r="G709" s="14">
        <v>1189.0</v>
      </c>
      <c r="H709" s="151"/>
      <c r="I709" s="14" t="s">
        <v>17059</v>
      </c>
      <c r="J709" s="14" t="s">
        <v>21500</v>
      </c>
      <c r="K709" s="14" t="s">
        <v>32082</v>
      </c>
      <c r="L709" s="152" t="s">
        <v>5349</v>
      </c>
      <c r="M709" s="14" t="s">
        <v>32083</v>
      </c>
      <c r="N709" s="54" t="s">
        <v>32084</v>
      </c>
      <c r="O709" s="130" t="s">
        <v>21504</v>
      </c>
      <c r="P709" s="153" t="s">
        <v>21505</v>
      </c>
      <c r="Q709" s="14">
        <v>5613457.0</v>
      </c>
      <c r="R709" s="95"/>
      <c r="S709" s="154" t="s">
        <v>32085</v>
      </c>
      <c r="T709" s="84"/>
      <c r="U709" s="84"/>
      <c r="V709" s="84"/>
      <c r="W709" s="84"/>
      <c r="X709" s="84"/>
      <c r="Y709" s="84"/>
      <c r="Z709" s="84"/>
      <c r="AA709" s="84"/>
      <c r="AB709" s="84"/>
      <c r="AC709" s="84"/>
    </row>
    <row r="710" ht="15.75" customHeight="1">
      <c r="A710" s="14" t="s">
        <v>2137</v>
      </c>
      <c r="B710" s="14">
        <v>2010.0</v>
      </c>
      <c r="C710" s="14" t="s">
        <v>21507</v>
      </c>
      <c r="D710" s="14" t="s">
        <v>21508</v>
      </c>
      <c r="E710" s="150" t="str">
        <f t="shared" si="12"/>
        <v>http://dx.doi.org/10.1109/TVCG.2010.197</v>
      </c>
      <c r="F710" s="14">
        <v>1044.0</v>
      </c>
      <c r="G710" s="14">
        <v>1052.0</v>
      </c>
      <c r="H710" s="151"/>
      <c r="I710" s="14" t="s">
        <v>17059</v>
      </c>
      <c r="J710" s="14" t="s">
        <v>21510</v>
      </c>
      <c r="K710" s="14" t="s">
        <v>32086</v>
      </c>
      <c r="L710" s="152" t="s">
        <v>25331</v>
      </c>
      <c r="M710" s="14" t="s">
        <v>32087</v>
      </c>
      <c r="N710" s="54" t="s">
        <v>32086</v>
      </c>
      <c r="O710" s="130" t="s">
        <v>21513</v>
      </c>
      <c r="P710" s="153" t="s">
        <v>21514</v>
      </c>
      <c r="Q710" s="14">
        <v>5613442.0</v>
      </c>
      <c r="R710" s="95"/>
      <c r="S710" s="154" t="s">
        <v>32088</v>
      </c>
      <c r="T710" s="84"/>
      <c r="U710" s="84"/>
      <c r="V710" s="84"/>
      <c r="W710" s="84"/>
      <c r="X710" s="84"/>
      <c r="Y710" s="84"/>
      <c r="Z710" s="84"/>
      <c r="AA710" s="84"/>
      <c r="AB710" s="84"/>
      <c r="AC710" s="84"/>
    </row>
    <row r="711" ht="15.75" customHeight="1">
      <c r="A711" s="14" t="s">
        <v>2137</v>
      </c>
      <c r="B711" s="14">
        <v>2010.0</v>
      </c>
      <c r="C711" s="14" t="s">
        <v>21515</v>
      </c>
      <c r="D711" s="14" t="s">
        <v>21516</v>
      </c>
      <c r="E711" s="150" t="str">
        <f t="shared" si="12"/>
        <v>http://dx.doi.org/10.1109/TVCG.2010.205</v>
      </c>
      <c r="F711" s="14">
        <v>1100.0</v>
      </c>
      <c r="G711" s="14">
        <v>1108.0</v>
      </c>
      <c r="H711" s="151"/>
      <c r="I711" s="14" t="s">
        <v>17059</v>
      </c>
      <c r="J711" s="14" t="s">
        <v>21517</v>
      </c>
      <c r="K711" s="14" t="s">
        <v>32089</v>
      </c>
      <c r="L711" s="152" t="s">
        <v>25430</v>
      </c>
      <c r="M711" s="14" t="s">
        <v>32090</v>
      </c>
      <c r="N711" s="54" t="s">
        <v>32089</v>
      </c>
      <c r="O711" s="130" t="s">
        <v>21520</v>
      </c>
      <c r="P711" s="153" t="s">
        <v>21521</v>
      </c>
      <c r="Q711" s="14">
        <v>5613448.0</v>
      </c>
      <c r="R711" s="95"/>
      <c r="S711" s="154" t="s">
        <v>32091</v>
      </c>
      <c r="T711" s="84"/>
      <c r="U711" s="84"/>
      <c r="V711" s="84"/>
      <c r="W711" s="84"/>
      <c r="X711" s="84"/>
      <c r="Y711" s="84"/>
      <c r="Z711" s="84"/>
      <c r="AA711" s="84"/>
      <c r="AB711" s="84"/>
      <c r="AC711" s="84"/>
    </row>
    <row r="712" ht="15.75" customHeight="1">
      <c r="A712" s="14" t="s">
        <v>2137</v>
      </c>
      <c r="B712" s="14">
        <v>2010.0</v>
      </c>
      <c r="C712" s="14" t="s">
        <v>21522</v>
      </c>
      <c r="D712" s="14" t="s">
        <v>21523</v>
      </c>
      <c r="E712" s="150" t="str">
        <f t="shared" si="12"/>
        <v>http://dx.doi.org/10.1109/TVCG.2010.206</v>
      </c>
      <c r="F712" s="14">
        <v>1119.0</v>
      </c>
      <c r="G712" s="14">
        <v>1128.0</v>
      </c>
      <c r="H712" s="151"/>
      <c r="I712" s="14" t="s">
        <v>17059</v>
      </c>
      <c r="J712" s="14" t="s">
        <v>21524</v>
      </c>
      <c r="K712" s="14" t="s">
        <v>32092</v>
      </c>
      <c r="L712" s="152" t="s">
        <v>5349</v>
      </c>
      <c r="M712" s="14" t="s">
        <v>32093</v>
      </c>
      <c r="N712" s="54" t="s">
        <v>32092</v>
      </c>
      <c r="O712" s="130" t="s">
        <v>21527</v>
      </c>
      <c r="P712" s="153" t="s">
        <v>21528</v>
      </c>
      <c r="Q712" s="14">
        <v>5613450.0</v>
      </c>
      <c r="R712" s="95"/>
      <c r="S712" s="154" t="s">
        <v>32094</v>
      </c>
      <c r="T712" s="84"/>
      <c r="U712" s="84"/>
      <c r="V712" s="84"/>
      <c r="W712" s="84"/>
      <c r="X712" s="84"/>
      <c r="Y712" s="84"/>
      <c r="Z712" s="84"/>
      <c r="AA712" s="84"/>
      <c r="AB712" s="84"/>
      <c r="AC712" s="84"/>
    </row>
    <row r="713" ht="15.75" customHeight="1">
      <c r="A713" s="14" t="s">
        <v>2137</v>
      </c>
      <c r="B713" s="14">
        <v>2010.0</v>
      </c>
      <c r="C713" s="14" t="s">
        <v>21530</v>
      </c>
      <c r="D713" s="14" t="s">
        <v>21531</v>
      </c>
      <c r="E713" s="150" t="str">
        <f t="shared" si="12"/>
        <v>http://dx.doi.org/10.1109/TVCG.2010.209</v>
      </c>
      <c r="F713" s="14">
        <v>935.0</v>
      </c>
      <c r="G713" s="14">
        <v>942.0</v>
      </c>
      <c r="H713" s="151"/>
      <c r="I713" s="14" t="s">
        <v>17059</v>
      </c>
      <c r="J713" s="14" t="s">
        <v>21532</v>
      </c>
      <c r="K713" s="14" t="s">
        <v>32095</v>
      </c>
      <c r="L713" s="152" t="s">
        <v>25476</v>
      </c>
      <c r="M713" s="14" t="s">
        <v>32096</v>
      </c>
      <c r="N713" s="54" t="s">
        <v>32095</v>
      </c>
      <c r="O713" s="130" t="s">
        <v>21536</v>
      </c>
      <c r="P713" s="153" t="s">
        <v>21537</v>
      </c>
      <c r="Q713" s="14">
        <v>5613430.0</v>
      </c>
      <c r="R713" s="95"/>
      <c r="S713" s="154" t="s">
        <v>32097</v>
      </c>
      <c r="T713" s="84"/>
      <c r="U713" s="84"/>
      <c r="V713" s="84"/>
      <c r="W713" s="84"/>
      <c r="X713" s="84"/>
      <c r="Y713" s="84"/>
      <c r="Z713" s="84"/>
      <c r="AA713" s="84"/>
      <c r="AB713" s="84"/>
      <c r="AC713" s="84"/>
    </row>
    <row r="714" ht="15.75" customHeight="1">
      <c r="A714" s="14" t="s">
        <v>2137</v>
      </c>
      <c r="B714" s="14">
        <v>2010.0</v>
      </c>
      <c r="C714" s="14" t="s">
        <v>21538</v>
      </c>
      <c r="D714" s="14" t="s">
        <v>21539</v>
      </c>
      <c r="E714" s="150" t="str">
        <f t="shared" si="12"/>
        <v>http://dx.doi.org/10.1109/TVCG.2010.210</v>
      </c>
      <c r="F714" s="14">
        <v>1090.0</v>
      </c>
      <c r="G714" s="14">
        <v>1099.0</v>
      </c>
      <c r="H714" s="151"/>
      <c r="I714" s="14" t="s">
        <v>17059</v>
      </c>
      <c r="J714" s="14" t="s">
        <v>21540</v>
      </c>
      <c r="K714" s="14" t="s">
        <v>32098</v>
      </c>
      <c r="L714" s="152" t="s">
        <v>178</v>
      </c>
      <c r="M714" s="14" t="s">
        <v>32099</v>
      </c>
      <c r="N714" s="54" t="s">
        <v>32098</v>
      </c>
      <c r="O714" s="130" t="s">
        <v>21543</v>
      </c>
      <c r="P714" s="153" t="s">
        <v>21544</v>
      </c>
      <c r="Q714" s="14">
        <v>5613447.0</v>
      </c>
      <c r="R714" s="95"/>
      <c r="S714" s="154" t="s">
        <v>32100</v>
      </c>
      <c r="T714" s="84"/>
      <c r="U714" s="84"/>
      <c r="V714" s="84"/>
      <c r="W714" s="84"/>
      <c r="X714" s="84"/>
      <c r="Y714" s="84"/>
      <c r="Z714" s="84"/>
      <c r="AA714" s="84"/>
      <c r="AB714" s="84"/>
      <c r="AC714" s="84"/>
    </row>
    <row r="715" ht="15.75" customHeight="1">
      <c r="A715" s="14" t="s">
        <v>2137</v>
      </c>
      <c r="B715" s="14">
        <v>2010.0</v>
      </c>
      <c r="C715" s="14" t="s">
        <v>21545</v>
      </c>
      <c r="D715" s="14" t="s">
        <v>21546</v>
      </c>
      <c r="E715" s="150" t="str">
        <f t="shared" si="12"/>
        <v>http://dx.doi.org/10.1109/TVCG.2010.216</v>
      </c>
      <c r="F715" s="14">
        <v>1053.0</v>
      </c>
      <c r="G715" s="14">
        <v>1062.0</v>
      </c>
      <c r="H715" s="151"/>
      <c r="I715" s="14" t="s">
        <v>17059</v>
      </c>
      <c r="J715" s="14" t="s">
        <v>21547</v>
      </c>
      <c r="K715" s="14" t="s">
        <v>32101</v>
      </c>
      <c r="L715" s="152" t="s">
        <v>25558</v>
      </c>
      <c r="M715" s="14" t="s">
        <v>32102</v>
      </c>
      <c r="N715" s="54" t="s">
        <v>32101</v>
      </c>
      <c r="O715" s="130" t="s">
        <v>21551</v>
      </c>
      <c r="P715" s="153" t="s">
        <v>21552</v>
      </c>
      <c r="Q715" s="14">
        <v>5613443.0</v>
      </c>
      <c r="R715" s="95"/>
      <c r="S715" s="154" t="s">
        <v>32103</v>
      </c>
      <c r="T715" s="84"/>
      <c r="U715" s="84"/>
      <c r="V715" s="84"/>
      <c r="W715" s="84"/>
      <c r="X715" s="84"/>
      <c r="Y715" s="84"/>
      <c r="Z715" s="84"/>
      <c r="AA715" s="84"/>
      <c r="AB715" s="84"/>
      <c r="AC715" s="84"/>
    </row>
    <row r="716" ht="15.75" customHeight="1">
      <c r="A716" s="14" t="s">
        <v>2137</v>
      </c>
      <c r="B716" s="14">
        <v>2010.0</v>
      </c>
      <c r="C716" s="14" t="s">
        <v>21554</v>
      </c>
      <c r="D716" s="14" t="s">
        <v>21555</v>
      </c>
      <c r="E716" s="150" t="str">
        <f t="shared" si="12"/>
        <v>http://dx.doi.org/10.1109/TVCG.2010.217</v>
      </c>
      <c r="F716" s="14">
        <v>1082.0</v>
      </c>
      <c r="G716" s="14">
        <v>1089.0</v>
      </c>
      <c r="H716" s="151"/>
      <c r="I716" s="14" t="s">
        <v>17059</v>
      </c>
      <c r="J716" s="14" t="s">
        <v>21556</v>
      </c>
      <c r="K716" s="14" t="s">
        <v>32104</v>
      </c>
      <c r="L716" s="152" t="s">
        <v>25572</v>
      </c>
      <c r="M716" s="14" t="s">
        <v>32105</v>
      </c>
      <c r="N716" s="54" t="s">
        <v>32106</v>
      </c>
      <c r="O716" s="130" t="s">
        <v>18198</v>
      </c>
      <c r="P716" s="153" t="s">
        <v>21560</v>
      </c>
      <c r="Q716" s="14">
        <v>5613446.0</v>
      </c>
      <c r="R716" s="95"/>
      <c r="S716" s="154">
        <v>4376155.0</v>
      </c>
      <c r="T716" s="84"/>
      <c r="U716" s="84"/>
      <c r="V716" s="84"/>
      <c r="W716" s="84"/>
      <c r="X716" s="84"/>
      <c r="Y716" s="84"/>
      <c r="Z716" s="84"/>
      <c r="AA716" s="84"/>
      <c r="AB716" s="84"/>
      <c r="AC716" s="84"/>
    </row>
    <row r="717" ht="15.75" customHeight="1">
      <c r="A717" s="14" t="s">
        <v>2137</v>
      </c>
      <c r="B717" s="14">
        <v>2010.0</v>
      </c>
      <c r="C717" s="14" t="s">
        <v>21561</v>
      </c>
      <c r="D717" s="14" t="s">
        <v>21562</v>
      </c>
      <c r="E717" s="150" t="str">
        <f t="shared" si="12"/>
        <v>http://dx.doi.org/10.1109/TVCG.2010.222</v>
      </c>
      <c r="F717" s="14">
        <v>1157.0</v>
      </c>
      <c r="G717" s="14">
        <v>1163.0</v>
      </c>
      <c r="H717" s="151"/>
      <c r="I717" s="14" t="s">
        <v>17059</v>
      </c>
      <c r="J717" s="14" t="s">
        <v>21563</v>
      </c>
      <c r="K717" s="14" t="s">
        <v>32107</v>
      </c>
      <c r="L717" s="152" t="s">
        <v>5349</v>
      </c>
      <c r="M717" s="14" t="s">
        <v>32108</v>
      </c>
      <c r="N717" s="54" t="s">
        <v>32109</v>
      </c>
      <c r="O717" s="130" t="s">
        <v>21568</v>
      </c>
      <c r="P717" s="153" t="s">
        <v>21569</v>
      </c>
      <c r="Q717" s="14">
        <v>5613454.0</v>
      </c>
      <c r="R717" s="95"/>
      <c r="S717" s="154" t="s">
        <v>32110</v>
      </c>
      <c r="T717" s="84"/>
      <c r="U717" s="84"/>
      <c r="V717" s="84"/>
      <c r="W717" s="84"/>
      <c r="X717" s="84"/>
      <c r="Y717" s="84"/>
      <c r="Z717" s="84"/>
      <c r="AA717" s="84"/>
      <c r="AB717" s="84"/>
      <c r="AC717" s="84"/>
    </row>
    <row r="718" ht="15.75" customHeight="1">
      <c r="A718" s="14" t="s">
        <v>120</v>
      </c>
      <c r="B718" s="14">
        <v>2010.0</v>
      </c>
      <c r="C718" s="14" t="s">
        <v>21735</v>
      </c>
      <c r="D718" s="14" t="s">
        <v>21736</v>
      </c>
      <c r="E718" s="150" t="str">
        <f t="shared" si="12"/>
        <v>http://dx.doi.org/10.1109/VAST.2010.5652879</v>
      </c>
      <c r="F718" s="14">
        <v>171.0</v>
      </c>
      <c r="G718" s="14">
        <v>178.0</v>
      </c>
      <c r="H718" s="151"/>
      <c r="I718" s="14" t="s">
        <v>28</v>
      </c>
      <c r="J718" s="14" t="s">
        <v>21737</v>
      </c>
      <c r="K718" s="14" t="s">
        <v>32111</v>
      </c>
      <c r="L718" s="152" t="s">
        <v>22110</v>
      </c>
      <c r="M718" s="14" t="s">
        <v>32112</v>
      </c>
      <c r="N718" s="54" t="s">
        <v>32111</v>
      </c>
      <c r="O718" s="130" t="s">
        <v>21739</v>
      </c>
      <c r="P718" s="153" t="s">
        <v>32113</v>
      </c>
      <c r="Q718" s="14">
        <v>5652879.0</v>
      </c>
      <c r="R718" s="95"/>
      <c r="S718" s="154" t="s">
        <v>32114</v>
      </c>
      <c r="T718" s="84"/>
      <c r="U718" s="84"/>
      <c r="V718" s="84"/>
      <c r="W718" s="84"/>
      <c r="X718" s="84"/>
      <c r="Y718" s="84"/>
      <c r="Z718" s="84"/>
      <c r="AA718" s="84"/>
      <c r="AB718" s="84"/>
      <c r="AC718" s="84"/>
    </row>
    <row r="719" ht="15.75" customHeight="1">
      <c r="A719" s="14" t="s">
        <v>120</v>
      </c>
      <c r="B719" s="14">
        <v>2010.0</v>
      </c>
      <c r="C719" s="14" t="s">
        <v>21831</v>
      </c>
      <c r="D719" s="14" t="s">
        <v>21832</v>
      </c>
      <c r="E719" s="150" t="str">
        <f t="shared" si="12"/>
        <v>http://dx.doi.org/10.1109/VAST.2010.5652958</v>
      </c>
      <c r="F719" s="14">
        <v>231.0</v>
      </c>
      <c r="G719" s="14">
        <v>232.0</v>
      </c>
      <c r="H719" s="159" t="s">
        <v>30659</v>
      </c>
      <c r="I719" s="14" t="s">
        <v>21</v>
      </c>
      <c r="J719" s="14" t="s">
        <v>21833</v>
      </c>
      <c r="K719" s="14" t="s">
        <v>32115</v>
      </c>
      <c r="L719" s="152" t="s">
        <v>25721</v>
      </c>
      <c r="M719" s="14" t="s">
        <v>32116</v>
      </c>
      <c r="N719" s="54" t="s">
        <v>32115</v>
      </c>
      <c r="O719" s="130"/>
      <c r="P719" s="16"/>
      <c r="Q719" s="14">
        <v>5652958.0</v>
      </c>
      <c r="R719" s="95"/>
      <c r="S719" s="154"/>
      <c r="T719" s="84"/>
      <c r="U719" s="84"/>
      <c r="V719" s="84"/>
      <c r="W719" s="84"/>
      <c r="X719" s="84"/>
      <c r="Y719" s="84"/>
      <c r="Z719" s="84"/>
      <c r="AA719" s="84"/>
      <c r="AB719" s="84"/>
      <c r="AC719" s="84"/>
    </row>
    <row r="720" ht="15.75" customHeight="1">
      <c r="A720" s="14" t="s">
        <v>120</v>
      </c>
      <c r="B720" s="14">
        <v>2010.0</v>
      </c>
      <c r="C720" s="14" t="s">
        <v>21585</v>
      </c>
      <c r="D720" s="67" t="s">
        <v>21586</v>
      </c>
      <c r="E720" s="165" t="str">
        <f>"http://ieeexplore.ieee.org/xpl/articleDetails.jsp?arnumber=5650177"</f>
        <v>http://ieeexplore.ieee.org/xpl/articleDetails.jsp?arnumber=5650177</v>
      </c>
      <c r="F720" s="14">
        <v>251.0</v>
      </c>
      <c r="G720" s="14">
        <v>252.0</v>
      </c>
      <c r="H720" s="159" t="s">
        <v>30659</v>
      </c>
      <c r="I720" s="14" t="s">
        <v>21</v>
      </c>
      <c r="J720" s="14" t="s">
        <v>21588</v>
      </c>
      <c r="K720" s="14" t="s">
        <v>32118</v>
      </c>
      <c r="L720" s="152" t="s">
        <v>25657</v>
      </c>
      <c r="M720" s="14" t="s">
        <v>32119</v>
      </c>
      <c r="N720" s="54" t="s">
        <v>32118</v>
      </c>
      <c r="O720" s="130"/>
      <c r="P720" s="16"/>
      <c r="Q720" s="14">
        <v>5650177.0</v>
      </c>
      <c r="R720" s="95"/>
      <c r="S720" s="154"/>
      <c r="T720" s="84"/>
      <c r="U720" s="84"/>
      <c r="V720" s="84"/>
      <c r="W720" s="84"/>
      <c r="X720" s="84"/>
      <c r="Y720" s="84"/>
      <c r="Z720" s="84"/>
      <c r="AA720" s="84"/>
      <c r="AB720" s="84"/>
      <c r="AC720" s="84"/>
    </row>
    <row r="721" ht="15.75" customHeight="1">
      <c r="A721" s="14" t="s">
        <v>120</v>
      </c>
      <c r="B721" s="14">
        <v>2010.0</v>
      </c>
      <c r="C721" s="14" t="s">
        <v>21591</v>
      </c>
      <c r="D721" s="14" t="s">
        <v>21592</v>
      </c>
      <c r="E721" s="150" t="str">
        <f t="shared" ref="E721:E1147" si="13">"http://dx.doi.org/" &amp; D721</f>
        <v>http://dx.doi.org/10.1109/VAST.2010.5650199</v>
      </c>
      <c r="F721" s="14">
        <v>249.0</v>
      </c>
      <c r="G721" s="14">
        <v>250.0</v>
      </c>
      <c r="H721" s="159" t="s">
        <v>30659</v>
      </c>
      <c r="I721" s="14" t="s">
        <v>21</v>
      </c>
      <c r="J721" s="14" t="s">
        <v>32120</v>
      </c>
      <c r="K721" s="14" t="s">
        <v>10088</v>
      </c>
      <c r="L721" s="152" t="s">
        <v>25660</v>
      </c>
      <c r="M721" s="14">
        <v>3.72700703E10</v>
      </c>
      <c r="N721" s="54" t="s">
        <v>10088</v>
      </c>
      <c r="O721" s="130"/>
      <c r="P721" s="153" t="s">
        <v>21598</v>
      </c>
      <c r="Q721" s="14">
        <v>5650199.0</v>
      </c>
      <c r="R721" s="95"/>
      <c r="S721" s="154"/>
      <c r="T721" s="84"/>
      <c r="U721" s="84"/>
      <c r="V721" s="84"/>
      <c r="W721" s="84"/>
      <c r="X721" s="84"/>
      <c r="Y721" s="84"/>
      <c r="Z721" s="84"/>
      <c r="AA721" s="84"/>
      <c r="AB721" s="84"/>
      <c r="AC721" s="84"/>
    </row>
    <row r="722" ht="15.75" customHeight="1">
      <c r="A722" s="14" t="s">
        <v>120</v>
      </c>
      <c r="B722" s="14">
        <v>2010.0</v>
      </c>
      <c r="C722" s="14" t="s">
        <v>21709</v>
      </c>
      <c r="D722" s="14" t="s">
        <v>21710</v>
      </c>
      <c r="E722" s="150" t="str">
        <f t="shared" si="13"/>
        <v>http://dx.doi.org/10.1109/VAST.2010.5652484</v>
      </c>
      <c r="F722" s="14">
        <v>67.0</v>
      </c>
      <c r="G722" s="14">
        <v>74.0</v>
      </c>
      <c r="H722" s="151"/>
      <c r="I722" s="14" t="s">
        <v>28</v>
      </c>
      <c r="J722" s="14" t="s">
        <v>21712</v>
      </c>
      <c r="K722" s="14" t="s">
        <v>32121</v>
      </c>
      <c r="L722" s="152" t="s">
        <v>25695</v>
      </c>
      <c r="M722" s="14" t="s">
        <v>32122</v>
      </c>
      <c r="N722" s="54" t="s">
        <v>32123</v>
      </c>
      <c r="O722" s="130" t="s">
        <v>21715</v>
      </c>
      <c r="P722" s="153" t="s">
        <v>32124</v>
      </c>
      <c r="Q722" s="14">
        <v>5652484.0</v>
      </c>
      <c r="R722" s="95"/>
      <c r="S722" s="154" t="s">
        <v>32125</v>
      </c>
      <c r="T722" s="84"/>
      <c r="U722" s="84"/>
      <c r="V722" s="84"/>
      <c r="W722" s="84"/>
      <c r="X722" s="84"/>
      <c r="Y722" s="84"/>
      <c r="Z722" s="84"/>
      <c r="AA722" s="84"/>
      <c r="AB722" s="84"/>
      <c r="AC722" s="84"/>
    </row>
    <row r="723" ht="15.75" customHeight="1">
      <c r="A723" s="14" t="s">
        <v>120</v>
      </c>
      <c r="B723" s="14">
        <v>2010.0</v>
      </c>
      <c r="C723" s="14" t="s">
        <v>21570</v>
      </c>
      <c r="D723" s="14" t="s">
        <v>21572</v>
      </c>
      <c r="E723" s="150" t="str">
        <f t="shared" si="13"/>
        <v>http://dx.doi.org/10.1109/VAST.2010.5649831</v>
      </c>
      <c r="F723" s="14">
        <v>253.0</v>
      </c>
      <c r="G723" s="14">
        <v>254.0</v>
      </c>
      <c r="H723" s="159" t="s">
        <v>30659</v>
      </c>
      <c r="I723" s="14" t="s">
        <v>21</v>
      </c>
      <c r="J723" s="14" t="s">
        <v>21573</v>
      </c>
      <c r="K723" s="14" t="s">
        <v>32126</v>
      </c>
      <c r="L723" s="152" t="s">
        <v>22981</v>
      </c>
      <c r="M723" s="14" t="s">
        <v>32127</v>
      </c>
      <c r="N723" s="54" t="s">
        <v>32126</v>
      </c>
      <c r="O723" s="130"/>
      <c r="P723" s="16"/>
      <c r="Q723" s="14">
        <v>5649831.0</v>
      </c>
      <c r="R723" s="95"/>
      <c r="S723" s="154"/>
      <c r="T723" s="84"/>
      <c r="U723" s="84"/>
      <c r="V723" s="84"/>
      <c r="W723" s="84"/>
      <c r="X723" s="84"/>
      <c r="Y723" s="84"/>
      <c r="Z723" s="84"/>
      <c r="AA723" s="84"/>
      <c r="AB723" s="84"/>
      <c r="AC723" s="84"/>
    </row>
    <row r="724" ht="15.75" customHeight="1">
      <c r="A724" s="14" t="s">
        <v>120</v>
      </c>
      <c r="B724" s="14">
        <v>2010.0</v>
      </c>
      <c r="C724" s="14" t="s">
        <v>21624</v>
      </c>
      <c r="D724" s="14" t="s">
        <v>21625</v>
      </c>
      <c r="E724" s="150" t="str">
        <f t="shared" si="13"/>
        <v>http://dx.doi.org/10.1109/VAST.2010.5650854</v>
      </c>
      <c r="F724" s="14">
        <v>223.0</v>
      </c>
      <c r="G724" s="14">
        <v>224.0</v>
      </c>
      <c r="H724" s="159" t="s">
        <v>30659</v>
      </c>
      <c r="I724" s="14" t="s">
        <v>21</v>
      </c>
      <c r="J724" s="14" t="s">
        <v>21626</v>
      </c>
      <c r="K724" s="14" t="s">
        <v>32330</v>
      </c>
      <c r="L724" s="152" t="s">
        <v>494</v>
      </c>
      <c r="M724" s="14" t="s">
        <v>32331</v>
      </c>
      <c r="N724" s="54" t="s">
        <v>32330</v>
      </c>
      <c r="O724" s="130"/>
      <c r="P724" s="153" t="s">
        <v>32332</v>
      </c>
      <c r="Q724" s="14">
        <v>5650854.0</v>
      </c>
      <c r="R724" s="95"/>
      <c r="S724" s="154"/>
      <c r="T724" s="84"/>
      <c r="U724" s="84"/>
      <c r="V724" s="84"/>
      <c r="W724" s="84"/>
      <c r="X724" s="84"/>
      <c r="Y724" s="84"/>
      <c r="Z724" s="84"/>
      <c r="AA724" s="84"/>
      <c r="AB724" s="84"/>
      <c r="AC724" s="84"/>
    </row>
    <row r="725" ht="15.75" customHeight="1">
      <c r="A725" s="14" t="s">
        <v>120</v>
      </c>
      <c r="B725" s="14">
        <v>2010.0</v>
      </c>
      <c r="C725" s="14" t="s">
        <v>21742</v>
      </c>
      <c r="D725" s="14" t="s">
        <v>21743</v>
      </c>
      <c r="E725" s="150" t="str">
        <f t="shared" si="13"/>
        <v>http://dx.doi.org/10.1109/VAST.2010.5652880</v>
      </c>
      <c r="F725" s="14">
        <v>179.0</v>
      </c>
      <c r="G725" s="14">
        <v>186.0</v>
      </c>
      <c r="H725" s="151"/>
      <c r="I725" s="14" t="s">
        <v>28</v>
      </c>
      <c r="J725" s="14" t="s">
        <v>21744</v>
      </c>
      <c r="K725" s="14" t="s">
        <v>32333</v>
      </c>
      <c r="L725" s="152" t="s">
        <v>880</v>
      </c>
      <c r="M725" s="14" t="s">
        <v>32334</v>
      </c>
      <c r="N725" s="54" t="s">
        <v>32335</v>
      </c>
      <c r="O725" s="130" t="s">
        <v>21748</v>
      </c>
      <c r="P725" s="16"/>
      <c r="Q725" s="14">
        <v>5652880.0</v>
      </c>
      <c r="R725" s="95"/>
      <c r="S725" s="154" t="s">
        <v>32336</v>
      </c>
      <c r="T725" s="84"/>
      <c r="U725" s="84"/>
      <c r="V725" s="84"/>
      <c r="W725" s="84"/>
      <c r="X725" s="84"/>
      <c r="Y725" s="84"/>
      <c r="Z725" s="84"/>
      <c r="AA725" s="84"/>
      <c r="AB725" s="84"/>
      <c r="AC725" s="84"/>
    </row>
    <row r="726" ht="15.75" customHeight="1">
      <c r="A726" s="14" t="s">
        <v>120</v>
      </c>
      <c r="B726" s="14">
        <v>2010.0</v>
      </c>
      <c r="C726" s="14" t="s">
        <v>21695</v>
      </c>
      <c r="D726" s="14" t="s">
        <v>21696</v>
      </c>
      <c r="E726" s="150" t="str">
        <f t="shared" si="13"/>
        <v>http://dx.doi.org/10.1109/VAST.2010.5652467</v>
      </c>
      <c r="F726" s="14">
        <v>51.0</v>
      </c>
      <c r="G726" s="14">
        <v>58.0</v>
      </c>
      <c r="H726" s="151"/>
      <c r="I726" s="14" t="s">
        <v>28</v>
      </c>
      <c r="J726" s="14" t="s">
        <v>21697</v>
      </c>
      <c r="K726" s="14" t="s">
        <v>21698</v>
      </c>
      <c r="L726" s="152" t="s">
        <v>25690</v>
      </c>
      <c r="M726" s="14" t="s">
        <v>32337</v>
      </c>
      <c r="N726" s="54" t="s">
        <v>21698</v>
      </c>
      <c r="O726" s="130" t="s">
        <v>20150</v>
      </c>
      <c r="P726" s="16"/>
      <c r="Q726" s="14">
        <v>5652467.0</v>
      </c>
      <c r="R726" s="95"/>
      <c r="S726" s="154">
        <v>5290707.0</v>
      </c>
      <c r="T726" s="84"/>
      <c r="U726" s="84"/>
      <c r="V726" s="84"/>
      <c r="W726" s="84"/>
      <c r="X726" s="84"/>
      <c r="Y726" s="84"/>
      <c r="Z726" s="84"/>
      <c r="AA726" s="84"/>
      <c r="AB726" s="84"/>
      <c r="AC726" s="84"/>
    </row>
    <row r="727" ht="15.75" customHeight="1">
      <c r="A727" s="14" t="s">
        <v>120</v>
      </c>
      <c r="B727" s="14">
        <v>2010.0</v>
      </c>
      <c r="C727" s="14" t="s">
        <v>21749</v>
      </c>
      <c r="D727" s="14" t="s">
        <v>21750</v>
      </c>
      <c r="E727" s="150" t="str">
        <f t="shared" si="13"/>
        <v>http://dx.doi.org/10.1109/VAST.2010.5652885</v>
      </c>
      <c r="F727" s="14">
        <v>155.0</v>
      </c>
      <c r="G727" s="14">
        <v>162.0</v>
      </c>
      <c r="H727" s="151"/>
      <c r="I727" s="14" t="s">
        <v>28</v>
      </c>
      <c r="J727" s="14" t="s">
        <v>21751</v>
      </c>
      <c r="K727" s="14" t="s">
        <v>32338</v>
      </c>
      <c r="L727" s="152" t="s">
        <v>25703</v>
      </c>
      <c r="M727" s="14" t="s">
        <v>32339</v>
      </c>
      <c r="N727" s="54" t="s">
        <v>32338</v>
      </c>
      <c r="O727" s="130" t="s">
        <v>21755</v>
      </c>
      <c r="P727" s="153" t="s">
        <v>21756</v>
      </c>
      <c r="Q727" s="14">
        <v>5652885.0</v>
      </c>
      <c r="R727" s="95"/>
      <c r="S727" s="154" t="s">
        <v>32340</v>
      </c>
      <c r="T727" s="84"/>
      <c r="U727" s="84"/>
      <c r="V727" s="84"/>
      <c r="W727" s="84"/>
      <c r="X727" s="84"/>
      <c r="Y727" s="84"/>
      <c r="Z727" s="84"/>
      <c r="AA727" s="84"/>
      <c r="AB727" s="84"/>
      <c r="AC727" s="84"/>
    </row>
    <row r="728" ht="15.75" customHeight="1">
      <c r="A728" s="14" t="s">
        <v>120</v>
      </c>
      <c r="B728" s="14">
        <v>2010.0</v>
      </c>
      <c r="C728" s="14" t="s">
        <v>21641</v>
      </c>
      <c r="D728" s="14" t="s">
        <v>21642</v>
      </c>
      <c r="E728" s="150" t="str">
        <f t="shared" si="13"/>
        <v>http://dx.doi.org/10.1109/VAST.2010.5651676</v>
      </c>
      <c r="F728" s="14">
        <v>217.0</v>
      </c>
      <c r="G728" s="14">
        <v>218.0</v>
      </c>
      <c r="H728" s="159" t="s">
        <v>30659</v>
      </c>
      <c r="I728" s="14" t="s">
        <v>21</v>
      </c>
      <c r="J728" s="14" t="s">
        <v>21644</v>
      </c>
      <c r="K728" s="14" t="s">
        <v>32342</v>
      </c>
      <c r="L728" s="152" t="s">
        <v>25673</v>
      </c>
      <c r="M728" s="14" t="s">
        <v>32343</v>
      </c>
      <c r="N728" s="54" t="s">
        <v>32342</v>
      </c>
      <c r="O728" s="130"/>
      <c r="P728" s="16"/>
      <c r="Q728" s="14">
        <v>5651676.0</v>
      </c>
      <c r="R728" s="95"/>
      <c r="S728" s="154"/>
      <c r="T728" s="84"/>
      <c r="U728" s="84"/>
      <c r="V728" s="84"/>
      <c r="W728" s="84"/>
      <c r="X728" s="84"/>
      <c r="Y728" s="84"/>
      <c r="Z728" s="84"/>
      <c r="AA728" s="84"/>
      <c r="AB728" s="84"/>
      <c r="AC728" s="84"/>
    </row>
    <row r="729" ht="15.75" customHeight="1">
      <c r="A729" s="14" t="s">
        <v>120</v>
      </c>
      <c r="B729" s="14">
        <v>2010.0</v>
      </c>
      <c r="C729" s="14" t="s">
        <v>21879</v>
      </c>
      <c r="D729" s="14" t="s">
        <v>21880</v>
      </c>
      <c r="E729" s="150" t="str">
        <f t="shared" si="13"/>
        <v>http://dx.doi.org/10.1109/VAST.2010.5654445</v>
      </c>
      <c r="F729" s="14">
        <v>239.0</v>
      </c>
      <c r="G729" s="14">
        <v>240.0</v>
      </c>
      <c r="H729" s="159" t="s">
        <v>30659</v>
      </c>
      <c r="I729" s="14" t="s">
        <v>21</v>
      </c>
      <c r="J729" s="14" t="s">
        <v>21883</v>
      </c>
      <c r="K729" s="14" t="s">
        <v>32344</v>
      </c>
      <c r="L729" s="152" t="s">
        <v>25733</v>
      </c>
      <c r="M729" s="14" t="s">
        <v>32345</v>
      </c>
      <c r="N729" s="54" t="s">
        <v>32344</v>
      </c>
      <c r="O729" s="130"/>
      <c r="P729" s="16"/>
      <c r="Q729" s="14">
        <v>5654445.0</v>
      </c>
      <c r="R729" s="95"/>
      <c r="S729" s="154"/>
      <c r="T729" s="84"/>
      <c r="U729" s="84"/>
      <c r="V729" s="84"/>
      <c r="W729" s="84"/>
      <c r="X729" s="84"/>
      <c r="Y729" s="84"/>
      <c r="Z729" s="84"/>
      <c r="AA729" s="84"/>
      <c r="AB729" s="84"/>
      <c r="AC729" s="84"/>
    </row>
    <row r="730" ht="15.75" customHeight="1">
      <c r="A730" s="14" t="s">
        <v>120</v>
      </c>
      <c r="B730" s="14">
        <v>2010.0</v>
      </c>
      <c r="C730" s="14" t="s">
        <v>21866</v>
      </c>
      <c r="D730" s="14" t="s">
        <v>21867</v>
      </c>
      <c r="E730" s="150" t="str">
        <f t="shared" si="13"/>
        <v>http://dx.doi.org/10.1109/VAST.2010.5653599</v>
      </c>
      <c r="F730" s="14">
        <v>195.0</v>
      </c>
      <c r="G730" s="14">
        <v>202.0</v>
      </c>
      <c r="H730" s="151"/>
      <c r="I730" s="14" t="s">
        <v>28</v>
      </c>
      <c r="J730" s="14" t="s">
        <v>21868</v>
      </c>
      <c r="K730" s="14" t="s">
        <v>32346</v>
      </c>
      <c r="L730" s="152" t="s">
        <v>25729</v>
      </c>
      <c r="M730" s="14" t="s">
        <v>32347</v>
      </c>
      <c r="N730" s="54" t="s">
        <v>32346</v>
      </c>
      <c r="O730" s="130" t="s">
        <v>21871</v>
      </c>
      <c r="P730" s="153" t="s">
        <v>21872</v>
      </c>
      <c r="Q730" s="14">
        <v>5653599.0</v>
      </c>
      <c r="R730" s="95"/>
      <c r="S730" s="154" t="s">
        <v>32348</v>
      </c>
      <c r="T730" s="84"/>
      <c r="U730" s="84"/>
      <c r="V730" s="84"/>
      <c r="W730" s="84"/>
      <c r="X730" s="84"/>
      <c r="Y730" s="84"/>
      <c r="Z730" s="84"/>
      <c r="AA730" s="84"/>
      <c r="AB730" s="84"/>
      <c r="AC730" s="84"/>
    </row>
    <row r="731" ht="15.75" customHeight="1">
      <c r="A731" s="14" t="s">
        <v>120</v>
      </c>
      <c r="B731" s="14">
        <v>2010.0</v>
      </c>
      <c r="C731" s="14" t="s">
        <v>21630</v>
      </c>
      <c r="D731" s="14" t="s">
        <v>21631</v>
      </c>
      <c r="E731" s="150" t="str">
        <f t="shared" si="13"/>
        <v>http://dx.doi.org/10.1109/VAST.2010.5651192</v>
      </c>
      <c r="F731" s="14">
        <v>221.0</v>
      </c>
      <c r="G731" s="14">
        <v>222.0</v>
      </c>
      <c r="H731" s="159" t="s">
        <v>30659</v>
      </c>
      <c r="I731" s="14" t="s">
        <v>21</v>
      </c>
      <c r="J731" s="14" t="s">
        <v>21632</v>
      </c>
      <c r="K731" s="14" t="s">
        <v>32349</v>
      </c>
      <c r="L731" s="152" t="s">
        <v>178</v>
      </c>
      <c r="M731" s="14" t="s">
        <v>32350</v>
      </c>
      <c r="N731" s="54" t="s">
        <v>32349</v>
      </c>
      <c r="O731" s="130"/>
      <c r="P731" s="16"/>
      <c r="Q731" s="14">
        <v>5651192.0</v>
      </c>
      <c r="R731" s="95"/>
      <c r="S731" s="154"/>
      <c r="T731" s="84"/>
      <c r="U731" s="84"/>
      <c r="V731" s="84"/>
      <c r="W731" s="84"/>
      <c r="X731" s="84"/>
      <c r="Y731" s="84"/>
      <c r="Z731" s="84"/>
      <c r="AA731" s="84"/>
      <c r="AB731" s="84"/>
      <c r="AC731" s="84"/>
    </row>
    <row r="732" ht="15.75" customHeight="1">
      <c r="A732" s="14" t="s">
        <v>120</v>
      </c>
      <c r="B732" s="14">
        <v>2010.0</v>
      </c>
      <c r="C732" s="14" t="s">
        <v>21873</v>
      </c>
      <c r="D732" s="14" t="s">
        <v>21874</v>
      </c>
      <c r="E732" s="150" t="str">
        <f t="shared" si="13"/>
        <v>http://dx.doi.org/10.1109/VAST.2010.5653822</v>
      </c>
      <c r="F732" s="14">
        <v>243.0</v>
      </c>
      <c r="G732" s="14">
        <v>244.0</v>
      </c>
      <c r="H732" s="159" t="s">
        <v>30659</v>
      </c>
      <c r="I732" s="14" t="s">
        <v>21</v>
      </c>
      <c r="J732" s="14" t="s">
        <v>21875</v>
      </c>
      <c r="K732" s="14" t="s">
        <v>32351</v>
      </c>
      <c r="L732" s="152" t="s">
        <v>5349</v>
      </c>
      <c r="M732" s="14" t="s">
        <v>32352</v>
      </c>
      <c r="N732" s="54" t="s">
        <v>32351</v>
      </c>
      <c r="O732" s="130"/>
      <c r="P732" s="16"/>
      <c r="Q732" s="14">
        <v>5653822.0</v>
      </c>
      <c r="R732" s="95"/>
      <c r="S732" s="154"/>
      <c r="T732" s="84"/>
      <c r="U732" s="84"/>
      <c r="V732" s="84"/>
      <c r="W732" s="84"/>
      <c r="X732" s="84"/>
      <c r="Y732" s="84"/>
      <c r="Z732" s="84"/>
      <c r="AA732" s="84"/>
      <c r="AB732" s="84"/>
      <c r="AC732" s="84"/>
    </row>
    <row r="733" ht="15.75" customHeight="1">
      <c r="A733" s="14" t="s">
        <v>120</v>
      </c>
      <c r="B733" s="14">
        <v>2010.0</v>
      </c>
      <c r="C733" s="14" t="s">
        <v>21787</v>
      </c>
      <c r="D733" s="14" t="s">
        <v>21788</v>
      </c>
      <c r="E733" s="150" t="str">
        <f t="shared" si="13"/>
        <v>http://dx.doi.org/10.1109/VAST.2010.5652922</v>
      </c>
      <c r="F733" s="14">
        <v>115.0</v>
      </c>
      <c r="G733" s="14">
        <v>122.0</v>
      </c>
      <c r="H733" s="151"/>
      <c r="I733" s="14" t="s">
        <v>28</v>
      </c>
      <c r="J733" s="14" t="s">
        <v>21789</v>
      </c>
      <c r="K733" s="14" t="s">
        <v>32353</v>
      </c>
      <c r="L733" s="152" t="s">
        <v>494</v>
      </c>
      <c r="M733" s="14" t="s">
        <v>32354</v>
      </c>
      <c r="N733" s="54" t="s">
        <v>32353</v>
      </c>
      <c r="O733" s="130" t="s">
        <v>21792</v>
      </c>
      <c r="P733" s="158" t="s">
        <v>32355</v>
      </c>
      <c r="Q733" s="14">
        <v>5652922.0</v>
      </c>
      <c r="R733" s="95"/>
      <c r="S733" s="154" t="s">
        <v>32356</v>
      </c>
      <c r="T733" s="84"/>
      <c r="U733" s="84"/>
      <c r="V733" s="84"/>
      <c r="W733" s="84"/>
      <c r="X733" s="84"/>
      <c r="Y733" s="84"/>
      <c r="Z733" s="84"/>
      <c r="AA733" s="84"/>
      <c r="AB733" s="84"/>
      <c r="AC733" s="84"/>
    </row>
    <row r="734" ht="15.75" customHeight="1">
      <c r="A734" s="14" t="s">
        <v>120</v>
      </c>
      <c r="B734" s="14">
        <v>2010.0</v>
      </c>
      <c r="C734" s="14" t="s">
        <v>21652</v>
      </c>
      <c r="D734" s="14" t="s">
        <v>21653</v>
      </c>
      <c r="E734" s="150" t="str">
        <f t="shared" si="13"/>
        <v>http://dx.doi.org/10.1109/VAST.2010.5652392</v>
      </c>
      <c r="F734" s="14">
        <v>3.0</v>
      </c>
      <c r="G734" s="14">
        <v>10.0</v>
      </c>
      <c r="H734" s="151"/>
      <c r="I734" s="14" t="s">
        <v>28</v>
      </c>
      <c r="J734" s="14" t="s">
        <v>21654</v>
      </c>
      <c r="K734" s="14" t="s">
        <v>32357</v>
      </c>
      <c r="L734" s="152" t="s">
        <v>25678</v>
      </c>
      <c r="M734" s="14" t="s">
        <v>32358</v>
      </c>
      <c r="N734" s="54" t="s">
        <v>32359</v>
      </c>
      <c r="O734" s="130" t="s">
        <v>21657</v>
      </c>
      <c r="P734" s="16"/>
      <c r="Q734" s="14">
        <v>5652392.0</v>
      </c>
      <c r="R734" s="95"/>
      <c r="S734" s="154" t="s">
        <v>32360</v>
      </c>
      <c r="T734" s="84"/>
      <c r="U734" s="84"/>
      <c r="V734" s="84"/>
      <c r="W734" s="84"/>
      <c r="X734" s="84"/>
      <c r="Y734" s="84"/>
      <c r="Z734" s="84"/>
      <c r="AA734" s="84"/>
      <c r="AB734" s="84"/>
      <c r="AC734" s="84"/>
    </row>
    <row r="735" ht="15.75" customHeight="1">
      <c r="A735" s="14" t="s">
        <v>120</v>
      </c>
      <c r="B735" s="14">
        <v>2010.0</v>
      </c>
      <c r="C735" s="14" t="s">
        <v>21701</v>
      </c>
      <c r="D735" s="14" t="s">
        <v>21702</v>
      </c>
      <c r="E735" s="150" t="str">
        <f t="shared" si="13"/>
        <v>http://dx.doi.org/10.1109/VAST.2010.5652478</v>
      </c>
      <c r="F735" s="14">
        <v>59.0</v>
      </c>
      <c r="G735" s="14">
        <v>66.0</v>
      </c>
      <c r="H735" s="151"/>
      <c r="I735" s="14" t="s">
        <v>28</v>
      </c>
      <c r="J735" s="14" t="s">
        <v>21703</v>
      </c>
      <c r="K735" s="14" t="s">
        <v>32361</v>
      </c>
      <c r="L735" s="152" t="s">
        <v>25693</v>
      </c>
      <c r="M735" s="14" t="s">
        <v>32362</v>
      </c>
      <c r="N735" s="54" t="s">
        <v>32361</v>
      </c>
      <c r="O735" s="130" t="s">
        <v>21707</v>
      </c>
      <c r="P735" s="153" t="s">
        <v>32363</v>
      </c>
      <c r="Q735" s="14">
        <v>5652478.0</v>
      </c>
      <c r="R735" s="95"/>
      <c r="S735" s="154" t="s">
        <v>32364</v>
      </c>
      <c r="T735" s="84"/>
      <c r="U735" s="84"/>
      <c r="V735" s="84"/>
      <c r="W735" s="84"/>
      <c r="X735" s="84"/>
      <c r="Y735" s="84"/>
      <c r="Z735" s="84"/>
      <c r="AA735" s="84"/>
      <c r="AB735" s="84"/>
      <c r="AC735" s="84"/>
    </row>
    <row r="736" ht="15.75" customHeight="1">
      <c r="A736" s="14" t="s">
        <v>120</v>
      </c>
      <c r="B736" s="14">
        <v>2010.0</v>
      </c>
      <c r="C736" s="14" t="s">
        <v>21837</v>
      </c>
      <c r="D736" s="14" t="s">
        <v>21838</v>
      </c>
      <c r="E736" s="150" t="str">
        <f t="shared" si="13"/>
        <v>http://dx.doi.org/10.1109/VAST.2010.5652968</v>
      </c>
      <c r="F736" s="14">
        <v>233.0</v>
      </c>
      <c r="G736" s="14">
        <v>234.0</v>
      </c>
      <c r="H736" s="159" t="s">
        <v>30659</v>
      </c>
      <c r="I736" s="14" t="s">
        <v>21</v>
      </c>
      <c r="J736" s="14" t="s">
        <v>21839</v>
      </c>
      <c r="K736" s="14" t="s">
        <v>32365</v>
      </c>
      <c r="L736" s="152" t="s">
        <v>494</v>
      </c>
      <c r="M736" s="14" t="s">
        <v>32366</v>
      </c>
      <c r="N736" s="54" t="s">
        <v>32367</v>
      </c>
      <c r="O736" s="130"/>
      <c r="P736" s="153" t="s">
        <v>21843</v>
      </c>
      <c r="Q736" s="14">
        <v>5652968.0</v>
      </c>
      <c r="R736" s="95"/>
      <c r="S736" s="154"/>
      <c r="T736" s="84"/>
      <c r="U736" s="84"/>
      <c r="V736" s="84"/>
      <c r="W736" s="84"/>
      <c r="X736" s="84"/>
      <c r="Y736" s="84"/>
      <c r="Z736" s="84"/>
      <c r="AA736" s="84"/>
      <c r="AB736" s="84"/>
      <c r="AC736" s="84"/>
    </row>
    <row r="737" ht="15.75" customHeight="1">
      <c r="A737" s="14" t="s">
        <v>120</v>
      </c>
      <c r="B737" s="14">
        <v>2010.0</v>
      </c>
      <c r="C737" s="14" t="s">
        <v>21617</v>
      </c>
      <c r="D737" s="14" t="s">
        <v>21618</v>
      </c>
      <c r="E737" s="150" t="str">
        <f t="shared" si="13"/>
        <v>http://dx.doi.org/10.1109/VAST.2010.5650815</v>
      </c>
      <c r="F737" s="14">
        <v>225.0</v>
      </c>
      <c r="G737" s="14">
        <v>226.0</v>
      </c>
      <c r="H737" s="159" t="s">
        <v>30659</v>
      </c>
      <c r="I737" s="14" t="s">
        <v>21</v>
      </c>
      <c r="J737" s="14" t="s">
        <v>21619</v>
      </c>
      <c r="K737" s="14" t="s">
        <v>32368</v>
      </c>
      <c r="L737" s="152" t="s">
        <v>25667</v>
      </c>
      <c r="M737" s="14" t="s">
        <v>32369</v>
      </c>
      <c r="N737" s="54" t="s">
        <v>32368</v>
      </c>
      <c r="O737" s="130"/>
      <c r="P737" s="153" t="s">
        <v>32370</v>
      </c>
      <c r="Q737" s="14">
        <v>5650815.0</v>
      </c>
      <c r="R737" s="95"/>
      <c r="S737" s="154"/>
      <c r="T737" s="84"/>
      <c r="U737" s="84"/>
      <c r="V737" s="84"/>
      <c r="W737" s="84"/>
      <c r="X737" s="84"/>
      <c r="Y737" s="84"/>
      <c r="Z737" s="84"/>
      <c r="AA737" s="84"/>
      <c r="AB737" s="84"/>
      <c r="AC737" s="84"/>
    </row>
    <row r="738" ht="15.75" customHeight="1">
      <c r="A738" s="14" t="s">
        <v>120</v>
      </c>
      <c r="B738" s="14">
        <v>2010.0</v>
      </c>
      <c r="C738" s="14" t="s">
        <v>21576</v>
      </c>
      <c r="D738" s="14" t="s">
        <v>21577</v>
      </c>
      <c r="E738" s="150" t="str">
        <f t="shared" si="13"/>
        <v>http://dx.doi.org/10.1109/VAST.2010.5649905</v>
      </c>
      <c r="F738" s="14">
        <v>235.0</v>
      </c>
      <c r="G738" s="14">
        <v>236.0</v>
      </c>
      <c r="H738" s="159" t="s">
        <v>30659</v>
      </c>
      <c r="I738" s="14" t="s">
        <v>21</v>
      </c>
      <c r="J738" s="14" t="s">
        <v>21578</v>
      </c>
      <c r="K738" s="14" t="s">
        <v>32371</v>
      </c>
      <c r="L738" s="152" t="s">
        <v>25654</v>
      </c>
      <c r="M738" s="14" t="s">
        <v>32372</v>
      </c>
      <c r="N738" s="54" t="s">
        <v>32373</v>
      </c>
      <c r="O738" s="130"/>
      <c r="P738" s="153" t="s">
        <v>21582</v>
      </c>
      <c r="Q738" s="14">
        <v>5649905.0</v>
      </c>
      <c r="R738" s="95"/>
      <c r="S738" s="154"/>
      <c r="T738" s="84"/>
      <c r="U738" s="84"/>
      <c r="V738" s="84"/>
      <c r="W738" s="84"/>
      <c r="X738" s="84"/>
      <c r="Y738" s="84"/>
      <c r="Z738" s="84"/>
      <c r="AA738" s="84"/>
      <c r="AB738" s="84"/>
      <c r="AC738" s="84"/>
    </row>
    <row r="739" ht="15.75" customHeight="1">
      <c r="A739" s="14" t="s">
        <v>120</v>
      </c>
      <c r="B739" s="14">
        <v>2010.0</v>
      </c>
      <c r="C739" s="14" t="s">
        <v>21682</v>
      </c>
      <c r="D739" s="14" t="s">
        <v>21683</v>
      </c>
      <c r="E739" s="150" t="str">
        <f t="shared" si="13"/>
        <v>http://dx.doi.org/10.1109/VAST.2010.5652450</v>
      </c>
      <c r="F739" s="14">
        <v>35.0</v>
      </c>
      <c r="G739" s="14">
        <v>42.0</v>
      </c>
      <c r="H739" s="151"/>
      <c r="I739" s="14" t="s">
        <v>28</v>
      </c>
      <c r="J739" s="14" t="s">
        <v>25686</v>
      </c>
      <c r="K739" s="14" t="s">
        <v>32374</v>
      </c>
      <c r="L739" s="152" t="s">
        <v>25687</v>
      </c>
      <c r="M739" s="14" t="s">
        <v>32375</v>
      </c>
      <c r="N739" s="54" t="s">
        <v>32376</v>
      </c>
      <c r="O739" s="130"/>
      <c r="P739" s="153" t="s">
        <v>21688</v>
      </c>
      <c r="Q739" s="14">
        <v>5652450.0</v>
      </c>
      <c r="R739" s="95"/>
      <c r="S739" s="154"/>
      <c r="T739" s="84"/>
      <c r="U739" s="84"/>
      <c r="V739" s="84"/>
      <c r="W739" s="84"/>
      <c r="X739" s="84"/>
      <c r="Y739" s="84"/>
      <c r="Z739" s="84"/>
      <c r="AA739" s="84"/>
      <c r="AB739" s="84"/>
      <c r="AC739" s="84"/>
    </row>
    <row r="740" ht="15.75" customHeight="1">
      <c r="A740" s="14" t="s">
        <v>120</v>
      </c>
      <c r="B740" s="14">
        <v>2010.0</v>
      </c>
      <c r="C740" s="14" t="s">
        <v>21689</v>
      </c>
      <c r="D740" s="14" t="s">
        <v>21690</v>
      </c>
      <c r="E740" s="150" t="str">
        <f t="shared" si="13"/>
        <v>http://dx.doi.org/10.1109/VAST.2010.5652460</v>
      </c>
      <c r="F740" s="14">
        <v>43.0</v>
      </c>
      <c r="G740" s="14">
        <v>50.0</v>
      </c>
      <c r="H740" s="151"/>
      <c r="I740" s="14" t="s">
        <v>28</v>
      </c>
      <c r="J740" s="14" t="s">
        <v>21691</v>
      </c>
      <c r="K740" s="14" t="s">
        <v>32377</v>
      </c>
      <c r="L740" s="152" t="s">
        <v>23453</v>
      </c>
      <c r="M740" s="14" t="s">
        <v>32378</v>
      </c>
      <c r="N740" s="54" t="s">
        <v>32377</v>
      </c>
      <c r="O740" s="130" t="s">
        <v>21694</v>
      </c>
      <c r="P740" s="158" t="s">
        <v>32379</v>
      </c>
      <c r="Q740" s="14">
        <v>5652460.0</v>
      </c>
      <c r="R740" s="95"/>
      <c r="S740" s="154" t="s">
        <v>32380</v>
      </c>
      <c r="T740" s="84"/>
      <c r="U740" s="84"/>
      <c r="V740" s="84"/>
      <c r="W740" s="84"/>
      <c r="X740" s="84"/>
      <c r="Y740" s="84"/>
      <c r="Z740" s="84"/>
      <c r="AA740" s="84"/>
      <c r="AB740" s="84"/>
      <c r="AC740" s="84"/>
    </row>
    <row r="741" ht="15.75" customHeight="1">
      <c r="A741" s="14" t="s">
        <v>120</v>
      </c>
      <c r="B741" s="14">
        <v>2010.0</v>
      </c>
      <c r="C741" s="14" t="s">
        <v>21766</v>
      </c>
      <c r="D741" s="14" t="s">
        <v>21767</v>
      </c>
      <c r="E741" s="150" t="str">
        <f t="shared" si="13"/>
        <v>http://dx.doi.org/10.1109/VAST.2010.5652895</v>
      </c>
      <c r="F741" s="14">
        <v>139.0</v>
      </c>
      <c r="G741" s="14">
        <v>146.0</v>
      </c>
      <c r="H741" s="151"/>
      <c r="I741" s="14" t="s">
        <v>28</v>
      </c>
      <c r="J741" s="14" t="s">
        <v>21768</v>
      </c>
      <c r="K741" s="14" t="s">
        <v>32381</v>
      </c>
      <c r="L741" s="152" t="s">
        <v>25707</v>
      </c>
      <c r="M741" s="14" t="s">
        <v>32382</v>
      </c>
      <c r="N741" s="54" t="s">
        <v>32381</v>
      </c>
      <c r="O741" s="130"/>
      <c r="P741" s="153" t="s">
        <v>32383</v>
      </c>
      <c r="Q741" s="14">
        <v>5652895.0</v>
      </c>
      <c r="R741" s="95"/>
      <c r="S741" s="154"/>
      <c r="T741" s="84"/>
      <c r="U741" s="84"/>
      <c r="V741" s="84"/>
      <c r="W741" s="84"/>
      <c r="X741" s="84"/>
      <c r="Y741" s="84"/>
      <c r="Z741" s="84"/>
      <c r="AA741" s="84"/>
      <c r="AB741" s="84"/>
      <c r="AC741" s="84"/>
    </row>
    <row r="742" ht="15.75" customHeight="1">
      <c r="A742" s="14" t="s">
        <v>120</v>
      </c>
      <c r="B742" s="14">
        <v>2010.0</v>
      </c>
      <c r="C742" s="14" t="s">
        <v>21856</v>
      </c>
      <c r="D742" s="14" t="s">
        <v>21857</v>
      </c>
      <c r="E742" s="150" t="str">
        <f t="shared" si="13"/>
        <v>http://dx.doi.org/10.1109/VAST.2010.5653598</v>
      </c>
      <c r="F742" s="14">
        <v>187.0</v>
      </c>
      <c r="G742" s="14">
        <v>194.0</v>
      </c>
      <c r="H742" s="151"/>
      <c r="I742" s="14" t="s">
        <v>28</v>
      </c>
      <c r="J742" s="14" t="s">
        <v>21858</v>
      </c>
      <c r="K742" s="14" t="s">
        <v>32573</v>
      </c>
      <c r="L742" s="152" t="s">
        <v>25727</v>
      </c>
      <c r="M742" s="14" t="s">
        <v>32575</v>
      </c>
      <c r="N742" s="54" t="s">
        <v>32573</v>
      </c>
      <c r="O742" s="130" t="s">
        <v>21863</v>
      </c>
      <c r="P742" s="153" t="s">
        <v>21864</v>
      </c>
      <c r="Q742" s="14">
        <v>5653598.0</v>
      </c>
      <c r="R742" s="95"/>
      <c r="S742" s="154" t="s">
        <v>32583</v>
      </c>
      <c r="T742" s="84"/>
      <c r="U742" s="84"/>
      <c r="V742" s="84"/>
      <c r="W742" s="84"/>
      <c r="X742" s="84"/>
      <c r="Y742" s="84"/>
      <c r="Z742" s="84"/>
      <c r="AA742" s="84"/>
      <c r="AB742" s="84"/>
      <c r="AC742" s="84"/>
    </row>
    <row r="743" ht="15.75" customHeight="1">
      <c r="A743" s="14" t="s">
        <v>120</v>
      </c>
      <c r="B743" s="14">
        <v>2010.0</v>
      </c>
      <c r="C743" s="14" t="s">
        <v>21667</v>
      </c>
      <c r="D743" s="14" t="s">
        <v>21668</v>
      </c>
      <c r="E743" s="150" t="str">
        <f t="shared" si="13"/>
        <v>http://dx.doi.org/10.1109/VAST.2010.5652433</v>
      </c>
      <c r="F743" s="14">
        <v>19.0</v>
      </c>
      <c r="G743" s="14">
        <v>26.0</v>
      </c>
      <c r="H743" s="151"/>
      <c r="I743" s="14" t="s">
        <v>28</v>
      </c>
      <c r="J743" s="14" t="s">
        <v>21669</v>
      </c>
      <c r="K743" s="14" t="s">
        <v>32588</v>
      </c>
      <c r="L743" s="152" t="s">
        <v>25682</v>
      </c>
      <c r="M743" s="14" t="s">
        <v>32590</v>
      </c>
      <c r="N743" s="54" t="s">
        <v>32588</v>
      </c>
      <c r="O743" s="130" t="s">
        <v>21673</v>
      </c>
      <c r="P743" s="16"/>
      <c r="Q743" s="14">
        <v>5652433.0</v>
      </c>
      <c r="R743" s="95"/>
      <c r="S743" s="154" t="s">
        <v>32595</v>
      </c>
      <c r="T743" s="84"/>
      <c r="U743" s="84"/>
      <c r="V743" s="84"/>
      <c r="W743" s="84"/>
      <c r="X743" s="84"/>
      <c r="Y743" s="84"/>
      <c r="Z743" s="84"/>
      <c r="AA743" s="84"/>
      <c r="AB743" s="84"/>
      <c r="AC743" s="84"/>
    </row>
    <row r="744" ht="15.75" customHeight="1">
      <c r="A744" s="14" t="s">
        <v>120</v>
      </c>
      <c r="B744" s="14">
        <v>2010.0</v>
      </c>
      <c r="C744" s="14" t="s">
        <v>21758</v>
      </c>
      <c r="D744" s="14" t="s">
        <v>21759</v>
      </c>
      <c r="E744" s="150" t="str">
        <f t="shared" si="13"/>
        <v>http://dx.doi.org/10.1109/VAST.2010.5652890</v>
      </c>
      <c r="F744" s="14">
        <v>163.0</v>
      </c>
      <c r="G744" s="14">
        <v>170.0</v>
      </c>
      <c r="H744" s="151"/>
      <c r="I744" s="14" t="s">
        <v>28</v>
      </c>
      <c r="J744" s="14" t="s">
        <v>21761</v>
      </c>
      <c r="K744" s="14" t="s">
        <v>32597</v>
      </c>
      <c r="L744" s="152" t="s">
        <v>25705</v>
      </c>
      <c r="M744" s="14" t="s">
        <v>32598</v>
      </c>
      <c r="N744" s="54" t="s">
        <v>32597</v>
      </c>
      <c r="O744" s="130" t="s">
        <v>21765</v>
      </c>
      <c r="P744" s="16"/>
      <c r="Q744" s="14">
        <v>5652890.0</v>
      </c>
      <c r="R744" s="95"/>
      <c r="S744" s="154" t="s">
        <v>32601</v>
      </c>
      <c r="T744" s="84"/>
      <c r="U744" s="84"/>
      <c r="V744" s="84"/>
      <c r="W744" s="84"/>
      <c r="X744" s="84"/>
      <c r="Y744" s="84"/>
      <c r="Z744" s="84"/>
      <c r="AA744" s="84"/>
      <c r="AB744" s="84"/>
      <c r="AC744" s="84"/>
    </row>
    <row r="745" ht="15.75" customHeight="1">
      <c r="A745" s="14" t="s">
        <v>120</v>
      </c>
      <c r="B745" s="14">
        <v>2010.0</v>
      </c>
      <c r="C745" s="14" t="s">
        <v>21648</v>
      </c>
      <c r="D745" s="14" t="s">
        <v>21649</v>
      </c>
      <c r="E745" s="150" t="str">
        <f t="shared" si="13"/>
        <v>http://dx.doi.org/10.1109/VAST.2010.5651694</v>
      </c>
      <c r="F745" s="14">
        <v>215.0</v>
      </c>
      <c r="G745" s="14">
        <v>216.0</v>
      </c>
      <c r="H745" s="159" t="s">
        <v>30659</v>
      </c>
      <c r="I745" s="14" t="s">
        <v>21</v>
      </c>
      <c r="J745" s="14" t="s">
        <v>21650</v>
      </c>
      <c r="K745" s="14" t="s">
        <v>32603</v>
      </c>
      <c r="L745" s="152" t="s">
        <v>25675</v>
      </c>
      <c r="M745" s="14" t="s">
        <v>32604</v>
      </c>
      <c r="N745" s="54" t="s">
        <v>32603</v>
      </c>
      <c r="O745" s="130"/>
      <c r="P745" s="16"/>
      <c r="Q745" s="14">
        <v>5651694.0</v>
      </c>
      <c r="R745" s="95"/>
      <c r="S745" s="154"/>
      <c r="T745" s="84"/>
      <c r="U745" s="84"/>
      <c r="V745" s="84"/>
      <c r="W745" s="84"/>
      <c r="X745" s="84"/>
      <c r="Y745" s="84"/>
      <c r="Z745" s="84"/>
      <c r="AA745" s="84"/>
      <c r="AB745" s="84"/>
      <c r="AC745" s="84"/>
    </row>
    <row r="746" ht="15.75" customHeight="1">
      <c r="A746" s="14" t="s">
        <v>120</v>
      </c>
      <c r="B746" s="14">
        <v>2010.0</v>
      </c>
      <c r="C746" s="14" t="s">
        <v>21674</v>
      </c>
      <c r="D746" s="14" t="s">
        <v>21675</v>
      </c>
      <c r="E746" s="150" t="str">
        <f t="shared" si="13"/>
        <v>http://dx.doi.org/10.1109/VAST.2010.5652443</v>
      </c>
      <c r="F746" s="14">
        <v>27.0</v>
      </c>
      <c r="G746" s="14">
        <v>34.0</v>
      </c>
      <c r="H746" s="151"/>
      <c r="I746" s="14" t="s">
        <v>28</v>
      </c>
      <c r="J746" s="14" t="s">
        <v>21676</v>
      </c>
      <c r="K746" s="14" t="s">
        <v>21678</v>
      </c>
      <c r="L746" s="152" t="s">
        <v>25684</v>
      </c>
      <c r="M746" s="14" t="s">
        <v>32610</v>
      </c>
      <c r="N746" s="54" t="s">
        <v>21678</v>
      </c>
      <c r="O746" s="130" t="s">
        <v>21680</v>
      </c>
      <c r="P746" s="16"/>
      <c r="Q746" s="14">
        <v>5652443.0</v>
      </c>
      <c r="R746" s="95"/>
      <c r="S746" s="154" t="s">
        <v>32612</v>
      </c>
      <c r="T746" s="84"/>
      <c r="U746" s="84"/>
      <c r="V746" s="84"/>
      <c r="W746" s="84"/>
      <c r="X746" s="84"/>
      <c r="Y746" s="84"/>
      <c r="Z746" s="84"/>
      <c r="AA746" s="84"/>
      <c r="AB746" s="84"/>
      <c r="AC746" s="84"/>
    </row>
    <row r="747" ht="15.75" customHeight="1">
      <c r="A747" s="14" t="s">
        <v>120</v>
      </c>
      <c r="B747" s="14">
        <v>2010.0</v>
      </c>
      <c r="C747" s="14" t="s">
        <v>21729</v>
      </c>
      <c r="D747" s="14" t="s">
        <v>21730</v>
      </c>
      <c r="E747" s="150" t="str">
        <f t="shared" si="13"/>
        <v>http://dx.doi.org/10.1109/VAST.2010.5652532</v>
      </c>
      <c r="F747" s="14">
        <v>237.0</v>
      </c>
      <c r="G747" s="14">
        <v>238.0</v>
      </c>
      <c r="H747" s="159" t="s">
        <v>30659</v>
      </c>
      <c r="I747" s="14" t="s">
        <v>21</v>
      </c>
      <c r="J747" s="14" t="s">
        <v>21731</v>
      </c>
      <c r="K747" s="14" t="s">
        <v>32615</v>
      </c>
      <c r="L747" s="152" t="s">
        <v>25699</v>
      </c>
      <c r="M747" s="14" t="s">
        <v>32616</v>
      </c>
      <c r="N747" s="54" t="s">
        <v>32615</v>
      </c>
      <c r="O747" s="130"/>
      <c r="P747" s="16"/>
      <c r="Q747" s="14">
        <v>5652532.0</v>
      </c>
      <c r="R747" s="95"/>
      <c r="S747" s="154"/>
      <c r="T747" s="84"/>
      <c r="U747" s="84"/>
      <c r="V747" s="84"/>
      <c r="W747" s="84"/>
      <c r="X747" s="84"/>
      <c r="Y747" s="84"/>
      <c r="Z747" s="84"/>
      <c r="AA747" s="84"/>
      <c r="AB747" s="84"/>
      <c r="AC747" s="84"/>
    </row>
    <row r="748" ht="15.75" customHeight="1">
      <c r="A748" s="14" t="s">
        <v>120</v>
      </c>
      <c r="B748" s="14">
        <v>2010.0</v>
      </c>
      <c r="C748" s="14" t="s">
        <v>21717</v>
      </c>
      <c r="D748" s="14" t="s">
        <v>21718</v>
      </c>
      <c r="E748" s="150" t="str">
        <f t="shared" si="13"/>
        <v>http://dx.doi.org/10.1109/VAST.2010.5652520</v>
      </c>
      <c r="F748" s="14">
        <v>75.0</v>
      </c>
      <c r="G748" s="14">
        <v>82.0</v>
      </c>
      <c r="H748" s="151"/>
      <c r="I748" s="14" t="s">
        <v>28</v>
      </c>
      <c r="J748" s="14" t="s">
        <v>21719</v>
      </c>
      <c r="K748" s="14" t="s">
        <v>11350</v>
      </c>
      <c r="L748" s="152" t="s">
        <v>22114</v>
      </c>
      <c r="M748" s="14">
        <v>3.75648833E10</v>
      </c>
      <c r="N748" s="54" t="s">
        <v>11350</v>
      </c>
      <c r="O748" s="130" t="s">
        <v>21721</v>
      </c>
      <c r="P748" s="16"/>
      <c r="Q748" s="14">
        <v>5652520.0</v>
      </c>
      <c r="R748" s="95"/>
      <c r="S748" s="154" t="s">
        <v>32625</v>
      </c>
      <c r="T748" s="84"/>
      <c r="U748" s="84"/>
      <c r="V748" s="84"/>
      <c r="W748" s="84"/>
      <c r="X748" s="84"/>
      <c r="Y748" s="84"/>
      <c r="Z748" s="84"/>
      <c r="AA748" s="84"/>
      <c r="AB748" s="84"/>
      <c r="AC748" s="84"/>
    </row>
    <row r="749" ht="15.75" customHeight="1">
      <c r="A749" s="14" t="s">
        <v>120</v>
      </c>
      <c r="B749" s="14">
        <v>2010.0</v>
      </c>
      <c r="C749" s="14" t="s">
        <v>21779</v>
      </c>
      <c r="D749" s="14" t="s">
        <v>21780</v>
      </c>
      <c r="E749" s="150" t="str">
        <f t="shared" si="13"/>
        <v>http://dx.doi.org/10.1109/VAST.2010.5652910</v>
      </c>
      <c r="F749" s="14">
        <v>131.0</v>
      </c>
      <c r="G749" s="14">
        <v>138.0</v>
      </c>
      <c r="H749" s="151"/>
      <c r="I749" s="14" t="s">
        <v>28</v>
      </c>
      <c r="J749" s="14" t="s">
        <v>21782</v>
      </c>
      <c r="K749" s="14" t="s">
        <v>32789</v>
      </c>
      <c r="L749" s="152" t="s">
        <v>5349</v>
      </c>
      <c r="M749" s="14" t="s">
        <v>32790</v>
      </c>
      <c r="N749" s="54" t="s">
        <v>32789</v>
      </c>
      <c r="O749" s="130" t="s">
        <v>21785</v>
      </c>
      <c r="P749" s="153" t="s">
        <v>21786</v>
      </c>
      <c r="Q749" s="14">
        <v>5652910.0</v>
      </c>
      <c r="R749" s="95"/>
      <c r="S749" s="154" t="s">
        <v>32791</v>
      </c>
      <c r="T749" s="84"/>
      <c r="U749" s="84"/>
      <c r="V749" s="84"/>
      <c r="W749" s="84"/>
      <c r="X749" s="84"/>
      <c r="Y749" s="84"/>
      <c r="Z749" s="84"/>
      <c r="AA749" s="84"/>
      <c r="AB749" s="84"/>
      <c r="AC749" s="84"/>
    </row>
    <row r="750" ht="15.75" customHeight="1">
      <c r="A750" s="14" t="s">
        <v>120</v>
      </c>
      <c r="B750" s="14">
        <v>2010.0</v>
      </c>
      <c r="C750" s="14" t="s">
        <v>21844</v>
      </c>
      <c r="D750" s="14" t="s">
        <v>21846</v>
      </c>
      <c r="E750" s="150" t="str">
        <f t="shared" si="13"/>
        <v>http://dx.doi.org/10.1109/VAST.2010.5653580</v>
      </c>
      <c r="F750" s="14">
        <v>213.0</v>
      </c>
      <c r="G750" s="14">
        <v>214.0</v>
      </c>
      <c r="H750" s="159" t="s">
        <v>30659</v>
      </c>
      <c r="I750" s="14" t="s">
        <v>21</v>
      </c>
      <c r="J750" s="14" t="s">
        <v>21848</v>
      </c>
      <c r="K750" s="14" t="s">
        <v>32849</v>
      </c>
      <c r="L750" s="152" t="s">
        <v>178</v>
      </c>
      <c r="M750" s="14" t="s">
        <v>32850</v>
      </c>
      <c r="N750" s="54" t="s">
        <v>32849</v>
      </c>
      <c r="O750" s="130"/>
      <c r="P750" s="16"/>
      <c r="Q750" s="14">
        <v>5653580.0</v>
      </c>
      <c r="R750" s="95"/>
      <c r="S750" s="154"/>
      <c r="T750" s="84"/>
      <c r="U750" s="84"/>
      <c r="V750" s="84"/>
      <c r="W750" s="84"/>
      <c r="X750" s="84"/>
      <c r="Y750" s="84"/>
      <c r="Z750" s="84"/>
      <c r="AA750" s="84"/>
      <c r="AB750" s="84"/>
      <c r="AC750" s="84"/>
    </row>
    <row r="751" ht="15.75" customHeight="1">
      <c r="A751" s="14" t="s">
        <v>120</v>
      </c>
      <c r="B751" s="14">
        <v>2010.0</v>
      </c>
      <c r="C751" s="14" t="s">
        <v>21604</v>
      </c>
      <c r="D751" s="14" t="s">
        <v>21605</v>
      </c>
      <c r="E751" s="150" t="str">
        <f t="shared" si="13"/>
        <v>http://dx.doi.org/10.1109/VAST.2010.5650251</v>
      </c>
      <c r="F751" s="14">
        <v>245.0</v>
      </c>
      <c r="G751" s="14">
        <v>246.0</v>
      </c>
      <c r="H751" s="159" t="s">
        <v>30659</v>
      </c>
      <c r="I751" s="14" t="s">
        <v>21</v>
      </c>
      <c r="J751" s="14" t="s">
        <v>21606</v>
      </c>
      <c r="K751" s="14" t="s">
        <v>32860</v>
      </c>
      <c r="L751" s="152" t="s">
        <v>25663</v>
      </c>
      <c r="M751" s="14" t="s">
        <v>32861</v>
      </c>
      <c r="N751" s="54" t="s">
        <v>32860</v>
      </c>
      <c r="O751" s="130"/>
      <c r="P751" s="158" t="s">
        <v>32862</v>
      </c>
      <c r="Q751" s="14">
        <v>5650251.0</v>
      </c>
      <c r="R751" s="95"/>
      <c r="S751" s="154"/>
      <c r="T751" s="84"/>
      <c r="U751" s="84"/>
      <c r="V751" s="84"/>
      <c r="W751" s="84"/>
      <c r="X751" s="84"/>
      <c r="Y751" s="84"/>
      <c r="Z751" s="84"/>
      <c r="AA751" s="84"/>
      <c r="AB751" s="84"/>
      <c r="AC751" s="84"/>
    </row>
    <row r="752" ht="15.75" customHeight="1">
      <c r="A752" s="14" t="s">
        <v>120</v>
      </c>
      <c r="B752" s="14">
        <v>2010.0</v>
      </c>
      <c r="C752" s="14" t="s">
        <v>32864</v>
      </c>
      <c r="D752" s="14" t="s">
        <v>21600</v>
      </c>
      <c r="E752" s="150" t="str">
        <f t="shared" si="13"/>
        <v>http://dx.doi.org/10.1109/VAST.2010.5650219</v>
      </c>
      <c r="F752" s="14">
        <v>247.0</v>
      </c>
      <c r="G752" s="14">
        <v>248.0</v>
      </c>
      <c r="H752" s="159" t="s">
        <v>30659</v>
      </c>
      <c r="I752" s="14" t="s">
        <v>21</v>
      </c>
      <c r="J752" s="14" t="s">
        <v>21601</v>
      </c>
      <c r="K752" s="14" t="s">
        <v>32873</v>
      </c>
      <c r="L752" s="152" t="s">
        <v>23820</v>
      </c>
      <c r="M752" s="14" t="s">
        <v>32874</v>
      </c>
      <c r="N752" s="54" t="s">
        <v>32873</v>
      </c>
      <c r="O752" s="130"/>
      <c r="P752" s="153" t="s">
        <v>21603</v>
      </c>
      <c r="Q752" s="14">
        <v>5650219.0</v>
      </c>
      <c r="R752" s="95"/>
      <c r="S752" s="154"/>
      <c r="T752" s="84"/>
      <c r="U752" s="84"/>
      <c r="V752" s="84"/>
      <c r="W752" s="84"/>
      <c r="X752" s="84"/>
      <c r="Y752" s="84"/>
      <c r="Z752" s="84"/>
      <c r="AA752" s="84"/>
      <c r="AB752" s="84"/>
      <c r="AC752" s="84"/>
    </row>
    <row r="753" ht="15.75" customHeight="1">
      <c r="A753" s="14" t="s">
        <v>120</v>
      </c>
      <c r="B753" s="14">
        <v>2010.0</v>
      </c>
      <c r="C753" s="14" t="s">
        <v>21773</v>
      </c>
      <c r="D753" s="14" t="s">
        <v>21774</v>
      </c>
      <c r="E753" s="150" t="str">
        <f t="shared" si="13"/>
        <v>http://dx.doi.org/10.1109/VAST.2010.5652896</v>
      </c>
      <c r="F753" s="14">
        <v>147.0</v>
      </c>
      <c r="G753" s="14">
        <v>154.0</v>
      </c>
      <c r="H753" s="151"/>
      <c r="I753" s="14" t="s">
        <v>28</v>
      </c>
      <c r="J753" s="14" t="s">
        <v>21775</v>
      </c>
      <c r="K753" s="14" t="s">
        <v>32883</v>
      </c>
      <c r="L753" s="152" t="s">
        <v>494</v>
      </c>
      <c r="M753" s="14" t="s">
        <v>32884</v>
      </c>
      <c r="N753" s="54" t="s">
        <v>32883</v>
      </c>
      <c r="O753" s="130"/>
      <c r="P753" s="16"/>
      <c r="Q753" s="14">
        <v>5652896.0</v>
      </c>
      <c r="R753" s="95"/>
      <c r="S753" s="154"/>
      <c r="T753" s="84"/>
      <c r="U753" s="84"/>
      <c r="V753" s="84"/>
      <c r="W753" s="84"/>
      <c r="X753" s="84"/>
      <c r="Y753" s="84"/>
      <c r="Z753" s="84"/>
      <c r="AA753" s="84"/>
      <c r="AB753" s="84"/>
      <c r="AC753" s="84"/>
    </row>
    <row r="754" ht="15.75" customHeight="1">
      <c r="A754" s="14" t="s">
        <v>120</v>
      </c>
      <c r="B754" s="14">
        <v>2010.0</v>
      </c>
      <c r="C754" s="14" t="s">
        <v>21850</v>
      </c>
      <c r="D754" s="14" t="s">
        <v>21851</v>
      </c>
      <c r="E754" s="150" t="str">
        <f t="shared" si="13"/>
        <v>http://dx.doi.org/10.1109/VAST.2010.5653587</v>
      </c>
      <c r="F754" s="14">
        <v>203.0</v>
      </c>
      <c r="G754" s="14">
        <v>210.0</v>
      </c>
      <c r="H754" s="151"/>
      <c r="I754" s="14" t="s">
        <v>28</v>
      </c>
      <c r="J754" s="14" t="s">
        <v>21852</v>
      </c>
      <c r="K754" s="14" t="s">
        <v>30779</v>
      </c>
      <c r="L754" s="152" t="s">
        <v>25725</v>
      </c>
      <c r="M754" s="14" t="s">
        <v>32889</v>
      </c>
      <c r="N754" s="54" t="s">
        <v>30779</v>
      </c>
      <c r="O754" s="130"/>
      <c r="P754" s="153" t="s">
        <v>32891</v>
      </c>
      <c r="Q754" s="14">
        <v>5653587.0</v>
      </c>
      <c r="R754" s="95"/>
      <c r="S754" s="154"/>
      <c r="T754" s="84"/>
      <c r="U754" s="84"/>
      <c r="V754" s="84"/>
      <c r="W754" s="84"/>
      <c r="X754" s="84"/>
      <c r="Y754" s="84"/>
      <c r="Z754" s="84"/>
      <c r="AA754" s="84"/>
      <c r="AB754" s="84"/>
      <c r="AC754" s="84"/>
    </row>
    <row r="755" ht="15.75" customHeight="1">
      <c r="A755" s="14" t="s">
        <v>120</v>
      </c>
      <c r="B755" s="14">
        <v>2010.0</v>
      </c>
      <c r="C755" s="14" t="s">
        <v>21817</v>
      </c>
      <c r="D755" s="14" t="s">
        <v>21818</v>
      </c>
      <c r="E755" s="150" t="str">
        <f t="shared" si="13"/>
        <v>http://dx.doi.org/10.1109/VAST.2010.5652940</v>
      </c>
      <c r="F755" s="14">
        <v>91.0</v>
      </c>
      <c r="G755" s="14">
        <v>98.0</v>
      </c>
      <c r="H755" s="151"/>
      <c r="I755" s="14" t="s">
        <v>28</v>
      </c>
      <c r="J755" s="14" t="s">
        <v>21819</v>
      </c>
      <c r="K755" s="14" t="s">
        <v>32895</v>
      </c>
      <c r="L755" s="152" t="s">
        <v>25717</v>
      </c>
      <c r="M755" s="14" t="s">
        <v>32896</v>
      </c>
      <c r="N755" s="54" t="s">
        <v>32895</v>
      </c>
      <c r="O755" s="130" t="s">
        <v>21822</v>
      </c>
      <c r="P755" s="16"/>
      <c r="Q755" s="14">
        <v>5652940.0</v>
      </c>
      <c r="R755" s="95"/>
      <c r="S755" s="154" t="s">
        <v>32897</v>
      </c>
      <c r="T755" s="84"/>
      <c r="U755" s="84"/>
      <c r="V755" s="84"/>
      <c r="W755" s="84"/>
      <c r="X755" s="84"/>
      <c r="Y755" s="84"/>
      <c r="Z755" s="84"/>
      <c r="AA755" s="84"/>
      <c r="AB755" s="84"/>
      <c r="AC755" s="84"/>
    </row>
    <row r="756" ht="15.75" customHeight="1">
      <c r="A756" s="14" t="s">
        <v>120</v>
      </c>
      <c r="B756" s="14">
        <v>2010.0</v>
      </c>
      <c r="C756" s="14" t="s">
        <v>21801</v>
      </c>
      <c r="D756" s="14" t="s">
        <v>21802</v>
      </c>
      <c r="E756" s="150" t="str">
        <f t="shared" si="13"/>
        <v>http://dx.doi.org/10.1109/VAST.2010.5652931</v>
      </c>
      <c r="F756" s="14">
        <v>99.0</v>
      </c>
      <c r="G756" s="14">
        <v>106.0</v>
      </c>
      <c r="H756" s="151"/>
      <c r="I756" s="14" t="s">
        <v>28</v>
      </c>
      <c r="J756" s="14" t="s">
        <v>21804</v>
      </c>
      <c r="K756" s="14" t="s">
        <v>32906</v>
      </c>
      <c r="L756" s="152" t="s">
        <v>25713</v>
      </c>
      <c r="M756" s="14" t="s">
        <v>32907</v>
      </c>
      <c r="N756" s="54" t="s">
        <v>32906</v>
      </c>
      <c r="O756" s="130" t="s">
        <v>21807</v>
      </c>
      <c r="P756" s="153" t="s">
        <v>21808</v>
      </c>
      <c r="Q756" s="14">
        <v>5652931.0</v>
      </c>
      <c r="R756" s="95"/>
      <c r="S756" s="154" t="s">
        <v>32908</v>
      </c>
      <c r="T756" s="84"/>
      <c r="U756" s="84"/>
      <c r="V756" s="84"/>
      <c r="W756" s="84"/>
      <c r="X756" s="84"/>
      <c r="Y756" s="84"/>
      <c r="Z756" s="84"/>
      <c r="AA756" s="84"/>
      <c r="AB756" s="84"/>
      <c r="AC756" s="84"/>
    </row>
    <row r="757" ht="15.75" customHeight="1">
      <c r="A757" s="14" t="s">
        <v>120</v>
      </c>
      <c r="B757" s="14">
        <v>2010.0</v>
      </c>
      <c r="C757" s="14" t="s">
        <v>21611</v>
      </c>
      <c r="D757" s="14" t="s">
        <v>21612</v>
      </c>
      <c r="E757" s="150" t="str">
        <f t="shared" si="13"/>
        <v>http://dx.doi.org/10.1109/VAST.2010.5650766</v>
      </c>
      <c r="F757" s="14">
        <v>227.0</v>
      </c>
      <c r="G757" s="14">
        <v>228.0</v>
      </c>
      <c r="H757" s="159" t="s">
        <v>30659</v>
      </c>
      <c r="I757" s="14" t="s">
        <v>21</v>
      </c>
      <c r="J757" s="14" t="s">
        <v>21613</v>
      </c>
      <c r="K757" s="14" t="s">
        <v>32918</v>
      </c>
      <c r="L757" s="152" t="s">
        <v>23953</v>
      </c>
      <c r="M757" s="14" t="s">
        <v>32919</v>
      </c>
      <c r="N757" s="54" t="s">
        <v>32918</v>
      </c>
      <c r="O757" s="130"/>
      <c r="P757" s="16"/>
      <c r="Q757" s="14">
        <v>5650766.0</v>
      </c>
      <c r="R757" s="95"/>
      <c r="S757" s="154"/>
      <c r="T757" s="84"/>
      <c r="U757" s="84"/>
      <c r="V757" s="84"/>
      <c r="W757" s="84"/>
      <c r="X757" s="84"/>
      <c r="Y757" s="84"/>
      <c r="Z757" s="84"/>
      <c r="AA757" s="84"/>
      <c r="AB757" s="84"/>
      <c r="AC757" s="84"/>
    </row>
    <row r="758" ht="15.75" customHeight="1">
      <c r="A758" s="14" t="s">
        <v>120</v>
      </c>
      <c r="B758" s="14">
        <v>2010.0</v>
      </c>
      <c r="C758" s="14" t="s">
        <v>21659</v>
      </c>
      <c r="D758" s="14" t="s">
        <v>21660</v>
      </c>
      <c r="E758" s="150" t="str">
        <f t="shared" si="13"/>
        <v>http://dx.doi.org/10.1109/VAST.2010.5652398</v>
      </c>
      <c r="F758" s="14">
        <v>11.0</v>
      </c>
      <c r="G758" s="14">
        <v>18.0</v>
      </c>
      <c r="H758" s="151"/>
      <c r="I758" s="14" t="s">
        <v>28</v>
      </c>
      <c r="J758" s="14" t="s">
        <v>21662</v>
      </c>
      <c r="K758" s="14" t="s">
        <v>32928</v>
      </c>
      <c r="L758" s="152" t="s">
        <v>25680</v>
      </c>
      <c r="M758" s="14" t="s">
        <v>32929</v>
      </c>
      <c r="N758" s="54" t="s">
        <v>32928</v>
      </c>
      <c r="O758" s="130" t="s">
        <v>21665</v>
      </c>
      <c r="P758" s="153" t="s">
        <v>21666</v>
      </c>
      <c r="Q758" s="14">
        <v>5652398.0</v>
      </c>
      <c r="R758" s="95"/>
      <c r="S758" s="154" t="s">
        <v>32932</v>
      </c>
      <c r="T758" s="84"/>
      <c r="U758" s="84"/>
      <c r="V758" s="84"/>
      <c r="W758" s="84"/>
      <c r="X758" s="84"/>
      <c r="Y758" s="84"/>
      <c r="Z758" s="84"/>
      <c r="AA758" s="84"/>
      <c r="AB758" s="84"/>
      <c r="AC758" s="84"/>
    </row>
    <row r="759" ht="15.75" customHeight="1">
      <c r="A759" s="14" t="s">
        <v>120</v>
      </c>
      <c r="B759" s="14">
        <v>2010.0</v>
      </c>
      <c r="C759" s="14" t="s">
        <v>21722</v>
      </c>
      <c r="D759" s="14" t="s">
        <v>21723</v>
      </c>
      <c r="E759" s="150" t="str">
        <f t="shared" si="13"/>
        <v>http://dx.doi.org/10.1109/VAST.2010.5652530</v>
      </c>
      <c r="F759" s="14">
        <v>83.0</v>
      </c>
      <c r="G759" s="14">
        <v>90.0</v>
      </c>
      <c r="H759" s="151"/>
      <c r="I759" s="14" t="s">
        <v>28</v>
      </c>
      <c r="J759" s="14" t="s">
        <v>21725</v>
      </c>
      <c r="K759" s="14" t="s">
        <v>32939</v>
      </c>
      <c r="L759" s="152" t="s">
        <v>23066</v>
      </c>
      <c r="M759" s="14" t="s">
        <v>32940</v>
      </c>
      <c r="N759" s="54" t="s">
        <v>32939</v>
      </c>
      <c r="O759" s="130" t="s">
        <v>21727</v>
      </c>
      <c r="P759" s="158" t="s">
        <v>32941</v>
      </c>
      <c r="Q759" s="14">
        <v>5652530.0</v>
      </c>
      <c r="R759" s="95"/>
      <c r="S759" s="154" t="s">
        <v>32946</v>
      </c>
      <c r="T759" s="84"/>
      <c r="U759" s="84"/>
      <c r="V759" s="84"/>
      <c r="W759" s="84"/>
      <c r="X759" s="84"/>
      <c r="Y759" s="84"/>
      <c r="Z759" s="84"/>
      <c r="AA759" s="84"/>
      <c r="AB759" s="84"/>
      <c r="AC759" s="84"/>
    </row>
    <row r="760" ht="15.75" customHeight="1">
      <c r="A760" s="14" t="s">
        <v>120</v>
      </c>
      <c r="B760" s="14">
        <v>2010.0</v>
      </c>
      <c r="C760" s="14" t="s">
        <v>21794</v>
      </c>
      <c r="D760" s="14" t="s">
        <v>21795</v>
      </c>
      <c r="E760" s="150" t="str">
        <f t="shared" si="13"/>
        <v>http://dx.doi.org/10.1109/VAST.2010.5652926</v>
      </c>
      <c r="F760" s="14">
        <v>123.0</v>
      </c>
      <c r="G760" s="14">
        <v>130.0</v>
      </c>
      <c r="H760" s="151"/>
      <c r="I760" s="14" t="s">
        <v>28</v>
      </c>
      <c r="J760" s="14" t="s">
        <v>21799</v>
      </c>
      <c r="K760" s="14" t="s">
        <v>32953</v>
      </c>
      <c r="L760" s="152" t="s">
        <v>23066</v>
      </c>
      <c r="M760" s="14" t="s">
        <v>32954</v>
      </c>
      <c r="N760" s="54" t="s">
        <v>32953</v>
      </c>
      <c r="O760" s="130" t="s">
        <v>18386</v>
      </c>
      <c r="P760" s="16"/>
      <c r="Q760" s="14">
        <v>5652926.0</v>
      </c>
      <c r="R760" s="95"/>
      <c r="S760" s="154">
        <v>4389004.0</v>
      </c>
      <c r="T760" s="84"/>
      <c r="U760" s="84"/>
      <c r="V760" s="84"/>
      <c r="W760" s="84"/>
      <c r="X760" s="84"/>
      <c r="Y760" s="84"/>
      <c r="Z760" s="84"/>
      <c r="AA760" s="84"/>
      <c r="AB760" s="84"/>
      <c r="AC760" s="84"/>
    </row>
    <row r="761" ht="15.75" customHeight="1">
      <c r="A761" s="14" t="s">
        <v>120</v>
      </c>
      <c r="B761" s="14">
        <v>2010.0</v>
      </c>
      <c r="C761" s="14" t="s">
        <v>21886</v>
      </c>
      <c r="D761" s="14" t="s">
        <v>21887</v>
      </c>
      <c r="E761" s="150" t="str">
        <f t="shared" si="13"/>
        <v>http://dx.doi.org/10.1109/VAST.2010.5654451</v>
      </c>
      <c r="F761" s="14">
        <v>241.0</v>
      </c>
      <c r="G761" s="14">
        <v>242.0</v>
      </c>
      <c r="H761" s="159" t="s">
        <v>30659</v>
      </c>
      <c r="I761" s="14" t="s">
        <v>21</v>
      </c>
      <c r="J761" s="14" t="s">
        <v>21888</v>
      </c>
      <c r="K761" s="14" t="s">
        <v>32964</v>
      </c>
      <c r="L761" s="152" t="s">
        <v>25735</v>
      </c>
      <c r="M761" s="14" t="s">
        <v>32965</v>
      </c>
      <c r="N761" s="54" t="s">
        <v>32964</v>
      </c>
      <c r="O761" s="130"/>
      <c r="P761" s="153" t="s">
        <v>32966</v>
      </c>
      <c r="Q761" s="14">
        <v>5654451.0</v>
      </c>
      <c r="R761" s="95"/>
      <c r="S761" s="154"/>
      <c r="T761" s="84"/>
      <c r="U761" s="84"/>
      <c r="V761" s="84"/>
      <c r="W761" s="84"/>
      <c r="X761" s="84"/>
      <c r="Y761" s="84"/>
      <c r="Z761" s="84"/>
      <c r="AA761" s="84"/>
      <c r="AB761" s="84"/>
      <c r="AC761" s="84"/>
    </row>
    <row r="762" ht="15.75" customHeight="1">
      <c r="A762" s="14" t="s">
        <v>120</v>
      </c>
      <c r="B762" s="14">
        <v>2010.0</v>
      </c>
      <c r="C762" s="14" t="s">
        <v>21635</v>
      </c>
      <c r="D762" s="14" t="s">
        <v>21636</v>
      </c>
      <c r="E762" s="150" t="str">
        <f t="shared" si="13"/>
        <v>http://dx.doi.org/10.1109/VAST.2010.5651617</v>
      </c>
      <c r="F762" s="14">
        <v>219.0</v>
      </c>
      <c r="G762" s="14">
        <v>220.0</v>
      </c>
      <c r="H762" s="159" t="s">
        <v>30659</v>
      </c>
      <c r="I762" s="14" t="s">
        <v>21</v>
      </c>
      <c r="J762" s="14" t="s">
        <v>21637</v>
      </c>
      <c r="K762" s="14" t="s">
        <v>32976</v>
      </c>
      <c r="L762" s="152" t="s">
        <v>494</v>
      </c>
      <c r="M762" s="14" t="s">
        <v>32977</v>
      </c>
      <c r="N762" s="54" t="s">
        <v>32976</v>
      </c>
      <c r="O762" s="130"/>
      <c r="P762" s="153" t="s">
        <v>32978</v>
      </c>
      <c r="Q762" s="14">
        <v>5651617.0</v>
      </c>
      <c r="R762" s="95"/>
      <c r="S762" s="154"/>
      <c r="T762" s="84"/>
      <c r="U762" s="84"/>
      <c r="V762" s="84"/>
      <c r="W762" s="84"/>
      <c r="X762" s="84"/>
      <c r="Y762" s="84"/>
      <c r="Z762" s="84"/>
      <c r="AA762" s="84"/>
      <c r="AB762" s="84"/>
      <c r="AC762" s="84"/>
    </row>
    <row r="763" ht="15.75" customHeight="1">
      <c r="A763" s="14" t="s">
        <v>120</v>
      </c>
      <c r="B763" s="14">
        <v>2010.0</v>
      </c>
      <c r="C763" s="14" t="s">
        <v>21823</v>
      </c>
      <c r="D763" s="14" t="s">
        <v>21824</v>
      </c>
      <c r="E763" s="150" t="str">
        <f t="shared" si="13"/>
        <v>http://dx.doi.org/10.1109/VAST.2010.5652951</v>
      </c>
      <c r="F763" s="14">
        <v>229.0</v>
      </c>
      <c r="G763" s="14">
        <v>230.0</v>
      </c>
      <c r="H763" s="159" t="s">
        <v>30659</v>
      </c>
      <c r="I763" s="14" t="s">
        <v>21</v>
      </c>
      <c r="J763" s="14" t="s">
        <v>21826</v>
      </c>
      <c r="K763" s="14" t="s">
        <v>32988</v>
      </c>
      <c r="L763" s="152" t="s">
        <v>880</v>
      </c>
      <c r="M763" s="14" t="s">
        <v>32989</v>
      </c>
      <c r="N763" s="54" t="s">
        <v>32988</v>
      </c>
      <c r="O763" s="130"/>
      <c r="P763" s="16"/>
      <c r="Q763" s="14">
        <v>5652951.0</v>
      </c>
      <c r="R763" s="95"/>
      <c r="S763" s="154"/>
      <c r="T763" s="84"/>
      <c r="U763" s="84"/>
      <c r="V763" s="84"/>
      <c r="W763" s="84"/>
      <c r="X763" s="84"/>
      <c r="Y763" s="84"/>
      <c r="Z763" s="84"/>
      <c r="AA763" s="84"/>
      <c r="AB763" s="84"/>
      <c r="AC763" s="84"/>
    </row>
    <row r="764" ht="15.75" customHeight="1">
      <c r="A764" s="14" t="s">
        <v>120</v>
      </c>
      <c r="B764" s="14">
        <v>2010.0</v>
      </c>
      <c r="C764" s="14" t="s">
        <v>21810</v>
      </c>
      <c r="D764" s="14" t="s">
        <v>21811</v>
      </c>
      <c r="E764" s="150" t="str">
        <f t="shared" si="13"/>
        <v>http://dx.doi.org/10.1109/VAST.2010.5652932</v>
      </c>
      <c r="F764" s="14">
        <v>107.0</v>
      </c>
      <c r="G764" s="14">
        <v>114.0</v>
      </c>
      <c r="H764" s="151"/>
      <c r="I764" s="14" t="s">
        <v>28</v>
      </c>
      <c r="J764" s="14" t="s">
        <v>21812</v>
      </c>
      <c r="K764" s="14" t="s">
        <v>32994</v>
      </c>
      <c r="L764" s="152" t="s">
        <v>25715</v>
      </c>
      <c r="M764" s="14" t="s">
        <v>32995</v>
      </c>
      <c r="N764" s="54" t="s">
        <v>32994</v>
      </c>
      <c r="O764" s="130" t="s">
        <v>21815</v>
      </c>
      <c r="P764" s="153" t="s">
        <v>21816</v>
      </c>
      <c r="Q764" s="14">
        <v>5652932.0</v>
      </c>
      <c r="R764" s="95"/>
      <c r="S764" s="154" t="s">
        <v>32996</v>
      </c>
      <c r="T764" s="84"/>
      <c r="U764" s="84"/>
      <c r="V764" s="84"/>
      <c r="W764" s="84"/>
      <c r="X764" s="84"/>
      <c r="Y764" s="84"/>
      <c r="Z764" s="84"/>
      <c r="AA764" s="84"/>
      <c r="AB764" s="84"/>
      <c r="AC764" s="84"/>
    </row>
    <row r="765" ht="15.75" customHeight="1">
      <c r="A765" s="14" t="s">
        <v>17</v>
      </c>
      <c r="B765" s="14">
        <v>2010.0</v>
      </c>
      <c r="C765" s="14" t="s">
        <v>21892</v>
      </c>
      <c r="D765" s="14" t="s">
        <v>21893</v>
      </c>
      <c r="E765" s="150" t="str">
        <f t="shared" si="13"/>
        <v>http://dx.doi.org/10.1109/TVCG.2010.127</v>
      </c>
      <c r="F765" s="14">
        <v>1235.0</v>
      </c>
      <c r="G765" s="14">
        <v>1242.0</v>
      </c>
      <c r="H765" s="151"/>
      <c r="I765" s="14" t="s">
        <v>17059</v>
      </c>
      <c r="J765" s="14" t="s">
        <v>23941</v>
      </c>
      <c r="K765" s="14" t="s">
        <v>32997</v>
      </c>
      <c r="L765" s="152" t="s">
        <v>5349</v>
      </c>
      <c r="M765" s="14" t="s">
        <v>32998</v>
      </c>
      <c r="N765" s="54" t="s">
        <v>32997</v>
      </c>
      <c r="O765" s="130" t="s">
        <v>21898</v>
      </c>
      <c r="P765" s="153" t="s">
        <v>21899</v>
      </c>
      <c r="Q765" s="14">
        <v>5613463.0</v>
      </c>
      <c r="R765" s="95"/>
      <c r="S765" s="154" t="s">
        <v>32999</v>
      </c>
      <c r="T765" s="84"/>
      <c r="U765" s="84"/>
      <c r="V765" s="84"/>
      <c r="W765" s="84"/>
      <c r="X765" s="84"/>
      <c r="Y765" s="84"/>
      <c r="Z765" s="84"/>
      <c r="AA765" s="84"/>
      <c r="AB765" s="84"/>
      <c r="AC765" s="84"/>
    </row>
    <row r="766" ht="15.75" customHeight="1">
      <c r="A766" s="14" t="s">
        <v>17</v>
      </c>
      <c r="B766" s="14">
        <v>2010.0</v>
      </c>
      <c r="C766" s="14" t="s">
        <v>21900</v>
      </c>
      <c r="D766" s="14" t="s">
        <v>21902</v>
      </c>
      <c r="E766" s="150" t="str">
        <f t="shared" si="13"/>
        <v>http://dx.doi.org/10.1109/TVCG.2010.128</v>
      </c>
      <c r="F766" s="14">
        <v>1623.0</v>
      </c>
      <c r="G766" s="14">
        <v>1632.0</v>
      </c>
      <c r="H766" s="151"/>
      <c r="I766" s="14" t="s">
        <v>17059</v>
      </c>
      <c r="J766" s="14" t="s">
        <v>21904</v>
      </c>
      <c r="K766" s="14" t="s">
        <v>33000</v>
      </c>
      <c r="L766" s="152" t="s">
        <v>23943</v>
      </c>
      <c r="M766" s="14" t="s">
        <v>33001</v>
      </c>
      <c r="N766" s="54" t="s">
        <v>33000</v>
      </c>
      <c r="O766" s="130" t="s">
        <v>21907</v>
      </c>
      <c r="P766" s="153" t="s">
        <v>21908</v>
      </c>
      <c r="Q766" s="14">
        <v>5613505.0</v>
      </c>
      <c r="R766" s="95"/>
      <c r="S766" s="154" t="s">
        <v>33002</v>
      </c>
      <c r="T766" s="84"/>
      <c r="U766" s="84"/>
      <c r="V766" s="84"/>
      <c r="W766" s="84"/>
      <c r="X766" s="84"/>
      <c r="Y766" s="84"/>
      <c r="Z766" s="84"/>
      <c r="AA766" s="84"/>
      <c r="AB766" s="84"/>
      <c r="AC766" s="84"/>
    </row>
    <row r="767" ht="15.75" customHeight="1">
      <c r="A767" s="14" t="s">
        <v>17</v>
      </c>
      <c r="B767" s="14">
        <v>2010.0</v>
      </c>
      <c r="C767" s="14" t="s">
        <v>21909</v>
      </c>
      <c r="D767" s="14" t="s">
        <v>21910</v>
      </c>
      <c r="E767" s="150" t="str">
        <f t="shared" si="13"/>
        <v>http://dx.doi.org/10.1109/TVCG.2010.131</v>
      </c>
      <c r="F767" s="14">
        <v>1216.0</v>
      </c>
      <c r="G767" s="14">
        <v>1224.0</v>
      </c>
      <c r="H767" s="151"/>
      <c r="I767" s="14" t="s">
        <v>17059</v>
      </c>
      <c r="J767" s="14" t="s">
        <v>21911</v>
      </c>
      <c r="K767" s="14" t="s">
        <v>21912</v>
      </c>
      <c r="L767" s="152" t="s">
        <v>12380</v>
      </c>
      <c r="M767" s="14" t="s">
        <v>33003</v>
      </c>
      <c r="N767" s="54" t="s">
        <v>21912</v>
      </c>
      <c r="O767" s="130" t="s">
        <v>21914</v>
      </c>
      <c r="P767" s="153" t="s">
        <v>21915</v>
      </c>
      <c r="Q767" s="14">
        <v>5613461.0</v>
      </c>
      <c r="R767" s="95"/>
      <c r="S767" s="154" t="s">
        <v>33004</v>
      </c>
      <c r="T767" s="84"/>
      <c r="U767" s="84"/>
      <c r="V767" s="84"/>
      <c r="W767" s="84"/>
      <c r="X767" s="84"/>
      <c r="Y767" s="84"/>
      <c r="Z767" s="84"/>
      <c r="AA767" s="84"/>
      <c r="AB767" s="84"/>
      <c r="AC767" s="84"/>
    </row>
    <row r="768" ht="15.75" customHeight="1">
      <c r="A768" s="14" t="s">
        <v>17</v>
      </c>
      <c r="B768" s="14">
        <v>2010.0</v>
      </c>
      <c r="C768" s="14" t="s">
        <v>21916</v>
      </c>
      <c r="D768" s="14" t="s">
        <v>21917</v>
      </c>
      <c r="E768" s="150" t="str">
        <f t="shared" si="13"/>
        <v>http://dx.doi.org/10.1109/TVCG.2010.132</v>
      </c>
      <c r="F768" s="14">
        <v>1206.0</v>
      </c>
      <c r="G768" s="14">
        <v>1215.0</v>
      </c>
      <c r="H768" s="151"/>
      <c r="I768" s="14" t="s">
        <v>17059</v>
      </c>
      <c r="J768" s="14" t="s">
        <v>21918</v>
      </c>
      <c r="K768" s="14" t="s">
        <v>33005</v>
      </c>
      <c r="L768" s="152" t="s">
        <v>178</v>
      </c>
      <c r="M768" s="14" t="s">
        <v>33006</v>
      </c>
      <c r="N768" s="54" t="s">
        <v>33007</v>
      </c>
      <c r="O768" s="130" t="s">
        <v>21923</v>
      </c>
      <c r="P768" s="153" t="s">
        <v>21924</v>
      </c>
      <c r="Q768" s="14">
        <v>5613460.0</v>
      </c>
      <c r="R768" s="95"/>
      <c r="S768" s="154" t="s">
        <v>33008</v>
      </c>
      <c r="T768" s="84"/>
      <c r="U768" s="84"/>
      <c r="V768" s="84"/>
      <c r="W768" s="84"/>
      <c r="X768" s="84"/>
      <c r="Y768" s="84"/>
      <c r="Z768" s="84"/>
      <c r="AA768" s="84"/>
      <c r="AB768" s="84"/>
      <c r="AC768" s="84"/>
    </row>
    <row r="769" ht="15.75" customHeight="1">
      <c r="A769" s="14" t="s">
        <v>17</v>
      </c>
      <c r="B769" s="14">
        <v>2010.0</v>
      </c>
      <c r="C769" s="14" t="s">
        <v>21926</v>
      </c>
      <c r="D769" s="14" t="s">
        <v>21927</v>
      </c>
      <c r="E769" s="150" t="str">
        <f t="shared" si="13"/>
        <v>http://dx.doi.org/10.1109/TVCG.2010.133</v>
      </c>
      <c r="F769" s="14">
        <v>1431.0</v>
      </c>
      <c r="G769" s="14">
        <v>1440.0</v>
      </c>
      <c r="H769" s="151"/>
      <c r="I769" s="14" t="s">
        <v>17059</v>
      </c>
      <c r="J769" s="14" t="s">
        <v>33009</v>
      </c>
      <c r="K769" s="14" t="s">
        <v>33010</v>
      </c>
      <c r="L769" s="152" t="s">
        <v>860</v>
      </c>
      <c r="M769" s="14" t="s">
        <v>33011</v>
      </c>
      <c r="N769" s="54" t="s">
        <v>33010</v>
      </c>
      <c r="O769" s="130" t="s">
        <v>21932</v>
      </c>
      <c r="P769" s="153" t="s">
        <v>21933</v>
      </c>
      <c r="Q769" s="14">
        <v>5613484.0</v>
      </c>
      <c r="R769" s="95"/>
      <c r="S769" s="154" t="s">
        <v>33012</v>
      </c>
      <c r="T769" s="84"/>
      <c r="U769" s="84"/>
      <c r="V769" s="84"/>
      <c r="W769" s="84"/>
      <c r="X769" s="84"/>
      <c r="Y769" s="84"/>
      <c r="Z769" s="84"/>
      <c r="AA769" s="84"/>
      <c r="AB769" s="84"/>
      <c r="AC769" s="84"/>
    </row>
    <row r="770" ht="15.75" customHeight="1">
      <c r="A770" s="14" t="s">
        <v>17</v>
      </c>
      <c r="B770" s="14">
        <v>2010.0</v>
      </c>
      <c r="C770" s="14" t="s">
        <v>21934</v>
      </c>
      <c r="D770" s="14" t="s">
        <v>21935</v>
      </c>
      <c r="E770" s="150" t="str">
        <f t="shared" si="13"/>
        <v>http://dx.doi.org/10.1109/TVCG.2010.134</v>
      </c>
      <c r="F770" s="14">
        <v>1396.0</v>
      </c>
      <c r="G770" s="14">
        <v>1404.0</v>
      </c>
      <c r="H770" s="151"/>
      <c r="I770" s="14" t="s">
        <v>17059</v>
      </c>
      <c r="J770" s="14" t="s">
        <v>21936</v>
      </c>
      <c r="K770" s="14" t="s">
        <v>33013</v>
      </c>
      <c r="L770" s="152" t="s">
        <v>23953</v>
      </c>
      <c r="M770" s="14" t="s">
        <v>33014</v>
      </c>
      <c r="N770" s="54" t="s">
        <v>33013</v>
      </c>
      <c r="O770" s="130" t="s">
        <v>21939</v>
      </c>
      <c r="P770" s="153" t="s">
        <v>21940</v>
      </c>
      <c r="Q770" s="14">
        <v>5613480.0</v>
      </c>
      <c r="R770" s="95"/>
      <c r="S770" s="154" t="s">
        <v>33015</v>
      </c>
      <c r="T770" s="84"/>
      <c r="U770" s="84"/>
      <c r="V770" s="84"/>
      <c r="W770" s="84"/>
      <c r="X770" s="84"/>
      <c r="Y770" s="84"/>
      <c r="Z770" s="84"/>
      <c r="AA770" s="84"/>
      <c r="AB770" s="84"/>
      <c r="AC770" s="84"/>
    </row>
    <row r="771" ht="15.75" customHeight="1">
      <c r="A771" s="14" t="s">
        <v>17</v>
      </c>
      <c r="B771" s="14">
        <v>2010.0</v>
      </c>
      <c r="C771" s="14" t="s">
        <v>21941</v>
      </c>
      <c r="D771" s="14" t="s">
        <v>21942</v>
      </c>
      <c r="E771" s="150" t="str">
        <f t="shared" si="13"/>
        <v>http://dx.doi.org/10.1109/TVCG.2010.136</v>
      </c>
      <c r="F771" s="14">
        <v>1261.0</v>
      </c>
      <c r="G771" s="14">
        <v>1270.0</v>
      </c>
      <c r="H771" s="151"/>
      <c r="I771" s="14" t="s">
        <v>17059</v>
      </c>
      <c r="J771" s="14" t="s">
        <v>21943</v>
      </c>
      <c r="K771" s="14" t="s">
        <v>33016</v>
      </c>
      <c r="L771" s="152" t="s">
        <v>23962</v>
      </c>
      <c r="M771" s="14" t="s">
        <v>33017</v>
      </c>
      <c r="N771" s="54" t="s">
        <v>33016</v>
      </c>
      <c r="O771" s="130"/>
      <c r="P771" s="153" t="s">
        <v>21945</v>
      </c>
      <c r="Q771" s="14">
        <v>5613466.0</v>
      </c>
      <c r="R771" s="95"/>
      <c r="S771" s="154"/>
      <c r="T771" s="84"/>
      <c r="U771" s="84"/>
      <c r="V771" s="84"/>
      <c r="W771" s="84"/>
      <c r="X771" s="84"/>
      <c r="Y771" s="84"/>
      <c r="Z771" s="84"/>
      <c r="AA771" s="84"/>
      <c r="AB771" s="84"/>
      <c r="AC771" s="84"/>
    </row>
    <row r="772" ht="15.75" customHeight="1">
      <c r="A772" s="14" t="s">
        <v>17</v>
      </c>
      <c r="B772" s="14">
        <v>2010.0</v>
      </c>
      <c r="C772" s="14" t="s">
        <v>21946</v>
      </c>
      <c r="D772" s="14" t="s">
        <v>21947</v>
      </c>
      <c r="E772" s="150" t="str">
        <f t="shared" si="13"/>
        <v>http://dx.doi.org/10.1109/TVCG.2010.139</v>
      </c>
      <c r="F772" s="14">
        <v>1251.0</v>
      </c>
      <c r="G772" s="14">
        <v>1260.0</v>
      </c>
      <c r="H772" s="151"/>
      <c r="I772" s="14" t="s">
        <v>17059</v>
      </c>
      <c r="J772" s="14" t="s">
        <v>24128</v>
      </c>
      <c r="K772" s="14" t="s">
        <v>33018</v>
      </c>
      <c r="L772" s="152" t="s">
        <v>24130</v>
      </c>
      <c r="M772" s="14" t="s">
        <v>33019</v>
      </c>
      <c r="N772" s="54" t="s">
        <v>33018</v>
      </c>
      <c r="O772" s="130" t="s">
        <v>3572</v>
      </c>
      <c r="P772" s="153" t="s">
        <v>21952</v>
      </c>
      <c r="Q772" s="14">
        <v>5613465.0</v>
      </c>
      <c r="R772" s="95"/>
      <c r="S772" s="154">
        <v>663875.0</v>
      </c>
      <c r="T772" s="84"/>
      <c r="U772" s="84"/>
      <c r="V772" s="84"/>
      <c r="W772" s="84"/>
      <c r="X772" s="84"/>
      <c r="Y772" s="84"/>
      <c r="Z772" s="84"/>
      <c r="AA772" s="84"/>
      <c r="AB772" s="84"/>
      <c r="AC772" s="84"/>
    </row>
    <row r="773" ht="15.75" customHeight="1">
      <c r="A773" s="14" t="s">
        <v>17</v>
      </c>
      <c r="B773" s="14">
        <v>2010.0</v>
      </c>
      <c r="C773" s="14" t="s">
        <v>21953</v>
      </c>
      <c r="D773" s="14" t="s">
        <v>21954</v>
      </c>
      <c r="E773" s="150" t="str">
        <f t="shared" si="13"/>
        <v>http://dx.doi.org/10.1109/TVCG.2010.145</v>
      </c>
      <c r="F773" s="14">
        <v>1505.0</v>
      </c>
      <c r="G773" s="14">
        <v>1514.0</v>
      </c>
      <c r="H773" s="151"/>
      <c r="I773" s="14" t="s">
        <v>17059</v>
      </c>
      <c r="J773" s="14" t="s">
        <v>21955</v>
      </c>
      <c r="K773" s="14" t="s">
        <v>33021</v>
      </c>
      <c r="L773" s="152" t="s">
        <v>24180</v>
      </c>
      <c r="M773" s="14" t="s">
        <v>33022</v>
      </c>
      <c r="N773" s="54" t="s">
        <v>33021</v>
      </c>
      <c r="O773" s="130" t="s">
        <v>21959</v>
      </c>
      <c r="P773" s="153" t="s">
        <v>21960</v>
      </c>
      <c r="Q773" s="14">
        <v>5613492.0</v>
      </c>
      <c r="R773" s="95"/>
      <c r="S773" s="154" t="s">
        <v>33023</v>
      </c>
      <c r="T773" s="84"/>
      <c r="U773" s="84"/>
      <c r="V773" s="84"/>
      <c r="W773" s="84"/>
      <c r="X773" s="84"/>
      <c r="Y773" s="84"/>
      <c r="Z773" s="84"/>
      <c r="AA773" s="84"/>
      <c r="AB773" s="84"/>
      <c r="AC773" s="84"/>
    </row>
    <row r="774" ht="15.75" customHeight="1">
      <c r="A774" s="14" t="s">
        <v>17</v>
      </c>
      <c r="B774" s="14">
        <v>2010.0</v>
      </c>
      <c r="C774" s="14" t="s">
        <v>33024</v>
      </c>
      <c r="D774" s="14" t="s">
        <v>21962</v>
      </c>
      <c r="E774" s="150" t="str">
        <f t="shared" si="13"/>
        <v>http://dx.doi.org/10.1109/TVCG.2010.146</v>
      </c>
      <c r="F774" s="14">
        <v>1291.0</v>
      </c>
      <c r="G774" s="14">
        <v>1300.0</v>
      </c>
      <c r="H774" s="151"/>
      <c r="I774" s="14" t="s">
        <v>17059</v>
      </c>
      <c r="J774" s="14" t="s">
        <v>24198</v>
      </c>
      <c r="K774" s="14" t="s">
        <v>28427</v>
      </c>
      <c r="L774" s="152" t="s">
        <v>24200</v>
      </c>
      <c r="M774" s="14" t="s">
        <v>31631</v>
      </c>
      <c r="N774" s="54" t="s">
        <v>28427</v>
      </c>
      <c r="O774" s="130" t="s">
        <v>21967</v>
      </c>
      <c r="P774" s="153" t="s">
        <v>21968</v>
      </c>
      <c r="Q774" s="14">
        <v>5613469.0</v>
      </c>
      <c r="R774" s="95"/>
      <c r="S774" s="154" t="s">
        <v>33025</v>
      </c>
      <c r="T774" s="84"/>
      <c r="U774" s="84"/>
      <c r="V774" s="84"/>
      <c r="W774" s="84"/>
      <c r="X774" s="84"/>
      <c r="Y774" s="84"/>
      <c r="Z774" s="84"/>
      <c r="AA774" s="84"/>
      <c r="AB774" s="84"/>
      <c r="AC774" s="84"/>
    </row>
    <row r="775" ht="15.75" customHeight="1">
      <c r="A775" s="14" t="s">
        <v>17</v>
      </c>
      <c r="B775" s="14">
        <v>2010.0</v>
      </c>
      <c r="C775" s="14" t="s">
        <v>21970</v>
      </c>
      <c r="D775" s="14" t="s">
        <v>21971</v>
      </c>
      <c r="E775" s="150" t="str">
        <f t="shared" si="13"/>
        <v>http://dx.doi.org/10.1109/TVCG.2010.147</v>
      </c>
      <c r="F775" s="14">
        <v>1376.0</v>
      </c>
      <c r="G775" s="14">
        <v>1385.0</v>
      </c>
      <c r="H775" s="151"/>
      <c r="I775" s="14" t="s">
        <v>17059</v>
      </c>
      <c r="J775" s="14" t="s">
        <v>21972</v>
      </c>
      <c r="K775" s="14" t="s">
        <v>33026</v>
      </c>
      <c r="L775" s="152" t="s">
        <v>24228</v>
      </c>
      <c r="M775" s="14" t="s">
        <v>33027</v>
      </c>
      <c r="N775" s="54" t="s">
        <v>33026</v>
      </c>
      <c r="O775" s="130" t="s">
        <v>21976</v>
      </c>
      <c r="P775" s="153" t="s">
        <v>21977</v>
      </c>
      <c r="Q775" s="14">
        <v>5613478.0</v>
      </c>
      <c r="R775" s="95"/>
      <c r="S775" s="154" t="s">
        <v>33028</v>
      </c>
      <c r="T775" s="84"/>
      <c r="U775" s="84"/>
      <c r="V775" s="84"/>
      <c r="W775" s="84"/>
      <c r="X775" s="84"/>
      <c r="Y775" s="84"/>
      <c r="Z775" s="84"/>
      <c r="AA775" s="84"/>
      <c r="AB775" s="84"/>
      <c r="AC775" s="84"/>
    </row>
    <row r="776" ht="15.75" customHeight="1">
      <c r="A776" s="14" t="s">
        <v>17</v>
      </c>
      <c r="B776" s="14">
        <v>2010.0</v>
      </c>
      <c r="C776" s="14" t="s">
        <v>21978</v>
      </c>
      <c r="D776" s="14" t="s">
        <v>21979</v>
      </c>
      <c r="E776" s="150" t="str">
        <f t="shared" si="13"/>
        <v>http://dx.doi.org/10.1109/TVCG.2010.148</v>
      </c>
      <c r="F776" s="14">
        <v>1533.0</v>
      </c>
      <c r="G776" s="14">
        <v>1540.0</v>
      </c>
      <c r="H776" s="151"/>
      <c r="I776" s="14" t="s">
        <v>17059</v>
      </c>
      <c r="J776" s="14" t="s">
        <v>21982</v>
      </c>
      <c r="K776" s="14" t="s">
        <v>33029</v>
      </c>
      <c r="L776" s="152" t="s">
        <v>33030</v>
      </c>
      <c r="M776" s="14" t="s">
        <v>33031</v>
      </c>
      <c r="N776" s="54" t="s">
        <v>33029</v>
      </c>
      <c r="O776" s="130" t="s">
        <v>21986</v>
      </c>
      <c r="P776" s="153" t="s">
        <v>21987</v>
      </c>
      <c r="Q776" s="14">
        <v>5613495.0</v>
      </c>
      <c r="R776" s="95"/>
      <c r="S776" s="154" t="s">
        <v>33032</v>
      </c>
      <c r="T776" s="84"/>
      <c r="U776" s="84"/>
      <c r="V776" s="84"/>
      <c r="W776" s="84"/>
      <c r="X776" s="84"/>
      <c r="Y776" s="84"/>
      <c r="Z776" s="84"/>
      <c r="AA776" s="84"/>
      <c r="AB776" s="84"/>
      <c r="AC776" s="84"/>
    </row>
    <row r="777" ht="15.75" customHeight="1">
      <c r="A777" s="14" t="s">
        <v>17</v>
      </c>
      <c r="B777" s="14">
        <v>2010.0</v>
      </c>
      <c r="C777" s="14" t="s">
        <v>21988</v>
      </c>
      <c r="D777" s="14" t="s">
        <v>21989</v>
      </c>
      <c r="E777" s="150" t="str">
        <f t="shared" si="13"/>
        <v>http://dx.doi.org/10.1109/TVCG.2010.151</v>
      </c>
      <c r="F777" s="14">
        <v>1311.0</v>
      </c>
      <c r="G777" s="14">
        <v>1318.0</v>
      </c>
      <c r="H777" s="151"/>
      <c r="I777" s="14" t="s">
        <v>17059</v>
      </c>
      <c r="J777" s="14" t="s">
        <v>21990</v>
      </c>
      <c r="K777" s="14" t="s">
        <v>33033</v>
      </c>
      <c r="L777" s="152" t="s">
        <v>5349</v>
      </c>
      <c r="M777" s="14" t="s">
        <v>33034</v>
      </c>
      <c r="N777" s="54" t="s">
        <v>33033</v>
      </c>
      <c r="O777" s="130" t="s">
        <v>21994</v>
      </c>
      <c r="P777" s="153" t="s">
        <v>21995</v>
      </c>
      <c r="Q777" s="14">
        <v>5613471.0</v>
      </c>
      <c r="R777" s="95"/>
      <c r="S777" s="154" t="s">
        <v>33035</v>
      </c>
      <c r="T777" s="84"/>
      <c r="U777" s="84"/>
      <c r="V777" s="84"/>
      <c r="W777" s="84"/>
      <c r="X777" s="84"/>
      <c r="Y777" s="84"/>
      <c r="Z777" s="84"/>
      <c r="AA777" s="84"/>
      <c r="AB777" s="84"/>
      <c r="AC777" s="84"/>
    </row>
    <row r="778" ht="15.75" customHeight="1">
      <c r="A778" s="14" t="s">
        <v>17</v>
      </c>
      <c r="B778" s="14">
        <v>2010.0</v>
      </c>
      <c r="C778" s="14" t="s">
        <v>21996</v>
      </c>
      <c r="D778" s="14" t="s">
        <v>21997</v>
      </c>
      <c r="E778" s="150" t="str">
        <f t="shared" si="13"/>
        <v>http://dx.doi.org/10.1109/TVCG.2010.152</v>
      </c>
      <c r="F778" s="14">
        <v>1366.0</v>
      </c>
      <c r="G778" s="14">
        <v>1375.0</v>
      </c>
      <c r="H778" s="151"/>
      <c r="I778" s="14" t="s">
        <v>17059</v>
      </c>
      <c r="J778" s="14" t="s">
        <v>21999</v>
      </c>
      <c r="K778" s="14" t="s">
        <v>33036</v>
      </c>
      <c r="L778" s="152" t="s">
        <v>24317</v>
      </c>
      <c r="M778" s="14" t="s">
        <v>33037</v>
      </c>
      <c r="N778" s="54" t="s">
        <v>33036</v>
      </c>
      <c r="O778" s="130" t="s">
        <v>22002</v>
      </c>
      <c r="P778" s="153" t="s">
        <v>22003</v>
      </c>
      <c r="Q778" s="14">
        <v>5613477.0</v>
      </c>
      <c r="R778" s="95"/>
      <c r="S778" s="154" t="s">
        <v>33039</v>
      </c>
      <c r="T778" s="84"/>
      <c r="U778" s="84"/>
      <c r="V778" s="84"/>
      <c r="W778" s="84"/>
      <c r="X778" s="84"/>
      <c r="Y778" s="84"/>
      <c r="Z778" s="84"/>
      <c r="AA778" s="84"/>
      <c r="AB778" s="84"/>
      <c r="AC778" s="84"/>
    </row>
    <row r="779" ht="15.75" customHeight="1">
      <c r="A779" s="14" t="s">
        <v>17</v>
      </c>
      <c r="B779" s="14">
        <v>2010.0</v>
      </c>
      <c r="C779" s="14" t="s">
        <v>22004</v>
      </c>
      <c r="D779" s="14" t="s">
        <v>22005</v>
      </c>
      <c r="E779" s="150" t="str">
        <f t="shared" si="13"/>
        <v>http://dx.doi.org/10.1109/TVCG.2010.153</v>
      </c>
      <c r="F779" s="14">
        <v>1339.0</v>
      </c>
      <c r="G779" s="14">
        <v>1347.0</v>
      </c>
      <c r="H779" s="151"/>
      <c r="I779" s="14" t="s">
        <v>17059</v>
      </c>
      <c r="J779" s="14" t="s">
        <v>22006</v>
      </c>
      <c r="K779" s="14" t="s">
        <v>31657</v>
      </c>
      <c r="L779" s="152" t="s">
        <v>24338</v>
      </c>
      <c r="M779" s="14" t="s">
        <v>33040</v>
      </c>
      <c r="N779" s="54" t="s">
        <v>31657</v>
      </c>
      <c r="O779" s="130" t="s">
        <v>22010</v>
      </c>
      <c r="P779" s="153" t="s">
        <v>22011</v>
      </c>
      <c r="Q779" s="14">
        <v>5613474.0</v>
      </c>
      <c r="R779" s="95"/>
      <c r="S779" s="154" t="s">
        <v>33041</v>
      </c>
      <c r="T779" s="84"/>
      <c r="U779" s="84"/>
      <c r="V779" s="84"/>
      <c r="W779" s="84"/>
      <c r="X779" s="84"/>
      <c r="Y779" s="84"/>
      <c r="Z779" s="84"/>
      <c r="AA779" s="84"/>
      <c r="AB779" s="84"/>
      <c r="AC779" s="84"/>
    </row>
    <row r="780" ht="15.75" customHeight="1">
      <c r="A780" s="14" t="s">
        <v>17</v>
      </c>
      <c r="B780" s="14">
        <v>2010.0</v>
      </c>
      <c r="C780" s="14" t="s">
        <v>22012</v>
      </c>
      <c r="D780" s="14" t="s">
        <v>22013</v>
      </c>
      <c r="E780" s="150" t="str">
        <f t="shared" si="13"/>
        <v>http://dx.doi.org/10.1109/TVCG.2010.155</v>
      </c>
      <c r="F780" s="14">
        <v>1525.0</v>
      </c>
      <c r="G780" s="14">
        <v>1532.0</v>
      </c>
      <c r="H780" s="151"/>
      <c r="I780" s="14" t="s">
        <v>17059</v>
      </c>
      <c r="J780" s="14" t="s">
        <v>22014</v>
      </c>
      <c r="K780" s="14" t="s">
        <v>33042</v>
      </c>
      <c r="L780" s="152" t="s">
        <v>24381</v>
      </c>
      <c r="M780" s="14" t="s">
        <v>33043</v>
      </c>
      <c r="N780" s="54" t="s">
        <v>33042</v>
      </c>
      <c r="O780" s="130" t="s">
        <v>22019</v>
      </c>
      <c r="P780" s="153" t="s">
        <v>22020</v>
      </c>
      <c r="Q780" s="14">
        <v>5613494.0</v>
      </c>
      <c r="R780" s="95"/>
      <c r="S780" s="154" t="s">
        <v>33044</v>
      </c>
      <c r="T780" s="84"/>
      <c r="U780" s="84"/>
      <c r="V780" s="84"/>
      <c r="W780" s="84"/>
      <c r="X780" s="84"/>
      <c r="Y780" s="84"/>
      <c r="Z780" s="84"/>
      <c r="AA780" s="84"/>
      <c r="AB780" s="84"/>
      <c r="AC780" s="84"/>
    </row>
    <row r="781" ht="15.75" customHeight="1">
      <c r="A781" s="14" t="s">
        <v>17</v>
      </c>
      <c r="B781" s="14">
        <v>2010.0</v>
      </c>
      <c r="C781" s="14" t="s">
        <v>22021</v>
      </c>
      <c r="D781" s="14" t="s">
        <v>22022</v>
      </c>
      <c r="E781" s="150" t="str">
        <f t="shared" si="13"/>
        <v>http://dx.doi.org/10.1109/TVCG.2010.156</v>
      </c>
      <c r="F781" s="14">
        <v>1541.0</v>
      </c>
      <c r="G781" s="14">
        <v>1550.0</v>
      </c>
      <c r="H781" s="151"/>
      <c r="I781" s="14" t="s">
        <v>17059</v>
      </c>
      <c r="J781" s="14" t="s">
        <v>22023</v>
      </c>
      <c r="K781" s="14" t="s">
        <v>33045</v>
      </c>
      <c r="L781" s="152" t="s">
        <v>24402</v>
      </c>
      <c r="M781" s="14" t="s">
        <v>33046</v>
      </c>
      <c r="N781" s="54" t="s">
        <v>33045</v>
      </c>
      <c r="O781" s="130" t="s">
        <v>22025</v>
      </c>
      <c r="P781" s="153" t="s">
        <v>22026</v>
      </c>
      <c r="Q781" s="14">
        <v>5613496.0</v>
      </c>
      <c r="R781" s="95"/>
      <c r="S781" s="154" t="s">
        <v>33047</v>
      </c>
      <c r="T781" s="84"/>
      <c r="U781" s="84"/>
      <c r="V781" s="84"/>
      <c r="W781" s="84"/>
      <c r="X781" s="84"/>
      <c r="Y781" s="84"/>
      <c r="Z781" s="84"/>
      <c r="AA781" s="84"/>
      <c r="AB781" s="84"/>
      <c r="AC781" s="84"/>
    </row>
    <row r="782" ht="15.75" customHeight="1">
      <c r="A782" s="14" t="s">
        <v>17</v>
      </c>
      <c r="B782" s="14">
        <v>2010.0</v>
      </c>
      <c r="C782" s="14" t="s">
        <v>22027</v>
      </c>
      <c r="D782" s="14" t="s">
        <v>22028</v>
      </c>
      <c r="E782" s="150" t="str">
        <f t="shared" si="13"/>
        <v>http://dx.doi.org/10.1109/TVCG.2010.157</v>
      </c>
      <c r="F782" s="14">
        <v>1613.0</v>
      </c>
      <c r="G782" s="14">
        <v>1622.0</v>
      </c>
      <c r="H782" s="151"/>
      <c r="I782" s="14" t="s">
        <v>17059</v>
      </c>
      <c r="J782" s="14" t="s">
        <v>22030</v>
      </c>
      <c r="K782" s="14" t="s">
        <v>33048</v>
      </c>
      <c r="L782" s="152" t="s">
        <v>24419</v>
      </c>
      <c r="M782" s="14" t="s">
        <v>33049</v>
      </c>
      <c r="N782" s="54" t="s">
        <v>33048</v>
      </c>
      <c r="O782" s="130" t="s">
        <v>22034</v>
      </c>
      <c r="P782" s="153" t="s">
        <v>22035</v>
      </c>
      <c r="Q782" s="14">
        <v>5613504.0</v>
      </c>
      <c r="R782" s="95"/>
      <c r="S782" s="154" t="s">
        <v>33050</v>
      </c>
      <c r="T782" s="84"/>
      <c r="U782" s="84"/>
      <c r="V782" s="84"/>
      <c r="W782" s="84"/>
      <c r="X782" s="84"/>
      <c r="Y782" s="84"/>
      <c r="Z782" s="84"/>
      <c r="AA782" s="84"/>
      <c r="AB782" s="84"/>
      <c r="AC782" s="84"/>
    </row>
    <row r="783" ht="15.75" customHeight="1">
      <c r="A783" s="14" t="s">
        <v>17</v>
      </c>
      <c r="B783" s="14">
        <v>2010.0</v>
      </c>
      <c r="C783" s="14" t="s">
        <v>22036</v>
      </c>
      <c r="D783" s="14" t="s">
        <v>22037</v>
      </c>
      <c r="E783" s="150" t="str">
        <f t="shared" si="13"/>
        <v>http://dx.doi.org/10.1109/TVCG.2010.160</v>
      </c>
      <c r="F783" s="14">
        <v>1495.0</v>
      </c>
      <c r="G783" s="14">
        <v>1504.0</v>
      </c>
      <c r="H783" s="151"/>
      <c r="I783" s="14" t="s">
        <v>17059</v>
      </c>
      <c r="J783" s="14" t="s">
        <v>22038</v>
      </c>
      <c r="K783" s="14" t="s">
        <v>33051</v>
      </c>
      <c r="L783" s="152" t="s">
        <v>22152</v>
      </c>
      <c r="M783" s="14" t="s">
        <v>33052</v>
      </c>
      <c r="N783" s="54" t="s">
        <v>33051</v>
      </c>
      <c r="O783" s="130" t="s">
        <v>22043</v>
      </c>
      <c r="P783" s="153" t="s">
        <v>22044</v>
      </c>
      <c r="Q783" s="14">
        <v>5613491.0</v>
      </c>
      <c r="R783" s="95"/>
      <c r="S783" s="154" t="s">
        <v>33053</v>
      </c>
      <c r="T783" s="84"/>
      <c r="U783" s="84"/>
      <c r="V783" s="84"/>
      <c r="W783" s="84"/>
      <c r="X783" s="84"/>
      <c r="Y783" s="84"/>
      <c r="Z783" s="84"/>
      <c r="AA783" s="84"/>
      <c r="AB783" s="84"/>
      <c r="AC783" s="84"/>
    </row>
    <row r="784" ht="15.75" customHeight="1">
      <c r="A784" s="14" t="s">
        <v>17</v>
      </c>
      <c r="B784" s="14">
        <v>2010.0</v>
      </c>
      <c r="C784" s="14" t="s">
        <v>22045</v>
      </c>
      <c r="D784" s="14" t="s">
        <v>22046</v>
      </c>
      <c r="E784" s="150" t="str">
        <f t="shared" si="13"/>
        <v>http://dx.doi.org/10.1109/TVCG.2010.166</v>
      </c>
      <c r="F784" s="14">
        <v>1329.0</v>
      </c>
      <c r="G784" s="14">
        <v>1338.0</v>
      </c>
      <c r="H784" s="151"/>
      <c r="I784" s="14" t="s">
        <v>17059</v>
      </c>
      <c r="J784" s="14" t="s">
        <v>24541</v>
      </c>
      <c r="K784" s="14" t="s">
        <v>33054</v>
      </c>
      <c r="L784" s="152" t="s">
        <v>24543</v>
      </c>
      <c r="M784" s="14" t="s">
        <v>33055</v>
      </c>
      <c r="N784" s="54" t="s">
        <v>33054</v>
      </c>
      <c r="O784" s="130" t="s">
        <v>22050</v>
      </c>
      <c r="P784" s="153" t="s">
        <v>22051</v>
      </c>
      <c r="Q784" s="14">
        <v>5613473.0</v>
      </c>
      <c r="R784" s="95"/>
      <c r="S784" s="154" t="s">
        <v>33056</v>
      </c>
      <c r="T784" s="84"/>
      <c r="U784" s="84"/>
      <c r="V784" s="84"/>
      <c r="W784" s="84"/>
      <c r="X784" s="84"/>
      <c r="Y784" s="84"/>
      <c r="Z784" s="84"/>
      <c r="AA784" s="84"/>
      <c r="AB784" s="84"/>
      <c r="AC784" s="84"/>
    </row>
    <row r="785" ht="15.75" customHeight="1">
      <c r="A785" s="14" t="s">
        <v>17</v>
      </c>
      <c r="B785" s="14">
        <v>2010.0</v>
      </c>
      <c r="C785" s="14" t="s">
        <v>22155</v>
      </c>
      <c r="D785" s="14" t="s">
        <v>22156</v>
      </c>
      <c r="E785" s="150" t="str">
        <f t="shared" si="13"/>
        <v>http://dx.doi.org/10.1109/TVCG.2010.168</v>
      </c>
      <c r="F785" s="14">
        <v>1386.0</v>
      </c>
      <c r="G785" s="14">
        <v>1395.0</v>
      </c>
      <c r="H785" s="151"/>
      <c r="I785" s="14" t="s">
        <v>17059</v>
      </c>
      <c r="J785" s="14" t="s">
        <v>22157</v>
      </c>
      <c r="K785" s="14" t="s">
        <v>33057</v>
      </c>
      <c r="L785" s="152" t="s">
        <v>13886</v>
      </c>
      <c r="M785" s="14" t="s">
        <v>33058</v>
      </c>
      <c r="N785" s="54" t="s">
        <v>33057</v>
      </c>
      <c r="O785" s="130" t="s">
        <v>22161</v>
      </c>
      <c r="P785" s="153" t="s">
        <v>22162</v>
      </c>
      <c r="Q785" s="14">
        <v>5613479.0</v>
      </c>
      <c r="R785" s="95"/>
      <c r="S785" s="154" t="s">
        <v>33059</v>
      </c>
      <c r="T785" s="84"/>
      <c r="U785" s="84"/>
      <c r="V785" s="84"/>
      <c r="W785" s="84"/>
      <c r="X785" s="84"/>
      <c r="Y785" s="84"/>
      <c r="Z785" s="84"/>
      <c r="AA785" s="84"/>
      <c r="AB785" s="84"/>
      <c r="AC785" s="84"/>
    </row>
    <row r="786" ht="15.75" customHeight="1">
      <c r="A786" s="14" t="s">
        <v>17</v>
      </c>
      <c r="B786" s="14">
        <v>2010.0</v>
      </c>
      <c r="C786" s="14" t="s">
        <v>22163</v>
      </c>
      <c r="D786" s="14" t="s">
        <v>22164</v>
      </c>
      <c r="E786" s="150" t="str">
        <f t="shared" si="13"/>
        <v>http://dx.doi.org/10.1109/TVCG.2010.169</v>
      </c>
      <c r="F786" s="14">
        <v>1569.0</v>
      </c>
      <c r="G786" s="14">
        <v>1577.0</v>
      </c>
      <c r="H786" s="151"/>
      <c r="I786" s="14" t="s">
        <v>17059</v>
      </c>
      <c r="J786" s="14" t="s">
        <v>22165</v>
      </c>
      <c r="K786" s="14" t="s">
        <v>33060</v>
      </c>
      <c r="L786" s="152" t="s">
        <v>33061</v>
      </c>
      <c r="M786" s="14" t="s">
        <v>33062</v>
      </c>
      <c r="N786" s="54" t="s">
        <v>33060</v>
      </c>
      <c r="O786" s="130" t="s">
        <v>22168</v>
      </c>
      <c r="P786" s="153" t="s">
        <v>22169</v>
      </c>
      <c r="Q786" s="14">
        <v>5613499.0</v>
      </c>
      <c r="R786" s="95"/>
      <c r="S786" s="154" t="s">
        <v>33063</v>
      </c>
      <c r="T786" s="84"/>
      <c r="U786" s="84"/>
      <c r="V786" s="84"/>
      <c r="W786" s="84"/>
      <c r="X786" s="84"/>
      <c r="Y786" s="84"/>
      <c r="Z786" s="84"/>
      <c r="AA786" s="84"/>
      <c r="AB786" s="84"/>
      <c r="AC786" s="84"/>
    </row>
    <row r="787" ht="15.75" customHeight="1">
      <c r="A787" s="14" t="s">
        <v>17</v>
      </c>
      <c r="B787" s="14">
        <v>2010.0</v>
      </c>
      <c r="C787" s="14" t="s">
        <v>22170</v>
      </c>
      <c r="D787" s="14" t="s">
        <v>22171</v>
      </c>
      <c r="E787" s="150" t="str">
        <f t="shared" si="13"/>
        <v>http://dx.doi.org/10.1109/TVCG.2010.170</v>
      </c>
      <c r="F787" s="14">
        <v>1560.0</v>
      </c>
      <c r="G787" s="14">
        <v>1568.0</v>
      </c>
      <c r="H787" s="151"/>
      <c r="I787" s="14" t="s">
        <v>17059</v>
      </c>
      <c r="J787" s="14" t="s">
        <v>22172</v>
      </c>
      <c r="K787" s="14" t="s">
        <v>33064</v>
      </c>
      <c r="L787" s="152" t="s">
        <v>24618</v>
      </c>
      <c r="M787" s="14" t="s">
        <v>33065</v>
      </c>
      <c r="N787" s="54" t="s">
        <v>33064</v>
      </c>
      <c r="O787" s="130" t="s">
        <v>22175</v>
      </c>
      <c r="P787" s="153" t="s">
        <v>22176</v>
      </c>
      <c r="Q787" s="14">
        <v>5613498.0</v>
      </c>
      <c r="R787" s="95"/>
      <c r="S787" s="154" t="s">
        <v>33066</v>
      </c>
      <c r="T787" s="84"/>
      <c r="U787" s="84"/>
      <c r="V787" s="84"/>
      <c r="W787" s="84"/>
      <c r="X787" s="84"/>
      <c r="Y787" s="84"/>
      <c r="Z787" s="84"/>
      <c r="AA787" s="84"/>
      <c r="AB787" s="84"/>
      <c r="AC787" s="84"/>
    </row>
    <row r="788" ht="15.75" customHeight="1">
      <c r="A788" s="14" t="s">
        <v>17</v>
      </c>
      <c r="B788" s="14">
        <v>2010.0</v>
      </c>
      <c r="C788" s="14" t="s">
        <v>22177</v>
      </c>
      <c r="D788" s="14" t="s">
        <v>22178</v>
      </c>
      <c r="E788" s="150" t="str">
        <f t="shared" si="13"/>
        <v>http://dx.doi.org/10.1109/TVCG.2010.171</v>
      </c>
      <c r="F788" s="14">
        <v>1449.0</v>
      </c>
      <c r="G788" s="14">
        <v>1457.0</v>
      </c>
      <c r="H788" s="151"/>
      <c r="I788" s="14" t="s">
        <v>17059</v>
      </c>
      <c r="J788" s="14" t="s">
        <v>22179</v>
      </c>
      <c r="K788" s="14" t="s">
        <v>33067</v>
      </c>
      <c r="L788" s="152" t="s">
        <v>15865</v>
      </c>
      <c r="M788" s="14" t="s">
        <v>33068</v>
      </c>
      <c r="N788" s="54" t="s">
        <v>33067</v>
      </c>
      <c r="O788" s="130" t="s">
        <v>22182</v>
      </c>
      <c r="P788" s="153" t="s">
        <v>22183</v>
      </c>
      <c r="Q788" s="14">
        <v>5613486.0</v>
      </c>
      <c r="R788" s="95"/>
      <c r="S788" s="154" t="s">
        <v>33069</v>
      </c>
      <c r="T788" s="84"/>
      <c r="U788" s="84"/>
      <c r="V788" s="84"/>
      <c r="W788" s="84"/>
      <c r="X788" s="84"/>
      <c r="Y788" s="84"/>
      <c r="Z788" s="84"/>
      <c r="AA788" s="84"/>
      <c r="AB788" s="84"/>
      <c r="AC788" s="84"/>
    </row>
    <row r="789" ht="15.75" customHeight="1">
      <c r="A789" s="14" t="s">
        <v>17</v>
      </c>
      <c r="B789" s="14">
        <v>2010.0</v>
      </c>
      <c r="C789" s="14" t="s">
        <v>22184</v>
      </c>
      <c r="D789" s="14" t="s">
        <v>22185</v>
      </c>
      <c r="E789" s="150" t="str">
        <f t="shared" si="13"/>
        <v>http://dx.doi.org/10.1109/TVCG.2010.172</v>
      </c>
      <c r="F789" s="14">
        <v>1441.0</v>
      </c>
      <c r="G789" s="14">
        <v>1448.0</v>
      </c>
      <c r="H789" s="151"/>
      <c r="I789" s="14" t="s">
        <v>17059</v>
      </c>
      <c r="J789" s="14" t="s">
        <v>22186</v>
      </c>
      <c r="K789" s="14" t="s">
        <v>33070</v>
      </c>
      <c r="L789" s="152" t="s">
        <v>24663</v>
      </c>
      <c r="M789" s="14" t="s">
        <v>33071</v>
      </c>
      <c r="N789" s="54" t="s">
        <v>33070</v>
      </c>
      <c r="O789" s="130" t="s">
        <v>22190</v>
      </c>
      <c r="P789" s="153" t="s">
        <v>22191</v>
      </c>
      <c r="Q789" s="14">
        <v>5613485.0</v>
      </c>
      <c r="R789" s="95"/>
      <c r="S789" s="154" t="s">
        <v>33072</v>
      </c>
      <c r="T789" s="84"/>
      <c r="U789" s="84"/>
      <c r="V789" s="84"/>
      <c r="W789" s="84"/>
      <c r="X789" s="84"/>
      <c r="Y789" s="84"/>
      <c r="Z789" s="84"/>
      <c r="AA789" s="84"/>
      <c r="AB789" s="84"/>
      <c r="AC789" s="84"/>
    </row>
    <row r="790" ht="15.75" customHeight="1">
      <c r="A790" s="14" t="s">
        <v>17</v>
      </c>
      <c r="B790" s="14">
        <v>2010.0</v>
      </c>
      <c r="C790" s="14" t="s">
        <v>22192</v>
      </c>
      <c r="D790" s="14" t="s">
        <v>22193</v>
      </c>
      <c r="E790" s="150" t="str">
        <f t="shared" si="13"/>
        <v>http://dx.doi.org/10.1109/TVCG.2010.173</v>
      </c>
      <c r="F790" s="14">
        <v>1319.0</v>
      </c>
      <c r="G790" s="14">
        <v>1328.0</v>
      </c>
      <c r="H790" s="151"/>
      <c r="I790" s="14" t="s">
        <v>17059</v>
      </c>
      <c r="J790" s="14" t="s">
        <v>22194</v>
      </c>
      <c r="K790" s="14" t="s">
        <v>33073</v>
      </c>
      <c r="L790" s="152" t="s">
        <v>24683</v>
      </c>
      <c r="M790" s="14" t="s">
        <v>33074</v>
      </c>
      <c r="N790" s="54" t="s">
        <v>33073</v>
      </c>
      <c r="O790" s="130" t="s">
        <v>22197</v>
      </c>
      <c r="P790" s="153" t="s">
        <v>22198</v>
      </c>
      <c r="Q790" s="14">
        <v>5613472.0</v>
      </c>
      <c r="R790" s="95"/>
      <c r="S790" s="154" t="s">
        <v>33075</v>
      </c>
      <c r="T790" s="84"/>
      <c r="U790" s="84"/>
      <c r="V790" s="84"/>
      <c r="W790" s="84"/>
      <c r="X790" s="84"/>
      <c r="Y790" s="84"/>
      <c r="Z790" s="84"/>
      <c r="AA790" s="84"/>
      <c r="AB790" s="84"/>
      <c r="AC790" s="84"/>
    </row>
    <row r="791" ht="15.75" customHeight="1">
      <c r="A791" s="14" t="s">
        <v>17</v>
      </c>
      <c r="B791" s="14">
        <v>2010.0</v>
      </c>
      <c r="C791" s="14" t="s">
        <v>22199</v>
      </c>
      <c r="D791" s="14" t="s">
        <v>22200</v>
      </c>
      <c r="E791" s="150" t="str">
        <f t="shared" si="13"/>
        <v>http://dx.doi.org/10.1109/TVCG.2010.181</v>
      </c>
      <c r="F791" s="14">
        <v>1421.0</v>
      </c>
      <c r="G791" s="14">
        <v>1430.0</v>
      </c>
      <c r="H791" s="151"/>
      <c r="I791" s="14" t="s">
        <v>17059</v>
      </c>
      <c r="J791" s="14" t="s">
        <v>22201</v>
      </c>
      <c r="K791" s="14" t="s">
        <v>33076</v>
      </c>
      <c r="L791" s="152" t="s">
        <v>860</v>
      </c>
      <c r="M791" s="14" t="s">
        <v>33077</v>
      </c>
      <c r="N791" s="54" t="s">
        <v>33076</v>
      </c>
      <c r="O791" s="130" t="s">
        <v>22205</v>
      </c>
      <c r="P791" s="153" t="s">
        <v>22206</v>
      </c>
      <c r="Q791" s="14">
        <v>5613483.0</v>
      </c>
      <c r="R791" s="95"/>
      <c r="S791" s="154" t="s">
        <v>33078</v>
      </c>
      <c r="T791" s="84"/>
      <c r="U791" s="84"/>
      <c r="V791" s="84"/>
      <c r="W791" s="84"/>
      <c r="X791" s="84"/>
      <c r="Y791" s="84"/>
      <c r="Z791" s="84"/>
      <c r="AA791" s="84"/>
      <c r="AB791" s="84"/>
      <c r="AC791" s="84"/>
    </row>
    <row r="792" ht="15.75" customHeight="1">
      <c r="A792" s="14" t="s">
        <v>17</v>
      </c>
      <c r="B792" s="14">
        <v>2010.0</v>
      </c>
      <c r="C792" s="14" t="s">
        <v>22207</v>
      </c>
      <c r="D792" s="14" t="s">
        <v>22208</v>
      </c>
      <c r="E792" s="150" t="str">
        <f t="shared" si="13"/>
        <v>http://dx.doi.org/10.1109/TVCG.2010.182</v>
      </c>
      <c r="F792" s="14">
        <v>1198.0</v>
      </c>
      <c r="G792" s="14">
        <v>1205.0</v>
      </c>
      <c r="H792" s="151"/>
      <c r="I792" s="14" t="s">
        <v>17059</v>
      </c>
      <c r="J792" s="14" t="s">
        <v>33079</v>
      </c>
      <c r="K792" s="14" t="s">
        <v>33080</v>
      </c>
      <c r="L792" s="152" t="s">
        <v>24845</v>
      </c>
      <c r="M792" s="14" t="s">
        <v>33081</v>
      </c>
      <c r="N792" s="54" t="s">
        <v>33080</v>
      </c>
      <c r="O792" s="130" t="s">
        <v>22212</v>
      </c>
      <c r="P792" s="153" t="s">
        <v>22213</v>
      </c>
      <c r="Q792" s="14">
        <v>5613459.0</v>
      </c>
      <c r="R792" s="95"/>
      <c r="S792" s="154" t="s">
        <v>33082</v>
      </c>
      <c r="T792" s="84"/>
      <c r="U792" s="84"/>
      <c r="V792" s="84"/>
      <c r="W792" s="84"/>
      <c r="X792" s="84"/>
      <c r="Y792" s="84"/>
      <c r="Z792" s="84"/>
      <c r="AA792" s="84"/>
      <c r="AB792" s="84"/>
      <c r="AC792" s="84"/>
    </row>
    <row r="793" ht="15.75" customHeight="1">
      <c r="A793" s="14" t="s">
        <v>17</v>
      </c>
      <c r="B793" s="14">
        <v>2010.0</v>
      </c>
      <c r="C793" s="14" t="s">
        <v>22214</v>
      </c>
      <c r="D793" s="14" t="s">
        <v>22215</v>
      </c>
      <c r="E793" s="150" t="str">
        <f t="shared" si="13"/>
        <v>http://dx.doi.org/10.1109/TVCG.2010.187</v>
      </c>
      <c r="F793" s="14">
        <v>1487.0</v>
      </c>
      <c r="G793" s="14">
        <v>1494.0</v>
      </c>
      <c r="H793" s="151"/>
      <c r="I793" s="14" t="s">
        <v>17059</v>
      </c>
      <c r="J793" s="14" t="s">
        <v>22216</v>
      </c>
      <c r="K793" s="14" t="s">
        <v>33083</v>
      </c>
      <c r="L793" s="152" t="s">
        <v>5349</v>
      </c>
      <c r="M793" s="14" t="s">
        <v>33084</v>
      </c>
      <c r="N793" s="54" t="s">
        <v>33083</v>
      </c>
      <c r="O793" s="130" t="s">
        <v>22220</v>
      </c>
      <c r="P793" s="153" t="s">
        <v>22221</v>
      </c>
      <c r="Q793" s="14">
        <v>5613490.0</v>
      </c>
      <c r="R793" s="95"/>
      <c r="S793" s="154" t="s">
        <v>33085</v>
      </c>
      <c r="T793" s="84"/>
      <c r="U793" s="84"/>
      <c r="V793" s="84"/>
      <c r="W793" s="84"/>
      <c r="X793" s="84"/>
      <c r="Y793" s="84"/>
      <c r="Z793" s="84"/>
      <c r="AA793" s="84"/>
      <c r="AB793" s="84"/>
      <c r="AC793" s="84"/>
    </row>
    <row r="794" ht="15.75" customHeight="1">
      <c r="A794" s="14" t="s">
        <v>17</v>
      </c>
      <c r="B794" s="14">
        <v>2010.0</v>
      </c>
      <c r="C794" s="14" t="s">
        <v>22222</v>
      </c>
      <c r="D794" s="14" t="s">
        <v>22223</v>
      </c>
      <c r="E794" s="150" t="str">
        <f t="shared" si="13"/>
        <v>http://dx.doi.org/10.1109/TVCG.2010.189</v>
      </c>
      <c r="F794" s="14">
        <v>1633.0</v>
      </c>
      <c r="G794" s="14">
        <v>1641.0</v>
      </c>
      <c r="H794" s="151"/>
      <c r="I794" s="14" t="s">
        <v>17059</v>
      </c>
      <c r="J794" s="14" t="s">
        <v>22224</v>
      </c>
      <c r="K794" s="14" t="s">
        <v>33086</v>
      </c>
      <c r="L794" s="152" t="s">
        <v>25188</v>
      </c>
      <c r="M794" s="14" t="s">
        <v>33087</v>
      </c>
      <c r="N794" s="54" t="s">
        <v>33088</v>
      </c>
      <c r="O794" s="130" t="s">
        <v>22226</v>
      </c>
      <c r="P794" s="153" t="s">
        <v>22227</v>
      </c>
      <c r="Q794" s="14">
        <v>5613506.0</v>
      </c>
      <c r="R794" s="95"/>
      <c r="S794" s="154" t="s">
        <v>33089</v>
      </c>
      <c r="T794" s="84"/>
      <c r="U794" s="84"/>
      <c r="V794" s="84"/>
      <c r="W794" s="84"/>
      <c r="X794" s="84"/>
      <c r="Y794" s="84"/>
      <c r="Z794" s="84"/>
      <c r="AA794" s="84"/>
      <c r="AB794" s="84"/>
      <c r="AC794" s="84"/>
    </row>
    <row r="795" ht="15.75" customHeight="1">
      <c r="A795" s="14" t="s">
        <v>17</v>
      </c>
      <c r="B795" s="14">
        <v>2010.0</v>
      </c>
      <c r="C795" s="14" t="s">
        <v>22228</v>
      </c>
      <c r="D795" s="14" t="s">
        <v>22229</v>
      </c>
      <c r="E795" s="150" t="str">
        <f t="shared" si="13"/>
        <v>http://dx.doi.org/10.1109/TVCG.2010.190</v>
      </c>
      <c r="F795" s="14">
        <v>1468.0</v>
      </c>
      <c r="G795" s="14">
        <v>1476.0</v>
      </c>
      <c r="H795" s="151"/>
      <c r="I795" s="14" t="s">
        <v>17059</v>
      </c>
      <c r="J795" s="14" t="s">
        <v>22230</v>
      </c>
      <c r="K795" s="14" t="s">
        <v>33090</v>
      </c>
      <c r="L795" s="152" t="s">
        <v>25206</v>
      </c>
      <c r="M795" s="14" t="s">
        <v>33091</v>
      </c>
      <c r="N795" s="54" t="s">
        <v>33090</v>
      </c>
      <c r="O795" s="130" t="s">
        <v>22234</v>
      </c>
      <c r="P795" s="153" t="s">
        <v>22235</v>
      </c>
      <c r="Q795" s="14">
        <v>5613488.0</v>
      </c>
      <c r="R795" s="95"/>
      <c r="S795" s="154" t="s">
        <v>33092</v>
      </c>
      <c r="T795" s="84"/>
      <c r="U795" s="84"/>
      <c r="V795" s="84"/>
      <c r="W795" s="84"/>
      <c r="X795" s="84"/>
      <c r="Y795" s="84"/>
      <c r="Z795" s="84"/>
      <c r="AA795" s="84"/>
      <c r="AB795" s="84"/>
      <c r="AC795" s="84"/>
    </row>
    <row r="796" ht="15.75" customHeight="1">
      <c r="A796" s="14" t="s">
        <v>17</v>
      </c>
      <c r="B796" s="14">
        <v>2010.0</v>
      </c>
      <c r="C796" s="14" t="s">
        <v>22236</v>
      </c>
      <c r="D796" s="14" t="s">
        <v>22237</v>
      </c>
      <c r="E796" s="150" t="str">
        <f t="shared" si="13"/>
        <v>http://dx.doi.org/10.1109/TVCG.2010.192</v>
      </c>
      <c r="F796" s="14">
        <v>1413.0</v>
      </c>
      <c r="G796" s="14">
        <v>1420.0</v>
      </c>
      <c r="H796" s="151"/>
      <c r="I796" s="14" t="s">
        <v>17059</v>
      </c>
      <c r="J796" s="14" t="s">
        <v>22238</v>
      </c>
      <c r="K796" s="14" t="s">
        <v>33093</v>
      </c>
      <c r="L796" s="152" t="s">
        <v>25242</v>
      </c>
      <c r="M796" s="14" t="s">
        <v>33094</v>
      </c>
      <c r="N796" s="54" t="s">
        <v>33093</v>
      </c>
      <c r="O796" s="130" t="s">
        <v>22242</v>
      </c>
      <c r="P796" s="153" t="s">
        <v>22243</v>
      </c>
      <c r="Q796" s="14">
        <v>5613482.0</v>
      </c>
      <c r="R796" s="95"/>
      <c r="S796" s="154" t="s">
        <v>33095</v>
      </c>
      <c r="T796" s="84"/>
      <c r="U796" s="84"/>
      <c r="V796" s="84"/>
      <c r="W796" s="84"/>
      <c r="X796" s="84"/>
      <c r="Y796" s="84"/>
      <c r="Z796" s="84"/>
      <c r="AA796" s="84"/>
      <c r="AB796" s="84"/>
      <c r="AC796" s="84"/>
    </row>
    <row r="797" ht="15.75" customHeight="1">
      <c r="A797" s="14" t="s">
        <v>17</v>
      </c>
      <c r="B797" s="14">
        <v>2010.0</v>
      </c>
      <c r="C797" s="14" t="s">
        <v>22244</v>
      </c>
      <c r="D797" s="14" t="s">
        <v>22245</v>
      </c>
      <c r="E797" s="150" t="str">
        <f t="shared" si="13"/>
        <v>http://dx.doi.org/10.1109/TVCG.2010.195</v>
      </c>
      <c r="F797" s="14">
        <v>1301.0</v>
      </c>
      <c r="G797" s="14">
        <v>1310.0</v>
      </c>
      <c r="H797" s="151"/>
      <c r="I797" s="14" t="s">
        <v>17059</v>
      </c>
      <c r="J797" s="14" t="s">
        <v>22246</v>
      </c>
      <c r="K797" s="14" t="s">
        <v>33096</v>
      </c>
      <c r="L797" s="152" t="s">
        <v>880</v>
      </c>
      <c r="M797" s="14" t="s">
        <v>33098</v>
      </c>
      <c r="N797" s="54" t="s">
        <v>33096</v>
      </c>
      <c r="O797" s="130" t="s">
        <v>22250</v>
      </c>
      <c r="P797" s="153" t="s">
        <v>22251</v>
      </c>
      <c r="Q797" s="14">
        <v>5613470.0</v>
      </c>
      <c r="R797" s="95"/>
      <c r="S797" s="154" t="s">
        <v>33099</v>
      </c>
      <c r="T797" s="84"/>
      <c r="U797" s="84"/>
      <c r="V797" s="84"/>
      <c r="W797" s="84"/>
      <c r="X797" s="84"/>
      <c r="Y797" s="84"/>
      <c r="Z797" s="84"/>
      <c r="AA797" s="84"/>
      <c r="AB797" s="84"/>
      <c r="AC797" s="84"/>
    </row>
    <row r="798" ht="15.75" customHeight="1">
      <c r="A798" s="14" t="s">
        <v>17</v>
      </c>
      <c r="B798" s="14">
        <v>2010.0</v>
      </c>
      <c r="C798" s="14" t="s">
        <v>22252</v>
      </c>
      <c r="D798" s="14" t="s">
        <v>22253</v>
      </c>
      <c r="E798" s="150" t="str">
        <f t="shared" si="13"/>
        <v>http://dx.doi.org/10.1109/TVCG.2010.196</v>
      </c>
      <c r="F798" s="14">
        <v>1243.0</v>
      </c>
      <c r="G798" s="14">
        <v>1250.0</v>
      </c>
      <c r="H798" s="151"/>
      <c r="I798" s="14" t="s">
        <v>17059</v>
      </c>
      <c r="J798" s="14" t="s">
        <v>22254</v>
      </c>
      <c r="K798" s="14" t="s">
        <v>33100</v>
      </c>
      <c r="L798" s="152" t="s">
        <v>25315</v>
      </c>
      <c r="M798" s="14" t="s">
        <v>33101</v>
      </c>
      <c r="N798" s="54" t="s">
        <v>33102</v>
      </c>
      <c r="O798" s="130" t="s">
        <v>5858</v>
      </c>
      <c r="P798" s="153" t="s">
        <v>22258</v>
      </c>
      <c r="Q798" s="14">
        <v>5613464.0</v>
      </c>
      <c r="R798" s="95"/>
      <c r="S798" s="154">
        <v>885709.0</v>
      </c>
      <c r="T798" s="84"/>
      <c r="U798" s="84"/>
      <c r="V798" s="84"/>
      <c r="W798" s="84"/>
      <c r="X798" s="84"/>
      <c r="Y798" s="84"/>
      <c r="Z798" s="84"/>
      <c r="AA798" s="84"/>
      <c r="AB798" s="84"/>
      <c r="AC798" s="84"/>
    </row>
    <row r="799" ht="15.75" customHeight="1">
      <c r="A799" s="14" t="s">
        <v>17</v>
      </c>
      <c r="B799" s="14">
        <v>2010.0</v>
      </c>
      <c r="C799" s="14" t="s">
        <v>22259</v>
      </c>
      <c r="D799" s="14" t="s">
        <v>22260</v>
      </c>
      <c r="E799" s="150" t="str">
        <f t="shared" si="13"/>
        <v>http://dx.doi.org/10.1109/TVCG.2010.198</v>
      </c>
      <c r="F799" s="14">
        <v>1225.0</v>
      </c>
      <c r="G799" s="14">
        <v>1234.0</v>
      </c>
      <c r="H799" s="151"/>
      <c r="I799" s="14" t="s">
        <v>17059</v>
      </c>
      <c r="J799" s="14" t="s">
        <v>22261</v>
      </c>
      <c r="K799" s="14" t="s">
        <v>33104</v>
      </c>
      <c r="L799" s="152" t="s">
        <v>25349</v>
      </c>
      <c r="M799" s="14" t="s">
        <v>33105</v>
      </c>
      <c r="N799" s="54" t="s">
        <v>33104</v>
      </c>
      <c r="O799" s="130" t="s">
        <v>22264</v>
      </c>
      <c r="P799" s="153" t="s">
        <v>22265</v>
      </c>
      <c r="Q799" s="14">
        <v>5613462.0</v>
      </c>
      <c r="R799" s="95"/>
      <c r="S799" s="154" t="s">
        <v>33106</v>
      </c>
      <c r="T799" s="84"/>
      <c r="U799" s="84"/>
      <c r="V799" s="84"/>
      <c r="W799" s="84"/>
      <c r="X799" s="84"/>
      <c r="Y799" s="84"/>
      <c r="Z799" s="84"/>
      <c r="AA799" s="84"/>
      <c r="AB799" s="84"/>
      <c r="AC799" s="84"/>
    </row>
    <row r="800" ht="15.75" customHeight="1">
      <c r="A800" s="14" t="s">
        <v>17</v>
      </c>
      <c r="B800" s="14">
        <v>2010.0</v>
      </c>
      <c r="C800" s="14" t="s">
        <v>22266</v>
      </c>
      <c r="D800" s="14" t="s">
        <v>22267</v>
      </c>
      <c r="E800" s="150" t="str">
        <f t="shared" si="13"/>
        <v>http://dx.doi.org/10.1109/TVCG.2010.199</v>
      </c>
      <c r="F800" s="14">
        <v>1595.0</v>
      </c>
      <c r="G800" s="14">
        <v>1604.0</v>
      </c>
      <c r="H800" s="151"/>
      <c r="I800" s="14" t="s">
        <v>17059</v>
      </c>
      <c r="J800" s="14" t="s">
        <v>22268</v>
      </c>
      <c r="K800" s="14" t="s">
        <v>30468</v>
      </c>
      <c r="L800" s="152" t="s">
        <v>25371</v>
      </c>
      <c r="M800" s="14" t="s">
        <v>33107</v>
      </c>
      <c r="N800" s="54" t="s">
        <v>30469</v>
      </c>
      <c r="O800" s="130" t="s">
        <v>22272</v>
      </c>
      <c r="P800" s="153" t="s">
        <v>22273</v>
      </c>
      <c r="Q800" s="14">
        <v>5613502.0</v>
      </c>
      <c r="R800" s="95"/>
      <c r="S800" s="154" t="s">
        <v>33108</v>
      </c>
      <c r="T800" s="84"/>
      <c r="U800" s="84"/>
      <c r="V800" s="84"/>
      <c r="W800" s="84"/>
      <c r="X800" s="84"/>
      <c r="Y800" s="84"/>
      <c r="Z800" s="84"/>
      <c r="AA800" s="84"/>
      <c r="AB800" s="84"/>
      <c r="AC800" s="84"/>
    </row>
    <row r="801" ht="15.75" customHeight="1">
      <c r="A801" s="14" t="s">
        <v>17</v>
      </c>
      <c r="B801" s="14">
        <v>2010.0</v>
      </c>
      <c r="C801" s="14" t="s">
        <v>22274</v>
      </c>
      <c r="D801" s="14" t="s">
        <v>22275</v>
      </c>
      <c r="E801" s="150" t="str">
        <f t="shared" si="13"/>
        <v>http://dx.doi.org/10.1109/TVCG.2010.200</v>
      </c>
      <c r="F801" s="14">
        <v>1348.0</v>
      </c>
      <c r="G801" s="14">
        <v>1357.0</v>
      </c>
      <c r="H801" s="151"/>
      <c r="I801" s="14" t="s">
        <v>17059</v>
      </c>
      <c r="J801" s="14" t="s">
        <v>22276</v>
      </c>
      <c r="K801" s="14" t="s">
        <v>33109</v>
      </c>
      <c r="L801" s="152" t="s">
        <v>25391</v>
      </c>
      <c r="M801" s="14" t="s">
        <v>33110</v>
      </c>
      <c r="N801" s="54" t="s">
        <v>33109</v>
      </c>
      <c r="O801" s="130" t="s">
        <v>22280</v>
      </c>
      <c r="P801" s="153" t="s">
        <v>22281</v>
      </c>
      <c r="Q801" s="14">
        <v>5613475.0</v>
      </c>
      <c r="R801" s="95"/>
      <c r="S801" s="154" t="s">
        <v>33111</v>
      </c>
      <c r="T801" s="84"/>
      <c r="U801" s="84"/>
      <c r="V801" s="84"/>
      <c r="W801" s="84"/>
      <c r="X801" s="84"/>
      <c r="Y801" s="84"/>
      <c r="Z801" s="84"/>
      <c r="AA801" s="84"/>
      <c r="AB801" s="84"/>
      <c r="AC801" s="84"/>
    </row>
    <row r="802" ht="15.75" customHeight="1">
      <c r="A802" s="14" t="s">
        <v>17</v>
      </c>
      <c r="B802" s="14">
        <v>2010.0</v>
      </c>
      <c r="C802" s="14" t="s">
        <v>22282</v>
      </c>
      <c r="D802" s="14" t="s">
        <v>22283</v>
      </c>
      <c r="E802" s="150" t="str">
        <f t="shared" si="13"/>
        <v>http://dx.doi.org/10.1109/TVCG.2010.202</v>
      </c>
      <c r="F802" s="14">
        <v>1605.0</v>
      </c>
      <c r="G802" s="14">
        <v>1612.0</v>
      </c>
      <c r="H802" s="151"/>
      <c r="I802" s="14" t="s">
        <v>17059</v>
      </c>
      <c r="J802" s="14" t="s">
        <v>22284</v>
      </c>
      <c r="K802" s="14" t="s">
        <v>33112</v>
      </c>
      <c r="L802" s="152" t="s">
        <v>25411</v>
      </c>
      <c r="M802" s="14" t="s">
        <v>33114</v>
      </c>
      <c r="N802" s="54" t="s">
        <v>33112</v>
      </c>
      <c r="O802" s="130" t="s">
        <v>5110</v>
      </c>
      <c r="P802" s="153" t="s">
        <v>22288</v>
      </c>
      <c r="Q802" s="14">
        <v>5613503.0</v>
      </c>
      <c r="R802" s="95"/>
      <c r="S802" s="154">
        <v>809890.0</v>
      </c>
      <c r="T802" s="84"/>
      <c r="U802" s="84"/>
      <c r="V802" s="84"/>
      <c r="W802" s="84"/>
      <c r="X802" s="84"/>
      <c r="Y802" s="84"/>
      <c r="Z802" s="84"/>
      <c r="AA802" s="84"/>
      <c r="AB802" s="84"/>
      <c r="AC802" s="84"/>
    </row>
    <row r="803" ht="15.75" customHeight="1">
      <c r="A803" s="14" t="s">
        <v>17</v>
      </c>
      <c r="B803" s="14">
        <v>2010.0</v>
      </c>
      <c r="C803" s="14" t="s">
        <v>22289</v>
      </c>
      <c r="D803" s="14" t="s">
        <v>22290</v>
      </c>
      <c r="E803" s="150" t="str">
        <f t="shared" si="13"/>
        <v>http://dx.doi.org/10.1109/TVCG.2010.207</v>
      </c>
      <c r="F803" s="14">
        <v>1281.0</v>
      </c>
      <c r="G803" s="14">
        <v>1290.0</v>
      </c>
      <c r="H803" s="151"/>
      <c r="I803" s="14" t="s">
        <v>17059</v>
      </c>
      <c r="J803" s="14" t="s">
        <v>22291</v>
      </c>
      <c r="K803" s="14" t="s">
        <v>33115</v>
      </c>
      <c r="L803" s="152" t="s">
        <v>25454</v>
      </c>
      <c r="M803" s="14" t="s">
        <v>33116</v>
      </c>
      <c r="N803" s="54" t="s">
        <v>33115</v>
      </c>
      <c r="O803" s="130" t="s">
        <v>22295</v>
      </c>
      <c r="P803" s="153" t="s">
        <v>22296</v>
      </c>
      <c r="Q803" s="14">
        <v>5613468.0</v>
      </c>
      <c r="R803" s="95"/>
      <c r="S803" s="154" t="s">
        <v>33117</v>
      </c>
      <c r="T803" s="84"/>
      <c r="U803" s="84"/>
      <c r="V803" s="84"/>
      <c r="W803" s="84"/>
      <c r="X803" s="84"/>
      <c r="Y803" s="84"/>
      <c r="Z803" s="84"/>
      <c r="AA803" s="84"/>
      <c r="AB803" s="84"/>
      <c r="AC803" s="84"/>
    </row>
    <row r="804" ht="15.75" customHeight="1">
      <c r="A804" s="14" t="s">
        <v>17</v>
      </c>
      <c r="B804" s="14">
        <v>2010.0</v>
      </c>
      <c r="C804" s="14" t="s">
        <v>22297</v>
      </c>
      <c r="D804" s="14" t="s">
        <v>22298</v>
      </c>
      <c r="E804" s="150" t="str">
        <f t="shared" si="13"/>
        <v>http://dx.doi.org/10.1109/TVCG.2010.208</v>
      </c>
      <c r="F804" s="14">
        <v>1358.0</v>
      </c>
      <c r="G804" s="14">
        <v>1365.0</v>
      </c>
      <c r="H804" s="151"/>
      <c r="I804" s="14" t="s">
        <v>17059</v>
      </c>
      <c r="J804" s="14" t="s">
        <v>22299</v>
      </c>
      <c r="K804" s="14" t="s">
        <v>33118</v>
      </c>
      <c r="L804" s="152" t="s">
        <v>25466</v>
      </c>
      <c r="M804" s="14" t="s">
        <v>33119</v>
      </c>
      <c r="N804" s="54" t="s">
        <v>33118</v>
      </c>
      <c r="O804" s="130" t="s">
        <v>22303</v>
      </c>
      <c r="P804" s="153" t="s">
        <v>22304</v>
      </c>
      <c r="Q804" s="14">
        <v>5613476.0</v>
      </c>
      <c r="R804" s="95"/>
      <c r="S804" s="154" t="s">
        <v>33120</v>
      </c>
      <c r="T804" s="84"/>
      <c r="U804" s="84"/>
      <c r="V804" s="84"/>
      <c r="W804" s="84"/>
      <c r="X804" s="84"/>
      <c r="Y804" s="84"/>
      <c r="Z804" s="84"/>
      <c r="AA804" s="84"/>
      <c r="AB804" s="84"/>
      <c r="AC804" s="84"/>
    </row>
    <row r="805" ht="15.75" customHeight="1">
      <c r="A805" s="14" t="s">
        <v>17</v>
      </c>
      <c r="B805" s="14">
        <v>2010.0</v>
      </c>
      <c r="C805" s="14" t="s">
        <v>22305</v>
      </c>
      <c r="D805" s="14" t="s">
        <v>22306</v>
      </c>
      <c r="E805" s="150" t="str">
        <f t="shared" si="13"/>
        <v>http://dx.doi.org/10.1109/TVCG.2010.211</v>
      </c>
      <c r="F805" s="14">
        <v>1515.0</v>
      </c>
      <c r="G805" s="14">
        <v>1524.0</v>
      </c>
      <c r="H805" s="151"/>
      <c r="I805" s="14" t="s">
        <v>17059</v>
      </c>
      <c r="J805" s="14" t="s">
        <v>22307</v>
      </c>
      <c r="K805" s="14" t="s">
        <v>33121</v>
      </c>
      <c r="L805" s="152" t="s">
        <v>25500</v>
      </c>
      <c r="M805" s="14" t="s">
        <v>33122</v>
      </c>
      <c r="N805" s="54" t="s">
        <v>33121</v>
      </c>
      <c r="O805" s="130" t="s">
        <v>22310</v>
      </c>
      <c r="P805" s="153" t="s">
        <v>22311</v>
      </c>
      <c r="Q805" s="14">
        <v>5613493.0</v>
      </c>
      <c r="R805" s="95"/>
      <c r="S805" s="154" t="s">
        <v>33123</v>
      </c>
      <c r="T805" s="84"/>
      <c r="U805" s="84"/>
      <c r="V805" s="84"/>
      <c r="W805" s="84"/>
      <c r="X805" s="84"/>
      <c r="Y805" s="84"/>
      <c r="Z805" s="84"/>
      <c r="AA805" s="84"/>
      <c r="AB805" s="84"/>
      <c r="AC805" s="84"/>
    </row>
    <row r="806" ht="15.75" customHeight="1">
      <c r="A806" s="14" t="s">
        <v>17</v>
      </c>
      <c r="B806" s="14">
        <v>2010.0</v>
      </c>
      <c r="C806" s="14" t="s">
        <v>22312</v>
      </c>
      <c r="D806" s="14" t="s">
        <v>22313</v>
      </c>
      <c r="E806" s="150" t="str">
        <f t="shared" si="13"/>
        <v>http://dx.doi.org/10.1109/TVCG.2010.212</v>
      </c>
      <c r="F806" s="14">
        <v>1578.0</v>
      </c>
      <c r="G806" s="14">
        <v>1586.0</v>
      </c>
      <c r="H806" s="151"/>
      <c r="I806" s="14" t="s">
        <v>17059</v>
      </c>
      <c r="J806" s="14" t="s">
        <v>22314</v>
      </c>
      <c r="K806" s="14" t="s">
        <v>33124</v>
      </c>
      <c r="L806" s="152" t="s">
        <v>23373</v>
      </c>
      <c r="M806" s="14" t="s">
        <v>33125</v>
      </c>
      <c r="N806" s="54" t="s">
        <v>33124</v>
      </c>
      <c r="O806" s="130" t="s">
        <v>22318</v>
      </c>
      <c r="P806" s="153" t="s">
        <v>22319</v>
      </c>
      <c r="Q806" s="14">
        <v>5613500.0</v>
      </c>
      <c r="R806" s="95"/>
      <c r="S806" s="154" t="s">
        <v>33126</v>
      </c>
      <c r="T806" s="84"/>
      <c r="U806" s="84"/>
      <c r="V806" s="84"/>
      <c r="W806" s="84"/>
      <c r="X806" s="84"/>
      <c r="Y806" s="84"/>
      <c r="Z806" s="84"/>
      <c r="AA806" s="84"/>
      <c r="AB806" s="84"/>
      <c r="AC806" s="84"/>
    </row>
    <row r="807" ht="15.75" customHeight="1">
      <c r="A807" s="14" t="s">
        <v>17</v>
      </c>
      <c r="B807" s="14">
        <v>2010.0</v>
      </c>
      <c r="C807" s="14" t="s">
        <v>22320</v>
      </c>
      <c r="D807" s="14" t="s">
        <v>22321</v>
      </c>
      <c r="E807" s="150" t="str">
        <f t="shared" si="13"/>
        <v>http://dx.doi.org/10.1109/TVCG.2010.213</v>
      </c>
      <c r="F807" s="14">
        <v>1271.0</v>
      </c>
      <c r="G807" s="14">
        <v>1280.0</v>
      </c>
      <c r="H807" s="151"/>
      <c r="I807" s="14" t="s">
        <v>17059</v>
      </c>
      <c r="J807" s="14" t="s">
        <v>22322</v>
      </c>
      <c r="K807" s="14" t="s">
        <v>33128</v>
      </c>
      <c r="L807" s="152" t="s">
        <v>22895</v>
      </c>
      <c r="M807" s="14" t="s">
        <v>33129</v>
      </c>
      <c r="N807" s="54" t="s">
        <v>33130</v>
      </c>
      <c r="O807" s="130" t="s">
        <v>22326</v>
      </c>
      <c r="P807" s="153" t="s">
        <v>22327</v>
      </c>
      <c r="Q807" s="14">
        <v>5613467.0</v>
      </c>
      <c r="R807" s="95"/>
      <c r="S807" s="154" t="s">
        <v>33131</v>
      </c>
      <c r="T807" s="84"/>
      <c r="U807" s="84"/>
      <c r="V807" s="84"/>
      <c r="W807" s="84"/>
      <c r="X807" s="84"/>
      <c r="Y807" s="84"/>
      <c r="Z807" s="84"/>
      <c r="AA807" s="84"/>
      <c r="AB807" s="84"/>
      <c r="AC807" s="84"/>
    </row>
    <row r="808" ht="15.75" customHeight="1">
      <c r="A808" s="14" t="s">
        <v>17</v>
      </c>
      <c r="B808" s="14">
        <v>2010.0</v>
      </c>
      <c r="C808" s="14" t="s">
        <v>22328</v>
      </c>
      <c r="D808" s="14" t="s">
        <v>22329</v>
      </c>
      <c r="E808" s="150" t="str">
        <f t="shared" si="13"/>
        <v>http://dx.doi.org/10.1109/TVCG.2010.214</v>
      </c>
      <c r="F808" s="14">
        <v>1477.0</v>
      </c>
      <c r="G808" s="14">
        <v>1486.0</v>
      </c>
      <c r="H808" s="151"/>
      <c r="I808" s="14" t="s">
        <v>17059</v>
      </c>
      <c r="J808" s="14" t="s">
        <v>22330</v>
      </c>
      <c r="K808" s="14" t="s">
        <v>33132</v>
      </c>
      <c r="L808" s="152" t="s">
        <v>25533</v>
      </c>
      <c r="M808" s="14" t="s">
        <v>33133</v>
      </c>
      <c r="N808" s="54" t="s">
        <v>33132</v>
      </c>
      <c r="O808" s="130" t="s">
        <v>22334</v>
      </c>
      <c r="P808" s="16"/>
      <c r="Q808" s="14">
        <v>5613489.0</v>
      </c>
      <c r="R808" s="95"/>
      <c r="S808" s="154" t="s">
        <v>33134</v>
      </c>
      <c r="T808" s="84"/>
      <c r="U808" s="84"/>
      <c r="V808" s="84"/>
      <c r="W808" s="84"/>
      <c r="X808" s="84"/>
      <c r="Y808" s="84"/>
      <c r="Z808" s="84"/>
      <c r="AA808" s="84"/>
      <c r="AB808" s="84"/>
      <c r="AC808" s="84"/>
    </row>
    <row r="809" ht="15.75" customHeight="1">
      <c r="A809" s="14" t="s">
        <v>17</v>
      </c>
      <c r="B809" s="14">
        <v>2010.0</v>
      </c>
      <c r="C809" s="14" t="s">
        <v>22335</v>
      </c>
      <c r="D809" s="14" t="s">
        <v>22336</v>
      </c>
      <c r="E809" s="150" t="str">
        <f t="shared" si="13"/>
        <v>http://dx.doi.org/10.1109/TVCG.2010.215</v>
      </c>
      <c r="F809" s="14">
        <v>1551.0</v>
      </c>
      <c r="G809" s="14">
        <v>1559.0</v>
      </c>
      <c r="H809" s="151"/>
      <c r="I809" s="14" t="s">
        <v>17059</v>
      </c>
      <c r="J809" s="14" t="s">
        <v>22337</v>
      </c>
      <c r="K809" s="14" t="s">
        <v>33135</v>
      </c>
      <c r="L809" s="152" t="s">
        <v>23188</v>
      </c>
      <c r="M809" s="14" t="s">
        <v>33136</v>
      </c>
      <c r="N809" s="54" t="s">
        <v>33135</v>
      </c>
      <c r="O809" s="130" t="s">
        <v>22339</v>
      </c>
      <c r="P809" s="153" t="s">
        <v>22340</v>
      </c>
      <c r="Q809" s="14">
        <v>5613497.0</v>
      </c>
      <c r="R809" s="95"/>
      <c r="S809" s="154" t="s">
        <v>33137</v>
      </c>
      <c r="T809" s="84"/>
      <c r="U809" s="84"/>
      <c r="V809" s="84"/>
      <c r="W809" s="84"/>
      <c r="X809" s="84"/>
      <c r="Y809" s="84"/>
      <c r="Z809" s="84"/>
      <c r="AA809" s="84"/>
      <c r="AB809" s="84"/>
      <c r="AC809" s="84"/>
    </row>
    <row r="810" ht="15.75" customHeight="1">
      <c r="A810" s="14" t="s">
        <v>17</v>
      </c>
      <c r="B810" s="14">
        <v>2010.0</v>
      </c>
      <c r="C810" s="14" t="s">
        <v>22341</v>
      </c>
      <c r="D810" s="14" t="s">
        <v>22342</v>
      </c>
      <c r="E810" s="150" t="str">
        <f t="shared" si="13"/>
        <v>http://dx.doi.org/10.1109/TVCG.2010.218</v>
      </c>
      <c r="F810" s="14">
        <v>1587.0</v>
      </c>
      <c r="G810" s="14">
        <v>1594.0</v>
      </c>
      <c r="H810" s="151"/>
      <c r="I810" s="14" t="s">
        <v>17059</v>
      </c>
      <c r="J810" s="14" t="s">
        <v>22343</v>
      </c>
      <c r="K810" s="14" t="s">
        <v>33138</v>
      </c>
      <c r="L810" s="152" t="s">
        <v>25582</v>
      </c>
      <c r="M810" s="14" t="s">
        <v>33139</v>
      </c>
      <c r="N810" s="54" t="s">
        <v>33138</v>
      </c>
      <c r="O810" s="130" t="s">
        <v>22345</v>
      </c>
      <c r="P810" s="153" t="s">
        <v>22346</v>
      </c>
      <c r="Q810" s="14">
        <v>5613501.0</v>
      </c>
      <c r="R810" s="95"/>
      <c r="S810" s="154" t="s">
        <v>33140</v>
      </c>
      <c r="T810" s="84"/>
      <c r="U810" s="84"/>
      <c r="V810" s="84"/>
      <c r="W810" s="84"/>
      <c r="X810" s="84"/>
      <c r="Y810" s="84"/>
      <c r="Z810" s="84"/>
      <c r="AA810" s="84"/>
      <c r="AB810" s="84"/>
      <c r="AC810" s="84"/>
    </row>
    <row r="811" ht="15.75" customHeight="1">
      <c r="A811" s="14" t="s">
        <v>17</v>
      </c>
      <c r="B811" s="14">
        <v>2010.0</v>
      </c>
      <c r="C811" s="14" t="s">
        <v>22347</v>
      </c>
      <c r="D811" s="14" t="s">
        <v>22348</v>
      </c>
      <c r="E811" s="150" t="str">
        <f t="shared" si="13"/>
        <v>http://dx.doi.org/10.1109/TVCG.2010.221</v>
      </c>
      <c r="F811" s="14">
        <v>1405.0</v>
      </c>
      <c r="G811" s="14">
        <v>1412.0</v>
      </c>
      <c r="H811" s="151"/>
      <c r="I811" s="14" t="s">
        <v>17059</v>
      </c>
      <c r="J811" s="14" t="s">
        <v>22349</v>
      </c>
      <c r="K811" s="14" t="s">
        <v>33141</v>
      </c>
      <c r="L811" s="152" t="s">
        <v>25594</v>
      </c>
      <c r="M811" s="14" t="s">
        <v>33142</v>
      </c>
      <c r="N811" s="54" t="s">
        <v>33141</v>
      </c>
      <c r="O811" s="130" t="s">
        <v>22353</v>
      </c>
      <c r="P811" s="153" t="s">
        <v>22354</v>
      </c>
      <c r="Q811" s="14">
        <v>5613481.0</v>
      </c>
      <c r="R811" s="95"/>
      <c r="S811" s="154" t="s">
        <v>33143</v>
      </c>
      <c r="T811" s="84"/>
      <c r="U811" s="84"/>
      <c r="V811" s="84"/>
      <c r="W811" s="84"/>
      <c r="X811" s="84"/>
      <c r="Y811" s="84"/>
      <c r="Z811" s="84"/>
      <c r="AA811" s="84"/>
      <c r="AB811" s="84"/>
      <c r="AC811" s="84"/>
    </row>
    <row r="812" ht="15.75" customHeight="1">
      <c r="A812" s="14" t="s">
        <v>17</v>
      </c>
      <c r="B812" s="14">
        <v>2010.0</v>
      </c>
      <c r="C812" s="14" t="s">
        <v>22355</v>
      </c>
      <c r="D812" s="14" t="s">
        <v>22356</v>
      </c>
      <c r="E812" s="150" t="str">
        <f t="shared" si="13"/>
        <v>http://dx.doi.org/10.1109/TVCG.2010.223</v>
      </c>
      <c r="F812" s="14">
        <v>1458.0</v>
      </c>
      <c r="G812" s="14">
        <v>1467.0</v>
      </c>
      <c r="H812" s="151"/>
      <c r="I812" s="14" t="s">
        <v>17059</v>
      </c>
      <c r="J812" s="14" t="s">
        <v>22357</v>
      </c>
      <c r="K812" s="14" t="s">
        <v>33146</v>
      </c>
      <c r="L812" s="152" t="s">
        <v>25651</v>
      </c>
      <c r="M812" s="14" t="s">
        <v>33147</v>
      </c>
      <c r="N812" s="54" t="s">
        <v>33148</v>
      </c>
      <c r="O812" s="130" t="s">
        <v>22361</v>
      </c>
      <c r="P812" s="153" t="s">
        <v>22362</v>
      </c>
      <c r="Q812" s="14">
        <v>5613487.0</v>
      </c>
      <c r="R812" s="95"/>
      <c r="S812" s="154" t="s">
        <v>33149</v>
      </c>
      <c r="T812" s="84"/>
      <c r="U812" s="84"/>
      <c r="V812" s="84"/>
      <c r="W812" s="84"/>
      <c r="X812" s="84"/>
      <c r="Y812" s="84"/>
      <c r="Z812" s="84"/>
      <c r="AA812" s="84"/>
      <c r="AB812" s="84"/>
      <c r="AC812" s="84"/>
    </row>
    <row r="813" ht="15.75" customHeight="1">
      <c r="A813" s="14" t="s">
        <v>2137</v>
      </c>
      <c r="B813" s="14">
        <v>2009.0</v>
      </c>
      <c r="C813" s="14" t="s">
        <v>20033</v>
      </c>
      <c r="D813" s="14" t="s">
        <v>20034</v>
      </c>
      <c r="E813" s="150" t="str">
        <f t="shared" si="13"/>
        <v>http://dx.doi.org/10.1109/TVCG.2009.108</v>
      </c>
      <c r="F813" s="14">
        <v>953.0</v>
      </c>
      <c r="G813" s="14">
        <v>960.0</v>
      </c>
      <c r="H813" s="151"/>
      <c r="I813" s="14" t="s">
        <v>17059</v>
      </c>
      <c r="J813" s="14" t="s">
        <v>20035</v>
      </c>
      <c r="K813" s="14" t="s">
        <v>33153</v>
      </c>
      <c r="L813" s="152" t="s">
        <v>22069</v>
      </c>
      <c r="M813" s="14" t="s">
        <v>33154</v>
      </c>
      <c r="N813" s="54" t="s">
        <v>33153</v>
      </c>
      <c r="O813" s="130" t="s">
        <v>20038</v>
      </c>
      <c r="P813" s="153" t="s">
        <v>20039</v>
      </c>
      <c r="Q813" s="14">
        <v>5290699.0</v>
      </c>
      <c r="R813" s="95"/>
      <c r="S813" s="154" t="s">
        <v>33155</v>
      </c>
      <c r="T813" s="84"/>
      <c r="U813" s="84"/>
      <c r="V813" s="84"/>
      <c r="W813" s="84"/>
      <c r="X813" s="84"/>
      <c r="Y813" s="84"/>
      <c r="Z813" s="84"/>
      <c r="AA813" s="84"/>
      <c r="AB813" s="84"/>
      <c r="AC813" s="84"/>
    </row>
    <row r="814" ht="15.75" customHeight="1">
      <c r="A814" s="14" t="s">
        <v>2137</v>
      </c>
      <c r="B814" s="14">
        <v>2009.0</v>
      </c>
      <c r="C814" s="14" t="s">
        <v>20040</v>
      </c>
      <c r="D814" s="14" t="s">
        <v>20041</v>
      </c>
      <c r="E814" s="150" t="str">
        <f t="shared" si="13"/>
        <v>http://dx.doi.org/10.1109/TVCG.2009.109</v>
      </c>
      <c r="F814" s="14">
        <v>961.0</v>
      </c>
      <c r="G814" s="14">
        <v>968.0</v>
      </c>
      <c r="H814" s="151"/>
      <c r="I814" s="14" t="s">
        <v>17059</v>
      </c>
      <c r="J814" s="14" t="s">
        <v>20042</v>
      </c>
      <c r="K814" s="14" t="s">
        <v>33163</v>
      </c>
      <c r="L814" s="152" t="s">
        <v>1253</v>
      </c>
      <c r="M814" s="14" t="s">
        <v>33164</v>
      </c>
      <c r="N814" s="54" t="s">
        <v>33163</v>
      </c>
      <c r="O814" s="130" t="s">
        <v>19181</v>
      </c>
      <c r="P814" s="153" t="s">
        <v>20047</v>
      </c>
      <c r="Q814" s="14">
        <v>5290700.0</v>
      </c>
      <c r="R814" s="95"/>
      <c r="S814" s="154">
        <v>4658147.0</v>
      </c>
      <c r="T814" s="84"/>
      <c r="U814" s="84"/>
      <c r="V814" s="84"/>
      <c r="W814" s="84"/>
      <c r="X814" s="84"/>
      <c r="Y814" s="84"/>
      <c r="Z814" s="84"/>
      <c r="AA814" s="84"/>
      <c r="AB814" s="84"/>
      <c r="AC814" s="84"/>
    </row>
    <row r="815" ht="15.75" customHeight="1">
      <c r="A815" s="14" t="s">
        <v>2137</v>
      </c>
      <c r="B815" s="14">
        <v>2009.0</v>
      </c>
      <c r="C815" s="14" t="s">
        <v>20048</v>
      </c>
      <c r="D815" s="14" t="s">
        <v>20049</v>
      </c>
      <c r="E815" s="150" t="str">
        <f t="shared" si="13"/>
        <v>http://dx.doi.org/10.1109/TVCG.2009.110</v>
      </c>
      <c r="F815" s="14">
        <v>1113.0</v>
      </c>
      <c r="G815" s="14">
        <v>1120.0</v>
      </c>
      <c r="H815" s="151"/>
      <c r="I815" s="14" t="s">
        <v>17059</v>
      </c>
      <c r="J815" s="14" t="s">
        <v>20051</v>
      </c>
      <c r="K815" s="14" t="s">
        <v>33166</v>
      </c>
      <c r="L815" s="152" t="s">
        <v>11861</v>
      </c>
      <c r="M815" s="14" t="s">
        <v>33168</v>
      </c>
      <c r="N815" s="54" t="s">
        <v>33166</v>
      </c>
      <c r="O815" s="130" t="s">
        <v>20054</v>
      </c>
      <c r="P815" s="153" t="s">
        <v>20055</v>
      </c>
      <c r="Q815" s="14">
        <v>5290719.0</v>
      </c>
      <c r="R815" s="95"/>
      <c r="S815" s="154" t="s">
        <v>33172</v>
      </c>
      <c r="T815" s="84"/>
      <c r="U815" s="84"/>
      <c r="V815" s="84"/>
      <c r="W815" s="84"/>
      <c r="X815" s="84"/>
      <c r="Y815" s="84"/>
      <c r="Z815" s="84"/>
      <c r="AA815" s="84"/>
      <c r="AB815" s="84"/>
      <c r="AC815" s="84"/>
    </row>
    <row r="816" ht="15.75" customHeight="1">
      <c r="A816" s="14" t="s">
        <v>2137</v>
      </c>
      <c r="B816" s="14">
        <v>2009.0</v>
      </c>
      <c r="C816" s="14" t="s">
        <v>20057</v>
      </c>
      <c r="D816" s="14" t="s">
        <v>20058</v>
      </c>
      <c r="E816" s="150" t="str">
        <f t="shared" si="13"/>
        <v>http://dx.doi.org/10.1109/TVCG.2009.111</v>
      </c>
      <c r="F816" s="14">
        <v>921.0</v>
      </c>
      <c r="G816" s="14">
        <v>928.0</v>
      </c>
      <c r="H816" s="151"/>
      <c r="I816" s="14" t="s">
        <v>17059</v>
      </c>
      <c r="J816" s="14" t="s">
        <v>20060</v>
      </c>
      <c r="K816" s="14" t="s">
        <v>9549</v>
      </c>
      <c r="L816" s="152" t="s">
        <v>22073</v>
      </c>
      <c r="M816" s="14">
        <v>3.73494903E10</v>
      </c>
      <c r="N816" s="54" t="s">
        <v>9549</v>
      </c>
      <c r="O816" s="130" t="s">
        <v>20061</v>
      </c>
      <c r="P816" s="153" t="s">
        <v>20062</v>
      </c>
      <c r="Q816" s="14">
        <v>5290695.0</v>
      </c>
      <c r="R816" s="95"/>
      <c r="S816" s="154" t="s">
        <v>33177</v>
      </c>
      <c r="T816" s="84"/>
      <c r="U816" s="84"/>
      <c r="V816" s="84"/>
      <c r="W816" s="84"/>
      <c r="X816" s="84"/>
      <c r="Y816" s="84"/>
      <c r="Z816" s="84"/>
      <c r="AA816" s="84"/>
      <c r="AB816" s="84"/>
      <c r="AC816" s="84"/>
    </row>
    <row r="817" ht="15.75" customHeight="1">
      <c r="A817" s="14" t="s">
        <v>2137</v>
      </c>
      <c r="B817" s="14">
        <v>2009.0</v>
      </c>
      <c r="C817" s="14" t="s">
        <v>20063</v>
      </c>
      <c r="D817" s="14" t="s">
        <v>20064</v>
      </c>
      <c r="E817" s="150" t="str">
        <f t="shared" si="13"/>
        <v>http://dx.doi.org/10.1109/TVCG.2009.116</v>
      </c>
      <c r="F817" s="14">
        <v>881.0</v>
      </c>
      <c r="G817" s="14">
        <v>888.0</v>
      </c>
      <c r="H817" s="151"/>
      <c r="I817" s="14" t="s">
        <v>17059</v>
      </c>
      <c r="J817" s="14" t="s">
        <v>20066</v>
      </c>
      <c r="K817" s="14" t="s">
        <v>33178</v>
      </c>
      <c r="L817" s="152" t="s">
        <v>22085</v>
      </c>
      <c r="M817" s="14" t="s">
        <v>33180</v>
      </c>
      <c r="N817" s="54" t="s">
        <v>33178</v>
      </c>
      <c r="O817" s="130" t="s">
        <v>17268</v>
      </c>
      <c r="P817" s="153" t="s">
        <v>20070</v>
      </c>
      <c r="Q817" s="14">
        <v>5290690.0</v>
      </c>
      <c r="R817" s="95"/>
      <c r="S817" s="154">
        <v>4015425.0</v>
      </c>
      <c r="T817" s="84"/>
      <c r="U817" s="84"/>
      <c r="V817" s="84"/>
      <c r="W817" s="84"/>
      <c r="X817" s="84"/>
      <c r="Y817" s="84"/>
      <c r="Z817" s="84"/>
      <c r="AA817" s="84"/>
      <c r="AB817" s="84"/>
      <c r="AC817" s="84"/>
    </row>
    <row r="818" ht="15.75" customHeight="1">
      <c r="A818" s="14" t="s">
        <v>2137</v>
      </c>
      <c r="B818" s="14">
        <v>2009.0</v>
      </c>
      <c r="C818" s="14" t="s">
        <v>20072</v>
      </c>
      <c r="D818" s="14" t="s">
        <v>20073</v>
      </c>
      <c r="E818" s="150" t="str">
        <f t="shared" si="13"/>
        <v>http://dx.doi.org/10.1109/TVCG.2009.117</v>
      </c>
      <c r="F818" s="14">
        <v>945.0</v>
      </c>
      <c r="G818" s="14">
        <v>952.0</v>
      </c>
      <c r="H818" s="151"/>
      <c r="I818" s="14" t="s">
        <v>17059</v>
      </c>
      <c r="J818" s="14" t="s">
        <v>20074</v>
      </c>
      <c r="K818" s="14" t="s">
        <v>33190</v>
      </c>
      <c r="L818" s="152" t="s">
        <v>22087</v>
      </c>
      <c r="M818" s="14" t="s">
        <v>33191</v>
      </c>
      <c r="N818" s="54" t="s">
        <v>33190</v>
      </c>
      <c r="O818" s="130" t="s">
        <v>20078</v>
      </c>
      <c r="P818" s="153" t="s">
        <v>20079</v>
      </c>
      <c r="Q818" s="14">
        <v>5290698.0</v>
      </c>
      <c r="R818" s="95"/>
      <c r="S818" s="154" t="s">
        <v>33192</v>
      </c>
      <c r="T818" s="84"/>
      <c r="U818" s="84"/>
      <c r="V818" s="84"/>
      <c r="W818" s="84"/>
      <c r="X818" s="84"/>
      <c r="Y818" s="84"/>
      <c r="Z818" s="84"/>
      <c r="AA818" s="84"/>
      <c r="AB818" s="84"/>
      <c r="AC818" s="84"/>
    </row>
    <row r="819" ht="15.75" customHeight="1">
      <c r="A819" s="14" t="s">
        <v>2137</v>
      </c>
      <c r="B819" s="14">
        <v>2009.0</v>
      </c>
      <c r="C819" s="14" t="s">
        <v>20080</v>
      </c>
      <c r="D819" s="14" t="s">
        <v>20081</v>
      </c>
      <c r="E819" s="150" t="str">
        <f t="shared" si="13"/>
        <v>http://dx.doi.org/10.1109/TVCG.2009.122</v>
      </c>
      <c r="F819" s="14">
        <v>1009.0</v>
      </c>
      <c r="G819" s="14">
        <v>1016.0</v>
      </c>
      <c r="H819" s="151"/>
      <c r="I819" s="14" t="s">
        <v>17059</v>
      </c>
      <c r="J819" s="14" t="s">
        <v>20082</v>
      </c>
      <c r="K819" s="14" t="s">
        <v>33193</v>
      </c>
      <c r="L819" s="152" t="s">
        <v>22099</v>
      </c>
      <c r="M819" s="14" t="s">
        <v>33194</v>
      </c>
      <c r="N819" s="54" t="s">
        <v>33193</v>
      </c>
      <c r="O819" s="130" t="s">
        <v>20085</v>
      </c>
      <c r="P819" s="153" t="s">
        <v>20086</v>
      </c>
      <c r="Q819" s="14">
        <v>5290706.0</v>
      </c>
      <c r="R819" s="95"/>
      <c r="S819" s="154" t="s">
        <v>33195</v>
      </c>
      <c r="T819" s="84"/>
      <c r="U819" s="84"/>
      <c r="V819" s="84"/>
      <c r="W819" s="84"/>
      <c r="X819" s="84"/>
      <c r="Y819" s="84"/>
      <c r="Z819" s="84"/>
      <c r="AA819" s="84"/>
      <c r="AB819" s="84"/>
      <c r="AC819" s="84"/>
    </row>
    <row r="820" ht="15.75" customHeight="1">
      <c r="A820" s="14" t="s">
        <v>2137</v>
      </c>
      <c r="B820" s="14">
        <v>2009.0</v>
      </c>
      <c r="C820" s="14" t="s">
        <v>20088</v>
      </c>
      <c r="D820" s="14" t="s">
        <v>20089</v>
      </c>
      <c r="E820" s="150" t="str">
        <f t="shared" si="13"/>
        <v>http://dx.doi.org/10.1109/TVCG.2009.123</v>
      </c>
      <c r="F820" s="14">
        <v>1097.0</v>
      </c>
      <c r="G820" s="14">
        <v>1104.0</v>
      </c>
      <c r="H820" s="151"/>
      <c r="I820" s="14" t="s">
        <v>17059</v>
      </c>
      <c r="J820" s="14" t="s">
        <v>20091</v>
      </c>
      <c r="K820" s="14" t="s">
        <v>33201</v>
      </c>
      <c r="L820" s="152" t="s">
        <v>22101</v>
      </c>
      <c r="M820" s="14" t="s">
        <v>33204</v>
      </c>
      <c r="N820" s="54" t="s">
        <v>33201</v>
      </c>
      <c r="O820" s="130" t="s">
        <v>20093</v>
      </c>
      <c r="P820" s="153" t="s">
        <v>20094</v>
      </c>
      <c r="Q820" s="14">
        <v>5290717.0</v>
      </c>
      <c r="R820" s="95"/>
      <c r="S820" s="154" t="s">
        <v>33206</v>
      </c>
      <c r="T820" s="84"/>
      <c r="U820" s="84"/>
      <c r="V820" s="84"/>
      <c r="W820" s="84"/>
      <c r="X820" s="84"/>
      <c r="Y820" s="84"/>
      <c r="Z820" s="84"/>
      <c r="AA820" s="84"/>
      <c r="AB820" s="84"/>
      <c r="AC820" s="84"/>
    </row>
    <row r="821" ht="15.75" customHeight="1">
      <c r="A821" s="14" t="s">
        <v>2137</v>
      </c>
      <c r="B821" s="14">
        <v>2009.0</v>
      </c>
      <c r="C821" s="14" t="s">
        <v>20095</v>
      </c>
      <c r="D821" s="14" t="s">
        <v>20096</v>
      </c>
      <c r="E821" s="150" t="str">
        <f t="shared" si="13"/>
        <v>http://dx.doi.org/10.1109/TVCG.2009.127</v>
      </c>
      <c r="F821" s="14">
        <v>1033.0</v>
      </c>
      <c r="G821" s="14">
        <v>1040.0</v>
      </c>
      <c r="H821" s="151"/>
      <c r="I821" s="14" t="s">
        <v>17059</v>
      </c>
      <c r="J821" s="14" t="s">
        <v>20097</v>
      </c>
      <c r="K821" s="14" t="s">
        <v>33207</v>
      </c>
      <c r="L821" s="152" t="s">
        <v>22110</v>
      </c>
      <c r="M821" s="14" t="s">
        <v>33208</v>
      </c>
      <c r="N821" s="54" t="s">
        <v>33207</v>
      </c>
      <c r="O821" s="130" t="s">
        <v>20100</v>
      </c>
      <c r="P821" s="153" t="s">
        <v>20101</v>
      </c>
      <c r="Q821" s="14">
        <v>5290709.0</v>
      </c>
      <c r="R821" s="95"/>
      <c r="S821" s="154" t="s">
        <v>33209</v>
      </c>
      <c r="T821" s="84"/>
      <c r="U821" s="84"/>
      <c r="V821" s="84"/>
      <c r="W821" s="84"/>
      <c r="X821" s="84"/>
      <c r="Y821" s="84"/>
      <c r="Z821" s="84"/>
      <c r="AA821" s="84"/>
      <c r="AB821" s="84"/>
      <c r="AC821" s="84"/>
    </row>
    <row r="822" ht="15.75" customHeight="1">
      <c r="A822" s="14" t="s">
        <v>2137</v>
      </c>
      <c r="B822" s="14">
        <v>2009.0</v>
      </c>
      <c r="C822" s="14" t="s">
        <v>20103</v>
      </c>
      <c r="D822" s="14" t="s">
        <v>20104</v>
      </c>
      <c r="E822" s="150" t="str">
        <f t="shared" si="13"/>
        <v>http://dx.doi.org/10.1109/TVCG.2009.128</v>
      </c>
      <c r="F822" s="14">
        <v>977.0</v>
      </c>
      <c r="G822" s="14">
        <v>984.0</v>
      </c>
      <c r="H822" s="151"/>
      <c r="I822" s="14" t="s">
        <v>17059</v>
      </c>
      <c r="J822" s="14" t="s">
        <v>20106</v>
      </c>
      <c r="K822" s="14" t="s">
        <v>31110</v>
      </c>
      <c r="L822" s="152" t="s">
        <v>22112</v>
      </c>
      <c r="M822" s="14" t="s">
        <v>31111</v>
      </c>
      <c r="N822" s="54" t="s">
        <v>31110</v>
      </c>
      <c r="O822" s="130" t="s">
        <v>20109</v>
      </c>
      <c r="P822" s="153" t="s">
        <v>20110</v>
      </c>
      <c r="Q822" s="14">
        <v>5290702.0</v>
      </c>
      <c r="R822" s="95"/>
      <c r="S822" s="154" t="s">
        <v>33212</v>
      </c>
      <c r="T822" s="84"/>
      <c r="U822" s="84"/>
      <c r="V822" s="84"/>
      <c r="W822" s="84"/>
      <c r="X822" s="84"/>
      <c r="Y822" s="84"/>
      <c r="Z822" s="84"/>
      <c r="AA822" s="84"/>
      <c r="AB822" s="84"/>
      <c r="AC822" s="84"/>
    </row>
    <row r="823" ht="15.75" customHeight="1">
      <c r="A823" s="14" t="s">
        <v>2137</v>
      </c>
      <c r="B823" s="14">
        <v>2009.0</v>
      </c>
      <c r="C823" s="14" t="s">
        <v>20111</v>
      </c>
      <c r="D823" s="14" t="s">
        <v>20112</v>
      </c>
      <c r="E823" s="150" t="str">
        <f t="shared" si="13"/>
        <v>http://dx.doi.org/10.1109/TVCG.2009.129</v>
      </c>
      <c r="F823" s="14">
        <v>929.0</v>
      </c>
      <c r="G823" s="14">
        <v>936.0</v>
      </c>
      <c r="H823" s="151"/>
      <c r="I823" s="14" t="s">
        <v>17059</v>
      </c>
      <c r="J823" s="14" t="s">
        <v>20113</v>
      </c>
      <c r="K823" s="14" t="s">
        <v>11350</v>
      </c>
      <c r="L823" s="152" t="s">
        <v>22114</v>
      </c>
      <c r="M823" s="14">
        <v>3.75648833E10</v>
      </c>
      <c r="N823" s="54" t="s">
        <v>11350</v>
      </c>
      <c r="O823" s="130" t="s">
        <v>20115</v>
      </c>
      <c r="P823" s="153" t="s">
        <v>20116</v>
      </c>
      <c r="Q823" s="14">
        <v>5290696.0</v>
      </c>
      <c r="R823" s="95"/>
      <c r="S823" s="154" t="s">
        <v>33219</v>
      </c>
      <c r="T823" s="84"/>
      <c r="U823" s="84"/>
      <c r="V823" s="84"/>
      <c r="W823" s="84"/>
      <c r="X823" s="84"/>
      <c r="Y823" s="84"/>
      <c r="Z823" s="84"/>
      <c r="AA823" s="84"/>
      <c r="AB823" s="84"/>
      <c r="AC823" s="84"/>
    </row>
    <row r="824" ht="15.75" customHeight="1">
      <c r="A824" s="14" t="s">
        <v>2137</v>
      </c>
      <c r="B824" s="14">
        <v>2009.0</v>
      </c>
      <c r="C824" s="14" t="s">
        <v>20117</v>
      </c>
      <c r="D824" s="14" t="s">
        <v>20118</v>
      </c>
      <c r="E824" s="150" t="str">
        <f t="shared" si="13"/>
        <v>http://dx.doi.org/10.1109/TVCG.2009.130</v>
      </c>
      <c r="F824" s="14">
        <v>889.0</v>
      </c>
      <c r="G824" s="14">
        <v>896.0</v>
      </c>
      <c r="H824" s="151"/>
      <c r="I824" s="14" t="s">
        <v>17059</v>
      </c>
      <c r="J824" s="14" t="s">
        <v>20119</v>
      </c>
      <c r="K824" s="14" t="s">
        <v>33220</v>
      </c>
      <c r="L824" s="152" t="s">
        <v>22116</v>
      </c>
      <c r="M824" s="14" t="s">
        <v>33221</v>
      </c>
      <c r="N824" s="54" t="s">
        <v>33222</v>
      </c>
      <c r="O824" s="130" t="s">
        <v>20124</v>
      </c>
      <c r="P824" s="153" t="s">
        <v>20125</v>
      </c>
      <c r="Q824" s="14">
        <v>5290691.0</v>
      </c>
      <c r="R824" s="95"/>
      <c r="S824" s="154" t="s">
        <v>33223</v>
      </c>
      <c r="T824" s="84"/>
      <c r="U824" s="84"/>
      <c r="V824" s="84"/>
      <c r="W824" s="84"/>
      <c r="X824" s="84"/>
      <c r="Y824" s="84"/>
      <c r="Z824" s="84"/>
      <c r="AA824" s="84"/>
      <c r="AB824" s="84"/>
      <c r="AC824" s="84"/>
    </row>
    <row r="825" ht="15.75" customHeight="1">
      <c r="A825" s="14" t="s">
        <v>2137</v>
      </c>
      <c r="B825" s="14">
        <v>2009.0</v>
      </c>
      <c r="C825" s="14" t="s">
        <v>20127</v>
      </c>
      <c r="D825" s="14" t="s">
        <v>20128</v>
      </c>
      <c r="E825" s="150" t="str">
        <f t="shared" si="13"/>
        <v>http://dx.doi.org/10.1109/TVCG.2009.139</v>
      </c>
      <c r="F825" s="14">
        <v>1145.0</v>
      </c>
      <c r="G825" s="14">
        <v>1152.0</v>
      </c>
      <c r="H825" s="151"/>
      <c r="I825" s="14" t="s">
        <v>17059</v>
      </c>
      <c r="J825" s="14" t="s">
        <v>20129</v>
      </c>
      <c r="K825" s="14" t="s">
        <v>33229</v>
      </c>
      <c r="L825" s="152" t="s">
        <v>22126</v>
      </c>
      <c r="M825" s="14" t="s">
        <v>33231</v>
      </c>
      <c r="N825" s="54" t="s">
        <v>33229</v>
      </c>
      <c r="O825" s="130"/>
      <c r="P825" s="153" t="s">
        <v>20132</v>
      </c>
      <c r="Q825" s="14">
        <v>5290723.0</v>
      </c>
      <c r="R825" s="95"/>
      <c r="S825" s="154"/>
      <c r="T825" s="84"/>
      <c r="U825" s="84"/>
      <c r="V825" s="84"/>
      <c r="W825" s="84"/>
      <c r="X825" s="84"/>
      <c r="Y825" s="84"/>
      <c r="Z825" s="84"/>
      <c r="AA825" s="84"/>
      <c r="AB825" s="84"/>
      <c r="AC825" s="84"/>
    </row>
    <row r="826" ht="15.75" customHeight="1">
      <c r="A826" s="14" t="s">
        <v>2137</v>
      </c>
      <c r="B826" s="14">
        <v>2009.0</v>
      </c>
      <c r="C826" s="14" t="s">
        <v>20133</v>
      </c>
      <c r="D826" s="14" t="s">
        <v>20134</v>
      </c>
      <c r="E826" s="150" t="str">
        <f t="shared" si="13"/>
        <v>http://dx.doi.org/10.1109/TVCG.2009.140</v>
      </c>
      <c r="F826" s="14">
        <v>1161.0</v>
      </c>
      <c r="G826" s="14">
        <v>1168.0</v>
      </c>
      <c r="H826" s="151"/>
      <c r="I826" s="14" t="s">
        <v>17059</v>
      </c>
      <c r="J826" s="14" t="s">
        <v>20135</v>
      </c>
      <c r="K826" s="14" t="s">
        <v>20136</v>
      </c>
      <c r="L826" s="152" t="s">
        <v>22128</v>
      </c>
      <c r="M826" s="14" t="s">
        <v>33234</v>
      </c>
      <c r="N826" s="54" t="s">
        <v>20136</v>
      </c>
      <c r="O826" s="130" t="s">
        <v>20138</v>
      </c>
      <c r="P826" s="153" t="s">
        <v>20139</v>
      </c>
      <c r="Q826" s="14">
        <v>5290725.0</v>
      </c>
      <c r="R826" s="95"/>
      <c r="S826" s="154" t="s">
        <v>33235</v>
      </c>
      <c r="T826" s="84"/>
      <c r="U826" s="84"/>
      <c r="V826" s="84"/>
      <c r="W826" s="84"/>
      <c r="X826" s="84"/>
      <c r="Y826" s="84"/>
      <c r="Z826" s="84"/>
      <c r="AA826" s="84"/>
      <c r="AB826" s="84"/>
      <c r="AC826" s="84"/>
    </row>
    <row r="827" ht="15.75" customHeight="1">
      <c r="A827" s="14" t="s">
        <v>2137</v>
      </c>
      <c r="B827" s="14">
        <v>2009.0</v>
      </c>
      <c r="C827" s="14" t="s">
        <v>20142</v>
      </c>
      <c r="D827" s="14" t="s">
        <v>20143</v>
      </c>
      <c r="E827" s="150" t="str">
        <f t="shared" si="13"/>
        <v>http://dx.doi.org/10.1109/TVCG.2009.143</v>
      </c>
      <c r="F827" s="14">
        <v>1041.0</v>
      </c>
      <c r="G827" s="14">
        <v>1048.0</v>
      </c>
      <c r="H827" s="151"/>
      <c r="I827" s="14" t="s">
        <v>17059</v>
      </c>
      <c r="J827" s="14" t="s">
        <v>20144</v>
      </c>
      <c r="K827" s="14" t="s">
        <v>7228</v>
      </c>
      <c r="L827" s="152" t="s">
        <v>22135</v>
      </c>
      <c r="M827" s="14">
        <v>3.76693993E10</v>
      </c>
      <c r="N827" s="54" t="s">
        <v>7228</v>
      </c>
      <c r="O827" s="130" t="s">
        <v>20146</v>
      </c>
      <c r="P827" s="153" t="s">
        <v>20147</v>
      </c>
      <c r="Q827" s="14">
        <v>5290710.0</v>
      </c>
      <c r="R827" s="95"/>
      <c r="S827" s="154" t="s">
        <v>33242</v>
      </c>
      <c r="T827" s="84"/>
      <c r="U827" s="84"/>
      <c r="V827" s="84"/>
      <c r="W827" s="84"/>
      <c r="X827" s="84"/>
      <c r="Y827" s="84"/>
      <c r="Z827" s="84"/>
      <c r="AA827" s="84"/>
      <c r="AB827" s="84"/>
      <c r="AC827" s="84"/>
    </row>
    <row r="828" ht="15.75" customHeight="1">
      <c r="A828" s="14" t="s">
        <v>2137</v>
      </c>
      <c r="B828" s="14">
        <v>2009.0</v>
      </c>
      <c r="C828" s="14" t="s">
        <v>20149</v>
      </c>
      <c r="D828" s="14" t="s">
        <v>20150</v>
      </c>
      <c r="E828" s="150" t="str">
        <f t="shared" si="13"/>
        <v>http://dx.doi.org/10.1109/TVCG.2009.145</v>
      </c>
      <c r="F828" s="14">
        <v>1017.0</v>
      </c>
      <c r="G828" s="14">
        <v>1024.0</v>
      </c>
      <c r="H828" s="151"/>
      <c r="I828" s="14" t="s">
        <v>17059</v>
      </c>
      <c r="J828" s="14" t="s">
        <v>20151</v>
      </c>
      <c r="K828" s="14" t="s">
        <v>33246</v>
      </c>
      <c r="L828" s="152" t="s">
        <v>22140</v>
      </c>
      <c r="M828" s="14" t="s">
        <v>33247</v>
      </c>
      <c r="N828" s="54" t="s">
        <v>33246</v>
      </c>
      <c r="O828" s="130" t="s">
        <v>20154</v>
      </c>
      <c r="P828" s="153" t="s">
        <v>20155</v>
      </c>
      <c r="Q828" s="14">
        <v>5290707.0</v>
      </c>
      <c r="R828" s="95"/>
      <c r="S828" s="154" t="s">
        <v>33248</v>
      </c>
      <c r="T828" s="84"/>
      <c r="U828" s="84"/>
      <c r="V828" s="84"/>
      <c r="W828" s="84"/>
      <c r="X828" s="84"/>
      <c r="Y828" s="84"/>
      <c r="Z828" s="84"/>
      <c r="AA828" s="84"/>
      <c r="AB828" s="84"/>
      <c r="AC828" s="84"/>
    </row>
    <row r="829" ht="15.75" customHeight="1">
      <c r="A829" s="14" t="s">
        <v>2137</v>
      </c>
      <c r="B829" s="14">
        <v>2009.0</v>
      </c>
      <c r="C829" s="14" t="s">
        <v>20159</v>
      </c>
      <c r="D829" s="14" t="s">
        <v>20160</v>
      </c>
      <c r="E829" s="150" t="str">
        <f t="shared" si="13"/>
        <v>http://dx.doi.org/10.1109/TVCG.2009.146</v>
      </c>
      <c r="F829" s="14">
        <v>905.0</v>
      </c>
      <c r="G829" s="14">
        <v>912.0</v>
      </c>
      <c r="H829" s="151"/>
      <c r="I829" s="14" t="s">
        <v>17059</v>
      </c>
      <c r="J829" s="14" t="s">
        <v>20161</v>
      </c>
      <c r="K829" s="14" t="s">
        <v>33251</v>
      </c>
      <c r="L829" s="152" t="s">
        <v>22142</v>
      </c>
      <c r="M829" s="14" t="s">
        <v>33253</v>
      </c>
      <c r="N829" s="54" t="s">
        <v>33251</v>
      </c>
      <c r="O829" s="130"/>
      <c r="P829" s="153" t="s">
        <v>20166</v>
      </c>
      <c r="Q829" s="14">
        <v>5290693.0</v>
      </c>
      <c r="R829" s="95"/>
      <c r="S829" s="154"/>
      <c r="T829" s="84"/>
      <c r="U829" s="84"/>
      <c r="V829" s="84"/>
      <c r="W829" s="84"/>
      <c r="X829" s="84"/>
      <c r="Y829" s="84"/>
      <c r="Z829" s="84"/>
      <c r="AA829" s="84"/>
      <c r="AB829" s="84"/>
      <c r="AC829" s="84"/>
    </row>
    <row r="830" ht="15.75" customHeight="1">
      <c r="A830" s="14" t="s">
        <v>2137</v>
      </c>
      <c r="B830" s="14">
        <v>2009.0</v>
      </c>
      <c r="C830" s="14" t="s">
        <v>20168</v>
      </c>
      <c r="D830" s="14" t="s">
        <v>20169</v>
      </c>
      <c r="E830" s="150" t="str">
        <f t="shared" si="13"/>
        <v>http://dx.doi.org/10.1109/TVCG.2009.148</v>
      </c>
      <c r="F830" s="14">
        <v>1081.0</v>
      </c>
      <c r="G830" s="14">
        <v>1088.0</v>
      </c>
      <c r="H830" s="151"/>
      <c r="I830" s="14" t="s">
        <v>17059</v>
      </c>
      <c r="J830" s="14" t="s">
        <v>20170</v>
      </c>
      <c r="K830" s="14" t="s">
        <v>9316</v>
      </c>
      <c r="L830" s="152" t="s">
        <v>22146</v>
      </c>
      <c r="M830" s="14">
        <v>3.75424554E10</v>
      </c>
      <c r="N830" s="54" t="s">
        <v>9316</v>
      </c>
      <c r="O830" s="130" t="s">
        <v>20173</v>
      </c>
      <c r="P830" s="153" t="s">
        <v>20174</v>
      </c>
      <c r="Q830" s="14">
        <v>5290715.0</v>
      </c>
      <c r="R830" s="95"/>
      <c r="S830" s="154" t="s">
        <v>33259</v>
      </c>
      <c r="T830" s="84"/>
      <c r="U830" s="84"/>
      <c r="V830" s="84"/>
      <c r="W830" s="84"/>
      <c r="X830" s="84"/>
      <c r="Y830" s="84"/>
      <c r="Z830" s="84"/>
      <c r="AA830" s="84"/>
      <c r="AB830" s="84"/>
      <c r="AC830" s="84"/>
    </row>
    <row r="831" ht="15.75" customHeight="1">
      <c r="A831" s="14" t="s">
        <v>2137</v>
      </c>
      <c r="B831" s="14">
        <v>2009.0</v>
      </c>
      <c r="C831" s="14" t="s">
        <v>20175</v>
      </c>
      <c r="D831" s="14" t="s">
        <v>20176</v>
      </c>
      <c r="E831" s="150" t="str">
        <f t="shared" si="13"/>
        <v>http://dx.doi.org/10.1109/TVCG.2009.151</v>
      </c>
      <c r="F831" s="14">
        <v>937.0</v>
      </c>
      <c r="G831" s="14">
        <v>944.0</v>
      </c>
      <c r="H831" s="151"/>
      <c r="I831" s="14" t="s">
        <v>17059</v>
      </c>
      <c r="J831" s="14" t="s">
        <v>20177</v>
      </c>
      <c r="K831" s="14" t="s">
        <v>33260</v>
      </c>
      <c r="L831" s="152" t="s">
        <v>22154</v>
      </c>
      <c r="M831" s="14" t="s">
        <v>33261</v>
      </c>
      <c r="N831" s="54" t="s">
        <v>33260</v>
      </c>
      <c r="O831" s="130" t="s">
        <v>20181</v>
      </c>
      <c r="P831" s="153" t="s">
        <v>20182</v>
      </c>
      <c r="Q831" s="14">
        <v>5290697.0</v>
      </c>
      <c r="R831" s="95"/>
      <c r="S831" s="154" t="s">
        <v>33262</v>
      </c>
      <c r="T831" s="84"/>
      <c r="U831" s="84"/>
      <c r="V831" s="84"/>
      <c r="W831" s="84"/>
      <c r="X831" s="84"/>
      <c r="Y831" s="84"/>
      <c r="Z831" s="84"/>
      <c r="AA831" s="84"/>
      <c r="AB831" s="84"/>
      <c r="AC831" s="84"/>
    </row>
    <row r="832" ht="15.75" customHeight="1">
      <c r="A832" s="14" t="s">
        <v>2137</v>
      </c>
      <c r="B832" s="14">
        <v>2009.0</v>
      </c>
      <c r="C832" s="14" t="s">
        <v>20184</v>
      </c>
      <c r="D832" s="14" t="s">
        <v>20185</v>
      </c>
      <c r="E832" s="150" t="str">
        <f t="shared" si="13"/>
        <v>http://dx.doi.org/10.1109/TVCG.2009.153</v>
      </c>
      <c r="F832" s="14">
        <v>993.0</v>
      </c>
      <c r="G832" s="14">
        <v>1000.0</v>
      </c>
      <c r="H832" s="151"/>
      <c r="I832" s="14" t="s">
        <v>17059</v>
      </c>
      <c r="J832" s="14" t="s">
        <v>20186</v>
      </c>
      <c r="K832" s="14" t="s">
        <v>33271</v>
      </c>
      <c r="L832" s="152" t="s">
        <v>22684</v>
      </c>
      <c r="M832" s="14" t="s">
        <v>33272</v>
      </c>
      <c r="N832" s="54" t="s">
        <v>33271</v>
      </c>
      <c r="O832" s="130" t="s">
        <v>20188</v>
      </c>
      <c r="P832" s="153" t="s">
        <v>20189</v>
      </c>
      <c r="Q832" s="14">
        <v>5290704.0</v>
      </c>
      <c r="R832" s="95"/>
      <c r="S832" s="154" t="s">
        <v>33273</v>
      </c>
      <c r="T832" s="84"/>
      <c r="U832" s="84"/>
      <c r="V832" s="84"/>
      <c r="W832" s="84"/>
      <c r="X832" s="84"/>
      <c r="Y832" s="84"/>
      <c r="Z832" s="84"/>
      <c r="AA832" s="84"/>
      <c r="AB832" s="84"/>
      <c r="AC832" s="84"/>
    </row>
    <row r="833" ht="15.75" customHeight="1">
      <c r="A833" s="14" t="s">
        <v>2137</v>
      </c>
      <c r="B833" s="14">
        <v>2009.0</v>
      </c>
      <c r="C833" s="14" t="s">
        <v>20190</v>
      </c>
      <c r="D833" s="14" t="s">
        <v>20191</v>
      </c>
      <c r="E833" s="150" t="str">
        <f t="shared" si="13"/>
        <v>http://dx.doi.org/10.1109/TVCG.2009.162</v>
      </c>
      <c r="F833" s="14">
        <v>1065.0</v>
      </c>
      <c r="G833" s="14">
        <v>1072.0</v>
      </c>
      <c r="H833" s="151"/>
      <c r="I833" s="14" t="s">
        <v>17059</v>
      </c>
      <c r="J833" s="14" t="s">
        <v>20192</v>
      </c>
      <c r="K833" s="14" t="s">
        <v>33277</v>
      </c>
      <c r="L833" s="152" t="s">
        <v>22877</v>
      </c>
      <c r="M833" s="14" t="s">
        <v>33278</v>
      </c>
      <c r="N833" s="54" t="s">
        <v>33277</v>
      </c>
      <c r="O833" s="130" t="s">
        <v>20195</v>
      </c>
      <c r="P833" s="153" t="s">
        <v>20196</v>
      </c>
      <c r="Q833" s="14">
        <v>5290713.0</v>
      </c>
      <c r="R833" s="95"/>
      <c r="S833" s="154" t="s">
        <v>33281</v>
      </c>
      <c r="T833" s="84"/>
      <c r="U833" s="84"/>
      <c r="V833" s="84"/>
      <c r="W833" s="84"/>
      <c r="X833" s="84"/>
      <c r="Y833" s="84"/>
      <c r="Z833" s="84"/>
      <c r="AA833" s="84"/>
      <c r="AB833" s="84"/>
      <c r="AC833" s="84"/>
    </row>
    <row r="834" ht="15.75" customHeight="1">
      <c r="A834" s="14" t="s">
        <v>2137</v>
      </c>
      <c r="B834" s="14">
        <v>2009.0</v>
      </c>
      <c r="C834" s="14" t="s">
        <v>20197</v>
      </c>
      <c r="D834" s="14" t="s">
        <v>20198</v>
      </c>
      <c r="E834" s="150" t="str">
        <f t="shared" si="13"/>
        <v>http://dx.doi.org/10.1109/TVCG.2009.165</v>
      </c>
      <c r="F834" s="14">
        <v>1169.0</v>
      </c>
      <c r="G834" s="14">
        <v>1176.0</v>
      </c>
      <c r="H834" s="151"/>
      <c r="I834" s="14" t="s">
        <v>17059</v>
      </c>
      <c r="J834" s="14" t="s">
        <v>20199</v>
      </c>
      <c r="K834" s="14" t="s">
        <v>33285</v>
      </c>
      <c r="L834" s="152" t="s">
        <v>494</v>
      </c>
      <c r="M834" s="14" t="s">
        <v>33286</v>
      </c>
      <c r="N834" s="54" t="s">
        <v>33285</v>
      </c>
      <c r="O834" s="130" t="s">
        <v>20203</v>
      </c>
      <c r="P834" s="153" t="s">
        <v>20204</v>
      </c>
      <c r="Q834" s="14">
        <v>5290726.0</v>
      </c>
      <c r="R834" s="95"/>
      <c r="S834" s="154" t="s">
        <v>33287</v>
      </c>
      <c r="T834" s="84"/>
      <c r="U834" s="84"/>
      <c r="V834" s="84"/>
      <c r="W834" s="84"/>
      <c r="X834" s="84"/>
      <c r="Y834" s="84"/>
      <c r="Z834" s="84"/>
      <c r="AA834" s="84"/>
      <c r="AB834" s="84"/>
      <c r="AC834" s="84"/>
    </row>
    <row r="835" ht="15.75" customHeight="1">
      <c r="A835" s="14" t="s">
        <v>2137</v>
      </c>
      <c r="B835" s="14">
        <v>2009.0</v>
      </c>
      <c r="C835" s="14" t="s">
        <v>20205</v>
      </c>
      <c r="D835" s="14" t="s">
        <v>20206</v>
      </c>
      <c r="E835" s="150" t="str">
        <f t="shared" si="13"/>
        <v>http://dx.doi.org/10.1109/TVCG.2009.167</v>
      </c>
      <c r="F835" s="14">
        <v>897.0</v>
      </c>
      <c r="G835" s="14">
        <v>904.0</v>
      </c>
      <c r="H835" s="151"/>
      <c r="I835" s="14" t="s">
        <v>17059</v>
      </c>
      <c r="J835" s="14" t="s">
        <v>20207</v>
      </c>
      <c r="K835" s="14" t="s">
        <v>33288</v>
      </c>
      <c r="L835" s="152" t="s">
        <v>837</v>
      </c>
      <c r="M835" s="14" t="s">
        <v>33289</v>
      </c>
      <c r="N835" s="54" t="s">
        <v>33288</v>
      </c>
      <c r="O835" s="130" t="s">
        <v>20211</v>
      </c>
      <c r="P835" s="153" t="s">
        <v>20212</v>
      </c>
      <c r="Q835" s="14">
        <v>5290692.0</v>
      </c>
      <c r="R835" s="95"/>
      <c r="S835" s="154" t="s">
        <v>33292</v>
      </c>
      <c r="T835" s="84"/>
      <c r="U835" s="84"/>
      <c r="V835" s="84"/>
      <c r="W835" s="84"/>
      <c r="X835" s="84"/>
      <c r="Y835" s="84"/>
      <c r="Z835" s="84"/>
      <c r="AA835" s="84"/>
      <c r="AB835" s="84"/>
      <c r="AC835" s="84"/>
    </row>
    <row r="836" ht="15.75" customHeight="1">
      <c r="A836" s="14" t="s">
        <v>2137</v>
      </c>
      <c r="B836" s="14">
        <v>2009.0</v>
      </c>
      <c r="C836" s="14" t="s">
        <v>20213</v>
      </c>
      <c r="D836" s="14" t="s">
        <v>20214</v>
      </c>
      <c r="E836" s="150" t="str">
        <f t="shared" si="13"/>
        <v>http://dx.doi.org/10.1109/TVCG.2009.171</v>
      </c>
      <c r="F836" s="14">
        <v>1137.0</v>
      </c>
      <c r="G836" s="14">
        <v>1144.0</v>
      </c>
      <c r="H836" s="151"/>
      <c r="I836" s="14" t="s">
        <v>17059</v>
      </c>
      <c r="J836" s="14" t="s">
        <v>20215</v>
      </c>
      <c r="K836" s="14" t="s">
        <v>33297</v>
      </c>
      <c r="L836" s="152" t="s">
        <v>22950</v>
      </c>
      <c r="M836" s="14" t="s">
        <v>33300</v>
      </c>
      <c r="N836" s="54" t="s">
        <v>33297</v>
      </c>
      <c r="O836" s="130" t="s">
        <v>20218</v>
      </c>
      <c r="P836" s="153" t="s">
        <v>20219</v>
      </c>
      <c r="Q836" s="14">
        <v>5290722.0</v>
      </c>
      <c r="R836" s="95"/>
      <c r="S836" s="154" t="s">
        <v>33301</v>
      </c>
      <c r="T836" s="84"/>
      <c r="U836" s="84"/>
      <c r="V836" s="84"/>
      <c r="W836" s="84"/>
      <c r="X836" s="84"/>
      <c r="Y836" s="84"/>
      <c r="Z836" s="84"/>
      <c r="AA836" s="84"/>
      <c r="AB836" s="84"/>
      <c r="AC836" s="84"/>
    </row>
    <row r="837" ht="15.75" customHeight="1">
      <c r="A837" s="14" t="s">
        <v>2137</v>
      </c>
      <c r="B837" s="14">
        <v>2009.0</v>
      </c>
      <c r="C837" s="14" t="s">
        <v>20220</v>
      </c>
      <c r="D837" s="14" t="s">
        <v>20221</v>
      </c>
      <c r="E837" s="150" t="str">
        <f t="shared" si="13"/>
        <v>http://dx.doi.org/10.1109/TVCG.2009.174</v>
      </c>
      <c r="F837" s="14">
        <v>1121.0</v>
      </c>
      <c r="G837" s="14">
        <v>1128.0</v>
      </c>
      <c r="H837" s="151"/>
      <c r="I837" s="14" t="s">
        <v>17059</v>
      </c>
      <c r="J837" s="14" t="s">
        <v>20224</v>
      </c>
      <c r="K837" s="14" t="s">
        <v>33302</v>
      </c>
      <c r="L837" s="152" t="s">
        <v>22981</v>
      </c>
      <c r="M837" s="14" t="s">
        <v>33303</v>
      </c>
      <c r="N837" s="54" t="s">
        <v>33302</v>
      </c>
      <c r="O837" s="130" t="s">
        <v>20227</v>
      </c>
      <c r="P837" s="153" t="s">
        <v>20228</v>
      </c>
      <c r="Q837" s="14">
        <v>5290720.0</v>
      </c>
      <c r="R837" s="95"/>
      <c r="S837" s="154" t="s">
        <v>33304</v>
      </c>
      <c r="T837" s="84"/>
      <c r="U837" s="84"/>
      <c r="V837" s="84"/>
      <c r="W837" s="84"/>
      <c r="X837" s="84"/>
      <c r="Y837" s="84"/>
      <c r="Z837" s="84"/>
      <c r="AA837" s="84"/>
      <c r="AB837" s="84"/>
      <c r="AC837" s="84"/>
    </row>
    <row r="838" ht="15.75" customHeight="1">
      <c r="A838" s="14" t="s">
        <v>2137</v>
      </c>
      <c r="B838" s="14">
        <v>2009.0</v>
      </c>
      <c r="C838" s="14" t="s">
        <v>20230</v>
      </c>
      <c r="D838" s="14" t="s">
        <v>20231</v>
      </c>
      <c r="E838" s="150" t="str">
        <f t="shared" si="13"/>
        <v>http://dx.doi.org/10.1109/TVCG.2009.176</v>
      </c>
      <c r="F838" s="14">
        <v>1057.0</v>
      </c>
      <c r="G838" s="14">
        <v>1064.0</v>
      </c>
      <c r="H838" s="151"/>
      <c r="I838" s="14" t="s">
        <v>17059</v>
      </c>
      <c r="J838" s="14" t="s">
        <v>20232</v>
      </c>
      <c r="K838" s="14" t="s">
        <v>33305</v>
      </c>
      <c r="L838" s="152" t="s">
        <v>23000</v>
      </c>
      <c r="M838" s="14" t="s">
        <v>33307</v>
      </c>
      <c r="N838" s="54" t="s">
        <v>33305</v>
      </c>
      <c r="O838" s="130" t="s">
        <v>20236</v>
      </c>
      <c r="P838" s="153" t="s">
        <v>20237</v>
      </c>
      <c r="Q838" s="14">
        <v>5290712.0</v>
      </c>
      <c r="R838" s="95"/>
      <c r="S838" s="154" t="s">
        <v>33312</v>
      </c>
      <c r="T838" s="84"/>
      <c r="U838" s="84"/>
      <c r="V838" s="84"/>
      <c r="W838" s="84"/>
      <c r="X838" s="84"/>
      <c r="Y838" s="84"/>
      <c r="Z838" s="84"/>
      <c r="AA838" s="84"/>
      <c r="AB838" s="84"/>
      <c r="AC838" s="84"/>
    </row>
    <row r="839" ht="15.75" customHeight="1">
      <c r="A839" s="14" t="s">
        <v>2137</v>
      </c>
      <c r="B839" s="14">
        <v>2009.0</v>
      </c>
      <c r="C839" s="14" t="s">
        <v>20238</v>
      </c>
      <c r="D839" s="14" t="s">
        <v>20239</v>
      </c>
      <c r="E839" s="150" t="str">
        <f t="shared" si="13"/>
        <v>http://dx.doi.org/10.1109/TVCG.2009.179</v>
      </c>
      <c r="F839" s="14">
        <v>1001.0</v>
      </c>
      <c r="G839" s="14">
        <v>1008.0</v>
      </c>
      <c r="H839" s="151"/>
      <c r="I839" s="14" t="s">
        <v>17059</v>
      </c>
      <c r="J839" s="14" t="s">
        <v>20240</v>
      </c>
      <c r="K839" s="14" t="s">
        <v>20241</v>
      </c>
      <c r="L839" s="152" t="s">
        <v>23032</v>
      </c>
      <c r="M839" s="14" t="s">
        <v>33316</v>
      </c>
      <c r="N839" s="54" t="s">
        <v>20241</v>
      </c>
      <c r="O839" s="130" t="s">
        <v>20242</v>
      </c>
      <c r="P839" s="153" t="s">
        <v>20243</v>
      </c>
      <c r="Q839" s="14">
        <v>5290705.0</v>
      </c>
      <c r="R839" s="95"/>
      <c r="S839" s="154" t="s">
        <v>33317</v>
      </c>
      <c r="T839" s="84"/>
      <c r="U839" s="84"/>
      <c r="V839" s="84"/>
      <c r="W839" s="84"/>
      <c r="X839" s="84"/>
      <c r="Y839" s="84"/>
      <c r="Z839" s="84"/>
      <c r="AA839" s="84"/>
      <c r="AB839" s="84"/>
      <c r="AC839" s="84"/>
    </row>
    <row r="840" ht="15.75" customHeight="1">
      <c r="A840" s="14" t="s">
        <v>2137</v>
      </c>
      <c r="B840" s="14">
        <v>2009.0</v>
      </c>
      <c r="C840" s="14" t="s">
        <v>20245</v>
      </c>
      <c r="D840" s="14" t="s">
        <v>20246</v>
      </c>
      <c r="E840" s="150" t="str">
        <f t="shared" si="13"/>
        <v>http://dx.doi.org/10.1109/TVCG.2009.180</v>
      </c>
      <c r="F840" s="14">
        <v>1025.0</v>
      </c>
      <c r="G840" s="14">
        <v>1032.0</v>
      </c>
      <c r="H840" s="151"/>
      <c r="I840" s="14" t="s">
        <v>17059</v>
      </c>
      <c r="J840" s="14" t="s">
        <v>20248</v>
      </c>
      <c r="K840" s="14" t="s">
        <v>33318</v>
      </c>
      <c r="L840" s="152" t="s">
        <v>23044</v>
      </c>
      <c r="M840" s="14" t="s">
        <v>33320</v>
      </c>
      <c r="N840" s="54" t="s">
        <v>33318</v>
      </c>
      <c r="O840" s="130" t="s">
        <v>20252</v>
      </c>
      <c r="P840" s="153" t="s">
        <v>20253</v>
      </c>
      <c r="Q840" s="14">
        <v>5290708.0</v>
      </c>
      <c r="R840" s="95"/>
      <c r="S840" s="154" t="s">
        <v>33325</v>
      </c>
      <c r="T840" s="84"/>
      <c r="U840" s="84"/>
      <c r="V840" s="84"/>
      <c r="W840" s="84"/>
      <c r="X840" s="84"/>
      <c r="Y840" s="84"/>
      <c r="Z840" s="84"/>
      <c r="AA840" s="84"/>
      <c r="AB840" s="84"/>
      <c r="AC840" s="84"/>
    </row>
    <row r="841" ht="15.75" customHeight="1">
      <c r="A841" s="14" t="s">
        <v>2137</v>
      </c>
      <c r="B841" s="14">
        <v>2009.0</v>
      </c>
      <c r="C841" s="14" t="s">
        <v>20254</v>
      </c>
      <c r="D841" s="14" t="s">
        <v>20255</v>
      </c>
      <c r="E841" s="150" t="str">
        <f t="shared" si="13"/>
        <v>http://dx.doi.org/10.1109/TVCG.2009.181</v>
      </c>
      <c r="F841" s="14">
        <v>969.0</v>
      </c>
      <c r="G841" s="14">
        <v>976.0</v>
      </c>
      <c r="H841" s="151"/>
      <c r="I841" s="14" t="s">
        <v>17059</v>
      </c>
      <c r="J841" s="14" t="s">
        <v>20256</v>
      </c>
      <c r="K841" s="14" t="s">
        <v>33330</v>
      </c>
      <c r="L841" s="152" t="s">
        <v>23056</v>
      </c>
      <c r="M841" s="14" t="s">
        <v>33331</v>
      </c>
      <c r="N841" s="54" t="s">
        <v>33332</v>
      </c>
      <c r="O841" s="130" t="s">
        <v>20260</v>
      </c>
      <c r="P841" s="153" t="s">
        <v>20261</v>
      </c>
      <c r="Q841" s="14">
        <v>5290701.0</v>
      </c>
      <c r="R841" s="95"/>
      <c r="S841" s="154" t="s">
        <v>33333</v>
      </c>
      <c r="T841" s="84"/>
      <c r="U841" s="84"/>
      <c r="V841" s="84"/>
      <c r="W841" s="84"/>
      <c r="X841" s="84"/>
      <c r="Y841" s="84"/>
      <c r="Z841" s="84"/>
      <c r="AA841" s="84"/>
      <c r="AB841" s="84"/>
      <c r="AC841" s="84"/>
    </row>
    <row r="842" ht="15.75" customHeight="1">
      <c r="A842" s="14" t="s">
        <v>2137</v>
      </c>
      <c r="B842" s="14">
        <v>2009.0</v>
      </c>
      <c r="C842" s="14" t="s">
        <v>20262</v>
      </c>
      <c r="D842" s="14" t="s">
        <v>20263</v>
      </c>
      <c r="E842" s="150" t="str">
        <f t="shared" si="13"/>
        <v>http://dx.doi.org/10.1109/TVCG.2009.182</v>
      </c>
      <c r="F842" s="14">
        <v>913.0</v>
      </c>
      <c r="G842" s="14">
        <v>920.0</v>
      </c>
      <c r="H842" s="151"/>
      <c r="I842" s="14" t="s">
        <v>17059</v>
      </c>
      <c r="J842" s="14" t="s">
        <v>20264</v>
      </c>
      <c r="K842" s="14" t="s">
        <v>33338</v>
      </c>
      <c r="L842" s="152" t="s">
        <v>23066</v>
      </c>
      <c r="M842" s="14" t="s">
        <v>33341</v>
      </c>
      <c r="N842" s="54" t="s">
        <v>33338</v>
      </c>
      <c r="O842" s="130" t="s">
        <v>20268</v>
      </c>
      <c r="P842" s="153" t="s">
        <v>20269</v>
      </c>
      <c r="Q842" s="14">
        <v>5290694.0</v>
      </c>
      <c r="R842" s="95"/>
      <c r="S842" s="154" t="s">
        <v>33343</v>
      </c>
      <c r="T842" s="84"/>
      <c r="U842" s="84"/>
      <c r="V842" s="84"/>
      <c r="W842" s="84"/>
      <c r="X842" s="84"/>
      <c r="Y842" s="84"/>
      <c r="Z842" s="84"/>
      <c r="AA842" s="84"/>
      <c r="AB842" s="84"/>
      <c r="AC842" s="84"/>
    </row>
    <row r="843" ht="15.75" customHeight="1">
      <c r="A843" s="14" t="s">
        <v>2137</v>
      </c>
      <c r="B843" s="14">
        <v>2009.0</v>
      </c>
      <c r="C843" s="14" t="s">
        <v>20270</v>
      </c>
      <c r="D843" s="14" t="s">
        <v>20271</v>
      </c>
      <c r="E843" s="150" t="str">
        <f t="shared" si="13"/>
        <v>http://dx.doi.org/10.1109/TVCG.2009.183</v>
      </c>
      <c r="F843" s="14">
        <v>1089.0</v>
      </c>
      <c r="G843" s="14">
        <v>1096.0</v>
      </c>
      <c r="H843" s="151"/>
      <c r="I843" s="14" t="s">
        <v>17059</v>
      </c>
      <c r="J843" s="14" t="s">
        <v>20272</v>
      </c>
      <c r="K843" s="14" t="s">
        <v>33344</v>
      </c>
      <c r="L843" s="152" t="s">
        <v>880</v>
      </c>
      <c r="M843" s="14" t="s">
        <v>33345</v>
      </c>
      <c r="N843" s="54" t="s">
        <v>33344</v>
      </c>
      <c r="O843" s="130" t="s">
        <v>20275</v>
      </c>
      <c r="P843" s="153" t="s">
        <v>20276</v>
      </c>
      <c r="Q843" s="14">
        <v>5290716.0</v>
      </c>
      <c r="R843" s="95"/>
      <c r="S843" s="154" t="s">
        <v>33346</v>
      </c>
      <c r="T843" s="84"/>
      <c r="U843" s="84"/>
      <c r="V843" s="84"/>
      <c r="W843" s="84"/>
      <c r="X843" s="84"/>
      <c r="Y843" s="84"/>
      <c r="Z843" s="84"/>
      <c r="AA843" s="84"/>
      <c r="AB843" s="84"/>
      <c r="AC843" s="84"/>
    </row>
    <row r="844" ht="15.75" customHeight="1">
      <c r="A844" s="14" t="s">
        <v>2137</v>
      </c>
      <c r="B844" s="14">
        <v>2009.0</v>
      </c>
      <c r="C844" s="14" t="s">
        <v>20277</v>
      </c>
      <c r="D844" s="14" t="s">
        <v>20278</v>
      </c>
      <c r="E844" s="150" t="str">
        <f t="shared" si="13"/>
        <v>http://dx.doi.org/10.1109/TVCG.2009.187</v>
      </c>
      <c r="F844" s="14">
        <v>1049.0</v>
      </c>
      <c r="G844" s="14">
        <v>1056.0</v>
      </c>
      <c r="H844" s="151"/>
      <c r="I844" s="14" t="s">
        <v>17059</v>
      </c>
      <c r="J844" s="14" t="s">
        <v>20279</v>
      </c>
      <c r="K844" s="14" t="s">
        <v>33354</v>
      </c>
      <c r="L844" s="152" t="s">
        <v>23118</v>
      </c>
      <c r="M844" s="14" t="s">
        <v>33356</v>
      </c>
      <c r="N844" s="54" t="s">
        <v>33354</v>
      </c>
      <c r="O844" s="130" t="s">
        <v>20283</v>
      </c>
      <c r="P844" s="153" t="s">
        <v>20284</v>
      </c>
      <c r="Q844" s="14">
        <v>5290711.0</v>
      </c>
      <c r="R844" s="95"/>
      <c r="S844" s="154" t="s">
        <v>33357</v>
      </c>
      <c r="T844" s="84"/>
      <c r="U844" s="84"/>
      <c r="V844" s="84"/>
      <c r="W844" s="84"/>
      <c r="X844" s="84"/>
      <c r="Y844" s="84"/>
      <c r="Z844" s="84"/>
      <c r="AA844" s="84"/>
      <c r="AB844" s="84"/>
      <c r="AC844" s="84"/>
    </row>
    <row r="845" ht="15.75" customHeight="1">
      <c r="A845" s="14" t="s">
        <v>2137</v>
      </c>
      <c r="B845" s="14">
        <v>2009.0</v>
      </c>
      <c r="C845" s="14" t="s">
        <v>20285</v>
      </c>
      <c r="D845" s="14" t="s">
        <v>20286</v>
      </c>
      <c r="E845" s="150" t="str">
        <f t="shared" si="13"/>
        <v>http://dx.doi.org/10.1109/TVCG.2009.188</v>
      </c>
      <c r="F845" s="14">
        <v>1073.0</v>
      </c>
      <c r="G845" s="14">
        <v>1080.0</v>
      </c>
      <c r="H845" s="151"/>
      <c r="I845" s="14" t="s">
        <v>17059</v>
      </c>
      <c r="J845" s="14" t="s">
        <v>23135</v>
      </c>
      <c r="K845" s="14" t="s">
        <v>33358</v>
      </c>
      <c r="L845" s="152" t="s">
        <v>23136</v>
      </c>
      <c r="M845" s="14" t="s">
        <v>33359</v>
      </c>
      <c r="N845" s="54" t="s">
        <v>33358</v>
      </c>
      <c r="O845" s="130" t="s">
        <v>20290</v>
      </c>
      <c r="P845" s="153" t="s">
        <v>20291</v>
      </c>
      <c r="Q845" s="14">
        <v>5290714.0</v>
      </c>
      <c r="R845" s="95"/>
      <c r="S845" s="154" t="s">
        <v>33360</v>
      </c>
      <c r="T845" s="84"/>
      <c r="U845" s="84"/>
      <c r="V845" s="84"/>
      <c r="W845" s="84"/>
      <c r="X845" s="84"/>
      <c r="Y845" s="84"/>
      <c r="Z845" s="84"/>
      <c r="AA845" s="84"/>
      <c r="AB845" s="84"/>
      <c r="AC845" s="84"/>
    </row>
    <row r="846" ht="15.75" customHeight="1">
      <c r="A846" s="14" t="s">
        <v>2137</v>
      </c>
      <c r="B846" s="14">
        <v>2009.0</v>
      </c>
      <c r="C846" s="14" t="s">
        <v>20292</v>
      </c>
      <c r="D846" s="14" t="s">
        <v>20293</v>
      </c>
      <c r="E846" s="150" t="str">
        <f t="shared" si="13"/>
        <v>http://dx.doi.org/10.1109/TVCG.2009.191</v>
      </c>
      <c r="F846" s="14">
        <v>1105.0</v>
      </c>
      <c r="G846" s="14">
        <v>1112.0</v>
      </c>
      <c r="H846" s="151"/>
      <c r="I846" s="14" t="s">
        <v>17059</v>
      </c>
      <c r="J846" s="14" t="s">
        <v>20295</v>
      </c>
      <c r="K846" s="14" t="s">
        <v>33369</v>
      </c>
      <c r="L846" s="152" t="s">
        <v>4670</v>
      </c>
      <c r="M846" s="14" t="s">
        <v>33370</v>
      </c>
      <c r="N846" s="54" t="s">
        <v>33369</v>
      </c>
      <c r="O846" s="130" t="s">
        <v>20298</v>
      </c>
      <c r="P846" s="153" t="s">
        <v>20299</v>
      </c>
      <c r="Q846" s="14">
        <v>5290718.0</v>
      </c>
      <c r="R846" s="95"/>
      <c r="S846" s="154" t="s">
        <v>33371</v>
      </c>
      <c r="T846" s="84"/>
      <c r="U846" s="84"/>
      <c r="V846" s="84"/>
      <c r="W846" s="84"/>
      <c r="X846" s="84"/>
      <c r="Y846" s="84"/>
      <c r="Z846" s="84"/>
      <c r="AA846" s="84"/>
      <c r="AB846" s="84"/>
      <c r="AC846" s="84"/>
    </row>
    <row r="847" ht="15.75" customHeight="1">
      <c r="A847" s="14" t="s">
        <v>2137</v>
      </c>
      <c r="B847" s="14">
        <v>2009.0</v>
      </c>
      <c r="C847" s="14" t="s">
        <v>20301</v>
      </c>
      <c r="D847" s="14" t="s">
        <v>20302</v>
      </c>
      <c r="E847" s="150" t="str">
        <f t="shared" si="13"/>
        <v>http://dx.doi.org/10.1109/TVCG.2009.196</v>
      </c>
      <c r="F847" s="14">
        <v>1129.0</v>
      </c>
      <c r="G847" s="14">
        <v>1136.0</v>
      </c>
      <c r="H847" s="151"/>
      <c r="I847" s="14" t="s">
        <v>17059</v>
      </c>
      <c r="J847" s="14" t="s">
        <v>20303</v>
      </c>
      <c r="K847" s="14" t="s">
        <v>33372</v>
      </c>
      <c r="L847" s="152" t="s">
        <v>23188</v>
      </c>
      <c r="M847" s="14" t="s">
        <v>33373</v>
      </c>
      <c r="N847" s="54" t="s">
        <v>33372</v>
      </c>
      <c r="O847" s="130" t="s">
        <v>20306</v>
      </c>
      <c r="P847" s="153" t="s">
        <v>20307</v>
      </c>
      <c r="Q847" s="14">
        <v>5290721.0</v>
      </c>
      <c r="R847" s="95"/>
      <c r="S847" s="154" t="s">
        <v>33377</v>
      </c>
      <c r="T847" s="84"/>
      <c r="U847" s="84"/>
      <c r="V847" s="84"/>
      <c r="W847" s="84"/>
      <c r="X847" s="84"/>
      <c r="Y847" s="84"/>
      <c r="Z847" s="84"/>
      <c r="AA847" s="84"/>
      <c r="AB847" s="84"/>
      <c r="AC847" s="84"/>
    </row>
    <row r="848" ht="15.75" customHeight="1">
      <c r="A848" s="14" t="s">
        <v>2137</v>
      </c>
      <c r="B848" s="14">
        <v>2009.0</v>
      </c>
      <c r="C848" s="14" t="s">
        <v>20308</v>
      </c>
      <c r="D848" s="14" t="s">
        <v>20309</v>
      </c>
      <c r="E848" s="150" t="str">
        <f t="shared" si="13"/>
        <v>http://dx.doi.org/10.1109/TVCG.2009.201</v>
      </c>
      <c r="F848" s="14">
        <v>985.0</v>
      </c>
      <c r="G848" s="14">
        <v>992.0</v>
      </c>
      <c r="H848" s="151"/>
      <c r="I848" s="14" t="s">
        <v>17059</v>
      </c>
      <c r="J848" s="14" t="s">
        <v>20310</v>
      </c>
      <c r="K848" s="14" t="s">
        <v>33384</v>
      </c>
      <c r="L848" s="152" t="s">
        <v>23221</v>
      </c>
      <c r="M848" s="14" t="s">
        <v>33385</v>
      </c>
      <c r="N848" s="54" t="s">
        <v>33384</v>
      </c>
      <c r="O848" s="130"/>
      <c r="P848" s="153" t="s">
        <v>20313</v>
      </c>
      <c r="Q848" s="14">
        <v>5290703.0</v>
      </c>
      <c r="R848" s="95"/>
      <c r="S848" s="154"/>
      <c r="T848" s="84"/>
      <c r="U848" s="84"/>
      <c r="V848" s="84"/>
      <c r="W848" s="84"/>
      <c r="X848" s="84"/>
      <c r="Y848" s="84"/>
      <c r="Z848" s="84"/>
      <c r="AA848" s="84"/>
      <c r="AB848" s="84"/>
      <c r="AC848" s="84"/>
    </row>
    <row r="849" ht="15.75" customHeight="1">
      <c r="A849" s="14" t="s">
        <v>2137</v>
      </c>
      <c r="B849" s="14">
        <v>2009.0</v>
      </c>
      <c r="C849" s="14" t="s">
        <v>20314</v>
      </c>
      <c r="D849" s="14" t="s">
        <v>20315</v>
      </c>
      <c r="E849" s="150" t="str">
        <f t="shared" si="13"/>
        <v>http://dx.doi.org/10.1109/TVCG.2009.202</v>
      </c>
      <c r="F849" s="14">
        <v>1153.0</v>
      </c>
      <c r="G849" s="14">
        <v>1160.0</v>
      </c>
      <c r="H849" s="151"/>
      <c r="I849" s="14" t="s">
        <v>17059</v>
      </c>
      <c r="J849" s="14" t="s">
        <v>20316</v>
      </c>
      <c r="K849" s="14" t="s">
        <v>33392</v>
      </c>
      <c r="L849" s="152" t="s">
        <v>23237</v>
      </c>
      <c r="M849" s="14" t="s">
        <v>33393</v>
      </c>
      <c r="N849" s="54" t="s">
        <v>33392</v>
      </c>
      <c r="O849" s="130" t="s">
        <v>20320</v>
      </c>
      <c r="P849" s="153" t="s">
        <v>20321</v>
      </c>
      <c r="Q849" s="14">
        <v>5290724.0</v>
      </c>
      <c r="R849" s="95"/>
      <c r="S849" s="154" t="s">
        <v>33394</v>
      </c>
      <c r="T849" s="84"/>
      <c r="U849" s="84"/>
      <c r="V849" s="84"/>
      <c r="W849" s="84"/>
      <c r="X849" s="84"/>
      <c r="Y849" s="84"/>
      <c r="Z849" s="84"/>
      <c r="AA849" s="84"/>
      <c r="AB849" s="84"/>
      <c r="AC849" s="84"/>
    </row>
    <row r="850" ht="15.75" customHeight="1">
      <c r="A850" s="14" t="s">
        <v>120</v>
      </c>
      <c r="B850" s="14">
        <v>2009.0</v>
      </c>
      <c r="C850" s="14" t="s">
        <v>20386</v>
      </c>
      <c r="D850" s="14" t="s">
        <v>20387</v>
      </c>
      <c r="E850" s="150" t="str">
        <f t="shared" si="13"/>
        <v>http://dx.doi.org/10.1109/VAST.2009.5332611</v>
      </c>
      <c r="F850" s="14">
        <v>51.0</v>
      </c>
      <c r="G850" s="14">
        <v>58.0</v>
      </c>
      <c r="H850" s="151"/>
      <c r="I850" s="14" t="s">
        <v>28</v>
      </c>
      <c r="J850" s="14" t="s">
        <v>20388</v>
      </c>
      <c r="K850" s="14" t="s">
        <v>33395</v>
      </c>
      <c r="L850" s="152" t="s">
        <v>23453</v>
      </c>
      <c r="M850" s="14" t="s">
        <v>33396</v>
      </c>
      <c r="N850" s="54" t="s">
        <v>33395</v>
      </c>
      <c r="O850" s="130" t="s">
        <v>20391</v>
      </c>
      <c r="P850" s="153" t="s">
        <v>20392</v>
      </c>
      <c r="Q850" s="14">
        <v>5332611.0</v>
      </c>
      <c r="R850" s="95"/>
      <c r="S850" s="154" t="s">
        <v>33397</v>
      </c>
      <c r="T850" s="84"/>
      <c r="U850" s="84"/>
      <c r="V850" s="84"/>
      <c r="W850" s="84"/>
      <c r="X850" s="84"/>
      <c r="Y850" s="84"/>
      <c r="Z850" s="84"/>
      <c r="AA850" s="84"/>
      <c r="AB850" s="84"/>
      <c r="AC850" s="84"/>
    </row>
    <row r="851" ht="15.75" customHeight="1">
      <c r="A851" s="14" t="s">
        <v>120</v>
      </c>
      <c r="B851" s="14">
        <v>2009.0</v>
      </c>
      <c r="C851" s="14" t="s">
        <v>20570</v>
      </c>
      <c r="D851" s="14" t="s">
        <v>20571</v>
      </c>
      <c r="E851" s="150" t="str">
        <f t="shared" si="13"/>
        <v>http://dx.doi.org/10.1109/VAST.2009.5333880</v>
      </c>
      <c r="F851" s="14">
        <v>147.0</v>
      </c>
      <c r="G851" s="14">
        <v>154.0</v>
      </c>
      <c r="H851" s="151"/>
      <c r="I851" s="14" t="s">
        <v>28</v>
      </c>
      <c r="J851" s="14" t="s">
        <v>20572</v>
      </c>
      <c r="K851" s="14" t="s">
        <v>33398</v>
      </c>
      <c r="L851" s="152" t="s">
        <v>15976</v>
      </c>
      <c r="M851" s="14" t="s">
        <v>33399</v>
      </c>
      <c r="N851" s="54" t="s">
        <v>33400</v>
      </c>
      <c r="O851" s="130" t="s">
        <v>20575</v>
      </c>
      <c r="P851" s="153" t="s">
        <v>20576</v>
      </c>
      <c r="Q851" s="14">
        <v>5333880.0</v>
      </c>
      <c r="R851" s="95"/>
      <c r="S851" s="154" t="s">
        <v>33401</v>
      </c>
      <c r="T851" s="84"/>
      <c r="U851" s="84"/>
      <c r="V851" s="84"/>
      <c r="W851" s="84"/>
      <c r="X851" s="84"/>
      <c r="Y851" s="84"/>
      <c r="Z851" s="84"/>
      <c r="AA851" s="84"/>
      <c r="AB851" s="84"/>
      <c r="AC851" s="84"/>
    </row>
    <row r="852" ht="15.75" customHeight="1">
      <c r="A852" s="14" t="s">
        <v>120</v>
      </c>
      <c r="B852" s="14">
        <v>2009.0</v>
      </c>
      <c r="C852" s="14" t="s">
        <v>20519</v>
      </c>
      <c r="D852" s="14" t="s">
        <v>20520</v>
      </c>
      <c r="E852" s="150" t="str">
        <f t="shared" si="13"/>
        <v>http://dx.doi.org/10.1109/VAST.2009.5333451</v>
      </c>
      <c r="F852" s="14">
        <v>221.0</v>
      </c>
      <c r="G852" s="14">
        <v>222.0</v>
      </c>
      <c r="H852" s="159" t="s">
        <v>30659</v>
      </c>
      <c r="I852" s="14" t="s">
        <v>21</v>
      </c>
      <c r="J852" s="14" t="s">
        <v>20521</v>
      </c>
      <c r="K852" s="14" t="s">
        <v>33402</v>
      </c>
      <c r="L852" s="152" t="s">
        <v>5349</v>
      </c>
      <c r="M852" s="14" t="s">
        <v>33403</v>
      </c>
      <c r="N852" s="54" t="s">
        <v>33404</v>
      </c>
      <c r="O852" s="130"/>
      <c r="P852" s="16"/>
      <c r="Q852" s="14">
        <v>5333451.0</v>
      </c>
      <c r="R852" s="95"/>
      <c r="S852" s="154"/>
      <c r="T852" s="84"/>
      <c r="U852" s="84"/>
      <c r="V852" s="84"/>
      <c r="W852" s="84"/>
      <c r="X852" s="84"/>
      <c r="Y852" s="84"/>
      <c r="Z852" s="84"/>
      <c r="AA852" s="84"/>
      <c r="AB852" s="84"/>
      <c r="AC852" s="84"/>
    </row>
    <row r="853" ht="15.75" customHeight="1">
      <c r="A853" s="14" t="s">
        <v>120</v>
      </c>
      <c r="B853" s="14">
        <v>2009.0</v>
      </c>
      <c r="C853" s="14" t="s">
        <v>20373</v>
      </c>
      <c r="D853" s="14" t="s">
        <v>20374</v>
      </c>
      <c r="E853" s="150" t="str">
        <f t="shared" si="13"/>
        <v>http://dx.doi.org/10.1109/VAST.2009.5332596</v>
      </c>
      <c r="F853" s="14">
        <v>35.0</v>
      </c>
      <c r="G853" s="14">
        <v>42.0</v>
      </c>
      <c r="H853" s="151"/>
      <c r="I853" s="14" t="s">
        <v>28</v>
      </c>
      <c r="J853" s="14" t="s">
        <v>20376</v>
      </c>
      <c r="K853" s="14" t="s">
        <v>33405</v>
      </c>
      <c r="L853" s="152" t="s">
        <v>23416</v>
      </c>
      <c r="M853" s="14" t="s">
        <v>33406</v>
      </c>
      <c r="N853" s="54" t="s">
        <v>33407</v>
      </c>
      <c r="O853" s="130" t="s">
        <v>3421</v>
      </c>
      <c r="P853" s="153" t="s">
        <v>33408</v>
      </c>
      <c r="Q853" s="14">
        <v>5332596.0</v>
      </c>
      <c r="R853" s="95"/>
      <c r="S853" s="154">
        <v>636793.0</v>
      </c>
      <c r="T853" s="84"/>
      <c r="U853" s="84"/>
      <c r="V853" s="84"/>
      <c r="W853" s="84"/>
      <c r="X853" s="84"/>
      <c r="Y853" s="84"/>
      <c r="Z853" s="84"/>
      <c r="AA853" s="84"/>
      <c r="AB853" s="84"/>
      <c r="AC853" s="84"/>
    </row>
    <row r="854" ht="15.75" customHeight="1">
      <c r="A854" s="14" t="s">
        <v>120</v>
      </c>
      <c r="B854" s="14">
        <v>2009.0</v>
      </c>
      <c r="C854" s="14" t="s">
        <v>20543</v>
      </c>
      <c r="D854" s="14" t="s">
        <v>20544</v>
      </c>
      <c r="E854" s="150" t="str">
        <f t="shared" si="13"/>
        <v>http://dx.doi.org/10.1109/VAST.2009.5333472</v>
      </c>
      <c r="F854" s="14">
        <v>213.0</v>
      </c>
      <c r="G854" s="14">
        <v>214.0</v>
      </c>
      <c r="H854" s="159" t="s">
        <v>30659</v>
      </c>
      <c r="I854" s="14" t="s">
        <v>21</v>
      </c>
      <c r="J854" s="14" t="s">
        <v>20545</v>
      </c>
      <c r="K854" s="14" t="s">
        <v>33409</v>
      </c>
      <c r="L854" s="152" t="s">
        <v>23882</v>
      </c>
      <c r="M854" s="14" t="s">
        <v>33410</v>
      </c>
      <c r="N854" s="54" t="s">
        <v>33411</v>
      </c>
      <c r="O854" s="130"/>
      <c r="P854" s="16"/>
      <c r="Q854" s="14">
        <v>5333472.0</v>
      </c>
      <c r="R854" s="95"/>
      <c r="S854" s="154"/>
      <c r="T854" s="84"/>
      <c r="U854" s="84"/>
      <c r="V854" s="84"/>
      <c r="W854" s="84"/>
      <c r="X854" s="84"/>
      <c r="Y854" s="84"/>
      <c r="Z854" s="84"/>
      <c r="AA854" s="84"/>
      <c r="AB854" s="84"/>
      <c r="AC854" s="84"/>
    </row>
    <row r="855" ht="15.75" customHeight="1">
      <c r="A855" s="14" t="s">
        <v>120</v>
      </c>
      <c r="B855" s="14">
        <v>2009.0</v>
      </c>
      <c r="C855" s="14" t="s">
        <v>20434</v>
      </c>
      <c r="D855" s="14" t="s">
        <v>20435</v>
      </c>
      <c r="E855" s="150" t="str">
        <f t="shared" si="13"/>
        <v>http://dx.doi.org/10.1109/VAST.2009.5333099</v>
      </c>
      <c r="F855" s="14">
        <v>233.0</v>
      </c>
      <c r="G855" s="14">
        <v>234.0</v>
      </c>
      <c r="H855" s="159" t="s">
        <v>30659</v>
      </c>
      <c r="I855" s="14" t="s">
        <v>21</v>
      </c>
      <c r="J855" s="14" t="s">
        <v>20436</v>
      </c>
      <c r="K855" s="14" t="s">
        <v>33412</v>
      </c>
      <c r="L855" s="152" t="s">
        <v>23574</v>
      </c>
      <c r="M855" s="14" t="s">
        <v>33413</v>
      </c>
      <c r="N855" s="54" t="s">
        <v>33412</v>
      </c>
      <c r="O855" s="130"/>
      <c r="P855" s="16"/>
      <c r="Q855" s="14">
        <v>5333099.0</v>
      </c>
      <c r="R855" s="95"/>
      <c r="S855" s="154"/>
      <c r="T855" s="84"/>
      <c r="U855" s="84"/>
      <c r="V855" s="84"/>
      <c r="W855" s="84"/>
      <c r="X855" s="84"/>
      <c r="Y855" s="84"/>
      <c r="Z855" s="84"/>
      <c r="AA855" s="84"/>
      <c r="AB855" s="84"/>
      <c r="AC855" s="84"/>
    </row>
    <row r="856" ht="15.75" customHeight="1">
      <c r="A856" s="14" t="s">
        <v>120</v>
      </c>
      <c r="B856" s="14">
        <v>2009.0</v>
      </c>
      <c r="C856" s="14" t="s">
        <v>20457</v>
      </c>
      <c r="D856" s="14" t="s">
        <v>20458</v>
      </c>
      <c r="E856" s="150" t="str">
        <f t="shared" si="13"/>
        <v>http://dx.doi.org/10.1109/VAST.2009.5333417</v>
      </c>
      <c r="F856" s="14">
        <v>235.0</v>
      </c>
      <c r="G856" s="14">
        <v>236.0</v>
      </c>
      <c r="H856" s="159" t="s">
        <v>30659</v>
      </c>
      <c r="I856" s="14" t="s">
        <v>21</v>
      </c>
      <c r="J856" s="14" t="s">
        <v>20459</v>
      </c>
      <c r="K856" s="14" t="s">
        <v>33414</v>
      </c>
      <c r="L856" s="152" t="s">
        <v>23633</v>
      </c>
      <c r="M856" s="14" t="s">
        <v>33415</v>
      </c>
      <c r="N856" s="54" t="s">
        <v>33414</v>
      </c>
      <c r="O856" s="130"/>
      <c r="P856" s="16"/>
      <c r="Q856" s="14">
        <v>5333417.0</v>
      </c>
      <c r="R856" s="95"/>
      <c r="S856" s="154"/>
      <c r="T856" s="84"/>
      <c r="U856" s="84"/>
      <c r="V856" s="84"/>
      <c r="W856" s="84"/>
      <c r="X856" s="84"/>
      <c r="Y856" s="84"/>
      <c r="Z856" s="84"/>
      <c r="AA856" s="84"/>
      <c r="AB856" s="84"/>
      <c r="AC856" s="84"/>
    </row>
    <row r="857" ht="15.75" customHeight="1">
      <c r="A857" s="14" t="s">
        <v>120</v>
      </c>
      <c r="B857" s="14">
        <v>2009.0</v>
      </c>
      <c r="C857" s="14" t="s">
        <v>20406</v>
      </c>
      <c r="D857" s="14" t="s">
        <v>20407</v>
      </c>
      <c r="E857" s="150" t="str">
        <f t="shared" si="13"/>
        <v>http://dx.doi.org/10.1109/VAST.2009.5333020</v>
      </c>
      <c r="F857" s="14">
        <v>131.0</v>
      </c>
      <c r="G857" s="14">
        <v>138.0</v>
      </c>
      <c r="H857" s="151"/>
      <c r="I857" s="14" t="s">
        <v>28</v>
      </c>
      <c r="J857" s="14" t="s">
        <v>20408</v>
      </c>
      <c r="K857" s="14" t="s">
        <v>33416</v>
      </c>
      <c r="L857" s="152" t="s">
        <v>23510</v>
      </c>
      <c r="M857" s="14" t="s">
        <v>33417</v>
      </c>
      <c r="N857" s="54" t="s">
        <v>33416</v>
      </c>
      <c r="O857" s="130" t="s">
        <v>20412</v>
      </c>
      <c r="P857" s="153" t="s">
        <v>20413</v>
      </c>
      <c r="Q857" s="14">
        <v>5333020.0</v>
      </c>
      <c r="R857" s="95"/>
      <c r="S857" s="154" t="s">
        <v>33418</v>
      </c>
      <c r="T857" s="84"/>
      <c r="U857" s="84"/>
      <c r="V857" s="84"/>
      <c r="W857" s="84"/>
      <c r="X857" s="84"/>
      <c r="Y857" s="84"/>
      <c r="Z857" s="84"/>
      <c r="AA857" s="84"/>
      <c r="AB857" s="84"/>
      <c r="AC857" s="84"/>
    </row>
    <row r="858" ht="15.75" customHeight="1">
      <c r="A858" s="14" t="s">
        <v>120</v>
      </c>
      <c r="B858" s="14">
        <v>2009.0</v>
      </c>
      <c r="C858" s="14" t="s">
        <v>20393</v>
      </c>
      <c r="D858" s="14" t="s">
        <v>20394</v>
      </c>
      <c r="E858" s="150" t="str">
        <f t="shared" si="13"/>
        <v>http://dx.doi.org/10.1109/VAST.2009.5332628</v>
      </c>
      <c r="F858" s="14">
        <v>59.0</v>
      </c>
      <c r="G858" s="14">
        <v>66.0</v>
      </c>
      <c r="H858" s="151"/>
      <c r="I858" s="14" t="s">
        <v>28</v>
      </c>
      <c r="J858" s="14" t="s">
        <v>20395</v>
      </c>
      <c r="K858" s="14" t="s">
        <v>33419</v>
      </c>
      <c r="L858" s="152" t="s">
        <v>23476</v>
      </c>
      <c r="M858" s="14" t="s">
        <v>33420</v>
      </c>
      <c r="N858" s="54" t="s">
        <v>33421</v>
      </c>
      <c r="O858" s="130" t="s">
        <v>20399</v>
      </c>
      <c r="P858" s="153" t="s">
        <v>33408</v>
      </c>
      <c r="Q858" s="14">
        <v>5332628.0</v>
      </c>
      <c r="R858" s="95"/>
      <c r="S858" s="154" t="s">
        <v>33422</v>
      </c>
      <c r="T858" s="84"/>
      <c r="U858" s="84"/>
      <c r="V858" s="84"/>
      <c r="W858" s="84"/>
      <c r="X858" s="84"/>
      <c r="Y858" s="84"/>
      <c r="Z858" s="84"/>
      <c r="AA858" s="84"/>
      <c r="AB858" s="84"/>
      <c r="AC858" s="84"/>
    </row>
    <row r="859" ht="15.75" customHeight="1">
      <c r="A859" s="14" t="s">
        <v>120</v>
      </c>
      <c r="B859" s="14">
        <v>2009.0</v>
      </c>
      <c r="C859" s="14" t="s">
        <v>20824</v>
      </c>
      <c r="D859" s="14" t="s">
        <v>20825</v>
      </c>
      <c r="E859" s="150" t="str">
        <f t="shared" si="13"/>
        <v>http://dx.doi.org/10.1109/VAST.2009.5334463</v>
      </c>
      <c r="F859" s="14"/>
      <c r="G859" s="14"/>
      <c r="H859" s="159" t="s">
        <v>30659</v>
      </c>
      <c r="I859" s="14" t="s">
        <v>21</v>
      </c>
      <c r="J859" s="14" t="s">
        <v>20826</v>
      </c>
      <c r="K859" s="14" t="s">
        <v>33423</v>
      </c>
      <c r="L859" s="152" t="s">
        <v>178</v>
      </c>
      <c r="M859" s="14" t="s">
        <v>178</v>
      </c>
      <c r="N859" s="54" t="s">
        <v>33423</v>
      </c>
      <c r="O859" s="130"/>
      <c r="P859" s="16"/>
      <c r="Q859" s="14">
        <v>5334463.0</v>
      </c>
      <c r="R859" s="95"/>
      <c r="S859" s="154"/>
      <c r="T859" s="84"/>
      <c r="U859" s="84"/>
      <c r="V859" s="84"/>
      <c r="W859" s="84"/>
      <c r="X859" s="84"/>
      <c r="Y859" s="84"/>
      <c r="Z859" s="84"/>
      <c r="AA859" s="84"/>
      <c r="AB859" s="84"/>
      <c r="AC859" s="84"/>
    </row>
    <row r="860" ht="15.75" customHeight="1">
      <c r="A860" s="14" t="s">
        <v>120</v>
      </c>
      <c r="B860" s="14">
        <v>2009.0</v>
      </c>
      <c r="C860" s="14" t="s">
        <v>20538</v>
      </c>
      <c r="D860" s="14" t="s">
        <v>20539</v>
      </c>
      <c r="E860" s="150" t="str">
        <f t="shared" si="13"/>
        <v>http://dx.doi.org/10.1109/VAST.2009.5333469</v>
      </c>
      <c r="F860" s="14">
        <v>219.0</v>
      </c>
      <c r="G860" s="14">
        <v>220.0</v>
      </c>
      <c r="H860" s="159" t="s">
        <v>30659</v>
      </c>
      <c r="I860" s="14" t="s">
        <v>21</v>
      </c>
      <c r="J860" s="14" t="s">
        <v>20540</v>
      </c>
      <c r="K860" s="14" t="s">
        <v>33424</v>
      </c>
      <c r="L860" s="152" t="s">
        <v>23866</v>
      </c>
      <c r="M860" s="14" t="s">
        <v>33425</v>
      </c>
      <c r="N860" s="54" t="s">
        <v>33424</v>
      </c>
      <c r="O860" s="130"/>
      <c r="P860" s="16"/>
      <c r="Q860" s="14">
        <v>5333469.0</v>
      </c>
      <c r="R860" s="95"/>
      <c r="S860" s="154"/>
      <c r="T860" s="84"/>
      <c r="U860" s="84"/>
      <c r="V860" s="84"/>
      <c r="W860" s="84"/>
      <c r="X860" s="84"/>
      <c r="Y860" s="84"/>
      <c r="Z860" s="84"/>
      <c r="AA860" s="84"/>
      <c r="AB860" s="84"/>
      <c r="AC860" s="84"/>
    </row>
    <row r="861" ht="15.75" customHeight="1">
      <c r="A861" s="14" t="s">
        <v>120</v>
      </c>
      <c r="B861" s="14">
        <v>2009.0</v>
      </c>
      <c r="C861" s="14" t="s">
        <v>20414</v>
      </c>
      <c r="D861" s="14" t="s">
        <v>20415</v>
      </c>
      <c r="E861" s="150" t="str">
        <f t="shared" si="13"/>
        <v>http://dx.doi.org/10.1109/VAST.2009.5333023</v>
      </c>
      <c r="F861" s="14">
        <v>123.0</v>
      </c>
      <c r="G861" s="14">
        <v>130.0</v>
      </c>
      <c r="H861" s="151"/>
      <c r="I861" s="14" t="s">
        <v>28</v>
      </c>
      <c r="J861" s="14" t="s">
        <v>20416</v>
      </c>
      <c r="K861" s="14" t="s">
        <v>33426</v>
      </c>
      <c r="L861" s="152" t="s">
        <v>23514</v>
      </c>
      <c r="M861" s="14" t="s">
        <v>33427</v>
      </c>
      <c r="N861" s="54" t="s">
        <v>33426</v>
      </c>
      <c r="O861" s="130" t="s">
        <v>20420</v>
      </c>
      <c r="P861" s="16"/>
      <c r="Q861" s="14">
        <v>5333023.0</v>
      </c>
      <c r="R861" s="95"/>
      <c r="S861" s="154" t="s">
        <v>33428</v>
      </c>
      <c r="T861" s="84"/>
      <c r="U861" s="84"/>
      <c r="V861" s="84"/>
      <c r="W861" s="84"/>
      <c r="X861" s="84"/>
      <c r="Y861" s="84"/>
      <c r="Z861" s="84"/>
      <c r="AA861" s="84"/>
      <c r="AB861" s="84"/>
      <c r="AC861" s="84"/>
    </row>
    <row r="862" ht="15.75" customHeight="1">
      <c r="A862" s="14" t="s">
        <v>120</v>
      </c>
      <c r="B862" s="14">
        <v>2009.0</v>
      </c>
      <c r="C862" s="14" t="s">
        <v>20497</v>
      </c>
      <c r="D862" s="14" t="s">
        <v>20498</v>
      </c>
      <c r="E862" s="150" t="str">
        <f t="shared" si="13"/>
        <v>http://dx.doi.org/10.1109/VAST.2009.5333437</v>
      </c>
      <c r="F862" s="14">
        <v>99.0</v>
      </c>
      <c r="G862" s="14">
        <v>106.0</v>
      </c>
      <c r="H862" s="151"/>
      <c r="I862" s="14" t="s">
        <v>28</v>
      </c>
      <c r="J862" s="14" t="s">
        <v>20499</v>
      </c>
      <c r="K862" s="14" t="s">
        <v>33429</v>
      </c>
      <c r="L862" s="152" t="s">
        <v>23754</v>
      </c>
      <c r="M862" s="14" t="s">
        <v>33430</v>
      </c>
      <c r="N862" s="54" t="s">
        <v>33429</v>
      </c>
      <c r="O862" s="130" t="s">
        <v>20503</v>
      </c>
      <c r="P862" s="16"/>
      <c r="Q862" s="14">
        <v>5333437.0</v>
      </c>
      <c r="R862" s="95"/>
      <c r="S862" s="154" t="s">
        <v>33431</v>
      </c>
      <c r="T862" s="84"/>
      <c r="U862" s="84"/>
      <c r="V862" s="84"/>
      <c r="W862" s="84"/>
      <c r="X862" s="84"/>
      <c r="Y862" s="84"/>
      <c r="Z862" s="84"/>
      <c r="AA862" s="84"/>
      <c r="AB862" s="84"/>
      <c r="AC862" s="84"/>
    </row>
    <row r="863" ht="15.75" customHeight="1">
      <c r="A863" s="14" t="s">
        <v>120</v>
      </c>
      <c r="B863" s="14">
        <v>2009.0</v>
      </c>
      <c r="C863" s="14" t="s">
        <v>20679</v>
      </c>
      <c r="D863" s="14" t="s">
        <v>20680</v>
      </c>
      <c r="E863" s="150" t="str">
        <f t="shared" si="13"/>
        <v>http://dx.doi.org/10.1109/VAST.2009.5334426</v>
      </c>
      <c r="F863" s="14"/>
      <c r="G863" s="14"/>
      <c r="H863" s="159" t="s">
        <v>30659</v>
      </c>
      <c r="I863" s="14" t="s">
        <v>21</v>
      </c>
      <c r="J863" s="14" t="s">
        <v>20682</v>
      </c>
      <c r="K863" s="14" t="s">
        <v>33433</v>
      </c>
      <c r="L863" s="152" t="s">
        <v>494</v>
      </c>
      <c r="M863" s="14" t="s">
        <v>494</v>
      </c>
      <c r="N863" s="54" t="s">
        <v>33433</v>
      </c>
      <c r="O863" s="130"/>
      <c r="P863" s="16"/>
      <c r="Q863" s="14">
        <v>5334426.0</v>
      </c>
      <c r="R863" s="95"/>
      <c r="S863" s="154"/>
      <c r="T863" s="84"/>
      <c r="U863" s="84"/>
      <c r="V863" s="84"/>
      <c r="W863" s="84"/>
      <c r="X863" s="84"/>
      <c r="Y863" s="84"/>
      <c r="Z863" s="84"/>
      <c r="AA863" s="84"/>
      <c r="AB863" s="84"/>
      <c r="AC863" s="84"/>
    </row>
    <row r="864" ht="15.75" customHeight="1">
      <c r="A864" s="14" t="s">
        <v>120</v>
      </c>
      <c r="B864" s="14">
        <v>2009.0</v>
      </c>
      <c r="C864" s="14" t="s">
        <v>20654</v>
      </c>
      <c r="D864" s="14" t="s">
        <v>20655</v>
      </c>
      <c r="E864" s="150" t="str">
        <f t="shared" si="13"/>
        <v>http://dx.doi.org/10.1109/VAST.2009.5333967</v>
      </c>
      <c r="F864" s="14"/>
      <c r="G864" s="14"/>
      <c r="H864" s="159" t="s">
        <v>30659</v>
      </c>
      <c r="I864" s="14" t="s">
        <v>21</v>
      </c>
      <c r="J864" s="14" t="s">
        <v>20656</v>
      </c>
      <c r="K864" s="14" t="s">
        <v>9006</v>
      </c>
      <c r="L864" s="152"/>
      <c r="M864" s="14"/>
      <c r="N864" s="54" t="s">
        <v>9006</v>
      </c>
      <c r="O864" s="130"/>
      <c r="P864" s="16"/>
      <c r="Q864" s="14">
        <v>5333967.0</v>
      </c>
      <c r="R864" s="95"/>
      <c r="S864" s="154"/>
      <c r="T864" s="84"/>
      <c r="U864" s="84"/>
      <c r="V864" s="84"/>
      <c r="W864" s="84"/>
      <c r="X864" s="84"/>
      <c r="Y864" s="84"/>
      <c r="Z864" s="84"/>
      <c r="AA864" s="84"/>
      <c r="AB864" s="84"/>
      <c r="AC864" s="84"/>
    </row>
    <row r="865" ht="15.75" customHeight="1">
      <c r="A865" s="14" t="s">
        <v>120</v>
      </c>
      <c r="B865" s="14">
        <v>2009.0</v>
      </c>
      <c r="C865" s="14" t="s">
        <v>20561</v>
      </c>
      <c r="D865" s="14" t="s">
        <v>20562</v>
      </c>
      <c r="E865" s="150" t="str">
        <f t="shared" si="13"/>
        <v>http://dx.doi.org/10.1109/VAST.2009.5333878</v>
      </c>
      <c r="F865" s="14">
        <v>139.0</v>
      </c>
      <c r="G865" s="14">
        <v>146.0</v>
      </c>
      <c r="H865" s="151"/>
      <c r="I865" s="14" t="s">
        <v>28</v>
      </c>
      <c r="J865" s="14" t="s">
        <v>20563</v>
      </c>
      <c r="K865" s="14" t="s">
        <v>33435</v>
      </c>
      <c r="L865" s="152" t="s">
        <v>23891</v>
      </c>
      <c r="M865" s="14" t="s">
        <v>33436</v>
      </c>
      <c r="N865" s="54" t="s">
        <v>33435</v>
      </c>
      <c r="O865" s="130" t="s">
        <v>20568</v>
      </c>
      <c r="P865" s="16"/>
      <c r="Q865" s="14">
        <v>5333878.0</v>
      </c>
      <c r="R865" s="95"/>
      <c r="S865" s="154" t="s">
        <v>33437</v>
      </c>
      <c r="T865" s="84"/>
      <c r="U865" s="84"/>
      <c r="V865" s="84"/>
      <c r="W865" s="84"/>
      <c r="X865" s="84"/>
      <c r="Y865" s="84"/>
      <c r="Z865" s="84"/>
      <c r="AA865" s="84"/>
      <c r="AB865" s="84"/>
      <c r="AC865" s="84"/>
    </row>
    <row r="866" ht="15.75" customHeight="1">
      <c r="A866" s="14" t="s">
        <v>120</v>
      </c>
      <c r="B866" s="14">
        <v>2009.0</v>
      </c>
      <c r="C866" s="14" t="s">
        <v>20366</v>
      </c>
      <c r="D866" s="14" t="s">
        <v>20367</v>
      </c>
      <c r="E866" s="150" t="str">
        <f t="shared" si="13"/>
        <v>http://dx.doi.org/10.1109/VAST.2009.5332595</v>
      </c>
      <c r="F866" s="14">
        <v>27.0</v>
      </c>
      <c r="G866" s="14">
        <v>34.0</v>
      </c>
      <c r="H866" s="151"/>
      <c r="I866" s="14" t="s">
        <v>28</v>
      </c>
      <c r="J866" s="14" t="s">
        <v>23393</v>
      </c>
      <c r="K866" s="14" t="s">
        <v>33438</v>
      </c>
      <c r="L866" s="152" t="s">
        <v>23394</v>
      </c>
      <c r="M866" s="14" t="s">
        <v>33439</v>
      </c>
      <c r="N866" s="54" t="s">
        <v>33438</v>
      </c>
      <c r="O866" s="130" t="s">
        <v>17421</v>
      </c>
      <c r="P866" s="153" t="s">
        <v>20372</v>
      </c>
      <c r="Q866" s="14">
        <v>5332595.0</v>
      </c>
      <c r="R866" s="95"/>
      <c r="S866" s="154">
        <v>4035762.0</v>
      </c>
      <c r="T866" s="84"/>
      <c r="U866" s="84"/>
      <c r="V866" s="84"/>
      <c r="W866" s="84"/>
      <c r="X866" s="84"/>
      <c r="Y866" s="84"/>
      <c r="Z866" s="84"/>
      <c r="AA866" s="84"/>
      <c r="AB866" s="84"/>
      <c r="AC866" s="84"/>
    </row>
    <row r="867" ht="15.75" customHeight="1">
      <c r="A867" s="14" t="s">
        <v>120</v>
      </c>
      <c r="B867" s="14">
        <v>2009.0</v>
      </c>
      <c r="C867" s="14" t="s">
        <v>20618</v>
      </c>
      <c r="D867" s="14" t="s">
        <v>20620</v>
      </c>
      <c r="E867" s="150" t="str">
        <f t="shared" si="13"/>
        <v>http://dx.doi.org/10.1109/VAST.2009.5333920</v>
      </c>
      <c r="F867" s="14">
        <v>195.0</v>
      </c>
      <c r="G867" s="14">
        <v>202.0</v>
      </c>
      <c r="H867" s="151"/>
      <c r="I867" s="14" t="s">
        <v>28</v>
      </c>
      <c r="J867" s="14" t="s">
        <v>20621</v>
      </c>
      <c r="K867" s="14" t="s">
        <v>33440</v>
      </c>
      <c r="L867" s="152" t="s">
        <v>23904</v>
      </c>
      <c r="M867" s="14" t="s">
        <v>33441</v>
      </c>
      <c r="N867" s="54" t="s">
        <v>33440</v>
      </c>
      <c r="O867" s="130" t="s">
        <v>20625</v>
      </c>
      <c r="P867" s="153" t="s">
        <v>20626</v>
      </c>
      <c r="Q867" s="14">
        <v>5333920.0</v>
      </c>
      <c r="R867" s="95"/>
      <c r="S867" s="154" t="s">
        <v>33442</v>
      </c>
      <c r="T867" s="84"/>
      <c r="U867" s="84"/>
      <c r="V867" s="84"/>
      <c r="W867" s="84"/>
      <c r="X867" s="84"/>
      <c r="Y867" s="84"/>
      <c r="Z867" s="84"/>
      <c r="AA867" s="84"/>
      <c r="AB867" s="84"/>
      <c r="AC867" s="84"/>
    </row>
    <row r="868" ht="15.75" customHeight="1">
      <c r="A868" s="14" t="s">
        <v>120</v>
      </c>
      <c r="B868" s="14">
        <v>2009.0</v>
      </c>
      <c r="C868" s="14" t="s">
        <v>20379</v>
      </c>
      <c r="D868" s="14" t="s">
        <v>20380</v>
      </c>
      <c r="E868" s="150" t="str">
        <f t="shared" si="13"/>
        <v>http://dx.doi.org/10.1109/VAST.2009.5332610</v>
      </c>
      <c r="F868" s="14">
        <v>43.0</v>
      </c>
      <c r="G868" s="14">
        <v>50.0</v>
      </c>
      <c r="H868" s="151"/>
      <c r="I868" s="14" t="s">
        <v>28</v>
      </c>
      <c r="J868" s="14" t="s">
        <v>20381</v>
      </c>
      <c r="K868" s="14" t="s">
        <v>33443</v>
      </c>
      <c r="L868" s="152" t="s">
        <v>23435</v>
      </c>
      <c r="M868" s="14" t="s">
        <v>33444</v>
      </c>
      <c r="N868" s="54" t="s">
        <v>33443</v>
      </c>
      <c r="O868" s="130" t="s">
        <v>5419</v>
      </c>
      <c r="P868" s="153" t="s">
        <v>20385</v>
      </c>
      <c r="Q868" s="14">
        <v>5332610.0</v>
      </c>
      <c r="R868" s="95"/>
      <c r="S868" s="154">
        <v>809930.0</v>
      </c>
      <c r="T868" s="84"/>
      <c r="U868" s="84"/>
      <c r="V868" s="84"/>
      <c r="W868" s="84"/>
      <c r="X868" s="84"/>
      <c r="Y868" s="84"/>
      <c r="Z868" s="84"/>
      <c r="AA868" s="84"/>
      <c r="AB868" s="84"/>
      <c r="AC868" s="84"/>
    </row>
    <row r="869" ht="15.75" customHeight="1">
      <c r="A869" s="14" t="s">
        <v>120</v>
      </c>
      <c r="B869" s="14">
        <v>2009.0</v>
      </c>
      <c r="C869" s="14" t="s">
        <v>20340</v>
      </c>
      <c r="D869" s="14" t="s">
        <v>20341</v>
      </c>
      <c r="E869" s="150" t="str">
        <f t="shared" si="13"/>
        <v>http://dx.doi.org/10.1109/VAST.2009.5332586</v>
      </c>
      <c r="F869" s="14">
        <v>19.0</v>
      </c>
      <c r="G869" s="14">
        <v>26.0</v>
      </c>
      <c r="H869" s="151"/>
      <c r="I869" s="14" t="s">
        <v>28</v>
      </c>
      <c r="J869" s="14" t="s">
        <v>20342</v>
      </c>
      <c r="K869" s="14" t="s">
        <v>33445</v>
      </c>
      <c r="L869" s="152" t="s">
        <v>23354</v>
      </c>
      <c r="M869" s="14" t="s">
        <v>33446</v>
      </c>
      <c r="N869" s="54" t="s">
        <v>33445</v>
      </c>
      <c r="O869" s="130" t="s">
        <v>20354</v>
      </c>
      <c r="P869" s="153" t="s">
        <v>20355</v>
      </c>
      <c r="Q869" s="14">
        <v>5332586.0</v>
      </c>
      <c r="R869" s="95"/>
      <c r="S869" s="154" t="s">
        <v>33447</v>
      </c>
      <c r="T869" s="84"/>
      <c r="U869" s="84"/>
      <c r="V869" s="84"/>
      <c r="W869" s="84"/>
      <c r="X869" s="84"/>
      <c r="Y869" s="84"/>
      <c r="Z869" s="84"/>
      <c r="AA869" s="84"/>
      <c r="AB869" s="84"/>
      <c r="AC869" s="84"/>
    </row>
    <row r="870" ht="15.75" customHeight="1">
      <c r="A870" s="14" t="s">
        <v>120</v>
      </c>
      <c r="B870" s="14">
        <v>2009.0</v>
      </c>
      <c r="C870" s="14" t="s">
        <v>20666</v>
      </c>
      <c r="D870" s="14" t="s">
        <v>20668</v>
      </c>
      <c r="E870" s="150" t="str">
        <f t="shared" si="13"/>
        <v>http://dx.doi.org/10.1109/VAST.2009.5334300</v>
      </c>
      <c r="F870" s="14"/>
      <c r="G870" s="14"/>
      <c r="H870" s="159" t="s">
        <v>30659</v>
      </c>
      <c r="I870" s="14" t="s">
        <v>21</v>
      </c>
      <c r="J870" s="14" t="s">
        <v>20669</v>
      </c>
      <c r="K870" s="14" t="s">
        <v>33448</v>
      </c>
      <c r="L870" s="152" t="s">
        <v>23919</v>
      </c>
      <c r="M870" s="14" t="s">
        <v>23953</v>
      </c>
      <c r="N870" s="54" t="s">
        <v>33448</v>
      </c>
      <c r="O870" s="130"/>
      <c r="P870" s="16"/>
      <c r="Q870" s="14">
        <v>5334300.0</v>
      </c>
      <c r="R870" s="95"/>
      <c r="S870" s="154"/>
      <c r="T870" s="84"/>
      <c r="U870" s="84"/>
      <c r="V870" s="84"/>
      <c r="W870" s="84"/>
      <c r="X870" s="84"/>
      <c r="Y870" s="84"/>
      <c r="Z870" s="84"/>
      <c r="AA870" s="84"/>
      <c r="AB870" s="84"/>
      <c r="AC870" s="84"/>
    </row>
    <row r="871" ht="15.75" customHeight="1">
      <c r="A871" s="14" t="s">
        <v>120</v>
      </c>
      <c r="B871" s="14">
        <v>2009.0</v>
      </c>
      <c r="C871" s="14" t="s">
        <v>20686</v>
      </c>
      <c r="D871" s="14" t="s">
        <v>20687</v>
      </c>
      <c r="E871" s="150" t="str">
        <f t="shared" si="13"/>
        <v>http://dx.doi.org/10.1109/VAST.2009.5334430</v>
      </c>
      <c r="F871" s="14"/>
      <c r="G871" s="14"/>
      <c r="H871" s="159" t="s">
        <v>30659</v>
      </c>
      <c r="I871" s="14" t="s">
        <v>21</v>
      </c>
      <c r="J871" s="14" t="s">
        <v>20688</v>
      </c>
      <c r="K871" s="14" t="s">
        <v>33450</v>
      </c>
      <c r="L871" s="152" t="s">
        <v>23924</v>
      </c>
      <c r="M871" s="14" t="s">
        <v>23953</v>
      </c>
      <c r="N871" s="54" t="s">
        <v>33450</v>
      </c>
      <c r="O871" s="130"/>
      <c r="P871" s="16"/>
      <c r="Q871" s="14">
        <v>5334430.0</v>
      </c>
      <c r="R871" s="95"/>
      <c r="S871" s="154"/>
      <c r="T871" s="84"/>
      <c r="U871" s="84"/>
      <c r="V871" s="84"/>
      <c r="W871" s="84"/>
      <c r="X871" s="84"/>
      <c r="Y871" s="84"/>
      <c r="Z871" s="84"/>
      <c r="AA871" s="84"/>
      <c r="AB871" s="84"/>
      <c r="AC871" s="84"/>
    </row>
    <row r="872" ht="15.75" customHeight="1">
      <c r="A872" s="14" t="s">
        <v>120</v>
      </c>
      <c r="B872" s="14">
        <v>2009.0</v>
      </c>
      <c r="C872" s="14" t="s">
        <v>20549</v>
      </c>
      <c r="D872" s="14" t="s">
        <v>20550</v>
      </c>
      <c r="E872" s="150" t="str">
        <f t="shared" si="13"/>
        <v>http://dx.doi.org/10.1109/VAST.2009.5333474</v>
      </c>
      <c r="F872" s="14">
        <v>215.0</v>
      </c>
      <c r="G872" s="14">
        <v>216.0</v>
      </c>
      <c r="H872" s="159" t="s">
        <v>30659</v>
      </c>
      <c r="I872" s="14" t="s">
        <v>21</v>
      </c>
      <c r="J872" s="14" t="s">
        <v>20552</v>
      </c>
      <c r="K872" s="14" t="s">
        <v>10422</v>
      </c>
      <c r="L872" s="152" t="s">
        <v>23886</v>
      </c>
      <c r="M872" s="14">
        <v>3.72686713E10</v>
      </c>
      <c r="N872" s="54" t="s">
        <v>10422</v>
      </c>
      <c r="O872" s="130"/>
      <c r="P872" s="16"/>
      <c r="Q872" s="14">
        <v>5333474.0</v>
      </c>
      <c r="R872" s="95"/>
      <c r="S872" s="154"/>
      <c r="T872" s="84"/>
      <c r="U872" s="84"/>
      <c r="V872" s="84"/>
      <c r="W872" s="84"/>
      <c r="X872" s="84"/>
      <c r="Y872" s="84"/>
      <c r="Z872" s="84"/>
      <c r="AA872" s="84"/>
      <c r="AB872" s="84"/>
      <c r="AC872" s="84"/>
    </row>
    <row r="873" ht="15.75" customHeight="1">
      <c r="A873" s="14" t="s">
        <v>120</v>
      </c>
      <c r="B873" s="14">
        <v>2009.0</v>
      </c>
      <c r="C873" s="14" t="s">
        <v>20421</v>
      </c>
      <c r="D873" s="14" t="s">
        <v>20423</v>
      </c>
      <c r="E873" s="150" t="str">
        <f t="shared" si="13"/>
        <v>http://dx.doi.org/10.1109/VAST.2009.5333081</v>
      </c>
      <c r="F873" s="14">
        <v>237.0</v>
      </c>
      <c r="G873" s="14">
        <v>238.0</v>
      </c>
      <c r="H873" s="159" t="s">
        <v>30659</v>
      </c>
      <c r="I873" s="14" t="s">
        <v>21</v>
      </c>
      <c r="J873" s="14" t="s">
        <v>20424</v>
      </c>
      <c r="K873" s="14" t="s">
        <v>33451</v>
      </c>
      <c r="L873" s="152" t="s">
        <v>23535</v>
      </c>
      <c r="M873" s="14" t="s">
        <v>33455</v>
      </c>
      <c r="N873" s="54" t="s">
        <v>33451</v>
      </c>
      <c r="O873" s="130"/>
      <c r="P873" s="16"/>
      <c r="Q873" s="14">
        <v>5333081.0</v>
      </c>
      <c r="R873" s="95"/>
      <c r="S873" s="154"/>
      <c r="T873" s="84"/>
      <c r="U873" s="84"/>
      <c r="V873" s="84"/>
      <c r="W873" s="84"/>
      <c r="X873" s="84"/>
      <c r="Y873" s="84"/>
      <c r="Z873" s="84"/>
      <c r="AA873" s="84"/>
      <c r="AB873" s="84"/>
      <c r="AC873" s="84"/>
    </row>
    <row r="874" ht="15.75" customHeight="1">
      <c r="A874" s="14" t="s">
        <v>120</v>
      </c>
      <c r="B874" s="14">
        <v>2009.0</v>
      </c>
      <c r="C874" s="14" t="s">
        <v>20525</v>
      </c>
      <c r="D874" s="14" t="s">
        <v>20526</v>
      </c>
      <c r="E874" s="150" t="str">
        <f t="shared" si="13"/>
        <v>http://dx.doi.org/10.1109/VAST.2009.5333453</v>
      </c>
      <c r="F874" s="14">
        <v>223.0</v>
      </c>
      <c r="G874" s="14">
        <v>224.0</v>
      </c>
      <c r="H874" s="159" t="s">
        <v>30659</v>
      </c>
      <c r="I874" s="14" t="s">
        <v>21</v>
      </c>
      <c r="J874" s="14" t="s">
        <v>20527</v>
      </c>
      <c r="K874" s="14" t="s">
        <v>32873</v>
      </c>
      <c r="L874" s="152" t="s">
        <v>23820</v>
      </c>
      <c r="M874" s="14" t="s">
        <v>32874</v>
      </c>
      <c r="N874" s="54" t="s">
        <v>32873</v>
      </c>
      <c r="O874" s="130"/>
      <c r="P874" s="16"/>
      <c r="Q874" s="14">
        <v>5333453.0</v>
      </c>
      <c r="R874" s="95"/>
      <c r="S874" s="154"/>
      <c r="T874" s="84"/>
      <c r="U874" s="84"/>
      <c r="V874" s="84"/>
      <c r="W874" s="84"/>
      <c r="X874" s="84"/>
      <c r="Y874" s="84"/>
      <c r="Z874" s="84"/>
      <c r="AA874" s="84"/>
      <c r="AB874" s="84"/>
      <c r="AC874" s="84"/>
    </row>
    <row r="875" ht="15.75" customHeight="1">
      <c r="A875" s="14" t="s">
        <v>120</v>
      </c>
      <c r="B875" s="14">
        <v>2009.0</v>
      </c>
      <c r="C875" s="14" t="s">
        <v>20331</v>
      </c>
      <c r="D875" s="14" t="s">
        <v>20333</v>
      </c>
      <c r="E875" s="150" t="str">
        <f t="shared" si="13"/>
        <v>http://dx.doi.org/10.1109/VAST.2009.5332584</v>
      </c>
      <c r="F875" s="14">
        <v>3.0</v>
      </c>
      <c r="G875" s="14">
        <v>10.0</v>
      </c>
      <c r="H875" s="151"/>
      <c r="I875" s="14" t="s">
        <v>28</v>
      </c>
      <c r="J875" s="14" t="s">
        <v>20334</v>
      </c>
      <c r="K875" s="14" t="s">
        <v>33470</v>
      </c>
      <c r="L875" s="152" t="s">
        <v>23336</v>
      </c>
      <c r="M875" s="14" t="s">
        <v>33471</v>
      </c>
      <c r="N875" s="54" t="s">
        <v>33470</v>
      </c>
      <c r="O875" s="130" t="s">
        <v>20338</v>
      </c>
      <c r="P875" s="153" t="s">
        <v>20339</v>
      </c>
      <c r="Q875" s="14">
        <v>5332584.0</v>
      </c>
      <c r="R875" s="95"/>
      <c r="S875" s="154" t="s">
        <v>33482</v>
      </c>
      <c r="T875" s="84"/>
      <c r="U875" s="84"/>
      <c r="V875" s="84"/>
      <c r="W875" s="84"/>
      <c r="X875" s="84"/>
      <c r="Y875" s="84"/>
      <c r="Z875" s="84"/>
      <c r="AA875" s="84"/>
      <c r="AB875" s="84"/>
      <c r="AC875" s="84"/>
    </row>
    <row r="876" ht="15.75" customHeight="1">
      <c r="A876" s="14" t="s">
        <v>120</v>
      </c>
      <c r="B876" s="14">
        <v>2009.0</v>
      </c>
      <c r="C876" s="14" t="s">
        <v>20554</v>
      </c>
      <c r="D876" s="14" t="s">
        <v>20555</v>
      </c>
      <c r="E876" s="150" t="str">
        <f t="shared" si="13"/>
        <v>http://dx.doi.org/10.1109/VAST.2009.5333564</v>
      </c>
      <c r="F876" s="14">
        <v>203.0</v>
      </c>
      <c r="G876" s="14">
        <v>210.0</v>
      </c>
      <c r="H876" s="151"/>
      <c r="I876" s="14" t="s">
        <v>28</v>
      </c>
      <c r="J876" s="14" t="s">
        <v>20556</v>
      </c>
      <c r="K876" s="14" t="s">
        <v>33488</v>
      </c>
      <c r="L876" s="152" t="s">
        <v>23888</v>
      </c>
      <c r="M876" s="14" t="s">
        <v>33489</v>
      </c>
      <c r="N876" s="54" t="s">
        <v>33488</v>
      </c>
      <c r="O876" s="130" t="s">
        <v>20559</v>
      </c>
      <c r="P876" s="153" t="s">
        <v>20560</v>
      </c>
      <c r="Q876" s="14">
        <v>5333564.0</v>
      </c>
      <c r="R876" s="95"/>
      <c r="S876" s="154" t="s">
        <v>33494</v>
      </c>
      <c r="T876" s="84"/>
      <c r="U876" s="84"/>
      <c r="V876" s="84"/>
      <c r="W876" s="84"/>
      <c r="X876" s="84"/>
      <c r="Y876" s="84"/>
      <c r="Z876" s="84"/>
      <c r="AA876" s="84"/>
      <c r="AB876" s="84"/>
      <c r="AC876" s="84"/>
    </row>
    <row r="877" ht="15.75" customHeight="1">
      <c r="A877" s="14" t="s">
        <v>120</v>
      </c>
      <c r="B877" s="14">
        <v>2009.0</v>
      </c>
      <c r="C877" s="14" t="s">
        <v>20476</v>
      </c>
      <c r="D877" s="14" t="s">
        <v>20477</v>
      </c>
      <c r="E877" s="150" t="str">
        <f t="shared" si="13"/>
        <v>http://dx.doi.org/10.1109/VAST.2009.5333428</v>
      </c>
      <c r="F877" s="14">
        <v>83.0</v>
      </c>
      <c r="G877" s="14">
        <v>90.0</v>
      </c>
      <c r="H877" s="151"/>
      <c r="I877" s="14" t="s">
        <v>28</v>
      </c>
      <c r="J877" s="14" t="s">
        <v>20478</v>
      </c>
      <c r="K877" s="14" t="s">
        <v>33495</v>
      </c>
      <c r="L877" s="152" t="s">
        <v>23693</v>
      </c>
      <c r="M877" s="14" t="s">
        <v>33496</v>
      </c>
      <c r="N877" s="54" t="s">
        <v>33497</v>
      </c>
      <c r="O877" s="130"/>
      <c r="P877" s="16"/>
      <c r="Q877" s="14">
        <v>5333428.0</v>
      </c>
      <c r="R877" s="95"/>
      <c r="S877" s="154"/>
      <c r="T877" s="84"/>
      <c r="U877" s="84"/>
      <c r="V877" s="84"/>
      <c r="W877" s="84"/>
      <c r="X877" s="84"/>
      <c r="Y877" s="84"/>
      <c r="Z877" s="84"/>
      <c r="AA877" s="84"/>
      <c r="AB877" s="84"/>
      <c r="AC877" s="84"/>
    </row>
    <row r="878" ht="15.75" customHeight="1">
      <c r="A878" s="14" t="s">
        <v>120</v>
      </c>
      <c r="B878" s="14">
        <v>2009.0</v>
      </c>
      <c r="C878" s="14" t="s">
        <v>20587</v>
      </c>
      <c r="D878" s="14" t="s">
        <v>20588</v>
      </c>
      <c r="E878" s="150" t="str">
        <f t="shared" si="13"/>
        <v>http://dx.doi.org/10.1109/VAST.2009.5333895</v>
      </c>
      <c r="F878" s="14">
        <v>163.0</v>
      </c>
      <c r="G878" s="14">
        <v>170.0</v>
      </c>
      <c r="H878" s="151"/>
      <c r="I878" s="14" t="s">
        <v>28</v>
      </c>
      <c r="J878" s="14" t="s">
        <v>20589</v>
      </c>
      <c r="K878" s="14" t="s">
        <v>33507</v>
      </c>
      <c r="L878" s="152" t="s">
        <v>178</v>
      </c>
      <c r="M878" s="14" t="s">
        <v>33508</v>
      </c>
      <c r="N878" s="54" t="s">
        <v>33507</v>
      </c>
      <c r="O878" s="130" t="s">
        <v>20592</v>
      </c>
      <c r="P878" s="153" t="s">
        <v>20593</v>
      </c>
      <c r="Q878" s="14">
        <v>5333895.0</v>
      </c>
      <c r="R878" s="95"/>
      <c r="S878" s="154" t="s">
        <v>33509</v>
      </c>
      <c r="T878" s="84"/>
      <c r="U878" s="84"/>
      <c r="V878" s="84"/>
      <c r="W878" s="84"/>
      <c r="X878" s="84"/>
      <c r="Y878" s="84"/>
      <c r="Z878" s="84"/>
      <c r="AA878" s="84"/>
      <c r="AB878" s="84"/>
      <c r="AC878" s="84"/>
    </row>
    <row r="879" ht="15.75" customHeight="1">
      <c r="A879" s="14" t="s">
        <v>120</v>
      </c>
      <c r="B879" s="14">
        <v>2009.0</v>
      </c>
      <c r="C879" s="14" t="s">
        <v>20322</v>
      </c>
      <c r="D879" s="14" t="s">
        <v>20323</v>
      </c>
      <c r="E879" s="150" t="str">
        <f t="shared" si="13"/>
        <v>http://dx.doi.org/10.1109/VAST.2009.5332481</v>
      </c>
      <c r="F879" s="14"/>
      <c r="G879" s="14"/>
      <c r="H879" s="159" t="s">
        <v>30659</v>
      </c>
      <c r="I879" s="14" t="s">
        <v>21</v>
      </c>
      <c r="J879" s="14" t="s">
        <v>20324</v>
      </c>
      <c r="K879" s="14" t="s">
        <v>10916</v>
      </c>
      <c r="L879" s="152" t="s">
        <v>23300</v>
      </c>
      <c r="M879" s="14"/>
      <c r="N879" s="54" t="s">
        <v>10916</v>
      </c>
      <c r="O879" s="130"/>
      <c r="P879" s="16"/>
      <c r="Q879" s="14">
        <v>5332481.0</v>
      </c>
      <c r="R879" s="95"/>
      <c r="S879" s="154"/>
      <c r="T879" s="84"/>
      <c r="U879" s="84"/>
      <c r="V879" s="84"/>
      <c r="W879" s="84"/>
      <c r="X879" s="84"/>
      <c r="Y879" s="84"/>
      <c r="Z879" s="84"/>
      <c r="AA879" s="84"/>
      <c r="AB879" s="84"/>
      <c r="AC879" s="84"/>
    </row>
    <row r="880" ht="15.75" customHeight="1">
      <c r="A880" s="14" t="s">
        <v>120</v>
      </c>
      <c r="B880" s="14">
        <v>2009.0</v>
      </c>
      <c r="C880" s="14" t="s">
        <v>20482</v>
      </c>
      <c r="D880" s="14" t="s">
        <v>20483</v>
      </c>
      <c r="E880" s="150" t="str">
        <f t="shared" si="13"/>
        <v>http://dx.doi.org/10.1109/VAST.2009.5333431</v>
      </c>
      <c r="F880" s="14">
        <v>75.0</v>
      </c>
      <c r="G880" s="14">
        <v>82.0</v>
      </c>
      <c r="H880" s="151"/>
      <c r="I880" s="14" t="s">
        <v>28</v>
      </c>
      <c r="J880" s="14" t="s">
        <v>20486</v>
      </c>
      <c r="K880" s="14" t="s">
        <v>33537</v>
      </c>
      <c r="L880" s="152" t="s">
        <v>23711</v>
      </c>
      <c r="M880" s="14" t="s">
        <v>33538</v>
      </c>
      <c r="N880" s="54" t="s">
        <v>33537</v>
      </c>
      <c r="O880" s="130" t="s">
        <v>20490</v>
      </c>
      <c r="P880" s="153" t="s">
        <v>20491</v>
      </c>
      <c r="Q880" s="14">
        <v>5333431.0</v>
      </c>
      <c r="R880" s="95"/>
      <c r="S880" s="154" t="s">
        <v>33539</v>
      </c>
      <c r="T880" s="84"/>
      <c r="U880" s="84"/>
      <c r="V880" s="84"/>
      <c r="W880" s="84"/>
      <c r="X880" s="84"/>
      <c r="Y880" s="84"/>
      <c r="Z880" s="84"/>
      <c r="AA880" s="84"/>
      <c r="AB880" s="84"/>
      <c r="AC880" s="84"/>
    </row>
    <row r="881" ht="15.75" customHeight="1">
      <c r="A881" s="14" t="s">
        <v>120</v>
      </c>
      <c r="B881" s="14">
        <v>2009.0</v>
      </c>
      <c r="C881" s="14" t="s">
        <v>20640</v>
      </c>
      <c r="D881" s="14" t="s">
        <v>20641</v>
      </c>
      <c r="E881" s="150" t="str">
        <f t="shared" si="13"/>
        <v>http://dx.doi.org/10.1109/VAST.2009.5333961</v>
      </c>
      <c r="F881" s="14"/>
      <c r="G881" s="14"/>
      <c r="H881" s="159" t="s">
        <v>30659</v>
      </c>
      <c r="I881" s="14" t="s">
        <v>21</v>
      </c>
      <c r="J881" s="14" t="s">
        <v>20642</v>
      </c>
      <c r="K881" s="14" t="s">
        <v>33544</v>
      </c>
      <c r="L881" s="152" t="s">
        <v>23910</v>
      </c>
      <c r="M881" s="14" t="s">
        <v>5349</v>
      </c>
      <c r="N881" s="54" t="s">
        <v>33544</v>
      </c>
      <c r="O881" s="130"/>
      <c r="P881" s="16"/>
      <c r="Q881" s="14">
        <v>5333961.0</v>
      </c>
      <c r="R881" s="95"/>
      <c r="S881" s="154"/>
      <c r="T881" s="84"/>
      <c r="U881" s="84"/>
      <c r="V881" s="84"/>
      <c r="W881" s="84"/>
      <c r="X881" s="84"/>
      <c r="Y881" s="84"/>
      <c r="Z881" s="84"/>
      <c r="AA881" s="84"/>
      <c r="AB881" s="84"/>
      <c r="AC881" s="84"/>
    </row>
    <row r="882" ht="15.75" customHeight="1">
      <c r="A882" s="14" t="s">
        <v>120</v>
      </c>
      <c r="B882" s="14">
        <v>2009.0</v>
      </c>
      <c r="C882" s="14" t="s">
        <v>20817</v>
      </c>
      <c r="D882" s="14" t="s">
        <v>20818</v>
      </c>
      <c r="E882" s="150" t="str">
        <f t="shared" si="13"/>
        <v>http://dx.doi.org/10.1109/VAST.2009.5334462</v>
      </c>
      <c r="F882" s="14"/>
      <c r="G882" s="14"/>
      <c r="H882" s="159" t="s">
        <v>30659</v>
      </c>
      <c r="I882" s="14" t="s">
        <v>21</v>
      </c>
      <c r="J882" s="14" t="s">
        <v>20821</v>
      </c>
      <c r="K882" s="14" t="s">
        <v>33548</v>
      </c>
      <c r="L882" s="152" t="s">
        <v>23934</v>
      </c>
      <c r="M882" s="14" t="s">
        <v>5349</v>
      </c>
      <c r="N882" s="54" t="s">
        <v>33548</v>
      </c>
      <c r="O882" s="130"/>
      <c r="P882" s="16"/>
      <c r="Q882" s="14">
        <v>5334462.0</v>
      </c>
      <c r="R882" s="95"/>
      <c r="S882" s="154"/>
      <c r="T882" s="84"/>
      <c r="U882" s="84"/>
      <c r="V882" s="84"/>
      <c r="W882" s="84"/>
      <c r="X882" s="84"/>
      <c r="Y882" s="84"/>
      <c r="Z882" s="84"/>
      <c r="AA882" s="84"/>
      <c r="AB882" s="84"/>
      <c r="AC882" s="84"/>
    </row>
    <row r="883" ht="15.75" customHeight="1">
      <c r="A883" s="14" t="s">
        <v>120</v>
      </c>
      <c r="B883" s="14">
        <v>2009.0</v>
      </c>
      <c r="C883" s="14" t="s">
        <v>20509</v>
      </c>
      <c r="D883" s="14" t="s">
        <v>20510</v>
      </c>
      <c r="E883" s="150" t="str">
        <f t="shared" si="13"/>
        <v>http://dx.doi.org/10.1109/VAST.2009.5333443</v>
      </c>
      <c r="F883" s="14">
        <v>91.0</v>
      </c>
      <c r="G883" s="14">
        <v>98.0</v>
      </c>
      <c r="H883" s="151"/>
      <c r="I883" s="14" t="s">
        <v>28</v>
      </c>
      <c r="J883" s="14" t="s">
        <v>20512</v>
      </c>
      <c r="K883" s="14" t="s">
        <v>33557</v>
      </c>
      <c r="L883" s="152" t="s">
        <v>22099</v>
      </c>
      <c r="M883" s="14" t="s">
        <v>33558</v>
      </c>
      <c r="N883" s="54" t="s">
        <v>33557</v>
      </c>
      <c r="O883" s="130" t="s">
        <v>20516</v>
      </c>
      <c r="P883" s="153" t="s">
        <v>20517</v>
      </c>
      <c r="Q883" s="14">
        <v>5333443.0</v>
      </c>
      <c r="R883" s="95"/>
      <c r="S883" s="154" t="s">
        <v>33560</v>
      </c>
      <c r="T883" s="84"/>
      <c r="U883" s="84"/>
      <c r="V883" s="84"/>
      <c r="W883" s="84"/>
      <c r="X883" s="84"/>
      <c r="Y883" s="84"/>
      <c r="Z883" s="84"/>
      <c r="AA883" s="84"/>
      <c r="AB883" s="84"/>
      <c r="AC883" s="84"/>
    </row>
    <row r="884" ht="15.75" customHeight="1">
      <c r="A884" s="14" t="s">
        <v>120</v>
      </c>
      <c r="B884" s="14">
        <v>2009.0</v>
      </c>
      <c r="C884" s="14" t="s">
        <v>20428</v>
      </c>
      <c r="D884" s="14" t="s">
        <v>20429</v>
      </c>
      <c r="E884" s="150" t="str">
        <f t="shared" si="13"/>
        <v>http://dx.doi.org/10.1109/VAST.2009.5333082</v>
      </c>
      <c r="F884" s="14">
        <v>239.0</v>
      </c>
      <c r="G884" s="14">
        <v>240.0</v>
      </c>
      <c r="H884" s="159" t="s">
        <v>30659</v>
      </c>
      <c r="I884" s="14" t="s">
        <v>21</v>
      </c>
      <c r="J884" s="14" t="s">
        <v>20430</v>
      </c>
      <c r="K884" s="14" t="s">
        <v>6659</v>
      </c>
      <c r="L884" s="152" t="s">
        <v>23554</v>
      </c>
      <c r="M884" s="14">
        <v>3.7683002E10</v>
      </c>
      <c r="N884" s="54" t="s">
        <v>6659</v>
      </c>
      <c r="O884" s="130"/>
      <c r="P884" s="16"/>
      <c r="Q884" s="14">
        <v>5333082.0</v>
      </c>
      <c r="R884" s="95"/>
      <c r="S884" s="154"/>
      <c r="T884" s="84"/>
      <c r="U884" s="84"/>
      <c r="V884" s="84"/>
      <c r="W884" s="84"/>
      <c r="X884" s="84"/>
      <c r="Y884" s="84"/>
      <c r="Z884" s="84"/>
      <c r="AA884" s="84"/>
      <c r="AB884" s="84"/>
      <c r="AC884" s="84"/>
    </row>
    <row r="885" ht="15.75" customHeight="1">
      <c r="A885" s="14" t="s">
        <v>120</v>
      </c>
      <c r="B885" s="14">
        <v>2009.0</v>
      </c>
      <c r="C885" s="14" t="s">
        <v>20462</v>
      </c>
      <c r="D885" s="14" t="s">
        <v>20463</v>
      </c>
      <c r="E885" s="150" t="str">
        <f t="shared" si="13"/>
        <v>http://dx.doi.org/10.1109/VAST.2009.5333420</v>
      </c>
      <c r="F885" s="14">
        <v>229.0</v>
      </c>
      <c r="G885" s="14">
        <v>230.0</v>
      </c>
      <c r="H885" s="159" t="s">
        <v>30659</v>
      </c>
      <c r="I885" s="14" t="s">
        <v>21</v>
      </c>
      <c r="J885" s="14" t="s">
        <v>20465</v>
      </c>
      <c r="K885" s="14" t="s">
        <v>33570</v>
      </c>
      <c r="L885" s="152" t="s">
        <v>23653</v>
      </c>
      <c r="M885" s="14" t="s">
        <v>33573</v>
      </c>
      <c r="N885" s="54" t="s">
        <v>33580</v>
      </c>
      <c r="O885" s="130"/>
      <c r="P885" s="16"/>
      <c r="Q885" s="14">
        <v>5333420.0</v>
      </c>
      <c r="R885" s="95"/>
      <c r="S885" s="154"/>
      <c r="T885" s="84"/>
      <c r="U885" s="84"/>
      <c r="V885" s="84"/>
      <c r="W885" s="84"/>
      <c r="X885" s="84"/>
      <c r="Y885" s="84"/>
      <c r="Z885" s="84"/>
      <c r="AA885" s="84"/>
      <c r="AB885" s="84"/>
      <c r="AC885" s="84"/>
    </row>
    <row r="886" ht="15.75" customHeight="1">
      <c r="A886" s="14" t="s">
        <v>120</v>
      </c>
      <c r="B886" s="14">
        <v>2009.0</v>
      </c>
      <c r="C886" s="14" t="s">
        <v>20470</v>
      </c>
      <c r="D886" s="14" t="s">
        <v>20471</v>
      </c>
      <c r="E886" s="150" t="str">
        <f t="shared" si="13"/>
        <v>http://dx.doi.org/10.1109/VAST.2009.5333421</v>
      </c>
      <c r="F886" s="14">
        <v>231.0</v>
      </c>
      <c r="G886" s="14">
        <v>232.0</v>
      </c>
      <c r="H886" s="159" t="s">
        <v>30659</v>
      </c>
      <c r="I886" s="14" t="s">
        <v>21</v>
      </c>
      <c r="J886" s="14" t="s">
        <v>20472</v>
      </c>
      <c r="K886" s="14" t="s">
        <v>20474</v>
      </c>
      <c r="L886" s="152" t="s">
        <v>23670</v>
      </c>
      <c r="M886" s="14" t="s">
        <v>33581</v>
      </c>
      <c r="N886" s="54" t="s">
        <v>20474</v>
      </c>
      <c r="O886" s="130"/>
      <c r="P886" s="16"/>
      <c r="Q886" s="14">
        <v>5333421.0</v>
      </c>
      <c r="R886" s="95"/>
      <c r="S886" s="154"/>
      <c r="T886" s="84"/>
      <c r="U886" s="84"/>
      <c r="V886" s="84"/>
      <c r="W886" s="84"/>
      <c r="X886" s="84"/>
      <c r="Y886" s="84"/>
      <c r="Z886" s="84"/>
      <c r="AA886" s="84"/>
      <c r="AB886" s="84"/>
      <c r="AC886" s="84"/>
    </row>
    <row r="887" ht="15.75" customHeight="1">
      <c r="A887" s="14" t="s">
        <v>120</v>
      </c>
      <c r="B887" s="14">
        <v>2009.0</v>
      </c>
      <c r="C887" s="14" t="s">
        <v>20325</v>
      </c>
      <c r="D887" s="14" t="s">
        <v>20326</v>
      </c>
      <c r="E887" s="150" t="str">
        <f t="shared" si="13"/>
        <v>http://dx.doi.org/10.1109/VAST.2009.5332485</v>
      </c>
      <c r="F887" s="14"/>
      <c r="G887" s="14"/>
      <c r="H887" s="159" t="s">
        <v>30659</v>
      </c>
      <c r="I887" s="14" t="s">
        <v>21</v>
      </c>
      <c r="J887" s="14" t="s">
        <v>20328</v>
      </c>
      <c r="K887" s="14" t="s">
        <v>33582</v>
      </c>
      <c r="L887" s="152" t="s">
        <v>23316</v>
      </c>
      <c r="M887" s="14" t="s">
        <v>5349</v>
      </c>
      <c r="N887" s="54" t="s">
        <v>33582</v>
      </c>
      <c r="O887" s="130"/>
      <c r="P887" s="16"/>
      <c r="Q887" s="14">
        <v>5332485.0</v>
      </c>
      <c r="R887" s="95"/>
      <c r="S887" s="154"/>
      <c r="T887" s="84"/>
      <c r="U887" s="84"/>
      <c r="V887" s="84"/>
      <c r="W887" s="84"/>
      <c r="X887" s="84"/>
      <c r="Y887" s="84"/>
      <c r="Z887" s="84"/>
      <c r="AA887" s="84"/>
      <c r="AB887" s="84"/>
      <c r="AC887" s="84"/>
    </row>
    <row r="888" ht="15.75" customHeight="1">
      <c r="A888" s="14" t="s">
        <v>120</v>
      </c>
      <c r="B888" s="14">
        <v>2009.0</v>
      </c>
      <c r="C888" s="14" t="s">
        <v>20356</v>
      </c>
      <c r="D888" s="14" t="s">
        <v>20357</v>
      </c>
      <c r="E888" s="150" t="str">
        <f t="shared" si="13"/>
        <v>http://dx.doi.org/10.1109/VAST.2009.5332593</v>
      </c>
      <c r="F888" s="14">
        <v>11.0</v>
      </c>
      <c r="G888" s="14">
        <v>18.0</v>
      </c>
      <c r="H888" s="151"/>
      <c r="I888" s="14" t="s">
        <v>28</v>
      </c>
      <c r="J888" s="14" t="s">
        <v>20359</v>
      </c>
      <c r="K888" s="14" t="s">
        <v>33583</v>
      </c>
      <c r="L888" s="152" t="s">
        <v>23373</v>
      </c>
      <c r="M888" s="14" t="s">
        <v>33584</v>
      </c>
      <c r="N888" s="54" t="s">
        <v>33583</v>
      </c>
      <c r="O888" s="130" t="s">
        <v>20364</v>
      </c>
      <c r="P888" s="153" t="s">
        <v>20365</v>
      </c>
      <c r="Q888" s="14">
        <v>5332593.0</v>
      </c>
      <c r="R888" s="95"/>
      <c r="S888" s="154" t="s">
        <v>33585</v>
      </c>
      <c r="T888" s="84"/>
      <c r="U888" s="84"/>
      <c r="V888" s="84"/>
      <c r="W888" s="84"/>
      <c r="X888" s="84"/>
      <c r="Y888" s="84"/>
      <c r="Z888" s="84"/>
      <c r="AA888" s="84"/>
      <c r="AB888" s="84"/>
      <c r="AC888" s="84"/>
    </row>
    <row r="889" ht="15.75" customHeight="1">
      <c r="A889" s="14" t="s">
        <v>120</v>
      </c>
      <c r="B889" s="14">
        <v>2009.0</v>
      </c>
      <c r="C889" s="14" t="s">
        <v>20492</v>
      </c>
      <c r="D889" s="14" t="s">
        <v>20493</v>
      </c>
      <c r="E889" s="150" t="str">
        <f t="shared" si="13"/>
        <v>http://dx.doi.org/10.1109/VAST.2009.5333436</v>
      </c>
      <c r="F889" s="14">
        <v>225.0</v>
      </c>
      <c r="G889" s="14">
        <v>226.0</v>
      </c>
      <c r="H889" s="159" t="s">
        <v>30659</v>
      </c>
      <c r="I889" s="14" t="s">
        <v>21</v>
      </c>
      <c r="J889" s="14" t="s">
        <v>20494</v>
      </c>
      <c r="K889" s="14" t="s">
        <v>33586</v>
      </c>
      <c r="L889" s="152" t="s">
        <v>23732</v>
      </c>
      <c r="M889" s="14" t="s">
        <v>33587</v>
      </c>
      <c r="N889" s="54" t="s">
        <v>33586</v>
      </c>
      <c r="O889" s="130"/>
      <c r="P889" s="16"/>
      <c r="Q889" s="14">
        <v>5333436.0</v>
      </c>
      <c r="R889" s="95"/>
      <c r="S889" s="154"/>
      <c r="T889" s="84"/>
      <c r="U889" s="84"/>
      <c r="V889" s="84"/>
      <c r="W889" s="84"/>
      <c r="X889" s="84"/>
      <c r="Y889" s="84"/>
      <c r="Z889" s="84"/>
      <c r="AA889" s="84"/>
      <c r="AB889" s="84"/>
      <c r="AC889" s="84"/>
    </row>
    <row r="890" ht="15.75" customHeight="1">
      <c r="A890" s="14" t="s">
        <v>120</v>
      </c>
      <c r="B890" s="14">
        <v>2009.0</v>
      </c>
      <c r="C890" s="14" t="s">
        <v>20697</v>
      </c>
      <c r="D890" s="14" t="s">
        <v>20698</v>
      </c>
      <c r="E890" s="150" t="str">
        <f t="shared" si="13"/>
        <v>http://dx.doi.org/10.1109/VAST.2009.5334456</v>
      </c>
      <c r="F890" s="14"/>
      <c r="G890" s="14"/>
      <c r="H890" s="159" t="s">
        <v>30659</v>
      </c>
      <c r="I890" s="14" t="s">
        <v>21</v>
      </c>
      <c r="J890" s="14" t="s">
        <v>20700</v>
      </c>
      <c r="K890" s="14" t="s">
        <v>33588</v>
      </c>
      <c r="L890" s="152" t="s">
        <v>23930</v>
      </c>
      <c r="M890" s="14" t="s">
        <v>33589</v>
      </c>
      <c r="N890" s="54" t="s">
        <v>33588</v>
      </c>
      <c r="O890" s="130"/>
      <c r="P890" s="16"/>
      <c r="Q890" s="14">
        <v>5334456.0</v>
      </c>
      <c r="R890" s="95"/>
      <c r="S890" s="154"/>
      <c r="T890" s="84"/>
      <c r="U890" s="84"/>
      <c r="V890" s="84"/>
      <c r="W890" s="84"/>
      <c r="X890" s="84"/>
      <c r="Y890" s="84"/>
      <c r="Z890" s="84"/>
      <c r="AA890" s="84"/>
      <c r="AB890" s="84"/>
      <c r="AC890" s="84"/>
    </row>
    <row r="891" ht="15.75" customHeight="1">
      <c r="A891" s="14" t="s">
        <v>120</v>
      </c>
      <c r="B891" s="14">
        <v>2009.0</v>
      </c>
      <c r="C891" s="14" t="s">
        <v>20594</v>
      </c>
      <c r="D891" s="14" t="s">
        <v>20595</v>
      </c>
      <c r="E891" s="150" t="str">
        <f t="shared" si="13"/>
        <v>http://dx.doi.org/10.1109/VAST.2009.5333911</v>
      </c>
      <c r="F891" s="14">
        <v>179.0</v>
      </c>
      <c r="G891" s="14">
        <v>186.0</v>
      </c>
      <c r="H891" s="151"/>
      <c r="I891" s="14" t="s">
        <v>28</v>
      </c>
      <c r="J891" s="14" t="s">
        <v>20597</v>
      </c>
      <c r="K891" s="14" t="s">
        <v>33590</v>
      </c>
      <c r="L891" s="152" t="s">
        <v>23898</v>
      </c>
      <c r="M891" s="14" t="s">
        <v>33591</v>
      </c>
      <c r="N891" s="54" t="s">
        <v>33590</v>
      </c>
      <c r="O891" s="130" t="s">
        <v>20601</v>
      </c>
      <c r="P891" s="153" t="s">
        <v>20602</v>
      </c>
      <c r="Q891" s="14">
        <v>5333911.0</v>
      </c>
      <c r="R891" s="95"/>
      <c r="S891" s="154" t="s">
        <v>33592</v>
      </c>
      <c r="T891" s="84"/>
      <c r="U891" s="84"/>
      <c r="V891" s="84"/>
      <c r="W891" s="84"/>
      <c r="X891" s="84"/>
      <c r="Y891" s="84"/>
      <c r="Z891" s="84"/>
      <c r="AA891" s="84"/>
      <c r="AB891" s="84"/>
      <c r="AC891" s="84"/>
    </row>
    <row r="892" ht="15.75" customHeight="1">
      <c r="A892" s="14" t="s">
        <v>120</v>
      </c>
      <c r="B892" s="14">
        <v>2009.0</v>
      </c>
      <c r="C892" s="14" t="s">
        <v>20704</v>
      </c>
      <c r="D892" s="14" t="s">
        <v>20705</v>
      </c>
      <c r="E892" s="150" t="str">
        <f t="shared" si="13"/>
        <v>http://dx.doi.org/10.1109/VAST.2009.5334460</v>
      </c>
      <c r="F892" s="14"/>
      <c r="G892" s="14"/>
      <c r="H892" s="159" t="s">
        <v>30659</v>
      </c>
      <c r="I892" s="14" t="s">
        <v>21</v>
      </c>
      <c r="J892" s="14" t="s">
        <v>20814</v>
      </c>
      <c r="K892" s="14" t="s">
        <v>33593</v>
      </c>
      <c r="L892" s="152" t="s">
        <v>23932</v>
      </c>
      <c r="M892" s="14" t="s">
        <v>5349</v>
      </c>
      <c r="N892" s="54" t="s">
        <v>33593</v>
      </c>
      <c r="O892" s="130"/>
      <c r="P892" s="16"/>
      <c r="Q892" s="14">
        <v>5334460.0</v>
      </c>
      <c r="R892" s="95"/>
      <c r="S892" s="154"/>
      <c r="T892" s="84"/>
      <c r="U892" s="84"/>
      <c r="V892" s="84"/>
      <c r="W892" s="84"/>
      <c r="X892" s="84"/>
      <c r="Y892" s="84"/>
      <c r="Z892" s="84"/>
      <c r="AA892" s="84"/>
      <c r="AB892" s="84"/>
      <c r="AC892" s="84"/>
    </row>
    <row r="893" ht="15.75" customHeight="1">
      <c r="A893" s="14" t="s">
        <v>120</v>
      </c>
      <c r="B893" s="14">
        <v>2009.0</v>
      </c>
      <c r="C893" s="14" t="s">
        <v>20400</v>
      </c>
      <c r="D893" s="14" t="s">
        <v>20401</v>
      </c>
      <c r="E893" s="150" t="str">
        <f t="shared" si="13"/>
        <v>http://dx.doi.org/10.1109/VAST.2009.5332629</v>
      </c>
      <c r="F893" s="14">
        <v>67.0</v>
      </c>
      <c r="G893" s="14">
        <v>74.0</v>
      </c>
      <c r="H893" s="151"/>
      <c r="I893" s="14" t="s">
        <v>28</v>
      </c>
      <c r="J893" s="14" t="s">
        <v>20402</v>
      </c>
      <c r="K893" s="14" t="s">
        <v>33594</v>
      </c>
      <c r="L893" s="152" t="s">
        <v>16030</v>
      </c>
      <c r="M893" s="14" t="s">
        <v>33595</v>
      </c>
      <c r="N893" s="54" t="s">
        <v>33594</v>
      </c>
      <c r="O893" s="130" t="s">
        <v>13005</v>
      </c>
      <c r="P893" s="153" t="s">
        <v>20405</v>
      </c>
      <c r="Q893" s="14">
        <v>5332629.0</v>
      </c>
      <c r="R893" s="95"/>
      <c r="S893" s="154">
        <v>1249017.0</v>
      </c>
      <c r="T893" s="84"/>
      <c r="U893" s="84"/>
      <c r="V893" s="84"/>
      <c r="W893" s="84"/>
      <c r="X893" s="84"/>
      <c r="Y893" s="84"/>
      <c r="Z893" s="84"/>
      <c r="AA893" s="84"/>
      <c r="AB893" s="84"/>
      <c r="AC893" s="84"/>
    </row>
    <row r="894" ht="15.75" customHeight="1">
      <c r="A894" s="14" t="s">
        <v>120</v>
      </c>
      <c r="B894" s="14">
        <v>2009.0</v>
      </c>
      <c r="C894" s="14" t="s">
        <v>20603</v>
      </c>
      <c r="D894" s="14" t="s">
        <v>20604</v>
      </c>
      <c r="E894" s="150" t="str">
        <f t="shared" si="13"/>
        <v>http://dx.doi.org/10.1109/VAST.2009.5333917</v>
      </c>
      <c r="F894" s="14">
        <v>171.0</v>
      </c>
      <c r="G894" s="14">
        <v>178.0</v>
      </c>
      <c r="H894" s="151"/>
      <c r="I894" s="14" t="s">
        <v>28</v>
      </c>
      <c r="J894" s="14" t="s">
        <v>20605</v>
      </c>
      <c r="K894" s="14" t="s">
        <v>33599</v>
      </c>
      <c r="L894" s="152" t="s">
        <v>23900</v>
      </c>
      <c r="M894" s="14" t="s">
        <v>33600</v>
      </c>
      <c r="N894" s="54" t="s">
        <v>33599</v>
      </c>
      <c r="O894" s="130" t="s">
        <v>1437</v>
      </c>
      <c r="P894" s="153" t="s">
        <v>20609</v>
      </c>
      <c r="Q894" s="14">
        <v>5333917.0</v>
      </c>
      <c r="R894" s="95"/>
      <c r="S894" s="154">
        <v>398859.0</v>
      </c>
      <c r="T894" s="84"/>
      <c r="U894" s="84"/>
      <c r="V894" s="84"/>
      <c r="W894" s="84"/>
      <c r="X894" s="84"/>
      <c r="Y894" s="84"/>
      <c r="Z894" s="84"/>
      <c r="AA894" s="84"/>
      <c r="AB894" s="84"/>
      <c r="AC894" s="84"/>
    </row>
    <row r="895" ht="15.75" customHeight="1">
      <c r="A895" s="14" t="s">
        <v>120</v>
      </c>
      <c r="B895" s="14">
        <v>2009.0</v>
      </c>
      <c r="C895" s="14" t="s">
        <v>20691</v>
      </c>
      <c r="D895" s="14" t="s">
        <v>20692</v>
      </c>
      <c r="E895" s="150" t="str">
        <f t="shared" si="13"/>
        <v>http://dx.doi.org/10.1109/VAST.2009.5334454</v>
      </c>
      <c r="F895" s="14"/>
      <c r="G895" s="14"/>
      <c r="H895" s="159" t="s">
        <v>30659</v>
      </c>
      <c r="I895" s="14" t="s">
        <v>21</v>
      </c>
      <c r="J895" s="14" t="s">
        <v>23926</v>
      </c>
      <c r="K895" s="14" t="s">
        <v>33601</v>
      </c>
      <c r="L895" s="152" t="s">
        <v>23927</v>
      </c>
      <c r="M895" s="14" t="s">
        <v>5349</v>
      </c>
      <c r="N895" s="54" t="s">
        <v>33601</v>
      </c>
      <c r="O895" s="130"/>
      <c r="P895" s="16"/>
      <c r="Q895" s="14">
        <v>5334454.0</v>
      </c>
      <c r="R895" s="95"/>
      <c r="S895" s="154"/>
      <c r="T895" s="84"/>
      <c r="U895" s="84"/>
      <c r="V895" s="84"/>
      <c r="W895" s="84"/>
      <c r="X895" s="84"/>
      <c r="Y895" s="84"/>
      <c r="Z895" s="84"/>
      <c r="AA895" s="84"/>
      <c r="AB895" s="84"/>
      <c r="AC895" s="84"/>
    </row>
    <row r="896" ht="15.75" customHeight="1">
      <c r="A896" s="14" t="s">
        <v>120</v>
      </c>
      <c r="B896" s="14">
        <v>2009.0</v>
      </c>
      <c r="C896" s="14" t="s">
        <v>20673</v>
      </c>
      <c r="D896" s="14" t="s">
        <v>20674</v>
      </c>
      <c r="E896" s="150" t="str">
        <f t="shared" si="13"/>
        <v>http://dx.doi.org/10.1109/VAST.2009.5334301</v>
      </c>
      <c r="F896" s="14"/>
      <c r="G896" s="14"/>
      <c r="H896" s="159" t="s">
        <v>30659</v>
      </c>
      <c r="I896" s="14" t="s">
        <v>21</v>
      </c>
      <c r="J896" s="14" t="s">
        <v>20675</v>
      </c>
      <c r="K896" s="14" t="s">
        <v>33612</v>
      </c>
      <c r="L896" s="152" t="s">
        <v>23921</v>
      </c>
      <c r="M896" s="14" t="s">
        <v>5349</v>
      </c>
      <c r="N896" s="54" t="s">
        <v>33612</v>
      </c>
      <c r="O896" s="130"/>
      <c r="P896" s="16"/>
      <c r="Q896" s="14">
        <v>5334301.0</v>
      </c>
      <c r="R896" s="95"/>
      <c r="S896" s="154"/>
      <c r="T896" s="84"/>
      <c r="U896" s="84"/>
      <c r="V896" s="84"/>
      <c r="W896" s="84"/>
      <c r="X896" s="84"/>
      <c r="Y896" s="84"/>
      <c r="Z896" s="84"/>
      <c r="AA896" s="84"/>
      <c r="AB896" s="84"/>
      <c r="AC896" s="84"/>
    </row>
    <row r="897" ht="15.75" customHeight="1">
      <c r="A897" s="14" t="s">
        <v>120</v>
      </c>
      <c r="B897" s="14">
        <v>2009.0</v>
      </c>
      <c r="C897" s="14" t="s">
        <v>20440</v>
      </c>
      <c r="D897" s="14" t="s">
        <v>20441</v>
      </c>
      <c r="E897" s="150" t="str">
        <f t="shared" si="13"/>
        <v>http://dx.doi.org/10.1109/VAST.2009.5333245</v>
      </c>
      <c r="F897" s="14">
        <v>115.0</v>
      </c>
      <c r="G897" s="14">
        <v>122.0</v>
      </c>
      <c r="H897" s="151"/>
      <c r="I897" s="14" t="s">
        <v>28</v>
      </c>
      <c r="J897" s="14" t="s">
        <v>20443</v>
      </c>
      <c r="K897" s="14" t="s">
        <v>33615</v>
      </c>
      <c r="L897" s="152" t="s">
        <v>1253</v>
      </c>
      <c r="M897" s="14" t="s">
        <v>33617</v>
      </c>
      <c r="N897" s="54" t="s">
        <v>33619</v>
      </c>
      <c r="O897" s="130" t="s">
        <v>17395</v>
      </c>
      <c r="P897" s="153" t="s">
        <v>20447</v>
      </c>
      <c r="Q897" s="14">
        <v>5333245.0</v>
      </c>
      <c r="R897" s="95"/>
      <c r="S897" s="154">
        <v>4035759.0</v>
      </c>
      <c r="T897" s="84"/>
      <c r="U897" s="84"/>
      <c r="V897" s="84"/>
      <c r="W897" s="84"/>
      <c r="X897" s="84"/>
      <c r="Y897" s="84"/>
      <c r="Z897" s="84"/>
      <c r="AA897" s="84"/>
      <c r="AB897" s="84"/>
      <c r="AC897" s="84"/>
    </row>
    <row r="898" ht="15.75" customHeight="1">
      <c r="A898" s="14" t="s">
        <v>120</v>
      </c>
      <c r="B898" s="14">
        <v>2009.0</v>
      </c>
      <c r="C898" s="14" t="s">
        <v>20635</v>
      </c>
      <c r="D898" s="14" t="s">
        <v>20636</v>
      </c>
      <c r="E898" s="150" t="str">
        <f t="shared" si="13"/>
        <v>http://dx.doi.org/10.1109/VAST.2009.5333950</v>
      </c>
      <c r="F898" s="14"/>
      <c r="G898" s="14"/>
      <c r="H898" s="159" t="s">
        <v>30659</v>
      </c>
      <c r="I898" s="14" t="s">
        <v>21</v>
      </c>
      <c r="J898" s="14" t="s">
        <v>20637</v>
      </c>
      <c r="K898" s="14" t="s">
        <v>33624</v>
      </c>
      <c r="L898" s="152" t="s">
        <v>23908</v>
      </c>
      <c r="M898" s="14" t="s">
        <v>33625</v>
      </c>
      <c r="N898" s="54" t="s">
        <v>33624</v>
      </c>
      <c r="O898" s="130"/>
      <c r="P898" s="16"/>
      <c r="Q898" s="14">
        <v>5333950.0</v>
      </c>
      <c r="R898" s="95"/>
      <c r="S898" s="154"/>
      <c r="T898" s="84"/>
      <c r="U898" s="84"/>
      <c r="V898" s="84"/>
      <c r="W898" s="84"/>
      <c r="X898" s="84"/>
      <c r="Y898" s="84"/>
      <c r="Z898" s="84"/>
      <c r="AA898" s="84"/>
      <c r="AB898" s="84"/>
      <c r="AC898" s="84"/>
    </row>
    <row r="899" ht="15.75" customHeight="1">
      <c r="A899" s="14" t="s">
        <v>120</v>
      </c>
      <c r="B899" s="14">
        <v>2009.0</v>
      </c>
      <c r="C899" s="14" t="s">
        <v>20627</v>
      </c>
      <c r="D899" s="14" t="s">
        <v>20628</v>
      </c>
      <c r="E899" s="150" t="str">
        <f t="shared" si="13"/>
        <v>http://dx.doi.org/10.1109/VAST.2009.5333946</v>
      </c>
      <c r="F899" s="14"/>
      <c r="G899" s="14"/>
      <c r="H899" s="159" t="s">
        <v>30659</v>
      </c>
      <c r="I899" s="14" t="s">
        <v>21</v>
      </c>
      <c r="J899" s="14" t="s">
        <v>20629</v>
      </c>
      <c r="K899" s="14" t="s">
        <v>33630</v>
      </c>
      <c r="L899" s="152" t="s">
        <v>23906</v>
      </c>
      <c r="M899" s="14" t="s">
        <v>494</v>
      </c>
      <c r="N899" s="54" t="s">
        <v>33630</v>
      </c>
      <c r="O899" s="130"/>
      <c r="P899" s="16"/>
      <c r="Q899" s="14">
        <v>5333946.0</v>
      </c>
      <c r="R899" s="95"/>
      <c r="S899" s="154"/>
      <c r="T899" s="84"/>
      <c r="U899" s="84"/>
      <c r="V899" s="84"/>
      <c r="W899" s="84"/>
      <c r="X899" s="84"/>
      <c r="Y899" s="84"/>
      <c r="Z899" s="84"/>
      <c r="AA899" s="84"/>
      <c r="AB899" s="84"/>
      <c r="AC899" s="84"/>
    </row>
    <row r="900" ht="15.75" customHeight="1">
      <c r="A900" s="14" t="s">
        <v>120</v>
      </c>
      <c r="B900" s="14">
        <v>2009.0</v>
      </c>
      <c r="C900" s="14" t="s">
        <v>20577</v>
      </c>
      <c r="D900" s="14" t="s">
        <v>20578</v>
      </c>
      <c r="E900" s="150" t="str">
        <f t="shared" si="13"/>
        <v>http://dx.doi.org/10.1109/VAST.2009.5333893</v>
      </c>
      <c r="F900" s="14">
        <v>155.0</v>
      </c>
      <c r="G900" s="14">
        <v>162.0</v>
      </c>
      <c r="H900" s="151"/>
      <c r="I900" s="14" t="s">
        <v>28</v>
      </c>
      <c r="J900" s="14" t="s">
        <v>20580</v>
      </c>
      <c r="K900" s="14" t="s">
        <v>33636</v>
      </c>
      <c r="L900" s="152" t="s">
        <v>23895</v>
      </c>
      <c r="M900" s="14" t="s">
        <v>33637</v>
      </c>
      <c r="N900" s="54" t="s">
        <v>33636</v>
      </c>
      <c r="O900" s="130" t="s">
        <v>20585</v>
      </c>
      <c r="P900" s="16"/>
      <c r="Q900" s="14">
        <v>5333893.0</v>
      </c>
      <c r="R900" s="95"/>
      <c r="S900" s="154" t="s">
        <v>33638</v>
      </c>
      <c r="T900" s="84"/>
      <c r="U900" s="84"/>
      <c r="V900" s="84"/>
      <c r="W900" s="84"/>
      <c r="X900" s="84"/>
      <c r="Y900" s="84"/>
      <c r="Z900" s="84"/>
      <c r="AA900" s="84"/>
      <c r="AB900" s="84"/>
      <c r="AC900" s="84"/>
    </row>
    <row r="901" ht="15.75" customHeight="1">
      <c r="A901" s="14" t="s">
        <v>120</v>
      </c>
      <c r="B901" s="14">
        <v>2009.0</v>
      </c>
      <c r="C901" s="14" t="s">
        <v>20504</v>
      </c>
      <c r="D901" s="14" t="s">
        <v>20505</v>
      </c>
      <c r="E901" s="150" t="str">
        <f t="shared" si="13"/>
        <v>http://dx.doi.org/10.1109/VAST.2009.5333438</v>
      </c>
      <c r="F901" s="14">
        <v>227.0</v>
      </c>
      <c r="G901" s="14">
        <v>228.0</v>
      </c>
      <c r="H901" s="159" t="s">
        <v>30659</v>
      </c>
      <c r="I901" s="14" t="s">
        <v>21</v>
      </c>
      <c r="J901" s="14" t="s">
        <v>20506</v>
      </c>
      <c r="K901" s="14" t="s">
        <v>33642</v>
      </c>
      <c r="L901" s="152" t="s">
        <v>23764</v>
      </c>
      <c r="M901" s="14" t="s">
        <v>33644</v>
      </c>
      <c r="N901" s="54" t="s">
        <v>33642</v>
      </c>
      <c r="O901" s="130"/>
      <c r="P901" s="16"/>
      <c r="Q901" s="14">
        <v>5333438.0</v>
      </c>
      <c r="R901" s="95"/>
      <c r="S901" s="154"/>
      <c r="T901" s="84"/>
      <c r="U901" s="84"/>
      <c r="V901" s="84"/>
      <c r="W901" s="84"/>
      <c r="X901" s="84"/>
      <c r="Y901" s="84"/>
      <c r="Z901" s="84"/>
      <c r="AA901" s="84"/>
      <c r="AB901" s="84"/>
      <c r="AC901" s="84"/>
    </row>
    <row r="902" ht="15.75" customHeight="1">
      <c r="A902" s="14" t="s">
        <v>120</v>
      </c>
      <c r="B902" s="14">
        <v>2009.0</v>
      </c>
      <c r="C902" s="14" t="s">
        <v>20610</v>
      </c>
      <c r="D902" s="14" t="s">
        <v>20611</v>
      </c>
      <c r="E902" s="150" t="str">
        <f t="shared" si="13"/>
        <v>http://dx.doi.org/10.1109/VAST.2009.5333919</v>
      </c>
      <c r="F902" s="14">
        <v>187.0</v>
      </c>
      <c r="G902" s="14">
        <v>194.0</v>
      </c>
      <c r="H902" s="151"/>
      <c r="I902" s="14" t="s">
        <v>28</v>
      </c>
      <c r="J902" s="14" t="s">
        <v>20612</v>
      </c>
      <c r="K902" s="14" t="s">
        <v>33649</v>
      </c>
      <c r="L902" s="152" t="s">
        <v>23476</v>
      </c>
      <c r="M902" s="14" t="s">
        <v>33650</v>
      </c>
      <c r="N902" s="54" t="s">
        <v>33649</v>
      </c>
      <c r="O902" s="130"/>
      <c r="P902" s="153" t="s">
        <v>20616</v>
      </c>
      <c r="Q902" s="14">
        <v>5333919.0</v>
      </c>
      <c r="R902" s="95"/>
      <c r="S902" s="154"/>
      <c r="T902" s="84"/>
      <c r="U902" s="84"/>
      <c r="V902" s="84"/>
      <c r="W902" s="84"/>
      <c r="X902" s="84"/>
      <c r="Y902" s="84"/>
      <c r="Z902" s="84"/>
      <c r="AA902" s="84"/>
      <c r="AB902" s="84"/>
      <c r="AC902" s="84"/>
    </row>
    <row r="903" ht="15.75" customHeight="1">
      <c r="A903" s="14" t="s">
        <v>120</v>
      </c>
      <c r="B903" s="14">
        <v>2009.0</v>
      </c>
      <c r="C903" s="14" t="s">
        <v>20646</v>
      </c>
      <c r="D903" s="14" t="s">
        <v>20647</v>
      </c>
      <c r="E903" s="150" t="str">
        <f t="shared" si="13"/>
        <v>http://dx.doi.org/10.1109/VAST.2009.5333965</v>
      </c>
      <c r="F903" s="14"/>
      <c r="G903" s="14"/>
      <c r="H903" s="159" t="s">
        <v>30659</v>
      </c>
      <c r="I903" s="14" t="s">
        <v>21</v>
      </c>
      <c r="J903" s="14" t="s">
        <v>20649</v>
      </c>
      <c r="K903" s="14" t="s">
        <v>33657</v>
      </c>
      <c r="L903" s="152" t="s">
        <v>23912</v>
      </c>
      <c r="M903" s="14" t="s">
        <v>880</v>
      </c>
      <c r="N903" s="54" t="s">
        <v>33657</v>
      </c>
      <c r="O903" s="130"/>
      <c r="P903" s="16"/>
      <c r="Q903" s="14">
        <v>5333965.0</v>
      </c>
      <c r="R903" s="95"/>
      <c r="S903" s="154"/>
      <c r="T903" s="84"/>
      <c r="U903" s="84"/>
      <c r="V903" s="84"/>
      <c r="W903" s="84"/>
      <c r="X903" s="84"/>
      <c r="Y903" s="84"/>
      <c r="Z903" s="84"/>
      <c r="AA903" s="84"/>
      <c r="AB903" s="84"/>
      <c r="AC903" s="84"/>
    </row>
    <row r="904" ht="15.75" customHeight="1">
      <c r="A904" s="14" t="s">
        <v>120</v>
      </c>
      <c r="B904" s="14">
        <v>2009.0</v>
      </c>
      <c r="C904" s="14" t="s">
        <v>20659</v>
      </c>
      <c r="D904" s="14" t="s">
        <v>20660</v>
      </c>
      <c r="E904" s="150" t="str">
        <f t="shared" si="13"/>
        <v>http://dx.doi.org/10.1109/VAST.2009.5333968</v>
      </c>
      <c r="F904" s="14"/>
      <c r="G904" s="14"/>
      <c r="H904" s="159" t="s">
        <v>30659</v>
      </c>
      <c r="I904" s="14" t="s">
        <v>21</v>
      </c>
      <c r="J904" s="14" t="s">
        <v>20661</v>
      </c>
      <c r="K904" s="14" t="s">
        <v>33661</v>
      </c>
      <c r="L904" s="152" t="s">
        <v>23916</v>
      </c>
      <c r="M904" s="14" t="s">
        <v>494</v>
      </c>
      <c r="N904" s="54" t="s">
        <v>33661</v>
      </c>
      <c r="O904" s="130"/>
      <c r="P904" s="16"/>
      <c r="Q904" s="14">
        <v>5333968.0</v>
      </c>
      <c r="R904" s="95"/>
      <c r="S904" s="154"/>
      <c r="T904" s="84"/>
      <c r="U904" s="84"/>
      <c r="V904" s="84"/>
      <c r="W904" s="84"/>
      <c r="X904" s="84"/>
      <c r="Y904" s="84"/>
      <c r="Z904" s="84"/>
      <c r="AA904" s="84"/>
      <c r="AB904" s="84"/>
      <c r="AC904" s="84"/>
    </row>
    <row r="905" ht="15.75" customHeight="1">
      <c r="A905" s="14" t="s">
        <v>120</v>
      </c>
      <c r="B905" s="14">
        <v>2009.0</v>
      </c>
      <c r="C905" s="14" t="s">
        <v>20449</v>
      </c>
      <c r="D905" s="14" t="s">
        <v>20450</v>
      </c>
      <c r="E905" s="150" t="str">
        <f t="shared" si="13"/>
        <v>http://dx.doi.org/10.1109/VAST.2009.5333248</v>
      </c>
      <c r="F905" s="14">
        <v>107.0</v>
      </c>
      <c r="G905" s="14">
        <v>114.0</v>
      </c>
      <c r="H905" s="151"/>
      <c r="I905" s="14" t="s">
        <v>28</v>
      </c>
      <c r="J905" s="14" t="s">
        <v>20451</v>
      </c>
      <c r="K905" s="14" t="s">
        <v>33668</v>
      </c>
      <c r="L905" s="152" t="s">
        <v>23615</v>
      </c>
      <c r="M905" s="14" t="s">
        <v>33669</v>
      </c>
      <c r="N905" s="54" t="s">
        <v>33668</v>
      </c>
      <c r="O905" s="130" t="s">
        <v>20455</v>
      </c>
      <c r="P905" s="153" t="s">
        <v>20456</v>
      </c>
      <c r="Q905" s="14">
        <v>5333248.0</v>
      </c>
      <c r="R905" s="95"/>
      <c r="S905" s="154" t="s">
        <v>33673</v>
      </c>
      <c r="T905" s="84"/>
      <c r="U905" s="84"/>
      <c r="V905" s="84"/>
      <c r="W905" s="84"/>
      <c r="X905" s="84"/>
      <c r="Y905" s="84"/>
      <c r="Z905" s="84"/>
      <c r="AA905" s="84"/>
      <c r="AB905" s="84"/>
      <c r="AC905" s="84"/>
    </row>
    <row r="906" ht="15.75" customHeight="1">
      <c r="A906" s="14" t="s">
        <v>120</v>
      </c>
      <c r="B906" s="14">
        <v>2009.0</v>
      </c>
      <c r="C906" s="14" t="s">
        <v>20532</v>
      </c>
      <c r="D906" s="14" t="s">
        <v>20533</v>
      </c>
      <c r="E906" s="150" t="str">
        <f t="shared" si="13"/>
        <v>http://dx.doi.org/10.1109/VAST.2009.5333468</v>
      </c>
      <c r="F906" s="14">
        <v>217.0</v>
      </c>
      <c r="G906" s="14">
        <v>218.0</v>
      </c>
      <c r="H906" s="159" t="s">
        <v>30659</v>
      </c>
      <c r="I906" s="14" t="s">
        <v>21</v>
      </c>
      <c r="J906" s="14" t="s">
        <v>20535</v>
      </c>
      <c r="K906" s="14" t="s">
        <v>33674</v>
      </c>
      <c r="L906" s="152" t="s">
        <v>14774</v>
      </c>
      <c r="M906" s="14" t="s">
        <v>33675</v>
      </c>
      <c r="N906" s="54" t="s">
        <v>33674</v>
      </c>
      <c r="O906" s="130"/>
      <c r="P906" s="16"/>
      <c r="Q906" s="14">
        <v>5333468.0</v>
      </c>
      <c r="R906" s="95"/>
      <c r="S906" s="154"/>
      <c r="T906" s="84"/>
      <c r="U906" s="84"/>
      <c r="V906" s="84"/>
      <c r="W906" s="84"/>
      <c r="X906" s="84"/>
      <c r="Y906" s="84"/>
      <c r="Z906" s="84"/>
      <c r="AA906" s="84"/>
      <c r="AB906" s="84"/>
      <c r="AC906" s="84"/>
    </row>
    <row r="907" ht="15.75" customHeight="1">
      <c r="A907" s="14" t="s">
        <v>17</v>
      </c>
      <c r="B907" s="14">
        <v>2009.0</v>
      </c>
      <c r="C907" s="14" t="s">
        <v>20830</v>
      </c>
      <c r="D907" s="14" t="s">
        <v>20831</v>
      </c>
      <c r="E907" s="150" t="str">
        <f t="shared" si="13"/>
        <v>http://dx.doi.org/10.1109/TVCG.2009.112</v>
      </c>
      <c r="F907" s="14">
        <v>1433.0</v>
      </c>
      <c r="G907" s="14">
        <v>1440.0</v>
      </c>
      <c r="H907" s="151"/>
      <c r="I907" s="14" t="s">
        <v>17059</v>
      </c>
      <c r="J907" s="14" t="s">
        <v>20833</v>
      </c>
      <c r="K907" s="14" t="s">
        <v>33685</v>
      </c>
      <c r="L907" s="152" t="s">
        <v>22075</v>
      </c>
      <c r="M907" s="14" t="s">
        <v>33686</v>
      </c>
      <c r="N907" s="54" t="s">
        <v>33685</v>
      </c>
      <c r="O907" s="130" t="s">
        <v>20838</v>
      </c>
      <c r="P907" s="153" t="s">
        <v>20839</v>
      </c>
      <c r="Q907" s="14">
        <v>5290758.0</v>
      </c>
      <c r="R907" s="95"/>
      <c r="S907" s="154" t="s">
        <v>33687</v>
      </c>
      <c r="T907" s="84"/>
      <c r="U907" s="84"/>
      <c r="V907" s="84"/>
      <c r="W907" s="84"/>
      <c r="X907" s="84"/>
      <c r="Y907" s="84"/>
      <c r="Z907" s="84"/>
      <c r="AA907" s="84"/>
      <c r="AB907" s="84"/>
      <c r="AC907" s="84"/>
    </row>
    <row r="908" ht="15.75" customHeight="1">
      <c r="A908" s="14" t="s">
        <v>17</v>
      </c>
      <c r="B908" s="14">
        <v>2009.0</v>
      </c>
      <c r="C908" s="14" t="s">
        <v>20840</v>
      </c>
      <c r="D908" s="14" t="s">
        <v>20841</v>
      </c>
      <c r="E908" s="150" t="str">
        <f t="shared" si="13"/>
        <v>http://dx.doi.org/10.1109/TVCG.2009.113</v>
      </c>
      <c r="F908" s="14">
        <v>1291.0</v>
      </c>
      <c r="G908" s="14">
        <v>1298.0</v>
      </c>
      <c r="H908" s="151"/>
      <c r="I908" s="14" t="s">
        <v>17059</v>
      </c>
      <c r="J908" s="14" t="s">
        <v>20842</v>
      </c>
      <c r="K908" s="14" t="s">
        <v>33691</v>
      </c>
      <c r="L908" s="152" t="s">
        <v>22077</v>
      </c>
      <c r="M908" s="14" t="s">
        <v>33694</v>
      </c>
      <c r="N908" s="54" t="s">
        <v>33695</v>
      </c>
      <c r="O908" s="130" t="s">
        <v>20846</v>
      </c>
      <c r="P908" s="153" t="s">
        <v>20847</v>
      </c>
      <c r="Q908" s="14">
        <v>5290741.0</v>
      </c>
      <c r="R908" s="95"/>
      <c r="S908" s="154" t="s">
        <v>33697</v>
      </c>
      <c r="T908" s="84"/>
      <c r="U908" s="84"/>
      <c r="V908" s="84"/>
      <c r="W908" s="84"/>
      <c r="X908" s="84"/>
      <c r="Y908" s="84"/>
      <c r="Z908" s="84"/>
      <c r="AA908" s="84"/>
      <c r="AB908" s="84"/>
      <c r="AC908" s="84"/>
    </row>
    <row r="909" ht="15.75" customHeight="1">
      <c r="A909" s="14" t="s">
        <v>17</v>
      </c>
      <c r="B909" s="14">
        <v>2009.0</v>
      </c>
      <c r="C909" s="14" t="s">
        <v>20848</v>
      </c>
      <c r="D909" s="14" t="s">
        <v>20849</v>
      </c>
      <c r="E909" s="150" t="str">
        <f t="shared" si="13"/>
        <v>http://dx.doi.org/10.1109/TVCG.2009.114</v>
      </c>
      <c r="F909" s="14">
        <v>1209.0</v>
      </c>
      <c r="G909" s="14">
        <v>1218.0</v>
      </c>
      <c r="H909" s="151"/>
      <c r="I909" s="14" t="s">
        <v>17059</v>
      </c>
      <c r="J909" s="14" t="s">
        <v>22079</v>
      </c>
      <c r="K909" s="14" t="s">
        <v>33700</v>
      </c>
      <c r="L909" s="152" t="s">
        <v>22080</v>
      </c>
      <c r="M909" s="14" t="s">
        <v>33701</v>
      </c>
      <c r="N909" s="54" t="s">
        <v>33700</v>
      </c>
      <c r="O909" s="130" t="s">
        <v>20855</v>
      </c>
      <c r="P909" s="153" t="s">
        <v>20856</v>
      </c>
      <c r="Q909" s="14">
        <v>5290731.0</v>
      </c>
      <c r="R909" s="95"/>
      <c r="S909" s="154" t="s">
        <v>33702</v>
      </c>
      <c r="T909" s="84"/>
      <c r="U909" s="84"/>
      <c r="V909" s="84"/>
      <c r="W909" s="84"/>
      <c r="X909" s="84"/>
      <c r="Y909" s="84"/>
      <c r="Z909" s="84"/>
      <c r="AA909" s="84"/>
      <c r="AB909" s="84"/>
      <c r="AC909" s="84"/>
    </row>
    <row r="910" ht="15.75" customHeight="1">
      <c r="A910" s="14" t="s">
        <v>17</v>
      </c>
      <c r="B910" s="14">
        <v>2009.0</v>
      </c>
      <c r="C910" s="14" t="s">
        <v>20858</v>
      </c>
      <c r="D910" s="14" t="s">
        <v>20859</v>
      </c>
      <c r="E910" s="150" t="str">
        <f t="shared" si="13"/>
        <v>http://dx.doi.org/10.1109/TVCG.2009.115</v>
      </c>
      <c r="F910" s="14">
        <v>1343.0</v>
      </c>
      <c r="G910" s="14">
        <v>1350.0</v>
      </c>
      <c r="H910" s="151"/>
      <c r="I910" s="14" t="s">
        <v>17059</v>
      </c>
      <c r="J910" s="14" t="s">
        <v>20860</v>
      </c>
      <c r="K910" s="14" t="s">
        <v>33711</v>
      </c>
      <c r="L910" s="152" t="s">
        <v>16655</v>
      </c>
      <c r="M910" s="14" t="s">
        <v>33712</v>
      </c>
      <c r="N910" s="54" t="s">
        <v>33711</v>
      </c>
      <c r="O910" s="130" t="s">
        <v>20864</v>
      </c>
      <c r="P910" s="153" t="s">
        <v>20865</v>
      </c>
      <c r="Q910" s="14">
        <v>5290747.0</v>
      </c>
      <c r="R910" s="95"/>
      <c r="S910" s="154" t="s">
        <v>33713</v>
      </c>
      <c r="T910" s="84"/>
      <c r="U910" s="84"/>
      <c r="V910" s="84"/>
      <c r="W910" s="84"/>
      <c r="X910" s="84"/>
      <c r="Y910" s="84"/>
      <c r="Z910" s="84"/>
      <c r="AA910" s="84"/>
      <c r="AB910" s="84"/>
      <c r="AC910" s="84"/>
    </row>
    <row r="911" ht="15.75" customHeight="1">
      <c r="A911" s="14" t="s">
        <v>17</v>
      </c>
      <c r="B911" s="14">
        <v>2009.0</v>
      </c>
      <c r="C911" s="14" t="s">
        <v>20866</v>
      </c>
      <c r="D911" s="14" t="s">
        <v>20867</v>
      </c>
      <c r="E911" s="150" t="str">
        <f t="shared" si="13"/>
        <v>http://dx.doi.org/10.1109/TVCG.2009.118</v>
      </c>
      <c r="F911" s="14">
        <v>1489.0</v>
      </c>
      <c r="G911" s="14">
        <v>1496.0</v>
      </c>
      <c r="H911" s="151"/>
      <c r="I911" s="14" t="s">
        <v>17059</v>
      </c>
      <c r="J911" s="14" t="s">
        <v>20868</v>
      </c>
      <c r="K911" s="14" t="s">
        <v>33716</v>
      </c>
      <c r="L911" s="152" t="s">
        <v>22089</v>
      </c>
      <c r="M911" s="14" t="s">
        <v>33718</v>
      </c>
      <c r="N911" s="54" t="s">
        <v>33716</v>
      </c>
      <c r="O911" s="130" t="s">
        <v>20872</v>
      </c>
      <c r="P911" s="153" t="s">
        <v>20873</v>
      </c>
      <c r="Q911" s="14">
        <v>5290765.0</v>
      </c>
      <c r="R911" s="95"/>
      <c r="S911" s="154" t="s">
        <v>33721</v>
      </c>
      <c r="T911" s="84"/>
      <c r="U911" s="84"/>
      <c r="V911" s="84"/>
      <c r="W911" s="84"/>
      <c r="X911" s="84"/>
      <c r="Y911" s="84"/>
      <c r="Z911" s="84"/>
      <c r="AA911" s="84"/>
      <c r="AB911" s="84"/>
      <c r="AC911" s="84"/>
    </row>
    <row r="912" ht="15.75" customHeight="1">
      <c r="A912" s="14" t="s">
        <v>17</v>
      </c>
      <c r="B912" s="14">
        <v>2009.0</v>
      </c>
      <c r="C912" s="14" t="s">
        <v>20874</v>
      </c>
      <c r="D912" s="14" t="s">
        <v>20877</v>
      </c>
      <c r="E912" s="150" t="str">
        <f t="shared" si="13"/>
        <v>http://dx.doi.org/10.1109/TVCG.2009.119</v>
      </c>
      <c r="F912" s="14">
        <v>1185.0</v>
      </c>
      <c r="G912" s="14">
        <v>1192.0</v>
      </c>
      <c r="H912" s="151"/>
      <c r="I912" s="14" t="s">
        <v>17059</v>
      </c>
      <c r="J912" s="14" t="s">
        <v>20878</v>
      </c>
      <c r="K912" s="14" t="s">
        <v>33725</v>
      </c>
      <c r="L912" s="152" t="s">
        <v>22091</v>
      </c>
      <c r="M912" s="14" t="s">
        <v>33726</v>
      </c>
      <c r="N912" s="54" t="s">
        <v>33725</v>
      </c>
      <c r="O912" s="130" t="s">
        <v>20881</v>
      </c>
      <c r="P912" s="153" t="s">
        <v>20882</v>
      </c>
      <c r="Q912" s="14">
        <v>5290728.0</v>
      </c>
      <c r="R912" s="95"/>
      <c r="S912" s="154" t="s">
        <v>33727</v>
      </c>
      <c r="T912" s="84"/>
      <c r="U912" s="84"/>
      <c r="V912" s="84"/>
      <c r="W912" s="84"/>
      <c r="X912" s="84"/>
      <c r="Y912" s="84"/>
      <c r="Z912" s="84"/>
      <c r="AA912" s="84"/>
      <c r="AB912" s="84"/>
      <c r="AC912" s="84"/>
    </row>
    <row r="913" ht="15.75" customHeight="1">
      <c r="A913" s="14" t="s">
        <v>17</v>
      </c>
      <c r="B913" s="14">
        <v>2009.0</v>
      </c>
      <c r="C913" s="14" t="s">
        <v>20883</v>
      </c>
      <c r="D913" s="14" t="s">
        <v>20884</v>
      </c>
      <c r="E913" s="150" t="str">
        <f t="shared" si="13"/>
        <v>http://dx.doi.org/10.1109/TVCG.2009.120</v>
      </c>
      <c r="F913" s="14">
        <v>1481.0</v>
      </c>
      <c r="G913" s="14">
        <v>1488.0</v>
      </c>
      <c r="H913" s="151"/>
      <c r="I913" s="14" t="s">
        <v>17059</v>
      </c>
      <c r="J913" s="14" t="s">
        <v>20885</v>
      </c>
      <c r="K913" s="14" t="s">
        <v>33736</v>
      </c>
      <c r="L913" s="152" t="s">
        <v>22093</v>
      </c>
      <c r="M913" s="14" t="s">
        <v>33737</v>
      </c>
      <c r="N913" s="54" t="s">
        <v>33736</v>
      </c>
      <c r="O913" s="130" t="s">
        <v>20888</v>
      </c>
      <c r="P913" s="153" t="s">
        <v>20889</v>
      </c>
      <c r="Q913" s="14">
        <v>5290764.0</v>
      </c>
      <c r="R913" s="95"/>
      <c r="S913" s="154" t="s">
        <v>33738</v>
      </c>
      <c r="T913" s="84"/>
      <c r="U913" s="84"/>
      <c r="V913" s="84"/>
      <c r="W913" s="84"/>
      <c r="X913" s="84"/>
      <c r="Y913" s="84"/>
      <c r="Z913" s="84"/>
      <c r="AA913" s="84"/>
      <c r="AB913" s="84"/>
      <c r="AC913" s="84"/>
    </row>
    <row r="914" ht="15.75" customHeight="1">
      <c r="A914" s="14" t="s">
        <v>17</v>
      </c>
      <c r="B914" s="14">
        <v>2009.0</v>
      </c>
      <c r="C914" s="14" t="s">
        <v>20891</v>
      </c>
      <c r="D914" s="14" t="s">
        <v>20892</v>
      </c>
      <c r="E914" s="150" t="str">
        <f t="shared" si="13"/>
        <v>http://dx.doi.org/10.1109/TVCG.2009.121</v>
      </c>
      <c r="F914" s="14">
        <v>1497.0</v>
      </c>
      <c r="G914" s="14">
        <v>1504.0</v>
      </c>
      <c r="H914" s="151"/>
      <c r="I914" s="14" t="s">
        <v>17059</v>
      </c>
      <c r="J914" s="14" t="s">
        <v>22095</v>
      </c>
      <c r="K914" s="14" t="s">
        <v>33788</v>
      </c>
      <c r="L914" s="152" t="s">
        <v>22097</v>
      </c>
      <c r="M914" s="14" t="s">
        <v>33789</v>
      </c>
      <c r="N914" s="54" t="s">
        <v>33788</v>
      </c>
      <c r="O914" s="130" t="s">
        <v>20898</v>
      </c>
      <c r="P914" s="153" t="s">
        <v>20899</v>
      </c>
      <c r="Q914" s="14">
        <v>5290766.0</v>
      </c>
      <c r="R914" s="95"/>
      <c r="S914" s="154" t="s">
        <v>33790</v>
      </c>
      <c r="T914" s="84"/>
      <c r="U914" s="84"/>
      <c r="V914" s="84"/>
      <c r="W914" s="84"/>
      <c r="X914" s="84"/>
      <c r="Y914" s="84"/>
      <c r="Z914" s="84"/>
      <c r="AA914" s="84"/>
      <c r="AB914" s="84"/>
      <c r="AC914" s="84"/>
    </row>
    <row r="915" ht="15.75" customHeight="1">
      <c r="A915" s="14" t="s">
        <v>17</v>
      </c>
      <c r="B915" s="14">
        <v>2009.0</v>
      </c>
      <c r="C915" s="14" t="s">
        <v>20900</v>
      </c>
      <c r="D915" s="14" t="s">
        <v>20901</v>
      </c>
      <c r="E915" s="150" t="str">
        <f t="shared" si="13"/>
        <v>http://dx.doi.org/10.1109/TVCG.2009.124</v>
      </c>
      <c r="F915" s="14">
        <v>1317.0</v>
      </c>
      <c r="G915" s="14">
        <v>1326.0</v>
      </c>
      <c r="H915" s="151"/>
      <c r="I915" s="14" t="s">
        <v>17059</v>
      </c>
      <c r="J915" s="14" t="s">
        <v>20902</v>
      </c>
      <c r="K915" s="14" t="s">
        <v>33798</v>
      </c>
      <c r="L915" s="152" t="s">
        <v>22103</v>
      </c>
      <c r="M915" s="14" t="s">
        <v>33799</v>
      </c>
      <c r="N915" s="54" t="s">
        <v>33798</v>
      </c>
      <c r="O915" s="130" t="s">
        <v>20906</v>
      </c>
      <c r="P915" s="153" t="s">
        <v>20907</v>
      </c>
      <c r="Q915" s="14">
        <v>5290744.0</v>
      </c>
      <c r="R915" s="95"/>
      <c r="S915" s="154" t="s">
        <v>33800</v>
      </c>
      <c r="T915" s="84"/>
      <c r="U915" s="84"/>
      <c r="V915" s="84"/>
      <c r="W915" s="84"/>
      <c r="X915" s="84"/>
      <c r="Y915" s="84"/>
      <c r="Z915" s="84"/>
      <c r="AA915" s="84"/>
      <c r="AB915" s="84"/>
      <c r="AC915" s="84"/>
    </row>
    <row r="916" ht="15.75" customHeight="1">
      <c r="A916" s="14" t="s">
        <v>17</v>
      </c>
      <c r="B916" s="14">
        <v>2009.0</v>
      </c>
      <c r="C916" s="14" t="s">
        <v>20908</v>
      </c>
      <c r="D916" s="14" t="s">
        <v>20909</v>
      </c>
      <c r="E916" s="150" t="str">
        <f t="shared" si="13"/>
        <v>http://dx.doi.org/10.1109/TVCG.2009.125</v>
      </c>
      <c r="F916" s="14">
        <v>1457.0</v>
      </c>
      <c r="G916" s="14">
        <v>1464.0</v>
      </c>
      <c r="H916" s="151"/>
      <c r="I916" s="14" t="s">
        <v>17059</v>
      </c>
      <c r="J916" s="14" t="s">
        <v>20910</v>
      </c>
      <c r="K916" s="14" t="s">
        <v>33810</v>
      </c>
      <c r="L916" s="152" t="s">
        <v>22106</v>
      </c>
      <c r="M916" s="14" t="s">
        <v>33811</v>
      </c>
      <c r="N916" s="54" t="s">
        <v>33810</v>
      </c>
      <c r="O916" s="130" t="s">
        <v>20915</v>
      </c>
      <c r="P916" s="153" t="s">
        <v>20916</v>
      </c>
      <c r="Q916" s="14">
        <v>5290761.0</v>
      </c>
      <c r="R916" s="95"/>
      <c r="S916" s="154" t="s">
        <v>33812</v>
      </c>
      <c r="T916" s="84"/>
      <c r="U916" s="84"/>
      <c r="V916" s="84"/>
      <c r="W916" s="84"/>
      <c r="X916" s="84"/>
      <c r="Y916" s="84"/>
      <c r="Z916" s="84"/>
      <c r="AA916" s="84"/>
      <c r="AB916" s="84"/>
      <c r="AC916" s="84"/>
    </row>
    <row r="917" ht="15.75" customHeight="1">
      <c r="A917" s="14" t="s">
        <v>17</v>
      </c>
      <c r="B917" s="14">
        <v>2009.0</v>
      </c>
      <c r="C917" s="14" t="s">
        <v>20918</v>
      </c>
      <c r="D917" s="14" t="s">
        <v>20919</v>
      </c>
      <c r="E917" s="150" t="str">
        <f t="shared" si="13"/>
        <v>http://dx.doi.org/10.1109/TVCG.2009.126</v>
      </c>
      <c r="F917" s="14">
        <v>1219.0</v>
      </c>
      <c r="G917" s="14">
        <v>1226.0</v>
      </c>
      <c r="H917" s="151"/>
      <c r="I917" s="14" t="s">
        <v>17059</v>
      </c>
      <c r="J917" s="14" t="s">
        <v>20920</v>
      </c>
      <c r="K917" s="14" t="s">
        <v>33813</v>
      </c>
      <c r="L917" s="152" t="s">
        <v>22108</v>
      </c>
      <c r="M917" s="14" t="s">
        <v>33816</v>
      </c>
      <c r="N917" s="54" t="s">
        <v>33813</v>
      </c>
      <c r="O917" s="130" t="s">
        <v>20923</v>
      </c>
      <c r="P917" s="153" t="s">
        <v>20924</v>
      </c>
      <c r="Q917" s="14">
        <v>5290732.0</v>
      </c>
      <c r="R917" s="95"/>
      <c r="S917" s="154" t="s">
        <v>33820</v>
      </c>
      <c r="T917" s="84"/>
      <c r="U917" s="84"/>
      <c r="V917" s="84"/>
      <c r="W917" s="84"/>
      <c r="X917" s="84"/>
      <c r="Y917" s="84"/>
      <c r="Z917" s="84"/>
      <c r="AA917" s="84"/>
      <c r="AB917" s="84"/>
      <c r="AC917" s="84"/>
    </row>
    <row r="918" ht="15.75" customHeight="1">
      <c r="A918" s="14" t="s">
        <v>17</v>
      </c>
      <c r="B918" s="14">
        <v>2009.0</v>
      </c>
      <c r="C918" s="14" t="s">
        <v>20925</v>
      </c>
      <c r="D918" s="14" t="s">
        <v>20926</v>
      </c>
      <c r="E918" s="150" t="str">
        <f t="shared" si="13"/>
        <v>http://dx.doi.org/10.1109/TVCG.2009.131</v>
      </c>
      <c r="F918" s="14">
        <v>1531.0</v>
      </c>
      <c r="G918" s="14">
        <v>1538.0</v>
      </c>
      <c r="H918" s="151"/>
      <c r="I918" s="14" t="s">
        <v>17059</v>
      </c>
      <c r="J918" s="14" t="s">
        <v>20927</v>
      </c>
      <c r="K918" s="14" t="s">
        <v>33826</v>
      </c>
      <c r="L918" s="152" t="s">
        <v>22118</v>
      </c>
      <c r="M918" s="14" t="s">
        <v>33829</v>
      </c>
      <c r="N918" s="54" t="s">
        <v>33826</v>
      </c>
      <c r="O918" s="130" t="s">
        <v>20930</v>
      </c>
      <c r="P918" s="153" t="s">
        <v>20931</v>
      </c>
      <c r="Q918" s="14">
        <v>5290770.0</v>
      </c>
      <c r="R918" s="95"/>
      <c r="S918" s="154" t="s">
        <v>33832</v>
      </c>
      <c r="T918" s="84"/>
      <c r="U918" s="84"/>
      <c r="V918" s="84"/>
      <c r="W918" s="84"/>
      <c r="X918" s="84"/>
      <c r="Y918" s="84"/>
      <c r="Z918" s="84"/>
      <c r="AA918" s="84"/>
      <c r="AB918" s="84"/>
      <c r="AC918" s="84"/>
    </row>
    <row r="919" ht="15.75" customHeight="1">
      <c r="A919" s="14" t="s">
        <v>17</v>
      </c>
      <c r="B919" s="14">
        <v>2009.0</v>
      </c>
      <c r="C919" s="14" t="s">
        <v>20933</v>
      </c>
      <c r="D919" s="14" t="s">
        <v>20934</v>
      </c>
      <c r="E919" s="150" t="str">
        <f t="shared" si="13"/>
        <v>http://dx.doi.org/10.1109/TVCG.2009.136</v>
      </c>
      <c r="F919" s="14">
        <v>1235.0</v>
      </c>
      <c r="G919" s="14">
        <v>1242.0</v>
      </c>
      <c r="H919" s="151"/>
      <c r="I919" s="14" t="s">
        <v>17059</v>
      </c>
      <c r="J919" s="14" t="s">
        <v>20936</v>
      </c>
      <c r="K919" s="14" t="s">
        <v>33836</v>
      </c>
      <c r="L919" s="152" t="s">
        <v>22120</v>
      </c>
      <c r="M919" s="14" t="s">
        <v>33838</v>
      </c>
      <c r="N919" s="54" t="s">
        <v>33836</v>
      </c>
      <c r="O919" s="130" t="s">
        <v>20940</v>
      </c>
      <c r="P919" s="153" t="s">
        <v>20941</v>
      </c>
      <c r="Q919" s="14">
        <v>5290734.0</v>
      </c>
      <c r="R919" s="95"/>
      <c r="S919" s="154" t="s">
        <v>33839</v>
      </c>
      <c r="T919" s="84"/>
      <c r="U919" s="84"/>
      <c r="V919" s="84"/>
      <c r="W919" s="84"/>
      <c r="X919" s="84"/>
      <c r="Y919" s="84"/>
      <c r="Z919" s="84"/>
      <c r="AA919" s="84"/>
      <c r="AB919" s="84"/>
      <c r="AC919" s="84"/>
    </row>
    <row r="920" ht="15.75" customHeight="1">
      <c r="A920" s="14" t="s">
        <v>17</v>
      </c>
      <c r="B920" s="14">
        <v>2009.0</v>
      </c>
      <c r="C920" s="14" t="s">
        <v>20942</v>
      </c>
      <c r="D920" s="14" t="s">
        <v>20943</v>
      </c>
      <c r="E920" s="150" t="str">
        <f t="shared" si="13"/>
        <v>http://dx.doi.org/10.1109/TVCG.2009.137</v>
      </c>
      <c r="F920" s="14">
        <v>1595.0</v>
      </c>
      <c r="G920" s="14">
        <v>1602.0</v>
      </c>
      <c r="H920" s="151"/>
      <c r="I920" s="14" t="s">
        <v>17059</v>
      </c>
      <c r="J920" s="14" t="s">
        <v>20945</v>
      </c>
      <c r="K920" s="14" t="s">
        <v>33846</v>
      </c>
      <c r="L920" s="152" t="s">
        <v>22122</v>
      </c>
      <c r="M920" s="14" t="s">
        <v>33848</v>
      </c>
      <c r="N920" s="54" t="s">
        <v>33846</v>
      </c>
      <c r="O920" s="130" t="s">
        <v>20948</v>
      </c>
      <c r="P920" s="153" t="s">
        <v>20949</v>
      </c>
      <c r="Q920" s="14">
        <v>5290778.0</v>
      </c>
      <c r="R920" s="95"/>
      <c r="S920" s="154" t="s">
        <v>33851</v>
      </c>
      <c r="T920" s="84"/>
      <c r="U920" s="84"/>
      <c r="V920" s="84"/>
      <c r="W920" s="84"/>
      <c r="X920" s="84"/>
      <c r="Y920" s="84"/>
      <c r="Z920" s="84"/>
      <c r="AA920" s="84"/>
      <c r="AB920" s="84"/>
      <c r="AC920" s="84"/>
    </row>
    <row r="921" ht="15.75" customHeight="1">
      <c r="A921" s="14" t="s">
        <v>17</v>
      </c>
      <c r="B921" s="14">
        <v>2009.0</v>
      </c>
      <c r="C921" s="14" t="s">
        <v>20951</v>
      </c>
      <c r="D921" s="14" t="s">
        <v>20952</v>
      </c>
      <c r="E921" s="150" t="str">
        <f t="shared" si="13"/>
        <v>http://dx.doi.org/10.1109/TVCG.2009.138</v>
      </c>
      <c r="F921" s="14">
        <v>1299.0</v>
      </c>
      <c r="G921" s="14">
        <v>1306.0</v>
      </c>
      <c r="H921" s="151"/>
      <c r="I921" s="14" t="s">
        <v>17059</v>
      </c>
      <c r="J921" s="14" t="s">
        <v>20953</v>
      </c>
      <c r="K921" s="14" t="s">
        <v>33854</v>
      </c>
      <c r="L921" s="152" t="s">
        <v>22124</v>
      </c>
      <c r="M921" s="14" t="s">
        <v>33855</v>
      </c>
      <c r="N921" s="54" t="s">
        <v>33856</v>
      </c>
      <c r="O921" s="130" t="s">
        <v>20957</v>
      </c>
      <c r="P921" s="153" t="s">
        <v>20958</v>
      </c>
      <c r="Q921" s="14">
        <v>5290742.0</v>
      </c>
      <c r="R921" s="95"/>
      <c r="S921" s="154" t="s">
        <v>33860</v>
      </c>
      <c r="T921" s="84"/>
      <c r="U921" s="84"/>
      <c r="V921" s="84"/>
      <c r="W921" s="84"/>
      <c r="X921" s="84"/>
      <c r="Y921" s="84"/>
      <c r="Z921" s="84"/>
      <c r="AA921" s="84"/>
      <c r="AB921" s="84"/>
      <c r="AC921" s="84"/>
    </row>
    <row r="922" ht="15.75" customHeight="1">
      <c r="A922" s="14" t="s">
        <v>17</v>
      </c>
      <c r="B922" s="14">
        <v>2009.0</v>
      </c>
      <c r="C922" s="14" t="s">
        <v>20959</v>
      </c>
      <c r="D922" s="14" t="s">
        <v>20960</v>
      </c>
      <c r="E922" s="150" t="str">
        <f t="shared" si="13"/>
        <v>http://dx.doi.org/10.1109/TVCG.2009.141</v>
      </c>
      <c r="F922" s="14">
        <v>1449.0</v>
      </c>
      <c r="G922" s="14">
        <v>1456.0</v>
      </c>
      <c r="H922" s="151"/>
      <c r="I922" s="14" t="s">
        <v>17059</v>
      </c>
      <c r="J922" s="14" t="s">
        <v>20961</v>
      </c>
      <c r="K922" s="14" t="s">
        <v>33866</v>
      </c>
      <c r="L922" s="152" t="s">
        <v>22106</v>
      </c>
      <c r="M922" s="14" t="s">
        <v>33867</v>
      </c>
      <c r="N922" s="54" t="s">
        <v>33866</v>
      </c>
      <c r="O922" s="130" t="s">
        <v>20968</v>
      </c>
      <c r="P922" s="153" t="s">
        <v>20969</v>
      </c>
      <c r="Q922" s="14">
        <v>5290760.0</v>
      </c>
      <c r="R922" s="95"/>
      <c r="S922" s="154" t="s">
        <v>33868</v>
      </c>
      <c r="T922" s="84"/>
      <c r="U922" s="84"/>
      <c r="V922" s="84"/>
      <c r="W922" s="84"/>
      <c r="X922" s="84"/>
      <c r="Y922" s="84"/>
      <c r="Z922" s="84"/>
      <c r="AA922" s="84"/>
      <c r="AB922" s="84"/>
      <c r="AC922" s="84"/>
    </row>
    <row r="923" ht="15.75" customHeight="1">
      <c r="A923" s="14" t="s">
        <v>17</v>
      </c>
      <c r="B923" s="14">
        <v>2009.0</v>
      </c>
      <c r="C923" s="14" t="s">
        <v>20971</v>
      </c>
      <c r="D923" s="14" t="s">
        <v>20972</v>
      </c>
      <c r="E923" s="150" t="str">
        <f t="shared" si="13"/>
        <v>http://dx.doi.org/10.1109/TVCG.2009.142</v>
      </c>
      <c r="F923" s="14">
        <v>1251.0</v>
      </c>
      <c r="G923" s="14">
        <v>1258.0</v>
      </c>
      <c r="H923" s="151"/>
      <c r="I923" s="14" t="s">
        <v>17059</v>
      </c>
      <c r="J923" s="14" t="s">
        <v>20973</v>
      </c>
      <c r="K923" s="14" t="s">
        <v>33877</v>
      </c>
      <c r="L923" s="152" t="s">
        <v>22133</v>
      </c>
      <c r="M923" s="14" t="s">
        <v>33878</v>
      </c>
      <c r="N923" s="54" t="s">
        <v>33877</v>
      </c>
      <c r="O923" s="130" t="s">
        <v>20976</v>
      </c>
      <c r="P923" s="153" t="s">
        <v>20977</v>
      </c>
      <c r="Q923" s="14">
        <v>5290736.0</v>
      </c>
      <c r="R923" s="95"/>
      <c r="S923" s="154" t="s">
        <v>33879</v>
      </c>
      <c r="T923" s="84"/>
      <c r="U923" s="84"/>
      <c r="V923" s="84"/>
      <c r="W923" s="84"/>
      <c r="X923" s="84"/>
      <c r="Y923" s="84"/>
      <c r="Z923" s="84"/>
      <c r="AA923" s="84"/>
      <c r="AB923" s="84"/>
      <c r="AC923" s="84"/>
    </row>
    <row r="924" ht="15.75" customHeight="1">
      <c r="A924" s="14" t="s">
        <v>17</v>
      </c>
      <c r="B924" s="14">
        <v>2009.0</v>
      </c>
      <c r="C924" s="14" t="s">
        <v>20978</v>
      </c>
      <c r="D924" s="14" t="s">
        <v>20979</v>
      </c>
      <c r="E924" s="150" t="str">
        <f t="shared" si="13"/>
        <v>http://dx.doi.org/10.1109/TVCG.2009.144</v>
      </c>
      <c r="F924" s="14">
        <v>1547.0</v>
      </c>
      <c r="G924" s="14">
        <v>1554.0</v>
      </c>
      <c r="H924" s="151"/>
      <c r="I924" s="14" t="s">
        <v>17059</v>
      </c>
      <c r="J924" s="14" t="s">
        <v>20980</v>
      </c>
      <c r="K924" s="14" t="s">
        <v>20981</v>
      </c>
      <c r="L924" s="152" t="s">
        <v>22137</v>
      </c>
      <c r="M924" s="14" t="s">
        <v>33887</v>
      </c>
      <c r="N924" s="54" t="s">
        <v>20981</v>
      </c>
      <c r="O924" s="130" t="s">
        <v>20985</v>
      </c>
      <c r="P924" s="153" t="s">
        <v>20986</v>
      </c>
      <c r="Q924" s="14">
        <v>5290772.0</v>
      </c>
      <c r="R924" s="95"/>
      <c r="S924" s="154" t="s">
        <v>33889</v>
      </c>
      <c r="T924" s="84"/>
      <c r="U924" s="84"/>
      <c r="V924" s="84"/>
      <c r="W924" s="84"/>
      <c r="X924" s="84"/>
      <c r="Y924" s="84"/>
      <c r="Z924" s="84"/>
      <c r="AA924" s="84"/>
      <c r="AB924" s="84"/>
      <c r="AC924" s="84"/>
    </row>
    <row r="925" ht="15.75" customHeight="1">
      <c r="A925" s="14" t="s">
        <v>17</v>
      </c>
      <c r="B925" s="14">
        <v>2009.0</v>
      </c>
      <c r="C925" s="14" t="s">
        <v>20987</v>
      </c>
      <c r="D925" s="14" t="s">
        <v>20989</v>
      </c>
      <c r="E925" s="150" t="str">
        <f t="shared" si="13"/>
        <v>http://dx.doi.org/10.1109/TVCG.2009.147</v>
      </c>
      <c r="F925" s="14">
        <v>1587.0</v>
      </c>
      <c r="G925" s="14">
        <v>1594.0</v>
      </c>
      <c r="H925" s="151"/>
      <c r="I925" s="14" t="s">
        <v>17059</v>
      </c>
      <c r="J925" s="14" t="s">
        <v>20990</v>
      </c>
      <c r="K925" s="14" t="s">
        <v>33892</v>
      </c>
      <c r="L925" s="152" t="s">
        <v>22144</v>
      </c>
      <c r="M925" s="14" t="s">
        <v>33893</v>
      </c>
      <c r="N925" s="54" t="s">
        <v>33892</v>
      </c>
      <c r="O925" s="130" t="s">
        <v>20994</v>
      </c>
      <c r="P925" s="153" t="s">
        <v>20995</v>
      </c>
      <c r="Q925" s="14">
        <v>5290777.0</v>
      </c>
      <c r="R925" s="95"/>
      <c r="S925" s="154" t="s">
        <v>33894</v>
      </c>
      <c r="T925" s="84"/>
      <c r="U925" s="84"/>
      <c r="V925" s="84"/>
      <c r="W925" s="84"/>
      <c r="X925" s="84"/>
      <c r="Y925" s="84"/>
      <c r="Z925" s="84"/>
      <c r="AA925" s="84"/>
      <c r="AB925" s="84"/>
      <c r="AC925" s="84"/>
    </row>
    <row r="926" ht="15.75" customHeight="1">
      <c r="A926" s="14" t="s">
        <v>17</v>
      </c>
      <c r="B926" s="14">
        <v>2009.0</v>
      </c>
      <c r="C926" s="14" t="s">
        <v>20996</v>
      </c>
      <c r="D926" s="14" t="s">
        <v>20997</v>
      </c>
      <c r="E926" s="150" t="str">
        <f t="shared" si="13"/>
        <v>http://dx.doi.org/10.1109/TVCG.2009.149</v>
      </c>
      <c r="F926" s="14">
        <v>1611.0</v>
      </c>
      <c r="G926" s="14">
        <v>1618.0</v>
      </c>
      <c r="H926" s="151"/>
      <c r="I926" s="14" t="s">
        <v>17059</v>
      </c>
      <c r="J926" s="14" t="s">
        <v>20998</v>
      </c>
      <c r="K926" s="14" t="s">
        <v>33903</v>
      </c>
      <c r="L926" s="152" t="s">
        <v>22149</v>
      </c>
      <c r="M926" s="14" t="s">
        <v>33904</v>
      </c>
      <c r="N926" s="54" t="s">
        <v>33903</v>
      </c>
      <c r="O926" s="130" t="s">
        <v>21001</v>
      </c>
      <c r="P926" s="153" t="s">
        <v>21002</v>
      </c>
      <c r="Q926" s="14">
        <v>5290780.0</v>
      </c>
      <c r="R926" s="95"/>
      <c r="S926" s="154" t="s">
        <v>33905</v>
      </c>
      <c r="T926" s="84"/>
      <c r="U926" s="84"/>
      <c r="V926" s="84"/>
      <c r="W926" s="84"/>
      <c r="X926" s="84"/>
      <c r="Y926" s="84"/>
      <c r="Z926" s="84"/>
      <c r="AA926" s="84"/>
      <c r="AB926" s="84"/>
      <c r="AC926" s="84"/>
    </row>
    <row r="927" ht="15.75" customHeight="1">
      <c r="A927" s="14" t="s">
        <v>17</v>
      </c>
      <c r="B927" s="14">
        <v>2009.0</v>
      </c>
      <c r="C927" s="14" t="s">
        <v>21003</v>
      </c>
      <c r="D927" s="14" t="s">
        <v>21004</v>
      </c>
      <c r="E927" s="150" t="str">
        <f t="shared" si="13"/>
        <v>http://dx.doi.org/10.1109/TVCG.2009.150</v>
      </c>
      <c r="F927" s="14">
        <v>1275.0</v>
      </c>
      <c r="G927" s="14">
        <v>1282.0</v>
      </c>
      <c r="H927" s="151"/>
      <c r="I927" s="14" t="s">
        <v>17059</v>
      </c>
      <c r="J927" s="14" t="s">
        <v>21006</v>
      </c>
      <c r="K927" s="14" t="s">
        <v>33906</v>
      </c>
      <c r="L927" s="152" t="s">
        <v>22152</v>
      </c>
      <c r="M927" s="14" t="s">
        <v>33907</v>
      </c>
      <c r="N927" s="54" t="s">
        <v>33906</v>
      </c>
      <c r="O927" s="130" t="s">
        <v>21010</v>
      </c>
      <c r="P927" s="153" t="s">
        <v>21011</v>
      </c>
      <c r="Q927" s="14">
        <v>5290739.0</v>
      </c>
      <c r="R927" s="95"/>
      <c r="S927" s="154" t="s">
        <v>33909</v>
      </c>
      <c r="T927" s="84"/>
      <c r="U927" s="84"/>
      <c r="V927" s="84"/>
      <c r="W927" s="84"/>
      <c r="X927" s="84"/>
      <c r="Y927" s="84"/>
      <c r="Z927" s="84"/>
      <c r="AA927" s="84"/>
      <c r="AB927" s="84"/>
      <c r="AC927" s="84"/>
    </row>
    <row r="928" ht="15.75" customHeight="1">
      <c r="A928" s="14" t="s">
        <v>17</v>
      </c>
      <c r="B928" s="14">
        <v>2009.0</v>
      </c>
      <c r="C928" s="14" t="s">
        <v>21012</v>
      </c>
      <c r="D928" s="14" t="s">
        <v>21013</v>
      </c>
      <c r="E928" s="150" t="str">
        <f t="shared" si="13"/>
        <v>http://dx.doi.org/10.1109/TVCG.2009.152</v>
      </c>
      <c r="F928" s="14">
        <v>1383.0</v>
      </c>
      <c r="G928" s="14">
        <v>1390.0</v>
      </c>
      <c r="H928" s="151"/>
      <c r="I928" s="14" t="s">
        <v>17059</v>
      </c>
      <c r="J928" s="14" t="s">
        <v>21014</v>
      </c>
      <c r="K928" s="14" t="s">
        <v>33918</v>
      </c>
      <c r="L928" s="152" t="s">
        <v>22661</v>
      </c>
      <c r="M928" s="14" t="s">
        <v>33919</v>
      </c>
      <c r="N928" s="54" t="s">
        <v>33920</v>
      </c>
      <c r="O928" s="130" t="s">
        <v>21018</v>
      </c>
      <c r="P928" s="153" t="s">
        <v>21019</v>
      </c>
      <c r="Q928" s="14">
        <v>5290752.0</v>
      </c>
      <c r="R928" s="95"/>
      <c r="S928" s="154" t="s">
        <v>33921</v>
      </c>
      <c r="T928" s="84"/>
      <c r="U928" s="84"/>
      <c r="V928" s="84"/>
      <c r="W928" s="84"/>
      <c r="X928" s="84"/>
      <c r="Y928" s="84"/>
      <c r="Z928" s="84"/>
      <c r="AA928" s="84"/>
      <c r="AB928" s="84"/>
      <c r="AC928" s="84"/>
    </row>
    <row r="929" ht="15.75" customHeight="1">
      <c r="A929" s="14" t="s">
        <v>17</v>
      </c>
      <c r="B929" s="14">
        <v>2009.0</v>
      </c>
      <c r="C929" s="14" t="s">
        <v>21020</v>
      </c>
      <c r="D929" s="14" t="s">
        <v>21021</v>
      </c>
      <c r="E929" s="150" t="str">
        <f t="shared" si="13"/>
        <v>http://dx.doi.org/10.1109/TVCG.2009.154</v>
      </c>
      <c r="F929" s="14">
        <v>1259.0</v>
      </c>
      <c r="G929" s="14">
        <v>1266.0</v>
      </c>
      <c r="H929" s="151"/>
      <c r="I929" s="14" t="s">
        <v>17059</v>
      </c>
      <c r="J929" s="14" t="s">
        <v>21023</v>
      </c>
      <c r="K929" s="14" t="s">
        <v>33927</v>
      </c>
      <c r="L929" s="152" t="s">
        <v>22704</v>
      </c>
      <c r="M929" s="14" t="s">
        <v>33929</v>
      </c>
      <c r="N929" s="54" t="s">
        <v>33927</v>
      </c>
      <c r="O929" s="130" t="s">
        <v>21027</v>
      </c>
      <c r="P929" s="153" t="s">
        <v>21028</v>
      </c>
      <c r="Q929" s="14">
        <v>5290737.0</v>
      </c>
      <c r="R929" s="95"/>
      <c r="S929" s="154" t="s">
        <v>33933</v>
      </c>
      <c r="T929" s="84"/>
      <c r="U929" s="84"/>
      <c r="V929" s="84"/>
      <c r="W929" s="84"/>
      <c r="X929" s="84"/>
      <c r="Y929" s="84"/>
      <c r="Z929" s="84"/>
      <c r="AA929" s="84"/>
      <c r="AB929" s="84"/>
      <c r="AC929" s="84"/>
    </row>
    <row r="930" ht="15.75" customHeight="1">
      <c r="A930" s="14" t="s">
        <v>17</v>
      </c>
      <c r="B930" s="14">
        <v>2009.0</v>
      </c>
      <c r="C930" s="14" t="s">
        <v>21030</v>
      </c>
      <c r="D930" s="14" t="s">
        <v>21031</v>
      </c>
      <c r="E930" s="150" t="str">
        <f t="shared" si="13"/>
        <v>http://dx.doi.org/10.1109/TVCG.2009.155</v>
      </c>
      <c r="F930" s="14">
        <v>1351.0</v>
      </c>
      <c r="G930" s="14">
        <v>1358.0</v>
      </c>
      <c r="H930" s="151"/>
      <c r="I930" s="14" t="s">
        <v>17059</v>
      </c>
      <c r="J930" s="14" t="s">
        <v>21032</v>
      </c>
      <c r="K930" s="14" t="s">
        <v>33935</v>
      </c>
      <c r="L930" s="152" t="s">
        <v>11861</v>
      </c>
      <c r="M930" s="14" t="s">
        <v>33936</v>
      </c>
      <c r="N930" s="54" t="s">
        <v>33935</v>
      </c>
      <c r="O930" s="130" t="s">
        <v>21035</v>
      </c>
      <c r="P930" s="153" t="s">
        <v>21036</v>
      </c>
      <c r="Q930" s="14">
        <v>5290748.0</v>
      </c>
      <c r="R930" s="95"/>
      <c r="S930" s="154" t="s">
        <v>33937</v>
      </c>
      <c r="T930" s="84"/>
      <c r="U930" s="84"/>
      <c r="V930" s="84"/>
      <c r="W930" s="84"/>
      <c r="X930" s="84"/>
      <c r="Y930" s="84"/>
      <c r="Z930" s="84"/>
      <c r="AA930" s="84"/>
      <c r="AB930" s="84"/>
      <c r="AC930" s="84"/>
    </row>
    <row r="931" ht="15.75" customHeight="1">
      <c r="A931" s="14" t="s">
        <v>17</v>
      </c>
      <c r="B931" s="14">
        <v>2009.0</v>
      </c>
      <c r="C931" s="14" t="s">
        <v>21037</v>
      </c>
      <c r="D931" s="14" t="s">
        <v>21038</v>
      </c>
      <c r="E931" s="150" t="str">
        <f t="shared" si="13"/>
        <v>http://dx.doi.org/10.1109/TVCG.2009.156</v>
      </c>
      <c r="F931" s="14">
        <v>1335.0</v>
      </c>
      <c r="G931" s="14">
        <v>1342.0</v>
      </c>
      <c r="H931" s="151"/>
      <c r="I931" s="14" t="s">
        <v>17059</v>
      </c>
      <c r="J931" s="14" t="s">
        <v>21039</v>
      </c>
      <c r="K931" s="14" t="s">
        <v>33946</v>
      </c>
      <c r="L931" s="152" t="s">
        <v>22742</v>
      </c>
      <c r="M931" s="14" t="s">
        <v>33947</v>
      </c>
      <c r="N931" s="54" t="s">
        <v>33946</v>
      </c>
      <c r="O931" s="130" t="s">
        <v>21045</v>
      </c>
      <c r="P931" s="153" t="s">
        <v>21046</v>
      </c>
      <c r="Q931" s="14">
        <v>5290746.0</v>
      </c>
      <c r="R931" s="95"/>
      <c r="S931" s="154" t="s">
        <v>33948</v>
      </c>
      <c r="T931" s="84"/>
      <c r="U931" s="84"/>
      <c r="V931" s="84"/>
      <c r="W931" s="84"/>
      <c r="X931" s="84"/>
      <c r="Y931" s="84"/>
      <c r="Z931" s="84"/>
      <c r="AA931" s="84"/>
      <c r="AB931" s="84"/>
      <c r="AC931" s="84"/>
    </row>
    <row r="932" ht="15.75" customHeight="1">
      <c r="A932" s="14" t="s">
        <v>17</v>
      </c>
      <c r="B932" s="14">
        <v>2009.0</v>
      </c>
      <c r="C932" s="14" t="s">
        <v>21047</v>
      </c>
      <c r="D932" s="14" t="s">
        <v>21048</v>
      </c>
      <c r="E932" s="150" t="str">
        <f t="shared" si="13"/>
        <v>http://dx.doi.org/10.1109/TVCG.2009.157</v>
      </c>
      <c r="F932" s="14">
        <v>1391.0</v>
      </c>
      <c r="G932" s="14">
        <v>1398.0</v>
      </c>
      <c r="H932" s="151"/>
      <c r="I932" s="14" t="s">
        <v>17059</v>
      </c>
      <c r="J932" s="14" t="s">
        <v>21050</v>
      </c>
      <c r="K932" s="14" t="s">
        <v>33949</v>
      </c>
      <c r="L932" s="152" t="s">
        <v>22764</v>
      </c>
      <c r="M932" s="14" t="s">
        <v>33952</v>
      </c>
      <c r="N932" s="54" t="s">
        <v>33949</v>
      </c>
      <c r="O932" s="130" t="s">
        <v>21053</v>
      </c>
      <c r="P932" s="153" t="s">
        <v>21054</v>
      </c>
      <c r="Q932" s="14">
        <v>5290753.0</v>
      </c>
      <c r="R932" s="95"/>
      <c r="S932" s="154" t="s">
        <v>33959</v>
      </c>
      <c r="T932" s="84"/>
      <c r="U932" s="84"/>
      <c r="V932" s="84"/>
      <c r="W932" s="84"/>
      <c r="X932" s="84"/>
      <c r="Y932" s="84"/>
      <c r="Z932" s="84"/>
      <c r="AA932" s="84"/>
      <c r="AB932" s="84"/>
      <c r="AC932" s="84"/>
    </row>
    <row r="933" ht="15.75" customHeight="1">
      <c r="A933" s="14" t="s">
        <v>17</v>
      </c>
      <c r="B933" s="14">
        <v>2009.0</v>
      </c>
      <c r="C933" s="14" t="s">
        <v>21055</v>
      </c>
      <c r="D933" s="14" t="s">
        <v>21056</v>
      </c>
      <c r="E933" s="150" t="str">
        <f t="shared" si="13"/>
        <v>http://dx.doi.org/10.1109/TVCG.2009.158</v>
      </c>
      <c r="F933" s="14">
        <v>1579.0</v>
      </c>
      <c r="G933" s="14">
        <v>5186.0</v>
      </c>
      <c r="H933" s="151"/>
      <c r="I933" s="14" t="s">
        <v>17059</v>
      </c>
      <c r="J933" s="14" t="s">
        <v>21057</v>
      </c>
      <c r="K933" s="14" t="s">
        <v>33961</v>
      </c>
      <c r="L933" s="152" t="s">
        <v>22784</v>
      </c>
      <c r="M933" s="14" t="s">
        <v>33962</v>
      </c>
      <c r="N933" s="54" t="s">
        <v>33961</v>
      </c>
      <c r="O933" s="130" t="s">
        <v>21061</v>
      </c>
      <c r="P933" s="153" t="s">
        <v>21062</v>
      </c>
      <c r="Q933" s="14">
        <v>5290776.0</v>
      </c>
      <c r="R933" s="95"/>
      <c r="S933" s="154" t="s">
        <v>33963</v>
      </c>
      <c r="T933" s="84"/>
      <c r="U933" s="84"/>
      <c r="V933" s="84"/>
      <c r="W933" s="84"/>
      <c r="X933" s="84"/>
      <c r="Y933" s="84"/>
      <c r="Z933" s="84"/>
      <c r="AA933" s="84"/>
      <c r="AB933" s="84"/>
      <c r="AC933" s="84"/>
    </row>
    <row r="934" ht="15.75" customHeight="1">
      <c r="A934" s="14" t="s">
        <v>17</v>
      </c>
      <c r="B934" s="14">
        <v>2009.0</v>
      </c>
      <c r="C934" s="14" t="s">
        <v>21064</v>
      </c>
      <c r="D934" s="14" t="s">
        <v>21065</v>
      </c>
      <c r="E934" s="150" t="str">
        <f t="shared" si="13"/>
        <v>http://dx.doi.org/10.1109/TVCG.2009.159</v>
      </c>
      <c r="F934" s="14">
        <v>1193.0</v>
      </c>
      <c r="G934" s="14">
        <v>1200.0</v>
      </c>
      <c r="H934" s="151"/>
      <c r="I934" s="14" t="s">
        <v>17059</v>
      </c>
      <c r="J934" s="14" t="s">
        <v>21066</v>
      </c>
      <c r="K934" s="14" t="s">
        <v>21067</v>
      </c>
      <c r="L934" s="152" t="s">
        <v>22803</v>
      </c>
      <c r="M934" s="14" t="s">
        <v>33972</v>
      </c>
      <c r="N934" s="54" t="s">
        <v>21067</v>
      </c>
      <c r="O934" s="130" t="s">
        <v>19765</v>
      </c>
      <c r="P934" s="153" t="s">
        <v>21069</v>
      </c>
      <c r="Q934" s="14">
        <v>5290729.0</v>
      </c>
      <c r="R934" s="95"/>
      <c r="S934" s="154">
        <v>4658186.0</v>
      </c>
      <c r="T934" s="84"/>
      <c r="U934" s="84"/>
      <c r="V934" s="84"/>
      <c r="W934" s="84"/>
      <c r="X934" s="84"/>
      <c r="Y934" s="84"/>
      <c r="Z934" s="84"/>
      <c r="AA934" s="84"/>
      <c r="AB934" s="84"/>
      <c r="AC934" s="84"/>
    </row>
    <row r="935" ht="15.75" customHeight="1">
      <c r="A935" s="14" t="s">
        <v>17</v>
      </c>
      <c r="B935" s="14">
        <v>2009.0</v>
      </c>
      <c r="C935" s="14" t="s">
        <v>21070</v>
      </c>
      <c r="D935" s="14" t="s">
        <v>21071</v>
      </c>
      <c r="E935" s="150" t="str">
        <f t="shared" si="13"/>
        <v>http://dx.doi.org/10.1109/TVCG.2009.160</v>
      </c>
      <c r="F935" s="14">
        <v>1367.0</v>
      </c>
      <c r="G935" s="14">
        <v>1374.0</v>
      </c>
      <c r="H935" s="151"/>
      <c r="I935" s="14" t="s">
        <v>17059</v>
      </c>
      <c r="J935" s="14" t="s">
        <v>22825</v>
      </c>
      <c r="K935" s="14" t="s">
        <v>21073</v>
      </c>
      <c r="L935" s="152" t="s">
        <v>22826</v>
      </c>
      <c r="M935" s="14" t="s">
        <v>33980</v>
      </c>
      <c r="N935" s="54" t="s">
        <v>21073</v>
      </c>
      <c r="O935" s="130" t="s">
        <v>21075</v>
      </c>
      <c r="P935" s="153" t="s">
        <v>21076</v>
      </c>
      <c r="Q935" s="14">
        <v>5290750.0</v>
      </c>
      <c r="R935" s="95"/>
      <c r="S935" s="154" t="s">
        <v>33983</v>
      </c>
      <c r="T935" s="84"/>
      <c r="U935" s="84"/>
      <c r="V935" s="84"/>
      <c r="W935" s="84"/>
      <c r="X935" s="84"/>
      <c r="Y935" s="84"/>
      <c r="Z935" s="84"/>
      <c r="AA935" s="84"/>
      <c r="AB935" s="84"/>
      <c r="AC935" s="84"/>
    </row>
    <row r="936" ht="15.75" customHeight="1">
      <c r="A936" s="14" t="s">
        <v>17</v>
      </c>
      <c r="B936" s="14">
        <v>2009.0</v>
      </c>
      <c r="C936" s="14" t="s">
        <v>21078</v>
      </c>
      <c r="D936" s="14" t="s">
        <v>21079</v>
      </c>
      <c r="E936" s="150" t="str">
        <f t="shared" si="13"/>
        <v>http://dx.doi.org/10.1109/TVCG.2009.161</v>
      </c>
      <c r="F936" s="14">
        <v>1555.0</v>
      </c>
      <c r="G936" s="14">
        <v>1562.0</v>
      </c>
      <c r="H936" s="151"/>
      <c r="I936" s="14" t="s">
        <v>17059</v>
      </c>
      <c r="J936" s="14" t="s">
        <v>21081</v>
      </c>
      <c r="K936" s="14" t="s">
        <v>33984</v>
      </c>
      <c r="L936" s="152" t="s">
        <v>22856</v>
      </c>
      <c r="M936" s="14" t="s">
        <v>33985</v>
      </c>
      <c r="N936" s="54" t="s">
        <v>33984</v>
      </c>
      <c r="O936" s="130" t="s">
        <v>15028</v>
      </c>
      <c r="P936" s="153" t="s">
        <v>21085</v>
      </c>
      <c r="Q936" s="14">
        <v>5290773.0</v>
      </c>
      <c r="R936" s="95"/>
      <c r="S936" s="154">
        <v>1372190.0</v>
      </c>
      <c r="T936" s="84"/>
      <c r="U936" s="84"/>
      <c r="V936" s="84"/>
      <c r="W936" s="84"/>
      <c r="X936" s="84"/>
      <c r="Y936" s="84"/>
      <c r="Z936" s="84"/>
      <c r="AA936" s="84"/>
      <c r="AB936" s="84"/>
      <c r="AC936" s="84"/>
    </row>
    <row r="937" ht="15.75" customHeight="1">
      <c r="A937" s="14" t="s">
        <v>17</v>
      </c>
      <c r="B937" s="14">
        <v>2009.0</v>
      </c>
      <c r="C937" s="14" t="s">
        <v>21086</v>
      </c>
      <c r="D937" s="14" t="s">
        <v>21087</v>
      </c>
      <c r="E937" s="150" t="str">
        <f t="shared" si="13"/>
        <v>http://dx.doi.org/10.1109/TVCG.2009.163</v>
      </c>
      <c r="F937" s="14">
        <v>1177.0</v>
      </c>
      <c r="G937" s="14">
        <v>1184.0</v>
      </c>
      <c r="H937" s="151"/>
      <c r="I937" s="14" t="s">
        <v>17059</v>
      </c>
      <c r="J937" s="14" t="s">
        <v>22894</v>
      </c>
      <c r="K937" s="14" t="s">
        <v>33991</v>
      </c>
      <c r="L937" s="152" t="s">
        <v>22895</v>
      </c>
      <c r="M937" s="14" t="s">
        <v>33993</v>
      </c>
      <c r="N937" s="54" t="s">
        <v>33991</v>
      </c>
      <c r="O937" s="130" t="s">
        <v>21092</v>
      </c>
      <c r="P937" s="153" t="s">
        <v>21093</v>
      </c>
      <c r="Q937" s="14">
        <v>5290727.0</v>
      </c>
      <c r="R937" s="95"/>
      <c r="S937" s="154" t="s">
        <v>33996</v>
      </c>
      <c r="T937" s="84"/>
      <c r="U937" s="84"/>
      <c r="V937" s="84"/>
      <c r="W937" s="84"/>
      <c r="X937" s="84"/>
      <c r="Y937" s="84"/>
      <c r="Z937" s="84"/>
      <c r="AA937" s="84"/>
      <c r="AB937" s="84"/>
      <c r="AC937" s="84"/>
    </row>
    <row r="938" ht="15.75" customHeight="1">
      <c r="A938" s="14" t="s">
        <v>17</v>
      </c>
      <c r="B938" s="14">
        <v>2009.0</v>
      </c>
      <c r="C938" s="14" t="s">
        <v>21094</v>
      </c>
      <c r="D938" s="14" t="s">
        <v>21096</v>
      </c>
      <c r="E938" s="150" t="str">
        <f t="shared" si="13"/>
        <v>http://dx.doi.org/10.1109/TVCG.2009.164</v>
      </c>
      <c r="F938" s="14">
        <v>1563.0</v>
      </c>
      <c r="G938" s="14">
        <v>1570.0</v>
      </c>
      <c r="H938" s="151"/>
      <c r="I938" s="14" t="s">
        <v>17059</v>
      </c>
      <c r="J938" s="14" t="s">
        <v>22900</v>
      </c>
      <c r="K938" s="14" t="s">
        <v>33997</v>
      </c>
      <c r="L938" s="152" t="s">
        <v>22902</v>
      </c>
      <c r="M938" s="14" t="s">
        <v>33998</v>
      </c>
      <c r="N938" s="54" t="s">
        <v>33997</v>
      </c>
      <c r="O938" s="130" t="s">
        <v>21101</v>
      </c>
      <c r="P938" s="153" t="s">
        <v>21102</v>
      </c>
      <c r="Q938" s="14">
        <v>5290774.0</v>
      </c>
      <c r="R938" s="95"/>
      <c r="S938" s="154" t="s">
        <v>33999</v>
      </c>
      <c r="T938" s="84"/>
      <c r="U938" s="84"/>
      <c r="V938" s="84"/>
      <c r="W938" s="84"/>
      <c r="X938" s="84"/>
      <c r="Y938" s="84"/>
      <c r="Z938" s="84"/>
      <c r="AA938" s="84"/>
      <c r="AB938" s="84"/>
      <c r="AC938" s="84"/>
    </row>
    <row r="939" ht="15.75" customHeight="1">
      <c r="A939" s="14" t="s">
        <v>17</v>
      </c>
      <c r="B939" s="14">
        <v>2009.0</v>
      </c>
      <c r="C939" s="14" t="s">
        <v>21103</v>
      </c>
      <c r="D939" s="14" t="s">
        <v>21104</v>
      </c>
      <c r="E939" s="150" t="str">
        <f t="shared" si="13"/>
        <v>http://dx.doi.org/10.1109/TVCG.2009.166</v>
      </c>
      <c r="F939" s="14">
        <v>1307.0</v>
      </c>
      <c r="G939" s="14">
        <v>1316.0</v>
      </c>
      <c r="H939" s="151"/>
      <c r="I939" s="14" t="s">
        <v>17059</v>
      </c>
      <c r="J939" s="14" t="s">
        <v>21105</v>
      </c>
      <c r="K939" s="14" t="s">
        <v>34006</v>
      </c>
      <c r="L939" s="152" t="s">
        <v>22920</v>
      </c>
      <c r="M939" s="14" t="s">
        <v>34007</v>
      </c>
      <c r="N939" s="54" t="s">
        <v>34006</v>
      </c>
      <c r="O939" s="130" t="s">
        <v>21108</v>
      </c>
      <c r="P939" s="153" t="s">
        <v>21109</v>
      </c>
      <c r="Q939" s="14">
        <v>5290743.0</v>
      </c>
      <c r="R939" s="95"/>
      <c r="S939" s="154" t="s">
        <v>34011</v>
      </c>
      <c r="T939" s="84"/>
      <c r="U939" s="84"/>
      <c r="V939" s="84"/>
      <c r="W939" s="84"/>
      <c r="X939" s="84"/>
      <c r="Y939" s="84"/>
      <c r="Z939" s="84"/>
      <c r="AA939" s="84"/>
      <c r="AB939" s="84"/>
      <c r="AC939" s="84"/>
    </row>
    <row r="940" ht="15.75" customHeight="1">
      <c r="A940" s="14" t="s">
        <v>17</v>
      </c>
      <c r="B940" s="14">
        <v>2009.0</v>
      </c>
      <c r="C940" s="14" t="s">
        <v>21111</v>
      </c>
      <c r="D940" s="14" t="s">
        <v>21112</v>
      </c>
      <c r="E940" s="150" t="str">
        <f t="shared" si="13"/>
        <v>http://dx.doi.org/10.1109/TVCG.2009.168</v>
      </c>
      <c r="F940" s="14">
        <v>1201.0</v>
      </c>
      <c r="G940" s="14">
        <v>1208.0</v>
      </c>
      <c r="H940" s="151"/>
      <c r="I940" s="14" t="s">
        <v>17059</v>
      </c>
      <c r="J940" s="14" t="s">
        <v>21113</v>
      </c>
      <c r="K940" s="14" t="s">
        <v>34012</v>
      </c>
      <c r="L940" s="152" t="s">
        <v>22923</v>
      </c>
      <c r="M940" s="14" t="s">
        <v>34013</v>
      </c>
      <c r="N940" s="54" t="s">
        <v>34012</v>
      </c>
      <c r="O940" s="130" t="s">
        <v>21117</v>
      </c>
      <c r="P940" s="153" t="s">
        <v>21118</v>
      </c>
      <c r="Q940" s="14">
        <v>5290730.0</v>
      </c>
      <c r="R940" s="95"/>
      <c r="S940" s="154" t="s">
        <v>34014</v>
      </c>
      <c r="T940" s="84"/>
      <c r="U940" s="84"/>
      <c r="V940" s="84"/>
      <c r="W940" s="84"/>
      <c r="X940" s="84"/>
      <c r="Y940" s="84"/>
      <c r="Z940" s="84"/>
      <c r="AA940" s="84"/>
      <c r="AB940" s="84"/>
      <c r="AC940" s="84"/>
    </row>
    <row r="941" ht="15.75" customHeight="1">
      <c r="A941" s="14" t="s">
        <v>17</v>
      </c>
      <c r="B941" s="14">
        <v>2009.0</v>
      </c>
      <c r="C941" s="14" t="s">
        <v>21119</v>
      </c>
      <c r="D941" s="14" t="s">
        <v>21120</v>
      </c>
      <c r="E941" s="150" t="str">
        <f t="shared" si="13"/>
        <v>http://dx.doi.org/10.1109/TVCG.2009.169</v>
      </c>
      <c r="F941" s="14">
        <v>1515.0</v>
      </c>
      <c r="G941" s="14">
        <v>1522.0</v>
      </c>
      <c r="H941" s="151"/>
      <c r="I941" s="14" t="s">
        <v>17059</v>
      </c>
      <c r="J941" s="14" t="s">
        <v>21121</v>
      </c>
      <c r="K941" s="14" t="s">
        <v>34023</v>
      </c>
      <c r="L941" s="152" t="s">
        <v>22926</v>
      </c>
      <c r="M941" s="14" t="s">
        <v>34024</v>
      </c>
      <c r="N941" s="54" t="s">
        <v>34023</v>
      </c>
      <c r="O941" s="130" t="s">
        <v>21125</v>
      </c>
      <c r="P941" s="153" t="s">
        <v>21126</v>
      </c>
      <c r="Q941" s="14">
        <v>5290768.0</v>
      </c>
      <c r="R941" s="95"/>
      <c r="S941" s="154" t="s">
        <v>34025</v>
      </c>
      <c r="T941" s="84"/>
      <c r="U941" s="84"/>
      <c r="V941" s="84"/>
      <c r="W941" s="84"/>
      <c r="X941" s="84"/>
      <c r="Y941" s="84"/>
      <c r="Z941" s="84"/>
      <c r="AA941" s="84"/>
      <c r="AB941" s="84"/>
      <c r="AC941" s="84"/>
    </row>
    <row r="942" ht="15.75" customHeight="1">
      <c r="A942" s="14" t="s">
        <v>17</v>
      </c>
      <c r="B942" s="14">
        <v>2009.0</v>
      </c>
      <c r="C942" s="14" t="s">
        <v>21127</v>
      </c>
      <c r="D942" s="14" t="s">
        <v>21128</v>
      </c>
      <c r="E942" s="150" t="str">
        <f t="shared" si="13"/>
        <v>http://dx.doi.org/10.1109/TVCG.2009.170</v>
      </c>
      <c r="F942" s="14">
        <v>1441.0</v>
      </c>
      <c r="G942" s="14">
        <v>1448.0</v>
      </c>
      <c r="H942" s="151"/>
      <c r="I942" s="14" t="s">
        <v>17059</v>
      </c>
      <c r="J942" s="14" t="s">
        <v>21130</v>
      </c>
      <c r="K942" s="14" t="s">
        <v>34026</v>
      </c>
      <c r="L942" s="152" t="s">
        <v>22935</v>
      </c>
      <c r="M942" s="14" t="s">
        <v>34027</v>
      </c>
      <c r="N942" s="54" t="s">
        <v>34029</v>
      </c>
      <c r="O942" s="130" t="s">
        <v>21134</v>
      </c>
      <c r="P942" s="153" t="s">
        <v>21135</v>
      </c>
      <c r="Q942" s="14">
        <v>5290759.0</v>
      </c>
      <c r="R942" s="95"/>
      <c r="S942" s="154" t="s">
        <v>34032</v>
      </c>
      <c r="T942" s="84"/>
      <c r="U942" s="84"/>
      <c r="V942" s="84"/>
      <c r="W942" s="84"/>
      <c r="X942" s="84"/>
      <c r="Y942" s="84"/>
      <c r="Z942" s="84"/>
      <c r="AA942" s="84"/>
      <c r="AB942" s="84"/>
      <c r="AC942" s="84"/>
    </row>
    <row r="943" ht="15.75" customHeight="1">
      <c r="A943" s="14" t="s">
        <v>17</v>
      </c>
      <c r="B943" s="14">
        <v>2009.0</v>
      </c>
      <c r="C943" s="14" t="s">
        <v>21136</v>
      </c>
      <c r="D943" s="14" t="s">
        <v>21137</v>
      </c>
      <c r="E943" s="150" t="str">
        <f t="shared" si="13"/>
        <v>http://dx.doi.org/10.1109/TVCG.2009.172</v>
      </c>
      <c r="F943" s="14">
        <v>1283.0</v>
      </c>
      <c r="G943" s="14">
        <v>1290.0</v>
      </c>
      <c r="H943" s="151"/>
      <c r="I943" s="14" t="s">
        <v>17059</v>
      </c>
      <c r="J943" s="14" t="s">
        <v>21138</v>
      </c>
      <c r="K943" s="14" t="s">
        <v>21140</v>
      </c>
      <c r="L943" s="152" t="s">
        <v>22968</v>
      </c>
      <c r="M943" s="14" t="s">
        <v>34039</v>
      </c>
      <c r="N943" s="54" t="s">
        <v>21140</v>
      </c>
      <c r="O943" s="130" t="s">
        <v>21142</v>
      </c>
      <c r="P943" s="153" t="s">
        <v>21143</v>
      </c>
      <c r="Q943" s="14">
        <v>5290740.0</v>
      </c>
      <c r="R943" s="95"/>
      <c r="S943" s="154" t="s">
        <v>34040</v>
      </c>
      <c r="T943" s="84"/>
      <c r="U943" s="84"/>
      <c r="V943" s="84"/>
      <c r="W943" s="84"/>
      <c r="X943" s="84"/>
      <c r="Y943" s="84"/>
      <c r="Z943" s="84"/>
      <c r="AA943" s="84"/>
      <c r="AB943" s="84"/>
      <c r="AC943" s="84"/>
    </row>
    <row r="944" ht="15.75" customHeight="1">
      <c r="A944" s="14" t="s">
        <v>17</v>
      </c>
      <c r="B944" s="14">
        <v>2009.0</v>
      </c>
      <c r="C944" s="14" t="s">
        <v>21144</v>
      </c>
      <c r="D944" s="14" t="s">
        <v>21145</v>
      </c>
      <c r="E944" s="150" t="str">
        <f t="shared" si="13"/>
        <v>http://dx.doi.org/10.1109/TVCG.2009.173</v>
      </c>
      <c r="F944" s="14">
        <v>1243.0</v>
      </c>
      <c r="G944" s="14">
        <v>1250.0</v>
      </c>
      <c r="H944" s="151"/>
      <c r="I944" s="14" t="s">
        <v>17059</v>
      </c>
      <c r="J944" s="14" t="s">
        <v>21148</v>
      </c>
      <c r="K944" s="14" t="s">
        <v>34046</v>
      </c>
      <c r="L944" s="152" t="s">
        <v>22976</v>
      </c>
      <c r="M944" s="14" t="s">
        <v>34049</v>
      </c>
      <c r="N944" s="54" t="s">
        <v>34046</v>
      </c>
      <c r="O944" s="130" t="s">
        <v>21151</v>
      </c>
      <c r="P944" s="153" t="s">
        <v>21152</v>
      </c>
      <c r="Q944" s="14">
        <v>5290735.0</v>
      </c>
      <c r="R944" s="95"/>
      <c r="S944" s="154" t="s">
        <v>34051</v>
      </c>
      <c r="T944" s="84"/>
      <c r="U944" s="84"/>
      <c r="V944" s="84"/>
      <c r="W944" s="84"/>
      <c r="X944" s="84"/>
      <c r="Y944" s="84"/>
      <c r="Z944" s="84"/>
      <c r="AA944" s="84"/>
      <c r="AB944" s="84"/>
      <c r="AC944" s="84"/>
    </row>
    <row r="945" ht="15.75" customHeight="1">
      <c r="A945" s="14" t="s">
        <v>17</v>
      </c>
      <c r="B945" s="14">
        <v>2009.0</v>
      </c>
      <c r="C945" s="14" t="s">
        <v>21154</v>
      </c>
      <c r="D945" s="14" t="s">
        <v>21155</v>
      </c>
      <c r="E945" s="150" t="str">
        <f t="shared" si="13"/>
        <v>http://dx.doi.org/10.1109/TVCG.2009.175</v>
      </c>
      <c r="F945" s="14">
        <v>1523.0</v>
      </c>
      <c r="G945" s="14">
        <v>1530.0</v>
      </c>
      <c r="H945" s="151"/>
      <c r="I945" s="14" t="s">
        <v>17059</v>
      </c>
      <c r="J945" s="14" t="s">
        <v>21156</v>
      </c>
      <c r="K945" s="14" t="s">
        <v>11335</v>
      </c>
      <c r="L945" s="152" t="s">
        <v>22991</v>
      </c>
      <c r="M945" s="14">
        <v>3.72658508E10</v>
      </c>
      <c r="N945" s="54" t="s">
        <v>11335</v>
      </c>
      <c r="O945" s="130" t="s">
        <v>21158</v>
      </c>
      <c r="P945" s="153" t="s">
        <v>21159</v>
      </c>
      <c r="Q945" s="14">
        <v>5290769.0</v>
      </c>
      <c r="R945" s="95"/>
      <c r="S945" s="154" t="s">
        <v>34059</v>
      </c>
      <c r="T945" s="84"/>
      <c r="U945" s="84"/>
      <c r="V945" s="84"/>
      <c r="W945" s="84"/>
      <c r="X945" s="84"/>
      <c r="Y945" s="84"/>
      <c r="Z945" s="84"/>
      <c r="AA945" s="84"/>
      <c r="AB945" s="84"/>
      <c r="AC945" s="84"/>
    </row>
    <row r="946" ht="15.75" customHeight="1">
      <c r="A946" s="14" t="s">
        <v>17</v>
      </c>
      <c r="B946" s="14">
        <v>2009.0</v>
      </c>
      <c r="C946" s="14" t="s">
        <v>21160</v>
      </c>
      <c r="D946" s="14" t="s">
        <v>21161</v>
      </c>
      <c r="E946" s="150" t="str">
        <f t="shared" si="13"/>
        <v>http://dx.doi.org/10.1109/TVCG.2009.177</v>
      </c>
      <c r="F946" s="14">
        <v>1415.0</v>
      </c>
      <c r="G946" s="14">
        <v>1424.0</v>
      </c>
      <c r="H946" s="151"/>
      <c r="I946" s="14" t="s">
        <v>17059</v>
      </c>
      <c r="J946" s="14" t="s">
        <v>21162</v>
      </c>
      <c r="K946" s="14" t="s">
        <v>34062</v>
      </c>
      <c r="L946" s="152" t="s">
        <v>23010</v>
      </c>
      <c r="M946" s="14" t="s">
        <v>34063</v>
      </c>
      <c r="N946" s="54" t="s">
        <v>34064</v>
      </c>
      <c r="O946" s="130" t="s">
        <v>21166</v>
      </c>
      <c r="P946" s="153" t="s">
        <v>21167</v>
      </c>
      <c r="Q946" s="14">
        <v>5290756.0</v>
      </c>
      <c r="R946" s="95"/>
      <c r="S946" s="154" t="s">
        <v>34065</v>
      </c>
      <c r="T946" s="84"/>
      <c r="U946" s="84"/>
      <c r="V946" s="84"/>
      <c r="W946" s="84"/>
      <c r="X946" s="84"/>
      <c r="Y946" s="84"/>
      <c r="Z946" s="84"/>
      <c r="AA946" s="84"/>
      <c r="AB946" s="84"/>
      <c r="AC946" s="84"/>
    </row>
    <row r="947" ht="15.75" customHeight="1">
      <c r="A947" s="14" t="s">
        <v>17</v>
      </c>
      <c r="B947" s="14">
        <v>2009.0</v>
      </c>
      <c r="C947" s="14" t="s">
        <v>21168</v>
      </c>
      <c r="D947" s="14" t="s">
        <v>21170</v>
      </c>
      <c r="E947" s="150" t="str">
        <f t="shared" si="13"/>
        <v>http://dx.doi.org/10.1109/TVCG.2009.178</v>
      </c>
      <c r="F947" s="14">
        <v>1505.0</v>
      </c>
      <c r="G947" s="14">
        <v>1514.0</v>
      </c>
      <c r="H947" s="151"/>
      <c r="I947" s="14" t="s">
        <v>17059</v>
      </c>
      <c r="J947" s="14" t="s">
        <v>21171</v>
      </c>
      <c r="K947" s="14" t="s">
        <v>34075</v>
      </c>
      <c r="L947" s="152" t="s">
        <v>23021</v>
      </c>
      <c r="M947" s="14" t="s">
        <v>34077</v>
      </c>
      <c r="N947" s="54" t="s">
        <v>34075</v>
      </c>
      <c r="O947" s="130" t="s">
        <v>21176</v>
      </c>
      <c r="P947" s="153" t="s">
        <v>21177</v>
      </c>
      <c r="Q947" s="14">
        <v>5290767.0</v>
      </c>
      <c r="R947" s="95"/>
      <c r="S947" s="154" t="s">
        <v>34078</v>
      </c>
      <c r="T947" s="84"/>
      <c r="U947" s="84"/>
      <c r="V947" s="84"/>
      <c r="W947" s="84"/>
      <c r="X947" s="84"/>
      <c r="Y947" s="84"/>
      <c r="Z947" s="84"/>
      <c r="AA947" s="84"/>
      <c r="AB947" s="84"/>
      <c r="AC947" s="84"/>
    </row>
    <row r="948" ht="15.75" customHeight="1">
      <c r="A948" s="14" t="s">
        <v>17</v>
      </c>
      <c r="B948" s="14">
        <v>2009.0</v>
      </c>
      <c r="C948" s="14" t="s">
        <v>21178</v>
      </c>
      <c r="D948" s="14" t="s">
        <v>21179</v>
      </c>
      <c r="E948" s="150" t="str">
        <f t="shared" si="13"/>
        <v>http://dx.doi.org/10.1109/TVCG.2009.184</v>
      </c>
      <c r="F948" s="14">
        <v>1399.0</v>
      </c>
      <c r="G948" s="14">
        <v>1406.0</v>
      </c>
      <c r="H948" s="151"/>
      <c r="I948" s="14" t="s">
        <v>17059</v>
      </c>
      <c r="J948" s="14" t="s">
        <v>21180</v>
      </c>
      <c r="K948" s="14" t="s">
        <v>34162</v>
      </c>
      <c r="L948" s="152" t="s">
        <v>23086</v>
      </c>
      <c r="M948" s="14" t="s">
        <v>34163</v>
      </c>
      <c r="N948" s="54" t="s">
        <v>34162</v>
      </c>
      <c r="O948" s="130" t="s">
        <v>21183</v>
      </c>
      <c r="P948" s="153" t="s">
        <v>21184</v>
      </c>
      <c r="Q948" s="14">
        <v>5290754.0</v>
      </c>
      <c r="R948" s="95"/>
      <c r="S948" s="154" t="s">
        <v>34165</v>
      </c>
      <c r="T948" s="84"/>
      <c r="U948" s="84"/>
      <c r="V948" s="84"/>
      <c r="W948" s="84"/>
      <c r="X948" s="84"/>
      <c r="Y948" s="84"/>
      <c r="Z948" s="84"/>
      <c r="AA948" s="84"/>
      <c r="AB948" s="84"/>
      <c r="AC948" s="84"/>
    </row>
    <row r="949" ht="15.75" customHeight="1">
      <c r="A949" s="14" t="s">
        <v>17</v>
      </c>
      <c r="B949" s="14">
        <v>2009.0</v>
      </c>
      <c r="C949" s="14" t="s">
        <v>21185</v>
      </c>
      <c r="D949" s="14" t="s">
        <v>21186</v>
      </c>
      <c r="E949" s="150" t="str">
        <f t="shared" si="13"/>
        <v>http://dx.doi.org/10.1109/TVCG.2009.185</v>
      </c>
      <c r="F949" s="14">
        <v>1473.0</v>
      </c>
      <c r="G949" s="14">
        <v>1480.0</v>
      </c>
      <c r="H949" s="151"/>
      <c r="I949" s="14" t="s">
        <v>17059</v>
      </c>
      <c r="J949" s="14" t="s">
        <v>23094</v>
      </c>
      <c r="K949" s="14" t="s">
        <v>34169</v>
      </c>
      <c r="L949" s="152" t="s">
        <v>23095</v>
      </c>
      <c r="M949" s="14" t="s">
        <v>34170</v>
      </c>
      <c r="N949" s="54" t="s">
        <v>34169</v>
      </c>
      <c r="O949" s="130" t="s">
        <v>21193</v>
      </c>
      <c r="P949" s="153" t="s">
        <v>21194</v>
      </c>
      <c r="Q949" s="14">
        <v>5290763.0</v>
      </c>
      <c r="R949" s="95"/>
      <c r="S949" s="154" t="s">
        <v>34171</v>
      </c>
      <c r="T949" s="84"/>
      <c r="U949" s="84"/>
      <c r="V949" s="84"/>
      <c r="W949" s="84"/>
      <c r="X949" s="84"/>
      <c r="Y949" s="84"/>
      <c r="Z949" s="84"/>
      <c r="AA949" s="84"/>
      <c r="AB949" s="84"/>
      <c r="AC949" s="84"/>
    </row>
    <row r="950" ht="15.75" customHeight="1">
      <c r="A950" s="14" t="s">
        <v>17</v>
      </c>
      <c r="B950" s="14">
        <v>2009.0</v>
      </c>
      <c r="C950" s="14" t="s">
        <v>21196</v>
      </c>
      <c r="D950" s="14" t="s">
        <v>21197</v>
      </c>
      <c r="E950" s="150" t="str">
        <f t="shared" si="13"/>
        <v>http://dx.doi.org/10.1109/TVCG.2009.186</v>
      </c>
      <c r="F950" s="14">
        <v>1603.0</v>
      </c>
      <c r="G950" s="14">
        <v>1610.0</v>
      </c>
      <c r="H950" s="151"/>
      <c r="I950" s="14" t="s">
        <v>17059</v>
      </c>
      <c r="J950" s="14" t="s">
        <v>21198</v>
      </c>
      <c r="K950" s="14" t="s">
        <v>34180</v>
      </c>
      <c r="L950" s="152" t="s">
        <v>23105</v>
      </c>
      <c r="M950" s="14" t="s">
        <v>34182</v>
      </c>
      <c r="N950" s="54" t="s">
        <v>34180</v>
      </c>
      <c r="O950" s="130" t="s">
        <v>21201</v>
      </c>
      <c r="P950" s="153" t="s">
        <v>21202</v>
      </c>
      <c r="Q950" s="14">
        <v>5290779.0</v>
      </c>
      <c r="R950" s="95"/>
      <c r="S950" s="154" t="s">
        <v>34187</v>
      </c>
      <c r="T950" s="84"/>
      <c r="U950" s="84"/>
      <c r="V950" s="84"/>
      <c r="W950" s="84"/>
      <c r="X950" s="84"/>
      <c r="Y950" s="84"/>
      <c r="Z950" s="84"/>
      <c r="AA950" s="84"/>
      <c r="AB950" s="84"/>
      <c r="AC950" s="84"/>
    </row>
    <row r="951" ht="15.75" customHeight="1">
      <c r="A951" s="14" t="s">
        <v>17</v>
      </c>
      <c r="B951" s="14">
        <v>2009.0</v>
      </c>
      <c r="C951" s="14" t="s">
        <v>21203</v>
      </c>
      <c r="D951" s="14" t="s">
        <v>21204</v>
      </c>
      <c r="E951" s="150" t="str">
        <f t="shared" si="13"/>
        <v>http://dx.doi.org/10.1109/TVCG.2009.189</v>
      </c>
      <c r="F951" s="14">
        <v>1465.0</v>
      </c>
      <c r="G951" s="14">
        <v>1472.0</v>
      </c>
      <c r="H951" s="151"/>
      <c r="I951" s="14" t="s">
        <v>17059</v>
      </c>
      <c r="J951" s="14" t="s">
        <v>21205</v>
      </c>
      <c r="K951" s="14" t="s">
        <v>34201</v>
      </c>
      <c r="L951" s="152" t="s">
        <v>23155</v>
      </c>
      <c r="M951" s="14" t="s">
        <v>34202</v>
      </c>
      <c r="N951" s="54" t="s">
        <v>34201</v>
      </c>
      <c r="O951" s="130" t="s">
        <v>21206</v>
      </c>
      <c r="P951" s="153" t="s">
        <v>21207</v>
      </c>
      <c r="Q951" s="14">
        <v>5290762.0</v>
      </c>
      <c r="R951" s="95"/>
      <c r="S951" s="154" t="s">
        <v>34203</v>
      </c>
      <c r="T951" s="84"/>
      <c r="U951" s="84"/>
      <c r="V951" s="84"/>
      <c r="W951" s="84"/>
      <c r="X951" s="84"/>
      <c r="Y951" s="84"/>
      <c r="Z951" s="84"/>
      <c r="AA951" s="84"/>
      <c r="AB951" s="84"/>
      <c r="AC951" s="84"/>
    </row>
    <row r="952" ht="15.75" customHeight="1">
      <c r="A952" s="14" t="s">
        <v>17</v>
      </c>
      <c r="B952" s="14">
        <v>2009.0</v>
      </c>
      <c r="C952" s="14" t="s">
        <v>21208</v>
      </c>
      <c r="D952" s="14" t="s">
        <v>21209</v>
      </c>
      <c r="E952" s="150" t="str">
        <f t="shared" si="13"/>
        <v>http://dx.doi.org/10.1109/TVCG.2009.190</v>
      </c>
      <c r="F952" s="14">
        <v>1267.0</v>
      </c>
      <c r="G952" s="14">
        <v>1274.0</v>
      </c>
      <c r="H952" s="151"/>
      <c r="I952" s="14" t="s">
        <v>17059</v>
      </c>
      <c r="J952" s="14" t="s">
        <v>21211</v>
      </c>
      <c r="K952" s="14" t="s">
        <v>34209</v>
      </c>
      <c r="L952" s="152" t="s">
        <v>23178</v>
      </c>
      <c r="M952" s="14" t="s">
        <v>34212</v>
      </c>
      <c r="N952" s="54" t="s">
        <v>34209</v>
      </c>
      <c r="O952" s="130" t="s">
        <v>21215</v>
      </c>
      <c r="P952" s="153" t="s">
        <v>21216</v>
      </c>
      <c r="Q952" s="14">
        <v>5290738.0</v>
      </c>
      <c r="R952" s="95"/>
      <c r="S952" s="154" t="s">
        <v>34214</v>
      </c>
      <c r="T952" s="84"/>
      <c r="U952" s="84"/>
      <c r="V952" s="84"/>
      <c r="W952" s="84"/>
      <c r="X952" s="84"/>
      <c r="Y952" s="84"/>
      <c r="Z952" s="84"/>
      <c r="AA952" s="84"/>
      <c r="AB952" s="84"/>
      <c r="AC952" s="84"/>
    </row>
    <row r="953" ht="15.75" customHeight="1">
      <c r="A953" s="14" t="s">
        <v>17</v>
      </c>
      <c r="B953" s="14">
        <v>2009.0</v>
      </c>
      <c r="C953" s="14" t="s">
        <v>21217</v>
      </c>
      <c r="D953" s="14" t="s">
        <v>21218</v>
      </c>
      <c r="E953" s="150" t="str">
        <f t="shared" si="13"/>
        <v>http://dx.doi.org/10.1109/TVCG.2009.194</v>
      </c>
      <c r="F953" s="14">
        <v>1227.0</v>
      </c>
      <c r="G953" s="14">
        <v>1234.0</v>
      </c>
      <c r="H953" s="151"/>
      <c r="I953" s="14" t="s">
        <v>17059</v>
      </c>
      <c r="J953" s="14" t="s">
        <v>21219</v>
      </c>
      <c r="K953" s="14" t="s">
        <v>34223</v>
      </c>
      <c r="L953" s="152" t="s">
        <v>23182</v>
      </c>
      <c r="M953" s="14" t="s">
        <v>34224</v>
      </c>
      <c r="N953" s="54" t="s">
        <v>34225</v>
      </c>
      <c r="O953" s="130" t="s">
        <v>21223</v>
      </c>
      <c r="P953" s="153" t="s">
        <v>21224</v>
      </c>
      <c r="Q953" s="14">
        <v>5290733.0</v>
      </c>
      <c r="R953" s="95"/>
      <c r="S953" s="154" t="s">
        <v>34226</v>
      </c>
      <c r="T953" s="84"/>
      <c r="U953" s="84"/>
      <c r="V953" s="84"/>
      <c r="W953" s="84"/>
      <c r="X953" s="84"/>
      <c r="Y953" s="84"/>
      <c r="Z953" s="84"/>
      <c r="AA953" s="84"/>
      <c r="AB953" s="84"/>
      <c r="AC953" s="84"/>
    </row>
    <row r="954" ht="15.75" customHeight="1">
      <c r="A954" s="14" t="s">
        <v>17</v>
      </c>
      <c r="B954" s="14">
        <v>2009.0</v>
      </c>
      <c r="C954" s="14" t="s">
        <v>21225</v>
      </c>
      <c r="D954" s="14" t="s">
        <v>21226</v>
      </c>
      <c r="E954" s="150" t="str">
        <f t="shared" si="13"/>
        <v>http://dx.doi.org/10.1109/TVCG.2009.195</v>
      </c>
      <c r="F954" s="14">
        <v>1539.0</v>
      </c>
      <c r="G954" s="14">
        <v>1546.0</v>
      </c>
      <c r="H954" s="151"/>
      <c r="I954" s="14" t="s">
        <v>17059</v>
      </c>
      <c r="J954" s="14" t="s">
        <v>21228</v>
      </c>
      <c r="K954" s="14" t="s">
        <v>34261</v>
      </c>
      <c r="L954" s="152" t="s">
        <v>23185</v>
      </c>
      <c r="M954" s="14" t="s">
        <v>34262</v>
      </c>
      <c r="N954" s="54" t="s">
        <v>34261</v>
      </c>
      <c r="O954" s="130" t="s">
        <v>21233</v>
      </c>
      <c r="P954" s="153" t="s">
        <v>21234</v>
      </c>
      <c r="Q954" s="14">
        <v>5290771.0</v>
      </c>
      <c r="R954" s="95"/>
      <c r="S954" s="154" t="s">
        <v>34280</v>
      </c>
      <c r="T954" s="84"/>
      <c r="U954" s="84"/>
      <c r="V954" s="84"/>
      <c r="W954" s="84"/>
      <c r="X954" s="84"/>
      <c r="Y954" s="84"/>
      <c r="Z954" s="84"/>
      <c r="AA954" s="84"/>
      <c r="AB954" s="84"/>
      <c r="AC954" s="84"/>
    </row>
    <row r="955" ht="15.75" customHeight="1">
      <c r="A955" s="14" t="s">
        <v>17</v>
      </c>
      <c r="B955" s="14">
        <v>2009.0</v>
      </c>
      <c r="C955" s="14" t="s">
        <v>21235</v>
      </c>
      <c r="D955" s="14" t="s">
        <v>21237</v>
      </c>
      <c r="E955" s="150" t="str">
        <f t="shared" si="13"/>
        <v>http://dx.doi.org/10.1109/TVCG.2009.197</v>
      </c>
      <c r="F955" s="14">
        <v>1375.0</v>
      </c>
      <c r="G955" s="14">
        <v>1382.0</v>
      </c>
      <c r="H955" s="151"/>
      <c r="I955" s="14" t="s">
        <v>17059</v>
      </c>
      <c r="J955" s="14" t="s">
        <v>21238</v>
      </c>
      <c r="K955" s="14" t="s">
        <v>34281</v>
      </c>
      <c r="L955" s="152" t="s">
        <v>23191</v>
      </c>
      <c r="M955" s="14" t="s">
        <v>34282</v>
      </c>
      <c r="N955" s="54" t="s">
        <v>34284</v>
      </c>
      <c r="O955" s="130" t="s">
        <v>21242</v>
      </c>
      <c r="P955" s="153" t="s">
        <v>21243</v>
      </c>
      <c r="Q955" s="14">
        <v>5290751.0</v>
      </c>
      <c r="R955" s="95"/>
      <c r="S955" s="154" t="s">
        <v>34288</v>
      </c>
      <c r="T955" s="84"/>
      <c r="U955" s="84"/>
      <c r="V955" s="84"/>
      <c r="W955" s="84"/>
      <c r="X955" s="84"/>
      <c r="Y955" s="84"/>
      <c r="Z955" s="84"/>
      <c r="AA955" s="84"/>
      <c r="AB955" s="84"/>
      <c r="AC955" s="84"/>
    </row>
    <row r="956" ht="15.75" customHeight="1">
      <c r="A956" s="14" t="s">
        <v>17</v>
      </c>
      <c r="B956" s="14">
        <v>2009.0</v>
      </c>
      <c r="C956" s="14" t="s">
        <v>21244</v>
      </c>
      <c r="D956" s="14" t="s">
        <v>21245</v>
      </c>
      <c r="E956" s="150" t="str">
        <f t="shared" si="13"/>
        <v>http://dx.doi.org/10.1109/TVCG.2009.198</v>
      </c>
      <c r="F956" s="14">
        <v>1407.0</v>
      </c>
      <c r="G956" s="14">
        <v>1414.0</v>
      </c>
      <c r="H956" s="151"/>
      <c r="I956" s="14" t="s">
        <v>17059</v>
      </c>
      <c r="J956" s="14" t="s">
        <v>21246</v>
      </c>
      <c r="K956" s="14" t="s">
        <v>34293</v>
      </c>
      <c r="L956" s="152" t="s">
        <v>23193</v>
      </c>
      <c r="M956" s="14" t="s">
        <v>34294</v>
      </c>
      <c r="N956" s="54" t="s">
        <v>34293</v>
      </c>
      <c r="O956" s="130" t="s">
        <v>21249</v>
      </c>
      <c r="P956" s="153" t="s">
        <v>21250</v>
      </c>
      <c r="Q956" s="14">
        <v>5290755.0</v>
      </c>
      <c r="R956" s="95"/>
      <c r="S956" s="154" t="s">
        <v>34295</v>
      </c>
      <c r="T956" s="84"/>
      <c r="U956" s="84"/>
      <c r="V956" s="84"/>
      <c r="W956" s="84"/>
      <c r="X956" s="84"/>
      <c r="Y956" s="84"/>
      <c r="Z956" s="84"/>
      <c r="AA956" s="84"/>
      <c r="AB956" s="84"/>
      <c r="AC956" s="84"/>
    </row>
    <row r="957" ht="15.75" customHeight="1">
      <c r="A957" s="14" t="s">
        <v>17</v>
      </c>
      <c r="B957" s="14">
        <v>2009.0</v>
      </c>
      <c r="C957" s="14" t="s">
        <v>21251</v>
      </c>
      <c r="D957" s="14" t="s">
        <v>21252</v>
      </c>
      <c r="E957" s="150" t="str">
        <f t="shared" si="13"/>
        <v>http://dx.doi.org/10.1109/TVCG.2009.199</v>
      </c>
      <c r="F957" s="14">
        <v>1327.0</v>
      </c>
      <c r="G957" s="14">
        <v>1334.0</v>
      </c>
      <c r="H957" s="151"/>
      <c r="I957" s="14" t="s">
        <v>17059</v>
      </c>
      <c r="J957" s="14" t="s">
        <v>21255</v>
      </c>
      <c r="K957" s="14" t="s">
        <v>34301</v>
      </c>
      <c r="L957" s="152" t="s">
        <v>23196</v>
      </c>
      <c r="M957" s="14" t="s">
        <v>34303</v>
      </c>
      <c r="N957" s="54" t="s">
        <v>34304</v>
      </c>
      <c r="O957" s="130" t="s">
        <v>21259</v>
      </c>
      <c r="P957" s="153" t="s">
        <v>21260</v>
      </c>
      <c r="Q957" s="14">
        <v>5290745.0</v>
      </c>
      <c r="R957" s="95"/>
      <c r="S957" s="154" t="s">
        <v>34307</v>
      </c>
      <c r="T957" s="84"/>
      <c r="U957" s="84"/>
      <c r="V957" s="84"/>
      <c r="W957" s="84"/>
      <c r="X957" s="84"/>
      <c r="Y957" s="84"/>
      <c r="Z957" s="84"/>
      <c r="AA957" s="84"/>
      <c r="AB957" s="84"/>
      <c r="AC957" s="84"/>
    </row>
    <row r="958" ht="15.75" customHeight="1">
      <c r="A958" s="14" t="s">
        <v>17</v>
      </c>
      <c r="B958" s="14">
        <v>2009.0</v>
      </c>
      <c r="C958" s="14" t="s">
        <v>21261</v>
      </c>
      <c r="D958" s="14" t="s">
        <v>21262</v>
      </c>
      <c r="E958" s="150" t="str">
        <f t="shared" si="13"/>
        <v>http://dx.doi.org/10.1109/TVCG.2009.200</v>
      </c>
      <c r="F958" s="14">
        <v>1359.0</v>
      </c>
      <c r="G958" s="14">
        <v>1366.0</v>
      </c>
      <c r="H958" s="151"/>
      <c r="I958" s="14" t="s">
        <v>17059</v>
      </c>
      <c r="J958" s="14" t="s">
        <v>21263</v>
      </c>
      <c r="K958" s="14" t="s">
        <v>21264</v>
      </c>
      <c r="L958" s="152" t="s">
        <v>12159</v>
      </c>
      <c r="M958" s="14" t="s">
        <v>34309</v>
      </c>
      <c r="N958" s="54" t="s">
        <v>21264</v>
      </c>
      <c r="O958" s="130" t="s">
        <v>21267</v>
      </c>
      <c r="P958" s="153" t="s">
        <v>21268</v>
      </c>
      <c r="Q958" s="14">
        <v>5290749.0</v>
      </c>
      <c r="R958" s="95"/>
      <c r="S958" s="154" t="s">
        <v>34314</v>
      </c>
      <c r="T958" s="84"/>
      <c r="U958" s="84"/>
      <c r="V958" s="84"/>
      <c r="W958" s="84"/>
      <c r="X958" s="84"/>
      <c r="Y958" s="84"/>
      <c r="Z958" s="84"/>
      <c r="AA958" s="84"/>
      <c r="AB958" s="84"/>
      <c r="AC958" s="84"/>
    </row>
    <row r="959" ht="15.75" customHeight="1">
      <c r="A959" s="14" t="s">
        <v>17</v>
      </c>
      <c r="B959" s="14">
        <v>2009.0</v>
      </c>
      <c r="C959" s="14" t="s">
        <v>21269</v>
      </c>
      <c r="D959" s="14" t="s">
        <v>21270</v>
      </c>
      <c r="E959" s="150" t="str">
        <f t="shared" si="13"/>
        <v>http://dx.doi.org/10.1109/TVCG.2009.203</v>
      </c>
      <c r="F959" s="14">
        <v>1425.0</v>
      </c>
      <c r="G959" s="14">
        <v>1432.0</v>
      </c>
      <c r="H959" s="151"/>
      <c r="I959" s="14" t="s">
        <v>17059</v>
      </c>
      <c r="J959" s="14" t="s">
        <v>21271</v>
      </c>
      <c r="K959" s="14" t="s">
        <v>34319</v>
      </c>
      <c r="L959" s="152" t="s">
        <v>22075</v>
      </c>
      <c r="M959" s="14" t="s">
        <v>34320</v>
      </c>
      <c r="N959" s="54" t="s">
        <v>34319</v>
      </c>
      <c r="O959" s="130" t="s">
        <v>21275</v>
      </c>
      <c r="P959" s="153" t="s">
        <v>21276</v>
      </c>
      <c r="Q959" s="14">
        <v>5290757.0</v>
      </c>
      <c r="R959" s="95"/>
      <c r="S959" s="154" t="s">
        <v>34321</v>
      </c>
      <c r="T959" s="84"/>
      <c r="U959" s="84"/>
      <c r="V959" s="84"/>
      <c r="W959" s="84"/>
      <c r="X959" s="84"/>
      <c r="Y959" s="84"/>
      <c r="Z959" s="84"/>
      <c r="AA959" s="84"/>
      <c r="AB959" s="84"/>
      <c r="AC959" s="84"/>
    </row>
    <row r="960" ht="15.75" customHeight="1">
      <c r="A960" s="14" t="s">
        <v>17</v>
      </c>
      <c r="B960" s="14">
        <v>2009.0</v>
      </c>
      <c r="C960" s="14" t="s">
        <v>21277</v>
      </c>
      <c r="D960" s="14" t="s">
        <v>21278</v>
      </c>
      <c r="E960" s="150" t="str">
        <f t="shared" si="13"/>
        <v>http://dx.doi.org/10.1109/TVCG.2009.204</v>
      </c>
      <c r="F960" s="14">
        <v>1571.0</v>
      </c>
      <c r="G960" s="14">
        <v>1578.0</v>
      </c>
      <c r="H960" s="151"/>
      <c r="I960" s="14" t="s">
        <v>17059</v>
      </c>
      <c r="J960" s="14" t="s">
        <v>23276</v>
      </c>
      <c r="K960" s="14" t="s">
        <v>34326</v>
      </c>
      <c r="L960" s="152" t="s">
        <v>23277</v>
      </c>
      <c r="M960" s="14" t="s">
        <v>34328</v>
      </c>
      <c r="N960" s="54" t="s">
        <v>34326</v>
      </c>
      <c r="O960" s="130" t="s">
        <v>21285</v>
      </c>
      <c r="P960" s="153" t="s">
        <v>21286</v>
      </c>
      <c r="Q960" s="14">
        <v>5290775.0</v>
      </c>
      <c r="R960" s="95"/>
      <c r="S960" s="154" t="s">
        <v>34330</v>
      </c>
      <c r="T960" s="84"/>
      <c r="U960" s="84"/>
      <c r="V960" s="84"/>
      <c r="W960" s="84"/>
      <c r="X960" s="84"/>
      <c r="Y960" s="84"/>
      <c r="Z960" s="84"/>
      <c r="AA960" s="84"/>
      <c r="AB960" s="84"/>
      <c r="AC960" s="84"/>
    </row>
    <row r="961" ht="15.75" customHeight="1">
      <c r="A961" s="14" t="s">
        <v>2137</v>
      </c>
      <c r="B961" s="14">
        <v>2008.0</v>
      </c>
      <c r="C961" s="14" t="s">
        <v>19030</v>
      </c>
      <c r="D961" s="14" t="s">
        <v>19031</v>
      </c>
      <c r="E961" s="150" t="str">
        <f t="shared" si="13"/>
        <v>http://dx.doi.org/10.1109/TVCG.2008.109</v>
      </c>
      <c r="F961" s="14">
        <v>1149.0</v>
      </c>
      <c r="G961" s="14">
        <v>1156.0</v>
      </c>
      <c r="H961" s="151"/>
      <c r="I961" s="14" t="s">
        <v>17059</v>
      </c>
      <c r="J961" s="14" t="s">
        <v>19032</v>
      </c>
      <c r="K961" s="14" t="s">
        <v>8912</v>
      </c>
      <c r="L961" s="152" t="s">
        <v>20727</v>
      </c>
      <c r="M961" s="14">
        <v>3.787313E10</v>
      </c>
      <c r="N961" s="54" t="s">
        <v>8912</v>
      </c>
      <c r="O961" s="130" t="s">
        <v>19035</v>
      </c>
      <c r="P961" s="153" t="s">
        <v>19036</v>
      </c>
      <c r="Q961" s="14">
        <v>4658124.0</v>
      </c>
      <c r="R961" s="95"/>
      <c r="S961" s="154" t="s">
        <v>34331</v>
      </c>
      <c r="T961" s="84"/>
      <c r="U961" s="84"/>
      <c r="V961" s="84"/>
      <c r="W961" s="84"/>
      <c r="X961" s="84"/>
      <c r="Y961" s="84"/>
      <c r="Z961" s="84"/>
      <c r="AA961" s="84"/>
      <c r="AB961" s="84"/>
      <c r="AC961" s="84"/>
    </row>
    <row r="962" ht="15.75" customHeight="1">
      <c r="A962" s="14" t="s">
        <v>2137</v>
      </c>
      <c r="B962" s="14">
        <v>2008.0</v>
      </c>
      <c r="C962" s="14" t="s">
        <v>19039</v>
      </c>
      <c r="D962" s="14" t="s">
        <v>19040</v>
      </c>
      <c r="E962" s="150" t="str">
        <f t="shared" si="13"/>
        <v>http://dx.doi.org/10.1109/TVCG.2008.114</v>
      </c>
      <c r="F962" s="14">
        <v>1157.0</v>
      </c>
      <c r="G962" s="14">
        <v>1164.0</v>
      </c>
      <c r="H962" s="151"/>
      <c r="I962" s="14" t="s">
        <v>17059</v>
      </c>
      <c r="J962" s="14" t="s">
        <v>19041</v>
      </c>
      <c r="K962" s="14" t="s">
        <v>18102</v>
      </c>
      <c r="L962" s="152" t="s">
        <v>20736</v>
      </c>
      <c r="M962" s="14" t="s">
        <v>34332</v>
      </c>
      <c r="N962" s="54" t="s">
        <v>18102</v>
      </c>
      <c r="O962" s="130" t="s">
        <v>19043</v>
      </c>
      <c r="P962" s="153" t="s">
        <v>19044</v>
      </c>
      <c r="Q962" s="14">
        <v>4658125.0</v>
      </c>
      <c r="R962" s="95"/>
      <c r="S962" s="154" t="s">
        <v>34333</v>
      </c>
      <c r="T962" s="84"/>
      <c r="U962" s="84"/>
      <c r="V962" s="84"/>
      <c r="W962" s="84"/>
      <c r="X962" s="84"/>
      <c r="Y962" s="84"/>
      <c r="Z962" s="84"/>
      <c r="AA962" s="84"/>
      <c r="AB962" s="84"/>
      <c r="AC962" s="84"/>
    </row>
    <row r="963" ht="15.75" customHeight="1">
      <c r="A963" s="14" t="s">
        <v>2137</v>
      </c>
      <c r="B963" s="14">
        <v>2008.0</v>
      </c>
      <c r="C963" s="14" t="s">
        <v>19045</v>
      </c>
      <c r="D963" s="14" t="s">
        <v>19046</v>
      </c>
      <c r="E963" s="150" t="str">
        <f t="shared" si="13"/>
        <v>http://dx.doi.org/10.1109/TVCG.2008.117</v>
      </c>
      <c r="F963" s="14">
        <v>1253.0</v>
      </c>
      <c r="G963" s="14">
        <v>1260.0</v>
      </c>
      <c r="H963" s="151"/>
      <c r="I963" s="14" t="s">
        <v>17059</v>
      </c>
      <c r="J963" s="14" t="s">
        <v>19047</v>
      </c>
      <c r="K963" s="14" t="s">
        <v>34334</v>
      </c>
      <c r="L963" s="152" t="s">
        <v>20744</v>
      </c>
      <c r="M963" s="14" t="s">
        <v>34335</v>
      </c>
      <c r="N963" s="54" t="s">
        <v>34334</v>
      </c>
      <c r="O963" s="130" t="s">
        <v>19051</v>
      </c>
      <c r="P963" s="153" t="s">
        <v>19052</v>
      </c>
      <c r="Q963" s="14">
        <v>4658137.0</v>
      </c>
      <c r="R963" s="95"/>
      <c r="S963" s="154" t="s">
        <v>34336</v>
      </c>
      <c r="T963" s="84"/>
      <c r="U963" s="84"/>
      <c r="V963" s="84"/>
      <c r="W963" s="84"/>
      <c r="X963" s="84"/>
      <c r="Y963" s="84"/>
      <c r="Z963" s="84"/>
      <c r="AA963" s="84"/>
      <c r="AB963" s="84"/>
      <c r="AC963" s="84"/>
    </row>
    <row r="964" ht="15.75" customHeight="1">
      <c r="A964" s="14" t="s">
        <v>2137</v>
      </c>
      <c r="B964" s="14">
        <v>2008.0</v>
      </c>
      <c r="C964" s="14" t="s">
        <v>19054</v>
      </c>
      <c r="D964" s="14" t="s">
        <v>19061</v>
      </c>
      <c r="E964" s="150" t="str">
        <f t="shared" si="13"/>
        <v>http://dx.doi.org/10.1109/TVCG.2008.121</v>
      </c>
      <c r="F964" s="14">
        <v>1173.0</v>
      </c>
      <c r="G964" s="14">
        <v>1180.0</v>
      </c>
      <c r="H964" s="151"/>
      <c r="I964" s="14" t="s">
        <v>17059</v>
      </c>
      <c r="J964" s="14" t="s">
        <v>19063</v>
      </c>
      <c r="K964" s="14" t="s">
        <v>34337</v>
      </c>
      <c r="L964" s="152" t="s">
        <v>20753</v>
      </c>
      <c r="M964" s="14" t="s">
        <v>34338</v>
      </c>
      <c r="N964" s="54" t="s">
        <v>34339</v>
      </c>
      <c r="O964" s="130" t="s">
        <v>19067</v>
      </c>
      <c r="P964" s="153" t="s">
        <v>19068</v>
      </c>
      <c r="Q964" s="14">
        <v>4658127.0</v>
      </c>
      <c r="R964" s="95"/>
      <c r="S964" s="154" t="s">
        <v>34340</v>
      </c>
      <c r="T964" s="84"/>
      <c r="U964" s="84"/>
      <c r="V964" s="84"/>
      <c r="W964" s="84"/>
      <c r="X964" s="84"/>
      <c r="Y964" s="84"/>
      <c r="Z964" s="84"/>
      <c r="AA964" s="84"/>
      <c r="AB964" s="84"/>
      <c r="AC964" s="84"/>
    </row>
    <row r="965" ht="15.75" customHeight="1">
      <c r="A965" s="14" t="s">
        <v>2137</v>
      </c>
      <c r="B965" s="14">
        <v>2008.0</v>
      </c>
      <c r="C965" s="14" t="s">
        <v>19070</v>
      </c>
      <c r="D965" s="14" t="s">
        <v>19071</v>
      </c>
      <c r="E965" s="150" t="str">
        <f t="shared" si="13"/>
        <v>http://dx.doi.org/10.1109/TVCG.2008.125</v>
      </c>
      <c r="F965" s="14">
        <v>1325.0</v>
      </c>
      <c r="G965" s="14">
        <v>1332.0</v>
      </c>
      <c r="H965" s="151"/>
      <c r="I965" s="14" t="s">
        <v>17059</v>
      </c>
      <c r="J965" s="14" t="s">
        <v>19072</v>
      </c>
      <c r="K965" s="14" t="s">
        <v>34341</v>
      </c>
      <c r="L965" s="152" t="s">
        <v>20762</v>
      </c>
      <c r="M965" s="14" t="s">
        <v>34342</v>
      </c>
      <c r="N965" s="54" t="s">
        <v>34341</v>
      </c>
      <c r="O965" s="130" t="s">
        <v>19076</v>
      </c>
      <c r="P965" s="153" t="s">
        <v>19077</v>
      </c>
      <c r="Q965" s="14">
        <v>4658146.0</v>
      </c>
      <c r="R965" s="95"/>
      <c r="S965" s="154" t="s">
        <v>34343</v>
      </c>
      <c r="T965" s="84"/>
      <c r="U965" s="84"/>
      <c r="V965" s="84"/>
      <c r="W965" s="84"/>
      <c r="X965" s="84"/>
      <c r="Y965" s="84"/>
      <c r="Z965" s="84"/>
      <c r="AA965" s="84"/>
      <c r="AB965" s="84"/>
      <c r="AC965" s="84"/>
    </row>
    <row r="966" ht="15.75" customHeight="1">
      <c r="A966" s="14" t="s">
        <v>2137</v>
      </c>
      <c r="B966" s="14">
        <v>2008.0</v>
      </c>
      <c r="C966" s="14" t="s">
        <v>19079</v>
      </c>
      <c r="D966" s="14" t="s">
        <v>19080</v>
      </c>
      <c r="E966" s="150" t="str">
        <f t="shared" si="13"/>
        <v>http://dx.doi.org/10.1109/TVCG.2008.127</v>
      </c>
      <c r="F966" s="14">
        <v>1181.0</v>
      </c>
      <c r="G966" s="14">
        <v>1188.0</v>
      </c>
      <c r="H966" s="151"/>
      <c r="I966" s="14" t="s">
        <v>17059</v>
      </c>
      <c r="J966" s="14" t="s">
        <v>19082</v>
      </c>
      <c r="K966" s="14" t="s">
        <v>34344</v>
      </c>
      <c r="L966" s="152" t="s">
        <v>20766</v>
      </c>
      <c r="M966" s="14" t="s">
        <v>34345</v>
      </c>
      <c r="N966" s="54" t="s">
        <v>34344</v>
      </c>
      <c r="O966" s="130" t="s">
        <v>19085</v>
      </c>
      <c r="P966" s="153" t="s">
        <v>19086</v>
      </c>
      <c r="Q966" s="14">
        <v>4658128.0</v>
      </c>
      <c r="R966" s="95"/>
      <c r="S966" s="154" t="s">
        <v>34346</v>
      </c>
      <c r="T966" s="84"/>
      <c r="U966" s="84"/>
      <c r="V966" s="84"/>
      <c r="W966" s="84"/>
      <c r="X966" s="84"/>
      <c r="Y966" s="84"/>
      <c r="Z966" s="84"/>
      <c r="AA966" s="84"/>
      <c r="AB966" s="84"/>
      <c r="AC966" s="84"/>
    </row>
    <row r="967" ht="15.75" customHeight="1">
      <c r="A967" s="14" t="s">
        <v>2137</v>
      </c>
      <c r="B967" s="14">
        <v>2008.0</v>
      </c>
      <c r="C967" s="14" t="s">
        <v>19087</v>
      </c>
      <c r="D967" s="14" t="s">
        <v>19088</v>
      </c>
      <c r="E967" s="150" t="str">
        <f t="shared" si="13"/>
        <v>http://dx.doi.org/10.1109/TVCG.2008.129</v>
      </c>
      <c r="F967" s="14">
        <v>1309.0</v>
      </c>
      <c r="G967" s="14">
        <v>1316.0</v>
      </c>
      <c r="H967" s="151"/>
      <c r="I967" s="14" t="s">
        <v>17059</v>
      </c>
      <c r="J967" s="14" t="s">
        <v>19090</v>
      </c>
      <c r="K967" s="14" t="s">
        <v>34347</v>
      </c>
      <c r="L967" s="152" t="s">
        <v>20770</v>
      </c>
      <c r="M967" s="14" t="s">
        <v>34348</v>
      </c>
      <c r="N967" s="54" t="s">
        <v>34347</v>
      </c>
      <c r="O967" s="130" t="s">
        <v>19095</v>
      </c>
      <c r="P967" s="153" t="s">
        <v>19096</v>
      </c>
      <c r="Q967" s="14">
        <v>4658144.0</v>
      </c>
      <c r="R967" s="95"/>
      <c r="S967" s="154" t="s">
        <v>34349</v>
      </c>
      <c r="T967" s="84"/>
      <c r="U967" s="84"/>
      <c r="V967" s="84"/>
      <c r="W967" s="84"/>
      <c r="X967" s="84"/>
      <c r="Y967" s="84"/>
      <c r="Z967" s="84"/>
      <c r="AA967" s="84"/>
      <c r="AB967" s="84"/>
      <c r="AC967" s="84"/>
    </row>
    <row r="968" ht="15.75" customHeight="1">
      <c r="A968" s="14" t="s">
        <v>2137</v>
      </c>
      <c r="B968" s="14">
        <v>2008.0</v>
      </c>
      <c r="C968" s="14" t="s">
        <v>19097</v>
      </c>
      <c r="D968" s="14" t="s">
        <v>19098</v>
      </c>
      <c r="E968" s="150" t="str">
        <f t="shared" si="13"/>
        <v>http://dx.doi.org/10.1109/TVCG.2008.130</v>
      </c>
      <c r="F968" s="14">
        <v>1293.0</v>
      </c>
      <c r="G968" s="14">
        <v>1300.0</v>
      </c>
      <c r="H968" s="151"/>
      <c r="I968" s="14" t="s">
        <v>17059</v>
      </c>
      <c r="J968" s="14" t="s">
        <v>19099</v>
      </c>
      <c r="K968" s="14" t="s">
        <v>34350</v>
      </c>
      <c r="L968" s="152" t="s">
        <v>20772</v>
      </c>
      <c r="M968" s="14" t="s">
        <v>34351</v>
      </c>
      <c r="N968" s="54" t="s">
        <v>34350</v>
      </c>
      <c r="O968" s="130" t="s">
        <v>19103</v>
      </c>
      <c r="P968" s="153" t="s">
        <v>19104</v>
      </c>
      <c r="Q968" s="14">
        <v>4658142.0</v>
      </c>
      <c r="R968" s="95"/>
      <c r="S968" s="154" t="s">
        <v>34352</v>
      </c>
      <c r="T968" s="84"/>
      <c r="U968" s="84"/>
      <c r="V968" s="84"/>
      <c r="W968" s="84"/>
      <c r="X968" s="84"/>
      <c r="Y968" s="84"/>
      <c r="Z968" s="84"/>
      <c r="AA968" s="84"/>
      <c r="AB968" s="84"/>
      <c r="AC968" s="84"/>
    </row>
    <row r="969" ht="15.75" customHeight="1">
      <c r="A969" s="14" t="s">
        <v>2137</v>
      </c>
      <c r="B969" s="14">
        <v>2008.0</v>
      </c>
      <c r="C969" s="14" t="s">
        <v>19107</v>
      </c>
      <c r="D969" s="14" t="s">
        <v>19108</v>
      </c>
      <c r="E969" s="150" t="str">
        <f t="shared" si="13"/>
        <v>http://dx.doi.org/10.1109/TVCG.2008.135</v>
      </c>
      <c r="F969" s="14">
        <v>1277.0</v>
      </c>
      <c r="G969" s="14">
        <v>1284.0</v>
      </c>
      <c r="H969" s="151"/>
      <c r="I969" s="14" t="s">
        <v>17059</v>
      </c>
      <c r="J969" s="14" t="s">
        <v>19110</v>
      </c>
      <c r="K969" s="14" t="s">
        <v>19111</v>
      </c>
      <c r="L969" s="152" t="s">
        <v>20782</v>
      </c>
      <c r="M969" s="14" t="s">
        <v>34353</v>
      </c>
      <c r="N969" s="54" t="s">
        <v>19111</v>
      </c>
      <c r="O969" s="130" t="s">
        <v>19113</v>
      </c>
      <c r="P969" s="153" t="s">
        <v>19114</v>
      </c>
      <c r="Q969" s="14">
        <v>4658140.0</v>
      </c>
      <c r="R969" s="95"/>
      <c r="S969" s="154" t="s">
        <v>34354</v>
      </c>
      <c r="T969" s="84"/>
      <c r="U969" s="84"/>
      <c r="V969" s="84"/>
      <c r="W969" s="84"/>
      <c r="X969" s="84"/>
      <c r="Y969" s="84"/>
      <c r="Z969" s="84"/>
      <c r="AA969" s="84"/>
      <c r="AB969" s="84"/>
      <c r="AC969" s="84"/>
    </row>
    <row r="970" ht="15.75" customHeight="1">
      <c r="A970" s="14" t="s">
        <v>2137</v>
      </c>
      <c r="B970" s="14">
        <v>2008.0</v>
      </c>
      <c r="C970" s="14" t="s">
        <v>19115</v>
      </c>
      <c r="D970" s="14" t="s">
        <v>19116</v>
      </c>
      <c r="E970" s="150" t="str">
        <f t="shared" si="13"/>
        <v>http://dx.doi.org/10.1109/TVCG.2008.137</v>
      </c>
      <c r="F970" s="14">
        <v>1189.0</v>
      </c>
      <c r="G970" s="14">
        <v>1196.0</v>
      </c>
      <c r="H970" s="151"/>
      <c r="I970" s="14" t="s">
        <v>17059</v>
      </c>
      <c r="J970" s="14" t="s">
        <v>19117</v>
      </c>
      <c r="K970" s="14" t="s">
        <v>34356</v>
      </c>
      <c r="L970" s="152" t="s">
        <v>20787</v>
      </c>
      <c r="M970" s="14" t="s">
        <v>34357</v>
      </c>
      <c r="N970" s="54" t="s">
        <v>34356</v>
      </c>
      <c r="O970" s="130" t="s">
        <v>19122</v>
      </c>
      <c r="P970" s="153" t="s">
        <v>19123</v>
      </c>
      <c r="Q970" s="14">
        <v>4658129.0</v>
      </c>
      <c r="R970" s="95"/>
      <c r="S970" s="154" t="s">
        <v>34358</v>
      </c>
      <c r="T970" s="84"/>
      <c r="U970" s="84"/>
      <c r="V970" s="84"/>
      <c r="W970" s="84"/>
      <c r="X970" s="84"/>
      <c r="Y970" s="84"/>
      <c r="Z970" s="84"/>
      <c r="AA970" s="84"/>
      <c r="AB970" s="84"/>
      <c r="AC970" s="84"/>
    </row>
    <row r="971" ht="15.75" customHeight="1">
      <c r="A971" s="14" t="s">
        <v>2137</v>
      </c>
      <c r="B971" s="14">
        <v>2008.0</v>
      </c>
      <c r="C971" s="14" t="s">
        <v>19125</v>
      </c>
      <c r="D971" s="14" t="s">
        <v>19126</v>
      </c>
      <c r="E971" s="150" t="str">
        <f t="shared" si="13"/>
        <v>http://dx.doi.org/10.1109/TVCG.2008.138</v>
      </c>
      <c r="F971" s="14">
        <v>1229.0</v>
      </c>
      <c r="G971" s="14">
        <v>1236.0</v>
      </c>
      <c r="H971" s="151"/>
      <c r="I971" s="14" t="s">
        <v>17059</v>
      </c>
      <c r="J971" s="14" t="s">
        <v>19127</v>
      </c>
      <c r="K971" s="14" t="s">
        <v>34359</v>
      </c>
      <c r="L971" s="152" t="s">
        <v>20789</v>
      </c>
      <c r="M971" s="14" t="s">
        <v>34360</v>
      </c>
      <c r="N971" s="54" t="s">
        <v>34359</v>
      </c>
      <c r="O971" s="130" t="s">
        <v>19131</v>
      </c>
      <c r="P971" s="153" t="s">
        <v>19132</v>
      </c>
      <c r="Q971" s="14">
        <v>4658134.0</v>
      </c>
      <c r="R971" s="95"/>
      <c r="S971" s="154" t="s">
        <v>34361</v>
      </c>
      <c r="T971" s="84"/>
      <c r="U971" s="84"/>
      <c r="V971" s="84"/>
      <c r="W971" s="84"/>
      <c r="X971" s="84"/>
      <c r="Y971" s="84"/>
      <c r="Z971" s="84"/>
      <c r="AA971" s="84"/>
      <c r="AB971" s="84"/>
      <c r="AC971" s="84"/>
    </row>
    <row r="972" ht="15.75" customHeight="1">
      <c r="A972" s="14" t="s">
        <v>2137</v>
      </c>
      <c r="B972" s="14">
        <v>2008.0</v>
      </c>
      <c r="C972" s="14" t="s">
        <v>19133</v>
      </c>
      <c r="D972" s="14" t="s">
        <v>19134</v>
      </c>
      <c r="E972" s="150" t="str">
        <f t="shared" si="13"/>
        <v>http://dx.doi.org/10.1109/TVCG.2008.141</v>
      </c>
      <c r="F972" s="14">
        <v>1317.0</v>
      </c>
      <c r="G972" s="14">
        <v>1324.0</v>
      </c>
      <c r="H972" s="151"/>
      <c r="I972" s="14" t="s">
        <v>17059</v>
      </c>
      <c r="J972" s="14" t="s">
        <v>19136</v>
      </c>
      <c r="K972" s="14" t="s">
        <v>34362</v>
      </c>
      <c r="L972" s="152" t="s">
        <v>20796</v>
      </c>
      <c r="M972" s="14" t="s">
        <v>34363</v>
      </c>
      <c r="N972" s="54" t="s">
        <v>34362</v>
      </c>
      <c r="O972" s="130" t="s">
        <v>19141</v>
      </c>
      <c r="P972" s="153" t="s">
        <v>19142</v>
      </c>
      <c r="Q972" s="14">
        <v>4658145.0</v>
      </c>
      <c r="R972" s="95"/>
      <c r="S972" s="154" t="s">
        <v>34364</v>
      </c>
      <c r="T972" s="84"/>
      <c r="U972" s="84"/>
      <c r="V972" s="84"/>
      <c r="W972" s="84"/>
      <c r="X972" s="84"/>
      <c r="Y972" s="84"/>
      <c r="Z972" s="84"/>
      <c r="AA972" s="84"/>
      <c r="AB972" s="84"/>
      <c r="AC972" s="84"/>
    </row>
    <row r="973" ht="15.75" customHeight="1">
      <c r="A973" s="14" t="s">
        <v>2137</v>
      </c>
      <c r="B973" s="14">
        <v>2008.0</v>
      </c>
      <c r="C973" s="14" t="s">
        <v>19143</v>
      </c>
      <c r="D973" s="14" t="s">
        <v>19144</v>
      </c>
      <c r="E973" s="150" t="str">
        <f t="shared" si="13"/>
        <v>http://dx.doi.org/10.1109/TVCG.2008.144</v>
      </c>
      <c r="F973" s="14">
        <v>1340.0</v>
      </c>
      <c r="G973" s="14">
        <v>1347.0</v>
      </c>
      <c r="H973" s="151"/>
      <c r="I973" s="14" t="s">
        <v>17059</v>
      </c>
      <c r="J973" s="14" t="s">
        <v>19145</v>
      </c>
      <c r="K973" s="14" t="s">
        <v>34365</v>
      </c>
      <c r="L973" s="152" t="s">
        <v>20802</v>
      </c>
      <c r="M973" s="14" t="s">
        <v>34366</v>
      </c>
      <c r="N973" s="54" t="s">
        <v>34365</v>
      </c>
      <c r="O973" s="130" t="s">
        <v>19148</v>
      </c>
      <c r="P973" s="153" t="s">
        <v>19149</v>
      </c>
      <c r="Q973" s="14">
        <v>4658148.0</v>
      </c>
      <c r="R973" s="95"/>
      <c r="S973" s="154" t="s">
        <v>34368</v>
      </c>
      <c r="T973" s="84"/>
      <c r="U973" s="84"/>
      <c r="V973" s="84"/>
      <c r="W973" s="84"/>
      <c r="X973" s="84"/>
      <c r="Y973" s="84"/>
      <c r="Z973" s="84"/>
      <c r="AA973" s="84"/>
      <c r="AB973" s="84"/>
      <c r="AC973" s="84"/>
    </row>
    <row r="974" ht="15.75" customHeight="1">
      <c r="A974" s="14" t="s">
        <v>2137</v>
      </c>
      <c r="B974" s="14">
        <v>2008.0</v>
      </c>
      <c r="C974" s="14" t="s">
        <v>19150</v>
      </c>
      <c r="D974" s="14" t="s">
        <v>19152</v>
      </c>
      <c r="E974" s="150" t="str">
        <f t="shared" si="13"/>
        <v>http://dx.doi.org/10.1109/TVCG.2008.149</v>
      </c>
      <c r="F974" s="14">
        <v>1165.0</v>
      </c>
      <c r="G974" s="14">
        <v>1172.0</v>
      </c>
      <c r="H974" s="151"/>
      <c r="I974" s="14" t="s">
        <v>17059</v>
      </c>
      <c r="J974" s="14" t="s">
        <v>19153</v>
      </c>
      <c r="K974" s="14" t="s">
        <v>34369</v>
      </c>
      <c r="L974" s="152" t="s">
        <v>20812</v>
      </c>
      <c r="M974" s="14" t="s">
        <v>34370</v>
      </c>
      <c r="N974" s="54" t="s">
        <v>34369</v>
      </c>
      <c r="O974" s="130" t="s">
        <v>19157</v>
      </c>
      <c r="P974" s="153" t="s">
        <v>19158</v>
      </c>
      <c r="Q974" s="14">
        <v>4658126.0</v>
      </c>
      <c r="R974" s="95"/>
      <c r="S974" s="154" t="s">
        <v>34371</v>
      </c>
      <c r="T974" s="84"/>
      <c r="U974" s="84"/>
      <c r="V974" s="84"/>
      <c r="W974" s="84"/>
      <c r="X974" s="84"/>
      <c r="Y974" s="84"/>
      <c r="Z974" s="84"/>
      <c r="AA974" s="84"/>
      <c r="AB974" s="84"/>
      <c r="AC974" s="84"/>
    </row>
    <row r="975" ht="15.75" customHeight="1">
      <c r="A975" s="14" t="s">
        <v>2137</v>
      </c>
      <c r="B975" s="14">
        <v>2008.0</v>
      </c>
      <c r="C975" s="14" t="s">
        <v>19159</v>
      </c>
      <c r="D975" s="14" t="s">
        <v>19160</v>
      </c>
      <c r="E975" s="150" t="str">
        <f t="shared" si="13"/>
        <v>http://dx.doi.org/10.1109/TVCG.2008.151</v>
      </c>
      <c r="F975" s="14">
        <v>1285.0</v>
      </c>
      <c r="G975" s="14">
        <v>1292.0</v>
      </c>
      <c r="H975" s="151"/>
      <c r="I975" s="14" t="s">
        <v>17059</v>
      </c>
      <c r="J975" s="14" t="s">
        <v>19161</v>
      </c>
      <c r="K975" s="14" t="s">
        <v>34372</v>
      </c>
      <c r="L975" s="152" t="s">
        <v>20832</v>
      </c>
      <c r="M975" s="14" t="s">
        <v>34373</v>
      </c>
      <c r="N975" s="54" t="s">
        <v>34372</v>
      </c>
      <c r="O975" s="130" t="s">
        <v>19165</v>
      </c>
      <c r="P975" s="153" t="s">
        <v>19166</v>
      </c>
      <c r="Q975" s="14">
        <v>4658141.0</v>
      </c>
      <c r="R975" s="95"/>
      <c r="S975" s="154" t="s">
        <v>34374</v>
      </c>
      <c r="T975" s="84"/>
      <c r="U975" s="84"/>
      <c r="V975" s="84"/>
      <c r="W975" s="84"/>
      <c r="X975" s="84"/>
      <c r="Y975" s="84"/>
      <c r="Z975" s="84"/>
      <c r="AA975" s="84"/>
      <c r="AB975" s="84"/>
      <c r="AC975" s="84"/>
    </row>
    <row r="976" ht="15.75" customHeight="1">
      <c r="A976" s="14" t="s">
        <v>2137</v>
      </c>
      <c r="B976" s="14">
        <v>2008.0</v>
      </c>
      <c r="C976" s="14" t="s">
        <v>19167</v>
      </c>
      <c r="D976" s="14" t="s">
        <v>19168</v>
      </c>
      <c r="E976" s="150" t="str">
        <f t="shared" si="13"/>
        <v>http://dx.doi.org/10.1109/TVCG.2008.152</v>
      </c>
      <c r="F976" s="14">
        <v>1237.0</v>
      </c>
      <c r="G976" s="14">
        <v>1244.0</v>
      </c>
      <c r="H976" s="151"/>
      <c r="I976" s="14" t="s">
        <v>17059</v>
      </c>
      <c r="J976" s="14" t="s">
        <v>19169</v>
      </c>
      <c r="K976" s="14" t="s">
        <v>34375</v>
      </c>
      <c r="L976" s="152" t="s">
        <v>20850</v>
      </c>
      <c r="M976" s="14" t="s">
        <v>34376</v>
      </c>
      <c r="N976" s="54" t="s">
        <v>34375</v>
      </c>
      <c r="O976" s="130" t="s">
        <v>19172</v>
      </c>
      <c r="P976" s="153" t="s">
        <v>19173</v>
      </c>
      <c r="Q976" s="14">
        <v>4658135.0</v>
      </c>
      <c r="R976" s="95"/>
      <c r="S976" s="154" t="s">
        <v>34377</v>
      </c>
      <c r="T976" s="84"/>
      <c r="U976" s="84"/>
      <c r="V976" s="84"/>
      <c r="W976" s="84"/>
      <c r="X976" s="84"/>
      <c r="Y976" s="84"/>
      <c r="Z976" s="84"/>
      <c r="AA976" s="84"/>
      <c r="AB976" s="84"/>
      <c r="AC976" s="84"/>
    </row>
    <row r="977" ht="15.75" customHeight="1">
      <c r="A977" s="14" t="s">
        <v>2137</v>
      </c>
      <c r="B977" s="14">
        <v>2008.0</v>
      </c>
      <c r="C977" s="14" t="s">
        <v>19180</v>
      </c>
      <c r="D977" s="14" t="s">
        <v>19181</v>
      </c>
      <c r="E977" s="150" t="str">
        <f t="shared" si="13"/>
        <v>http://dx.doi.org/10.1109/TVCG.2008.155</v>
      </c>
      <c r="F977" s="14">
        <v>1333.0</v>
      </c>
      <c r="G977" s="14">
        <v>1339.0</v>
      </c>
      <c r="H977" s="151"/>
      <c r="I977" s="14" t="s">
        <v>17059</v>
      </c>
      <c r="J977" s="14" t="s">
        <v>19182</v>
      </c>
      <c r="K977" s="14" t="s">
        <v>34378</v>
      </c>
      <c r="L977" s="152" t="s">
        <v>20914</v>
      </c>
      <c r="M977" s="14" t="s">
        <v>34379</v>
      </c>
      <c r="N977" s="54" t="s">
        <v>34378</v>
      </c>
      <c r="O977" s="130" t="s">
        <v>19186</v>
      </c>
      <c r="P977" s="153" t="s">
        <v>19187</v>
      </c>
      <c r="Q977" s="14">
        <v>4658147.0</v>
      </c>
      <c r="R977" s="95"/>
      <c r="S977" s="154" t="s">
        <v>34381</v>
      </c>
      <c r="T977" s="84"/>
      <c r="U977" s="84"/>
      <c r="V977" s="84"/>
      <c r="W977" s="84"/>
      <c r="X977" s="84"/>
      <c r="Y977" s="84"/>
      <c r="Z977" s="84"/>
      <c r="AA977" s="84"/>
      <c r="AB977" s="84"/>
      <c r="AC977" s="84"/>
    </row>
    <row r="978" ht="15.75" customHeight="1">
      <c r="A978" s="14" t="s">
        <v>2137</v>
      </c>
      <c r="B978" s="14">
        <v>2008.0</v>
      </c>
      <c r="C978" s="14" t="s">
        <v>19188</v>
      </c>
      <c r="D978" s="14" t="s">
        <v>19189</v>
      </c>
      <c r="E978" s="150" t="str">
        <f t="shared" si="13"/>
        <v>http://dx.doi.org/10.1109/TVCG.2008.158</v>
      </c>
      <c r="F978" s="14">
        <v>1301.0</v>
      </c>
      <c r="G978" s="14">
        <v>1308.0</v>
      </c>
      <c r="H978" s="151"/>
      <c r="I978" s="14" t="s">
        <v>17059</v>
      </c>
      <c r="J978" s="14" t="s">
        <v>19190</v>
      </c>
      <c r="K978" s="14" t="s">
        <v>34382</v>
      </c>
      <c r="L978" s="152" t="s">
        <v>20944</v>
      </c>
      <c r="M978" s="14" t="s">
        <v>34383</v>
      </c>
      <c r="N978" s="54" t="s">
        <v>34382</v>
      </c>
      <c r="O978" s="130" t="s">
        <v>19193</v>
      </c>
      <c r="P978" s="153" t="s">
        <v>19194</v>
      </c>
      <c r="Q978" s="14">
        <v>4658143.0</v>
      </c>
      <c r="R978" s="95"/>
      <c r="S978" s="154" t="s">
        <v>34384</v>
      </c>
      <c r="T978" s="84"/>
      <c r="U978" s="84"/>
      <c r="V978" s="84"/>
      <c r="W978" s="84"/>
      <c r="X978" s="84"/>
      <c r="Y978" s="84"/>
      <c r="Z978" s="84"/>
      <c r="AA978" s="84"/>
      <c r="AB978" s="84"/>
      <c r="AC978" s="84"/>
    </row>
    <row r="979" ht="15.75" customHeight="1">
      <c r="A979" s="14" t="s">
        <v>2137</v>
      </c>
      <c r="B979" s="14">
        <v>2008.0</v>
      </c>
      <c r="C979" s="14" t="s">
        <v>19174</v>
      </c>
      <c r="D979" s="14" t="s">
        <v>19175</v>
      </c>
      <c r="E979" s="150" t="str">
        <f t="shared" si="13"/>
        <v>http://dx.doi.org/10.1109/TVCG.2008.153</v>
      </c>
      <c r="F979" s="95">
        <v>1141.0</v>
      </c>
      <c r="G979" s="14">
        <v>1148.0</v>
      </c>
      <c r="H979" s="151"/>
      <c r="I979" s="14" t="s">
        <v>17059</v>
      </c>
      <c r="J979" s="14" t="s">
        <v>19176</v>
      </c>
      <c r="K979" s="14" t="s">
        <v>34386</v>
      </c>
      <c r="L979" s="152" t="s">
        <v>20875</v>
      </c>
      <c r="M979" s="14" t="s">
        <v>34387</v>
      </c>
      <c r="N979" s="54" t="s">
        <v>34386</v>
      </c>
      <c r="O979" s="130" t="s">
        <v>19178</v>
      </c>
      <c r="P979" s="153" t="s">
        <v>19179</v>
      </c>
      <c r="Q979" s="14">
        <v>4658123.0</v>
      </c>
      <c r="R979" s="95"/>
      <c r="S979" s="154" t="s">
        <v>34388</v>
      </c>
      <c r="T979" s="84"/>
      <c r="U979" s="84"/>
      <c r="V979" s="84"/>
      <c r="W979" s="84"/>
      <c r="X979" s="84"/>
      <c r="Y979" s="84"/>
      <c r="Z979" s="84"/>
      <c r="AA979" s="84"/>
      <c r="AB979" s="84"/>
      <c r="AC979" s="84"/>
    </row>
    <row r="980" ht="15.75" customHeight="1">
      <c r="A980" s="14" t="s">
        <v>2137</v>
      </c>
      <c r="B980" s="14">
        <v>2008.0</v>
      </c>
      <c r="C980" s="14" t="s">
        <v>19195</v>
      </c>
      <c r="D980" s="14" t="s">
        <v>19196</v>
      </c>
      <c r="E980" s="150" t="str">
        <f t="shared" si="13"/>
        <v>http://dx.doi.org/10.1109/TVCG.2008.165</v>
      </c>
      <c r="F980" s="14">
        <v>1348.0</v>
      </c>
      <c r="G980" s="14">
        <v>1355.0</v>
      </c>
      <c r="H980" s="151"/>
      <c r="I980" s="14" t="s">
        <v>17059</v>
      </c>
      <c r="J980" s="14" t="s">
        <v>19197</v>
      </c>
      <c r="K980" s="14" t="s">
        <v>34389</v>
      </c>
      <c r="L980" s="152" t="s">
        <v>21059</v>
      </c>
      <c r="M980" s="14" t="s">
        <v>34390</v>
      </c>
      <c r="N980" s="54" t="s">
        <v>34389</v>
      </c>
      <c r="O980" s="130" t="s">
        <v>19200</v>
      </c>
      <c r="P980" s="153" t="s">
        <v>19201</v>
      </c>
      <c r="Q980" s="14">
        <v>4658149.0</v>
      </c>
      <c r="R980" s="95"/>
      <c r="S980" s="154" t="s">
        <v>34391</v>
      </c>
      <c r="T980" s="84"/>
      <c r="U980" s="84"/>
      <c r="V980" s="84"/>
      <c r="W980" s="84"/>
      <c r="X980" s="84"/>
      <c r="Y980" s="84"/>
      <c r="Z980" s="84"/>
      <c r="AA980" s="84"/>
      <c r="AB980" s="84"/>
      <c r="AC980" s="84"/>
    </row>
    <row r="981" ht="15.75" customHeight="1">
      <c r="A981" s="14" t="s">
        <v>2137</v>
      </c>
      <c r="B981" s="14">
        <v>2008.0</v>
      </c>
      <c r="C981" s="14" t="s">
        <v>19203</v>
      </c>
      <c r="D981" s="14" t="s">
        <v>19204</v>
      </c>
      <c r="E981" s="150" t="str">
        <f t="shared" si="13"/>
        <v>http://dx.doi.org/10.1109/TVCG.2008.166</v>
      </c>
      <c r="F981" s="14">
        <v>1245.0</v>
      </c>
      <c r="G981" s="14">
        <v>1252.0</v>
      </c>
      <c r="H981" s="151"/>
      <c r="I981" s="14" t="s">
        <v>17059</v>
      </c>
      <c r="J981" s="14" t="s">
        <v>19205</v>
      </c>
      <c r="K981" s="14" t="s">
        <v>34392</v>
      </c>
      <c r="L981" s="152" t="s">
        <v>21077</v>
      </c>
      <c r="M981" s="14" t="s">
        <v>34393</v>
      </c>
      <c r="N981" s="54" t="s">
        <v>34392</v>
      </c>
      <c r="O981" s="130" t="s">
        <v>19208</v>
      </c>
      <c r="P981" s="153" t="s">
        <v>19209</v>
      </c>
      <c r="Q981" s="14">
        <v>4658136.0</v>
      </c>
      <c r="R981" s="95"/>
      <c r="S981" s="154" t="s">
        <v>34394</v>
      </c>
      <c r="T981" s="84"/>
      <c r="U981" s="84"/>
      <c r="V981" s="84"/>
      <c r="W981" s="84"/>
      <c r="X981" s="84"/>
      <c r="Y981" s="84"/>
      <c r="Z981" s="84"/>
      <c r="AA981" s="84"/>
      <c r="AB981" s="84"/>
      <c r="AC981" s="84"/>
    </row>
    <row r="982" ht="15.75" customHeight="1">
      <c r="A982" s="14" t="s">
        <v>2137</v>
      </c>
      <c r="B982" s="14">
        <v>2008.0</v>
      </c>
      <c r="C982" s="14" t="s">
        <v>19210</v>
      </c>
      <c r="D982" s="14" t="s">
        <v>19211</v>
      </c>
      <c r="E982" s="150" t="str">
        <f t="shared" si="13"/>
        <v>http://dx.doi.org/10.1109/TVCG.2008.171</v>
      </c>
      <c r="F982" s="14">
        <v>1269.0</v>
      </c>
      <c r="G982" s="14">
        <v>1276.0</v>
      </c>
      <c r="H982" s="151"/>
      <c r="I982" s="14" t="s">
        <v>17059</v>
      </c>
      <c r="J982" s="14" t="s">
        <v>19212</v>
      </c>
      <c r="K982" s="14" t="s">
        <v>31773</v>
      </c>
      <c r="L982" s="152" t="s">
        <v>21169</v>
      </c>
      <c r="M982" s="14" t="s">
        <v>31774</v>
      </c>
      <c r="N982" s="54" t="s">
        <v>31773</v>
      </c>
      <c r="O982" s="130" t="s">
        <v>19215</v>
      </c>
      <c r="P982" s="153" t="s">
        <v>19216</v>
      </c>
      <c r="Q982" s="14">
        <v>4658138.0</v>
      </c>
      <c r="R982" s="95"/>
      <c r="S982" s="154" t="s">
        <v>34396</v>
      </c>
      <c r="T982" s="84"/>
      <c r="U982" s="84"/>
      <c r="V982" s="84"/>
      <c r="W982" s="84"/>
      <c r="X982" s="84"/>
      <c r="Y982" s="84"/>
      <c r="Z982" s="84"/>
      <c r="AA982" s="84"/>
      <c r="AB982" s="84"/>
      <c r="AC982" s="84"/>
    </row>
    <row r="983" ht="15.75" customHeight="1">
      <c r="A983" s="14" t="s">
        <v>2137</v>
      </c>
      <c r="B983" s="14">
        <v>2008.0</v>
      </c>
      <c r="C983" s="14" t="s">
        <v>19218</v>
      </c>
      <c r="D983" s="14" t="s">
        <v>19219</v>
      </c>
      <c r="E983" s="150" t="str">
        <f t="shared" si="13"/>
        <v>http://dx.doi.org/10.1109/TVCG.2008.172</v>
      </c>
      <c r="F983" s="14">
        <v>1221.0</v>
      </c>
      <c r="G983" s="14">
        <v>1228.0</v>
      </c>
      <c r="H983" s="151"/>
      <c r="I983" s="14" t="s">
        <v>17059</v>
      </c>
      <c r="J983" s="14" t="s">
        <v>19221</v>
      </c>
      <c r="K983" s="14" t="s">
        <v>34397</v>
      </c>
      <c r="L983" s="152" t="s">
        <v>21190</v>
      </c>
      <c r="M983" s="14" t="s">
        <v>34398</v>
      </c>
      <c r="N983" s="54" t="s">
        <v>34397</v>
      </c>
      <c r="O983" s="130" t="s">
        <v>19223</v>
      </c>
      <c r="P983" s="153" t="s">
        <v>19224</v>
      </c>
      <c r="Q983" s="14">
        <v>4658133.0</v>
      </c>
      <c r="R983" s="95"/>
      <c r="S983" s="154" t="s">
        <v>34400</v>
      </c>
      <c r="T983" s="84"/>
      <c r="U983" s="84"/>
      <c r="V983" s="84"/>
      <c r="W983" s="84"/>
      <c r="X983" s="84"/>
      <c r="Y983" s="84"/>
      <c r="Z983" s="84"/>
      <c r="AA983" s="84"/>
      <c r="AB983" s="84"/>
      <c r="AC983" s="84"/>
    </row>
    <row r="984" ht="15.75" customHeight="1">
      <c r="A984" s="14" t="s">
        <v>2137</v>
      </c>
      <c r="B984" s="14">
        <v>2008.0</v>
      </c>
      <c r="C984" s="14" t="s">
        <v>19225</v>
      </c>
      <c r="D984" s="14" t="s">
        <v>19226</v>
      </c>
      <c r="E984" s="150" t="str">
        <f t="shared" si="13"/>
        <v>http://dx.doi.org/10.1109/TVCG.2008.175</v>
      </c>
      <c r="F984" s="14">
        <v>1205.0</v>
      </c>
      <c r="G984" s="14">
        <v>1212.0</v>
      </c>
      <c r="H984" s="151"/>
      <c r="I984" s="14" t="s">
        <v>17059</v>
      </c>
      <c r="J984" s="14" t="s">
        <v>19227</v>
      </c>
      <c r="K984" s="14" t="s">
        <v>34401</v>
      </c>
      <c r="L984" s="152" t="s">
        <v>21254</v>
      </c>
      <c r="M984" s="14" t="s">
        <v>34402</v>
      </c>
      <c r="N984" s="54" t="s">
        <v>34401</v>
      </c>
      <c r="O984" s="130" t="s">
        <v>19231</v>
      </c>
      <c r="P984" s="153" t="s">
        <v>19232</v>
      </c>
      <c r="Q984" s="14">
        <v>4658131.0</v>
      </c>
      <c r="R984" s="95"/>
      <c r="S984" s="154" t="s">
        <v>34403</v>
      </c>
      <c r="T984" s="84"/>
      <c r="U984" s="84"/>
      <c r="V984" s="84"/>
      <c r="W984" s="84"/>
      <c r="X984" s="84"/>
      <c r="Y984" s="84"/>
      <c r="Z984" s="84"/>
      <c r="AA984" s="84"/>
      <c r="AB984" s="84"/>
      <c r="AC984" s="84"/>
    </row>
    <row r="985" ht="15.75" customHeight="1">
      <c r="A985" s="14" t="s">
        <v>2137</v>
      </c>
      <c r="B985" s="14">
        <v>2008.0</v>
      </c>
      <c r="C985" s="14" t="s">
        <v>19233</v>
      </c>
      <c r="D985" s="14" t="s">
        <v>19234</v>
      </c>
      <c r="E985" s="150" t="str">
        <f t="shared" si="13"/>
        <v>http://dx.doi.org/10.1109/TVCG.2008.178</v>
      </c>
      <c r="F985" s="14">
        <v>1213.0</v>
      </c>
      <c r="G985" s="14">
        <v>1220.0</v>
      </c>
      <c r="H985" s="151"/>
      <c r="I985" s="14" t="s">
        <v>17059</v>
      </c>
      <c r="J985" s="14" t="s">
        <v>19236</v>
      </c>
      <c r="K985" s="14" t="s">
        <v>34404</v>
      </c>
      <c r="L985" s="152" t="s">
        <v>21305</v>
      </c>
      <c r="M985" s="14" t="s">
        <v>34405</v>
      </c>
      <c r="N985" s="54" t="s">
        <v>34404</v>
      </c>
      <c r="O985" s="130" t="s">
        <v>19239</v>
      </c>
      <c r="P985" s="153" t="s">
        <v>19240</v>
      </c>
      <c r="Q985" s="14">
        <v>4658132.0</v>
      </c>
      <c r="R985" s="95"/>
      <c r="S985" s="154" t="s">
        <v>34406</v>
      </c>
      <c r="T985" s="84"/>
      <c r="U985" s="84"/>
      <c r="V985" s="84"/>
      <c r="W985" s="84"/>
      <c r="X985" s="84"/>
      <c r="Y985" s="84"/>
      <c r="Z985" s="84"/>
      <c r="AA985" s="84"/>
      <c r="AB985" s="84"/>
      <c r="AC985" s="84"/>
    </row>
    <row r="986" ht="15.75" customHeight="1">
      <c r="A986" s="14" t="s">
        <v>2137</v>
      </c>
      <c r="B986" s="14">
        <v>2008.0</v>
      </c>
      <c r="C986" s="14" t="s">
        <v>19242</v>
      </c>
      <c r="D986" s="14" t="s">
        <v>19243</v>
      </c>
      <c r="E986" s="150" t="str">
        <f t="shared" si="13"/>
        <v>http://dx.doi.org/10.1109/TVCG.2008.181</v>
      </c>
      <c r="F986" s="14">
        <v>1356.0</v>
      </c>
      <c r="G986" s="14">
        <v>1363.0</v>
      </c>
      <c r="H986" s="151"/>
      <c r="I986" s="14" t="s">
        <v>17059</v>
      </c>
      <c r="J986" s="14" t="s">
        <v>19244</v>
      </c>
      <c r="K986" s="14" t="s">
        <v>34407</v>
      </c>
      <c r="L986" s="152" t="s">
        <v>21366</v>
      </c>
      <c r="M986" s="14" t="s">
        <v>34408</v>
      </c>
      <c r="N986" s="54" t="s">
        <v>34407</v>
      </c>
      <c r="O986" s="130"/>
      <c r="P986" s="153" t="s">
        <v>19248</v>
      </c>
      <c r="Q986" s="14">
        <v>4658150.0</v>
      </c>
      <c r="R986" s="95"/>
      <c r="S986" s="154"/>
      <c r="T986" s="84"/>
      <c r="U986" s="84"/>
      <c r="V986" s="84"/>
      <c r="W986" s="84"/>
      <c r="X986" s="84"/>
      <c r="Y986" s="84"/>
      <c r="Z986" s="84"/>
      <c r="AA986" s="84"/>
      <c r="AB986" s="84"/>
      <c r="AC986" s="84"/>
    </row>
    <row r="987" ht="15.75" customHeight="1">
      <c r="A987" s="14" t="s">
        <v>2137</v>
      </c>
      <c r="B987" s="14">
        <v>2008.0</v>
      </c>
      <c r="C987" s="14" t="s">
        <v>19249</v>
      </c>
      <c r="D987" s="14" t="s">
        <v>19250</v>
      </c>
      <c r="E987" s="150" t="str">
        <f t="shared" si="13"/>
        <v>http://dx.doi.org/10.1109/TVCG.2008.185</v>
      </c>
      <c r="F987" s="14">
        <v>1261.0</v>
      </c>
      <c r="G987" s="14">
        <v>1268.0</v>
      </c>
      <c r="H987" s="151"/>
      <c r="I987" s="14" t="s">
        <v>17059</v>
      </c>
      <c r="J987" s="14" t="s">
        <v>19252</v>
      </c>
      <c r="K987" s="14" t="s">
        <v>34409</v>
      </c>
      <c r="L987" s="152" t="s">
        <v>21417</v>
      </c>
      <c r="M987" s="14" t="s">
        <v>34410</v>
      </c>
      <c r="N987" s="54" t="s">
        <v>34409</v>
      </c>
      <c r="O987" s="130" t="s">
        <v>19256</v>
      </c>
      <c r="P987" s="153" t="s">
        <v>19257</v>
      </c>
      <c r="Q987" s="14">
        <v>4658139.0</v>
      </c>
      <c r="R987" s="95"/>
      <c r="S987" s="154" t="s">
        <v>34411</v>
      </c>
      <c r="T987" s="84"/>
      <c r="U987" s="84"/>
      <c r="V987" s="84"/>
      <c r="W987" s="84"/>
      <c r="X987" s="84"/>
      <c r="Y987" s="84"/>
      <c r="Z987" s="84"/>
      <c r="AA987" s="84"/>
      <c r="AB987" s="84"/>
      <c r="AC987" s="84"/>
    </row>
    <row r="988" ht="15.75" customHeight="1">
      <c r="A988" s="14" t="s">
        <v>2137</v>
      </c>
      <c r="B988" s="14">
        <v>2008.0</v>
      </c>
      <c r="C988" s="14" t="s">
        <v>19258</v>
      </c>
      <c r="D988" s="14" t="s">
        <v>19259</v>
      </c>
      <c r="E988" s="150" t="str">
        <f t="shared" si="13"/>
        <v>http://dx.doi.org/10.1109/TVCG.2008.187</v>
      </c>
      <c r="F988" s="14">
        <v>1197.0</v>
      </c>
      <c r="G988" s="14">
        <v>1204.0</v>
      </c>
      <c r="H988" s="151"/>
      <c r="I988" s="14" t="s">
        <v>17059</v>
      </c>
      <c r="J988" s="14" t="s">
        <v>19260</v>
      </c>
      <c r="K988" s="14" t="s">
        <v>34412</v>
      </c>
      <c r="L988" s="152" t="s">
        <v>21444</v>
      </c>
      <c r="M988" s="14" t="s">
        <v>34413</v>
      </c>
      <c r="N988" s="54" t="s">
        <v>34412</v>
      </c>
      <c r="O988" s="130" t="s">
        <v>19264</v>
      </c>
      <c r="P988" s="153" t="s">
        <v>19265</v>
      </c>
      <c r="Q988" s="14">
        <v>4658130.0</v>
      </c>
      <c r="R988" s="95"/>
      <c r="S988" s="154" t="s">
        <v>34414</v>
      </c>
      <c r="T988" s="84"/>
      <c r="U988" s="84"/>
      <c r="V988" s="84"/>
      <c r="W988" s="84"/>
      <c r="X988" s="84"/>
      <c r="Y988" s="84"/>
      <c r="Z988" s="84"/>
      <c r="AA988" s="84"/>
      <c r="AB988" s="84"/>
      <c r="AC988" s="84"/>
    </row>
    <row r="989" ht="15.75" customHeight="1">
      <c r="A989" s="14" t="s">
        <v>120</v>
      </c>
      <c r="B989" s="14">
        <v>2008.0</v>
      </c>
      <c r="C989" s="14" t="s">
        <v>19488</v>
      </c>
      <c r="D989" s="14" t="s">
        <v>19489</v>
      </c>
      <c r="E989" s="150" t="str">
        <f t="shared" si="13"/>
        <v>http://dx.doi.org/10.1109/VAST.2008.4677380</v>
      </c>
      <c r="F989" s="14">
        <v>189.0</v>
      </c>
      <c r="G989" s="14">
        <v>190.0</v>
      </c>
      <c r="H989" s="159" t="s">
        <v>30659</v>
      </c>
      <c r="I989" s="14" t="s">
        <v>21</v>
      </c>
      <c r="J989" s="14" t="s">
        <v>19490</v>
      </c>
      <c r="K989" s="14" t="s">
        <v>34415</v>
      </c>
      <c r="L989" s="152" t="s">
        <v>21964</v>
      </c>
      <c r="M989" s="14" t="s">
        <v>34416</v>
      </c>
      <c r="N989" s="54" t="s">
        <v>34415</v>
      </c>
      <c r="O989" s="130"/>
      <c r="P989" s="16"/>
      <c r="Q989" s="14">
        <v>4677380.0</v>
      </c>
      <c r="R989" s="95"/>
      <c r="S989" s="154"/>
      <c r="T989" s="84"/>
      <c r="U989" s="84"/>
      <c r="V989" s="84"/>
      <c r="W989" s="84"/>
      <c r="X989" s="84"/>
      <c r="Y989" s="84"/>
      <c r="Z989" s="84"/>
      <c r="AA989" s="84"/>
      <c r="AB989" s="84"/>
      <c r="AC989" s="84"/>
    </row>
    <row r="990" ht="15.75" customHeight="1">
      <c r="A990" s="14" t="s">
        <v>120</v>
      </c>
      <c r="B990" s="14">
        <v>2008.0</v>
      </c>
      <c r="C990" s="14" t="s">
        <v>19448</v>
      </c>
      <c r="D990" s="14" t="s">
        <v>19449</v>
      </c>
      <c r="E990" s="150" t="str">
        <f t="shared" si="13"/>
        <v>http://dx.doi.org/10.1109/VAST.2008.4677374</v>
      </c>
      <c r="F990" s="14">
        <v>177.0</v>
      </c>
      <c r="G990" s="14">
        <v>178.0</v>
      </c>
      <c r="H990" s="159" t="s">
        <v>30659</v>
      </c>
      <c r="I990" s="14" t="s">
        <v>21</v>
      </c>
      <c r="J990" s="14" t="s">
        <v>19450</v>
      </c>
      <c r="K990" s="14" t="s">
        <v>8917</v>
      </c>
      <c r="L990" s="152" t="s">
        <v>21845</v>
      </c>
      <c r="M990" s="14">
        <v>3.76462905E10</v>
      </c>
      <c r="N990" s="54" t="s">
        <v>8917</v>
      </c>
      <c r="O990" s="130"/>
      <c r="P990" s="16"/>
      <c r="Q990" s="14">
        <v>4677374.0</v>
      </c>
      <c r="R990" s="95"/>
      <c r="S990" s="154"/>
      <c r="T990" s="84"/>
      <c r="U990" s="84"/>
      <c r="V990" s="84"/>
      <c r="W990" s="84"/>
      <c r="X990" s="84"/>
      <c r="Y990" s="84"/>
      <c r="Z990" s="84"/>
      <c r="AA990" s="84"/>
      <c r="AB990" s="84"/>
      <c r="AC990" s="84"/>
    </row>
    <row r="991" ht="15.75" customHeight="1">
      <c r="A991" s="14" t="s">
        <v>120</v>
      </c>
      <c r="B991" s="14">
        <v>2008.0</v>
      </c>
      <c r="C991" s="14" t="s">
        <v>19464</v>
      </c>
      <c r="D991" s="14" t="s">
        <v>19465</v>
      </c>
      <c r="E991" s="150" t="str">
        <f t="shared" si="13"/>
        <v>http://dx.doi.org/10.1109/VAST.2008.4677377</v>
      </c>
      <c r="F991" s="14">
        <v>183.0</v>
      </c>
      <c r="G991" s="14">
        <v>184.0</v>
      </c>
      <c r="H991" s="159" t="s">
        <v>30659</v>
      </c>
      <c r="I991" s="14" t="s">
        <v>21</v>
      </c>
      <c r="J991" s="14" t="s">
        <v>19466</v>
      </c>
      <c r="K991" s="14" t="s">
        <v>9804</v>
      </c>
      <c r="L991" s="152" t="s">
        <v>21901</v>
      </c>
      <c r="M991" s="14">
        <v>3.754695E10</v>
      </c>
      <c r="N991" s="54" t="s">
        <v>9804</v>
      </c>
      <c r="O991" s="130"/>
      <c r="P991" s="16"/>
      <c r="Q991" s="14">
        <v>4677377.0</v>
      </c>
      <c r="R991" s="95"/>
      <c r="S991" s="154"/>
      <c r="T991" s="84"/>
      <c r="U991" s="84"/>
      <c r="V991" s="84"/>
      <c r="W991" s="84"/>
      <c r="X991" s="84"/>
      <c r="Y991" s="84"/>
      <c r="Z991" s="84"/>
      <c r="AA991" s="84"/>
      <c r="AB991" s="84"/>
      <c r="AC991" s="84"/>
    </row>
    <row r="992" ht="15.75" customHeight="1">
      <c r="A992" s="14" t="s">
        <v>120</v>
      </c>
      <c r="B992" s="14">
        <v>2008.0</v>
      </c>
      <c r="C992" s="14" t="s">
        <v>19353</v>
      </c>
      <c r="D992" s="14" t="s">
        <v>19354</v>
      </c>
      <c r="E992" s="150" t="str">
        <f t="shared" si="13"/>
        <v>http://dx.doi.org/10.1109/VAST.2008.4677363</v>
      </c>
      <c r="F992" s="14">
        <v>107.0</v>
      </c>
      <c r="G992" s="14">
        <v>114.0</v>
      </c>
      <c r="H992" s="151"/>
      <c r="I992" s="14" t="s">
        <v>28</v>
      </c>
      <c r="J992" s="14" t="s">
        <v>19355</v>
      </c>
      <c r="K992" s="14" t="s">
        <v>34417</v>
      </c>
      <c r="L992" s="152" t="s">
        <v>21677</v>
      </c>
      <c r="M992" s="14" t="s">
        <v>34418</v>
      </c>
      <c r="N992" s="54" t="s">
        <v>34417</v>
      </c>
      <c r="O992" s="130"/>
      <c r="P992" s="16"/>
      <c r="Q992" s="14">
        <v>4677363.0</v>
      </c>
      <c r="R992" s="95"/>
      <c r="S992" s="154"/>
      <c r="T992" s="84"/>
      <c r="U992" s="84"/>
      <c r="V992" s="84"/>
      <c r="W992" s="84"/>
      <c r="X992" s="84"/>
      <c r="Y992" s="84"/>
      <c r="Z992" s="84"/>
      <c r="AA992" s="84"/>
      <c r="AB992" s="84"/>
      <c r="AC992" s="84"/>
    </row>
    <row r="993" ht="15.75" customHeight="1">
      <c r="A993" s="14" t="s">
        <v>120</v>
      </c>
      <c r="B993" s="14">
        <v>2008.0</v>
      </c>
      <c r="C993" s="14" t="s">
        <v>19618</v>
      </c>
      <c r="D993" s="14" t="s">
        <v>19619</v>
      </c>
      <c r="E993" s="150" t="str">
        <f t="shared" si="13"/>
        <v>http://dx.doi.org/10.1109/VAST.2008.4677396</v>
      </c>
      <c r="F993" s="14"/>
      <c r="G993" s="14"/>
      <c r="H993" s="159" t="s">
        <v>30659</v>
      </c>
      <c r="I993" s="14" t="s">
        <v>21</v>
      </c>
      <c r="J993" s="14" t="s">
        <v>19620</v>
      </c>
      <c r="K993" s="14" t="s">
        <v>10916</v>
      </c>
      <c r="L993" s="152"/>
      <c r="M993" s="14"/>
      <c r="N993" s="54" t="s">
        <v>10916</v>
      </c>
      <c r="O993" s="130"/>
      <c r="P993" s="16"/>
      <c r="Q993" s="14">
        <v>4677396.0</v>
      </c>
      <c r="R993" s="95"/>
      <c r="S993" s="154"/>
      <c r="T993" s="84"/>
      <c r="U993" s="84"/>
      <c r="V993" s="84"/>
      <c r="W993" s="84"/>
      <c r="X993" s="84"/>
      <c r="Y993" s="84"/>
      <c r="Z993" s="84"/>
      <c r="AA993" s="84"/>
      <c r="AB993" s="84"/>
      <c r="AC993" s="84"/>
    </row>
    <row r="994" ht="15.75" customHeight="1">
      <c r="A994" s="14" t="s">
        <v>120</v>
      </c>
      <c r="B994" s="14">
        <v>2008.0</v>
      </c>
      <c r="C994" s="14" t="s">
        <v>19584</v>
      </c>
      <c r="D994" s="14" t="s">
        <v>19586</v>
      </c>
      <c r="E994" s="150" t="str">
        <f t="shared" si="13"/>
        <v>http://dx.doi.org/10.1109/VAST.2008.4677391</v>
      </c>
      <c r="F994" s="14"/>
      <c r="G994" s="14"/>
      <c r="H994" s="159" t="s">
        <v>30659</v>
      </c>
      <c r="I994" s="14" t="s">
        <v>21</v>
      </c>
      <c r="J994" s="14" t="s">
        <v>19587</v>
      </c>
      <c r="K994" s="14" t="s">
        <v>34421</v>
      </c>
      <c r="L994" s="152" t="s">
        <v>22059</v>
      </c>
      <c r="M994" s="14" t="s">
        <v>1253</v>
      </c>
      <c r="N994" s="54" t="s">
        <v>34422</v>
      </c>
      <c r="O994" s="130"/>
      <c r="P994" s="16"/>
      <c r="Q994" s="14">
        <v>4677391.0</v>
      </c>
      <c r="R994" s="95"/>
      <c r="S994" s="154"/>
      <c r="T994" s="84"/>
      <c r="U994" s="84"/>
      <c r="V994" s="84"/>
      <c r="W994" s="84"/>
      <c r="X994" s="84"/>
      <c r="Y994" s="84"/>
      <c r="Z994" s="84"/>
      <c r="AA994" s="84"/>
      <c r="AB994" s="84"/>
      <c r="AC994" s="84"/>
    </row>
    <row r="995" ht="15.75" customHeight="1">
      <c r="A995" s="14" t="s">
        <v>120</v>
      </c>
      <c r="B995" s="14">
        <v>2008.0</v>
      </c>
      <c r="C995" s="14" t="s">
        <v>34423</v>
      </c>
      <c r="D995" s="14" t="s">
        <v>19570</v>
      </c>
      <c r="E995" s="150" t="str">
        <f t="shared" si="13"/>
        <v>http://dx.doi.org/10.1109/VAST.2008.4677389</v>
      </c>
      <c r="F995" s="14"/>
      <c r="G995" s="14"/>
      <c r="H995" s="159" t="s">
        <v>30659</v>
      </c>
      <c r="I995" s="14" t="s">
        <v>21</v>
      </c>
      <c r="J995" s="14" t="s">
        <v>19573</v>
      </c>
      <c r="K995" s="14" t="s">
        <v>19575</v>
      </c>
      <c r="L995" s="152" t="s">
        <v>22055</v>
      </c>
      <c r="M995" s="14" t="s">
        <v>860</v>
      </c>
      <c r="N995" s="54" t="s">
        <v>19575</v>
      </c>
      <c r="O995" s="130"/>
      <c r="P995" s="16"/>
      <c r="Q995" s="14">
        <v>4677389.0</v>
      </c>
      <c r="R995" s="95"/>
      <c r="S995" s="154"/>
      <c r="T995" s="84"/>
      <c r="U995" s="84"/>
      <c r="V995" s="84"/>
      <c r="W995" s="84"/>
      <c r="X995" s="84"/>
      <c r="Y995" s="84"/>
      <c r="Z995" s="84"/>
      <c r="AA995" s="84"/>
      <c r="AB995" s="84"/>
      <c r="AC995" s="84"/>
    </row>
    <row r="996" ht="15.75" customHeight="1">
      <c r="A996" s="14" t="s">
        <v>120</v>
      </c>
      <c r="B996" s="14">
        <v>2008.0</v>
      </c>
      <c r="C996" s="14" t="s">
        <v>19598</v>
      </c>
      <c r="D996" s="14" t="s">
        <v>19599</v>
      </c>
      <c r="E996" s="150" t="str">
        <f t="shared" si="13"/>
        <v>http://dx.doi.org/10.1109/VAST.2008.4677393</v>
      </c>
      <c r="F996" s="14"/>
      <c r="G996" s="14"/>
      <c r="H996" s="159" t="s">
        <v>30659</v>
      </c>
      <c r="I996" s="14" t="s">
        <v>21</v>
      </c>
      <c r="J996" s="14" t="s">
        <v>19600</v>
      </c>
      <c r="K996" s="14" t="s">
        <v>34424</v>
      </c>
      <c r="L996" s="152" t="s">
        <v>22063</v>
      </c>
      <c r="M996" s="14" t="s">
        <v>178</v>
      </c>
      <c r="N996" s="54" t="s">
        <v>34424</v>
      </c>
      <c r="O996" s="130"/>
      <c r="P996" s="16"/>
      <c r="Q996" s="14">
        <v>4677393.0</v>
      </c>
      <c r="R996" s="95"/>
      <c r="S996" s="154"/>
      <c r="T996" s="84"/>
      <c r="U996" s="84"/>
      <c r="V996" s="84"/>
      <c r="W996" s="84"/>
      <c r="X996" s="84"/>
      <c r="Y996" s="84"/>
      <c r="Z996" s="84"/>
      <c r="AA996" s="84"/>
      <c r="AB996" s="84"/>
      <c r="AC996" s="84"/>
    </row>
    <row r="997" ht="15.75" customHeight="1">
      <c r="A997" s="14" t="s">
        <v>120</v>
      </c>
      <c r="B997" s="14">
        <v>2008.0</v>
      </c>
      <c r="C997" s="14" t="s">
        <v>19387</v>
      </c>
      <c r="D997" s="14" t="s">
        <v>19388</v>
      </c>
      <c r="E997" s="150" t="str">
        <f t="shared" si="13"/>
        <v>http://dx.doi.org/10.1109/VAST.2008.4677365</v>
      </c>
      <c r="F997" s="14">
        <v>123.0</v>
      </c>
      <c r="G997" s="14">
        <v>130.0</v>
      </c>
      <c r="H997" s="151"/>
      <c r="I997" s="14" t="s">
        <v>28</v>
      </c>
      <c r="J997" s="14" t="s">
        <v>19389</v>
      </c>
      <c r="K997" s="14" t="s">
        <v>34426</v>
      </c>
      <c r="L997" s="152" t="s">
        <v>178</v>
      </c>
      <c r="M997" s="14" t="s">
        <v>34428</v>
      </c>
      <c r="N997" s="54" t="s">
        <v>34426</v>
      </c>
      <c r="O997" s="130" t="s">
        <v>19392</v>
      </c>
      <c r="P997" s="153" t="s">
        <v>19393</v>
      </c>
      <c r="Q997" s="14">
        <v>4677365.0</v>
      </c>
      <c r="R997" s="95"/>
      <c r="S997" s="154" t="s">
        <v>34430</v>
      </c>
      <c r="T997" s="84"/>
      <c r="U997" s="84"/>
      <c r="V997" s="84"/>
      <c r="W997" s="84"/>
      <c r="X997" s="84"/>
      <c r="Y997" s="84"/>
      <c r="Z997" s="84"/>
      <c r="AA997" s="84"/>
      <c r="AB997" s="84"/>
      <c r="AC997" s="84"/>
    </row>
    <row r="998" ht="15.75" customHeight="1">
      <c r="A998" s="14" t="s">
        <v>120</v>
      </c>
      <c r="B998" s="14">
        <v>2008.0</v>
      </c>
      <c r="C998" s="14" t="s">
        <v>19320</v>
      </c>
      <c r="D998" s="14" t="s">
        <v>19321</v>
      </c>
      <c r="E998" s="150" t="str">
        <f t="shared" si="13"/>
        <v>http://dx.doi.org/10.1109/VAST.2008.4677358</v>
      </c>
      <c r="F998" s="14">
        <v>67.0</v>
      </c>
      <c r="G998" s="14">
        <v>74.0</v>
      </c>
      <c r="H998" s="151"/>
      <c r="I998" s="14" t="s">
        <v>28</v>
      </c>
      <c r="J998" s="14" t="s">
        <v>19322</v>
      </c>
      <c r="K998" s="14" t="s">
        <v>34431</v>
      </c>
      <c r="L998" s="152" t="s">
        <v>21593</v>
      </c>
      <c r="M998" s="14">
        <v>3.78291879E10</v>
      </c>
      <c r="N998" s="54" t="s">
        <v>10189</v>
      </c>
      <c r="O998" s="130" t="s">
        <v>19325</v>
      </c>
      <c r="P998" s="153" t="s">
        <v>19313</v>
      </c>
      <c r="Q998" s="14">
        <v>4677358.0</v>
      </c>
      <c r="R998" s="95"/>
      <c r="S998" s="154" t="s">
        <v>34432</v>
      </c>
      <c r="T998" s="84"/>
      <c r="U998" s="84"/>
      <c r="V998" s="84"/>
      <c r="W998" s="84"/>
      <c r="X998" s="84"/>
      <c r="Y998" s="84"/>
      <c r="Z998" s="84"/>
      <c r="AA998" s="84"/>
      <c r="AB998" s="84"/>
      <c r="AC998" s="84"/>
    </row>
    <row r="999" ht="15.75" customHeight="1">
      <c r="A999" s="14" t="s">
        <v>120</v>
      </c>
      <c r="B999" s="14">
        <v>2008.0</v>
      </c>
      <c r="C999" s="14" t="s">
        <v>19299</v>
      </c>
      <c r="D999" s="14" t="s">
        <v>19300</v>
      </c>
      <c r="E999" s="150" t="str">
        <f t="shared" si="13"/>
        <v>http://dx.doi.org/10.1109/VAST.2008.4677355</v>
      </c>
      <c r="F999" s="14">
        <v>43.0</v>
      </c>
      <c r="G999" s="14">
        <v>50.0</v>
      </c>
      <c r="H999" s="151"/>
      <c r="I999" s="14" t="s">
        <v>28</v>
      </c>
      <c r="J999" s="14" t="s">
        <v>19301</v>
      </c>
      <c r="K999" s="14" t="s">
        <v>34439</v>
      </c>
      <c r="L999" s="152" t="s">
        <v>5349</v>
      </c>
      <c r="M999" s="14" t="s">
        <v>34440</v>
      </c>
      <c r="N999" s="54" t="s">
        <v>34439</v>
      </c>
      <c r="O999" s="130" t="s">
        <v>19305</v>
      </c>
      <c r="P999" s="153" t="s">
        <v>19306</v>
      </c>
      <c r="Q999" s="14">
        <v>4677355.0</v>
      </c>
      <c r="R999" s="95"/>
      <c r="S999" s="154" t="s">
        <v>34441</v>
      </c>
      <c r="T999" s="84"/>
      <c r="U999" s="84"/>
      <c r="V999" s="84"/>
      <c r="W999" s="84"/>
      <c r="X999" s="84"/>
      <c r="Y999" s="84"/>
      <c r="Z999" s="84"/>
      <c r="AA999" s="84"/>
      <c r="AB999" s="84"/>
      <c r="AC999" s="84"/>
    </row>
    <row r="1000" ht="15.75" customHeight="1">
      <c r="A1000" s="14" t="s">
        <v>120</v>
      </c>
      <c r="B1000" s="14">
        <v>2008.0</v>
      </c>
      <c r="C1000" s="14" t="s">
        <v>19272</v>
      </c>
      <c r="D1000" s="14" t="s">
        <v>19273</v>
      </c>
      <c r="E1000" s="150" t="str">
        <f t="shared" si="13"/>
        <v>http://dx.doi.org/10.1109/VAST.2008.4677351</v>
      </c>
      <c r="F1000" s="14">
        <v>11.0</v>
      </c>
      <c r="G1000" s="14">
        <v>18.0</v>
      </c>
      <c r="H1000" s="151"/>
      <c r="I1000" s="14" t="s">
        <v>28</v>
      </c>
      <c r="J1000" s="14" t="s">
        <v>19274</v>
      </c>
      <c r="K1000" s="14" t="s">
        <v>34442</v>
      </c>
      <c r="L1000" s="152" t="s">
        <v>21454</v>
      </c>
      <c r="M1000" s="14" t="s">
        <v>34443</v>
      </c>
      <c r="N1000" s="54" t="s">
        <v>34444</v>
      </c>
      <c r="O1000" s="130"/>
      <c r="P1000" s="16"/>
      <c r="Q1000" s="14">
        <v>4677351.0</v>
      </c>
      <c r="R1000" s="95"/>
      <c r="S1000" s="154"/>
      <c r="T1000" s="84"/>
      <c r="U1000" s="84"/>
      <c r="V1000" s="84"/>
      <c r="W1000" s="84"/>
      <c r="X1000" s="84"/>
      <c r="Y1000" s="84"/>
      <c r="Z1000" s="84"/>
      <c r="AA1000" s="84"/>
      <c r="AB1000" s="84"/>
      <c r="AC1000" s="84"/>
    </row>
    <row r="1001" ht="15.75" customHeight="1">
      <c r="A1001" s="14" t="s">
        <v>120</v>
      </c>
      <c r="B1001" s="14">
        <v>2008.0</v>
      </c>
      <c r="C1001" s="14" t="s">
        <v>19346</v>
      </c>
      <c r="D1001" s="14" t="s">
        <v>19347</v>
      </c>
      <c r="E1001" s="150" t="str">
        <f t="shared" si="13"/>
        <v>http://dx.doi.org/10.1109/VAST.2008.4677362</v>
      </c>
      <c r="F1001" s="14">
        <v>99.0</v>
      </c>
      <c r="G1001" s="14">
        <v>106.0</v>
      </c>
      <c r="H1001" s="151"/>
      <c r="I1001" s="14" t="s">
        <v>28</v>
      </c>
      <c r="J1001" s="14" t="s">
        <v>19348</v>
      </c>
      <c r="K1001" s="14" t="s">
        <v>34445</v>
      </c>
      <c r="L1001" s="152" t="s">
        <v>21658</v>
      </c>
      <c r="M1001" s="14" t="s">
        <v>34446</v>
      </c>
      <c r="N1001" s="54" t="s">
        <v>34445</v>
      </c>
      <c r="O1001" s="130" t="s">
        <v>19351</v>
      </c>
      <c r="P1001" s="153" t="s">
        <v>19352</v>
      </c>
      <c r="Q1001" s="14">
        <v>4677362.0</v>
      </c>
      <c r="R1001" s="95"/>
      <c r="S1001" s="154" t="s">
        <v>34447</v>
      </c>
      <c r="T1001" s="84"/>
      <c r="U1001" s="84"/>
      <c r="V1001" s="84"/>
      <c r="W1001" s="84"/>
      <c r="X1001" s="84"/>
      <c r="Y1001" s="84"/>
      <c r="Z1001" s="84"/>
      <c r="AA1001" s="84"/>
      <c r="AB1001" s="84"/>
      <c r="AC1001" s="84"/>
    </row>
    <row r="1002" ht="15.75" customHeight="1">
      <c r="A1002" s="14" t="s">
        <v>120</v>
      </c>
      <c r="B1002" s="14">
        <v>2008.0</v>
      </c>
      <c r="C1002" s="14" t="s">
        <v>19443</v>
      </c>
      <c r="D1002" s="14" t="s">
        <v>19444</v>
      </c>
      <c r="E1002" s="150" t="str">
        <f t="shared" si="13"/>
        <v>http://dx.doi.org/10.1109/VAST.2008.4677373</v>
      </c>
      <c r="F1002" s="14">
        <v>175.0</v>
      </c>
      <c r="G1002" s="14">
        <v>176.0</v>
      </c>
      <c r="H1002" s="159" t="s">
        <v>30659</v>
      </c>
      <c r="I1002" s="14" t="s">
        <v>21</v>
      </c>
      <c r="J1002" s="14" t="s">
        <v>19445</v>
      </c>
      <c r="K1002" s="14" t="s">
        <v>34448</v>
      </c>
      <c r="L1002" s="152" t="s">
        <v>21825</v>
      </c>
      <c r="M1002" s="14" t="s">
        <v>34449</v>
      </c>
      <c r="N1002" s="54" t="s">
        <v>34448</v>
      </c>
      <c r="O1002" s="130"/>
      <c r="P1002" s="16"/>
      <c r="Q1002" s="14">
        <v>4677373.0</v>
      </c>
      <c r="R1002" s="95"/>
      <c r="S1002" s="154"/>
      <c r="T1002" s="84"/>
      <c r="U1002" s="84"/>
      <c r="V1002" s="84"/>
      <c r="W1002" s="84"/>
      <c r="X1002" s="84"/>
      <c r="Y1002" s="84"/>
      <c r="Z1002" s="84"/>
      <c r="AA1002" s="84"/>
      <c r="AB1002" s="84"/>
      <c r="AC1002" s="84"/>
    </row>
    <row r="1003" ht="15.75" customHeight="1">
      <c r="A1003" s="14" t="s">
        <v>120</v>
      </c>
      <c r="B1003" s="14">
        <v>2008.0</v>
      </c>
      <c r="C1003" s="14" t="s">
        <v>19528</v>
      </c>
      <c r="D1003" s="14" t="s">
        <v>19529</v>
      </c>
      <c r="E1003" s="150" t="str">
        <f t="shared" si="13"/>
        <v>http://dx.doi.org/10.1109/VAST.2008.4677388</v>
      </c>
      <c r="F1003" s="14"/>
      <c r="G1003" s="14"/>
      <c r="H1003" s="159" t="s">
        <v>30659</v>
      </c>
      <c r="I1003" s="14" t="s">
        <v>21</v>
      </c>
      <c r="J1003" s="14" t="s">
        <v>19566</v>
      </c>
      <c r="K1003" s="14" t="s">
        <v>34453</v>
      </c>
      <c r="L1003" s="152" t="s">
        <v>21567</v>
      </c>
      <c r="M1003" s="14" t="s">
        <v>178</v>
      </c>
      <c r="N1003" s="54" t="s">
        <v>34453</v>
      </c>
      <c r="O1003" s="130"/>
      <c r="P1003" s="16"/>
      <c r="Q1003" s="14">
        <v>4677388.0</v>
      </c>
      <c r="R1003" s="95"/>
      <c r="S1003" s="154"/>
      <c r="T1003" s="84"/>
      <c r="U1003" s="84"/>
      <c r="V1003" s="84"/>
      <c r="W1003" s="84"/>
      <c r="X1003" s="84"/>
      <c r="Y1003" s="84"/>
      <c r="Z1003" s="84"/>
      <c r="AA1003" s="84"/>
      <c r="AB1003" s="84"/>
      <c r="AC1003" s="84"/>
    </row>
    <row r="1004" ht="15.75" customHeight="1">
      <c r="A1004" s="14" t="s">
        <v>120</v>
      </c>
      <c r="B1004" s="14">
        <v>2008.0</v>
      </c>
      <c r="C1004" s="14" t="s">
        <v>19609</v>
      </c>
      <c r="D1004" s="14" t="s">
        <v>19611</v>
      </c>
      <c r="E1004" s="150" t="str">
        <f t="shared" si="13"/>
        <v>http://dx.doi.org/10.1109/VAST.2008.4677395</v>
      </c>
      <c r="F1004" s="14"/>
      <c r="G1004" s="14"/>
      <c r="H1004" s="159" t="s">
        <v>30659</v>
      </c>
      <c r="I1004" s="14" t="s">
        <v>21</v>
      </c>
      <c r="J1004" s="14" t="s">
        <v>19613</v>
      </c>
      <c r="K1004" s="14" t="s">
        <v>34454</v>
      </c>
      <c r="L1004" s="152" t="s">
        <v>22066</v>
      </c>
      <c r="M1004" s="14" t="s">
        <v>178</v>
      </c>
      <c r="N1004" s="54" t="s">
        <v>34454</v>
      </c>
      <c r="O1004" s="130"/>
      <c r="P1004" s="16"/>
      <c r="Q1004" s="14">
        <v>4677395.0</v>
      </c>
      <c r="R1004" s="95"/>
      <c r="S1004" s="154"/>
      <c r="T1004" s="84"/>
      <c r="U1004" s="84"/>
      <c r="V1004" s="84"/>
      <c r="W1004" s="84"/>
      <c r="X1004" s="84"/>
      <c r="Y1004" s="84"/>
      <c r="Z1004" s="84"/>
      <c r="AA1004" s="84"/>
      <c r="AB1004" s="84"/>
      <c r="AC1004" s="84"/>
    </row>
    <row r="1005" ht="15.75" customHeight="1">
      <c r="A1005" s="14" t="s">
        <v>120</v>
      </c>
      <c r="B1005" s="14">
        <v>2008.0</v>
      </c>
      <c r="C1005" s="14" t="s">
        <v>19577</v>
      </c>
      <c r="D1005" s="14" t="s">
        <v>19578</v>
      </c>
      <c r="E1005" s="150" t="str">
        <f t="shared" si="13"/>
        <v>http://dx.doi.org/10.1109/VAST.2008.4677390</v>
      </c>
      <c r="F1005" s="14"/>
      <c r="G1005" s="14"/>
      <c r="H1005" s="159" t="s">
        <v>30659</v>
      </c>
      <c r="I1005" s="14" t="s">
        <v>21</v>
      </c>
      <c r="J1005" s="14" t="s">
        <v>19579</v>
      </c>
      <c r="K1005" s="14" t="s">
        <v>34455</v>
      </c>
      <c r="L1005" s="152" t="s">
        <v>22057</v>
      </c>
      <c r="M1005" s="14" t="s">
        <v>178</v>
      </c>
      <c r="N1005" s="54" t="s">
        <v>34455</v>
      </c>
      <c r="O1005" s="130"/>
      <c r="P1005" s="16"/>
      <c r="Q1005" s="14">
        <v>4677390.0</v>
      </c>
      <c r="R1005" s="95"/>
      <c r="S1005" s="154"/>
      <c r="T1005" s="84"/>
      <c r="U1005" s="84"/>
      <c r="V1005" s="84"/>
      <c r="W1005" s="84"/>
      <c r="X1005" s="84"/>
      <c r="Y1005" s="84"/>
      <c r="Z1005" s="84"/>
      <c r="AA1005" s="84"/>
      <c r="AB1005" s="84"/>
      <c r="AC1005" s="84"/>
    </row>
    <row r="1006" ht="15.75" customHeight="1">
      <c r="A1006" s="14" t="s">
        <v>120</v>
      </c>
      <c r="B1006" s="14">
        <v>2008.0</v>
      </c>
      <c r="C1006" s="14" t="s">
        <v>19332</v>
      </c>
      <c r="D1006" s="14" t="s">
        <v>19333</v>
      </c>
      <c r="E1006" s="150" t="str">
        <f t="shared" si="13"/>
        <v>http://dx.doi.org/10.1109/VAST.2008.4677360</v>
      </c>
      <c r="F1006" s="14">
        <v>83.0</v>
      </c>
      <c r="G1006" s="14">
        <v>90.0</v>
      </c>
      <c r="H1006" s="151"/>
      <c r="I1006" s="14" t="s">
        <v>28</v>
      </c>
      <c r="J1006" s="14" t="s">
        <v>19334</v>
      </c>
      <c r="K1006" s="14" t="s">
        <v>34456</v>
      </c>
      <c r="L1006" s="152" t="s">
        <v>860</v>
      </c>
      <c r="M1006" s="14" t="s">
        <v>34457</v>
      </c>
      <c r="N1006" s="54" t="s">
        <v>34456</v>
      </c>
      <c r="O1006" s="130" t="s">
        <v>18423</v>
      </c>
      <c r="P1006" s="16"/>
      <c r="Q1006" s="14">
        <v>4677360.0</v>
      </c>
      <c r="R1006" s="95"/>
      <c r="S1006" s="154">
        <v>4389009.0</v>
      </c>
      <c r="T1006" s="84"/>
      <c r="U1006" s="84"/>
      <c r="V1006" s="84"/>
      <c r="W1006" s="84"/>
      <c r="X1006" s="84"/>
      <c r="Y1006" s="84"/>
      <c r="Z1006" s="84"/>
      <c r="AA1006" s="84"/>
      <c r="AB1006" s="84"/>
      <c r="AC1006" s="84"/>
    </row>
    <row r="1007" ht="15.75" customHeight="1">
      <c r="A1007" s="14" t="s">
        <v>120</v>
      </c>
      <c r="B1007" s="14">
        <v>2008.0</v>
      </c>
      <c r="C1007" s="14" t="s">
        <v>19402</v>
      </c>
      <c r="D1007" s="14" t="s">
        <v>19403</v>
      </c>
      <c r="E1007" s="150" t="str">
        <f t="shared" si="13"/>
        <v>http://dx.doi.org/10.1109/VAST.2008.4677367</v>
      </c>
      <c r="F1007" s="14">
        <v>139.0</v>
      </c>
      <c r="G1007" s="14">
        <v>146.0</v>
      </c>
      <c r="H1007" s="151"/>
      <c r="I1007" s="14" t="s">
        <v>28</v>
      </c>
      <c r="J1007" s="14" t="s">
        <v>19407</v>
      </c>
      <c r="K1007" s="14" t="s">
        <v>34458</v>
      </c>
      <c r="L1007" s="152" t="s">
        <v>494</v>
      </c>
      <c r="M1007" s="14" t="s">
        <v>34459</v>
      </c>
      <c r="N1007" s="54" t="s">
        <v>34458</v>
      </c>
      <c r="O1007" s="130" t="s">
        <v>18346</v>
      </c>
      <c r="P1007" s="16"/>
      <c r="Q1007" s="14">
        <v>4677367.0</v>
      </c>
      <c r="R1007" s="95"/>
      <c r="S1007" s="154">
        <v>4388999.0</v>
      </c>
      <c r="T1007" s="84"/>
      <c r="U1007" s="84"/>
      <c r="V1007" s="84"/>
      <c r="W1007" s="84"/>
      <c r="X1007" s="84"/>
      <c r="Y1007" s="84"/>
      <c r="Z1007" s="84"/>
      <c r="AA1007" s="84"/>
      <c r="AB1007" s="84"/>
      <c r="AC1007" s="84"/>
    </row>
    <row r="1008" ht="15.75" customHeight="1">
      <c r="A1008" s="14" t="s">
        <v>120</v>
      </c>
      <c r="B1008" s="14">
        <v>2008.0</v>
      </c>
      <c r="C1008" s="14" t="s">
        <v>19512</v>
      </c>
      <c r="D1008" s="14" t="s">
        <v>19513</v>
      </c>
      <c r="E1008" s="150" t="str">
        <f t="shared" si="13"/>
        <v>http://dx.doi.org/10.1109/VAST.2008.4677385</v>
      </c>
      <c r="F1008" s="14"/>
      <c r="G1008" s="14"/>
      <c r="H1008" s="159" t="s">
        <v>30659</v>
      </c>
      <c r="I1008" s="14" t="s">
        <v>21</v>
      </c>
      <c r="J1008" s="14" t="s">
        <v>19514</v>
      </c>
      <c r="K1008" s="14" t="s">
        <v>34460</v>
      </c>
      <c r="L1008" s="152" t="s">
        <v>880</v>
      </c>
      <c r="M1008" s="14" t="s">
        <v>880</v>
      </c>
      <c r="N1008" s="54" t="s">
        <v>34460</v>
      </c>
      <c r="O1008" s="130"/>
      <c r="P1008" s="16"/>
      <c r="Q1008" s="14">
        <v>4677385.0</v>
      </c>
      <c r="R1008" s="95"/>
      <c r="S1008" s="154"/>
      <c r="T1008" s="84"/>
      <c r="U1008" s="84"/>
      <c r="V1008" s="84"/>
      <c r="W1008" s="84"/>
      <c r="X1008" s="84"/>
      <c r="Y1008" s="84"/>
      <c r="Z1008" s="84"/>
      <c r="AA1008" s="84"/>
      <c r="AB1008" s="84"/>
      <c r="AC1008" s="84"/>
    </row>
    <row r="1009" ht="15.75" customHeight="1">
      <c r="A1009" s="14" t="s">
        <v>120</v>
      </c>
      <c r="B1009" s="14">
        <v>2008.0</v>
      </c>
      <c r="C1009" s="14" t="s">
        <v>19506</v>
      </c>
      <c r="D1009" s="14" t="s">
        <v>19507</v>
      </c>
      <c r="E1009" s="150" t="str">
        <f t="shared" si="13"/>
        <v>http://dx.doi.org/10.1109/VAST.2008.4677384</v>
      </c>
      <c r="F1009" s="14"/>
      <c r="G1009" s="14"/>
      <c r="H1009" s="159" t="s">
        <v>30659</v>
      </c>
      <c r="I1009" s="14" t="s">
        <v>21</v>
      </c>
      <c r="J1009" s="14" t="s">
        <v>19508</v>
      </c>
      <c r="K1009" s="14" t="s">
        <v>34461</v>
      </c>
      <c r="L1009" s="152" t="s">
        <v>10709</v>
      </c>
      <c r="M1009" s="14" t="s">
        <v>10709</v>
      </c>
      <c r="N1009" s="54" t="s">
        <v>34462</v>
      </c>
      <c r="O1009" s="130"/>
      <c r="P1009" s="16"/>
      <c r="Q1009" s="14">
        <v>4677384.0</v>
      </c>
      <c r="R1009" s="95"/>
      <c r="S1009" s="154"/>
      <c r="T1009" s="84"/>
      <c r="U1009" s="84"/>
      <c r="V1009" s="84"/>
      <c r="W1009" s="84"/>
      <c r="X1009" s="84"/>
      <c r="Y1009" s="84"/>
      <c r="Z1009" s="84"/>
      <c r="AA1009" s="84"/>
      <c r="AB1009" s="84"/>
      <c r="AC1009" s="84"/>
    </row>
    <row r="1010" ht="15.75" customHeight="1">
      <c r="A1010" s="14" t="s">
        <v>120</v>
      </c>
      <c r="B1010" s="14">
        <v>2008.0</v>
      </c>
      <c r="C1010" s="14" t="s">
        <v>19517</v>
      </c>
      <c r="D1010" s="14" t="s">
        <v>19518</v>
      </c>
      <c r="E1010" s="150" t="str">
        <f t="shared" si="13"/>
        <v>http://dx.doi.org/10.1109/VAST.2008.4677386</v>
      </c>
      <c r="F1010" s="14"/>
      <c r="G1010" s="14"/>
      <c r="H1010" s="159" t="s">
        <v>30659</v>
      </c>
      <c r="I1010" s="14" t="s">
        <v>21</v>
      </c>
      <c r="J1010" s="14" t="s">
        <v>19519</v>
      </c>
      <c r="K1010" s="14" t="s">
        <v>34463</v>
      </c>
      <c r="L1010" s="152" t="s">
        <v>5349</v>
      </c>
      <c r="M1010" s="14" t="s">
        <v>5349</v>
      </c>
      <c r="N1010" s="54" t="s">
        <v>34463</v>
      </c>
      <c r="O1010" s="130"/>
      <c r="P1010" s="16"/>
      <c r="Q1010" s="14">
        <v>4677386.0</v>
      </c>
      <c r="R1010" s="95"/>
      <c r="S1010" s="154"/>
      <c r="T1010" s="84"/>
      <c r="U1010" s="84"/>
      <c r="V1010" s="84"/>
      <c r="W1010" s="84"/>
      <c r="X1010" s="84"/>
      <c r="Y1010" s="84"/>
      <c r="Z1010" s="84"/>
      <c r="AA1010" s="84"/>
      <c r="AB1010" s="84"/>
      <c r="AC1010" s="84"/>
    </row>
    <row r="1011" ht="15.75" customHeight="1">
      <c r="A1011" s="14" t="s">
        <v>120</v>
      </c>
      <c r="B1011" s="14">
        <v>2008.0</v>
      </c>
      <c r="C1011" s="14" t="s">
        <v>19453</v>
      </c>
      <c r="D1011" s="14" t="s">
        <v>19454</v>
      </c>
      <c r="E1011" s="150" t="str">
        <f t="shared" si="13"/>
        <v>http://dx.doi.org/10.1109/VAST.2008.4677375</v>
      </c>
      <c r="F1011" s="14">
        <v>179.0</v>
      </c>
      <c r="G1011" s="14">
        <v>180.0</v>
      </c>
      <c r="H1011" s="159" t="s">
        <v>30659</v>
      </c>
      <c r="I1011" s="14" t="s">
        <v>21</v>
      </c>
      <c r="J1011" s="14" t="s">
        <v>19455</v>
      </c>
      <c r="K1011" s="14" t="s">
        <v>34464</v>
      </c>
      <c r="L1011" s="152" t="s">
        <v>21860</v>
      </c>
      <c r="M1011" s="14" t="s">
        <v>34465</v>
      </c>
      <c r="N1011" s="54" t="s">
        <v>34464</v>
      </c>
      <c r="O1011" s="130"/>
      <c r="P1011" s="16"/>
      <c r="Q1011" s="14">
        <v>4677375.0</v>
      </c>
      <c r="R1011" s="95"/>
      <c r="S1011" s="154"/>
      <c r="T1011" s="84"/>
      <c r="U1011" s="84"/>
      <c r="V1011" s="84"/>
      <c r="W1011" s="84"/>
      <c r="X1011" s="84"/>
      <c r="Y1011" s="84"/>
      <c r="Z1011" s="84"/>
      <c r="AA1011" s="84"/>
      <c r="AB1011" s="84"/>
      <c r="AC1011" s="84"/>
    </row>
    <row r="1012" ht="15.75" customHeight="1">
      <c r="A1012" s="14" t="s">
        <v>120</v>
      </c>
      <c r="B1012" s="14">
        <v>2008.0</v>
      </c>
      <c r="C1012" s="14" t="s">
        <v>21797</v>
      </c>
      <c r="D1012" s="14" t="s">
        <v>19438</v>
      </c>
      <c r="E1012" s="150" t="str">
        <f t="shared" si="13"/>
        <v>http://dx.doi.org/10.1109/VAST.2008.4677372</v>
      </c>
      <c r="F1012" s="14">
        <v>173.0</v>
      </c>
      <c r="G1012" s="14">
        <v>174.0</v>
      </c>
      <c r="H1012" s="159" t="s">
        <v>30659</v>
      </c>
      <c r="I1012" s="14" t="s">
        <v>21</v>
      </c>
      <c r="J1012" s="14" t="s">
        <v>21803</v>
      </c>
      <c r="K1012" s="14" t="s">
        <v>34466</v>
      </c>
      <c r="L1012" s="152" t="s">
        <v>20810</v>
      </c>
      <c r="M1012" s="14" t="s">
        <v>34467</v>
      </c>
      <c r="N1012" s="54" t="s">
        <v>34466</v>
      </c>
      <c r="O1012" s="130"/>
      <c r="P1012" s="16"/>
      <c r="Q1012" s="14">
        <v>4677372.0</v>
      </c>
      <c r="R1012" s="95"/>
      <c r="S1012" s="154"/>
      <c r="T1012" s="84"/>
      <c r="U1012" s="84"/>
      <c r="V1012" s="84"/>
      <c r="W1012" s="84"/>
      <c r="X1012" s="84"/>
      <c r="Y1012" s="84"/>
      <c r="Z1012" s="84"/>
      <c r="AA1012" s="84"/>
      <c r="AB1012" s="84"/>
      <c r="AC1012" s="84"/>
    </row>
    <row r="1013" ht="15.75" customHeight="1">
      <c r="A1013" s="14" t="s">
        <v>120</v>
      </c>
      <c r="B1013" s="14">
        <v>2008.0</v>
      </c>
      <c r="C1013" s="14" t="s">
        <v>19483</v>
      </c>
      <c r="D1013" s="14" t="s">
        <v>19484</v>
      </c>
      <c r="E1013" s="150" t="str">
        <f t="shared" si="13"/>
        <v>http://dx.doi.org/10.1109/VAST.2008.4677379</v>
      </c>
      <c r="F1013" s="14">
        <v>187.0</v>
      </c>
      <c r="G1013" s="14">
        <v>188.0</v>
      </c>
      <c r="H1013" s="159" t="s">
        <v>30659</v>
      </c>
      <c r="I1013" s="14" t="s">
        <v>21</v>
      </c>
      <c r="J1013" s="14" t="s">
        <v>19485</v>
      </c>
      <c r="K1013" s="14" t="s">
        <v>34468</v>
      </c>
      <c r="L1013" s="152" t="s">
        <v>21948</v>
      </c>
      <c r="M1013" s="14" t="s">
        <v>34469</v>
      </c>
      <c r="N1013" s="54" t="s">
        <v>34468</v>
      </c>
      <c r="O1013" s="130"/>
      <c r="P1013" s="16"/>
      <c r="Q1013" s="14">
        <v>4677379.0</v>
      </c>
      <c r="R1013" s="95"/>
      <c r="S1013" s="154"/>
      <c r="T1013" s="84"/>
      <c r="U1013" s="84"/>
      <c r="V1013" s="84"/>
      <c r="W1013" s="84"/>
      <c r="X1013" s="84"/>
      <c r="Y1013" s="84"/>
      <c r="Z1013" s="84"/>
      <c r="AA1013" s="84"/>
      <c r="AB1013" s="84"/>
      <c r="AC1013" s="84"/>
    </row>
    <row r="1014" ht="15.75" customHeight="1">
      <c r="A1014" s="14" t="s">
        <v>120</v>
      </c>
      <c r="B1014" s="14">
        <v>2008.0</v>
      </c>
      <c r="C1014" s="14" t="s">
        <v>19314</v>
      </c>
      <c r="D1014" s="14" t="s">
        <v>19315</v>
      </c>
      <c r="E1014" s="150" t="str">
        <f t="shared" si="13"/>
        <v>http://dx.doi.org/10.1109/VAST.2008.4677357</v>
      </c>
      <c r="F1014" s="14">
        <v>59.0</v>
      </c>
      <c r="G1014" s="14">
        <v>66.0</v>
      </c>
      <c r="H1014" s="151"/>
      <c r="I1014" s="14" t="s">
        <v>28</v>
      </c>
      <c r="J1014" s="14" t="s">
        <v>21583</v>
      </c>
      <c r="K1014" s="14" t="s">
        <v>34470</v>
      </c>
      <c r="L1014" s="152" t="s">
        <v>21584</v>
      </c>
      <c r="M1014" s="14" t="s">
        <v>34471</v>
      </c>
      <c r="N1014" s="54" t="s">
        <v>34470</v>
      </c>
      <c r="O1014" s="130" t="s">
        <v>19319</v>
      </c>
      <c r="P1014" s="16"/>
      <c r="Q1014" s="14">
        <v>4677357.0</v>
      </c>
      <c r="R1014" s="95"/>
      <c r="S1014" s="154" t="s">
        <v>34472</v>
      </c>
      <c r="T1014" s="84"/>
      <c r="U1014" s="84"/>
      <c r="V1014" s="84"/>
      <c r="W1014" s="84"/>
      <c r="X1014" s="84"/>
      <c r="Y1014" s="84"/>
      <c r="Z1014" s="84"/>
      <c r="AA1014" s="84"/>
      <c r="AB1014" s="84"/>
      <c r="AC1014" s="84"/>
    </row>
    <row r="1015" ht="15.75" customHeight="1">
      <c r="A1015" s="14" t="s">
        <v>120</v>
      </c>
      <c r="B1015" s="14">
        <v>2008.0</v>
      </c>
      <c r="C1015" s="14" t="s">
        <v>19604</v>
      </c>
      <c r="D1015" s="14" t="s">
        <v>19605</v>
      </c>
      <c r="E1015" s="150" t="str">
        <f t="shared" si="13"/>
        <v>http://dx.doi.org/10.1109/VAST.2008.4677394</v>
      </c>
      <c r="F1015" s="14"/>
      <c r="G1015" s="14"/>
      <c r="H1015" s="159" t="s">
        <v>30659</v>
      </c>
      <c r="I1015" s="14" t="s">
        <v>21</v>
      </c>
      <c r="J1015" s="14" t="s">
        <v>19606</v>
      </c>
      <c r="K1015" s="14" t="s">
        <v>34473</v>
      </c>
      <c r="L1015" s="152" t="s">
        <v>494</v>
      </c>
      <c r="M1015" s="14" t="s">
        <v>494</v>
      </c>
      <c r="N1015" s="54" t="s">
        <v>34473</v>
      </c>
      <c r="O1015" s="130"/>
      <c r="P1015" s="16"/>
      <c r="Q1015" s="14">
        <v>4677394.0</v>
      </c>
      <c r="R1015" s="95"/>
      <c r="S1015" s="154"/>
      <c r="T1015" s="84"/>
      <c r="U1015" s="84"/>
      <c r="V1015" s="84"/>
      <c r="W1015" s="84"/>
      <c r="X1015" s="84"/>
      <c r="Y1015" s="84"/>
      <c r="Z1015" s="84"/>
      <c r="AA1015" s="84"/>
      <c r="AB1015" s="84"/>
      <c r="AC1015" s="84"/>
    </row>
    <row r="1016" ht="15.75" customHeight="1">
      <c r="A1016" s="14" t="s">
        <v>120</v>
      </c>
      <c r="B1016" s="14">
        <v>2008.0</v>
      </c>
      <c r="C1016" s="14" t="s">
        <v>19522</v>
      </c>
      <c r="D1016" s="14" t="s">
        <v>19523</v>
      </c>
      <c r="E1016" s="150" t="str">
        <f t="shared" si="13"/>
        <v>http://dx.doi.org/10.1109/VAST.2008.4677387</v>
      </c>
      <c r="F1016" s="14"/>
      <c r="G1016" s="14"/>
      <c r="H1016" s="159" t="s">
        <v>30659</v>
      </c>
      <c r="I1016" s="14" t="s">
        <v>21</v>
      </c>
      <c r="J1016" s="14" t="s">
        <v>19524</v>
      </c>
      <c r="K1016" s="14" t="s">
        <v>34475</v>
      </c>
      <c r="L1016" s="152" t="s">
        <v>22052</v>
      </c>
      <c r="M1016" s="14" t="s">
        <v>1253</v>
      </c>
      <c r="N1016" s="54" t="s">
        <v>34475</v>
      </c>
      <c r="O1016" s="130"/>
      <c r="P1016" s="16"/>
      <c r="Q1016" s="14">
        <v>4677387.0</v>
      </c>
      <c r="R1016" s="95"/>
      <c r="S1016" s="154"/>
      <c r="T1016" s="84"/>
      <c r="U1016" s="84"/>
      <c r="V1016" s="84"/>
      <c r="W1016" s="84"/>
      <c r="X1016" s="84"/>
      <c r="Y1016" s="84"/>
      <c r="Z1016" s="84"/>
      <c r="AA1016" s="84"/>
      <c r="AB1016" s="84"/>
      <c r="AC1016" s="84"/>
    </row>
    <row r="1017" ht="15.75" customHeight="1">
      <c r="A1017" s="14" t="s">
        <v>120</v>
      </c>
      <c r="B1017" s="14">
        <v>2008.0</v>
      </c>
      <c r="C1017" s="14" t="s">
        <v>19277</v>
      </c>
      <c r="D1017" s="14" t="s">
        <v>19278</v>
      </c>
      <c r="E1017" s="150" t="str">
        <f t="shared" si="13"/>
        <v>http://dx.doi.org/10.1109/VAST.2008.4677352</v>
      </c>
      <c r="F1017" s="14">
        <v>19.0</v>
      </c>
      <c r="G1017" s="14">
        <v>26.0</v>
      </c>
      <c r="H1017" s="151"/>
      <c r="I1017" s="14" t="s">
        <v>28</v>
      </c>
      <c r="J1017" s="14" t="s">
        <v>19279</v>
      </c>
      <c r="K1017" s="14" t="s">
        <v>34476</v>
      </c>
      <c r="L1017" s="152" t="s">
        <v>21486</v>
      </c>
      <c r="M1017" s="14" t="s">
        <v>34477</v>
      </c>
      <c r="N1017" s="54" t="s">
        <v>34478</v>
      </c>
      <c r="O1017" s="130" t="s">
        <v>19283</v>
      </c>
      <c r="P1017" s="153" t="s">
        <v>19284</v>
      </c>
      <c r="Q1017" s="14">
        <v>4677352.0</v>
      </c>
      <c r="R1017" s="95"/>
      <c r="S1017" s="154" t="s">
        <v>34479</v>
      </c>
      <c r="T1017" s="84"/>
      <c r="U1017" s="84"/>
      <c r="V1017" s="84"/>
      <c r="W1017" s="84"/>
      <c r="X1017" s="84"/>
      <c r="Y1017" s="84"/>
      <c r="Z1017" s="84"/>
      <c r="AA1017" s="84"/>
      <c r="AB1017" s="84"/>
      <c r="AC1017" s="84"/>
    </row>
    <row r="1018" ht="15.75" customHeight="1">
      <c r="A1018" s="14" t="s">
        <v>120</v>
      </c>
      <c r="B1018" s="14">
        <v>2008.0</v>
      </c>
      <c r="C1018" s="14" t="s">
        <v>19432</v>
      </c>
      <c r="D1018" s="14" t="s">
        <v>19433</v>
      </c>
      <c r="E1018" s="150" t="str">
        <f t="shared" si="13"/>
        <v>http://dx.doi.org/10.1109/VAST.2008.4677370</v>
      </c>
      <c r="F1018" s="14">
        <v>163.0</v>
      </c>
      <c r="G1018" s="14">
        <v>170.0</v>
      </c>
      <c r="H1018" s="151"/>
      <c r="I1018" s="14" t="s">
        <v>28</v>
      </c>
      <c r="J1018" s="14" t="s">
        <v>19434</v>
      </c>
      <c r="K1018" s="14" t="s">
        <v>11350</v>
      </c>
      <c r="L1018" s="152" t="s">
        <v>21796</v>
      </c>
      <c r="M1018" s="14">
        <v>3.75648833E10</v>
      </c>
      <c r="N1018" s="54" t="s">
        <v>11350</v>
      </c>
      <c r="O1018" s="130" t="s">
        <v>19436</v>
      </c>
      <c r="P1018" s="16"/>
      <c r="Q1018" s="14">
        <v>4677370.0</v>
      </c>
      <c r="R1018" s="95"/>
      <c r="S1018" s="154" t="s">
        <v>34480</v>
      </c>
      <c r="T1018" s="84"/>
      <c r="U1018" s="84"/>
      <c r="V1018" s="84"/>
      <c r="W1018" s="84"/>
      <c r="X1018" s="84"/>
      <c r="Y1018" s="84"/>
      <c r="Z1018" s="84"/>
      <c r="AA1018" s="84"/>
      <c r="AB1018" s="84"/>
      <c r="AC1018" s="84"/>
    </row>
    <row r="1019" ht="15.75" customHeight="1">
      <c r="A1019" s="14" t="s">
        <v>120</v>
      </c>
      <c r="B1019" s="14">
        <v>2008.0</v>
      </c>
      <c r="C1019" s="14" t="s">
        <v>19410</v>
      </c>
      <c r="D1019" s="14" t="s">
        <v>19411</v>
      </c>
      <c r="E1019" s="150" t="str">
        <f t="shared" si="13"/>
        <v>http://dx.doi.org/10.1109/VAST.2008.4677368</v>
      </c>
      <c r="F1019" s="14">
        <v>147.0</v>
      </c>
      <c r="G1019" s="14">
        <v>154.0</v>
      </c>
      <c r="H1019" s="151"/>
      <c r="I1019" s="14" t="s">
        <v>28</v>
      </c>
      <c r="J1019" s="14" t="s">
        <v>19412</v>
      </c>
      <c r="K1019" s="14" t="s">
        <v>34481</v>
      </c>
      <c r="L1019" s="152" t="s">
        <v>21757</v>
      </c>
      <c r="M1019" s="14" t="s">
        <v>34482</v>
      </c>
      <c r="N1019" s="54" t="s">
        <v>34481</v>
      </c>
      <c r="O1019" s="130" t="s">
        <v>19422</v>
      </c>
      <c r="P1019" s="153" t="s">
        <v>19423</v>
      </c>
      <c r="Q1019" s="14">
        <v>4677368.0</v>
      </c>
      <c r="R1019" s="95"/>
      <c r="S1019" s="154" t="s">
        <v>34485</v>
      </c>
      <c r="T1019" s="84"/>
      <c r="U1019" s="84"/>
      <c r="V1019" s="84"/>
      <c r="W1019" s="84"/>
      <c r="X1019" s="84"/>
      <c r="Y1019" s="84"/>
      <c r="Z1019" s="84"/>
      <c r="AA1019" s="84"/>
      <c r="AB1019" s="84"/>
      <c r="AC1019" s="84"/>
    </row>
    <row r="1020" ht="15.75" customHeight="1">
      <c r="A1020" s="14" t="s">
        <v>120</v>
      </c>
      <c r="B1020" s="14">
        <v>2008.0</v>
      </c>
      <c r="C1020" s="14" t="s">
        <v>19359</v>
      </c>
      <c r="D1020" s="14" t="s">
        <v>19360</v>
      </c>
      <c r="E1020" s="150" t="str">
        <f t="shared" si="13"/>
        <v>http://dx.doi.org/10.1109/VAST.2008.4677364</v>
      </c>
      <c r="F1020" s="14">
        <v>115.0</v>
      </c>
      <c r="G1020" s="14">
        <v>122.0</v>
      </c>
      <c r="H1020" s="151"/>
      <c r="I1020" s="14" t="s">
        <v>28</v>
      </c>
      <c r="J1020" s="14" t="s">
        <v>19361</v>
      </c>
      <c r="K1020" s="14" t="s">
        <v>34486</v>
      </c>
      <c r="L1020" s="152" t="s">
        <v>5349</v>
      </c>
      <c r="M1020" s="14" t="s">
        <v>34487</v>
      </c>
      <c r="N1020" s="54" t="s">
        <v>34486</v>
      </c>
      <c r="O1020" s="130" t="s">
        <v>19365</v>
      </c>
      <c r="P1020" s="153" t="s">
        <v>34488</v>
      </c>
      <c r="Q1020" s="14">
        <v>4677364.0</v>
      </c>
      <c r="R1020" s="95"/>
      <c r="S1020" s="154" t="s">
        <v>34489</v>
      </c>
      <c r="T1020" s="84"/>
      <c r="U1020" s="84"/>
      <c r="V1020" s="84"/>
      <c r="W1020" s="84"/>
      <c r="X1020" s="84"/>
      <c r="Y1020" s="84"/>
      <c r="Z1020" s="84"/>
      <c r="AA1020" s="84"/>
      <c r="AB1020" s="84"/>
      <c r="AC1020" s="84"/>
    </row>
    <row r="1021" ht="15.75" customHeight="1">
      <c r="A1021" s="14" t="s">
        <v>120</v>
      </c>
      <c r="B1021" s="14">
        <v>2008.0</v>
      </c>
      <c r="C1021" s="14" t="s">
        <v>19307</v>
      </c>
      <c r="D1021" s="14" t="s">
        <v>19308</v>
      </c>
      <c r="E1021" s="150" t="str">
        <f t="shared" si="13"/>
        <v>http://dx.doi.org/10.1109/VAST.2008.4677356</v>
      </c>
      <c r="F1021" s="14">
        <v>51.0</v>
      </c>
      <c r="G1021" s="14">
        <v>58.0</v>
      </c>
      <c r="H1021" s="151"/>
      <c r="I1021" s="14" t="s">
        <v>28</v>
      </c>
      <c r="J1021" s="14" t="s">
        <v>19309</v>
      </c>
      <c r="K1021" s="14" t="s">
        <v>32849</v>
      </c>
      <c r="L1021" s="152" t="s">
        <v>21567</v>
      </c>
      <c r="M1021" s="14" t="s">
        <v>32850</v>
      </c>
      <c r="N1021" s="54" t="s">
        <v>32849</v>
      </c>
      <c r="O1021" s="130"/>
      <c r="P1021" s="153" t="s">
        <v>19313</v>
      </c>
      <c r="Q1021" s="14">
        <v>4677356.0</v>
      </c>
      <c r="R1021" s="95"/>
      <c r="S1021" s="154"/>
      <c r="T1021" s="84"/>
      <c r="U1021" s="84"/>
      <c r="V1021" s="84"/>
      <c r="W1021" s="84"/>
      <c r="X1021" s="84"/>
      <c r="Y1021" s="84"/>
      <c r="Z1021" s="84"/>
      <c r="AA1021" s="84"/>
      <c r="AB1021" s="84"/>
      <c r="AC1021" s="84"/>
    </row>
    <row r="1022" ht="15.75" customHeight="1">
      <c r="A1022" s="14" t="s">
        <v>120</v>
      </c>
      <c r="B1022" s="14">
        <v>2008.0</v>
      </c>
      <c r="C1022" s="14" t="s">
        <v>19479</v>
      </c>
      <c r="D1022" s="14" t="s">
        <v>19480</v>
      </c>
      <c r="E1022" s="150" t="str">
        <f t="shared" si="13"/>
        <v>http://dx.doi.org/10.1109/VAST.2008.4677378</v>
      </c>
      <c r="F1022" s="14">
        <v>185.0</v>
      </c>
      <c r="G1022" s="14">
        <v>186.0</v>
      </c>
      <c r="H1022" s="159" t="s">
        <v>30659</v>
      </c>
      <c r="I1022" s="14" t="s">
        <v>21</v>
      </c>
      <c r="J1022" s="14" t="s">
        <v>19481</v>
      </c>
      <c r="K1022" s="14" t="s">
        <v>34490</v>
      </c>
      <c r="L1022" s="152" t="s">
        <v>21919</v>
      </c>
      <c r="M1022" s="14" t="s">
        <v>34491</v>
      </c>
      <c r="N1022" s="54" t="s">
        <v>34490</v>
      </c>
      <c r="O1022" s="130"/>
      <c r="P1022" s="16"/>
      <c r="Q1022" s="14">
        <v>4677378.0</v>
      </c>
      <c r="R1022" s="95"/>
      <c r="S1022" s="154"/>
      <c r="T1022" s="84"/>
      <c r="U1022" s="84"/>
      <c r="V1022" s="84"/>
      <c r="W1022" s="84"/>
      <c r="X1022" s="84"/>
      <c r="Y1022" s="84"/>
      <c r="Z1022" s="84"/>
      <c r="AA1022" s="84"/>
      <c r="AB1022" s="84"/>
      <c r="AC1022" s="84"/>
    </row>
    <row r="1023" ht="15.75" customHeight="1">
      <c r="A1023" s="14" t="s">
        <v>120</v>
      </c>
      <c r="B1023" s="14">
        <v>2008.0</v>
      </c>
      <c r="C1023" s="14" t="s">
        <v>19394</v>
      </c>
      <c r="D1023" s="14" t="s">
        <v>19395</v>
      </c>
      <c r="E1023" s="150" t="str">
        <f t="shared" si="13"/>
        <v>http://dx.doi.org/10.1109/VAST.2008.4677366</v>
      </c>
      <c r="F1023" s="14">
        <v>131.0</v>
      </c>
      <c r="G1023" s="14">
        <v>138.0</v>
      </c>
      <c r="H1023" s="151"/>
      <c r="I1023" s="14" t="s">
        <v>28</v>
      </c>
      <c r="J1023" s="14" t="s">
        <v>19396</v>
      </c>
      <c r="K1023" s="14" t="s">
        <v>34492</v>
      </c>
      <c r="L1023" s="152" t="s">
        <v>13886</v>
      </c>
      <c r="M1023" s="14" t="s">
        <v>34493</v>
      </c>
      <c r="N1023" s="54" t="s">
        <v>34492</v>
      </c>
      <c r="O1023" s="130" t="s">
        <v>19400</v>
      </c>
      <c r="P1023" s="153" t="s">
        <v>19401</v>
      </c>
      <c r="Q1023" s="14">
        <v>4677366.0</v>
      </c>
      <c r="R1023" s="95"/>
      <c r="S1023" s="154" t="s">
        <v>34494</v>
      </c>
      <c r="T1023" s="84"/>
      <c r="U1023" s="84"/>
      <c r="V1023" s="84"/>
      <c r="W1023" s="84"/>
      <c r="X1023" s="84"/>
      <c r="Y1023" s="84"/>
      <c r="Z1023" s="84"/>
      <c r="AA1023" s="84"/>
      <c r="AB1023" s="84"/>
      <c r="AC1023" s="84"/>
    </row>
    <row r="1024" ht="15.75" customHeight="1">
      <c r="A1024" s="14" t="s">
        <v>120</v>
      </c>
      <c r="B1024" s="14">
        <v>2008.0</v>
      </c>
      <c r="C1024" s="14" t="s">
        <v>19292</v>
      </c>
      <c r="D1024" s="14" t="s">
        <v>19293</v>
      </c>
      <c r="E1024" s="150" t="str">
        <f t="shared" si="13"/>
        <v>http://dx.doi.org/10.1109/VAST.2008.4677354</v>
      </c>
      <c r="F1024" s="14">
        <v>35.0</v>
      </c>
      <c r="G1024" s="14">
        <v>42.0</v>
      </c>
      <c r="H1024" s="151"/>
      <c r="I1024" s="14" t="s">
        <v>28</v>
      </c>
      <c r="J1024" s="14" t="s">
        <v>19294</v>
      </c>
      <c r="K1024" s="14" t="s">
        <v>34495</v>
      </c>
      <c r="L1024" s="152" t="s">
        <v>10709</v>
      </c>
      <c r="M1024" s="14" t="s">
        <v>34496</v>
      </c>
      <c r="N1024" s="54" t="s">
        <v>34495</v>
      </c>
      <c r="O1024" s="130" t="s">
        <v>19298</v>
      </c>
      <c r="P1024" s="16"/>
      <c r="Q1024" s="14">
        <v>4677354.0</v>
      </c>
      <c r="R1024" s="95"/>
      <c r="S1024" s="154" t="s">
        <v>34497</v>
      </c>
      <c r="T1024" s="84"/>
      <c r="U1024" s="84"/>
      <c r="V1024" s="84"/>
      <c r="W1024" s="84"/>
      <c r="X1024" s="84"/>
      <c r="Y1024" s="84"/>
      <c r="Z1024" s="84"/>
      <c r="AA1024" s="84"/>
      <c r="AB1024" s="84"/>
      <c r="AC1024" s="84"/>
    </row>
    <row r="1025" ht="15.75" customHeight="1">
      <c r="A1025" s="14" t="s">
        <v>120</v>
      </c>
      <c r="B1025" s="14">
        <v>2008.0</v>
      </c>
      <c r="C1025" s="14" t="s">
        <v>19591</v>
      </c>
      <c r="D1025" s="14" t="s">
        <v>19592</v>
      </c>
      <c r="E1025" s="150" t="str">
        <f t="shared" si="13"/>
        <v>http://dx.doi.org/10.1109/VAST.2008.4677392</v>
      </c>
      <c r="F1025" s="14"/>
      <c r="G1025" s="14"/>
      <c r="H1025" s="159" t="s">
        <v>30659</v>
      </c>
      <c r="I1025" s="14" t="s">
        <v>21</v>
      </c>
      <c r="J1025" s="14" t="s">
        <v>19593</v>
      </c>
      <c r="K1025" s="14" t="s">
        <v>9865</v>
      </c>
      <c r="L1025" s="152" t="s">
        <v>22061</v>
      </c>
      <c r="M1025" s="14"/>
      <c r="N1025" s="54" t="s">
        <v>9865</v>
      </c>
      <c r="O1025" s="130"/>
      <c r="P1025" s="16"/>
      <c r="Q1025" s="14">
        <v>4677392.0</v>
      </c>
      <c r="R1025" s="95"/>
      <c r="S1025" s="154"/>
      <c r="T1025" s="84"/>
      <c r="U1025" s="84"/>
      <c r="V1025" s="84"/>
      <c r="W1025" s="84"/>
      <c r="X1025" s="84"/>
      <c r="Y1025" s="84"/>
      <c r="Z1025" s="84"/>
      <c r="AA1025" s="84"/>
      <c r="AB1025" s="84"/>
      <c r="AC1025" s="84"/>
    </row>
    <row r="1026" ht="15.75" customHeight="1">
      <c r="A1026" s="14" t="s">
        <v>120</v>
      </c>
      <c r="B1026" s="14">
        <v>2008.0</v>
      </c>
      <c r="C1026" s="14" t="s">
        <v>19285</v>
      </c>
      <c r="D1026" s="14" t="s">
        <v>19286</v>
      </c>
      <c r="E1026" s="150" t="str">
        <f t="shared" si="13"/>
        <v>http://dx.doi.org/10.1109/VAST.2008.4677353</v>
      </c>
      <c r="F1026" s="14">
        <v>27.0</v>
      </c>
      <c r="G1026" s="14">
        <v>34.0</v>
      </c>
      <c r="H1026" s="151"/>
      <c r="I1026" s="14" t="s">
        <v>28</v>
      </c>
      <c r="J1026" s="14" t="s">
        <v>19287</v>
      </c>
      <c r="K1026" s="14" t="s">
        <v>34498</v>
      </c>
      <c r="L1026" s="152" t="s">
        <v>21506</v>
      </c>
      <c r="M1026" s="14" t="s">
        <v>34499</v>
      </c>
      <c r="N1026" s="54" t="s">
        <v>34500</v>
      </c>
      <c r="O1026" s="130" t="s">
        <v>19290</v>
      </c>
      <c r="P1026" s="153" t="s">
        <v>19291</v>
      </c>
      <c r="Q1026" s="14">
        <v>4677353.0</v>
      </c>
      <c r="R1026" s="95"/>
      <c r="S1026" s="154" t="s">
        <v>34501</v>
      </c>
      <c r="T1026" s="84"/>
      <c r="U1026" s="84"/>
      <c r="V1026" s="84"/>
      <c r="W1026" s="84"/>
      <c r="X1026" s="84"/>
      <c r="Y1026" s="84"/>
      <c r="Z1026" s="84"/>
      <c r="AA1026" s="84"/>
      <c r="AB1026" s="84"/>
      <c r="AC1026" s="84"/>
    </row>
    <row r="1027" ht="15.75" customHeight="1">
      <c r="A1027" s="14" t="s">
        <v>120</v>
      </c>
      <c r="B1027" s="14">
        <v>2008.0</v>
      </c>
      <c r="C1027" s="14" t="s">
        <v>19499</v>
      </c>
      <c r="D1027" s="14" t="s">
        <v>19502</v>
      </c>
      <c r="E1027" s="150" t="str">
        <f t="shared" si="13"/>
        <v>http://dx.doi.org/10.1109/VAST.2008.4677383</v>
      </c>
      <c r="F1027" s="14"/>
      <c r="G1027" s="14"/>
      <c r="H1027" s="159" t="s">
        <v>30659</v>
      </c>
      <c r="I1027" s="14" t="s">
        <v>21</v>
      </c>
      <c r="J1027" s="14" t="s">
        <v>19503</v>
      </c>
      <c r="K1027" s="14" t="s">
        <v>34502</v>
      </c>
      <c r="L1027" s="152" t="s">
        <v>860</v>
      </c>
      <c r="M1027" s="14" t="s">
        <v>860</v>
      </c>
      <c r="N1027" s="54" t="s">
        <v>34502</v>
      </c>
      <c r="O1027" s="130"/>
      <c r="P1027" s="16"/>
      <c r="Q1027" s="14">
        <v>4677383.0</v>
      </c>
      <c r="R1027" s="95"/>
      <c r="S1027" s="154"/>
      <c r="T1027" s="84"/>
      <c r="U1027" s="84"/>
      <c r="V1027" s="84"/>
      <c r="W1027" s="84"/>
      <c r="X1027" s="84"/>
      <c r="Y1027" s="84"/>
      <c r="Z1027" s="84"/>
      <c r="AA1027" s="84"/>
      <c r="AB1027" s="84"/>
      <c r="AC1027" s="84"/>
    </row>
    <row r="1028" ht="15.75" customHeight="1">
      <c r="A1028" s="14" t="s">
        <v>120</v>
      </c>
      <c r="B1028" s="14">
        <v>2008.0</v>
      </c>
      <c r="C1028" s="14" t="s">
        <v>19459</v>
      </c>
      <c r="D1028" s="14" t="s">
        <v>19460</v>
      </c>
      <c r="E1028" s="150" t="str">
        <f t="shared" si="13"/>
        <v>http://dx.doi.org/10.1109/VAST.2008.4677376</v>
      </c>
      <c r="F1028" s="14">
        <v>181.0</v>
      </c>
      <c r="G1028" s="14">
        <v>182.0</v>
      </c>
      <c r="H1028" s="159" t="s">
        <v>30659</v>
      </c>
      <c r="I1028" s="14" t="s">
        <v>21</v>
      </c>
      <c r="J1028" s="14" t="s">
        <v>19461</v>
      </c>
      <c r="K1028" s="14" t="s">
        <v>34503</v>
      </c>
      <c r="L1028" s="152" t="s">
        <v>21881</v>
      </c>
      <c r="M1028" s="14" t="s">
        <v>34504</v>
      </c>
      <c r="N1028" s="54" t="s">
        <v>34503</v>
      </c>
      <c r="O1028" s="130"/>
      <c r="P1028" s="16"/>
      <c r="Q1028" s="14">
        <v>4677376.0</v>
      </c>
      <c r="R1028" s="95"/>
      <c r="S1028" s="154"/>
      <c r="T1028" s="84"/>
      <c r="U1028" s="84"/>
      <c r="V1028" s="84"/>
      <c r="W1028" s="84"/>
      <c r="X1028" s="84"/>
      <c r="Y1028" s="84"/>
      <c r="Z1028" s="84"/>
      <c r="AA1028" s="84"/>
      <c r="AB1028" s="84"/>
      <c r="AC1028" s="84"/>
    </row>
    <row r="1029" ht="15.75" customHeight="1">
      <c r="A1029" s="14" t="s">
        <v>120</v>
      </c>
      <c r="B1029" s="14">
        <v>2008.0</v>
      </c>
      <c r="C1029" s="14" t="s">
        <v>19493</v>
      </c>
      <c r="D1029" s="14" t="s">
        <v>19494</v>
      </c>
      <c r="E1029" s="150" t="str">
        <f t="shared" si="13"/>
        <v>http://dx.doi.org/10.1109/VAST.2008.4677381</v>
      </c>
      <c r="F1029" s="14">
        <v>191.0</v>
      </c>
      <c r="G1029" s="14">
        <v>192.0</v>
      </c>
      <c r="H1029" s="159" t="s">
        <v>30659</v>
      </c>
      <c r="I1029" s="14" t="s">
        <v>21</v>
      </c>
      <c r="J1029" s="14" t="s">
        <v>19495</v>
      </c>
      <c r="K1029" s="14" t="s">
        <v>34505</v>
      </c>
      <c r="L1029" s="152" t="s">
        <v>21981</v>
      </c>
      <c r="M1029" s="14" t="s">
        <v>34506</v>
      </c>
      <c r="N1029" s="54" t="s">
        <v>34507</v>
      </c>
      <c r="O1029" s="130"/>
      <c r="P1029" s="16"/>
      <c r="Q1029" s="14">
        <v>4677381.0</v>
      </c>
      <c r="R1029" s="95"/>
      <c r="S1029" s="154"/>
      <c r="T1029" s="84"/>
      <c r="U1029" s="84"/>
      <c r="V1029" s="84"/>
      <c r="W1029" s="84"/>
      <c r="X1029" s="84"/>
      <c r="Y1029" s="84"/>
      <c r="Z1029" s="84"/>
      <c r="AA1029" s="84"/>
      <c r="AB1029" s="84"/>
      <c r="AC1029" s="84"/>
    </row>
    <row r="1030" ht="15.75" customHeight="1">
      <c r="A1030" s="14" t="s">
        <v>120</v>
      </c>
      <c r="B1030" s="14">
        <v>2008.0</v>
      </c>
      <c r="C1030" s="14" t="s">
        <v>19338</v>
      </c>
      <c r="D1030" s="14" t="s">
        <v>19339</v>
      </c>
      <c r="E1030" s="150" t="str">
        <f t="shared" si="13"/>
        <v>http://dx.doi.org/10.1109/VAST.2008.4677361</v>
      </c>
      <c r="F1030" s="14">
        <v>91.0</v>
      </c>
      <c r="G1030" s="14">
        <v>98.0</v>
      </c>
      <c r="H1030" s="151"/>
      <c r="I1030" s="14" t="s">
        <v>28</v>
      </c>
      <c r="J1030" s="14" t="s">
        <v>19340</v>
      </c>
      <c r="K1030" s="14" t="s">
        <v>34508</v>
      </c>
      <c r="L1030" s="152" t="s">
        <v>21643</v>
      </c>
      <c r="M1030" s="14" t="s">
        <v>34509</v>
      </c>
      <c r="N1030" s="54" t="s">
        <v>34508</v>
      </c>
      <c r="O1030" s="130" t="s">
        <v>19344</v>
      </c>
      <c r="P1030" s="153" t="s">
        <v>19345</v>
      </c>
      <c r="Q1030" s="14">
        <v>4677361.0</v>
      </c>
      <c r="R1030" s="95"/>
      <c r="S1030" s="154" t="s">
        <v>34510</v>
      </c>
      <c r="T1030" s="84"/>
      <c r="U1030" s="84"/>
      <c r="V1030" s="84"/>
      <c r="W1030" s="84"/>
      <c r="X1030" s="84"/>
      <c r="Y1030" s="84"/>
      <c r="Z1030" s="84"/>
      <c r="AA1030" s="84"/>
      <c r="AB1030" s="84"/>
      <c r="AC1030" s="84"/>
    </row>
    <row r="1031" ht="15.75" customHeight="1">
      <c r="A1031" s="14" t="s">
        <v>120</v>
      </c>
      <c r="B1031" s="14">
        <v>2008.0</v>
      </c>
      <c r="C1031" s="14" t="s">
        <v>19266</v>
      </c>
      <c r="D1031" s="14" t="s">
        <v>19267</v>
      </c>
      <c r="E1031" s="150" t="str">
        <f t="shared" si="13"/>
        <v>http://dx.doi.org/10.1109/VAST.2008.4677350</v>
      </c>
      <c r="F1031" s="14">
        <v>3.0</v>
      </c>
      <c r="G1031" s="14">
        <v>10.0</v>
      </c>
      <c r="H1031" s="151"/>
      <c r="I1031" s="14" t="s">
        <v>28</v>
      </c>
      <c r="J1031" s="14" t="s">
        <v>19268</v>
      </c>
      <c r="K1031" s="14" t="s">
        <v>34511</v>
      </c>
      <c r="L1031" s="152" t="s">
        <v>21447</v>
      </c>
      <c r="M1031" s="14" t="s">
        <v>34512</v>
      </c>
      <c r="N1031" s="54" t="s">
        <v>34511</v>
      </c>
      <c r="O1031" s="130" t="s">
        <v>18258</v>
      </c>
      <c r="P1031" s="16"/>
      <c r="Q1031" s="14">
        <v>4677350.0</v>
      </c>
      <c r="R1031" s="95"/>
      <c r="S1031" s="154">
        <v>4376136.0</v>
      </c>
      <c r="T1031" s="84"/>
      <c r="U1031" s="84"/>
      <c r="V1031" s="84"/>
      <c r="W1031" s="84"/>
      <c r="X1031" s="84"/>
      <c r="Y1031" s="84"/>
      <c r="Z1031" s="84"/>
      <c r="AA1031" s="84"/>
      <c r="AB1031" s="84"/>
      <c r="AC1031" s="84"/>
    </row>
    <row r="1032" ht="15.75" customHeight="1">
      <c r="A1032" s="14" t="s">
        <v>120</v>
      </c>
      <c r="B1032" s="14">
        <v>2008.0</v>
      </c>
      <c r="C1032" s="14" t="s">
        <v>19326</v>
      </c>
      <c r="D1032" s="14" t="s">
        <v>19327</v>
      </c>
      <c r="E1032" s="150" t="str">
        <f t="shared" si="13"/>
        <v>http://dx.doi.org/10.1109/VAST.2008.4677359</v>
      </c>
      <c r="F1032" s="14">
        <v>75.0</v>
      </c>
      <c r="G1032" s="14">
        <v>82.0</v>
      </c>
      <c r="H1032" s="151"/>
      <c r="I1032" s="14" t="s">
        <v>28</v>
      </c>
      <c r="J1032" s="14" t="s">
        <v>19328</v>
      </c>
      <c r="K1032" s="14" t="s">
        <v>34513</v>
      </c>
      <c r="L1032" s="152" t="s">
        <v>18942</v>
      </c>
      <c r="M1032" s="14" t="s">
        <v>34514</v>
      </c>
      <c r="N1032" s="54" t="s">
        <v>34513</v>
      </c>
      <c r="O1032" s="130" t="s">
        <v>19331</v>
      </c>
      <c r="P1032" s="16"/>
      <c r="Q1032" s="14">
        <v>4677359.0</v>
      </c>
      <c r="R1032" s="95"/>
      <c r="S1032" s="154" t="s">
        <v>34515</v>
      </c>
      <c r="T1032" s="84"/>
      <c r="U1032" s="84"/>
      <c r="V1032" s="84"/>
      <c r="W1032" s="84"/>
      <c r="X1032" s="84"/>
      <c r="Y1032" s="84"/>
      <c r="Z1032" s="84"/>
      <c r="AA1032" s="84"/>
      <c r="AB1032" s="84"/>
      <c r="AC1032" s="84"/>
    </row>
    <row r="1033" ht="15.75" customHeight="1">
      <c r="A1033" s="14" t="s">
        <v>120</v>
      </c>
      <c r="B1033" s="14">
        <v>2008.0</v>
      </c>
      <c r="C1033" s="14" t="s">
        <v>19424</v>
      </c>
      <c r="D1033" s="14" t="s">
        <v>19425</v>
      </c>
      <c r="E1033" s="150" t="str">
        <f t="shared" si="13"/>
        <v>http://dx.doi.org/10.1109/VAST.2008.4677369</v>
      </c>
      <c r="F1033" s="14">
        <v>155.0</v>
      </c>
      <c r="G1033" s="14">
        <v>162.0</v>
      </c>
      <c r="H1033" s="151"/>
      <c r="I1033" s="14" t="s">
        <v>28</v>
      </c>
      <c r="J1033" s="14" t="s">
        <v>21776</v>
      </c>
      <c r="K1033" s="14" t="s">
        <v>34516</v>
      </c>
      <c r="L1033" s="152" t="s">
        <v>880</v>
      </c>
      <c r="M1033" s="14" t="s">
        <v>34517</v>
      </c>
      <c r="N1033" s="54" t="s">
        <v>34516</v>
      </c>
      <c r="O1033" s="130" t="s">
        <v>19430</v>
      </c>
      <c r="P1033" s="153" t="s">
        <v>34518</v>
      </c>
      <c r="Q1033" s="14">
        <v>4677369.0</v>
      </c>
      <c r="R1033" s="95"/>
      <c r="S1033" s="154" t="s">
        <v>34519</v>
      </c>
      <c r="T1033" s="84"/>
      <c r="U1033" s="84"/>
      <c r="V1033" s="84"/>
      <c r="W1033" s="84"/>
      <c r="X1033" s="84"/>
      <c r="Y1033" s="84"/>
      <c r="Z1033" s="84"/>
      <c r="AA1033" s="84"/>
      <c r="AB1033" s="84"/>
      <c r="AC1033" s="84"/>
    </row>
    <row r="1034" ht="15.75" customHeight="1">
      <c r="A1034" s="14" t="s">
        <v>17</v>
      </c>
      <c r="B1034" s="14">
        <v>2008.0</v>
      </c>
      <c r="C1034" s="14" t="s">
        <v>19623</v>
      </c>
      <c r="D1034" s="14" t="s">
        <v>19624</v>
      </c>
      <c r="E1034" s="150" t="str">
        <f t="shared" si="13"/>
        <v>http://dx.doi.org/10.1109/TVCG.2008.108</v>
      </c>
      <c r="F1034" s="14">
        <v>1723.0</v>
      </c>
      <c r="G1034" s="14">
        <v>1730.0</v>
      </c>
      <c r="H1034" s="151"/>
      <c r="I1034" s="14" t="s">
        <v>17059</v>
      </c>
      <c r="J1034" s="14" t="s">
        <v>19625</v>
      </c>
      <c r="K1034" s="14" t="s">
        <v>34520</v>
      </c>
      <c r="L1034" s="152" t="s">
        <v>20725</v>
      </c>
      <c r="M1034" s="14" t="s">
        <v>34521</v>
      </c>
      <c r="N1034" s="54" t="s">
        <v>34520</v>
      </c>
      <c r="O1034" s="130" t="s">
        <v>19628</v>
      </c>
      <c r="P1034" s="153" t="s">
        <v>19629</v>
      </c>
      <c r="Q1034" s="14">
        <v>4658196.0</v>
      </c>
      <c r="R1034" s="95"/>
      <c r="S1034" s="154" t="s">
        <v>34522</v>
      </c>
      <c r="T1034" s="84"/>
      <c r="U1034" s="84"/>
      <c r="V1034" s="84"/>
      <c r="W1034" s="84"/>
      <c r="X1034" s="84"/>
      <c r="Y1034" s="84"/>
      <c r="Z1034" s="84"/>
      <c r="AA1034" s="84"/>
      <c r="AB1034" s="84"/>
      <c r="AC1034" s="84"/>
    </row>
    <row r="1035" ht="15.75" customHeight="1">
      <c r="A1035" s="14" t="s">
        <v>17</v>
      </c>
      <c r="B1035" s="14">
        <v>2008.0</v>
      </c>
      <c r="C1035" s="14" t="s">
        <v>19630</v>
      </c>
      <c r="D1035" s="14" t="s">
        <v>19632</v>
      </c>
      <c r="E1035" s="150" t="str">
        <f t="shared" si="13"/>
        <v>http://dx.doi.org/10.1109/TVCG.2008.110</v>
      </c>
      <c r="F1035" s="14">
        <v>1619.0</v>
      </c>
      <c r="G1035" s="14">
        <v>1626.0</v>
      </c>
      <c r="H1035" s="151"/>
      <c r="I1035" s="14" t="s">
        <v>17059</v>
      </c>
      <c r="J1035" s="14" t="s">
        <v>20729</v>
      </c>
      <c r="K1035" s="14" t="s">
        <v>34523</v>
      </c>
      <c r="L1035" s="152" t="s">
        <v>20730</v>
      </c>
      <c r="M1035" s="14" t="s">
        <v>34524</v>
      </c>
      <c r="N1035" s="54" t="s">
        <v>34523</v>
      </c>
      <c r="O1035" s="130" t="s">
        <v>19637</v>
      </c>
      <c r="P1035" s="153" t="s">
        <v>19638</v>
      </c>
      <c r="Q1035" s="14">
        <v>4658183.0</v>
      </c>
      <c r="R1035" s="95"/>
      <c r="S1035" s="154" t="s">
        <v>34525</v>
      </c>
      <c r="T1035" s="84"/>
      <c r="U1035" s="84"/>
      <c r="V1035" s="84"/>
      <c r="W1035" s="84"/>
      <c r="X1035" s="84"/>
      <c r="Y1035" s="84"/>
      <c r="Z1035" s="84"/>
      <c r="AA1035" s="84"/>
      <c r="AB1035" s="84"/>
      <c r="AC1035" s="84"/>
    </row>
    <row r="1036" ht="15.75" customHeight="1">
      <c r="A1036" s="14" t="s">
        <v>17</v>
      </c>
      <c r="B1036" s="14">
        <v>2008.0</v>
      </c>
      <c r="C1036" s="14" t="s">
        <v>19639</v>
      </c>
      <c r="D1036" s="14" t="s">
        <v>19640</v>
      </c>
      <c r="E1036" s="150" t="str">
        <f t="shared" si="13"/>
        <v>http://dx.doi.org/10.1109/TVCG.2008.111</v>
      </c>
      <c r="F1036" s="14">
        <v>1707.0</v>
      </c>
      <c r="G1036" s="14">
        <v>1722.0</v>
      </c>
      <c r="H1036" s="151"/>
      <c r="I1036" s="14" t="s">
        <v>17059</v>
      </c>
      <c r="J1036" s="14" t="s">
        <v>19642</v>
      </c>
      <c r="K1036" s="14" t="s">
        <v>34526</v>
      </c>
      <c r="L1036" s="152" t="s">
        <v>20732</v>
      </c>
      <c r="M1036" s="14" t="s">
        <v>34527</v>
      </c>
      <c r="N1036" s="54" t="s">
        <v>34526</v>
      </c>
      <c r="O1036" s="130" t="s">
        <v>19647</v>
      </c>
      <c r="P1036" s="153" t="s">
        <v>19648</v>
      </c>
      <c r="Q1036" s="14">
        <v>4658194.0</v>
      </c>
      <c r="R1036" s="95"/>
      <c r="S1036" s="154" t="s">
        <v>34528</v>
      </c>
      <c r="T1036" s="84"/>
      <c r="U1036" s="84"/>
      <c r="V1036" s="84"/>
      <c r="W1036" s="84"/>
      <c r="X1036" s="84"/>
      <c r="Y1036" s="84"/>
      <c r="Z1036" s="84"/>
      <c r="AA1036" s="84"/>
      <c r="AB1036" s="84"/>
      <c r="AC1036" s="84"/>
    </row>
    <row r="1037" ht="15.75" customHeight="1">
      <c r="A1037" s="14" t="s">
        <v>17</v>
      </c>
      <c r="B1037" s="14">
        <v>2008.0</v>
      </c>
      <c r="C1037" s="14" t="s">
        <v>19649</v>
      </c>
      <c r="D1037" s="14" t="s">
        <v>19650</v>
      </c>
      <c r="E1037" s="150" t="str">
        <f t="shared" si="13"/>
        <v>http://dx.doi.org/10.1109/TVCG.2008.112</v>
      </c>
      <c r="F1037" s="14">
        <v>1747.0</v>
      </c>
      <c r="G1037" s="14">
        <v>1754.0</v>
      </c>
      <c r="H1037" s="151"/>
      <c r="I1037" s="14" t="s">
        <v>17059</v>
      </c>
      <c r="J1037" s="14" t="s">
        <v>19651</v>
      </c>
      <c r="K1037" s="14" t="s">
        <v>34529</v>
      </c>
      <c r="L1037" s="152" t="s">
        <v>20734</v>
      </c>
      <c r="M1037" s="14" t="s">
        <v>34530</v>
      </c>
      <c r="N1037" s="54" t="s">
        <v>34531</v>
      </c>
      <c r="O1037" s="130"/>
      <c r="P1037" s="153" t="s">
        <v>19654</v>
      </c>
      <c r="Q1037" s="14">
        <v>4658199.0</v>
      </c>
      <c r="R1037" s="95"/>
      <c r="S1037" s="154"/>
      <c r="T1037" s="84"/>
      <c r="U1037" s="84"/>
      <c r="V1037" s="84"/>
      <c r="W1037" s="84"/>
      <c r="X1037" s="84"/>
      <c r="Y1037" s="84"/>
      <c r="Z1037" s="84"/>
      <c r="AA1037" s="84"/>
      <c r="AB1037" s="84"/>
      <c r="AC1037" s="84"/>
    </row>
    <row r="1038" ht="15.75" customHeight="1">
      <c r="A1038" s="14" t="s">
        <v>17</v>
      </c>
      <c r="B1038" s="14">
        <v>2008.0</v>
      </c>
      <c r="C1038" s="14" t="s">
        <v>19655</v>
      </c>
      <c r="D1038" s="14" t="s">
        <v>19656</v>
      </c>
      <c r="E1038" s="150" t="str">
        <f t="shared" si="13"/>
        <v>http://dx.doi.org/10.1109/TVCG.2008.115</v>
      </c>
      <c r="F1038" s="14">
        <v>1523.0</v>
      </c>
      <c r="G1038" s="14">
        <v>1530.0</v>
      </c>
      <c r="H1038" s="151"/>
      <c r="I1038" s="14" t="s">
        <v>17059</v>
      </c>
      <c r="J1038" s="14" t="s">
        <v>19657</v>
      </c>
      <c r="K1038" s="14" t="s">
        <v>34532</v>
      </c>
      <c r="L1038" s="152" t="s">
        <v>20739</v>
      </c>
      <c r="M1038" s="14" t="s">
        <v>34533</v>
      </c>
      <c r="N1038" s="54" t="s">
        <v>34532</v>
      </c>
      <c r="O1038" s="130" t="s">
        <v>19660</v>
      </c>
      <c r="P1038" s="153" t="s">
        <v>19661</v>
      </c>
      <c r="Q1038" s="14">
        <v>4658171.0</v>
      </c>
      <c r="R1038" s="95"/>
      <c r="S1038" s="154" t="s">
        <v>34537</v>
      </c>
      <c r="T1038" s="84"/>
      <c r="U1038" s="84"/>
      <c r="V1038" s="84"/>
      <c r="W1038" s="84"/>
      <c r="X1038" s="84"/>
      <c r="Y1038" s="84"/>
      <c r="Z1038" s="84"/>
      <c r="AA1038" s="84"/>
      <c r="AB1038" s="84"/>
      <c r="AC1038" s="84"/>
    </row>
    <row r="1039" ht="15.75" customHeight="1">
      <c r="A1039" s="14" t="s">
        <v>17</v>
      </c>
      <c r="B1039" s="14">
        <v>2008.0</v>
      </c>
      <c r="C1039" s="14" t="s">
        <v>19662</v>
      </c>
      <c r="D1039" s="14" t="s">
        <v>19664</v>
      </c>
      <c r="E1039" s="150" t="str">
        <f t="shared" si="13"/>
        <v>http://dx.doi.org/10.1109/TVCG.2008.116</v>
      </c>
      <c r="F1039" s="14">
        <v>1459.0</v>
      </c>
      <c r="G1039" s="14">
        <v>1466.0</v>
      </c>
      <c r="H1039" s="151"/>
      <c r="I1039" s="14" t="s">
        <v>17059</v>
      </c>
      <c r="J1039" s="14" t="s">
        <v>19665</v>
      </c>
      <c r="K1039" s="14" t="s">
        <v>34538</v>
      </c>
      <c r="L1039" s="152" t="s">
        <v>20742</v>
      </c>
      <c r="M1039" s="14" t="s">
        <v>34540</v>
      </c>
      <c r="N1039" s="54" t="s">
        <v>34541</v>
      </c>
      <c r="O1039" s="130" t="s">
        <v>19670</v>
      </c>
      <c r="P1039" s="153" t="s">
        <v>19671</v>
      </c>
      <c r="Q1039" s="14">
        <v>4658163.0</v>
      </c>
      <c r="R1039" s="95"/>
      <c r="S1039" s="154" t="s">
        <v>34543</v>
      </c>
      <c r="T1039" s="84"/>
      <c r="U1039" s="84"/>
      <c r="V1039" s="84"/>
      <c r="W1039" s="84"/>
      <c r="X1039" s="84"/>
      <c r="Y1039" s="84"/>
      <c r="Z1039" s="84"/>
      <c r="AA1039" s="84"/>
      <c r="AB1039" s="84"/>
      <c r="AC1039" s="84"/>
    </row>
    <row r="1040" ht="15.75" customHeight="1">
      <c r="A1040" s="14" t="s">
        <v>17</v>
      </c>
      <c r="B1040" s="14">
        <v>2008.0</v>
      </c>
      <c r="C1040" s="14" t="s">
        <v>19672</v>
      </c>
      <c r="D1040" s="14" t="s">
        <v>19673</v>
      </c>
      <c r="E1040" s="150" t="str">
        <f t="shared" si="13"/>
        <v>http://dx.doi.org/10.1109/TVCG.2008.118</v>
      </c>
      <c r="F1040" s="14">
        <v>1739.0</v>
      </c>
      <c r="G1040" s="14">
        <v>1754.0</v>
      </c>
      <c r="H1040" s="151"/>
      <c r="I1040" s="14" t="s">
        <v>17059</v>
      </c>
      <c r="J1040" s="14" t="s">
        <v>19674</v>
      </c>
      <c r="K1040" s="14" t="s">
        <v>34544</v>
      </c>
      <c r="L1040" s="152" t="s">
        <v>20746</v>
      </c>
      <c r="M1040" s="14" t="s">
        <v>34545</v>
      </c>
      <c r="N1040" s="54" t="s">
        <v>34544</v>
      </c>
      <c r="O1040" s="130" t="s">
        <v>19677</v>
      </c>
      <c r="P1040" s="153" t="s">
        <v>19678</v>
      </c>
      <c r="Q1040" s="14">
        <v>4658198.0</v>
      </c>
      <c r="R1040" s="95"/>
      <c r="S1040" s="154" t="s">
        <v>34546</v>
      </c>
      <c r="T1040" s="84"/>
      <c r="U1040" s="84"/>
      <c r="V1040" s="84"/>
      <c r="W1040" s="84"/>
      <c r="X1040" s="84"/>
      <c r="Y1040" s="84"/>
      <c r="Z1040" s="84"/>
      <c r="AA1040" s="84"/>
      <c r="AB1040" s="84"/>
      <c r="AC1040" s="84"/>
    </row>
    <row r="1041" ht="15.75" customHeight="1">
      <c r="A1041" s="14" t="s">
        <v>17</v>
      </c>
      <c r="B1041" s="14">
        <v>2008.0</v>
      </c>
      <c r="C1041" s="14" t="s">
        <v>19681</v>
      </c>
      <c r="D1041" s="14" t="s">
        <v>19682</v>
      </c>
      <c r="E1041" s="150" t="str">
        <f t="shared" si="13"/>
        <v>http://dx.doi.org/10.1109/TVCG.2008.119</v>
      </c>
      <c r="F1041" s="14">
        <v>1428.0</v>
      </c>
      <c r="G1041" s="14">
        <v>1435.0</v>
      </c>
      <c r="H1041" s="151"/>
      <c r="I1041" s="14" t="s">
        <v>17059</v>
      </c>
      <c r="J1041" s="14" t="s">
        <v>19683</v>
      </c>
      <c r="K1041" s="14" t="s">
        <v>34547</v>
      </c>
      <c r="L1041" s="152" t="s">
        <v>20748</v>
      </c>
      <c r="M1041" s="14" t="s">
        <v>34548</v>
      </c>
      <c r="N1041" s="54" t="s">
        <v>34547</v>
      </c>
      <c r="O1041" s="130" t="s">
        <v>19687</v>
      </c>
      <c r="P1041" s="153" t="s">
        <v>19688</v>
      </c>
      <c r="Q1041" s="14">
        <v>4658159.0</v>
      </c>
      <c r="R1041" s="95"/>
      <c r="S1041" s="154" t="s">
        <v>34549</v>
      </c>
      <c r="T1041" s="84"/>
      <c r="U1041" s="84"/>
      <c r="V1041" s="84"/>
      <c r="W1041" s="84"/>
      <c r="X1041" s="84"/>
      <c r="Y1041" s="84"/>
      <c r="Z1041" s="84"/>
      <c r="AA1041" s="84"/>
      <c r="AB1041" s="84"/>
      <c r="AC1041" s="84"/>
    </row>
    <row r="1042" ht="15.75" customHeight="1">
      <c r="A1042" s="14" t="s">
        <v>17</v>
      </c>
      <c r="B1042" s="14">
        <v>2008.0</v>
      </c>
      <c r="C1042" s="14" t="s">
        <v>19689</v>
      </c>
      <c r="D1042" s="14" t="s">
        <v>19690</v>
      </c>
      <c r="E1042" s="150" t="str">
        <f t="shared" si="13"/>
        <v>http://dx.doi.org/10.1109/TVCG.2008.120</v>
      </c>
      <c r="F1042" s="14">
        <v>1388.0</v>
      </c>
      <c r="G1042" s="14">
        <v>1395.0</v>
      </c>
      <c r="H1042" s="151"/>
      <c r="I1042" s="14" t="s">
        <v>17059</v>
      </c>
      <c r="J1042" s="14" t="s">
        <v>19692</v>
      </c>
      <c r="K1042" s="14" t="s">
        <v>34550</v>
      </c>
      <c r="L1042" s="152" t="s">
        <v>20751</v>
      </c>
      <c r="M1042" s="14" t="s">
        <v>34551</v>
      </c>
      <c r="N1042" s="54" t="s">
        <v>34550</v>
      </c>
      <c r="O1042" s="130" t="s">
        <v>19696</v>
      </c>
      <c r="P1042" s="153" t="s">
        <v>19697</v>
      </c>
      <c r="Q1042" s="14">
        <v>4658154.0</v>
      </c>
      <c r="R1042" s="95"/>
      <c r="S1042" s="154" t="s">
        <v>34552</v>
      </c>
      <c r="T1042" s="84"/>
      <c r="U1042" s="84"/>
      <c r="V1042" s="84"/>
      <c r="W1042" s="84"/>
      <c r="X1042" s="84"/>
      <c r="Y1042" s="84"/>
      <c r="Z1042" s="84"/>
      <c r="AA1042" s="84"/>
      <c r="AB1042" s="84"/>
      <c r="AC1042" s="84"/>
    </row>
    <row r="1043" ht="15.75" customHeight="1">
      <c r="A1043" s="14" t="s">
        <v>17</v>
      </c>
      <c r="B1043" s="14">
        <v>2008.0</v>
      </c>
      <c r="C1043" s="14" t="s">
        <v>19698</v>
      </c>
      <c r="D1043" s="14" t="s">
        <v>19699</v>
      </c>
      <c r="E1043" s="150" t="str">
        <f t="shared" si="13"/>
        <v>http://dx.doi.org/10.1109/TVCG.2008.122</v>
      </c>
      <c r="F1043" s="14">
        <v>1651.0</v>
      </c>
      <c r="G1043" s="14">
        <v>1666.0</v>
      </c>
      <c r="H1043" s="151"/>
      <c r="I1043" s="14" t="s">
        <v>17059</v>
      </c>
      <c r="J1043" s="14" t="s">
        <v>19700</v>
      </c>
      <c r="K1043" s="14" t="s">
        <v>34553</v>
      </c>
      <c r="L1043" s="152" t="s">
        <v>20756</v>
      </c>
      <c r="M1043" s="14" t="s">
        <v>34555</v>
      </c>
      <c r="N1043" s="54" t="s">
        <v>34557</v>
      </c>
      <c r="O1043" s="130" t="s">
        <v>19704</v>
      </c>
      <c r="P1043" s="153" t="s">
        <v>19705</v>
      </c>
      <c r="Q1043" s="14">
        <v>4658187.0</v>
      </c>
      <c r="R1043" s="95"/>
      <c r="S1043" s="154" t="s">
        <v>34558</v>
      </c>
      <c r="T1043" s="84"/>
      <c r="U1043" s="84"/>
      <c r="V1043" s="84"/>
      <c r="W1043" s="84"/>
      <c r="X1043" s="84"/>
      <c r="Y1043" s="84"/>
      <c r="Z1043" s="84"/>
      <c r="AA1043" s="84"/>
      <c r="AB1043" s="84"/>
      <c r="AC1043" s="84"/>
    </row>
    <row r="1044" ht="15.75" customHeight="1">
      <c r="A1044" s="14" t="s">
        <v>17</v>
      </c>
      <c r="B1044" s="14">
        <v>2008.0</v>
      </c>
      <c r="C1044" s="14" t="s">
        <v>19706</v>
      </c>
      <c r="D1044" s="14" t="s">
        <v>19707</v>
      </c>
      <c r="E1044" s="150" t="str">
        <f t="shared" si="13"/>
        <v>http://dx.doi.org/10.1109/TVCG.2008.123</v>
      </c>
      <c r="F1044" s="14">
        <v>1603.0</v>
      </c>
      <c r="G1044" s="14">
        <v>1610.0</v>
      </c>
      <c r="H1044" s="151"/>
      <c r="I1044" s="14" t="s">
        <v>17059</v>
      </c>
      <c r="J1044" s="14" t="s">
        <v>19709</v>
      </c>
      <c r="K1044" s="14" t="s">
        <v>34559</v>
      </c>
      <c r="L1044" s="152" t="s">
        <v>20758</v>
      </c>
      <c r="M1044" s="14" t="s">
        <v>34560</v>
      </c>
      <c r="N1044" s="54" t="s">
        <v>34559</v>
      </c>
      <c r="O1044" s="130" t="s">
        <v>19713</v>
      </c>
      <c r="P1044" s="153" t="s">
        <v>19714</v>
      </c>
      <c r="Q1044" s="14">
        <v>4658181.0</v>
      </c>
      <c r="R1044" s="95"/>
      <c r="S1044" s="154" t="s">
        <v>34561</v>
      </c>
      <c r="T1044" s="84"/>
      <c r="U1044" s="84"/>
      <c r="V1044" s="84"/>
      <c r="W1044" s="84"/>
      <c r="X1044" s="84"/>
      <c r="Y1044" s="84"/>
      <c r="Z1044" s="84"/>
      <c r="AA1044" s="84"/>
      <c r="AB1044" s="84"/>
      <c r="AC1044" s="84"/>
    </row>
    <row r="1045" ht="15.75" customHeight="1">
      <c r="A1045" s="14" t="s">
        <v>17</v>
      </c>
      <c r="B1045" s="14">
        <v>2008.0</v>
      </c>
      <c r="C1045" s="14" t="s">
        <v>19716</v>
      </c>
      <c r="D1045" s="14" t="s">
        <v>19717</v>
      </c>
      <c r="E1045" s="150" t="str">
        <f t="shared" si="13"/>
        <v>http://dx.doi.org/10.1109/TVCG.2008.124</v>
      </c>
      <c r="F1045" s="14">
        <v>1452.0</v>
      </c>
      <c r="G1045" s="14">
        <v>1458.0</v>
      </c>
      <c r="H1045" s="151"/>
      <c r="I1045" s="14" t="s">
        <v>17059</v>
      </c>
      <c r="J1045" s="14" t="s">
        <v>19718</v>
      </c>
      <c r="K1045" s="14" t="s">
        <v>34562</v>
      </c>
      <c r="L1045" s="152" t="s">
        <v>20760</v>
      </c>
      <c r="M1045" s="14" t="s">
        <v>34563</v>
      </c>
      <c r="N1045" s="54" t="s">
        <v>34562</v>
      </c>
      <c r="O1045" s="130"/>
      <c r="P1045" s="153" t="s">
        <v>19721</v>
      </c>
      <c r="Q1045" s="14">
        <v>4658162.0</v>
      </c>
      <c r="R1045" s="95"/>
      <c r="S1045" s="154"/>
      <c r="T1045" s="84"/>
      <c r="U1045" s="84"/>
      <c r="V1045" s="84"/>
      <c r="W1045" s="84"/>
      <c r="X1045" s="84"/>
      <c r="Y1045" s="84"/>
      <c r="Z1045" s="84"/>
      <c r="AA1045" s="84"/>
      <c r="AB1045" s="84"/>
      <c r="AC1045" s="84"/>
    </row>
    <row r="1046" ht="15.75" customHeight="1">
      <c r="A1046" s="14" t="s">
        <v>17</v>
      </c>
      <c r="B1046" s="14">
        <v>2008.0</v>
      </c>
      <c r="C1046" s="14" t="s">
        <v>19722</v>
      </c>
      <c r="D1046" s="14" t="s">
        <v>19723</v>
      </c>
      <c r="E1046" s="150" t="str">
        <f t="shared" si="13"/>
        <v>http://dx.doi.org/10.1109/TVCG.2008.126</v>
      </c>
      <c r="F1046" s="14">
        <v>1755.0</v>
      </c>
      <c r="G1046" s="14">
        <v>1762.0</v>
      </c>
      <c r="H1046" s="151"/>
      <c r="I1046" s="14" t="s">
        <v>17059</v>
      </c>
      <c r="J1046" s="14" t="s">
        <v>19724</v>
      </c>
      <c r="K1046" s="14" t="s">
        <v>34564</v>
      </c>
      <c r="L1046" s="152" t="s">
        <v>20764</v>
      </c>
      <c r="M1046" s="14" t="s">
        <v>34565</v>
      </c>
      <c r="N1046" s="54" t="s">
        <v>34566</v>
      </c>
      <c r="O1046" s="130" t="s">
        <v>19728</v>
      </c>
      <c r="P1046" s="153" t="s">
        <v>19729</v>
      </c>
      <c r="Q1046" s="14">
        <v>4658200.0</v>
      </c>
      <c r="R1046" s="95"/>
      <c r="S1046" s="154" t="s">
        <v>34567</v>
      </c>
      <c r="T1046" s="84"/>
      <c r="U1046" s="84"/>
      <c r="V1046" s="84"/>
      <c r="W1046" s="84"/>
      <c r="X1046" s="84"/>
      <c r="Y1046" s="84"/>
      <c r="Z1046" s="84"/>
      <c r="AA1046" s="84"/>
      <c r="AB1046" s="84"/>
      <c r="AC1046" s="84"/>
    </row>
    <row r="1047" ht="15.75" customHeight="1">
      <c r="A1047" s="14" t="s">
        <v>17</v>
      </c>
      <c r="B1047" s="14">
        <v>2008.0</v>
      </c>
      <c r="C1047" s="14" t="s">
        <v>19732</v>
      </c>
      <c r="D1047" s="14" t="s">
        <v>19733</v>
      </c>
      <c r="E1047" s="150" t="str">
        <f t="shared" si="13"/>
        <v>http://dx.doi.org/10.1109/TVCG.2008.128</v>
      </c>
      <c r="F1047" s="14">
        <v>1635.0</v>
      </c>
      <c r="G1047" s="14">
        <v>1642.0</v>
      </c>
      <c r="H1047" s="151"/>
      <c r="I1047" s="14" t="s">
        <v>17059</v>
      </c>
      <c r="J1047" s="14" t="s">
        <v>19734</v>
      </c>
      <c r="K1047" s="14" t="s">
        <v>34568</v>
      </c>
      <c r="L1047" s="152" t="s">
        <v>20768</v>
      </c>
      <c r="M1047" s="14" t="s">
        <v>34570</v>
      </c>
      <c r="N1047" s="54" t="s">
        <v>34568</v>
      </c>
      <c r="O1047" s="130" t="s">
        <v>16254</v>
      </c>
      <c r="P1047" s="153" t="s">
        <v>19738</v>
      </c>
      <c r="Q1047" s="14">
        <v>4658185.0</v>
      </c>
      <c r="R1047" s="95"/>
      <c r="S1047" s="154">
        <v>1532773.0</v>
      </c>
      <c r="T1047" s="84"/>
      <c r="U1047" s="84"/>
      <c r="V1047" s="84"/>
      <c r="W1047" s="84"/>
      <c r="X1047" s="84"/>
      <c r="Y1047" s="84"/>
      <c r="Z1047" s="84"/>
      <c r="AA1047" s="84"/>
      <c r="AB1047" s="84"/>
      <c r="AC1047" s="84"/>
    </row>
    <row r="1048" ht="15.75" customHeight="1">
      <c r="A1048" s="14" t="s">
        <v>17</v>
      </c>
      <c r="B1048" s="14">
        <v>2008.0</v>
      </c>
      <c r="C1048" s="14" t="s">
        <v>19740</v>
      </c>
      <c r="D1048" s="14" t="s">
        <v>19741</v>
      </c>
      <c r="E1048" s="150" t="str">
        <f t="shared" si="13"/>
        <v>http://dx.doi.org/10.1109/TVCG.2008.131</v>
      </c>
      <c r="F1048" s="14">
        <v>1436.0</v>
      </c>
      <c r="G1048" s="14">
        <v>1451.0</v>
      </c>
      <c r="H1048" s="151"/>
      <c r="I1048" s="14" t="s">
        <v>17059</v>
      </c>
      <c r="J1048" s="14" t="s">
        <v>19742</v>
      </c>
      <c r="K1048" s="14" t="s">
        <v>34572</v>
      </c>
      <c r="L1048" s="152" t="s">
        <v>20774</v>
      </c>
      <c r="M1048" s="14" t="s">
        <v>34573</v>
      </c>
      <c r="N1048" s="54" t="s">
        <v>34572</v>
      </c>
      <c r="O1048" s="130" t="s">
        <v>19746</v>
      </c>
      <c r="P1048" s="153" t="s">
        <v>19747</v>
      </c>
      <c r="Q1048" s="14">
        <v>4658160.0</v>
      </c>
      <c r="R1048" s="95"/>
      <c r="S1048" s="154" t="s">
        <v>34574</v>
      </c>
      <c r="T1048" s="84"/>
      <c r="U1048" s="84"/>
      <c r="V1048" s="84"/>
      <c r="W1048" s="84"/>
      <c r="X1048" s="84"/>
      <c r="Y1048" s="84"/>
      <c r="Z1048" s="84"/>
      <c r="AA1048" s="84"/>
      <c r="AB1048" s="84"/>
      <c r="AC1048" s="84"/>
    </row>
    <row r="1049" ht="15.75" customHeight="1">
      <c r="A1049" s="14" t="s">
        <v>17</v>
      </c>
      <c r="B1049" s="14">
        <v>2008.0</v>
      </c>
      <c r="C1049" s="14" t="s">
        <v>19748</v>
      </c>
      <c r="D1049" s="14" t="s">
        <v>19749</v>
      </c>
      <c r="E1049" s="150" t="str">
        <f t="shared" si="13"/>
        <v>http://dx.doi.org/10.1109/TVCG.2008.132</v>
      </c>
      <c r="F1049" s="14">
        <v>1731.0</v>
      </c>
      <c r="G1049" s="14">
        <v>1738.0</v>
      </c>
      <c r="H1049" s="151"/>
      <c r="I1049" s="14" t="s">
        <v>17059</v>
      </c>
      <c r="J1049" s="14" t="s">
        <v>19750</v>
      </c>
      <c r="K1049" s="14" t="s">
        <v>19751</v>
      </c>
      <c r="L1049" s="152" t="s">
        <v>20776</v>
      </c>
      <c r="M1049" s="14" t="s">
        <v>34579</v>
      </c>
      <c r="N1049" s="54" t="s">
        <v>19751</v>
      </c>
      <c r="O1049" s="130" t="s">
        <v>19754</v>
      </c>
      <c r="P1049" s="153" t="s">
        <v>19755</v>
      </c>
      <c r="Q1049" s="14">
        <v>4658197.0</v>
      </c>
      <c r="R1049" s="95"/>
      <c r="S1049" s="154" t="s">
        <v>34580</v>
      </c>
      <c r="T1049" s="84"/>
      <c r="U1049" s="84"/>
      <c r="V1049" s="84"/>
      <c r="W1049" s="84"/>
      <c r="X1049" s="84"/>
      <c r="Y1049" s="84"/>
      <c r="Z1049" s="84"/>
      <c r="AA1049" s="84"/>
      <c r="AB1049" s="84"/>
      <c r="AC1049" s="84"/>
    </row>
    <row r="1050" ht="15.75" customHeight="1">
      <c r="A1050" s="14" t="s">
        <v>17</v>
      </c>
      <c r="B1050" s="14">
        <v>2008.0</v>
      </c>
      <c r="C1050" s="14" t="s">
        <v>19756</v>
      </c>
      <c r="D1050" s="14" t="s">
        <v>19757</v>
      </c>
      <c r="E1050" s="150" t="str">
        <f t="shared" si="13"/>
        <v>http://dx.doi.org/10.1109/TVCG.2008.133</v>
      </c>
      <c r="F1050" s="14">
        <v>1404.0</v>
      </c>
      <c r="G1050" s="14">
        <v>1411.0</v>
      </c>
      <c r="H1050" s="151"/>
      <c r="I1050" s="14" t="s">
        <v>17059</v>
      </c>
      <c r="J1050" s="14" t="s">
        <v>19759</v>
      </c>
      <c r="K1050" s="14" t="s">
        <v>34581</v>
      </c>
      <c r="L1050" s="152" t="s">
        <v>20778</v>
      </c>
      <c r="M1050" s="14" t="s">
        <v>34582</v>
      </c>
      <c r="N1050" s="54" t="s">
        <v>34581</v>
      </c>
      <c r="O1050" s="130" t="s">
        <v>19762</v>
      </c>
      <c r="P1050" s="153" t="s">
        <v>19763</v>
      </c>
      <c r="Q1050" s="14">
        <v>4658156.0</v>
      </c>
      <c r="R1050" s="95"/>
      <c r="S1050" s="154" t="s">
        <v>34585</v>
      </c>
      <c r="T1050" s="84"/>
      <c r="U1050" s="84"/>
      <c r="V1050" s="84"/>
      <c r="W1050" s="84"/>
      <c r="X1050" s="84"/>
      <c r="Y1050" s="84"/>
      <c r="Z1050" s="84"/>
      <c r="AA1050" s="84"/>
      <c r="AB1050" s="84"/>
      <c r="AC1050" s="84"/>
    </row>
    <row r="1051" ht="15.75" customHeight="1">
      <c r="A1051" s="14" t="s">
        <v>17</v>
      </c>
      <c r="B1051" s="14">
        <v>2008.0</v>
      </c>
      <c r="C1051" s="14" t="s">
        <v>19764</v>
      </c>
      <c r="D1051" s="14" t="s">
        <v>19765</v>
      </c>
      <c r="E1051" s="150" t="str">
        <f t="shared" si="13"/>
        <v>http://dx.doi.org/10.1109/TVCG.2008.134</v>
      </c>
      <c r="F1051" s="14">
        <v>1643.0</v>
      </c>
      <c r="G1051" s="14">
        <v>1650.0</v>
      </c>
      <c r="H1051" s="151"/>
      <c r="I1051" s="14" t="s">
        <v>17059</v>
      </c>
      <c r="J1051" s="14" t="s">
        <v>19766</v>
      </c>
      <c r="K1051" s="14" t="s">
        <v>19767</v>
      </c>
      <c r="L1051" s="152" t="s">
        <v>20780</v>
      </c>
      <c r="M1051" s="14" t="s">
        <v>34586</v>
      </c>
      <c r="N1051" s="54" t="s">
        <v>19767</v>
      </c>
      <c r="O1051" s="130"/>
      <c r="P1051" s="153" t="s">
        <v>19768</v>
      </c>
      <c r="Q1051" s="14">
        <v>4658186.0</v>
      </c>
      <c r="R1051" s="95"/>
      <c r="S1051" s="154"/>
      <c r="T1051" s="84"/>
      <c r="U1051" s="84"/>
      <c r="V1051" s="84"/>
      <c r="W1051" s="84"/>
      <c r="X1051" s="84"/>
      <c r="Y1051" s="84"/>
      <c r="Z1051" s="84"/>
      <c r="AA1051" s="84"/>
      <c r="AB1051" s="84"/>
      <c r="AC1051" s="84"/>
    </row>
    <row r="1052" ht="15.75" customHeight="1">
      <c r="A1052" s="14" t="s">
        <v>17</v>
      </c>
      <c r="B1052" s="14">
        <v>2008.0</v>
      </c>
      <c r="C1052" s="14" t="s">
        <v>19769</v>
      </c>
      <c r="D1052" s="14" t="s">
        <v>19770</v>
      </c>
      <c r="E1052" s="150" t="str">
        <f t="shared" si="13"/>
        <v>http://dx.doi.org/10.1109/TVCG.2008.136</v>
      </c>
      <c r="F1052" s="14">
        <v>1499.0</v>
      </c>
      <c r="G1052" s="14">
        <v>1506.0</v>
      </c>
      <c r="H1052" s="151"/>
      <c r="I1052" s="14" t="s">
        <v>17059</v>
      </c>
      <c r="J1052" s="14" t="s">
        <v>19772</v>
      </c>
      <c r="K1052" s="14" t="s">
        <v>34587</v>
      </c>
      <c r="L1052" s="152" t="s">
        <v>20785</v>
      </c>
      <c r="M1052" s="14" t="s">
        <v>34588</v>
      </c>
      <c r="N1052" s="54" t="s">
        <v>34587</v>
      </c>
      <c r="O1052" s="130" t="s">
        <v>19776</v>
      </c>
      <c r="P1052" s="153" t="s">
        <v>19777</v>
      </c>
      <c r="Q1052" s="14">
        <v>4658168.0</v>
      </c>
      <c r="R1052" s="95"/>
      <c r="S1052" s="154" t="s">
        <v>34589</v>
      </c>
      <c r="T1052" s="84"/>
      <c r="U1052" s="84"/>
      <c r="V1052" s="84"/>
      <c r="W1052" s="84"/>
      <c r="X1052" s="84"/>
      <c r="Y1052" s="84"/>
      <c r="Z1052" s="84"/>
      <c r="AA1052" s="84"/>
      <c r="AB1052" s="84"/>
      <c r="AC1052" s="84"/>
    </row>
    <row r="1053" ht="15.75" customHeight="1">
      <c r="A1053" s="14" t="s">
        <v>17</v>
      </c>
      <c r="B1053" s="14">
        <v>2008.0</v>
      </c>
      <c r="C1053" s="14" t="s">
        <v>19779</v>
      </c>
      <c r="D1053" s="14" t="s">
        <v>19780</v>
      </c>
      <c r="E1053" s="150" t="str">
        <f t="shared" si="13"/>
        <v>http://dx.doi.org/10.1109/TVCG.2008.139</v>
      </c>
      <c r="F1053" s="14">
        <v>1579.0</v>
      </c>
      <c r="G1053" s="14">
        <v>1586.0</v>
      </c>
      <c r="H1053" s="151"/>
      <c r="I1053" s="14" t="s">
        <v>17059</v>
      </c>
      <c r="J1053" s="14" t="s">
        <v>19781</v>
      </c>
      <c r="K1053" s="14" t="s">
        <v>34590</v>
      </c>
      <c r="L1053" s="152" t="s">
        <v>20792</v>
      </c>
      <c r="M1053" s="14" t="s">
        <v>34591</v>
      </c>
      <c r="N1053" s="54" t="s">
        <v>34590</v>
      </c>
      <c r="O1053" s="130" t="s">
        <v>19785</v>
      </c>
      <c r="P1053" s="153" t="s">
        <v>19786</v>
      </c>
      <c r="Q1053" s="14">
        <v>4658178.0</v>
      </c>
      <c r="R1053" s="95"/>
      <c r="S1053" s="154" t="s">
        <v>34592</v>
      </c>
      <c r="T1053" s="84"/>
      <c r="U1053" s="84"/>
      <c r="V1053" s="84"/>
      <c r="W1053" s="84"/>
      <c r="X1053" s="84"/>
      <c r="Y1053" s="84"/>
      <c r="Z1053" s="84"/>
      <c r="AA1053" s="84"/>
      <c r="AB1053" s="84"/>
      <c r="AC1053" s="84"/>
    </row>
    <row r="1054" ht="15.75" customHeight="1">
      <c r="A1054" s="14" t="s">
        <v>17</v>
      </c>
      <c r="B1054" s="14">
        <v>2008.0</v>
      </c>
      <c r="C1054" s="14" t="s">
        <v>19787</v>
      </c>
      <c r="D1054" s="14" t="s">
        <v>19788</v>
      </c>
      <c r="E1054" s="150" t="str">
        <f t="shared" si="13"/>
        <v>http://dx.doi.org/10.1109/TVCG.2008.140</v>
      </c>
      <c r="F1054" s="14">
        <v>1547.0</v>
      </c>
      <c r="G1054" s="14">
        <v>1554.0</v>
      </c>
      <c r="H1054" s="151"/>
      <c r="I1054" s="14" t="s">
        <v>17059</v>
      </c>
      <c r="J1054" s="14" t="s">
        <v>19789</v>
      </c>
      <c r="K1054" s="14" t="s">
        <v>19790</v>
      </c>
      <c r="L1054" s="152" t="s">
        <v>20794</v>
      </c>
      <c r="M1054" s="14" t="s">
        <v>34593</v>
      </c>
      <c r="N1054" s="54" t="s">
        <v>19790</v>
      </c>
      <c r="O1054" s="130" t="s">
        <v>19792</v>
      </c>
      <c r="P1054" s="153" t="s">
        <v>19793</v>
      </c>
      <c r="Q1054" s="14">
        <v>4658174.0</v>
      </c>
      <c r="R1054" s="95"/>
      <c r="S1054" s="154" t="s">
        <v>34594</v>
      </c>
      <c r="T1054" s="84"/>
      <c r="U1054" s="84"/>
      <c r="V1054" s="84"/>
      <c r="W1054" s="84"/>
      <c r="X1054" s="84"/>
      <c r="Y1054" s="84"/>
      <c r="Z1054" s="84"/>
      <c r="AA1054" s="84"/>
      <c r="AB1054" s="84"/>
      <c r="AC1054" s="84"/>
    </row>
    <row r="1055" ht="15.75" customHeight="1">
      <c r="A1055" s="14" t="s">
        <v>17</v>
      </c>
      <c r="B1055" s="14">
        <v>2008.0</v>
      </c>
      <c r="C1055" s="14" t="s">
        <v>19794</v>
      </c>
      <c r="D1055" s="14" t="s">
        <v>19795</v>
      </c>
      <c r="E1055" s="150" t="str">
        <f t="shared" si="13"/>
        <v>http://dx.doi.org/10.1109/TVCG.2008.142</v>
      </c>
      <c r="F1055" s="14">
        <v>1515.0</v>
      </c>
      <c r="G1055" s="14">
        <v>1522.0</v>
      </c>
      <c r="H1055" s="151"/>
      <c r="I1055" s="14" t="s">
        <v>17059</v>
      </c>
      <c r="J1055" s="14" t="s">
        <v>19797</v>
      </c>
      <c r="K1055" s="14" t="s">
        <v>34596</v>
      </c>
      <c r="L1055" s="152" t="s">
        <v>20798</v>
      </c>
      <c r="M1055" s="14" t="s">
        <v>34597</v>
      </c>
      <c r="N1055" s="54" t="s">
        <v>34596</v>
      </c>
      <c r="O1055" s="130" t="s">
        <v>19802</v>
      </c>
      <c r="P1055" s="153" t="s">
        <v>19803</v>
      </c>
      <c r="Q1055" s="14">
        <v>4658170.0</v>
      </c>
      <c r="R1055" s="95"/>
      <c r="S1055" s="154" t="s">
        <v>34598</v>
      </c>
      <c r="T1055" s="84"/>
      <c r="U1055" s="84"/>
      <c r="V1055" s="84"/>
      <c r="W1055" s="84"/>
      <c r="X1055" s="84"/>
      <c r="Y1055" s="84"/>
      <c r="Z1055" s="84"/>
      <c r="AA1055" s="84"/>
      <c r="AB1055" s="84"/>
      <c r="AC1055" s="84"/>
    </row>
    <row r="1056" ht="15.75" customHeight="1">
      <c r="A1056" s="14" t="s">
        <v>17</v>
      </c>
      <c r="B1056" s="14">
        <v>2008.0</v>
      </c>
      <c r="C1056" s="14" t="s">
        <v>19804</v>
      </c>
      <c r="D1056" s="14" t="s">
        <v>19805</v>
      </c>
      <c r="E1056" s="150" t="str">
        <f t="shared" si="13"/>
        <v>http://dx.doi.org/10.1109/TVCG.2008.143</v>
      </c>
      <c r="F1056" s="14">
        <v>1475.0</v>
      </c>
      <c r="G1056" s="14">
        <v>1482.0</v>
      </c>
      <c r="H1056" s="151"/>
      <c r="I1056" s="14" t="s">
        <v>17059</v>
      </c>
      <c r="J1056" s="14" t="s">
        <v>19806</v>
      </c>
      <c r="K1056" s="14" t="s">
        <v>34600</v>
      </c>
      <c r="L1056" s="152" t="s">
        <v>20800</v>
      </c>
      <c r="M1056" s="14" t="s">
        <v>34601</v>
      </c>
      <c r="N1056" s="54" t="s">
        <v>34600</v>
      </c>
      <c r="O1056" s="130" t="s">
        <v>19810</v>
      </c>
      <c r="P1056" s="153" t="s">
        <v>19811</v>
      </c>
      <c r="Q1056" s="14">
        <v>4658165.0</v>
      </c>
      <c r="R1056" s="95"/>
      <c r="S1056" s="154" t="s">
        <v>34602</v>
      </c>
      <c r="T1056" s="84"/>
      <c r="U1056" s="84"/>
      <c r="V1056" s="84"/>
      <c r="W1056" s="84"/>
      <c r="X1056" s="84"/>
      <c r="Y1056" s="84"/>
      <c r="Z1056" s="84"/>
      <c r="AA1056" s="84"/>
      <c r="AB1056" s="84"/>
      <c r="AC1056" s="84"/>
    </row>
    <row r="1057" ht="15.75" customHeight="1">
      <c r="A1057" s="14" t="s">
        <v>17</v>
      </c>
      <c r="B1057" s="14">
        <v>2008.0</v>
      </c>
      <c r="C1057" s="14" t="s">
        <v>19812</v>
      </c>
      <c r="D1057" s="14" t="s">
        <v>19813</v>
      </c>
      <c r="E1057" s="150" t="str">
        <f t="shared" si="13"/>
        <v>http://dx.doi.org/10.1109/TVCG.2008.145</v>
      </c>
      <c r="F1057" s="14">
        <v>1699.0</v>
      </c>
      <c r="G1057" s="14">
        <v>1706.0</v>
      </c>
      <c r="H1057" s="151"/>
      <c r="I1057" s="14" t="s">
        <v>17059</v>
      </c>
      <c r="J1057" s="14" t="s">
        <v>19814</v>
      </c>
      <c r="K1057" s="14" t="s">
        <v>34603</v>
      </c>
      <c r="L1057" s="152" t="s">
        <v>19405</v>
      </c>
      <c r="M1057" s="14" t="s">
        <v>34604</v>
      </c>
      <c r="N1057" s="54" t="s">
        <v>34603</v>
      </c>
      <c r="O1057" s="130" t="s">
        <v>19818</v>
      </c>
      <c r="P1057" s="153" t="s">
        <v>19819</v>
      </c>
      <c r="Q1057" s="14">
        <v>4658193.0</v>
      </c>
      <c r="R1057" s="95"/>
      <c r="S1057" s="154" t="s">
        <v>34605</v>
      </c>
      <c r="T1057" s="84"/>
      <c r="U1057" s="84"/>
      <c r="V1057" s="84"/>
      <c r="W1057" s="84"/>
      <c r="X1057" s="84"/>
      <c r="Y1057" s="84"/>
      <c r="Z1057" s="84"/>
      <c r="AA1057" s="84"/>
      <c r="AB1057" s="84"/>
      <c r="AC1057" s="84"/>
    </row>
    <row r="1058" ht="15.75" customHeight="1">
      <c r="A1058" s="14" t="s">
        <v>17</v>
      </c>
      <c r="B1058" s="14">
        <v>2008.0</v>
      </c>
      <c r="C1058" s="14" t="s">
        <v>19820</v>
      </c>
      <c r="D1058" s="14" t="s">
        <v>19821</v>
      </c>
      <c r="E1058" s="150" t="str">
        <f t="shared" si="13"/>
        <v>http://dx.doi.org/10.1109/TVCG.2008.146</v>
      </c>
      <c r="F1058" s="14">
        <v>1420.0</v>
      </c>
      <c r="G1058" s="14">
        <v>1427.0</v>
      </c>
      <c r="H1058" s="151"/>
      <c r="I1058" s="14" t="s">
        <v>17059</v>
      </c>
      <c r="J1058" s="14" t="s">
        <v>19822</v>
      </c>
      <c r="K1058" s="14" t="s">
        <v>34606</v>
      </c>
      <c r="L1058" s="152" t="s">
        <v>20805</v>
      </c>
      <c r="M1058" s="14" t="s">
        <v>34607</v>
      </c>
      <c r="N1058" s="54" t="s">
        <v>34608</v>
      </c>
      <c r="O1058" s="130" t="s">
        <v>19827</v>
      </c>
      <c r="P1058" s="153" t="s">
        <v>19828</v>
      </c>
      <c r="Q1058" s="14">
        <v>4658158.0</v>
      </c>
      <c r="R1058" s="95"/>
      <c r="S1058" s="154" t="s">
        <v>34609</v>
      </c>
      <c r="T1058" s="84"/>
      <c r="U1058" s="84"/>
      <c r="V1058" s="84"/>
      <c r="W1058" s="84"/>
      <c r="X1058" s="84"/>
      <c r="Y1058" s="84"/>
      <c r="Z1058" s="84"/>
      <c r="AA1058" s="84"/>
      <c r="AB1058" s="84"/>
      <c r="AC1058" s="84"/>
    </row>
    <row r="1059" ht="15.75" customHeight="1">
      <c r="A1059" s="14" t="s">
        <v>17</v>
      </c>
      <c r="B1059" s="14">
        <v>2008.0</v>
      </c>
      <c r="C1059" s="14" t="s">
        <v>19829</v>
      </c>
      <c r="D1059" s="14" t="s">
        <v>19830</v>
      </c>
      <c r="E1059" s="150" t="str">
        <f t="shared" si="13"/>
        <v>http://dx.doi.org/10.1109/TVCG.2008.147</v>
      </c>
      <c r="F1059" s="14">
        <v>1507.0</v>
      </c>
      <c r="G1059" s="14">
        <v>1514.0</v>
      </c>
      <c r="H1059" s="151"/>
      <c r="I1059" s="14" t="s">
        <v>17059</v>
      </c>
      <c r="J1059" s="14" t="s">
        <v>19831</v>
      </c>
      <c r="K1059" s="14" t="s">
        <v>34610</v>
      </c>
      <c r="L1059" s="152" t="s">
        <v>20808</v>
      </c>
      <c r="M1059" s="14" t="s">
        <v>34611</v>
      </c>
      <c r="N1059" s="54" t="s">
        <v>34610</v>
      </c>
      <c r="O1059" s="130" t="s">
        <v>19835</v>
      </c>
      <c r="P1059" s="153" t="s">
        <v>19836</v>
      </c>
      <c r="Q1059" s="14">
        <v>4658169.0</v>
      </c>
      <c r="R1059" s="95"/>
      <c r="S1059" s="154" t="s">
        <v>34612</v>
      </c>
      <c r="T1059" s="84"/>
      <c r="U1059" s="84"/>
      <c r="V1059" s="84"/>
      <c r="W1059" s="84"/>
      <c r="X1059" s="84"/>
      <c r="Y1059" s="84"/>
      <c r="Z1059" s="84"/>
      <c r="AA1059" s="84"/>
      <c r="AB1059" s="84"/>
      <c r="AC1059" s="84"/>
    </row>
    <row r="1060" ht="15.75" customHeight="1">
      <c r="A1060" s="14" t="s">
        <v>17</v>
      </c>
      <c r="B1060" s="14">
        <v>2008.0</v>
      </c>
      <c r="C1060" s="14" t="s">
        <v>19837</v>
      </c>
      <c r="D1060" s="14" t="s">
        <v>19838</v>
      </c>
      <c r="E1060" s="150" t="str">
        <f t="shared" si="13"/>
        <v>http://dx.doi.org/10.1109/TVCG.2008.148</v>
      </c>
      <c r="F1060" s="14">
        <v>1627.0</v>
      </c>
      <c r="G1060" s="14">
        <v>1634.0</v>
      </c>
      <c r="H1060" s="151"/>
      <c r="I1060" s="14" t="s">
        <v>17059</v>
      </c>
      <c r="J1060" s="14" t="s">
        <v>19839</v>
      </c>
      <c r="K1060" s="14" t="s">
        <v>34613</v>
      </c>
      <c r="L1060" s="152" t="s">
        <v>20810</v>
      </c>
      <c r="M1060" s="14" t="s">
        <v>34614</v>
      </c>
      <c r="N1060" s="54" t="s">
        <v>34613</v>
      </c>
      <c r="O1060" s="130" t="s">
        <v>19844</v>
      </c>
      <c r="P1060" s="153" t="s">
        <v>19845</v>
      </c>
      <c r="Q1060" s="14">
        <v>4658184.0</v>
      </c>
      <c r="R1060" s="95"/>
      <c r="S1060" s="154" t="s">
        <v>34615</v>
      </c>
      <c r="T1060" s="84"/>
      <c r="U1060" s="84"/>
      <c r="V1060" s="84"/>
      <c r="W1060" s="84"/>
      <c r="X1060" s="84"/>
      <c r="Y1060" s="84"/>
      <c r="Z1060" s="84"/>
      <c r="AA1060" s="84"/>
      <c r="AB1060" s="84"/>
      <c r="AC1060" s="84"/>
    </row>
    <row r="1061" ht="15.75" customHeight="1">
      <c r="A1061" s="14" t="s">
        <v>17</v>
      </c>
      <c r="B1061" s="14">
        <v>2008.0</v>
      </c>
      <c r="C1061" s="14" t="s">
        <v>19847</v>
      </c>
      <c r="D1061" s="14" t="s">
        <v>19848</v>
      </c>
      <c r="E1061" s="150" t="str">
        <f t="shared" si="13"/>
        <v>http://dx.doi.org/10.1109/TVCG.2008.150</v>
      </c>
      <c r="F1061" s="14">
        <v>1587.0</v>
      </c>
      <c r="G1061" s="14">
        <v>1594.0</v>
      </c>
      <c r="H1061" s="151"/>
      <c r="I1061" s="14" t="s">
        <v>17059</v>
      </c>
      <c r="J1061" s="14" t="s">
        <v>19849</v>
      </c>
      <c r="K1061" s="14" t="s">
        <v>34616</v>
      </c>
      <c r="L1061" s="152" t="s">
        <v>20819</v>
      </c>
      <c r="M1061" s="14" t="s">
        <v>34617</v>
      </c>
      <c r="N1061" s="54" t="s">
        <v>34616</v>
      </c>
      <c r="O1061" s="130" t="s">
        <v>19853</v>
      </c>
      <c r="P1061" s="153" t="s">
        <v>19854</v>
      </c>
      <c r="Q1061" s="14">
        <v>4658179.0</v>
      </c>
      <c r="R1061" s="95"/>
      <c r="S1061" s="154" t="s">
        <v>34618</v>
      </c>
      <c r="T1061" s="84"/>
      <c r="U1061" s="84"/>
      <c r="V1061" s="84"/>
      <c r="W1061" s="84"/>
      <c r="X1061" s="84"/>
      <c r="Y1061" s="84"/>
      <c r="Z1061" s="84"/>
      <c r="AA1061" s="84"/>
      <c r="AB1061" s="84"/>
      <c r="AC1061" s="84"/>
    </row>
    <row r="1062" ht="15.75" customHeight="1">
      <c r="A1062" s="14" t="s">
        <v>17</v>
      </c>
      <c r="B1062" s="14">
        <v>2008.0</v>
      </c>
      <c r="C1062" s="14" t="s">
        <v>19855</v>
      </c>
      <c r="D1062" s="14" t="s">
        <v>19856</v>
      </c>
      <c r="E1062" s="150" t="str">
        <f t="shared" si="13"/>
        <v>http://dx.doi.org/10.1109/TVCG.2008.154</v>
      </c>
      <c r="F1062" s="14">
        <v>1539.0</v>
      </c>
      <c r="G1062" s="14">
        <v>1546.0</v>
      </c>
      <c r="H1062" s="151"/>
      <c r="I1062" s="14" t="s">
        <v>17059</v>
      </c>
      <c r="J1062" s="14" t="s">
        <v>19857</v>
      </c>
      <c r="K1062" s="14" t="s">
        <v>34622</v>
      </c>
      <c r="L1062" s="152" t="s">
        <v>20890</v>
      </c>
      <c r="M1062" s="14" t="s">
        <v>34623</v>
      </c>
      <c r="N1062" s="54" t="s">
        <v>34624</v>
      </c>
      <c r="O1062" s="130" t="s">
        <v>19860</v>
      </c>
      <c r="P1062" s="153" t="s">
        <v>19861</v>
      </c>
      <c r="Q1062" s="14">
        <v>4658173.0</v>
      </c>
      <c r="R1062" s="95"/>
      <c r="S1062" s="154" t="s">
        <v>34625</v>
      </c>
      <c r="T1062" s="84"/>
      <c r="U1062" s="84"/>
      <c r="V1062" s="84"/>
      <c r="W1062" s="84"/>
      <c r="X1062" s="84"/>
      <c r="Y1062" s="84"/>
      <c r="Z1062" s="84"/>
      <c r="AA1062" s="84"/>
      <c r="AB1062" s="84"/>
      <c r="AC1062" s="84"/>
    </row>
    <row r="1063" ht="15.75" customHeight="1">
      <c r="A1063" s="14" t="s">
        <v>17</v>
      </c>
      <c r="B1063" s="14">
        <v>2008.0</v>
      </c>
      <c r="C1063" s="14" t="s">
        <v>19862</v>
      </c>
      <c r="D1063" s="14" t="s">
        <v>19863</v>
      </c>
      <c r="E1063" s="150" t="str">
        <f t="shared" si="13"/>
        <v>http://dx.doi.org/10.1109/TVCG.2008.157</v>
      </c>
      <c r="F1063" s="14">
        <v>1715.0</v>
      </c>
      <c r="G1063" s="14">
        <v>1722.0</v>
      </c>
      <c r="H1063" s="151"/>
      <c r="I1063" s="14" t="s">
        <v>17059</v>
      </c>
      <c r="J1063" s="14" t="s">
        <v>19865</v>
      </c>
      <c r="K1063" s="14" t="s">
        <v>34626</v>
      </c>
      <c r="L1063" s="152" t="s">
        <v>20932</v>
      </c>
      <c r="M1063" s="14" t="s">
        <v>5349</v>
      </c>
      <c r="N1063" s="54" t="s">
        <v>34627</v>
      </c>
      <c r="O1063" s="130" t="s">
        <v>19868</v>
      </c>
      <c r="P1063" s="153" t="s">
        <v>19869</v>
      </c>
      <c r="Q1063" s="14">
        <v>4658195.0</v>
      </c>
      <c r="R1063" s="95"/>
      <c r="S1063" s="154" t="s">
        <v>34628</v>
      </c>
      <c r="T1063" s="84"/>
      <c r="U1063" s="84"/>
      <c r="V1063" s="84"/>
      <c r="W1063" s="84"/>
      <c r="X1063" s="84"/>
      <c r="Y1063" s="84"/>
      <c r="Z1063" s="84"/>
      <c r="AA1063" s="84"/>
      <c r="AB1063" s="84"/>
      <c r="AC1063" s="84"/>
    </row>
    <row r="1064" ht="15.75" customHeight="1">
      <c r="A1064" s="14" t="s">
        <v>17</v>
      </c>
      <c r="B1064" s="14">
        <v>2008.0</v>
      </c>
      <c r="C1064" s="14" t="s">
        <v>19870</v>
      </c>
      <c r="D1064" s="14" t="s">
        <v>19871</v>
      </c>
      <c r="E1064" s="150" t="str">
        <f t="shared" si="13"/>
        <v>http://dx.doi.org/10.1109/TVCG.2008.159</v>
      </c>
      <c r="F1064" s="14">
        <v>1683.0</v>
      </c>
      <c r="G1064" s="14">
        <v>1690.0</v>
      </c>
      <c r="H1064" s="151"/>
      <c r="I1064" s="14" t="s">
        <v>17059</v>
      </c>
      <c r="J1064" s="14" t="s">
        <v>19872</v>
      </c>
      <c r="K1064" s="14" t="s">
        <v>19873</v>
      </c>
      <c r="L1064" s="152" t="s">
        <v>20964</v>
      </c>
      <c r="M1064" s="14" t="s">
        <v>34629</v>
      </c>
      <c r="N1064" s="54" t="s">
        <v>19873</v>
      </c>
      <c r="O1064" s="130" t="s">
        <v>19875</v>
      </c>
      <c r="P1064" s="153" t="s">
        <v>19876</v>
      </c>
      <c r="Q1064" s="14">
        <v>4658191.0</v>
      </c>
      <c r="R1064" s="95"/>
      <c r="S1064" s="154" t="s">
        <v>34630</v>
      </c>
      <c r="T1064" s="84"/>
      <c r="U1064" s="84"/>
      <c r="V1064" s="84"/>
      <c r="W1064" s="84"/>
      <c r="X1064" s="84"/>
      <c r="Y1064" s="84"/>
      <c r="Z1064" s="84"/>
      <c r="AA1064" s="84"/>
      <c r="AB1064" s="84"/>
      <c r="AC1064" s="84"/>
    </row>
    <row r="1065" ht="15.75" customHeight="1">
      <c r="A1065" s="14" t="s">
        <v>17</v>
      </c>
      <c r="B1065" s="14">
        <v>2008.0</v>
      </c>
      <c r="C1065" s="14" t="s">
        <v>19878</v>
      </c>
      <c r="D1065" s="14" t="s">
        <v>19879</v>
      </c>
      <c r="E1065" s="150" t="str">
        <f t="shared" si="13"/>
        <v>http://dx.doi.org/10.1109/TVCG.2008.160</v>
      </c>
      <c r="F1065" s="14">
        <v>1659.0</v>
      </c>
      <c r="G1065" s="14">
        <v>1666.0</v>
      </c>
      <c r="H1065" s="151"/>
      <c r="I1065" s="14" t="s">
        <v>17059</v>
      </c>
      <c r="J1065" s="14" t="s">
        <v>19881</v>
      </c>
      <c r="K1065" s="14" t="s">
        <v>34631</v>
      </c>
      <c r="L1065" s="152" t="s">
        <v>20967</v>
      </c>
      <c r="M1065" s="14" t="s">
        <v>880</v>
      </c>
      <c r="N1065" s="54" t="s">
        <v>34632</v>
      </c>
      <c r="O1065" s="130" t="s">
        <v>19884</v>
      </c>
      <c r="P1065" s="153" t="s">
        <v>19885</v>
      </c>
      <c r="Q1065" s="14">
        <v>4658188.0</v>
      </c>
      <c r="R1065" s="95"/>
      <c r="S1065" s="154" t="s">
        <v>34633</v>
      </c>
      <c r="T1065" s="84"/>
      <c r="U1065" s="84"/>
      <c r="V1065" s="84"/>
      <c r="W1065" s="84"/>
      <c r="X1065" s="84"/>
      <c r="Y1065" s="84"/>
      <c r="Z1065" s="84"/>
      <c r="AA1065" s="84"/>
      <c r="AB1065" s="84"/>
      <c r="AC1065" s="84"/>
    </row>
    <row r="1066" ht="15.75" customHeight="1">
      <c r="A1066" s="14" t="s">
        <v>17</v>
      </c>
      <c r="B1066" s="14">
        <v>2008.0</v>
      </c>
      <c r="C1066" s="14" t="s">
        <v>19886</v>
      </c>
      <c r="D1066" s="14" t="s">
        <v>19887</v>
      </c>
      <c r="E1066" s="150" t="str">
        <f t="shared" si="13"/>
        <v>http://dx.doi.org/10.1109/TVCG.2008.161</v>
      </c>
      <c r="F1066" s="14">
        <v>1491.0</v>
      </c>
      <c r="G1066" s="14">
        <v>1498.0</v>
      </c>
      <c r="H1066" s="151"/>
      <c r="I1066" s="14" t="s">
        <v>17059</v>
      </c>
      <c r="J1066" s="14" t="s">
        <v>19888</v>
      </c>
      <c r="K1066" s="14" t="s">
        <v>34635</v>
      </c>
      <c r="L1066" s="152" t="s">
        <v>20983</v>
      </c>
      <c r="M1066" s="14" t="s">
        <v>34636</v>
      </c>
      <c r="N1066" s="54" t="s">
        <v>34635</v>
      </c>
      <c r="O1066" s="130" t="s">
        <v>19892</v>
      </c>
      <c r="P1066" s="153" t="s">
        <v>19893</v>
      </c>
      <c r="Q1066" s="14">
        <v>4658167.0</v>
      </c>
      <c r="R1066" s="95"/>
      <c r="S1066" s="154" t="s">
        <v>34637</v>
      </c>
      <c r="T1066" s="84"/>
      <c r="U1066" s="84"/>
      <c r="V1066" s="84"/>
      <c r="W1066" s="84"/>
      <c r="X1066" s="84"/>
      <c r="Y1066" s="84"/>
      <c r="Z1066" s="84"/>
      <c r="AA1066" s="84"/>
      <c r="AB1066" s="84"/>
      <c r="AC1066" s="84"/>
    </row>
    <row r="1067" ht="15.75" customHeight="1">
      <c r="A1067" s="14" t="s">
        <v>17</v>
      </c>
      <c r="B1067" s="14">
        <v>2008.0</v>
      </c>
      <c r="C1067" s="14" t="s">
        <v>19894</v>
      </c>
      <c r="D1067" s="14" t="s">
        <v>19895</v>
      </c>
      <c r="E1067" s="150" t="str">
        <f t="shared" si="13"/>
        <v>http://dx.doi.org/10.1109/TVCG.2008.162</v>
      </c>
      <c r="F1067" s="14">
        <v>1380.0</v>
      </c>
      <c r="G1067" s="14">
        <v>1387.0</v>
      </c>
      <c r="H1067" s="151"/>
      <c r="I1067" s="14" t="s">
        <v>17059</v>
      </c>
      <c r="J1067" s="14" t="s">
        <v>19897</v>
      </c>
      <c r="K1067" s="14" t="s">
        <v>34201</v>
      </c>
      <c r="L1067" s="152" t="s">
        <v>20944</v>
      </c>
      <c r="M1067" s="14" t="s">
        <v>34202</v>
      </c>
      <c r="N1067" s="54" t="s">
        <v>34201</v>
      </c>
      <c r="O1067" s="130" t="s">
        <v>19901</v>
      </c>
      <c r="P1067" s="153" t="s">
        <v>19902</v>
      </c>
      <c r="Q1067" s="14">
        <v>4658153.0</v>
      </c>
      <c r="R1067" s="95"/>
      <c r="S1067" s="154" t="s">
        <v>34649</v>
      </c>
      <c r="T1067" s="84"/>
      <c r="U1067" s="84"/>
      <c r="V1067" s="84"/>
      <c r="W1067" s="84"/>
      <c r="X1067" s="84"/>
      <c r="Y1067" s="84"/>
      <c r="Z1067" s="84"/>
      <c r="AA1067" s="84"/>
      <c r="AB1067" s="84"/>
      <c r="AC1067" s="84"/>
    </row>
    <row r="1068" ht="15.75" customHeight="1">
      <c r="A1068" s="14" t="s">
        <v>17</v>
      </c>
      <c r="B1068" s="14">
        <v>2008.0</v>
      </c>
      <c r="C1068" s="14" t="s">
        <v>19904</v>
      </c>
      <c r="D1068" s="14" t="s">
        <v>19905</v>
      </c>
      <c r="E1068" s="150" t="str">
        <f t="shared" si="13"/>
        <v>http://dx.doi.org/10.1109/TVCG.2008.163</v>
      </c>
      <c r="F1068" s="14">
        <v>1396.0</v>
      </c>
      <c r="G1068" s="14">
        <v>1403.0</v>
      </c>
      <c r="H1068" s="151"/>
      <c r="I1068" s="14" t="s">
        <v>17059</v>
      </c>
      <c r="J1068" s="14" t="s">
        <v>19906</v>
      </c>
      <c r="K1068" s="14" t="s">
        <v>34651</v>
      </c>
      <c r="L1068" s="152" t="s">
        <v>21022</v>
      </c>
      <c r="M1068" s="14" t="s">
        <v>34652</v>
      </c>
      <c r="N1068" s="54" t="s">
        <v>34651</v>
      </c>
      <c r="O1068" s="130" t="s">
        <v>19909</v>
      </c>
      <c r="P1068" s="153" t="s">
        <v>19910</v>
      </c>
      <c r="Q1068" s="14">
        <v>4658155.0</v>
      </c>
      <c r="R1068" s="95"/>
      <c r="S1068" s="154" t="s">
        <v>34653</v>
      </c>
      <c r="T1068" s="84"/>
      <c r="U1068" s="84"/>
      <c r="V1068" s="84"/>
      <c r="W1068" s="84"/>
      <c r="X1068" s="84"/>
      <c r="Y1068" s="84"/>
      <c r="Z1068" s="84"/>
      <c r="AA1068" s="84"/>
      <c r="AB1068" s="84"/>
      <c r="AC1068" s="84"/>
    </row>
    <row r="1069" ht="15.75" customHeight="1">
      <c r="A1069" s="14" t="s">
        <v>17</v>
      </c>
      <c r="B1069" s="14">
        <v>2008.0</v>
      </c>
      <c r="C1069" s="14" t="s">
        <v>19911</v>
      </c>
      <c r="D1069" s="14" t="s">
        <v>19912</v>
      </c>
      <c r="E1069" s="150" t="str">
        <f t="shared" si="13"/>
        <v>http://dx.doi.org/10.1109/TVCG.2008.164</v>
      </c>
      <c r="F1069" s="14">
        <v>1531.0</v>
      </c>
      <c r="G1069" s="14">
        <v>1546.0</v>
      </c>
      <c r="H1069" s="151"/>
      <c r="I1069" s="14" t="s">
        <v>17059</v>
      </c>
      <c r="J1069" s="14" t="s">
        <v>21041</v>
      </c>
      <c r="K1069" s="14" t="s">
        <v>34654</v>
      </c>
      <c r="L1069" s="152" t="s">
        <v>21044</v>
      </c>
      <c r="M1069" s="14" t="s">
        <v>34655</v>
      </c>
      <c r="N1069" s="54" t="s">
        <v>34654</v>
      </c>
      <c r="O1069" s="130" t="s">
        <v>19916</v>
      </c>
      <c r="P1069" s="153" t="s">
        <v>19917</v>
      </c>
      <c r="Q1069" s="14">
        <v>4658172.0</v>
      </c>
      <c r="R1069" s="95"/>
      <c r="S1069" s="154" t="s">
        <v>34656</v>
      </c>
      <c r="T1069" s="84"/>
      <c r="U1069" s="84"/>
      <c r="V1069" s="84"/>
      <c r="W1069" s="84"/>
      <c r="X1069" s="84"/>
      <c r="Y1069" s="84"/>
      <c r="Z1069" s="84"/>
      <c r="AA1069" s="84"/>
      <c r="AB1069" s="84"/>
      <c r="AC1069" s="84"/>
    </row>
    <row r="1070" ht="15.75" customHeight="1">
      <c r="A1070" s="14" t="s">
        <v>17</v>
      </c>
      <c r="B1070" s="14">
        <v>2008.0</v>
      </c>
      <c r="C1070" s="14" t="s">
        <v>19918</v>
      </c>
      <c r="D1070" s="14" t="s">
        <v>19919</v>
      </c>
      <c r="E1070" s="150" t="str">
        <f t="shared" si="13"/>
        <v>http://dx.doi.org/10.1109/TVCG.2008.167</v>
      </c>
      <c r="F1070" s="14">
        <v>1483.0</v>
      </c>
      <c r="G1070" s="14">
        <v>1490.0</v>
      </c>
      <c r="H1070" s="151"/>
      <c r="I1070" s="14" t="s">
        <v>17059</v>
      </c>
      <c r="J1070" s="14" t="s">
        <v>19920</v>
      </c>
      <c r="K1070" s="14" t="s">
        <v>34657</v>
      </c>
      <c r="L1070" s="152" t="s">
        <v>21090</v>
      </c>
      <c r="M1070" s="14" t="s">
        <v>34658</v>
      </c>
      <c r="N1070" s="54" t="s">
        <v>34657</v>
      </c>
      <c r="O1070" s="130" t="s">
        <v>19923</v>
      </c>
      <c r="P1070" s="153" t="s">
        <v>19924</v>
      </c>
      <c r="Q1070" s="14">
        <v>4658166.0</v>
      </c>
      <c r="R1070" s="95"/>
      <c r="S1070" s="154" t="s">
        <v>34659</v>
      </c>
      <c r="T1070" s="84"/>
      <c r="U1070" s="84"/>
      <c r="V1070" s="84"/>
      <c r="W1070" s="84"/>
      <c r="X1070" s="84"/>
      <c r="Y1070" s="84"/>
      <c r="Z1070" s="84"/>
      <c r="AA1070" s="84"/>
      <c r="AB1070" s="84"/>
      <c r="AC1070" s="84"/>
    </row>
    <row r="1071" ht="15.75" customHeight="1">
      <c r="A1071" s="14" t="s">
        <v>17</v>
      </c>
      <c r="B1071" s="14">
        <v>2008.0</v>
      </c>
      <c r="C1071" s="14" t="s">
        <v>19925</v>
      </c>
      <c r="D1071" s="14" t="s">
        <v>19926</v>
      </c>
      <c r="E1071" s="150" t="str">
        <f t="shared" si="13"/>
        <v>http://dx.doi.org/10.1109/TVCG.2008.168</v>
      </c>
      <c r="F1071" s="14">
        <v>1675.0</v>
      </c>
      <c r="G1071" s="14">
        <v>1682.0</v>
      </c>
      <c r="H1071" s="151"/>
      <c r="I1071" s="14" t="s">
        <v>17059</v>
      </c>
      <c r="J1071" s="14" t="s">
        <v>19928</v>
      </c>
      <c r="K1071" s="14" t="s">
        <v>34660</v>
      </c>
      <c r="L1071" s="152" t="s">
        <v>21110</v>
      </c>
      <c r="M1071" s="14" t="s">
        <v>34661</v>
      </c>
      <c r="N1071" s="54" t="s">
        <v>34660</v>
      </c>
      <c r="O1071" s="130" t="s">
        <v>5832</v>
      </c>
      <c r="P1071" s="153" t="s">
        <v>19930</v>
      </c>
      <c r="Q1071" s="14">
        <v>4658190.0</v>
      </c>
      <c r="R1071" s="95"/>
      <c r="S1071" s="154">
        <v>885705.0</v>
      </c>
      <c r="T1071" s="84"/>
      <c r="U1071" s="84"/>
      <c r="V1071" s="84"/>
      <c r="W1071" s="84"/>
      <c r="X1071" s="84"/>
      <c r="Y1071" s="84"/>
      <c r="Z1071" s="84"/>
      <c r="AA1071" s="84"/>
      <c r="AB1071" s="84"/>
      <c r="AC1071" s="84"/>
    </row>
    <row r="1072" ht="15.75" customHeight="1">
      <c r="A1072" s="14" t="s">
        <v>17</v>
      </c>
      <c r="B1072" s="14">
        <v>2008.0</v>
      </c>
      <c r="C1072" s="14" t="s">
        <v>19932</v>
      </c>
      <c r="D1072" s="14" t="s">
        <v>19933</v>
      </c>
      <c r="E1072" s="150" t="str">
        <f t="shared" si="13"/>
        <v>http://dx.doi.org/10.1109/TVCG.2008.169</v>
      </c>
      <c r="F1072" s="14">
        <v>1364.0</v>
      </c>
      <c r="G1072" s="14">
        <v>1371.0</v>
      </c>
      <c r="H1072" s="151"/>
      <c r="I1072" s="14" t="s">
        <v>17059</v>
      </c>
      <c r="J1072" s="14" t="s">
        <v>19934</v>
      </c>
      <c r="K1072" s="14" t="s">
        <v>34663</v>
      </c>
      <c r="L1072" s="152" t="s">
        <v>14236</v>
      </c>
      <c r="M1072" s="14" t="s">
        <v>34664</v>
      </c>
      <c r="N1072" s="54" t="s">
        <v>34663</v>
      </c>
      <c r="O1072" s="130" t="s">
        <v>19936</v>
      </c>
      <c r="P1072" s="153" t="s">
        <v>19937</v>
      </c>
      <c r="Q1072" s="14">
        <v>4658151.0</v>
      </c>
      <c r="R1072" s="95"/>
      <c r="S1072" s="154" t="s">
        <v>34665</v>
      </c>
      <c r="T1072" s="84"/>
      <c r="U1072" s="84"/>
      <c r="V1072" s="84"/>
      <c r="W1072" s="84"/>
      <c r="X1072" s="84"/>
      <c r="Y1072" s="84"/>
      <c r="Z1072" s="84"/>
      <c r="AA1072" s="84"/>
      <c r="AB1072" s="84"/>
      <c r="AC1072" s="84"/>
    </row>
    <row r="1073" ht="15.75" customHeight="1">
      <c r="A1073" s="14" t="s">
        <v>17</v>
      </c>
      <c r="B1073" s="14">
        <v>2008.0</v>
      </c>
      <c r="C1073" s="14" t="s">
        <v>19938</v>
      </c>
      <c r="D1073" s="14" t="s">
        <v>19939</v>
      </c>
      <c r="E1073" s="150" t="str">
        <f t="shared" si="13"/>
        <v>http://dx.doi.org/10.1109/TVCG.2008.170</v>
      </c>
      <c r="F1073" s="14">
        <v>1571.0</v>
      </c>
      <c r="G1073" s="14">
        <v>1578.0</v>
      </c>
      <c r="H1073" s="151"/>
      <c r="I1073" s="14" t="s">
        <v>17059</v>
      </c>
      <c r="J1073" s="14" t="s">
        <v>19940</v>
      </c>
      <c r="K1073" s="14" t="s">
        <v>34666</v>
      </c>
      <c r="L1073" s="152" t="s">
        <v>21147</v>
      </c>
      <c r="M1073" s="14" t="s">
        <v>34667</v>
      </c>
      <c r="N1073" s="54" t="s">
        <v>34666</v>
      </c>
      <c r="O1073" s="130" t="s">
        <v>19944</v>
      </c>
      <c r="P1073" s="153" t="s">
        <v>19945</v>
      </c>
      <c r="Q1073" s="14">
        <v>4658177.0</v>
      </c>
      <c r="R1073" s="95"/>
      <c r="S1073" s="154" t="s">
        <v>34668</v>
      </c>
      <c r="T1073" s="84"/>
      <c r="U1073" s="84"/>
      <c r="V1073" s="84"/>
      <c r="W1073" s="84"/>
      <c r="X1073" s="84"/>
      <c r="Y1073" s="84"/>
      <c r="Z1073" s="84"/>
      <c r="AA1073" s="84"/>
      <c r="AB1073" s="84"/>
      <c r="AC1073" s="84"/>
    </row>
    <row r="1074" ht="15.75" customHeight="1">
      <c r="A1074" s="14" t="s">
        <v>17</v>
      </c>
      <c r="B1074" s="14">
        <v>2008.0</v>
      </c>
      <c r="C1074" s="14" t="s">
        <v>19947</v>
      </c>
      <c r="D1074" s="14" t="s">
        <v>19948</v>
      </c>
      <c r="E1074" s="150" t="str">
        <f t="shared" si="13"/>
        <v>http://dx.doi.org/10.1109/TVCG.2008.173</v>
      </c>
      <c r="F1074" s="14">
        <v>1444.0</v>
      </c>
      <c r="G1074" s="14">
        <v>1427.0</v>
      </c>
      <c r="H1074" s="151"/>
      <c r="I1074" s="14" t="s">
        <v>17059</v>
      </c>
      <c r="J1074" s="14" t="s">
        <v>19950</v>
      </c>
      <c r="K1074" s="14" t="s">
        <v>34670</v>
      </c>
      <c r="L1074" s="152" t="s">
        <v>21210</v>
      </c>
      <c r="M1074" s="14" t="s">
        <v>34671</v>
      </c>
      <c r="N1074" s="54" t="s">
        <v>34672</v>
      </c>
      <c r="O1074" s="130" t="s">
        <v>19953</v>
      </c>
      <c r="P1074" s="153" t="s">
        <v>19954</v>
      </c>
      <c r="Q1074" s="14">
        <v>4658161.0</v>
      </c>
      <c r="R1074" s="95"/>
      <c r="S1074" s="154" t="s">
        <v>34673</v>
      </c>
      <c r="T1074" s="84"/>
      <c r="U1074" s="84"/>
      <c r="V1074" s="84"/>
      <c r="W1074" s="84"/>
      <c r="X1074" s="84"/>
      <c r="Y1074" s="84"/>
      <c r="Z1074" s="84"/>
      <c r="AA1074" s="84"/>
      <c r="AB1074" s="84"/>
      <c r="AC1074" s="84"/>
    </row>
    <row r="1075" ht="15.75" customHeight="1">
      <c r="A1075" s="14" t="s">
        <v>17</v>
      </c>
      <c r="B1075" s="14">
        <v>2008.0</v>
      </c>
      <c r="C1075" s="14" t="s">
        <v>19955</v>
      </c>
      <c r="D1075" s="14" t="s">
        <v>19956</v>
      </c>
      <c r="E1075" s="150" t="str">
        <f t="shared" si="13"/>
        <v>http://dx.doi.org/10.1109/TVCG.2008.174</v>
      </c>
      <c r="F1075" s="14">
        <v>1691.0</v>
      </c>
      <c r="G1075" s="14">
        <v>1698.0</v>
      </c>
      <c r="H1075" s="151"/>
      <c r="I1075" s="14" t="s">
        <v>17059</v>
      </c>
      <c r="J1075" s="14" t="s">
        <v>19957</v>
      </c>
      <c r="K1075" s="14" t="s">
        <v>34674</v>
      </c>
      <c r="L1075" s="152" t="s">
        <v>21229</v>
      </c>
      <c r="M1075" s="14" t="s">
        <v>880</v>
      </c>
      <c r="N1075" s="54" t="s">
        <v>34674</v>
      </c>
      <c r="O1075" s="130" t="s">
        <v>19961</v>
      </c>
      <c r="P1075" s="153" t="s">
        <v>19962</v>
      </c>
      <c r="Q1075" s="14">
        <v>4658192.0</v>
      </c>
      <c r="R1075" s="95"/>
      <c r="S1075" s="154" t="s">
        <v>34675</v>
      </c>
      <c r="T1075" s="84"/>
      <c r="U1075" s="84"/>
      <c r="V1075" s="84"/>
      <c r="W1075" s="84"/>
      <c r="X1075" s="84"/>
      <c r="Y1075" s="84"/>
      <c r="Z1075" s="84"/>
      <c r="AA1075" s="84"/>
      <c r="AB1075" s="84"/>
      <c r="AC1075" s="84"/>
    </row>
    <row r="1076" ht="15.75" customHeight="1">
      <c r="A1076" s="14" t="s">
        <v>17</v>
      </c>
      <c r="B1076" s="14">
        <v>2008.0</v>
      </c>
      <c r="C1076" s="14" t="s">
        <v>19963</v>
      </c>
      <c r="D1076" s="14" t="s">
        <v>19964</v>
      </c>
      <c r="E1076" s="150" t="str">
        <f t="shared" si="13"/>
        <v>http://dx.doi.org/10.1109/TVCG.2008.176</v>
      </c>
      <c r="F1076" s="14">
        <v>1667.0</v>
      </c>
      <c r="G1076" s="14">
        <v>1674.0</v>
      </c>
      <c r="H1076" s="151"/>
      <c r="I1076" s="14" t="s">
        <v>17059</v>
      </c>
      <c r="J1076" s="14" t="s">
        <v>19965</v>
      </c>
      <c r="K1076" s="14" t="s">
        <v>34676</v>
      </c>
      <c r="L1076" s="152" t="s">
        <v>21284</v>
      </c>
      <c r="M1076" s="14" t="s">
        <v>34677</v>
      </c>
      <c r="N1076" s="54" t="s">
        <v>34676</v>
      </c>
      <c r="O1076" s="130" t="s">
        <v>12326</v>
      </c>
      <c r="P1076" s="153" t="s">
        <v>19970</v>
      </c>
      <c r="Q1076" s="14">
        <v>4658189.0</v>
      </c>
      <c r="R1076" s="95"/>
      <c r="S1076" s="154">
        <v>1183784.0</v>
      </c>
      <c r="T1076" s="84"/>
      <c r="U1076" s="84"/>
      <c r="V1076" s="84"/>
      <c r="W1076" s="84"/>
      <c r="X1076" s="84"/>
      <c r="Y1076" s="84"/>
      <c r="Z1076" s="84"/>
      <c r="AA1076" s="84"/>
      <c r="AB1076" s="84"/>
      <c r="AC1076" s="84"/>
    </row>
    <row r="1077" ht="15.75" customHeight="1">
      <c r="A1077" s="14" t="s">
        <v>17</v>
      </c>
      <c r="B1077" s="14">
        <v>2008.0</v>
      </c>
      <c r="C1077" s="14" t="s">
        <v>34678</v>
      </c>
      <c r="D1077" s="14" t="s">
        <v>19972</v>
      </c>
      <c r="E1077" s="150" t="str">
        <f t="shared" si="13"/>
        <v>http://dx.doi.org/10.1109/TVCG.2008.177</v>
      </c>
      <c r="F1077" s="14">
        <v>1563.0</v>
      </c>
      <c r="G1077" s="14">
        <v>1570.0</v>
      </c>
      <c r="H1077" s="151"/>
      <c r="I1077" s="14" t="s">
        <v>17059</v>
      </c>
      <c r="J1077" s="14" t="s">
        <v>19974</v>
      </c>
      <c r="K1077" s="14" t="s">
        <v>34679</v>
      </c>
      <c r="L1077" s="152" t="s">
        <v>21298</v>
      </c>
      <c r="M1077" s="14" t="s">
        <v>34680</v>
      </c>
      <c r="N1077" s="54" t="s">
        <v>34679</v>
      </c>
      <c r="O1077" s="130" t="s">
        <v>19977</v>
      </c>
      <c r="P1077" s="153" t="s">
        <v>19978</v>
      </c>
      <c r="Q1077" s="14">
        <v>4658176.0</v>
      </c>
      <c r="R1077" s="95"/>
      <c r="S1077" s="154" t="s">
        <v>34681</v>
      </c>
      <c r="T1077" s="84"/>
      <c r="U1077" s="84"/>
      <c r="V1077" s="84"/>
      <c r="W1077" s="84"/>
      <c r="X1077" s="84"/>
      <c r="Y1077" s="84"/>
      <c r="Z1077" s="84"/>
      <c r="AA1077" s="84"/>
      <c r="AB1077" s="84"/>
      <c r="AC1077" s="84"/>
    </row>
    <row r="1078" ht="15.75" customHeight="1">
      <c r="A1078" s="14" t="s">
        <v>17</v>
      </c>
      <c r="B1078" s="14">
        <v>2008.0</v>
      </c>
      <c r="C1078" s="14" t="s">
        <v>19979</v>
      </c>
      <c r="D1078" s="14" t="s">
        <v>19980</v>
      </c>
      <c r="E1078" s="150" t="str">
        <f t="shared" si="13"/>
        <v>http://dx.doi.org/10.1109/TVCG.2008.179</v>
      </c>
      <c r="F1078" s="14">
        <v>1611.0</v>
      </c>
      <c r="G1078" s="14">
        <v>1618.0</v>
      </c>
      <c r="H1078" s="151"/>
      <c r="I1078" s="14" t="s">
        <v>17059</v>
      </c>
      <c r="J1078" s="14" t="s">
        <v>19981</v>
      </c>
      <c r="K1078" s="14" t="s">
        <v>34683</v>
      </c>
      <c r="L1078" s="152" t="s">
        <v>21324</v>
      </c>
      <c r="M1078" s="14" t="s">
        <v>34684</v>
      </c>
      <c r="N1078" s="54" t="s">
        <v>34685</v>
      </c>
      <c r="O1078" s="130" t="s">
        <v>19985</v>
      </c>
      <c r="P1078" s="153" t="s">
        <v>19986</v>
      </c>
      <c r="Q1078" s="14">
        <v>4658182.0</v>
      </c>
      <c r="R1078" s="95"/>
      <c r="S1078" s="154" t="s">
        <v>34686</v>
      </c>
      <c r="T1078" s="84"/>
      <c r="U1078" s="84"/>
      <c r="V1078" s="84"/>
      <c r="W1078" s="84"/>
      <c r="X1078" s="84"/>
      <c r="Y1078" s="84"/>
      <c r="Z1078" s="84"/>
      <c r="AA1078" s="84"/>
      <c r="AB1078" s="84"/>
      <c r="AC1078" s="84"/>
    </row>
    <row r="1079" ht="15.75" customHeight="1">
      <c r="A1079" s="14" t="s">
        <v>17</v>
      </c>
      <c r="B1079" s="14">
        <v>2008.0</v>
      </c>
      <c r="C1079" s="14" t="s">
        <v>19987</v>
      </c>
      <c r="D1079" s="14" t="s">
        <v>19989</v>
      </c>
      <c r="E1079" s="150" t="str">
        <f t="shared" si="13"/>
        <v>http://dx.doi.org/10.1109/TVCG.2008.180</v>
      </c>
      <c r="F1079" s="14">
        <v>1595.0</v>
      </c>
      <c r="G1079" s="14">
        <v>1602.0</v>
      </c>
      <c r="H1079" s="151"/>
      <c r="I1079" s="14" t="s">
        <v>17059</v>
      </c>
      <c r="J1079" s="14" t="s">
        <v>19991</v>
      </c>
      <c r="K1079" s="14" t="s">
        <v>34687</v>
      </c>
      <c r="L1079" s="152" t="s">
        <v>21346</v>
      </c>
      <c r="M1079" s="14" t="s">
        <v>34688</v>
      </c>
      <c r="N1079" s="54" t="s">
        <v>34689</v>
      </c>
      <c r="O1079" s="130" t="s">
        <v>19996</v>
      </c>
      <c r="P1079" s="153" t="s">
        <v>19997</v>
      </c>
      <c r="Q1079" s="14">
        <v>4658180.0</v>
      </c>
      <c r="R1079" s="95"/>
      <c r="S1079" s="154" t="s">
        <v>34690</v>
      </c>
      <c r="T1079" s="84"/>
      <c r="U1079" s="84"/>
      <c r="V1079" s="84"/>
      <c r="W1079" s="84"/>
      <c r="X1079" s="84"/>
      <c r="Y1079" s="84"/>
      <c r="Z1079" s="84"/>
      <c r="AA1079" s="84"/>
      <c r="AB1079" s="84"/>
      <c r="AC1079" s="84"/>
    </row>
    <row r="1080" ht="15.75" customHeight="1">
      <c r="A1080" s="14" t="s">
        <v>17</v>
      </c>
      <c r="B1080" s="14">
        <v>2008.0</v>
      </c>
      <c r="C1080" s="14" t="s">
        <v>19998</v>
      </c>
      <c r="D1080" s="14" t="s">
        <v>19999</v>
      </c>
      <c r="E1080" s="150" t="str">
        <f t="shared" si="13"/>
        <v>http://dx.doi.org/10.1109/TVCG.2008.182</v>
      </c>
      <c r="F1080" s="14">
        <v>1555.0</v>
      </c>
      <c r="G1080" s="14">
        <v>1562.0</v>
      </c>
      <c r="H1080" s="151"/>
      <c r="I1080" s="14" t="s">
        <v>17059</v>
      </c>
      <c r="J1080" s="14" t="s">
        <v>20000</v>
      </c>
      <c r="K1080" s="14" t="s">
        <v>34691</v>
      </c>
      <c r="L1080" s="152" t="s">
        <v>21373</v>
      </c>
      <c r="M1080" s="14" t="s">
        <v>34693</v>
      </c>
      <c r="N1080" s="54" t="s">
        <v>34691</v>
      </c>
      <c r="O1080" s="130" t="s">
        <v>20004</v>
      </c>
      <c r="P1080" s="153" t="s">
        <v>20005</v>
      </c>
      <c r="Q1080" s="14">
        <v>4658175.0</v>
      </c>
      <c r="R1080" s="95"/>
      <c r="S1080" s="154" t="s">
        <v>34694</v>
      </c>
      <c r="T1080" s="84"/>
      <c r="U1080" s="84"/>
      <c r="V1080" s="84"/>
      <c r="W1080" s="84"/>
      <c r="X1080" s="84"/>
      <c r="Y1080" s="84"/>
      <c r="Z1080" s="84"/>
      <c r="AA1080" s="84"/>
      <c r="AB1080" s="84"/>
      <c r="AC1080" s="84"/>
    </row>
    <row r="1081" ht="15.75" customHeight="1">
      <c r="A1081" s="14" t="s">
        <v>17</v>
      </c>
      <c r="B1081" s="14">
        <v>2008.0</v>
      </c>
      <c r="C1081" s="14" t="s">
        <v>20006</v>
      </c>
      <c r="D1081" s="14" t="s">
        <v>20007</v>
      </c>
      <c r="E1081" s="150" t="str">
        <f t="shared" si="13"/>
        <v>http://dx.doi.org/10.1109/TVCG.2008.183</v>
      </c>
      <c r="F1081" s="14">
        <v>1412.0</v>
      </c>
      <c r="G1081" s="14">
        <v>1427.0</v>
      </c>
      <c r="H1081" s="151"/>
      <c r="I1081" s="14" t="s">
        <v>17059</v>
      </c>
      <c r="J1081" s="14" t="s">
        <v>20008</v>
      </c>
      <c r="K1081" s="14" t="s">
        <v>34695</v>
      </c>
      <c r="L1081" s="152" t="s">
        <v>21391</v>
      </c>
      <c r="M1081" s="14" t="s">
        <v>34696</v>
      </c>
      <c r="N1081" s="54" t="s">
        <v>34695</v>
      </c>
      <c r="O1081" s="130" t="s">
        <v>20012</v>
      </c>
      <c r="P1081" s="153" t="s">
        <v>20013</v>
      </c>
      <c r="Q1081" s="14">
        <v>4658157.0</v>
      </c>
      <c r="R1081" s="95"/>
      <c r="S1081" s="154" t="s">
        <v>34697</v>
      </c>
      <c r="T1081" s="84"/>
      <c r="U1081" s="84"/>
      <c r="V1081" s="84"/>
      <c r="W1081" s="84"/>
      <c r="X1081" s="84"/>
      <c r="Y1081" s="84"/>
      <c r="Z1081" s="84"/>
      <c r="AA1081" s="84"/>
      <c r="AB1081" s="84"/>
      <c r="AC1081" s="84"/>
    </row>
    <row r="1082" ht="15.75" customHeight="1">
      <c r="A1082" s="14" t="s">
        <v>17</v>
      </c>
      <c r="B1082" s="14">
        <v>2008.0</v>
      </c>
      <c r="C1082" s="14" t="s">
        <v>20014</v>
      </c>
      <c r="D1082" s="14" t="s">
        <v>20015</v>
      </c>
      <c r="E1082" s="150" t="str">
        <f t="shared" si="13"/>
        <v>http://dx.doi.org/10.1109/TVCG.2008.184</v>
      </c>
      <c r="F1082" s="14">
        <v>1467.0</v>
      </c>
      <c r="G1082" s="14">
        <v>1474.0</v>
      </c>
      <c r="H1082" s="151"/>
      <c r="I1082" s="14" t="s">
        <v>17059</v>
      </c>
      <c r="J1082" s="14" t="s">
        <v>20016</v>
      </c>
      <c r="K1082" s="14" t="s">
        <v>34698</v>
      </c>
      <c r="L1082" s="152" t="s">
        <v>21404</v>
      </c>
      <c r="M1082" s="14" t="s">
        <v>34699</v>
      </c>
      <c r="N1082" s="54" t="s">
        <v>34698</v>
      </c>
      <c r="O1082" s="130" t="s">
        <v>20020</v>
      </c>
      <c r="P1082" s="153" t="s">
        <v>20022</v>
      </c>
      <c r="Q1082" s="14">
        <v>4658164.0</v>
      </c>
      <c r="R1082" s="95"/>
      <c r="S1082" s="154" t="s">
        <v>34700</v>
      </c>
      <c r="T1082" s="84"/>
      <c r="U1082" s="84"/>
      <c r="V1082" s="84"/>
      <c r="W1082" s="84"/>
      <c r="X1082" s="84"/>
      <c r="Y1082" s="84"/>
      <c r="Z1082" s="84"/>
      <c r="AA1082" s="84"/>
      <c r="AB1082" s="84"/>
      <c r="AC1082" s="84"/>
    </row>
    <row r="1083" ht="15.75" customHeight="1">
      <c r="A1083" s="14" t="s">
        <v>17</v>
      </c>
      <c r="B1083" s="14">
        <v>2008.0</v>
      </c>
      <c r="C1083" s="14" t="s">
        <v>20023</v>
      </c>
      <c r="D1083" s="14" t="s">
        <v>20024</v>
      </c>
      <c r="E1083" s="150" t="str">
        <f t="shared" si="13"/>
        <v>http://dx.doi.org/10.1109/TVCG.2008.186</v>
      </c>
      <c r="F1083" s="14">
        <v>1372.0</v>
      </c>
      <c r="G1083" s="14">
        <v>1379.0</v>
      </c>
      <c r="H1083" s="151"/>
      <c r="I1083" s="14" t="s">
        <v>17059</v>
      </c>
      <c r="J1083" s="14" t="s">
        <v>20026</v>
      </c>
      <c r="K1083" s="14" t="s">
        <v>34702</v>
      </c>
      <c r="L1083" s="152" t="s">
        <v>21442</v>
      </c>
      <c r="M1083" s="14" t="s">
        <v>34703</v>
      </c>
      <c r="N1083" s="54" t="s">
        <v>34702</v>
      </c>
      <c r="O1083" s="130" t="s">
        <v>20030</v>
      </c>
      <c r="P1083" s="153" t="s">
        <v>20031</v>
      </c>
      <c r="Q1083" s="14">
        <v>4658152.0</v>
      </c>
      <c r="R1083" s="95"/>
      <c r="S1083" s="154" t="s">
        <v>34704</v>
      </c>
      <c r="T1083" s="84"/>
      <c r="U1083" s="84"/>
      <c r="V1083" s="84"/>
      <c r="W1083" s="84"/>
      <c r="X1083" s="84"/>
      <c r="Y1083" s="84"/>
      <c r="Z1083" s="84"/>
      <c r="AA1083" s="84"/>
      <c r="AB1083" s="84"/>
      <c r="AC1083" s="84"/>
    </row>
    <row r="1084" ht="15.75" customHeight="1">
      <c r="A1084" s="14" t="s">
        <v>2137</v>
      </c>
      <c r="B1084" s="14">
        <v>2007.0</v>
      </c>
      <c r="C1084" s="14" t="s">
        <v>18106</v>
      </c>
      <c r="D1084" s="14" t="s">
        <v>18107</v>
      </c>
      <c r="E1084" s="150" t="str">
        <f t="shared" si="13"/>
        <v>http://dx.doi.org/10.1109/TVCG.2007.70535</v>
      </c>
      <c r="F1084" s="14">
        <v>1216.0</v>
      </c>
      <c r="G1084" s="14">
        <v>1223.0</v>
      </c>
      <c r="H1084" s="151"/>
      <c r="I1084" s="14" t="s">
        <v>17059</v>
      </c>
      <c r="J1084" s="14" t="s">
        <v>18110</v>
      </c>
      <c r="K1084" s="14" t="s">
        <v>34705</v>
      </c>
      <c r="L1084" s="152" t="s">
        <v>19059</v>
      </c>
      <c r="M1084" s="14" t="s">
        <v>34706</v>
      </c>
      <c r="N1084" s="54" t="s">
        <v>34705</v>
      </c>
      <c r="O1084" s="130" t="s">
        <v>18111</v>
      </c>
      <c r="P1084" s="153" t="s">
        <v>18112</v>
      </c>
      <c r="Q1084" s="14">
        <v>4376143.0</v>
      </c>
      <c r="R1084" s="95"/>
      <c r="S1084" s="154" t="s">
        <v>34707</v>
      </c>
      <c r="T1084" s="84"/>
      <c r="U1084" s="84"/>
      <c r="V1084" s="84"/>
      <c r="W1084" s="84"/>
      <c r="X1084" s="84"/>
      <c r="Y1084" s="84"/>
      <c r="Z1084" s="84"/>
      <c r="AA1084" s="84"/>
      <c r="AB1084" s="84"/>
      <c r="AC1084" s="84"/>
    </row>
    <row r="1085" ht="15.75" customHeight="1">
      <c r="A1085" s="14" t="s">
        <v>2137</v>
      </c>
      <c r="B1085" s="14">
        <v>2007.0</v>
      </c>
      <c r="C1085" s="14" t="s">
        <v>18113</v>
      </c>
      <c r="D1085" s="14" t="s">
        <v>18114</v>
      </c>
      <c r="E1085" s="150" t="str">
        <f t="shared" si="13"/>
        <v>http://dx.doi.org/10.1109/TVCG.2007.70537</v>
      </c>
      <c r="F1085" s="14">
        <v>1113.0</v>
      </c>
      <c r="G1085" s="14">
        <v>1120.0</v>
      </c>
      <c r="H1085" s="151"/>
      <c r="I1085" s="14" t="s">
        <v>17059</v>
      </c>
      <c r="J1085" s="14" t="s">
        <v>18115</v>
      </c>
      <c r="K1085" s="14" t="s">
        <v>34708</v>
      </c>
      <c r="L1085" s="152" t="s">
        <v>19078</v>
      </c>
      <c r="M1085" s="14" t="s">
        <v>34709</v>
      </c>
      <c r="N1085" s="54" t="s">
        <v>34710</v>
      </c>
      <c r="O1085" s="130" t="s">
        <v>18118</v>
      </c>
      <c r="P1085" s="153" t="s">
        <v>18119</v>
      </c>
      <c r="Q1085" s="14">
        <v>4376130.0</v>
      </c>
      <c r="R1085" s="95"/>
      <c r="S1085" s="154" t="s">
        <v>34711</v>
      </c>
      <c r="T1085" s="84"/>
      <c r="U1085" s="84"/>
      <c r="V1085" s="84"/>
      <c r="W1085" s="84"/>
      <c r="X1085" s="84"/>
      <c r="Y1085" s="84"/>
      <c r="Z1085" s="84"/>
      <c r="AA1085" s="84"/>
      <c r="AB1085" s="84"/>
      <c r="AC1085" s="84"/>
    </row>
    <row r="1086" ht="15.75" customHeight="1">
      <c r="A1086" s="14" t="s">
        <v>2137</v>
      </c>
      <c r="B1086" s="14">
        <v>2007.0</v>
      </c>
      <c r="C1086" s="14" t="s">
        <v>18120</v>
      </c>
      <c r="D1086" s="14" t="s">
        <v>18122</v>
      </c>
      <c r="E1086" s="150" t="str">
        <f t="shared" si="13"/>
        <v>http://dx.doi.org/10.1109/TVCG.2007.70539</v>
      </c>
      <c r="F1086" s="14">
        <v>1240.0</v>
      </c>
      <c r="G1086" s="14">
        <v>1247.0</v>
      </c>
      <c r="H1086" s="151"/>
      <c r="I1086" s="14" t="s">
        <v>17059</v>
      </c>
      <c r="J1086" s="14" t="s">
        <v>19105</v>
      </c>
      <c r="K1086" s="14" t="s">
        <v>34713</v>
      </c>
      <c r="L1086" s="152" t="s">
        <v>19106</v>
      </c>
      <c r="M1086" s="14" t="s">
        <v>34714</v>
      </c>
      <c r="N1086" s="54" t="s">
        <v>34715</v>
      </c>
      <c r="O1086" s="130" t="s">
        <v>18130</v>
      </c>
      <c r="P1086" s="153" t="s">
        <v>18131</v>
      </c>
      <c r="Q1086" s="14">
        <v>4376146.0</v>
      </c>
      <c r="R1086" s="95"/>
      <c r="S1086" s="154" t="s">
        <v>34716</v>
      </c>
      <c r="T1086" s="84"/>
      <c r="U1086" s="84"/>
      <c r="V1086" s="84"/>
      <c r="W1086" s="84"/>
      <c r="X1086" s="84"/>
      <c r="Y1086" s="84"/>
      <c r="Z1086" s="84"/>
      <c r="AA1086" s="84"/>
      <c r="AB1086" s="84"/>
      <c r="AC1086" s="84"/>
    </row>
    <row r="1087" ht="15.75" customHeight="1">
      <c r="A1087" s="14" t="s">
        <v>2137</v>
      </c>
      <c r="B1087" s="14">
        <v>2007.0</v>
      </c>
      <c r="C1087" s="14" t="s">
        <v>18132</v>
      </c>
      <c r="D1087" s="14" t="s">
        <v>18133</v>
      </c>
      <c r="E1087" s="150" t="str">
        <f t="shared" si="13"/>
        <v>http://dx.doi.org/10.1109/TVCG.2007.70540</v>
      </c>
      <c r="F1087" s="14">
        <v>1248.0</v>
      </c>
      <c r="G1087" s="14">
        <v>1253.0</v>
      </c>
      <c r="H1087" s="151"/>
      <c r="I1087" s="14" t="s">
        <v>17059</v>
      </c>
      <c r="J1087" s="14" t="s">
        <v>18134</v>
      </c>
      <c r="K1087" s="14" t="s">
        <v>34717</v>
      </c>
      <c r="L1087" s="152" t="s">
        <v>19120</v>
      </c>
      <c r="M1087" s="14" t="s">
        <v>34718</v>
      </c>
      <c r="N1087" s="54" t="s">
        <v>34717</v>
      </c>
      <c r="O1087" s="130" t="s">
        <v>18136</v>
      </c>
      <c r="P1087" s="153" t="s">
        <v>18137</v>
      </c>
      <c r="Q1087" s="14">
        <v>4376147.0</v>
      </c>
      <c r="R1087" s="95"/>
      <c r="S1087" s="154" t="s">
        <v>34719</v>
      </c>
      <c r="T1087" s="84"/>
      <c r="U1087" s="84"/>
      <c r="V1087" s="84"/>
      <c r="W1087" s="84"/>
      <c r="X1087" s="84"/>
      <c r="Y1087" s="84"/>
      <c r="Z1087" s="84"/>
      <c r="AA1087" s="84"/>
      <c r="AB1087" s="84"/>
      <c r="AC1087" s="84"/>
    </row>
    <row r="1088" ht="15.75" customHeight="1">
      <c r="A1088" s="14" t="s">
        <v>2137</v>
      </c>
      <c r="B1088" s="14">
        <v>2007.0</v>
      </c>
      <c r="C1088" s="14" t="s">
        <v>18138</v>
      </c>
      <c r="D1088" s="14" t="s">
        <v>18140</v>
      </c>
      <c r="E1088" s="150" t="str">
        <f t="shared" si="13"/>
        <v>http://dx.doi.org/10.1109/TVCG.2007.70541</v>
      </c>
      <c r="F1088" s="14">
        <v>1145.0</v>
      </c>
      <c r="G1088" s="14">
        <v>1152.0</v>
      </c>
      <c r="H1088" s="151"/>
      <c r="I1088" s="14" t="s">
        <v>17059</v>
      </c>
      <c r="J1088" s="14" t="s">
        <v>18142</v>
      </c>
      <c r="K1088" s="14" t="s">
        <v>34720</v>
      </c>
      <c r="L1088" s="152" t="s">
        <v>19135</v>
      </c>
      <c r="M1088" s="14" t="s">
        <v>34721</v>
      </c>
      <c r="N1088" s="54" t="s">
        <v>34722</v>
      </c>
      <c r="O1088" s="130" t="s">
        <v>18146</v>
      </c>
      <c r="P1088" s="153" t="s">
        <v>18147</v>
      </c>
      <c r="Q1088" s="14">
        <v>4376134.0</v>
      </c>
      <c r="R1088" s="95"/>
      <c r="S1088" s="154" t="s">
        <v>34724</v>
      </c>
      <c r="T1088" s="84"/>
      <c r="U1088" s="84"/>
      <c r="V1088" s="84"/>
      <c r="W1088" s="84"/>
      <c r="X1088" s="84"/>
      <c r="Y1088" s="84"/>
      <c r="Z1088" s="84"/>
      <c r="AA1088" s="84"/>
      <c r="AB1088" s="84"/>
      <c r="AC1088" s="84"/>
    </row>
    <row r="1089" ht="15.75" customHeight="1">
      <c r="A1089" s="14" t="s">
        <v>2137</v>
      </c>
      <c r="B1089" s="14">
        <v>2007.0</v>
      </c>
      <c r="C1089" s="14" t="s">
        <v>18148</v>
      </c>
      <c r="D1089" s="14" t="s">
        <v>18149</v>
      </c>
      <c r="E1089" s="150" t="str">
        <f t="shared" si="13"/>
        <v>http://dx.doi.org/10.1109/TVCG.2007.70556</v>
      </c>
      <c r="F1089" s="14">
        <v>1294.0</v>
      </c>
      <c r="G1089" s="14">
        <v>1301.0</v>
      </c>
      <c r="H1089" s="151"/>
      <c r="I1089" s="14" t="s">
        <v>17059</v>
      </c>
      <c r="J1089" s="14" t="s">
        <v>18150</v>
      </c>
      <c r="K1089" s="14" t="s">
        <v>34725</v>
      </c>
      <c r="L1089" s="152" t="s">
        <v>19378</v>
      </c>
      <c r="M1089" s="14" t="s">
        <v>34726</v>
      </c>
      <c r="N1089" s="54" t="s">
        <v>34725</v>
      </c>
      <c r="O1089" s="130" t="s">
        <v>18152</v>
      </c>
      <c r="P1089" s="153" t="s">
        <v>18153</v>
      </c>
      <c r="Q1089" s="14">
        <v>4376153.0</v>
      </c>
      <c r="R1089" s="95"/>
      <c r="S1089" s="154" t="s">
        <v>34727</v>
      </c>
      <c r="T1089" s="84"/>
      <c r="U1089" s="84"/>
      <c r="V1089" s="84"/>
      <c r="W1089" s="84"/>
      <c r="X1089" s="84"/>
      <c r="Y1089" s="84"/>
      <c r="Z1089" s="84"/>
      <c r="AA1089" s="84"/>
      <c r="AB1089" s="84"/>
      <c r="AC1089" s="84"/>
    </row>
    <row r="1090" ht="15.75" customHeight="1">
      <c r="A1090" s="14" t="s">
        <v>2137</v>
      </c>
      <c r="B1090" s="14">
        <v>2007.0</v>
      </c>
      <c r="C1090" s="14" t="s">
        <v>18154</v>
      </c>
      <c r="D1090" s="14" t="s">
        <v>18155</v>
      </c>
      <c r="E1090" s="150" t="str">
        <f t="shared" si="13"/>
        <v>http://dx.doi.org/10.1109/TVCG.2007.70558</v>
      </c>
      <c r="F1090" s="14">
        <v>1161.0</v>
      </c>
      <c r="G1090" s="14">
        <v>1168.0</v>
      </c>
      <c r="H1090" s="151"/>
      <c r="I1090" s="14" t="s">
        <v>17059</v>
      </c>
      <c r="J1090" s="14" t="s">
        <v>19382</v>
      </c>
      <c r="K1090" s="14" t="s">
        <v>34728</v>
      </c>
      <c r="L1090" s="152" t="s">
        <v>19383</v>
      </c>
      <c r="M1090" s="14" t="s">
        <v>34729</v>
      </c>
      <c r="N1090" s="54" t="s">
        <v>34728</v>
      </c>
      <c r="O1090" s="130"/>
      <c r="P1090" s="153" t="s">
        <v>18159</v>
      </c>
      <c r="Q1090" s="14">
        <v>4376135.0</v>
      </c>
      <c r="R1090" s="95"/>
      <c r="S1090" s="154"/>
      <c r="T1090" s="84"/>
      <c r="U1090" s="84"/>
      <c r="V1090" s="84"/>
      <c r="W1090" s="84"/>
      <c r="X1090" s="84"/>
      <c r="Y1090" s="84"/>
      <c r="Z1090" s="84"/>
      <c r="AA1090" s="84"/>
      <c r="AB1090" s="84"/>
      <c r="AC1090" s="84"/>
    </row>
    <row r="1091" ht="15.75" customHeight="1">
      <c r="A1091" s="14" t="s">
        <v>2137</v>
      </c>
      <c r="B1091" s="14">
        <v>2007.0</v>
      </c>
      <c r="C1091" s="14" t="s">
        <v>18161</v>
      </c>
      <c r="D1091" s="14" t="s">
        <v>18162</v>
      </c>
      <c r="E1091" s="150" t="str">
        <f t="shared" si="13"/>
        <v>http://dx.doi.org/10.1109/TVCG.2007.70561</v>
      </c>
      <c r="F1091" s="14">
        <v>1184.0</v>
      </c>
      <c r="G1091" s="14">
        <v>1191.0</v>
      </c>
      <c r="H1091" s="151"/>
      <c r="I1091" s="14" t="s">
        <v>17059</v>
      </c>
      <c r="J1091" s="14" t="s">
        <v>18163</v>
      </c>
      <c r="K1091" s="14" t="s">
        <v>7541</v>
      </c>
      <c r="L1091" s="152" t="s">
        <v>19414</v>
      </c>
      <c r="M1091" s="14">
        <v>3.7542391E10</v>
      </c>
      <c r="N1091" s="54" t="s">
        <v>7541</v>
      </c>
      <c r="O1091" s="130" t="s">
        <v>18165</v>
      </c>
      <c r="P1091" s="153" t="s">
        <v>18166</v>
      </c>
      <c r="Q1091" s="14">
        <v>4376139.0</v>
      </c>
      <c r="R1091" s="95"/>
      <c r="S1091" s="154" t="s">
        <v>34731</v>
      </c>
      <c r="T1091" s="84"/>
      <c r="U1091" s="84"/>
      <c r="V1091" s="84"/>
      <c r="W1091" s="84"/>
      <c r="X1091" s="84"/>
      <c r="Y1091" s="84"/>
      <c r="Z1091" s="84"/>
      <c r="AA1091" s="84"/>
      <c r="AB1091" s="84"/>
      <c r="AC1091" s="84"/>
    </row>
    <row r="1092" ht="15.75" customHeight="1">
      <c r="A1092" s="14" t="s">
        <v>2137</v>
      </c>
      <c r="B1092" s="14">
        <v>2007.0</v>
      </c>
      <c r="C1092" s="14" t="s">
        <v>18167</v>
      </c>
      <c r="D1092" s="14" t="s">
        <v>18168</v>
      </c>
      <c r="E1092" s="150" t="str">
        <f t="shared" si="13"/>
        <v>http://dx.doi.org/10.1109/TVCG.2007.70568</v>
      </c>
      <c r="F1092" s="14">
        <v>1232.0</v>
      </c>
      <c r="G1092" s="14">
        <v>1239.0</v>
      </c>
      <c r="H1092" s="151"/>
      <c r="I1092" s="14" t="s">
        <v>17059</v>
      </c>
      <c r="J1092" s="14" t="s">
        <v>18170</v>
      </c>
      <c r="K1092" s="14" t="s">
        <v>34732</v>
      </c>
      <c r="L1092" s="152" t="s">
        <v>19471</v>
      </c>
      <c r="M1092" s="14" t="s">
        <v>34733</v>
      </c>
      <c r="N1092" s="54" t="s">
        <v>34732</v>
      </c>
      <c r="O1092" s="130" t="s">
        <v>18172</v>
      </c>
      <c r="P1092" s="153" t="s">
        <v>18173</v>
      </c>
      <c r="Q1092" s="14">
        <v>4376145.0</v>
      </c>
      <c r="R1092" s="95"/>
      <c r="S1092" s="154" t="s">
        <v>34734</v>
      </c>
      <c r="T1092" s="84"/>
      <c r="U1092" s="84"/>
      <c r="V1092" s="84"/>
      <c r="W1092" s="84"/>
      <c r="X1092" s="84"/>
      <c r="Y1092" s="84"/>
      <c r="Z1092" s="84"/>
      <c r="AA1092" s="84"/>
      <c r="AB1092" s="84"/>
      <c r="AC1092" s="84"/>
    </row>
    <row r="1093" ht="15.75" customHeight="1">
      <c r="A1093" s="14" t="s">
        <v>2137</v>
      </c>
      <c r="B1093" s="14">
        <v>2007.0</v>
      </c>
      <c r="C1093" s="14" t="s">
        <v>18175</v>
      </c>
      <c r="D1093" s="14" t="s">
        <v>18176</v>
      </c>
      <c r="E1093" s="150" t="str">
        <f t="shared" si="13"/>
        <v>http://dx.doi.org/10.1109/TVCG.2007.70570</v>
      </c>
      <c r="F1093" s="14">
        <v>1176.0</v>
      </c>
      <c r="G1093" s="14">
        <v>1183.0</v>
      </c>
      <c r="H1093" s="151"/>
      <c r="I1093" s="14" t="s">
        <v>17059</v>
      </c>
      <c r="J1093" s="14" t="s">
        <v>18177</v>
      </c>
      <c r="K1093" s="14" t="s">
        <v>34736</v>
      </c>
      <c r="L1093" s="152" t="s">
        <v>19475</v>
      </c>
      <c r="M1093" s="14" t="s">
        <v>34737</v>
      </c>
      <c r="N1093" s="54" t="s">
        <v>34736</v>
      </c>
      <c r="O1093" s="130" t="s">
        <v>18180</v>
      </c>
      <c r="P1093" s="153" t="s">
        <v>18181</v>
      </c>
      <c r="Q1093" s="14">
        <v>4376138.0</v>
      </c>
      <c r="R1093" s="95"/>
      <c r="S1093" s="154" t="s">
        <v>34738</v>
      </c>
      <c r="T1093" s="84"/>
      <c r="U1093" s="84"/>
      <c r="V1093" s="84"/>
      <c r="W1093" s="84"/>
      <c r="X1093" s="84"/>
      <c r="Y1093" s="84"/>
      <c r="Z1093" s="84"/>
      <c r="AA1093" s="84"/>
      <c r="AB1093" s="84"/>
      <c r="AC1093" s="84"/>
    </row>
    <row r="1094" ht="15.75" customHeight="1">
      <c r="A1094" s="14" t="s">
        <v>2137</v>
      </c>
      <c r="B1094" s="14">
        <v>2007.0</v>
      </c>
      <c r="C1094" s="14" t="s">
        <v>18182</v>
      </c>
      <c r="D1094" s="14" t="s">
        <v>18183</v>
      </c>
      <c r="E1094" s="150" t="str">
        <f t="shared" si="13"/>
        <v>http://dx.doi.org/10.1109/TVCG.2007.70574</v>
      </c>
      <c r="F1094" s="14">
        <v>1169.0</v>
      </c>
      <c r="G1094" s="14">
        <v>1175.0</v>
      </c>
      <c r="H1094" s="151"/>
      <c r="I1094" s="14" t="s">
        <v>17059</v>
      </c>
      <c r="J1094" s="14" t="s">
        <v>18185</v>
      </c>
      <c r="K1094" s="14" t="s">
        <v>34739</v>
      </c>
      <c r="L1094" s="152" t="s">
        <v>19532</v>
      </c>
      <c r="M1094" s="14" t="s">
        <v>34740</v>
      </c>
      <c r="N1094" s="54" t="s">
        <v>34741</v>
      </c>
      <c r="O1094" s="130" t="s">
        <v>18187</v>
      </c>
      <c r="P1094" s="153" t="s">
        <v>18189</v>
      </c>
      <c r="Q1094" s="14">
        <v>4376137.0</v>
      </c>
      <c r="R1094" s="95"/>
      <c r="S1094" s="154" t="s">
        <v>34742</v>
      </c>
      <c r="T1094" s="84"/>
      <c r="U1094" s="84"/>
      <c r="V1094" s="84"/>
      <c r="W1094" s="84"/>
      <c r="X1094" s="84"/>
      <c r="Y1094" s="84"/>
      <c r="Z1094" s="84"/>
      <c r="AA1094" s="84"/>
      <c r="AB1094" s="84"/>
      <c r="AC1094" s="84"/>
    </row>
    <row r="1095" ht="15.75" customHeight="1">
      <c r="A1095" s="14" t="s">
        <v>2137</v>
      </c>
      <c r="B1095" s="14">
        <v>2007.0</v>
      </c>
      <c r="C1095" s="14" t="s">
        <v>18190</v>
      </c>
      <c r="D1095" s="14" t="s">
        <v>18191</v>
      </c>
      <c r="E1095" s="150" t="str">
        <f t="shared" si="13"/>
        <v>http://dx.doi.org/10.1109/TVCG.2007.70577</v>
      </c>
      <c r="F1095" s="14">
        <v>1121.0</v>
      </c>
      <c r="G1095" s="14">
        <v>1128.0</v>
      </c>
      <c r="H1095" s="151"/>
      <c r="I1095" s="14" t="s">
        <v>17059</v>
      </c>
      <c r="J1095" s="14" t="s">
        <v>18192</v>
      </c>
      <c r="K1095" s="14" t="s">
        <v>34743</v>
      </c>
      <c r="L1095" s="152" t="s">
        <v>19541</v>
      </c>
      <c r="M1095" s="14" t="s">
        <v>34744</v>
      </c>
      <c r="N1095" s="54" t="s">
        <v>34743</v>
      </c>
      <c r="O1095" s="130" t="s">
        <v>18195</v>
      </c>
      <c r="P1095" s="153" t="s">
        <v>18196</v>
      </c>
      <c r="Q1095" s="14">
        <v>4376131.0</v>
      </c>
      <c r="R1095" s="95"/>
      <c r="S1095" s="154" t="s">
        <v>34745</v>
      </c>
      <c r="T1095" s="84"/>
      <c r="U1095" s="84"/>
      <c r="V1095" s="84"/>
      <c r="W1095" s="84"/>
      <c r="X1095" s="84"/>
      <c r="Y1095" s="84"/>
      <c r="Z1095" s="84"/>
      <c r="AA1095" s="84"/>
      <c r="AB1095" s="84"/>
      <c r="AC1095" s="84"/>
    </row>
    <row r="1096" ht="15.75" customHeight="1">
      <c r="A1096" s="14" t="s">
        <v>2137</v>
      </c>
      <c r="B1096" s="14">
        <v>2007.0</v>
      </c>
      <c r="C1096" s="14" t="s">
        <v>18197</v>
      </c>
      <c r="D1096" s="14" t="s">
        <v>18198</v>
      </c>
      <c r="E1096" s="150" t="str">
        <f t="shared" si="13"/>
        <v>http://dx.doi.org/10.1109/TVCG.2007.70580</v>
      </c>
      <c r="F1096" s="14">
        <v>1310.0</v>
      </c>
      <c r="G1096" s="14">
        <v>1319.0</v>
      </c>
      <c r="H1096" s="151"/>
      <c r="I1096" s="14" t="s">
        <v>17059</v>
      </c>
      <c r="J1096" s="14" t="s">
        <v>18200</v>
      </c>
      <c r="K1096" s="14" t="s">
        <v>34746</v>
      </c>
      <c r="L1096" s="152" t="s">
        <v>19547</v>
      </c>
      <c r="M1096" s="14" t="s">
        <v>34747</v>
      </c>
      <c r="N1096" s="54" t="s">
        <v>34746</v>
      </c>
      <c r="O1096" s="130" t="s">
        <v>14502</v>
      </c>
      <c r="P1096" s="153" t="s">
        <v>18202</v>
      </c>
      <c r="Q1096" s="14">
        <v>4376155.0</v>
      </c>
      <c r="R1096" s="95"/>
      <c r="S1096" s="154">
        <v>1382906.0</v>
      </c>
      <c r="T1096" s="84"/>
      <c r="U1096" s="84"/>
      <c r="V1096" s="84"/>
      <c r="W1096" s="84"/>
      <c r="X1096" s="84"/>
      <c r="Y1096" s="84"/>
      <c r="Z1096" s="84"/>
      <c r="AA1096" s="84"/>
      <c r="AB1096" s="84"/>
      <c r="AC1096" s="84"/>
    </row>
    <row r="1097" ht="15.75" customHeight="1">
      <c r="A1097" s="14" t="s">
        <v>2137</v>
      </c>
      <c r="B1097" s="14">
        <v>2007.0</v>
      </c>
      <c r="C1097" s="14" t="s">
        <v>18204</v>
      </c>
      <c r="D1097" s="14" t="s">
        <v>18205</v>
      </c>
      <c r="E1097" s="150" t="str">
        <f t="shared" si="13"/>
        <v>http://dx.doi.org/10.1109/TVCG.2007.70582</v>
      </c>
      <c r="F1097" s="14">
        <v>1302.0</v>
      </c>
      <c r="G1097" s="14">
        <v>1309.0</v>
      </c>
      <c r="H1097" s="151"/>
      <c r="I1097" s="14" t="s">
        <v>17059</v>
      </c>
      <c r="J1097" s="14" t="s">
        <v>18206</v>
      </c>
      <c r="K1097" s="14" t="s">
        <v>34748</v>
      </c>
      <c r="L1097" s="152" t="s">
        <v>19552</v>
      </c>
      <c r="M1097" s="14" t="s">
        <v>34749</v>
      </c>
      <c r="N1097" s="54" t="s">
        <v>34748</v>
      </c>
      <c r="O1097" s="130" t="s">
        <v>18211</v>
      </c>
      <c r="P1097" s="153" t="s">
        <v>18212</v>
      </c>
      <c r="Q1097" s="14">
        <v>4376154.0</v>
      </c>
      <c r="R1097" s="95"/>
      <c r="S1097" s="154" t="s">
        <v>34750</v>
      </c>
      <c r="T1097" s="84"/>
      <c r="U1097" s="84"/>
      <c r="V1097" s="84"/>
      <c r="W1097" s="84"/>
      <c r="X1097" s="84"/>
      <c r="Y1097" s="84"/>
      <c r="Z1097" s="84"/>
      <c r="AA1097" s="84"/>
      <c r="AB1097" s="84"/>
      <c r="AC1097" s="84"/>
    </row>
    <row r="1098" ht="15.75" customHeight="1">
      <c r="A1098" s="14" t="s">
        <v>2137</v>
      </c>
      <c r="B1098" s="14">
        <v>2007.0</v>
      </c>
      <c r="C1098" s="14" t="s">
        <v>18214</v>
      </c>
      <c r="D1098" s="14" t="s">
        <v>18215</v>
      </c>
      <c r="E1098" s="150" t="str">
        <f t="shared" si="13"/>
        <v>http://dx.doi.org/10.1109/TVCG.2007.70583</v>
      </c>
      <c r="F1098" s="14">
        <v>1278.0</v>
      </c>
      <c r="G1098" s="14">
        <v>1285.0</v>
      </c>
      <c r="H1098" s="151"/>
      <c r="I1098" s="14" t="s">
        <v>17059</v>
      </c>
      <c r="J1098" s="14" t="s">
        <v>18216</v>
      </c>
      <c r="K1098" s="14" t="s">
        <v>34751</v>
      </c>
      <c r="L1098" s="152" t="s">
        <v>19554</v>
      </c>
      <c r="M1098" s="14" t="s">
        <v>34752</v>
      </c>
      <c r="N1098" s="54" t="s">
        <v>34751</v>
      </c>
      <c r="O1098" s="130" t="s">
        <v>18218</v>
      </c>
      <c r="P1098" s="153" t="s">
        <v>18219</v>
      </c>
      <c r="Q1098" s="14">
        <v>4376151.0</v>
      </c>
      <c r="R1098" s="95"/>
      <c r="S1098" s="154" t="s">
        <v>34753</v>
      </c>
      <c r="T1098" s="84"/>
      <c r="U1098" s="84"/>
      <c r="V1098" s="84"/>
      <c r="W1098" s="84"/>
      <c r="X1098" s="84"/>
      <c r="Y1098" s="84"/>
      <c r="Z1098" s="84"/>
      <c r="AA1098" s="84"/>
      <c r="AB1098" s="84"/>
      <c r="AC1098" s="84"/>
    </row>
    <row r="1099" ht="15.75" customHeight="1">
      <c r="A1099" s="14" t="s">
        <v>2137</v>
      </c>
      <c r="B1099" s="14">
        <v>2007.0</v>
      </c>
      <c r="C1099" s="14" t="s">
        <v>18220</v>
      </c>
      <c r="D1099" s="14" t="s">
        <v>18221</v>
      </c>
      <c r="E1099" s="150" t="str">
        <f t="shared" si="13"/>
        <v>http://dx.doi.org/10.1109/TVCG.2007.70589</v>
      </c>
      <c r="F1099" s="14">
        <v>1129.0</v>
      </c>
      <c r="G1099" s="14">
        <v>1136.0</v>
      </c>
      <c r="H1099" s="151"/>
      <c r="I1099" s="14" t="s">
        <v>17059</v>
      </c>
      <c r="J1099" s="14" t="s">
        <v>18223</v>
      </c>
      <c r="K1099" s="14" t="s">
        <v>34754</v>
      </c>
      <c r="L1099" s="152" t="s">
        <v>19581</v>
      </c>
      <c r="M1099" s="14" t="s">
        <v>34755</v>
      </c>
      <c r="N1099" s="54" t="s">
        <v>34754</v>
      </c>
      <c r="O1099" s="130" t="s">
        <v>4849</v>
      </c>
      <c r="P1099" s="153" t="s">
        <v>18227</v>
      </c>
      <c r="Q1099" s="14">
        <v>4376132.0</v>
      </c>
      <c r="R1099" s="95"/>
      <c r="S1099" s="154">
        <v>801862.0</v>
      </c>
      <c r="T1099" s="84"/>
      <c r="U1099" s="84"/>
      <c r="V1099" s="84"/>
      <c r="W1099" s="84"/>
      <c r="X1099" s="84"/>
      <c r="Y1099" s="84"/>
      <c r="Z1099" s="84"/>
      <c r="AA1099" s="84"/>
      <c r="AB1099" s="84"/>
      <c r="AC1099" s="84"/>
    </row>
    <row r="1100" ht="15.75" customHeight="1">
      <c r="A1100" s="14" t="s">
        <v>2137</v>
      </c>
      <c r="B1100" s="14">
        <v>2007.0</v>
      </c>
      <c r="C1100" s="14" t="s">
        <v>18228</v>
      </c>
      <c r="D1100" s="14" t="s">
        <v>18229</v>
      </c>
      <c r="E1100" s="150" t="str">
        <f t="shared" si="13"/>
        <v>http://dx.doi.org/10.1109/TVCG.2007.70592</v>
      </c>
      <c r="F1100" s="14">
        <v>1208.0</v>
      </c>
      <c r="G1100" s="14">
        <v>1215.0</v>
      </c>
      <c r="H1100" s="151"/>
      <c r="I1100" s="14" t="s">
        <v>17059</v>
      </c>
      <c r="J1100" s="14" t="s">
        <v>18230</v>
      </c>
      <c r="K1100" s="14" t="s">
        <v>34757</v>
      </c>
      <c r="L1100" s="152" t="s">
        <v>19631</v>
      </c>
      <c r="M1100" s="14" t="s">
        <v>34758</v>
      </c>
      <c r="N1100" s="54" t="s">
        <v>34757</v>
      </c>
      <c r="O1100" s="130" t="s">
        <v>18233</v>
      </c>
      <c r="P1100" s="153" t="s">
        <v>18234</v>
      </c>
      <c r="Q1100" s="14">
        <v>4376142.0</v>
      </c>
      <c r="R1100" s="95"/>
      <c r="S1100" s="154" t="s">
        <v>34759</v>
      </c>
      <c r="T1100" s="84"/>
      <c r="U1100" s="84"/>
      <c r="V1100" s="84"/>
      <c r="W1100" s="84"/>
      <c r="X1100" s="84"/>
      <c r="Y1100" s="84"/>
      <c r="Z1100" s="84"/>
      <c r="AA1100" s="84"/>
      <c r="AB1100" s="84"/>
      <c r="AC1100" s="84"/>
    </row>
    <row r="1101" ht="15.75" customHeight="1">
      <c r="A1101" s="14" t="s">
        <v>2137</v>
      </c>
      <c r="B1101" s="14">
        <v>2007.0</v>
      </c>
      <c r="C1101" s="14" t="s">
        <v>18235</v>
      </c>
      <c r="D1101" s="14" t="s">
        <v>18236</v>
      </c>
      <c r="E1101" s="150" t="str">
        <f t="shared" si="13"/>
        <v>http://dx.doi.org/10.1109/TVCG.2007.70594</v>
      </c>
      <c r="F1101" s="14">
        <v>1137.0</v>
      </c>
      <c r="G1101" s="14">
        <v>1144.0</v>
      </c>
      <c r="H1101" s="151"/>
      <c r="I1101" s="14" t="s">
        <v>17059</v>
      </c>
      <c r="J1101" s="14" t="s">
        <v>18237</v>
      </c>
      <c r="K1101" s="14" t="s">
        <v>34760</v>
      </c>
      <c r="L1101" s="152" t="s">
        <v>19663</v>
      </c>
      <c r="M1101" s="14" t="s">
        <v>34761</v>
      </c>
      <c r="N1101" s="54" t="s">
        <v>34760</v>
      </c>
      <c r="O1101" s="130" t="s">
        <v>5481</v>
      </c>
      <c r="P1101" s="153" t="s">
        <v>18240</v>
      </c>
      <c r="Q1101" s="14">
        <v>4376133.0</v>
      </c>
      <c r="R1101" s="95"/>
      <c r="S1101" s="154">
        <v>885086.0</v>
      </c>
      <c r="T1101" s="84"/>
      <c r="U1101" s="84"/>
      <c r="V1101" s="84"/>
      <c r="W1101" s="84"/>
      <c r="X1101" s="84"/>
      <c r="Y1101" s="84"/>
      <c r="Z1101" s="84"/>
      <c r="AA1101" s="84"/>
      <c r="AB1101" s="84"/>
      <c r="AC1101" s="84"/>
    </row>
    <row r="1102" ht="15.75" customHeight="1">
      <c r="A1102" s="14" t="s">
        <v>2137</v>
      </c>
      <c r="B1102" s="14">
        <v>2007.0</v>
      </c>
      <c r="C1102" s="14" t="s">
        <v>18241</v>
      </c>
      <c r="D1102" s="14" t="s">
        <v>18242</v>
      </c>
      <c r="E1102" s="150" t="str">
        <f t="shared" si="13"/>
        <v>http://dx.doi.org/10.1109/TVCG.2007.70596</v>
      </c>
      <c r="F1102" s="14">
        <v>1262.0</v>
      </c>
      <c r="G1102" s="14">
        <v>1269.0</v>
      </c>
      <c r="H1102" s="151"/>
      <c r="I1102" s="14" t="s">
        <v>17059</v>
      </c>
      <c r="J1102" s="14" t="s">
        <v>18243</v>
      </c>
      <c r="K1102" s="14" t="s">
        <v>34762</v>
      </c>
      <c r="L1102" s="152" t="s">
        <v>19686</v>
      </c>
      <c r="M1102" s="14" t="s">
        <v>34763</v>
      </c>
      <c r="N1102" s="54" t="s">
        <v>34762</v>
      </c>
      <c r="O1102" s="130" t="s">
        <v>18247</v>
      </c>
      <c r="P1102" s="153" t="s">
        <v>18248</v>
      </c>
      <c r="Q1102" s="14">
        <v>4376149.0</v>
      </c>
      <c r="R1102" s="95"/>
      <c r="S1102" s="154" t="s">
        <v>34765</v>
      </c>
      <c r="T1102" s="84"/>
      <c r="U1102" s="84"/>
      <c r="V1102" s="84"/>
      <c r="W1102" s="84"/>
      <c r="X1102" s="84"/>
      <c r="Y1102" s="84"/>
      <c r="Z1102" s="84"/>
      <c r="AA1102" s="84"/>
      <c r="AB1102" s="84"/>
      <c r="AC1102" s="84"/>
    </row>
    <row r="1103" ht="15.75" customHeight="1">
      <c r="A1103" s="14" t="s">
        <v>2137</v>
      </c>
      <c r="B1103" s="14">
        <v>2007.0</v>
      </c>
      <c r="C1103" s="14" t="s">
        <v>18065</v>
      </c>
      <c r="D1103" s="14" t="s">
        <v>18066</v>
      </c>
      <c r="E1103" s="150" t="str">
        <f t="shared" si="13"/>
        <v>http://dx.doi.org/10.1109/TVCG.2007.70515</v>
      </c>
      <c r="F1103" s="14">
        <v>1224.0</v>
      </c>
      <c r="G1103" s="14">
        <v>1231.0</v>
      </c>
      <c r="H1103" s="151"/>
      <c r="I1103" s="14" t="s">
        <v>17059</v>
      </c>
      <c r="J1103" s="14" t="s">
        <v>18067</v>
      </c>
      <c r="K1103" s="14" t="s">
        <v>34769</v>
      </c>
      <c r="L1103" s="152" t="s">
        <v>18850</v>
      </c>
      <c r="M1103" s="14" t="s">
        <v>5349</v>
      </c>
      <c r="N1103" s="54" t="s">
        <v>34770</v>
      </c>
      <c r="O1103" s="130" t="s">
        <v>18071</v>
      </c>
      <c r="P1103" s="153" t="s">
        <v>18072</v>
      </c>
      <c r="Q1103" s="14">
        <v>4376144.0</v>
      </c>
      <c r="R1103" s="95"/>
      <c r="S1103" s="154" t="s">
        <v>34771</v>
      </c>
      <c r="T1103" s="84"/>
      <c r="U1103" s="84"/>
      <c r="V1103" s="84"/>
      <c r="W1103" s="84"/>
      <c r="X1103" s="84"/>
      <c r="Y1103" s="84"/>
      <c r="Z1103" s="84"/>
      <c r="AA1103" s="84"/>
      <c r="AB1103" s="84"/>
      <c r="AC1103" s="84"/>
    </row>
    <row r="1104" ht="15.75" customHeight="1">
      <c r="A1104" s="14" t="s">
        <v>2137</v>
      </c>
      <c r="B1104" s="14">
        <v>2007.0</v>
      </c>
      <c r="C1104" s="14" t="s">
        <v>18073</v>
      </c>
      <c r="D1104" s="14" t="s">
        <v>18074</v>
      </c>
      <c r="E1104" s="150" t="str">
        <f t="shared" si="13"/>
        <v>http://dx.doi.org/10.1109/TVCG.2007.70521</v>
      </c>
      <c r="F1104" s="14">
        <v>1192.0</v>
      </c>
      <c r="G1104" s="14">
        <v>1199.0</v>
      </c>
      <c r="H1104" s="151"/>
      <c r="I1104" s="14" t="s">
        <v>17059</v>
      </c>
      <c r="J1104" s="14" t="s">
        <v>18077</v>
      </c>
      <c r="K1104" s="14" t="s">
        <v>34772</v>
      </c>
      <c r="L1104" s="152" t="s">
        <v>18920</v>
      </c>
      <c r="M1104" s="14" t="s">
        <v>178</v>
      </c>
      <c r="N1104" s="54" t="s">
        <v>34772</v>
      </c>
      <c r="O1104" s="130" t="s">
        <v>18080</v>
      </c>
      <c r="P1104" s="153" t="s">
        <v>18081</v>
      </c>
      <c r="Q1104" s="14">
        <v>4376140.0</v>
      </c>
      <c r="R1104" s="95"/>
      <c r="S1104" s="154" t="s">
        <v>34773</v>
      </c>
      <c r="T1104" s="84"/>
      <c r="U1104" s="84"/>
      <c r="V1104" s="84"/>
      <c r="W1104" s="84"/>
      <c r="X1104" s="84"/>
      <c r="Y1104" s="84"/>
      <c r="Z1104" s="84"/>
      <c r="AA1104" s="84"/>
      <c r="AB1104" s="84"/>
      <c r="AC1104" s="84"/>
    </row>
    <row r="1105" ht="15.75" customHeight="1">
      <c r="A1105" s="14" t="s">
        <v>2137</v>
      </c>
      <c r="B1105" s="14">
        <v>2007.0</v>
      </c>
      <c r="C1105" s="14" t="s">
        <v>18082</v>
      </c>
      <c r="D1105" s="14" t="s">
        <v>18084</v>
      </c>
      <c r="E1105" s="150" t="str">
        <f t="shared" si="13"/>
        <v>http://dx.doi.org/10.1109/TVCG.2007.70522</v>
      </c>
      <c r="F1105" s="14">
        <v>1105.0</v>
      </c>
      <c r="G1105" s="14">
        <v>1112.0</v>
      </c>
      <c r="H1105" s="151"/>
      <c r="I1105" s="14" t="s">
        <v>17059</v>
      </c>
      <c r="J1105" s="14" t="s">
        <v>18086</v>
      </c>
      <c r="K1105" s="14" t="s">
        <v>34774</v>
      </c>
      <c r="L1105" s="152" t="s">
        <v>18942</v>
      </c>
      <c r="M1105" s="14" t="s">
        <v>34775</v>
      </c>
      <c r="N1105" s="54" t="s">
        <v>34774</v>
      </c>
      <c r="O1105" s="130" t="s">
        <v>18088</v>
      </c>
      <c r="P1105" s="153" t="s">
        <v>18089</v>
      </c>
      <c r="Q1105" s="14">
        <v>4376129.0</v>
      </c>
      <c r="R1105" s="95"/>
      <c r="S1105" s="154" t="s">
        <v>34776</v>
      </c>
      <c r="T1105" s="84"/>
      <c r="U1105" s="84"/>
      <c r="V1105" s="84"/>
      <c r="W1105" s="84"/>
      <c r="X1105" s="84"/>
      <c r="Y1105" s="84"/>
      <c r="Z1105" s="84"/>
      <c r="AA1105" s="84"/>
      <c r="AB1105" s="84"/>
      <c r="AC1105" s="84"/>
    </row>
    <row r="1106" ht="15.75" customHeight="1">
      <c r="A1106" s="14" t="s">
        <v>2137</v>
      </c>
      <c r="B1106" s="14">
        <v>2007.0</v>
      </c>
      <c r="C1106" s="14" t="s">
        <v>18249</v>
      </c>
      <c r="D1106" s="14" t="s">
        <v>18250</v>
      </c>
      <c r="E1106" s="150" t="str">
        <f t="shared" si="13"/>
        <v>http://dx.doi.org/10.1109/TVCG.2007.70617</v>
      </c>
      <c r="F1106" s="14">
        <v>1200.0</v>
      </c>
      <c r="G1106" s="14">
        <v>1207.0</v>
      </c>
      <c r="H1106" s="151"/>
      <c r="I1106" s="14" t="s">
        <v>17059</v>
      </c>
      <c r="J1106" s="14" t="s">
        <v>18251</v>
      </c>
      <c r="K1106" s="14" t="s">
        <v>34777</v>
      </c>
      <c r="L1106" s="152" t="s">
        <v>19946</v>
      </c>
      <c r="M1106" s="14" t="s">
        <v>1253</v>
      </c>
      <c r="N1106" s="54" t="s">
        <v>34777</v>
      </c>
      <c r="O1106" s="130" t="s">
        <v>18255</v>
      </c>
      <c r="P1106" s="153" t="s">
        <v>18256</v>
      </c>
      <c r="Q1106" s="14">
        <v>4376141.0</v>
      </c>
      <c r="R1106" s="95"/>
      <c r="S1106" s="154" t="s">
        <v>34778</v>
      </c>
      <c r="T1106" s="84"/>
      <c r="U1106" s="84"/>
      <c r="V1106" s="84"/>
      <c r="W1106" s="84"/>
      <c r="X1106" s="84"/>
      <c r="Y1106" s="84"/>
      <c r="Z1106" s="84"/>
      <c r="AA1106" s="84"/>
      <c r="AB1106" s="84"/>
      <c r="AC1106" s="84"/>
    </row>
    <row r="1107" ht="15.75" customHeight="1">
      <c r="A1107" s="14" t="s">
        <v>2137</v>
      </c>
      <c r="B1107" s="14">
        <v>2007.0</v>
      </c>
      <c r="C1107" s="14" t="s">
        <v>18090</v>
      </c>
      <c r="D1107" s="14" t="s">
        <v>18091</v>
      </c>
      <c r="E1107" s="150" t="str">
        <f t="shared" si="13"/>
        <v>http://dx.doi.org/10.1109/TVCG.2007.70528</v>
      </c>
      <c r="F1107" s="14">
        <v>1254.0</v>
      </c>
      <c r="G1107" s="14">
        <v>1261.0</v>
      </c>
      <c r="H1107" s="151"/>
      <c r="I1107" s="14" t="s">
        <v>17059</v>
      </c>
      <c r="J1107" s="14" t="s">
        <v>18092</v>
      </c>
      <c r="K1107" s="14" t="s">
        <v>34782</v>
      </c>
      <c r="L1107" s="152" t="s">
        <v>18975</v>
      </c>
      <c r="M1107" s="14" t="s">
        <v>34783</v>
      </c>
      <c r="N1107" s="54" t="s">
        <v>34784</v>
      </c>
      <c r="O1107" s="130" t="s">
        <v>13096</v>
      </c>
      <c r="P1107" s="153" t="s">
        <v>18096</v>
      </c>
      <c r="Q1107" s="14">
        <v>4376148.0</v>
      </c>
      <c r="R1107" s="95"/>
      <c r="S1107" s="154">
        <v>1249025.0</v>
      </c>
      <c r="T1107" s="84"/>
      <c r="U1107" s="84"/>
      <c r="V1107" s="84"/>
      <c r="W1107" s="84"/>
      <c r="X1107" s="84"/>
      <c r="Y1107" s="84"/>
      <c r="Z1107" s="84"/>
      <c r="AA1107" s="84"/>
      <c r="AB1107" s="84"/>
      <c r="AC1107" s="84"/>
    </row>
    <row r="1108" ht="15.75" customHeight="1">
      <c r="A1108" s="14" t="s">
        <v>2137</v>
      </c>
      <c r="B1108" s="14">
        <v>2007.0</v>
      </c>
      <c r="C1108" s="14" t="s">
        <v>18099</v>
      </c>
      <c r="D1108" s="14" t="s">
        <v>18100</v>
      </c>
      <c r="E1108" s="150" t="str">
        <f t="shared" si="13"/>
        <v>http://dx.doi.org/10.1109/TVCG.2007.70529</v>
      </c>
      <c r="F1108" s="14">
        <v>1286.0</v>
      </c>
      <c r="G1108" s="14">
        <v>1293.0</v>
      </c>
      <c r="H1108" s="151"/>
      <c r="I1108" s="14" t="s">
        <v>17059</v>
      </c>
      <c r="J1108" s="14" t="s">
        <v>18101</v>
      </c>
      <c r="K1108" s="14" t="s">
        <v>18102</v>
      </c>
      <c r="L1108" s="152" t="s">
        <v>19019</v>
      </c>
      <c r="M1108" s="14" t="s">
        <v>34786</v>
      </c>
      <c r="N1108" s="54" t="s">
        <v>18102</v>
      </c>
      <c r="O1108" s="130" t="s">
        <v>18104</v>
      </c>
      <c r="P1108" s="153" t="s">
        <v>18105</v>
      </c>
      <c r="Q1108" s="14">
        <v>4376152.0</v>
      </c>
      <c r="R1108" s="95"/>
      <c r="S1108" s="154" t="s">
        <v>34787</v>
      </c>
      <c r="T1108" s="84"/>
      <c r="U1108" s="84"/>
      <c r="V1108" s="84"/>
      <c r="W1108" s="84"/>
      <c r="X1108" s="84"/>
      <c r="Y1108" s="84"/>
      <c r="Z1108" s="84"/>
      <c r="AA1108" s="84"/>
      <c r="AB1108" s="84"/>
      <c r="AC1108" s="84"/>
    </row>
    <row r="1109" ht="15.75" customHeight="1">
      <c r="A1109" s="14" t="s">
        <v>2137</v>
      </c>
      <c r="B1109" s="14">
        <v>2007.0</v>
      </c>
      <c r="C1109" s="14" t="s">
        <v>18257</v>
      </c>
      <c r="D1109" s="14" t="s">
        <v>18258</v>
      </c>
      <c r="E1109" s="150" t="str">
        <f t="shared" si="13"/>
        <v>http://dx.doi.org/10.1109/TVCG.2007.70621</v>
      </c>
      <c r="F1109" s="14">
        <v>1153.0</v>
      </c>
      <c r="G1109" s="14">
        <v>1160.0</v>
      </c>
      <c r="H1109" s="151"/>
      <c r="I1109" s="14" t="s">
        <v>17059</v>
      </c>
      <c r="J1109" s="14" t="s">
        <v>18259</v>
      </c>
      <c r="K1109" s="14" t="s">
        <v>34788</v>
      </c>
      <c r="L1109" s="152" t="s">
        <v>19969</v>
      </c>
      <c r="M1109" s="14" t="s">
        <v>5349</v>
      </c>
      <c r="N1109" s="54" t="s">
        <v>34788</v>
      </c>
      <c r="O1109" s="130" t="s">
        <v>18263</v>
      </c>
      <c r="P1109" s="153" t="s">
        <v>18264</v>
      </c>
      <c r="Q1109" s="14">
        <v>4376136.0</v>
      </c>
      <c r="R1109" s="95"/>
      <c r="S1109" s="154" t="s">
        <v>34789</v>
      </c>
      <c r="T1109" s="84"/>
      <c r="U1109" s="84"/>
      <c r="V1109" s="84"/>
      <c r="W1109" s="84"/>
      <c r="X1109" s="84"/>
      <c r="Y1109" s="84"/>
      <c r="Z1109" s="84"/>
      <c r="AA1109" s="84"/>
      <c r="AB1109" s="84"/>
      <c r="AC1109" s="84"/>
    </row>
    <row r="1110" ht="15.75" customHeight="1">
      <c r="A1110" s="14" t="s">
        <v>2137</v>
      </c>
      <c r="B1110" s="14">
        <v>2007.0</v>
      </c>
      <c r="C1110" s="14" t="s">
        <v>18265</v>
      </c>
      <c r="D1110" s="14" t="s">
        <v>18266</v>
      </c>
      <c r="E1110" s="150" t="str">
        <f t="shared" si="13"/>
        <v>http://dx.doi.org/10.1109/TVCG.2007.70623</v>
      </c>
      <c r="F1110" s="14">
        <v>1270.0</v>
      </c>
      <c r="G1110" s="14">
        <v>1277.0</v>
      </c>
      <c r="H1110" s="151"/>
      <c r="I1110" s="14" t="s">
        <v>17059</v>
      </c>
      <c r="J1110" s="14" t="s">
        <v>19988</v>
      </c>
      <c r="K1110" s="14" t="s">
        <v>34790</v>
      </c>
      <c r="L1110" s="152" t="s">
        <v>19990</v>
      </c>
      <c r="M1110" s="14" t="s">
        <v>5349</v>
      </c>
      <c r="N1110" s="54" t="s">
        <v>34790</v>
      </c>
      <c r="O1110" s="130" t="s">
        <v>18271</v>
      </c>
      <c r="P1110" s="153" t="s">
        <v>18272</v>
      </c>
      <c r="Q1110" s="14">
        <v>4376150.0</v>
      </c>
      <c r="R1110" s="95"/>
      <c r="S1110" s="154" t="s">
        <v>34791</v>
      </c>
      <c r="T1110" s="84"/>
      <c r="U1110" s="84"/>
      <c r="V1110" s="84"/>
      <c r="W1110" s="84"/>
      <c r="X1110" s="84"/>
      <c r="Y1110" s="84"/>
      <c r="Z1110" s="84"/>
      <c r="AA1110" s="84"/>
      <c r="AB1110" s="84"/>
      <c r="AC1110" s="84"/>
    </row>
    <row r="1111" ht="15.75" customHeight="1">
      <c r="A1111" s="14" t="s">
        <v>120</v>
      </c>
      <c r="B1111" s="14">
        <v>2007.0</v>
      </c>
      <c r="C1111" s="14" t="s">
        <v>18279</v>
      </c>
      <c r="D1111" s="14" t="s">
        <v>18280</v>
      </c>
      <c r="E1111" s="150" t="str">
        <f t="shared" si="13"/>
        <v>http://dx.doi.org/10.1109/VAST.2007.4388990</v>
      </c>
      <c r="F1111" s="14">
        <v>3.0</v>
      </c>
      <c r="G1111" s="14">
        <v>10.0</v>
      </c>
      <c r="H1111" s="151"/>
      <c r="I1111" s="14" t="s">
        <v>28</v>
      </c>
      <c r="J1111" s="14" t="s">
        <v>18281</v>
      </c>
      <c r="K1111" s="14" t="s">
        <v>34792</v>
      </c>
      <c r="L1111" s="152" t="s">
        <v>20046</v>
      </c>
      <c r="M1111" s="14" t="s">
        <v>34793</v>
      </c>
      <c r="N1111" s="54" t="s">
        <v>34792</v>
      </c>
      <c r="O1111" s="130" t="s">
        <v>18001</v>
      </c>
      <c r="P1111" s="153" t="s">
        <v>18285</v>
      </c>
      <c r="Q1111" s="14">
        <v>4388990.0</v>
      </c>
      <c r="R1111" s="95"/>
      <c r="S1111" s="154">
        <v>4015469.0</v>
      </c>
      <c r="T1111" s="84"/>
      <c r="U1111" s="84"/>
      <c r="V1111" s="84"/>
      <c r="W1111" s="84"/>
      <c r="X1111" s="84"/>
      <c r="Y1111" s="84"/>
      <c r="Z1111" s="84"/>
      <c r="AA1111" s="84"/>
      <c r="AB1111" s="84"/>
      <c r="AC1111" s="84"/>
    </row>
    <row r="1112" ht="15.75" customHeight="1">
      <c r="A1112" s="14" t="s">
        <v>120</v>
      </c>
      <c r="B1112" s="14">
        <v>2007.0</v>
      </c>
      <c r="C1112" s="14" t="s">
        <v>18354</v>
      </c>
      <c r="D1112" s="14" t="s">
        <v>18355</v>
      </c>
      <c r="E1112" s="150" t="str">
        <f t="shared" si="13"/>
        <v>http://dx.doi.org/10.1109/VAST.2007.4389000</v>
      </c>
      <c r="F1112" s="14">
        <v>83.0</v>
      </c>
      <c r="G1112" s="14">
        <v>90.0</v>
      </c>
      <c r="H1112" s="151"/>
      <c r="I1112" s="14" t="s">
        <v>28</v>
      </c>
      <c r="J1112" s="14" t="s">
        <v>18356</v>
      </c>
      <c r="K1112" s="14" t="s">
        <v>34795</v>
      </c>
      <c r="L1112" s="152" t="s">
        <v>20179</v>
      </c>
      <c r="M1112" s="14" t="s">
        <v>34796</v>
      </c>
      <c r="N1112" s="54" t="s">
        <v>34795</v>
      </c>
      <c r="O1112" s="130" t="s">
        <v>18359</v>
      </c>
      <c r="P1112" s="153" t="s">
        <v>18360</v>
      </c>
      <c r="Q1112" s="14">
        <v>4389000.0</v>
      </c>
      <c r="R1112" s="95"/>
      <c r="S1112" s="154" t="s">
        <v>34797</v>
      </c>
      <c r="T1112" s="84"/>
      <c r="U1112" s="84"/>
      <c r="V1112" s="84"/>
      <c r="W1112" s="84"/>
      <c r="X1112" s="84"/>
      <c r="Y1112" s="84"/>
      <c r="Z1112" s="84"/>
      <c r="AA1112" s="84"/>
      <c r="AB1112" s="84"/>
      <c r="AC1112" s="84"/>
    </row>
    <row r="1113" ht="15.75" customHeight="1">
      <c r="A1113" s="14" t="s">
        <v>120</v>
      </c>
      <c r="B1113" s="14">
        <v>2007.0</v>
      </c>
      <c r="C1113" s="14" t="s">
        <v>18379</v>
      </c>
      <c r="D1113" s="14" t="s">
        <v>18380</v>
      </c>
      <c r="E1113" s="150" t="str">
        <f t="shared" si="13"/>
        <v>http://dx.doi.org/10.1109/VAST.2007.4389003</v>
      </c>
      <c r="F1113" s="14">
        <v>107.0</v>
      </c>
      <c r="G1113" s="14">
        <v>114.0</v>
      </c>
      <c r="H1113" s="151"/>
      <c r="I1113" s="14" t="s">
        <v>28</v>
      </c>
      <c r="J1113" s="14" t="s">
        <v>18381</v>
      </c>
      <c r="K1113" s="14" t="s">
        <v>34798</v>
      </c>
      <c r="L1113" s="152" t="s">
        <v>20294</v>
      </c>
      <c r="M1113" s="14" t="s">
        <v>34799</v>
      </c>
      <c r="N1113" s="54" t="s">
        <v>34798</v>
      </c>
      <c r="O1113" s="130" t="s">
        <v>18383</v>
      </c>
      <c r="P1113" s="153" t="s">
        <v>18384</v>
      </c>
      <c r="Q1113" s="14">
        <v>4389003.0</v>
      </c>
      <c r="R1113" s="95"/>
      <c r="S1113" s="154" t="s">
        <v>34800</v>
      </c>
      <c r="T1113" s="84"/>
      <c r="U1113" s="84"/>
      <c r="V1113" s="84"/>
      <c r="W1113" s="84"/>
      <c r="X1113" s="84"/>
      <c r="Y1113" s="84"/>
      <c r="Z1113" s="84"/>
      <c r="AA1113" s="84"/>
      <c r="AB1113" s="84"/>
      <c r="AC1113" s="84"/>
    </row>
    <row r="1114" ht="15.75" customHeight="1">
      <c r="A1114" s="14" t="s">
        <v>120</v>
      </c>
      <c r="B1114" s="14">
        <v>2007.0</v>
      </c>
      <c r="C1114" s="14" t="s">
        <v>18337</v>
      </c>
      <c r="D1114" s="14" t="s">
        <v>18338</v>
      </c>
      <c r="E1114" s="150" t="str">
        <f t="shared" si="13"/>
        <v>http://dx.doi.org/10.1109/VAST.2007.4388998</v>
      </c>
      <c r="F1114" s="14">
        <v>67.0</v>
      </c>
      <c r="G1114" s="14">
        <v>74.0</v>
      </c>
      <c r="H1114" s="151"/>
      <c r="I1114" s="14" t="s">
        <v>28</v>
      </c>
      <c r="J1114" s="14" t="s">
        <v>18340</v>
      </c>
      <c r="K1114" s="14" t="s">
        <v>34801</v>
      </c>
      <c r="L1114" s="152" t="s">
        <v>20157</v>
      </c>
      <c r="M1114" s="14" t="s">
        <v>34803</v>
      </c>
      <c r="N1114" s="54" t="s">
        <v>34801</v>
      </c>
      <c r="O1114" s="130" t="s">
        <v>18343</v>
      </c>
      <c r="P1114" s="153" t="s">
        <v>18344</v>
      </c>
      <c r="Q1114" s="14">
        <v>4388998.0</v>
      </c>
      <c r="R1114" s="95"/>
      <c r="S1114" s="154" t="s">
        <v>34804</v>
      </c>
      <c r="T1114" s="84"/>
      <c r="U1114" s="84"/>
      <c r="V1114" s="84"/>
      <c r="W1114" s="84"/>
      <c r="X1114" s="84"/>
      <c r="Y1114" s="84"/>
      <c r="Z1114" s="84"/>
      <c r="AA1114" s="84"/>
      <c r="AB1114" s="84"/>
      <c r="AC1114" s="84"/>
    </row>
    <row r="1115" ht="15.75" customHeight="1">
      <c r="A1115" s="14" t="s">
        <v>120</v>
      </c>
      <c r="B1115" s="14">
        <v>2007.0</v>
      </c>
      <c r="C1115" s="14" t="s">
        <v>18501</v>
      </c>
      <c r="D1115" s="14" t="s">
        <v>18502</v>
      </c>
      <c r="E1115" s="150" t="str">
        <f t="shared" si="13"/>
        <v>http://dx.doi.org/10.1109/VAST.2007.4389022</v>
      </c>
      <c r="F1115" s="14">
        <v>211.0</v>
      </c>
      <c r="G1115" s="14">
        <v>212.0</v>
      </c>
      <c r="H1115" s="159" t="s">
        <v>30659</v>
      </c>
      <c r="I1115" s="14" t="s">
        <v>21</v>
      </c>
      <c r="J1115" s="14" t="s">
        <v>18503</v>
      </c>
      <c r="K1115" s="14" t="s">
        <v>34805</v>
      </c>
      <c r="L1115" s="152" t="s">
        <v>20617</v>
      </c>
      <c r="M1115" s="14" t="s">
        <v>34806</v>
      </c>
      <c r="N1115" s="54" t="s">
        <v>34805</v>
      </c>
      <c r="O1115" s="130"/>
      <c r="P1115" s="16"/>
      <c r="Q1115" s="14">
        <v>4389022.0</v>
      </c>
      <c r="R1115" s="95"/>
      <c r="S1115" s="154"/>
      <c r="T1115" s="84"/>
      <c r="U1115" s="84"/>
      <c r="V1115" s="84"/>
      <c r="W1115" s="84"/>
      <c r="X1115" s="84"/>
      <c r="Y1115" s="84"/>
      <c r="Z1115" s="84"/>
      <c r="AA1115" s="84"/>
      <c r="AB1115" s="84"/>
      <c r="AC1115" s="84"/>
    </row>
    <row r="1116" ht="15.75" customHeight="1">
      <c r="A1116" s="14" t="s">
        <v>120</v>
      </c>
      <c r="B1116" s="14">
        <v>2007.0</v>
      </c>
      <c r="C1116" s="14" t="s">
        <v>18345</v>
      </c>
      <c r="D1116" s="14" t="s">
        <v>18346</v>
      </c>
      <c r="E1116" s="150" t="str">
        <f t="shared" si="13"/>
        <v>http://dx.doi.org/10.1109/VAST.2007.4388999</v>
      </c>
      <c r="F1116" s="14">
        <v>75.0</v>
      </c>
      <c r="G1116" s="14">
        <v>82.0</v>
      </c>
      <c r="H1116" s="151"/>
      <c r="I1116" s="14" t="s">
        <v>28</v>
      </c>
      <c r="J1116" s="14" t="s">
        <v>18348</v>
      </c>
      <c r="K1116" s="14" t="s">
        <v>34808</v>
      </c>
      <c r="L1116" s="152" t="s">
        <v>20164</v>
      </c>
      <c r="M1116" s="14" t="s">
        <v>34809</v>
      </c>
      <c r="N1116" s="54" t="s">
        <v>34808</v>
      </c>
      <c r="O1116" s="130" t="s">
        <v>18351</v>
      </c>
      <c r="P1116" s="153" t="s">
        <v>18353</v>
      </c>
      <c r="Q1116" s="14">
        <v>4388999.0</v>
      </c>
      <c r="R1116" s="95"/>
      <c r="S1116" s="154" t="s">
        <v>34810</v>
      </c>
      <c r="T1116" s="84"/>
      <c r="U1116" s="84"/>
      <c r="V1116" s="84"/>
      <c r="W1116" s="84"/>
      <c r="X1116" s="84"/>
      <c r="Y1116" s="84"/>
      <c r="Z1116" s="84"/>
      <c r="AA1116" s="84"/>
      <c r="AB1116" s="84"/>
      <c r="AC1116" s="84"/>
    </row>
    <row r="1117" ht="15.75" customHeight="1">
      <c r="A1117" s="14" t="s">
        <v>120</v>
      </c>
      <c r="B1117" s="14">
        <v>2007.0</v>
      </c>
      <c r="C1117" s="14" t="s">
        <v>18451</v>
      </c>
      <c r="D1117" s="14" t="s">
        <v>18452</v>
      </c>
      <c r="E1117" s="150" t="str">
        <f t="shared" si="13"/>
        <v>http://dx.doi.org/10.1109/VAST.2007.4389013</v>
      </c>
      <c r="F1117" s="14">
        <v>187.0</v>
      </c>
      <c r="G1117" s="14">
        <v>194.0</v>
      </c>
      <c r="H1117" s="151"/>
      <c r="I1117" s="14" t="s">
        <v>28</v>
      </c>
      <c r="J1117" s="14" t="s">
        <v>18453</v>
      </c>
      <c r="K1117" s="14" t="s">
        <v>34811</v>
      </c>
      <c r="L1117" s="152" t="s">
        <v>20464</v>
      </c>
      <c r="M1117" s="14" t="s">
        <v>34812</v>
      </c>
      <c r="N1117" s="54" t="s">
        <v>34811</v>
      </c>
      <c r="O1117" s="130" t="s">
        <v>18457</v>
      </c>
      <c r="P1117" s="153" t="s">
        <v>18458</v>
      </c>
      <c r="Q1117" s="14">
        <v>4389013.0</v>
      </c>
      <c r="R1117" s="95"/>
      <c r="S1117" s="154" t="s">
        <v>34813</v>
      </c>
      <c r="T1117" s="84"/>
      <c r="U1117" s="84"/>
      <c r="V1117" s="84"/>
      <c r="W1117" s="84"/>
      <c r="X1117" s="84"/>
      <c r="Y1117" s="84"/>
      <c r="Z1117" s="84"/>
      <c r="AA1117" s="84"/>
      <c r="AB1117" s="84"/>
      <c r="AC1117" s="84"/>
    </row>
    <row r="1118" ht="15.75" customHeight="1">
      <c r="A1118" s="14" t="s">
        <v>120</v>
      </c>
      <c r="B1118" s="14">
        <v>2007.0</v>
      </c>
      <c r="C1118" s="14" t="s">
        <v>18438</v>
      </c>
      <c r="D1118" s="14" t="s">
        <v>18439</v>
      </c>
      <c r="E1118" s="150" t="str">
        <f t="shared" si="13"/>
        <v>http://dx.doi.org/10.1109/VAST.2007.4389011</v>
      </c>
      <c r="F1118" s="14">
        <v>171.0</v>
      </c>
      <c r="G1118" s="14">
        <v>178.0</v>
      </c>
      <c r="H1118" s="151"/>
      <c r="I1118" s="14" t="s">
        <v>28</v>
      </c>
      <c r="J1118" s="14" t="s">
        <v>18440</v>
      </c>
      <c r="K1118" s="14" t="s">
        <v>34814</v>
      </c>
      <c r="L1118" s="152" t="s">
        <v>20422</v>
      </c>
      <c r="M1118" s="14" t="s">
        <v>34815</v>
      </c>
      <c r="N1118" s="54" t="s">
        <v>34814</v>
      </c>
      <c r="O1118" s="130" t="s">
        <v>18442</v>
      </c>
      <c r="P1118" s="153" t="s">
        <v>18443</v>
      </c>
      <c r="Q1118" s="14">
        <v>4389011.0</v>
      </c>
      <c r="R1118" s="95"/>
      <c r="S1118" s="154" t="s">
        <v>34816</v>
      </c>
      <c r="T1118" s="84"/>
      <c r="U1118" s="84"/>
      <c r="V1118" s="84"/>
      <c r="W1118" s="84"/>
      <c r="X1118" s="84"/>
      <c r="Y1118" s="84"/>
      <c r="Z1118" s="84"/>
      <c r="AA1118" s="84"/>
      <c r="AB1118" s="84"/>
      <c r="AC1118" s="84"/>
    </row>
    <row r="1119" ht="15.75" customHeight="1">
      <c r="A1119" s="14" t="s">
        <v>120</v>
      </c>
      <c r="B1119" s="14">
        <v>2007.0</v>
      </c>
      <c r="C1119" s="14" t="s">
        <v>18286</v>
      </c>
      <c r="D1119" s="14" t="s">
        <v>18287</v>
      </c>
      <c r="E1119" s="150" t="str">
        <f t="shared" si="13"/>
        <v>http://dx.doi.org/10.1109/VAST.2007.4388991</v>
      </c>
      <c r="F1119" s="14">
        <v>11.0</v>
      </c>
      <c r="G1119" s="14">
        <v>18.0</v>
      </c>
      <c r="H1119" s="151"/>
      <c r="I1119" s="14" t="s">
        <v>28</v>
      </c>
      <c r="J1119" s="14" t="s">
        <v>18288</v>
      </c>
      <c r="K1119" s="14" t="s">
        <v>34818</v>
      </c>
      <c r="L1119" s="152" t="s">
        <v>20056</v>
      </c>
      <c r="M1119" s="14" t="s">
        <v>34819</v>
      </c>
      <c r="N1119" s="54" t="s">
        <v>34818</v>
      </c>
      <c r="O1119" s="130"/>
      <c r="P1119" s="153" t="s">
        <v>18291</v>
      </c>
      <c r="Q1119" s="14">
        <v>4388991.0</v>
      </c>
      <c r="R1119" s="95"/>
      <c r="S1119" s="154"/>
      <c r="T1119" s="84"/>
      <c r="U1119" s="84"/>
      <c r="V1119" s="84"/>
      <c r="W1119" s="84"/>
      <c r="X1119" s="84"/>
      <c r="Y1119" s="84"/>
      <c r="Z1119" s="84"/>
      <c r="AA1119" s="84"/>
      <c r="AB1119" s="84"/>
      <c r="AC1119" s="84"/>
    </row>
    <row r="1120" ht="15.75" customHeight="1">
      <c r="A1120" s="14" t="s">
        <v>120</v>
      </c>
      <c r="B1120" s="14">
        <v>2007.0</v>
      </c>
      <c r="C1120" s="14" t="s">
        <v>18516</v>
      </c>
      <c r="D1120" s="14" t="s">
        <v>18517</v>
      </c>
      <c r="E1120" s="150" t="str">
        <f t="shared" si="13"/>
        <v>http://dx.doi.org/10.1109/VAST.2007.4389025</v>
      </c>
      <c r="F1120" s="14">
        <v>217.0</v>
      </c>
      <c r="G1120" s="14">
        <v>218.0</v>
      </c>
      <c r="H1120" s="159" t="s">
        <v>30659</v>
      </c>
      <c r="I1120" s="14" t="s">
        <v>21</v>
      </c>
      <c r="J1120" s="14" t="s">
        <v>18518</v>
      </c>
      <c r="K1120" s="14" t="s">
        <v>7951</v>
      </c>
      <c r="L1120" s="152" t="s">
        <v>20665</v>
      </c>
      <c r="M1120" s="14">
        <v>3.78530992E10</v>
      </c>
      <c r="N1120" s="54" t="s">
        <v>7951</v>
      </c>
      <c r="O1120" s="130"/>
      <c r="P1120" s="16"/>
      <c r="Q1120" s="14">
        <v>4389025.0</v>
      </c>
      <c r="R1120" s="95"/>
      <c r="S1120" s="154"/>
      <c r="T1120" s="84"/>
      <c r="U1120" s="84"/>
      <c r="V1120" s="84"/>
      <c r="W1120" s="84"/>
      <c r="X1120" s="84"/>
      <c r="Y1120" s="84"/>
      <c r="Z1120" s="84"/>
      <c r="AA1120" s="84"/>
      <c r="AB1120" s="84"/>
      <c r="AC1120" s="84"/>
    </row>
    <row r="1121" ht="15.75" customHeight="1">
      <c r="A1121" s="14" t="s">
        <v>120</v>
      </c>
      <c r="B1121" s="14">
        <v>2007.0</v>
      </c>
      <c r="C1121" s="14" t="s">
        <v>18532</v>
      </c>
      <c r="D1121" s="14" t="s">
        <v>18533</v>
      </c>
      <c r="E1121" s="150" t="str">
        <f t="shared" si="13"/>
        <v>http://dx.doi.org/10.1109/VAST.2007.4389028</v>
      </c>
      <c r="F1121" s="14">
        <v>223.0</v>
      </c>
      <c r="G1121" s="14">
        <v>224.0</v>
      </c>
      <c r="H1121" s="159" t="s">
        <v>30659</v>
      </c>
      <c r="I1121" s="14" t="s">
        <v>21</v>
      </c>
      <c r="J1121" s="14" t="s">
        <v>18534</v>
      </c>
      <c r="K1121" s="14" t="s">
        <v>34820</v>
      </c>
      <c r="L1121" s="152" t="s">
        <v>20706</v>
      </c>
      <c r="M1121" s="14" t="s">
        <v>34821</v>
      </c>
      <c r="N1121" s="54" t="s">
        <v>34822</v>
      </c>
      <c r="O1121" s="130"/>
      <c r="P1121" s="16"/>
      <c r="Q1121" s="14">
        <v>4389028.0</v>
      </c>
      <c r="R1121" s="95"/>
      <c r="S1121" s="154"/>
      <c r="T1121" s="84"/>
      <c r="U1121" s="84"/>
      <c r="V1121" s="84"/>
      <c r="W1121" s="84"/>
      <c r="X1121" s="84"/>
      <c r="Y1121" s="84"/>
      <c r="Z1121" s="84"/>
      <c r="AA1121" s="84"/>
      <c r="AB1121" s="84"/>
      <c r="AC1121" s="84"/>
    </row>
    <row r="1122" ht="15.75" customHeight="1">
      <c r="A1122" s="14" t="s">
        <v>120</v>
      </c>
      <c r="B1122" s="14">
        <v>2007.0</v>
      </c>
      <c r="C1122" s="14" t="s">
        <v>18329</v>
      </c>
      <c r="D1122" s="14" t="s">
        <v>18330</v>
      </c>
      <c r="E1122" s="150" t="str">
        <f t="shared" si="13"/>
        <v>http://dx.doi.org/10.1109/VAST.2007.4388997</v>
      </c>
      <c r="F1122" s="14">
        <v>59.0</v>
      </c>
      <c r="G1122" s="14">
        <v>66.0</v>
      </c>
      <c r="H1122" s="151"/>
      <c r="I1122" s="14" t="s">
        <v>28</v>
      </c>
      <c r="J1122" s="14" t="s">
        <v>18331</v>
      </c>
      <c r="K1122" s="14" t="s">
        <v>34823</v>
      </c>
      <c r="L1122" s="152" t="s">
        <v>20148</v>
      </c>
      <c r="M1122" s="14" t="s">
        <v>34824</v>
      </c>
      <c r="N1122" s="54" t="s">
        <v>34825</v>
      </c>
      <c r="O1122" s="130"/>
      <c r="P1122" s="153" t="s">
        <v>18335</v>
      </c>
      <c r="Q1122" s="14">
        <v>4388997.0</v>
      </c>
      <c r="R1122" s="95"/>
      <c r="S1122" s="154"/>
      <c r="T1122" s="84"/>
      <c r="U1122" s="84"/>
      <c r="V1122" s="84"/>
      <c r="W1122" s="84"/>
      <c r="X1122" s="84"/>
      <c r="Y1122" s="84"/>
      <c r="Z1122" s="84"/>
      <c r="AA1122" s="84"/>
      <c r="AB1122" s="84"/>
      <c r="AC1122" s="84"/>
    </row>
    <row r="1123" ht="15.75" customHeight="1">
      <c r="A1123" s="14" t="s">
        <v>120</v>
      </c>
      <c r="B1123" s="14">
        <v>2007.0</v>
      </c>
      <c r="C1123" s="14" t="s">
        <v>18273</v>
      </c>
      <c r="D1123" s="14" t="s">
        <v>18274</v>
      </c>
      <c r="E1123" s="150" t="str">
        <f t="shared" si="13"/>
        <v>http://dx.doi.org/10.1109/VAST.2007.4388989</v>
      </c>
      <c r="F1123" s="14" t="s">
        <v>18275</v>
      </c>
      <c r="G1123" s="14" t="s">
        <v>18275</v>
      </c>
      <c r="H1123" s="159" t="s">
        <v>30659</v>
      </c>
      <c r="I1123" s="14" t="s">
        <v>21</v>
      </c>
      <c r="J1123" s="14" t="s">
        <v>18276</v>
      </c>
      <c r="K1123" s="14" t="s">
        <v>34828</v>
      </c>
      <c r="L1123" s="152" t="s">
        <v>20021</v>
      </c>
      <c r="M1123" s="14">
        <v>3.79560212E10</v>
      </c>
      <c r="N1123" s="54" t="s">
        <v>7525</v>
      </c>
      <c r="O1123" s="130"/>
      <c r="P1123" s="16"/>
      <c r="Q1123" s="14">
        <v>4388989.0</v>
      </c>
      <c r="R1123" s="95"/>
      <c r="S1123" s="154"/>
      <c r="T1123" s="84"/>
      <c r="U1123" s="84"/>
      <c r="V1123" s="84"/>
      <c r="W1123" s="84"/>
      <c r="X1123" s="84"/>
      <c r="Y1123" s="84"/>
      <c r="Z1123" s="84"/>
      <c r="AA1123" s="84"/>
      <c r="AB1123" s="84"/>
      <c r="AC1123" s="84"/>
    </row>
    <row r="1124" ht="15.75" customHeight="1">
      <c r="A1124" s="14" t="s">
        <v>120</v>
      </c>
      <c r="B1124" s="14">
        <v>2007.0</v>
      </c>
      <c r="C1124" s="14" t="s">
        <v>18565</v>
      </c>
      <c r="D1124" s="14" t="s">
        <v>18566</v>
      </c>
      <c r="E1124" s="150" t="str">
        <f t="shared" si="13"/>
        <v>http://dx.doi.org/10.1109/VAST.2007.4389036</v>
      </c>
      <c r="F1124" s="14">
        <v>241.0</v>
      </c>
      <c r="G1124" s="14">
        <v>242.0</v>
      </c>
      <c r="H1124" s="159" t="s">
        <v>30659</v>
      </c>
      <c r="I1124" s="14" t="s">
        <v>21</v>
      </c>
      <c r="J1124" s="14" t="s">
        <v>18568</v>
      </c>
      <c r="K1124" s="14" t="s">
        <v>34832</v>
      </c>
      <c r="L1124" s="152" t="s">
        <v>20718</v>
      </c>
      <c r="M1124" s="14" t="s">
        <v>34833</v>
      </c>
      <c r="N1124" s="54" t="s">
        <v>34832</v>
      </c>
      <c r="O1124" s="130"/>
      <c r="P1124" s="16"/>
      <c r="Q1124" s="14">
        <v>4389036.0</v>
      </c>
      <c r="R1124" s="95"/>
      <c r="S1124" s="154"/>
      <c r="T1124" s="84"/>
      <c r="U1124" s="84"/>
      <c r="V1124" s="84"/>
      <c r="W1124" s="84"/>
      <c r="X1124" s="84"/>
      <c r="Y1124" s="84"/>
      <c r="Z1124" s="84"/>
      <c r="AA1124" s="84"/>
      <c r="AB1124" s="84"/>
      <c r="AC1124" s="84"/>
    </row>
    <row r="1125" ht="15.75" customHeight="1">
      <c r="A1125" s="14" t="s">
        <v>120</v>
      </c>
      <c r="B1125" s="14">
        <v>2007.0</v>
      </c>
      <c r="C1125" s="14" t="s">
        <v>18361</v>
      </c>
      <c r="D1125" s="14" t="s">
        <v>18362</v>
      </c>
      <c r="E1125" s="150" t="str">
        <f t="shared" si="13"/>
        <v>http://dx.doi.org/10.1109/VAST.2007.4389001</v>
      </c>
      <c r="F1125" s="14">
        <v>91.0</v>
      </c>
      <c r="G1125" s="14">
        <v>98.0</v>
      </c>
      <c r="H1125" s="151"/>
      <c r="I1125" s="14" t="s">
        <v>28</v>
      </c>
      <c r="J1125" s="14" t="s">
        <v>18365</v>
      </c>
      <c r="K1125" s="14" t="s">
        <v>34834</v>
      </c>
      <c r="L1125" s="152" t="s">
        <v>20223</v>
      </c>
      <c r="M1125" s="14" t="s">
        <v>34835</v>
      </c>
      <c r="N1125" s="54" t="s">
        <v>34834</v>
      </c>
      <c r="O1125" s="130" t="s">
        <v>18369</v>
      </c>
      <c r="P1125" s="153" t="s">
        <v>18370</v>
      </c>
      <c r="Q1125" s="14">
        <v>4389001.0</v>
      </c>
      <c r="R1125" s="95"/>
      <c r="S1125" s="154" t="s">
        <v>34836</v>
      </c>
      <c r="T1125" s="84"/>
      <c r="U1125" s="84"/>
      <c r="V1125" s="84"/>
      <c r="W1125" s="84"/>
      <c r="X1125" s="84"/>
      <c r="Y1125" s="84"/>
      <c r="Z1125" s="84"/>
      <c r="AA1125" s="84"/>
      <c r="AB1125" s="84"/>
      <c r="AC1125" s="84"/>
    </row>
    <row r="1126" ht="15.75" customHeight="1">
      <c r="A1126" s="14" t="s">
        <v>120</v>
      </c>
      <c r="B1126" s="14">
        <v>2007.0</v>
      </c>
      <c r="C1126" s="14" t="s">
        <v>18557</v>
      </c>
      <c r="D1126" s="14" t="s">
        <v>18558</v>
      </c>
      <c r="E1126" s="150" t="str">
        <f t="shared" si="13"/>
        <v>http://dx.doi.org/10.1109/VAST.2007.4389034</v>
      </c>
      <c r="F1126" s="14">
        <v>235.0</v>
      </c>
      <c r="G1126" s="14">
        <v>236.0</v>
      </c>
      <c r="H1126" s="159" t="s">
        <v>30659</v>
      </c>
      <c r="I1126" s="14" t="s">
        <v>21</v>
      </c>
      <c r="J1126" s="14" t="s">
        <v>18560</v>
      </c>
      <c r="K1126" s="14" t="s">
        <v>34837</v>
      </c>
      <c r="L1126" s="152" t="s">
        <v>20531</v>
      </c>
      <c r="M1126" s="14" t="s">
        <v>34839</v>
      </c>
      <c r="N1126" s="54" t="s">
        <v>34837</v>
      </c>
      <c r="O1126" s="130"/>
      <c r="P1126" s="16"/>
      <c r="Q1126" s="14">
        <v>4389034.0</v>
      </c>
      <c r="R1126" s="95"/>
      <c r="S1126" s="154"/>
      <c r="T1126" s="84"/>
      <c r="U1126" s="84"/>
      <c r="V1126" s="84"/>
      <c r="W1126" s="84"/>
      <c r="X1126" s="84"/>
      <c r="Y1126" s="84"/>
      <c r="Z1126" s="84"/>
      <c r="AA1126" s="84"/>
      <c r="AB1126" s="84"/>
      <c r="AC1126" s="84"/>
    </row>
    <row r="1127" ht="15.75" customHeight="1">
      <c r="A1127" s="14" t="s">
        <v>120</v>
      </c>
      <c r="B1127" s="14">
        <v>2007.0</v>
      </c>
      <c r="C1127" s="14" t="s">
        <v>18399</v>
      </c>
      <c r="D1127" s="14" t="s">
        <v>18400</v>
      </c>
      <c r="E1127" s="150" t="str">
        <f t="shared" si="13"/>
        <v>http://dx.doi.org/10.1109/VAST.2007.4389006</v>
      </c>
      <c r="F1127" s="14">
        <v>131.0</v>
      </c>
      <c r="G1127" s="14">
        <v>138.0</v>
      </c>
      <c r="H1127" s="151"/>
      <c r="I1127" s="14" t="s">
        <v>28</v>
      </c>
      <c r="J1127" s="14" t="s">
        <v>18401</v>
      </c>
      <c r="K1127" s="14" t="s">
        <v>34840</v>
      </c>
      <c r="L1127" s="152" t="s">
        <v>18850</v>
      </c>
      <c r="M1127" s="14" t="s">
        <v>34841</v>
      </c>
      <c r="N1127" s="54" t="s">
        <v>34840</v>
      </c>
      <c r="O1127" s="130" t="s">
        <v>18405</v>
      </c>
      <c r="P1127" s="153" t="s">
        <v>18406</v>
      </c>
      <c r="Q1127" s="14">
        <v>4389006.0</v>
      </c>
      <c r="R1127" s="95"/>
      <c r="S1127" s="154" t="s">
        <v>34842</v>
      </c>
      <c r="T1127" s="84"/>
      <c r="U1127" s="84"/>
      <c r="V1127" s="84"/>
      <c r="W1127" s="84"/>
      <c r="X1127" s="84"/>
      <c r="Y1127" s="84"/>
      <c r="Z1127" s="84"/>
      <c r="AA1127" s="84"/>
      <c r="AB1127" s="84"/>
      <c r="AC1127" s="84"/>
    </row>
    <row r="1128" ht="15.75" customHeight="1">
      <c r="A1128" s="14" t="s">
        <v>120</v>
      </c>
      <c r="B1128" s="14">
        <v>2007.0</v>
      </c>
      <c r="C1128" s="14" t="s">
        <v>18300</v>
      </c>
      <c r="D1128" s="14" t="s">
        <v>18301</v>
      </c>
      <c r="E1128" s="150" t="str">
        <f t="shared" si="13"/>
        <v>http://dx.doi.org/10.1109/VAST.2007.4388993</v>
      </c>
      <c r="F1128" s="14">
        <v>27.0</v>
      </c>
      <c r="G1128" s="14">
        <v>34.0</v>
      </c>
      <c r="H1128" s="151"/>
      <c r="I1128" s="14" t="s">
        <v>28</v>
      </c>
      <c r="J1128" s="14" t="s">
        <v>18302</v>
      </c>
      <c r="K1128" s="14" t="s">
        <v>34843</v>
      </c>
      <c r="L1128" s="152" t="s">
        <v>20087</v>
      </c>
      <c r="M1128" s="14" t="s">
        <v>34844</v>
      </c>
      <c r="N1128" s="54" t="s">
        <v>34843</v>
      </c>
      <c r="O1128" s="130"/>
      <c r="P1128" s="16"/>
      <c r="Q1128" s="14">
        <v>4388993.0</v>
      </c>
      <c r="R1128" s="95"/>
      <c r="S1128" s="154"/>
      <c r="T1128" s="84"/>
      <c r="U1128" s="84"/>
      <c r="V1128" s="84"/>
      <c r="W1128" s="84"/>
      <c r="X1128" s="84"/>
      <c r="Y1128" s="84"/>
      <c r="Z1128" s="84"/>
      <c r="AA1128" s="84"/>
      <c r="AB1128" s="84"/>
      <c r="AC1128" s="84"/>
    </row>
    <row r="1129" ht="15.75" customHeight="1">
      <c r="A1129" s="14" t="s">
        <v>120</v>
      </c>
      <c r="B1129" s="14">
        <v>2007.0</v>
      </c>
      <c r="C1129" s="14" t="s">
        <v>18385</v>
      </c>
      <c r="D1129" s="14" t="s">
        <v>18386</v>
      </c>
      <c r="E1129" s="173" t="str">
        <f t="shared" si="13"/>
        <v>http://dx.doi.org/10.1109/VAST.2007.4389004</v>
      </c>
      <c r="F1129" s="14">
        <v>115.0</v>
      </c>
      <c r="G1129" s="14">
        <v>122.0</v>
      </c>
      <c r="H1129" s="151"/>
      <c r="I1129" s="14" t="s">
        <v>28</v>
      </c>
      <c r="J1129" s="14" t="s">
        <v>18387</v>
      </c>
      <c r="K1129" s="14" t="s">
        <v>34847</v>
      </c>
      <c r="L1129" s="152" t="s">
        <v>20327</v>
      </c>
      <c r="M1129" s="14" t="s">
        <v>34848</v>
      </c>
      <c r="N1129" s="54" t="s">
        <v>34847</v>
      </c>
      <c r="O1129" s="130"/>
      <c r="P1129" s="153" t="s">
        <v>18390</v>
      </c>
      <c r="Q1129" s="14">
        <v>4389004.0</v>
      </c>
      <c r="R1129" s="95"/>
      <c r="S1129" s="154"/>
      <c r="T1129" s="84"/>
      <c r="U1129" s="84"/>
      <c r="V1129" s="84"/>
      <c r="W1129" s="84"/>
      <c r="X1129" s="84"/>
      <c r="Y1129" s="84"/>
      <c r="Z1129" s="84"/>
      <c r="AA1129" s="84"/>
      <c r="AB1129" s="84"/>
      <c r="AC1129" s="84"/>
    </row>
    <row r="1130" ht="15.75" customHeight="1">
      <c r="A1130" s="14" t="s">
        <v>120</v>
      </c>
      <c r="B1130" s="14">
        <v>2007.0</v>
      </c>
      <c r="C1130" s="14" t="s">
        <v>18391</v>
      </c>
      <c r="D1130" s="14" t="s">
        <v>18392</v>
      </c>
      <c r="E1130" s="150" t="str">
        <f t="shared" si="13"/>
        <v>http://dx.doi.org/10.1109/VAST.2007.4389005</v>
      </c>
      <c r="F1130" s="14">
        <v>123.0</v>
      </c>
      <c r="G1130" s="14">
        <v>130.0</v>
      </c>
      <c r="H1130" s="151"/>
      <c r="I1130" s="14" t="s">
        <v>28</v>
      </c>
      <c r="J1130" s="14" t="s">
        <v>18393</v>
      </c>
      <c r="K1130" s="14" t="s">
        <v>34850</v>
      </c>
      <c r="L1130" s="152" t="s">
        <v>20344</v>
      </c>
      <c r="M1130" s="14" t="s">
        <v>34851</v>
      </c>
      <c r="N1130" s="54" t="s">
        <v>34850</v>
      </c>
      <c r="O1130" s="130" t="s">
        <v>18397</v>
      </c>
      <c r="P1130" s="153" t="s">
        <v>18398</v>
      </c>
      <c r="Q1130" s="14">
        <v>4389005.0</v>
      </c>
      <c r="R1130" s="95"/>
      <c r="S1130" s="154" t="s">
        <v>34852</v>
      </c>
      <c r="T1130" s="84"/>
      <c r="U1130" s="84"/>
      <c r="V1130" s="84"/>
      <c r="W1130" s="84"/>
      <c r="X1130" s="84"/>
      <c r="Y1130" s="84"/>
      <c r="Z1130" s="84"/>
      <c r="AA1130" s="84"/>
      <c r="AB1130" s="84"/>
      <c r="AC1130" s="84"/>
    </row>
    <row r="1131" ht="15.75" customHeight="1">
      <c r="A1131" s="14" t="s">
        <v>120</v>
      </c>
      <c r="B1131" s="14">
        <v>2007.0</v>
      </c>
      <c r="C1131" s="14" t="s">
        <v>18538</v>
      </c>
      <c r="D1131" s="14" t="s">
        <v>18539</v>
      </c>
      <c r="E1131" s="150" t="str">
        <f t="shared" si="13"/>
        <v>http://dx.doi.org/10.1109/VAST.2007.4389030</v>
      </c>
      <c r="F1131" s="14">
        <v>227.0</v>
      </c>
      <c r="G1131" s="14">
        <v>227.0</v>
      </c>
      <c r="H1131" s="159" t="s">
        <v>30659</v>
      </c>
      <c r="I1131" s="14" t="s">
        <v>21</v>
      </c>
      <c r="J1131" s="14" t="s">
        <v>18540</v>
      </c>
      <c r="K1131" s="14" t="s">
        <v>34854</v>
      </c>
      <c r="L1131" s="152" t="s">
        <v>20708</v>
      </c>
      <c r="M1131" s="14" t="s">
        <v>34855</v>
      </c>
      <c r="N1131" s="54" t="s">
        <v>34856</v>
      </c>
      <c r="O1131" s="130"/>
      <c r="P1131" s="16"/>
      <c r="Q1131" s="14">
        <v>4389030.0</v>
      </c>
      <c r="R1131" s="95"/>
      <c r="S1131" s="154"/>
      <c r="T1131" s="84"/>
      <c r="U1131" s="84"/>
      <c r="V1131" s="84"/>
      <c r="W1131" s="84"/>
      <c r="X1131" s="84"/>
      <c r="Y1131" s="84"/>
      <c r="Z1131" s="84"/>
      <c r="AA1131" s="84"/>
      <c r="AB1131" s="84"/>
      <c r="AC1131" s="84"/>
    </row>
    <row r="1132" ht="15.75" customHeight="1">
      <c r="A1132" s="14" t="s">
        <v>120</v>
      </c>
      <c r="B1132" s="14">
        <v>2007.0</v>
      </c>
      <c r="C1132" s="14" t="s">
        <v>18371</v>
      </c>
      <c r="D1132" s="14" t="s">
        <v>18372</v>
      </c>
      <c r="E1132" s="150" t="str">
        <f t="shared" si="13"/>
        <v>http://dx.doi.org/10.1109/VAST.2007.4389002</v>
      </c>
      <c r="F1132" s="14">
        <v>99.0</v>
      </c>
      <c r="G1132" s="14">
        <v>106.0</v>
      </c>
      <c r="H1132" s="151"/>
      <c r="I1132" s="14" t="s">
        <v>28</v>
      </c>
      <c r="J1132" s="14" t="s">
        <v>18373</v>
      </c>
      <c r="K1132" s="14" t="s">
        <v>34857</v>
      </c>
      <c r="L1132" s="152" t="s">
        <v>20244</v>
      </c>
      <c r="M1132" s="14" t="s">
        <v>34858</v>
      </c>
      <c r="N1132" s="54" t="s">
        <v>34857</v>
      </c>
      <c r="O1132" s="130" t="s">
        <v>18377</v>
      </c>
      <c r="P1132" s="153" t="s">
        <v>18378</v>
      </c>
      <c r="Q1132" s="14">
        <v>4389002.0</v>
      </c>
      <c r="R1132" s="95"/>
      <c r="S1132" s="154" t="s">
        <v>34861</v>
      </c>
      <c r="T1132" s="84"/>
      <c r="U1132" s="84"/>
      <c r="V1132" s="84"/>
      <c r="W1132" s="84"/>
      <c r="X1132" s="84"/>
      <c r="Y1132" s="84"/>
      <c r="Z1132" s="84"/>
      <c r="AA1132" s="84"/>
      <c r="AB1132" s="84"/>
      <c r="AC1132" s="84"/>
    </row>
    <row r="1133" ht="15.75" customHeight="1">
      <c r="A1133" s="14" t="s">
        <v>120</v>
      </c>
      <c r="B1133" s="14">
        <v>2007.0</v>
      </c>
      <c r="C1133" s="14" t="s">
        <v>18414</v>
      </c>
      <c r="D1133" s="14" t="s">
        <v>18415</v>
      </c>
      <c r="E1133" s="150" t="str">
        <f t="shared" si="13"/>
        <v>http://dx.doi.org/10.1109/VAST.2007.4389008</v>
      </c>
      <c r="F1133" s="14">
        <v>147.0</v>
      </c>
      <c r="G1133" s="14">
        <v>154.0</v>
      </c>
      <c r="H1133" s="151"/>
      <c r="I1133" s="14" t="s">
        <v>28</v>
      </c>
      <c r="J1133" s="14" t="s">
        <v>18416</v>
      </c>
      <c r="K1133" s="14" t="s">
        <v>34862</v>
      </c>
      <c r="L1133" s="152" t="s">
        <v>20350</v>
      </c>
      <c r="M1133" s="14" t="s">
        <v>34863</v>
      </c>
      <c r="N1133" s="54" t="s">
        <v>34862</v>
      </c>
      <c r="O1133" s="130" t="s">
        <v>18420</v>
      </c>
      <c r="P1133" s="153" t="s">
        <v>18421</v>
      </c>
      <c r="Q1133" s="14">
        <v>4389008.0</v>
      </c>
      <c r="R1133" s="95"/>
      <c r="S1133" s="154" t="s">
        <v>34864</v>
      </c>
      <c r="T1133" s="84"/>
      <c r="U1133" s="84"/>
      <c r="V1133" s="84"/>
      <c r="W1133" s="84"/>
      <c r="X1133" s="84"/>
      <c r="Y1133" s="84"/>
      <c r="Z1133" s="84"/>
      <c r="AA1133" s="84"/>
      <c r="AB1133" s="84"/>
      <c r="AC1133" s="84"/>
    </row>
    <row r="1134" ht="15.75" customHeight="1">
      <c r="A1134" s="14" t="s">
        <v>120</v>
      </c>
      <c r="B1134" s="14">
        <v>2007.0</v>
      </c>
      <c r="C1134" s="14" t="s">
        <v>18506</v>
      </c>
      <c r="D1134" s="14" t="s">
        <v>18507</v>
      </c>
      <c r="E1134" s="150" t="str">
        <f t="shared" si="13"/>
        <v>http://dx.doi.org/10.1109/VAST.2007.4389023</v>
      </c>
      <c r="F1134" s="14">
        <v>213.0</v>
      </c>
      <c r="G1134" s="14">
        <v>214.0</v>
      </c>
      <c r="H1134" s="159" t="s">
        <v>30659</v>
      </c>
      <c r="I1134" s="14" t="s">
        <v>21</v>
      </c>
      <c r="J1134" s="14" t="s">
        <v>18508</v>
      </c>
      <c r="K1134" s="14" t="s">
        <v>34865</v>
      </c>
      <c r="L1134" s="152" t="s">
        <v>20631</v>
      </c>
      <c r="M1134" s="14" t="s">
        <v>34866</v>
      </c>
      <c r="N1134" s="54" t="s">
        <v>34865</v>
      </c>
      <c r="O1134" s="130"/>
      <c r="P1134" s="16"/>
      <c r="Q1134" s="14">
        <v>4389023.0</v>
      </c>
      <c r="R1134" s="95"/>
      <c r="S1134" s="154"/>
      <c r="T1134" s="84"/>
      <c r="U1134" s="84"/>
      <c r="V1134" s="84"/>
      <c r="W1134" s="84"/>
      <c r="X1134" s="84"/>
      <c r="Y1134" s="84"/>
      <c r="Z1134" s="84"/>
      <c r="AA1134" s="84"/>
      <c r="AB1134" s="84"/>
      <c r="AC1134" s="84"/>
    </row>
    <row r="1135" ht="15.75" customHeight="1">
      <c r="A1135" s="14" t="s">
        <v>120</v>
      </c>
      <c r="B1135" s="14">
        <v>2007.0</v>
      </c>
      <c r="C1135" s="14" t="s">
        <v>18478</v>
      </c>
      <c r="D1135" s="14" t="s">
        <v>18479</v>
      </c>
      <c r="E1135" s="150" t="str">
        <f t="shared" si="13"/>
        <v>http://dx.doi.org/10.1109/VAST.2007.4389018</v>
      </c>
      <c r="F1135" s="14">
        <v>203.0</v>
      </c>
      <c r="G1135" s="14">
        <v>204.0</v>
      </c>
      <c r="H1135" s="159" t="s">
        <v>30659</v>
      </c>
      <c r="I1135" s="14" t="s">
        <v>21</v>
      </c>
      <c r="J1135" s="14" t="s">
        <v>18480</v>
      </c>
      <c r="K1135" s="14" t="s">
        <v>34867</v>
      </c>
      <c r="L1135" s="152" t="s">
        <v>494</v>
      </c>
      <c r="M1135" s="14" t="s">
        <v>34868</v>
      </c>
      <c r="N1135" s="54" t="s">
        <v>34867</v>
      </c>
      <c r="O1135" s="130"/>
      <c r="P1135" s="16"/>
      <c r="Q1135" s="14">
        <v>4389018.0</v>
      </c>
      <c r="R1135" s="95"/>
      <c r="S1135" s="154"/>
      <c r="T1135" s="84"/>
      <c r="U1135" s="84"/>
      <c r="V1135" s="84"/>
      <c r="W1135" s="84"/>
      <c r="X1135" s="84"/>
      <c r="Y1135" s="84"/>
      <c r="Z1135" s="84"/>
      <c r="AA1135" s="84"/>
      <c r="AB1135" s="84"/>
      <c r="AC1135" s="84"/>
    </row>
    <row r="1136" ht="15.75" customHeight="1">
      <c r="A1136" s="14" t="s">
        <v>120</v>
      </c>
      <c r="B1136" s="14">
        <v>2007.0</v>
      </c>
      <c r="C1136" s="14" t="s">
        <v>18511</v>
      </c>
      <c r="D1136" s="14" t="s">
        <v>18512</v>
      </c>
      <c r="E1136" s="150" t="str">
        <f t="shared" si="13"/>
        <v>http://dx.doi.org/10.1109/VAST.2007.4389024</v>
      </c>
      <c r="F1136" s="14">
        <v>215.0</v>
      </c>
      <c r="G1136" s="14">
        <v>216.0</v>
      </c>
      <c r="H1136" s="159" t="s">
        <v>30659</v>
      </c>
      <c r="I1136" s="14" t="s">
        <v>21</v>
      </c>
      <c r="J1136" s="14" t="s">
        <v>18513</v>
      </c>
      <c r="K1136" s="14" t="s">
        <v>6802</v>
      </c>
      <c r="L1136" s="152" t="s">
        <v>20648</v>
      </c>
      <c r="M1136" s="14">
        <v>3.7692041E10</v>
      </c>
      <c r="N1136" s="54" t="s">
        <v>6802</v>
      </c>
      <c r="O1136" s="130"/>
      <c r="P1136" s="16"/>
      <c r="Q1136" s="14">
        <v>4389024.0</v>
      </c>
      <c r="R1136" s="95"/>
      <c r="S1136" s="154"/>
      <c r="T1136" s="84"/>
      <c r="U1136" s="84"/>
      <c r="V1136" s="84"/>
      <c r="W1136" s="84"/>
      <c r="X1136" s="84"/>
      <c r="Y1136" s="84"/>
      <c r="Z1136" s="84"/>
      <c r="AA1136" s="84"/>
      <c r="AB1136" s="84"/>
      <c r="AC1136" s="84"/>
    </row>
    <row r="1137" ht="15.75" customHeight="1">
      <c r="A1137" s="14" t="s">
        <v>120</v>
      </c>
      <c r="B1137" s="14">
        <v>2007.0</v>
      </c>
      <c r="C1137" s="14" t="s">
        <v>18407</v>
      </c>
      <c r="D1137" s="14" t="s">
        <v>18408</v>
      </c>
      <c r="E1137" s="150" t="str">
        <f t="shared" si="13"/>
        <v>http://dx.doi.org/10.1109/VAST.2007.4389007</v>
      </c>
      <c r="F1137" s="14">
        <v>139.0</v>
      </c>
      <c r="G1137" s="14">
        <v>146.0</v>
      </c>
      <c r="H1137" s="151"/>
      <c r="I1137" s="14" t="s">
        <v>28</v>
      </c>
      <c r="J1137" s="14" t="s">
        <v>18409</v>
      </c>
      <c r="K1137" s="14" t="s">
        <v>34876</v>
      </c>
      <c r="L1137" s="152" t="s">
        <v>20348</v>
      </c>
      <c r="M1137" s="14" t="s">
        <v>34877</v>
      </c>
      <c r="N1137" s="54" t="s">
        <v>34876</v>
      </c>
      <c r="O1137" s="130" t="s">
        <v>18412</v>
      </c>
      <c r="P1137" s="153" t="s">
        <v>18413</v>
      </c>
      <c r="Q1137" s="14">
        <v>4389007.0</v>
      </c>
      <c r="R1137" s="95"/>
      <c r="S1137" s="154" t="s">
        <v>34878</v>
      </c>
      <c r="T1137" s="84"/>
      <c r="U1137" s="84"/>
      <c r="V1137" s="84"/>
      <c r="W1137" s="84"/>
      <c r="X1137" s="84"/>
      <c r="Y1137" s="84"/>
      <c r="Z1137" s="84"/>
      <c r="AA1137" s="84"/>
      <c r="AB1137" s="84"/>
      <c r="AC1137" s="84"/>
    </row>
    <row r="1138" ht="15.75" customHeight="1">
      <c r="A1138" s="14" t="s">
        <v>120</v>
      </c>
      <c r="B1138" s="14">
        <v>2007.0</v>
      </c>
      <c r="C1138" s="14" t="s">
        <v>18292</v>
      </c>
      <c r="D1138" s="14" t="s">
        <v>18293</v>
      </c>
      <c r="E1138" s="150" t="str">
        <f t="shared" si="13"/>
        <v>http://dx.doi.org/10.1109/VAST.2007.4388992</v>
      </c>
      <c r="F1138" s="14">
        <v>19.0</v>
      </c>
      <c r="G1138" s="14">
        <v>26.0</v>
      </c>
      <c r="H1138" s="151"/>
      <c r="I1138" s="14" t="s">
        <v>28</v>
      </c>
      <c r="J1138" s="14" t="s">
        <v>18294</v>
      </c>
      <c r="K1138" s="14" t="s">
        <v>34880</v>
      </c>
      <c r="L1138" s="152" t="s">
        <v>20065</v>
      </c>
      <c r="M1138" s="14" t="s">
        <v>34881</v>
      </c>
      <c r="N1138" s="54" t="s">
        <v>34880</v>
      </c>
      <c r="O1138" s="130" t="s">
        <v>18298</v>
      </c>
      <c r="P1138" s="153" t="s">
        <v>18299</v>
      </c>
      <c r="Q1138" s="14">
        <v>4388992.0</v>
      </c>
      <c r="R1138" s="95"/>
      <c r="S1138" s="154" t="s">
        <v>34882</v>
      </c>
      <c r="T1138" s="84"/>
      <c r="U1138" s="84"/>
      <c r="V1138" s="84"/>
      <c r="W1138" s="84"/>
      <c r="X1138" s="84"/>
      <c r="Y1138" s="84"/>
      <c r="Z1138" s="84"/>
      <c r="AA1138" s="84"/>
      <c r="AB1138" s="84"/>
      <c r="AC1138" s="84"/>
    </row>
    <row r="1139" ht="15.75" customHeight="1">
      <c r="A1139" s="14" t="s">
        <v>120</v>
      </c>
      <c r="B1139" s="14">
        <v>2007.0</v>
      </c>
      <c r="C1139" s="14" t="s">
        <v>18520</v>
      </c>
      <c r="D1139" s="14" t="s">
        <v>18521</v>
      </c>
      <c r="E1139" s="150" t="str">
        <f t="shared" si="13"/>
        <v>http://dx.doi.org/10.1109/VAST.2007.4389026</v>
      </c>
      <c r="F1139" s="14">
        <v>219.0</v>
      </c>
      <c r="G1139" s="14">
        <v>220.0</v>
      </c>
      <c r="H1139" s="159" t="s">
        <v>30659</v>
      </c>
      <c r="I1139" s="14" t="s">
        <v>21</v>
      </c>
      <c r="J1139" s="14" t="s">
        <v>18522</v>
      </c>
      <c r="K1139" s="14" t="s">
        <v>34883</v>
      </c>
      <c r="L1139" s="152" t="s">
        <v>20678</v>
      </c>
      <c r="M1139" s="14" t="s">
        <v>34884</v>
      </c>
      <c r="N1139" s="54" t="s">
        <v>34883</v>
      </c>
      <c r="O1139" s="130"/>
      <c r="P1139" s="16"/>
      <c r="Q1139" s="14">
        <v>4389026.0</v>
      </c>
      <c r="R1139" s="95"/>
      <c r="S1139" s="154"/>
      <c r="T1139" s="84"/>
      <c r="U1139" s="84"/>
      <c r="V1139" s="84"/>
      <c r="W1139" s="84"/>
      <c r="X1139" s="84"/>
      <c r="Y1139" s="84"/>
      <c r="Z1139" s="84"/>
      <c r="AA1139" s="84"/>
      <c r="AB1139" s="84"/>
      <c r="AC1139" s="84"/>
    </row>
    <row r="1140" ht="15.75" customHeight="1">
      <c r="A1140" s="14" t="s">
        <v>120</v>
      </c>
      <c r="B1140" s="14">
        <v>2007.0</v>
      </c>
      <c r="C1140" s="14" t="s">
        <v>18483</v>
      </c>
      <c r="D1140" s="14" t="s">
        <v>18484</v>
      </c>
      <c r="E1140" s="150" t="str">
        <f t="shared" si="13"/>
        <v>http://dx.doi.org/10.1109/VAST.2007.4389019</v>
      </c>
      <c r="F1140" s="14">
        <v>205.0</v>
      </c>
      <c r="G1140" s="14">
        <v>206.0</v>
      </c>
      <c r="H1140" s="159" t="s">
        <v>30659</v>
      </c>
      <c r="I1140" s="14" t="s">
        <v>21</v>
      </c>
      <c r="J1140" s="14" t="s">
        <v>18485</v>
      </c>
      <c r="K1140" s="14" t="s">
        <v>34885</v>
      </c>
      <c r="L1140" s="152" t="s">
        <v>20564</v>
      </c>
      <c r="M1140" s="14" t="s">
        <v>34886</v>
      </c>
      <c r="N1140" s="54" t="s">
        <v>34885</v>
      </c>
      <c r="O1140" s="130"/>
      <c r="P1140" s="16"/>
      <c r="Q1140" s="14">
        <v>4389019.0</v>
      </c>
      <c r="R1140" s="95"/>
      <c r="S1140" s="154"/>
      <c r="T1140" s="84"/>
      <c r="U1140" s="84"/>
      <c r="V1140" s="84"/>
      <c r="W1140" s="84"/>
      <c r="X1140" s="84"/>
      <c r="Y1140" s="84"/>
      <c r="Z1140" s="84"/>
      <c r="AA1140" s="84"/>
      <c r="AB1140" s="84"/>
      <c r="AC1140" s="84"/>
    </row>
    <row r="1141" ht="15.75" customHeight="1">
      <c r="A1141" s="14" t="s">
        <v>120</v>
      </c>
      <c r="B1141" s="14">
        <v>2007.0</v>
      </c>
      <c r="C1141" s="14" t="s">
        <v>18322</v>
      </c>
      <c r="D1141" s="14" t="s">
        <v>18323</v>
      </c>
      <c r="E1141" s="150" t="str">
        <f t="shared" si="13"/>
        <v>http://dx.doi.org/10.1109/VAST.2007.4388996</v>
      </c>
      <c r="F1141" s="14">
        <v>51.0</v>
      </c>
      <c r="G1141" s="14">
        <v>58.0</v>
      </c>
      <c r="H1141" s="151"/>
      <c r="I1141" s="14" t="s">
        <v>28</v>
      </c>
      <c r="J1141" s="14" t="s">
        <v>18325</v>
      </c>
      <c r="K1141" s="14" t="s">
        <v>34888</v>
      </c>
      <c r="L1141" s="152" t="s">
        <v>20140</v>
      </c>
      <c r="M1141" s="14" t="s">
        <v>34889</v>
      </c>
      <c r="N1141" s="54" t="s">
        <v>34888</v>
      </c>
      <c r="O1141" s="130"/>
      <c r="P1141" s="153" t="s">
        <v>18328</v>
      </c>
      <c r="Q1141" s="14">
        <v>4388996.0</v>
      </c>
      <c r="R1141" s="95"/>
      <c r="S1141" s="154"/>
      <c r="T1141" s="84"/>
      <c r="U1141" s="84"/>
      <c r="V1141" s="84"/>
      <c r="W1141" s="84"/>
      <c r="X1141" s="84"/>
      <c r="Y1141" s="84"/>
      <c r="Z1141" s="84"/>
      <c r="AA1141" s="84"/>
      <c r="AB1141" s="84"/>
      <c r="AC1141" s="84"/>
    </row>
    <row r="1142" ht="15.75" customHeight="1">
      <c r="A1142" s="14" t="s">
        <v>120</v>
      </c>
      <c r="B1142" s="14">
        <v>2007.0</v>
      </c>
      <c r="C1142" s="14" t="s">
        <v>18489</v>
      </c>
      <c r="D1142" s="14" t="s">
        <v>18583</v>
      </c>
      <c r="E1142" s="150" t="str">
        <f t="shared" si="13"/>
        <v>http://dx.doi.org/10.1109/VAST.2007.4470207</v>
      </c>
      <c r="F1142" s="14">
        <v>239.0</v>
      </c>
      <c r="G1142" s="14">
        <v>240.0</v>
      </c>
      <c r="H1142" s="159" t="s">
        <v>30659</v>
      </c>
      <c r="I1142" s="14" t="s">
        <v>21</v>
      </c>
      <c r="J1142" s="14" t="s">
        <v>20579</v>
      </c>
      <c r="K1142" s="14" t="s">
        <v>34890</v>
      </c>
      <c r="L1142" s="152" t="s">
        <v>1253</v>
      </c>
      <c r="M1142" s="14" t="s">
        <v>34891</v>
      </c>
      <c r="N1142" s="54" t="s">
        <v>34890</v>
      </c>
      <c r="O1142" s="130"/>
      <c r="P1142" s="16"/>
      <c r="Q1142" s="14">
        <v>4470207.0</v>
      </c>
      <c r="R1142" s="95"/>
      <c r="S1142" s="154"/>
      <c r="T1142" s="84"/>
      <c r="U1142" s="84"/>
      <c r="V1142" s="84"/>
      <c r="W1142" s="84"/>
      <c r="X1142" s="84"/>
      <c r="Y1142" s="84"/>
      <c r="Z1142" s="84"/>
      <c r="AA1142" s="84"/>
      <c r="AB1142" s="84"/>
      <c r="AC1142" s="84"/>
    </row>
    <row r="1143" ht="15.75" customHeight="1">
      <c r="A1143" s="14" t="s">
        <v>120</v>
      </c>
      <c r="B1143" s="14">
        <v>2007.0</v>
      </c>
      <c r="C1143" s="14" t="s">
        <v>34892</v>
      </c>
      <c r="D1143" s="14" t="s">
        <v>18490</v>
      </c>
      <c r="E1143" s="150" t="str">
        <f t="shared" si="13"/>
        <v>http://dx.doi.org/10.1109/VAST.2007.4389020</v>
      </c>
      <c r="F1143" s="14">
        <v>207.0</v>
      </c>
      <c r="G1143" s="14">
        <v>208.0</v>
      </c>
      <c r="H1143" s="159" t="s">
        <v>30659</v>
      </c>
      <c r="I1143" s="14" t="s">
        <v>21</v>
      </c>
      <c r="J1143" s="14" t="s">
        <v>20579</v>
      </c>
      <c r="K1143" s="14" t="s">
        <v>34894</v>
      </c>
      <c r="L1143" s="152" t="s">
        <v>20582</v>
      </c>
      <c r="M1143" s="14" t="s">
        <v>860</v>
      </c>
      <c r="N1143" s="54" t="s">
        <v>34894</v>
      </c>
      <c r="O1143" s="130"/>
      <c r="P1143" s="16"/>
      <c r="Q1143" s="14">
        <v>4389020.0</v>
      </c>
      <c r="R1143" s="95"/>
      <c r="S1143" s="154"/>
      <c r="T1143" s="84"/>
      <c r="U1143" s="84"/>
      <c r="V1143" s="84"/>
      <c r="W1143" s="84"/>
      <c r="X1143" s="84"/>
      <c r="Y1143" s="84"/>
      <c r="Z1143" s="84"/>
      <c r="AA1143" s="84"/>
      <c r="AB1143" s="84"/>
      <c r="AC1143" s="84"/>
    </row>
    <row r="1144" ht="15.75" customHeight="1">
      <c r="A1144" s="14" t="s">
        <v>120</v>
      </c>
      <c r="B1144" s="14">
        <v>2007.0</v>
      </c>
      <c r="C1144" s="14" t="s">
        <v>18430</v>
      </c>
      <c r="D1144" s="14" t="s">
        <v>18431</v>
      </c>
      <c r="E1144" s="150" t="str">
        <f t="shared" si="13"/>
        <v>http://dx.doi.org/10.1109/VAST.2007.4389010</v>
      </c>
      <c r="F1144" s="14">
        <v>163.0</v>
      </c>
      <c r="G1144" s="14">
        <v>170.0</v>
      </c>
      <c r="H1144" s="151"/>
      <c r="I1144" s="14" t="s">
        <v>28</v>
      </c>
      <c r="J1144" s="14" t="s">
        <v>18432</v>
      </c>
      <c r="K1144" s="14" t="s">
        <v>34895</v>
      </c>
      <c r="L1144" s="152" t="s">
        <v>20371</v>
      </c>
      <c r="M1144" s="14" t="s">
        <v>34896</v>
      </c>
      <c r="N1144" s="54" t="s">
        <v>34897</v>
      </c>
      <c r="O1144" s="130" t="s">
        <v>18436</v>
      </c>
      <c r="P1144" s="153" t="s">
        <v>18437</v>
      </c>
      <c r="Q1144" s="14">
        <v>4389010.0</v>
      </c>
      <c r="R1144" s="95"/>
      <c r="S1144" s="154" t="s">
        <v>34898</v>
      </c>
      <c r="T1144" s="84"/>
      <c r="U1144" s="84"/>
      <c r="V1144" s="84"/>
      <c r="W1144" s="84"/>
      <c r="X1144" s="84"/>
      <c r="Y1144" s="84"/>
      <c r="Z1144" s="84"/>
      <c r="AA1144" s="84"/>
      <c r="AB1144" s="84"/>
      <c r="AC1144" s="84"/>
    </row>
    <row r="1145" ht="15.75" customHeight="1">
      <c r="A1145" s="14" t="s">
        <v>120</v>
      </c>
      <c r="B1145" s="14">
        <v>2007.0</v>
      </c>
      <c r="C1145" s="14" t="s">
        <v>18552</v>
      </c>
      <c r="D1145" s="14" t="s">
        <v>18553</v>
      </c>
      <c r="E1145" s="150" t="str">
        <f t="shared" si="13"/>
        <v>http://dx.doi.org/10.1109/VAST.2007.4389033</v>
      </c>
      <c r="F1145" s="14">
        <v>233.0</v>
      </c>
      <c r="G1145" s="14">
        <v>234.0</v>
      </c>
      <c r="H1145" s="159" t="s">
        <v>30659</v>
      </c>
      <c r="I1145" s="14" t="s">
        <v>21</v>
      </c>
      <c r="J1145" s="14" t="s">
        <v>18554</v>
      </c>
      <c r="K1145" s="14" t="s">
        <v>34899</v>
      </c>
      <c r="L1145" s="152" t="s">
        <v>20712</v>
      </c>
      <c r="M1145" s="14" t="s">
        <v>34900</v>
      </c>
      <c r="N1145" s="54" t="s">
        <v>34899</v>
      </c>
      <c r="O1145" s="130"/>
      <c r="P1145" s="16"/>
      <c r="Q1145" s="14">
        <v>4389033.0</v>
      </c>
      <c r="R1145" s="95"/>
      <c r="S1145" s="154"/>
      <c r="T1145" s="84"/>
      <c r="U1145" s="84"/>
      <c r="V1145" s="84"/>
      <c r="W1145" s="84"/>
      <c r="X1145" s="84"/>
      <c r="Y1145" s="84"/>
      <c r="Z1145" s="84"/>
      <c r="AA1145" s="84"/>
      <c r="AB1145" s="84"/>
      <c r="AC1145" s="84"/>
    </row>
    <row r="1146" ht="15.75" customHeight="1">
      <c r="A1146" s="14" t="s">
        <v>120</v>
      </c>
      <c r="B1146" s="14">
        <v>2007.0</v>
      </c>
      <c r="C1146" s="14" t="s">
        <v>18545</v>
      </c>
      <c r="D1146" s="14" t="s">
        <v>18546</v>
      </c>
      <c r="E1146" s="150" t="str">
        <f t="shared" si="13"/>
        <v>http://dx.doi.org/10.1109/VAST.2007.4389032</v>
      </c>
      <c r="F1146" s="14">
        <v>231.0</v>
      </c>
      <c r="G1146" s="14">
        <v>232.0</v>
      </c>
      <c r="H1146" s="159" t="s">
        <v>30659</v>
      </c>
      <c r="I1146" s="14" t="s">
        <v>21</v>
      </c>
      <c r="J1146" s="14" t="s">
        <v>18548</v>
      </c>
      <c r="K1146" s="14" t="s">
        <v>34502</v>
      </c>
      <c r="L1146" s="152" t="s">
        <v>20710</v>
      </c>
      <c r="M1146" s="14" t="s">
        <v>34901</v>
      </c>
      <c r="N1146" s="54" t="s">
        <v>34502</v>
      </c>
      <c r="O1146" s="130"/>
      <c r="P1146" s="16"/>
      <c r="Q1146" s="14">
        <v>4389032.0</v>
      </c>
      <c r="R1146" s="95"/>
      <c r="S1146" s="154"/>
      <c r="T1146" s="84"/>
      <c r="U1146" s="84"/>
      <c r="V1146" s="84"/>
      <c r="W1146" s="84"/>
      <c r="X1146" s="84"/>
      <c r="Y1146" s="84"/>
      <c r="Z1146" s="84"/>
      <c r="AA1146" s="84"/>
      <c r="AB1146" s="84"/>
      <c r="AC1146" s="84"/>
    </row>
    <row r="1147" ht="15.75" customHeight="1">
      <c r="A1147" s="14" t="s">
        <v>120</v>
      </c>
      <c r="B1147" s="14">
        <v>2007.0</v>
      </c>
      <c r="C1147" s="14" t="s">
        <v>18579</v>
      </c>
      <c r="D1147" s="14" t="s">
        <v>18580</v>
      </c>
      <c r="E1147" s="150" t="str">
        <f t="shared" si="13"/>
        <v>http://dx.doi.org/10.1109/VAST.2007.4389038</v>
      </c>
      <c r="F1147" s="14">
        <v>245.0</v>
      </c>
      <c r="G1147" s="14">
        <v>246.0</v>
      </c>
      <c r="H1147" s="159" t="s">
        <v>30659</v>
      </c>
      <c r="I1147" s="14" t="s">
        <v>21</v>
      </c>
      <c r="J1147" s="14" t="s">
        <v>18582</v>
      </c>
      <c r="K1147" s="14" t="s">
        <v>34902</v>
      </c>
      <c r="L1147" s="152" t="s">
        <v>20722</v>
      </c>
      <c r="M1147" s="14" t="s">
        <v>34903</v>
      </c>
      <c r="N1147" s="54" t="s">
        <v>34902</v>
      </c>
      <c r="O1147" s="130"/>
      <c r="P1147" s="16"/>
      <c r="Q1147" s="14">
        <v>4389038.0</v>
      </c>
      <c r="R1147" s="95"/>
      <c r="S1147" s="154"/>
      <c r="T1147" s="84"/>
      <c r="U1147" s="84"/>
      <c r="V1147" s="84"/>
      <c r="W1147" s="84"/>
      <c r="X1147" s="84"/>
      <c r="Y1147" s="84"/>
      <c r="Z1147" s="84"/>
      <c r="AA1147" s="84"/>
      <c r="AB1147" s="84"/>
      <c r="AC1147" s="84"/>
    </row>
    <row r="1148" ht="15.75" customHeight="1">
      <c r="A1148" s="14" t="s">
        <v>120</v>
      </c>
      <c r="B1148" s="14">
        <v>2007.0</v>
      </c>
      <c r="C1148" s="14" t="s">
        <v>18465</v>
      </c>
      <c r="D1148" s="67" t="s">
        <v>18466</v>
      </c>
      <c r="E1148" s="165" t="str">
        <f>"http://ieeexplore.ieee.org/xpl/articleDetails.jsp?arnumber=4389016"</f>
        <v>http://ieeexplore.ieee.org/xpl/articleDetails.jsp?arnumber=4389016</v>
      </c>
      <c r="F1148" s="14">
        <v>199.0</v>
      </c>
      <c r="G1148" s="14">
        <v>200.0</v>
      </c>
      <c r="H1148" s="159" t="s">
        <v>30659</v>
      </c>
      <c r="I1148" s="14" t="s">
        <v>21</v>
      </c>
      <c r="J1148" s="14" t="s">
        <v>18467</v>
      </c>
      <c r="K1148" s="14" t="s">
        <v>34902</v>
      </c>
      <c r="L1148" s="152" t="s">
        <v>20511</v>
      </c>
      <c r="M1148" s="14" t="s">
        <v>34903</v>
      </c>
      <c r="N1148" s="54" t="s">
        <v>34902</v>
      </c>
      <c r="O1148" s="130"/>
      <c r="P1148" s="16"/>
      <c r="Q1148" s="14">
        <v>4389016.0</v>
      </c>
      <c r="R1148" s="95"/>
      <c r="S1148" s="154"/>
      <c r="T1148" s="84"/>
      <c r="U1148" s="84"/>
      <c r="V1148" s="84"/>
      <c r="W1148" s="84"/>
      <c r="X1148" s="84"/>
      <c r="Y1148" s="84"/>
      <c r="Z1148" s="84"/>
      <c r="AA1148" s="84"/>
      <c r="AB1148" s="84"/>
      <c r="AC1148" s="84"/>
    </row>
    <row r="1149" ht="15.75" customHeight="1">
      <c r="A1149" s="14" t="s">
        <v>120</v>
      </c>
      <c r="B1149" s="14">
        <v>2007.0</v>
      </c>
      <c r="C1149" s="14" t="s">
        <v>18572</v>
      </c>
      <c r="D1149" s="14" t="s">
        <v>18573</v>
      </c>
      <c r="E1149" s="150" t="str">
        <f t="shared" ref="E1149:E1625" si="14">"http://dx.doi.org/" &amp; D1149</f>
        <v>http://dx.doi.org/10.1109/VAST.2007.4389037</v>
      </c>
      <c r="F1149" s="14">
        <v>243.0</v>
      </c>
      <c r="G1149" s="14">
        <v>244.0</v>
      </c>
      <c r="H1149" s="159" t="s">
        <v>30659</v>
      </c>
      <c r="I1149" s="14" t="s">
        <v>21</v>
      </c>
      <c r="J1149" s="14" t="s">
        <v>18574</v>
      </c>
      <c r="K1149" s="14" t="s">
        <v>34905</v>
      </c>
      <c r="L1149" s="152" t="s">
        <v>20720</v>
      </c>
      <c r="M1149" s="14" t="s">
        <v>34906</v>
      </c>
      <c r="N1149" s="54" t="s">
        <v>34905</v>
      </c>
      <c r="O1149" s="130"/>
      <c r="P1149" s="16"/>
      <c r="Q1149" s="14">
        <v>4389037.0</v>
      </c>
      <c r="R1149" s="95"/>
      <c r="S1149" s="154"/>
      <c r="T1149" s="84"/>
      <c r="U1149" s="84"/>
      <c r="V1149" s="84"/>
      <c r="W1149" s="84"/>
      <c r="X1149" s="84"/>
      <c r="Y1149" s="84"/>
      <c r="Z1149" s="84"/>
      <c r="AA1149" s="84"/>
      <c r="AB1149" s="84"/>
      <c r="AC1149" s="84"/>
    </row>
    <row r="1150" ht="15.75" customHeight="1">
      <c r="A1150" s="14" t="s">
        <v>120</v>
      </c>
      <c r="B1150" s="14">
        <v>2007.0</v>
      </c>
      <c r="C1150" s="14" t="s">
        <v>18459</v>
      </c>
      <c r="D1150" s="14" t="s">
        <v>18460</v>
      </c>
      <c r="E1150" s="150" t="str">
        <f t="shared" si="14"/>
        <v>http://dx.doi.org/10.1109/VAST.2007.4389015</v>
      </c>
      <c r="F1150" s="14">
        <v>197.0</v>
      </c>
      <c r="G1150" s="14">
        <v>198.0</v>
      </c>
      <c r="H1150" s="159" t="s">
        <v>30659</v>
      </c>
      <c r="I1150" s="14" t="s">
        <v>21</v>
      </c>
      <c r="J1150" s="14" t="s">
        <v>18461</v>
      </c>
      <c r="K1150" s="14" t="s">
        <v>34907</v>
      </c>
      <c r="L1150" s="152" t="s">
        <v>20485</v>
      </c>
      <c r="M1150" s="14" t="s">
        <v>34909</v>
      </c>
      <c r="N1150" s="54" t="s">
        <v>34910</v>
      </c>
      <c r="O1150" s="130"/>
      <c r="P1150" s="16"/>
      <c r="Q1150" s="14">
        <v>4389015.0</v>
      </c>
      <c r="R1150" s="95"/>
      <c r="S1150" s="154"/>
      <c r="T1150" s="84"/>
      <c r="U1150" s="84"/>
      <c r="V1150" s="84"/>
      <c r="W1150" s="84"/>
      <c r="X1150" s="84"/>
      <c r="Y1150" s="84"/>
      <c r="Z1150" s="84"/>
      <c r="AA1150" s="84"/>
      <c r="AB1150" s="84"/>
      <c r="AC1150" s="84"/>
    </row>
    <row r="1151" ht="15.75" customHeight="1">
      <c r="A1151" s="14" t="s">
        <v>120</v>
      </c>
      <c r="B1151" s="14">
        <v>2007.0</v>
      </c>
      <c r="C1151" s="14" t="s">
        <v>18459</v>
      </c>
      <c r="D1151" s="14" t="s">
        <v>18563</v>
      </c>
      <c r="E1151" s="150" t="str">
        <f t="shared" si="14"/>
        <v>http://dx.doi.org/10.1109/VAST.2007.4389035</v>
      </c>
      <c r="F1151" s="14">
        <v>237.0</v>
      </c>
      <c r="G1151" s="14">
        <v>238.0</v>
      </c>
      <c r="H1151" s="159" t="s">
        <v>30659</v>
      </c>
      <c r="I1151" s="14" t="s">
        <v>21</v>
      </c>
      <c r="J1151" s="14" t="s">
        <v>18461</v>
      </c>
      <c r="K1151" s="14" t="s">
        <v>34911</v>
      </c>
      <c r="L1151" s="152" t="s">
        <v>20716</v>
      </c>
      <c r="M1151" s="14" t="s">
        <v>34909</v>
      </c>
      <c r="N1151" s="54" t="s">
        <v>34910</v>
      </c>
      <c r="O1151" s="130"/>
      <c r="P1151" s="16"/>
      <c r="Q1151" s="14">
        <v>4389035.0</v>
      </c>
      <c r="R1151" s="95"/>
      <c r="S1151" s="154"/>
      <c r="T1151" s="84"/>
      <c r="U1151" s="84"/>
      <c r="V1151" s="84"/>
      <c r="W1151" s="84"/>
      <c r="X1151" s="84"/>
      <c r="Y1151" s="84"/>
      <c r="Z1151" s="84"/>
      <c r="AA1151" s="84"/>
      <c r="AB1151" s="84"/>
      <c r="AC1151" s="84"/>
    </row>
    <row r="1152" ht="15.75" customHeight="1">
      <c r="A1152" s="14" t="s">
        <v>120</v>
      </c>
      <c r="B1152" s="14">
        <v>2007.0</v>
      </c>
      <c r="C1152" s="14" t="s">
        <v>18495</v>
      </c>
      <c r="D1152" s="14" t="s">
        <v>18496</v>
      </c>
      <c r="E1152" s="150" t="str">
        <f t="shared" si="14"/>
        <v>http://dx.doi.org/10.1109/VAST.2007.4389021</v>
      </c>
      <c r="F1152" s="14">
        <v>209.0</v>
      </c>
      <c r="G1152" s="14">
        <v>210.0</v>
      </c>
      <c r="H1152" s="159" t="s">
        <v>30659</v>
      </c>
      <c r="I1152" s="14" t="s">
        <v>21</v>
      </c>
      <c r="J1152" s="14" t="s">
        <v>18497</v>
      </c>
      <c r="K1152" s="14" t="s">
        <v>34490</v>
      </c>
      <c r="L1152" s="152" t="s">
        <v>20596</v>
      </c>
      <c r="M1152" s="14" t="s">
        <v>34491</v>
      </c>
      <c r="N1152" s="54" t="s">
        <v>34490</v>
      </c>
      <c r="O1152" s="130"/>
      <c r="P1152" s="16"/>
      <c r="Q1152" s="14">
        <v>4389021.0</v>
      </c>
      <c r="R1152" s="95"/>
      <c r="S1152" s="154"/>
      <c r="T1152" s="84"/>
      <c r="U1152" s="84"/>
      <c r="V1152" s="84"/>
      <c r="W1152" s="84"/>
      <c r="X1152" s="84"/>
      <c r="Y1152" s="84"/>
      <c r="Z1152" s="84"/>
      <c r="AA1152" s="84"/>
      <c r="AB1152" s="84"/>
      <c r="AC1152" s="84"/>
    </row>
    <row r="1153" ht="15.75" customHeight="1">
      <c r="A1153" s="14" t="s">
        <v>120</v>
      </c>
      <c r="B1153" s="14">
        <v>2007.0</v>
      </c>
      <c r="C1153" s="14" t="s">
        <v>18444</v>
      </c>
      <c r="D1153" s="14" t="s">
        <v>18445</v>
      </c>
      <c r="E1153" s="150" t="str">
        <f t="shared" si="14"/>
        <v>http://dx.doi.org/10.1109/VAST.2007.4389012</v>
      </c>
      <c r="F1153" s="14">
        <v>179.0</v>
      </c>
      <c r="G1153" s="14">
        <v>186.0</v>
      </c>
      <c r="H1153" s="151"/>
      <c r="I1153" s="14" t="s">
        <v>28</v>
      </c>
      <c r="J1153" s="14" t="s">
        <v>18446</v>
      </c>
      <c r="K1153" s="14" t="s">
        <v>34913</v>
      </c>
      <c r="L1153" s="152" t="s">
        <v>20327</v>
      </c>
      <c r="M1153" s="14" t="s">
        <v>34914</v>
      </c>
      <c r="N1153" s="54" t="s">
        <v>34913</v>
      </c>
      <c r="O1153" s="130" t="s">
        <v>17511</v>
      </c>
      <c r="P1153" s="153" t="s">
        <v>18450</v>
      </c>
      <c r="Q1153" s="14">
        <v>4389012.0</v>
      </c>
      <c r="R1153" s="95"/>
      <c r="S1153" s="154">
        <v>4035748.0</v>
      </c>
      <c r="T1153" s="84"/>
      <c r="U1153" s="84"/>
      <c r="V1153" s="84"/>
      <c r="W1153" s="84"/>
      <c r="X1153" s="84"/>
      <c r="Y1153" s="84"/>
      <c r="Z1153" s="84"/>
      <c r="AA1153" s="84"/>
      <c r="AB1153" s="84"/>
      <c r="AC1153" s="84"/>
    </row>
    <row r="1154" ht="15.75" customHeight="1">
      <c r="A1154" s="14" t="s">
        <v>120</v>
      </c>
      <c r="B1154" s="14">
        <v>2007.0</v>
      </c>
      <c r="C1154" s="14" t="s">
        <v>18526</v>
      </c>
      <c r="D1154" s="14" t="s">
        <v>18527</v>
      </c>
      <c r="E1154" s="150" t="str">
        <f t="shared" si="14"/>
        <v>http://dx.doi.org/10.1109/VAST.2007.4389027</v>
      </c>
      <c r="F1154" s="14">
        <v>221.0</v>
      </c>
      <c r="G1154" s="14">
        <v>222.0</v>
      </c>
      <c r="H1154" s="159" t="s">
        <v>30659</v>
      </c>
      <c r="I1154" s="14" t="s">
        <v>21</v>
      </c>
      <c r="J1154" s="14" t="s">
        <v>18528</v>
      </c>
      <c r="K1154" s="14" t="s">
        <v>34915</v>
      </c>
      <c r="L1154" s="152" t="s">
        <v>880</v>
      </c>
      <c r="M1154" s="14" t="s">
        <v>34916</v>
      </c>
      <c r="N1154" s="54" t="s">
        <v>34915</v>
      </c>
      <c r="O1154" s="130"/>
      <c r="P1154" s="16"/>
      <c r="Q1154" s="14">
        <v>4389027.0</v>
      </c>
      <c r="R1154" s="95"/>
      <c r="S1154" s="154"/>
      <c r="T1154" s="84"/>
      <c r="U1154" s="84"/>
      <c r="V1154" s="84"/>
      <c r="W1154" s="84"/>
      <c r="X1154" s="84"/>
      <c r="Y1154" s="84"/>
      <c r="Z1154" s="84"/>
      <c r="AA1154" s="84"/>
      <c r="AB1154" s="84"/>
      <c r="AC1154" s="84"/>
    </row>
    <row r="1155" ht="15.75" customHeight="1">
      <c r="A1155" s="14" t="s">
        <v>120</v>
      </c>
      <c r="B1155" s="14">
        <v>2007.0</v>
      </c>
      <c r="C1155" s="14" t="s">
        <v>18314</v>
      </c>
      <c r="D1155" s="14" t="s">
        <v>18315</v>
      </c>
      <c r="E1155" s="150" t="str">
        <f t="shared" si="14"/>
        <v>http://dx.doi.org/10.1109/VAST.2007.4388995</v>
      </c>
      <c r="F1155" s="14">
        <v>43.0</v>
      </c>
      <c r="G1155" s="14">
        <v>50.0</v>
      </c>
      <c r="H1155" s="151"/>
      <c r="I1155" s="14" t="s">
        <v>28</v>
      </c>
      <c r="J1155" s="14" t="s">
        <v>18316</v>
      </c>
      <c r="K1155" s="14" t="s">
        <v>34919</v>
      </c>
      <c r="L1155" s="152" t="s">
        <v>20122</v>
      </c>
      <c r="M1155" s="14" t="s">
        <v>34920</v>
      </c>
      <c r="N1155" s="54" t="s">
        <v>34919</v>
      </c>
      <c r="O1155" s="130"/>
      <c r="P1155" s="153" t="s">
        <v>18320</v>
      </c>
      <c r="Q1155" s="14">
        <v>4388995.0</v>
      </c>
      <c r="R1155" s="95"/>
      <c r="S1155" s="154"/>
      <c r="T1155" s="84"/>
      <c r="U1155" s="84"/>
      <c r="V1155" s="84"/>
      <c r="W1155" s="84"/>
      <c r="X1155" s="84"/>
      <c r="Y1155" s="84"/>
      <c r="Z1155" s="84"/>
      <c r="AA1155" s="84"/>
      <c r="AB1155" s="84"/>
      <c r="AC1155" s="84"/>
    </row>
    <row r="1156" ht="15.75" customHeight="1">
      <c r="A1156" s="14" t="s">
        <v>120</v>
      </c>
      <c r="B1156" s="14">
        <v>2007.0</v>
      </c>
      <c r="C1156" s="14" t="s">
        <v>18306</v>
      </c>
      <c r="D1156" s="14" t="s">
        <v>18307</v>
      </c>
      <c r="E1156" s="150" t="str">
        <f t="shared" si="14"/>
        <v>http://dx.doi.org/10.1109/VAST.2007.4388994</v>
      </c>
      <c r="F1156" s="14">
        <v>35.0</v>
      </c>
      <c r="G1156" s="14">
        <v>42.0</v>
      </c>
      <c r="H1156" s="151"/>
      <c r="I1156" s="14" t="s">
        <v>28</v>
      </c>
      <c r="J1156" s="14" t="s">
        <v>18309</v>
      </c>
      <c r="K1156" s="14" t="s">
        <v>34923</v>
      </c>
      <c r="L1156" s="152" t="s">
        <v>20102</v>
      </c>
      <c r="M1156" s="14" t="s">
        <v>34924</v>
      </c>
      <c r="N1156" s="54" t="s">
        <v>34923</v>
      </c>
      <c r="O1156" s="130" t="s">
        <v>17534</v>
      </c>
      <c r="P1156" s="153" t="s">
        <v>18313</v>
      </c>
      <c r="Q1156" s="14">
        <v>4388994.0</v>
      </c>
      <c r="R1156" s="95"/>
      <c r="S1156" s="154">
        <v>4035751.0</v>
      </c>
      <c r="T1156" s="84"/>
      <c r="U1156" s="84"/>
      <c r="V1156" s="84"/>
      <c r="W1156" s="84"/>
      <c r="X1156" s="84"/>
      <c r="Y1156" s="84"/>
      <c r="Z1156" s="84"/>
      <c r="AA1156" s="84"/>
      <c r="AB1156" s="84"/>
      <c r="AC1156" s="84"/>
    </row>
    <row r="1157" ht="15.75" customHeight="1">
      <c r="A1157" s="14" t="s">
        <v>120</v>
      </c>
      <c r="B1157" s="14">
        <v>2007.0</v>
      </c>
      <c r="C1157" s="14" t="s">
        <v>18470</v>
      </c>
      <c r="D1157" s="14" t="s">
        <v>18471</v>
      </c>
      <c r="E1157" s="150" t="str">
        <f t="shared" si="14"/>
        <v>http://dx.doi.org/10.1109/VAST.2007.4389017</v>
      </c>
      <c r="F1157" s="14">
        <v>201.0</v>
      </c>
      <c r="G1157" s="14">
        <v>202.0</v>
      </c>
      <c r="H1157" s="159" t="s">
        <v>30659</v>
      </c>
      <c r="I1157" s="14" t="s">
        <v>21</v>
      </c>
      <c r="J1157" s="14" t="s">
        <v>18472</v>
      </c>
      <c r="K1157" s="14" t="s">
        <v>34837</v>
      </c>
      <c r="L1157" s="152" t="s">
        <v>20531</v>
      </c>
      <c r="M1157" s="14" t="s">
        <v>34925</v>
      </c>
      <c r="N1157" s="54" t="s">
        <v>34837</v>
      </c>
      <c r="O1157" s="130"/>
      <c r="P1157" s="16"/>
      <c r="Q1157" s="14">
        <v>4389017.0</v>
      </c>
      <c r="R1157" s="95"/>
      <c r="S1157" s="154"/>
      <c r="T1157" s="84"/>
      <c r="U1157" s="84"/>
      <c r="V1157" s="84"/>
      <c r="W1157" s="84"/>
      <c r="X1157" s="84"/>
      <c r="Y1157" s="84"/>
      <c r="Z1157" s="84"/>
      <c r="AA1157" s="84"/>
      <c r="AB1157" s="84"/>
      <c r="AC1157" s="84"/>
    </row>
    <row r="1158" ht="15.75" customHeight="1">
      <c r="A1158" s="14" t="s">
        <v>120</v>
      </c>
      <c r="B1158" s="14">
        <v>2007.0</v>
      </c>
      <c r="C1158" s="14" t="s">
        <v>18422</v>
      </c>
      <c r="D1158" s="14" t="s">
        <v>18423</v>
      </c>
      <c r="E1158" s="150" t="str">
        <f t="shared" si="14"/>
        <v>http://dx.doi.org/10.1109/VAST.2007.4389009</v>
      </c>
      <c r="F1158" s="14">
        <v>155.0</v>
      </c>
      <c r="G1158" s="14">
        <v>162.0</v>
      </c>
      <c r="H1158" s="151"/>
      <c r="I1158" s="14" t="s">
        <v>28</v>
      </c>
      <c r="J1158" s="14" t="s">
        <v>18424</v>
      </c>
      <c r="K1158" s="14" t="s">
        <v>34928</v>
      </c>
      <c r="L1158" s="152" t="s">
        <v>20358</v>
      </c>
      <c r="M1158" s="14" t="s">
        <v>34929</v>
      </c>
      <c r="N1158" s="54" t="s">
        <v>34928</v>
      </c>
      <c r="O1158" s="130" t="s">
        <v>18428</v>
      </c>
      <c r="P1158" s="153" t="s">
        <v>18429</v>
      </c>
      <c r="Q1158" s="14">
        <v>4389009.0</v>
      </c>
      <c r="R1158" s="95"/>
      <c r="S1158" s="154" t="s">
        <v>34930</v>
      </c>
      <c r="T1158" s="84"/>
      <c r="U1158" s="84"/>
      <c r="V1158" s="84"/>
      <c r="W1158" s="84"/>
      <c r="X1158" s="84"/>
      <c r="Y1158" s="84"/>
      <c r="Z1158" s="84"/>
      <c r="AA1158" s="84"/>
      <c r="AB1158" s="84"/>
      <c r="AC1158" s="84"/>
    </row>
    <row r="1159" ht="15.75" customHeight="1">
      <c r="A1159" s="14" t="s">
        <v>17</v>
      </c>
      <c r="B1159" s="14">
        <v>2007.0</v>
      </c>
      <c r="C1159" s="14" t="s">
        <v>18653</v>
      </c>
      <c r="D1159" s="14" t="s">
        <v>18654</v>
      </c>
      <c r="E1159" s="150" t="str">
        <f t="shared" si="14"/>
        <v>http://dx.doi.org/10.1109/TVCG.2007.70534</v>
      </c>
      <c r="F1159" s="14">
        <v>1584.0</v>
      </c>
      <c r="G1159" s="14">
        <v>1591.0</v>
      </c>
      <c r="H1159" s="151"/>
      <c r="I1159" s="14" t="s">
        <v>17059</v>
      </c>
      <c r="J1159" s="14" t="s">
        <v>18655</v>
      </c>
      <c r="K1159" s="14" t="s">
        <v>34931</v>
      </c>
      <c r="L1159" s="152" t="s">
        <v>19057</v>
      </c>
      <c r="M1159" s="14" t="s">
        <v>34933</v>
      </c>
      <c r="N1159" s="54" t="s">
        <v>34931</v>
      </c>
      <c r="O1159" s="130" t="s">
        <v>18658</v>
      </c>
      <c r="P1159" s="153" t="s">
        <v>18659</v>
      </c>
      <c r="Q1159" s="14">
        <v>4376190.0</v>
      </c>
      <c r="R1159" s="95"/>
      <c r="S1159" s="154" t="s">
        <v>34934</v>
      </c>
      <c r="T1159" s="84"/>
      <c r="U1159" s="84"/>
      <c r="V1159" s="84"/>
      <c r="W1159" s="84"/>
      <c r="X1159" s="84"/>
      <c r="Y1159" s="84"/>
      <c r="Z1159" s="84"/>
      <c r="AA1159" s="84"/>
      <c r="AB1159" s="84"/>
      <c r="AC1159" s="84"/>
    </row>
    <row r="1160" ht="15.75" customHeight="1">
      <c r="A1160" s="14" t="s">
        <v>17</v>
      </c>
      <c r="B1160" s="14">
        <v>2007.0</v>
      </c>
      <c r="C1160" s="14" t="s">
        <v>18660</v>
      </c>
      <c r="D1160" s="14" t="s">
        <v>18661</v>
      </c>
      <c r="E1160" s="150" t="str">
        <f t="shared" si="14"/>
        <v>http://dx.doi.org/10.1109/TVCG.2007.70536</v>
      </c>
      <c r="F1160" s="14">
        <v>1360.0</v>
      </c>
      <c r="G1160" s="14">
        <v>1367.0</v>
      </c>
      <c r="H1160" s="151"/>
      <c r="I1160" s="14" t="s">
        <v>17059</v>
      </c>
      <c r="J1160" s="14" t="s">
        <v>18662</v>
      </c>
      <c r="K1160" s="14" t="s">
        <v>34937</v>
      </c>
      <c r="L1160" s="152" t="s">
        <v>19062</v>
      </c>
      <c r="M1160" s="14" t="s">
        <v>34938</v>
      </c>
      <c r="N1160" s="54" t="s">
        <v>34937</v>
      </c>
      <c r="O1160" s="130" t="s">
        <v>5057</v>
      </c>
      <c r="P1160" s="153" t="s">
        <v>18666</v>
      </c>
      <c r="Q1160" s="14">
        <v>4376162.0</v>
      </c>
      <c r="R1160" s="95"/>
      <c r="S1160" s="154">
        <v>809883.0</v>
      </c>
      <c r="T1160" s="84"/>
      <c r="U1160" s="84"/>
      <c r="V1160" s="84"/>
      <c r="W1160" s="84"/>
      <c r="X1160" s="84"/>
      <c r="Y1160" s="84"/>
      <c r="Z1160" s="84"/>
      <c r="AA1160" s="84"/>
      <c r="AB1160" s="84"/>
      <c r="AC1160" s="84"/>
    </row>
    <row r="1161" ht="15.75" customHeight="1">
      <c r="A1161" s="14" t="s">
        <v>17</v>
      </c>
      <c r="B1161" s="14">
        <v>2007.0</v>
      </c>
      <c r="C1161" s="14" t="s">
        <v>18667</v>
      </c>
      <c r="D1161" s="14" t="s">
        <v>18668</v>
      </c>
      <c r="E1161" s="150" t="str">
        <f t="shared" si="14"/>
        <v>http://dx.doi.org/10.1109/TVCG.2007.70538</v>
      </c>
      <c r="F1161" s="14">
        <v>1328.0</v>
      </c>
      <c r="G1161" s="14">
        <v>1335.0</v>
      </c>
      <c r="H1161" s="151"/>
      <c r="I1161" s="14" t="s">
        <v>17059</v>
      </c>
      <c r="J1161" s="14" t="s">
        <v>18669</v>
      </c>
      <c r="K1161" s="14" t="s">
        <v>18671</v>
      </c>
      <c r="L1161" s="152" t="s">
        <v>19089</v>
      </c>
      <c r="M1161" s="14" t="s">
        <v>34939</v>
      </c>
      <c r="N1161" s="54" t="s">
        <v>18671</v>
      </c>
      <c r="O1161" s="130" t="s">
        <v>34940</v>
      </c>
      <c r="P1161" s="153" t="s">
        <v>18674</v>
      </c>
      <c r="Q1161" s="14">
        <v>4376158.0</v>
      </c>
      <c r="R1161" s="95"/>
      <c r="S1161" s="154" t="s">
        <v>34941</v>
      </c>
      <c r="T1161" s="84"/>
      <c r="U1161" s="84"/>
      <c r="V1161" s="84"/>
      <c r="W1161" s="84"/>
      <c r="X1161" s="84"/>
      <c r="Y1161" s="84"/>
      <c r="Z1161" s="84"/>
      <c r="AA1161" s="84"/>
      <c r="AB1161" s="84"/>
      <c r="AC1161" s="84"/>
    </row>
    <row r="1162" ht="15.75" customHeight="1">
      <c r="A1162" s="14" t="s">
        <v>17</v>
      </c>
      <c r="B1162" s="14">
        <v>2007.0</v>
      </c>
      <c r="C1162" s="14" t="s">
        <v>18675</v>
      </c>
      <c r="D1162" s="14" t="s">
        <v>18676</v>
      </c>
      <c r="E1162" s="150" t="str">
        <f t="shared" si="14"/>
        <v>http://dx.doi.org/10.1109/TVCG.2007.70542</v>
      </c>
      <c r="F1162" s="14">
        <v>1664.0</v>
      </c>
      <c r="G1162" s="14">
        <v>1671.0</v>
      </c>
      <c r="H1162" s="151"/>
      <c r="I1162" s="14" t="s">
        <v>17059</v>
      </c>
      <c r="J1162" s="14" t="s">
        <v>18677</v>
      </c>
      <c r="K1162" s="14" t="s">
        <v>34942</v>
      </c>
      <c r="L1162" s="152" t="s">
        <v>19151</v>
      </c>
      <c r="M1162" s="14" t="s">
        <v>34943</v>
      </c>
      <c r="N1162" s="54" t="s">
        <v>34942</v>
      </c>
      <c r="O1162" s="130" t="s">
        <v>18680</v>
      </c>
      <c r="P1162" s="153" t="s">
        <v>18681</v>
      </c>
      <c r="Q1162" s="14">
        <v>4376200.0</v>
      </c>
      <c r="R1162" s="95"/>
      <c r="S1162" s="154" t="s">
        <v>34945</v>
      </c>
      <c r="T1162" s="84"/>
      <c r="U1162" s="84"/>
      <c r="V1162" s="84"/>
      <c r="W1162" s="84"/>
      <c r="X1162" s="84"/>
      <c r="Y1162" s="84"/>
      <c r="Z1162" s="84"/>
      <c r="AA1162" s="84"/>
      <c r="AB1162" s="84"/>
      <c r="AC1162" s="84"/>
    </row>
    <row r="1163" ht="15.75" customHeight="1">
      <c r="A1163" s="14" t="s">
        <v>17</v>
      </c>
      <c r="B1163" s="14">
        <v>2007.0</v>
      </c>
      <c r="C1163" s="14" t="s">
        <v>18682</v>
      </c>
      <c r="D1163" s="14" t="s">
        <v>18683</v>
      </c>
      <c r="E1163" s="150" t="str">
        <f t="shared" si="14"/>
        <v>http://dx.doi.org/10.1109/TVCG.2007.70543</v>
      </c>
      <c r="F1163" s="14">
        <v>1528.0</v>
      </c>
      <c r="G1163" s="14">
        <v>1535.0</v>
      </c>
      <c r="H1163" s="151"/>
      <c r="I1163" s="14" t="s">
        <v>17059</v>
      </c>
      <c r="J1163" s="14" t="s">
        <v>18684</v>
      </c>
      <c r="K1163" s="14" t="s">
        <v>34946</v>
      </c>
      <c r="L1163" s="152" t="s">
        <v>18909</v>
      </c>
      <c r="M1163" s="14" t="s">
        <v>34947</v>
      </c>
      <c r="N1163" s="54" t="s">
        <v>34946</v>
      </c>
      <c r="O1163" s="130" t="s">
        <v>18688</v>
      </c>
      <c r="P1163" s="153" t="s">
        <v>18689</v>
      </c>
      <c r="Q1163" s="14">
        <v>4376183.0</v>
      </c>
      <c r="R1163" s="95"/>
      <c r="S1163" s="154" t="s">
        <v>34950</v>
      </c>
      <c r="T1163" s="84"/>
      <c r="U1163" s="84"/>
      <c r="V1163" s="84"/>
      <c r="W1163" s="84"/>
      <c r="X1163" s="84"/>
      <c r="Y1163" s="84"/>
      <c r="Z1163" s="84"/>
      <c r="AA1163" s="84"/>
      <c r="AB1163" s="84"/>
      <c r="AC1163" s="84"/>
    </row>
    <row r="1164" ht="15.75" customHeight="1">
      <c r="A1164" s="14" t="s">
        <v>17</v>
      </c>
      <c r="B1164" s="14">
        <v>2007.0</v>
      </c>
      <c r="C1164" s="14" t="s">
        <v>18690</v>
      </c>
      <c r="D1164" s="14" t="s">
        <v>18691</v>
      </c>
      <c r="E1164" s="150" t="str">
        <f t="shared" si="14"/>
        <v>http://dx.doi.org/10.1109/TVCG.2007.70544</v>
      </c>
      <c r="F1164" s="14">
        <v>1568.0</v>
      </c>
      <c r="G1164" s="14">
        <v>1575.0</v>
      </c>
      <c r="H1164" s="151"/>
      <c r="I1164" s="14" t="s">
        <v>17059</v>
      </c>
      <c r="J1164" s="14" t="s">
        <v>18692</v>
      </c>
      <c r="K1164" s="14" t="s">
        <v>34952</v>
      </c>
      <c r="L1164" s="152" t="s">
        <v>19217</v>
      </c>
      <c r="M1164" s="14" t="s">
        <v>34953</v>
      </c>
      <c r="N1164" s="54" t="s">
        <v>34954</v>
      </c>
      <c r="O1164" s="130" t="s">
        <v>18696</v>
      </c>
      <c r="P1164" s="153" t="s">
        <v>18697</v>
      </c>
      <c r="Q1164" s="14">
        <v>4376188.0</v>
      </c>
      <c r="R1164" s="95"/>
      <c r="S1164" s="154" t="s">
        <v>34955</v>
      </c>
      <c r="T1164" s="84"/>
      <c r="U1164" s="84"/>
      <c r="V1164" s="84"/>
      <c r="W1164" s="84"/>
      <c r="X1164" s="84"/>
      <c r="Y1164" s="84"/>
      <c r="Z1164" s="84"/>
      <c r="AA1164" s="84"/>
      <c r="AB1164" s="84"/>
      <c r="AC1164" s="84"/>
    </row>
    <row r="1165" ht="15.75" customHeight="1">
      <c r="A1165" s="14" t="s">
        <v>17</v>
      </c>
      <c r="B1165" s="14">
        <v>2007.0</v>
      </c>
      <c r="C1165" s="14" t="s">
        <v>18698</v>
      </c>
      <c r="D1165" s="14" t="s">
        <v>18699</v>
      </c>
      <c r="E1165" s="150" t="str">
        <f t="shared" si="14"/>
        <v>http://dx.doi.org/10.1109/TVCG.2007.70545</v>
      </c>
      <c r="F1165" s="14">
        <v>1759.0</v>
      </c>
      <c r="G1165" s="14">
        <v>1766.0</v>
      </c>
      <c r="H1165" s="151"/>
      <c r="I1165" s="14" t="s">
        <v>17059</v>
      </c>
      <c r="J1165" s="14" t="s">
        <v>18700</v>
      </c>
      <c r="K1165" s="14" t="s">
        <v>34958</v>
      </c>
      <c r="L1165" s="152" t="s">
        <v>19235</v>
      </c>
      <c r="M1165" s="14" t="s">
        <v>34959</v>
      </c>
      <c r="N1165" s="54" t="s">
        <v>34958</v>
      </c>
      <c r="O1165" s="130" t="s">
        <v>18703</v>
      </c>
      <c r="P1165" s="153" t="s">
        <v>18704</v>
      </c>
      <c r="Q1165" s="14">
        <v>4376212.0</v>
      </c>
      <c r="R1165" s="95"/>
      <c r="S1165" s="154" t="s">
        <v>34960</v>
      </c>
      <c r="T1165" s="84"/>
      <c r="U1165" s="84"/>
      <c r="V1165" s="84"/>
      <c r="W1165" s="84"/>
      <c r="X1165" s="84"/>
      <c r="Y1165" s="84"/>
      <c r="Z1165" s="84"/>
      <c r="AA1165" s="84"/>
      <c r="AB1165" s="84"/>
      <c r="AC1165" s="84"/>
    </row>
    <row r="1166" ht="15.75" customHeight="1">
      <c r="A1166" s="14" t="s">
        <v>17</v>
      </c>
      <c r="B1166" s="14">
        <v>2007.0</v>
      </c>
      <c r="C1166" s="14" t="s">
        <v>18705</v>
      </c>
      <c r="D1166" s="14" t="s">
        <v>18706</v>
      </c>
      <c r="E1166" s="150" t="str">
        <f t="shared" si="14"/>
        <v>http://dx.doi.org/10.1109/TVCG.2007.70550</v>
      </c>
      <c r="F1166" s="14">
        <v>1632.0</v>
      </c>
      <c r="G1166" s="14">
        <v>1639.0</v>
      </c>
      <c r="H1166" s="151"/>
      <c r="I1166" s="14" t="s">
        <v>17059</v>
      </c>
      <c r="J1166" s="14" t="s">
        <v>18707</v>
      </c>
      <c r="K1166" s="14" t="s">
        <v>34964</v>
      </c>
      <c r="L1166" s="152" t="s">
        <v>19367</v>
      </c>
      <c r="M1166" s="14" t="s">
        <v>34965</v>
      </c>
      <c r="N1166" s="54" t="s">
        <v>34966</v>
      </c>
      <c r="O1166" s="130" t="s">
        <v>18711</v>
      </c>
      <c r="P1166" s="153" t="s">
        <v>18712</v>
      </c>
      <c r="Q1166" s="14">
        <v>4376196.0</v>
      </c>
      <c r="R1166" s="95"/>
      <c r="S1166" s="154" t="s">
        <v>34967</v>
      </c>
      <c r="T1166" s="84"/>
      <c r="U1166" s="84"/>
      <c r="V1166" s="84"/>
      <c r="W1166" s="84"/>
      <c r="X1166" s="84"/>
      <c r="Y1166" s="84"/>
      <c r="Z1166" s="84"/>
      <c r="AA1166" s="84"/>
      <c r="AB1166" s="84"/>
      <c r="AC1166" s="84"/>
    </row>
    <row r="1167" ht="15.75" customHeight="1">
      <c r="A1167" s="14" t="s">
        <v>17</v>
      </c>
      <c r="B1167" s="14">
        <v>2007.0</v>
      </c>
      <c r="C1167" s="14" t="s">
        <v>18713</v>
      </c>
      <c r="D1167" s="14" t="s">
        <v>18714</v>
      </c>
      <c r="E1167" s="150" t="str">
        <f t="shared" si="14"/>
        <v>http://dx.doi.org/10.1109/TVCG.2007.70551</v>
      </c>
      <c r="F1167" s="14">
        <v>1464.0</v>
      </c>
      <c r="G1167" s="14">
        <v>1471.0</v>
      </c>
      <c r="H1167" s="151"/>
      <c r="I1167" s="14" t="s">
        <v>17059</v>
      </c>
      <c r="J1167" s="14" t="s">
        <v>18715</v>
      </c>
      <c r="K1167" s="14" t="s">
        <v>34968</v>
      </c>
      <c r="L1167" s="152" t="s">
        <v>19369</v>
      </c>
      <c r="M1167" s="14" t="s">
        <v>34969</v>
      </c>
      <c r="N1167" s="54" t="s">
        <v>34968</v>
      </c>
      <c r="O1167" s="130" t="s">
        <v>14759</v>
      </c>
      <c r="P1167" s="153" t="s">
        <v>18719</v>
      </c>
      <c r="Q1167" s="14">
        <v>4376175.0</v>
      </c>
      <c r="R1167" s="95"/>
      <c r="S1167" s="154">
        <v>1372196.0</v>
      </c>
      <c r="T1167" s="84"/>
      <c r="U1167" s="84"/>
      <c r="V1167" s="84"/>
      <c r="W1167" s="84"/>
      <c r="X1167" s="84"/>
      <c r="Y1167" s="84"/>
      <c r="Z1167" s="84"/>
      <c r="AA1167" s="84"/>
      <c r="AB1167" s="84"/>
      <c r="AC1167" s="84"/>
    </row>
    <row r="1168" ht="15.75" customHeight="1">
      <c r="A1168" s="14" t="s">
        <v>17</v>
      </c>
      <c r="B1168" s="14">
        <v>2007.0</v>
      </c>
      <c r="C1168" s="14" t="s">
        <v>18720</v>
      </c>
      <c r="D1168" s="14" t="s">
        <v>18721</v>
      </c>
      <c r="E1168" s="150" t="str">
        <f t="shared" si="14"/>
        <v>http://dx.doi.org/10.1109/TVCG.2007.70552</v>
      </c>
      <c r="F1168" s="14">
        <v>1440.0</v>
      </c>
      <c r="G1168" s="14">
        <v>1447.0</v>
      </c>
      <c r="H1168" s="151"/>
      <c r="I1168" s="14" t="s">
        <v>17059</v>
      </c>
      <c r="J1168" s="14" t="s">
        <v>18722</v>
      </c>
      <c r="K1168" s="14" t="s">
        <v>34971</v>
      </c>
      <c r="L1168" s="152" t="s">
        <v>18909</v>
      </c>
      <c r="M1168" s="14" t="s">
        <v>34972</v>
      </c>
      <c r="N1168" s="54" t="s">
        <v>34971</v>
      </c>
      <c r="O1168" s="130" t="s">
        <v>18725</v>
      </c>
      <c r="P1168" s="153" t="s">
        <v>16823</v>
      </c>
      <c r="Q1168" s="14">
        <v>4376172.0</v>
      </c>
      <c r="R1168" s="95"/>
      <c r="S1168" s="154" t="s">
        <v>34973</v>
      </c>
      <c r="T1168" s="84"/>
      <c r="U1168" s="84"/>
      <c r="V1168" s="84"/>
      <c r="W1168" s="84"/>
      <c r="X1168" s="84"/>
      <c r="Y1168" s="84"/>
      <c r="Z1168" s="84"/>
      <c r="AA1168" s="84"/>
      <c r="AB1168" s="84"/>
      <c r="AC1168" s="84"/>
    </row>
    <row r="1169" ht="15.75" customHeight="1">
      <c r="A1169" s="14" t="s">
        <v>17</v>
      </c>
      <c r="B1169" s="14">
        <v>2007.0</v>
      </c>
      <c r="C1169" s="14" t="s">
        <v>18726</v>
      </c>
      <c r="D1169" s="14" t="s">
        <v>18727</v>
      </c>
      <c r="E1169" s="150" t="str">
        <f t="shared" si="14"/>
        <v>http://dx.doi.org/10.1109/TVCG.2007.70553</v>
      </c>
      <c r="F1169" s="14">
        <v>1512.0</v>
      </c>
      <c r="G1169" s="14">
        <v>1519.0</v>
      </c>
      <c r="H1169" s="151"/>
      <c r="I1169" s="14" t="s">
        <v>17059</v>
      </c>
      <c r="J1169" s="14" t="s">
        <v>18728</v>
      </c>
      <c r="K1169" s="14" t="s">
        <v>34974</v>
      </c>
      <c r="L1169" s="152" t="s">
        <v>19372</v>
      </c>
      <c r="M1169" s="14" t="s">
        <v>34975</v>
      </c>
      <c r="N1169" s="54" t="s">
        <v>34974</v>
      </c>
      <c r="O1169" s="130"/>
      <c r="P1169" s="153" t="s">
        <v>18732</v>
      </c>
      <c r="Q1169" s="14">
        <v>4376181.0</v>
      </c>
      <c r="R1169" s="95"/>
      <c r="S1169" s="154"/>
      <c r="T1169" s="84"/>
      <c r="U1169" s="84"/>
      <c r="V1169" s="84"/>
      <c r="W1169" s="84"/>
      <c r="X1169" s="84"/>
      <c r="Y1169" s="84"/>
      <c r="Z1169" s="84"/>
      <c r="AA1169" s="84"/>
      <c r="AB1169" s="84"/>
      <c r="AC1169" s="84"/>
    </row>
    <row r="1170" ht="15.75" customHeight="1">
      <c r="A1170" s="14" t="s">
        <v>17</v>
      </c>
      <c r="B1170" s="14">
        <v>2007.0</v>
      </c>
      <c r="C1170" s="14" t="s">
        <v>18733</v>
      </c>
      <c r="D1170" s="14" t="s">
        <v>18734</v>
      </c>
      <c r="E1170" s="150" t="str">
        <f t="shared" si="14"/>
        <v>http://dx.doi.org/10.1109/TVCG.2007.70554</v>
      </c>
      <c r="F1170" s="14">
        <v>1456.0</v>
      </c>
      <c r="G1170" s="14">
        <v>1463.0</v>
      </c>
      <c r="H1170" s="151"/>
      <c r="I1170" s="14" t="s">
        <v>17059</v>
      </c>
      <c r="J1170" s="14" t="s">
        <v>18735</v>
      </c>
      <c r="K1170" s="14" t="s">
        <v>34978</v>
      </c>
      <c r="L1170" s="152" t="s">
        <v>19374</v>
      </c>
      <c r="M1170" s="14" t="s">
        <v>34979</v>
      </c>
      <c r="N1170" s="54" t="s">
        <v>34978</v>
      </c>
      <c r="O1170" s="130" t="s">
        <v>18738</v>
      </c>
      <c r="P1170" s="153" t="s">
        <v>18739</v>
      </c>
      <c r="Q1170" s="14">
        <v>4376174.0</v>
      </c>
      <c r="R1170" s="95"/>
      <c r="S1170" s="154" t="s">
        <v>34980</v>
      </c>
      <c r="T1170" s="84"/>
      <c r="U1170" s="84"/>
      <c r="V1170" s="84"/>
      <c r="W1170" s="84"/>
      <c r="X1170" s="84"/>
      <c r="Y1170" s="84"/>
      <c r="Z1170" s="84"/>
      <c r="AA1170" s="84"/>
      <c r="AB1170" s="84"/>
      <c r="AC1170" s="84"/>
    </row>
    <row r="1171" ht="15.75" customHeight="1">
      <c r="A1171" s="14" t="s">
        <v>17</v>
      </c>
      <c r="B1171" s="14">
        <v>2007.0</v>
      </c>
      <c r="C1171" s="14" t="s">
        <v>18740</v>
      </c>
      <c r="D1171" s="14" t="s">
        <v>18741</v>
      </c>
      <c r="E1171" s="150" t="str">
        <f t="shared" si="14"/>
        <v>http://dx.doi.org/10.1109/TVCG.2007.70555</v>
      </c>
      <c r="F1171" s="14">
        <v>1344.0</v>
      </c>
      <c r="G1171" s="14">
        <v>1351.0</v>
      </c>
      <c r="H1171" s="151"/>
      <c r="I1171" s="14" t="s">
        <v>17059</v>
      </c>
      <c r="J1171" s="14" t="s">
        <v>18742</v>
      </c>
      <c r="K1171" s="14" t="s">
        <v>34981</v>
      </c>
      <c r="L1171" s="152" t="s">
        <v>19376</v>
      </c>
      <c r="M1171" s="14" t="s">
        <v>34982</v>
      </c>
      <c r="N1171" s="54" t="s">
        <v>34983</v>
      </c>
      <c r="O1171" s="130" t="s">
        <v>18745</v>
      </c>
      <c r="P1171" s="153" t="s">
        <v>18746</v>
      </c>
      <c r="Q1171" s="14">
        <v>4376160.0</v>
      </c>
      <c r="R1171" s="95"/>
      <c r="S1171" s="154" t="s">
        <v>34984</v>
      </c>
      <c r="T1171" s="84"/>
      <c r="U1171" s="84"/>
      <c r="V1171" s="84"/>
      <c r="W1171" s="84"/>
      <c r="X1171" s="84"/>
      <c r="Y1171" s="84"/>
      <c r="Z1171" s="84"/>
      <c r="AA1171" s="84"/>
      <c r="AB1171" s="84"/>
      <c r="AC1171" s="84"/>
    </row>
    <row r="1172" ht="15.75" customHeight="1">
      <c r="A1172" s="14" t="s">
        <v>17</v>
      </c>
      <c r="B1172" s="14">
        <v>2007.0</v>
      </c>
      <c r="C1172" s="14" t="s">
        <v>18747</v>
      </c>
      <c r="D1172" s="14" t="s">
        <v>18748</v>
      </c>
      <c r="E1172" s="150" t="str">
        <f t="shared" si="14"/>
        <v>http://dx.doi.org/10.1109/TVCG.2007.70557</v>
      </c>
      <c r="F1172" s="14">
        <v>1735.0</v>
      </c>
      <c r="G1172" s="14">
        <v>1742.0</v>
      </c>
      <c r="H1172" s="151"/>
      <c r="I1172" s="14" t="s">
        <v>17059</v>
      </c>
      <c r="J1172" s="14" t="s">
        <v>18749</v>
      </c>
      <c r="K1172" s="14" t="s">
        <v>34985</v>
      </c>
      <c r="L1172" s="152" t="s">
        <v>19380</v>
      </c>
      <c r="M1172" s="14" t="s">
        <v>34986</v>
      </c>
      <c r="N1172" s="54" t="s">
        <v>34987</v>
      </c>
      <c r="O1172" s="130" t="s">
        <v>18752</v>
      </c>
      <c r="P1172" s="153" t="s">
        <v>18753</v>
      </c>
      <c r="Q1172" s="14">
        <v>4376209.0</v>
      </c>
      <c r="R1172" s="95"/>
      <c r="S1172" s="154" t="s">
        <v>34988</v>
      </c>
      <c r="T1172" s="84"/>
      <c r="U1172" s="84"/>
      <c r="V1172" s="84"/>
      <c r="W1172" s="84"/>
      <c r="X1172" s="84"/>
      <c r="Y1172" s="84"/>
      <c r="Z1172" s="84"/>
      <c r="AA1172" s="84"/>
      <c r="AB1172" s="84"/>
      <c r="AC1172" s="84"/>
    </row>
    <row r="1173" ht="15.75" customHeight="1">
      <c r="A1173" s="14" t="s">
        <v>17</v>
      </c>
      <c r="B1173" s="14">
        <v>2007.0</v>
      </c>
      <c r="C1173" s="14" t="s">
        <v>18754</v>
      </c>
      <c r="D1173" s="14" t="s">
        <v>18755</v>
      </c>
      <c r="E1173" s="150" t="str">
        <f t="shared" si="14"/>
        <v>http://dx.doi.org/10.1109/TVCG.2007.70559</v>
      </c>
      <c r="F1173" s="14">
        <v>1656.0</v>
      </c>
      <c r="G1173" s="14">
        <v>1663.0</v>
      </c>
      <c r="H1173" s="151"/>
      <c r="I1173" s="14" t="s">
        <v>17059</v>
      </c>
      <c r="J1173" s="14" t="s">
        <v>18756</v>
      </c>
      <c r="K1173" s="14" t="s">
        <v>34989</v>
      </c>
      <c r="L1173" s="152" t="s">
        <v>19385</v>
      </c>
      <c r="M1173" s="14" t="s">
        <v>34990</v>
      </c>
      <c r="N1173" s="54" t="s">
        <v>34989</v>
      </c>
      <c r="O1173" s="130" t="s">
        <v>18760</v>
      </c>
      <c r="P1173" s="153" t="s">
        <v>18761</v>
      </c>
      <c r="Q1173" s="14">
        <v>4376199.0</v>
      </c>
      <c r="R1173" s="95"/>
      <c r="S1173" s="154" t="s">
        <v>34991</v>
      </c>
      <c r="T1173" s="84"/>
      <c r="U1173" s="84"/>
      <c r="V1173" s="84"/>
      <c r="W1173" s="84"/>
      <c r="X1173" s="84"/>
      <c r="Y1173" s="84"/>
      <c r="Z1173" s="84"/>
      <c r="AA1173" s="84"/>
      <c r="AB1173" s="84"/>
      <c r="AC1173" s="84"/>
    </row>
    <row r="1174" ht="15.75" customHeight="1">
      <c r="A1174" s="14" t="s">
        <v>17</v>
      </c>
      <c r="B1174" s="14">
        <v>2007.0</v>
      </c>
      <c r="C1174" s="14" t="s">
        <v>18762</v>
      </c>
      <c r="D1174" s="14" t="s">
        <v>18763</v>
      </c>
      <c r="E1174" s="150" t="str">
        <f t="shared" si="14"/>
        <v>http://dx.doi.org/10.1109/TVCG.2007.70560</v>
      </c>
      <c r="F1174" s="14">
        <v>1696.0</v>
      </c>
      <c r="G1174" s="14">
        <v>1703.0</v>
      </c>
      <c r="H1174" s="151"/>
      <c r="I1174" s="14" t="s">
        <v>17059</v>
      </c>
      <c r="J1174" s="14" t="s">
        <v>18764</v>
      </c>
      <c r="K1174" s="14" t="s">
        <v>34992</v>
      </c>
      <c r="L1174" s="152" t="s">
        <v>19405</v>
      </c>
      <c r="M1174" s="14" t="s">
        <v>34993</v>
      </c>
      <c r="N1174" s="54" t="s">
        <v>34992</v>
      </c>
      <c r="O1174" s="130" t="s">
        <v>18766</v>
      </c>
      <c r="P1174" s="153" t="s">
        <v>18767</v>
      </c>
      <c r="Q1174" s="14">
        <v>4376204.0</v>
      </c>
      <c r="R1174" s="95"/>
      <c r="S1174" s="154" t="s">
        <v>34994</v>
      </c>
      <c r="T1174" s="84"/>
      <c r="U1174" s="84"/>
      <c r="V1174" s="84"/>
      <c r="W1174" s="84"/>
      <c r="X1174" s="84"/>
      <c r="Y1174" s="84"/>
      <c r="Z1174" s="84"/>
      <c r="AA1174" s="84"/>
      <c r="AB1174" s="84"/>
      <c r="AC1174" s="84"/>
    </row>
    <row r="1175" ht="15.75" customHeight="1">
      <c r="A1175" s="14" t="s">
        <v>17</v>
      </c>
      <c r="B1175" s="14">
        <v>2007.0</v>
      </c>
      <c r="C1175" s="14" t="s">
        <v>18768</v>
      </c>
      <c r="D1175" s="14" t="s">
        <v>18769</v>
      </c>
      <c r="E1175" s="150" t="str">
        <f t="shared" si="14"/>
        <v>http://dx.doi.org/10.1109/TVCG.2007.70565</v>
      </c>
      <c r="F1175" s="14">
        <v>1320.0</v>
      </c>
      <c r="G1175" s="14">
        <v>1327.0</v>
      </c>
      <c r="H1175" s="151"/>
      <c r="I1175" s="14" t="s">
        <v>17059</v>
      </c>
      <c r="J1175" s="14" t="s">
        <v>18770</v>
      </c>
      <c r="K1175" s="14" t="s">
        <v>34995</v>
      </c>
      <c r="L1175" s="152" t="s">
        <v>19416</v>
      </c>
      <c r="M1175" s="14" t="s">
        <v>34996</v>
      </c>
      <c r="N1175" s="54" t="s">
        <v>34997</v>
      </c>
      <c r="O1175" s="130" t="s">
        <v>18773</v>
      </c>
      <c r="P1175" s="153" t="s">
        <v>18774</v>
      </c>
      <c r="Q1175" s="14">
        <v>4376157.0</v>
      </c>
      <c r="R1175" s="95"/>
      <c r="S1175" s="154" t="s">
        <v>34999</v>
      </c>
      <c r="T1175" s="84"/>
      <c r="U1175" s="84"/>
      <c r="V1175" s="84"/>
      <c r="W1175" s="84"/>
      <c r="X1175" s="84"/>
      <c r="Y1175" s="84"/>
      <c r="Z1175" s="84"/>
      <c r="AA1175" s="84"/>
      <c r="AB1175" s="84"/>
      <c r="AC1175" s="84"/>
    </row>
    <row r="1176" ht="15.75" customHeight="1">
      <c r="A1176" s="14" t="s">
        <v>17</v>
      </c>
      <c r="B1176" s="14">
        <v>2007.0</v>
      </c>
      <c r="C1176" s="14" t="s">
        <v>18775</v>
      </c>
      <c r="D1176" s="14" t="s">
        <v>18776</v>
      </c>
      <c r="E1176" s="150" t="str">
        <f t="shared" si="14"/>
        <v>http://dx.doi.org/10.1109/TVCG.2007.70566</v>
      </c>
      <c r="F1176" s="14">
        <v>1727.0</v>
      </c>
      <c r="G1176" s="14">
        <v>1734.0</v>
      </c>
      <c r="H1176" s="151"/>
      <c r="I1176" s="14" t="s">
        <v>17059</v>
      </c>
      <c r="J1176" s="14" t="s">
        <v>18777</v>
      </c>
      <c r="K1176" s="14" t="s">
        <v>35000</v>
      </c>
      <c r="L1176" s="152" t="s">
        <v>19418</v>
      </c>
      <c r="M1176" s="14" t="s">
        <v>35001</v>
      </c>
      <c r="N1176" s="54" t="s">
        <v>35002</v>
      </c>
      <c r="O1176" s="130" t="s">
        <v>18780</v>
      </c>
      <c r="P1176" s="153" t="s">
        <v>18781</v>
      </c>
      <c r="Q1176" s="14">
        <v>4376208.0</v>
      </c>
      <c r="R1176" s="95"/>
      <c r="S1176" s="154" t="s">
        <v>35003</v>
      </c>
      <c r="T1176" s="84"/>
      <c r="U1176" s="84"/>
      <c r="V1176" s="84"/>
      <c r="W1176" s="84"/>
      <c r="X1176" s="84"/>
      <c r="Y1176" s="84"/>
      <c r="Z1176" s="84"/>
      <c r="AA1176" s="84"/>
      <c r="AB1176" s="84"/>
      <c r="AC1176" s="84"/>
    </row>
    <row r="1177" ht="15.75" customHeight="1">
      <c r="A1177" s="14" t="s">
        <v>17</v>
      </c>
      <c r="B1177" s="14">
        <v>2007.0</v>
      </c>
      <c r="C1177" s="14" t="s">
        <v>18782</v>
      </c>
      <c r="D1177" s="14" t="s">
        <v>18783</v>
      </c>
      <c r="E1177" s="150" t="str">
        <f t="shared" si="14"/>
        <v>http://dx.doi.org/10.1109/TVCG.2007.70567</v>
      </c>
      <c r="F1177" s="14">
        <v>1672.0</v>
      </c>
      <c r="G1177" s="14">
        <v>1679.0</v>
      </c>
      <c r="H1177" s="151"/>
      <c r="I1177" s="14" t="s">
        <v>17059</v>
      </c>
      <c r="J1177" s="14" t="s">
        <v>18784</v>
      </c>
      <c r="K1177" s="14" t="s">
        <v>35005</v>
      </c>
      <c r="L1177" s="152" t="s">
        <v>19469</v>
      </c>
      <c r="M1177" s="14" t="s">
        <v>35006</v>
      </c>
      <c r="N1177" s="54" t="s">
        <v>35005</v>
      </c>
      <c r="O1177" s="130" t="s">
        <v>18787</v>
      </c>
      <c r="P1177" s="153" t="s">
        <v>18788</v>
      </c>
      <c r="Q1177" s="14">
        <v>4376201.0</v>
      </c>
      <c r="R1177" s="95"/>
      <c r="S1177" s="154" t="s">
        <v>35007</v>
      </c>
      <c r="T1177" s="84"/>
      <c r="U1177" s="84"/>
      <c r="V1177" s="84"/>
      <c r="W1177" s="84"/>
      <c r="X1177" s="84"/>
      <c r="Y1177" s="84"/>
      <c r="Z1177" s="84"/>
      <c r="AA1177" s="84"/>
      <c r="AB1177" s="84"/>
      <c r="AC1177" s="84"/>
    </row>
    <row r="1178" ht="15.75" customHeight="1">
      <c r="A1178" s="14" t="s">
        <v>17</v>
      </c>
      <c r="B1178" s="14">
        <v>2007.0</v>
      </c>
      <c r="C1178" s="14" t="s">
        <v>18789</v>
      </c>
      <c r="D1178" s="14" t="s">
        <v>18790</v>
      </c>
      <c r="E1178" s="150" t="str">
        <f t="shared" si="14"/>
        <v>http://dx.doi.org/10.1109/TVCG.2007.70569</v>
      </c>
      <c r="F1178" s="14">
        <v>1392.0</v>
      </c>
      <c r="G1178" s="14">
        <v>1399.0</v>
      </c>
      <c r="H1178" s="151"/>
      <c r="I1178" s="14" t="s">
        <v>17059</v>
      </c>
      <c r="J1178" s="14" t="s">
        <v>18791</v>
      </c>
      <c r="K1178" s="14" t="s">
        <v>35008</v>
      </c>
      <c r="L1178" s="152" t="s">
        <v>19473</v>
      </c>
      <c r="M1178" s="14" t="s">
        <v>35009</v>
      </c>
      <c r="N1178" s="54" t="s">
        <v>35008</v>
      </c>
      <c r="O1178" s="130" t="s">
        <v>6057</v>
      </c>
      <c r="P1178" s="153" t="s">
        <v>18795</v>
      </c>
      <c r="Q1178" s="14">
        <v>4376166.0</v>
      </c>
      <c r="R1178" s="95"/>
      <c r="S1178" s="154">
        <v>885739.0</v>
      </c>
      <c r="T1178" s="84"/>
      <c r="U1178" s="84"/>
      <c r="V1178" s="84"/>
      <c r="W1178" s="84"/>
      <c r="X1178" s="84"/>
      <c r="Y1178" s="84"/>
      <c r="Z1178" s="84"/>
      <c r="AA1178" s="84"/>
      <c r="AB1178" s="84"/>
      <c r="AC1178" s="84"/>
    </row>
    <row r="1179" ht="15.75" customHeight="1">
      <c r="A1179" s="14" t="s">
        <v>17</v>
      </c>
      <c r="B1179" s="14">
        <v>2007.0</v>
      </c>
      <c r="C1179" s="14" t="s">
        <v>18796</v>
      </c>
      <c r="D1179" s="14" t="s">
        <v>18797</v>
      </c>
      <c r="E1179" s="150" t="str">
        <f t="shared" si="14"/>
        <v>http://dx.doi.org/10.1109/TVCG.2007.70571</v>
      </c>
      <c r="F1179" s="14">
        <v>1480.0</v>
      </c>
      <c r="G1179" s="14">
        <v>1487.0</v>
      </c>
      <c r="H1179" s="151"/>
      <c r="I1179" s="14" t="s">
        <v>17059</v>
      </c>
      <c r="J1179" s="14" t="s">
        <v>18798</v>
      </c>
      <c r="K1179" s="14" t="s">
        <v>35010</v>
      </c>
      <c r="L1179" s="152" t="s">
        <v>19477</v>
      </c>
      <c r="M1179" s="14" t="s">
        <v>35011</v>
      </c>
      <c r="N1179" s="54" t="s">
        <v>35010</v>
      </c>
      <c r="O1179" s="130" t="s">
        <v>18802</v>
      </c>
      <c r="P1179" s="153" t="s">
        <v>18803</v>
      </c>
      <c r="Q1179" s="14">
        <v>4376177.0</v>
      </c>
      <c r="R1179" s="95"/>
      <c r="S1179" s="154" t="s">
        <v>35013</v>
      </c>
      <c r="T1179" s="84"/>
      <c r="U1179" s="84"/>
      <c r="V1179" s="84"/>
      <c r="W1179" s="84"/>
      <c r="X1179" s="84"/>
      <c r="Y1179" s="84"/>
      <c r="Z1179" s="84"/>
      <c r="AA1179" s="84"/>
      <c r="AB1179" s="84"/>
      <c r="AC1179" s="84"/>
    </row>
    <row r="1180" ht="15.75" customHeight="1">
      <c r="A1180" s="14" t="s">
        <v>17</v>
      </c>
      <c r="B1180" s="14">
        <v>2007.0</v>
      </c>
      <c r="C1180" s="14" t="s">
        <v>18804</v>
      </c>
      <c r="D1180" s="14" t="s">
        <v>18805</v>
      </c>
      <c r="E1180" s="150" t="str">
        <f t="shared" si="14"/>
        <v>http://dx.doi.org/10.1109/TVCG.2007.70572</v>
      </c>
      <c r="F1180" s="14">
        <v>1424.0</v>
      </c>
      <c r="G1180" s="14">
        <v>1431.0</v>
      </c>
      <c r="H1180" s="151"/>
      <c r="I1180" s="14" t="s">
        <v>17059</v>
      </c>
      <c r="J1180" s="14" t="s">
        <v>18806</v>
      </c>
      <c r="K1180" s="14" t="s">
        <v>35014</v>
      </c>
      <c r="L1180" s="152" t="s">
        <v>19500</v>
      </c>
      <c r="M1180" s="14" t="s">
        <v>35015</v>
      </c>
      <c r="N1180" s="54" t="s">
        <v>35014</v>
      </c>
      <c r="O1180" s="130" t="s">
        <v>18810</v>
      </c>
      <c r="P1180" s="153" t="s">
        <v>18811</v>
      </c>
      <c r="Q1180" s="14">
        <v>4376170.0</v>
      </c>
      <c r="R1180" s="95"/>
      <c r="S1180" s="154" t="s">
        <v>35016</v>
      </c>
      <c r="T1180" s="84"/>
      <c r="U1180" s="84"/>
      <c r="V1180" s="84"/>
      <c r="W1180" s="84"/>
      <c r="X1180" s="84"/>
      <c r="Y1180" s="84"/>
      <c r="Z1180" s="84"/>
      <c r="AA1180" s="84"/>
      <c r="AB1180" s="84"/>
      <c r="AC1180" s="84"/>
    </row>
    <row r="1181" ht="15.75" customHeight="1">
      <c r="A1181" s="14" t="s">
        <v>17</v>
      </c>
      <c r="B1181" s="14">
        <v>2007.0</v>
      </c>
      <c r="C1181" s="14" t="s">
        <v>18812</v>
      </c>
      <c r="D1181" s="14" t="s">
        <v>18813</v>
      </c>
      <c r="E1181" s="150" t="str">
        <f t="shared" si="14"/>
        <v>http://dx.doi.org/10.1109/TVCG.2007.70573</v>
      </c>
      <c r="F1181" s="14">
        <v>1576.0</v>
      </c>
      <c r="G1181" s="14">
        <v>1583.0</v>
      </c>
      <c r="H1181" s="151"/>
      <c r="I1181" s="14" t="s">
        <v>17059</v>
      </c>
      <c r="J1181" s="14" t="s">
        <v>18814</v>
      </c>
      <c r="K1181" s="14" t="s">
        <v>35017</v>
      </c>
      <c r="L1181" s="152" t="s">
        <v>19530</v>
      </c>
      <c r="M1181" s="14" t="s">
        <v>35018</v>
      </c>
      <c r="N1181" s="54" t="s">
        <v>35017</v>
      </c>
      <c r="O1181" s="130" t="s">
        <v>18818</v>
      </c>
      <c r="P1181" s="153" t="s">
        <v>18819</v>
      </c>
      <c r="Q1181" s="14">
        <v>4376189.0</v>
      </c>
      <c r="R1181" s="95"/>
      <c r="S1181" s="154" t="s">
        <v>35022</v>
      </c>
      <c r="T1181" s="84"/>
      <c r="U1181" s="84"/>
      <c r="V1181" s="84"/>
      <c r="W1181" s="84"/>
      <c r="X1181" s="84"/>
      <c r="Y1181" s="84"/>
      <c r="Z1181" s="84"/>
      <c r="AA1181" s="84"/>
      <c r="AB1181" s="84"/>
      <c r="AC1181" s="84"/>
    </row>
    <row r="1182" ht="15.75" customHeight="1">
      <c r="A1182" s="14" t="s">
        <v>17</v>
      </c>
      <c r="B1182" s="14">
        <v>2007.0</v>
      </c>
      <c r="C1182" s="14" t="s">
        <v>18820</v>
      </c>
      <c r="D1182" s="14" t="s">
        <v>18821</v>
      </c>
      <c r="E1182" s="150" t="str">
        <f t="shared" si="14"/>
        <v>http://dx.doi.org/10.1109/TVCG.2007.70575</v>
      </c>
      <c r="F1182" s="14">
        <v>1680.0</v>
      </c>
      <c r="G1182" s="14">
        <v>1687.0</v>
      </c>
      <c r="H1182" s="151"/>
      <c r="I1182" s="14" t="s">
        <v>17059</v>
      </c>
      <c r="J1182" s="14" t="s">
        <v>19534</v>
      </c>
      <c r="K1182" s="14" t="s">
        <v>35023</v>
      </c>
      <c r="L1182" s="152" t="s">
        <v>19535</v>
      </c>
      <c r="M1182" s="14" t="s">
        <v>35024</v>
      </c>
      <c r="N1182" s="54" t="s">
        <v>35023</v>
      </c>
      <c r="O1182" s="130" t="s">
        <v>18787</v>
      </c>
      <c r="P1182" s="153" t="s">
        <v>18827</v>
      </c>
      <c r="Q1182" s="14">
        <v>4376202.0</v>
      </c>
      <c r="R1182" s="95"/>
      <c r="S1182" s="154" t="s">
        <v>35007</v>
      </c>
      <c r="T1182" s="84"/>
      <c r="U1182" s="84"/>
      <c r="V1182" s="84"/>
      <c r="W1182" s="84"/>
      <c r="X1182" s="84"/>
      <c r="Y1182" s="84"/>
      <c r="Z1182" s="84"/>
      <c r="AA1182" s="84"/>
      <c r="AB1182" s="84"/>
      <c r="AC1182" s="84"/>
    </row>
    <row r="1183" ht="15.75" customHeight="1">
      <c r="A1183" s="14" t="s">
        <v>17</v>
      </c>
      <c r="B1183" s="14">
        <v>2007.0</v>
      </c>
      <c r="C1183" s="14" t="s">
        <v>18828</v>
      </c>
      <c r="D1183" s="14" t="s">
        <v>18829</v>
      </c>
      <c r="E1183" s="150" t="str">
        <f t="shared" si="14"/>
        <v>http://dx.doi.org/10.1109/TVCG.2007.70576</v>
      </c>
      <c r="F1183" s="14">
        <v>1544.0</v>
      </c>
      <c r="G1183" s="14">
        <v>1551.0</v>
      </c>
      <c r="H1183" s="151"/>
      <c r="I1183" s="14" t="s">
        <v>17059</v>
      </c>
      <c r="J1183" s="14" t="s">
        <v>18830</v>
      </c>
      <c r="K1183" s="14" t="s">
        <v>35025</v>
      </c>
      <c r="L1183" s="152" t="s">
        <v>19538</v>
      </c>
      <c r="M1183" s="14" t="s">
        <v>35026</v>
      </c>
      <c r="N1183" s="54" t="s">
        <v>35025</v>
      </c>
      <c r="O1183" s="130" t="s">
        <v>18833</v>
      </c>
      <c r="P1183" s="153" t="s">
        <v>18834</v>
      </c>
      <c r="Q1183" s="14">
        <v>4376185.0</v>
      </c>
      <c r="R1183" s="95"/>
      <c r="S1183" s="154" t="s">
        <v>35028</v>
      </c>
      <c r="T1183" s="84"/>
      <c r="U1183" s="84"/>
      <c r="V1183" s="84"/>
      <c r="W1183" s="84"/>
      <c r="X1183" s="84"/>
      <c r="Y1183" s="84"/>
      <c r="Z1183" s="84"/>
      <c r="AA1183" s="84"/>
      <c r="AB1183" s="84"/>
      <c r="AC1183" s="84"/>
    </row>
    <row r="1184" ht="15.75" customHeight="1">
      <c r="A1184" s="14" t="s">
        <v>17</v>
      </c>
      <c r="B1184" s="14">
        <v>2007.0</v>
      </c>
      <c r="C1184" s="14" t="s">
        <v>18837</v>
      </c>
      <c r="D1184" s="14" t="s">
        <v>18838</v>
      </c>
      <c r="E1184" s="150" t="str">
        <f t="shared" si="14"/>
        <v>http://dx.doi.org/10.1109/TVCG.2007.70578</v>
      </c>
      <c r="F1184" s="14">
        <v>1608.0</v>
      </c>
      <c r="G1184" s="14">
        <v>1615.0</v>
      </c>
      <c r="H1184" s="151"/>
      <c r="I1184" s="14" t="s">
        <v>17059</v>
      </c>
      <c r="J1184" s="14" t="s">
        <v>18840</v>
      </c>
      <c r="K1184" s="14" t="s">
        <v>34660</v>
      </c>
      <c r="L1184" s="152" t="s">
        <v>19543</v>
      </c>
      <c r="M1184" s="14" t="s">
        <v>34661</v>
      </c>
      <c r="N1184" s="54" t="s">
        <v>34660</v>
      </c>
      <c r="O1184" s="130" t="s">
        <v>18843</v>
      </c>
      <c r="P1184" s="153" t="s">
        <v>18844</v>
      </c>
      <c r="Q1184" s="14">
        <v>4376193.0</v>
      </c>
      <c r="R1184" s="95"/>
      <c r="S1184" s="154" t="s">
        <v>35029</v>
      </c>
      <c r="T1184" s="84"/>
      <c r="U1184" s="84"/>
      <c r="V1184" s="84"/>
      <c r="W1184" s="84"/>
      <c r="X1184" s="84"/>
      <c r="Y1184" s="84"/>
      <c r="Z1184" s="84"/>
      <c r="AA1184" s="84"/>
      <c r="AB1184" s="84"/>
      <c r="AC1184" s="84"/>
    </row>
    <row r="1185" ht="15.75" customHeight="1">
      <c r="A1185" s="14" t="s">
        <v>17</v>
      </c>
      <c r="B1185" s="14">
        <v>2007.0</v>
      </c>
      <c r="C1185" s="14" t="s">
        <v>18845</v>
      </c>
      <c r="D1185" s="14" t="s">
        <v>18846</v>
      </c>
      <c r="E1185" s="150" t="str">
        <f t="shared" si="14"/>
        <v>http://dx.doi.org/10.1109/TVCG.2007.70579</v>
      </c>
      <c r="F1185" s="14">
        <v>1743.0</v>
      </c>
      <c r="G1185" s="14">
        <v>1750.0</v>
      </c>
      <c r="H1185" s="151"/>
      <c r="I1185" s="14" t="s">
        <v>17059</v>
      </c>
      <c r="J1185" s="14" t="s">
        <v>18847</v>
      </c>
      <c r="K1185" s="14" t="s">
        <v>35030</v>
      </c>
      <c r="L1185" s="152" t="s">
        <v>19545</v>
      </c>
      <c r="M1185" s="14" t="s">
        <v>35031</v>
      </c>
      <c r="N1185" s="54" t="s">
        <v>35032</v>
      </c>
      <c r="O1185" s="130" t="s">
        <v>18851</v>
      </c>
      <c r="P1185" s="153" t="s">
        <v>18852</v>
      </c>
      <c r="Q1185" s="14">
        <v>4376210.0</v>
      </c>
      <c r="R1185" s="95"/>
      <c r="S1185" s="154" t="s">
        <v>35033</v>
      </c>
      <c r="T1185" s="84"/>
      <c r="U1185" s="84"/>
      <c r="V1185" s="84"/>
      <c r="W1185" s="84"/>
      <c r="X1185" s="84"/>
      <c r="Y1185" s="84"/>
      <c r="Z1185" s="84"/>
      <c r="AA1185" s="84"/>
      <c r="AB1185" s="84"/>
      <c r="AC1185" s="84"/>
    </row>
    <row r="1186" ht="15.75" customHeight="1">
      <c r="A1186" s="14" t="s">
        <v>17</v>
      </c>
      <c r="B1186" s="14">
        <v>2007.0</v>
      </c>
      <c r="C1186" s="14" t="s">
        <v>19020</v>
      </c>
      <c r="D1186" s="14" t="s">
        <v>19021</v>
      </c>
      <c r="E1186" s="150" t="str">
        <f t="shared" si="14"/>
        <v>http://dx.doi.org/10.1109/TVCG.2007.70615</v>
      </c>
      <c r="F1186" s="14">
        <v>1384.0</v>
      </c>
      <c r="G1186" s="14">
        <v>1391.0</v>
      </c>
      <c r="H1186" s="151"/>
      <c r="I1186" s="14" t="s">
        <v>17059</v>
      </c>
      <c r="J1186" s="14" t="s">
        <v>19023</v>
      </c>
      <c r="K1186" s="14" t="s">
        <v>35035</v>
      </c>
      <c r="L1186" s="152" t="s">
        <v>19927</v>
      </c>
      <c r="M1186" s="14" t="s">
        <v>5349</v>
      </c>
      <c r="N1186" s="54" t="s">
        <v>35036</v>
      </c>
      <c r="O1186" s="130" t="s">
        <v>19027</v>
      </c>
      <c r="P1186" s="153" t="s">
        <v>19028</v>
      </c>
      <c r="Q1186" s="14">
        <v>4376165.0</v>
      </c>
      <c r="R1186" s="95"/>
      <c r="S1186" s="154" t="s">
        <v>35037</v>
      </c>
      <c r="T1186" s="84"/>
      <c r="U1186" s="84"/>
      <c r="V1186" s="84"/>
      <c r="W1186" s="84"/>
      <c r="X1186" s="84"/>
      <c r="Y1186" s="84"/>
      <c r="Z1186" s="84"/>
      <c r="AA1186" s="84"/>
      <c r="AB1186" s="84"/>
      <c r="AC1186" s="84"/>
    </row>
    <row r="1187" ht="15.75" customHeight="1">
      <c r="A1187" s="14" t="s">
        <v>17</v>
      </c>
      <c r="B1187" s="14">
        <v>2007.0</v>
      </c>
      <c r="C1187" s="14" t="s">
        <v>18853</v>
      </c>
      <c r="D1187" s="14" t="s">
        <v>18854</v>
      </c>
      <c r="E1187" s="150" t="str">
        <f t="shared" si="14"/>
        <v>http://dx.doi.org/10.1109/TVCG.2007.70581</v>
      </c>
      <c r="F1187" s="14">
        <v>1552.0</v>
      </c>
      <c r="G1187" s="14">
        <v>1559.0</v>
      </c>
      <c r="H1187" s="151"/>
      <c r="I1187" s="14" t="s">
        <v>17059</v>
      </c>
      <c r="J1187" s="14" t="s">
        <v>18856</v>
      </c>
      <c r="K1187" s="14" t="s">
        <v>35041</v>
      </c>
      <c r="L1187" s="152" t="s">
        <v>19550</v>
      </c>
      <c r="M1187" s="14" t="s">
        <v>35042</v>
      </c>
      <c r="N1187" s="54" t="s">
        <v>35041</v>
      </c>
      <c r="O1187" s="130"/>
      <c r="P1187" s="153" t="s">
        <v>18860</v>
      </c>
      <c r="Q1187" s="14">
        <v>4376186.0</v>
      </c>
      <c r="R1187" s="95"/>
      <c r="S1187" s="154"/>
      <c r="T1187" s="84"/>
      <c r="U1187" s="84"/>
      <c r="V1187" s="84"/>
      <c r="W1187" s="84"/>
      <c r="X1187" s="84"/>
      <c r="Y1187" s="84"/>
      <c r="Z1187" s="84"/>
      <c r="AA1187" s="84"/>
      <c r="AB1187" s="84"/>
      <c r="AC1187" s="84"/>
    </row>
    <row r="1188" ht="15.75" customHeight="1">
      <c r="A1188" s="14" t="s">
        <v>17</v>
      </c>
      <c r="B1188" s="14">
        <v>2007.0</v>
      </c>
      <c r="C1188" s="14" t="s">
        <v>18861</v>
      </c>
      <c r="D1188" s="14" t="s">
        <v>18862</v>
      </c>
      <c r="E1188" s="150" t="str">
        <f t="shared" si="14"/>
        <v>http://dx.doi.org/10.1109/TVCG.2007.70584</v>
      </c>
      <c r="F1188" s="14">
        <v>1560.0</v>
      </c>
      <c r="G1188" s="14">
        <v>1567.0</v>
      </c>
      <c r="H1188" s="151"/>
      <c r="I1188" s="14" t="s">
        <v>17059</v>
      </c>
      <c r="J1188" s="14" t="s">
        <v>18863</v>
      </c>
      <c r="K1188" s="14" t="s">
        <v>35044</v>
      </c>
      <c r="L1188" s="152" t="s">
        <v>19557</v>
      </c>
      <c r="M1188" s="14" t="s">
        <v>35045</v>
      </c>
      <c r="N1188" s="54" t="s">
        <v>35044</v>
      </c>
      <c r="O1188" s="130" t="s">
        <v>18867</v>
      </c>
      <c r="P1188" s="153" t="s">
        <v>18868</v>
      </c>
      <c r="Q1188" s="14">
        <v>4376187.0</v>
      </c>
      <c r="R1188" s="95"/>
      <c r="S1188" s="154" t="s">
        <v>35046</v>
      </c>
      <c r="T1188" s="84"/>
      <c r="U1188" s="84"/>
      <c r="V1188" s="84"/>
      <c r="W1188" s="84"/>
      <c r="X1188" s="84"/>
      <c r="Y1188" s="84"/>
      <c r="Z1188" s="84"/>
      <c r="AA1188" s="84"/>
      <c r="AB1188" s="84"/>
      <c r="AC1188" s="84"/>
    </row>
    <row r="1189" ht="15.75" customHeight="1">
      <c r="A1189" s="14" t="s">
        <v>17</v>
      </c>
      <c r="B1189" s="14">
        <v>2007.0</v>
      </c>
      <c r="C1189" s="14" t="s">
        <v>18871</v>
      </c>
      <c r="D1189" s="14" t="s">
        <v>18872</v>
      </c>
      <c r="E1189" s="150" t="str">
        <f t="shared" si="14"/>
        <v>http://dx.doi.org/10.1109/TVCG.2007.70585</v>
      </c>
      <c r="F1189" s="14">
        <v>1536.0</v>
      </c>
      <c r="G1189" s="14">
        <v>1543.0</v>
      </c>
      <c r="H1189" s="151"/>
      <c r="I1189" s="14" t="s">
        <v>17059</v>
      </c>
      <c r="J1189" s="14" t="s">
        <v>18873</v>
      </c>
      <c r="K1189" s="14" t="s">
        <v>35049</v>
      </c>
      <c r="L1189" s="152" t="s">
        <v>19559</v>
      </c>
      <c r="M1189" s="14" t="s">
        <v>35050</v>
      </c>
      <c r="N1189" s="54" t="s">
        <v>35049</v>
      </c>
      <c r="O1189" s="130" t="s">
        <v>18875</v>
      </c>
      <c r="P1189" s="153" t="s">
        <v>18876</v>
      </c>
      <c r="Q1189" s="14">
        <v>4376184.0</v>
      </c>
      <c r="R1189" s="95"/>
      <c r="S1189" s="154" t="s">
        <v>35051</v>
      </c>
      <c r="T1189" s="84"/>
      <c r="U1189" s="84"/>
      <c r="V1189" s="84"/>
      <c r="W1189" s="84"/>
      <c r="X1189" s="84"/>
      <c r="Y1189" s="84"/>
      <c r="Z1189" s="84"/>
      <c r="AA1189" s="84"/>
      <c r="AB1189" s="84"/>
      <c r="AC1189" s="84"/>
    </row>
    <row r="1190" ht="15.75" customHeight="1">
      <c r="A1190" s="14" t="s">
        <v>17</v>
      </c>
      <c r="B1190" s="14">
        <v>2007.0</v>
      </c>
      <c r="C1190" s="14" t="s">
        <v>18877</v>
      </c>
      <c r="D1190" s="14" t="s">
        <v>18878</v>
      </c>
      <c r="E1190" s="150" t="str">
        <f t="shared" si="14"/>
        <v>http://dx.doi.org/10.1109/TVCG.2007.70586</v>
      </c>
      <c r="F1190" s="14">
        <v>1368.0</v>
      </c>
      <c r="G1190" s="14">
        <v>1375.0</v>
      </c>
      <c r="H1190" s="151"/>
      <c r="I1190" s="14" t="s">
        <v>17059</v>
      </c>
      <c r="J1190" s="14" t="s">
        <v>18880</v>
      </c>
      <c r="K1190" s="14" t="s">
        <v>35052</v>
      </c>
      <c r="L1190" s="152" t="s">
        <v>19561</v>
      </c>
      <c r="M1190" s="14" t="s">
        <v>35053</v>
      </c>
      <c r="N1190" s="54" t="s">
        <v>35052</v>
      </c>
      <c r="O1190" s="130" t="s">
        <v>18884</v>
      </c>
      <c r="P1190" s="153" t="s">
        <v>18886</v>
      </c>
      <c r="Q1190" s="14">
        <v>4376163.0</v>
      </c>
      <c r="R1190" s="95"/>
      <c r="S1190" s="154" t="s">
        <v>35054</v>
      </c>
      <c r="T1190" s="84"/>
      <c r="U1190" s="84"/>
      <c r="V1190" s="84"/>
      <c r="W1190" s="84"/>
      <c r="X1190" s="84"/>
      <c r="Y1190" s="84"/>
      <c r="Z1190" s="84"/>
      <c r="AA1190" s="84"/>
      <c r="AB1190" s="84"/>
      <c r="AC1190" s="84"/>
    </row>
    <row r="1191" ht="15.75" customHeight="1">
      <c r="A1191" s="14" t="s">
        <v>17</v>
      </c>
      <c r="B1191" s="14">
        <v>2007.0</v>
      </c>
      <c r="C1191" s="14" t="s">
        <v>18892</v>
      </c>
      <c r="D1191" s="14" t="s">
        <v>18893</v>
      </c>
      <c r="E1191" s="150" t="str">
        <f t="shared" si="14"/>
        <v>http://dx.doi.org/10.1109/TVCG.2007.70588</v>
      </c>
      <c r="F1191" s="14">
        <v>1592.0</v>
      </c>
      <c r="G1191" s="14">
        <v>1599.0</v>
      </c>
      <c r="H1191" s="151"/>
      <c r="I1191" s="14" t="s">
        <v>17059</v>
      </c>
      <c r="J1191" s="14" t="s">
        <v>18897</v>
      </c>
      <c r="K1191" s="14" t="s">
        <v>35056</v>
      </c>
      <c r="L1191" s="152" t="s">
        <v>19571</v>
      </c>
      <c r="M1191" s="14" t="s">
        <v>35057</v>
      </c>
      <c r="N1191" s="54" t="s">
        <v>35056</v>
      </c>
      <c r="O1191" s="130" t="s">
        <v>18900</v>
      </c>
      <c r="P1191" s="153" t="s">
        <v>18901</v>
      </c>
      <c r="Q1191" s="14">
        <v>4376191.0</v>
      </c>
      <c r="R1191" s="95"/>
      <c r="S1191" s="154" t="s">
        <v>35058</v>
      </c>
      <c r="T1191" s="84"/>
      <c r="U1191" s="84"/>
      <c r="V1191" s="84"/>
      <c r="W1191" s="84"/>
      <c r="X1191" s="84"/>
      <c r="Y1191" s="84"/>
      <c r="Z1191" s="84"/>
      <c r="AA1191" s="84"/>
      <c r="AB1191" s="84"/>
      <c r="AC1191" s="84"/>
    </row>
    <row r="1192" ht="15.75" customHeight="1">
      <c r="A1192" s="14" t="s">
        <v>17</v>
      </c>
      <c r="B1192" s="14">
        <v>2007.0</v>
      </c>
      <c r="C1192" s="14" t="s">
        <v>18902</v>
      </c>
      <c r="D1192" s="14" t="s">
        <v>18903</v>
      </c>
      <c r="E1192" s="150" t="str">
        <f t="shared" si="14"/>
        <v>http://dx.doi.org/10.1109/TVCG.2007.70590</v>
      </c>
      <c r="F1192" s="14">
        <v>1719.0</v>
      </c>
      <c r="G1192" s="14">
        <v>1726.0</v>
      </c>
      <c r="H1192" s="151"/>
      <c r="I1192" s="14" t="s">
        <v>17059</v>
      </c>
      <c r="J1192" s="14" t="s">
        <v>18904</v>
      </c>
      <c r="K1192" s="14" t="s">
        <v>35059</v>
      </c>
      <c r="L1192" s="152" t="s">
        <v>19596</v>
      </c>
      <c r="M1192" s="14" t="s">
        <v>35060</v>
      </c>
      <c r="N1192" s="54" t="s">
        <v>35059</v>
      </c>
      <c r="O1192" s="130" t="s">
        <v>18907</v>
      </c>
      <c r="P1192" s="153" t="s">
        <v>18908</v>
      </c>
      <c r="Q1192" s="14">
        <v>4376207.0</v>
      </c>
      <c r="R1192" s="95"/>
      <c r="S1192" s="154" t="s">
        <v>35061</v>
      </c>
      <c r="T1192" s="84"/>
      <c r="U1192" s="84"/>
      <c r="V1192" s="84"/>
      <c r="W1192" s="84"/>
      <c r="X1192" s="84"/>
      <c r="Y1192" s="84"/>
      <c r="Z1192" s="84"/>
      <c r="AA1192" s="84"/>
      <c r="AB1192" s="84"/>
      <c r="AC1192" s="84"/>
    </row>
    <row r="1193" ht="15.75" customHeight="1">
      <c r="A1193" s="14" t="s">
        <v>17</v>
      </c>
      <c r="B1193" s="14">
        <v>2007.0</v>
      </c>
      <c r="C1193" s="14" t="s">
        <v>18910</v>
      </c>
      <c r="D1193" s="14" t="s">
        <v>18911</v>
      </c>
      <c r="E1193" s="150" t="str">
        <f t="shared" si="14"/>
        <v>http://dx.doi.org/10.1109/TVCG.2007.70591</v>
      </c>
      <c r="F1193" s="14">
        <v>1336.0</v>
      </c>
      <c r="G1193" s="14">
        <v>1343.0</v>
      </c>
      <c r="H1193" s="151"/>
      <c r="I1193" s="14" t="s">
        <v>17059</v>
      </c>
      <c r="J1193" s="14" t="s">
        <v>18913</v>
      </c>
      <c r="K1193" s="14" t="s">
        <v>35062</v>
      </c>
      <c r="L1193" s="152" t="s">
        <v>19612</v>
      </c>
      <c r="M1193" s="14" t="s">
        <v>35063</v>
      </c>
      <c r="N1193" s="54" t="s">
        <v>35062</v>
      </c>
      <c r="O1193" s="130" t="s">
        <v>18916</v>
      </c>
      <c r="P1193" s="153" t="s">
        <v>17186</v>
      </c>
      <c r="Q1193" s="14">
        <v>4376159.0</v>
      </c>
      <c r="R1193" s="95"/>
      <c r="S1193" s="154" t="s">
        <v>35064</v>
      </c>
      <c r="T1193" s="84"/>
      <c r="U1193" s="84"/>
      <c r="V1193" s="84"/>
      <c r="W1193" s="84"/>
      <c r="X1193" s="84"/>
      <c r="Y1193" s="84"/>
      <c r="Z1193" s="84"/>
      <c r="AA1193" s="84"/>
      <c r="AB1193" s="84"/>
      <c r="AC1193" s="84"/>
    </row>
    <row r="1194" ht="15.75" customHeight="1">
      <c r="A1194" s="14" t="s">
        <v>17</v>
      </c>
      <c r="B1194" s="14">
        <v>2007.0</v>
      </c>
      <c r="C1194" s="14" t="s">
        <v>18917</v>
      </c>
      <c r="D1194" s="14" t="s">
        <v>18918</v>
      </c>
      <c r="E1194" s="150" t="str">
        <f t="shared" si="14"/>
        <v>http://dx.doi.org/10.1109/TVCG.2007.70593</v>
      </c>
      <c r="F1194" s="14">
        <v>1688.0</v>
      </c>
      <c r="G1194" s="14">
        <v>1695.0</v>
      </c>
      <c r="H1194" s="151"/>
      <c r="I1194" s="14" t="s">
        <v>17059</v>
      </c>
      <c r="J1194" s="14" t="s">
        <v>18919</v>
      </c>
      <c r="K1194" s="14" t="s">
        <v>35067</v>
      </c>
      <c r="L1194" s="152" t="s">
        <v>19641</v>
      </c>
      <c r="M1194" s="14" t="s">
        <v>35068</v>
      </c>
      <c r="N1194" s="54" t="s">
        <v>35067</v>
      </c>
      <c r="O1194" s="130" t="s">
        <v>18924</v>
      </c>
      <c r="P1194" s="153" t="s">
        <v>18925</v>
      </c>
      <c r="Q1194" s="14">
        <v>4376203.0</v>
      </c>
      <c r="R1194" s="95"/>
      <c r="S1194" s="154" t="s">
        <v>35069</v>
      </c>
      <c r="T1194" s="84"/>
      <c r="U1194" s="84"/>
      <c r="V1194" s="84"/>
      <c r="W1194" s="84"/>
      <c r="X1194" s="84"/>
      <c r="Y1194" s="84"/>
      <c r="Z1194" s="84"/>
      <c r="AA1194" s="84"/>
      <c r="AB1194" s="84"/>
      <c r="AC1194" s="84"/>
    </row>
    <row r="1195" ht="15.75" customHeight="1">
      <c r="A1195" s="14" t="s">
        <v>17</v>
      </c>
      <c r="B1195" s="14">
        <v>2007.0</v>
      </c>
      <c r="C1195" s="14" t="s">
        <v>18927</v>
      </c>
      <c r="D1195" s="14" t="s">
        <v>18928</v>
      </c>
      <c r="E1195" s="150" t="str">
        <f t="shared" si="14"/>
        <v>http://dx.doi.org/10.1109/TVCG.2007.70595</v>
      </c>
      <c r="F1195" s="14">
        <v>1448.0</v>
      </c>
      <c r="G1195" s="14">
        <v>1455.0</v>
      </c>
      <c r="H1195" s="151"/>
      <c r="I1195" s="14" t="s">
        <v>17059</v>
      </c>
      <c r="J1195" s="14" t="s">
        <v>18929</v>
      </c>
      <c r="K1195" s="14" t="s">
        <v>35070</v>
      </c>
      <c r="L1195" s="152" t="s">
        <v>19679</v>
      </c>
      <c r="M1195" s="14" t="s">
        <v>35071</v>
      </c>
      <c r="N1195" s="54" t="s">
        <v>35070</v>
      </c>
      <c r="O1195" s="130" t="s">
        <v>18933</v>
      </c>
      <c r="P1195" s="153" t="s">
        <v>18934</v>
      </c>
      <c r="Q1195" s="14">
        <v>4376173.0</v>
      </c>
      <c r="R1195" s="95"/>
      <c r="S1195" s="154" t="s">
        <v>35072</v>
      </c>
      <c r="T1195" s="84"/>
      <c r="U1195" s="84"/>
      <c r="V1195" s="84"/>
      <c r="W1195" s="84"/>
      <c r="X1195" s="84"/>
      <c r="Y1195" s="84"/>
      <c r="Z1195" s="84"/>
      <c r="AA1195" s="84"/>
      <c r="AB1195" s="84"/>
      <c r="AC1195" s="84"/>
    </row>
    <row r="1196" ht="15.75" customHeight="1">
      <c r="A1196" s="14" t="s">
        <v>17</v>
      </c>
      <c r="B1196" s="14">
        <v>2007.0</v>
      </c>
      <c r="C1196" s="14" t="s">
        <v>18935</v>
      </c>
      <c r="D1196" s="14" t="s">
        <v>18936</v>
      </c>
      <c r="E1196" s="150" t="str">
        <f t="shared" si="14"/>
        <v>http://dx.doi.org/10.1109/TVCG.2007.70597</v>
      </c>
      <c r="F1196" s="14">
        <v>1504.0</v>
      </c>
      <c r="G1196" s="14">
        <v>1511.0</v>
      </c>
      <c r="H1196" s="151"/>
      <c r="I1196" s="14" t="s">
        <v>17059</v>
      </c>
      <c r="J1196" s="14" t="s">
        <v>18937</v>
      </c>
      <c r="K1196" s="14" t="s">
        <v>35075</v>
      </c>
      <c r="L1196" s="152" t="s">
        <v>19708</v>
      </c>
      <c r="M1196" s="14" t="s">
        <v>35076</v>
      </c>
      <c r="N1196" s="54" t="s">
        <v>35075</v>
      </c>
      <c r="O1196" s="130" t="s">
        <v>18941</v>
      </c>
      <c r="P1196" s="153" t="s">
        <v>18943</v>
      </c>
      <c r="Q1196" s="14">
        <v>4376180.0</v>
      </c>
      <c r="R1196" s="95"/>
      <c r="S1196" s="154" t="s">
        <v>35077</v>
      </c>
      <c r="T1196" s="84"/>
      <c r="U1196" s="84"/>
      <c r="V1196" s="84"/>
      <c r="W1196" s="84"/>
      <c r="X1196" s="84"/>
      <c r="Y1196" s="84"/>
      <c r="Z1196" s="84"/>
      <c r="AA1196" s="84"/>
      <c r="AB1196" s="84"/>
      <c r="AC1196" s="84"/>
    </row>
    <row r="1197" ht="15.75" customHeight="1">
      <c r="A1197" s="14" t="s">
        <v>17</v>
      </c>
      <c r="B1197" s="14">
        <v>2007.0</v>
      </c>
      <c r="C1197" s="14" t="s">
        <v>18945</v>
      </c>
      <c r="D1197" s="14" t="s">
        <v>18946</v>
      </c>
      <c r="E1197" s="150" t="str">
        <f t="shared" si="14"/>
        <v>http://dx.doi.org/10.1109/TVCG.2007.70598</v>
      </c>
      <c r="F1197" s="14">
        <v>1520.0</v>
      </c>
      <c r="G1197" s="14">
        <v>1527.0</v>
      </c>
      <c r="H1197" s="151"/>
      <c r="I1197" s="14" t="s">
        <v>17059</v>
      </c>
      <c r="J1197" s="14" t="s">
        <v>18947</v>
      </c>
      <c r="K1197" s="14" t="s">
        <v>35078</v>
      </c>
      <c r="L1197" s="152" t="s">
        <v>19731</v>
      </c>
      <c r="M1197" s="14" t="s">
        <v>35079</v>
      </c>
      <c r="N1197" s="54" t="s">
        <v>35078</v>
      </c>
      <c r="O1197" s="130" t="s">
        <v>18950</v>
      </c>
      <c r="P1197" s="153" t="s">
        <v>18951</v>
      </c>
      <c r="Q1197" s="14">
        <v>4376182.0</v>
      </c>
      <c r="R1197" s="95"/>
      <c r="S1197" s="154" t="s">
        <v>35080</v>
      </c>
      <c r="T1197" s="84"/>
      <c r="U1197" s="84"/>
      <c r="V1197" s="84"/>
      <c r="W1197" s="84"/>
      <c r="X1197" s="84"/>
      <c r="Y1197" s="84"/>
      <c r="Z1197" s="84"/>
      <c r="AA1197" s="84"/>
      <c r="AB1197" s="84"/>
      <c r="AC1197" s="84"/>
    </row>
    <row r="1198" ht="15.75" customHeight="1">
      <c r="A1198" s="14" t="s">
        <v>17</v>
      </c>
      <c r="B1198" s="14">
        <v>2007.0</v>
      </c>
      <c r="C1198" s="14" t="s">
        <v>18952</v>
      </c>
      <c r="D1198" s="14" t="s">
        <v>18953</v>
      </c>
      <c r="E1198" s="150" t="str">
        <f t="shared" si="14"/>
        <v>http://dx.doi.org/10.1109/TVCG.2007.70599</v>
      </c>
      <c r="F1198" s="14">
        <v>1472.0</v>
      </c>
      <c r="G1198" s="14">
        <v>1479.0</v>
      </c>
      <c r="H1198" s="151"/>
      <c r="I1198" s="14" t="s">
        <v>17059</v>
      </c>
      <c r="J1198" s="14" t="s">
        <v>18955</v>
      </c>
      <c r="K1198" s="14" t="s">
        <v>35081</v>
      </c>
      <c r="L1198" s="152" t="s">
        <v>19752</v>
      </c>
      <c r="M1198" s="14" t="s">
        <v>35082</v>
      </c>
      <c r="N1198" s="54" t="s">
        <v>35081</v>
      </c>
      <c r="O1198" s="130" t="s">
        <v>18959</v>
      </c>
      <c r="P1198" s="153" t="s">
        <v>18960</v>
      </c>
      <c r="Q1198" s="14">
        <v>4376176.0</v>
      </c>
      <c r="R1198" s="95"/>
      <c r="S1198" s="154" t="s">
        <v>35083</v>
      </c>
      <c r="T1198" s="84"/>
      <c r="U1198" s="84"/>
      <c r="V1198" s="84"/>
      <c r="W1198" s="84"/>
      <c r="X1198" s="84"/>
      <c r="Y1198" s="84"/>
      <c r="Z1198" s="84"/>
      <c r="AA1198" s="84"/>
      <c r="AB1198" s="84"/>
      <c r="AC1198" s="84"/>
    </row>
    <row r="1199" ht="15.75" customHeight="1">
      <c r="A1199" s="14" t="s">
        <v>17</v>
      </c>
      <c r="B1199" s="14">
        <v>2007.0</v>
      </c>
      <c r="C1199" s="54" t="s">
        <v>18887</v>
      </c>
      <c r="D1199" s="14" t="s">
        <v>18888</v>
      </c>
      <c r="E1199" s="150" t="str">
        <f t="shared" si="14"/>
        <v>http://dx.doi.org/10.1109/TVCG.2007.70587</v>
      </c>
      <c r="F1199" s="14">
        <v>1352.0</v>
      </c>
      <c r="G1199" s="14">
        <v>1359.0</v>
      </c>
      <c r="H1199" s="151"/>
      <c r="I1199" s="14" t="s">
        <v>17059</v>
      </c>
      <c r="J1199" s="14" t="s">
        <v>18889</v>
      </c>
      <c r="K1199" s="14" t="s">
        <v>35085</v>
      </c>
      <c r="L1199" s="152" t="s">
        <v>19564</v>
      </c>
      <c r="M1199" s="14" t="s">
        <v>178</v>
      </c>
      <c r="N1199" s="54" t="s">
        <v>35085</v>
      </c>
      <c r="O1199" s="130" t="s">
        <v>16370</v>
      </c>
      <c r="P1199" s="153" t="s">
        <v>18886</v>
      </c>
      <c r="Q1199" s="14">
        <v>4376161.0</v>
      </c>
      <c r="R1199" s="95"/>
      <c r="S1199" s="154">
        <v>1532786.0</v>
      </c>
      <c r="T1199" s="84"/>
      <c r="U1199" s="84"/>
      <c r="V1199" s="84"/>
      <c r="W1199" s="84"/>
      <c r="X1199" s="84"/>
      <c r="Y1199" s="84"/>
      <c r="Z1199" s="84"/>
      <c r="AA1199" s="84"/>
      <c r="AB1199" s="84"/>
      <c r="AC1199" s="84"/>
    </row>
    <row r="1200" ht="15.75" customHeight="1">
      <c r="A1200" s="14" t="s">
        <v>17</v>
      </c>
      <c r="B1200" s="14">
        <v>2007.0</v>
      </c>
      <c r="C1200" s="14" t="s">
        <v>18962</v>
      </c>
      <c r="D1200" s="14" t="s">
        <v>18963</v>
      </c>
      <c r="E1200" s="150" t="str">
        <f t="shared" si="14"/>
        <v>http://dx.doi.org/10.1109/TVCG.2007.70600</v>
      </c>
      <c r="F1200" s="14">
        <v>1376.0</v>
      </c>
      <c r="G1200" s="14">
        <v>1383.0</v>
      </c>
      <c r="H1200" s="151"/>
      <c r="I1200" s="14" t="s">
        <v>17059</v>
      </c>
      <c r="J1200" s="14" t="s">
        <v>18964</v>
      </c>
      <c r="K1200" s="14" t="s">
        <v>35086</v>
      </c>
      <c r="L1200" s="152" t="s">
        <v>19771</v>
      </c>
      <c r="M1200" s="14" t="s">
        <v>35087</v>
      </c>
      <c r="N1200" s="54" t="s">
        <v>35086</v>
      </c>
      <c r="O1200" s="130" t="s">
        <v>18968</v>
      </c>
      <c r="P1200" s="153" t="s">
        <v>18969</v>
      </c>
      <c r="Q1200" s="14">
        <v>4376164.0</v>
      </c>
      <c r="R1200" s="95"/>
      <c r="S1200" s="154" t="s">
        <v>35089</v>
      </c>
      <c r="T1200" s="84"/>
      <c r="U1200" s="84"/>
      <c r="V1200" s="84"/>
      <c r="W1200" s="84"/>
      <c r="X1200" s="84"/>
      <c r="Y1200" s="84"/>
      <c r="Z1200" s="84"/>
      <c r="AA1200" s="84"/>
      <c r="AB1200" s="84"/>
      <c r="AC1200" s="84"/>
    </row>
    <row r="1201" ht="15.75" customHeight="1">
      <c r="A1201" s="14" t="s">
        <v>17</v>
      </c>
      <c r="B1201" s="14">
        <v>2007.0</v>
      </c>
      <c r="C1201" s="14" t="s">
        <v>18971</v>
      </c>
      <c r="D1201" s="14" t="s">
        <v>18973</v>
      </c>
      <c r="E1201" s="150" t="str">
        <f t="shared" si="14"/>
        <v>http://dx.doi.org/10.1109/TVCG.2007.70601</v>
      </c>
      <c r="F1201" s="14">
        <v>1416.0</v>
      </c>
      <c r="G1201" s="14">
        <v>1423.0</v>
      </c>
      <c r="H1201" s="151"/>
      <c r="I1201" s="14" t="s">
        <v>17059</v>
      </c>
      <c r="J1201" s="14" t="s">
        <v>18976</v>
      </c>
      <c r="K1201" s="14" t="s">
        <v>35093</v>
      </c>
      <c r="L1201" s="152" t="s">
        <v>19796</v>
      </c>
      <c r="M1201" s="14" t="s">
        <v>35094</v>
      </c>
      <c r="N1201" s="54" t="s">
        <v>35093</v>
      </c>
      <c r="O1201" s="130" t="s">
        <v>18980</v>
      </c>
      <c r="P1201" s="153" t="s">
        <v>18981</v>
      </c>
      <c r="Q1201" s="14">
        <v>4376169.0</v>
      </c>
      <c r="R1201" s="95"/>
      <c r="S1201" s="154" t="s">
        <v>35095</v>
      </c>
      <c r="T1201" s="84"/>
      <c r="U1201" s="84"/>
      <c r="V1201" s="84"/>
      <c r="W1201" s="84"/>
      <c r="X1201" s="84"/>
      <c r="Y1201" s="84"/>
      <c r="Z1201" s="84"/>
      <c r="AA1201" s="84"/>
      <c r="AB1201" s="84"/>
      <c r="AC1201" s="84"/>
    </row>
    <row r="1202" ht="15.75" customHeight="1">
      <c r="A1202" s="14" t="s">
        <v>17</v>
      </c>
      <c r="B1202" s="14">
        <v>2007.0</v>
      </c>
      <c r="C1202" s="14" t="s">
        <v>18982</v>
      </c>
      <c r="D1202" s="14" t="s">
        <v>18983</v>
      </c>
      <c r="E1202" s="150" t="str">
        <f t="shared" si="14"/>
        <v>http://dx.doi.org/10.1109/TVCG.2007.70602</v>
      </c>
      <c r="F1202" s="14">
        <v>1496.0</v>
      </c>
      <c r="G1202" s="14">
        <v>1503.0</v>
      </c>
      <c r="H1202" s="151"/>
      <c r="I1202" s="14" t="s">
        <v>17059</v>
      </c>
      <c r="J1202" s="14" t="s">
        <v>18984</v>
      </c>
      <c r="K1202" s="14" t="s">
        <v>35097</v>
      </c>
      <c r="L1202" s="152" t="s">
        <v>19817</v>
      </c>
      <c r="M1202" s="14" t="s">
        <v>35098</v>
      </c>
      <c r="N1202" s="54" t="s">
        <v>35097</v>
      </c>
      <c r="O1202" s="130" t="s">
        <v>18987</v>
      </c>
      <c r="P1202" s="153" t="s">
        <v>18988</v>
      </c>
      <c r="Q1202" s="14">
        <v>4376179.0</v>
      </c>
      <c r="R1202" s="95"/>
      <c r="S1202" s="154" t="s">
        <v>35099</v>
      </c>
      <c r="T1202" s="84"/>
      <c r="U1202" s="84"/>
      <c r="V1202" s="84"/>
      <c r="W1202" s="84"/>
      <c r="X1202" s="84"/>
      <c r="Y1202" s="84"/>
      <c r="Z1202" s="84"/>
      <c r="AA1202" s="84"/>
      <c r="AB1202" s="84"/>
      <c r="AC1202" s="84"/>
    </row>
    <row r="1203" ht="15.75" customHeight="1">
      <c r="A1203" s="14" t="s">
        <v>17</v>
      </c>
      <c r="B1203" s="14">
        <v>2007.0</v>
      </c>
      <c r="C1203" s="14" t="s">
        <v>18989</v>
      </c>
      <c r="D1203" s="14" t="s">
        <v>18990</v>
      </c>
      <c r="E1203" s="150" t="str">
        <f t="shared" si="14"/>
        <v>http://dx.doi.org/10.1109/TVCG.2007.70603</v>
      </c>
      <c r="F1203" s="14">
        <v>1432.0</v>
      </c>
      <c r="G1203" s="14">
        <v>1439.0</v>
      </c>
      <c r="H1203" s="151"/>
      <c r="I1203" s="14" t="s">
        <v>17059</v>
      </c>
      <c r="J1203" s="14" t="s">
        <v>18991</v>
      </c>
      <c r="K1203" s="14" t="s">
        <v>35101</v>
      </c>
      <c r="L1203" s="152" t="s">
        <v>19840</v>
      </c>
      <c r="M1203" s="14" t="s">
        <v>35102</v>
      </c>
      <c r="N1203" s="54" t="s">
        <v>35103</v>
      </c>
      <c r="O1203" s="130" t="s">
        <v>18995</v>
      </c>
      <c r="P1203" s="153" t="s">
        <v>18996</v>
      </c>
      <c r="Q1203" s="14">
        <v>4376171.0</v>
      </c>
      <c r="R1203" s="95"/>
      <c r="S1203" s="154" t="s">
        <v>35105</v>
      </c>
      <c r="T1203" s="84"/>
      <c r="U1203" s="84"/>
      <c r="V1203" s="84"/>
      <c r="W1203" s="84"/>
      <c r="X1203" s="84"/>
      <c r="Y1203" s="84"/>
      <c r="Z1203" s="84"/>
      <c r="AA1203" s="84"/>
      <c r="AB1203" s="84"/>
      <c r="AC1203" s="84"/>
    </row>
    <row r="1204" ht="15.75" customHeight="1">
      <c r="A1204" s="14" t="s">
        <v>17</v>
      </c>
      <c r="B1204" s="14">
        <v>2007.0</v>
      </c>
      <c r="C1204" s="14" t="s">
        <v>18997</v>
      </c>
      <c r="D1204" s="14" t="s">
        <v>18998</v>
      </c>
      <c r="E1204" s="150" t="str">
        <f t="shared" si="14"/>
        <v>http://dx.doi.org/10.1109/TVCG.2007.70604</v>
      </c>
      <c r="F1204" s="14">
        <v>1704.0</v>
      </c>
      <c r="G1204" s="14">
        <v>1711.0</v>
      </c>
      <c r="H1204" s="151"/>
      <c r="I1204" s="14" t="s">
        <v>17059</v>
      </c>
      <c r="J1204" s="14" t="s">
        <v>18999</v>
      </c>
      <c r="K1204" s="14" t="s">
        <v>35106</v>
      </c>
      <c r="L1204" s="152" t="s">
        <v>19864</v>
      </c>
      <c r="M1204" s="14" t="s">
        <v>35107</v>
      </c>
      <c r="N1204" s="54" t="s">
        <v>35108</v>
      </c>
      <c r="O1204" s="130" t="s">
        <v>19003</v>
      </c>
      <c r="P1204" s="153" t="s">
        <v>19004</v>
      </c>
      <c r="Q1204" s="14">
        <v>4376205.0</v>
      </c>
      <c r="R1204" s="95"/>
      <c r="S1204" s="154" t="s">
        <v>35109</v>
      </c>
      <c r="T1204" s="84"/>
      <c r="U1204" s="84"/>
      <c r="V1204" s="84"/>
      <c r="W1204" s="84"/>
      <c r="X1204" s="84"/>
      <c r="Y1204" s="84"/>
      <c r="Z1204" s="84"/>
      <c r="AA1204" s="84"/>
      <c r="AB1204" s="84"/>
      <c r="AC1204" s="84"/>
    </row>
    <row r="1205" ht="15.75" customHeight="1">
      <c r="A1205" s="14" t="s">
        <v>17</v>
      </c>
      <c r="B1205" s="14">
        <v>2007.0</v>
      </c>
      <c r="C1205" s="14" t="s">
        <v>18585</v>
      </c>
      <c r="D1205" s="14" t="s">
        <v>18586</v>
      </c>
      <c r="E1205" s="150" t="str">
        <f t="shared" si="14"/>
        <v>http://dx.doi.org/10.1109/TVCG.2007.70516</v>
      </c>
      <c r="F1205" s="14">
        <v>1600.0</v>
      </c>
      <c r="G1205" s="14">
        <v>1607.0</v>
      </c>
      <c r="H1205" s="151"/>
      <c r="I1205" s="14" t="s">
        <v>17059</v>
      </c>
      <c r="J1205" s="14" t="s">
        <v>18590</v>
      </c>
      <c r="K1205" s="14" t="s">
        <v>30837</v>
      </c>
      <c r="L1205" s="152" t="s">
        <v>18869</v>
      </c>
      <c r="M1205" s="14" t="s">
        <v>178</v>
      </c>
      <c r="N1205" s="54" t="s">
        <v>30837</v>
      </c>
      <c r="O1205" s="130" t="s">
        <v>18593</v>
      </c>
      <c r="P1205" s="153" t="s">
        <v>18594</v>
      </c>
      <c r="Q1205" s="14">
        <v>4376192.0</v>
      </c>
      <c r="R1205" s="95"/>
      <c r="S1205" s="154" t="s">
        <v>35111</v>
      </c>
      <c r="T1205" s="84"/>
      <c r="U1205" s="84"/>
      <c r="V1205" s="84"/>
      <c r="W1205" s="84"/>
      <c r="X1205" s="84"/>
      <c r="Y1205" s="84"/>
      <c r="Z1205" s="84"/>
      <c r="AA1205" s="84"/>
      <c r="AB1205" s="84"/>
      <c r="AC1205" s="84"/>
    </row>
    <row r="1206" ht="15.75" customHeight="1">
      <c r="A1206" s="14" t="s">
        <v>17</v>
      </c>
      <c r="B1206" s="14">
        <v>2007.0</v>
      </c>
      <c r="C1206" s="14" t="s">
        <v>18595</v>
      </c>
      <c r="D1206" s="14" t="s">
        <v>18596</v>
      </c>
      <c r="E1206" s="150" t="str">
        <f t="shared" si="14"/>
        <v>http://dx.doi.org/10.1109/TVCG.2007.70517</v>
      </c>
      <c r="F1206" s="14">
        <v>1616.0</v>
      </c>
      <c r="G1206" s="14">
        <v>1623.0</v>
      </c>
      <c r="H1206" s="151"/>
      <c r="I1206" s="14" t="s">
        <v>17059</v>
      </c>
      <c r="J1206" s="14" t="s">
        <v>18597</v>
      </c>
      <c r="K1206" s="14" t="s">
        <v>35112</v>
      </c>
      <c r="L1206" s="152" t="s">
        <v>18879</v>
      </c>
      <c r="M1206" s="14" t="s">
        <v>5349</v>
      </c>
      <c r="N1206" s="54" t="s">
        <v>35112</v>
      </c>
      <c r="O1206" s="130" t="s">
        <v>18600</v>
      </c>
      <c r="P1206" s="153" t="s">
        <v>18601</v>
      </c>
      <c r="Q1206" s="14">
        <v>4376194.0</v>
      </c>
      <c r="R1206" s="95"/>
      <c r="S1206" s="154" t="s">
        <v>35113</v>
      </c>
      <c r="T1206" s="84"/>
      <c r="U1206" s="84"/>
      <c r="V1206" s="84"/>
      <c r="W1206" s="84"/>
      <c r="X1206" s="84"/>
      <c r="Y1206" s="84"/>
      <c r="Z1206" s="84"/>
      <c r="AA1206" s="84"/>
      <c r="AB1206" s="84"/>
      <c r="AC1206" s="84"/>
    </row>
    <row r="1207" ht="15.75" customHeight="1">
      <c r="A1207" s="14" t="s">
        <v>17</v>
      </c>
      <c r="B1207" s="14">
        <v>2007.0</v>
      </c>
      <c r="C1207" s="14" t="s">
        <v>18604</v>
      </c>
      <c r="D1207" s="14" t="s">
        <v>18605</v>
      </c>
      <c r="E1207" s="150" t="str">
        <f t="shared" si="14"/>
        <v>http://dx.doi.org/10.1109/TVCG.2007.70518</v>
      </c>
      <c r="F1207" s="14">
        <v>1648.0</v>
      </c>
      <c r="G1207" s="14">
        <v>1655.0</v>
      </c>
      <c r="H1207" s="151"/>
      <c r="I1207" s="14" t="s">
        <v>17059</v>
      </c>
      <c r="J1207" s="14" t="s">
        <v>18606</v>
      </c>
      <c r="K1207" s="14" t="s">
        <v>35114</v>
      </c>
      <c r="L1207" s="152" t="s">
        <v>18895</v>
      </c>
      <c r="M1207" s="14" t="s">
        <v>5349</v>
      </c>
      <c r="N1207" s="54" t="s">
        <v>35114</v>
      </c>
      <c r="O1207" s="130" t="s">
        <v>18609</v>
      </c>
      <c r="P1207" s="153" t="s">
        <v>18610</v>
      </c>
      <c r="Q1207" s="14">
        <v>4376198.0</v>
      </c>
      <c r="R1207" s="95"/>
      <c r="S1207" s="154" t="s">
        <v>35115</v>
      </c>
      <c r="T1207" s="84"/>
      <c r="U1207" s="84"/>
      <c r="V1207" s="84"/>
      <c r="W1207" s="84"/>
      <c r="X1207" s="84"/>
      <c r="Y1207" s="84"/>
      <c r="Z1207" s="84"/>
      <c r="AA1207" s="84"/>
      <c r="AB1207" s="84"/>
      <c r="AC1207" s="84"/>
    </row>
    <row r="1208" ht="15.75" customHeight="1">
      <c r="A1208" s="14" t="s">
        <v>17</v>
      </c>
      <c r="B1208" s="14">
        <v>2007.0</v>
      </c>
      <c r="C1208" s="14" t="s">
        <v>18611</v>
      </c>
      <c r="D1208" s="14" t="s">
        <v>18612</v>
      </c>
      <c r="E1208" s="150" t="str">
        <f t="shared" si="14"/>
        <v>http://dx.doi.org/10.1109/TVCG.2007.70519</v>
      </c>
      <c r="F1208" s="14">
        <v>1400.0</v>
      </c>
      <c r="G1208" s="14">
        <v>1407.0</v>
      </c>
      <c r="H1208" s="151"/>
      <c r="I1208" s="14" t="s">
        <v>17059</v>
      </c>
      <c r="J1208" s="14" t="s">
        <v>18615</v>
      </c>
      <c r="K1208" s="14" t="s">
        <v>35116</v>
      </c>
      <c r="L1208" s="152" t="s">
        <v>18909</v>
      </c>
      <c r="M1208" s="14" t="s">
        <v>5349</v>
      </c>
      <c r="N1208" s="54" t="s">
        <v>35117</v>
      </c>
      <c r="O1208" s="130" t="s">
        <v>18619</v>
      </c>
      <c r="P1208" s="153" t="s">
        <v>18620</v>
      </c>
      <c r="Q1208" s="14">
        <v>4376167.0</v>
      </c>
      <c r="R1208" s="95"/>
      <c r="S1208" s="154" t="s">
        <v>35119</v>
      </c>
      <c r="T1208" s="84"/>
      <c r="U1208" s="84"/>
      <c r="V1208" s="84"/>
      <c r="W1208" s="84"/>
      <c r="X1208" s="84"/>
      <c r="Y1208" s="84"/>
      <c r="Z1208" s="84"/>
      <c r="AA1208" s="84"/>
      <c r="AB1208" s="84"/>
      <c r="AC1208" s="84"/>
    </row>
    <row r="1209" ht="15.75" customHeight="1">
      <c r="A1209" s="14" t="s">
        <v>17</v>
      </c>
      <c r="B1209" s="14">
        <v>2007.0</v>
      </c>
      <c r="C1209" s="14" t="s">
        <v>19005</v>
      </c>
      <c r="D1209" s="14" t="s">
        <v>19006</v>
      </c>
      <c r="E1209" s="150" t="str">
        <f t="shared" si="14"/>
        <v>http://dx.doi.org/10.1109/TVCG.2007.70610</v>
      </c>
      <c r="F1209" s="14">
        <v>1751.0</v>
      </c>
      <c r="G1209" s="14">
        <v>1758.0</v>
      </c>
      <c r="H1209" s="151"/>
      <c r="I1209" s="14" t="s">
        <v>17059</v>
      </c>
      <c r="J1209" s="14" t="s">
        <v>19007</v>
      </c>
      <c r="K1209" s="14" t="s">
        <v>35121</v>
      </c>
      <c r="L1209" s="152" t="s">
        <v>19877</v>
      </c>
      <c r="M1209" s="14" t="s">
        <v>35122</v>
      </c>
      <c r="N1209" s="54" t="s">
        <v>35121</v>
      </c>
      <c r="O1209" s="130" t="s">
        <v>15033</v>
      </c>
      <c r="P1209" s="153" t="s">
        <v>19012</v>
      </c>
      <c r="Q1209" s="14">
        <v>4376211.0</v>
      </c>
      <c r="R1209" s="95"/>
      <c r="S1209" s="154">
        <v>1372186.0</v>
      </c>
      <c r="T1209" s="84"/>
      <c r="U1209" s="84"/>
      <c r="V1209" s="84"/>
      <c r="W1209" s="84"/>
      <c r="X1209" s="84"/>
      <c r="Y1209" s="84"/>
      <c r="Z1209" s="84"/>
      <c r="AA1209" s="84"/>
      <c r="AB1209" s="84"/>
      <c r="AC1209" s="84"/>
    </row>
    <row r="1210" ht="15.75" customHeight="1">
      <c r="A1210" s="14" t="s">
        <v>17</v>
      </c>
      <c r="B1210" s="14">
        <v>2007.0</v>
      </c>
      <c r="C1210" s="14" t="s">
        <v>18621</v>
      </c>
      <c r="D1210" s="14" t="s">
        <v>18622</v>
      </c>
      <c r="E1210" s="150" t="str">
        <f t="shared" si="14"/>
        <v>http://dx.doi.org/10.1109/TVCG.2007.70523</v>
      </c>
      <c r="F1210" s="14">
        <v>1408.0</v>
      </c>
      <c r="G1210" s="14">
        <v>1415.0</v>
      </c>
      <c r="H1210" s="151"/>
      <c r="I1210" s="14" t="s">
        <v>17059</v>
      </c>
      <c r="J1210" s="14" t="s">
        <v>18623</v>
      </c>
      <c r="K1210" s="14" t="s">
        <v>35124</v>
      </c>
      <c r="L1210" s="152" t="s">
        <v>18954</v>
      </c>
      <c r="M1210" s="14" t="s">
        <v>860</v>
      </c>
      <c r="N1210" s="54" t="s">
        <v>35124</v>
      </c>
      <c r="O1210" s="130" t="s">
        <v>18627</v>
      </c>
      <c r="P1210" s="153" t="s">
        <v>18628</v>
      </c>
      <c r="Q1210" s="14">
        <v>4376168.0</v>
      </c>
      <c r="R1210" s="95"/>
      <c r="S1210" s="154" t="s">
        <v>35125</v>
      </c>
      <c r="T1210" s="84"/>
      <c r="U1210" s="84"/>
      <c r="V1210" s="84"/>
      <c r="W1210" s="84"/>
      <c r="X1210" s="84"/>
      <c r="Y1210" s="84"/>
      <c r="Z1210" s="84"/>
      <c r="AA1210" s="84"/>
      <c r="AB1210" s="84"/>
      <c r="AC1210" s="84"/>
    </row>
    <row r="1211" ht="15.75" customHeight="1">
      <c r="A1211" s="14" t="s">
        <v>17</v>
      </c>
      <c r="B1211" s="14">
        <v>2007.0</v>
      </c>
      <c r="C1211" s="14" t="s">
        <v>19013</v>
      </c>
      <c r="D1211" s="14" t="s">
        <v>19014</v>
      </c>
      <c r="E1211" s="150" t="str">
        <f t="shared" si="14"/>
        <v>http://dx.doi.org/10.1109/TVCG.2007.70614</v>
      </c>
      <c r="F1211" s="14">
        <v>1624.0</v>
      </c>
      <c r="G1211" s="14">
        <v>1631.0</v>
      </c>
      <c r="H1211" s="151"/>
      <c r="I1211" s="14" t="s">
        <v>17059</v>
      </c>
      <c r="J1211" s="14" t="s">
        <v>19015</v>
      </c>
      <c r="K1211" s="14" t="s">
        <v>35126</v>
      </c>
      <c r="L1211" s="152" t="s">
        <v>19896</v>
      </c>
      <c r="M1211" s="14" t="s">
        <v>5349</v>
      </c>
      <c r="N1211" s="54" t="s">
        <v>35126</v>
      </c>
      <c r="O1211" s="130" t="s">
        <v>19017</v>
      </c>
      <c r="P1211" s="153" t="s">
        <v>19018</v>
      </c>
      <c r="Q1211" s="14">
        <v>4376195.0</v>
      </c>
      <c r="R1211" s="95"/>
      <c r="S1211" s="154" t="s">
        <v>35128</v>
      </c>
      <c r="T1211" s="84"/>
      <c r="U1211" s="84"/>
      <c r="V1211" s="84"/>
      <c r="W1211" s="84"/>
      <c r="X1211" s="84"/>
      <c r="Y1211" s="84"/>
      <c r="Z1211" s="84"/>
      <c r="AA1211" s="84"/>
      <c r="AB1211" s="84"/>
      <c r="AC1211" s="84"/>
    </row>
    <row r="1212" ht="15.75" customHeight="1">
      <c r="A1212" s="14" t="s">
        <v>17</v>
      </c>
      <c r="B1212" s="14">
        <v>2007.0</v>
      </c>
      <c r="C1212" s="14" t="s">
        <v>18629</v>
      </c>
      <c r="D1212" s="14" t="s">
        <v>18630</v>
      </c>
      <c r="E1212" s="150" t="str">
        <f t="shared" si="14"/>
        <v>http://dx.doi.org/10.1109/TVCG.2007.70526</v>
      </c>
      <c r="F1212" s="14">
        <v>1712.0</v>
      </c>
      <c r="G1212" s="14">
        <v>1718.0</v>
      </c>
      <c r="H1212" s="151"/>
      <c r="I1212" s="14" t="s">
        <v>17059</v>
      </c>
      <c r="J1212" s="14" t="s">
        <v>18631</v>
      </c>
      <c r="K1212" s="14" t="s">
        <v>35129</v>
      </c>
      <c r="L1212" s="152" t="s">
        <v>18972</v>
      </c>
      <c r="M1212" s="14" t="s">
        <v>494</v>
      </c>
      <c r="N1212" s="54" t="s">
        <v>35129</v>
      </c>
      <c r="O1212" s="130" t="s">
        <v>18635</v>
      </c>
      <c r="P1212" s="153" t="s">
        <v>18636</v>
      </c>
      <c r="Q1212" s="14">
        <v>4376206.0</v>
      </c>
      <c r="R1212" s="95"/>
      <c r="S1212" s="154" t="s">
        <v>35130</v>
      </c>
      <c r="T1212" s="84"/>
      <c r="U1212" s="84"/>
      <c r="V1212" s="84"/>
      <c r="W1212" s="84"/>
      <c r="X1212" s="84"/>
      <c r="Y1212" s="84"/>
      <c r="Z1212" s="84"/>
      <c r="AA1212" s="84"/>
      <c r="AB1212" s="84"/>
      <c r="AC1212" s="84"/>
    </row>
    <row r="1213" ht="15.75" customHeight="1">
      <c r="A1213" s="14" t="s">
        <v>17</v>
      </c>
      <c r="B1213" s="14">
        <v>2007.0</v>
      </c>
      <c r="C1213" s="14" t="s">
        <v>18637</v>
      </c>
      <c r="D1213" s="14" t="s">
        <v>18638</v>
      </c>
      <c r="E1213" s="150" t="str">
        <f t="shared" si="14"/>
        <v>http://dx.doi.org/10.1109/TVCG.2007.70530</v>
      </c>
      <c r="F1213" s="14">
        <v>1640.0</v>
      </c>
      <c r="G1213" s="14">
        <v>1647.0</v>
      </c>
      <c r="H1213" s="151"/>
      <c r="I1213" s="14" t="s">
        <v>17059</v>
      </c>
      <c r="J1213" s="14" t="s">
        <v>18639</v>
      </c>
      <c r="K1213" s="14" t="s">
        <v>35131</v>
      </c>
      <c r="L1213" s="152" t="s">
        <v>19034</v>
      </c>
      <c r="M1213" s="14" t="s">
        <v>35132</v>
      </c>
      <c r="N1213" s="54" t="s">
        <v>35131</v>
      </c>
      <c r="O1213" s="130" t="s">
        <v>18643</v>
      </c>
      <c r="P1213" s="153" t="s">
        <v>18644</v>
      </c>
      <c r="Q1213" s="14">
        <v>4376197.0</v>
      </c>
      <c r="R1213" s="95"/>
      <c r="S1213" s="154" t="s">
        <v>35133</v>
      </c>
      <c r="T1213" s="84"/>
      <c r="U1213" s="84"/>
      <c r="V1213" s="84"/>
      <c r="W1213" s="84"/>
      <c r="X1213" s="84"/>
      <c r="Y1213" s="84"/>
      <c r="Z1213" s="84"/>
      <c r="AA1213" s="84"/>
      <c r="AB1213" s="84"/>
      <c r="AC1213" s="84"/>
    </row>
    <row r="1214" ht="15.75" customHeight="1">
      <c r="A1214" s="14" t="s">
        <v>17</v>
      </c>
      <c r="B1214" s="14">
        <v>2007.0</v>
      </c>
      <c r="C1214" s="14" t="s">
        <v>18645</v>
      </c>
      <c r="D1214" s="14" t="s">
        <v>18646</v>
      </c>
      <c r="E1214" s="150" t="str">
        <f t="shared" si="14"/>
        <v>http://dx.doi.org/10.1109/TVCG.2007.70532</v>
      </c>
      <c r="F1214" s="14">
        <v>1488.0</v>
      </c>
      <c r="G1214" s="14">
        <v>1495.0</v>
      </c>
      <c r="H1214" s="151"/>
      <c r="I1214" s="14" t="s">
        <v>17059</v>
      </c>
      <c r="J1214" s="14" t="s">
        <v>18647</v>
      </c>
      <c r="K1214" s="14" t="s">
        <v>35135</v>
      </c>
      <c r="L1214" s="152" t="s">
        <v>19053</v>
      </c>
      <c r="M1214" s="14" t="s">
        <v>494</v>
      </c>
      <c r="N1214" s="54" t="s">
        <v>35135</v>
      </c>
      <c r="O1214" s="130" t="s">
        <v>18651</v>
      </c>
      <c r="P1214" s="153" t="s">
        <v>18652</v>
      </c>
      <c r="Q1214" s="14">
        <v>4376178.0</v>
      </c>
      <c r="R1214" s="95"/>
      <c r="S1214" s="154" t="s">
        <v>35136</v>
      </c>
      <c r="T1214" s="84"/>
      <c r="U1214" s="84"/>
      <c r="V1214" s="84"/>
      <c r="W1214" s="84"/>
      <c r="X1214" s="84"/>
      <c r="Y1214" s="84"/>
      <c r="Z1214" s="84"/>
      <c r="AA1214" s="84"/>
      <c r="AB1214" s="84"/>
      <c r="AC1214" s="84"/>
    </row>
    <row r="1215" ht="15.75" customHeight="1">
      <c r="A1215" s="14" t="s">
        <v>2137</v>
      </c>
      <c r="B1215" s="14">
        <v>2006.0</v>
      </c>
      <c r="C1215" s="14" t="s">
        <v>17057</v>
      </c>
      <c r="D1215" s="14" t="s">
        <v>17058</v>
      </c>
      <c r="E1215" s="150" t="str">
        <f t="shared" si="14"/>
        <v>http://dx.doi.org/10.1109/TVCG.2006.120</v>
      </c>
      <c r="F1215" s="14">
        <v>669.0</v>
      </c>
      <c r="G1215" s="14">
        <v>676.0</v>
      </c>
      <c r="H1215" s="151"/>
      <c r="I1215" s="14" t="s">
        <v>17059</v>
      </c>
      <c r="J1215" s="14" t="s">
        <v>17060</v>
      </c>
      <c r="K1215" s="14" t="s">
        <v>35137</v>
      </c>
      <c r="L1215" s="152" t="s">
        <v>17169</v>
      </c>
      <c r="M1215" s="14" t="s">
        <v>35138</v>
      </c>
      <c r="N1215" s="54" t="s">
        <v>35137</v>
      </c>
      <c r="O1215" s="130" t="s">
        <v>17064</v>
      </c>
      <c r="P1215" s="153" t="s">
        <v>17065</v>
      </c>
      <c r="Q1215" s="14">
        <v>4015416.0</v>
      </c>
      <c r="R1215" s="95"/>
      <c r="S1215" s="154" t="s">
        <v>35139</v>
      </c>
      <c r="T1215" s="84"/>
      <c r="U1215" s="84"/>
      <c r="V1215" s="84"/>
      <c r="W1215" s="84"/>
      <c r="X1215" s="84"/>
      <c r="Y1215" s="84"/>
      <c r="Z1215" s="84"/>
      <c r="AA1215" s="84"/>
      <c r="AB1215" s="84"/>
      <c r="AC1215" s="84"/>
    </row>
    <row r="1216" ht="15.75" customHeight="1">
      <c r="A1216" s="14" t="s">
        <v>2137</v>
      </c>
      <c r="B1216" s="14">
        <v>2006.0</v>
      </c>
      <c r="C1216" s="14" t="s">
        <v>17066</v>
      </c>
      <c r="D1216" s="14" t="s">
        <v>17067</v>
      </c>
      <c r="E1216" s="150" t="str">
        <f t="shared" si="14"/>
        <v>http://dx.doi.org/10.1109/TVCG.2006.122</v>
      </c>
      <c r="F1216" s="14">
        <v>693.0</v>
      </c>
      <c r="G1216" s="14">
        <v>700.0</v>
      </c>
      <c r="H1216" s="151"/>
      <c r="I1216" s="14" t="s">
        <v>17059</v>
      </c>
      <c r="J1216" s="14" t="s">
        <v>17068</v>
      </c>
      <c r="K1216" s="14" t="s">
        <v>35140</v>
      </c>
      <c r="L1216" s="152" t="s">
        <v>14236</v>
      </c>
      <c r="M1216" s="14" t="s">
        <v>35141</v>
      </c>
      <c r="N1216" s="54" t="s">
        <v>35140</v>
      </c>
      <c r="O1216" s="130" t="s">
        <v>17071</v>
      </c>
      <c r="P1216" s="153" t="s">
        <v>17072</v>
      </c>
      <c r="Q1216" s="14">
        <v>4015419.0</v>
      </c>
      <c r="R1216" s="95"/>
      <c r="S1216" s="154" t="s">
        <v>35144</v>
      </c>
      <c r="T1216" s="84"/>
      <c r="U1216" s="84"/>
      <c r="V1216" s="84"/>
      <c r="W1216" s="84"/>
      <c r="X1216" s="84"/>
      <c r="Y1216" s="84"/>
      <c r="Z1216" s="84"/>
      <c r="AA1216" s="84"/>
      <c r="AB1216" s="84"/>
      <c r="AC1216" s="84"/>
    </row>
    <row r="1217" ht="15.75" customHeight="1">
      <c r="A1217" s="14" t="s">
        <v>2137</v>
      </c>
      <c r="B1217" s="14">
        <v>2006.0</v>
      </c>
      <c r="C1217" s="14" t="s">
        <v>17073</v>
      </c>
      <c r="D1217" s="14" t="s">
        <v>17074</v>
      </c>
      <c r="E1217" s="150" t="str">
        <f t="shared" si="14"/>
        <v>http://dx.doi.org/10.1109/TVCG.2006.126</v>
      </c>
      <c r="F1217" s="14">
        <v>845.0</v>
      </c>
      <c r="G1217" s="14">
        <v>852.0</v>
      </c>
      <c r="H1217" s="151"/>
      <c r="I1217" s="14" t="s">
        <v>17059</v>
      </c>
      <c r="J1217" s="14" t="s">
        <v>17075</v>
      </c>
      <c r="K1217" s="14" t="s">
        <v>35146</v>
      </c>
      <c r="L1217" s="152" t="s">
        <v>17204</v>
      </c>
      <c r="M1217" s="14" t="s">
        <v>35147</v>
      </c>
      <c r="N1217" s="54" t="s">
        <v>35146</v>
      </c>
      <c r="O1217" s="130" t="s">
        <v>17078</v>
      </c>
      <c r="P1217" s="153" t="s">
        <v>17079</v>
      </c>
      <c r="Q1217" s="14">
        <v>4015438.0</v>
      </c>
      <c r="R1217" s="95"/>
      <c r="S1217" s="154" t="s">
        <v>35148</v>
      </c>
      <c r="T1217" s="84"/>
      <c r="U1217" s="84"/>
      <c r="V1217" s="84"/>
      <c r="W1217" s="84"/>
      <c r="X1217" s="84"/>
      <c r="Y1217" s="84"/>
      <c r="Z1217" s="84"/>
      <c r="AA1217" s="84"/>
      <c r="AB1217" s="84"/>
      <c r="AC1217" s="84"/>
    </row>
    <row r="1218" ht="15.75" customHeight="1">
      <c r="A1218" s="14" t="s">
        <v>2137</v>
      </c>
      <c r="B1218" s="14">
        <v>2006.0</v>
      </c>
      <c r="C1218" s="14" t="s">
        <v>17080</v>
      </c>
      <c r="D1218" s="14" t="s">
        <v>17081</v>
      </c>
      <c r="E1218" s="150" t="str">
        <f t="shared" si="14"/>
        <v>http://dx.doi.org/10.1109/TVCG.2006.136</v>
      </c>
      <c r="F1218" s="14">
        <v>773.0</v>
      </c>
      <c r="G1218" s="14">
        <v>780.0</v>
      </c>
      <c r="H1218" s="151"/>
      <c r="I1218" s="14" t="s">
        <v>17059</v>
      </c>
      <c r="J1218" s="14" t="s">
        <v>17082</v>
      </c>
      <c r="K1218" s="14" t="s">
        <v>35149</v>
      </c>
      <c r="L1218" s="152" t="s">
        <v>17245</v>
      </c>
      <c r="M1218" s="14" t="s">
        <v>35150</v>
      </c>
      <c r="N1218" s="54" t="s">
        <v>35149</v>
      </c>
      <c r="O1218" s="130"/>
      <c r="P1218" s="153" t="s">
        <v>17086</v>
      </c>
      <c r="Q1218" s="14">
        <v>4015429.0</v>
      </c>
      <c r="R1218" s="95"/>
      <c r="S1218" s="154"/>
      <c r="T1218" s="84"/>
      <c r="U1218" s="84"/>
      <c r="V1218" s="84"/>
      <c r="W1218" s="84"/>
      <c r="X1218" s="84"/>
      <c r="Y1218" s="84"/>
      <c r="Z1218" s="84"/>
      <c r="AA1218" s="84"/>
      <c r="AB1218" s="84"/>
      <c r="AC1218" s="84"/>
    </row>
    <row r="1219" ht="15.75" customHeight="1">
      <c r="A1219" s="14" t="s">
        <v>2137</v>
      </c>
      <c r="B1219" s="14">
        <v>2006.0</v>
      </c>
      <c r="C1219" s="14" t="s">
        <v>17087</v>
      </c>
      <c r="D1219" s="14" t="s">
        <v>17088</v>
      </c>
      <c r="E1219" s="150" t="str">
        <f t="shared" si="14"/>
        <v>http://dx.doi.org/10.1109/TVCG.2006.138</v>
      </c>
      <c r="F1219" s="14">
        <v>717.0</v>
      </c>
      <c r="G1219" s="14">
        <v>724.0</v>
      </c>
      <c r="H1219" s="151"/>
      <c r="I1219" s="14" t="s">
        <v>17059</v>
      </c>
      <c r="J1219" s="14" t="s">
        <v>17255</v>
      </c>
      <c r="K1219" s="14" t="s">
        <v>34705</v>
      </c>
      <c r="L1219" s="152" t="s">
        <v>17442</v>
      </c>
      <c r="M1219" s="14" t="s">
        <v>34706</v>
      </c>
      <c r="N1219" s="54" t="s">
        <v>34705</v>
      </c>
      <c r="O1219" s="130" t="s">
        <v>17258</v>
      </c>
      <c r="P1219" s="153" t="s">
        <v>35152</v>
      </c>
      <c r="Q1219" s="14">
        <v>4015422.0</v>
      </c>
      <c r="R1219" s="95"/>
      <c r="S1219" s="154" t="s">
        <v>35153</v>
      </c>
      <c r="T1219" s="84"/>
      <c r="U1219" s="84"/>
      <c r="V1219" s="84"/>
      <c r="W1219" s="84"/>
      <c r="X1219" s="84"/>
      <c r="Y1219" s="84"/>
      <c r="Z1219" s="84"/>
      <c r="AA1219" s="84"/>
      <c r="AB1219" s="84"/>
      <c r="AC1219" s="84"/>
    </row>
    <row r="1220" ht="15.75" customHeight="1">
      <c r="A1220" s="14" t="s">
        <v>2137</v>
      </c>
      <c r="B1220" s="14">
        <v>2006.0</v>
      </c>
      <c r="C1220" s="14" t="s">
        <v>17260</v>
      </c>
      <c r="D1220" s="14" t="s">
        <v>17261</v>
      </c>
      <c r="E1220" s="150" t="str">
        <f t="shared" si="14"/>
        <v>http://dx.doi.org/10.1109/TVCG.2006.142</v>
      </c>
      <c r="F1220" s="14">
        <v>797.0</v>
      </c>
      <c r="G1220" s="14">
        <v>804.0</v>
      </c>
      <c r="H1220" s="151"/>
      <c r="I1220" s="14" t="s">
        <v>17059</v>
      </c>
      <c r="J1220" s="14" t="s">
        <v>17262</v>
      </c>
      <c r="K1220" s="14" t="s">
        <v>35155</v>
      </c>
      <c r="L1220" s="152" t="s">
        <v>880</v>
      </c>
      <c r="M1220" s="14" t="s">
        <v>880</v>
      </c>
      <c r="N1220" s="54" t="s">
        <v>35155</v>
      </c>
      <c r="O1220" s="130" t="s">
        <v>17265</v>
      </c>
      <c r="P1220" s="153" t="s">
        <v>17266</v>
      </c>
      <c r="Q1220" s="14">
        <v>4015432.0</v>
      </c>
      <c r="R1220" s="95"/>
      <c r="S1220" s="154" t="s">
        <v>35156</v>
      </c>
      <c r="T1220" s="84"/>
      <c r="U1220" s="84"/>
      <c r="V1220" s="84"/>
      <c r="W1220" s="84"/>
      <c r="X1220" s="84"/>
      <c r="Y1220" s="84"/>
      <c r="Z1220" s="84"/>
      <c r="AA1220" s="84"/>
      <c r="AB1220" s="84"/>
      <c r="AC1220" s="84"/>
    </row>
    <row r="1221" ht="15.75" customHeight="1">
      <c r="A1221" s="14" t="s">
        <v>2137</v>
      </c>
      <c r="B1221" s="14">
        <v>2006.0</v>
      </c>
      <c r="C1221" s="14" t="s">
        <v>17267</v>
      </c>
      <c r="D1221" s="14" t="s">
        <v>17268</v>
      </c>
      <c r="E1221" s="150" t="str">
        <f t="shared" si="14"/>
        <v>http://dx.doi.org/10.1109/TVCG.2006.147</v>
      </c>
      <c r="F1221" s="14">
        <v>741.0</v>
      </c>
      <c r="G1221" s="14">
        <v>748.0</v>
      </c>
      <c r="H1221" s="151"/>
      <c r="I1221" s="14" t="s">
        <v>17059</v>
      </c>
      <c r="J1221" s="14" t="s">
        <v>17269</v>
      </c>
      <c r="K1221" s="14" t="s">
        <v>8235</v>
      </c>
      <c r="L1221" s="152" t="s">
        <v>17654</v>
      </c>
      <c r="M1221" s="14">
        <v>3.78278813E10</v>
      </c>
      <c r="N1221" s="54" t="s">
        <v>8235</v>
      </c>
      <c r="O1221" s="130" t="s">
        <v>17271</v>
      </c>
      <c r="P1221" s="153" t="s">
        <v>17272</v>
      </c>
      <c r="Q1221" s="14">
        <v>4015425.0</v>
      </c>
      <c r="R1221" s="95"/>
      <c r="S1221" s="154" t="s">
        <v>35157</v>
      </c>
      <c r="T1221" s="84"/>
      <c r="U1221" s="84"/>
      <c r="V1221" s="84"/>
      <c r="W1221" s="84"/>
      <c r="X1221" s="84"/>
      <c r="Y1221" s="84"/>
      <c r="Z1221" s="84"/>
      <c r="AA1221" s="84"/>
      <c r="AB1221" s="84"/>
      <c r="AC1221" s="84"/>
    </row>
    <row r="1222" ht="15.75" customHeight="1">
      <c r="A1222" s="14" t="s">
        <v>2137</v>
      </c>
      <c r="B1222" s="14">
        <v>2006.0</v>
      </c>
      <c r="C1222" s="14" t="s">
        <v>17273</v>
      </c>
      <c r="D1222" s="14" t="s">
        <v>17274</v>
      </c>
      <c r="E1222" s="150" t="str">
        <f t="shared" si="14"/>
        <v>http://dx.doi.org/10.1109/TVCG.2006.156</v>
      </c>
      <c r="F1222" s="14">
        <v>821.0</v>
      </c>
      <c r="G1222" s="14">
        <v>828.0</v>
      </c>
      <c r="H1222" s="151"/>
      <c r="I1222" s="14" t="s">
        <v>17059</v>
      </c>
      <c r="J1222" s="14" t="s">
        <v>17760</v>
      </c>
      <c r="K1222" s="14" t="s">
        <v>35158</v>
      </c>
      <c r="L1222" s="152" t="s">
        <v>17762</v>
      </c>
      <c r="M1222" s="14" t="s">
        <v>35159</v>
      </c>
      <c r="N1222" s="54" t="s">
        <v>35158</v>
      </c>
      <c r="O1222" s="130" t="s">
        <v>15955</v>
      </c>
      <c r="P1222" s="153" t="s">
        <v>17278</v>
      </c>
      <c r="Q1222" s="14">
        <v>4015435.0</v>
      </c>
      <c r="R1222" s="95"/>
      <c r="S1222" s="154">
        <v>1532130.0</v>
      </c>
      <c r="T1222" s="84"/>
      <c r="U1222" s="84"/>
      <c r="V1222" s="84"/>
      <c r="W1222" s="84"/>
      <c r="X1222" s="84"/>
      <c r="Y1222" s="84"/>
      <c r="Z1222" s="84"/>
      <c r="AA1222" s="84"/>
      <c r="AB1222" s="84"/>
      <c r="AC1222" s="84"/>
    </row>
    <row r="1223" ht="15.75" customHeight="1">
      <c r="A1223" s="14" t="s">
        <v>2137</v>
      </c>
      <c r="B1223" s="14">
        <v>2006.0</v>
      </c>
      <c r="C1223" s="14" t="s">
        <v>17279</v>
      </c>
      <c r="D1223" s="14" t="s">
        <v>17280</v>
      </c>
      <c r="E1223" s="150" t="str">
        <f t="shared" si="14"/>
        <v>http://dx.doi.org/10.1109/TVCG.2006.160</v>
      </c>
      <c r="F1223" s="14">
        <v>677.0</v>
      </c>
      <c r="G1223" s="14">
        <v>684.0</v>
      </c>
      <c r="H1223" s="151"/>
      <c r="I1223" s="14" t="s">
        <v>17059</v>
      </c>
      <c r="J1223" s="14" t="s">
        <v>17281</v>
      </c>
      <c r="K1223" s="14" t="s">
        <v>35161</v>
      </c>
      <c r="L1223" s="152" t="s">
        <v>17818</v>
      </c>
      <c r="M1223" s="14" t="s">
        <v>35162</v>
      </c>
      <c r="N1223" s="54" t="s">
        <v>35161</v>
      </c>
      <c r="O1223" s="130" t="s">
        <v>14478</v>
      </c>
      <c r="P1223" s="153" t="s">
        <v>17285</v>
      </c>
      <c r="Q1223" s="14">
        <v>4015417.0</v>
      </c>
      <c r="R1223" s="95"/>
      <c r="S1223" s="154">
        <v>1382905.0</v>
      </c>
      <c r="T1223" s="84"/>
      <c r="U1223" s="84"/>
      <c r="V1223" s="84"/>
      <c r="W1223" s="84"/>
      <c r="X1223" s="84"/>
      <c r="Y1223" s="84"/>
      <c r="Z1223" s="84"/>
      <c r="AA1223" s="84"/>
      <c r="AB1223" s="84"/>
      <c r="AC1223" s="84"/>
    </row>
    <row r="1224" ht="15.75" customHeight="1">
      <c r="A1224" s="14" t="s">
        <v>2137</v>
      </c>
      <c r="B1224" s="14">
        <v>2006.0</v>
      </c>
      <c r="C1224" s="14" t="s">
        <v>17286</v>
      </c>
      <c r="D1224" s="14" t="s">
        <v>17287</v>
      </c>
      <c r="E1224" s="150" t="str">
        <f t="shared" si="14"/>
        <v>http://dx.doi.org/10.1109/TVCG.2006.161</v>
      </c>
      <c r="F1224" s="14">
        <v>709.0</v>
      </c>
      <c r="G1224" s="14">
        <v>716.0</v>
      </c>
      <c r="H1224" s="151"/>
      <c r="I1224" s="14" t="s">
        <v>17059</v>
      </c>
      <c r="J1224" s="14" t="s">
        <v>17288</v>
      </c>
      <c r="K1224" s="14" t="s">
        <v>35163</v>
      </c>
      <c r="L1224" s="152" t="s">
        <v>17836</v>
      </c>
      <c r="M1224" s="14" t="s">
        <v>35164</v>
      </c>
      <c r="N1224" s="54" t="s">
        <v>35165</v>
      </c>
      <c r="O1224" s="130" t="s">
        <v>17292</v>
      </c>
      <c r="P1224" s="153" t="s">
        <v>17293</v>
      </c>
      <c r="Q1224" s="14">
        <v>4015421.0</v>
      </c>
      <c r="R1224" s="95"/>
      <c r="S1224" s="154" t="s">
        <v>35166</v>
      </c>
      <c r="T1224" s="84"/>
      <c r="U1224" s="84"/>
      <c r="V1224" s="84"/>
      <c r="W1224" s="84"/>
      <c r="X1224" s="84"/>
      <c r="Y1224" s="84"/>
      <c r="Z1224" s="84"/>
      <c r="AA1224" s="84"/>
      <c r="AB1224" s="84"/>
      <c r="AC1224" s="84"/>
    </row>
    <row r="1225" ht="15.75" customHeight="1">
      <c r="A1225" s="14" t="s">
        <v>2137</v>
      </c>
      <c r="B1225" s="14">
        <v>2006.0</v>
      </c>
      <c r="C1225" s="14" t="s">
        <v>17294</v>
      </c>
      <c r="D1225" s="14" t="s">
        <v>17295</v>
      </c>
      <c r="E1225" s="150" t="str">
        <f t="shared" si="14"/>
        <v>http://dx.doi.org/10.1109/TVCG.2006.163</v>
      </c>
      <c r="F1225" s="14">
        <v>701.0</v>
      </c>
      <c r="G1225" s="14">
        <v>708.0</v>
      </c>
      <c r="H1225" s="151"/>
      <c r="I1225" s="14" t="s">
        <v>17059</v>
      </c>
      <c r="J1225" s="14" t="s">
        <v>17296</v>
      </c>
      <c r="K1225" s="14" t="s">
        <v>34814</v>
      </c>
      <c r="L1225" s="152" t="s">
        <v>15923</v>
      </c>
      <c r="M1225" s="14" t="s">
        <v>34815</v>
      </c>
      <c r="N1225" s="54" t="s">
        <v>34814</v>
      </c>
      <c r="O1225" s="130"/>
      <c r="P1225" s="153" t="s">
        <v>17299</v>
      </c>
      <c r="Q1225" s="14">
        <v>4015420.0</v>
      </c>
      <c r="R1225" s="95"/>
      <c r="S1225" s="154"/>
      <c r="T1225" s="84"/>
      <c r="U1225" s="84"/>
      <c r="V1225" s="84"/>
      <c r="W1225" s="84"/>
      <c r="X1225" s="84"/>
      <c r="Y1225" s="84"/>
      <c r="Z1225" s="84"/>
      <c r="AA1225" s="84"/>
      <c r="AB1225" s="84"/>
      <c r="AC1225" s="84"/>
    </row>
    <row r="1226" ht="15.75" customHeight="1">
      <c r="A1226" s="14" t="s">
        <v>2137</v>
      </c>
      <c r="B1226" s="14">
        <v>2006.0</v>
      </c>
      <c r="C1226" s="14" t="s">
        <v>17300</v>
      </c>
      <c r="D1226" s="14" t="s">
        <v>17301</v>
      </c>
      <c r="E1226" s="150" t="str">
        <f t="shared" si="14"/>
        <v>http://dx.doi.org/10.1109/TVCG.2006.166</v>
      </c>
      <c r="F1226" s="14">
        <v>733.0</v>
      </c>
      <c r="G1226" s="14">
        <v>740.0</v>
      </c>
      <c r="H1226" s="151"/>
      <c r="I1226" s="14" t="s">
        <v>17059</v>
      </c>
      <c r="J1226" s="14" t="s">
        <v>17302</v>
      </c>
      <c r="K1226" s="14" t="s">
        <v>35168</v>
      </c>
      <c r="L1226" s="152" t="s">
        <v>14236</v>
      </c>
      <c r="M1226" s="14" t="s">
        <v>35169</v>
      </c>
      <c r="N1226" s="54" t="s">
        <v>35168</v>
      </c>
      <c r="O1226" s="130" t="s">
        <v>17305</v>
      </c>
      <c r="P1226" s="153" t="s">
        <v>17306</v>
      </c>
      <c r="Q1226" s="14">
        <v>4015424.0</v>
      </c>
      <c r="R1226" s="95"/>
      <c r="S1226" s="154" t="s">
        <v>35170</v>
      </c>
      <c r="T1226" s="84"/>
      <c r="U1226" s="84"/>
      <c r="V1226" s="84"/>
      <c r="W1226" s="84"/>
      <c r="X1226" s="84"/>
      <c r="Y1226" s="84"/>
      <c r="Z1226" s="84"/>
      <c r="AA1226" s="84"/>
      <c r="AB1226" s="84"/>
      <c r="AC1226" s="84"/>
    </row>
    <row r="1227" ht="15.75" customHeight="1">
      <c r="A1227" s="14" t="s">
        <v>2137</v>
      </c>
      <c r="B1227" s="14">
        <v>2006.0</v>
      </c>
      <c r="C1227" s="14" t="s">
        <v>17307</v>
      </c>
      <c r="D1227" s="14" t="s">
        <v>17308</v>
      </c>
      <c r="E1227" s="150" t="str">
        <f t="shared" si="14"/>
        <v>http://dx.doi.org/10.1109/TVCG.2006.177</v>
      </c>
      <c r="F1227" s="14">
        <v>813.0</v>
      </c>
      <c r="G1227" s="14">
        <v>820.0</v>
      </c>
      <c r="H1227" s="151"/>
      <c r="I1227" s="14" t="s">
        <v>17059</v>
      </c>
      <c r="J1227" s="14" t="s">
        <v>17309</v>
      </c>
      <c r="K1227" s="14" t="s">
        <v>35172</v>
      </c>
      <c r="L1227" s="152" t="s">
        <v>17925</v>
      </c>
      <c r="M1227" s="14" t="s">
        <v>35173</v>
      </c>
      <c r="N1227" s="54" t="s">
        <v>35172</v>
      </c>
      <c r="O1227" s="130" t="s">
        <v>3293</v>
      </c>
      <c r="P1227" s="153" t="s">
        <v>17313</v>
      </c>
      <c r="Q1227" s="14">
        <v>4015434.0</v>
      </c>
      <c r="R1227" s="95"/>
      <c r="S1227" s="154">
        <v>636718.0</v>
      </c>
      <c r="T1227" s="84"/>
      <c r="U1227" s="84"/>
      <c r="V1227" s="84"/>
      <c r="W1227" s="84"/>
      <c r="X1227" s="84"/>
      <c r="Y1227" s="84"/>
      <c r="Z1227" s="84"/>
      <c r="AA1227" s="84"/>
      <c r="AB1227" s="84"/>
      <c r="AC1227" s="84"/>
    </row>
    <row r="1228" ht="15.75" customHeight="1">
      <c r="A1228" s="14" t="s">
        <v>2137</v>
      </c>
      <c r="B1228" s="14">
        <v>2006.0</v>
      </c>
      <c r="C1228" s="14" t="s">
        <v>17314</v>
      </c>
      <c r="D1228" s="14" t="s">
        <v>17315</v>
      </c>
      <c r="E1228" s="150" t="str">
        <f t="shared" si="14"/>
        <v>http://dx.doi.org/10.1109/TVCG.2006.178</v>
      </c>
      <c r="F1228" s="14">
        <v>853.0</v>
      </c>
      <c r="G1228" s="14">
        <v>860.0</v>
      </c>
      <c r="H1228" s="151"/>
      <c r="I1228" s="14" t="s">
        <v>17059</v>
      </c>
      <c r="J1228" s="14" t="s">
        <v>17316</v>
      </c>
      <c r="K1228" s="14" t="s">
        <v>34814</v>
      </c>
      <c r="L1228" s="152" t="s">
        <v>15923</v>
      </c>
      <c r="M1228" s="14" t="s">
        <v>34815</v>
      </c>
      <c r="N1228" s="54" t="s">
        <v>34814</v>
      </c>
      <c r="O1228" s="130" t="s">
        <v>17318</v>
      </c>
      <c r="P1228" s="153" t="s">
        <v>17319</v>
      </c>
      <c r="Q1228" s="14">
        <v>4015439.0</v>
      </c>
      <c r="R1228" s="95"/>
      <c r="S1228" s="154" t="s">
        <v>35175</v>
      </c>
      <c r="T1228" s="84"/>
      <c r="U1228" s="84"/>
      <c r="V1228" s="84"/>
      <c r="W1228" s="84"/>
      <c r="X1228" s="84"/>
      <c r="Y1228" s="84"/>
      <c r="Z1228" s="84"/>
      <c r="AA1228" s="84"/>
      <c r="AB1228" s="84"/>
      <c r="AC1228" s="84"/>
    </row>
    <row r="1229" ht="15.75" customHeight="1">
      <c r="A1229" s="14" t="s">
        <v>2137</v>
      </c>
      <c r="B1229" s="14">
        <v>2006.0</v>
      </c>
      <c r="C1229" s="14" t="s">
        <v>17320</v>
      </c>
      <c r="D1229" s="14" t="s">
        <v>17321</v>
      </c>
      <c r="E1229" s="150" t="str">
        <f t="shared" si="14"/>
        <v>http://dx.doi.org/10.1109/TVCG.2006.179</v>
      </c>
      <c r="F1229" s="14">
        <v>765.0</v>
      </c>
      <c r="G1229" s="14">
        <v>772.0</v>
      </c>
      <c r="H1229" s="151"/>
      <c r="I1229" s="14" t="s">
        <v>17059</v>
      </c>
      <c r="J1229" s="14" t="s">
        <v>17322</v>
      </c>
      <c r="K1229" s="14" t="s">
        <v>35177</v>
      </c>
      <c r="L1229" s="152" t="s">
        <v>17928</v>
      </c>
      <c r="M1229" s="14" t="s">
        <v>35178</v>
      </c>
      <c r="N1229" s="54" t="s">
        <v>35177</v>
      </c>
      <c r="O1229" s="130"/>
      <c r="P1229" s="153" t="s">
        <v>17325</v>
      </c>
      <c r="Q1229" s="14">
        <v>4015428.0</v>
      </c>
      <c r="R1229" s="95"/>
      <c r="S1229" s="154"/>
      <c r="T1229" s="84"/>
      <c r="U1229" s="84"/>
      <c r="V1229" s="84"/>
      <c r="W1229" s="84"/>
      <c r="X1229" s="84"/>
      <c r="Y1229" s="84"/>
      <c r="Z1229" s="84"/>
      <c r="AA1229" s="84"/>
      <c r="AB1229" s="84"/>
      <c r="AC1229" s="84"/>
    </row>
    <row r="1230" ht="15.75" customHeight="1">
      <c r="A1230" s="14" t="s">
        <v>2137</v>
      </c>
      <c r="B1230" s="14">
        <v>2006.0</v>
      </c>
      <c r="C1230" s="14" t="s">
        <v>17326</v>
      </c>
      <c r="D1230" s="14" t="s">
        <v>17327</v>
      </c>
      <c r="E1230" s="150" t="str">
        <f t="shared" si="14"/>
        <v>http://dx.doi.org/10.1109/TVCG.2006.184</v>
      </c>
      <c r="F1230" s="14">
        <v>837.0</v>
      </c>
      <c r="G1230" s="14">
        <v>844.0</v>
      </c>
      <c r="H1230" s="151"/>
      <c r="I1230" s="14" t="s">
        <v>17059</v>
      </c>
      <c r="J1230" s="14" t="s">
        <v>17328</v>
      </c>
      <c r="K1230" s="14" t="s">
        <v>35179</v>
      </c>
      <c r="L1230" s="152" t="s">
        <v>17961</v>
      </c>
      <c r="M1230" s="14" t="s">
        <v>35180</v>
      </c>
      <c r="N1230" s="54" t="s">
        <v>35179</v>
      </c>
      <c r="O1230" s="130" t="s">
        <v>11902</v>
      </c>
      <c r="P1230" s="153" t="s">
        <v>17331</v>
      </c>
      <c r="Q1230" s="14">
        <v>4015437.0</v>
      </c>
      <c r="R1230" s="95"/>
      <c r="S1230" s="154">
        <v>1173156.0</v>
      </c>
      <c r="T1230" s="84"/>
      <c r="U1230" s="84"/>
      <c r="V1230" s="84"/>
      <c r="W1230" s="84"/>
      <c r="X1230" s="84"/>
      <c r="Y1230" s="84"/>
      <c r="Z1230" s="84"/>
      <c r="AA1230" s="84"/>
      <c r="AB1230" s="84"/>
      <c r="AC1230" s="84"/>
    </row>
    <row r="1231" ht="15.75" customHeight="1">
      <c r="A1231" s="14" t="s">
        <v>2137</v>
      </c>
      <c r="B1231" s="14">
        <v>2006.0</v>
      </c>
      <c r="C1231" s="14" t="s">
        <v>17332</v>
      </c>
      <c r="D1231" s="14" t="s">
        <v>17333</v>
      </c>
      <c r="E1231" s="150" t="str">
        <f t="shared" si="14"/>
        <v>http://dx.doi.org/10.1109/TVCG.2006.185</v>
      </c>
      <c r="F1231" s="14">
        <v>725.0</v>
      </c>
      <c r="G1231" s="14">
        <v>732.0</v>
      </c>
      <c r="H1231" s="151"/>
      <c r="I1231" s="14" t="s">
        <v>17059</v>
      </c>
      <c r="J1231" s="14" t="s">
        <v>17334</v>
      </c>
      <c r="K1231" s="14" t="s">
        <v>35181</v>
      </c>
      <c r="L1231" s="152" t="s">
        <v>17963</v>
      </c>
      <c r="M1231" s="14" t="s">
        <v>35182</v>
      </c>
      <c r="N1231" s="54" t="s">
        <v>35181</v>
      </c>
      <c r="O1231" s="130" t="s">
        <v>17336</v>
      </c>
      <c r="P1231" s="153" t="s">
        <v>17337</v>
      </c>
      <c r="Q1231" s="14">
        <v>4015423.0</v>
      </c>
      <c r="R1231" s="95"/>
      <c r="S1231" s="154" t="s">
        <v>35183</v>
      </c>
      <c r="T1231" s="84"/>
      <c r="U1231" s="84"/>
      <c r="V1231" s="84"/>
      <c r="W1231" s="84"/>
      <c r="X1231" s="84"/>
      <c r="Y1231" s="84"/>
      <c r="Z1231" s="84"/>
      <c r="AA1231" s="84"/>
      <c r="AB1231" s="84"/>
      <c r="AC1231" s="84"/>
    </row>
    <row r="1232" ht="15.75" customHeight="1">
      <c r="A1232" s="14" t="s">
        <v>2137</v>
      </c>
      <c r="B1232" s="14">
        <v>2006.0</v>
      </c>
      <c r="C1232" s="14" t="s">
        <v>35184</v>
      </c>
      <c r="D1232" s="14" t="s">
        <v>17339</v>
      </c>
      <c r="E1232" s="150" t="str">
        <f t="shared" si="14"/>
        <v>http://dx.doi.org/10.1109/TVCG.2006.187</v>
      </c>
      <c r="F1232" s="14">
        <v>829.0</v>
      </c>
      <c r="G1232" s="14">
        <v>836.0</v>
      </c>
      <c r="H1232" s="151"/>
      <c r="I1232" s="14" t="s">
        <v>17059</v>
      </c>
      <c r="J1232" s="14" t="s">
        <v>35186</v>
      </c>
      <c r="K1232" s="14" t="s">
        <v>35179</v>
      </c>
      <c r="L1232" s="152" t="s">
        <v>35187</v>
      </c>
      <c r="M1232" s="14" t="s">
        <v>35188</v>
      </c>
      <c r="N1232" s="54" t="s">
        <v>35179</v>
      </c>
      <c r="O1232" s="130" t="s">
        <v>17344</v>
      </c>
      <c r="P1232" s="153" t="s">
        <v>17345</v>
      </c>
      <c r="Q1232" s="14">
        <v>4015436.0</v>
      </c>
      <c r="R1232" s="95"/>
      <c r="S1232" s="154" t="s">
        <v>35190</v>
      </c>
      <c r="T1232" s="84"/>
      <c r="U1232" s="84"/>
      <c r="V1232" s="84"/>
      <c r="W1232" s="84"/>
      <c r="X1232" s="84"/>
      <c r="Y1232" s="84"/>
      <c r="Z1232" s="84"/>
      <c r="AA1232" s="84"/>
      <c r="AB1232" s="84"/>
      <c r="AC1232" s="84"/>
    </row>
    <row r="1233" ht="15.75" customHeight="1">
      <c r="A1233" s="14" t="s">
        <v>2137</v>
      </c>
      <c r="B1233" s="14">
        <v>2006.0</v>
      </c>
      <c r="C1233" s="14" t="s">
        <v>17346</v>
      </c>
      <c r="D1233" s="14" t="s">
        <v>17347</v>
      </c>
      <c r="E1233" s="150" t="str">
        <f t="shared" si="14"/>
        <v>http://dx.doi.org/10.1109/TVCG.2006.192</v>
      </c>
      <c r="F1233" s="14">
        <v>685.0</v>
      </c>
      <c r="G1233" s="14">
        <v>692.0</v>
      </c>
      <c r="H1233" s="151"/>
      <c r="I1233" s="14" t="s">
        <v>17059</v>
      </c>
      <c r="J1233" s="14" t="s">
        <v>17348</v>
      </c>
      <c r="K1233" s="14" t="s">
        <v>35191</v>
      </c>
      <c r="L1233" s="152" t="s">
        <v>17992</v>
      </c>
      <c r="M1233" s="14" t="s">
        <v>35192</v>
      </c>
      <c r="N1233" s="54" t="s">
        <v>35191</v>
      </c>
      <c r="O1233" s="130" t="s">
        <v>17352</v>
      </c>
      <c r="P1233" s="153" t="s">
        <v>17353</v>
      </c>
      <c r="Q1233" s="14">
        <v>4015418.0</v>
      </c>
      <c r="R1233" s="95"/>
      <c r="S1233" s="154" t="s">
        <v>35193</v>
      </c>
      <c r="T1233" s="84"/>
      <c r="U1233" s="84"/>
      <c r="V1233" s="84"/>
      <c r="W1233" s="84"/>
      <c r="X1233" s="84"/>
      <c r="Y1233" s="84"/>
      <c r="Z1233" s="84"/>
      <c r="AA1233" s="84"/>
      <c r="AB1233" s="84"/>
      <c r="AC1233" s="84"/>
    </row>
    <row r="1234" ht="15.75" customHeight="1">
      <c r="A1234" s="14" t="s">
        <v>2137</v>
      </c>
      <c r="B1234" s="14">
        <v>2006.0</v>
      </c>
      <c r="C1234" s="14" t="s">
        <v>17354</v>
      </c>
      <c r="D1234" s="14" t="s">
        <v>17355</v>
      </c>
      <c r="E1234" s="150" t="str">
        <f t="shared" si="14"/>
        <v>http://dx.doi.org/10.1109/TVCG.2006.193</v>
      </c>
      <c r="F1234" s="14">
        <v>805.0</v>
      </c>
      <c r="G1234" s="14">
        <v>812.0</v>
      </c>
      <c r="H1234" s="151"/>
      <c r="I1234" s="14" t="s">
        <v>17059</v>
      </c>
      <c r="J1234" s="14" t="s">
        <v>35196</v>
      </c>
      <c r="K1234" s="14" t="s">
        <v>35172</v>
      </c>
      <c r="L1234" s="152" t="s">
        <v>17999</v>
      </c>
      <c r="M1234" s="14" t="s">
        <v>35197</v>
      </c>
      <c r="N1234" s="54" t="s">
        <v>35172</v>
      </c>
      <c r="O1234" s="130" t="s">
        <v>17360</v>
      </c>
      <c r="P1234" s="153" t="s">
        <v>17361</v>
      </c>
      <c r="Q1234" s="14">
        <v>4015433.0</v>
      </c>
      <c r="R1234" s="95"/>
      <c r="S1234" s="154" t="s">
        <v>35198</v>
      </c>
      <c r="T1234" s="84"/>
      <c r="U1234" s="84"/>
      <c r="V1234" s="84"/>
      <c r="W1234" s="84"/>
      <c r="X1234" s="84"/>
      <c r="Y1234" s="84"/>
      <c r="Z1234" s="84"/>
      <c r="AA1234" s="84"/>
      <c r="AB1234" s="84"/>
      <c r="AC1234" s="84"/>
    </row>
    <row r="1235" ht="15.75" customHeight="1">
      <c r="A1235" s="14" t="s">
        <v>2137</v>
      </c>
      <c r="B1235" s="14">
        <v>2006.0</v>
      </c>
      <c r="C1235" s="14" t="s">
        <v>17362</v>
      </c>
      <c r="D1235" s="14" t="s">
        <v>17363</v>
      </c>
      <c r="E1235" s="150" t="str">
        <f t="shared" si="14"/>
        <v>http://dx.doi.org/10.1109/TVCG.2006.196</v>
      </c>
      <c r="F1235" s="14">
        <v>781.0</v>
      </c>
      <c r="G1235" s="14">
        <v>788.0</v>
      </c>
      <c r="H1235" s="151"/>
      <c r="I1235" s="14" t="s">
        <v>17059</v>
      </c>
      <c r="J1235" s="14" t="s">
        <v>17364</v>
      </c>
      <c r="K1235" s="14" t="s">
        <v>35199</v>
      </c>
      <c r="L1235" s="152" t="s">
        <v>18022</v>
      </c>
      <c r="M1235" s="14" t="s">
        <v>35200</v>
      </c>
      <c r="N1235" s="54" t="s">
        <v>35199</v>
      </c>
      <c r="O1235" s="130" t="s">
        <v>14117</v>
      </c>
      <c r="P1235" s="153" t="s">
        <v>17367</v>
      </c>
      <c r="Q1235" s="14">
        <v>4015430.0</v>
      </c>
      <c r="R1235" s="95"/>
      <c r="S1235" s="154">
        <v>1382908.0</v>
      </c>
      <c r="T1235" s="84"/>
      <c r="U1235" s="84"/>
      <c r="V1235" s="84"/>
      <c r="W1235" s="84"/>
      <c r="X1235" s="84"/>
      <c r="Y1235" s="84"/>
      <c r="Z1235" s="84"/>
      <c r="AA1235" s="84"/>
      <c r="AB1235" s="84"/>
      <c r="AC1235" s="84"/>
    </row>
    <row r="1236" ht="15.75" customHeight="1">
      <c r="A1236" s="14" t="s">
        <v>2137</v>
      </c>
      <c r="B1236" s="14">
        <v>2006.0</v>
      </c>
      <c r="C1236" s="14" t="s">
        <v>17368</v>
      </c>
      <c r="D1236" s="14" t="s">
        <v>17369</v>
      </c>
      <c r="E1236" s="150" t="str">
        <f t="shared" si="14"/>
        <v>http://dx.doi.org/10.1109/TVCG.2006.198</v>
      </c>
      <c r="F1236" s="14">
        <v>749.0</v>
      </c>
      <c r="G1236" s="14">
        <v>756.0</v>
      </c>
      <c r="H1236" s="151"/>
      <c r="I1236" s="14" t="s">
        <v>17059</v>
      </c>
      <c r="J1236" s="14" t="s">
        <v>17370</v>
      </c>
      <c r="K1236" s="14" t="s">
        <v>35201</v>
      </c>
      <c r="L1236" s="152" t="s">
        <v>18035</v>
      </c>
      <c r="M1236" s="14" t="s">
        <v>35202</v>
      </c>
      <c r="N1236" s="54" t="s">
        <v>35201</v>
      </c>
      <c r="O1236" s="130" t="s">
        <v>17374</v>
      </c>
      <c r="P1236" s="153" t="s">
        <v>17375</v>
      </c>
      <c r="Q1236" s="14">
        <v>4015426.0</v>
      </c>
      <c r="R1236" s="95"/>
      <c r="S1236" s="154" t="s">
        <v>35203</v>
      </c>
      <c r="T1236" s="84"/>
      <c r="U1236" s="84"/>
      <c r="V1236" s="84"/>
      <c r="W1236" s="84"/>
      <c r="X1236" s="84"/>
      <c r="Y1236" s="84"/>
      <c r="Z1236" s="84"/>
      <c r="AA1236" s="84"/>
      <c r="AB1236" s="84"/>
      <c r="AC1236" s="84"/>
    </row>
    <row r="1237" ht="15.75" customHeight="1">
      <c r="A1237" s="14" t="s">
        <v>2137</v>
      </c>
      <c r="B1237" s="14">
        <v>2006.0</v>
      </c>
      <c r="C1237" s="14" t="s">
        <v>17376</v>
      </c>
      <c r="D1237" s="14" t="s">
        <v>17377</v>
      </c>
      <c r="E1237" s="150" t="str">
        <f t="shared" si="14"/>
        <v>http://dx.doi.org/10.1109/TVCG.2006.200</v>
      </c>
      <c r="F1237" s="14">
        <v>789.0</v>
      </c>
      <c r="G1237" s="14">
        <v>796.0</v>
      </c>
      <c r="H1237" s="151"/>
      <c r="I1237" s="14" t="s">
        <v>17059</v>
      </c>
      <c r="J1237" s="14" t="s">
        <v>17378</v>
      </c>
      <c r="K1237" s="14" t="s">
        <v>35204</v>
      </c>
      <c r="L1237" s="152" t="s">
        <v>18051</v>
      </c>
      <c r="M1237" s="14" t="s">
        <v>35205</v>
      </c>
      <c r="N1237" s="54" t="s">
        <v>35204</v>
      </c>
      <c r="O1237" s="130" t="s">
        <v>17381</v>
      </c>
      <c r="P1237" s="153" t="s">
        <v>17382</v>
      </c>
      <c r="Q1237" s="14">
        <v>4015431.0</v>
      </c>
      <c r="R1237" s="95"/>
      <c r="S1237" s="154" t="s">
        <v>35206</v>
      </c>
      <c r="T1237" s="84"/>
      <c r="U1237" s="84"/>
      <c r="V1237" s="84"/>
      <c r="W1237" s="84"/>
      <c r="X1237" s="84"/>
      <c r="Y1237" s="84"/>
      <c r="Z1237" s="84"/>
      <c r="AA1237" s="84"/>
      <c r="AB1237" s="84"/>
      <c r="AC1237" s="84"/>
    </row>
    <row r="1238" ht="15.75" customHeight="1">
      <c r="A1238" s="14" t="s">
        <v>2137</v>
      </c>
      <c r="B1238" s="14">
        <v>2006.0</v>
      </c>
      <c r="C1238" s="14" t="s">
        <v>17383</v>
      </c>
      <c r="D1238" s="14" t="s">
        <v>17384</v>
      </c>
      <c r="E1238" s="150" t="str">
        <f t="shared" si="14"/>
        <v>http://dx.doi.org/10.1109/TVCG.2006.202</v>
      </c>
      <c r="F1238" s="14">
        <v>757.0</v>
      </c>
      <c r="G1238" s="14">
        <v>764.0</v>
      </c>
      <c r="H1238" s="151"/>
      <c r="I1238" s="14" t="s">
        <v>17059</v>
      </c>
      <c r="J1238" s="14" t="s">
        <v>17385</v>
      </c>
      <c r="K1238" s="14" t="s">
        <v>35207</v>
      </c>
      <c r="L1238" s="152" t="s">
        <v>18075</v>
      </c>
      <c r="M1238" s="14" t="s">
        <v>35208</v>
      </c>
      <c r="N1238" s="54" t="s">
        <v>35207</v>
      </c>
      <c r="O1238" s="130"/>
      <c r="P1238" s="153" t="s">
        <v>17387</v>
      </c>
      <c r="Q1238" s="14">
        <v>4015427.0</v>
      </c>
      <c r="R1238" s="95"/>
      <c r="S1238" s="154"/>
      <c r="T1238" s="84"/>
      <c r="U1238" s="84"/>
      <c r="V1238" s="84"/>
      <c r="W1238" s="84"/>
      <c r="X1238" s="84"/>
      <c r="Y1238" s="84"/>
      <c r="Z1238" s="84"/>
      <c r="AA1238" s="84"/>
      <c r="AB1238" s="84"/>
      <c r="AC1238" s="84"/>
    </row>
    <row r="1239" ht="15.75" customHeight="1">
      <c r="A1239" s="14" t="s">
        <v>120</v>
      </c>
      <c r="B1239" s="14">
        <v>2006.0</v>
      </c>
      <c r="C1239" s="14" t="s">
        <v>17420</v>
      </c>
      <c r="D1239" s="14" t="s">
        <v>17421</v>
      </c>
      <c r="E1239" s="150" t="str">
        <f t="shared" si="14"/>
        <v>http://dx.doi.org/10.1109/VAST.2006.261421</v>
      </c>
      <c r="F1239" s="14">
        <v>167.0</v>
      </c>
      <c r="G1239" s="14">
        <v>174.0</v>
      </c>
      <c r="H1239" s="151"/>
      <c r="I1239" s="14" t="s">
        <v>28</v>
      </c>
      <c r="J1239" s="14" t="s">
        <v>17422</v>
      </c>
      <c r="K1239" s="14" t="s">
        <v>35210</v>
      </c>
      <c r="L1239" s="152" t="s">
        <v>18139</v>
      </c>
      <c r="M1239" s="14" t="s">
        <v>35211</v>
      </c>
      <c r="N1239" s="54" t="s">
        <v>35210</v>
      </c>
      <c r="O1239" s="130" t="s">
        <v>6121</v>
      </c>
      <c r="P1239" s="153" t="s">
        <v>35212</v>
      </c>
      <c r="Q1239" s="14">
        <v>4035762.0</v>
      </c>
      <c r="R1239" s="95"/>
      <c r="S1239" s="154">
        <v>963273.0</v>
      </c>
      <c r="T1239" s="84"/>
      <c r="U1239" s="84"/>
      <c r="V1239" s="84"/>
      <c r="W1239" s="84"/>
      <c r="X1239" s="84"/>
      <c r="Y1239" s="84"/>
      <c r="Z1239" s="84"/>
      <c r="AA1239" s="84"/>
      <c r="AB1239" s="84"/>
      <c r="AC1239" s="84"/>
    </row>
    <row r="1240" ht="15.75" customHeight="1">
      <c r="A1240" s="14" t="s">
        <v>120</v>
      </c>
      <c r="B1240" s="14">
        <v>2006.0</v>
      </c>
      <c r="C1240" s="14" t="s">
        <v>17554</v>
      </c>
      <c r="D1240" s="14" t="s">
        <v>17555</v>
      </c>
      <c r="E1240" s="150" t="str">
        <f t="shared" si="14"/>
        <v>http://dx.doi.org/10.1109/VAST.2006.261437</v>
      </c>
      <c r="F1240" s="14">
        <v>115.0</v>
      </c>
      <c r="G1240" s="14">
        <v>122.0</v>
      </c>
      <c r="H1240" s="151"/>
      <c r="I1240" s="14" t="s">
        <v>28</v>
      </c>
      <c r="J1240" s="14" t="s">
        <v>17556</v>
      </c>
      <c r="K1240" s="14" t="s">
        <v>35213</v>
      </c>
      <c r="L1240" s="152" t="s">
        <v>18578</v>
      </c>
      <c r="M1240" s="14" t="s">
        <v>35214</v>
      </c>
      <c r="N1240" s="54" t="s">
        <v>35213</v>
      </c>
      <c r="O1240" s="130" t="s">
        <v>17559</v>
      </c>
      <c r="P1240" s="153" t="s">
        <v>35215</v>
      </c>
      <c r="Q1240" s="14">
        <v>4035755.0</v>
      </c>
      <c r="R1240" s="95"/>
      <c r="S1240" s="154" t="s">
        <v>35216</v>
      </c>
      <c r="T1240" s="84"/>
      <c r="U1240" s="84"/>
      <c r="V1240" s="84"/>
      <c r="W1240" s="84"/>
      <c r="X1240" s="84"/>
      <c r="Y1240" s="84"/>
      <c r="Z1240" s="84"/>
      <c r="AA1240" s="84"/>
      <c r="AB1240" s="84"/>
      <c r="AC1240" s="84"/>
    </row>
    <row r="1241" ht="15.75" customHeight="1">
      <c r="A1241" s="14" t="s">
        <v>120</v>
      </c>
      <c r="B1241" s="14">
        <v>2006.0</v>
      </c>
      <c r="C1241" s="14" t="s">
        <v>17475</v>
      </c>
      <c r="D1241" s="14" t="s">
        <v>17476</v>
      </c>
      <c r="E1241" s="150" t="str">
        <f t="shared" si="14"/>
        <v>http://dx.doi.org/10.1109/VAST.2006.261427</v>
      </c>
      <c r="F1241" s="14">
        <v>27.0</v>
      </c>
      <c r="G1241" s="14">
        <v>34.0</v>
      </c>
      <c r="H1241" s="151"/>
      <c r="I1241" s="14" t="s">
        <v>28</v>
      </c>
      <c r="J1241" s="14" t="s">
        <v>17477</v>
      </c>
      <c r="K1241" s="14" t="s">
        <v>35217</v>
      </c>
      <c r="L1241" s="152" t="s">
        <v>18222</v>
      </c>
      <c r="M1241" s="14" t="s">
        <v>35218</v>
      </c>
      <c r="N1241" s="54" t="s">
        <v>35217</v>
      </c>
      <c r="O1241" s="130" t="s">
        <v>14202</v>
      </c>
      <c r="P1241" s="153" t="s">
        <v>35219</v>
      </c>
      <c r="Q1241" s="14">
        <v>4035744.0</v>
      </c>
      <c r="R1241" s="95"/>
      <c r="S1241" s="154">
        <v>1382887.0</v>
      </c>
      <c r="T1241" s="84"/>
      <c r="U1241" s="84"/>
      <c r="V1241" s="84"/>
      <c r="W1241" s="84"/>
      <c r="X1241" s="84"/>
      <c r="Y1241" s="84"/>
      <c r="Z1241" s="84"/>
      <c r="AA1241" s="84"/>
      <c r="AB1241" s="84"/>
      <c r="AC1241" s="84"/>
    </row>
    <row r="1242" ht="15.75" customHeight="1">
      <c r="A1242" s="14" t="s">
        <v>120</v>
      </c>
      <c r="B1242" s="14">
        <v>2006.0</v>
      </c>
      <c r="C1242" s="14" t="s">
        <v>17394</v>
      </c>
      <c r="D1242" s="14" t="s">
        <v>17395</v>
      </c>
      <c r="E1242" s="150" t="str">
        <f t="shared" si="14"/>
        <v>http://dx.doi.org/10.1109/VAST.2006.261416</v>
      </c>
      <c r="F1242" s="14">
        <v>145.0</v>
      </c>
      <c r="G1242" s="14">
        <v>150.0</v>
      </c>
      <c r="H1242" s="151"/>
      <c r="I1242" s="14" t="s">
        <v>28</v>
      </c>
      <c r="J1242" s="14" t="s">
        <v>17396</v>
      </c>
      <c r="K1242" s="14" t="s">
        <v>10422</v>
      </c>
      <c r="L1242" s="152" t="s">
        <v>18097</v>
      </c>
      <c r="M1242" s="14">
        <v>3.72686713E10</v>
      </c>
      <c r="N1242" s="54" t="s">
        <v>10422</v>
      </c>
      <c r="O1242" s="130" t="s">
        <v>17399</v>
      </c>
      <c r="P1242" s="153" t="s">
        <v>35220</v>
      </c>
      <c r="Q1242" s="14">
        <v>4035759.0</v>
      </c>
      <c r="R1242" s="95"/>
      <c r="S1242" s="154" t="s">
        <v>35221</v>
      </c>
      <c r="T1242" s="84"/>
      <c r="U1242" s="84"/>
      <c r="V1242" s="84"/>
      <c r="W1242" s="84"/>
      <c r="X1242" s="84"/>
      <c r="Y1242" s="84"/>
      <c r="Z1242" s="84"/>
      <c r="AA1242" s="84"/>
      <c r="AB1242" s="84"/>
      <c r="AC1242" s="84"/>
    </row>
    <row r="1243" ht="15.75" customHeight="1">
      <c r="A1243" s="14" t="s">
        <v>120</v>
      </c>
      <c r="B1243" s="14">
        <v>2006.0</v>
      </c>
      <c r="C1243" s="14" t="s">
        <v>17388</v>
      </c>
      <c r="D1243" s="14" t="s">
        <v>17389</v>
      </c>
      <c r="E1243" s="150" t="str">
        <f t="shared" si="14"/>
        <v>http://dx.doi.org/10.1109/VAST.2006.261415</v>
      </c>
      <c r="F1243" s="14">
        <v>137.0</v>
      </c>
      <c r="G1243" s="14">
        <v>144.0</v>
      </c>
      <c r="H1243" s="151"/>
      <c r="I1243" s="14" t="s">
        <v>28</v>
      </c>
      <c r="J1243" s="14" t="s">
        <v>17390</v>
      </c>
      <c r="K1243" s="14" t="s">
        <v>8655</v>
      </c>
      <c r="L1243" s="152" t="s">
        <v>18083</v>
      </c>
      <c r="M1243" s="14">
        <v>3.78300922E10</v>
      </c>
      <c r="N1243" s="54" t="s">
        <v>8655</v>
      </c>
      <c r="O1243" s="130"/>
      <c r="P1243" s="153" t="s">
        <v>35223</v>
      </c>
      <c r="Q1243" s="14">
        <v>4035758.0</v>
      </c>
      <c r="R1243" s="95"/>
      <c r="S1243" s="154"/>
      <c r="T1243" s="84"/>
      <c r="U1243" s="84"/>
      <c r="V1243" s="84"/>
      <c r="W1243" s="84"/>
      <c r="X1243" s="84"/>
      <c r="Y1243" s="84"/>
      <c r="Z1243" s="84"/>
      <c r="AA1243" s="84"/>
      <c r="AB1243" s="84"/>
      <c r="AC1243" s="84"/>
    </row>
    <row r="1244" ht="15.75" customHeight="1">
      <c r="A1244" s="14" t="s">
        <v>120</v>
      </c>
      <c r="B1244" s="14">
        <v>2006.0</v>
      </c>
      <c r="C1244" s="14" t="s">
        <v>17496</v>
      </c>
      <c r="D1244" s="14" t="s">
        <v>17497</v>
      </c>
      <c r="E1244" s="150" t="str">
        <f t="shared" si="14"/>
        <v>http://dx.doi.org/10.1109/VAST.2006.261429</v>
      </c>
      <c r="F1244" s="14">
        <v>43.0</v>
      </c>
      <c r="G1244" s="14">
        <v>50.0</v>
      </c>
      <c r="H1244" s="151"/>
      <c r="I1244" s="14" t="s">
        <v>28</v>
      </c>
      <c r="J1244" s="14" t="s">
        <v>17498</v>
      </c>
      <c r="K1244" s="14" t="s">
        <v>35224</v>
      </c>
      <c r="L1244" s="152" t="s">
        <v>18321</v>
      </c>
      <c r="M1244" s="14" t="s">
        <v>35225</v>
      </c>
      <c r="N1244" s="54" t="s">
        <v>35224</v>
      </c>
      <c r="O1244" s="130"/>
      <c r="P1244" s="153" t="s">
        <v>35226</v>
      </c>
      <c r="Q1244" s="14">
        <v>4035746.0</v>
      </c>
      <c r="R1244" s="95"/>
      <c r="S1244" s="154"/>
      <c r="T1244" s="84"/>
      <c r="U1244" s="84"/>
      <c r="V1244" s="84"/>
      <c r="W1244" s="84"/>
      <c r="X1244" s="84"/>
      <c r="Y1244" s="84"/>
      <c r="Z1244" s="84"/>
      <c r="AA1244" s="84"/>
      <c r="AB1244" s="84"/>
      <c r="AC1244" s="84"/>
    </row>
    <row r="1245" ht="15.75" customHeight="1">
      <c r="A1245" s="14" t="s">
        <v>120</v>
      </c>
      <c r="B1245" s="14">
        <v>2006.0</v>
      </c>
      <c r="C1245" s="14" t="s">
        <v>17548</v>
      </c>
      <c r="D1245" s="14" t="s">
        <v>17549</v>
      </c>
      <c r="E1245" s="150" t="str">
        <f t="shared" si="14"/>
        <v>http://dx.doi.org/10.1109/VAST.2006.261436</v>
      </c>
      <c r="F1245" s="14">
        <v>107.0</v>
      </c>
      <c r="G1245" s="14">
        <v>114.0</v>
      </c>
      <c r="H1245" s="151"/>
      <c r="I1245" s="14" t="s">
        <v>28</v>
      </c>
      <c r="J1245" s="14" t="s">
        <v>17550</v>
      </c>
      <c r="K1245" s="14" t="s">
        <v>35227</v>
      </c>
      <c r="L1245" s="152" t="s">
        <v>18564</v>
      </c>
      <c r="M1245" s="14" t="s">
        <v>35228</v>
      </c>
      <c r="N1245" s="54" t="s">
        <v>35227</v>
      </c>
      <c r="O1245" s="130" t="s">
        <v>2819</v>
      </c>
      <c r="P1245" s="153" t="s">
        <v>17553</v>
      </c>
      <c r="Q1245" s="14">
        <v>4035754.0</v>
      </c>
      <c r="R1245" s="95"/>
      <c r="S1245" s="154">
        <v>559226.0</v>
      </c>
      <c r="T1245" s="84"/>
      <c r="U1245" s="84"/>
      <c r="V1245" s="84"/>
      <c r="W1245" s="84"/>
      <c r="X1245" s="84"/>
      <c r="Y1245" s="84"/>
      <c r="Z1245" s="84"/>
      <c r="AA1245" s="84"/>
      <c r="AB1245" s="84"/>
      <c r="AC1245" s="84"/>
    </row>
    <row r="1246" ht="15.75" customHeight="1">
      <c r="A1246" s="14" t="s">
        <v>120</v>
      </c>
      <c r="B1246" s="14">
        <v>2006.0</v>
      </c>
      <c r="C1246" s="14" t="s">
        <v>17443</v>
      </c>
      <c r="D1246" s="14" t="s">
        <v>17445</v>
      </c>
      <c r="E1246" s="150" t="str">
        <f t="shared" si="14"/>
        <v>http://dx.doi.org/10.1109/VAST.2006.261424</v>
      </c>
      <c r="F1246" s="14">
        <v>183.0</v>
      </c>
      <c r="G1246" s="14">
        <v>190.0</v>
      </c>
      <c r="H1246" s="151"/>
      <c r="I1246" s="14" t="s">
        <v>28</v>
      </c>
      <c r="J1246" s="14" t="s">
        <v>17448</v>
      </c>
      <c r="K1246" s="14" t="s">
        <v>35229</v>
      </c>
      <c r="L1246" s="152" t="s">
        <v>18184</v>
      </c>
      <c r="M1246" s="14" t="s">
        <v>35230</v>
      </c>
      <c r="N1246" s="54" t="s">
        <v>35229</v>
      </c>
      <c r="O1246" s="130" t="s">
        <v>17451</v>
      </c>
      <c r="P1246" s="153" t="s">
        <v>35231</v>
      </c>
      <c r="Q1246" s="14">
        <v>4035764.0</v>
      </c>
      <c r="R1246" s="95"/>
      <c r="S1246" s="154" t="s">
        <v>35232</v>
      </c>
      <c r="T1246" s="84"/>
      <c r="U1246" s="84"/>
      <c r="V1246" s="84"/>
      <c r="W1246" s="84"/>
      <c r="X1246" s="84"/>
      <c r="Y1246" s="84"/>
      <c r="Z1246" s="84"/>
      <c r="AA1246" s="84"/>
      <c r="AB1246" s="84"/>
      <c r="AC1246" s="84"/>
    </row>
    <row r="1247" ht="15.75" customHeight="1">
      <c r="A1247" s="14" t="s">
        <v>120</v>
      </c>
      <c r="B1247" s="14">
        <v>2006.0</v>
      </c>
      <c r="C1247" s="14" t="s">
        <v>17525</v>
      </c>
      <c r="D1247" s="14" t="s">
        <v>17526</v>
      </c>
      <c r="E1247" s="150" t="str">
        <f t="shared" si="14"/>
        <v>http://dx.doi.org/10.1109/VAST.2006.261433</v>
      </c>
      <c r="F1247" s="14">
        <v>75.0</v>
      </c>
      <c r="G1247" s="14">
        <v>82.0</v>
      </c>
      <c r="H1247" s="151"/>
      <c r="I1247" s="14" t="s">
        <v>28</v>
      </c>
      <c r="J1247" s="14" t="s">
        <v>17527</v>
      </c>
      <c r="K1247" s="14" t="s">
        <v>34798</v>
      </c>
      <c r="L1247" s="152" t="s">
        <v>18476</v>
      </c>
      <c r="M1247" s="14" t="s">
        <v>35233</v>
      </c>
      <c r="N1247" s="54" t="s">
        <v>34798</v>
      </c>
      <c r="O1247" s="130" t="s">
        <v>17531</v>
      </c>
      <c r="P1247" s="153" t="s">
        <v>17532</v>
      </c>
      <c r="Q1247" s="14">
        <v>4035750.0</v>
      </c>
      <c r="R1247" s="95"/>
      <c r="S1247" s="154" t="s">
        <v>35234</v>
      </c>
      <c r="T1247" s="84"/>
      <c r="U1247" s="84"/>
      <c r="V1247" s="84"/>
      <c r="W1247" s="84"/>
      <c r="X1247" s="84"/>
      <c r="Y1247" s="84"/>
      <c r="Z1247" s="84"/>
      <c r="AA1247" s="84"/>
      <c r="AB1247" s="84"/>
      <c r="AC1247" s="84"/>
    </row>
    <row r="1248" ht="15.75" customHeight="1">
      <c r="A1248" s="14" t="s">
        <v>120</v>
      </c>
      <c r="B1248" s="14">
        <v>2006.0</v>
      </c>
      <c r="C1248" s="14" t="s">
        <v>17517</v>
      </c>
      <c r="D1248" s="14" t="s">
        <v>17518</v>
      </c>
      <c r="E1248" s="150" t="str">
        <f t="shared" si="14"/>
        <v>http://dx.doi.org/10.1109/VAST.2006.261432</v>
      </c>
      <c r="F1248" s="14">
        <v>67.0</v>
      </c>
      <c r="G1248" s="14">
        <v>74.0</v>
      </c>
      <c r="H1248" s="151"/>
      <c r="I1248" s="14" t="s">
        <v>28</v>
      </c>
      <c r="J1248" s="14" t="s">
        <v>17519</v>
      </c>
      <c r="K1248" s="14" t="s">
        <v>35235</v>
      </c>
      <c r="L1248" s="152" t="s">
        <v>18363</v>
      </c>
      <c r="M1248" s="14" t="s">
        <v>35236</v>
      </c>
      <c r="N1248" s="54" t="s">
        <v>35235</v>
      </c>
      <c r="O1248" s="130" t="s">
        <v>17523</v>
      </c>
      <c r="P1248" s="153" t="s">
        <v>17524</v>
      </c>
      <c r="Q1248" s="14">
        <v>4035749.0</v>
      </c>
      <c r="R1248" s="95"/>
      <c r="S1248" s="154" t="s">
        <v>35237</v>
      </c>
      <c r="T1248" s="84"/>
      <c r="U1248" s="84"/>
      <c r="V1248" s="84"/>
      <c r="W1248" s="84"/>
      <c r="X1248" s="84"/>
      <c r="Y1248" s="84"/>
      <c r="Z1248" s="84"/>
      <c r="AA1248" s="84"/>
      <c r="AB1248" s="84"/>
      <c r="AC1248" s="84"/>
    </row>
    <row r="1249" ht="15.75" customHeight="1">
      <c r="A1249" s="14" t="s">
        <v>120</v>
      </c>
      <c r="B1249" s="14">
        <v>2006.0</v>
      </c>
      <c r="C1249" s="14" t="s">
        <v>17503</v>
      </c>
      <c r="D1249" s="14" t="s">
        <v>17504</v>
      </c>
      <c r="E1249" s="150" t="str">
        <f t="shared" si="14"/>
        <v>http://dx.doi.org/10.1109/VAST.2006.261430</v>
      </c>
      <c r="F1249" s="14">
        <v>51.0</v>
      </c>
      <c r="G1249" s="14">
        <v>58.0</v>
      </c>
      <c r="H1249" s="151"/>
      <c r="I1249" s="14" t="s">
        <v>28</v>
      </c>
      <c r="J1249" s="14" t="s">
        <v>17505</v>
      </c>
      <c r="K1249" s="14" t="s">
        <v>35239</v>
      </c>
      <c r="L1249" s="152" t="s">
        <v>18336</v>
      </c>
      <c r="M1249" s="14" t="s">
        <v>35240</v>
      </c>
      <c r="N1249" s="54" t="s">
        <v>35239</v>
      </c>
      <c r="O1249" s="130" t="s">
        <v>17508</v>
      </c>
      <c r="P1249" s="153" t="s">
        <v>35241</v>
      </c>
      <c r="Q1249" s="14">
        <v>4035747.0</v>
      </c>
      <c r="R1249" s="95"/>
      <c r="S1249" s="154" t="s">
        <v>35242</v>
      </c>
      <c r="T1249" s="84"/>
      <c r="U1249" s="84"/>
      <c r="V1249" s="84"/>
      <c r="W1249" s="84"/>
      <c r="X1249" s="84"/>
      <c r="Y1249" s="84"/>
      <c r="Z1249" s="84"/>
      <c r="AA1249" s="84"/>
      <c r="AB1249" s="84"/>
      <c r="AC1249" s="84"/>
    </row>
    <row r="1250" ht="15.75" customHeight="1">
      <c r="A1250" s="14" t="s">
        <v>120</v>
      </c>
      <c r="B1250" s="14">
        <v>2006.0</v>
      </c>
      <c r="C1250" s="14" t="s">
        <v>17533</v>
      </c>
      <c r="D1250" s="14" t="s">
        <v>17534</v>
      </c>
      <c r="E1250" s="150" t="str">
        <f t="shared" si="14"/>
        <v>http://dx.doi.org/10.1109/VAST.2006.261434</v>
      </c>
      <c r="F1250" s="14">
        <v>83.0</v>
      </c>
      <c r="G1250" s="14">
        <v>90.0</v>
      </c>
      <c r="H1250" s="151"/>
      <c r="I1250" s="14" t="s">
        <v>28</v>
      </c>
      <c r="J1250" s="14" t="s">
        <v>17535</v>
      </c>
      <c r="K1250" s="14" t="s">
        <v>35243</v>
      </c>
      <c r="L1250" s="152" t="s">
        <v>18544</v>
      </c>
      <c r="M1250" s="14" t="s">
        <v>35244</v>
      </c>
      <c r="N1250" s="54" t="s">
        <v>35245</v>
      </c>
      <c r="O1250" s="130" t="s">
        <v>17539</v>
      </c>
      <c r="P1250" s="153" t="s">
        <v>17540</v>
      </c>
      <c r="Q1250" s="14">
        <v>4035751.0</v>
      </c>
      <c r="R1250" s="95"/>
      <c r="S1250" s="154" t="s">
        <v>35246</v>
      </c>
      <c r="T1250" s="84"/>
      <c r="U1250" s="84"/>
      <c r="V1250" s="84"/>
      <c r="W1250" s="84"/>
      <c r="X1250" s="84"/>
      <c r="Y1250" s="84"/>
      <c r="Z1250" s="84"/>
      <c r="AA1250" s="84"/>
      <c r="AB1250" s="84"/>
      <c r="AC1250" s="84"/>
    </row>
    <row r="1251" ht="15.75" customHeight="1">
      <c r="A1251" s="14" t="s">
        <v>120</v>
      </c>
      <c r="B1251" s="14">
        <v>2006.0</v>
      </c>
      <c r="C1251" s="14" t="s">
        <v>17541</v>
      </c>
      <c r="D1251" s="14" t="s">
        <v>17542</v>
      </c>
      <c r="E1251" s="150" t="str">
        <f t="shared" si="14"/>
        <v>http://dx.doi.org/10.1109/VAST.2006.261435</v>
      </c>
      <c r="F1251" s="14">
        <v>99.0</v>
      </c>
      <c r="G1251" s="14">
        <v>106.0</v>
      </c>
      <c r="H1251" s="151"/>
      <c r="I1251" s="14" t="s">
        <v>28</v>
      </c>
      <c r="J1251" s="14" t="s">
        <v>17543</v>
      </c>
      <c r="K1251" s="14" t="s">
        <v>17544</v>
      </c>
      <c r="L1251" s="152" t="s">
        <v>18559</v>
      </c>
      <c r="M1251" s="14" t="s">
        <v>35247</v>
      </c>
      <c r="N1251" s="54" t="s">
        <v>17544</v>
      </c>
      <c r="O1251" s="130" t="s">
        <v>17546</v>
      </c>
      <c r="P1251" s="153" t="s">
        <v>35248</v>
      </c>
      <c r="Q1251" s="14">
        <v>4035753.0</v>
      </c>
      <c r="R1251" s="95"/>
      <c r="S1251" s="154" t="s">
        <v>35249</v>
      </c>
      <c r="T1251" s="84"/>
      <c r="U1251" s="84"/>
      <c r="V1251" s="84"/>
      <c r="W1251" s="84"/>
      <c r="X1251" s="84"/>
      <c r="Y1251" s="84"/>
      <c r="Z1251" s="84"/>
      <c r="AA1251" s="84"/>
      <c r="AB1251" s="84"/>
      <c r="AC1251" s="84"/>
    </row>
    <row r="1252" ht="15.75" customHeight="1">
      <c r="A1252" s="14" t="s">
        <v>120</v>
      </c>
      <c r="B1252" s="14">
        <v>2006.0</v>
      </c>
      <c r="C1252" s="14" t="s">
        <v>17563</v>
      </c>
      <c r="D1252" s="14" t="s">
        <v>17565</v>
      </c>
      <c r="E1252" s="150" t="str">
        <f t="shared" si="14"/>
        <v>http://dx.doi.org/10.1109/VAST.2006.261438</v>
      </c>
      <c r="F1252" s="14">
        <v>123.0</v>
      </c>
      <c r="G1252" s="14">
        <v>128.0</v>
      </c>
      <c r="H1252" s="151"/>
      <c r="I1252" s="14" t="s">
        <v>28</v>
      </c>
      <c r="J1252" s="14" t="s">
        <v>17568</v>
      </c>
      <c r="K1252" s="14" t="s">
        <v>35250</v>
      </c>
      <c r="L1252" s="152" t="s">
        <v>18588</v>
      </c>
      <c r="M1252" s="14" t="s">
        <v>35253</v>
      </c>
      <c r="N1252" s="54" t="s">
        <v>35250</v>
      </c>
      <c r="O1252" s="130" t="s">
        <v>17572</v>
      </c>
      <c r="P1252" s="153" t="s">
        <v>35254</v>
      </c>
      <c r="Q1252" s="14">
        <v>4035756.0</v>
      </c>
      <c r="R1252" s="95"/>
      <c r="S1252" s="154" t="s">
        <v>35255</v>
      </c>
      <c r="T1252" s="84"/>
      <c r="U1252" s="84"/>
      <c r="V1252" s="84"/>
      <c r="W1252" s="84"/>
      <c r="X1252" s="84"/>
      <c r="Y1252" s="84"/>
      <c r="Z1252" s="84"/>
      <c r="AA1252" s="84"/>
      <c r="AB1252" s="84"/>
      <c r="AC1252" s="84"/>
    </row>
    <row r="1253" ht="15.75" customHeight="1">
      <c r="A1253" s="14" t="s">
        <v>120</v>
      </c>
      <c r="B1253" s="14">
        <v>2006.0</v>
      </c>
      <c r="C1253" s="14" t="s">
        <v>17461</v>
      </c>
      <c r="D1253" s="14" t="s">
        <v>17462</v>
      </c>
      <c r="E1253" s="150" t="str">
        <f t="shared" si="14"/>
        <v>http://dx.doi.org/10.1109/VAST.2006.261426</v>
      </c>
      <c r="F1253" s="14">
        <v>91.0</v>
      </c>
      <c r="G1253" s="14">
        <v>98.0</v>
      </c>
      <c r="H1253" s="151"/>
      <c r="I1253" s="14" t="s">
        <v>28</v>
      </c>
      <c r="J1253" s="14" t="s">
        <v>17467</v>
      </c>
      <c r="K1253" s="14" t="s">
        <v>35256</v>
      </c>
      <c r="L1253" s="152" t="s">
        <v>18209</v>
      </c>
      <c r="M1253" s="14" t="s">
        <v>35257</v>
      </c>
      <c r="N1253" s="54" t="s">
        <v>35256</v>
      </c>
      <c r="O1253" s="130" t="s">
        <v>17472</v>
      </c>
      <c r="P1253" s="153" t="s">
        <v>35258</v>
      </c>
      <c r="Q1253" s="14">
        <v>4035752.0</v>
      </c>
      <c r="R1253" s="95"/>
      <c r="S1253" s="154" t="s">
        <v>35259</v>
      </c>
      <c r="T1253" s="84"/>
      <c r="U1253" s="84"/>
      <c r="V1253" s="84"/>
      <c r="W1253" s="84"/>
      <c r="X1253" s="84"/>
      <c r="Y1253" s="84"/>
      <c r="Z1253" s="84"/>
      <c r="AA1253" s="84"/>
      <c r="AB1253" s="84"/>
      <c r="AC1253" s="84"/>
    </row>
    <row r="1254" ht="15.75" customHeight="1">
      <c r="A1254" s="14" t="s">
        <v>120</v>
      </c>
      <c r="B1254" s="14">
        <v>2006.0</v>
      </c>
      <c r="C1254" s="14" t="s">
        <v>17434</v>
      </c>
      <c r="D1254" s="14" t="s">
        <v>17435</v>
      </c>
      <c r="E1254" s="150" t="str">
        <f t="shared" si="14"/>
        <v>http://dx.doi.org/10.1109/VAST.2006.261423</v>
      </c>
      <c r="F1254" s="14">
        <v>199.0</v>
      </c>
      <c r="G1254" s="14">
        <v>206.0</v>
      </c>
      <c r="H1254" s="151"/>
      <c r="I1254" s="14" t="s">
        <v>28</v>
      </c>
      <c r="J1254" s="14" t="s">
        <v>17436</v>
      </c>
      <c r="K1254" s="14" t="s">
        <v>35260</v>
      </c>
      <c r="L1254" s="152" t="s">
        <v>17762</v>
      </c>
      <c r="M1254" s="14" t="s">
        <v>35261</v>
      </c>
      <c r="N1254" s="54" t="s">
        <v>35260</v>
      </c>
      <c r="O1254" s="130" t="s">
        <v>17440</v>
      </c>
      <c r="P1254" s="153" t="s">
        <v>35262</v>
      </c>
      <c r="Q1254" s="14">
        <v>4035766.0</v>
      </c>
      <c r="R1254" s="95"/>
      <c r="S1254" s="154" t="s">
        <v>35263</v>
      </c>
      <c r="T1254" s="84"/>
      <c r="U1254" s="84"/>
      <c r="V1254" s="84"/>
      <c r="W1254" s="84"/>
      <c r="X1254" s="84"/>
      <c r="Y1254" s="84"/>
      <c r="Z1254" s="84"/>
      <c r="AA1254" s="84"/>
      <c r="AB1254" s="84"/>
      <c r="AC1254" s="84"/>
    </row>
    <row r="1255" ht="15.75" customHeight="1">
      <c r="A1255" s="14" t="s">
        <v>120</v>
      </c>
      <c r="B1255" s="14">
        <v>2006.0</v>
      </c>
      <c r="C1255" s="14" t="s">
        <v>17407</v>
      </c>
      <c r="D1255" s="14" t="s">
        <v>17408</v>
      </c>
      <c r="E1255" s="150" t="str">
        <f t="shared" si="14"/>
        <v>http://dx.doi.org/10.1109/VAST.2006.261418</v>
      </c>
      <c r="F1255" s="14">
        <v>159.0</v>
      </c>
      <c r="G1255" s="14">
        <v>166.0</v>
      </c>
      <c r="H1255" s="151"/>
      <c r="I1255" s="14" t="s">
        <v>28</v>
      </c>
      <c r="J1255" s="14" t="s">
        <v>17409</v>
      </c>
      <c r="K1255" s="14" t="s">
        <v>35264</v>
      </c>
      <c r="L1255" s="152" t="s">
        <v>18121</v>
      </c>
      <c r="M1255" s="14" t="s">
        <v>35265</v>
      </c>
      <c r="N1255" s="54" t="s">
        <v>35266</v>
      </c>
      <c r="O1255" s="130"/>
      <c r="P1255" s="153" t="s">
        <v>17413</v>
      </c>
      <c r="Q1255" s="14">
        <v>4035761.0</v>
      </c>
      <c r="R1255" s="95"/>
      <c r="S1255" s="154"/>
      <c r="T1255" s="84"/>
      <c r="U1255" s="84"/>
      <c r="V1255" s="84"/>
      <c r="W1255" s="84"/>
      <c r="X1255" s="84"/>
      <c r="Y1255" s="84"/>
      <c r="Z1255" s="84"/>
      <c r="AA1255" s="84"/>
      <c r="AB1255" s="84"/>
      <c r="AC1255" s="84"/>
    </row>
    <row r="1256" ht="15.75" customHeight="1">
      <c r="A1256" s="14" t="s">
        <v>120</v>
      </c>
      <c r="B1256" s="14">
        <v>2006.0</v>
      </c>
      <c r="C1256" s="14" t="s">
        <v>17453</v>
      </c>
      <c r="D1256" s="14" t="s">
        <v>17454</v>
      </c>
      <c r="E1256" s="150" t="str">
        <f t="shared" si="14"/>
        <v>http://dx.doi.org/10.1109/VAST.2006.261425</v>
      </c>
      <c r="F1256" s="14">
        <v>191.0</v>
      </c>
      <c r="G1256" s="14">
        <v>198.0</v>
      </c>
      <c r="H1256" s="151"/>
      <c r="I1256" s="14" t="s">
        <v>28</v>
      </c>
      <c r="J1256" s="14" t="s">
        <v>17455</v>
      </c>
      <c r="K1256" s="14" t="s">
        <v>35267</v>
      </c>
      <c r="L1256" s="152" t="s">
        <v>18199</v>
      </c>
      <c r="M1256" s="14" t="s">
        <v>35268</v>
      </c>
      <c r="N1256" s="54" t="s">
        <v>35269</v>
      </c>
      <c r="O1256" s="130" t="s">
        <v>17459</v>
      </c>
      <c r="P1256" s="153" t="s">
        <v>35270</v>
      </c>
      <c r="Q1256" s="14">
        <v>4035765.0</v>
      </c>
      <c r="R1256" s="95"/>
      <c r="S1256" s="154" t="s">
        <v>35271</v>
      </c>
      <c r="T1256" s="84"/>
      <c r="U1256" s="84"/>
      <c r="V1256" s="84"/>
      <c r="W1256" s="84"/>
      <c r="X1256" s="84"/>
      <c r="Y1256" s="84"/>
      <c r="Z1256" s="84"/>
      <c r="AA1256" s="84"/>
      <c r="AB1256" s="84"/>
      <c r="AC1256" s="84"/>
    </row>
    <row r="1257" ht="15.75" customHeight="1">
      <c r="A1257" s="14" t="s">
        <v>120</v>
      </c>
      <c r="B1257" s="14">
        <v>2006.0</v>
      </c>
      <c r="C1257" s="14" t="s">
        <v>17581</v>
      </c>
      <c r="D1257" s="14" t="s">
        <v>17582</v>
      </c>
      <c r="E1257" s="150" t="str">
        <f t="shared" si="14"/>
        <v>http://dx.doi.org/10.1109/VAST.2006.261450</v>
      </c>
      <c r="F1257" s="14">
        <v>3.0</v>
      </c>
      <c r="G1257" s="14">
        <v>10.0</v>
      </c>
      <c r="H1257" s="151"/>
      <c r="I1257" s="14" t="s">
        <v>28</v>
      </c>
      <c r="J1257" s="14" t="s">
        <v>17583</v>
      </c>
      <c r="K1257" s="14" t="s">
        <v>35272</v>
      </c>
      <c r="L1257" s="152" t="s">
        <v>18613</v>
      </c>
      <c r="M1257" s="14" t="s">
        <v>35273</v>
      </c>
      <c r="N1257" s="54" t="s">
        <v>35272</v>
      </c>
      <c r="O1257" s="130" t="s">
        <v>17587</v>
      </c>
      <c r="P1257" s="153" t="s">
        <v>17588</v>
      </c>
      <c r="Q1257" s="14">
        <v>4035741.0</v>
      </c>
      <c r="R1257" s="95"/>
      <c r="S1257" s="154" t="s">
        <v>35274</v>
      </c>
      <c r="T1257" s="84"/>
      <c r="U1257" s="84"/>
      <c r="V1257" s="84"/>
      <c r="W1257" s="84"/>
      <c r="X1257" s="84"/>
      <c r="Y1257" s="84"/>
      <c r="Z1257" s="84"/>
      <c r="AA1257" s="84"/>
      <c r="AB1257" s="84"/>
      <c r="AC1257" s="84"/>
    </row>
    <row r="1258" ht="15.75" customHeight="1">
      <c r="A1258" s="14" t="s">
        <v>120</v>
      </c>
      <c r="B1258" s="14">
        <v>2006.0</v>
      </c>
      <c r="C1258" s="14" t="s">
        <v>17574</v>
      </c>
      <c r="D1258" s="14" t="s">
        <v>17575</v>
      </c>
      <c r="E1258" s="150" t="str">
        <f t="shared" si="14"/>
        <v>http://dx.doi.org/10.1109/VAST.2006.261439</v>
      </c>
      <c r="F1258" s="14">
        <v>129.0</v>
      </c>
      <c r="G1258" s="14">
        <v>136.0</v>
      </c>
      <c r="H1258" s="151"/>
      <c r="I1258" s="14" t="s">
        <v>28</v>
      </c>
      <c r="J1258" s="14" t="s">
        <v>17576</v>
      </c>
      <c r="K1258" s="14" t="s">
        <v>35275</v>
      </c>
      <c r="L1258" s="152" t="s">
        <v>18602</v>
      </c>
      <c r="M1258" s="14" t="s">
        <v>35276</v>
      </c>
      <c r="N1258" s="54" t="s">
        <v>35275</v>
      </c>
      <c r="O1258" s="130"/>
      <c r="P1258" s="153" t="s">
        <v>17580</v>
      </c>
      <c r="Q1258" s="14">
        <v>4035757.0</v>
      </c>
      <c r="R1258" s="95"/>
      <c r="S1258" s="154"/>
      <c r="T1258" s="84"/>
      <c r="U1258" s="84"/>
      <c r="V1258" s="84"/>
      <c r="W1258" s="84"/>
      <c r="X1258" s="84"/>
      <c r="Y1258" s="84"/>
      <c r="Z1258" s="84"/>
      <c r="AA1258" s="84"/>
      <c r="AB1258" s="84"/>
      <c r="AC1258" s="84"/>
    </row>
    <row r="1259" ht="15.75" customHeight="1">
      <c r="A1259" s="14" t="s">
        <v>120</v>
      </c>
      <c r="B1259" s="14">
        <v>2006.0</v>
      </c>
      <c r="C1259" s="14" t="s">
        <v>17427</v>
      </c>
      <c r="D1259" s="14" t="s">
        <v>17428</v>
      </c>
      <c r="E1259" s="150" t="str">
        <f t="shared" si="14"/>
        <v>http://dx.doi.org/10.1109/VAST.2006.261422</v>
      </c>
      <c r="F1259" s="14">
        <v>175.0</v>
      </c>
      <c r="G1259" s="14">
        <v>182.0</v>
      </c>
      <c r="H1259" s="151"/>
      <c r="I1259" s="14" t="s">
        <v>28</v>
      </c>
      <c r="J1259" s="14" t="s">
        <v>17429</v>
      </c>
      <c r="K1259" s="14" t="s">
        <v>10613</v>
      </c>
      <c r="L1259" s="152" t="s">
        <v>18156</v>
      </c>
      <c r="M1259" s="14">
        <v>3.73475714E10</v>
      </c>
      <c r="N1259" s="54" t="s">
        <v>10613</v>
      </c>
      <c r="O1259" s="130" t="s">
        <v>17432</v>
      </c>
      <c r="P1259" s="153" t="s">
        <v>35277</v>
      </c>
      <c r="Q1259" s="14">
        <v>4035763.0</v>
      </c>
      <c r="R1259" s="95"/>
      <c r="S1259" s="154" t="s">
        <v>35278</v>
      </c>
      <c r="T1259" s="84"/>
      <c r="U1259" s="84"/>
      <c r="V1259" s="84"/>
      <c r="W1259" s="84"/>
      <c r="X1259" s="84"/>
      <c r="Y1259" s="84"/>
      <c r="Z1259" s="84"/>
      <c r="AA1259" s="84"/>
      <c r="AB1259" s="84"/>
      <c r="AC1259" s="84"/>
    </row>
    <row r="1260" ht="15.75" customHeight="1">
      <c r="A1260" s="14" t="s">
        <v>120</v>
      </c>
      <c r="B1260" s="14">
        <v>2006.0</v>
      </c>
      <c r="C1260" s="14" t="s">
        <v>17414</v>
      </c>
      <c r="D1260" s="14" t="s">
        <v>17415</v>
      </c>
      <c r="E1260" s="150" t="str">
        <f t="shared" si="14"/>
        <v>http://dx.doi.org/10.1109/VAST.2006.261420</v>
      </c>
      <c r="F1260" s="14">
        <v>215.0</v>
      </c>
      <c r="G1260" s="14">
        <v>216.0</v>
      </c>
      <c r="H1260" s="159" t="s">
        <v>30659</v>
      </c>
      <c r="I1260" s="14" t="s">
        <v>21</v>
      </c>
      <c r="J1260" s="14" t="s">
        <v>17416</v>
      </c>
      <c r="K1260" s="14" t="s">
        <v>35279</v>
      </c>
      <c r="L1260" s="152" t="s">
        <v>18124</v>
      </c>
      <c r="M1260" s="14" t="s">
        <v>35280</v>
      </c>
      <c r="N1260" s="54" t="s">
        <v>35279</v>
      </c>
      <c r="O1260" s="130"/>
      <c r="P1260" s="16"/>
      <c r="Q1260" s="14">
        <v>4035768.0</v>
      </c>
      <c r="R1260" s="95"/>
      <c r="S1260" s="154"/>
      <c r="T1260" s="84"/>
      <c r="U1260" s="84"/>
      <c r="V1260" s="84"/>
      <c r="W1260" s="84"/>
      <c r="X1260" s="84"/>
      <c r="Y1260" s="84"/>
      <c r="Z1260" s="84"/>
      <c r="AA1260" s="84"/>
      <c r="AB1260" s="84"/>
      <c r="AC1260" s="84"/>
    </row>
    <row r="1261" ht="15.75" customHeight="1">
      <c r="A1261" s="14" t="s">
        <v>120</v>
      </c>
      <c r="B1261" s="14">
        <v>2006.0</v>
      </c>
      <c r="C1261" s="14" t="s">
        <v>17510</v>
      </c>
      <c r="D1261" s="14" t="s">
        <v>17511</v>
      </c>
      <c r="E1261" s="150" t="str">
        <f t="shared" si="14"/>
        <v>http://dx.doi.org/10.1109/VAST.2006.261431</v>
      </c>
      <c r="F1261" s="14">
        <v>59.0</v>
      </c>
      <c r="G1261" s="14">
        <v>66.0</v>
      </c>
      <c r="H1261" s="151"/>
      <c r="I1261" s="14" t="s">
        <v>28</v>
      </c>
      <c r="J1261" s="14" t="s">
        <v>17512</v>
      </c>
      <c r="K1261" s="14" t="s">
        <v>35281</v>
      </c>
      <c r="L1261" s="152" t="s">
        <v>18347</v>
      </c>
      <c r="M1261" s="14" t="s">
        <v>35282</v>
      </c>
      <c r="N1261" s="54" t="s">
        <v>35281</v>
      </c>
      <c r="O1261" s="130" t="s">
        <v>11895</v>
      </c>
      <c r="P1261" s="153" t="s">
        <v>35283</v>
      </c>
      <c r="Q1261" s="14">
        <v>4035748.0</v>
      </c>
      <c r="R1261" s="95"/>
      <c r="S1261" s="154">
        <v>1173155.0</v>
      </c>
      <c r="T1261" s="84"/>
      <c r="U1261" s="84"/>
      <c r="V1261" s="84"/>
      <c r="W1261" s="84"/>
      <c r="X1261" s="84"/>
      <c r="Y1261" s="84"/>
      <c r="Z1261" s="84"/>
      <c r="AA1261" s="84"/>
      <c r="AB1261" s="84"/>
      <c r="AC1261" s="84"/>
    </row>
    <row r="1262" ht="15.75" customHeight="1">
      <c r="A1262" s="14" t="s">
        <v>120</v>
      </c>
      <c r="B1262" s="14">
        <v>2006.0</v>
      </c>
      <c r="C1262" s="14" t="s">
        <v>17482</v>
      </c>
      <c r="D1262" s="14" t="s">
        <v>17483</v>
      </c>
      <c r="E1262" s="150" t="str">
        <f t="shared" si="14"/>
        <v>http://dx.doi.org/10.1109/VAST.2006.261428</v>
      </c>
      <c r="F1262" s="14">
        <v>35.0</v>
      </c>
      <c r="G1262" s="14">
        <v>42.0</v>
      </c>
      <c r="H1262" s="151"/>
      <c r="I1262" s="14" t="s">
        <v>28</v>
      </c>
      <c r="J1262" s="14" t="s">
        <v>17490</v>
      </c>
      <c r="K1262" s="14" t="s">
        <v>35284</v>
      </c>
      <c r="L1262" s="152" t="s">
        <v>18305</v>
      </c>
      <c r="M1262" s="14" t="s">
        <v>35285</v>
      </c>
      <c r="N1262" s="54" t="s">
        <v>35284</v>
      </c>
      <c r="O1262" s="130" t="s">
        <v>17494</v>
      </c>
      <c r="P1262" s="153" t="s">
        <v>35286</v>
      </c>
      <c r="Q1262" s="14">
        <v>4035745.0</v>
      </c>
      <c r="R1262" s="95"/>
      <c r="S1262" s="154" t="s">
        <v>35287</v>
      </c>
      <c r="T1262" s="84"/>
      <c r="U1262" s="84"/>
      <c r="V1262" s="84"/>
      <c r="W1262" s="84"/>
      <c r="X1262" s="84"/>
      <c r="Y1262" s="84"/>
      <c r="Z1262" s="84"/>
      <c r="AA1262" s="84"/>
      <c r="AB1262" s="84"/>
      <c r="AC1262" s="84"/>
    </row>
    <row r="1263" ht="15.75" customHeight="1">
      <c r="A1263" s="14" t="s">
        <v>120</v>
      </c>
      <c r="B1263" s="14">
        <v>2006.0</v>
      </c>
      <c r="C1263" s="14" t="s">
        <v>17599</v>
      </c>
      <c r="D1263" s="14" t="s">
        <v>17600</v>
      </c>
      <c r="E1263" s="150" t="str">
        <f t="shared" si="14"/>
        <v>http://dx.doi.org/10.1109/VAST.2006.261452</v>
      </c>
      <c r="F1263" s="14">
        <v>19.0</v>
      </c>
      <c r="G1263" s="14">
        <v>26.0</v>
      </c>
      <c r="H1263" s="151"/>
      <c r="I1263" s="14" t="s">
        <v>28</v>
      </c>
      <c r="J1263" s="14" t="s">
        <v>17601</v>
      </c>
      <c r="K1263" s="14" t="s">
        <v>11016</v>
      </c>
      <c r="L1263" s="152" t="s">
        <v>18836</v>
      </c>
      <c r="M1263" s="14">
        <v>3.7265587E10</v>
      </c>
      <c r="N1263" s="54" t="s">
        <v>11016</v>
      </c>
      <c r="O1263" s="130"/>
      <c r="P1263" s="153" t="s">
        <v>35288</v>
      </c>
      <c r="Q1263" s="14">
        <v>4035743.0</v>
      </c>
      <c r="R1263" s="95"/>
      <c r="S1263" s="154"/>
      <c r="T1263" s="84"/>
      <c r="U1263" s="84"/>
      <c r="V1263" s="84"/>
      <c r="W1263" s="84"/>
      <c r="X1263" s="84"/>
      <c r="Y1263" s="84"/>
      <c r="Z1263" s="84"/>
      <c r="AA1263" s="84"/>
      <c r="AB1263" s="84"/>
      <c r="AC1263" s="84"/>
    </row>
    <row r="1264" ht="15.75" customHeight="1">
      <c r="A1264" s="14" t="s">
        <v>120</v>
      </c>
      <c r="B1264" s="14">
        <v>2006.0</v>
      </c>
      <c r="C1264" s="14" t="s">
        <v>17592</v>
      </c>
      <c r="D1264" s="14" t="s">
        <v>17593</v>
      </c>
      <c r="E1264" s="150" t="str">
        <f t="shared" si="14"/>
        <v>http://dx.doi.org/10.1109/VAST.2006.261451</v>
      </c>
      <c r="F1264" s="14">
        <v>11.0</v>
      </c>
      <c r="G1264" s="14">
        <v>18.0</v>
      </c>
      <c r="H1264" s="151"/>
      <c r="I1264" s="14" t="s">
        <v>28</v>
      </c>
      <c r="J1264" s="14" t="s">
        <v>17594</v>
      </c>
      <c r="K1264" s="14" t="s">
        <v>35289</v>
      </c>
      <c r="L1264" s="152" t="s">
        <v>18822</v>
      </c>
      <c r="M1264" s="14" t="s">
        <v>35290</v>
      </c>
      <c r="N1264" s="54" t="s">
        <v>35289</v>
      </c>
      <c r="O1264" s="130" t="s">
        <v>12374</v>
      </c>
      <c r="P1264" s="153" t="s">
        <v>35291</v>
      </c>
      <c r="Q1264" s="14">
        <v>4035742.0</v>
      </c>
      <c r="R1264" s="95"/>
      <c r="S1264" s="154">
        <v>1183789.0</v>
      </c>
      <c r="T1264" s="84"/>
      <c r="U1264" s="84"/>
      <c r="V1264" s="84"/>
      <c r="W1264" s="84"/>
      <c r="X1264" s="84"/>
      <c r="Y1264" s="84"/>
      <c r="Z1264" s="84"/>
      <c r="AA1264" s="84"/>
      <c r="AB1264" s="84"/>
      <c r="AC1264" s="84"/>
    </row>
    <row r="1265" ht="15.75" customHeight="1">
      <c r="A1265" s="14" t="s">
        <v>120</v>
      </c>
      <c r="B1265" s="14">
        <v>2006.0</v>
      </c>
      <c r="C1265" s="14" t="s">
        <v>17401</v>
      </c>
      <c r="D1265" s="14" t="s">
        <v>17402</v>
      </c>
      <c r="E1265" s="150" t="str">
        <f t="shared" si="14"/>
        <v>http://dx.doi.org/10.1109/VAST.2006.261417</v>
      </c>
      <c r="F1265" s="14">
        <v>151.0</v>
      </c>
      <c r="G1265" s="14">
        <v>157.0</v>
      </c>
      <c r="H1265" s="151"/>
      <c r="I1265" s="14" t="s">
        <v>28</v>
      </c>
      <c r="J1265" s="14" t="s">
        <v>17403</v>
      </c>
      <c r="K1265" s="14" t="s">
        <v>35292</v>
      </c>
      <c r="L1265" s="152" t="s">
        <v>18108</v>
      </c>
      <c r="M1265" s="14" t="s">
        <v>35293</v>
      </c>
      <c r="N1265" s="54" t="s">
        <v>35292</v>
      </c>
      <c r="O1265" s="130"/>
      <c r="P1265" s="153" t="s">
        <v>35294</v>
      </c>
      <c r="Q1265" s="14">
        <v>4035760.0</v>
      </c>
      <c r="R1265" s="95"/>
      <c r="S1265" s="154"/>
      <c r="T1265" s="84"/>
      <c r="U1265" s="84"/>
      <c r="V1265" s="84"/>
      <c r="W1265" s="84"/>
      <c r="X1265" s="84"/>
      <c r="Y1265" s="84"/>
      <c r="Z1265" s="84"/>
      <c r="AA1265" s="84"/>
      <c r="AB1265" s="84"/>
      <c r="AC1265" s="84"/>
    </row>
    <row r="1266" ht="15.75" customHeight="1">
      <c r="A1266" s="14" t="s">
        <v>17</v>
      </c>
      <c r="B1266" s="14">
        <v>2006.0</v>
      </c>
      <c r="C1266" s="14" t="s">
        <v>17090</v>
      </c>
      <c r="D1266" s="14" t="s">
        <v>17091</v>
      </c>
      <c r="E1266" s="150" t="str">
        <f t="shared" si="14"/>
        <v>http://dx.doi.org/10.1109/TVCG.2006.110</v>
      </c>
      <c r="F1266" s="14">
        <v>1345.0</v>
      </c>
      <c r="G1266" s="14">
        <v>1352.0</v>
      </c>
      <c r="H1266" s="151"/>
      <c r="I1266" s="14" t="s">
        <v>17059</v>
      </c>
      <c r="J1266" s="14" t="s">
        <v>17093</v>
      </c>
      <c r="K1266" s="14" t="s">
        <v>35295</v>
      </c>
      <c r="L1266" s="152" t="s">
        <v>17095</v>
      </c>
      <c r="M1266" s="14" t="s">
        <v>35296</v>
      </c>
      <c r="N1266" s="54" t="s">
        <v>35295</v>
      </c>
      <c r="O1266" s="130" t="s">
        <v>17096</v>
      </c>
      <c r="P1266" s="153" t="s">
        <v>17097</v>
      </c>
      <c r="Q1266" s="14">
        <v>4015501.0</v>
      </c>
      <c r="R1266" s="95"/>
      <c r="S1266" s="154" t="s">
        <v>35297</v>
      </c>
      <c r="T1266" s="84"/>
      <c r="U1266" s="84"/>
      <c r="V1266" s="84"/>
      <c r="W1266" s="84"/>
      <c r="X1266" s="84"/>
      <c r="Y1266" s="84"/>
      <c r="Z1266" s="84"/>
      <c r="AA1266" s="84"/>
      <c r="AB1266" s="84"/>
      <c r="AC1266" s="84"/>
    </row>
    <row r="1267" ht="15.75" customHeight="1">
      <c r="A1267" s="14" t="s">
        <v>17</v>
      </c>
      <c r="B1267" s="14">
        <v>2006.0</v>
      </c>
      <c r="C1267" s="14" t="s">
        <v>17098</v>
      </c>
      <c r="D1267" s="14" t="s">
        <v>17099</v>
      </c>
      <c r="E1267" s="150" t="str">
        <f t="shared" si="14"/>
        <v>http://dx.doi.org/10.1109/TVCG.2006.111</v>
      </c>
      <c r="F1267" s="14">
        <v>981.0</v>
      </c>
      <c r="G1267" s="14">
        <v>988.0</v>
      </c>
      <c r="H1267" s="151"/>
      <c r="I1267" s="14" t="s">
        <v>17059</v>
      </c>
      <c r="J1267" s="14" t="s">
        <v>17101</v>
      </c>
      <c r="K1267" s="14" t="s">
        <v>35298</v>
      </c>
      <c r="L1267" s="152" t="s">
        <v>17103</v>
      </c>
      <c r="M1267" s="14" t="s">
        <v>35299</v>
      </c>
      <c r="N1267" s="54" t="s">
        <v>35300</v>
      </c>
      <c r="O1267" s="130" t="s">
        <v>17104</v>
      </c>
      <c r="P1267" s="153" t="s">
        <v>17105</v>
      </c>
      <c r="Q1267" s="14">
        <v>4015455.0</v>
      </c>
      <c r="R1267" s="95"/>
      <c r="S1267" s="154" t="s">
        <v>35301</v>
      </c>
      <c r="T1267" s="84"/>
      <c r="U1267" s="84"/>
      <c r="V1267" s="84"/>
      <c r="W1267" s="84"/>
      <c r="X1267" s="84"/>
      <c r="Y1267" s="84"/>
      <c r="Z1267" s="84"/>
      <c r="AA1267" s="84"/>
      <c r="AB1267" s="84"/>
      <c r="AC1267" s="84"/>
    </row>
    <row r="1268" ht="15.75" customHeight="1">
      <c r="A1268" s="14" t="s">
        <v>17</v>
      </c>
      <c r="B1268" s="14">
        <v>2006.0</v>
      </c>
      <c r="C1268" s="14" t="s">
        <v>17106</v>
      </c>
      <c r="D1268" s="14" t="s">
        <v>17107</v>
      </c>
      <c r="E1268" s="150" t="str">
        <f t="shared" si="14"/>
        <v>http://dx.doi.org/10.1109/TVCG.2006.112</v>
      </c>
      <c r="F1268" s="14">
        <v>861.0</v>
      </c>
      <c r="G1268" s="14">
        <v>868.0</v>
      </c>
      <c r="H1268" s="151"/>
      <c r="I1268" s="14" t="s">
        <v>17059</v>
      </c>
      <c r="J1268" s="14" t="s">
        <v>17109</v>
      </c>
      <c r="K1268" s="14" t="s">
        <v>35302</v>
      </c>
      <c r="L1268" s="152" t="s">
        <v>17111</v>
      </c>
      <c r="M1268" s="14" t="s">
        <v>35304</v>
      </c>
      <c r="N1268" s="54" t="s">
        <v>35302</v>
      </c>
      <c r="O1268" s="130" t="s">
        <v>17112</v>
      </c>
      <c r="P1268" s="153" t="s">
        <v>17113</v>
      </c>
      <c r="Q1268" s="14">
        <v>4015440.0</v>
      </c>
      <c r="R1268" s="95"/>
      <c r="S1268" s="154" t="s">
        <v>35306</v>
      </c>
      <c r="T1268" s="84"/>
      <c r="U1268" s="84"/>
      <c r="V1268" s="84"/>
      <c r="W1268" s="84"/>
      <c r="X1268" s="84"/>
      <c r="Y1268" s="84"/>
      <c r="Z1268" s="84"/>
      <c r="AA1268" s="84"/>
      <c r="AB1268" s="84"/>
      <c r="AC1268" s="84"/>
    </row>
    <row r="1269" ht="15.75" customHeight="1">
      <c r="A1269" s="14" t="s">
        <v>17</v>
      </c>
      <c r="B1269" s="14">
        <v>2006.0</v>
      </c>
      <c r="C1269" s="14" t="s">
        <v>17114</v>
      </c>
      <c r="D1269" s="14" t="s">
        <v>17115</v>
      </c>
      <c r="E1269" s="150" t="str">
        <f t="shared" si="14"/>
        <v>http://dx.doi.org/10.1109/TVCG.2006.113</v>
      </c>
      <c r="F1269" s="14">
        <v>1353.0</v>
      </c>
      <c r="G1269" s="14">
        <v>1360.0</v>
      </c>
      <c r="H1269" s="151"/>
      <c r="I1269" s="14" t="s">
        <v>17059</v>
      </c>
      <c r="J1269" s="14" t="s">
        <v>17117</v>
      </c>
      <c r="K1269" s="14" t="s">
        <v>35307</v>
      </c>
      <c r="L1269" s="152" t="s">
        <v>17119</v>
      </c>
      <c r="M1269" s="14" t="s">
        <v>35308</v>
      </c>
      <c r="N1269" s="54" t="s">
        <v>35307</v>
      </c>
      <c r="O1269" s="130" t="s">
        <v>17120</v>
      </c>
      <c r="P1269" s="153" t="s">
        <v>17121</v>
      </c>
      <c r="Q1269" s="14">
        <v>4015502.0</v>
      </c>
      <c r="R1269" s="95"/>
      <c r="S1269" s="154" t="s">
        <v>35309</v>
      </c>
      <c r="T1269" s="84"/>
      <c r="U1269" s="84"/>
      <c r="V1269" s="84"/>
      <c r="W1269" s="84"/>
      <c r="X1269" s="84"/>
      <c r="Y1269" s="84"/>
      <c r="Z1269" s="84"/>
      <c r="AA1269" s="84"/>
      <c r="AB1269" s="84"/>
      <c r="AC1269" s="84"/>
    </row>
    <row r="1270" ht="15.75" customHeight="1">
      <c r="A1270" s="14" t="s">
        <v>17</v>
      </c>
      <c r="B1270" s="14">
        <v>2006.0</v>
      </c>
      <c r="C1270" s="14" t="s">
        <v>17122</v>
      </c>
      <c r="D1270" s="14" t="s">
        <v>17123</v>
      </c>
      <c r="E1270" s="150" t="str">
        <f t="shared" si="14"/>
        <v>http://dx.doi.org/10.1109/TVCG.2006.114</v>
      </c>
      <c r="F1270" s="14">
        <v>989.0</v>
      </c>
      <c r="G1270" s="14">
        <v>996.0</v>
      </c>
      <c r="H1270" s="151"/>
      <c r="I1270" s="14" t="s">
        <v>17059</v>
      </c>
      <c r="J1270" s="14" t="s">
        <v>17125</v>
      </c>
      <c r="K1270" s="14" t="s">
        <v>35310</v>
      </c>
      <c r="L1270" s="152" t="s">
        <v>17127</v>
      </c>
      <c r="M1270" s="14" t="s">
        <v>35311</v>
      </c>
      <c r="N1270" s="54" t="s">
        <v>35310</v>
      </c>
      <c r="O1270" s="130" t="s">
        <v>17128</v>
      </c>
      <c r="P1270" s="153" t="s">
        <v>17129</v>
      </c>
      <c r="Q1270" s="14">
        <v>4015456.0</v>
      </c>
      <c r="R1270" s="95"/>
      <c r="S1270" s="154" t="s">
        <v>35312</v>
      </c>
      <c r="T1270" s="84"/>
      <c r="U1270" s="84"/>
      <c r="V1270" s="84"/>
      <c r="W1270" s="84"/>
      <c r="X1270" s="84"/>
      <c r="Y1270" s="84"/>
      <c r="Z1270" s="84"/>
      <c r="AA1270" s="84"/>
      <c r="AB1270" s="84"/>
      <c r="AC1270" s="84"/>
    </row>
    <row r="1271" ht="15.75" customHeight="1">
      <c r="A1271" s="14" t="s">
        <v>17</v>
      </c>
      <c r="B1271" s="14">
        <v>2006.0</v>
      </c>
      <c r="C1271" s="14" t="s">
        <v>17130</v>
      </c>
      <c r="D1271" s="14" t="s">
        <v>17131</v>
      </c>
      <c r="E1271" s="150" t="str">
        <f t="shared" si="14"/>
        <v>http://dx.doi.org/10.1109/TVCG.2006.115</v>
      </c>
      <c r="F1271" s="14">
        <v>1237.0</v>
      </c>
      <c r="G1271" s="14">
        <v>1244.0</v>
      </c>
      <c r="H1271" s="151"/>
      <c r="I1271" s="14" t="s">
        <v>17059</v>
      </c>
      <c r="J1271" s="14" t="s">
        <v>17133</v>
      </c>
      <c r="K1271" s="14" t="s">
        <v>35314</v>
      </c>
      <c r="L1271" s="152" t="s">
        <v>17135</v>
      </c>
      <c r="M1271" s="14" t="s">
        <v>35315</v>
      </c>
      <c r="N1271" s="54" t="s">
        <v>35314</v>
      </c>
      <c r="O1271" s="130" t="s">
        <v>17136</v>
      </c>
      <c r="P1271" s="16"/>
      <c r="Q1271" s="14">
        <v>4015487.0</v>
      </c>
      <c r="R1271" s="95"/>
      <c r="S1271" s="154" t="s">
        <v>35316</v>
      </c>
      <c r="T1271" s="84"/>
      <c r="U1271" s="84"/>
      <c r="V1271" s="84"/>
      <c r="W1271" s="84"/>
      <c r="X1271" s="84"/>
      <c r="Y1271" s="84"/>
      <c r="Z1271" s="84"/>
      <c r="AA1271" s="84"/>
      <c r="AB1271" s="84"/>
      <c r="AC1271" s="84"/>
    </row>
    <row r="1272" ht="15.75" customHeight="1">
      <c r="A1272" s="14" t="s">
        <v>17</v>
      </c>
      <c r="B1272" s="14">
        <v>2006.0</v>
      </c>
      <c r="C1272" s="14" t="s">
        <v>17137</v>
      </c>
      <c r="D1272" s="14" t="s">
        <v>17138</v>
      </c>
      <c r="E1272" s="150" t="str">
        <f t="shared" si="14"/>
        <v>http://dx.doi.org/10.1109/TVCG.2006.116</v>
      </c>
      <c r="F1272" s="14">
        <v>965.0</v>
      </c>
      <c r="G1272" s="14">
        <v>972.0</v>
      </c>
      <c r="H1272" s="151"/>
      <c r="I1272" s="14" t="s">
        <v>17059</v>
      </c>
      <c r="J1272" s="14" t="s">
        <v>17140</v>
      </c>
      <c r="K1272" s="14" t="s">
        <v>35317</v>
      </c>
      <c r="L1272" s="152" t="s">
        <v>17142</v>
      </c>
      <c r="M1272" s="14" t="s">
        <v>35318</v>
      </c>
      <c r="N1272" s="54" t="s">
        <v>35317</v>
      </c>
      <c r="O1272" s="130" t="s">
        <v>17143</v>
      </c>
      <c r="P1272" s="153" t="s">
        <v>17144</v>
      </c>
      <c r="Q1272" s="14">
        <v>4015453.0</v>
      </c>
      <c r="R1272" s="95"/>
      <c r="S1272" s="154" t="s">
        <v>35319</v>
      </c>
      <c r="T1272" s="84"/>
      <c r="U1272" s="84"/>
      <c r="V1272" s="84"/>
      <c r="W1272" s="84"/>
      <c r="X1272" s="84"/>
      <c r="Y1272" s="84"/>
      <c r="Z1272" s="84"/>
      <c r="AA1272" s="84"/>
      <c r="AB1272" s="84"/>
      <c r="AC1272" s="84"/>
    </row>
    <row r="1273" ht="15.75" customHeight="1">
      <c r="A1273" s="14" t="s">
        <v>17</v>
      </c>
      <c r="B1273" s="14">
        <v>2006.0</v>
      </c>
      <c r="C1273" s="14" t="s">
        <v>17145</v>
      </c>
      <c r="D1273" s="14" t="s">
        <v>17146</v>
      </c>
      <c r="E1273" s="150" t="str">
        <f t="shared" si="14"/>
        <v>http://dx.doi.org/10.1109/TVCG.2006.117</v>
      </c>
      <c r="F1273" s="14">
        <v>1157.0</v>
      </c>
      <c r="G1273" s="14">
        <v>1164.0</v>
      </c>
      <c r="H1273" s="151"/>
      <c r="I1273" s="14" t="s">
        <v>17059</v>
      </c>
      <c r="J1273" s="14" t="s">
        <v>17148</v>
      </c>
      <c r="K1273" s="14" t="s">
        <v>35320</v>
      </c>
      <c r="L1273" s="152" t="s">
        <v>17150</v>
      </c>
      <c r="M1273" s="14" t="s">
        <v>35321</v>
      </c>
      <c r="N1273" s="54" t="s">
        <v>35320</v>
      </c>
      <c r="O1273" s="130" t="s">
        <v>17151</v>
      </c>
      <c r="P1273" s="153" t="s">
        <v>17152</v>
      </c>
      <c r="Q1273" s="14">
        <v>4015477.0</v>
      </c>
      <c r="R1273" s="95"/>
      <c r="S1273" s="154" t="s">
        <v>35322</v>
      </c>
      <c r="T1273" s="84"/>
      <c r="U1273" s="84"/>
      <c r="V1273" s="84"/>
      <c r="W1273" s="84"/>
      <c r="X1273" s="84"/>
      <c r="Y1273" s="84"/>
      <c r="Z1273" s="84"/>
      <c r="AA1273" s="84"/>
      <c r="AB1273" s="84"/>
      <c r="AC1273" s="84"/>
    </row>
    <row r="1274" ht="15.75" customHeight="1">
      <c r="A1274" s="14" t="s">
        <v>17</v>
      </c>
      <c r="B1274" s="14">
        <v>2006.0</v>
      </c>
      <c r="C1274" s="14" t="s">
        <v>17153</v>
      </c>
      <c r="D1274" s="14" t="s">
        <v>17154</v>
      </c>
      <c r="E1274" s="150" t="str">
        <f t="shared" si="14"/>
        <v>http://dx.doi.org/10.1109/TVCG.2006.118</v>
      </c>
      <c r="F1274" s="14">
        <v>1037.0</v>
      </c>
      <c r="G1274" s="14">
        <v>1044.0</v>
      </c>
      <c r="H1274" s="151"/>
      <c r="I1274" s="14" t="s">
        <v>17059</v>
      </c>
      <c r="J1274" s="14" t="s">
        <v>17156</v>
      </c>
      <c r="K1274" s="14" t="s">
        <v>35323</v>
      </c>
      <c r="L1274" s="152" t="s">
        <v>178</v>
      </c>
      <c r="M1274" s="14" t="s">
        <v>35324</v>
      </c>
      <c r="N1274" s="54" t="s">
        <v>35323</v>
      </c>
      <c r="O1274" s="130" t="s">
        <v>17158</v>
      </c>
      <c r="P1274" s="153" t="s">
        <v>17159</v>
      </c>
      <c r="Q1274" s="14">
        <v>4015462.0</v>
      </c>
      <c r="R1274" s="95"/>
      <c r="S1274" s="154" t="s">
        <v>35325</v>
      </c>
      <c r="T1274" s="84"/>
      <c r="U1274" s="84"/>
      <c r="V1274" s="84"/>
      <c r="W1274" s="84"/>
      <c r="X1274" s="84"/>
      <c r="Y1274" s="84"/>
      <c r="Z1274" s="84"/>
      <c r="AA1274" s="84"/>
      <c r="AB1274" s="84"/>
      <c r="AC1274" s="84"/>
    </row>
    <row r="1275" ht="15.75" customHeight="1">
      <c r="A1275" s="14" t="s">
        <v>17</v>
      </c>
      <c r="B1275" s="14">
        <v>2006.0</v>
      </c>
      <c r="C1275" s="14" t="s">
        <v>17160</v>
      </c>
      <c r="D1275" s="14" t="s">
        <v>17161</v>
      </c>
      <c r="E1275" s="150" t="str">
        <f t="shared" si="14"/>
        <v>http://dx.doi.org/10.1109/TVCG.2006.119</v>
      </c>
      <c r="F1275" s="14">
        <v>1189.0</v>
      </c>
      <c r="G1275" s="14">
        <v>1196.0</v>
      </c>
      <c r="H1275" s="151"/>
      <c r="I1275" s="14" t="s">
        <v>17059</v>
      </c>
      <c r="J1275" s="14" t="s">
        <v>17163</v>
      </c>
      <c r="K1275" s="14" t="s">
        <v>35326</v>
      </c>
      <c r="L1275" s="152" t="s">
        <v>17165</v>
      </c>
      <c r="M1275" s="14" t="s">
        <v>35327</v>
      </c>
      <c r="N1275" s="54" t="s">
        <v>35326</v>
      </c>
      <c r="O1275" s="130" t="s">
        <v>17166</v>
      </c>
      <c r="P1275" s="153" t="s">
        <v>17167</v>
      </c>
      <c r="Q1275" s="14">
        <v>4015481.0</v>
      </c>
      <c r="R1275" s="95"/>
      <c r="S1275" s="154" t="s">
        <v>35328</v>
      </c>
      <c r="T1275" s="84"/>
      <c r="U1275" s="84"/>
      <c r="V1275" s="84"/>
      <c r="W1275" s="84"/>
      <c r="X1275" s="84"/>
      <c r="Y1275" s="84"/>
      <c r="Z1275" s="84"/>
      <c r="AA1275" s="84"/>
      <c r="AB1275" s="84"/>
      <c r="AC1275" s="84"/>
    </row>
    <row r="1276" ht="15.75" customHeight="1">
      <c r="A1276" s="14" t="s">
        <v>17</v>
      </c>
      <c r="B1276" s="14">
        <v>2006.0</v>
      </c>
      <c r="C1276" s="14" t="s">
        <v>17170</v>
      </c>
      <c r="D1276" s="14" t="s">
        <v>17171</v>
      </c>
      <c r="E1276" s="150" t="str">
        <f t="shared" si="14"/>
        <v>http://dx.doi.org/10.1109/TVCG.2006.121</v>
      </c>
      <c r="F1276" s="14">
        <v>1101.0</v>
      </c>
      <c r="G1276" s="14">
        <v>1108.0</v>
      </c>
      <c r="H1276" s="151"/>
      <c r="I1276" s="14" t="s">
        <v>17059</v>
      </c>
      <c r="J1276" s="14" t="s">
        <v>17173</v>
      </c>
      <c r="K1276" s="14" t="s">
        <v>35329</v>
      </c>
      <c r="L1276" s="152" t="s">
        <v>17175</v>
      </c>
      <c r="M1276" s="14" t="s">
        <v>35330</v>
      </c>
      <c r="N1276" s="54" t="s">
        <v>35331</v>
      </c>
      <c r="O1276" s="130" t="s">
        <v>17176</v>
      </c>
      <c r="P1276" s="153" t="s">
        <v>17177</v>
      </c>
      <c r="Q1276" s="14">
        <v>4015470.0</v>
      </c>
      <c r="R1276" s="95"/>
      <c r="S1276" s="154" t="s">
        <v>35332</v>
      </c>
      <c r="T1276" s="84"/>
      <c r="U1276" s="84"/>
      <c r="V1276" s="84"/>
      <c r="W1276" s="84"/>
      <c r="X1276" s="84"/>
      <c r="Y1276" s="84"/>
      <c r="Z1276" s="84"/>
      <c r="AA1276" s="84"/>
      <c r="AB1276" s="84"/>
      <c r="AC1276" s="84"/>
    </row>
    <row r="1277" ht="15.75" customHeight="1">
      <c r="A1277" s="14" t="s">
        <v>17</v>
      </c>
      <c r="B1277" s="14">
        <v>2006.0</v>
      </c>
      <c r="C1277" s="14" t="s">
        <v>17179</v>
      </c>
      <c r="D1277" s="14" t="s">
        <v>17180</v>
      </c>
      <c r="E1277" s="150" t="str">
        <f t="shared" si="14"/>
        <v>http://dx.doi.org/10.1109/TVCG.2006.123</v>
      </c>
      <c r="F1277" s="14">
        <v>1085.0</v>
      </c>
      <c r="G1277" s="14">
        <v>1092.0</v>
      </c>
      <c r="H1277" s="151"/>
      <c r="I1277" s="14" t="s">
        <v>17059</v>
      </c>
      <c r="J1277" s="14" t="s">
        <v>17182</v>
      </c>
      <c r="K1277" s="14" t="s">
        <v>35333</v>
      </c>
      <c r="L1277" s="152" t="s">
        <v>17184</v>
      </c>
      <c r="M1277" s="14" t="s">
        <v>35334</v>
      </c>
      <c r="N1277" s="54" t="s">
        <v>35333</v>
      </c>
      <c r="O1277" s="130" t="s">
        <v>17185</v>
      </c>
      <c r="P1277" s="153" t="s">
        <v>17186</v>
      </c>
      <c r="Q1277" s="14">
        <v>4015468.0</v>
      </c>
      <c r="R1277" s="95"/>
      <c r="S1277" s="154" t="s">
        <v>35335</v>
      </c>
      <c r="T1277" s="84"/>
      <c r="U1277" s="84"/>
      <c r="V1277" s="84"/>
      <c r="W1277" s="84"/>
      <c r="X1277" s="84"/>
      <c r="Y1277" s="84"/>
      <c r="Z1277" s="84"/>
      <c r="AA1277" s="84"/>
      <c r="AB1277" s="84"/>
      <c r="AC1277" s="84"/>
    </row>
    <row r="1278" ht="15.75" customHeight="1">
      <c r="A1278" s="14" t="s">
        <v>17</v>
      </c>
      <c r="B1278" s="14">
        <v>2006.0</v>
      </c>
      <c r="C1278" s="14" t="s">
        <v>17187</v>
      </c>
      <c r="D1278" s="14" t="s">
        <v>17188</v>
      </c>
      <c r="E1278" s="150" t="str">
        <f t="shared" si="14"/>
        <v>http://dx.doi.org/10.1109/TVCG.2006.124</v>
      </c>
      <c r="F1278" s="14">
        <v>941.0</v>
      </c>
      <c r="G1278" s="14">
        <v>948.0</v>
      </c>
      <c r="H1278" s="151"/>
      <c r="I1278" s="14" t="s">
        <v>17059</v>
      </c>
      <c r="J1278" s="14" t="s">
        <v>17190</v>
      </c>
      <c r="K1278" s="14" t="s">
        <v>35336</v>
      </c>
      <c r="L1278" s="152" t="s">
        <v>17192</v>
      </c>
      <c r="M1278" s="14" t="s">
        <v>35337</v>
      </c>
      <c r="N1278" s="54" t="s">
        <v>35336</v>
      </c>
      <c r="O1278" s="130" t="s">
        <v>17193</v>
      </c>
      <c r="P1278" s="153" t="s">
        <v>17194</v>
      </c>
      <c r="Q1278" s="14">
        <v>4015450.0</v>
      </c>
      <c r="R1278" s="95"/>
      <c r="S1278" s="154" t="s">
        <v>35338</v>
      </c>
      <c r="T1278" s="84"/>
      <c r="U1278" s="84"/>
      <c r="V1278" s="84"/>
      <c r="W1278" s="84"/>
      <c r="X1278" s="84"/>
      <c r="Y1278" s="84"/>
      <c r="Z1278" s="84"/>
      <c r="AA1278" s="84"/>
      <c r="AB1278" s="84"/>
      <c r="AC1278" s="84"/>
    </row>
    <row r="1279" ht="15.75" customHeight="1">
      <c r="A1279" s="14" t="s">
        <v>17</v>
      </c>
      <c r="B1279" s="14">
        <v>2006.0</v>
      </c>
      <c r="C1279" s="14" t="s">
        <v>17195</v>
      </c>
      <c r="D1279" s="14" t="s">
        <v>17196</v>
      </c>
      <c r="E1279" s="150" t="str">
        <f t="shared" si="14"/>
        <v>http://dx.doi.org/10.1109/TVCG.2006.125</v>
      </c>
      <c r="F1279" s="14">
        <v>1173.0</v>
      </c>
      <c r="G1279" s="14">
        <v>1180.0</v>
      </c>
      <c r="H1279" s="151"/>
      <c r="I1279" s="14" t="s">
        <v>17059</v>
      </c>
      <c r="J1279" s="14" t="s">
        <v>17198</v>
      </c>
      <c r="K1279" s="14" t="s">
        <v>35339</v>
      </c>
      <c r="L1279" s="152" t="s">
        <v>17200</v>
      </c>
      <c r="M1279" s="14" t="s">
        <v>35340</v>
      </c>
      <c r="N1279" s="54" t="s">
        <v>35339</v>
      </c>
      <c r="O1279" s="130" t="s">
        <v>16400</v>
      </c>
      <c r="P1279" s="153" t="s">
        <v>17201</v>
      </c>
      <c r="Q1279" s="14">
        <v>4015479.0</v>
      </c>
      <c r="R1279" s="95"/>
      <c r="S1279" s="154">
        <v>1532790.0</v>
      </c>
      <c r="T1279" s="84"/>
      <c r="U1279" s="84"/>
      <c r="V1279" s="84"/>
      <c r="W1279" s="84"/>
      <c r="X1279" s="84"/>
      <c r="Y1279" s="84"/>
      <c r="Z1279" s="84"/>
      <c r="AA1279" s="84"/>
      <c r="AB1279" s="84"/>
      <c r="AC1279" s="84"/>
    </row>
    <row r="1280" ht="15.75" customHeight="1">
      <c r="A1280" s="14" t="s">
        <v>17</v>
      </c>
      <c r="B1280" s="14">
        <v>2006.0</v>
      </c>
      <c r="C1280" s="14" t="s">
        <v>17205</v>
      </c>
      <c r="D1280" s="14" t="s">
        <v>17206</v>
      </c>
      <c r="E1280" s="150" t="str">
        <f t="shared" si="14"/>
        <v>http://dx.doi.org/10.1109/TVCG.2006.127</v>
      </c>
      <c r="F1280" s="14">
        <v>901.0</v>
      </c>
      <c r="G1280" s="14">
        <v>908.0</v>
      </c>
      <c r="H1280" s="151"/>
      <c r="I1280" s="14" t="s">
        <v>17059</v>
      </c>
      <c r="J1280" s="14" t="s">
        <v>17208</v>
      </c>
      <c r="K1280" s="14" t="s">
        <v>35342</v>
      </c>
      <c r="L1280" s="152" t="s">
        <v>17210</v>
      </c>
      <c r="M1280" s="14" t="s">
        <v>35343</v>
      </c>
      <c r="N1280" s="54" t="s">
        <v>35342</v>
      </c>
      <c r="O1280" s="130" t="s">
        <v>17211</v>
      </c>
      <c r="P1280" s="153" t="s">
        <v>17212</v>
      </c>
      <c r="Q1280" s="14">
        <v>4015445.0</v>
      </c>
      <c r="R1280" s="95"/>
      <c r="S1280" s="154" t="s">
        <v>35344</v>
      </c>
      <c r="T1280" s="84"/>
      <c r="U1280" s="84"/>
      <c r="V1280" s="84"/>
      <c r="W1280" s="84"/>
      <c r="X1280" s="84"/>
      <c r="Y1280" s="84"/>
      <c r="Z1280" s="84"/>
      <c r="AA1280" s="84"/>
      <c r="AB1280" s="84"/>
      <c r="AC1280" s="84"/>
    </row>
    <row r="1281" ht="15.75" customHeight="1">
      <c r="A1281" s="14" t="s">
        <v>17</v>
      </c>
      <c r="B1281" s="14">
        <v>2006.0</v>
      </c>
      <c r="C1281" s="14" t="s">
        <v>17213</v>
      </c>
      <c r="D1281" s="14" t="s">
        <v>17214</v>
      </c>
      <c r="E1281" s="150" t="str">
        <f t="shared" si="14"/>
        <v>http://dx.doi.org/10.1109/TVCG.2006.128</v>
      </c>
      <c r="F1281" s="14">
        <v>997.0</v>
      </c>
      <c r="G1281" s="14">
        <v>1004.0</v>
      </c>
      <c r="H1281" s="151"/>
      <c r="I1281" s="14" t="s">
        <v>17059</v>
      </c>
      <c r="J1281" s="14" t="s">
        <v>17216</v>
      </c>
      <c r="K1281" s="14" t="s">
        <v>35346</v>
      </c>
      <c r="L1281" s="152" t="s">
        <v>17218</v>
      </c>
      <c r="M1281" s="14" t="s">
        <v>35347</v>
      </c>
      <c r="N1281" s="54" t="s">
        <v>35348</v>
      </c>
      <c r="O1281" s="130" t="s">
        <v>16443</v>
      </c>
      <c r="P1281" s="153" t="s">
        <v>17219</v>
      </c>
      <c r="Q1281" s="14">
        <v>4015457.0</v>
      </c>
      <c r="R1281" s="95"/>
      <c r="S1281" s="154">
        <v>1532795.0</v>
      </c>
      <c r="T1281" s="84"/>
      <c r="U1281" s="84"/>
      <c r="V1281" s="84"/>
      <c r="W1281" s="84"/>
      <c r="X1281" s="84"/>
      <c r="Y1281" s="84"/>
      <c r="Z1281" s="84"/>
      <c r="AA1281" s="84"/>
      <c r="AB1281" s="84"/>
      <c r="AC1281" s="84"/>
    </row>
    <row r="1282" ht="15.75" customHeight="1">
      <c r="A1282" s="14" t="s">
        <v>17</v>
      </c>
      <c r="B1282" s="14">
        <v>2006.0</v>
      </c>
      <c r="C1282" s="14" t="s">
        <v>17220</v>
      </c>
      <c r="D1282" s="14" t="s">
        <v>17221</v>
      </c>
      <c r="E1282" s="150" t="str">
        <f t="shared" si="14"/>
        <v>http://dx.doi.org/10.1109/TVCG.2006.133</v>
      </c>
      <c r="F1282" s="14">
        <v>1045.0</v>
      </c>
      <c r="G1282" s="14">
        <v>1052.0</v>
      </c>
      <c r="H1282" s="151"/>
      <c r="I1282" s="14" t="s">
        <v>17059</v>
      </c>
      <c r="J1282" s="14" t="s">
        <v>17223</v>
      </c>
      <c r="K1282" s="14" t="s">
        <v>35349</v>
      </c>
      <c r="L1282" s="152" t="s">
        <v>17225</v>
      </c>
      <c r="M1282" s="14" t="s">
        <v>35350</v>
      </c>
      <c r="N1282" s="54" t="s">
        <v>35349</v>
      </c>
      <c r="O1282" s="130" t="s">
        <v>35351</v>
      </c>
      <c r="P1282" s="153" t="s">
        <v>17227</v>
      </c>
      <c r="Q1282" s="14">
        <v>4015463.0</v>
      </c>
      <c r="R1282" s="95"/>
      <c r="S1282" s="154" t="s">
        <v>35352</v>
      </c>
      <c r="T1282" s="84"/>
      <c r="U1282" s="84"/>
      <c r="V1282" s="84"/>
      <c r="W1282" s="84"/>
      <c r="X1282" s="84"/>
      <c r="Y1282" s="84"/>
      <c r="Z1282" s="84"/>
      <c r="AA1282" s="84"/>
      <c r="AB1282" s="84"/>
      <c r="AC1282" s="84"/>
    </row>
    <row r="1283" ht="15.75" customHeight="1">
      <c r="A1283" s="14" t="s">
        <v>17</v>
      </c>
      <c r="B1283" s="14">
        <v>2006.0</v>
      </c>
      <c r="C1283" s="14" t="s">
        <v>17228</v>
      </c>
      <c r="D1283" s="14" t="s">
        <v>17229</v>
      </c>
      <c r="E1283" s="150" t="str">
        <f t="shared" si="14"/>
        <v>http://dx.doi.org/10.1109/TVCG.2006.134</v>
      </c>
      <c r="F1283" s="14">
        <v>1329.0</v>
      </c>
      <c r="G1283" s="14">
        <v>1336.0</v>
      </c>
      <c r="H1283" s="151"/>
      <c r="I1283" s="14" t="s">
        <v>17059</v>
      </c>
      <c r="J1283" s="14" t="s">
        <v>17231</v>
      </c>
      <c r="K1283" s="14" t="s">
        <v>35353</v>
      </c>
      <c r="L1283" s="152" t="s">
        <v>17233</v>
      </c>
      <c r="M1283" s="14" t="s">
        <v>35354</v>
      </c>
      <c r="N1283" s="54" t="s">
        <v>35353</v>
      </c>
      <c r="O1283" s="130" t="s">
        <v>17234</v>
      </c>
      <c r="P1283" s="153" t="s">
        <v>17235</v>
      </c>
      <c r="Q1283" s="14">
        <v>4015499.0</v>
      </c>
      <c r="R1283" s="95"/>
      <c r="S1283" s="154" t="s">
        <v>35355</v>
      </c>
      <c r="T1283" s="84"/>
      <c r="U1283" s="84"/>
      <c r="V1283" s="84"/>
      <c r="W1283" s="84"/>
      <c r="X1283" s="84"/>
      <c r="Y1283" s="84"/>
      <c r="Z1283" s="84"/>
      <c r="AA1283" s="84"/>
      <c r="AB1283" s="84"/>
      <c r="AC1283" s="84"/>
    </row>
    <row r="1284" ht="15.75" customHeight="1">
      <c r="A1284" s="14" t="s">
        <v>17</v>
      </c>
      <c r="B1284" s="14">
        <v>2006.0</v>
      </c>
      <c r="C1284" s="14" t="s">
        <v>17236</v>
      </c>
      <c r="D1284" s="14" t="s">
        <v>17237</v>
      </c>
      <c r="E1284" s="150" t="str">
        <f t="shared" si="14"/>
        <v>http://dx.doi.org/10.1109/TVCG.2006.135</v>
      </c>
      <c r="F1284" s="14">
        <v>1299.0</v>
      </c>
      <c r="G1284" s="14">
        <v>1306.0</v>
      </c>
      <c r="H1284" s="151"/>
      <c r="I1284" s="14" t="s">
        <v>17059</v>
      </c>
      <c r="J1284" s="14" t="s">
        <v>17239</v>
      </c>
      <c r="K1284" s="14" t="s">
        <v>35356</v>
      </c>
      <c r="L1284" s="152" t="s">
        <v>17241</v>
      </c>
      <c r="M1284" s="14" t="s">
        <v>35357</v>
      </c>
      <c r="N1284" s="54" t="s">
        <v>35356</v>
      </c>
      <c r="O1284" s="130" t="s">
        <v>17242</v>
      </c>
      <c r="P1284" s="153" t="s">
        <v>17243</v>
      </c>
      <c r="Q1284" s="14">
        <v>4015495.0</v>
      </c>
      <c r="R1284" s="95"/>
      <c r="S1284" s="154" t="s">
        <v>35359</v>
      </c>
      <c r="T1284" s="84"/>
      <c r="U1284" s="84"/>
      <c r="V1284" s="84"/>
      <c r="W1284" s="84"/>
      <c r="X1284" s="84"/>
      <c r="Y1284" s="84"/>
      <c r="Z1284" s="84"/>
      <c r="AA1284" s="84"/>
      <c r="AB1284" s="84"/>
      <c r="AC1284" s="84"/>
    </row>
    <row r="1285" ht="15.75" customHeight="1">
      <c r="A1285" s="14" t="s">
        <v>17</v>
      </c>
      <c r="B1285" s="14">
        <v>2006.0</v>
      </c>
      <c r="C1285" s="14" t="s">
        <v>17246</v>
      </c>
      <c r="D1285" s="14" t="s">
        <v>17247</v>
      </c>
      <c r="E1285" s="150" t="str">
        <f t="shared" si="14"/>
        <v>http://dx.doi.org/10.1109/TVCG.2006.137</v>
      </c>
      <c r="F1285" s="14">
        <v>1109.0</v>
      </c>
      <c r="G1285" s="14">
        <v>1116.0</v>
      </c>
      <c r="H1285" s="151"/>
      <c r="I1285" s="14" t="s">
        <v>17059</v>
      </c>
      <c r="J1285" s="14" t="s">
        <v>17249</v>
      </c>
      <c r="K1285" s="14" t="s">
        <v>17250</v>
      </c>
      <c r="L1285" s="152" t="s">
        <v>17251</v>
      </c>
      <c r="M1285" s="14" t="s">
        <v>35360</v>
      </c>
      <c r="N1285" s="54" t="s">
        <v>17250</v>
      </c>
      <c r="O1285" s="130" t="s">
        <v>17252</v>
      </c>
      <c r="P1285" s="153" t="s">
        <v>17253</v>
      </c>
      <c r="Q1285" s="14">
        <v>4015471.0</v>
      </c>
      <c r="R1285" s="95"/>
      <c r="S1285" s="154" t="s">
        <v>35361</v>
      </c>
      <c r="T1285" s="84"/>
      <c r="U1285" s="84"/>
      <c r="V1285" s="84"/>
      <c r="W1285" s="84"/>
      <c r="X1285" s="84"/>
      <c r="Y1285" s="84"/>
      <c r="Z1285" s="84"/>
      <c r="AA1285" s="84"/>
      <c r="AB1285" s="84"/>
      <c r="AC1285" s="84"/>
    </row>
    <row r="1286" ht="15.75" customHeight="1">
      <c r="A1286" s="14" t="s">
        <v>17</v>
      </c>
      <c r="B1286" s="14">
        <v>2006.0</v>
      </c>
      <c r="C1286" s="14" t="s">
        <v>17444</v>
      </c>
      <c r="D1286" s="14" t="s">
        <v>17446</v>
      </c>
      <c r="E1286" s="150" t="str">
        <f t="shared" si="14"/>
        <v>http://dx.doi.org/10.1109/TVCG.2006.139</v>
      </c>
      <c r="F1286" s="14">
        <v>1117.0</v>
      </c>
      <c r="G1286" s="14">
        <v>1124.0</v>
      </c>
      <c r="H1286" s="151"/>
      <c r="I1286" s="14" t="s">
        <v>17059</v>
      </c>
      <c r="J1286" s="14" t="s">
        <v>17463</v>
      </c>
      <c r="K1286" s="14" t="s">
        <v>35362</v>
      </c>
      <c r="L1286" s="152" t="s">
        <v>17465</v>
      </c>
      <c r="M1286" s="14" t="s">
        <v>35363</v>
      </c>
      <c r="N1286" s="54" t="s">
        <v>35362</v>
      </c>
      <c r="O1286" s="130"/>
      <c r="P1286" s="153" t="s">
        <v>17466</v>
      </c>
      <c r="Q1286" s="14">
        <v>4015472.0</v>
      </c>
      <c r="R1286" s="95"/>
      <c r="S1286" s="154"/>
      <c r="T1286" s="84"/>
      <c r="U1286" s="84"/>
      <c r="V1286" s="84"/>
      <c r="W1286" s="84"/>
      <c r="X1286" s="84"/>
      <c r="Y1286" s="84"/>
      <c r="Z1286" s="84"/>
      <c r="AA1286" s="84"/>
      <c r="AB1286" s="84"/>
      <c r="AC1286" s="84"/>
    </row>
    <row r="1287" ht="15.75" customHeight="1">
      <c r="A1287" s="14" t="s">
        <v>17</v>
      </c>
      <c r="B1287" s="14">
        <v>2006.0</v>
      </c>
      <c r="C1287" s="14" t="s">
        <v>17468</v>
      </c>
      <c r="D1287" s="14" t="s">
        <v>17470</v>
      </c>
      <c r="E1287" s="150" t="str">
        <f t="shared" si="14"/>
        <v>http://dx.doi.org/10.1109/TVCG.2006.140</v>
      </c>
      <c r="F1287" s="14">
        <v>1077.0</v>
      </c>
      <c r="G1287" s="14">
        <v>1084.0</v>
      </c>
      <c r="H1287" s="151"/>
      <c r="I1287" s="14" t="s">
        <v>17059</v>
      </c>
      <c r="J1287" s="14" t="s">
        <v>17484</v>
      </c>
      <c r="K1287" s="14" t="s">
        <v>34981</v>
      </c>
      <c r="L1287" s="152" t="s">
        <v>15894</v>
      </c>
      <c r="M1287" s="14" t="s">
        <v>35364</v>
      </c>
      <c r="N1287" s="54" t="s">
        <v>34983</v>
      </c>
      <c r="O1287" s="130" t="s">
        <v>17485</v>
      </c>
      <c r="P1287" s="153" t="s">
        <v>17486</v>
      </c>
      <c r="Q1287" s="14">
        <v>4015467.0</v>
      </c>
      <c r="R1287" s="95"/>
      <c r="S1287" s="154" t="s">
        <v>35365</v>
      </c>
      <c r="T1287" s="84"/>
      <c r="U1287" s="84"/>
      <c r="V1287" s="84"/>
      <c r="W1287" s="84"/>
      <c r="X1287" s="84"/>
      <c r="Y1287" s="84"/>
      <c r="Z1287" s="84"/>
      <c r="AA1287" s="84"/>
      <c r="AB1287" s="84"/>
      <c r="AC1287" s="84"/>
    </row>
    <row r="1288" ht="15.75" customHeight="1">
      <c r="A1288" s="14" t="s">
        <v>17</v>
      </c>
      <c r="B1288" s="14">
        <v>2006.0</v>
      </c>
      <c r="C1288" s="14" t="s">
        <v>17487</v>
      </c>
      <c r="D1288" s="14" t="s">
        <v>17488</v>
      </c>
      <c r="E1288" s="150" t="str">
        <f t="shared" si="14"/>
        <v>http://dx.doi.org/10.1109/TVCG.2006.141</v>
      </c>
      <c r="F1288" s="14">
        <v>1337.0</v>
      </c>
      <c r="G1288" s="14">
        <v>1344.0</v>
      </c>
      <c r="H1288" s="151"/>
      <c r="I1288" s="14" t="s">
        <v>17059</v>
      </c>
      <c r="J1288" s="14" t="s">
        <v>17561</v>
      </c>
      <c r="K1288" s="14" t="s">
        <v>35366</v>
      </c>
      <c r="L1288" s="152" t="s">
        <v>14446</v>
      </c>
      <c r="M1288" s="14" t="s">
        <v>35367</v>
      </c>
      <c r="N1288" s="54" t="s">
        <v>35368</v>
      </c>
      <c r="O1288" s="130" t="s">
        <v>17564</v>
      </c>
      <c r="P1288" s="153" t="s">
        <v>17566</v>
      </c>
      <c r="Q1288" s="14">
        <v>4015500.0</v>
      </c>
      <c r="R1288" s="95"/>
      <c r="S1288" s="154" t="s">
        <v>35369</v>
      </c>
      <c r="T1288" s="84"/>
      <c r="U1288" s="84"/>
      <c r="V1288" s="84"/>
      <c r="W1288" s="84"/>
      <c r="X1288" s="84"/>
      <c r="Y1288" s="84"/>
      <c r="Z1288" s="84"/>
      <c r="AA1288" s="84"/>
      <c r="AB1288" s="84"/>
      <c r="AC1288" s="84"/>
    </row>
    <row r="1289" ht="15.75" customHeight="1">
      <c r="A1289" s="14" t="s">
        <v>17</v>
      </c>
      <c r="B1289" s="14">
        <v>2006.0</v>
      </c>
      <c r="C1289" s="14" t="s">
        <v>17589</v>
      </c>
      <c r="D1289" s="14" t="s">
        <v>17590</v>
      </c>
      <c r="E1289" s="150" t="str">
        <f t="shared" si="14"/>
        <v>http://dx.doi.org/10.1109/TVCG.2006.143</v>
      </c>
      <c r="F1289" s="14">
        <v>1245.0</v>
      </c>
      <c r="G1289" s="14">
        <v>1250.0</v>
      </c>
      <c r="H1289" s="151"/>
      <c r="I1289" s="14" t="s">
        <v>17059</v>
      </c>
      <c r="J1289" s="14" t="s">
        <v>17610</v>
      </c>
      <c r="K1289" s="14" t="s">
        <v>35371</v>
      </c>
      <c r="L1289" s="152" t="s">
        <v>17612</v>
      </c>
      <c r="M1289" s="14" t="s">
        <v>35372</v>
      </c>
      <c r="N1289" s="54" t="s">
        <v>35371</v>
      </c>
      <c r="O1289" s="130" t="s">
        <v>17613</v>
      </c>
      <c r="P1289" s="153" t="s">
        <v>17614</v>
      </c>
      <c r="Q1289" s="14">
        <v>4015488.0</v>
      </c>
      <c r="R1289" s="95"/>
      <c r="S1289" s="154" t="s">
        <v>35373</v>
      </c>
      <c r="T1289" s="84"/>
      <c r="U1289" s="84"/>
      <c r="V1289" s="84"/>
      <c r="W1289" s="84"/>
      <c r="X1289" s="84"/>
      <c r="Y1289" s="84"/>
      <c r="Z1289" s="84"/>
      <c r="AA1289" s="84"/>
      <c r="AB1289" s="84"/>
      <c r="AC1289" s="84"/>
    </row>
    <row r="1290" ht="15.75" customHeight="1">
      <c r="A1290" s="14" t="s">
        <v>17</v>
      </c>
      <c r="B1290" s="14">
        <v>2006.0</v>
      </c>
      <c r="C1290" s="14" t="s">
        <v>17615</v>
      </c>
      <c r="D1290" s="14" t="s">
        <v>17616</v>
      </c>
      <c r="E1290" s="150" t="str">
        <f t="shared" si="14"/>
        <v>http://dx.doi.org/10.1109/TVCG.2006.144</v>
      </c>
      <c r="F1290" s="14">
        <v>1069.0</v>
      </c>
      <c r="G1290" s="14">
        <v>1076.0</v>
      </c>
      <c r="H1290" s="151"/>
      <c r="I1290" s="14" t="s">
        <v>17059</v>
      </c>
      <c r="J1290" s="14" t="s">
        <v>17623</v>
      </c>
      <c r="K1290" s="14" t="s">
        <v>34997</v>
      </c>
      <c r="L1290" s="152" t="s">
        <v>17625</v>
      </c>
      <c r="M1290" s="14" t="s">
        <v>34996</v>
      </c>
      <c r="N1290" s="54" t="s">
        <v>34997</v>
      </c>
      <c r="O1290" s="130" t="s">
        <v>17626</v>
      </c>
      <c r="P1290" s="153" t="s">
        <v>17627</v>
      </c>
      <c r="Q1290" s="14">
        <v>4015466.0</v>
      </c>
      <c r="R1290" s="95"/>
      <c r="S1290" s="154" t="s">
        <v>35374</v>
      </c>
      <c r="T1290" s="84"/>
      <c r="U1290" s="84"/>
      <c r="V1290" s="84"/>
      <c r="W1290" s="84"/>
      <c r="X1290" s="84"/>
      <c r="Y1290" s="84"/>
      <c r="Z1290" s="84"/>
      <c r="AA1290" s="84"/>
      <c r="AB1290" s="84"/>
      <c r="AC1290" s="84"/>
    </row>
    <row r="1291" ht="15.75" customHeight="1">
      <c r="A1291" s="14" t="s">
        <v>17</v>
      </c>
      <c r="B1291" s="14">
        <v>2006.0</v>
      </c>
      <c r="C1291" s="14" t="s">
        <v>17628</v>
      </c>
      <c r="D1291" s="14" t="s">
        <v>17629</v>
      </c>
      <c r="E1291" s="150" t="str">
        <f t="shared" si="14"/>
        <v>http://dx.doi.org/10.1109/TVCG.2006.145</v>
      </c>
      <c r="F1291" s="14">
        <v>973.0</v>
      </c>
      <c r="G1291" s="14">
        <v>980.0</v>
      </c>
      <c r="H1291" s="151"/>
      <c r="I1291" s="14" t="s">
        <v>17059</v>
      </c>
      <c r="J1291" s="14" t="s">
        <v>17633</v>
      </c>
      <c r="K1291" s="14" t="s">
        <v>35375</v>
      </c>
      <c r="L1291" s="152" t="s">
        <v>17635</v>
      </c>
      <c r="M1291" s="14" t="s">
        <v>35376</v>
      </c>
      <c r="N1291" s="54" t="s">
        <v>35375</v>
      </c>
      <c r="O1291" s="130" t="s">
        <v>17636</v>
      </c>
      <c r="P1291" s="153" t="s">
        <v>17637</v>
      </c>
      <c r="Q1291" s="14">
        <v>4015454.0</v>
      </c>
      <c r="R1291" s="95"/>
      <c r="S1291" s="154" t="s">
        <v>35377</v>
      </c>
      <c r="T1291" s="84"/>
      <c r="U1291" s="84"/>
      <c r="V1291" s="84"/>
      <c r="W1291" s="84"/>
      <c r="X1291" s="84"/>
      <c r="Y1291" s="84"/>
      <c r="Z1291" s="84"/>
      <c r="AA1291" s="84"/>
      <c r="AB1291" s="84"/>
      <c r="AC1291" s="84"/>
    </row>
    <row r="1292" ht="15.75" customHeight="1">
      <c r="A1292" s="14" t="s">
        <v>17</v>
      </c>
      <c r="B1292" s="14">
        <v>2006.0</v>
      </c>
      <c r="C1292" s="14" t="s">
        <v>17638</v>
      </c>
      <c r="D1292" s="14" t="s">
        <v>17639</v>
      </c>
      <c r="E1292" s="150" t="str">
        <f t="shared" si="14"/>
        <v>http://dx.doi.org/10.1109/TVCG.2006.146</v>
      </c>
      <c r="F1292" s="14">
        <v>869.0</v>
      </c>
      <c r="G1292" s="14">
        <v>876.0</v>
      </c>
      <c r="H1292" s="151"/>
      <c r="I1292" s="14" t="s">
        <v>17059</v>
      </c>
      <c r="J1292" s="14" t="s">
        <v>17645</v>
      </c>
      <c r="K1292" s="14" t="s">
        <v>35378</v>
      </c>
      <c r="L1292" s="152" t="s">
        <v>17647</v>
      </c>
      <c r="M1292" s="14" t="s">
        <v>35379</v>
      </c>
      <c r="N1292" s="54" t="s">
        <v>35378</v>
      </c>
      <c r="O1292" s="130" t="s">
        <v>17648</v>
      </c>
      <c r="P1292" s="153" t="s">
        <v>17649</v>
      </c>
      <c r="Q1292" s="14">
        <v>4015441.0</v>
      </c>
      <c r="R1292" s="95"/>
      <c r="S1292" s="154" t="s">
        <v>35380</v>
      </c>
      <c r="T1292" s="84"/>
      <c r="U1292" s="84"/>
      <c r="V1292" s="84"/>
      <c r="W1292" s="84"/>
      <c r="X1292" s="84"/>
      <c r="Y1292" s="84"/>
      <c r="Z1292" s="84"/>
      <c r="AA1292" s="84"/>
      <c r="AB1292" s="84"/>
      <c r="AC1292" s="84"/>
    </row>
    <row r="1293" ht="15.75" customHeight="1">
      <c r="A1293" s="14" t="s">
        <v>17</v>
      </c>
      <c r="B1293" s="14">
        <v>2006.0</v>
      </c>
      <c r="C1293" s="14" t="s">
        <v>17655</v>
      </c>
      <c r="D1293" s="14" t="s">
        <v>17657</v>
      </c>
      <c r="E1293" s="150" t="str">
        <f t="shared" si="14"/>
        <v>http://dx.doi.org/10.1109/TVCG.2006.148</v>
      </c>
      <c r="F1293" s="14">
        <v>1021.0</v>
      </c>
      <c r="G1293" s="14">
        <v>1028.0</v>
      </c>
      <c r="H1293" s="151"/>
      <c r="I1293" s="14" t="s">
        <v>17059</v>
      </c>
      <c r="J1293" s="14" t="s">
        <v>17661</v>
      </c>
      <c r="K1293" s="14" t="s">
        <v>35381</v>
      </c>
      <c r="L1293" s="152" t="s">
        <v>17663</v>
      </c>
      <c r="M1293" s="14" t="s">
        <v>35382</v>
      </c>
      <c r="N1293" s="54" t="s">
        <v>35381</v>
      </c>
      <c r="O1293" s="130" t="s">
        <v>17664</v>
      </c>
      <c r="P1293" s="153" t="s">
        <v>17665</v>
      </c>
      <c r="Q1293" s="14">
        <v>4015460.0</v>
      </c>
      <c r="R1293" s="95"/>
      <c r="S1293" s="154" t="s">
        <v>35383</v>
      </c>
      <c r="T1293" s="84"/>
      <c r="U1293" s="84"/>
      <c r="V1293" s="84"/>
      <c r="W1293" s="84"/>
      <c r="X1293" s="84"/>
      <c r="Y1293" s="84"/>
      <c r="Z1293" s="84"/>
      <c r="AA1293" s="84"/>
      <c r="AB1293" s="84"/>
      <c r="AC1293" s="84"/>
    </row>
    <row r="1294" ht="15.75" customHeight="1">
      <c r="A1294" s="14" t="s">
        <v>17</v>
      </c>
      <c r="B1294" s="14">
        <v>2006.0</v>
      </c>
      <c r="C1294" s="14" t="s">
        <v>17666</v>
      </c>
      <c r="D1294" s="14" t="s">
        <v>17668</v>
      </c>
      <c r="E1294" s="150" t="str">
        <f t="shared" si="14"/>
        <v>http://dx.doi.org/10.1109/TVCG.2006.149</v>
      </c>
      <c r="F1294" s="14">
        <v>1205.0</v>
      </c>
      <c r="G1294" s="14">
        <v>1212.0</v>
      </c>
      <c r="H1294" s="151"/>
      <c r="I1294" s="14" t="s">
        <v>17059</v>
      </c>
      <c r="J1294" s="14" t="s">
        <v>17674</v>
      </c>
      <c r="K1294" s="14" t="s">
        <v>35386</v>
      </c>
      <c r="L1294" s="152" t="s">
        <v>17676</v>
      </c>
      <c r="M1294" s="14" t="s">
        <v>35387</v>
      </c>
      <c r="N1294" s="54" t="s">
        <v>35388</v>
      </c>
      <c r="O1294" s="130" t="s">
        <v>17677</v>
      </c>
      <c r="P1294" s="153" t="s">
        <v>17678</v>
      </c>
      <c r="Q1294" s="14">
        <v>4015483.0</v>
      </c>
      <c r="R1294" s="95"/>
      <c r="S1294" s="154" t="s">
        <v>35389</v>
      </c>
      <c r="T1294" s="84"/>
      <c r="U1294" s="84"/>
      <c r="V1294" s="84"/>
      <c r="W1294" s="84"/>
      <c r="X1294" s="84"/>
      <c r="Y1294" s="84"/>
      <c r="Z1294" s="84"/>
      <c r="AA1294" s="84"/>
      <c r="AB1294" s="84"/>
      <c r="AC1294" s="84"/>
    </row>
    <row r="1295" ht="15.75" customHeight="1">
      <c r="A1295" s="14" t="s">
        <v>17</v>
      </c>
      <c r="B1295" s="14">
        <v>2006.0</v>
      </c>
      <c r="C1295" s="14" t="s">
        <v>17680</v>
      </c>
      <c r="D1295" s="14" t="s">
        <v>17681</v>
      </c>
      <c r="E1295" s="150" t="str">
        <f t="shared" si="14"/>
        <v>http://dx.doi.org/10.1109/TVCG.2006.150</v>
      </c>
      <c r="F1295" s="14">
        <v>1061.0</v>
      </c>
      <c r="G1295" s="14">
        <v>1068.0</v>
      </c>
      <c r="H1295" s="151"/>
      <c r="I1295" s="14" t="s">
        <v>17059</v>
      </c>
      <c r="J1295" s="14" t="s">
        <v>17684</v>
      </c>
      <c r="K1295" s="14" t="s">
        <v>35390</v>
      </c>
      <c r="L1295" s="152" t="s">
        <v>17686</v>
      </c>
      <c r="M1295" s="14" t="s">
        <v>35391</v>
      </c>
      <c r="N1295" s="54" t="s">
        <v>35390</v>
      </c>
      <c r="O1295" s="130" t="s">
        <v>17687</v>
      </c>
      <c r="P1295" s="153" t="s">
        <v>17688</v>
      </c>
      <c r="Q1295" s="14">
        <v>4015465.0</v>
      </c>
      <c r="R1295" s="95"/>
      <c r="S1295" s="154" t="s">
        <v>35392</v>
      </c>
      <c r="T1295" s="84"/>
      <c r="U1295" s="84"/>
      <c r="V1295" s="84"/>
      <c r="W1295" s="84"/>
      <c r="X1295" s="84"/>
      <c r="Y1295" s="84"/>
      <c r="Z1295" s="84"/>
      <c r="AA1295" s="84"/>
      <c r="AB1295" s="84"/>
      <c r="AC1295" s="84"/>
    </row>
    <row r="1296" ht="15.75" customHeight="1">
      <c r="A1296" s="14" t="s">
        <v>17</v>
      </c>
      <c r="B1296" s="14">
        <v>2006.0</v>
      </c>
      <c r="C1296" s="14" t="s">
        <v>17689</v>
      </c>
      <c r="D1296" s="14" t="s">
        <v>17690</v>
      </c>
      <c r="E1296" s="150" t="str">
        <f t="shared" si="14"/>
        <v>http://dx.doi.org/10.1109/TVCG.2006.151</v>
      </c>
      <c r="F1296" s="14">
        <v>1181.0</v>
      </c>
      <c r="G1296" s="14">
        <v>1188.0</v>
      </c>
      <c r="H1296" s="151"/>
      <c r="I1296" s="14" t="s">
        <v>17059</v>
      </c>
      <c r="J1296" s="14" t="s">
        <v>17695</v>
      </c>
      <c r="K1296" s="14" t="s">
        <v>35393</v>
      </c>
      <c r="L1296" s="152" t="s">
        <v>17698</v>
      </c>
      <c r="M1296" s="14" t="s">
        <v>35394</v>
      </c>
      <c r="N1296" s="54" t="s">
        <v>35393</v>
      </c>
      <c r="O1296" s="130" t="s">
        <v>17699</v>
      </c>
      <c r="P1296" s="153" t="s">
        <v>17700</v>
      </c>
      <c r="Q1296" s="14">
        <v>4015480.0</v>
      </c>
      <c r="R1296" s="95"/>
      <c r="S1296" s="154" t="s">
        <v>35395</v>
      </c>
      <c r="T1296" s="84"/>
      <c r="U1296" s="84"/>
      <c r="V1296" s="84"/>
      <c r="W1296" s="84"/>
      <c r="X1296" s="84"/>
      <c r="Y1296" s="84"/>
      <c r="Z1296" s="84"/>
      <c r="AA1296" s="84"/>
      <c r="AB1296" s="84"/>
      <c r="AC1296" s="84"/>
    </row>
    <row r="1297" ht="15.75" customHeight="1">
      <c r="A1297" s="14" t="s">
        <v>17</v>
      </c>
      <c r="B1297" s="14">
        <v>2006.0</v>
      </c>
      <c r="C1297" s="14" t="s">
        <v>17701</v>
      </c>
      <c r="D1297" s="14" t="s">
        <v>17702</v>
      </c>
      <c r="E1297" s="150" t="str">
        <f t="shared" si="14"/>
        <v>http://dx.doi.org/10.1109/TVCG.2006.152</v>
      </c>
      <c r="F1297" s="14">
        <v>933.0</v>
      </c>
      <c r="G1297" s="14">
        <v>940.0</v>
      </c>
      <c r="H1297" s="151"/>
      <c r="I1297" s="14" t="s">
        <v>17059</v>
      </c>
      <c r="J1297" s="14" t="s">
        <v>17705</v>
      </c>
      <c r="K1297" s="14" t="s">
        <v>35396</v>
      </c>
      <c r="L1297" s="152" t="s">
        <v>17709</v>
      </c>
      <c r="M1297" s="14" t="s">
        <v>35397</v>
      </c>
      <c r="N1297" s="54" t="s">
        <v>35398</v>
      </c>
      <c r="O1297" s="130" t="s">
        <v>17710</v>
      </c>
      <c r="P1297" s="153" t="s">
        <v>17711</v>
      </c>
      <c r="Q1297" s="14">
        <v>4015449.0</v>
      </c>
      <c r="R1297" s="95"/>
      <c r="S1297" s="154" t="s">
        <v>35399</v>
      </c>
      <c r="T1297" s="84"/>
      <c r="U1297" s="84"/>
      <c r="V1297" s="84"/>
      <c r="W1297" s="84"/>
      <c r="X1297" s="84"/>
      <c r="Y1297" s="84"/>
      <c r="Z1297" s="84"/>
      <c r="AA1297" s="84"/>
      <c r="AB1297" s="84"/>
      <c r="AC1297" s="84"/>
    </row>
    <row r="1298" ht="15.75" customHeight="1">
      <c r="A1298" s="14" t="s">
        <v>17</v>
      </c>
      <c r="B1298" s="14">
        <v>2006.0</v>
      </c>
      <c r="C1298" s="14" t="s">
        <v>17712</v>
      </c>
      <c r="D1298" s="14" t="s">
        <v>17713</v>
      </c>
      <c r="E1298" s="150" t="str">
        <f t="shared" si="14"/>
        <v>http://dx.doi.org/10.1109/TVCG.2006.153</v>
      </c>
      <c r="F1298" s="14">
        <v>1267.0</v>
      </c>
      <c r="G1298" s="14">
        <v>1274.0</v>
      </c>
      <c r="H1298" s="151"/>
      <c r="I1298" s="14" t="s">
        <v>17059</v>
      </c>
      <c r="J1298" s="14" t="s">
        <v>17716</v>
      </c>
      <c r="K1298" s="14" t="s">
        <v>35400</v>
      </c>
      <c r="L1298" s="152" t="s">
        <v>17718</v>
      </c>
      <c r="M1298" s="14" t="s">
        <v>35401</v>
      </c>
      <c r="N1298" s="54" t="s">
        <v>35400</v>
      </c>
      <c r="O1298" s="130" t="s">
        <v>17719</v>
      </c>
      <c r="P1298" s="153" t="s">
        <v>17720</v>
      </c>
      <c r="Q1298" s="14">
        <v>4015491.0</v>
      </c>
      <c r="R1298" s="95"/>
      <c r="S1298" s="154" t="s">
        <v>35402</v>
      </c>
      <c r="T1298" s="84"/>
      <c r="U1298" s="84"/>
      <c r="V1298" s="84"/>
      <c r="W1298" s="84"/>
      <c r="X1298" s="84"/>
      <c r="Y1298" s="84"/>
      <c r="Z1298" s="84"/>
      <c r="AA1298" s="84"/>
      <c r="AB1298" s="84"/>
      <c r="AC1298" s="84"/>
    </row>
    <row r="1299" ht="15.75" customHeight="1">
      <c r="A1299" s="14" t="s">
        <v>17</v>
      </c>
      <c r="B1299" s="14">
        <v>2006.0</v>
      </c>
      <c r="C1299" s="14" t="s">
        <v>17721</v>
      </c>
      <c r="D1299" s="14" t="s">
        <v>17722</v>
      </c>
      <c r="E1299" s="150" t="str">
        <f t="shared" si="14"/>
        <v>http://dx.doi.org/10.1109/TVCG.2006.154</v>
      </c>
      <c r="F1299" s="14">
        <v>1229.0</v>
      </c>
      <c r="G1299" s="14">
        <v>1236.0</v>
      </c>
      <c r="H1299" s="151"/>
      <c r="I1299" s="14" t="s">
        <v>17059</v>
      </c>
      <c r="J1299" s="14" t="s">
        <v>17728</v>
      </c>
      <c r="K1299" s="14" t="s">
        <v>35403</v>
      </c>
      <c r="L1299" s="152" t="s">
        <v>17731</v>
      </c>
      <c r="M1299" s="14" t="s">
        <v>35404</v>
      </c>
      <c r="N1299" s="54" t="s">
        <v>35403</v>
      </c>
      <c r="O1299" s="130" t="s">
        <v>17734</v>
      </c>
      <c r="P1299" s="153" t="s">
        <v>17736</v>
      </c>
      <c r="Q1299" s="14">
        <v>4015486.0</v>
      </c>
      <c r="R1299" s="95"/>
      <c r="S1299" s="154" t="s">
        <v>35405</v>
      </c>
      <c r="T1299" s="84"/>
      <c r="U1299" s="84"/>
      <c r="V1299" s="84"/>
      <c r="W1299" s="84"/>
      <c r="X1299" s="84"/>
      <c r="Y1299" s="84"/>
      <c r="Z1299" s="84"/>
      <c r="AA1299" s="84"/>
      <c r="AB1299" s="84"/>
      <c r="AC1299" s="84"/>
    </row>
    <row r="1300" ht="15.75" customHeight="1">
      <c r="A1300" s="14" t="s">
        <v>17</v>
      </c>
      <c r="B1300" s="14">
        <v>2006.0</v>
      </c>
      <c r="C1300" s="14" t="s">
        <v>17737</v>
      </c>
      <c r="D1300" s="14" t="s">
        <v>17738</v>
      </c>
      <c r="E1300" s="150" t="str">
        <f t="shared" si="14"/>
        <v>http://dx.doi.org/10.1109/TVCG.2006.155</v>
      </c>
      <c r="F1300" s="14">
        <v>1149.0</v>
      </c>
      <c r="G1300" s="14">
        <v>1156.0</v>
      </c>
      <c r="H1300" s="151"/>
      <c r="I1300" s="14" t="s">
        <v>17059</v>
      </c>
      <c r="J1300" s="14" t="s">
        <v>17741</v>
      </c>
      <c r="K1300" s="14" t="s">
        <v>35406</v>
      </c>
      <c r="L1300" s="152" t="s">
        <v>17743</v>
      </c>
      <c r="M1300" s="14" t="s">
        <v>35407</v>
      </c>
      <c r="N1300" s="54" t="s">
        <v>35406</v>
      </c>
      <c r="O1300" s="130" t="s">
        <v>17745</v>
      </c>
      <c r="P1300" s="153" t="s">
        <v>17747</v>
      </c>
      <c r="Q1300" s="14">
        <v>4015476.0</v>
      </c>
      <c r="R1300" s="95"/>
      <c r="S1300" s="154" t="s">
        <v>35408</v>
      </c>
      <c r="T1300" s="84"/>
      <c r="U1300" s="84"/>
      <c r="V1300" s="84"/>
      <c r="W1300" s="84"/>
      <c r="X1300" s="84"/>
      <c r="Y1300" s="84"/>
      <c r="Z1300" s="84"/>
      <c r="AA1300" s="84"/>
      <c r="AB1300" s="84"/>
      <c r="AC1300" s="84"/>
    </row>
    <row r="1301" ht="15.75" customHeight="1">
      <c r="A1301" s="14" t="s">
        <v>17</v>
      </c>
      <c r="B1301" s="14">
        <v>2006.0</v>
      </c>
      <c r="C1301" s="14" t="s">
        <v>17765</v>
      </c>
      <c r="D1301" s="14" t="s">
        <v>17766</v>
      </c>
      <c r="E1301" s="150" t="str">
        <f t="shared" si="14"/>
        <v>http://dx.doi.org/10.1109/TVCG.2006.157</v>
      </c>
      <c r="F1301" s="14">
        <v>1283.0</v>
      </c>
      <c r="G1301" s="14">
        <v>1290.0</v>
      </c>
      <c r="H1301" s="151"/>
      <c r="I1301" s="14" t="s">
        <v>17059</v>
      </c>
      <c r="J1301" s="14" t="s">
        <v>17771</v>
      </c>
      <c r="K1301" s="14" t="s">
        <v>35409</v>
      </c>
      <c r="L1301" s="152" t="s">
        <v>17773</v>
      </c>
      <c r="M1301" s="14" t="s">
        <v>35410</v>
      </c>
      <c r="N1301" s="54" t="s">
        <v>35409</v>
      </c>
      <c r="O1301" s="130" t="s">
        <v>17774</v>
      </c>
      <c r="P1301" s="153" t="s">
        <v>17776</v>
      </c>
      <c r="Q1301" s="14">
        <v>4015493.0</v>
      </c>
      <c r="R1301" s="95"/>
      <c r="S1301" s="154" t="s">
        <v>35411</v>
      </c>
      <c r="T1301" s="84"/>
      <c r="U1301" s="84"/>
      <c r="V1301" s="84"/>
      <c r="W1301" s="84"/>
      <c r="X1301" s="84"/>
      <c r="Y1301" s="84"/>
      <c r="Z1301" s="84"/>
      <c r="AA1301" s="84"/>
      <c r="AB1301" s="84"/>
      <c r="AC1301" s="84"/>
    </row>
    <row r="1302" ht="15.75" customHeight="1">
      <c r="A1302" s="14" t="s">
        <v>17</v>
      </c>
      <c r="B1302" s="14">
        <v>2006.0</v>
      </c>
      <c r="C1302" s="14" t="s">
        <v>17778</v>
      </c>
      <c r="D1302" s="14" t="s">
        <v>17779</v>
      </c>
      <c r="E1302" s="150" t="str">
        <f t="shared" si="14"/>
        <v>http://dx.doi.org/10.1109/TVCG.2006.158</v>
      </c>
      <c r="F1302" s="14">
        <v>885.0</v>
      </c>
      <c r="G1302" s="14">
        <v>892.0</v>
      </c>
      <c r="H1302" s="151"/>
      <c r="I1302" s="14" t="s">
        <v>17059</v>
      </c>
      <c r="J1302" s="14" t="s">
        <v>17781</v>
      </c>
      <c r="K1302" s="14" t="s">
        <v>35412</v>
      </c>
      <c r="L1302" s="152" t="s">
        <v>17783</v>
      </c>
      <c r="M1302" s="14" t="s">
        <v>35413</v>
      </c>
      <c r="N1302" s="54" t="s">
        <v>35412</v>
      </c>
      <c r="O1302" s="130" t="s">
        <v>17784</v>
      </c>
      <c r="P1302" s="153" t="s">
        <v>17785</v>
      </c>
      <c r="Q1302" s="14">
        <v>4015443.0</v>
      </c>
      <c r="R1302" s="95"/>
      <c r="S1302" s="154" t="s">
        <v>35414</v>
      </c>
      <c r="T1302" s="84"/>
      <c r="U1302" s="84"/>
      <c r="V1302" s="84"/>
      <c r="W1302" s="84"/>
      <c r="X1302" s="84"/>
      <c r="Y1302" s="84"/>
      <c r="Z1302" s="84"/>
      <c r="AA1302" s="84"/>
      <c r="AB1302" s="84"/>
      <c r="AC1302" s="84"/>
    </row>
    <row r="1303" ht="15.75" customHeight="1">
      <c r="A1303" s="14" t="s">
        <v>17</v>
      </c>
      <c r="B1303" s="14">
        <v>2006.0</v>
      </c>
      <c r="C1303" s="14" t="s">
        <v>17786</v>
      </c>
      <c r="D1303" s="14" t="s">
        <v>17787</v>
      </c>
      <c r="E1303" s="150" t="str">
        <f t="shared" si="14"/>
        <v>http://dx.doi.org/10.1109/TVCG.2006.159</v>
      </c>
      <c r="F1303" s="14">
        <v>1029.0</v>
      </c>
      <c r="G1303" s="14">
        <v>1036.0</v>
      </c>
      <c r="H1303" s="151"/>
      <c r="I1303" s="14" t="s">
        <v>17059</v>
      </c>
      <c r="J1303" s="14" t="s">
        <v>17792</v>
      </c>
      <c r="K1303" s="14" t="s">
        <v>17793</v>
      </c>
      <c r="L1303" s="152" t="s">
        <v>17794</v>
      </c>
      <c r="M1303" s="14" t="s">
        <v>35415</v>
      </c>
      <c r="N1303" s="54" t="s">
        <v>17793</v>
      </c>
      <c r="O1303" s="130" t="s">
        <v>17795</v>
      </c>
      <c r="P1303" s="153" t="s">
        <v>17796</v>
      </c>
      <c r="Q1303" s="14">
        <v>4015461.0</v>
      </c>
      <c r="R1303" s="95"/>
      <c r="S1303" s="154" t="s">
        <v>35416</v>
      </c>
      <c r="T1303" s="84"/>
      <c r="U1303" s="84"/>
      <c r="V1303" s="84"/>
      <c r="W1303" s="84"/>
      <c r="X1303" s="84"/>
      <c r="Y1303" s="84"/>
      <c r="Z1303" s="84"/>
      <c r="AA1303" s="84"/>
      <c r="AB1303" s="84"/>
      <c r="AC1303" s="84"/>
    </row>
    <row r="1304" ht="15.75" customHeight="1">
      <c r="A1304" s="14" t="s">
        <v>17</v>
      </c>
      <c r="B1304" s="14">
        <v>2006.0</v>
      </c>
      <c r="C1304" s="14" t="s">
        <v>17803</v>
      </c>
      <c r="D1304" s="14" t="s">
        <v>17804</v>
      </c>
      <c r="E1304" s="150" t="str">
        <f t="shared" si="14"/>
        <v>http://dx.doi.org/10.1109/TVCG.2006.162</v>
      </c>
      <c r="F1304" s="14">
        <v>1213.0</v>
      </c>
      <c r="G1304" s="14">
        <v>1220.0</v>
      </c>
      <c r="H1304" s="151"/>
      <c r="I1304" s="14" t="s">
        <v>17059</v>
      </c>
      <c r="J1304" s="14" t="s">
        <v>17805</v>
      </c>
      <c r="K1304" s="14" t="s">
        <v>35417</v>
      </c>
      <c r="L1304" s="152" t="s">
        <v>17612</v>
      </c>
      <c r="M1304" s="14" t="s">
        <v>35050</v>
      </c>
      <c r="N1304" s="54" t="s">
        <v>35417</v>
      </c>
      <c r="O1304" s="130" t="s">
        <v>17809</v>
      </c>
      <c r="P1304" s="153" t="s">
        <v>17810</v>
      </c>
      <c r="Q1304" s="14">
        <v>4015484.0</v>
      </c>
      <c r="R1304" s="95"/>
      <c r="S1304" s="154" t="s">
        <v>35418</v>
      </c>
      <c r="T1304" s="84"/>
      <c r="U1304" s="84"/>
      <c r="V1304" s="84"/>
      <c r="W1304" s="84"/>
      <c r="X1304" s="84"/>
      <c r="Y1304" s="84"/>
      <c r="Z1304" s="84"/>
      <c r="AA1304" s="84"/>
      <c r="AB1304" s="84"/>
      <c r="AC1304" s="84"/>
    </row>
    <row r="1305" ht="15.75" customHeight="1">
      <c r="A1305" s="14" t="s">
        <v>17</v>
      </c>
      <c r="B1305" s="14">
        <v>2006.0</v>
      </c>
      <c r="C1305" s="14" t="s">
        <v>17811</v>
      </c>
      <c r="D1305" s="14" t="s">
        <v>17812</v>
      </c>
      <c r="E1305" s="150" t="str">
        <f t="shared" si="14"/>
        <v>http://dx.doi.org/10.1109/TVCG.2006.164</v>
      </c>
      <c r="F1305" s="14">
        <v>909.0</v>
      </c>
      <c r="G1305" s="14">
        <v>916.0</v>
      </c>
      <c r="H1305" s="151"/>
      <c r="I1305" s="14" t="s">
        <v>17059</v>
      </c>
      <c r="J1305" s="14" t="s">
        <v>17813</v>
      </c>
      <c r="K1305" s="14" t="s">
        <v>35419</v>
      </c>
      <c r="L1305" s="152" t="s">
        <v>17794</v>
      </c>
      <c r="M1305" s="14" t="s">
        <v>35420</v>
      </c>
      <c r="N1305" s="54" t="s">
        <v>35421</v>
      </c>
      <c r="O1305" s="130" t="s">
        <v>17816</v>
      </c>
      <c r="P1305" s="153" t="s">
        <v>17817</v>
      </c>
      <c r="Q1305" s="14">
        <v>4015446.0</v>
      </c>
      <c r="R1305" s="95"/>
      <c r="S1305" s="154" t="s">
        <v>35422</v>
      </c>
      <c r="T1305" s="84"/>
      <c r="U1305" s="84"/>
      <c r="V1305" s="84"/>
      <c r="W1305" s="84"/>
      <c r="X1305" s="84"/>
      <c r="Y1305" s="84"/>
      <c r="Z1305" s="84"/>
      <c r="AA1305" s="84"/>
      <c r="AB1305" s="84"/>
      <c r="AC1305" s="84"/>
    </row>
    <row r="1306" ht="15.75" customHeight="1">
      <c r="A1306" s="14" t="s">
        <v>17</v>
      </c>
      <c r="B1306" s="14">
        <v>2006.0</v>
      </c>
      <c r="C1306" s="14" t="s">
        <v>17819</v>
      </c>
      <c r="D1306" s="14" t="s">
        <v>17820</v>
      </c>
      <c r="E1306" s="150" t="str">
        <f t="shared" si="14"/>
        <v>http://dx.doi.org/10.1109/TVCG.2006.165</v>
      </c>
      <c r="F1306" s="14">
        <v>917.0</v>
      </c>
      <c r="G1306" s="14">
        <v>924.0</v>
      </c>
      <c r="H1306" s="151"/>
      <c r="I1306" s="14" t="s">
        <v>17059</v>
      </c>
      <c r="J1306" s="14" t="s">
        <v>17822</v>
      </c>
      <c r="K1306" s="14" t="s">
        <v>35423</v>
      </c>
      <c r="L1306" s="152" t="s">
        <v>17883</v>
      </c>
      <c r="M1306" s="14" t="s">
        <v>35424</v>
      </c>
      <c r="N1306" s="54" t="s">
        <v>35423</v>
      </c>
      <c r="O1306" s="130" t="s">
        <v>17825</v>
      </c>
      <c r="P1306" s="153" t="s">
        <v>17826</v>
      </c>
      <c r="Q1306" s="14">
        <v>4015447.0</v>
      </c>
      <c r="R1306" s="95"/>
      <c r="S1306" s="154" t="s">
        <v>35425</v>
      </c>
      <c r="T1306" s="84"/>
      <c r="U1306" s="84"/>
      <c r="V1306" s="84"/>
      <c r="W1306" s="84"/>
      <c r="X1306" s="84"/>
      <c r="Y1306" s="84"/>
      <c r="Z1306" s="84"/>
      <c r="AA1306" s="84"/>
      <c r="AB1306" s="84"/>
      <c r="AC1306" s="84"/>
    </row>
    <row r="1307" ht="15.75" customHeight="1">
      <c r="A1307" s="14" t="s">
        <v>17</v>
      </c>
      <c r="B1307" s="14">
        <v>2006.0</v>
      </c>
      <c r="C1307" s="14" t="s">
        <v>17827</v>
      </c>
      <c r="D1307" s="14" t="s">
        <v>17828</v>
      </c>
      <c r="E1307" s="150" t="str">
        <f t="shared" si="14"/>
        <v>http://dx.doi.org/10.1109/TVCG.2006.167</v>
      </c>
      <c r="F1307" s="14">
        <v>1141.0</v>
      </c>
      <c r="G1307" s="14">
        <v>1148.0</v>
      </c>
      <c r="H1307" s="151"/>
      <c r="I1307" s="14" t="s">
        <v>17059</v>
      </c>
      <c r="J1307" s="14" t="s">
        <v>17829</v>
      </c>
      <c r="K1307" s="14" t="s">
        <v>35426</v>
      </c>
      <c r="L1307" s="152" t="s">
        <v>17886</v>
      </c>
      <c r="M1307" s="14" t="s">
        <v>35427</v>
      </c>
      <c r="N1307" s="54" t="s">
        <v>35426</v>
      </c>
      <c r="O1307" s="130" t="s">
        <v>17832</v>
      </c>
      <c r="P1307" s="153" t="s">
        <v>17833</v>
      </c>
      <c r="Q1307" s="14">
        <v>4015475.0</v>
      </c>
      <c r="R1307" s="95"/>
      <c r="S1307" s="154" t="s">
        <v>35428</v>
      </c>
      <c r="T1307" s="84"/>
      <c r="U1307" s="84"/>
      <c r="V1307" s="84"/>
      <c r="W1307" s="84"/>
      <c r="X1307" s="84"/>
      <c r="Y1307" s="84"/>
      <c r="Z1307" s="84"/>
      <c r="AA1307" s="84"/>
      <c r="AB1307" s="84"/>
      <c r="AC1307" s="84"/>
    </row>
    <row r="1308" ht="15.75" customHeight="1">
      <c r="A1308" s="14" t="s">
        <v>17</v>
      </c>
      <c r="B1308" s="14">
        <v>2006.0</v>
      </c>
      <c r="C1308" s="14" t="s">
        <v>17834</v>
      </c>
      <c r="D1308" s="14" t="s">
        <v>17835</v>
      </c>
      <c r="E1308" s="150" t="str">
        <f t="shared" si="14"/>
        <v>http://dx.doi.org/10.1109/TVCG.2006.168</v>
      </c>
      <c r="F1308" s="14">
        <v>1259.0</v>
      </c>
      <c r="G1308" s="14">
        <v>1266.0</v>
      </c>
      <c r="H1308" s="151"/>
      <c r="I1308" s="14" t="s">
        <v>17059</v>
      </c>
      <c r="J1308" s="14" t="s">
        <v>17837</v>
      </c>
      <c r="K1308" s="14" t="s">
        <v>35429</v>
      </c>
      <c r="L1308" s="152" t="s">
        <v>17888</v>
      </c>
      <c r="M1308" s="14" t="s">
        <v>35430</v>
      </c>
      <c r="N1308" s="54" t="s">
        <v>35429</v>
      </c>
      <c r="O1308" s="130" t="s">
        <v>17842</v>
      </c>
      <c r="P1308" s="153" t="s">
        <v>17843</v>
      </c>
      <c r="Q1308" s="14">
        <v>4015490.0</v>
      </c>
      <c r="R1308" s="95"/>
      <c r="S1308" s="154" t="s">
        <v>35431</v>
      </c>
      <c r="T1308" s="84"/>
      <c r="U1308" s="84"/>
      <c r="V1308" s="84"/>
      <c r="W1308" s="84"/>
      <c r="X1308" s="84"/>
      <c r="Y1308" s="84"/>
      <c r="Z1308" s="84"/>
      <c r="AA1308" s="84"/>
      <c r="AB1308" s="84"/>
      <c r="AC1308" s="84"/>
    </row>
    <row r="1309" ht="15.75" customHeight="1">
      <c r="A1309" s="14" t="s">
        <v>17</v>
      </c>
      <c r="B1309" s="14">
        <v>2006.0</v>
      </c>
      <c r="C1309" s="14" t="s">
        <v>17844</v>
      </c>
      <c r="D1309" s="14" t="s">
        <v>17845</v>
      </c>
      <c r="E1309" s="150" t="str">
        <f t="shared" si="14"/>
        <v>http://dx.doi.org/10.1109/TVCG.2006.169</v>
      </c>
      <c r="F1309" s="14">
        <v>1221.0</v>
      </c>
      <c r="G1309" s="14">
        <v>1228.0</v>
      </c>
      <c r="H1309" s="151"/>
      <c r="I1309" s="14" t="s">
        <v>17059</v>
      </c>
      <c r="J1309" s="14" t="s">
        <v>17846</v>
      </c>
      <c r="K1309" s="14" t="s">
        <v>35432</v>
      </c>
      <c r="L1309" s="152" t="s">
        <v>17890</v>
      </c>
      <c r="M1309" s="14" t="s">
        <v>35433</v>
      </c>
      <c r="N1309" s="54" t="s">
        <v>35432</v>
      </c>
      <c r="O1309" s="130" t="s">
        <v>17849</v>
      </c>
      <c r="P1309" s="153" t="s">
        <v>17850</v>
      </c>
      <c r="Q1309" s="14">
        <v>4015485.0</v>
      </c>
      <c r="R1309" s="95"/>
      <c r="S1309" s="154" t="s">
        <v>35434</v>
      </c>
      <c r="T1309" s="84"/>
      <c r="U1309" s="84"/>
      <c r="V1309" s="84"/>
      <c r="W1309" s="84"/>
      <c r="X1309" s="84"/>
      <c r="Y1309" s="84"/>
      <c r="Z1309" s="84"/>
      <c r="AA1309" s="84"/>
      <c r="AB1309" s="84"/>
      <c r="AC1309" s="84"/>
    </row>
    <row r="1310" ht="15.75" customHeight="1">
      <c r="A1310" s="14" t="s">
        <v>17</v>
      </c>
      <c r="B1310" s="14">
        <v>2006.0</v>
      </c>
      <c r="C1310" s="14" t="s">
        <v>17851</v>
      </c>
      <c r="D1310" s="14" t="s">
        <v>17852</v>
      </c>
      <c r="E1310" s="150" t="str">
        <f t="shared" si="14"/>
        <v>http://dx.doi.org/10.1109/TVCG.2006.170</v>
      </c>
      <c r="F1310" s="14">
        <v>893.0</v>
      </c>
      <c r="G1310" s="14">
        <v>900.0</v>
      </c>
      <c r="H1310" s="151"/>
      <c r="I1310" s="14" t="s">
        <v>17059</v>
      </c>
      <c r="J1310" s="14" t="s">
        <v>17853</v>
      </c>
      <c r="K1310" s="14" t="s">
        <v>35435</v>
      </c>
      <c r="L1310" s="152" t="s">
        <v>17892</v>
      </c>
      <c r="M1310" s="14" t="s">
        <v>35436</v>
      </c>
      <c r="N1310" s="54" t="s">
        <v>35435</v>
      </c>
      <c r="O1310" s="130" t="s">
        <v>17856</v>
      </c>
      <c r="P1310" s="153" t="s">
        <v>17858</v>
      </c>
      <c r="Q1310" s="14">
        <v>4015444.0</v>
      </c>
      <c r="R1310" s="95"/>
      <c r="S1310" s="154" t="s">
        <v>35437</v>
      </c>
      <c r="T1310" s="84"/>
      <c r="U1310" s="84"/>
      <c r="V1310" s="84"/>
      <c r="W1310" s="84"/>
      <c r="X1310" s="84"/>
      <c r="Y1310" s="84"/>
      <c r="Z1310" s="84"/>
      <c r="AA1310" s="84"/>
      <c r="AB1310" s="84"/>
      <c r="AC1310" s="84"/>
    </row>
    <row r="1311" ht="15.75" customHeight="1">
      <c r="A1311" s="14" t="s">
        <v>17</v>
      </c>
      <c r="B1311" s="14">
        <v>2006.0</v>
      </c>
      <c r="C1311" s="14" t="s">
        <v>17859</v>
      </c>
      <c r="D1311" s="14" t="s">
        <v>17860</v>
      </c>
      <c r="E1311" s="150" t="str">
        <f t="shared" si="14"/>
        <v>http://dx.doi.org/10.1109/TVCG.2006.171</v>
      </c>
      <c r="F1311" s="14">
        <v>1307.0</v>
      </c>
      <c r="G1311" s="14">
        <v>1314.0</v>
      </c>
      <c r="H1311" s="151"/>
      <c r="I1311" s="14" t="s">
        <v>17059</v>
      </c>
      <c r="J1311" s="14" t="s">
        <v>17861</v>
      </c>
      <c r="K1311" s="14" t="s">
        <v>35438</v>
      </c>
      <c r="L1311" s="152" t="s">
        <v>17895</v>
      </c>
      <c r="M1311" s="14" t="s">
        <v>35439</v>
      </c>
      <c r="N1311" s="54" t="s">
        <v>35438</v>
      </c>
      <c r="O1311" s="130" t="s">
        <v>17865</v>
      </c>
      <c r="P1311" s="153" t="s">
        <v>17866</v>
      </c>
      <c r="Q1311" s="14">
        <v>4015496.0</v>
      </c>
      <c r="R1311" s="95"/>
      <c r="S1311" s="154" t="s">
        <v>35440</v>
      </c>
      <c r="T1311" s="84"/>
      <c r="U1311" s="84"/>
      <c r="V1311" s="84"/>
      <c r="W1311" s="84"/>
      <c r="X1311" s="84"/>
      <c r="Y1311" s="84"/>
      <c r="Z1311" s="84"/>
      <c r="AA1311" s="84"/>
      <c r="AB1311" s="84"/>
      <c r="AC1311" s="84"/>
    </row>
    <row r="1312" ht="15.75" customHeight="1">
      <c r="A1312" s="14" t="s">
        <v>17</v>
      </c>
      <c r="B1312" s="14">
        <v>2006.0</v>
      </c>
      <c r="C1312" s="14" t="s">
        <v>17867</v>
      </c>
      <c r="D1312" s="14" t="s">
        <v>17868</v>
      </c>
      <c r="E1312" s="150" t="str">
        <f t="shared" si="14"/>
        <v>http://dx.doi.org/10.1109/TVCG.2006.172</v>
      </c>
      <c r="F1312" s="14">
        <v>877.0</v>
      </c>
      <c r="G1312" s="14">
        <v>884.0</v>
      </c>
      <c r="H1312" s="151"/>
      <c r="I1312" s="14" t="s">
        <v>17059</v>
      </c>
      <c r="J1312" s="14" t="s">
        <v>17870</v>
      </c>
      <c r="K1312" s="14" t="s">
        <v>35441</v>
      </c>
      <c r="L1312" s="152" t="s">
        <v>17897</v>
      </c>
      <c r="M1312" s="14" t="s">
        <v>35442</v>
      </c>
      <c r="N1312" s="54" t="s">
        <v>35441</v>
      </c>
      <c r="O1312" s="130" t="s">
        <v>17873</v>
      </c>
      <c r="P1312" s="153" t="s">
        <v>17874</v>
      </c>
      <c r="Q1312" s="14">
        <v>4015442.0</v>
      </c>
      <c r="R1312" s="95"/>
      <c r="S1312" s="154" t="s">
        <v>35443</v>
      </c>
      <c r="T1312" s="84"/>
      <c r="U1312" s="84"/>
      <c r="V1312" s="84"/>
      <c r="W1312" s="84"/>
      <c r="X1312" s="84"/>
      <c r="Y1312" s="84"/>
      <c r="Z1312" s="84"/>
      <c r="AA1312" s="84"/>
      <c r="AB1312" s="84"/>
      <c r="AC1312" s="84"/>
    </row>
    <row r="1313" ht="15.75" customHeight="1">
      <c r="A1313" s="14" t="s">
        <v>17</v>
      </c>
      <c r="B1313" s="14">
        <v>2006.0</v>
      </c>
      <c r="C1313" s="14" t="s">
        <v>17875</v>
      </c>
      <c r="D1313" s="14" t="s">
        <v>17876</v>
      </c>
      <c r="E1313" s="150" t="str">
        <f t="shared" si="14"/>
        <v>http://dx.doi.org/10.1109/TVCG.2006.173</v>
      </c>
      <c r="F1313" s="14">
        <v>1315.0</v>
      </c>
      <c r="G1313" s="14">
        <v>1322.0</v>
      </c>
      <c r="H1313" s="151"/>
      <c r="I1313" s="14" t="s">
        <v>17059</v>
      </c>
      <c r="J1313" s="14" t="s">
        <v>17877</v>
      </c>
      <c r="K1313" s="14" t="s">
        <v>35444</v>
      </c>
      <c r="L1313" s="152" t="s">
        <v>17900</v>
      </c>
      <c r="M1313" s="14" t="s">
        <v>35445</v>
      </c>
      <c r="N1313" s="54" t="s">
        <v>35444</v>
      </c>
      <c r="O1313" s="130" t="s">
        <v>35446</v>
      </c>
      <c r="P1313" s="153" t="s">
        <v>17881</v>
      </c>
      <c r="Q1313" s="14">
        <v>4015497.0</v>
      </c>
      <c r="R1313" s="95"/>
      <c r="S1313" s="154" t="s">
        <v>35447</v>
      </c>
      <c r="T1313" s="84"/>
      <c r="U1313" s="84"/>
      <c r="V1313" s="84"/>
      <c r="W1313" s="84"/>
      <c r="X1313" s="84"/>
      <c r="Y1313" s="84"/>
      <c r="Z1313" s="84"/>
      <c r="AA1313" s="84"/>
      <c r="AB1313" s="84"/>
      <c r="AC1313" s="84"/>
    </row>
    <row r="1314" ht="15.75" customHeight="1">
      <c r="A1314" s="14" t="s">
        <v>17</v>
      </c>
      <c r="B1314" s="14">
        <v>2006.0</v>
      </c>
      <c r="C1314" s="14" t="s">
        <v>17901</v>
      </c>
      <c r="D1314" s="14" t="s">
        <v>17902</v>
      </c>
      <c r="E1314" s="150" t="str">
        <f t="shared" si="14"/>
        <v>http://dx.doi.org/10.1109/TVCG.2006.174</v>
      </c>
      <c r="F1314" s="14">
        <v>925.0</v>
      </c>
      <c r="G1314" s="14">
        <v>932.0</v>
      </c>
      <c r="H1314" s="151"/>
      <c r="I1314" s="14" t="s">
        <v>17059</v>
      </c>
      <c r="J1314" s="14" t="s">
        <v>17904</v>
      </c>
      <c r="K1314" s="14" t="s">
        <v>35448</v>
      </c>
      <c r="L1314" s="152" t="s">
        <v>17906</v>
      </c>
      <c r="M1314" s="14" t="s">
        <v>35449</v>
      </c>
      <c r="N1314" s="54" t="s">
        <v>35448</v>
      </c>
      <c r="O1314" s="130" t="s">
        <v>17907</v>
      </c>
      <c r="P1314" s="153" t="s">
        <v>17908</v>
      </c>
      <c r="Q1314" s="14">
        <v>4015448.0</v>
      </c>
      <c r="R1314" s="95"/>
      <c r="S1314" s="154" t="s">
        <v>35450</v>
      </c>
      <c r="T1314" s="84"/>
      <c r="U1314" s="84"/>
      <c r="V1314" s="84"/>
      <c r="W1314" s="84"/>
      <c r="X1314" s="84"/>
      <c r="Y1314" s="84"/>
      <c r="Z1314" s="84"/>
      <c r="AA1314" s="84"/>
      <c r="AB1314" s="84"/>
      <c r="AC1314" s="84"/>
    </row>
    <row r="1315" ht="15.75" customHeight="1">
      <c r="A1315" s="14" t="s">
        <v>17</v>
      </c>
      <c r="B1315" s="14">
        <v>2006.0</v>
      </c>
      <c r="C1315" s="14" t="s">
        <v>17909</v>
      </c>
      <c r="D1315" s="14" t="s">
        <v>17910</v>
      </c>
      <c r="E1315" s="150" t="str">
        <f t="shared" si="14"/>
        <v>http://dx.doi.org/10.1109/TVCG.2006.175</v>
      </c>
      <c r="F1315" s="14">
        <v>1291.0</v>
      </c>
      <c r="G1315" s="14">
        <v>1298.0</v>
      </c>
      <c r="H1315" s="151"/>
      <c r="I1315" s="14" t="s">
        <v>17059</v>
      </c>
      <c r="J1315" s="14" t="s">
        <v>17912</v>
      </c>
      <c r="K1315" s="14" t="s">
        <v>35451</v>
      </c>
      <c r="L1315" s="152" t="s">
        <v>17914</v>
      </c>
      <c r="M1315" s="14" t="s">
        <v>35452</v>
      </c>
      <c r="N1315" s="54" t="s">
        <v>35451</v>
      </c>
      <c r="O1315" s="130" t="s">
        <v>17915</v>
      </c>
      <c r="P1315" s="153" t="s">
        <v>17916</v>
      </c>
      <c r="Q1315" s="14">
        <v>4015494.0</v>
      </c>
      <c r="R1315" s="95"/>
      <c r="S1315" s="154" t="s">
        <v>35453</v>
      </c>
      <c r="T1315" s="84"/>
      <c r="U1315" s="84"/>
      <c r="V1315" s="84"/>
      <c r="W1315" s="84"/>
      <c r="X1315" s="84"/>
      <c r="Y1315" s="84"/>
      <c r="Z1315" s="84"/>
      <c r="AA1315" s="84"/>
      <c r="AB1315" s="84"/>
      <c r="AC1315" s="84"/>
    </row>
    <row r="1316" ht="15.75" customHeight="1">
      <c r="A1316" s="14" t="s">
        <v>17</v>
      </c>
      <c r="B1316" s="14">
        <v>2006.0</v>
      </c>
      <c r="C1316" s="14" t="s">
        <v>17917</v>
      </c>
      <c r="D1316" s="14" t="s">
        <v>17918</v>
      </c>
      <c r="E1316" s="150" t="str">
        <f t="shared" si="14"/>
        <v>http://dx.doi.org/10.1109/TVCG.2006.176</v>
      </c>
      <c r="F1316" s="14">
        <v>1005.0</v>
      </c>
      <c r="G1316" s="14">
        <v>1012.0</v>
      </c>
      <c r="H1316" s="151"/>
      <c r="I1316" s="14" t="s">
        <v>17059</v>
      </c>
      <c r="J1316" s="14" t="s">
        <v>17920</v>
      </c>
      <c r="K1316" s="14" t="s">
        <v>35454</v>
      </c>
      <c r="L1316" s="152" t="s">
        <v>17922</v>
      </c>
      <c r="M1316" s="14" t="s">
        <v>35455</v>
      </c>
      <c r="N1316" s="54" t="s">
        <v>35454</v>
      </c>
      <c r="O1316" s="130"/>
      <c r="P1316" s="153" t="s">
        <v>17923</v>
      </c>
      <c r="Q1316" s="14">
        <v>4015458.0</v>
      </c>
      <c r="R1316" s="95"/>
      <c r="S1316" s="154"/>
      <c r="T1316" s="84"/>
      <c r="U1316" s="84"/>
      <c r="V1316" s="84"/>
      <c r="W1316" s="84"/>
      <c r="X1316" s="84"/>
      <c r="Y1316" s="84"/>
      <c r="Z1316" s="84"/>
      <c r="AA1316" s="84"/>
      <c r="AB1316" s="84"/>
      <c r="AC1316" s="84"/>
    </row>
    <row r="1317" ht="15.75" customHeight="1">
      <c r="A1317" s="14" t="s">
        <v>17</v>
      </c>
      <c r="B1317" s="14">
        <v>2006.0</v>
      </c>
      <c r="C1317" s="14" t="s">
        <v>17929</v>
      </c>
      <c r="D1317" s="14" t="s">
        <v>17930</v>
      </c>
      <c r="E1317" s="150" t="str">
        <f t="shared" si="14"/>
        <v>http://dx.doi.org/10.1109/TVCG.2006.180</v>
      </c>
      <c r="F1317" s="14">
        <v>1133.0</v>
      </c>
      <c r="G1317" s="14">
        <v>1140.0</v>
      </c>
      <c r="H1317" s="151"/>
      <c r="I1317" s="14" t="s">
        <v>17059</v>
      </c>
      <c r="J1317" s="14" t="s">
        <v>17932</v>
      </c>
      <c r="K1317" s="14" t="s">
        <v>35456</v>
      </c>
      <c r="L1317" s="152" t="s">
        <v>17934</v>
      </c>
      <c r="M1317" s="14" t="s">
        <v>35457</v>
      </c>
      <c r="N1317" s="54" t="s">
        <v>35456</v>
      </c>
      <c r="O1317" s="130" t="s">
        <v>35458</v>
      </c>
      <c r="P1317" s="153" t="s">
        <v>17936</v>
      </c>
      <c r="Q1317" s="14">
        <v>4015474.0</v>
      </c>
      <c r="R1317" s="95"/>
      <c r="S1317" s="154" t="s">
        <v>35459</v>
      </c>
      <c r="T1317" s="84"/>
      <c r="U1317" s="84"/>
      <c r="V1317" s="84"/>
      <c r="W1317" s="84"/>
      <c r="X1317" s="84"/>
      <c r="Y1317" s="84"/>
      <c r="Z1317" s="84"/>
      <c r="AA1317" s="84"/>
      <c r="AB1317" s="84"/>
      <c r="AC1317" s="84"/>
    </row>
    <row r="1318" ht="15.75" customHeight="1">
      <c r="A1318" s="14" t="s">
        <v>17</v>
      </c>
      <c r="B1318" s="14">
        <v>2006.0</v>
      </c>
      <c r="C1318" s="14" t="s">
        <v>17937</v>
      </c>
      <c r="D1318" s="14" t="s">
        <v>17938</v>
      </c>
      <c r="E1318" s="150" t="str">
        <f t="shared" si="14"/>
        <v>http://dx.doi.org/10.1109/TVCG.2006.181</v>
      </c>
      <c r="F1318" s="14">
        <v>1197.0</v>
      </c>
      <c r="G1318" s="14">
        <v>1204.0</v>
      </c>
      <c r="H1318" s="151"/>
      <c r="I1318" s="14" t="s">
        <v>17059</v>
      </c>
      <c r="J1318" s="14" t="s">
        <v>17940</v>
      </c>
      <c r="K1318" s="14" t="s">
        <v>35460</v>
      </c>
      <c r="L1318" s="152" t="s">
        <v>17942</v>
      </c>
      <c r="M1318" s="14" t="s">
        <v>178</v>
      </c>
      <c r="N1318" s="54" t="s">
        <v>35460</v>
      </c>
      <c r="O1318" s="130" t="s">
        <v>17943</v>
      </c>
      <c r="P1318" s="153" t="s">
        <v>17944</v>
      </c>
      <c r="Q1318" s="14">
        <v>4015482.0</v>
      </c>
      <c r="R1318" s="95"/>
      <c r="S1318" s="154" t="s">
        <v>35461</v>
      </c>
      <c r="T1318" s="84"/>
      <c r="U1318" s="84"/>
      <c r="V1318" s="84"/>
      <c r="W1318" s="84"/>
      <c r="X1318" s="84"/>
      <c r="Y1318" s="84"/>
      <c r="Z1318" s="84"/>
      <c r="AA1318" s="84"/>
      <c r="AB1318" s="84"/>
      <c r="AC1318" s="84"/>
    </row>
    <row r="1319" ht="15.75" customHeight="1">
      <c r="A1319" s="14" t="s">
        <v>17</v>
      </c>
      <c r="B1319" s="14">
        <v>2006.0</v>
      </c>
      <c r="C1319" s="14" t="s">
        <v>17945</v>
      </c>
      <c r="D1319" s="14" t="s">
        <v>17946</v>
      </c>
      <c r="E1319" s="150" t="str">
        <f t="shared" si="14"/>
        <v>http://dx.doi.org/10.1109/TVCG.2006.182</v>
      </c>
      <c r="F1319" s="14">
        <v>1323.0</v>
      </c>
      <c r="G1319" s="14">
        <v>1328.0</v>
      </c>
      <c r="H1319" s="151"/>
      <c r="I1319" s="14" t="s">
        <v>17059</v>
      </c>
      <c r="J1319" s="14" t="s">
        <v>17948</v>
      </c>
      <c r="K1319" s="14" t="s">
        <v>35462</v>
      </c>
      <c r="L1319" s="152" t="s">
        <v>880</v>
      </c>
      <c r="M1319" s="14" t="s">
        <v>35463</v>
      </c>
      <c r="N1319" s="54" t="s">
        <v>35462</v>
      </c>
      <c r="O1319" s="130" t="s">
        <v>17950</v>
      </c>
      <c r="P1319" s="153" t="s">
        <v>17951</v>
      </c>
      <c r="Q1319" s="14">
        <v>4015498.0</v>
      </c>
      <c r="R1319" s="95"/>
      <c r="S1319" s="154" t="s">
        <v>35464</v>
      </c>
      <c r="T1319" s="84"/>
      <c r="U1319" s="84"/>
      <c r="V1319" s="84"/>
      <c r="W1319" s="84"/>
      <c r="X1319" s="84"/>
      <c r="Y1319" s="84"/>
      <c r="Z1319" s="84"/>
      <c r="AA1319" s="84"/>
      <c r="AB1319" s="84"/>
      <c r="AC1319" s="84"/>
    </row>
    <row r="1320" ht="15.75" customHeight="1">
      <c r="A1320" s="14" t="s">
        <v>17</v>
      </c>
      <c r="B1320" s="14">
        <v>2006.0</v>
      </c>
      <c r="C1320" s="14" t="s">
        <v>17952</v>
      </c>
      <c r="D1320" s="14" t="s">
        <v>17953</v>
      </c>
      <c r="E1320" s="150" t="str">
        <f t="shared" si="14"/>
        <v>http://dx.doi.org/10.1109/TVCG.2006.183</v>
      </c>
      <c r="F1320" s="14">
        <v>1125.0</v>
      </c>
      <c r="G1320" s="14">
        <v>1132.0</v>
      </c>
      <c r="H1320" s="151"/>
      <c r="I1320" s="14" t="s">
        <v>17059</v>
      </c>
      <c r="J1320" s="14" t="s">
        <v>17955</v>
      </c>
      <c r="K1320" s="14" t="s">
        <v>35465</v>
      </c>
      <c r="L1320" s="152" t="s">
        <v>17957</v>
      </c>
      <c r="M1320" s="14" t="s">
        <v>35466</v>
      </c>
      <c r="N1320" s="54" t="s">
        <v>35467</v>
      </c>
      <c r="O1320" s="130" t="s">
        <v>17958</v>
      </c>
      <c r="P1320" s="153" t="s">
        <v>17959</v>
      </c>
      <c r="Q1320" s="14">
        <v>4015473.0</v>
      </c>
      <c r="R1320" s="95"/>
      <c r="S1320" s="154" t="s">
        <v>35468</v>
      </c>
      <c r="T1320" s="84"/>
      <c r="U1320" s="84"/>
      <c r="V1320" s="84"/>
      <c r="W1320" s="84"/>
      <c r="X1320" s="84"/>
      <c r="Y1320" s="84"/>
      <c r="Z1320" s="84"/>
      <c r="AA1320" s="84"/>
      <c r="AB1320" s="84"/>
      <c r="AC1320" s="84"/>
    </row>
    <row r="1321" ht="15.75" customHeight="1">
      <c r="A1321" s="14" t="s">
        <v>17</v>
      </c>
      <c r="B1321" s="14">
        <v>2006.0</v>
      </c>
      <c r="C1321" s="14" t="s">
        <v>17964</v>
      </c>
      <c r="D1321" s="14" t="s">
        <v>17965</v>
      </c>
      <c r="E1321" s="150" t="str">
        <f t="shared" si="14"/>
        <v>http://dx.doi.org/10.1109/TVCG.2006.186</v>
      </c>
      <c r="F1321" s="14">
        <v>1053.0</v>
      </c>
      <c r="G1321" s="14">
        <v>1060.0</v>
      </c>
      <c r="H1321" s="151"/>
      <c r="I1321" s="14" t="s">
        <v>17059</v>
      </c>
      <c r="J1321" s="14" t="s">
        <v>17967</v>
      </c>
      <c r="K1321" s="14" t="s">
        <v>35469</v>
      </c>
      <c r="L1321" s="152" t="s">
        <v>17969</v>
      </c>
      <c r="M1321" s="14" t="s">
        <v>35470</v>
      </c>
      <c r="N1321" s="54" t="s">
        <v>35469</v>
      </c>
      <c r="O1321" s="130" t="s">
        <v>17970</v>
      </c>
      <c r="P1321" s="153" t="s">
        <v>17971</v>
      </c>
      <c r="Q1321" s="14">
        <v>4015464.0</v>
      </c>
      <c r="R1321" s="95"/>
      <c r="S1321" s="154" t="s">
        <v>35471</v>
      </c>
      <c r="T1321" s="84"/>
      <c r="U1321" s="84"/>
      <c r="V1321" s="84"/>
      <c r="W1321" s="84"/>
      <c r="X1321" s="84"/>
      <c r="Y1321" s="84"/>
      <c r="Z1321" s="84"/>
      <c r="AA1321" s="84"/>
      <c r="AB1321" s="84"/>
      <c r="AC1321" s="84"/>
    </row>
    <row r="1322" ht="15.75" customHeight="1">
      <c r="A1322" s="14" t="s">
        <v>17</v>
      </c>
      <c r="B1322" s="14">
        <v>2006.0</v>
      </c>
      <c r="C1322" s="14" t="s">
        <v>17975</v>
      </c>
      <c r="D1322" s="14" t="s">
        <v>17976</v>
      </c>
      <c r="E1322" s="150" t="str">
        <f t="shared" si="14"/>
        <v>http://dx.doi.org/10.1109/TVCG.2006.188</v>
      </c>
      <c r="F1322" s="14">
        <v>1275.0</v>
      </c>
      <c r="G1322" s="14">
        <v>1282.0</v>
      </c>
      <c r="H1322" s="151"/>
      <c r="I1322" s="14" t="s">
        <v>17059</v>
      </c>
      <c r="J1322" s="14" t="s">
        <v>17978</v>
      </c>
      <c r="K1322" s="14" t="s">
        <v>35472</v>
      </c>
      <c r="L1322" s="152" t="s">
        <v>17980</v>
      </c>
      <c r="M1322" s="14" t="s">
        <v>35473</v>
      </c>
      <c r="N1322" s="54" t="s">
        <v>35472</v>
      </c>
      <c r="O1322" s="130" t="s">
        <v>17981</v>
      </c>
      <c r="P1322" s="153" t="s">
        <v>17982</v>
      </c>
      <c r="Q1322" s="14">
        <v>4015492.0</v>
      </c>
      <c r="R1322" s="95"/>
      <c r="S1322" s="154" t="s">
        <v>35474</v>
      </c>
      <c r="T1322" s="84"/>
      <c r="U1322" s="84"/>
      <c r="V1322" s="84"/>
      <c r="W1322" s="84"/>
      <c r="X1322" s="84"/>
      <c r="Y1322" s="84"/>
      <c r="Z1322" s="84"/>
      <c r="AA1322" s="84"/>
      <c r="AB1322" s="84"/>
      <c r="AC1322" s="84"/>
    </row>
    <row r="1323" ht="15.75" customHeight="1">
      <c r="A1323" s="14" t="s">
        <v>17</v>
      </c>
      <c r="B1323" s="14">
        <v>2006.0</v>
      </c>
      <c r="C1323" s="14" t="s">
        <v>17983</v>
      </c>
      <c r="D1323" s="14" t="s">
        <v>17984</v>
      </c>
      <c r="E1323" s="150" t="str">
        <f t="shared" si="14"/>
        <v>http://dx.doi.org/10.1109/TVCG.2006.189</v>
      </c>
      <c r="F1323" s="14">
        <v>1013.0</v>
      </c>
      <c r="G1323" s="14">
        <v>1020.0</v>
      </c>
      <c r="H1323" s="151"/>
      <c r="I1323" s="14" t="s">
        <v>17059</v>
      </c>
      <c r="J1323" s="14" t="s">
        <v>17986</v>
      </c>
      <c r="K1323" s="14" t="s">
        <v>35475</v>
      </c>
      <c r="L1323" s="152" t="s">
        <v>17988</v>
      </c>
      <c r="M1323" s="14" t="s">
        <v>35476</v>
      </c>
      <c r="N1323" s="54" t="s">
        <v>35475</v>
      </c>
      <c r="O1323" s="130" t="s">
        <v>17989</v>
      </c>
      <c r="P1323" s="153" t="s">
        <v>17990</v>
      </c>
      <c r="Q1323" s="14">
        <v>4015459.0</v>
      </c>
      <c r="R1323" s="95"/>
      <c r="S1323" s="154" t="s">
        <v>35477</v>
      </c>
      <c r="T1323" s="84"/>
      <c r="U1323" s="84"/>
      <c r="V1323" s="84"/>
      <c r="W1323" s="84"/>
      <c r="X1323" s="84"/>
      <c r="Y1323" s="84"/>
      <c r="Z1323" s="84"/>
      <c r="AA1323" s="84"/>
      <c r="AB1323" s="84"/>
      <c r="AC1323" s="84"/>
    </row>
    <row r="1324" ht="15.75" customHeight="1">
      <c r="A1324" s="14" t="s">
        <v>17</v>
      </c>
      <c r="B1324" s="14">
        <v>2006.0</v>
      </c>
      <c r="C1324" s="14" t="s">
        <v>18000</v>
      </c>
      <c r="D1324" s="14" t="s">
        <v>18001</v>
      </c>
      <c r="E1324" s="150" t="str">
        <f t="shared" si="14"/>
        <v>http://dx.doi.org/10.1109/TVCG.2006.194</v>
      </c>
      <c r="F1324" s="14">
        <v>1093.0</v>
      </c>
      <c r="G1324" s="14">
        <v>1100.0</v>
      </c>
      <c r="H1324" s="151"/>
      <c r="I1324" s="14" t="s">
        <v>17059</v>
      </c>
      <c r="J1324" s="14" t="s">
        <v>18004</v>
      </c>
      <c r="K1324" s="14" t="s">
        <v>35478</v>
      </c>
      <c r="L1324" s="152" t="s">
        <v>18006</v>
      </c>
      <c r="M1324" s="14" t="s">
        <v>35479</v>
      </c>
      <c r="N1324" s="54" t="s">
        <v>35478</v>
      </c>
      <c r="O1324" s="130" t="s">
        <v>18007</v>
      </c>
      <c r="P1324" s="153" t="s">
        <v>18008</v>
      </c>
      <c r="Q1324" s="14">
        <v>4015469.0</v>
      </c>
      <c r="R1324" s="95"/>
      <c r="S1324" s="154" t="s">
        <v>35480</v>
      </c>
      <c r="T1324" s="84"/>
      <c r="U1324" s="84"/>
      <c r="V1324" s="84"/>
      <c r="W1324" s="84"/>
      <c r="X1324" s="84"/>
      <c r="Y1324" s="84"/>
      <c r="Z1324" s="84"/>
      <c r="AA1324" s="84"/>
      <c r="AB1324" s="84"/>
      <c r="AC1324" s="84"/>
    </row>
    <row r="1325" ht="15.75" customHeight="1">
      <c r="A1325" s="14" t="s">
        <v>17</v>
      </c>
      <c r="B1325" s="14">
        <v>2006.0</v>
      </c>
      <c r="C1325" s="14" t="s">
        <v>18009</v>
      </c>
      <c r="D1325" s="14" t="s">
        <v>18010</v>
      </c>
      <c r="E1325" s="150" t="str">
        <f t="shared" si="14"/>
        <v>http://dx.doi.org/10.1109/TVCG.2006.195</v>
      </c>
      <c r="F1325" s="14">
        <v>1251.0</v>
      </c>
      <c r="G1325" s="14">
        <v>1258.0</v>
      </c>
      <c r="H1325" s="151"/>
      <c r="I1325" s="14" t="s">
        <v>17059</v>
      </c>
      <c r="J1325" s="14" t="s">
        <v>18014</v>
      </c>
      <c r="K1325" s="14" t="s">
        <v>35482</v>
      </c>
      <c r="L1325" s="152" t="s">
        <v>18016</v>
      </c>
      <c r="M1325" s="14" t="s">
        <v>35483</v>
      </c>
      <c r="N1325" s="54" t="s">
        <v>35482</v>
      </c>
      <c r="O1325" s="130" t="s">
        <v>18017</v>
      </c>
      <c r="P1325" s="153" t="s">
        <v>18019</v>
      </c>
      <c r="Q1325" s="14">
        <v>4015489.0</v>
      </c>
      <c r="R1325" s="95"/>
      <c r="S1325" s="154" t="s">
        <v>35484</v>
      </c>
      <c r="T1325" s="84"/>
      <c r="U1325" s="84"/>
      <c r="V1325" s="84"/>
      <c r="W1325" s="84"/>
      <c r="X1325" s="84"/>
      <c r="Y1325" s="84"/>
      <c r="Z1325" s="84"/>
      <c r="AA1325" s="84"/>
      <c r="AB1325" s="84"/>
      <c r="AC1325" s="84"/>
    </row>
    <row r="1326" ht="15.75" customHeight="1">
      <c r="A1326" s="14" t="s">
        <v>17</v>
      </c>
      <c r="B1326" s="14">
        <v>2006.0</v>
      </c>
      <c r="C1326" s="14" t="s">
        <v>18023</v>
      </c>
      <c r="D1326" s="14" t="s">
        <v>18024</v>
      </c>
      <c r="E1326" s="150" t="str">
        <f t="shared" si="14"/>
        <v>http://dx.doi.org/10.1109/TVCG.2006.197</v>
      </c>
      <c r="F1326" s="14">
        <v>1165.0</v>
      </c>
      <c r="G1326" s="14">
        <v>1172.0</v>
      </c>
      <c r="H1326" s="151"/>
      <c r="I1326" s="14" t="s">
        <v>17059</v>
      </c>
      <c r="J1326" s="14" t="s">
        <v>18026</v>
      </c>
      <c r="K1326" s="14" t="s">
        <v>35485</v>
      </c>
      <c r="L1326" s="152" t="s">
        <v>18028</v>
      </c>
      <c r="M1326" s="14" t="s">
        <v>35486</v>
      </c>
      <c r="N1326" s="54" t="s">
        <v>35485</v>
      </c>
      <c r="O1326" s="130" t="s">
        <v>18030</v>
      </c>
      <c r="P1326" s="153" t="s">
        <v>18031</v>
      </c>
      <c r="Q1326" s="14">
        <v>4015478.0</v>
      </c>
      <c r="R1326" s="95"/>
      <c r="S1326" s="154" t="s">
        <v>35487</v>
      </c>
      <c r="T1326" s="84"/>
      <c r="U1326" s="84"/>
      <c r="V1326" s="84"/>
      <c r="W1326" s="84"/>
      <c r="X1326" s="84"/>
      <c r="Y1326" s="84"/>
      <c r="Z1326" s="84"/>
      <c r="AA1326" s="84"/>
      <c r="AB1326" s="84"/>
      <c r="AC1326" s="84"/>
    </row>
    <row r="1327" ht="15.75" customHeight="1">
      <c r="A1327" s="14" t="s">
        <v>17</v>
      </c>
      <c r="B1327" s="14">
        <v>2006.0</v>
      </c>
      <c r="C1327" s="14" t="s">
        <v>18038</v>
      </c>
      <c r="D1327" s="14" t="s">
        <v>18039</v>
      </c>
      <c r="E1327" s="150" t="str">
        <f t="shared" si="14"/>
        <v>http://dx.doi.org/10.1109/TVCG.2006.199</v>
      </c>
      <c r="F1327" s="14">
        <v>949.0</v>
      </c>
      <c r="G1327" s="14">
        <v>956.0</v>
      </c>
      <c r="H1327" s="151"/>
      <c r="I1327" s="14" t="s">
        <v>17059</v>
      </c>
      <c r="J1327" s="14" t="s">
        <v>18042</v>
      </c>
      <c r="K1327" s="14" t="s">
        <v>35488</v>
      </c>
      <c r="L1327" s="152" t="s">
        <v>18044</v>
      </c>
      <c r="M1327" s="14" t="s">
        <v>35489</v>
      </c>
      <c r="N1327" s="54" t="s">
        <v>35488</v>
      </c>
      <c r="O1327" s="130" t="s">
        <v>18045</v>
      </c>
      <c r="P1327" s="153" t="s">
        <v>18046</v>
      </c>
      <c r="Q1327" s="14">
        <v>4015451.0</v>
      </c>
      <c r="R1327" s="95"/>
      <c r="S1327" s="154" t="s">
        <v>35490</v>
      </c>
      <c r="T1327" s="84"/>
      <c r="U1327" s="84"/>
      <c r="V1327" s="84"/>
      <c r="W1327" s="84"/>
      <c r="X1327" s="84"/>
      <c r="Y1327" s="84"/>
      <c r="Z1327" s="84"/>
      <c r="AA1327" s="84"/>
      <c r="AB1327" s="84"/>
      <c r="AC1327" s="84"/>
    </row>
    <row r="1328" ht="15.75" customHeight="1">
      <c r="A1328" s="14" t="s">
        <v>17</v>
      </c>
      <c r="B1328" s="14">
        <v>2006.0</v>
      </c>
      <c r="C1328" s="14" t="s">
        <v>18052</v>
      </c>
      <c r="D1328" s="14" t="s">
        <v>18053</v>
      </c>
      <c r="E1328" s="150" t="str">
        <f t="shared" si="14"/>
        <v>http://dx.doi.org/10.1109/TVCG.2006.201</v>
      </c>
      <c r="F1328" s="14">
        <v>957.0</v>
      </c>
      <c r="G1328" s="14">
        <v>964.0</v>
      </c>
      <c r="H1328" s="151"/>
      <c r="I1328" s="14" t="s">
        <v>17059</v>
      </c>
      <c r="J1328" s="14" t="s">
        <v>18056</v>
      </c>
      <c r="K1328" s="14" t="s">
        <v>35491</v>
      </c>
      <c r="L1328" s="152" t="s">
        <v>18058</v>
      </c>
      <c r="M1328" s="14" t="s">
        <v>35492</v>
      </c>
      <c r="N1328" s="54" t="s">
        <v>35493</v>
      </c>
      <c r="O1328" s="130" t="s">
        <v>18060</v>
      </c>
      <c r="P1328" s="153" t="s">
        <v>18061</v>
      </c>
      <c r="Q1328" s="14">
        <v>4015452.0</v>
      </c>
      <c r="R1328" s="95"/>
      <c r="S1328" s="154" t="s">
        <v>35494</v>
      </c>
      <c r="T1328" s="84"/>
      <c r="U1328" s="84"/>
      <c r="V1328" s="84"/>
      <c r="W1328" s="84"/>
      <c r="X1328" s="84"/>
      <c r="Y1328" s="84"/>
      <c r="Z1328" s="84"/>
      <c r="AA1328" s="84"/>
      <c r="AB1328" s="84"/>
      <c r="AC1328" s="84"/>
    </row>
    <row r="1329" ht="15.75" customHeight="1">
      <c r="A1329" s="14" t="s">
        <v>2137</v>
      </c>
      <c r="B1329" s="14">
        <v>2005.0</v>
      </c>
      <c r="C1329" s="14" t="s">
        <v>16116</v>
      </c>
      <c r="D1329" s="14" t="s">
        <v>16117</v>
      </c>
      <c r="E1329" s="150" t="str">
        <f t="shared" si="14"/>
        <v>http://dx.doi.org/10.1109/INFVIS.2005.1532145</v>
      </c>
      <c r="F1329" s="14">
        <v>181.0</v>
      </c>
      <c r="G1329" s="14">
        <v>186.0</v>
      </c>
      <c r="H1329" s="151"/>
      <c r="I1329" s="14" t="s">
        <v>28</v>
      </c>
      <c r="J1329" s="14" t="s">
        <v>16220</v>
      </c>
      <c r="K1329" s="14" t="s">
        <v>11348</v>
      </c>
      <c r="L1329" s="152" t="s">
        <v>16122</v>
      </c>
      <c r="M1329" s="14">
        <v>3.75507597E10</v>
      </c>
      <c r="N1329" s="54" t="s">
        <v>11348</v>
      </c>
      <c r="O1329" s="130" t="s">
        <v>16123</v>
      </c>
      <c r="P1329" s="153" t="s">
        <v>16124</v>
      </c>
      <c r="Q1329" s="14">
        <v>1532145.0</v>
      </c>
      <c r="R1329" s="95"/>
      <c r="S1329" s="154" t="s">
        <v>35495</v>
      </c>
      <c r="T1329" s="84"/>
      <c r="U1329" s="84"/>
      <c r="V1329" s="84"/>
      <c r="W1329" s="84"/>
      <c r="X1329" s="84"/>
      <c r="Y1329" s="84"/>
      <c r="Z1329" s="84"/>
      <c r="AA1329" s="84"/>
      <c r="AB1329" s="84"/>
      <c r="AC1329" s="84"/>
    </row>
    <row r="1330" ht="15.75" customHeight="1">
      <c r="A1330" s="14" t="s">
        <v>2137</v>
      </c>
      <c r="B1330" s="14">
        <v>2005.0</v>
      </c>
      <c r="C1330" s="14" t="s">
        <v>15887</v>
      </c>
      <c r="D1330" s="14" t="s">
        <v>15888</v>
      </c>
      <c r="E1330" s="150" t="str">
        <f t="shared" si="14"/>
        <v>http://dx.doi.org/10.1109/INFVIS.2005.1532123</v>
      </c>
      <c r="F1330" s="14">
        <v>8.0</v>
      </c>
      <c r="G1330" s="14">
        <v>15.0</v>
      </c>
      <c r="H1330" s="151"/>
      <c r="I1330" s="14" t="s">
        <v>28</v>
      </c>
      <c r="J1330" s="14" t="s">
        <v>16080</v>
      </c>
      <c r="K1330" s="14" t="s">
        <v>35498</v>
      </c>
      <c r="L1330" s="152" t="s">
        <v>15894</v>
      </c>
      <c r="M1330" s="14" t="s">
        <v>35499</v>
      </c>
      <c r="N1330" s="54" t="s">
        <v>35500</v>
      </c>
      <c r="O1330" s="130"/>
      <c r="P1330" s="153" t="s">
        <v>15896</v>
      </c>
      <c r="Q1330" s="14">
        <v>1532123.0</v>
      </c>
      <c r="R1330" s="95"/>
      <c r="S1330" s="154"/>
      <c r="T1330" s="84"/>
      <c r="U1330" s="84"/>
      <c r="V1330" s="84"/>
      <c r="W1330" s="84"/>
      <c r="X1330" s="84"/>
      <c r="Y1330" s="84"/>
      <c r="Z1330" s="84"/>
      <c r="AA1330" s="84"/>
      <c r="AB1330" s="84"/>
      <c r="AC1330" s="84"/>
    </row>
    <row r="1331" ht="15.75" customHeight="1">
      <c r="A1331" s="14" t="s">
        <v>2137</v>
      </c>
      <c r="B1331" s="14">
        <v>2005.0</v>
      </c>
      <c r="C1331" s="14" t="s">
        <v>16135</v>
      </c>
      <c r="D1331" s="14" t="s">
        <v>16136</v>
      </c>
      <c r="E1331" s="150" t="str">
        <f t="shared" si="14"/>
        <v>http://dx.doi.org/10.1109/INFVIS.2005.1532147</v>
      </c>
      <c r="F1331" s="14">
        <v>195.0</v>
      </c>
      <c r="G1331" s="14">
        <v>202.0</v>
      </c>
      <c r="H1331" s="151"/>
      <c r="I1331" s="14" t="s">
        <v>28</v>
      </c>
      <c r="J1331" s="14" t="s">
        <v>16229</v>
      </c>
      <c r="K1331" s="14" t="s">
        <v>35501</v>
      </c>
      <c r="L1331" s="152" t="s">
        <v>16142</v>
      </c>
      <c r="M1331" s="14" t="s">
        <v>35502</v>
      </c>
      <c r="N1331" s="54" t="s">
        <v>35501</v>
      </c>
      <c r="O1331" s="130"/>
      <c r="P1331" s="153" t="s">
        <v>16143</v>
      </c>
      <c r="Q1331" s="14">
        <v>1532147.0</v>
      </c>
      <c r="R1331" s="95"/>
      <c r="S1331" s="154"/>
      <c r="T1331" s="84"/>
      <c r="U1331" s="84"/>
      <c r="V1331" s="84"/>
      <c r="W1331" s="84"/>
      <c r="X1331" s="84"/>
      <c r="Y1331" s="84"/>
      <c r="Z1331" s="84"/>
      <c r="AA1331" s="84"/>
      <c r="AB1331" s="84"/>
      <c r="AC1331" s="84"/>
    </row>
    <row r="1332" ht="15.75" customHeight="1">
      <c r="A1332" s="14" t="s">
        <v>2137</v>
      </c>
      <c r="B1332" s="14">
        <v>2005.0</v>
      </c>
      <c r="C1332" s="14" t="s">
        <v>15979</v>
      </c>
      <c r="D1332" s="14" t="s">
        <v>15980</v>
      </c>
      <c r="E1332" s="150" t="str">
        <f t="shared" si="14"/>
        <v>http://dx.doi.org/10.1109/INFVIS.2005.1532132</v>
      </c>
      <c r="F1332" s="14">
        <v>81.0</v>
      </c>
      <c r="G1332" s="14">
        <v>88.0</v>
      </c>
      <c r="H1332" s="151"/>
      <c r="I1332" s="14" t="s">
        <v>28</v>
      </c>
      <c r="J1332" s="14" t="s">
        <v>16147</v>
      </c>
      <c r="K1332" s="14" t="s">
        <v>35504</v>
      </c>
      <c r="L1332" s="152" t="s">
        <v>15985</v>
      </c>
      <c r="M1332" s="14" t="s">
        <v>35505</v>
      </c>
      <c r="N1332" s="54" t="s">
        <v>35504</v>
      </c>
      <c r="O1332" s="130" t="s">
        <v>15986</v>
      </c>
      <c r="P1332" s="153" t="s">
        <v>15987</v>
      </c>
      <c r="Q1332" s="14">
        <v>1532132.0</v>
      </c>
      <c r="R1332" s="95"/>
      <c r="S1332" s="154" t="s">
        <v>35506</v>
      </c>
      <c r="T1332" s="84"/>
      <c r="U1332" s="84"/>
      <c r="V1332" s="84"/>
      <c r="W1332" s="84"/>
      <c r="X1332" s="84"/>
      <c r="Y1332" s="84"/>
      <c r="Z1332" s="84"/>
      <c r="AA1332" s="84"/>
      <c r="AB1332" s="84"/>
      <c r="AC1332" s="84"/>
    </row>
    <row r="1333" ht="15.75" customHeight="1">
      <c r="A1333" s="14" t="s">
        <v>2137</v>
      </c>
      <c r="B1333" s="14">
        <v>2005.0</v>
      </c>
      <c r="C1333" s="14" t="s">
        <v>16073</v>
      </c>
      <c r="D1333" s="14" t="s">
        <v>16074</v>
      </c>
      <c r="E1333" s="150" t="str">
        <f t="shared" si="14"/>
        <v>http://dx.doi.org/10.1109/INFVIS.2005.1532141</v>
      </c>
      <c r="F1333" s="14">
        <v>149.0</v>
      </c>
      <c r="G1333" s="14">
        <v>156.0</v>
      </c>
      <c r="H1333" s="151"/>
      <c r="I1333" s="14" t="s">
        <v>28</v>
      </c>
      <c r="J1333" s="14" t="s">
        <v>16203</v>
      </c>
      <c r="K1333" s="14" t="s">
        <v>35508</v>
      </c>
      <c r="L1333" s="152" t="s">
        <v>12914</v>
      </c>
      <c r="M1333" s="14" t="s">
        <v>35509</v>
      </c>
      <c r="N1333" s="54" t="s">
        <v>35508</v>
      </c>
      <c r="O1333" s="130" t="s">
        <v>16084</v>
      </c>
      <c r="P1333" s="153" t="s">
        <v>16085</v>
      </c>
      <c r="Q1333" s="14">
        <v>1532141.0</v>
      </c>
      <c r="R1333" s="95"/>
      <c r="S1333" s="154" t="s">
        <v>35510</v>
      </c>
      <c r="T1333" s="84"/>
      <c r="U1333" s="84"/>
      <c r="V1333" s="84"/>
      <c r="W1333" s="84"/>
      <c r="X1333" s="84"/>
      <c r="Y1333" s="84"/>
      <c r="Z1333" s="84"/>
      <c r="AA1333" s="84"/>
      <c r="AB1333" s="84"/>
      <c r="AC1333" s="84"/>
    </row>
    <row r="1334" ht="15.75" customHeight="1">
      <c r="A1334" s="14" t="s">
        <v>2137</v>
      </c>
      <c r="B1334" s="14">
        <v>2005.0</v>
      </c>
      <c r="C1334" s="14" t="s">
        <v>16125</v>
      </c>
      <c r="D1334" s="14" t="s">
        <v>16126</v>
      </c>
      <c r="E1334" s="150" t="str">
        <f t="shared" si="14"/>
        <v>http://dx.doi.org/10.1109/INFVIS.2005.1532146</v>
      </c>
      <c r="F1334" s="14">
        <v>187.0</v>
      </c>
      <c r="G1334" s="14">
        <v>194.0</v>
      </c>
      <c r="H1334" s="151"/>
      <c r="I1334" s="14" t="s">
        <v>28</v>
      </c>
      <c r="J1334" s="14" t="s">
        <v>16222</v>
      </c>
      <c r="K1334" s="14" t="s">
        <v>35511</v>
      </c>
      <c r="L1334" s="152" t="s">
        <v>16132</v>
      </c>
      <c r="M1334" s="14" t="s">
        <v>35512</v>
      </c>
      <c r="N1334" s="54" t="s">
        <v>35511</v>
      </c>
      <c r="O1334" s="130" t="s">
        <v>16133</v>
      </c>
      <c r="P1334" s="153" t="s">
        <v>16134</v>
      </c>
      <c r="Q1334" s="14">
        <v>1532146.0</v>
      </c>
      <c r="R1334" s="95"/>
      <c r="S1334" s="154" t="s">
        <v>35513</v>
      </c>
      <c r="T1334" s="84"/>
      <c r="U1334" s="84"/>
      <c r="V1334" s="84"/>
      <c r="W1334" s="84"/>
      <c r="X1334" s="84"/>
      <c r="Y1334" s="84"/>
      <c r="Z1334" s="84"/>
      <c r="AA1334" s="84"/>
      <c r="AB1334" s="84"/>
      <c r="AC1334" s="84"/>
    </row>
    <row r="1335" ht="15.75" customHeight="1">
      <c r="A1335" s="14" t="s">
        <v>2137</v>
      </c>
      <c r="B1335" s="14">
        <v>2005.0</v>
      </c>
      <c r="C1335" s="14" t="s">
        <v>15879</v>
      </c>
      <c r="D1335" s="14" t="s">
        <v>15880</v>
      </c>
      <c r="E1335" s="150" t="str">
        <f t="shared" si="14"/>
        <v>http://dx.doi.org/10.1109/INFVIS.2005.1532122</v>
      </c>
      <c r="F1335" s="14">
        <v>1.0</v>
      </c>
      <c r="G1335" s="14">
        <v>7.0</v>
      </c>
      <c r="H1335" s="151"/>
      <c r="I1335" s="14" t="s">
        <v>28</v>
      </c>
      <c r="J1335" s="14" t="s">
        <v>16079</v>
      </c>
      <c r="K1335" s="14" t="s">
        <v>11348</v>
      </c>
      <c r="L1335" s="152" t="s">
        <v>15884</v>
      </c>
      <c r="M1335" s="14">
        <v>3.75507597E10</v>
      </c>
      <c r="N1335" s="54" t="s">
        <v>11348</v>
      </c>
      <c r="O1335" s="130" t="s">
        <v>15885</v>
      </c>
      <c r="P1335" s="153" t="s">
        <v>15886</v>
      </c>
      <c r="Q1335" s="14">
        <v>1532122.0</v>
      </c>
      <c r="R1335" s="95"/>
      <c r="S1335" s="154" t="s">
        <v>35515</v>
      </c>
      <c r="T1335" s="84"/>
      <c r="U1335" s="84"/>
      <c r="V1335" s="84"/>
      <c r="W1335" s="84"/>
      <c r="X1335" s="84"/>
      <c r="Y1335" s="84"/>
      <c r="Z1335" s="84"/>
      <c r="AA1335" s="84"/>
      <c r="AB1335" s="84"/>
      <c r="AC1335" s="84"/>
    </row>
    <row r="1336" ht="15.75" customHeight="1">
      <c r="A1336" s="14" t="s">
        <v>2137</v>
      </c>
      <c r="B1336" s="14">
        <v>2005.0</v>
      </c>
      <c r="C1336" s="14" t="s">
        <v>15954</v>
      </c>
      <c r="D1336" s="14" t="s">
        <v>15955</v>
      </c>
      <c r="E1336" s="150" t="str">
        <f t="shared" si="14"/>
        <v>http://dx.doi.org/10.1109/INFVIS.2005.1532130</v>
      </c>
      <c r="F1336" s="14">
        <v>65.0</v>
      </c>
      <c r="G1336" s="14">
        <v>72.0</v>
      </c>
      <c r="H1336" s="151"/>
      <c r="I1336" s="14" t="s">
        <v>28</v>
      </c>
      <c r="J1336" s="14" t="s">
        <v>16128</v>
      </c>
      <c r="K1336" s="14" t="s">
        <v>35518</v>
      </c>
      <c r="L1336" s="152" t="s">
        <v>15960</v>
      </c>
      <c r="M1336" s="14" t="s">
        <v>35520</v>
      </c>
      <c r="N1336" s="54" t="s">
        <v>35518</v>
      </c>
      <c r="O1336" s="130"/>
      <c r="P1336" s="16"/>
      <c r="Q1336" s="14">
        <v>1532130.0</v>
      </c>
      <c r="R1336" s="95"/>
      <c r="S1336" s="154"/>
      <c r="T1336" s="84"/>
      <c r="U1336" s="84"/>
      <c r="V1336" s="84"/>
      <c r="W1336" s="84"/>
      <c r="X1336" s="84"/>
      <c r="Y1336" s="84"/>
      <c r="Z1336" s="84"/>
      <c r="AA1336" s="84"/>
      <c r="AB1336" s="84"/>
      <c r="AC1336" s="84"/>
    </row>
    <row r="1337" ht="15.75" customHeight="1">
      <c r="A1337" s="14" t="s">
        <v>2137</v>
      </c>
      <c r="B1337" s="14">
        <v>2005.0</v>
      </c>
      <c r="C1337" s="14" t="s">
        <v>15961</v>
      </c>
      <c r="D1337" s="14" t="s">
        <v>15962</v>
      </c>
      <c r="E1337" s="150" t="str">
        <f t="shared" si="14"/>
        <v>http://dx.doi.org/10.1109/INFVIS.2005.1532131</v>
      </c>
      <c r="F1337" s="14">
        <v>73.0</v>
      </c>
      <c r="G1337" s="14">
        <v>80.0</v>
      </c>
      <c r="H1337" s="151"/>
      <c r="I1337" s="14" t="s">
        <v>28</v>
      </c>
      <c r="J1337" s="14" t="s">
        <v>16138</v>
      </c>
      <c r="K1337" s="14" t="s">
        <v>35521</v>
      </c>
      <c r="L1337" s="152" t="s">
        <v>15976</v>
      </c>
      <c r="M1337" s="14" t="s">
        <v>35522</v>
      </c>
      <c r="N1337" s="54" t="s">
        <v>35521</v>
      </c>
      <c r="O1337" s="130"/>
      <c r="P1337" s="153" t="s">
        <v>15978</v>
      </c>
      <c r="Q1337" s="14">
        <v>1532131.0</v>
      </c>
      <c r="R1337" s="95"/>
      <c r="S1337" s="154"/>
      <c r="T1337" s="84"/>
      <c r="U1337" s="84"/>
      <c r="V1337" s="84"/>
      <c r="W1337" s="84"/>
      <c r="X1337" s="84"/>
      <c r="Y1337" s="84"/>
      <c r="Z1337" s="84"/>
      <c r="AA1337" s="84"/>
      <c r="AB1337" s="84"/>
      <c r="AC1337" s="84"/>
    </row>
    <row r="1338" ht="15.75" customHeight="1">
      <c r="A1338" s="14" t="s">
        <v>2137</v>
      </c>
      <c r="B1338" s="14">
        <v>2005.0</v>
      </c>
      <c r="C1338" s="14" t="s">
        <v>15943</v>
      </c>
      <c r="D1338" s="14" t="s">
        <v>15944</v>
      </c>
      <c r="E1338" s="150" t="str">
        <f t="shared" si="14"/>
        <v>http://dx.doi.org/10.1109/INFVIS.2005.1532129</v>
      </c>
      <c r="F1338" s="14">
        <v>57.0</v>
      </c>
      <c r="G1338" s="14">
        <v>64.0</v>
      </c>
      <c r="H1338" s="151"/>
      <c r="I1338" s="14" t="s">
        <v>28</v>
      </c>
      <c r="J1338" s="14" t="s">
        <v>16119</v>
      </c>
      <c r="K1338" s="14" t="s">
        <v>35525</v>
      </c>
      <c r="L1338" s="152" t="s">
        <v>15948</v>
      </c>
      <c r="M1338" s="14" t="s">
        <v>35528</v>
      </c>
      <c r="N1338" s="54" t="s">
        <v>35525</v>
      </c>
      <c r="O1338" s="130" t="s">
        <v>15949</v>
      </c>
      <c r="P1338" s="153" t="s">
        <v>15950</v>
      </c>
      <c r="Q1338" s="14">
        <v>1532129.0</v>
      </c>
      <c r="R1338" s="95"/>
      <c r="S1338" s="154" t="s">
        <v>35529</v>
      </c>
      <c r="T1338" s="84"/>
      <c r="U1338" s="84"/>
      <c r="V1338" s="84"/>
      <c r="W1338" s="84"/>
      <c r="X1338" s="84"/>
      <c r="Y1338" s="84"/>
      <c r="Z1338" s="84"/>
      <c r="AA1338" s="84"/>
      <c r="AB1338" s="84"/>
      <c r="AC1338" s="84"/>
    </row>
    <row r="1339" ht="15.75" customHeight="1">
      <c r="A1339" s="14" t="s">
        <v>2137</v>
      </c>
      <c r="B1339" s="14">
        <v>2005.0</v>
      </c>
      <c r="C1339" s="14" t="s">
        <v>16165</v>
      </c>
      <c r="D1339" s="14" t="s">
        <v>16166</v>
      </c>
      <c r="E1339" s="150" t="str">
        <f t="shared" si="14"/>
        <v>http://dx.doi.org/10.1109/INFVIS.2005.1532150</v>
      </c>
      <c r="F1339" s="14">
        <v>219.0</v>
      </c>
      <c r="G1339" s="14">
        <v>224.0</v>
      </c>
      <c r="H1339" s="151"/>
      <c r="I1339" s="14" t="s">
        <v>28</v>
      </c>
      <c r="J1339" s="14" t="s">
        <v>16245</v>
      </c>
      <c r="K1339" s="14" t="s">
        <v>35530</v>
      </c>
      <c r="L1339" s="152" t="s">
        <v>2823</v>
      </c>
      <c r="M1339" s="14" t="s">
        <v>5349</v>
      </c>
      <c r="N1339" s="54" t="s">
        <v>35530</v>
      </c>
      <c r="O1339" s="130" t="s">
        <v>16175</v>
      </c>
      <c r="P1339" s="153" t="s">
        <v>16177</v>
      </c>
      <c r="Q1339" s="14">
        <v>1532150.0</v>
      </c>
      <c r="R1339" s="95"/>
      <c r="S1339" s="154" t="s">
        <v>35531</v>
      </c>
      <c r="T1339" s="84"/>
      <c r="U1339" s="84"/>
      <c r="V1339" s="84"/>
      <c r="W1339" s="84"/>
      <c r="X1339" s="84"/>
      <c r="Y1339" s="84"/>
      <c r="Z1339" s="84"/>
      <c r="AA1339" s="84"/>
      <c r="AB1339" s="84"/>
      <c r="AC1339" s="84"/>
    </row>
    <row r="1340" ht="15.75" customHeight="1">
      <c r="A1340" s="14" t="s">
        <v>2137</v>
      </c>
      <c r="B1340" s="14">
        <v>2005.0</v>
      </c>
      <c r="C1340" s="14" t="s">
        <v>16086</v>
      </c>
      <c r="D1340" s="14" t="s">
        <v>16087</v>
      </c>
      <c r="E1340" s="150" t="str">
        <f t="shared" si="14"/>
        <v>http://dx.doi.org/10.1109/INFVIS.2005.1532142</v>
      </c>
      <c r="F1340" s="14">
        <v>157.0</v>
      </c>
      <c r="G1340" s="14">
        <v>164.0</v>
      </c>
      <c r="H1340" s="151"/>
      <c r="I1340" s="14" t="s">
        <v>28</v>
      </c>
      <c r="J1340" s="14" t="s">
        <v>16207</v>
      </c>
      <c r="K1340" s="14" t="s">
        <v>35535</v>
      </c>
      <c r="L1340" s="152" t="s">
        <v>16092</v>
      </c>
      <c r="M1340" s="14" t="s">
        <v>35536</v>
      </c>
      <c r="N1340" s="54" t="s">
        <v>35535</v>
      </c>
      <c r="O1340" s="130" t="s">
        <v>16093</v>
      </c>
      <c r="P1340" s="153" t="s">
        <v>16094</v>
      </c>
      <c r="Q1340" s="14">
        <v>1532142.0</v>
      </c>
      <c r="R1340" s="95"/>
      <c r="S1340" s="154" t="s">
        <v>35537</v>
      </c>
      <c r="T1340" s="84"/>
      <c r="U1340" s="84"/>
      <c r="V1340" s="84"/>
      <c r="W1340" s="84"/>
      <c r="X1340" s="84"/>
      <c r="Y1340" s="84"/>
      <c r="Z1340" s="84"/>
      <c r="AA1340" s="84"/>
      <c r="AB1340" s="84"/>
      <c r="AC1340" s="84"/>
    </row>
    <row r="1341" ht="15.75" customHeight="1">
      <c r="A1341" s="14" t="s">
        <v>2137</v>
      </c>
      <c r="B1341" s="14">
        <v>2005.0</v>
      </c>
      <c r="C1341" s="14" t="s">
        <v>16009</v>
      </c>
      <c r="D1341" s="14" t="s">
        <v>16010</v>
      </c>
      <c r="E1341" s="150" t="str">
        <f t="shared" si="14"/>
        <v>http://dx.doi.org/10.1109/INFVIS.2005.1532135</v>
      </c>
      <c r="F1341" s="14">
        <v>103.0</v>
      </c>
      <c r="G1341" s="14">
        <v>110.0</v>
      </c>
      <c r="H1341" s="151"/>
      <c r="I1341" s="14" t="s">
        <v>28</v>
      </c>
      <c r="J1341" s="14" t="s">
        <v>16167</v>
      </c>
      <c r="K1341" s="14" t="s">
        <v>35538</v>
      </c>
      <c r="L1341" s="152" t="s">
        <v>16019</v>
      </c>
      <c r="M1341" s="14" t="s">
        <v>35539</v>
      </c>
      <c r="N1341" s="54" t="s">
        <v>35538</v>
      </c>
      <c r="O1341" s="130"/>
      <c r="P1341" s="153" t="s">
        <v>16021</v>
      </c>
      <c r="Q1341" s="14">
        <v>1532135.0</v>
      </c>
      <c r="R1341" s="95"/>
      <c r="S1341" s="154"/>
      <c r="T1341" s="84"/>
      <c r="U1341" s="84"/>
      <c r="V1341" s="84"/>
      <c r="W1341" s="84"/>
      <c r="X1341" s="84"/>
      <c r="Y1341" s="84"/>
      <c r="Z1341" s="84"/>
      <c r="AA1341" s="84"/>
      <c r="AB1341" s="84"/>
      <c r="AC1341" s="84"/>
    </row>
    <row r="1342" ht="15.75" customHeight="1">
      <c r="A1342" s="14" t="s">
        <v>2137</v>
      </c>
      <c r="B1342" s="14">
        <v>2005.0</v>
      </c>
      <c r="C1342" s="14" t="s">
        <v>16144</v>
      </c>
      <c r="D1342" s="14" t="s">
        <v>16145</v>
      </c>
      <c r="E1342" s="150" t="str">
        <f t="shared" si="14"/>
        <v>http://dx.doi.org/10.1109/INFVIS.2005.1532148</v>
      </c>
      <c r="F1342" s="14">
        <v>203.0</v>
      </c>
      <c r="G1342" s="14">
        <v>210.0</v>
      </c>
      <c r="H1342" s="151"/>
      <c r="I1342" s="14" t="s">
        <v>28</v>
      </c>
      <c r="J1342" s="14" t="s">
        <v>16233</v>
      </c>
      <c r="K1342" s="14" t="s">
        <v>35541</v>
      </c>
      <c r="L1342" s="152" t="s">
        <v>16153</v>
      </c>
      <c r="M1342" s="14" t="s">
        <v>35542</v>
      </c>
      <c r="N1342" s="54" t="s">
        <v>35541</v>
      </c>
      <c r="O1342" s="130" t="s">
        <v>16154</v>
      </c>
      <c r="P1342" s="153" t="s">
        <v>16155</v>
      </c>
      <c r="Q1342" s="14">
        <v>1532148.0</v>
      </c>
      <c r="R1342" s="95"/>
      <c r="S1342" s="154" t="s">
        <v>35543</v>
      </c>
      <c r="T1342" s="84"/>
      <c r="U1342" s="84"/>
      <c r="V1342" s="84"/>
      <c r="W1342" s="84"/>
      <c r="X1342" s="84"/>
      <c r="Y1342" s="84"/>
      <c r="Z1342" s="84"/>
      <c r="AA1342" s="84"/>
      <c r="AB1342" s="84"/>
      <c r="AC1342" s="84"/>
    </row>
    <row r="1343" ht="15.75" customHeight="1">
      <c r="A1343" s="14" t="s">
        <v>2137</v>
      </c>
      <c r="B1343" s="14">
        <v>2005.0</v>
      </c>
      <c r="C1343" s="14" t="s">
        <v>16189</v>
      </c>
      <c r="D1343" s="14" t="s">
        <v>16190</v>
      </c>
      <c r="E1343" s="150" t="str">
        <f t="shared" si="14"/>
        <v>http://dx.doi.org/10.1109/INFVIS.2005.1532152</v>
      </c>
      <c r="F1343" s="14">
        <v>233.0</v>
      </c>
      <c r="G1343" s="14">
        <v>240.0</v>
      </c>
      <c r="H1343" s="151"/>
      <c r="I1343" s="14" t="s">
        <v>28</v>
      </c>
      <c r="J1343" s="14" t="s">
        <v>16256</v>
      </c>
      <c r="K1343" s="14" t="s">
        <v>35544</v>
      </c>
      <c r="L1343" s="152" t="s">
        <v>16198</v>
      </c>
      <c r="M1343" s="14" t="s">
        <v>35545</v>
      </c>
      <c r="N1343" s="54" t="s">
        <v>35544</v>
      </c>
      <c r="O1343" s="130" t="s">
        <v>16199</v>
      </c>
      <c r="P1343" s="153" t="s">
        <v>16200</v>
      </c>
      <c r="Q1343" s="14">
        <v>1532152.0</v>
      </c>
      <c r="R1343" s="95"/>
      <c r="S1343" s="154" t="s">
        <v>35546</v>
      </c>
      <c r="T1343" s="84"/>
      <c r="U1343" s="84"/>
      <c r="V1343" s="84"/>
      <c r="W1343" s="84"/>
      <c r="X1343" s="84"/>
      <c r="Y1343" s="84"/>
      <c r="Z1343" s="84"/>
      <c r="AA1343" s="84"/>
      <c r="AB1343" s="84"/>
      <c r="AC1343" s="84"/>
    </row>
    <row r="1344" ht="15.75" customHeight="1">
      <c r="A1344" s="14" t="s">
        <v>2137</v>
      </c>
      <c r="B1344" s="14">
        <v>2005.0</v>
      </c>
      <c r="C1344" s="14" t="s">
        <v>15898</v>
      </c>
      <c r="D1344" s="14" t="s">
        <v>15899</v>
      </c>
      <c r="E1344" s="150" t="str">
        <f t="shared" si="14"/>
        <v>http://dx.doi.org/10.1109/INFVIS.2005.1532124</v>
      </c>
      <c r="F1344" s="14">
        <v>16.0</v>
      </c>
      <c r="G1344" s="14">
        <v>23.0</v>
      </c>
      <c r="H1344" s="151"/>
      <c r="I1344" s="14" t="s">
        <v>28</v>
      </c>
      <c r="J1344" s="14" t="s">
        <v>16089</v>
      </c>
      <c r="K1344" s="14" t="s">
        <v>35547</v>
      </c>
      <c r="L1344" s="152" t="s">
        <v>15904</v>
      </c>
      <c r="M1344" s="14" t="s">
        <v>35548</v>
      </c>
      <c r="N1344" s="54" t="s">
        <v>35547</v>
      </c>
      <c r="O1344" s="130" t="s">
        <v>15905</v>
      </c>
      <c r="P1344" s="153" t="s">
        <v>15906</v>
      </c>
      <c r="Q1344" s="14">
        <v>1532124.0</v>
      </c>
      <c r="R1344" s="95"/>
      <c r="S1344" s="154" t="s">
        <v>35549</v>
      </c>
      <c r="T1344" s="84"/>
      <c r="U1344" s="84"/>
      <c r="V1344" s="84"/>
      <c r="W1344" s="84"/>
      <c r="X1344" s="84"/>
      <c r="Y1344" s="84"/>
      <c r="Z1344" s="84"/>
      <c r="AA1344" s="84"/>
      <c r="AB1344" s="84"/>
      <c r="AC1344" s="84"/>
    </row>
    <row r="1345" ht="15.75" customHeight="1">
      <c r="A1345" s="14" t="s">
        <v>2137</v>
      </c>
      <c r="B1345" s="14">
        <v>2005.0</v>
      </c>
      <c r="C1345" s="14" t="s">
        <v>16023</v>
      </c>
      <c r="D1345" s="14" t="s">
        <v>16024</v>
      </c>
      <c r="E1345" s="150" t="str">
        <f t="shared" si="14"/>
        <v>http://dx.doi.org/10.1109/INFVIS.2005.1532136</v>
      </c>
      <c r="F1345" s="14">
        <v>111.0</v>
      </c>
      <c r="G1345" s="14">
        <v>117.0</v>
      </c>
      <c r="H1345" s="151"/>
      <c r="I1345" s="14" t="s">
        <v>28</v>
      </c>
      <c r="J1345" s="14" t="s">
        <v>16172</v>
      </c>
      <c r="K1345" s="14" t="s">
        <v>35550</v>
      </c>
      <c r="L1345" s="152" t="s">
        <v>16030</v>
      </c>
      <c r="M1345" s="14" t="s">
        <v>35551</v>
      </c>
      <c r="N1345" s="54" t="s">
        <v>35550</v>
      </c>
      <c r="O1345" s="130" t="s">
        <v>16031</v>
      </c>
      <c r="P1345" s="153" t="s">
        <v>16032</v>
      </c>
      <c r="Q1345" s="14">
        <v>1532136.0</v>
      </c>
      <c r="R1345" s="95"/>
      <c r="S1345" s="154" t="s">
        <v>35552</v>
      </c>
      <c r="T1345" s="84"/>
      <c r="U1345" s="84"/>
      <c r="V1345" s="84"/>
      <c r="W1345" s="84"/>
      <c r="X1345" s="84"/>
      <c r="Y1345" s="84"/>
      <c r="Z1345" s="84"/>
      <c r="AA1345" s="84"/>
      <c r="AB1345" s="84"/>
      <c r="AC1345" s="84"/>
    </row>
    <row r="1346" ht="15.75" customHeight="1">
      <c r="A1346" s="14" t="s">
        <v>2137</v>
      </c>
      <c r="B1346" s="14">
        <v>2005.0</v>
      </c>
      <c r="C1346" s="14" t="s">
        <v>16060</v>
      </c>
      <c r="D1346" s="14" t="s">
        <v>16062</v>
      </c>
      <c r="E1346" s="150" t="str">
        <f t="shared" si="14"/>
        <v>http://dx.doi.org/10.1109/INFVIS.2005.1532140</v>
      </c>
      <c r="F1346" s="14">
        <v>141.0</v>
      </c>
      <c r="G1346" s="14">
        <v>148.0</v>
      </c>
      <c r="H1346" s="151"/>
      <c r="I1346" s="14" t="s">
        <v>28</v>
      </c>
      <c r="J1346" s="14" t="s">
        <v>16194</v>
      </c>
      <c r="K1346" s="14" t="s">
        <v>35553</v>
      </c>
      <c r="L1346" s="152" t="s">
        <v>16070</v>
      </c>
      <c r="M1346" s="14" t="s">
        <v>35554</v>
      </c>
      <c r="N1346" s="54" t="s">
        <v>35553</v>
      </c>
      <c r="O1346" s="130" t="s">
        <v>16071</v>
      </c>
      <c r="P1346" s="153" t="s">
        <v>16072</v>
      </c>
      <c r="Q1346" s="14">
        <v>1532140.0</v>
      </c>
      <c r="R1346" s="95"/>
      <c r="S1346" s="154" t="s">
        <v>35555</v>
      </c>
      <c r="T1346" s="84"/>
      <c r="U1346" s="84"/>
      <c r="V1346" s="84"/>
      <c r="W1346" s="84"/>
      <c r="X1346" s="84"/>
      <c r="Y1346" s="84"/>
      <c r="Z1346" s="84"/>
      <c r="AA1346" s="84"/>
      <c r="AB1346" s="84"/>
      <c r="AC1346" s="84"/>
    </row>
    <row r="1347" ht="15.75" customHeight="1">
      <c r="A1347" s="14" t="s">
        <v>2137</v>
      </c>
      <c r="B1347" s="14">
        <v>2005.0</v>
      </c>
      <c r="C1347" s="14" t="s">
        <v>16050</v>
      </c>
      <c r="D1347" s="14" t="s">
        <v>16051</v>
      </c>
      <c r="E1347" s="150" t="str">
        <f t="shared" si="14"/>
        <v>http://dx.doi.org/10.1109/INFVIS.2005.1532139</v>
      </c>
      <c r="F1347" s="14">
        <v>133.0</v>
      </c>
      <c r="G1347" s="14">
        <v>140.0</v>
      </c>
      <c r="H1347" s="151"/>
      <c r="I1347" s="14" t="s">
        <v>28</v>
      </c>
      <c r="J1347" s="14" t="s">
        <v>16192</v>
      </c>
      <c r="K1347" s="14" t="s">
        <v>35557</v>
      </c>
      <c r="L1347" s="152" t="s">
        <v>11911</v>
      </c>
      <c r="M1347" s="14" t="s">
        <v>35558</v>
      </c>
      <c r="N1347" s="54" t="s">
        <v>35557</v>
      </c>
      <c r="O1347" s="130" t="s">
        <v>16057</v>
      </c>
      <c r="P1347" s="153" t="s">
        <v>16058</v>
      </c>
      <c r="Q1347" s="14">
        <v>1532139.0</v>
      </c>
      <c r="R1347" s="95"/>
      <c r="S1347" s="154" t="s">
        <v>35559</v>
      </c>
      <c r="T1347" s="84"/>
      <c r="U1347" s="84"/>
      <c r="V1347" s="84"/>
      <c r="W1347" s="84"/>
      <c r="X1347" s="84"/>
      <c r="Y1347" s="84"/>
      <c r="Z1347" s="84"/>
      <c r="AA1347" s="84"/>
      <c r="AB1347" s="84"/>
      <c r="AC1347" s="84"/>
    </row>
    <row r="1348" ht="15.75" customHeight="1">
      <c r="A1348" s="14" t="s">
        <v>2137</v>
      </c>
      <c r="B1348" s="14">
        <v>2005.0</v>
      </c>
      <c r="C1348" s="14" t="s">
        <v>15925</v>
      </c>
      <c r="D1348" s="14" t="s">
        <v>15926</v>
      </c>
      <c r="E1348" s="150" t="str">
        <f t="shared" si="14"/>
        <v>http://dx.doi.org/10.1109/INFVIS.2005.1532127</v>
      </c>
      <c r="F1348" s="14">
        <v>41.0</v>
      </c>
      <c r="G1348" s="14">
        <v>48.0</v>
      </c>
      <c r="H1348" s="151"/>
      <c r="I1348" s="14" t="s">
        <v>28</v>
      </c>
      <c r="J1348" s="14" t="s">
        <v>16108</v>
      </c>
      <c r="K1348" s="14" t="s">
        <v>35560</v>
      </c>
      <c r="L1348" s="152" t="s">
        <v>15930</v>
      </c>
      <c r="M1348" s="14" t="s">
        <v>35561</v>
      </c>
      <c r="N1348" s="54" t="s">
        <v>35560</v>
      </c>
      <c r="O1348" s="130" t="s">
        <v>15931</v>
      </c>
      <c r="P1348" s="153" t="s">
        <v>15933</v>
      </c>
      <c r="Q1348" s="14">
        <v>1532127.0</v>
      </c>
      <c r="R1348" s="95"/>
      <c r="S1348" s="154" t="s">
        <v>35562</v>
      </c>
      <c r="T1348" s="84"/>
      <c r="U1348" s="84"/>
      <c r="V1348" s="84"/>
      <c r="W1348" s="84"/>
      <c r="X1348" s="84"/>
      <c r="Y1348" s="84"/>
      <c r="Z1348" s="84"/>
      <c r="AA1348" s="84"/>
      <c r="AB1348" s="84"/>
      <c r="AC1348" s="84"/>
    </row>
    <row r="1349" ht="15.75" customHeight="1">
      <c r="A1349" s="14" t="s">
        <v>2137</v>
      </c>
      <c r="B1349" s="14">
        <v>2005.0</v>
      </c>
      <c r="C1349" s="14" t="s">
        <v>16041</v>
      </c>
      <c r="D1349" s="14" t="s">
        <v>16042</v>
      </c>
      <c r="E1349" s="150" t="str">
        <f t="shared" si="14"/>
        <v>http://dx.doi.org/10.1109/INFVIS.2005.1532138</v>
      </c>
      <c r="F1349" s="14">
        <v>125.0</v>
      </c>
      <c r="G1349" s="14">
        <v>132.0</v>
      </c>
      <c r="H1349" s="151"/>
      <c r="I1349" s="14" t="s">
        <v>28</v>
      </c>
      <c r="J1349" s="14" t="s">
        <v>16183</v>
      </c>
      <c r="K1349" s="14" t="s">
        <v>35564</v>
      </c>
      <c r="L1349" s="152" t="s">
        <v>16047</v>
      </c>
      <c r="M1349" s="14" t="s">
        <v>35565</v>
      </c>
      <c r="N1349" s="54" t="s">
        <v>35564</v>
      </c>
      <c r="O1349" s="130" t="s">
        <v>16048</v>
      </c>
      <c r="P1349" s="153" t="s">
        <v>16049</v>
      </c>
      <c r="Q1349" s="14">
        <v>1532138.0</v>
      </c>
      <c r="R1349" s="95"/>
      <c r="S1349" s="154" t="s">
        <v>35566</v>
      </c>
      <c r="T1349" s="84"/>
      <c r="U1349" s="84"/>
      <c r="V1349" s="84"/>
      <c r="W1349" s="84"/>
      <c r="X1349" s="84"/>
      <c r="Y1349" s="84"/>
      <c r="Z1349" s="84"/>
      <c r="AA1349" s="84"/>
      <c r="AB1349" s="84"/>
      <c r="AC1349" s="84"/>
    </row>
    <row r="1350" ht="15.75" customHeight="1">
      <c r="A1350" s="14" t="s">
        <v>2137</v>
      </c>
      <c r="B1350" s="14">
        <v>2005.0</v>
      </c>
      <c r="C1350" s="14" t="s">
        <v>16033</v>
      </c>
      <c r="D1350" s="14" t="s">
        <v>16035</v>
      </c>
      <c r="E1350" s="150" t="str">
        <f t="shared" si="14"/>
        <v>http://dx.doi.org/10.1109/INFVIS.2005.1532137</v>
      </c>
      <c r="F1350" s="14">
        <v>119.0</v>
      </c>
      <c r="G1350" s="14">
        <v>124.0</v>
      </c>
      <c r="H1350" s="151"/>
      <c r="I1350" s="14" t="s">
        <v>28</v>
      </c>
      <c r="J1350" s="14" t="s">
        <v>16181</v>
      </c>
      <c r="K1350" s="14" t="s">
        <v>35567</v>
      </c>
      <c r="L1350" s="152" t="s">
        <v>11839</v>
      </c>
      <c r="M1350" s="14" t="s">
        <v>35568</v>
      </c>
      <c r="N1350" s="54" t="s">
        <v>35567</v>
      </c>
      <c r="O1350" s="130"/>
      <c r="P1350" s="153" t="s">
        <v>16040</v>
      </c>
      <c r="Q1350" s="14">
        <v>1532137.0</v>
      </c>
      <c r="R1350" s="95"/>
      <c r="S1350" s="154"/>
      <c r="T1350" s="84"/>
      <c r="U1350" s="84"/>
      <c r="V1350" s="84"/>
      <c r="W1350" s="84"/>
      <c r="X1350" s="84"/>
      <c r="Y1350" s="84"/>
      <c r="Z1350" s="84"/>
      <c r="AA1350" s="84"/>
      <c r="AB1350" s="84"/>
      <c r="AC1350" s="84"/>
    </row>
    <row r="1351" ht="15.75" customHeight="1">
      <c r="A1351" s="14" t="s">
        <v>2137</v>
      </c>
      <c r="B1351" s="14">
        <v>2005.0</v>
      </c>
      <c r="C1351" s="14" t="s">
        <v>16156</v>
      </c>
      <c r="D1351" s="14" t="s">
        <v>16157</v>
      </c>
      <c r="E1351" s="150" t="str">
        <f t="shared" si="14"/>
        <v>http://dx.doi.org/10.1109/INFVIS.2005.1532149</v>
      </c>
      <c r="F1351" s="14">
        <v>211.0</v>
      </c>
      <c r="G1351" s="14">
        <v>218.0</v>
      </c>
      <c r="H1351" s="151"/>
      <c r="I1351" s="14" t="s">
        <v>28</v>
      </c>
      <c r="J1351" s="14" t="s">
        <v>16236</v>
      </c>
      <c r="K1351" s="14" t="s">
        <v>35569</v>
      </c>
      <c r="L1351" s="152" t="s">
        <v>12815</v>
      </c>
      <c r="M1351" s="14" t="s">
        <v>35570</v>
      </c>
      <c r="N1351" s="54" t="s">
        <v>35569</v>
      </c>
      <c r="O1351" s="130" t="s">
        <v>16163</v>
      </c>
      <c r="P1351" s="153" t="s">
        <v>16164</v>
      </c>
      <c r="Q1351" s="14">
        <v>1532149.0</v>
      </c>
      <c r="R1351" s="95"/>
      <c r="S1351" s="154" t="s">
        <v>35571</v>
      </c>
      <c r="T1351" s="84"/>
      <c r="U1351" s="84"/>
      <c r="V1351" s="84"/>
      <c r="W1351" s="84"/>
      <c r="X1351" s="84"/>
      <c r="Y1351" s="84"/>
      <c r="Z1351" s="84"/>
      <c r="AA1351" s="84"/>
      <c r="AB1351" s="84"/>
      <c r="AC1351" s="84"/>
    </row>
    <row r="1352" ht="15.75" customHeight="1">
      <c r="A1352" s="14" t="s">
        <v>2137</v>
      </c>
      <c r="B1352" s="14">
        <v>2005.0</v>
      </c>
      <c r="C1352" s="14" t="s">
        <v>15907</v>
      </c>
      <c r="D1352" s="14" t="s">
        <v>15908</v>
      </c>
      <c r="E1352" s="150" t="str">
        <f t="shared" si="14"/>
        <v>http://dx.doi.org/10.1109/INFVIS.2005.1532125</v>
      </c>
      <c r="F1352" s="14">
        <v>24.0</v>
      </c>
      <c r="G1352" s="14">
        <v>31.0</v>
      </c>
      <c r="H1352" s="151"/>
      <c r="I1352" s="14" t="s">
        <v>28</v>
      </c>
      <c r="J1352" s="14" t="s">
        <v>16097</v>
      </c>
      <c r="K1352" s="14" t="s">
        <v>35572</v>
      </c>
      <c r="L1352" s="152" t="s">
        <v>15913</v>
      </c>
      <c r="M1352" s="14" t="s">
        <v>35573</v>
      </c>
      <c r="N1352" s="54" t="s">
        <v>35572</v>
      </c>
      <c r="O1352" s="130" t="s">
        <v>15914</v>
      </c>
      <c r="P1352" s="153" t="s">
        <v>15915</v>
      </c>
      <c r="Q1352" s="14">
        <v>1532125.0</v>
      </c>
      <c r="R1352" s="95"/>
      <c r="S1352" s="154" t="s">
        <v>35574</v>
      </c>
      <c r="T1352" s="84"/>
      <c r="U1352" s="84"/>
      <c r="V1352" s="84"/>
      <c r="W1352" s="84"/>
      <c r="X1352" s="84"/>
      <c r="Y1352" s="84"/>
      <c r="Z1352" s="84"/>
      <c r="AA1352" s="84"/>
      <c r="AB1352" s="84"/>
      <c r="AC1352" s="84"/>
    </row>
    <row r="1353" ht="15.75" customHeight="1">
      <c r="A1353" s="14" t="s">
        <v>2137</v>
      </c>
      <c r="B1353" s="14">
        <v>2005.0</v>
      </c>
      <c r="C1353" s="14" t="s">
        <v>16201</v>
      </c>
      <c r="D1353" s="14" t="s">
        <v>16202</v>
      </c>
      <c r="E1353" s="150" t="str">
        <f t="shared" si="14"/>
        <v>http://dx.doi.org/10.1109/INFVIS.2005.1532153</v>
      </c>
      <c r="F1353" s="14">
        <v>241.0</v>
      </c>
      <c r="G1353" s="14">
        <v>244.0</v>
      </c>
      <c r="H1353" s="159" t="s">
        <v>30659</v>
      </c>
      <c r="I1353" s="14" t="s">
        <v>21</v>
      </c>
      <c r="J1353" s="14" t="s">
        <v>16260</v>
      </c>
      <c r="K1353" s="14" t="s">
        <v>35576</v>
      </c>
      <c r="L1353" s="152" t="s">
        <v>16213</v>
      </c>
      <c r="M1353" s="14" t="s">
        <v>1253</v>
      </c>
      <c r="N1353" s="54" t="s">
        <v>35576</v>
      </c>
      <c r="O1353" s="130"/>
      <c r="P1353" s="16"/>
      <c r="Q1353" s="14">
        <v>1532153.0</v>
      </c>
      <c r="R1353" s="95"/>
      <c r="S1353" s="154"/>
      <c r="T1353" s="84"/>
      <c r="U1353" s="84"/>
      <c r="V1353" s="84"/>
      <c r="W1353" s="84"/>
      <c r="X1353" s="84"/>
      <c r="Y1353" s="84"/>
      <c r="Z1353" s="84"/>
      <c r="AA1353" s="84"/>
      <c r="AB1353" s="84"/>
      <c r="AC1353" s="84"/>
    </row>
    <row r="1354" ht="15.75" customHeight="1">
      <c r="A1354" s="14" t="s">
        <v>2137</v>
      </c>
      <c r="B1354" s="14">
        <v>2005.0</v>
      </c>
      <c r="C1354" s="14" t="s">
        <v>15989</v>
      </c>
      <c r="D1354" s="14" t="s">
        <v>15990</v>
      </c>
      <c r="E1354" s="150" t="str">
        <f t="shared" si="14"/>
        <v>http://dx.doi.org/10.1109/INFVIS.2005.1532133</v>
      </c>
      <c r="F1354" s="14">
        <v>89.0</v>
      </c>
      <c r="G1354" s="14">
        <v>94.0</v>
      </c>
      <c r="H1354" s="151"/>
      <c r="I1354" s="14" t="s">
        <v>28</v>
      </c>
      <c r="J1354" s="14" t="s">
        <v>16150</v>
      </c>
      <c r="K1354" s="14" t="s">
        <v>35577</v>
      </c>
      <c r="L1354" s="152" t="s">
        <v>15767</v>
      </c>
      <c r="M1354" s="14" t="s">
        <v>35578</v>
      </c>
      <c r="N1354" s="54" t="s">
        <v>35579</v>
      </c>
      <c r="O1354" s="130" t="s">
        <v>15998</v>
      </c>
      <c r="P1354" s="153" t="s">
        <v>15999</v>
      </c>
      <c r="Q1354" s="14">
        <v>1532133.0</v>
      </c>
      <c r="R1354" s="95"/>
      <c r="S1354" s="154" t="s">
        <v>35580</v>
      </c>
      <c r="T1354" s="84"/>
      <c r="U1354" s="84"/>
      <c r="V1354" s="84"/>
      <c r="W1354" s="84"/>
      <c r="X1354" s="84"/>
      <c r="Y1354" s="84"/>
      <c r="Z1354" s="84"/>
      <c r="AA1354" s="84"/>
      <c r="AB1354" s="84"/>
      <c r="AC1354" s="84"/>
    </row>
    <row r="1355" ht="15.75" customHeight="1">
      <c r="A1355" s="14" t="s">
        <v>2137</v>
      </c>
      <c r="B1355" s="14">
        <v>2005.0</v>
      </c>
      <c r="C1355" s="14" t="s">
        <v>16105</v>
      </c>
      <c r="D1355" s="14" t="s">
        <v>16106</v>
      </c>
      <c r="E1355" s="150" t="str">
        <f t="shared" si="14"/>
        <v>http://dx.doi.org/10.1109/INFVIS.2005.1532144</v>
      </c>
      <c r="F1355" s="14">
        <v>173.0</v>
      </c>
      <c r="G1355" s="14">
        <v>180.0</v>
      </c>
      <c r="H1355" s="151"/>
      <c r="I1355" s="14" t="s">
        <v>28</v>
      </c>
      <c r="J1355" s="14" t="s">
        <v>16214</v>
      </c>
      <c r="K1355" s="14" t="s">
        <v>35582</v>
      </c>
      <c r="L1355" s="152" t="s">
        <v>16113</v>
      </c>
      <c r="M1355" s="14" t="s">
        <v>35583</v>
      </c>
      <c r="N1355" s="54" t="s">
        <v>35582</v>
      </c>
      <c r="O1355" s="130"/>
      <c r="P1355" s="153" t="s">
        <v>16114</v>
      </c>
      <c r="Q1355" s="14">
        <v>1532144.0</v>
      </c>
      <c r="R1355" s="95"/>
      <c r="S1355" s="154"/>
      <c r="T1355" s="84"/>
      <c r="U1355" s="84"/>
      <c r="V1355" s="84"/>
      <c r="W1355" s="84"/>
      <c r="X1355" s="84"/>
      <c r="Y1355" s="84"/>
      <c r="Z1355" s="84"/>
      <c r="AA1355" s="84"/>
      <c r="AB1355" s="84"/>
      <c r="AC1355" s="84"/>
    </row>
    <row r="1356" ht="15.75" customHeight="1">
      <c r="A1356" s="14" t="s">
        <v>2137</v>
      </c>
      <c r="B1356" s="14">
        <v>2005.0</v>
      </c>
      <c r="C1356" s="14" t="s">
        <v>16000</v>
      </c>
      <c r="D1356" s="14" t="s">
        <v>16001</v>
      </c>
      <c r="E1356" s="150" t="str">
        <f t="shared" si="14"/>
        <v>http://dx.doi.org/10.1109/INFVIS.2005.1532134</v>
      </c>
      <c r="F1356" s="14">
        <v>95.0</v>
      </c>
      <c r="G1356" s="14">
        <v>102.0</v>
      </c>
      <c r="H1356" s="151"/>
      <c r="I1356" s="14" t="s">
        <v>28</v>
      </c>
      <c r="J1356" s="14" t="s">
        <v>35584</v>
      </c>
      <c r="K1356" s="14" t="s">
        <v>35586</v>
      </c>
      <c r="L1356" s="152" t="s">
        <v>13494</v>
      </c>
      <c r="M1356" s="14" t="s">
        <v>35587</v>
      </c>
      <c r="N1356" s="54" t="s">
        <v>35586</v>
      </c>
      <c r="O1356" s="130" t="s">
        <v>13780</v>
      </c>
      <c r="P1356" s="153" t="s">
        <v>16008</v>
      </c>
      <c r="Q1356" s="14">
        <v>1532134.0</v>
      </c>
      <c r="R1356" s="95"/>
      <c r="S1356" s="154">
        <v>1250415.0</v>
      </c>
      <c r="T1356" s="84"/>
      <c r="U1356" s="84"/>
      <c r="V1356" s="84"/>
      <c r="W1356" s="84"/>
      <c r="X1356" s="84"/>
      <c r="Y1356" s="84"/>
      <c r="Z1356" s="84"/>
      <c r="AA1356" s="84"/>
      <c r="AB1356" s="84"/>
      <c r="AC1356" s="84"/>
    </row>
    <row r="1357" ht="15.75" customHeight="1">
      <c r="A1357" s="14" t="s">
        <v>2137</v>
      </c>
      <c r="B1357" s="14">
        <v>2005.0</v>
      </c>
      <c r="C1357" s="14" t="s">
        <v>16178</v>
      </c>
      <c r="D1357" s="14" t="s">
        <v>16179</v>
      </c>
      <c r="E1357" s="150" t="str">
        <f t="shared" si="14"/>
        <v>http://dx.doi.org/10.1109/INFVIS.2005.1532151</v>
      </c>
      <c r="F1357" s="14">
        <v>225.0</v>
      </c>
      <c r="G1357" s="14">
        <v>232.0</v>
      </c>
      <c r="H1357" s="151"/>
      <c r="I1357" s="14" t="s">
        <v>28</v>
      </c>
      <c r="J1357" s="14" t="s">
        <v>16248</v>
      </c>
      <c r="K1357" s="14" t="s">
        <v>35588</v>
      </c>
      <c r="L1357" s="152" t="s">
        <v>4680</v>
      </c>
      <c r="M1357" s="14" t="s">
        <v>35589</v>
      </c>
      <c r="N1357" s="54" t="s">
        <v>35588</v>
      </c>
      <c r="O1357" s="130" t="s">
        <v>16186</v>
      </c>
      <c r="P1357" s="153" t="s">
        <v>16188</v>
      </c>
      <c r="Q1357" s="14">
        <v>1532151.0</v>
      </c>
      <c r="R1357" s="95"/>
      <c r="S1357" s="154" t="s">
        <v>35590</v>
      </c>
      <c r="T1357" s="84"/>
      <c r="U1357" s="84"/>
      <c r="V1357" s="84"/>
      <c r="W1357" s="84"/>
      <c r="X1357" s="84"/>
      <c r="Y1357" s="84"/>
      <c r="Z1357" s="84"/>
      <c r="AA1357" s="84"/>
      <c r="AB1357" s="84"/>
      <c r="AC1357" s="84"/>
    </row>
    <row r="1358" ht="15.75" customHeight="1">
      <c r="A1358" s="14" t="s">
        <v>2137</v>
      </c>
      <c r="B1358" s="14">
        <v>2005.0</v>
      </c>
      <c r="C1358" s="14" t="s">
        <v>16095</v>
      </c>
      <c r="D1358" s="14" t="s">
        <v>16096</v>
      </c>
      <c r="E1358" s="150" t="str">
        <f t="shared" si="14"/>
        <v>http://dx.doi.org/10.1109/INFVIS.2005.1532143</v>
      </c>
      <c r="F1358" s="14">
        <v>165.0</v>
      </c>
      <c r="G1358" s="14">
        <v>172.0</v>
      </c>
      <c r="H1358" s="151"/>
      <c r="I1358" s="14" t="s">
        <v>28</v>
      </c>
      <c r="J1358" s="14" t="s">
        <v>16210</v>
      </c>
      <c r="K1358" s="14" t="s">
        <v>11350</v>
      </c>
      <c r="L1358" s="152" t="s">
        <v>16102</v>
      </c>
      <c r="M1358" s="14">
        <v>3.75648833E10</v>
      </c>
      <c r="N1358" s="54" t="s">
        <v>11350</v>
      </c>
      <c r="O1358" s="130" t="s">
        <v>16103</v>
      </c>
      <c r="P1358" s="153" t="s">
        <v>16104</v>
      </c>
      <c r="Q1358" s="14">
        <v>1532143.0</v>
      </c>
      <c r="R1358" s="95"/>
      <c r="S1358" s="154" t="s">
        <v>35593</v>
      </c>
      <c r="T1358" s="84"/>
      <c r="U1358" s="84"/>
      <c r="V1358" s="84"/>
      <c r="W1358" s="84"/>
      <c r="X1358" s="84"/>
      <c r="Y1358" s="84"/>
      <c r="Z1358" s="84"/>
      <c r="AA1358" s="84"/>
      <c r="AB1358" s="84"/>
      <c r="AC1358" s="84"/>
    </row>
    <row r="1359" ht="15.75" customHeight="1">
      <c r="A1359" s="14" t="s">
        <v>2137</v>
      </c>
      <c r="B1359" s="14">
        <v>2005.0</v>
      </c>
      <c r="C1359" s="14" t="s">
        <v>15916</v>
      </c>
      <c r="D1359" s="14" t="s">
        <v>15917</v>
      </c>
      <c r="E1359" s="150" t="str">
        <f t="shared" si="14"/>
        <v>http://dx.doi.org/10.1109/INFVIS.2005.1532126</v>
      </c>
      <c r="F1359" s="14">
        <v>32.0</v>
      </c>
      <c r="G1359" s="14">
        <v>39.0</v>
      </c>
      <c r="H1359" s="151"/>
      <c r="I1359" s="14" t="s">
        <v>28</v>
      </c>
      <c r="J1359" s="14" t="s">
        <v>16100</v>
      </c>
      <c r="K1359" s="14" t="s">
        <v>35594</v>
      </c>
      <c r="L1359" s="152" t="s">
        <v>15923</v>
      </c>
      <c r="M1359" s="14" t="s">
        <v>35595</v>
      </c>
      <c r="N1359" s="54" t="s">
        <v>35594</v>
      </c>
      <c r="O1359" s="130" t="s">
        <v>13979</v>
      </c>
      <c r="P1359" s="153" t="s">
        <v>15924</v>
      </c>
      <c r="Q1359" s="14">
        <v>1532126.0</v>
      </c>
      <c r="R1359" s="95"/>
      <c r="S1359" s="154">
        <v>1382886.0</v>
      </c>
      <c r="T1359" s="84"/>
      <c r="U1359" s="84"/>
      <c r="V1359" s="84"/>
      <c r="W1359" s="84"/>
      <c r="X1359" s="84"/>
      <c r="Y1359" s="84"/>
      <c r="Z1359" s="84"/>
      <c r="AA1359" s="84"/>
      <c r="AB1359" s="84"/>
      <c r="AC1359" s="84"/>
    </row>
    <row r="1360" ht="15.75" customHeight="1">
      <c r="A1360" s="14" t="s">
        <v>2137</v>
      </c>
      <c r="B1360" s="14">
        <v>2005.0</v>
      </c>
      <c r="C1360" s="14" t="s">
        <v>15934</v>
      </c>
      <c r="D1360" s="14" t="s">
        <v>15935</v>
      </c>
      <c r="E1360" s="150" t="str">
        <f t="shared" si="14"/>
        <v>http://dx.doi.org/10.1109/INFVIS.2005.1532128</v>
      </c>
      <c r="F1360" s="14">
        <v>49.0</v>
      </c>
      <c r="G1360" s="14">
        <v>56.0</v>
      </c>
      <c r="H1360" s="151"/>
      <c r="I1360" s="14" t="s">
        <v>28</v>
      </c>
      <c r="J1360" s="14" t="s">
        <v>16112</v>
      </c>
      <c r="K1360" s="14" t="s">
        <v>35596</v>
      </c>
      <c r="L1360" s="152" t="s">
        <v>11929</v>
      </c>
      <c r="M1360" s="14" t="s">
        <v>35597</v>
      </c>
      <c r="N1360" s="54" t="s">
        <v>35596</v>
      </c>
      <c r="O1360" s="130" t="s">
        <v>15941</v>
      </c>
      <c r="P1360" s="153" t="s">
        <v>15942</v>
      </c>
      <c r="Q1360" s="14">
        <v>1532128.0</v>
      </c>
      <c r="R1360" s="95"/>
      <c r="S1360" s="154" t="s">
        <v>35598</v>
      </c>
      <c r="T1360" s="84"/>
      <c r="U1360" s="84"/>
      <c r="V1360" s="84"/>
      <c r="W1360" s="84"/>
      <c r="X1360" s="84"/>
      <c r="Y1360" s="84"/>
      <c r="Z1360" s="84"/>
      <c r="AA1360" s="84"/>
      <c r="AB1360" s="84"/>
      <c r="AC1360" s="84"/>
    </row>
    <row r="1361" ht="15.75" customHeight="1">
      <c r="A1361" s="14" t="s">
        <v>17</v>
      </c>
      <c r="B1361" s="14">
        <v>2005.0</v>
      </c>
      <c r="C1361" s="14" t="s">
        <v>16215</v>
      </c>
      <c r="D1361" s="14" t="s">
        <v>16217</v>
      </c>
      <c r="E1361" s="150" t="str">
        <f t="shared" si="14"/>
        <v>http://dx.doi.org/10.1109/VISUAL.2005.1532770</v>
      </c>
      <c r="F1361" s="14">
        <v>3.0</v>
      </c>
      <c r="G1361" s="14">
        <v>10.0</v>
      </c>
      <c r="H1361" s="151"/>
      <c r="I1361" s="14" t="s">
        <v>28</v>
      </c>
      <c r="J1361" s="14" t="s">
        <v>16262</v>
      </c>
      <c r="K1361" s="14" t="s">
        <v>35599</v>
      </c>
      <c r="L1361" s="152" t="s">
        <v>13474</v>
      </c>
      <c r="M1361" s="14" t="s">
        <v>35600</v>
      </c>
      <c r="N1361" s="54" t="s">
        <v>35599</v>
      </c>
      <c r="O1361" s="130" t="s">
        <v>16225</v>
      </c>
      <c r="P1361" s="153" t="s">
        <v>16226</v>
      </c>
      <c r="Q1361" s="14">
        <v>1532770.0</v>
      </c>
      <c r="R1361" s="95"/>
      <c r="S1361" s="154" t="s">
        <v>35601</v>
      </c>
      <c r="T1361" s="84"/>
      <c r="U1361" s="84"/>
      <c r="V1361" s="84"/>
      <c r="W1361" s="84"/>
      <c r="X1361" s="84"/>
      <c r="Y1361" s="84"/>
      <c r="Z1361" s="84"/>
      <c r="AA1361" s="84"/>
      <c r="AB1361" s="84"/>
      <c r="AC1361" s="84"/>
    </row>
    <row r="1362" ht="15.75" customHeight="1">
      <c r="A1362" s="14" t="s">
        <v>17</v>
      </c>
      <c r="B1362" s="14">
        <v>2005.0</v>
      </c>
      <c r="C1362" s="14" t="s">
        <v>16442</v>
      </c>
      <c r="D1362" s="14" t="s">
        <v>16443</v>
      </c>
      <c r="E1362" s="150" t="str">
        <f t="shared" si="14"/>
        <v>http://dx.doi.org/10.1109/VISUAL.2005.1532795</v>
      </c>
      <c r="F1362" s="14">
        <v>191.0</v>
      </c>
      <c r="G1362" s="14">
        <v>198.0</v>
      </c>
      <c r="H1362" s="151"/>
      <c r="I1362" s="14" t="s">
        <v>28</v>
      </c>
      <c r="J1362" s="14" t="s">
        <v>16444</v>
      </c>
      <c r="K1362" s="14" t="s">
        <v>35602</v>
      </c>
      <c r="L1362" s="152" t="s">
        <v>16471</v>
      </c>
      <c r="M1362" s="14" t="s">
        <v>35603</v>
      </c>
      <c r="N1362" s="54" t="s">
        <v>35602</v>
      </c>
      <c r="O1362" s="130" t="s">
        <v>16447</v>
      </c>
      <c r="P1362" s="153" t="s">
        <v>16448</v>
      </c>
      <c r="Q1362" s="14">
        <v>1532795.0</v>
      </c>
      <c r="R1362" s="95"/>
      <c r="S1362" s="154" t="s">
        <v>35604</v>
      </c>
      <c r="T1362" s="84"/>
      <c r="U1362" s="84"/>
      <c r="V1362" s="84"/>
      <c r="W1362" s="84"/>
      <c r="X1362" s="84"/>
      <c r="Y1362" s="84"/>
      <c r="Z1362" s="84"/>
      <c r="AA1362" s="84"/>
      <c r="AB1362" s="84"/>
      <c r="AC1362" s="84"/>
    </row>
    <row r="1363" ht="15.75" customHeight="1">
      <c r="A1363" s="14" t="s">
        <v>17</v>
      </c>
      <c r="B1363" s="14">
        <v>2005.0</v>
      </c>
      <c r="C1363" s="14" t="s">
        <v>16760</v>
      </c>
      <c r="D1363" s="14" t="s">
        <v>16762</v>
      </c>
      <c r="E1363" s="150" t="str">
        <f t="shared" si="14"/>
        <v>http://dx.doi.org/10.1109/VISUAL.2005.1532834</v>
      </c>
      <c r="F1363" s="14">
        <v>495.0</v>
      </c>
      <c r="G1363" s="14">
        <v>502.0</v>
      </c>
      <c r="H1363" s="151"/>
      <c r="I1363" s="14" t="s">
        <v>28</v>
      </c>
      <c r="J1363" s="14" t="s">
        <v>16768</v>
      </c>
      <c r="K1363" s="14" t="s">
        <v>35605</v>
      </c>
      <c r="L1363" s="152" t="s">
        <v>16770</v>
      </c>
      <c r="M1363" s="14" t="s">
        <v>35606</v>
      </c>
      <c r="N1363" s="54" t="s">
        <v>35605</v>
      </c>
      <c r="O1363" s="130" t="s">
        <v>16771</v>
      </c>
      <c r="P1363" s="153" t="s">
        <v>16772</v>
      </c>
      <c r="Q1363" s="14">
        <v>1532834.0</v>
      </c>
      <c r="R1363" s="95"/>
      <c r="S1363" s="154" t="s">
        <v>35607</v>
      </c>
      <c r="T1363" s="84"/>
      <c r="U1363" s="84"/>
      <c r="V1363" s="84"/>
      <c r="W1363" s="84"/>
      <c r="X1363" s="84"/>
      <c r="Y1363" s="84"/>
      <c r="Z1363" s="84"/>
      <c r="AA1363" s="84"/>
      <c r="AB1363" s="84"/>
      <c r="AC1363" s="84"/>
    </row>
    <row r="1364" ht="15.75" customHeight="1">
      <c r="A1364" s="14" t="s">
        <v>17</v>
      </c>
      <c r="B1364" s="14">
        <v>2005.0</v>
      </c>
      <c r="C1364" s="14" t="s">
        <v>16884</v>
      </c>
      <c r="D1364" s="14" t="s">
        <v>16885</v>
      </c>
      <c r="E1364" s="150" t="str">
        <f t="shared" si="14"/>
        <v>http://dx.doi.org/10.1109/VISUAL.2005.1532846</v>
      </c>
      <c r="F1364" s="14">
        <v>591.0</v>
      </c>
      <c r="G1364" s="14">
        <v>597.0</v>
      </c>
      <c r="H1364" s="151"/>
      <c r="I1364" s="14" t="s">
        <v>28</v>
      </c>
      <c r="J1364" s="14" t="s">
        <v>16889</v>
      </c>
      <c r="K1364" s="14" t="s">
        <v>35608</v>
      </c>
      <c r="L1364" s="152" t="s">
        <v>16892</v>
      </c>
      <c r="M1364" s="14" t="s">
        <v>35609</v>
      </c>
      <c r="N1364" s="54" t="s">
        <v>35608</v>
      </c>
      <c r="O1364" s="130" t="s">
        <v>16893</v>
      </c>
      <c r="P1364" s="153" t="s">
        <v>16894</v>
      </c>
      <c r="Q1364" s="14">
        <v>1532846.0</v>
      </c>
      <c r="R1364" s="95"/>
      <c r="S1364" s="154" t="s">
        <v>35610</v>
      </c>
      <c r="T1364" s="84"/>
      <c r="U1364" s="84"/>
      <c r="V1364" s="84"/>
      <c r="W1364" s="84"/>
      <c r="X1364" s="84"/>
      <c r="Y1364" s="84"/>
      <c r="Z1364" s="84"/>
      <c r="AA1364" s="84"/>
      <c r="AB1364" s="84"/>
      <c r="AC1364" s="84"/>
    </row>
    <row r="1365" ht="15.75" customHeight="1">
      <c r="A1365" s="14" t="s">
        <v>17</v>
      </c>
      <c r="B1365" s="14">
        <v>2005.0</v>
      </c>
      <c r="C1365" s="14" t="s">
        <v>16377</v>
      </c>
      <c r="D1365" s="14" t="s">
        <v>16378</v>
      </c>
      <c r="E1365" s="150" t="str">
        <f t="shared" si="14"/>
        <v>http://dx.doi.org/10.1109/VISUAL.2005.1532787</v>
      </c>
      <c r="F1365" s="14">
        <v>127.0</v>
      </c>
      <c r="G1365" s="14">
        <v>134.0</v>
      </c>
      <c r="H1365" s="151"/>
      <c r="I1365" s="14" t="s">
        <v>28</v>
      </c>
      <c r="J1365" s="14" t="s">
        <v>16379</v>
      </c>
      <c r="K1365" s="14" t="s">
        <v>35611</v>
      </c>
      <c r="L1365" s="152" t="s">
        <v>16453</v>
      </c>
      <c r="M1365" s="14" t="s">
        <v>35612</v>
      </c>
      <c r="N1365" s="54" t="s">
        <v>35611</v>
      </c>
      <c r="O1365" s="130" t="s">
        <v>16383</v>
      </c>
      <c r="P1365" s="153" t="s">
        <v>16384</v>
      </c>
      <c r="Q1365" s="14">
        <v>1532787.0</v>
      </c>
      <c r="R1365" s="95"/>
      <c r="S1365" s="154" t="s">
        <v>35613</v>
      </c>
      <c r="T1365" s="84"/>
      <c r="U1365" s="84"/>
      <c r="V1365" s="84"/>
      <c r="W1365" s="84"/>
      <c r="X1365" s="84"/>
      <c r="Y1365" s="84"/>
      <c r="Z1365" s="84"/>
      <c r="AA1365" s="84"/>
      <c r="AB1365" s="84"/>
      <c r="AC1365" s="84"/>
    </row>
    <row r="1366" ht="15.75" customHeight="1">
      <c r="A1366" s="14" t="s">
        <v>17</v>
      </c>
      <c r="B1366" s="14">
        <v>2005.0</v>
      </c>
      <c r="C1366" s="14" t="s">
        <v>16478</v>
      </c>
      <c r="D1366" s="14" t="s">
        <v>16479</v>
      </c>
      <c r="E1366" s="150" t="str">
        <f t="shared" si="14"/>
        <v>http://dx.doi.org/10.1109/VISUAL.2005.1532797</v>
      </c>
      <c r="F1366" s="14">
        <v>207.0</v>
      </c>
      <c r="G1366" s="14">
        <v>214.0</v>
      </c>
      <c r="H1366" s="151"/>
      <c r="I1366" s="14" t="s">
        <v>28</v>
      </c>
      <c r="J1366" s="14" t="s">
        <v>16481</v>
      </c>
      <c r="K1366" s="14" t="s">
        <v>35614</v>
      </c>
      <c r="L1366" s="152" t="s">
        <v>16482</v>
      </c>
      <c r="M1366" s="14" t="s">
        <v>35615</v>
      </c>
      <c r="N1366" s="54" t="s">
        <v>35614</v>
      </c>
      <c r="O1366" s="130" t="s">
        <v>16483</v>
      </c>
      <c r="P1366" s="16"/>
      <c r="Q1366" s="14">
        <v>1532797.0</v>
      </c>
      <c r="R1366" s="95"/>
      <c r="S1366" s="154" t="s">
        <v>35616</v>
      </c>
      <c r="T1366" s="84"/>
      <c r="U1366" s="84"/>
      <c r="V1366" s="84"/>
      <c r="W1366" s="84"/>
      <c r="X1366" s="84"/>
      <c r="Y1366" s="84"/>
      <c r="Z1366" s="84"/>
      <c r="AA1366" s="84"/>
      <c r="AB1366" s="84"/>
      <c r="AC1366" s="84"/>
    </row>
    <row r="1367" ht="15.75" customHeight="1">
      <c r="A1367" s="14" t="s">
        <v>17</v>
      </c>
      <c r="B1367" s="14">
        <v>2005.0</v>
      </c>
      <c r="C1367" s="14" t="s">
        <v>16394</v>
      </c>
      <c r="D1367" s="14" t="s">
        <v>16395</v>
      </c>
      <c r="E1367" s="150" t="str">
        <f t="shared" si="14"/>
        <v>http://dx.doi.org/10.1109/VISUAL.2005.1532789</v>
      </c>
      <c r="F1367" s="14">
        <v>143.0</v>
      </c>
      <c r="G1367" s="14">
        <v>150.0</v>
      </c>
      <c r="H1367" s="151"/>
      <c r="I1367" s="14" t="s">
        <v>28</v>
      </c>
      <c r="J1367" s="14" t="s">
        <v>16396</v>
      </c>
      <c r="K1367" s="14" t="s">
        <v>35619</v>
      </c>
      <c r="L1367" s="152" t="s">
        <v>2087</v>
      </c>
      <c r="M1367" s="14" t="s">
        <v>35620</v>
      </c>
      <c r="N1367" s="54" t="s">
        <v>35621</v>
      </c>
      <c r="O1367" s="130"/>
      <c r="P1367" s="16"/>
      <c r="Q1367" s="14">
        <v>1532789.0</v>
      </c>
      <c r="R1367" s="95"/>
      <c r="S1367" s="154"/>
      <c r="T1367" s="84"/>
      <c r="U1367" s="84"/>
      <c r="V1367" s="84"/>
      <c r="W1367" s="84"/>
      <c r="X1367" s="84"/>
      <c r="Y1367" s="84"/>
      <c r="Z1367" s="84"/>
      <c r="AA1367" s="84"/>
      <c r="AB1367" s="84"/>
      <c r="AC1367" s="84"/>
    </row>
    <row r="1368" ht="15.75" customHeight="1">
      <c r="A1368" s="14" t="s">
        <v>17</v>
      </c>
      <c r="B1368" s="14">
        <v>2005.0</v>
      </c>
      <c r="C1368" s="14" t="s">
        <v>16363</v>
      </c>
      <c r="D1368" s="14" t="s">
        <v>16364</v>
      </c>
      <c r="E1368" s="150" t="str">
        <f t="shared" si="14"/>
        <v>http://dx.doi.org/10.1109/VISUAL.2005.1532785</v>
      </c>
      <c r="F1368" s="14">
        <v>111.0</v>
      </c>
      <c r="G1368" s="14">
        <v>118.0</v>
      </c>
      <c r="H1368" s="151"/>
      <c r="I1368" s="14" t="s">
        <v>28</v>
      </c>
      <c r="J1368" s="14" t="s">
        <v>16365</v>
      </c>
      <c r="K1368" s="14" t="s">
        <v>35623</v>
      </c>
      <c r="L1368" s="152" t="s">
        <v>494</v>
      </c>
      <c r="M1368" s="14" t="s">
        <v>35624</v>
      </c>
      <c r="N1368" s="54" t="s">
        <v>35623</v>
      </c>
      <c r="O1368" s="130"/>
      <c r="P1368" s="153" t="s">
        <v>16368</v>
      </c>
      <c r="Q1368" s="14">
        <v>1532785.0</v>
      </c>
      <c r="R1368" s="95"/>
      <c r="S1368" s="154"/>
      <c r="T1368" s="84"/>
      <c r="U1368" s="84"/>
      <c r="V1368" s="84"/>
      <c r="W1368" s="84"/>
      <c r="X1368" s="84"/>
      <c r="Y1368" s="84"/>
      <c r="Z1368" s="84"/>
      <c r="AA1368" s="84"/>
      <c r="AB1368" s="84"/>
      <c r="AC1368" s="84"/>
    </row>
    <row r="1369" ht="15.75" customHeight="1">
      <c r="A1369" s="14" t="s">
        <v>17</v>
      </c>
      <c r="B1369" s="14">
        <v>2005.0</v>
      </c>
      <c r="C1369" s="14" t="s">
        <v>16345</v>
      </c>
      <c r="D1369" s="14" t="s">
        <v>16346</v>
      </c>
      <c r="E1369" s="150" t="str">
        <f t="shared" si="14"/>
        <v>http://dx.doi.org/10.1109/VISUAL.2005.1532783</v>
      </c>
      <c r="F1369" s="14">
        <v>95.0</v>
      </c>
      <c r="G1369" s="14">
        <v>102.0</v>
      </c>
      <c r="H1369" s="151"/>
      <c r="I1369" s="14" t="s">
        <v>28</v>
      </c>
      <c r="J1369" s="14" t="s">
        <v>16347</v>
      </c>
      <c r="K1369" s="14" t="s">
        <v>35625</v>
      </c>
      <c r="L1369" s="152" t="s">
        <v>16405</v>
      </c>
      <c r="M1369" s="14" t="s">
        <v>35626</v>
      </c>
      <c r="N1369" s="54" t="s">
        <v>35625</v>
      </c>
      <c r="O1369" s="130" t="s">
        <v>16351</v>
      </c>
      <c r="P1369" s="153" t="s">
        <v>16352</v>
      </c>
      <c r="Q1369" s="14">
        <v>1532783.0</v>
      </c>
      <c r="R1369" s="95"/>
      <c r="S1369" s="154" t="s">
        <v>35627</v>
      </c>
      <c r="T1369" s="84"/>
      <c r="U1369" s="84"/>
      <c r="V1369" s="84"/>
      <c r="W1369" s="84"/>
      <c r="X1369" s="84"/>
      <c r="Y1369" s="84"/>
      <c r="Z1369" s="84"/>
      <c r="AA1369" s="84"/>
      <c r="AB1369" s="84"/>
      <c r="AC1369" s="84"/>
    </row>
    <row r="1370" ht="15.75" customHeight="1">
      <c r="A1370" s="14" t="s">
        <v>17</v>
      </c>
      <c r="B1370" s="14">
        <v>2005.0</v>
      </c>
      <c r="C1370" s="14" t="s">
        <v>16619</v>
      </c>
      <c r="D1370" s="14" t="s">
        <v>16620</v>
      </c>
      <c r="E1370" s="150" t="str">
        <f t="shared" si="14"/>
        <v>http://dx.doi.org/10.1109/VISUAL.2005.1532817</v>
      </c>
      <c r="F1370" s="14">
        <v>359.0</v>
      </c>
      <c r="G1370" s="14">
        <v>366.0</v>
      </c>
      <c r="H1370" s="151"/>
      <c r="I1370" s="14" t="s">
        <v>28</v>
      </c>
      <c r="J1370" s="14" t="s">
        <v>16622</v>
      </c>
      <c r="K1370" s="14" t="s">
        <v>35628</v>
      </c>
      <c r="L1370" s="152" t="s">
        <v>16624</v>
      </c>
      <c r="M1370" s="14" t="s">
        <v>35629</v>
      </c>
      <c r="N1370" s="54" t="s">
        <v>35628</v>
      </c>
      <c r="O1370" s="130" t="s">
        <v>16625</v>
      </c>
      <c r="P1370" s="153" t="s">
        <v>16626</v>
      </c>
      <c r="Q1370" s="14">
        <v>1532817.0</v>
      </c>
      <c r="R1370" s="95"/>
      <c r="S1370" s="154" t="s">
        <v>35630</v>
      </c>
      <c r="T1370" s="84"/>
      <c r="U1370" s="84"/>
      <c r="V1370" s="84"/>
      <c r="W1370" s="84"/>
      <c r="X1370" s="84"/>
      <c r="Y1370" s="84"/>
      <c r="Z1370" s="84"/>
      <c r="AA1370" s="84"/>
      <c r="AB1370" s="84"/>
      <c r="AC1370" s="84"/>
    </row>
    <row r="1371" ht="15.75" customHeight="1">
      <c r="A1371" s="14" t="s">
        <v>17</v>
      </c>
      <c r="B1371" s="14">
        <v>2005.0</v>
      </c>
      <c r="C1371" s="14" t="s">
        <v>16701</v>
      </c>
      <c r="D1371" s="14" t="s">
        <v>16702</v>
      </c>
      <c r="E1371" s="150" t="str">
        <f t="shared" si="14"/>
        <v>http://dx.doi.org/10.1109/VISUAL.2005.1532828</v>
      </c>
      <c r="F1371" s="14">
        <v>447.0</v>
      </c>
      <c r="G1371" s="14">
        <v>454.0</v>
      </c>
      <c r="H1371" s="151"/>
      <c r="I1371" s="14" t="s">
        <v>28</v>
      </c>
      <c r="J1371" s="14" t="s">
        <v>16707</v>
      </c>
      <c r="K1371" s="14" t="s">
        <v>35631</v>
      </c>
      <c r="L1371" s="152" t="s">
        <v>16709</v>
      </c>
      <c r="M1371" s="14" t="s">
        <v>35632</v>
      </c>
      <c r="N1371" s="54" t="s">
        <v>35631</v>
      </c>
      <c r="O1371" s="130" t="s">
        <v>3730</v>
      </c>
      <c r="P1371" s="153" t="s">
        <v>16710</v>
      </c>
      <c r="Q1371" s="14">
        <v>1532828.0</v>
      </c>
      <c r="R1371" s="95"/>
      <c r="S1371" s="154">
        <v>663907.0</v>
      </c>
      <c r="T1371" s="84"/>
      <c r="U1371" s="84"/>
      <c r="V1371" s="84"/>
      <c r="W1371" s="84"/>
      <c r="X1371" s="84"/>
      <c r="Y1371" s="84"/>
      <c r="Z1371" s="84"/>
      <c r="AA1371" s="84"/>
      <c r="AB1371" s="84"/>
      <c r="AC1371" s="84"/>
    </row>
    <row r="1372" ht="15.75" customHeight="1">
      <c r="A1372" s="14" t="s">
        <v>17</v>
      </c>
      <c r="B1372" s="14">
        <v>2005.0</v>
      </c>
      <c r="C1372" s="14" t="s">
        <v>16433</v>
      </c>
      <c r="D1372" s="14" t="s">
        <v>16434</v>
      </c>
      <c r="E1372" s="150" t="str">
        <f t="shared" si="14"/>
        <v>http://dx.doi.org/10.1109/VISUAL.2005.1532794</v>
      </c>
      <c r="F1372" s="14">
        <v>183.0</v>
      </c>
      <c r="G1372" s="14">
        <v>189.0</v>
      </c>
      <c r="H1372" s="151"/>
      <c r="I1372" s="14" t="s">
        <v>28</v>
      </c>
      <c r="J1372" s="14" t="s">
        <v>16435</v>
      </c>
      <c r="K1372" s="14" t="s">
        <v>35634</v>
      </c>
      <c r="L1372" s="152" t="s">
        <v>16469</v>
      </c>
      <c r="M1372" s="14" t="s">
        <v>5349</v>
      </c>
      <c r="N1372" s="54" t="s">
        <v>35634</v>
      </c>
      <c r="O1372" s="130" t="s">
        <v>16440</v>
      </c>
      <c r="P1372" s="153" t="s">
        <v>16441</v>
      </c>
      <c r="Q1372" s="14">
        <v>1532794.0</v>
      </c>
      <c r="R1372" s="95"/>
      <c r="S1372" s="154" t="s">
        <v>35635</v>
      </c>
      <c r="T1372" s="84"/>
      <c r="U1372" s="84"/>
      <c r="V1372" s="84"/>
      <c r="W1372" s="84"/>
      <c r="X1372" s="84"/>
      <c r="Y1372" s="84"/>
      <c r="Z1372" s="84"/>
      <c r="AA1372" s="84"/>
      <c r="AB1372" s="84"/>
      <c r="AC1372" s="84"/>
    </row>
    <row r="1373" ht="15.75" customHeight="1">
      <c r="A1373" s="14" t="s">
        <v>17</v>
      </c>
      <c r="B1373" s="14">
        <v>2005.0</v>
      </c>
      <c r="C1373" s="14" t="s">
        <v>16635</v>
      </c>
      <c r="D1373" s="14" t="s">
        <v>16636</v>
      </c>
      <c r="E1373" s="150" t="str">
        <f t="shared" si="14"/>
        <v>http://dx.doi.org/10.1109/VISUAL.2005.1532819</v>
      </c>
      <c r="F1373" s="14">
        <v>375.0</v>
      </c>
      <c r="G1373" s="14">
        <v>382.0</v>
      </c>
      <c r="H1373" s="151"/>
      <c r="I1373" s="14" t="s">
        <v>28</v>
      </c>
      <c r="J1373" s="14" t="s">
        <v>16638</v>
      </c>
      <c r="K1373" s="14" t="s">
        <v>10050</v>
      </c>
      <c r="L1373" s="152" t="s">
        <v>16640</v>
      </c>
      <c r="M1373" s="14"/>
      <c r="N1373" s="54" t="s">
        <v>10050</v>
      </c>
      <c r="O1373" s="130" t="s">
        <v>16641</v>
      </c>
      <c r="P1373" s="153" t="s">
        <v>16642</v>
      </c>
      <c r="Q1373" s="14">
        <v>1532819.0</v>
      </c>
      <c r="R1373" s="95"/>
      <c r="S1373" s="154" t="s">
        <v>35637</v>
      </c>
      <c r="T1373" s="84"/>
      <c r="U1373" s="84"/>
      <c r="V1373" s="84"/>
      <c r="W1373" s="84"/>
      <c r="X1373" s="84"/>
      <c r="Y1373" s="84"/>
      <c r="Z1373" s="84"/>
      <c r="AA1373" s="84"/>
      <c r="AB1373" s="84"/>
      <c r="AC1373" s="84"/>
    </row>
    <row r="1374" ht="15.75" customHeight="1">
      <c r="A1374" s="14" t="s">
        <v>17</v>
      </c>
      <c r="B1374" s="14">
        <v>2005.0</v>
      </c>
      <c r="C1374" s="14" t="s">
        <v>16313</v>
      </c>
      <c r="D1374" s="14" t="s">
        <v>16314</v>
      </c>
      <c r="E1374" s="150" t="str">
        <f t="shared" si="14"/>
        <v>http://dx.doi.org/10.1109/VISUAL.2005.1532779</v>
      </c>
      <c r="F1374" s="14">
        <v>65.0</v>
      </c>
      <c r="G1374" s="14">
        <v>72.0</v>
      </c>
      <c r="H1374" s="151"/>
      <c r="I1374" s="14" t="s">
        <v>28</v>
      </c>
      <c r="J1374" s="14" t="s">
        <v>16315</v>
      </c>
      <c r="K1374" s="14" t="s">
        <v>35638</v>
      </c>
      <c r="L1374" s="152" t="s">
        <v>16337</v>
      </c>
      <c r="M1374" s="14" t="s">
        <v>35639</v>
      </c>
      <c r="N1374" s="54" t="s">
        <v>35638</v>
      </c>
      <c r="O1374" s="130" t="s">
        <v>10867</v>
      </c>
      <c r="P1374" s="153" t="s">
        <v>16319</v>
      </c>
      <c r="Q1374" s="14">
        <v>1532779.0</v>
      </c>
      <c r="R1374" s="95"/>
      <c r="S1374" s="154">
        <v>964549.0</v>
      </c>
      <c r="T1374" s="84"/>
      <c r="U1374" s="84"/>
      <c r="V1374" s="84"/>
      <c r="W1374" s="84"/>
      <c r="X1374" s="84"/>
      <c r="Y1374" s="84"/>
      <c r="Z1374" s="84"/>
      <c r="AA1374" s="84"/>
      <c r="AB1374" s="84"/>
      <c r="AC1374" s="84"/>
    </row>
    <row r="1375" ht="15.75" customHeight="1">
      <c r="A1375" s="14" t="s">
        <v>17</v>
      </c>
      <c r="B1375" s="14">
        <v>2005.0</v>
      </c>
      <c r="C1375" s="14" t="s">
        <v>16686</v>
      </c>
      <c r="D1375" s="14" t="s">
        <v>16687</v>
      </c>
      <c r="E1375" s="150" t="str">
        <f t="shared" si="14"/>
        <v>http://dx.doi.org/10.1109/VISUAL.2005.1532826</v>
      </c>
      <c r="F1375" s="14">
        <v>431.0</v>
      </c>
      <c r="G1375" s="14">
        <v>438.0</v>
      </c>
      <c r="H1375" s="151"/>
      <c r="I1375" s="14" t="s">
        <v>28</v>
      </c>
      <c r="J1375" s="14" t="s">
        <v>16689</v>
      </c>
      <c r="K1375" s="14" t="s">
        <v>35640</v>
      </c>
      <c r="L1375" s="152" t="s">
        <v>16691</v>
      </c>
      <c r="M1375" s="14" t="s">
        <v>35641</v>
      </c>
      <c r="N1375" s="54" t="s">
        <v>35640</v>
      </c>
      <c r="O1375" s="130"/>
      <c r="P1375" s="153" t="s">
        <v>16692</v>
      </c>
      <c r="Q1375" s="14">
        <v>1532826.0</v>
      </c>
      <c r="R1375" s="95"/>
      <c r="S1375" s="154"/>
      <c r="T1375" s="84"/>
      <c r="U1375" s="84"/>
      <c r="V1375" s="84"/>
      <c r="W1375" s="84"/>
      <c r="X1375" s="84"/>
      <c r="Y1375" s="84"/>
      <c r="Z1375" s="84"/>
      <c r="AA1375" s="84"/>
      <c r="AB1375" s="84"/>
      <c r="AC1375" s="84"/>
    </row>
    <row r="1376" ht="15.75" customHeight="1">
      <c r="A1376" s="14" t="s">
        <v>17</v>
      </c>
      <c r="B1376" s="14">
        <v>2005.0</v>
      </c>
      <c r="C1376" s="14" t="s">
        <v>16968</v>
      </c>
      <c r="D1376" s="14" t="s">
        <v>16969</v>
      </c>
      <c r="E1376" s="150" t="str">
        <f t="shared" si="14"/>
        <v>http://dx.doi.org/10.1109/VISUAL.2005.1532854</v>
      </c>
      <c r="F1376" s="14">
        <v>655.0</v>
      </c>
      <c r="G1376" s="14">
        <v>662.0</v>
      </c>
      <c r="H1376" s="151"/>
      <c r="I1376" s="14" t="s">
        <v>28</v>
      </c>
      <c r="J1376" s="14" t="s">
        <v>16974</v>
      </c>
      <c r="K1376" s="14" t="s">
        <v>35643</v>
      </c>
      <c r="L1376" s="152" t="s">
        <v>4670</v>
      </c>
      <c r="M1376" s="14" t="s">
        <v>35644</v>
      </c>
      <c r="N1376" s="54" t="s">
        <v>35643</v>
      </c>
      <c r="O1376" s="130" t="s">
        <v>16976</v>
      </c>
      <c r="P1376" s="153" t="s">
        <v>16977</v>
      </c>
      <c r="Q1376" s="14">
        <v>1532854.0</v>
      </c>
      <c r="R1376" s="95"/>
      <c r="S1376" s="154" t="s">
        <v>35645</v>
      </c>
      <c r="T1376" s="84"/>
      <c r="U1376" s="84"/>
      <c r="V1376" s="84"/>
      <c r="W1376" s="84"/>
      <c r="X1376" s="84"/>
      <c r="Y1376" s="84"/>
      <c r="Z1376" s="84"/>
      <c r="AA1376" s="84"/>
      <c r="AB1376" s="84"/>
      <c r="AC1376" s="84"/>
    </row>
    <row r="1377" ht="15.75" customHeight="1">
      <c r="A1377" s="14" t="s">
        <v>17</v>
      </c>
      <c r="B1377" s="14">
        <v>2005.0</v>
      </c>
      <c r="C1377" s="14" t="s">
        <v>16492</v>
      </c>
      <c r="D1377" s="14" t="s">
        <v>16493</v>
      </c>
      <c r="E1377" s="150" t="str">
        <f t="shared" si="14"/>
        <v>http://dx.doi.org/10.1109/VISUAL.2005.1532799</v>
      </c>
      <c r="F1377" s="14">
        <v>223.0</v>
      </c>
      <c r="G1377" s="14">
        <v>230.0</v>
      </c>
      <c r="H1377" s="151"/>
      <c r="I1377" s="14" t="s">
        <v>28</v>
      </c>
      <c r="J1377" s="14" t="s">
        <v>16495</v>
      </c>
      <c r="K1377" s="14" t="s">
        <v>35646</v>
      </c>
      <c r="L1377" s="152" t="s">
        <v>16497</v>
      </c>
      <c r="M1377" s="14" t="s">
        <v>35647</v>
      </c>
      <c r="N1377" s="54" t="s">
        <v>35646</v>
      </c>
      <c r="O1377" s="130" t="s">
        <v>16498</v>
      </c>
      <c r="P1377" s="153" t="s">
        <v>16499</v>
      </c>
      <c r="Q1377" s="14">
        <v>1532799.0</v>
      </c>
      <c r="R1377" s="95"/>
      <c r="S1377" s="154" t="s">
        <v>35648</v>
      </c>
      <c r="T1377" s="84"/>
      <c r="U1377" s="84"/>
      <c r="V1377" s="84"/>
      <c r="W1377" s="84"/>
      <c r="X1377" s="84"/>
      <c r="Y1377" s="84"/>
      <c r="Z1377" s="84"/>
      <c r="AA1377" s="84"/>
      <c r="AB1377" s="84"/>
      <c r="AC1377" s="84"/>
    </row>
    <row r="1378" ht="15.75" customHeight="1">
      <c r="A1378" s="14" t="s">
        <v>17</v>
      </c>
      <c r="B1378" s="14">
        <v>2005.0</v>
      </c>
      <c r="C1378" s="14" t="s">
        <v>16227</v>
      </c>
      <c r="D1378" s="14" t="s">
        <v>16228</v>
      </c>
      <c r="E1378" s="150" t="str">
        <f t="shared" si="14"/>
        <v>http://dx.doi.org/10.1109/VISUAL.2005.1532771</v>
      </c>
      <c r="F1378" s="14">
        <v>11.0</v>
      </c>
      <c r="G1378" s="14">
        <v>18.0</v>
      </c>
      <c r="H1378" s="151"/>
      <c r="I1378" s="14" t="s">
        <v>28</v>
      </c>
      <c r="J1378" s="14" t="s">
        <v>16270</v>
      </c>
      <c r="K1378" s="14" t="s">
        <v>35650</v>
      </c>
      <c r="L1378" s="152" t="s">
        <v>10625</v>
      </c>
      <c r="M1378" s="14" t="s">
        <v>35651</v>
      </c>
      <c r="N1378" s="54" t="s">
        <v>35650</v>
      </c>
      <c r="O1378" s="130" t="s">
        <v>16240</v>
      </c>
      <c r="P1378" s="153" t="s">
        <v>16241</v>
      </c>
      <c r="Q1378" s="14">
        <v>1532771.0</v>
      </c>
      <c r="R1378" s="95"/>
      <c r="S1378" s="154" t="s">
        <v>35652</v>
      </c>
      <c r="T1378" s="84"/>
      <c r="U1378" s="84"/>
      <c r="V1378" s="84"/>
      <c r="W1378" s="84"/>
      <c r="X1378" s="84"/>
      <c r="Y1378" s="84"/>
      <c r="Z1378" s="84"/>
      <c r="AA1378" s="84"/>
      <c r="AB1378" s="84"/>
      <c r="AC1378" s="84"/>
    </row>
    <row r="1379" ht="15.75" customHeight="1">
      <c r="A1379" s="14" t="s">
        <v>17</v>
      </c>
      <c r="B1379" s="14">
        <v>2005.0</v>
      </c>
      <c r="C1379" s="14" t="s">
        <v>16846</v>
      </c>
      <c r="D1379" s="14" t="s">
        <v>16847</v>
      </c>
      <c r="E1379" s="150" t="str">
        <f t="shared" si="14"/>
        <v>http://dx.doi.org/10.1109/VISUAL.2005.1532842</v>
      </c>
      <c r="F1379" s="14">
        <v>559.0</v>
      </c>
      <c r="G1379" s="14">
        <v>566.0</v>
      </c>
      <c r="H1379" s="151"/>
      <c r="I1379" s="14" t="s">
        <v>28</v>
      </c>
      <c r="J1379" s="14" t="s">
        <v>16852</v>
      </c>
      <c r="K1379" s="14" t="s">
        <v>35654</v>
      </c>
      <c r="L1379" s="152" t="s">
        <v>16854</v>
      </c>
      <c r="M1379" s="14" t="s">
        <v>35655</v>
      </c>
      <c r="N1379" s="54" t="s">
        <v>35654</v>
      </c>
      <c r="O1379" s="130" t="s">
        <v>16855</v>
      </c>
      <c r="P1379" s="16"/>
      <c r="Q1379" s="14">
        <v>1532842.0</v>
      </c>
      <c r="R1379" s="95"/>
      <c r="S1379" s="154" t="s">
        <v>35656</v>
      </c>
      <c r="T1379" s="84"/>
      <c r="U1379" s="84"/>
      <c r="V1379" s="84"/>
      <c r="W1379" s="84"/>
      <c r="X1379" s="84"/>
      <c r="Y1379" s="84"/>
      <c r="Z1379" s="84"/>
      <c r="AA1379" s="84"/>
      <c r="AB1379" s="84"/>
      <c r="AC1379" s="84"/>
    </row>
    <row r="1380" ht="15.75" customHeight="1">
      <c r="A1380" s="14" t="s">
        <v>17</v>
      </c>
      <c r="B1380" s="14">
        <v>2005.0</v>
      </c>
      <c r="C1380" s="14" t="s">
        <v>16939</v>
      </c>
      <c r="D1380" s="14" t="s">
        <v>16940</v>
      </c>
      <c r="E1380" s="150" t="str">
        <f t="shared" si="14"/>
        <v>http://dx.doi.org/10.1109/VISUAL.2005.1532851</v>
      </c>
      <c r="F1380" s="14">
        <v>631.0</v>
      </c>
      <c r="G1380" s="14">
        <v>638.0</v>
      </c>
      <c r="H1380" s="151"/>
      <c r="I1380" s="14" t="s">
        <v>28</v>
      </c>
      <c r="J1380" s="14" t="s">
        <v>16943</v>
      </c>
      <c r="K1380" s="14" t="s">
        <v>35658</v>
      </c>
      <c r="L1380" s="152" t="s">
        <v>16945</v>
      </c>
      <c r="M1380" s="14" t="s">
        <v>35659</v>
      </c>
      <c r="N1380" s="54" t="s">
        <v>35658</v>
      </c>
      <c r="O1380" s="130" t="s">
        <v>16946</v>
      </c>
      <c r="P1380" s="153" t="s">
        <v>16947</v>
      </c>
      <c r="Q1380" s="14">
        <v>1532851.0</v>
      </c>
      <c r="R1380" s="95"/>
      <c r="S1380" s="154" t="s">
        <v>35661</v>
      </c>
      <c r="T1380" s="84"/>
      <c r="U1380" s="84"/>
      <c r="V1380" s="84"/>
      <c r="W1380" s="84"/>
      <c r="X1380" s="84"/>
      <c r="Y1380" s="84"/>
      <c r="Z1380" s="84"/>
      <c r="AA1380" s="84"/>
      <c r="AB1380" s="84"/>
      <c r="AC1380" s="84"/>
    </row>
    <row r="1381" ht="15.75" customHeight="1">
      <c r="A1381" s="14" t="s">
        <v>17</v>
      </c>
      <c r="B1381" s="14">
        <v>2005.0</v>
      </c>
      <c r="C1381" s="14" t="s">
        <v>16792</v>
      </c>
      <c r="D1381" s="14" t="s">
        <v>16793</v>
      </c>
      <c r="E1381" s="150" t="str">
        <f t="shared" si="14"/>
        <v>http://dx.doi.org/10.1109/VISUAL.2005.1532837</v>
      </c>
      <c r="F1381" s="14">
        <v>519.0</v>
      </c>
      <c r="G1381" s="14">
        <v>526.0</v>
      </c>
      <c r="H1381" s="151"/>
      <c r="I1381" s="14" t="s">
        <v>28</v>
      </c>
      <c r="J1381" s="14" t="s">
        <v>16799</v>
      </c>
      <c r="K1381" s="14" t="s">
        <v>35662</v>
      </c>
      <c r="L1381" s="152" t="s">
        <v>16801</v>
      </c>
      <c r="M1381" s="14" t="s">
        <v>35663</v>
      </c>
      <c r="N1381" s="54" t="s">
        <v>35664</v>
      </c>
      <c r="O1381" s="130" t="s">
        <v>16802</v>
      </c>
      <c r="P1381" s="153" t="s">
        <v>16803</v>
      </c>
      <c r="Q1381" s="14">
        <v>1532837.0</v>
      </c>
      <c r="R1381" s="95"/>
      <c r="S1381" s="154" t="s">
        <v>35665</v>
      </c>
      <c r="T1381" s="84"/>
      <c r="U1381" s="84"/>
      <c r="V1381" s="84"/>
      <c r="W1381" s="84"/>
      <c r="X1381" s="84"/>
      <c r="Y1381" s="84"/>
      <c r="Z1381" s="84"/>
      <c r="AA1381" s="84"/>
      <c r="AB1381" s="84"/>
      <c r="AC1381" s="84"/>
    </row>
    <row r="1382" ht="15.75" customHeight="1">
      <c r="A1382" s="14" t="s">
        <v>17</v>
      </c>
      <c r="B1382" s="14">
        <v>2005.0</v>
      </c>
      <c r="C1382" s="14" t="s">
        <v>16904</v>
      </c>
      <c r="D1382" s="14" t="s">
        <v>16905</v>
      </c>
      <c r="E1382" s="150" t="str">
        <f t="shared" si="14"/>
        <v>http://dx.doi.org/10.1109/VISUAL.2005.1532848</v>
      </c>
      <c r="F1382" s="14">
        <v>607.0</v>
      </c>
      <c r="G1382" s="14">
        <v>614.0</v>
      </c>
      <c r="H1382" s="151"/>
      <c r="I1382" s="14" t="s">
        <v>28</v>
      </c>
      <c r="J1382" s="14" t="s">
        <v>16910</v>
      </c>
      <c r="K1382" s="14" t="s">
        <v>35669</v>
      </c>
      <c r="L1382" s="152" t="s">
        <v>16912</v>
      </c>
      <c r="M1382" s="14" t="s">
        <v>35670</v>
      </c>
      <c r="N1382" s="54" t="s">
        <v>35669</v>
      </c>
      <c r="O1382" s="130" t="s">
        <v>16914</v>
      </c>
      <c r="P1382" s="153" t="s">
        <v>16915</v>
      </c>
      <c r="Q1382" s="14">
        <v>1532848.0</v>
      </c>
      <c r="R1382" s="95"/>
      <c r="S1382" s="154" t="s">
        <v>35671</v>
      </c>
      <c r="T1382" s="84"/>
      <c r="U1382" s="84"/>
      <c r="V1382" s="84"/>
      <c r="W1382" s="84"/>
      <c r="X1382" s="84"/>
      <c r="Y1382" s="84"/>
      <c r="Z1382" s="84"/>
      <c r="AA1382" s="84"/>
      <c r="AB1382" s="84"/>
      <c r="AC1382" s="84"/>
    </row>
    <row r="1383" ht="15.75" customHeight="1">
      <c r="A1383" s="14" t="s">
        <v>17</v>
      </c>
      <c r="B1383" s="14">
        <v>2005.0</v>
      </c>
      <c r="C1383" s="14" t="s">
        <v>16743</v>
      </c>
      <c r="D1383" s="14" t="s">
        <v>16744</v>
      </c>
      <c r="E1383" s="150" t="str">
        <f t="shared" si="14"/>
        <v>http://dx.doi.org/10.1109/VISUAL.2005.1532832</v>
      </c>
      <c r="F1383" s="14">
        <v>479.0</v>
      </c>
      <c r="G1383" s="14">
        <v>486.0</v>
      </c>
      <c r="H1383" s="151"/>
      <c r="I1383" s="14" t="s">
        <v>28</v>
      </c>
      <c r="J1383" s="14" t="s">
        <v>16749</v>
      </c>
      <c r="K1383" s="14" t="s">
        <v>35673</v>
      </c>
      <c r="L1383" s="152" t="s">
        <v>16751</v>
      </c>
      <c r="M1383" s="14" t="s">
        <v>35674</v>
      </c>
      <c r="N1383" s="54" t="s">
        <v>35673</v>
      </c>
      <c r="O1383" s="130" t="s">
        <v>5746</v>
      </c>
      <c r="P1383" s="153" t="s">
        <v>16752</v>
      </c>
      <c r="Q1383" s="14">
        <v>1532832.0</v>
      </c>
      <c r="R1383" s="95"/>
      <c r="S1383" s="154">
        <v>885690.0</v>
      </c>
      <c r="T1383" s="84"/>
      <c r="U1383" s="84"/>
      <c r="V1383" s="84"/>
      <c r="W1383" s="84"/>
      <c r="X1383" s="84"/>
      <c r="Y1383" s="84"/>
      <c r="Z1383" s="84"/>
      <c r="AA1383" s="84"/>
      <c r="AB1383" s="84"/>
      <c r="AC1383" s="84"/>
    </row>
    <row r="1384" ht="15.75" customHeight="1">
      <c r="A1384" s="14" t="s">
        <v>17</v>
      </c>
      <c r="B1384" s="14">
        <v>2005.0</v>
      </c>
      <c r="C1384" s="14" t="s">
        <v>16304</v>
      </c>
      <c r="D1384" s="14" t="s">
        <v>16305</v>
      </c>
      <c r="E1384" s="150" t="str">
        <f t="shared" si="14"/>
        <v>http://dx.doi.org/10.1109/VISUAL.2005.1532778</v>
      </c>
      <c r="F1384" s="14">
        <v>59.0</v>
      </c>
      <c r="G1384" s="14">
        <v>64.0</v>
      </c>
      <c r="H1384" s="151"/>
      <c r="I1384" s="14" t="s">
        <v>28</v>
      </c>
      <c r="J1384" s="14" t="s">
        <v>16307</v>
      </c>
      <c r="K1384" s="14" t="s">
        <v>35676</v>
      </c>
      <c r="L1384" s="152" t="s">
        <v>16322</v>
      </c>
      <c r="M1384" s="14" t="s">
        <v>35677</v>
      </c>
      <c r="N1384" s="54" t="s">
        <v>35676</v>
      </c>
      <c r="O1384" s="130" t="s">
        <v>16311</v>
      </c>
      <c r="P1384" s="153" t="s">
        <v>16312</v>
      </c>
      <c r="Q1384" s="14">
        <v>1532778.0</v>
      </c>
      <c r="R1384" s="95"/>
      <c r="S1384" s="154" t="s">
        <v>35678</v>
      </c>
      <c r="T1384" s="84"/>
      <c r="U1384" s="84"/>
      <c r="V1384" s="84"/>
      <c r="W1384" s="84"/>
      <c r="X1384" s="84"/>
      <c r="Y1384" s="84"/>
      <c r="Z1384" s="84"/>
      <c r="AA1384" s="84"/>
      <c r="AB1384" s="84"/>
      <c r="AC1384" s="84"/>
    </row>
    <row r="1385" ht="15.75" customHeight="1">
      <c r="A1385" s="14" t="s">
        <v>17</v>
      </c>
      <c r="B1385" s="14">
        <v>2005.0</v>
      </c>
      <c r="C1385" s="14" t="s">
        <v>16611</v>
      </c>
      <c r="D1385" s="14" t="s">
        <v>16612</v>
      </c>
      <c r="E1385" s="150" t="str">
        <f t="shared" si="14"/>
        <v>http://dx.doi.org/10.1109/VISUAL.2005.1532816</v>
      </c>
      <c r="F1385" s="14">
        <v>351.0</v>
      </c>
      <c r="G1385" s="14">
        <v>358.0</v>
      </c>
      <c r="H1385" s="151"/>
      <c r="I1385" s="14" t="s">
        <v>28</v>
      </c>
      <c r="J1385" s="14" t="s">
        <v>16614</v>
      </c>
      <c r="K1385" s="14" t="s">
        <v>35679</v>
      </c>
      <c r="L1385" s="152" t="s">
        <v>16616</v>
      </c>
      <c r="M1385" s="14" t="s">
        <v>35680</v>
      </c>
      <c r="N1385" s="54" t="s">
        <v>35681</v>
      </c>
      <c r="O1385" s="130" t="s">
        <v>16617</v>
      </c>
      <c r="P1385" s="153" t="s">
        <v>16618</v>
      </c>
      <c r="Q1385" s="14">
        <v>1532816.0</v>
      </c>
      <c r="R1385" s="95"/>
      <c r="S1385" s="154" t="s">
        <v>35683</v>
      </c>
      <c r="T1385" s="84"/>
      <c r="U1385" s="84"/>
      <c r="V1385" s="84"/>
      <c r="W1385" s="84"/>
      <c r="X1385" s="84"/>
      <c r="Y1385" s="84"/>
      <c r="Z1385" s="84"/>
      <c r="AA1385" s="84"/>
      <c r="AB1385" s="84"/>
      <c r="AC1385" s="84"/>
    </row>
    <row r="1386" ht="15.75" customHeight="1">
      <c r="A1386" s="14" t="s">
        <v>17</v>
      </c>
      <c r="B1386" s="14">
        <v>2005.0</v>
      </c>
      <c r="C1386" s="14" t="s">
        <v>16279</v>
      </c>
      <c r="D1386" s="14" t="s">
        <v>16280</v>
      </c>
      <c r="E1386" s="150" t="str">
        <f t="shared" si="14"/>
        <v>http://dx.doi.org/10.1109/VISUAL.2005.1532776</v>
      </c>
      <c r="F1386" s="14">
        <v>43.0</v>
      </c>
      <c r="G1386" s="14">
        <v>50.0</v>
      </c>
      <c r="H1386" s="151"/>
      <c r="I1386" s="14" t="s">
        <v>28</v>
      </c>
      <c r="J1386" s="14" t="s">
        <v>16294</v>
      </c>
      <c r="K1386" s="14" t="s">
        <v>35685</v>
      </c>
      <c r="L1386" s="152" t="s">
        <v>1253</v>
      </c>
      <c r="M1386" s="14" t="s">
        <v>35686</v>
      </c>
      <c r="N1386" s="54" t="s">
        <v>35685</v>
      </c>
      <c r="O1386" s="130" t="s">
        <v>16289</v>
      </c>
      <c r="P1386" s="153" t="s">
        <v>16290</v>
      </c>
      <c r="Q1386" s="14">
        <v>1532776.0</v>
      </c>
      <c r="R1386" s="95"/>
      <c r="S1386" s="154" t="s">
        <v>35687</v>
      </c>
      <c r="T1386" s="84"/>
      <c r="U1386" s="84"/>
      <c r="V1386" s="84"/>
      <c r="W1386" s="84"/>
      <c r="X1386" s="84"/>
      <c r="Y1386" s="84"/>
      <c r="Z1386" s="84"/>
      <c r="AA1386" s="84"/>
      <c r="AB1386" s="84"/>
      <c r="AC1386" s="84"/>
    </row>
    <row r="1387" ht="15.75" customHeight="1">
      <c r="A1387" s="14" t="s">
        <v>17</v>
      </c>
      <c r="B1387" s="14">
        <v>2005.0</v>
      </c>
      <c r="C1387" s="14" t="s">
        <v>16693</v>
      </c>
      <c r="D1387" s="14" t="s">
        <v>16694</v>
      </c>
      <c r="E1387" s="150" t="str">
        <f t="shared" si="14"/>
        <v>http://dx.doi.org/10.1109/VISUAL.2005.1532827</v>
      </c>
      <c r="F1387" s="14">
        <v>439.0</v>
      </c>
      <c r="G1387" s="14">
        <v>446.0</v>
      </c>
      <c r="H1387" s="151"/>
      <c r="I1387" s="14" t="s">
        <v>28</v>
      </c>
      <c r="J1387" s="14" t="s">
        <v>16696</v>
      </c>
      <c r="K1387" s="14" t="s">
        <v>35688</v>
      </c>
      <c r="L1387" s="152" t="s">
        <v>16698</v>
      </c>
      <c r="M1387" s="14" t="s">
        <v>35689</v>
      </c>
      <c r="N1387" s="54" t="s">
        <v>35688</v>
      </c>
      <c r="O1387" s="130" t="s">
        <v>16699</v>
      </c>
      <c r="P1387" s="153" t="s">
        <v>16700</v>
      </c>
      <c r="Q1387" s="14">
        <v>1532827.0</v>
      </c>
      <c r="R1387" s="95"/>
      <c r="S1387" s="154" t="s">
        <v>35690</v>
      </c>
      <c r="T1387" s="84"/>
      <c r="U1387" s="84"/>
      <c r="V1387" s="84"/>
      <c r="W1387" s="84"/>
      <c r="X1387" s="84"/>
      <c r="Y1387" s="84"/>
      <c r="Z1387" s="84"/>
      <c r="AA1387" s="84"/>
      <c r="AB1387" s="84"/>
      <c r="AC1387" s="84"/>
    </row>
    <row r="1388" ht="15.75" customHeight="1">
      <c r="A1388" s="14" t="s">
        <v>17</v>
      </c>
      <c r="B1388" s="14">
        <v>2005.0</v>
      </c>
      <c r="C1388" s="14" t="s">
        <v>16603</v>
      </c>
      <c r="D1388" s="14" t="s">
        <v>16604</v>
      </c>
      <c r="E1388" s="150" t="str">
        <f t="shared" si="14"/>
        <v>http://dx.doi.org/10.1109/VISUAL.2005.1532815</v>
      </c>
      <c r="F1388" s="14">
        <v>343.0</v>
      </c>
      <c r="G1388" s="14">
        <v>350.0</v>
      </c>
      <c r="H1388" s="151"/>
      <c r="I1388" s="14" t="s">
        <v>28</v>
      </c>
      <c r="J1388" s="14" t="s">
        <v>16606</v>
      </c>
      <c r="K1388" s="14" t="s">
        <v>35691</v>
      </c>
      <c r="L1388" s="152" t="s">
        <v>16608</v>
      </c>
      <c r="M1388" s="14" t="s">
        <v>35692</v>
      </c>
      <c r="N1388" s="54" t="s">
        <v>35691</v>
      </c>
      <c r="O1388" s="130" t="s">
        <v>16609</v>
      </c>
      <c r="P1388" s="153" t="s">
        <v>16610</v>
      </c>
      <c r="Q1388" s="14">
        <v>1532815.0</v>
      </c>
      <c r="R1388" s="95"/>
      <c r="S1388" s="154" t="s">
        <v>35693</v>
      </c>
      <c r="T1388" s="84"/>
      <c r="U1388" s="84"/>
      <c r="V1388" s="84"/>
      <c r="W1388" s="84"/>
      <c r="X1388" s="84"/>
      <c r="Y1388" s="84"/>
      <c r="Z1388" s="84"/>
      <c r="AA1388" s="84"/>
      <c r="AB1388" s="84"/>
      <c r="AC1388" s="84"/>
    </row>
    <row r="1389" ht="15.75" customHeight="1">
      <c r="A1389" s="14" t="s">
        <v>17</v>
      </c>
      <c r="B1389" s="14">
        <v>2005.0</v>
      </c>
      <c r="C1389" s="14" t="s">
        <v>16587</v>
      </c>
      <c r="D1389" s="14" t="s">
        <v>16588</v>
      </c>
      <c r="E1389" s="150" t="str">
        <f t="shared" si="14"/>
        <v>http://dx.doi.org/10.1109/VISUAL.2005.1532812</v>
      </c>
      <c r="F1389" s="14">
        <v>327.0</v>
      </c>
      <c r="G1389" s="14">
        <v>334.0</v>
      </c>
      <c r="H1389" s="151"/>
      <c r="I1389" s="14" t="s">
        <v>28</v>
      </c>
      <c r="J1389" s="14" t="s">
        <v>16590</v>
      </c>
      <c r="K1389" s="14" t="s">
        <v>35695</v>
      </c>
      <c r="L1389" s="152" t="s">
        <v>16592</v>
      </c>
      <c r="M1389" s="14" t="s">
        <v>35696</v>
      </c>
      <c r="N1389" s="54" t="s">
        <v>35695</v>
      </c>
      <c r="O1389" s="130" t="s">
        <v>16593</v>
      </c>
      <c r="P1389" s="153" t="s">
        <v>16594</v>
      </c>
      <c r="Q1389" s="14">
        <v>1532812.0</v>
      </c>
      <c r="R1389" s="95"/>
      <c r="S1389" s="154" t="s">
        <v>35697</v>
      </c>
      <c r="T1389" s="84"/>
      <c r="U1389" s="84"/>
      <c r="V1389" s="84"/>
      <c r="W1389" s="84"/>
      <c r="X1389" s="84"/>
      <c r="Y1389" s="84"/>
      <c r="Z1389" s="84"/>
      <c r="AA1389" s="84"/>
      <c r="AB1389" s="84"/>
      <c r="AC1389" s="84"/>
    </row>
    <row r="1390" ht="15.75" customHeight="1">
      <c r="A1390" s="14" t="s">
        <v>17</v>
      </c>
      <c r="B1390" s="14">
        <v>2005.0</v>
      </c>
      <c r="C1390" s="14" t="s">
        <v>16533</v>
      </c>
      <c r="D1390" s="14" t="s">
        <v>16534</v>
      </c>
      <c r="E1390" s="150" t="str">
        <f t="shared" si="14"/>
        <v>http://dx.doi.org/10.1109/VISUAL.2005.1532805</v>
      </c>
      <c r="F1390" s="14">
        <v>271.0</v>
      </c>
      <c r="G1390" s="14">
        <v>278.0</v>
      </c>
      <c r="H1390" s="151"/>
      <c r="I1390" s="14" t="s">
        <v>28</v>
      </c>
      <c r="J1390" s="14" t="s">
        <v>16536</v>
      </c>
      <c r="K1390" s="14" t="s">
        <v>35698</v>
      </c>
      <c r="L1390" s="152" t="s">
        <v>16538</v>
      </c>
      <c r="M1390" s="14" t="s">
        <v>35699</v>
      </c>
      <c r="N1390" s="54" t="s">
        <v>35698</v>
      </c>
      <c r="O1390" s="130" t="s">
        <v>16539</v>
      </c>
      <c r="P1390" s="153" t="s">
        <v>16540</v>
      </c>
      <c r="Q1390" s="14">
        <v>1532805.0</v>
      </c>
      <c r="R1390" s="95"/>
      <c r="S1390" s="154" t="s">
        <v>35700</v>
      </c>
      <c r="T1390" s="84"/>
      <c r="U1390" s="84"/>
      <c r="V1390" s="84"/>
      <c r="W1390" s="84"/>
      <c r="X1390" s="84"/>
      <c r="Y1390" s="84"/>
      <c r="Z1390" s="84"/>
      <c r="AA1390" s="84"/>
      <c r="AB1390" s="84"/>
      <c r="AC1390" s="84"/>
    </row>
    <row r="1391" ht="15.75" customHeight="1">
      <c r="A1391" s="14" t="s">
        <v>17</v>
      </c>
      <c r="B1391" s="14">
        <v>2005.0</v>
      </c>
      <c r="C1391" s="14" t="s">
        <v>16253</v>
      </c>
      <c r="D1391" s="14" t="s">
        <v>16254</v>
      </c>
      <c r="E1391" s="150" t="str">
        <f t="shared" si="14"/>
        <v>http://dx.doi.org/10.1109/VISUAL.2005.1532773</v>
      </c>
      <c r="F1391" s="14">
        <v>27.0</v>
      </c>
      <c r="G1391" s="14">
        <v>34.0</v>
      </c>
      <c r="H1391" s="151"/>
      <c r="I1391" s="14" t="s">
        <v>28</v>
      </c>
      <c r="J1391" s="14" t="s">
        <v>16282</v>
      </c>
      <c r="K1391" s="14" t="s">
        <v>35703</v>
      </c>
      <c r="L1391" s="152" t="s">
        <v>16264</v>
      </c>
      <c r="M1391" s="14" t="s">
        <v>35704</v>
      </c>
      <c r="N1391" s="54" t="s">
        <v>35703</v>
      </c>
      <c r="O1391" s="130" t="s">
        <v>16265</v>
      </c>
      <c r="P1391" s="153" t="s">
        <v>16266</v>
      </c>
      <c r="Q1391" s="14">
        <v>1532773.0</v>
      </c>
      <c r="R1391" s="95"/>
      <c r="S1391" s="154" t="s">
        <v>35705</v>
      </c>
      <c r="T1391" s="84"/>
      <c r="U1391" s="84"/>
      <c r="V1391" s="84"/>
      <c r="W1391" s="84"/>
      <c r="X1391" s="84"/>
      <c r="Y1391" s="84"/>
      <c r="Z1391" s="84"/>
      <c r="AA1391" s="84"/>
      <c r="AB1391" s="84"/>
      <c r="AC1391" s="84"/>
    </row>
    <row r="1392" ht="15.75" customHeight="1">
      <c r="A1392" s="14" t="s">
        <v>17</v>
      </c>
      <c r="B1392" s="14">
        <v>2005.0</v>
      </c>
      <c r="C1392" s="14" t="s">
        <v>16242</v>
      </c>
      <c r="D1392" s="14" t="s">
        <v>16243</v>
      </c>
      <c r="E1392" s="150" t="str">
        <f t="shared" si="14"/>
        <v>http://dx.doi.org/10.1109/VISUAL.2005.1532772</v>
      </c>
      <c r="F1392" s="14">
        <v>19.0</v>
      </c>
      <c r="G1392" s="14">
        <v>26.0</v>
      </c>
      <c r="H1392" s="151"/>
      <c r="I1392" s="14" t="s">
        <v>28</v>
      </c>
      <c r="J1392" s="14" t="s">
        <v>16272</v>
      </c>
      <c r="K1392" s="14" t="s">
        <v>35708</v>
      </c>
      <c r="L1392" s="152" t="s">
        <v>7158</v>
      </c>
      <c r="M1392" s="14" t="s">
        <v>35709</v>
      </c>
      <c r="N1392" s="54" t="s">
        <v>35708</v>
      </c>
      <c r="O1392" s="130" t="s">
        <v>16251</v>
      </c>
      <c r="P1392" s="153" t="s">
        <v>16252</v>
      </c>
      <c r="Q1392" s="14">
        <v>1532772.0</v>
      </c>
      <c r="R1392" s="95"/>
      <c r="S1392" s="154" t="s">
        <v>35710</v>
      </c>
      <c r="T1392" s="84"/>
      <c r="U1392" s="84"/>
      <c r="V1392" s="84"/>
      <c r="W1392" s="84"/>
      <c r="X1392" s="84"/>
      <c r="Y1392" s="84"/>
      <c r="Z1392" s="84"/>
      <c r="AA1392" s="84"/>
      <c r="AB1392" s="84"/>
      <c r="AC1392" s="84"/>
    </row>
    <row r="1393" ht="15.75" customHeight="1">
      <c r="A1393" s="14" t="s">
        <v>17</v>
      </c>
      <c r="B1393" s="14">
        <v>2005.0</v>
      </c>
      <c r="C1393" s="14" t="s">
        <v>17009</v>
      </c>
      <c r="D1393" s="14" t="s">
        <v>17010</v>
      </c>
      <c r="E1393" s="150" t="str">
        <f t="shared" si="14"/>
        <v>http://dx.doi.org/10.1109/VISUAL.2005.1532858</v>
      </c>
      <c r="F1393" s="14">
        <v>687.0</v>
      </c>
      <c r="G1393" s="14">
        <v>694.0</v>
      </c>
      <c r="H1393" s="151"/>
      <c r="I1393" s="14" t="s">
        <v>28</v>
      </c>
      <c r="J1393" s="14" t="s">
        <v>17017</v>
      </c>
      <c r="K1393" s="14" t="s">
        <v>35711</v>
      </c>
      <c r="L1393" s="152" t="s">
        <v>13516</v>
      </c>
      <c r="M1393" s="14" t="s">
        <v>35712</v>
      </c>
      <c r="N1393" s="54" t="s">
        <v>35713</v>
      </c>
      <c r="O1393" s="130" t="s">
        <v>17020</v>
      </c>
      <c r="P1393" s="153" t="s">
        <v>17021</v>
      </c>
      <c r="Q1393" s="14">
        <v>1532858.0</v>
      </c>
      <c r="R1393" s="95"/>
      <c r="S1393" s="154" t="s">
        <v>35714</v>
      </c>
      <c r="T1393" s="84"/>
      <c r="U1393" s="84"/>
      <c r="V1393" s="84"/>
      <c r="W1393" s="84"/>
      <c r="X1393" s="84"/>
      <c r="Y1393" s="84"/>
      <c r="Z1393" s="84"/>
      <c r="AA1393" s="84"/>
      <c r="AB1393" s="84"/>
      <c r="AC1393" s="84"/>
    </row>
    <row r="1394" ht="15.75" customHeight="1">
      <c r="A1394" s="14" t="s">
        <v>17</v>
      </c>
      <c r="B1394" s="14">
        <v>2005.0</v>
      </c>
      <c r="C1394" s="14" t="s">
        <v>17001</v>
      </c>
      <c r="D1394" s="14" t="s">
        <v>17002</v>
      </c>
      <c r="E1394" s="150" t="str">
        <f t="shared" si="14"/>
        <v>http://dx.doi.org/10.1109/VISUAL.2005.1532857</v>
      </c>
      <c r="F1394" s="14">
        <v>679.0</v>
      </c>
      <c r="G1394" s="14">
        <v>686.0</v>
      </c>
      <c r="H1394" s="151"/>
      <c r="I1394" s="14" t="s">
        <v>28</v>
      </c>
      <c r="J1394" s="14" t="s">
        <v>17005</v>
      </c>
      <c r="K1394" s="14" t="s">
        <v>35715</v>
      </c>
      <c r="L1394" s="152" t="s">
        <v>5680</v>
      </c>
      <c r="M1394" s="14" t="s">
        <v>35716</v>
      </c>
      <c r="N1394" s="54" t="s">
        <v>35715</v>
      </c>
      <c r="O1394" s="130" t="s">
        <v>17007</v>
      </c>
      <c r="P1394" s="153" t="s">
        <v>17008</v>
      </c>
      <c r="Q1394" s="14">
        <v>1532857.0</v>
      </c>
      <c r="R1394" s="95"/>
      <c r="S1394" s="154" t="s">
        <v>35717</v>
      </c>
      <c r="T1394" s="84"/>
      <c r="U1394" s="84"/>
      <c r="V1394" s="84"/>
      <c r="W1394" s="84"/>
      <c r="X1394" s="84"/>
      <c r="Y1394" s="84"/>
      <c r="Z1394" s="84"/>
      <c r="AA1394" s="84"/>
      <c r="AB1394" s="84"/>
      <c r="AC1394" s="84"/>
    </row>
    <row r="1395" ht="15.75" customHeight="1">
      <c r="A1395" s="14" t="s">
        <v>17</v>
      </c>
      <c r="B1395" s="14">
        <v>2005.0</v>
      </c>
      <c r="C1395" s="14" t="s">
        <v>16978</v>
      </c>
      <c r="D1395" s="14" t="s">
        <v>16979</v>
      </c>
      <c r="E1395" s="150" t="str">
        <f t="shared" si="14"/>
        <v>http://dx.doi.org/10.1109/VISUAL.2005.1532855</v>
      </c>
      <c r="F1395" s="14">
        <v>663.0</v>
      </c>
      <c r="G1395" s="14">
        <v>670.0</v>
      </c>
      <c r="H1395" s="151"/>
      <c r="I1395" s="14" t="s">
        <v>28</v>
      </c>
      <c r="J1395" s="14" t="s">
        <v>16984</v>
      </c>
      <c r="K1395" s="14" t="s">
        <v>35718</v>
      </c>
      <c r="L1395" s="152" t="s">
        <v>16986</v>
      </c>
      <c r="M1395" s="14" t="s">
        <v>35719</v>
      </c>
      <c r="N1395" s="54" t="s">
        <v>35718</v>
      </c>
      <c r="O1395" s="130" t="s">
        <v>16987</v>
      </c>
      <c r="P1395" s="153" t="s">
        <v>16988</v>
      </c>
      <c r="Q1395" s="14">
        <v>1532855.0</v>
      </c>
      <c r="R1395" s="95"/>
      <c r="S1395" s="154" t="s">
        <v>35720</v>
      </c>
      <c r="T1395" s="84"/>
      <c r="U1395" s="84"/>
      <c r="V1395" s="84"/>
      <c r="W1395" s="84"/>
      <c r="X1395" s="84"/>
      <c r="Y1395" s="84"/>
      <c r="Z1395" s="84"/>
      <c r="AA1395" s="84"/>
      <c r="AB1395" s="84"/>
      <c r="AC1395" s="84"/>
    </row>
    <row r="1396" ht="15.75" customHeight="1">
      <c r="A1396" s="14" t="s">
        <v>17</v>
      </c>
      <c r="B1396" s="14">
        <v>2005.0</v>
      </c>
      <c r="C1396" s="14" t="s">
        <v>16449</v>
      </c>
      <c r="D1396" s="14" t="s">
        <v>16450</v>
      </c>
      <c r="E1396" s="150" t="str">
        <f t="shared" si="14"/>
        <v>http://dx.doi.org/10.1109/VISUAL.2005.1532796</v>
      </c>
      <c r="F1396" s="14">
        <v>199.0</v>
      </c>
      <c r="G1396" s="14">
        <v>206.0</v>
      </c>
      <c r="H1396" s="151"/>
      <c r="I1396" s="14" t="s">
        <v>28</v>
      </c>
      <c r="J1396" s="14" t="s">
        <v>16473</v>
      </c>
      <c r="K1396" s="14" t="s">
        <v>35722</v>
      </c>
      <c r="L1396" s="152" t="s">
        <v>16475</v>
      </c>
      <c r="M1396" s="14" t="s">
        <v>35723</v>
      </c>
      <c r="N1396" s="54" t="s">
        <v>35722</v>
      </c>
      <c r="O1396" s="130" t="s">
        <v>16476</v>
      </c>
      <c r="P1396" s="153" t="s">
        <v>16477</v>
      </c>
      <c r="Q1396" s="14">
        <v>1532796.0</v>
      </c>
      <c r="R1396" s="95"/>
      <c r="S1396" s="154" t="s">
        <v>35724</v>
      </c>
      <c r="T1396" s="84"/>
      <c r="U1396" s="84"/>
      <c r="V1396" s="84"/>
      <c r="W1396" s="84"/>
      <c r="X1396" s="84"/>
      <c r="Y1396" s="84"/>
      <c r="Z1396" s="84"/>
      <c r="AA1396" s="84"/>
      <c r="AB1396" s="84"/>
      <c r="AC1396" s="84"/>
    </row>
    <row r="1397" ht="15.75" customHeight="1">
      <c r="A1397" s="14" t="s">
        <v>17</v>
      </c>
      <c r="B1397" s="14">
        <v>2005.0</v>
      </c>
      <c r="C1397" s="14" t="s">
        <v>16650</v>
      </c>
      <c r="D1397" s="14" t="s">
        <v>16651</v>
      </c>
      <c r="E1397" s="150" t="str">
        <f t="shared" si="14"/>
        <v>http://dx.doi.org/10.1109/VISUAL.2005.1532821</v>
      </c>
      <c r="F1397" s="14">
        <v>391.0</v>
      </c>
      <c r="G1397" s="14">
        <v>398.0</v>
      </c>
      <c r="H1397" s="151"/>
      <c r="I1397" s="14" t="s">
        <v>28</v>
      </c>
      <c r="J1397" s="14" t="s">
        <v>16653</v>
      </c>
      <c r="K1397" s="14" t="s">
        <v>35725</v>
      </c>
      <c r="L1397" s="152" t="s">
        <v>16655</v>
      </c>
      <c r="M1397" s="14" t="s">
        <v>35726</v>
      </c>
      <c r="N1397" s="54" t="s">
        <v>35725</v>
      </c>
      <c r="O1397" s="130" t="s">
        <v>16656</v>
      </c>
      <c r="P1397" s="153" t="s">
        <v>16657</v>
      </c>
      <c r="Q1397" s="14">
        <v>1532821.0</v>
      </c>
      <c r="R1397" s="95"/>
      <c r="S1397" s="154" t="s">
        <v>35727</v>
      </c>
      <c r="T1397" s="84"/>
      <c r="U1397" s="84"/>
      <c r="V1397" s="84"/>
      <c r="W1397" s="84"/>
      <c r="X1397" s="84"/>
      <c r="Y1397" s="84"/>
      <c r="Z1397" s="84"/>
      <c r="AA1397" s="84"/>
      <c r="AB1397" s="84"/>
      <c r="AC1397" s="84"/>
    </row>
    <row r="1398" ht="15.75" customHeight="1">
      <c r="A1398" s="14" t="s">
        <v>17</v>
      </c>
      <c r="B1398" s="14">
        <v>2005.0</v>
      </c>
      <c r="C1398" s="14" t="s">
        <v>16916</v>
      </c>
      <c r="D1398" s="14" t="s">
        <v>16917</v>
      </c>
      <c r="E1398" s="150" t="str">
        <f t="shared" si="14"/>
        <v>http://dx.doi.org/10.1109/VISUAL.2005.1532849</v>
      </c>
      <c r="F1398" s="14">
        <v>615.0</v>
      </c>
      <c r="G1398" s="14">
        <v>622.0</v>
      </c>
      <c r="H1398" s="151"/>
      <c r="I1398" s="14" t="s">
        <v>28</v>
      </c>
      <c r="J1398" s="14" t="s">
        <v>16922</v>
      </c>
      <c r="K1398" s="14" t="s">
        <v>16923</v>
      </c>
      <c r="L1398" s="152" t="s">
        <v>16924</v>
      </c>
      <c r="M1398" s="14" t="s">
        <v>35728</v>
      </c>
      <c r="N1398" s="54" t="s">
        <v>16923</v>
      </c>
      <c r="O1398" s="130" t="s">
        <v>16925</v>
      </c>
      <c r="P1398" s="153" t="s">
        <v>16926</v>
      </c>
      <c r="Q1398" s="14">
        <v>1532849.0</v>
      </c>
      <c r="R1398" s="95"/>
      <c r="S1398" s="154" t="s">
        <v>35729</v>
      </c>
      <c r="T1398" s="84"/>
      <c r="U1398" s="84"/>
      <c r="V1398" s="84"/>
      <c r="W1398" s="84"/>
      <c r="X1398" s="84"/>
      <c r="Y1398" s="84"/>
      <c r="Z1398" s="84"/>
      <c r="AA1398" s="84"/>
      <c r="AB1398" s="84"/>
      <c r="AC1398" s="84"/>
    </row>
    <row r="1399" ht="15.75" customHeight="1">
      <c r="A1399" s="14" t="s">
        <v>17</v>
      </c>
      <c r="B1399" s="14">
        <v>2005.0</v>
      </c>
      <c r="C1399" s="14" t="s">
        <v>16679</v>
      </c>
      <c r="D1399" s="14" t="s">
        <v>16680</v>
      </c>
      <c r="E1399" s="150" t="str">
        <f t="shared" si="14"/>
        <v>http://dx.doi.org/10.1109/VISUAL.2005.1532825</v>
      </c>
      <c r="F1399" s="14">
        <v>423.0</v>
      </c>
      <c r="G1399" s="14">
        <v>429.0</v>
      </c>
      <c r="H1399" s="151"/>
      <c r="I1399" s="14" t="s">
        <v>28</v>
      </c>
      <c r="J1399" s="14" t="s">
        <v>16682</v>
      </c>
      <c r="K1399" s="14" t="s">
        <v>35730</v>
      </c>
      <c r="L1399" s="152" t="s">
        <v>12404</v>
      </c>
      <c r="M1399" s="14" t="s">
        <v>35731</v>
      </c>
      <c r="N1399" s="54" t="s">
        <v>35730</v>
      </c>
      <c r="O1399" s="130" t="s">
        <v>16684</v>
      </c>
      <c r="P1399" s="153" t="s">
        <v>16685</v>
      </c>
      <c r="Q1399" s="14">
        <v>1532825.0</v>
      </c>
      <c r="R1399" s="95"/>
      <c r="S1399" s="154" t="s">
        <v>35732</v>
      </c>
      <c r="T1399" s="84"/>
      <c r="U1399" s="84"/>
      <c r="V1399" s="84"/>
      <c r="W1399" s="84"/>
      <c r="X1399" s="84"/>
      <c r="Y1399" s="84"/>
      <c r="Z1399" s="84"/>
      <c r="AA1399" s="84"/>
      <c r="AB1399" s="84"/>
      <c r="AC1399" s="84"/>
    </row>
    <row r="1400" ht="15.75" customHeight="1">
      <c r="A1400" s="14" t="s">
        <v>17</v>
      </c>
      <c r="B1400" s="14">
        <v>2005.0</v>
      </c>
      <c r="C1400" s="14" t="s">
        <v>16527</v>
      </c>
      <c r="D1400" s="14" t="s">
        <v>16528</v>
      </c>
      <c r="E1400" s="150" t="str">
        <f t="shared" si="14"/>
        <v>http://dx.doi.org/10.1109/VISUAL.2005.1532804</v>
      </c>
      <c r="F1400" s="14">
        <v>263.0</v>
      </c>
      <c r="G1400" s="14">
        <v>270.0</v>
      </c>
      <c r="H1400" s="151"/>
      <c r="I1400" s="14" t="s">
        <v>28</v>
      </c>
      <c r="J1400" s="14" t="s">
        <v>16530</v>
      </c>
      <c r="K1400" s="14" t="s">
        <v>35733</v>
      </c>
      <c r="L1400" s="152" t="s">
        <v>855</v>
      </c>
      <c r="M1400" s="14" t="s">
        <v>35734</v>
      </c>
      <c r="N1400" s="54" t="s">
        <v>35733</v>
      </c>
      <c r="O1400" s="130" t="s">
        <v>2387</v>
      </c>
      <c r="P1400" s="153" t="s">
        <v>16532</v>
      </c>
      <c r="Q1400" s="14">
        <v>1532804.0</v>
      </c>
      <c r="R1400" s="95"/>
      <c r="S1400" s="154">
        <v>480804.0</v>
      </c>
      <c r="T1400" s="84"/>
      <c r="U1400" s="84"/>
      <c r="V1400" s="84"/>
      <c r="W1400" s="84"/>
      <c r="X1400" s="84"/>
      <c r="Y1400" s="84"/>
      <c r="Z1400" s="84"/>
      <c r="AA1400" s="84"/>
      <c r="AB1400" s="84"/>
      <c r="AC1400" s="84"/>
    </row>
    <row r="1401" ht="15.75" customHeight="1">
      <c r="A1401" s="14" t="s">
        <v>17</v>
      </c>
      <c r="B1401" s="14">
        <v>2005.0</v>
      </c>
      <c r="C1401" s="14" t="s">
        <v>16335</v>
      </c>
      <c r="D1401" s="14" t="s">
        <v>16336</v>
      </c>
      <c r="E1401" s="150" t="str">
        <f t="shared" si="14"/>
        <v>http://dx.doi.org/10.1109/VISUAL.2005.1532782</v>
      </c>
      <c r="F1401" s="14">
        <v>87.0</v>
      </c>
      <c r="G1401" s="14">
        <v>94.0</v>
      </c>
      <c r="H1401" s="151"/>
      <c r="I1401" s="14" t="s">
        <v>28</v>
      </c>
      <c r="J1401" s="14" t="s">
        <v>16339</v>
      </c>
      <c r="K1401" s="14" t="s">
        <v>35736</v>
      </c>
      <c r="L1401" s="152" t="s">
        <v>16387</v>
      </c>
      <c r="M1401" s="14" t="s">
        <v>35737</v>
      </c>
      <c r="N1401" s="54" t="s">
        <v>35736</v>
      </c>
      <c r="O1401" s="130" t="s">
        <v>35738</v>
      </c>
      <c r="P1401" s="153" t="s">
        <v>16344</v>
      </c>
      <c r="Q1401" s="14">
        <v>1532782.0</v>
      </c>
      <c r="R1401" s="95"/>
      <c r="S1401" s="154" t="s">
        <v>35739</v>
      </c>
      <c r="T1401" s="84"/>
      <c r="U1401" s="84"/>
      <c r="V1401" s="84"/>
      <c r="W1401" s="84"/>
      <c r="X1401" s="84"/>
      <c r="Y1401" s="84"/>
      <c r="Z1401" s="84"/>
      <c r="AA1401" s="84"/>
      <c r="AB1401" s="84"/>
      <c r="AC1401" s="84"/>
    </row>
    <row r="1402" ht="15.75" customHeight="1">
      <c r="A1402" s="14" t="s">
        <v>17</v>
      </c>
      <c r="B1402" s="14">
        <v>2005.0</v>
      </c>
      <c r="C1402" s="14" t="s">
        <v>16369</v>
      </c>
      <c r="D1402" s="14" t="s">
        <v>16370</v>
      </c>
      <c r="E1402" s="150" t="str">
        <f t="shared" si="14"/>
        <v>http://dx.doi.org/10.1109/VISUAL.2005.1532786</v>
      </c>
      <c r="F1402" s="14">
        <v>119.0</v>
      </c>
      <c r="G1402" s="14">
        <v>126.0</v>
      </c>
      <c r="H1402" s="151"/>
      <c r="I1402" s="14" t="s">
        <v>28</v>
      </c>
      <c r="J1402" s="14" t="s">
        <v>16372</v>
      </c>
      <c r="K1402" s="14" t="s">
        <v>35740</v>
      </c>
      <c r="L1402" s="152" t="s">
        <v>494</v>
      </c>
      <c r="M1402" s="14" t="s">
        <v>35741</v>
      </c>
      <c r="N1402" s="54" t="s">
        <v>35740</v>
      </c>
      <c r="O1402" s="130" t="s">
        <v>5110</v>
      </c>
      <c r="P1402" s="153" t="s">
        <v>16376</v>
      </c>
      <c r="Q1402" s="14">
        <v>1532786.0</v>
      </c>
      <c r="R1402" s="95"/>
      <c r="S1402" s="154">
        <v>809890.0</v>
      </c>
      <c r="T1402" s="84"/>
      <c r="U1402" s="84"/>
      <c r="V1402" s="84"/>
      <c r="W1402" s="84"/>
      <c r="X1402" s="84"/>
      <c r="Y1402" s="84"/>
      <c r="Z1402" s="84"/>
      <c r="AA1402" s="84"/>
      <c r="AB1402" s="84"/>
      <c r="AC1402" s="84"/>
    </row>
    <row r="1403" ht="15.75" customHeight="1">
      <c r="A1403" s="14" t="s">
        <v>17</v>
      </c>
      <c r="B1403" s="14">
        <v>2005.0</v>
      </c>
      <c r="C1403" s="14" t="s">
        <v>16643</v>
      </c>
      <c r="D1403" s="14" t="s">
        <v>16644</v>
      </c>
      <c r="E1403" s="150" t="str">
        <f t="shared" si="14"/>
        <v>http://dx.doi.org/10.1109/VISUAL.2005.1532820</v>
      </c>
      <c r="F1403" s="14">
        <v>383.0</v>
      </c>
      <c r="G1403" s="14">
        <v>390.0</v>
      </c>
      <c r="H1403" s="151"/>
      <c r="I1403" s="14" t="s">
        <v>28</v>
      </c>
      <c r="J1403" s="14" t="s">
        <v>16646</v>
      </c>
      <c r="K1403" s="14" t="s">
        <v>35743</v>
      </c>
      <c r="L1403" s="152" t="s">
        <v>5673</v>
      </c>
      <c r="M1403" s="14" t="s">
        <v>35744</v>
      </c>
      <c r="N1403" s="54" t="s">
        <v>35743</v>
      </c>
      <c r="O1403" s="130" t="s">
        <v>16648</v>
      </c>
      <c r="P1403" s="153" t="s">
        <v>16649</v>
      </c>
      <c r="Q1403" s="14">
        <v>1532820.0</v>
      </c>
      <c r="R1403" s="95"/>
      <c r="S1403" s="154" t="s">
        <v>35745</v>
      </c>
      <c r="T1403" s="84"/>
      <c r="U1403" s="84"/>
      <c r="V1403" s="84"/>
      <c r="W1403" s="84"/>
      <c r="X1403" s="84"/>
      <c r="Y1403" s="84"/>
      <c r="Z1403" s="84"/>
      <c r="AA1403" s="84"/>
      <c r="AB1403" s="84"/>
      <c r="AC1403" s="84"/>
    </row>
    <row r="1404" ht="15.75" customHeight="1">
      <c r="A1404" s="14" t="s">
        <v>17</v>
      </c>
      <c r="B1404" s="14">
        <v>2005.0</v>
      </c>
      <c r="C1404" s="14" t="s">
        <v>16723</v>
      </c>
      <c r="D1404" s="14" t="s">
        <v>16724</v>
      </c>
      <c r="E1404" s="150" t="str">
        <f t="shared" si="14"/>
        <v>http://dx.doi.org/10.1109/VISUAL.2005.1532830</v>
      </c>
      <c r="F1404" s="14">
        <v>463.0</v>
      </c>
      <c r="G1404" s="14">
        <v>470.0</v>
      </c>
      <c r="H1404" s="151"/>
      <c r="I1404" s="14" t="s">
        <v>28</v>
      </c>
      <c r="J1404" s="14" t="s">
        <v>35746</v>
      </c>
      <c r="K1404" s="14" t="s">
        <v>35747</v>
      </c>
      <c r="L1404" s="152" t="s">
        <v>16730</v>
      </c>
      <c r="M1404" s="14" t="s">
        <v>35748</v>
      </c>
      <c r="N1404" s="54" t="s">
        <v>35747</v>
      </c>
      <c r="O1404" s="130" t="s">
        <v>16731</v>
      </c>
      <c r="P1404" s="153" t="s">
        <v>16732</v>
      </c>
      <c r="Q1404" s="14">
        <v>1532830.0</v>
      </c>
      <c r="R1404" s="95"/>
      <c r="S1404" s="154" t="s">
        <v>35749</v>
      </c>
      <c r="T1404" s="84"/>
      <c r="U1404" s="84"/>
      <c r="V1404" s="84"/>
      <c r="W1404" s="84"/>
      <c r="X1404" s="84"/>
      <c r="Y1404" s="84"/>
      <c r="Z1404" s="84"/>
      <c r="AA1404" s="84"/>
      <c r="AB1404" s="84"/>
      <c r="AC1404" s="84"/>
    </row>
    <row r="1405" ht="15.75" customHeight="1">
      <c r="A1405" s="14" t="s">
        <v>17</v>
      </c>
      <c r="B1405" s="14">
        <v>2005.0</v>
      </c>
      <c r="C1405" s="14" t="s">
        <v>16948</v>
      </c>
      <c r="D1405" s="14" t="s">
        <v>16949</v>
      </c>
      <c r="E1405" s="150" t="str">
        <f t="shared" si="14"/>
        <v>http://dx.doi.org/10.1109/VISUAL.2005.1532852</v>
      </c>
      <c r="F1405" s="14">
        <v>639.0</v>
      </c>
      <c r="G1405" s="14">
        <v>646.0</v>
      </c>
      <c r="H1405" s="151"/>
      <c r="I1405" s="14" t="s">
        <v>28</v>
      </c>
      <c r="J1405" s="14" t="s">
        <v>16954</v>
      </c>
      <c r="K1405" s="14" t="s">
        <v>35751</v>
      </c>
      <c r="L1405" s="152" t="s">
        <v>16956</v>
      </c>
      <c r="M1405" s="14" t="s">
        <v>35752</v>
      </c>
      <c r="N1405" s="54" t="s">
        <v>35751</v>
      </c>
      <c r="O1405" s="130" t="s">
        <v>16957</v>
      </c>
      <c r="P1405" s="153" t="s">
        <v>16958</v>
      </c>
      <c r="Q1405" s="14">
        <v>1532852.0</v>
      </c>
      <c r="R1405" s="95"/>
      <c r="S1405" s="154" t="s">
        <v>35753</v>
      </c>
      <c r="T1405" s="84"/>
      <c r="U1405" s="84"/>
      <c r="V1405" s="84"/>
      <c r="W1405" s="84"/>
      <c r="X1405" s="84"/>
      <c r="Y1405" s="84"/>
      <c r="Z1405" s="84"/>
      <c r="AA1405" s="84"/>
      <c r="AB1405" s="84"/>
      <c r="AC1405" s="84"/>
    </row>
    <row r="1406" ht="15.75" customHeight="1">
      <c r="A1406" s="14" t="s">
        <v>17</v>
      </c>
      <c r="B1406" s="14">
        <v>2005.0</v>
      </c>
      <c r="C1406" s="14" t="s">
        <v>16399</v>
      </c>
      <c r="D1406" s="14" t="s">
        <v>16400</v>
      </c>
      <c r="E1406" s="150" t="str">
        <f t="shared" si="14"/>
        <v>http://dx.doi.org/10.1109/VISUAL.2005.1532790</v>
      </c>
      <c r="F1406" s="14">
        <v>151.0</v>
      </c>
      <c r="G1406" s="14">
        <v>158.0</v>
      </c>
      <c r="H1406" s="151"/>
      <c r="I1406" s="14" t="s">
        <v>28</v>
      </c>
      <c r="J1406" s="14" t="s">
        <v>16401</v>
      </c>
      <c r="K1406" s="14" t="s">
        <v>35754</v>
      </c>
      <c r="L1406" s="152" t="s">
        <v>16459</v>
      </c>
      <c r="M1406" s="14" t="s">
        <v>35755</v>
      </c>
      <c r="N1406" s="54" t="s">
        <v>35754</v>
      </c>
      <c r="O1406" s="130"/>
      <c r="P1406" s="153" t="s">
        <v>16406</v>
      </c>
      <c r="Q1406" s="14">
        <v>1532790.0</v>
      </c>
      <c r="R1406" s="95"/>
      <c r="S1406" s="154"/>
      <c r="T1406" s="84"/>
      <c r="U1406" s="84"/>
      <c r="V1406" s="84"/>
      <c r="W1406" s="84"/>
      <c r="X1406" s="84"/>
      <c r="Y1406" s="84"/>
      <c r="Z1406" s="84"/>
      <c r="AA1406" s="84"/>
      <c r="AB1406" s="84"/>
      <c r="AC1406" s="84"/>
    </row>
    <row r="1407" ht="15.75" customHeight="1">
      <c r="A1407" s="14" t="s">
        <v>17</v>
      </c>
      <c r="B1407" s="14">
        <v>2005.0</v>
      </c>
      <c r="C1407" s="14" t="s">
        <v>16572</v>
      </c>
      <c r="D1407" s="14" t="s">
        <v>16573</v>
      </c>
      <c r="E1407" s="150" t="str">
        <f t="shared" si="14"/>
        <v>http://dx.doi.org/10.1109/VISUAL.2005.1532810</v>
      </c>
      <c r="F1407" s="14">
        <v>311.0</v>
      </c>
      <c r="G1407" s="14">
        <v>318.0</v>
      </c>
      <c r="H1407" s="151"/>
      <c r="I1407" s="14" t="s">
        <v>28</v>
      </c>
      <c r="J1407" s="14" t="s">
        <v>16575</v>
      </c>
      <c r="K1407" s="14" t="s">
        <v>7087</v>
      </c>
      <c r="L1407" s="152" t="s">
        <v>16577</v>
      </c>
      <c r="M1407" s="14">
        <v>3.72843172E10</v>
      </c>
      <c r="N1407" s="54" t="s">
        <v>7087</v>
      </c>
      <c r="O1407" s="130" t="s">
        <v>16578</v>
      </c>
      <c r="P1407" s="153" t="s">
        <v>16579</v>
      </c>
      <c r="Q1407" s="14">
        <v>1532810.0</v>
      </c>
      <c r="R1407" s="95"/>
      <c r="S1407" s="154" t="s">
        <v>35757</v>
      </c>
      <c r="T1407" s="84"/>
      <c r="U1407" s="84"/>
      <c r="V1407" s="84"/>
      <c r="W1407" s="84"/>
      <c r="X1407" s="84"/>
      <c r="Y1407" s="84"/>
      <c r="Z1407" s="84"/>
      <c r="AA1407" s="84"/>
      <c r="AB1407" s="84"/>
      <c r="AC1407" s="84"/>
    </row>
    <row r="1408" ht="15.75" customHeight="1">
      <c r="A1408" s="14" t="s">
        <v>17</v>
      </c>
      <c r="B1408" s="14">
        <v>2005.0</v>
      </c>
      <c r="C1408" s="14" t="s">
        <v>16895</v>
      </c>
      <c r="D1408" s="14" t="s">
        <v>16896</v>
      </c>
      <c r="E1408" s="150" t="str">
        <f t="shared" si="14"/>
        <v>http://dx.doi.org/10.1109/VISUAL.2005.1532847</v>
      </c>
      <c r="F1408" s="14">
        <v>599.0</v>
      </c>
      <c r="G1408" s="14">
        <v>606.0</v>
      </c>
      <c r="H1408" s="151"/>
      <c r="I1408" s="14" t="s">
        <v>28</v>
      </c>
      <c r="J1408" s="14" t="s">
        <v>16900</v>
      </c>
      <c r="K1408" s="14" t="s">
        <v>35758</v>
      </c>
      <c r="L1408" s="152" t="s">
        <v>16902</v>
      </c>
      <c r="M1408" s="14" t="s">
        <v>35759</v>
      </c>
      <c r="N1408" s="54" t="s">
        <v>35760</v>
      </c>
      <c r="O1408" s="130" t="s">
        <v>16903</v>
      </c>
      <c r="P1408" s="153" t="s">
        <v>15093</v>
      </c>
      <c r="Q1408" s="14">
        <v>1532847.0</v>
      </c>
      <c r="R1408" s="95"/>
      <c r="S1408" s="154" t="s">
        <v>35761</v>
      </c>
      <c r="T1408" s="84"/>
      <c r="U1408" s="84"/>
      <c r="V1408" s="84"/>
      <c r="W1408" s="84"/>
      <c r="X1408" s="84"/>
      <c r="Y1408" s="84"/>
      <c r="Z1408" s="84"/>
      <c r="AA1408" s="84"/>
      <c r="AB1408" s="84"/>
      <c r="AC1408" s="84"/>
    </row>
    <row r="1409" ht="15.75" customHeight="1">
      <c r="A1409" s="14" t="s">
        <v>17</v>
      </c>
      <c r="B1409" s="14">
        <v>2005.0</v>
      </c>
      <c r="C1409" s="14" t="s">
        <v>16658</v>
      </c>
      <c r="D1409" s="14" t="s">
        <v>16659</v>
      </c>
      <c r="E1409" s="150" t="str">
        <f t="shared" si="14"/>
        <v>http://dx.doi.org/10.1109/VISUAL.2005.1532822</v>
      </c>
      <c r="F1409" s="14">
        <v>399.0</v>
      </c>
      <c r="G1409" s="14">
        <v>405.0</v>
      </c>
      <c r="H1409" s="151"/>
      <c r="I1409" s="14" t="s">
        <v>28</v>
      </c>
      <c r="J1409" s="14" t="s">
        <v>35762</v>
      </c>
      <c r="K1409" s="14" t="s">
        <v>35763</v>
      </c>
      <c r="L1409" s="152" t="s">
        <v>14989</v>
      </c>
      <c r="M1409" s="14" t="s">
        <v>35764</v>
      </c>
      <c r="N1409" s="54" t="s">
        <v>35763</v>
      </c>
      <c r="O1409" s="130" t="s">
        <v>14986</v>
      </c>
      <c r="P1409" s="153" t="s">
        <v>16662</v>
      </c>
      <c r="Q1409" s="14">
        <v>1532822.0</v>
      </c>
      <c r="R1409" s="95"/>
      <c r="S1409" s="154">
        <v>1372233.0</v>
      </c>
      <c r="T1409" s="84"/>
      <c r="U1409" s="84"/>
      <c r="V1409" s="84"/>
      <c r="W1409" s="84"/>
      <c r="X1409" s="84"/>
      <c r="Y1409" s="84"/>
      <c r="Z1409" s="84"/>
      <c r="AA1409" s="84"/>
      <c r="AB1409" s="84"/>
      <c r="AC1409" s="84"/>
    </row>
    <row r="1410" ht="15.75" customHeight="1">
      <c r="A1410" s="14" t="s">
        <v>17</v>
      </c>
      <c r="B1410" s="14">
        <v>2005.0</v>
      </c>
      <c r="C1410" s="14" t="s">
        <v>16415</v>
      </c>
      <c r="D1410" s="14" t="s">
        <v>16416</v>
      </c>
      <c r="E1410" s="150" t="str">
        <f t="shared" si="14"/>
        <v>http://dx.doi.org/10.1109/VISUAL.2005.1532792</v>
      </c>
      <c r="F1410" s="14">
        <v>167.0</v>
      </c>
      <c r="G1410" s="14">
        <v>174.0</v>
      </c>
      <c r="H1410" s="151"/>
      <c r="I1410" s="14" t="s">
        <v>28</v>
      </c>
      <c r="J1410" s="14" t="s">
        <v>35766</v>
      </c>
      <c r="K1410" s="14" t="s">
        <v>35767</v>
      </c>
      <c r="L1410" s="152" t="s">
        <v>16464</v>
      </c>
      <c r="M1410" s="14" t="s">
        <v>35768</v>
      </c>
      <c r="N1410" s="54" t="s">
        <v>35767</v>
      </c>
      <c r="O1410" s="130" t="s">
        <v>16422</v>
      </c>
      <c r="P1410" s="153" t="s">
        <v>16424</v>
      </c>
      <c r="Q1410" s="14">
        <v>1532792.0</v>
      </c>
      <c r="R1410" s="95"/>
      <c r="S1410" s="154" t="s">
        <v>35769</v>
      </c>
      <c r="T1410" s="84"/>
      <c r="U1410" s="84"/>
      <c r="V1410" s="84"/>
      <c r="W1410" s="84"/>
      <c r="X1410" s="84"/>
      <c r="Y1410" s="84"/>
      <c r="Z1410" s="84"/>
      <c r="AA1410" s="84"/>
      <c r="AB1410" s="84"/>
      <c r="AC1410" s="84"/>
    </row>
    <row r="1411" ht="15.75" customHeight="1">
      <c r="A1411" s="14" t="s">
        <v>17</v>
      </c>
      <c r="B1411" s="14">
        <v>2005.0</v>
      </c>
      <c r="C1411" s="14" t="s">
        <v>16671</v>
      </c>
      <c r="D1411" s="14" t="s">
        <v>16672</v>
      </c>
      <c r="E1411" s="150" t="str">
        <f t="shared" si="14"/>
        <v>http://dx.doi.org/10.1109/VISUAL.2005.1532824</v>
      </c>
      <c r="F1411" s="14">
        <v>415.0</v>
      </c>
      <c r="G1411" s="14">
        <v>422.0</v>
      </c>
      <c r="H1411" s="151"/>
      <c r="I1411" s="14" t="s">
        <v>28</v>
      </c>
      <c r="J1411" s="14" t="s">
        <v>16674</v>
      </c>
      <c r="K1411" s="14" t="s">
        <v>35770</v>
      </c>
      <c r="L1411" s="152" t="s">
        <v>16676</v>
      </c>
      <c r="M1411" s="14" t="s">
        <v>35771</v>
      </c>
      <c r="N1411" s="54" t="s">
        <v>35772</v>
      </c>
      <c r="O1411" s="130" t="s">
        <v>16677</v>
      </c>
      <c r="P1411" s="153" t="s">
        <v>16678</v>
      </c>
      <c r="Q1411" s="14">
        <v>1532824.0</v>
      </c>
      <c r="R1411" s="95"/>
      <c r="S1411" s="154" t="s">
        <v>35773</v>
      </c>
      <c r="T1411" s="84"/>
      <c r="U1411" s="84"/>
      <c r="V1411" s="84"/>
      <c r="W1411" s="84"/>
      <c r="X1411" s="84"/>
      <c r="Y1411" s="84"/>
      <c r="Z1411" s="84"/>
      <c r="AA1411" s="84"/>
      <c r="AB1411" s="84"/>
      <c r="AC1411" s="84"/>
    </row>
    <row r="1412" ht="15.75" customHeight="1">
      <c r="A1412" s="14" t="s">
        <v>17</v>
      </c>
      <c r="B1412" s="14">
        <v>2005.0</v>
      </c>
      <c r="C1412" s="14" t="s">
        <v>16520</v>
      </c>
      <c r="D1412" s="14" t="s">
        <v>16521</v>
      </c>
      <c r="E1412" s="150" t="str">
        <f t="shared" si="14"/>
        <v>http://dx.doi.org/10.1109/VISUAL.2005.1532803</v>
      </c>
      <c r="F1412" s="14">
        <v>255.0</v>
      </c>
      <c r="G1412" s="14">
        <v>262.0</v>
      </c>
      <c r="H1412" s="151"/>
      <c r="I1412" s="14" t="s">
        <v>28</v>
      </c>
      <c r="J1412" s="14" t="s">
        <v>16523</v>
      </c>
      <c r="K1412" s="14" t="s">
        <v>35775</v>
      </c>
      <c r="L1412" s="152" t="s">
        <v>5349</v>
      </c>
      <c r="M1412" s="14" t="s">
        <v>35776</v>
      </c>
      <c r="N1412" s="54" t="s">
        <v>35777</v>
      </c>
      <c r="O1412" s="130" t="s">
        <v>16525</v>
      </c>
      <c r="P1412" s="153" t="s">
        <v>16526</v>
      </c>
      <c r="Q1412" s="14">
        <v>1532803.0</v>
      </c>
      <c r="R1412" s="95"/>
      <c r="S1412" s="154" t="s">
        <v>35778</v>
      </c>
      <c r="T1412" s="84"/>
      <c r="U1412" s="84"/>
      <c r="V1412" s="84"/>
      <c r="W1412" s="84"/>
      <c r="X1412" s="84"/>
      <c r="Y1412" s="84"/>
      <c r="Z1412" s="84"/>
      <c r="AA1412" s="84"/>
      <c r="AB1412" s="84"/>
      <c r="AC1412" s="84"/>
    </row>
    <row r="1413" ht="15.75" customHeight="1">
      <c r="A1413" s="14" t="s">
        <v>17</v>
      </c>
      <c r="B1413" s="14">
        <v>2005.0</v>
      </c>
      <c r="C1413" s="14" t="s">
        <v>16564</v>
      </c>
      <c r="D1413" s="14" t="s">
        <v>16565</v>
      </c>
      <c r="E1413" s="150" t="str">
        <f t="shared" si="14"/>
        <v>http://dx.doi.org/10.1109/VISUAL.2005.1532809</v>
      </c>
      <c r="F1413" s="14">
        <v>303.0</v>
      </c>
      <c r="G1413" s="14">
        <v>310.0</v>
      </c>
      <c r="H1413" s="151"/>
      <c r="I1413" s="14" t="s">
        <v>28</v>
      </c>
      <c r="J1413" s="14" t="s">
        <v>16567</v>
      </c>
      <c r="K1413" s="14" t="s">
        <v>35780</v>
      </c>
      <c r="L1413" s="152" t="s">
        <v>16569</v>
      </c>
      <c r="M1413" s="14" t="s">
        <v>35781</v>
      </c>
      <c r="N1413" s="54" t="s">
        <v>35780</v>
      </c>
      <c r="O1413" s="130" t="s">
        <v>16570</v>
      </c>
      <c r="P1413" s="153" t="s">
        <v>16571</v>
      </c>
      <c r="Q1413" s="14">
        <v>1532809.0</v>
      </c>
      <c r="R1413" s="95"/>
      <c r="S1413" s="154" t="s">
        <v>35782</v>
      </c>
      <c r="T1413" s="84"/>
      <c r="U1413" s="84"/>
      <c r="V1413" s="84"/>
      <c r="W1413" s="84"/>
      <c r="X1413" s="84"/>
      <c r="Y1413" s="84"/>
      <c r="Z1413" s="84"/>
      <c r="AA1413" s="84"/>
      <c r="AB1413" s="84"/>
      <c r="AC1413" s="84"/>
    </row>
    <row r="1414" ht="15.75" customHeight="1">
      <c r="A1414" s="14" t="s">
        <v>17</v>
      </c>
      <c r="B1414" s="14">
        <v>2005.0</v>
      </c>
      <c r="C1414" s="14" t="s">
        <v>16557</v>
      </c>
      <c r="D1414" s="14" t="s">
        <v>16558</v>
      </c>
      <c r="E1414" s="150" t="str">
        <f t="shared" si="14"/>
        <v>http://dx.doi.org/10.1109/VISUAL.2005.1532808</v>
      </c>
      <c r="F1414" s="14">
        <v>295.0</v>
      </c>
      <c r="G1414" s="14">
        <v>302.0</v>
      </c>
      <c r="H1414" s="151"/>
      <c r="I1414" s="14" t="s">
        <v>28</v>
      </c>
      <c r="J1414" s="14" t="s">
        <v>16560</v>
      </c>
      <c r="K1414" s="14" t="s">
        <v>8841</v>
      </c>
      <c r="L1414" s="152"/>
      <c r="M1414" s="14">
        <v>3.7284293E10</v>
      </c>
      <c r="N1414" s="54" t="s">
        <v>8841</v>
      </c>
      <c r="O1414" s="130" t="s">
        <v>16562</v>
      </c>
      <c r="P1414" s="153" t="s">
        <v>16563</v>
      </c>
      <c r="Q1414" s="14">
        <v>1532808.0</v>
      </c>
      <c r="R1414" s="95"/>
      <c r="S1414" s="154" t="s">
        <v>35783</v>
      </c>
      <c r="T1414" s="84"/>
      <c r="U1414" s="84"/>
      <c r="V1414" s="84"/>
      <c r="W1414" s="84"/>
      <c r="X1414" s="84"/>
      <c r="Y1414" s="84"/>
      <c r="Z1414" s="84"/>
      <c r="AA1414" s="84"/>
      <c r="AB1414" s="84"/>
      <c r="AC1414" s="84"/>
    </row>
    <row r="1415" ht="15.75" customHeight="1">
      <c r="A1415" s="14" t="s">
        <v>17</v>
      </c>
      <c r="B1415" s="14">
        <v>2005.0</v>
      </c>
      <c r="C1415" s="14" t="s">
        <v>16353</v>
      </c>
      <c r="D1415" s="14" t="s">
        <v>16354</v>
      </c>
      <c r="E1415" s="150" t="str">
        <f t="shared" si="14"/>
        <v>http://dx.doi.org/10.1109/VISUAL.2005.1532784</v>
      </c>
      <c r="F1415" s="14">
        <v>103.0</v>
      </c>
      <c r="G1415" s="14">
        <v>110.0</v>
      </c>
      <c r="H1415" s="151"/>
      <c r="I1415" s="14" t="s">
        <v>28</v>
      </c>
      <c r="J1415" s="14" t="s">
        <v>16357</v>
      </c>
      <c r="K1415" s="14" t="s">
        <v>35785</v>
      </c>
      <c r="L1415" s="152" t="s">
        <v>16420</v>
      </c>
      <c r="M1415" s="14" t="s">
        <v>35786</v>
      </c>
      <c r="N1415" s="54" t="s">
        <v>35785</v>
      </c>
      <c r="O1415" s="130"/>
      <c r="P1415" s="153" t="s">
        <v>16362</v>
      </c>
      <c r="Q1415" s="14">
        <v>1532784.0</v>
      </c>
      <c r="R1415" s="95"/>
      <c r="S1415" s="154"/>
      <c r="T1415" s="84"/>
      <c r="U1415" s="84"/>
      <c r="V1415" s="84"/>
      <c r="W1415" s="84"/>
      <c r="X1415" s="84"/>
      <c r="Y1415" s="84"/>
      <c r="Z1415" s="84"/>
      <c r="AA1415" s="84"/>
      <c r="AB1415" s="84"/>
      <c r="AC1415" s="84"/>
    </row>
    <row r="1416" ht="15.75" customHeight="1">
      <c r="A1416" s="14" t="s">
        <v>17</v>
      </c>
      <c r="B1416" s="14">
        <v>2005.0</v>
      </c>
      <c r="C1416" s="14" t="s">
        <v>16549</v>
      </c>
      <c r="D1416" s="14" t="s">
        <v>16550</v>
      </c>
      <c r="E1416" s="150" t="str">
        <f t="shared" si="14"/>
        <v>http://dx.doi.org/10.1109/VISUAL.2005.1532807</v>
      </c>
      <c r="F1416" s="14">
        <v>287.0</v>
      </c>
      <c r="G1416" s="14">
        <v>294.0</v>
      </c>
      <c r="H1416" s="151"/>
      <c r="I1416" s="14" t="s">
        <v>28</v>
      </c>
      <c r="J1416" s="14" t="s">
        <v>16552</v>
      </c>
      <c r="K1416" s="14" t="s">
        <v>35787</v>
      </c>
      <c r="L1416" s="152" t="s">
        <v>16554</v>
      </c>
      <c r="M1416" s="14" t="s">
        <v>35788</v>
      </c>
      <c r="N1416" s="54" t="s">
        <v>35789</v>
      </c>
      <c r="O1416" s="130" t="s">
        <v>16555</v>
      </c>
      <c r="P1416" s="153" t="s">
        <v>16556</v>
      </c>
      <c r="Q1416" s="14">
        <v>1532807.0</v>
      </c>
      <c r="R1416" s="95"/>
      <c r="S1416" s="154" t="s">
        <v>35790</v>
      </c>
      <c r="T1416" s="84"/>
      <c r="U1416" s="84"/>
      <c r="V1416" s="84"/>
      <c r="W1416" s="84"/>
      <c r="X1416" s="84"/>
      <c r="Y1416" s="84"/>
      <c r="Z1416" s="84"/>
      <c r="AA1416" s="84"/>
      <c r="AB1416" s="84"/>
      <c r="AC1416" s="84"/>
    </row>
    <row r="1417" ht="15.75" customHeight="1">
      <c r="A1417" s="14" t="s">
        <v>17</v>
      </c>
      <c r="B1417" s="14">
        <v>2005.0</v>
      </c>
      <c r="C1417" s="14" t="s">
        <v>16733</v>
      </c>
      <c r="D1417" s="14" t="s">
        <v>16734</v>
      </c>
      <c r="E1417" s="150" t="str">
        <f t="shared" si="14"/>
        <v>http://dx.doi.org/10.1109/VISUAL.2005.1532831</v>
      </c>
      <c r="F1417" s="14">
        <v>471.0</v>
      </c>
      <c r="G1417" s="14">
        <v>478.0</v>
      </c>
      <c r="H1417" s="151"/>
      <c r="I1417" s="14" t="s">
        <v>28</v>
      </c>
      <c r="J1417" s="14" t="s">
        <v>35793</v>
      </c>
      <c r="K1417" s="14" t="s">
        <v>35794</v>
      </c>
      <c r="L1417" s="152" t="s">
        <v>16740</v>
      </c>
      <c r="M1417" s="14" t="s">
        <v>35795</v>
      </c>
      <c r="N1417" s="54" t="s">
        <v>35794</v>
      </c>
      <c r="O1417" s="130" t="s">
        <v>16741</v>
      </c>
      <c r="P1417" s="153" t="s">
        <v>16742</v>
      </c>
      <c r="Q1417" s="14">
        <v>1532831.0</v>
      </c>
      <c r="R1417" s="95"/>
      <c r="S1417" s="154" t="s">
        <v>35796</v>
      </c>
      <c r="T1417" s="84"/>
      <c r="U1417" s="84"/>
      <c r="V1417" s="84"/>
      <c r="W1417" s="84"/>
      <c r="X1417" s="84"/>
      <c r="Y1417" s="84"/>
      <c r="Z1417" s="84"/>
      <c r="AA1417" s="84"/>
      <c r="AB1417" s="84"/>
      <c r="AC1417" s="84"/>
    </row>
    <row r="1418" ht="15.75" customHeight="1">
      <c r="A1418" s="14" t="s">
        <v>17</v>
      </c>
      <c r="B1418" s="14">
        <v>2005.0</v>
      </c>
      <c r="C1418" s="14" t="s">
        <v>16506</v>
      </c>
      <c r="D1418" s="14" t="s">
        <v>16507</v>
      </c>
      <c r="E1418" s="150" t="str">
        <f t="shared" si="14"/>
        <v>http://dx.doi.org/10.1109/VISUAL.2005.1532801</v>
      </c>
      <c r="F1418" s="14">
        <v>239.0</v>
      </c>
      <c r="G1418" s="14">
        <v>246.0</v>
      </c>
      <c r="H1418" s="151"/>
      <c r="I1418" s="14" t="s">
        <v>28</v>
      </c>
      <c r="J1418" s="14" t="s">
        <v>16509</v>
      </c>
      <c r="K1418" s="14" t="s">
        <v>9758</v>
      </c>
      <c r="L1418" s="152" t="s">
        <v>16510</v>
      </c>
      <c r="M1418" s="14">
        <v>3.72821938E10</v>
      </c>
      <c r="N1418" s="54" t="s">
        <v>9758</v>
      </c>
      <c r="O1418" s="130" t="s">
        <v>16511</v>
      </c>
      <c r="P1418" s="153" t="s">
        <v>16512</v>
      </c>
      <c r="Q1418" s="14">
        <v>1532801.0</v>
      </c>
      <c r="R1418" s="95"/>
      <c r="S1418" s="154" t="s">
        <v>35814</v>
      </c>
      <c r="T1418" s="84"/>
      <c r="U1418" s="84"/>
      <c r="V1418" s="84"/>
      <c r="W1418" s="84"/>
      <c r="X1418" s="84"/>
      <c r="Y1418" s="84"/>
      <c r="Z1418" s="84"/>
      <c r="AA1418" s="84"/>
      <c r="AB1418" s="84"/>
      <c r="AC1418" s="84"/>
    </row>
    <row r="1419" ht="15.75" customHeight="1">
      <c r="A1419" s="14" t="s">
        <v>17</v>
      </c>
      <c r="B1419" s="14">
        <v>2005.0</v>
      </c>
      <c r="C1419" s="14" t="s">
        <v>16500</v>
      </c>
      <c r="D1419" s="14" t="s">
        <v>16501</v>
      </c>
      <c r="E1419" s="150" t="str">
        <f t="shared" si="14"/>
        <v>http://dx.doi.org/10.1109/VISUAL.2005.1532800</v>
      </c>
      <c r="F1419" s="14">
        <v>231.0</v>
      </c>
      <c r="G1419" s="14">
        <v>238.0</v>
      </c>
      <c r="H1419" s="151"/>
      <c r="I1419" s="14" t="s">
        <v>28</v>
      </c>
      <c r="J1419" s="14" t="s">
        <v>16503</v>
      </c>
      <c r="K1419" s="14" t="s">
        <v>35816</v>
      </c>
      <c r="L1419" s="152" t="s">
        <v>12135</v>
      </c>
      <c r="M1419" s="14" t="s">
        <v>35817</v>
      </c>
      <c r="N1419" s="54" t="s">
        <v>35816</v>
      </c>
      <c r="O1419" s="130" t="s">
        <v>16505</v>
      </c>
      <c r="P1419" s="16"/>
      <c r="Q1419" s="14">
        <v>1532800.0</v>
      </c>
      <c r="R1419" s="95"/>
      <c r="S1419" s="154" t="s">
        <v>35818</v>
      </c>
      <c r="T1419" s="84"/>
      <c r="U1419" s="84"/>
      <c r="V1419" s="84"/>
      <c r="W1419" s="84"/>
      <c r="X1419" s="84"/>
      <c r="Y1419" s="84"/>
      <c r="Z1419" s="84"/>
      <c r="AA1419" s="84"/>
      <c r="AB1419" s="84"/>
      <c r="AC1419" s="84"/>
    </row>
    <row r="1420" ht="15.75" customHeight="1">
      <c r="A1420" s="14" t="s">
        <v>17</v>
      </c>
      <c r="B1420" s="14">
        <v>2005.0</v>
      </c>
      <c r="C1420" s="14" t="s">
        <v>16663</v>
      </c>
      <c r="D1420" s="14" t="s">
        <v>16664</v>
      </c>
      <c r="E1420" s="150" t="str">
        <f t="shared" si="14"/>
        <v>http://dx.doi.org/10.1109/VISUAL.2005.1532823</v>
      </c>
      <c r="F1420" s="14">
        <v>407.0</v>
      </c>
      <c r="G1420" s="14">
        <v>414.0</v>
      </c>
      <c r="H1420" s="151"/>
      <c r="I1420" s="14" t="s">
        <v>28</v>
      </c>
      <c r="J1420" s="14" t="s">
        <v>16666</v>
      </c>
      <c r="K1420" s="14" t="s">
        <v>35819</v>
      </c>
      <c r="L1420" s="152" t="s">
        <v>16668</v>
      </c>
      <c r="M1420" s="14" t="s">
        <v>35820</v>
      </c>
      <c r="N1420" s="54" t="s">
        <v>35819</v>
      </c>
      <c r="O1420" s="130" t="s">
        <v>16669</v>
      </c>
      <c r="P1420" s="153" t="s">
        <v>16670</v>
      </c>
      <c r="Q1420" s="14">
        <v>1532823.0</v>
      </c>
      <c r="R1420" s="95"/>
      <c r="S1420" s="154" t="s">
        <v>35821</v>
      </c>
      <c r="T1420" s="84"/>
      <c r="U1420" s="84"/>
      <c r="V1420" s="84"/>
      <c r="W1420" s="84"/>
      <c r="X1420" s="84"/>
      <c r="Y1420" s="84"/>
      <c r="Z1420" s="84"/>
      <c r="AA1420" s="84"/>
      <c r="AB1420" s="84"/>
      <c r="AC1420" s="84"/>
    </row>
    <row r="1421" ht="15.75" customHeight="1">
      <c r="A1421" s="14" t="s">
        <v>17</v>
      </c>
      <c r="B1421" s="14">
        <v>2005.0</v>
      </c>
      <c r="C1421" s="14" t="s">
        <v>16541</v>
      </c>
      <c r="D1421" s="14" t="s">
        <v>16542</v>
      </c>
      <c r="E1421" s="150" t="str">
        <f t="shared" si="14"/>
        <v>http://dx.doi.org/10.1109/VISUAL.2005.1532806</v>
      </c>
      <c r="F1421" s="14">
        <v>279.0</v>
      </c>
      <c r="G1421" s="14">
        <v>285.0</v>
      </c>
      <c r="H1421" s="151"/>
      <c r="I1421" s="14" t="s">
        <v>28</v>
      </c>
      <c r="J1421" s="14" t="s">
        <v>16544</v>
      </c>
      <c r="K1421" s="14" t="s">
        <v>35823</v>
      </c>
      <c r="L1421" s="152" t="s">
        <v>16546</v>
      </c>
      <c r="M1421" s="14" t="s">
        <v>35824</v>
      </c>
      <c r="N1421" s="54" t="s">
        <v>35823</v>
      </c>
      <c r="O1421" s="130" t="s">
        <v>16547</v>
      </c>
      <c r="P1421" s="153" t="s">
        <v>16548</v>
      </c>
      <c r="Q1421" s="14">
        <v>1532806.0</v>
      </c>
      <c r="R1421" s="95"/>
      <c r="S1421" s="154" t="s">
        <v>35825</v>
      </c>
      <c r="T1421" s="84"/>
      <c r="U1421" s="84"/>
      <c r="V1421" s="84"/>
      <c r="W1421" s="84"/>
      <c r="X1421" s="84"/>
      <c r="Y1421" s="84"/>
      <c r="Z1421" s="84"/>
      <c r="AA1421" s="84"/>
      <c r="AB1421" s="84"/>
      <c r="AC1421" s="84"/>
    </row>
    <row r="1422" ht="15.75" customHeight="1">
      <c r="A1422" s="14" t="s">
        <v>17</v>
      </c>
      <c r="B1422" s="14">
        <v>2005.0</v>
      </c>
      <c r="C1422" s="14" t="s">
        <v>16959</v>
      </c>
      <c r="D1422" s="14" t="s">
        <v>16960</v>
      </c>
      <c r="E1422" s="150" t="str">
        <f t="shared" si="14"/>
        <v>http://dx.doi.org/10.1109/VISUAL.2005.1532853</v>
      </c>
      <c r="F1422" s="14">
        <v>647.0</v>
      </c>
      <c r="G1422" s="14">
        <v>654.0</v>
      </c>
      <c r="H1422" s="151"/>
      <c r="I1422" s="14" t="s">
        <v>28</v>
      </c>
      <c r="J1422" s="14" t="s">
        <v>16964</v>
      </c>
      <c r="K1422" s="14" t="s">
        <v>35827</v>
      </c>
      <c r="L1422" s="152" t="s">
        <v>5035</v>
      </c>
      <c r="M1422" s="14" t="s">
        <v>35831</v>
      </c>
      <c r="N1422" s="54" t="s">
        <v>35827</v>
      </c>
      <c r="O1422" s="130" t="s">
        <v>16966</v>
      </c>
      <c r="P1422" s="153" t="s">
        <v>16967</v>
      </c>
      <c r="Q1422" s="14">
        <v>1532853.0</v>
      </c>
      <c r="R1422" s="95"/>
      <c r="S1422" s="154" t="s">
        <v>35833</v>
      </c>
      <c r="T1422" s="84"/>
      <c r="U1422" s="84"/>
      <c r="V1422" s="84"/>
      <c r="W1422" s="84"/>
      <c r="X1422" s="84"/>
      <c r="Y1422" s="84"/>
      <c r="Z1422" s="84"/>
      <c r="AA1422" s="84"/>
      <c r="AB1422" s="84"/>
      <c r="AC1422" s="84"/>
    </row>
    <row r="1423" ht="15.75" customHeight="1">
      <c r="A1423" s="14" t="s">
        <v>17</v>
      </c>
      <c r="B1423" s="14">
        <v>2005.0</v>
      </c>
      <c r="C1423" s="14" t="s">
        <v>16320</v>
      </c>
      <c r="D1423" s="14" t="s">
        <v>16321</v>
      </c>
      <c r="E1423" s="150" t="str">
        <f t="shared" si="14"/>
        <v>http://dx.doi.org/10.1109/VISUAL.2005.1532780</v>
      </c>
      <c r="F1423" s="14">
        <v>73.0</v>
      </c>
      <c r="G1423" s="14">
        <v>78.0</v>
      </c>
      <c r="H1423" s="151"/>
      <c r="I1423" s="14" t="s">
        <v>28</v>
      </c>
      <c r="J1423" s="14" t="s">
        <v>16323</v>
      </c>
      <c r="K1423" s="14" t="s">
        <v>35838</v>
      </c>
      <c r="L1423" s="152" t="s">
        <v>16356</v>
      </c>
      <c r="M1423" s="14" t="s">
        <v>35839</v>
      </c>
      <c r="N1423" s="54" t="s">
        <v>35838</v>
      </c>
      <c r="O1423" s="130" t="s">
        <v>16327</v>
      </c>
      <c r="P1423" s="153" t="s">
        <v>16328</v>
      </c>
      <c r="Q1423" s="14">
        <v>1532780.0</v>
      </c>
      <c r="R1423" s="95"/>
      <c r="S1423" s="154" t="s">
        <v>35840</v>
      </c>
      <c r="T1423" s="84"/>
      <c r="U1423" s="84"/>
      <c r="V1423" s="84"/>
      <c r="W1423" s="84"/>
      <c r="X1423" s="84"/>
      <c r="Y1423" s="84"/>
      <c r="Z1423" s="84"/>
      <c r="AA1423" s="84"/>
      <c r="AB1423" s="84"/>
      <c r="AC1423" s="84"/>
    </row>
    <row r="1424" ht="15.75" customHeight="1">
      <c r="A1424" s="14" t="s">
        <v>17</v>
      </c>
      <c r="B1424" s="14">
        <v>2005.0</v>
      </c>
      <c r="C1424" s="14" t="s">
        <v>16627</v>
      </c>
      <c r="D1424" s="14" t="s">
        <v>16628</v>
      </c>
      <c r="E1424" s="150" t="str">
        <f t="shared" si="14"/>
        <v>http://dx.doi.org/10.1109/VISUAL.2005.1532818</v>
      </c>
      <c r="F1424" s="14">
        <v>367.0</v>
      </c>
      <c r="G1424" s="14">
        <v>374.0</v>
      </c>
      <c r="H1424" s="151"/>
      <c r="I1424" s="14" t="s">
        <v>28</v>
      </c>
      <c r="J1424" s="14" t="s">
        <v>16630</v>
      </c>
      <c r="K1424" s="14" t="s">
        <v>35843</v>
      </c>
      <c r="L1424" s="152" t="s">
        <v>16632</v>
      </c>
      <c r="M1424" s="14" t="s">
        <v>35844</v>
      </c>
      <c r="N1424" s="54" t="s">
        <v>35843</v>
      </c>
      <c r="O1424" s="130" t="s">
        <v>16633</v>
      </c>
      <c r="P1424" s="153" t="s">
        <v>16634</v>
      </c>
      <c r="Q1424" s="14">
        <v>1532818.0</v>
      </c>
      <c r="R1424" s="95"/>
      <c r="S1424" s="154" t="s">
        <v>35845</v>
      </c>
      <c r="T1424" s="84"/>
      <c r="U1424" s="84"/>
      <c r="V1424" s="84"/>
      <c r="W1424" s="84"/>
      <c r="X1424" s="84"/>
      <c r="Y1424" s="84"/>
      <c r="Z1424" s="84"/>
      <c r="AA1424" s="84"/>
      <c r="AB1424" s="84"/>
      <c r="AC1424" s="84"/>
    </row>
    <row r="1425" ht="15.75" customHeight="1">
      <c r="A1425" s="14" t="s">
        <v>17</v>
      </c>
      <c r="B1425" s="14">
        <v>2005.0</v>
      </c>
      <c r="C1425" s="14" t="s">
        <v>16711</v>
      </c>
      <c r="D1425" s="14" t="s">
        <v>16712</v>
      </c>
      <c r="E1425" s="150" t="str">
        <f t="shared" si="14"/>
        <v>http://dx.doi.org/10.1109/VISUAL.2005.1532829</v>
      </c>
      <c r="F1425" s="14">
        <v>455.0</v>
      </c>
      <c r="G1425" s="14">
        <v>462.0</v>
      </c>
      <c r="H1425" s="151"/>
      <c r="I1425" s="14" t="s">
        <v>28</v>
      </c>
      <c r="J1425" s="14" t="s">
        <v>16715</v>
      </c>
      <c r="K1425" s="14" t="s">
        <v>35846</v>
      </c>
      <c r="L1425" s="152" t="s">
        <v>16718</v>
      </c>
      <c r="M1425" s="14" t="s">
        <v>35847</v>
      </c>
      <c r="N1425" s="54" t="s">
        <v>35846</v>
      </c>
      <c r="O1425" s="130" t="s">
        <v>16719</v>
      </c>
      <c r="P1425" s="153" t="s">
        <v>16720</v>
      </c>
      <c r="Q1425" s="14">
        <v>1532829.0</v>
      </c>
      <c r="R1425" s="95"/>
      <c r="S1425" s="154" t="s">
        <v>35848</v>
      </c>
      <c r="T1425" s="84"/>
      <c r="U1425" s="84"/>
      <c r="V1425" s="84"/>
      <c r="W1425" s="84"/>
      <c r="X1425" s="84"/>
      <c r="Y1425" s="84"/>
      <c r="Z1425" s="84"/>
      <c r="AA1425" s="84"/>
      <c r="AB1425" s="84"/>
      <c r="AC1425" s="84"/>
    </row>
    <row r="1426" ht="15.75" customHeight="1">
      <c r="A1426" s="14" t="s">
        <v>17</v>
      </c>
      <c r="B1426" s="14">
        <v>2005.0</v>
      </c>
      <c r="C1426" s="14" t="s">
        <v>16329</v>
      </c>
      <c r="D1426" s="14" t="s">
        <v>16331</v>
      </c>
      <c r="E1426" s="150" t="str">
        <f t="shared" si="14"/>
        <v>http://dx.doi.org/10.1109/VISUAL.2005.1532781</v>
      </c>
      <c r="F1426" s="14">
        <v>79.0</v>
      </c>
      <c r="G1426" s="14">
        <v>86.0</v>
      </c>
      <c r="H1426" s="151"/>
      <c r="I1426" s="14" t="s">
        <v>28</v>
      </c>
      <c r="J1426" s="14" t="s">
        <v>16332</v>
      </c>
      <c r="K1426" s="14" t="s">
        <v>11200</v>
      </c>
      <c r="L1426" s="152" t="s">
        <v>16371</v>
      </c>
      <c r="M1426" s="14">
        <v>3.72672492E10</v>
      </c>
      <c r="N1426" s="54" t="s">
        <v>11200</v>
      </c>
      <c r="O1426" s="130" t="s">
        <v>16333</v>
      </c>
      <c r="P1426" s="153" t="s">
        <v>16334</v>
      </c>
      <c r="Q1426" s="14">
        <v>1532781.0</v>
      </c>
      <c r="R1426" s="95"/>
      <c r="S1426" s="154" t="s">
        <v>35860</v>
      </c>
      <c r="T1426" s="84"/>
      <c r="U1426" s="84"/>
      <c r="V1426" s="84"/>
      <c r="W1426" s="84"/>
      <c r="X1426" s="84"/>
      <c r="Y1426" s="84"/>
      <c r="Z1426" s="84"/>
      <c r="AA1426" s="84"/>
      <c r="AB1426" s="84"/>
      <c r="AC1426" s="84"/>
    </row>
    <row r="1427" ht="15.75" customHeight="1">
      <c r="A1427" s="14" t="s">
        <v>17</v>
      </c>
      <c r="B1427" s="14">
        <v>2005.0</v>
      </c>
      <c r="C1427" s="14" t="s">
        <v>16408</v>
      </c>
      <c r="D1427" s="14" t="s">
        <v>16409</v>
      </c>
      <c r="E1427" s="150" t="str">
        <f t="shared" si="14"/>
        <v>http://dx.doi.org/10.1109/VISUAL.2005.1532791</v>
      </c>
      <c r="F1427" s="14">
        <v>159.0</v>
      </c>
      <c r="G1427" s="14">
        <v>165.0</v>
      </c>
      <c r="H1427" s="151"/>
      <c r="I1427" s="14" t="s">
        <v>28</v>
      </c>
      <c r="J1427" s="14" t="s">
        <v>16410</v>
      </c>
      <c r="K1427" s="14" t="s">
        <v>35864</v>
      </c>
      <c r="L1427" s="152" t="s">
        <v>16461</v>
      </c>
      <c r="M1427" s="14" t="s">
        <v>35865</v>
      </c>
      <c r="N1427" s="54" t="s">
        <v>35864</v>
      </c>
      <c r="O1427" s="130"/>
      <c r="P1427" s="153" t="s">
        <v>16414</v>
      </c>
      <c r="Q1427" s="14">
        <v>1532791.0</v>
      </c>
      <c r="R1427" s="95"/>
      <c r="S1427" s="154"/>
      <c r="T1427" s="84"/>
      <c r="U1427" s="84"/>
      <c r="V1427" s="84"/>
      <c r="W1427" s="84"/>
      <c r="X1427" s="84"/>
      <c r="Y1427" s="84"/>
      <c r="Z1427" s="84"/>
      <c r="AA1427" s="84"/>
      <c r="AB1427" s="84"/>
      <c r="AC1427" s="84"/>
    </row>
    <row r="1428" ht="15.75" customHeight="1">
      <c r="A1428" s="14" t="s">
        <v>17</v>
      </c>
      <c r="B1428" s="14">
        <v>2005.0</v>
      </c>
      <c r="C1428" s="14" t="s">
        <v>16834</v>
      </c>
      <c r="D1428" s="14" t="s">
        <v>16835</v>
      </c>
      <c r="E1428" s="150" t="str">
        <f t="shared" si="14"/>
        <v>http://dx.doi.org/10.1109/VISUAL.2005.1532841</v>
      </c>
      <c r="F1428" s="14">
        <v>551.0</v>
      </c>
      <c r="G1428" s="14">
        <v>558.0</v>
      </c>
      <c r="H1428" s="151"/>
      <c r="I1428" s="14" t="s">
        <v>28</v>
      </c>
      <c r="J1428" s="14" t="s">
        <v>16841</v>
      </c>
      <c r="K1428" s="14" t="s">
        <v>35867</v>
      </c>
      <c r="L1428" s="152" t="s">
        <v>16843</v>
      </c>
      <c r="M1428" s="14" t="s">
        <v>35869</v>
      </c>
      <c r="N1428" s="54" t="s">
        <v>35867</v>
      </c>
      <c r="O1428" s="130" t="s">
        <v>16844</v>
      </c>
      <c r="P1428" s="153" t="s">
        <v>16845</v>
      </c>
      <c r="Q1428" s="14">
        <v>1532841.0</v>
      </c>
      <c r="R1428" s="95"/>
      <c r="S1428" s="154" t="s">
        <v>35872</v>
      </c>
      <c r="T1428" s="84"/>
      <c r="U1428" s="84"/>
      <c r="V1428" s="84"/>
      <c r="W1428" s="84"/>
      <c r="X1428" s="84"/>
      <c r="Y1428" s="84"/>
      <c r="Z1428" s="84"/>
      <c r="AA1428" s="84"/>
      <c r="AB1428" s="84"/>
      <c r="AC1428" s="84"/>
    </row>
    <row r="1429" ht="15.75" customHeight="1">
      <c r="A1429" s="14" t="s">
        <v>17</v>
      </c>
      <c r="B1429" s="14">
        <v>2005.0</v>
      </c>
      <c r="C1429" s="14" t="s">
        <v>16814</v>
      </c>
      <c r="D1429" s="14" t="s">
        <v>16815</v>
      </c>
      <c r="E1429" s="150" t="str">
        <f t="shared" si="14"/>
        <v>http://dx.doi.org/10.1109/VISUAL.2005.1532839</v>
      </c>
      <c r="F1429" s="14">
        <v>535.0</v>
      </c>
      <c r="G1429" s="14">
        <v>542.0</v>
      </c>
      <c r="H1429" s="151"/>
      <c r="I1429" s="14" t="s">
        <v>28</v>
      </c>
      <c r="J1429" s="14" t="s">
        <v>16820</v>
      </c>
      <c r="K1429" s="14" t="s">
        <v>35875</v>
      </c>
      <c r="L1429" s="152" t="s">
        <v>5673</v>
      </c>
      <c r="M1429" s="14" t="s">
        <v>178</v>
      </c>
      <c r="N1429" s="54" t="s">
        <v>35875</v>
      </c>
      <c r="O1429" s="130" t="s">
        <v>16822</v>
      </c>
      <c r="P1429" s="153" t="s">
        <v>16823</v>
      </c>
      <c r="Q1429" s="14">
        <v>1532839.0</v>
      </c>
      <c r="R1429" s="95"/>
      <c r="S1429" s="154" t="s">
        <v>35876</v>
      </c>
      <c r="T1429" s="84"/>
      <c r="U1429" s="84"/>
      <c r="V1429" s="84"/>
      <c r="W1429" s="84"/>
      <c r="X1429" s="84"/>
      <c r="Y1429" s="84"/>
      <c r="Z1429" s="84"/>
      <c r="AA1429" s="84"/>
      <c r="AB1429" s="84"/>
      <c r="AC1429" s="84"/>
    </row>
    <row r="1430" ht="15.75" customHeight="1">
      <c r="A1430" s="14" t="s">
        <v>17</v>
      </c>
      <c r="B1430" s="14">
        <v>2005.0</v>
      </c>
      <c r="C1430" s="14" t="s">
        <v>16824</v>
      </c>
      <c r="D1430" s="14" t="s">
        <v>16825</v>
      </c>
      <c r="E1430" s="150" t="str">
        <f t="shared" si="14"/>
        <v>http://dx.doi.org/10.1109/VISUAL.2005.1532840</v>
      </c>
      <c r="F1430" s="14">
        <v>543.0</v>
      </c>
      <c r="G1430" s="14">
        <v>550.0</v>
      </c>
      <c r="H1430" s="151"/>
      <c r="I1430" s="14" t="s">
        <v>28</v>
      </c>
      <c r="J1430" s="14" t="s">
        <v>16830</v>
      </c>
      <c r="K1430" s="14" t="s">
        <v>35879</v>
      </c>
      <c r="L1430" s="152" t="s">
        <v>16832</v>
      </c>
      <c r="M1430" s="14" t="s">
        <v>35881</v>
      </c>
      <c r="N1430" s="54" t="s">
        <v>35879</v>
      </c>
      <c r="O1430" s="130" t="s">
        <v>12442</v>
      </c>
      <c r="P1430" s="153" t="s">
        <v>16833</v>
      </c>
      <c r="Q1430" s="14">
        <v>1532840.0</v>
      </c>
      <c r="R1430" s="95"/>
      <c r="S1430" s="154">
        <v>1183795.0</v>
      </c>
      <c r="T1430" s="84"/>
      <c r="U1430" s="84"/>
      <c r="V1430" s="84"/>
      <c r="W1430" s="84"/>
      <c r="X1430" s="84"/>
      <c r="Y1430" s="84"/>
      <c r="Z1430" s="84"/>
      <c r="AA1430" s="84"/>
      <c r="AB1430" s="84"/>
      <c r="AC1430" s="84"/>
    </row>
    <row r="1431" ht="15.75" customHeight="1">
      <c r="A1431" s="14" t="s">
        <v>17</v>
      </c>
      <c r="B1431" s="14">
        <v>2005.0</v>
      </c>
      <c r="C1431" s="14" t="s">
        <v>16781</v>
      </c>
      <c r="D1431" s="14" t="s">
        <v>16782</v>
      </c>
      <c r="E1431" s="150" t="str">
        <f t="shared" si="14"/>
        <v>http://dx.doi.org/10.1109/VISUAL.2005.1532836</v>
      </c>
      <c r="F1431" s="14">
        <v>511.0</v>
      </c>
      <c r="G1431" s="14">
        <v>518.0</v>
      </c>
      <c r="H1431" s="151"/>
      <c r="I1431" s="14" t="s">
        <v>28</v>
      </c>
      <c r="J1431" s="14" t="s">
        <v>16787</v>
      </c>
      <c r="K1431" s="14" t="s">
        <v>35883</v>
      </c>
      <c r="L1431" s="152" t="s">
        <v>16789</v>
      </c>
      <c r="M1431" s="14" t="s">
        <v>35885</v>
      </c>
      <c r="N1431" s="54" t="s">
        <v>35883</v>
      </c>
      <c r="O1431" s="130" t="s">
        <v>16790</v>
      </c>
      <c r="P1431" s="153" t="s">
        <v>16791</v>
      </c>
      <c r="Q1431" s="14">
        <v>1532836.0</v>
      </c>
      <c r="R1431" s="95"/>
      <c r="S1431" s="154" t="s">
        <v>35887</v>
      </c>
      <c r="T1431" s="84"/>
      <c r="U1431" s="84"/>
      <c r="V1431" s="84"/>
      <c r="W1431" s="84"/>
      <c r="X1431" s="84"/>
      <c r="Y1431" s="84"/>
      <c r="Z1431" s="84"/>
      <c r="AA1431" s="84"/>
      <c r="AB1431" s="84"/>
      <c r="AC1431" s="84"/>
    </row>
    <row r="1432" ht="15.75" customHeight="1">
      <c r="A1432" s="14" t="s">
        <v>17</v>
      </c>
      <c r="B1432" s="14">
        <v>2005.0</v>
      </c>
      <c r="C1432" s="14" t="s">
        <v>16753</v>
      </c>
      <c r="D1432" s="14" t="s">
        <v>16754</v>
      </c>
      <c r="E1432" s="150" t="str">
        <f t="shared" si="14"/>
        <v>http://dx.doi.org/10.1109/VISUAL.2005.1532833</v>
      </c>
      <c r="F1432" s="14">
        <v>487.0</v>
      </c>
      <c r="G1432" s="14">
        <v>494.0</v>
      </c>
      <c r="H1432" s="151"/>
      <c r="I1432" s="14" t="s">
        <v>28</v>
      </c>
      <c r="J1432" s="14" t="s">
        <v>16757</v>
      </c>
      <c r="K1432" s="14" t="s">
        <v>35890</v>
      </c>
      <c r="L1432" s="152" t="s">
        <v>12159</v>
      </c>
      <c r="M1432" s="14" t="s">
        <v>35891</v>
      </c>
      <c r="N1432" s="54" t="s">
        <v>35890</v>
      </c>
      <c r="O1432" s="130" t="s">
        <v>16758</v>
      </c>
      <c r="P1432" s="153" t="s">
        <v>16759</v>
      </c>
      <c r="Q1432" s="14">
        <v>1532833.0</v>
      </c>
      <c r="R1432" s="95"/>
      <c r="S1432" s="154" t="s">
        <v>35893</v>
      </c>
      <c r="T1432" s="84"/>
      <c r="U1432" s="84"/>
      <c r="V1432" s="84"/>
      <c r="W1432" s="84"/>
      <c r="X1432" s="84"/>
      <c r="Y1432" s="84"/>
      <c r="Z1432" s="84"/>
      <c r="AA1432" s="84"/>
      <c r="AB1432" s="84"/>
      <c r="AC1432" s="84"/>
    </row>
    <row r="1433" ht="15.75" customHeight="1">
      <c r="A1433" s="14" t="s">
        <v>17</v>
      </c>
      <c r="B1433" s="14">
        <v>2005.0</v>
      </c>
      <c r="C1433" s="14" t="s">
        <v>16484</v>
      </c>
      <c r="D1433" s="14" t="s">
        <v>16485</v>
      </c>
      <c r="E1433" s="150" t="str">
        <f t="shared" si="14"/>
        <v>http://dx.doi.org/10.1109/VISUAL.2005.1532798</v>
      </c>
      <c r="F1433" s="14">
        <v>215.0</v>
      </c>
      <c r="G1433" s="14">
        <v>222.0</v>
      </c>
      <c r="H1433" s="151"/>
      <c r="I1433" s="14" t="s">
        <v>28</v>
      </c>
      <c r="J1433" s="14" t="s">
        <v>16487</v>
      </c>
      <c r="K1433" s="14" t="s">
        <v>35896</v>
      </c>
      <c r="L1433" s="152" t="s">
        <v>16489</v>
      </c>
      <c r="M1433" s="14" t="s">
        <v>35898</v>
      </c>
      <c r="N1433" s="54" t="s">
        <v>35896</v>
      </c>
      <c r="O1433" s="130" t="s">
        <v>16490</v>
      </c>
      <c r="P1433" s="153" t="s">
        <v>16491</v>
      </c>
      <c r="Q1433" s="14">
        <v>1532798.0</v>
      </c>
      <c r="R1433" s="95"/>
      <c r="S1433" s="154" t="s">
        <v>35899</v>
      </c>
      <c r="T1433" s="84"/>
      <c r="U1433" s="84"/>
      <c r="V1433" s="84"/>
      <c r="W1433" s="84"/>
      <c r="X1433" s="84"/>
      <c r="Y1433" s="84"/>
      <c r="Z1433" s="84"/>
      <c r="AA1433" s="84"/>
      <c r="AB1433" s="84"/>
      <c r="AC1433" s="84"/>
    </row>
    <row r="1434" ht="15.75" customHeight="1">
      <c r="A1434" s="14" t="s">
        <v>17</v>
      </c>
      <c r="B1434" s="14">
        <v>2005.0</v>
      </c>
      <c r="C1434" s="14" t="s">
        <v>16385</v>
      </c>
      <c r="D1434" s="14" t="s">
        <v>16386</v>
      </c>
      <c r="E1434" s="150" t="str">
        <f t="shared" si="14"/>
        <v>http://dx.doi.org/10.1109/VISUAL.2005.1532788</v>
      </c>
      <c r="F1434" s="14">
        <v>135.0</v>
      </c>
      <c r="G1434" s="14">
        <v>142.0</v>
      </c>
      <c r="H1434" s="151"/>
      <c r="I1434" s="14" t="s">
        <v>28</v>
      </c>
      <c r="J1434" s="14" t="s">
        <v>16388</v>
      </c>
      <c r="K1434" s="14" t="s">
        <v>35905</v>
      </c>
      <c r="L1434" s="152" t="s">
        <v>16456</v>
      </c>
      <c r="M1434" s="14" t="s">
        <v>35906</v>
      </c>
      <c r="N1434" s="54" t="s">
        <v>35907</v>
      </c>
      <c r="O1434" s="130" t="s">
        <v>16391</v>
      </c>
      <c r="P1434" s="153" t="s">
        <v>16392</v>
      </c>
      <c r="Q1434" s="14">
        <v>1532788.0</v>
      </c>
      <c r="R1434" s="95"/>
      <c r="S1434" s="154" t="s">
        <v>35908</v>
      </c>
      <c r="T1434" s="84"/>
      <c r="U1434" s="84"/>
      <c r="V1434" s="84"/>
      <c r="W1434" s="84"/>
      <c r="X1434" s="84"/>
      <c r="Y1434" s="84"/>
      <c r="Z1434" s="84"/>
      <c r="AA1434" s="84"/>
      <c r="AB1434" s="84"/>
      <c r="AC1434" s="84"/>
    </row>
    <row r="1435" ht="15.75" customHeight="1">
      <c r="A1435" s="14" t="s">
        <v>17</v>
      </c>
      <c r="B1435" s="14">
        <v>2005.0</v>
      </c>
      <c r="C1435" s="14" t="s">
        <v>16928</v>
      </c>
      <c r="D1435" s="14" t="s">
        <v>16929</v>
      </c>
      <c r="E1435" s="150" t="str">
        <f t="shared" si="14"/>
        <v>http://dx.doi.org/10.1109/VISUAL.2005.1532850</v>
      </c>
      <c r="F1435" s="14">
        <v>623.0</v>
      </c>
      <c r="G1435" s="14">
        <v>630.0</v>
      </c>
      <c r="H1435" s="151"/>
      <c r="I1435" s="14" t="s">
        <v>28</v>
      </c>
      <c r="J1435" s="14" t="s">
        <v>16935</v>
      </c>
      <c r="K1435" s="14" t="s">
        <v>35913</v>
      </c>
      <c r="L1435" s="152" t="s">
        <v>15865</v>
      </c>
      <c r="M1435" s="14" t="s">
        <v>35914</v>
      </c>
      <c r="N1435" s="54" t="s">
        <v>35913</v>
      </c>
      <c r="O1435" s="130" t="s">
        <v>16937</v>
      </c>
      <c r="P1435" s="153" t="s">
        <v>16938</v>
      </c>
      <c r="Q1435" s="14">
        <v>1532850.0</v>
      </c>
      <c r="R1435" s="95"/>
      <c r="S1435" s="154" t="s">
        <v>35916</v>
      </c>
      <c r="T1435" s="84"/>
      <c r="U1435" s="84"/>
      <c r="V1435" s="84"/>
      <c r="W1435" s="84"/>
      <c r="X1435" s="84"/>
      <c r="Y1435" s="84"/>
      <c r="Z1435" s="84"/>
      <c r="AA1435" s="84"/>
      <c r="AB1435" s="84"/>
      <c r="AC1435" s="84"/>
    </row>
    <row r="1436" ht="15.75" customHeight="1">
      <c r="A1436" s="14" t="s">
        <v>17</v>
      </c>
      <c r="B1436" s="14">
        <v>2005.0</v>
      </c>
      <c r="C1436" s="14" t="s">
        <v>16874</v>
      </c>
      <c r="D1436" s="14" t="s">
        <v>16875</v>
      </c>
      <c r="E1436" s="150" t="str">
        <f t="shared" si="14"/>
        <v>http://dx.doi.org/10.1109/VISUAL.2005.1532845</v>
      </c>
      <c r="F1436" s="14">
        <v>583.0</v>
      </c>
      <c r="G1436" s="14">
        <v>590.0</v>
      </c>
      <c r="H1436" s="151"/>
      <c r="I1436" s="14" t="s">
        <v>28</v>
      </c>
      <c r="J1436" s="14" t="s">
        <v>16879</v>
      </c>
      <c r="K1436" s="14" t="s">
        <v>35919</v>
      </c>
      <c r="L1436" s="152" t="s">
        <v>16881</v>
      </c>
      <c r="M1436" s="14" t="s">
        <v>35921</v>
      </c>
      <c r="N1436" s="54" t="s">
        <v>35919</v>
      </c>
      <c r="O1436" s="130" t="s">
        <v>16882</v>
      </c>
      <c r="P1436" s="153" t="s">
        <v>16883</v>
      </c>
      <c r="Q1436" s="14">
        <v>1532845.0</v>
      </c>
      <c r="R1436" s="95"/>
      <c r="S1436" s="154" t="s">
        <v>35923</v>
      </c>
      <c r="T1436" s="84"/>
      <c r="U1436" s="84"/>
      <c r="V1436" s="84"/>
      <c r="W1436" s="84"/>
      <c r="X1436" s="84"/>
      <c r="Y1436" s="84"/>
      <c r="Z1436" s="84"/>
      <c r="AA1436" s="84"/>
      <c r="AB1436" s="84"/>
      <c r="AC1436" s="84"/>
    </row>
    <row r="1437" ht="15.75" customHeight="1">
      <c r="A1437" s="14" t="s">
        <v>17</v>
      </c>
      <c r="B1437" s="14">
        <v>2005.0</v>
      </c>
      <c r="C1437" s="14" t="s">
        <v>16856</v>
      </c>
      <c r="D1437" s="14" t="s">
        <v>16857</v>
      </c>
      <c r="E1437" s="150" t="str">
        <f t="shared" si="14"/>
        <v>http://dx.doi.org/10.1109/VISUAL.2005.1532843</v>
      </c>
      <c r="F1437" s="14">
        <v>567.0</v>
      </c>
      <c r="G1437" s="14">
        <v>574.0</v>
      </c>
      <c r="H1437" s="151"/>
      <c r="I1437" s="14" t="s">
        <v>28</v>
      </c>
      <c r="J1437" s="14" t="s">
        <v>16860</v>
      </c>
      <c r="K1437" s="14" t="s">
        <v>35925</v>
      </c>
      <c r="L1437" s="152" t="s">
        <v>4713</v>
      </c>
      <c r="M1437" s="14" t="s">
        <v>35926</v>
      </c>
      <c r="N1437" s="54" t="s">
        <v>35925</v>
      </c>
      <c r="O1437" s="130"/>
      <c r="P1437" s="153" t="s">
        <v>16862</v>
      </c>
      <c r="Q1437" s="14">
        <v>1532843.0</v>
      </c>
      <c r="R1437" s="95"/>
      <c r="S1437" s="154"/>
      <c r="T1437" s="84"/>
      <c r="U1437" s="84"/>
      <c r="V1437" s="84"/>
      <c r="W1437" s="84"/>
      <c r="X1437" s="84"/>
      <c r="Y1437" s="84"/>
      <c r="Z1437" s="84"/>
      <c r="AA1437" s="84"/>
      <c r="AB1437" s="84"/>
      <c r="AC1437" s="84"/>
    </row>
    <row r="1438" ht="15.75" customHeight="1">
      <c r="A1438" s="14" t="s">
        <v>17</v>
      </c>
      <c r="B1438" s="14">
        <v>2005.0</v>
      </c>
      <c r="C1438" s="14" t="s">
        <v>16425</v>
      </c>
      <c r="D1438" s="14" t="s">
        <v>16426</v>
      </c>
      <c r="E1438" s="150" t="str">
        <f t="shared" si="14"/>
        <v>http://dx.doi.org/10.1109/VISUAL.2005.1532793</v>
      </c>
      <c r="F1438" s="14">
        <v>175.0</v>
      </c>
      <c r="G1438" s="14">
        <v>182.0</v>
      </c>
      <c r="H1438" s="151"/>
      <c r="I1438" s="14" t="s">
        <v>28</v>
      </c>
      <c r="J1438" s="14" t="s">
        <v>16427</v>
      </c>
      <c r="K1438" s="14" t="s">
        <v>35927</v>
      </c>
      <c r="L1438" s="152" t="s">
        <v>16467</v>
      </c>
      <c r="M1438" s="14" t="s">
        <v>35929</v>
      </c>
      <c r="N1438" s="54" t="s">
        <v>35927</v>
      </c>
      <c r="O1438" s="130" t="s">
        <v>16431</v>
      </c>
      <c r="P1438" s="153" t="s">
        <v>16432</v>
      </c>
      <c r="Q1438" s="14">
        <v>1532793.0</v>
      </c>
      <c r="R1438" s="95"/>
      <c r="S1438" s="154" t="s">
        <v>35931</v>
      </c>
      <c r="T1438" s="84"/>
      <c r="U1438" s="84"/>
      <c r="V1438" s="84"/>
      <c r="W1438" s="84"/>
      <c r="X1438" s="84"/>
      <c r="Y1438" s="84"/>
      <c r="Z1438" s="84"/>
      <c r="AA1438" s="84"/>
      <c r="AB1438" s="84"/>
      <c r="AC1438" s="84"/>
    </row>
    <row r="1439" ht="15.75" customHeight="1">
      <c r="A1439" s="14" t="s">
        <v>17</v>
      </c>
      <c r="B1439" s="14">
        <v>2005.0</v>
      </c>
      <c r="C1439" s="14" t="s">
        <v>16291</v>
      </c>
      <c r="D1439" s="14" t="s">
        <v>16292</v>
      </c>
      <c r="E1439" s="150" t="str">
        <f t="shared" si="14"/>
        <v>http://dx.doi.org/10.1109/VISUAL.2005.1532777</v>
      </c>
      <c r="F1439" s="14">
        <v>51.0</v>
      </c>
      <c r="G1439" s="14">
        <v>58.0</v>
      </c>
      <c r="H1439" s="151"/>
      <c r="I1439" s="14" t="s">
        <v>28</v>
      </c>
      <c r="J1439" s="14" t="s">
        <v>16297</v>
      </c>
      <c r="K1439" s="14" t="s">
        <v>35932</v>
      </c>
      <c r="L1439" s="152" t="s">
        <v>16303</v>
      </c>
      <c r="M1439" s="14" t="s">
        <v>35933</v>
      </c>
      <c r="N1439" s="54" t="s">
        <v>35932</v>
      </c>
      <c r="O1439" s="130" t="s">
        <v>16301</v>
      </c>
      <c r="P1439" s="153" t="s">
        <v>16302</v>
      </c>
      <c r="Q1439" s="14">
        <v>1532777.0</v>
      </c>
      <c r="R1439" s="95"/>
      <c r="S1439" s="154" t="s">
        <v>35934</v>
      </c>
      <c r="T1439" s="84"/>
      <c r="U1439" s="84"/>
      <c r="V1439" s="84"/>
      <c r="W1439" s="84"/>
      <c r="X1439" s="84"/>
      <c r="Y1439" s="84"/>
      <c r="Z1439" s="84"/>
      <c r="AA1439" s="84"/>
      <c r="AB1439" s="84"/>
      <c r="AC1439" s="84"/>
    </row>
    <row r="1440" ht="15.75" customHeight="1">
      <c r="A1440" s="14" t="s">
        <v>17</v>
      </c>
      <c r="B1440" s="14">
        <v>2005.0</v>
      </c>
      <c r="C1440" s="14" t="s">
        <v>17022</v>
      </c>
      <c r="D1440" s="14" t="s">
        <v>17023</v>
      </c>
      <c r="E1440" s="150" t="str">
        <f t="shared" si="14"/>
        <v>http://dx.doi.org/10.1109/VISUAL.2005.1532859</v>
      </c>
      <c r="F1440" s="14">
        <v>695.0</v>
      </c>
      <c r="G1440" s="14">
        <v>702.0</v>
      </c>
      <c r="H1440" s="151"/>
      <c r="I1440" s="14" t="s">
        <v>28</v>
      </c>
      <c r="J1440" s="14" t="s">
        <v>17050</v>
      </c>
      <c r="K1440" s="14" t="s">
        <v>35937</v>
      </c>
      <c r="L1440" s="152" t="s">
        <v>17089</v>
      </c>
      <c r="M1440" s="14" t="s">
        <v>35938</v>
      </c>
      <c r="N1440" s="54" t="s">
        <v>35937</v>
      </c>
      <c r="O1440" s="130" t="s">
        <v>17054</v>
      </c>
      <c r="P1440" s="153" t="s">
        <v>17055</v>
      </c>
      <c r="Q1440" s="14">
        <v>1532859.0</v>
      </c>
      <c r="R1440" s="95"/>
      <c r="S1440" s="154" t="s">
        <v>35939</v>
      </c>
      <c r="T1440" s="84"/>
      <c r="U1440" s="84"/>
      <c r="V1440" s="84"/>
      <c r="W1440" s="84"/>
      <c r="X1440" s="84"/>
      <c r="Y1440" s="84"/>
      <c r="Z1440" s="84"/>
      <c r="AA1440" s="84"/>
      <c r="AB1440" s="84"/>
      <c r="AC1440" s="84"/>
    </row>
    <row r="1441" ht="15.75" customHeight="1">
      <c r="A1441" s="14" t="s">
        <v>17</v>
      </c>
      <c r="B1441" s="14">
        <v>2005.0</v>
      </c>
      <c r="C1441" s="14" t="s">
        <v>16804</v>
      </c>
      <c r="D1441" s="14" t="s">
        <v>16805</v>
      </c>
      <c r="E1441" s="150" t="str">
        <f t="shared" si="14"/>
        <v>http://dx.doi.org/10.1109/VISUAL.2005.1532838</v>
      </c>
      <c r="F1441" s="14">
        <v>527.0</v>
      </c>
      <c r="G1441" s="14">
        <v>534.0</v>
      </c>
      <c r="H1441" s="151"/>
      <c r="I1441" s="14" t="s">
        <v>28</v>
      </c>
      <c r="J1441" s="14" t="s">
        <v>35943</v>
      </c>
      <c r="K1441" s="14" t="s">
        <v>35944</v>
      </c>
      <c r="L1441" s="152" t="s">
        <v>178</v>
      </c>
      <c r="M1441" s="14" t="s">
        <v>35945</v>
      </c>
      <c r="N1441" s="54" t="s">
        <v>35946</v>
      </c>
      <c r="O1441" s="130" t="s">
        <v>151</v>
      </c>
      <c r="P1441" s="153" t="s">
        <v>16813</v>
      </c>
      <c r="Q1441" s="14">
        <v>1532838.0</v>
      </c>
      <c r="R1441" s="95"/>
      <c r="S1441" s="154">
        <v>146373.0</v>
      </c>
      <c r="T1441" s="84"/>
      <c r="U1441" s="84"/>
      <c r="V1441" s="84"/>
      <c r="W1441" s="84"/>
      <c r="X1441" s="84"/>
      <c r="Y1441" s="84"/>
      <c r="Z1441" s="84"/>
      <c r="AA1441" s="84"/>
      <c r="AB1441" s="84"/>
      <c r="AC1441" s="84"/>
    </row>
    <row r="1442" ht="15.75" customHeight="1">
      <c r="A1442" s="14" t="s">
        <v>17</v>
      </c>
      <c r="B1442" s="14">
        <v>2005.0</v>
      </c>
      <c r="C1442" s="14" t="s">
        <v>16773</v>
      </c>
      <c r="D1442" s="14" t="s">
        <v>16774</v>
      </c>
      <c r="E1442" s="150" t="str">
        <f t="shared" si="14"/>
        <v>http://dx.doi.org/10.1109/VISUAL.2005.1532835</v>
      </c>
      <c r="F1442" s="14">
        <v>503.0</v>
      </c>
      <c r="G1442" s="14">
        <v>510.0</v>
      </c>
      <c r="H1442" s="151"/>
      <c r="I1442" s="14" t="s">
        <v>28</v>
      </c>
      <c r="J1442" s="14" t="s">
        <v>16777</v>
      </c>
      <c r="K1442" s="14" t="s">
        <v>35950</v>
      </c>
      <c r="L1442" s="152" t="s">
        <v>1596</v>
      </c>
      <c r="M1442" s="14" t="s">
        <v>35951</v>
      </c>
      <c r="N1442" s="54" t="s">
        <v>35950</v>
      </c>
      <c r="O1442" s="130" t="s">
        <v>16779</v>
      </c>
      <c r="P1442" s="153" t="s">
        <v>16780</v>
      </c>
      <c r="Q1442" s="14">
        <v>1532835.0</v>
      </c>
      <c r="R1442" s="95"/>
      <c r="S1442" s="154" t="s">
        <v>35952</v>
      </c>
      <c r="T1442" s="84"/>
      <c r="U1442" s="84"/>
      <c r="V1442" s="84"/>
      <c r="W1442" s="84"/>
      <c r="X1442" s="84"/>
      <c r="Y1442" s="84"/>
      <c r="Z1442" s="84"/>
      <c r="AA1442" s="84"/>
      <c r="AB1442" s="84"/>
      <c r="AC1442" s="84"/>
    </row>
    <row r="1443" ht="15.75" customHeight="1">
      <c r="A1443" s="14" t="s">
        <v>17</v>
      </c>
      <c r="B1443" s="14">
        <v>2005.0</v>
      </c>
      <c r="C1443" s="14" t="s">
        <v>16267</v>
      </c>
      <c r="D1443" s="14" t="s">
        <v>16268</v>
      </c>
      <c r="E1443" s="150" t="str">
        <f t="shared" si="14"/>
        <v>http://dx.doi.org/10.1109/VISUAL.2005.1532774</v>
      </c>
      <c r="F1443" s="14">
        <v>35.0</v>
      </c>
      <c r="G1443" s="14">
        <v>42.0</v>
      </c>
      <c r="H1443" s="151"/>
      <c r="I1443" s="14" t="s">
        <v>28</v>
      </c>
      <c r="J1443" s="14" t="s">
        <v>16285</v>
      </c>
      <c r="K1443" s="14" t="s">
        <v>35956</v>
      </c>
      <c r="L1443" s="152" t="s">
        <v>16276</v>
      </c>
      <c r="M1443" s="14" t="s">
        <v>35957</v>
      </c>
      <c r="N1443" s="54" t="s">
        <v>35956</v>
      </c>
      <c r="O1443" s="130" t="s">
        <v>16277</v>
      </c>
      <c r="P1443" s="153" t="s">
        <v>16278</v>
      </c>
      <c r="Q1443" s="14">
        <v>1532774.0</v>
      </c>
      <c r="R1443" s="95"/>
      <c r="S1443" s="154" t="s">
        <v>35958</v>
      </c>
      <c r="T1443" s="84"/>
      <c r="U1443" s="84"/>
      <c r="V1443" s="84"/>
      <c r="W1443" s="84"/>
      <c r="X1443" s="84"/>
      <c r="Y1443" s="84"/>
      <c r="Z1443" s="84"/>
      <c r="AA1443" s="84"/>
      <c r="AB1443" s="84"/>
      <c r="AC1443" s="84"/>
    </row>
    <row r="1444" ht="15.75" customHeight="1">
      <c r="A1444" s="14" t="s">
        <v>17</v>
      </c>
      <c r="B1444" s="14">
        <v>2005.0</v>
      </c>
      <c r="C1444" s="14" t="s">
        <v>16863</v>
      </c>
      <c r="D1444" s="14" t="s">
        <v>16864</v>
      </c>
      <c r="E1444" s="150" t="str">
        <f t="shared" si="14"/>
        <v>http://dx.doi.org/10.1109/VISUAL.2005.1532844</v>
      </c>
      <c r="F1444" s="14">
        <v>575.0</v>
      </c>
      <c r="G1444" s="14">
        <v>582.0</v>
      </c>
      <c r="H1444" s="151"/>
      <c r="I1444" s="14" t="s">
        <v>28</v>
      </c>
      <c r="J1444" s="14" t="s">
        <v>16868</v>
      </c>
      <c r="K1444" s="14" t="s">
        <v>35963</v>
      </c>
      <c r="L1444" s="152" t="s">
        <v>16870</v>
      </c>
      <c r="M1444" s="14" t="s">
        <v>35964</v>
      </c>
      <c r="N1444" s="54" t="s">
        <v>35963</v>
      </c>
      <c r="O1444" s="130"/>
      <c r="P1444" s="153" t="s">
        <v>16872</v>
      </c>
      <c r="Q1444" s="14">
        <v>1532844.0</v>
      </c>
      <c r="R1444" s="95"/>
      <c r="S1444" s="154"/>
      <c r="T1444" s="84"/>
      <c r="U1444" s="84"/>
      <c r="V1444" s="84"/>
      <c r="W1444" s="84"/>
      <c r="X1444" s="84"/>
      <c r="Y1444" s="84"/>
      <c r="Z1444" s="84"/>
      <c r="AA1444" s="84"/>
      <c r="AB1444" s="84"/>
      <c r="AC1444" s="84"/>
    </row>
    <row r="1445" ht="15.75" customHeight="1">
      <c r="A1445" s="14" t="s">
        <v>17</v>
      </c>
      <c r="B1445" s="14">
        <v>2005.0</v>
      </c>
      <c r="C1445" s="14" t="s">
        <v>16580</v>
      </c>
      <c r="D1445" s="14" t="s">
        <v>16581</v>
      </c>
      <c r="E1445" s="150" t="str">
        <f t="shared" si="14"/>
        <v>http://dx.doi.org/10.1109/VISUAL.2005.1532811</v>
      </c>
      <c r="F1445" s="14">
        <v>319.0</v>
      </c>
      <c r="G1445" s="14">
        <v>326.0</v>
      </c>
      <c r="H1445" s="151"/>
      <c r="I1445" s="14" t="s">
        <v>28</v>
      </c>
      <c r="J1445" s="14" t="s">
        <v>16583</v>
      </c>
      <c r="K1445" s="14" t="s">
        <v>35967</v>
      </c>
      <c r="L1445" s="152" t="s">
        <v>12225</v>
      </c>
      <c r="M1445" s="14" t="s">
        <v>35969</v>
      </c>
      <c r="N1445" s="54" t="s">
        <v>35967</v>
      </c>
      <c r="O1445" s="130" t="s">
        <v>16585</v>
      </c>
      <c r="P1445" s="153" t="s">
        <v>16586</v>
      </c>
      <c r="Q1445" s="14">
        <v>1532811.0</v>
      </c>
      <c r="R1445" s="95"/>
      <c r="S1445" s="154" t="s">
        <v>35970</v>
      </c>
      <c r="T1445" s="84"/>
      <c r="U1445" s="84"/>
      <c r="V1445" s="84"/>
      <c r="W1445" s="84"/>
      <c r="X1445" s="84"/>
      <c r="Y1445" s="84"/>
      <c r="Z1445" s="84"/>
      <c r="AA1445" s="84"/>
      <c r="AB1445" s="84"/>
      <c r="AC1445" s="84"/>
    </row>
    <row r="1446" ht="15.75" customHeight="1">
      <c r="A1446" s="14" t="s">
        <v>17</v>
      </c>
      <c r="B1446" s="14">
        <v>2005.0</v>
      </c>
      <c r="C1446" s="14" t="s">
        <v>16595</v>
      </c>
      <c r="D1446" s="14" t="s">
        <v>16596</v>
      </c>
      <c r="E1446" s="150" t="str">
        <f t="shared" si="14"/>
        <v>http://dx.doi.org/10.1109/VISUAL.2005.1532813</v>
      </c>
      <c r="F1446" s="14">
        <v>335.0</v>
      </c>
      <c r="G1446" s="14">
        <v>341.0</v>
      </c>
      <c r="H1446" s="151"/>
      <c r="I1446" s="14" t="s">
        <v>28</v>
      </c>
      <c r="J1446" s="14" t="s">
        <v>16598</v>
      </c>
      <c r="K1446" s="14" t="s">
        <v>35973</v>
      </c>
      <c r="L1446" s="152" t="s">
        <v>16600</v>
      </c>
      <c r="M1446" s="14" t="s">
        <v>35975</v>
      </c>
      <c r="N1446" s="54" t="s">
        <v>35976</v>
      </c>
      <c r="O1446" s="130" t="s">
        <v>16601</v>
      </c>
      <c r="P1446" s="153" t="s">
        <v>16602</v>
      </c>
      <c r="Q1446" s="14">
        <v>1532813.0</v>
      </c>
      <c r="R1446" s="95"/>
      <c r="S1446" s="154" t="s">
        <v>35977</v>
      </c>
      <c r="T1446" s="84"/>
      <c r="U1446" s="84"/>
      <c r="V1446" s="84"/>
      <c r="W1446" s="84"/>
      <c r="X1446" s="84"/>
      <c r="Y1446" s="84"/>
      <c r="Z1446" s="84"/>
      <c r="AA1446" s="84"/>
      <c r="AB1446" s="84"/>
      <c r="AC1446" s="84"/>
    </row>
    <row r="1447" ht="15.75" customHeight="1">
      <c r="A1447" s="14" t="s">
        <v>17</v>
      </c>
      <c r="B1447" s="14">
        <v>2005.0</v>
      </c>
      <c r="C1447" s="14" t="s">
        <v>16513</v>
      </c>
      <c r="D1447" s="14" t="s">
        <v>16514</v>
      </c>
      <c r="E1447" s="150" t="str">
        <f t="shared" si="14"/>
        <v>http://dx.doi.org/10.1109/VISUAL.2005.1532802</v>
      </c>
      <c r="F1447" s="14">
        <v>247.0</v>
      </c>
      <c r="G1447" s="14">
        <v>254.0</v>
      </c>
      <c r="H1447" s="151"/>
      <c r="I1447" s="14" t="s">
        <v>28</v>
      </c>
      <c r="J1447" s="14" t="s">
        <v>16516</v>
      </c>
      <c r="K1447" s="14" t="s">
        <v>35981</v>
      </c>
      <c r="L1447" s="152" t="s">
        <v>494</v>
      </c>
      <c r="M1447" s="14" t="s">
        <v>35982</v>
      </c>
      <c r="N1447" s="54" t="s">
        <v>35981</v>
      </c>
      <c r="O1447" s="130" t="s">
        <v>16518</v>
      </c>
      <c r="P1447" s="153" t="s">
        <v>16519</v>
      </c>
      <c r="Q1447" s="14">
        <v>1532802.0</v>
      </c>
      <c r="R1447" s="95"/>
      <c r="S1447" s="154" t="s">
        <v>35984</v>
      </c>
      <c r="T1447" s="84"/>
      <c r="U1447" s="84"/>
      <c r="V1447" s="84"/>
      <c r="W1447" s="84"/>
      <c r="X1447" s="84"/>
      <c r="Y1447" s="84"/>
      <c r="Z1447" s="84"/>
      <c r="AA1447" s="84"/>
      <c r="AB1447" s="84"/>
      <c r="AC1447" s="84"/>
    </row>
    <row r="1448" ht="15.75" customHeight="1">
      <c r="A1448" s="14" t="s">
        <v>17</v>
      </c>
      <c r="B1448" s="14">
        <v>2005.0</v>
      </c>
      <c r="C1448" s="14" t="s">
        <v>16989</v>
      </c>
      <c r="D1448" s="14" t="s">
        <v>16990</v>
      </c>
      <c r="E1448" s="150" t="str">
        <f t="shared" si="14"/>
        <v>http://dx.doi.org/10.1109/VISUAL.2005.1532856</v>
      </c>
      <c r="F1448" s="14">
        <v>671.0</v>
      </c>
      <c r="G1448" s="14">
        <v>678.0</v>
      </c>
      <c r="H1448" s="151"/>
      <c r="I1448" s="14" t="s">
        <v>28</v>
      </c>
      <c r="J1448" s="14" t="s">
        <v>16994</v>
      </c>
      <c r="K1448" s="14" t="s">
        <v>34983</v>
      </c>
      <c r="L1448" s="152" t="s">
        <v>16996</v>
      </c>
      <c r="M1448" s="14" t="s">
        <v>35364</v>
      </c>
      <c r="N1448" s="54" t="s">
        <v>34983</v>
      </c>
      <c r="O1448" s="130" t="s">
        <v>16997</v>
      </c>
      <c r="P1448" s="153" t="s">
        <v>16999</v>
      </c>
      <c r="Q1448" s="14">
        <v>1532856.0</v>
      </c>
      <c r="R1448" s="95"/>
      <c r="S1448" s="154" t="s">
        <v>35988</v>
      </c>
      <c r="T1448" s="84"/>
      <c r="U1448" s="84"/>
      <c r="V1448" s="84"/>
      <c r="W1448" s="84"/>
      <c r="X1448" s="84"/>
      <c r="Y1448" s="84"/>
      <c r="Z1448" s="84"/>
      <c r="AA1448" s="84"/>
      <c r="AB1448" s="84"/>
      <c r="AC1448" s="84"/>
    </row>
    <row r="1449" ht="15.75" customHeight="1">
      <c r="A1449" s="14" t="s">
        <v>2137</v>
      </c>
      <c r="B1449" s="14">
        <v>2004.0</v>
      </c>
      <c r="C1449" s="14" t="s">
        <v>13978</v>
      </c>
      <c r="D1449" s="14" t="s">
        <v>13979</v>
      </c>
      <c r="E1449" s="150" t="str">
        <f t="shared" si="14"/>
        <v>http://dx.doi.org/10.1109/INFVIS.2004.1</v>
      </c>
      <c r="F1449" s="14">
        <v>17.0</v>
      </c>
      <c r="G1449" s="14">
        <v>24.0</v>
      </c>
      <c r="H1449" s="151"/>
      <c r="I1449" s="14" t="s">
        <v>28</v>
      </c>
      <c r="J1449" s="14" t="s">
        <v>15400</v>
      </c>
      <c r="K1449" s="14" t="s">
        <v>35991</v>
      </c>
      <c r="L1449" s="152" t="s">
        <v>13984</v>
      </c>
      <c r="M1449" s="14" t="s">
        <v>35993</v>
      </c>
      <c r="N1449" s="54" t="s">
        <v>35991</v>
      </c>
      <c r="O1449" s="130" t="s">
        <v>12870</v>
      </c>
      <c r="P1449" s="153" t="s">
        <v>13986</v>
      </c>
      <c r="Q1449" s="14">
        <v>1382886.0</v>
      </c>
      <c r="R1449" s="95"/>
      <c r="S1449" s="154">
        <v>1249030.0</v>
      </c>
      <c r="T1449" s="84"/>
      <c r="U1449" s="84"/>
      <c r="V1449" s="84"/>
      <c r="W1449" s="84"/>
      <c r="X1449" s="84"/>
      <c r="Y1449" s="84"/>
      <c r="Z1449" s="84"/>
      <c r="AA1449" s="84"/>
      <c r="AB1449" s="84"/>
      <c r="AC1449" s="84"/>
    </row>
    <row r="1450" ht="15.75" customHeight="1">
      <c r="A1450" s="14" t="s">
        <v>2137</v>
      </c>
      <c r="B1450" s="14">
        <v>2004.0</v>
      </c>
      <c r="C1450" s="14" t="s">
        <v>14135</v>
      </c>
      <c r="D1450" s="14" t="s">
        <v>14136</v>
      </c>
      <c r="E1450" s="150" t="str">
        <f t="shared" si="14"/>
        <v>http://dx.doi.org/10.1109/INFVIS.2004.2</v>
      </c>
      <c r="F1450" s="14">
        <v>49.0</v>
      </c>
      <c r="G1450" s="14">
        <v>56.0</v>
      </c>
      <c r="H1450" s="151"/>
      <c r="I1450" s="14" t="s">
        <v>28</v>
      </c>
      <c r="J1450" s="14" t="s">
        <v>15430</v>
      </c>
      <c r="K1450" s="14" t="s">
        <v>35997</v>
      </c>
      <c r="L1450" s="152" t="s">
        <v>14141</v>
      </c>
      <c r="M1450" s="14" t="s">
        <v>35998</v>
      </c>
      <c r="N1450" s="54" t="s">
        <v>35997</v>
      </c>
      <c r="O1450" s="130" t="s">
        <v>14142</v>
      </c>
      <c r="P1450" s="153" t="s">
        <v>14144</v>
      </c>
      <c r="Q1450" s="14">
        <v>1382890.0</v>
      </c>
      <c r="R1450" s="95"/>
      <c r="S1450" s="154" t="s">
        <v>35999</v>
      </c>
      <c r="T1450" s="84"/>
      <c r="U1450" s="84"/>
      <c r="V1450" s="84"/>
      <c r="W1450" s="84"/>
      <c r="X1450" s="84"/>
      <c r="Y1450" s="84"/>
      <c r="Z1450" s="84"/>
      <c r="AA1450" s="84"/>
      <c r="AB1450" s="84"/>
      <c r="AC1450" s="84"/>
    </row>
    <row r="1451" ht="15.75" customHeight="1">
      <c r="A1451" s="14" t="s">
        <v>2137</v>
      </c>
      <c r="B1451" s="14">
        <v>2004.0</v>
      </c>
      <c r="C1451" s="14" t="s">
        <v>13989</v>
      </c>
      <c r="D1451" s="14" t="s">
        <v>13990</v>
      </c>
      <c r="E1451" s="150" t="str">
        <f t="shared" si="14"/>
        <v>http://dx.doi.org/10.1109/INFVIS.2004.10</v>
      </c>
      <c r="F1451" s="14">
        <v>143.0</v>
      </c>
      <c r="G1451" s="14">
        <v>150.0</v>
      </c>
      <c r="H1451" s="151"/>
      <c r="I1451" s="14" t="s">
        <v>28</v>
      </c>
      <c r="J1451" s="14" t="s">
        <v>15403</v>
      </c>
      <c r="K1451" s="14" t="s">
        <v>36002</v>
      </c>
      <c r="L1451" s="152" t="s">
        <v>13992</v>
      </c>
      <c r="M1451" s="14" t="s">
        <v>36003</v>
      </c>
      <c r="N1451" s="54" t="s">
        <v>36002</v>
      </c>
      <c r="O1451" s="130" t="s">
        <v>13993</v>
      </c>
      <c r="P1451" s="153" t="s">
        <v>13994</v>
      </c>
      <c r="Q1451" s="14">
        <v>1382902.0</v>
      </c>
      <c r="R1451" s="95"/>
      <c r="S1451" s="154" t="s">
        <v>36004</v>
      </c>
      <c r="T1451" s="84"/>
      <c r="U1451" s="84"/>
      <c r="V1451" s="84"/>
      <c r="W1451" s="84"/>
      <c r="X1451" s="84"/>
      <c r="Y1451" s="84"/>
      <c r="Z1451" s="84"/>
      <c r="AA1451" s="84"/>
      <c r="AB1451" s="84"/>
      <c r="AC1451" s="84"/>
    </row>
    <row r="1452" ht="15.75" customHeight="1">
      <c r="A1452" s="14" t="s">
        <v>2137</v>
      </c>
      <c r="B1452" s="14">
        <v>2004.0</v>
      </c>
      <c r="C1452" s="14" t="s">
        <v>14229</v>
      </c>
      <c r="D1452" s="14" t="s">
        <v>14230</v>
      </c>
      <c r="E1452" s="150" t="str">
        <f t="shared" si="14"/>
        <v>http://dx.doi.org/10.1109/INFVIS.2004.3</v>
      </c>
      <c r="F1452" s="14">
        <v>65.0</v>
      </c>
      <c r="G1452" s="14">
        <v>72.0</v>
      </c>
      <c r="H1452" s="151"/>
      <c r="I1452" s="14" t="s">
        <v>28</v>
      </c>
      <c r="J1452" s="14" t="s">
        <v>15459</v>
      </c>
      <c r="K1452" s="14" t="s">
        <v>36008</v>
      </c>
      <c r="L1452" s="152" t="s">
        <v>14236</v>
      </c>
      <c r="M1452" s="14" t="s">
        <v>36009</v>
      </c>
      <c r="N1452" s="54" t="s">
        <v>36010</v>
      </c>
      <c r="O1452" s="130" t="s">
        <v>14238</v>
      </c>
      <c r="P1452" s="153" t="s">
        <v>14239</v>
      </c>
      <c r="Q1452" s="14">
        <v>1382892.0</v>
      </c>
      <c r="R1452" s="95"/>
      <c r="S1452" s="154" t="s">
        <v>36012</v>
      </c>
      <c r="T1452" s="84"/>
      <c r="U1452" s="84"/>
      <c r="V1452" s="84"/>
      <c r="W1452" s="84"/>
      <c r="X1452" s="84"/>
      <c r="Y1452" s="84"/>
      <c r="Z1452" s="84"/>
      <c r="AA1452" s="84"/>
      <c r="AB1452" s="84"/>
      <c r="AC1452" s="84"/>
    </row>
    <row r="1453" ht="15.75" customHeight="1">
      <c r="A1453" s="14" t="s">
        <v>2137</v>
      </c>
      <c r="B1453" s="14">
        <v>2004.0</v>
      </c>
      <c r="C1453" s="14" t="s">
        <v>14270</v>
      </c>
      <c r="D1453" s="14" t="s">
        <v>14271</v>
      </c>
      <c r="E1453" s="150" t="str">
        <f t="shared" si="14"/>
        <v>http://dx.doi.org/10.1109/INFVIS.2004.4</v>
      </c>
      <c r="F1453" s="14" t="s">
        <v>14278</v>
      </c>
      <c r="G1453" s="14" t="s">
        <v>14278</v>
      </c>
      <c r="H1453" s="159" t="s">
        <v>30659</v>
      </c>
      <c r="I1453" s="14" t="s">
        <v>21</v>
      </c>
      <c r="J1453" s="14"/>
      <c r="K1453" s="14" t="s">
        <v>36016</v>
      </c>
      <c r="L1453" s="152" t="s">
        <v>14280</v>
      </c>
      <c r="M1453" s="14" t="s">
        <v>36017</v>
      </c>
      <c r="N1453" s="54" t="s">
        <v>36016</v>
      </c>
      <c r="O1453" s="130"/>
      <c r="P1453" s="16"/>
      <c r="Q1453" s="14">
        <v>1382941.0</v>
      </c>
      <c r="R1453" s="95"/>
      <c r="S1453" s="154"/>
      <c r="T1453" s="84"/>
      <c r="U1453" s="84"/>
      <c r="V1453" s="84"/>
      <c r="W1453" s="84"/>
      <c r="X1453" s="84"/>
      <c r="Y1453" s="84"/>
      <c r="Z1453" s="84"/>
      <c r="AA1453" s="84"/>
      <c r="AB1453" s="84"/>
      <c r="AC1453" s="84"/>
    </row>
    <row r="1454" ht="15.75" customHeight="1">
      <c r="A1454" s="14" t="s">
        <v>2137</v>
      </c>
      <c r="B1454" s="14">
        <v>2004.0</v>
      </c>
      <c r="C1454" s="14" t="s">
        <v>14373</v>
      </c>
      <c r="D1454" s="14" t="s">
        <v>14374</v>
      </c>
      <c r="E1454" s="150" t="str">
        <f t="shared" si="14"/>
        <v>http://dx.doi.org/10.1109/INFVIS.2004.5</v>
      </c>
      <c r="F1454" s="14">
        <v>1.0</v>
      </c>
      <c r="G1454" s="14">
        <v>8.0</v>
      </c>
      <c r="H1454" s="151"/>
      <c r="I1454" s="14" t="s">
        <v>28</v>
      </c>
      <c r="J1454" s="14" t="s">
        <v>15496</v>
      </c>
      <c r="K1454" s="14" t="s">
        <v>36022</v>
      </c>
      <c r="L1454" s="152" t="s">
        <v>14380</v>
      </c>
      <c r="M1454" s="14" t="s">
        <v>36023</v>
      </c>
      <c r="N1454" s="54" t="s">
        <v>36022</v>
      </c>
      <c r="O1454" s="130" t="s">
        <v>6913</v>
      </c>
      <c r="P1454" s="153" t="s">
        <v>14381</v>
      </c>
      <c r="Q1454" s="14">
        <v>1382884.0</v>
      </c>
      <c r="R1454" s="95"/>
      <c r="S1454" s="154">
        <v>963289.0</v>
      </c>
      <c r="T1454" s="84"/>
      <c r="U1454" s="84"/>
      <c r="V1454" s="84"/>
      <c r="W1454" s="84"/>
      <c r="X1454" s="84"/>
      <c r="Y1454" s="84"/>
      <c r="Z1454" s="84"/>
      <c r="AA1454" s="84"/>
      <c r="AB1454" s="84"/>
      <c r="AC1454" s="84"/>
    </row>
    <row r="1455" ht="15.75" customHeight="1">
      <c r="A1455" s="14" t="s">
        <v>2137</v>
      </c>
      <c r="B1455" s="14">
        <v>2004.0</v>
      </c>
      <c r="C1455" s="14" t="s">
        <v>14449</v>
      </c>
      <c r="D1455" s="14" t="s">
        <v>14450</v>
      </c>
      <c r="E1455" s="150" t="str">
        <f t="shared" si="14"/>
        <v>http://dx.doi.org/10.1109/INFVIS.2004.6</v>
      </c>
      <c r="F1455" s="14">
        <v>5.0</v>
      </c>
      <c r="G1455" s="14">
        <v>5.0</v>
      </c>
      <c r="H1455" s="159" t="s">
        <v>30659</v>
      </c>
      <c r="I1455" s="14" t="s">
        <v>21</v>
      </c>
      <c r="J1455" s="14" t="s">
        <v>15518</v>
      </c>
      <c r="K1455" s="14" t="s">
        <v>36027</v>
      </c>
      <c r="L1455" s="152" t="s">
        <v>14456</v>
      </c>
      <c r="M1455" s="14" t="s">
        <v>36029</v>
      </c>
      <c r="N1455" s="54" t="s">
        <v>36027</v>
      </c>
      <c r="O1455" s="130"/>
      <c r="P1455" s="16"/>
      <c r="Q1455" s="14">
        <v>1382916.0</v>
      </c>
      <c r="R1455" s="95"/>
      <c r="S1455" s="154"/>
      <c r="T1455" s="84"/>
      <c r="U1455" s="84"/>
      <c r="V1455" s="84"/>
      <c r="W1455" s="84"/>
      <c r="X1455" s="84"/>
      <c r="Y1455" s="84"/>
      <c r="Z1455" s="84"/>
      <c r="AA1455" s="84"/>
      <c r="AB1455" s="84"/>
      <c r="AC1455" s="84"/>
    </row>
    <row r="1456" ht="15.75" customHeight="1">
      <c r="A1456" s="14" t="s">
        <v>2137</v>
      </c>
      <c r="B1456" s="14">
        <v>2004.0</v>
      </c>
      <c r="C1456" s="14" t="s">
        <v>14534</v>
      </c>
      <c r="D1456" s="14" t="s">
        <v>14535</v>
      </c>
      <c r="E1456" s="150" t="str">
        <f t="shared" si="14"/>
        <v>http://dx.doi.org/10.1109/INFVIS.2004.7</v>
      </c>
      <c r="F1456" s="14">
        <v>8.0</v>
      </c>
      <c r="G1456" s="14">
        <v>8.0</v>
      </c>
      <c r="H1456" s="159" t="s">
        <v>30659</v>
      </c>
      <c r="I1456" s="14" t="s">
        <v>21</v>
      </c>
      <c r="J1456" s="14" t="s">
        <v>15542</v>
      </c>
      <c r="K1456" s="14" t="s">
        <v>36031</v>
      </c>
      <c r="L1456" s="152" t="s">
        <v>14538</v>
      </c>
      <c r="M1456" s="14" t="s">
        <v>36032</v>
      </c>
      <c r="N1456" s="54" t="s">
        <v>36031</v>
      </c>
      <c r="O1456" s="130"/>
      <c r="P1456" s="16"/>
      <c r="Q1456" s="14">
        <v>1382919.0</v>
      </c>
      <c r="R1456" s="95"/>
      <c r="S1456" s="154"/>
      <c r="T1456" s="84"/>
      <c r="U1456" s="84"/>
      <c r="V1456" s="84"/>
      <c r="W1456" s="84"/>
      <c r="X1456" s="84"/>
      <c r="Y1456" s="84"/>
      <c r="Z1456" s="84"/>
      <c r="AA1456" s="84"/>
      <c r="AB1456" s="84"/>
      <c r="AC1456" s="84"/>
    </row>
    <row r="1457" ht="15.75" customHeight="1">
      <c r="A1457" s="14" t="s">
        <v>2137</v>
      </c>
      <c r="B1457" s="14">
        <v>2004.0</v>
      </c>
      <c r="C1457" s="14" t="s">
        <v>14599</v>
      </c>
      <c r="D1457" s="14" t="s">
        <v>14600</v>
      </c>
      <c r="E1457" s="150" t="str">
        <f t="shared" si="14"/>
        <v>http://dx.doi.org/10.1109/INFVIS.2004.8</v>
      </c>
      <c r="F1457" s="14">
        <v>105.0</v>
      </c>
      <c r="G1457" s="14">
        <v>111.0</v>
      </c>
      <c r="H1457" s="151"/>
      <c r="I1457" s="14" t="s">
        <v>28</v>
      </c>
      <c r="J1457" s="14" t="s">
        <v>15566</v>
      </c>
      <c r="K1457" s="14" t="s">
        <v>36036</v>
      </c>
      <c r="L1457" s="152" t="s">
        <v>14606</v>
      </c>
      <c r="M1457" s="14" t="s">
        <v>36037</v>
      </c>
      <c r="N1457" s="54" t="s">
        <v>36036</v>
      </c>
      <c r="O1457" s="130"/>
      <c r="P1457" s="153" t="s">
        <v>14607</v>
      </c>
      <c r="Q1457" s="14">
        <v>1382897.0</v>
      </c>
      <c r="R1457" s="95"/>
      <c r="S1457" s="154"/>
      <c r="T1457" s="84"/>
      <c r="U1457" s="84"/>
      <c r="V1457" s="84"/>
      <c r="W1457" s="84"/>
      <c r="X1457" s="84"/>
      <c r="Y1457" s="84"/>
      <c r="Z1457" s="84"/>
      <c r="AA1457" s="84"/>
      <c r="AB1457" s="84"/>
      <c r="AC1457" s="84"/>
    </row>
    <row r="1458" ht="15.75" customHeight="1">
      <c r="A1458" s="14" t="s">
        <v>2137</v>
      </c>
      <c r="B1458" s="14">
        <v>2004.0</v>
      </c>
      <c r="C1458" s="14" t="s">
        <v>13995</v>
      </c>
      <c r="D1458" s="14" t="s">
        <v>13997</v>
      </c>
      <c r="E1458" s="150" t="str">
        <f t="shared" si="14"/>
        <v>http://dx.doi.org/10.1109/INFVIS.2004.11</v>
      </c>
      <c r="F1458" s="14">
        <v>2.0</v>
      </c>
      <c r="G1458" s="14">
        <v>2.0</v>
      </c>
      <c r="H1458" s="159" t="s">
        <v>30659</v>
      </c>
      <c r="I1458" s="14" t="s">
        <v>21</v>
      </c>
      <c r="J1458" s="14" t="s">
        <v>15406</v>
      </c>
      <c r="K1458" s="14" t="s">
        <v>36040</v>
      </c>
      <c r="L1458" s="152" t="s">
        <v>14081</v>
      </c>
      <c r="M1458" s="14" t="s">
        <v>36042</v>
      </c>
      <c r="N1458" s="54" t="s">
        <v>36040</v>
      </c>
      <c r="O1458" s="130"/>
      <c r="P1458" s="16"/>
      <c r="Q1458" s="14">
        <v>1382913.0</v>
      </c>
      <c r="R1458" s="95"/>
      <c r="S1458" s="154"/>
      <c r="T1458" s="84"/>
      <c r="U1458" s="84"/>
      <c r="V1458" s="84"/>
      <c r="W1458" s="84"/>
      <c r="X1458" s="84"/>
      <c r="Y1458" s="84"/>
      <c r="Z1458" s="84"/>
      <c r="AA1458" s="84"/>
      <c r="AB1458" s="84"/>
      <c r="AC1458" s="84"/>
    </row>
    <row r="1459" ht="15.75" customHeight="1">
      <c r="A1459" s="14" t="s">
        <v>2137</v>
      </c>
      <c r="B1459" s="14">
        <v>2004.0</v>
      </c>
      <c r="C1459" s="14" t="s">
        <v>14082</v>
      </c>
      <c r="D1459" s="14" t="s">
        <v>14083</v>
      </c>
      <c r="E1459" s="150" t="str">
        <f t="shared" si="14"/>
        <v>http://dx.doi.org/10.1109/INFVIS.2004.12</v>
      </c>
      <c r="F1459" s="14">
        <v>159.0</v>
      </c>
      <c r="G1459" s="14">
        <v>166.0</v>
      </c>
      <c r="H1459" s="151"/>
      <c r="I1459" s="14" t="s">
        <v>28</v>
      </c>
      <c r="J1459" s="14" t="s">
        <v>15409</v>
      </c>
      <c r="K1459" s="14" t="s">
        <v>11350</v>
      </c>
      <c r="L1459" s="152" t="s">
        <v>14086</v>
      </c>
      <c r="M1459" s="14">
        <v>3.75648833E10</v>
      </c>
      <c r="N1459" s="54" t="s">
        <v>11350</v>
      </c>
      <c r="O1459" s="130" t="s">
        <v>14087</v>
      </c>
      <c r="P1459" s="153" t="s">
        <v>14088</v>
      </c>
      <c r="Q1459" s="14">
        <v>1382904.0</v>
      </c>
      <c r="R1459" s="95"/>
      <c r="S1459" s="154" t="s">
        <v>36046</v>
      </c>
      <c r="T1459" s="84"/>
      <c r="U1459" s="84"/>
      <c r="V1459" s="84"/>
      <c r="W1459" s="84"/>
      <c r="X1459" s="84"/>
      <c r="Y1459" s="84"/>
      <c r="Z1459" s="84"/>
      <c r="AA1459" s="84"/>
      <c r="AB1459" s="84"/>
      <c r="AC1459" s="84"/>
    </row>
    <row r="1460" ht="15.75" customHeight="1">
      <c r="A1460" s="14" t="s">
        <v>2137</v>
      </c>
      <c r="B1460" s="14">
        <v>2004.0</v>
      </c>
      <c r="C1460" s="14" t="s">
        <v>14089</v>
      </c>
      <c r="D1460" s="14" t="s">
        <v>14090</v>
      </c>
      <c r="E1460" s="150" t="str">
        <f t="shared" si="14"/>
        <v>http://dx.doi.org/10.1109/INFVIS.2004.13</v>
      </c>
      <c r="F1460" s="14" t="s">
        <v>14092</v>
      </c>
      <c r="G1460" s="14" t="s">
        <v>14092</v>
      </c>
      <c r="H1460" s="159" t="s">
        <v>30659</v>
      </c>
      <c r="I1460" s="14" t="s">
        <v>21</v>
      </c>
      <c r="J1460" s="14"/>
      <c r="K1460" s="16" t="s">
        <v>36049</v>
      </c>
      <c r="L1460" s="152"/>
      <c r="M1460" s="14"/>
      <c r="N1460" s="16" t="s">
        <v>10253</v>
      </c>
      <c r="O1460" s="130"/>
      <c r="P1460" s="16"/>
      <c r="Q1460" s="14">
        <v>1382883.0</v>
      </c>
      <c r="R1460" s="95"/>
      <c r="S1460" s="154"/>
      <c r="T1460" s="84"/>
      <c r="U1460" s="84"/>
      <c r="V1460" s="84"/>
      <c r="W1460" s="84"/>
      <c r="X1460" s="84"/>
      <c r="Y1460" s="84"/>
      <c r="Z1460" s="84"/>
      <c r="AA1460" s="84"/>
      <c r="AB1460" s="84"/>
      <c r="AC1460" s="84"/>
    </row>
    <row r="1461" ht="15.75" customHeight="1">
      <c r="A1461" s="14" t="s">
        <v>2137</v>
      </c>
      <c r="B1461" s="14">
        <v>2004.0</v>
      </c>
      <c r="C1461" s="14" t="s">
        <v>14094</v>
      </c>
      <c r="D1461" s="14" t="s">
        <v>14095</v>
      </c>
      <c r="E1461" s="150" t="str">
        <f t="shared" si="14"/>
        <v>http://dx.doi.org/10.1109/INFVIS.2004.14</v>
      </c>
      <c r="F1461" s="14" t="s">
        <v>14097</v>
      </c>
      <c r="G1461" s="14" t="s">
        <v>14097</v>
      </c>
      <c r="H1461" s="159" t="s">
        <v>30659</v>
      </c>
      <c r="I1461" s="14" t="s">
        <v>21</v>
      </c>
      <c r="J1461" s="14" t="s">
        <v>15414</v>
      </c>
      <c r="K1461" s="14" t="s">
        <v>11190</v>
      </c>
      <c r="L1461" s="152" t="s">
        <v>14098</v>
      </c>
      <c r="M1461" s="14">
        <v>3.7326291E10</v>
      </c>
      <c r="N1461" s="54" t="s">
        <v>11190</v>
      </c>
      <c r="O1461" s="130"/>
      <c r="P1461" s="16"/>
      <c r="Q1461" s="14">
        <v>1382938.0</v>
      </c>
      <c r="R1461" s="95"/>
      <c r="S1461" s="154"/>
      <c r="T1461" s="84"/>
      <c r="U1461" s="84"/>
      <c r="V1461" s="84"/>
      <c r="W1461" s="84"/>
      <c r="X1461" s="84"/>
      <c r="Y1461" s="84"/>
      <c r="Z1461" s="84"/>
      <c r="AA1461" s="84"/>
      <c r="AB1461" s="84"/>
      <c r="AC1461" s="84"/>
    </row>
    <row r="1462" ht="15.75" customHeight="1">
      <c r="A1462" s="14" t="s">
        <v>2137</v>
      </c>
      <c r="B1462" s="14">
        <v>2004.0</v>
      </c>
      <c r="C1462" s="14" t="s">
        <v>14099</v>
      </c>
      <c r="D1462" s="14" t="s">
        <v>14100</v>
      </c>
      <c r="E1462" s="150" t="str">
        <f t="shared" si="14"/>
        <v>http://dx.doi.org/10.1109/INFVIS.2004.15</v>
      </c>
      <c r="F1462" s="14">
        <v>89.0</v>
      </c>
      <c r="G1462" s="14">
        <v>96.0</v>
      </c>
      <c r="H1462" s="151"/>
      <c r="I1462" s="14" t="s">
        <v>28</v>
      </c>
      <c r="J1462" s="14" t="s">
        <v>15416</v>
      </c>
      <c r="K1462" s="14" t="s">
        <v>36413</v>
      </c>
      <c r="L1462" s="152" t="s">
        <v>14103</v>
      </c>
      <c r="M1462" s="14" t="s">
        <v>36414</v>
      </c>
      <c r="N1462" s="54" t="s">
        <v>36413</v>
      </c>
      <c r="O1462" s="130" t="s">
        <v>14104</v>
      </c>
      <c r="P1462" s="153" t="s">
        <v>14105</v>
      </c>
      <c r="Q1462" s="14">
        <v>1382895.0</v>
      </c>
      <c r="R1462" s="95"/>
      <c r="S1462" s="154" t="s">
        <v>36415</v>
      </c>
      <c r="T1462" s="84"/>
      <c r="U1462" s="84"/>
      <c r="V1462" s="84"/>
      <c r="W1462" s="84"/>
      <c r="X1462" s="84"/>
      <c r="Y1462" s="84"/>
      <c r="Z1462" s="84"/>
      <c r="AA1462" s="84"/>
      <c r="AB1462" s="84"/>
      <c r="AC1462" s="84"/>
    </row>
    <row r="1463" ht="15.75" customHeight="1">
      <c r="A1463" s="14" t="s">
        <v>2137</v>
      </c>
      <c r="B1463" s="14">
        <v>2004.0</v>
      </c>
      <c r="C1463" s="14" t="s">
        <v>14106</v>
      </c>
      <c r="D1463" s="14" t="s">
        <v>14107</v>
      </c>
      <c r="E1463" s="150" t="str">
        <f t="shared" si="14"/>
        <v>http://dx.doi.org/10.1109/INFVIS.2004.16</v>
      </c>
      <c r="F1463" s="14">
        <v>19.0</v>
      </c>
      <c r="G1463" s="14">
        <v>19.0</v>
      </c>
      <c r="H1463" s="159" t="s">
        <v>30659</v>
      </c>
      <c r="I1463" s="14" t="s">
        <v>21</v>
      </c>
      <c r="J1463" s="14" t="s">
        <v>36416</v>
      </c>
      <c r="K1463" s="14" t="s">
        <v>36417</v>
      </c>
      <c r="L1463" s="152" t="s">
        <v>14110</v>
      </c>
      <c r="M1463" s="14" t="s">
        <v>36418</v>
      </c>
      <c r="N1463" s="54" t="s">
        <v>36419</v>
      </c>
      <c r="O1463" s="130"/>
      <c r="P1463" s="16"/>
      <c r="Q1463" s="14">
        <v>1382930.0</v>
      </c>
      <c r="R1463" s="95"/>
      <c r="S1463" s="154"/>
      <c r="T1463" s="84"/>
      <c r="U1463" s="84"/>
      <c r="V1463" s="84"/>
      <c r="W1463" s="84"/>
      <c r="X1463" s="84"/>
      <c r="Y1463" s="84"/>
      <c r="Z1463" s="84"/>
      <c r="AA1463" s="84"/>
      <c r="AB1463" s="84"/>
      <c r="AC1463" s="84"/>
    </row>
    <row r="1464" ht="15.75" customHeight="1">
      <c r="A1464" s="14" t="s">
        <v>2137</v>
      </c>
      <c r="B1464" s="14">
        <v>2004.0</v>
      </c>
      <c r="C1464" s="14" t="s">
        <v>14111</v>
      </c>
      <c r="D1464" s="14" t="s">
        <v>14112</v>
      </c>
      <c r="E1464" s="150" t="str">
        <f t="shared" si="14"/>
        <v>http://dx.doi.org/10.1109/INFVIS.2004.17</v>
      </c>
      <c r="F1464" s="14">
        <v>21.0</v>
      </c>
      <c r="G1464" s="14">
        <v>21.0</v>
      </c>
      <c r="H1464" s="159" t="s">
        <v>30659</v>
      </c>
      <c r="I1464" s="14" t="s">
        <v>21</v>
      </c>
      <c r="J1464" s="14" t="s">
        <v>15421</v>
      </c>
      <c r="K1464" s="14" t="s">
        <v>36420</v>
      </c>
      <c r="L1464" s="152" t="s">
        <v>14115</v>
      </c>
      <c r="M1464" s="14" t="s">
        <v>36421</v>
      </c>
      <c r="N1464" s="54" t="s">
        <v>36420</v>
      </c>
      <c r="O1464" s="130"/>
      <c r="P1464" s="16"/>
      <c r="Q1464" s="14">
        <v>1382932.0</v>
      </c>
      <c r="R1464" s="95"/>
      <c r="S1464" s="154"/>
      <c r="T1464" s="84"/>
      <c r="U1464" s="84"/>
      <c r="V1464" s="84"/>
      <c r="W1464" s="84"/>
      <c r="X1464" s="84"/>
      <c r="Y1464" s="84"/>
      <c r="Z1464" s="84"/>
      <c r="AA1464" s="84"/>
      <c r="AB1464" s="84"/>
      <c r="AC1464" s="84"/>
    </row>
    <row r="1465" ht="15.75" customHeight="1">
      <c r="A1465" s="14" t="s">
        <v>2137</v>
      </c>
      <c r="B1465" s="14">
        <v>2004.0</v>
      </c>
      <c r="C1465" s="14" t="s">
        <v>14116</v>
      </c>
      <c r="D1465" s="14" t="s">
        <v>14117</v>
      </c>
      <c r="E1465" s="150" t="str">
        <f t="shared" si="14"/>
        <v>http://dx.doi.org/10.1109/INFVIS.2004.18</v>
      </c>
      <c r="F1465" s="14">
        <v>191.0</v>
      </c>
      <c r="G1465" s="14">
        <v>198.0</v>
      </c>
      <c r="H1465" s="151"/>
      <c r="I1465" s="14" t="s">
        <v>28</v>
      </c>
      <c r="J1465" s="14" t="s">
        <v>15424</v>
      </c>
      <c r="K1465" s="14" t="s">
        <v>34746</v>
      </c>
      <c r="L1465" s="152" t="s">
        <v>14121</v>
      </c>
      <c r="M1465" s="14" t="s">
        <v>34747</v>
      </c>
      <c r="N1465" s="54" t="s">
        <v>34746</v>
      </c>
      <c r="O1465" s="130" t="s">
        <v>4821</v>
      </c>
      <c r="P1465" s="153" t="s">
        <v>14122</v>
      </c>
      <c r="Q1465" s="14">
        <v>1382908.0</v>
      </c>
      <c r="R1465" s="95"/>
      <c r="S1465" s="154">
        <v>801859.0</v>
      </c>
      <c r="T1465" s="84"/>
      <c r="U1465" s="84"/>
      <c r="V1465" s="84"/>
      <c r="W1465" s="84"/>
      <c r="X1465" s="84"/>
      <c r="Y1465" s="84"/>
      <c r="Z1465" s="84"/>
      <c r="AA1465" s="84"/>
      <c r="AB1465" s="84"/>
      <c r="AC1465" s="84"/>
    </row>
    <row r="1466" ht="15.75" customHeight="1">
      <c r="A1466" s="14" t="s">
        <v>2137</v>
      </c>
      <c r="B1466" s="14">
        <v>2004.0</v>
      </c>
      <c r="C1466" s="14" t="s">
        <v>14125</v>
      </c>
      <c r="D1466" s="14" t="s">
        <v>14126</v>
      </c>
      <c r="E1466" s="150" t="str">
        <f t="shared" si="14"/>
        <v>http://dx.doi.org/10.1109/INFVIS.2004.19</v>
      </c>
      <c r="F1466" s="14">
        <v>127.0</v>
      </c>
      <c r="G1466" s="14">
        <v>134.0</v>
      </c>
      <c r="H1466" s="151"/>
      <c r="I1466" s="14" t="s">
        <v>28</v>
      </c>
      <c r="J1466" s="14" t="s">
        <v>15427</v>
      </c>
      <c r="K1466" s="14" t="s">
        <v>36422</v>
      </c>
      <c r="L1466" s="152" t="s">
        <v>14132</v>
      </c>
      <c r="M1466" s="14" t="s">
        <v>36423</v>
      </c>
      <c r="N1466" s="54" t="s">
        <v>36422</v>
      </c>
      <c r="O1466" s="130" t="s">
        <v>14133</v>
      </c>
      <c r="P1466" s="153" t="s">
        <v>14134</v>
      </c>
      <c r="Q1466" s="14">
        <v>1382900.0</v>
      </c>
      <c r="R1466" s="95"/>
      <c r="S1466" s="154" t="s">
        <v>36424</v>
      </c>
      <c r="T1466" s="84"/>
      <c r="U1466" s="84"/>
      <c r="V1466" s="84"/>
      <c r="W1466" s="84"/>
      <c r="X1466" s="84"/>
      <c r="Y1466" s="84"/>
      <c r="Z1466" s="84"/>
      <c r="AA1466" s="84"/>
      <c r="AB1466" s="84"/>
      <c r="AC1466" s="84"/>
    </row>
    <row r="1467" ht="15.75" customHeight="1">
      <c r="A1467" s="14" t="s">
        <v>2137</v>
      </c>
      <c r="B1467" s="14">
        <v>2004.0</v>
      </c>
      <c r="C1467" s="14" t="s">
        <v>14147</v>
      </c>
      <c r="D1467" s="14" t="s">
        <v>14148</v>
      </c>
      <c r="E1467" s="150" t="str">
        <f t="shared" si="14"/>
        <v>http://dx.doi.org/10.1109/INFVIS.2004.20</v>
      </c>
      <c r="F1467" s="14">
        <v>16.0</v>
      </c>
      <c r="G1467" s="14">
        <v>16.0</v>
      </c>
      <c r="H1467" s="159" t="s">
        <v>30659</v>
      </c>
      <c r="I1467" s="14" t="s">
        <v>21</v>
      </c>
      <c r="J1467" s="14" t="s">
        <v>36425</v>
      </c>
      <c r="K1467" s="14" t="s">
        <v>36426</v>
      </c>
      <c r="L1467" s="152" t="s">
        <v>14154</v>
      </c>
      <c r="M1467" s="14" t="s">
        <v>36427</v>
      </c>
      <c r="N1467" s="54" t="s">
        <v>36426</v>
      </c>
      <c r="O1467" s="130"/>
      <c r="P1467" s="16"/>
      <c r="Q1467" s="14">
        <v>1382927.0</v>
      </c>
      <c r="R1467" s="95"/>
      <c r="S1467" s="154"/>
      <c r="T1467" s="84"/>
      <c r="U1467" s="84"/>
      <c r="V1467" s="84"/>
      <c r="W1467" s="84"/>
      <c r="X1467" s="84"/>
      <c r="Y1467" s="84"/>
      <c r="Z1467" s="84"/>
      <c r="AA1467" s="84"/>
      <c r="AB1467" s="84"/>
      <c r="AC1467" s="84"/>
    </row>
    <row r="1468" ht="15.75" customHeight="1">
      <c r="A1468" s="14" t="s">
        <v>2137</v>
      </c>
      <c r="B1468" s="14">
        <v>2004.0</v>
      </c>
      <c r="C1468" s="14" t="s">
        <v>14155</v>
      </c>
      <c r="D1468" s="14" t="s">
        <v>14156</v>
      </c>
      <c r="E1468" s="150" t="str">
        <f t="shared" si="14"/>
        <v>http://dx.doi.org/10.1109/INFVIS.2004.21</v>
      </c>
      <c r="F1468" s="14">
        <v>119.0</v>
      </c>
      <c r="G1468" s="14">
        <v>126.0</v>
      </c>
      <c r="H1468" s="151"/>
      <c r="I1468" s="14" t="s">
        <v>28</v>
      </c>
      <c r="J1468" s="14" t="s">
        <v>15436</v>
      </c>
      <c r="K1468" s="14" t="s">
        <v>36428</v>
      </c>
      <c r="L1468" s="152" t="s">
        <v>14161</v>
      </c>
      <c r="M1468" s="14" t="s">
        <v>36429</v>
      </c>
      <c r="N1468" s="54" t="s">
        <v>36428</v>
      </c>
      <c r="O1468" s="130" t="s">
        <v>14162</v>
      </c>
      <c r="P1468" s="153" t="s">
        <v>14163</v>
      </c>
      <c r="Q1468" s="14">
        <v>1382899.0</v>
      </c>
      <c r="R1468" s="95"/>
      <c r="S1468" s="154" t="s">
        <v>36430</v>
      </c>
      <c r="T1468" s="84"/>
      <c r="U1468" s="84"/>
      <c r="V1468" s="84"/>
      <c r="W1468" s="84"/>
      <c r="X1468" s="84"/>
      <c r="Y1468" s="84"/>
      <c r="Z1468" s="84"/>
      <c r="AA1468" s="84"/>
      <c r="AB1468" s="84"/>
      <c r="AC1468" s="84"/>
    </row>
    <row r="1469" ht="15.75" customHeight="1">
      <c r="A1469" s="14" t="s">
        <v>2137</v>
      </c>
      <c r="B1469" s="14">
        <v>2004.0</v>
      </c>
      <c r="C1469" s="14" t="s">
        <v>14164</v>
      </c>
      <c r="D1469" s="14" t="s">
        <v>14165</v>
      </c>
      <c r="E1469" s="150" t="str">
        <f t="shared" si="14"/>
        <v>http://dx.doi.org/10.1109/INFVIS.2004.22</v>
      </c>
      <c r="F1469" s="14" t="s">
        <v>14171</v>
      </c>
      <c r="G1469" s="14" t="s">
        <v>14171</v>
      </c>
      <c r="H1469" s="159" t="s">
        <v>30659</v>
      </c>
      <c r="I1469" s="14" t="s">
        <v>21</v>
      </c>
      <c r="J1469" s="14"/>
      <c r="K1469" s="14" t="s">
        <v>36431</v>
      </c>
      <c r="L1469" s="152" t="s">
        <v>14174</v>
      </c>
      <c r="M1469" s="14" t="s">
        <v>36432</v>
      </c>
      <c r="N1469" s="54" t="s">
        <v>36431</v>
      </c>
      <c r="O1469" s="130"/>
      <c r="P1469" s="16"/>
      <c r="Q1469" s="14">
        <v>1382939.0</v>
      </c>
      <c r="R1469" s="95"/>
      <c r="S1469" s="154"/>
      <c r="T1469" s="84"/>
      <c r="U1469" s="84"/>
      <c r="V1469" s="84"/>
      <c r="W1469" s="84"/>
      <c r="X1469" s="84"/>
      <c r="Y1469" s="84"/>
      <c r="Z1469" s="84"/>
      <c r="AA1469" s="84"/>
      <c r="AB1469" s="84"/>
      <c r="AC1469" s="84"/>
    </row>
    <row r="1470" ht="15.75" customHeight="1">
      <c r="A1470" s="14" t="s">
        <v>2137</v>
      </c>
      <c r="B1470" s="14">
        <v>2004.0</v>
      </c>
      <c r="C1470" s="14" t="s">
        <v>14175</v>
      </c>
      <c r="D1470" s="14" t="s">
        <v>14176</v>
      </c>
      <c r="E1470" s="150" t="str">
        <f t="shared" si="14"/>
        <v>http://dx.doi.org/10.1109/INFVIS.2004.23</v>
      </c>
      <c r="F1470" s="14" t="s">
        <v>14180</v>
      </c>
      <c r="G1470" s="14" t="s">
        <v>14180</v>
      </c>
      <c r="H1470" s="159" t="s">
        <v>30659</v>
      </c>
      <c r="I1470" s="14" t="s">
        <v>21</v>
      </c>
      <c r="J1470" s="14" t="s">
        <v>15442</v>
      </c>
      <c r="K1470" s="14" t="s">
        <v>36433</v>
      </c>
      <c r="L1470" s="152" t="s">
        <v>36434</v>
      </c>
      <c r="M1470" s="14" t="s">
        <v>36435</v>
      </c>
      <c r="N1470" s="54" t="s">
        <v>36433</v>
      </c>
      <c r="O1470" s="130"/>
      <c r="P1470" s="16"/>
      <c r="Q1470" s="14">
        <v>1382943.0</v>
      </c>
      <c r="R1470" s="95"/>
      <c r="S1470" s="154"/>
      <c r="T1470" s="84"/>
      <c r="U1470" s="84"/>
      <c r="V1470" s="84"/>
      <c r="W1470" s="84"/>
      <c r="X1470" s="84"/>
      <c r="Y1470" s="84"/>
      <c r="Z1470" s="84"/>
      <c r="AA1470" s="84"/>
      <c r="AB1470" s="84"/>
      <c r="AC1470" s="84"/>
    </row>
    <row r="1471" ht="15.75" customHeight="1">
      <c r="A1471" s="14" t="s">
        <v>2137</v>
      </c>
      <c r="B1471" s="14">
        <v>2004.0</v>
      </c>
      <c r="C1471" s="14" t="s">
        <v>14183</v>
      </c>
      <c r="D1471" s="14" t="s">
        <v>14184</v>
      </c>
      <c r="E1471" s="150" t="str">
        <f t="shared" si="14"/>
        <v>http://dx.doi.org/10.1109/INFVIS.2004.25</v>
      </c>
      <c r="F1471" s="14">
        <v>41.0</v>
      </c>
      <c r="G1471" s="14">
        <v>48.0</v>
      </c>
      <c r="H1471" s="151"/>
      <c r="I1471" s="14" t="s">
        <v>28</v>
      </c>
      <c r="J1471" s="14" t="s">
        <v>15445</v>
      </c>
      <c r="K1471" s="14" t="s">
        <v>36436</v>
      </c>
      <c r="L1471" s="152" t="s">
        <v>14189</v>
      </c>
      <c r="M1471" s="14" t="s">
        <v>36437</v>
      </c>
      <c r="N1471" s="54" t="s">
        <v>36436</v>
      </c>
      <c r="O1471" s="130" t="s">
        <v>14190</v>
      </c>
      <c r="P1471" s="153" t="s">
        <v>14191</v>
      </c>
      <c r="Q1471" s="14">
        <v>1382889.0</v>
      </c>
      <c r="R1471" s="95"/>
      <c r="S1471" s="154" t="s">
        <v>36438</v>
      </c>
      <c r="T1471" s="84"/>
      <c r="U1471" s="84"/>
      <c r="V1471" s="84"/>
      <c r="W1471" s="84"/>
      <c r="X1471" s="84"/>
      <c r="Y1471" s="84"/>
      <c r="Z1471" s="84"/>
      <c r="AA1471" s="84"/>
      <c r="AB1471" s="84"/>
      <c r="AC1471" s="84"/>
    </row>
    <row r="1472" ht="15.75" customHeight="1">
      <c r="A1472" s="14" t="s">
        <v>2137</v>
      </c>
      <c r="B1472" s="14">
        <v>2004.0</v>
      </c>
      <c r="C1472" s="14" t="s">
        <v>14192</v>
      </c>
      <c r="D1472" s="14" t="s">
        <v>14193</v>
      </c>
      <c r="E1472" s="150" t="str">
        <f t="shared" si="14"/>
        <v>http://dx.doi.org/10.1109/INFVIS.2004.26</v>
      </c>
      <c r="F1472" s="14">
        <v>14.0</v>
      </c>
      <c r="G1472" s="14">
        <v>14.0</v>
      </c>
      <c r="H1472" s="159" t="s">
        <v>30659</v>
      </c>
      <c r="I1472" s="14" t="s">
        <v>21</v>
      </c>
      <c r="J1472" s="14" t="s">
        <v>15447</v>
      </c>
      <c r="K1472" s="14" t="s">
        <v>36439</v>
      </c>
      <c r="L1472" s="152" t="s">
        <v>14199</v>
      </c>
      <c r="M1472" s="14" t="s">
        <v>36440</v>
      </c>
      <c r="N1472" s="54" t="s">
        <v>36439</v>
      </c>
      <c r="O1472" s="130"/>
      <c r="P1472" s="16"/>
      <c r="Q1472" s="14">
        <v>1382925.0</v>
      </c>
      <c r="R1472" s="95"/>
      <c r="S1472" s="154"/>
      <c r="T1472" s="84"/>
      <c r="U1472" s="84"/>
      <c r="V1472" s="84"/>
      <c r="W1472" s="84"/>
      <c r="X1472" s="84"/>
      <c r="Y1472" s="84"/>
      <c r="Z1472" s="84"/>
      <c r="AA1472" s="84"/>
      <c r="AB1472" s="84"/>
      <c r="AC1472" s="84"/>
    </row>
    <row r="1473" ht="15.75" customHeight="1">
      <c r="A1473" s="14" t="s">
        <v>2137</v>
      </c>
      <c r="B1473" s="14">
        <v>2004.0</v>
      </c>
      <c r="C1473" s="14" t="s">
        <v>14200</v>
      </c>
      <c r="D1473" s="14" t="s">
        <v>14202</v>
      </c>
      <c r="E1473" s="150" t="str">
        <f t="shared" si="14"/>
        <v>http://dx.doi.org/10.1109/INFVIS.2004.27</v>
      </c>
      <c r="F1473" s="14">
        <v>25.0</v>
      </c>
      <c r="G1473" s="14">
        <v>32.0</v>
      </c>
      <c r="H1473" s="151"/>
      <c r="I1473" s="14" t="s">
        <v>28</v>
      </c>
      <c r="J1473" s="14" t="s">
        <v>15450</v>
      </c>
      <c r="K1473" s="14" t="s">
        <v>36441</v>
      </c>
      <c r="L1473" s="152" t="s">
        <v>178</v>
      </c>
      <c r="M1473" s="14" t="s">
        <v>36442</v>
      </c>
      <c r="N1473" s="54" t="s">
        <v>36441</v>
      </c>
      <c r="O1473" s="130" t="s">
        <v>12884</v>
      </c>
      <c r="P1473" s="153" t="s">
        <v>14210</v>
      </c>
      <c r="Q1473" s="14">
        <v>1382887.0</v>
      </c>
      <c r="R1473" s="95"/>
      <c r="S1473" s="154">
        <v>1249006.0</v>
      </c>
      <c r="T1473" s="84"/>
      <c r="U1473" s="84"/>
      <c r="V1473" s="84"/>
      <c r="W1473" s="84"/>
      <c r="X1473" s="84"/>
      <c r="Y1473" s="84"/>
      <c r="Z1473" s="84"/>
      <c r="AA1473" s="84"/>
      <c r="AB1473" s="84"/>
      <c r="AC1473" s="84"/>
    </row>
    <row r="1474" ht="15.75" customHeight="1">
      <c r="A1474" s="14" t="s">
        <v>2137</v>
      </c>
      <c r="B1474" s="14">
        <v>2004.0</v>
      </c>
      <c r="C1474" s="14" t="s">
        <v>14211</v>
      </c>
      <c r="D1474" s="14" t="s">
        <v>14212</v>
      </c>
      <c r="E1474" s="150" t="str">
        <f t="shared" si="14"/>
        <v>http://dx.doi.org/10.1109/INFVIS.2004.28</v>
      </c>
      <c r="F1474" s="14">
        <v>17.0</v>
      </c>
      <c r="G1474" s="14">
        <v>17.0</v>
      </c>
      <c r="H1474" s="159" t="s">
        <v>30659</v>
      </c>
      <c r="I1474" s="14" t="s">
        <v>21</v>
      </c>
      <c r="J1474" s="14" t="s">
        <v>15453</v>
      </c>
      <c r="K1474" s="14" t="s">
        <v>36443</v>
      </c>
      <c r="L1474" s="152" t="s">
        <v>14218</v>
      </c>
      <c r="M1474" s="14" t="s">
        <v>36444</v>
      </c>
      <c r="N1474" s="54" t="s">
        <v>36443</v>
      </c>
      <c r="O1474" s="130"/>
      <c r="P1474" s="16"/>
      <c r="Q1474" s="14">
        <v>1382928.0</v>
      </c>
      <c r="R1474" s="95"/>
      <c r="S1474" s="154"/>
      <c r="T1474" s="84"/>
      <c r="U1474" s="84"/>
      <c r="V1474" s="84"/>
      <c r="W1474" s="84"/>
      <c r="X1474" s="84"/>
      <c r="Y1474" s="84"/>
      <c r="Z1474" s="84"/>
      <c r="AA1474" s="84"/>
      <c r="AB1474" s="84"/>
      <c r="AC1474" s="84"/>
    </row>
    <row r="1475" ht="15.75" customHeight="1">
      <c r="A1475" s="14" t="s">
        <v>2137</v>
      </c>
      <c r="B1475" s="14">
        <v>2004.0</v>
      </c>
      <c r="C1475" s="14" t="s">
        <v>14220</v>
      </c>
      <c r="D1475" s="14" t="s">
        <v>14222</v>
      </c>
      <c r="E1475" s="150" t="str">
        <f t="shared" si="14"/>
        <v>http://dx.doi.org/10.1109/INFVIS.2004.29</v>
      </c>
      <c r="F1475" s="14">
        <v>4.0</v>
      </c>
      <c r="G1475" s="14">
        <v>4.0</v>
      </c>
      <c r="H1475" s="159" t="s">
        <v>30659</v>
      </c>
      <c r="I1475" s="14" t="s">
        <v>21</v>
      </c>
      <c r="J1475" s="14" t="s">
        <v>15456</v>
      </c>
      <c r="K1475" s="14" t="s">
        <v>36445</v>
      </c>
      <c r="L1475" s="152" t="s">
        <v>14228</v>
      </c>
      <c r="M1475" s="14" t="s">
        <v>36446</v>
      </c>
      <c r="N1475" s="54" t="s">
        <v>36445</v>
      </c>
      <c r="O1475" s="130"/>
      <c r="P1475" s="16"/>
      <c r="Q1475" s="14">
        <v>1382915.0</v>
      </c>
      <c r="R1475" s="95"/>
      <c r="S1475" s="154"/>
      <c r="T1475" s="84"/>
      <c r="U1475" s="84"/>
      <c r="V1475" s="84"/>
      <c r="W1475" s="84"/>
      <c r="X1475" s="84"/>
      <c r="Y1475" s="84"/>
      <c r="Z1475" s="84"/>
      <c r="AA1475" s="84"/>
      <c r="AB1475" s="84"/>
      <c r="AC1475" s="84"/>
    </row>
    <row r="1476" ht="15.75" customHeight="1">
      <c r="A1476" s="14" t="s">
        <v>2137</v>
      </c>
      <c r="B1476" s="14">
        <v>2004.0</v>
      </c>
      <c r="C1476" s="14" t="s">
        <v>14242</v>
      </c>
      <c r="D1476" s="14" t="s">
        <v>14243</v>
      </c>
      <c r="E1476" s="150" t="str">
        <f t="shared" si="14"/>
        <v>http://dx.doi.org/10.1109/INFVIS.2004.37</v>
      </c>
      <c r="F1476" s="14" t="s">
        <v>14248</v>
      </c>
      <c r="G1476" s="14" t="s">
        <v>14248</v>
      </c>
      <c r="H1476" s="159" t="s">
        <v>30659</v>
      </c>
      <c r="I1476" s="14" t="s">
        <v>21</v>
      </c>
      <c r="J1476" s="14" t="s">
        <v>15462</v>
      </c>
      <c r="K1476" s="14" t="s">
        <v>36447</v>
      </c>
      <c r="L1476" s="152" t="s">
        <v>14250</v>
      </c>
      <c r="M1476" s="14" t="s">
        <v>36448</v>
      </c>
      <c r="N1476" s="54" t="s">
        <v>36449</v>
      </c>
      <c r="O1476" s="130"/>
      <c r="P1476" s="16"/>
      <c r="Q1476" s="14">
        <v>1382935.0</v>
      </c>
      <c r="R1476" s="95"/>
      <c r="S1476" s="154"/>
      <c r="T1476" s="84"/>
      <c r="U1476" s="84"/>
      <c r="V1476" s="84"/>
      <c r="W1476" s="84"/>
      <c r="X1476" s="84"/>
      <c r="Y1476" s="84"/>
      <c r="Z1476" s="84"/>
      <c r="AA1476" s="84"/>
      <c r="AB1476" s="84"/>
      <c r="AC1476" s="84"/>
    </row>
    <row r="1477" ht="15.75" customHeight="1">
      <c r="A1477" s="14" t="s">
        <v>2137</v>
      </c>
      <c r="B1477" s="14">
        <v>2004.0</v>
      </c>
      <c r="C1477" s="14" t="s">
        <v>14251</v>
      </c>
      <c r="D1477" s="14" t="s">
        <v>14252</v>
      </c>
      <c r="E1477" s="150" t="str">
        <f t="shared" si="14"/>
        <v>http://dx.doi.org/10.1109/INFVIS.2004.38</v>
      </c>
      <c r="F1477" s="14" t="s">
        <v>14259</v>
      </c>
      <c r="G1477" s="14" t="s">
        <v>14259</v>
      </c>
      <c r="H1477" s="159" t="s">
        <v>30659</v>
      </c>
      <c r="I1477" s="14" t="s">
        <v>21</v>
      </c>
      <c r="J1477" s="14" t="s">
        <v>15464</v>
      </c>
      <c r="K1477" s="14" t="s">
        <v>6850</v>
      </c>
      <c r="L1477" s="152" t="s">
        <v>14261</v>
      </c>
      <c r="M1477" s="14">
        <v>3.72807493E10</v>
      </c>
      <c r="N1477" s="54" t="s">
        <v>6850</v>
      </c>
      <c r="O1477" s="130"/>
      <c r="P1477" s="16"/>
      <c r="Q1477" s="14">
        <v>1382944.0</v>
      </c>
      <c r="R1477" s="95"/>
      <c r="S1477" s="154"/>
      <c r="T1477" s="84"/>
      <c r="U1477" s="84"/>
      <c r="V1477" s="84"/>
      <c r="W1477" s="84"/>
      <c r="X1477" s="84"/>
      <c r="Y1477" s="84"/>
      <c r="Z1477" s="84"/>
      <c r="AA1477" s="84"/>
      <c r="AB1477" s="84"/>
      <c r="AC1477" s="84"/>
    </row>
    <row r="1478" ht="15.75" customHeight="1">
      <c r="A1478" s="14" t="s">
        <v>2137</v>
      </c>
      <c r="B1478" s="14">
        <v>2004.0</v>
      </c>
      <c r="C1478" s="14" t="s">
        <v>14262</v>
      </c>
      <c r="D1478" s="14" t="s">
        <v>14263</v>
      </c>
      <c r="E1478" s="150" t="str">
        <f t="shared" si="14"/>
        <v>http://dx.doi.org/10.1109/INFVIS.2004.39</v>
      </c>
      <c r="F1478" s="14" t="s">
        <v>14267</v>
      </c>
      <c r="G1478" s="14" t="s">
        <v>14267</v>
      </c>
      <c r="H1478" s="159" t="s">
        <v>30659</v>
      </c>
      <c r="I1478" s="14" t="s">
        <v>21</v>
      </c>
      <c r="J1478" s="14" t="s">
        <v>36450</v>
      </c>
      <c r="K1478" s="14" t="s">
        <v>36451</v>
      </c>
      <c r="L1478" s="152" t="s">
        <v>14269</v>
      </c>
      <c r="M1478" s="14" t="s">
        <v>36452</v>
      </c>
      <c r="N1478" s="54" t="s">
        <v>36451</v>
      </c>
      <c r="O1478" s="130"/>
      <c r="P1478" s="16"/>
      <c r="Q1478" s="14">
        <v>1382940.0</v>
      </c>
      <c r="R1478" s="95"/>
      <c r="S1478" s="154"/>
      <c r="T1478" s="84"/>
      <c r="U1478" s="84"/>
      <c r="V1478" s="84"/>
      <c r="W1478" s="84"/>
      <c r="X1478" s="84"/>
      <c r="Y1478" s="84"/>
      <c r="Z1478" s="84"/>
      <c r="AA1478" s="84"/>
      <c r="AB1478" s="84"/>
      <c r="AC1478" s="84"/>
    </row>
    <row r="1479" ht="15.75" customHeight="1">
      <c r="A1479" s="14" t="s">
        <v>2137</v>
      </c>
      <c r="B1479" s="14">
        <v>2004.0</v>
      </c>
      <c r="C1479" s="14" t="s">
        <v>14281</v>
      </c>
      <c r="D1479" s="14" t="s">
        <v>14282</v>
      </c>
      <c r="E1479" s="150" t="str">
        <f t="shared" si="14"/>
        <v>http://dx.doi.org/10.1109/INFVIS.2004.40</v>
      </c>
      <c r="F1479" s="14">
        <v>7.0</v>
      </c>
      <c r="G1479" s="14">
        <v>7.0</v>
      </c>
      <c r="H1479" s="159" t="s">
        <v>30659</v>
      </c>
      <c r="I1479" s="14" t="s">
        <v>21</v>
      </c>
      <c r="J1479" s="14" t="s">
        <v>36453</v>
      </c>
      <c r="K1479" s="14" t="s">
        <v>36454</v>
      </c>
      <c r="L1479" s="152" t="s">
        <v>14286</v>
      </c>
      <c r="M1479" s="14" t="s">
        <v>36455</v>
      </c>
      <c r="N1479" s="54" t="s">
        <v>36456</v>
      </c>
      <c r="O1479" s="130"/>
      <c r="P1479" s="16"/>
      <c r="Q1479" s="14">
        <v>1382918.0</v>
      </c>
      <c r="R1479" s="95"/>
      <c r="S1479" s="154"/>
      <c r="T1479" s="84"/>
      <c r="U1479" s="84"/>
      <c r="V1479" s="84"/>
      <c r="W1479" s="84"/>
      <c r="X1479" s="84"/>
      <c r="Y1479" s="84"/>
      <c r="Z1479" s="84"/>
      <c r="AA1479" s="84"/>
      <c r="AB1479" s="84"/>
      <c r="AC1479" s="84"/>
    </row>
    <row r="1480" ht="15.75" customHeight="1">
      <c r="A1480" s="14" t="s">
        <v>2137</v>
      </c>
      <c r="B1480" s="14">
        <v>2004.0</v>
      </c>
      <c r="C1480" s="14" t="s">
        <v>14287</v>
      </c>
      <c r="D1480" s="14" t="s">
        <v>14288</v>
      </c>
      <c r="E1480" s="150" t="str">
        <f t="shared" si="14"/>
        <v>http://dx.doi.org/10.1109/INFVIS.2004.41</v>
      </c>
      <c r="F1480" s="14">
        <v>10.0</v>
      </c>
      <c r="G1480" s="14">
        <v>10.0</v>
      </c>
      <c r="H1480" s="159" t="s">
        <v>30659</v>
      </c>
      <c r="I1480" s="14" t="s">
        <v>21</v>
      </c>
      <c r="J1480" s="14"/>
      <c r="K1480" s="14" t="s">
        <v>36457</v>
      </c>
      <c r="L1480" s="152" t="s">
        <v>14294</v>
      </c>
      <c r="M1480" s="14" t="s">
        <v>36458</v>
      </c>
      <c r="N1480" s="54" t="s">
        <v>36457</v>
      </c>
      <c r="O1480" s="130"/>
      <c r="P1480" s="16"/>
      <c r="Q1480" s="14">
        <v>1382921.0</v>
      </c>
      <c r="R1480" s="95"/>
      <c r="S1480" s="154"/>
      <c r="T1480" s="84"/>
      <c r="U1480" s="84"/>
      <c r="V1480" s="84"/>
      <c r="W1480" s="84"/>
      <c r="X1480" s="84"/>
      <c r="Y1480" s="84"/>
      <c r="Z1480" s="84"/>
      <c r="AA1480" s="84"/>
      <c r="AB1480" s="84"/>
      <c r="AC1480" s="84"/>
    </row>
    <row r="1481" ht="15.75" customHeight="1">
      <c r="A1481" s="14" t="s">
        <v>2137</v>
      </c>
      <c r="B1481" s="14">
        <v>2004.0</v>
      </c>
      <c r="C1481" s="14" t="s">
        <v>14295</v>
      </c>
      <c r="D1481" s="14" t="s">
        <v>14296</v>
      </c>
      <c r="E1481" s="150" t="str">
        <f t="shared" si="14"/>
        <v>http://dx.doi.org/10.1109/INFVIS.2004.42</v>
      </c>
      <c r="F1481" s="14">
        <v>11.0</v>
      </c>
      <c r="G1481" s="14">
        <v>11.0</v>
      </c>
      <c r="H1481" s="159" t="s">
        <v>30659</v>
      </c>
      <c r="I1481" s="14" t="s">
        <v>21</v>
      </c>
      <c r="J1481" s="14" t="s">
        <v>15474</v>
      </c>
      <c r="K1481" s="14" t="s">
        <v>36459</v>
      </c>
      <c r="L1481" s="152" t="s">
        <v>14302</v>
      </c>
      <c r="M1481" s="14" t="s">
        <v>36460</v>
      </c>
      <c r="N1481" s="54" t="s">
        <v>36459</v>
      </c>
      <c r="O1481" s="130"/>
      <c r="P1481" s="16"/>
      <c r="Q1481" s="14">
        <v>1382922.0</v>
      </c>
      <c r="R1481" s="95"/>
      <c r="S1481" s="154"/>
      <c r="T1481" s="84"/>
      <c r="U1481" s="84"/>
      <c r="V1481" s="84"/>
      <c r="W1481" s="84"/>
      <c r="X1481" s="84"/>
      <c r="Y1481" s="84"/>
      <c r="Z1481" s="84"/>
      <c r="AA1481" s="84"/>
      <c r="AB1481" s="84"/>
      <c r="AC1481" s="84"/>
    </row>
    <row r="1482" ht="15.75" customHeight="1">
      <c r="A1482" s="14" t="s">
        <v>2137</v>
      </c>
      <c r="B1482" s="14">
        <v>2004.0</v>
      </c>
      <c r="C1482" s="14" t="s">
        <v>14305</v>
      </c>
      <c r="D1482" s="14" t="s">
        <v>14306</v>
      </c>
      <c r="E1482" s="150" t="str">
        <f t="shared" si="14"/>
        <v>http://dx.doi.org/10.1109/INFVIS.2004.43</v>
      </c>
      <c r="F1482" s="14">
        <v>199.0</v>
      </c>
      <c r="G1482" s="14">
        <v>206.0</v>
      </c>
      <c r="H1482" s="151"/>
      <c r="I1482" s="14" t="s">
        <v>28</v>
      </c>
      <c r="J1482" s="14" t="s">
        <v>15477</v>
      </c>
      <c r="K1482" s="14" t="s">
        <v>36461</v>
      </c>
      <c r="L1482" s="152" t="s">
        <v>14311</v>
      </c>
      <c r="M1482" s="14" t="s">
        <v>36462</v>
      </c>
      <c r="N1482" s="54" t="s">
        <v>36461</v>
      </c>
      <c r="O1482" s="130" t="s">
        <v>14312</v>
      </c>
      <c r="P1482" s="153" t="s">
        <v>14313</v>
      </c>
      <c r="Q1482" s="14">
        <v>1382909.0</v>
      </c>
      <c r="R1482" s="95"/>
      <c r="S1482" s="154" t="s">
        <v>36463</v>
      </c>
      <c r="T1482" s="84"/>
      <c r="U1482" s="84"/>
      <c r="V1482" s="84"/>
      <c r="W1482" s="84"/>
      <c r="X1482" s="84"/>
      <c r="Y1482" s="84"/>
      <c r="Z1482" s="84"/>
      <c r="AA1482" s="84"/>
      <c r="AB1482" s="84"/>
      <c r="AC1482" s="84"/>
    </row>
    <row r="1483" ht="15.75" customHeight="1">
      <c r="A1483" s="14" t="s">
        <v>2137</v>
      </c>
      <c r="B1483" s="14">
        <v>2004.0</v>
      </c>
      <c r="C1483" s="14" t="s">
        <v>14314</v>
      </c>
      <c r="D1483" s="14" t="s">
        <v>14315</v>
      </c>
      <c r="E1483" s="150" t="str">
        <f t="shared" si="14"/>
        <v>http://dx.doi.org/10.1109/INFVIS.2004.44</v>
      </c>
      <c r="F1483" s="14" t="s">
        <v>14321</v>
      </c>
      <c r="G1483" s="14" t="s">
        <v>14321</v>
      </c>
      <c r="H1483" s="159" t="s">
        <v>30659</v>
      </c>
      <c r="I1483" s="14" t="s">
        <v>21</v>
      </c>
      <c r="J1483" s="14"/>
      <c r="K1483" s="16" t="s">
        <v>36464</v>
      </c>
      <c r="L1483" s="152"/>
      <c r="M1483" s="14"/>
      <c r="N1483" s="16" t="s">
        <v>6778</v>
      </c>
      <c r="O1483" s="130"/>
      <c r="P1483" s="16"/>
      <c r="Q1483" s="14">
        <v>1382882.0</v>
      </c>
      <c r="R1483" s="95"/>
      <c r="S1483" s="154"/>
      <c r="T1483" s="84"/>
      <c r="U1483" s="84"/>
      <c r="V1483" s="84"/>
      <c r="W1483" s="84"/>
      <c r="X1483" s="84"/>
      <c r="Y1483" s="84"/>
      <c r="Z1483" s="84"/>
      <c r="AA1483" s="84"/>
      <c r="AB1483" s="84"/>
      <c r="AC1483" s="84"/>
    </row>
    <row r="1484" ht="15.75" customHeight="1">
      <c r="A1484" s="14" t="s">
        <v>2137</v>
      </c>
      <c r="B1484" s="14">
        <v>2004.0</v>
      </c>
      <c r="C1484" s="14" t="s">
        <v>14325</v>
      </c>
      <c r="D1484" s="14" t="s">
        <v>14326</v>
      </c>
      <c r="E1484" s="150" t="str">
        <f t="shared" si="14"/>
        <v>http://dx.doi.org/10.1109/INFVIS.2004.45</v>
      </c>
      <c r="F1484" s="14" t="s">
        <v>14331</v>
      </c>
      <c r="G1484" s="14" t="s">
        <v>14331</v>
      </c>
      <c r="H1484" s="159" t="s">
        <v>30659</v>
      </c>
      <c r="I1484" s="14" t="s">
        <v>21</v>
      </c>
      <c r="J1484" s="14" t="s">
        <v>36465</v>
      </c>
      <c r="K1484" s="14" t="s">
        <v>36466</v>
      </c>
      <c r="L1484" s="152" t="s">
        <v>14333</v>
      </c>
      <c r="M1484" s="14" t="s">
        <v>36467</v>
      </c>
      <c r="N1484" s="54" t="s">
        <v>36466</v>
      </c>
      <c r="O1484" s="130"/>
      <c r="P1484" s="16"/>
      <c r="Q1484" s="14">
        <v>1382934.0</v>
      </c>
      <c r="R1484" s="95"/>
      <c r="S1484" s="154"/>
      <c r="T1484" s="84"/>
      <c r="U1484" s="84"/>
      <c r="V1484" s="84"/>
      <c r="W1484" s="84"/>
      <c r="X1484" s="84"/>
      <c r="Y1484" s="84"/>
      <c r="Z1484" s="84"/>
      <c r="AA1484" s="84"/>
      <c r="AB1484" s="84"/>
      <c r="AC1484" s="84"/>
    </row>
    <row r="1485" ht="15.75" customHeight="1">
      <c r="A1485" s="14" t="s">
        <v>2137</v>
      </c>
      <c r="B1485" s="14">
        <v>2004.0</v>
      </c>
      <c r="C1485" s="14" t="s">
        <v>14334</v>
      </c>
      <c r="D1485" s="14" t="s">
        <v>14335</v>
      </c>
      <c r="E1485" s="150" t="str">
        <f t="shared" si="14"/>
        <v>http://dx.doi.org/10.1109/INFVIS.2004.46</v>
      </c>
      <c r="F1485" s="14">
        <v>183.0</v>
      </c>
      <c r="G1485" s="14">
        <v>190.0</v>
      </c>
      <c r="H1485" s="151"/>
      <c r="I1485" s="14" t="s">
        <v>28</v>
      </c>
      <c r="J1485" s="14" t="s">
        <v>15485</v>
      </c>
      <c r="K1485" s="14" t="s">
        <v>36468</v>
      </c>
      <c r="L1485" s="152" t="s">
        <v>14341</v>
      </c>
      <c r="M1485" s="14" t="s">
        <v>36469</v>
      </c>
      <c r="N1485" s="54" t="s">
        <v>36468</v>
      </c>
      <c r="O1485" s="130" t="s">
        <v>12870</v>
      </c>
      <c r="P1485" s="153" t="s">
        <v>14342</v>
      </c>
      <c r="Q1485" s="14">
        <v>1382907.0</v>
      </c>
      <c r="R1485" s="95"/>
      <c r="S1485" s="154">
        <v>1249030.0</v>
      </c>
      <c r="T1485" s="84"/>
      <c r="U1485" s="84"/>
      <c r="V1485" s="84"/>
      <c r="W1485" s="84"/>
      <c r="X1485" s="84"/>
      <c r="Y1485" s="84"/>
      <c r="Z1485" s="84"/>
      <c r="AA1485" s="84"/>
      <c r="AB1485" s="84"/>
      <c r="AC1485" s="84"/>
    </row>
    <row r="1486" ht="15.75" customHeight="1">
      <c r="A1486" s="14" t="s">
        <v>2137</v>
      </c>
      <c r="B1486" s="14">
        <v>2004.0</v>
      </c>
      <c r="C1486" s="14" t="s">
        <v>14343</v>
      </c>
      <c r="D1486" s="14" t="s">
        <v>14344</v>
      </c>
      <c r="E1486" s="150" t="str">
        <f t="shared" si="14"/>
        <v>http://dx.doi.org/10.1109/INFVIS.2004.47</v>
      </c>
      <c r="F1486" s="14">
        <v>135.0</v>
      </c>
      <c r="G1486" s="14">
        <v>142.0</v>
      </c>
      <c r="H1486" s="151"/>
      <c r="I1486" s="14" t="s">
        <v>28</v>
      </c>
      <c r="J1486" s="14" t="s">
        <v>15488</v>
      </c>
      <c r="K1486" s="14" t="s">
        <v>36470</v>
      </c>
      <c r="L1486" s="152" t="s">
        <v>14352</v>
      </c>
      <c r="M1486" s="14" t="s">
        <v>36471</v>
      </c>
      <c r="N1486" s="54" t="s">
        <v>36470</v>
      </c>
      <c r="O1486" s="130" t="s">
        <v>14353</v>
      </c>
      <c r="P1486" s="153" t="s">
        <v>14354</v>
      </c>
      <c r="Q1486" s="14">
        <v>1382901.0</v>
      </c>
      <c r="R1486" s="95"/>
      <c r="S1486" s="154" t="s">
        <v>36472</v>
      </c>
      <c r="T1486" s="84"/>
      <c r="U1486" s="84"/>
      <c r="V1486" s="84"/>
      <c r="W1486" s="84"/>
      <c r="X1486" s="84"/>
      <c r="Y1486" s="84"/>
      <c r="Z1486" s="84"/>
      <c r="AA1486" s="84"/>
      <c r="AB1486" s="84"/>
      <c r="AC1486" s="84"/>
    </row>
    <row r="1487" ht="15.75" customHeight="1">
      <c r="A1487" s="14" t="s">
        <v>2137</v>
      </c>
      <c r="B1487" s="14">
        <v>2004.0</v>
      </c>
      <c r="C1487" s="14" t="s">
        <v>14355</v>
      </c>
      <c r="D1487" s="14" t="s">
        <v>14356</v>
      </c>
      <c r="E1487" s="150" t="str">
        <f t="shared" si="14"/>
        <v>http://dx.doi.org/10.1109/INFVIS.2004.48</v>
      </c>
      <c r="F1487" s="14" t="s">
        <v>14360</v>
      </c>
      <c r="G1487" s="14" t="s">
        <v>14360</v>
      </c>
      <c r="H1487" s="159" t="s">
        <v>30659</v>
      </c>
      <c r="I1487" s="14" t="s">
        <v>21</v>
      </c>
      <c r="J1487" s="14" t="s">
        <v>15492</v>
      </c>
      <c r="K1487" s="14" t="s">
        <v>36473</v>
      </c>
      <c r="L1487" s="152" t="s">
        <v>14363</v>
      </c>
      <c r="M1487" s="14" t="s">
        <v>36474</v>
      </c>
      <c r="N1487" s="54" t="s">
        <v>36473</v>
      </c>
      <c r="O1487" s="130"/>
      <c r="P1487" s="16"/>
      <c r="Q1487" s="14">
        <v>1382942.0</v>
      </c>
      <c r="R1487" s="95"/>
      <c r="S1487" s="154"/>
      <c r="T1487" s="84"/>
      <c r="U1487" s="84"/>
      <c r="V1487" s="84"/>
      <c r="W1487" s="84"/>
      <c r="X1487" s="84"/>
      <c r="Y1487" s="84"/>
      <c r="Z1487" s="84"/>
      <c r="AA1487" s="84"/>
      <c r="AB1487" s="84"/>
      <c r="AC1487" s="84"/>
    </row>
    <row r="1488" ht="15.75" customHeight="1">
      <c r="A1488" s="14" t="s">
        <v>2137</v>
      </c>
      <c r="B1488" s="14">
        <v>2004.0</v>
      </c>
      <c r="C1488" s="14" t="s">
        <v>14364</v>
      </c>
      <c r="D1488" s="14" t="s">
        <v>14365</v>
      </c>
      <c r="E1488" s="150" t="str">
        <f t="shared" si="14"/>
        <v>http://dx.doi.org/10.1109/INFVIS.2004.49</v>
      </c>
      <c r="F1488" s="14">
        <v>207.0</v>
      </c>
      <c r="G1488" s="14">
        <v>214.0</v>
      </c>
      <c r="H1488" s="151"/>
      <c r="I1488" s="14" t="s">
        <v>28</v>
      </c>
      <c r="J1488" s="14" t="s">
        <v>15494</v>
      </c>
      <c r="K1488" s="14" t="s">
        <v>36475</v>
      </c>
      <c r="L1488" s="152" t="s">
        <v>14370</v>
      </c>
      <c r="M1488" s="14" t="s">
        <v>36476</v>
      </c>
      <c r="N1488" s="54" t="s">
        <v>36477</v>
      </c>
      <c r="O1488" s="130" t="s">
        <v>14371</v>
      </c>
      <c r="P1488" s="153" t="s">
        <v>14372</v>
      </c>
      <c r="Q1488" s="14">
        <v>1382910.0</v>
      </c>
      <c r="R1488" s="95"/>
      <c r="S1488" s="154" t="s">
        <v>36478</v>
      </c>
      <c r="T1488" s="84"/>
      <c r="U1488" s="84"/>
      <c r="V1488" s="84"/>
      <c r="W1488" s="84"/>
      <c r="X1488" s="84"/>
      <c r="Y1488" s="84"/>
      <c r="Z1488" s="84"/>
      <c r="AA1488" s="84"/>
      <c r="AB1488" s="84"/>
      <c r="AC1488" s="84"/>
    </row>
    <row r="1489" ht="15.75" customHeight="1">
      <c r="A1489" s="14" t="s">
        <v>2137</v>
      </c>
      <c r="B1489" s="14">
        <v>2004.0</v>
      </c>
      <c r="C1489" s="14" t="s">
        <v>14382</v>
      </c>
      <c r="D1489" s="14" t="s">
        <v>14383</v>
      </c>
      <c r="E1489" s="150" t="str">
        <f t="shared" si="14"/>
        <v>http://dx.doi.org/10.1109/INFVIS.2004.50</v>
      </c>
      <c r="F1489" s="14" t="s">
        <v>14391</v>
      </c>
      <c r="G1489" s="14" t="s">
        <v>14391</v>
      </c>
      <c r="H1489" s="159" t="s">
        <v>30659</v>
      </c>
      <c r="I1489" s="14" t="s">
        <v>21</v>
      </c>
      <c r="J1489" s="14"/>
      <c r="K1489" s="14" t="s">
        <v>14392</v>
      </c>
      <c r="L1489" s="152" t="s">
        <v>14393</v>
      </c>
      <c r="M1489" s="14" t="s">
        <v>36479</v>
      </c>
      <c r="N1489" s="54" t="s">
        <v>14392</v>
      </c>
      <c r="O1489" s="130"/>
      <c r="P1489" s="16"/>
      <c r="Q1489" s="14">
        <v>1382945.0</v>
      </c>
      <c r="R1489" s="95"/>
      <c r="S1489" s="154"/>
      <c r="T1489" s="84"/>
      <c r="U1489" s="84"/>
      <c r="V1489" s="84"/>
      <c r="W1489" s="84"/>
      <c r="X1489" s="84"/>
      <c r="Y1489" s="84"/>
      <c r="Z1489" s="84"/>
      <c r="AA1489" s="84"/>
      <c r="AB1489" s="84"/>
      <c r="AC1489" s="84"/>
    </row>
    <row r="1490" ht="15.75" customHeight="1">
      <c r="A1490" s="14" t="s">
        <v>2137</v>
      </c>
      <c r="B1490" s="14">
        <v>2004.0</v>
      </c>
      <c r="C1490" s="14" t="s">
        <v>14394</v>
      </c>
      <c r="D1490" s="14" t="s">
        <v>14395</v>
      </c>
      <c r="E1490" s="150" t="str">
        <f t="shared" si="14"/>
        <v>http://dx.doi.org/10.1109/INFVIS.2004.52</v>
      </c>
      <c r="F1490" s="14">
        <v>113.0</v>
      </c>
      <c r="G1490" s="14">
        <v>118.0</v>
      </c>
      <c r="H1490" s="151"/>
      <c r="I1490" s="14" t="s">
        <v>28</v>
      </c>
      <c r="J1490" s="14" t="s">
        <v>15501</v>
      </c>
      <c r="K1490" s="14" t="s">
        <v>36480</v>
      </c>
      <c r="L1490" s="152" t="s">
        <v>14402</v>
      </c>
      <c r="M1490" s="14" t="s">
        <v>36481</v>
      </c>
      <c r="N1490" s="54" t="s">
        <v>36480</v>
      </c>
      <c r="O1490" s="130" t="s">
        <v>13285</v>
      </c>
      <c r="P1490" s="153" t="s">
        <v>14404</v>
      </c>
      <c r="Q1490" s="14">
        <v>1382898.0</v>
      </c>
      <c r="R1490" s="95"/>
      <c r="S1490" s="154">
        <v>1250362.0</v>
      </c>
      <c r="T1490" s="84"/>
      <c r="U1490" s="84"/>
      <c r="V1490" s="84"/>
      <c r="W1490" s="84"/>
      <c r="X1490" s="84"/>
      <c r="Y1490" s="84"/>
      <c r="Z1490" s="84"/>
      <c r="AA1490" s="84"/>
      <c r="AB1490" s="84"/>
      <c r="AC1490" s="84"/>
    </row>
    <row r="1491" ht="15.75" customHeight="1">
      <c r="A1491" s="14" t="s">
        <v>2137</v>
      </c>
      <c r="B1491" s="14">
        <v>2004.0</v>
      </c>
      <c r="C1491" s="14" t="s">
        <v>36482</v>
      </c>
      <c r="D1491" s="14" t="s">
        <v>14406</v>
      </c>
      <c r="E1491" s="150" t="str">
        <f t="shared" si="14"/>
        <v>http://dx.doi.org/10.1109/INFVIS.2004.53</v>
      </c>
      <c r="F1491" s="14">
        <v>3.0</v>
      </c>
      <c r="G1491" s="14">
        <v>3.0</v>
      </c>
      <c r="H1491" s="159" t="s">
        <v>30659</v>
      </c>
      <c r="I1491" s="14" t="s">
        <v>21</v>
      </c>
      <c r="J1491" s="14" t="s">
        <v>36485</v>
      </c>
      <c r="K1491" s="14" t="s">
        <v>36486</v>
      </c>
      <c r="L1491" s="152" t="s">
        <v>14411</v>
      </c>
      <c r="M1491" s="14" t="s">
        <v>36487</v>
      </c>
      <c r="N1491" s="54" t="s">
        <v>36486</v>
      </c>
      <c r="O1491" s="130"/>
      <c r="P1491" s="16"/>
      <c r="Q1491" s="14">
        <v>1382914.0</v>
      </c>
      <c r="R1491" s="95"/>
      <c r="S1491" s="154"/>
      <c r="T1491" s="84"/>
      <c r="U1491" s="84"/>
      <c r="V1491" s="84"/>
      <c r="W1491" s="84"/>
      <c r="X1491" s="84"/>
      <c r="Y1491" s="84"/>
      <c r="Z1491" s="84"/>
      <c r="AA1491" s="84"/>
      <c r="AB1491" s="84"/>
      <c r="AC1491" s="84"/>
    </row>
    <row r="1492" ht="15.75" customHeight="1">
      <c r="A1492" s="14" t="s">
        <v>2137</v>
      </c>
      <c r="B1492" s="14">
        <v>2004.0</v>
      </c>
      <c r="C1492" s="14" t="s">
        <v>14413</v>
      </c>
      <c r="D1492" s="14" t="s">
        <v>14414</v>
      </c>
      <c r="E1492" s="150" t="str">
        <f t="shared" si="14"/>
        <v>http://dx.doi.org/10.1109/INFVIS.2004.56</v>
      </c>
      <c r="F1492" s="14">
        <v>18.0</v>
      </c>
      <c r="G1492" s="14">
        <v>18.0</v>
      </c>
      <c r="H1492" s="159" t="s">
        <v>30659</v>
      </c>
      <c r="I1492" s="14" t="s">
        <v>21</v>
      </c>
      <c r="J1492" s="14" t="s">
        <v>15507</v>
      </c>
      <c r="K1492" s="14" t="s">
        <v>10739</v>
      </c>
      <c r="L1492" s="152" t="s">
        <v>14422</v>
      </c>
      <c r="M1492" s="14">
        <v>3.72830177E10</v>
      </c>
      <c r="N1492" s="54" t="s">
        <v>10739</v>
      </c>
      <c r="O1492" s="130"/>
      <c r="P1492" s="16"/>
      <c r="Q1492" s="14">
        <v>1382929.0</v>
      </c>
      <c r="R1492" s="95"/>
      <c r="S1492" s="154"/>
      <c r="T1492" s="84"/>
      <c r="U1492" s="84"/>
      <c r="V1492" s="84"/>
      <c r="W1492" s="84"/>
      <c r="X1492" s="84"/>
      <c r="Y1492" s="84"/>
      <c r="Z1492" s="84"/>
      <c r="AA1492" s="84"/>
      <c r="AB1492" s="84"/>
      <c r="AC1492" s="84"/>
    </row>
    <row r="1493" ht="15.75" customHeight="1">
      <c r="A1493" s="14" t="s">
        <v>2137</v>
      </c>
      <c r="B1493" s="14">
        <v>2004.0</v>
      </c>
      <c r="C1493" s="14" t="s">
        <v>14423</v>
      </c>
      <c r="D1493" s="14" t="s">
        <v>14424</v>
      </c>
      <c r="E1493" s="150" t="str">
        <f t="shared" si="14"/>
        <v>http://dx.doi.org/10.1109/INFVIS.2004.57</v>
      </c>
      <c r="F1493" s="14">
        <v>33.0</v>
      </c>
      <c r="G1493" s="14">
        <v>40.0</v>
      </c>
      <c r="H1493" s="151"/>
      <c r="I1493" s="14" t="s">
        <v>28</v>
      </c>
      <c r="J1493" s="14" t="s">
        <v>15508</v>
      </c>
      <c r="K1493" s="14" t="s">
        <v>36494</v>
      </c>
      <c r="L1493" s="152" t="s">
        <v>5349</v>
      </c>
      <c r="M1493" s="14" t="s">
        <v>36495</v>
      </c>
      <c r="N1493" s="54" t="s">
        <v>36494</v>
      </c>
      <c r="O1493" s="130" t="s">
        <v>14430</v>
      </c>
      <c r="P1493" s="153" t="s">
        <v>14431</v>
      </c>
      <c r="Q1493" s="14">
        <v>1382888.0</v>
      </c>
      <c r="R1493" s="95"/>
      <c r="S1493" s="154" t="s">
        <v>36496</v>
      </c>
      <c r="T1493" s="84"/>
      <c r="U1493" s="84"/>
      <c r="V1493" s="84"/>
      <c r="W1493" s="84"/>
      <c r="X1493" s="84"/>
      <c r="Y1493" s="84"/>
      <c r="Z1493" s="84"/>
      <c r="AA1493" s="84"/>
      <c r="AB1493" s="84"/>
      <c r="AC1493" s="84"/>
    </row>
    <row r="1494" ht="15.75" customHeight="1">
      <c r="A1494" s="14" t="s">
        <v>2137</v>
      </c>
      <c r="B1494" s="14">
        <v>2004.0</v>
      </c>
      <c r="C1494" s="14" t="s">
        <v>14432</v>
      </c>
      <c r="D1494" s="14" t="s">
        <v>14433</v>
      </c>
      <c r="E1494" s="150" t="str">
        <f t="shared" si="14"/>
        <v>http://dx.doi.org/10.1109/INFVIS.2004.58</v>
      </c>
      <c r="F1494" s="14">
        <v>13.0</v>
      </c>
      <c r="G1494" s="14">
        <v>13.0</v>
      </c>
      <c r="H1494" s="159" t="s">
        <v>30659</v>
      </c>
      <c r="I1494" s="14" t="s">
        <v>21</v>
      </c>
      <c r="J1494" s="14" t="s">
        <v>15511</v>
      </c>
      <c r="K1494" s="14" t="s">
        <v>36501</v>
      </c>
      <c r="L1494" s="152" t="s">
        <v>14439</v>
      </c>
      <c r="M1494" s="14" t="s">
        <v>36502</v>
      </c>
      <c r="N1494" s="54" t="s">
        <v>36501</v>
      </c>
      <c r="O1494" s="130"/>
      <c r="P1494" s="16"/>
      <c r="Q1494" s="14">
        <v>1382924.0</v>
      </c>
      <c r="R1494" s="95"/>
      <c r="S1494" s="154"/>
      <c r="T1494" s="84"/>
      <c r="U1494" s="84"/>
      <c r="V1494" s="84"/>
      <c r="W1494" s="84"/>
      <c r="X1494" s="84"/>
      <c r="Y1494" s="84"/>
      <c r="Z1494" s="84"/>
      <c r="AA1494" s="84"/>
      <c r="AB1494" s="84"/>
      <c r="AC1494" s="84"/>
    </row>
    <row r="1495" ht="15.75" customHeight="1">
      <c r="A1495" s="14" t="s">
        <v>2137</v>
      </c>
      <c r="B1495" s="14">
        <v>2004.0</v>
      </c>
      <c r="C1495" s="14" t="s">
        <v>14440</v>
      </c>
      <c r="D1495" s="14" t="s">
        <v>14441</v>
      </c>
      <c r="E1495" s="150" t="str">
        <f t="shared" si="14"/>
        <v>http://dx.doi.org/10.1109/INFVIS.2004.59</v>
      </c>
      <c r="F1495" s="14">
        <v>151.0</v>
      </c>
      <c r="G1495" s="14">
        <v>158.0</v>
      </c>
      <c r="H1495" s="151"/>
      <c r="I1495" s="14" t="s">
        <v>28</v>
      </c>
      <c r="J1495" s="14" t="s">
        <v>15514</v>
      </c>
      <c r="K1495" s="14" t="s">
        <v>36506</v>
      </c>
      <c r="L1495" s="152" t="s">
        <v>14446</v>
      </c>
      <c r="M1495" s="14" t="s">
        <v>36507</v>
      </c>
      <c r="N1495" s="54" t="s">
        <v>36506</v>
      </c>
      <c r="O1495" s="130" t="s">
        <v>14447</v>
      </c>
      <c r="P1495" s="153" t="s">
        <v>14448</v>
      </c>
      <c r="Q1495" s="14">
        <v>1382903.0</v>
      </c>
      <c r="R1495" s="95"/>
      <c r="S1495" s="154" t="s">
        <v>36510</v>
      </c>
      <c r="T1495" s="84"/>
      <c r="U1495" s="84"/>
      <c r="V1495" s="84"/>
      <c r="W1495" s="84"/>
      <c r="X1495" s="84"/>
      <c r="Y1495" s="84"/>
      <c r="Z1495" s="84"/>
      <c r="AA1495" s="84"/>
      <c r="AB1495" s="84"/>
      <c r="AC1495" s="84"/>
    </row>
    <row r="1496" ht="15.75" customHeight="1">
      <c r="A1496" s="14" t="s">
        <v>2137</v>
      </c>
      <c r="B1496" s="14">
        <v>2004.0</v>
      </c>
      <c r="C1496" s="14" t="s">
        <v>14457</v>
      </c>
      <c r="D1496" s="14" t="s">
        <v>14458</v>
      </c>
      <c r="E1496" s="150" t="str">
        <f t="shared" si="14"/>
        <v>http://dx.doi.org/10.1109/INFVIS.2004.60</v>
      </c>
      <c r="F1496" s="14">
        <v>57.0</v>
      </c>
      <c r="G1496" s="14">
        <v>64.0</v>
      </c>
      <c r="H1496" s="151"/>
      <c r="I1496" s="14" t="s">
        <v>28</v>
      </c>
      <c r="J1496" s="14" t="s">
        <v>15521</v>
      </c>
      <c r="K1496" s="14" t="s">
        <v>36514</v>
      </c>
      <c r="L1496" s="152" t="s">
        <v>14463</v>
      </c>
      <c r="M1496" s="14" t="s">
        <v>36515</v>
      </c>
      <c r="N1496" s="54" t="s">
        <v>36514</v>
      </c>
      <c r="O1496" s="130" t="s">
        <v>14464</v>
      </c>
      <c r="P1496" s="153" t="s">
        <v>14465</v>
      </c>
      <c r="Q1496" s="14">
        <v>1382891.0</v>
      </c>
      <c r="R1496" s="95"/>
      <c r="S1496" s="154" t="s">
        <v>36516</v>
      </c>
      <c r="T1496" s="84"/>
      <c r="U1496" s="84"/>
      <c r="V1496" s="84"/>
      <c r="W1496" s="84"/>
      <c r="X1496" s="84"/>
      <c r="Y1496" s="84"/>
      <c r="Z1496" s="84"/>
      <c r="AA1496" s="84"/>
      <c r="AB1496" s="84"/>
      <c r="AC1496" s="84"/>
    </row>
    <row r="1497" ht="15.75" customHeight="1">
      <c r="A1497" s="14" t="s">
        <v>2137</v>
      </c>
      <c r="B1497" s="14">
        <v>2004.0</v>
      </c>
      <c r="C1497" s="14" t="s">
        <v>14467</v>
      </c>
      <c r="D1497" s="14" t="s">
        <v>14468</v>
      </c>
      <c r="E1497" s="150" t="str">
        <f t="shared" si="14"/>
        <v>http://dx.doi.org/10.1109/INFVIS.2004.63</v>
      </c>
      <c r="F1497" s="14">
        <v>1.0</v>
      </c>
      <c r="G1497" s="14">
        <v>1.0</v>
      </c>
      <c r="H1497" s="159" t="s">
        <v>30659</v>
      </c>
      <c r="I1497" s="14" t="s">
        <v>21</v>
      </c>
      <c r="J1497" s="14" t="s">
        <v>15523</v>
      </c>
      <c r="K1497" s="14" t="s">
        <v>36519</v>
      </c>
      <c r="L1497" s="152" t="s">
        <v>14474</v>
      </c>
      <c r="M1497" s="14" t="s">
        <v>36520</v>
      </c>
      <c r="N1497" s="54" t="s">
        <v>36519</v>
      </c>
      <c r="O1497" s="130"/>
      <c r="P1497" s="16"/>
      <c r="Q1497" s="14">
        <v>1382912.0</v>
      </c>
      <c r="R1497" s="95"/>
      <c r="S1497" s="154"/>
      <c r="T1497" s="84"/>
      <c r="U1497" s="84"/>
      <c r="V1497" s="84"/>
      <c r="W1497" s="84"/>
      <c r="X1497" s="84"/>
      <c r="Y1497" s="84"/>
      <c r="Z1497" s="84"/>
      <c r="AA1497" s="84"/>
      <c r="AB1497" s="84"/>
      <c r="AC1497" s="84"/>
    </row>
    <row r="1498" ht="15.75" customHeight="1">
      <c r="A1498" s="14" t="s">
        <v>2137</v>
      </c>
      <c r="B1498" s="14">
        <v>2004.0</v>
      </c>
      <c r="C1498" s="14" t="s">
        <v>14476</v>
      </c>
      <c r="D1498" s="14" t="s">
        <v>14478</v>
      </c>
      <c r="E1498" s="150" t="str">
        <f t="shared" si="14"/>
        <v>http://dx.doi.org/10.1109/INFVIS.2004.64</v>
      </c>
      <c r="F1498" s="14">
        <v>167.0</v>
      </c>
      <c r="G1498" s="14">
        <v>174.0</v>
      </c>
      <c r="H1498" s="151"/>
      <c r="I1498" s="14" t="s">
        <v>28</v>
      </c>
      <c r="J1498" s="14" t="s">
        <v>15525</v>
      </c>
      <c r="K1498" s="14" t="s">
        <v>7497</v>
      </c>
      <c r="L1498" s="152" t="s">
        <v>14485</v>
      </c>
      <c r="M1498" s="14">
        <v>3.74079729E10</v>
      </c>
      <c r="N1498" s="54" t="s">
        <v>7497</v>
      </c>
      <c r="O1498" s="130" t="s">
        <v>14486</v>
      </c>
      <c r="P1498" s="153" t="s">
        <v>14487</v>
      </c>
      <c r="Q1498" s="14">
        <v>1382905.0</v>
      </c>
      <c r="R1498" s="95"/>
      <c r="S1498" s="154" t="s">
        <v>36524</v>
      </c>
      <c r="T1498" s="84"/>
      <c r="U1498" s="84"/>
      <c r="V1498" s="84"/>
      <c r="W1498" s="84"/>
      <c r="X1498" s="84"/>
      <c r="Y1498" s="84"/>
      <c r="Z1498" s="84"/>
      <c r="AA1498" s="84"/>
      <c r="AB1498" s="84"/>
      <c r="AC1498" s="84"/>
    </row>
    <row r="1499" ht="15.75" customHeight="1">
      <c r="A1499" s="14" t="s">
        <v>2137</v>
      </c>
      <c r="B1499" s="14">
        <v>2004.0</v>
      </c>
      <c r="C1499" s="14" t="s">
        <v>14491</v>
      </c>
      <c r="D1499" s="14" t="s">
        <v>14492</v>
      </c>
      <c r="E1499" s="150" t="str">
        <f t="shared" si="14"/>
        <v>http://dx.doi.org/10.1109/INFVIS.2004.65</v>
      </c>
      <c r="F1499" s="14">
        <v>97.0</v>
      </c>
      <c r="G1499" s="14">
        <v>104.0</v>
      </c>
      <c r="H1499" s="151"/>
      <c r="I1499" s="14" t="s">
        <v>28</v>
      </c>
      <c r="J1499" s="14" t="s">
        <v>36528</v>
      </c>
      <c r="K1499" s="14" t="s">
        <v>9461</v>
      </c>
      <c r="L1499" s="152" t="s">
        <v>14498</v>
      </c>
      <c r="M1499" s="14"/>
      <c r="N1499" s="54" t="s">
        <v>9461</v>
      </c>
      <c r="O1499" s="130"/>
      <c r="P1499" s="153" t="s">
        <v>14500</v>
      </c>
      <c r="Q1499" s="14">
        <v>1382896.0</v>
      </c>
      <c r="R1499" s="95"/>
      <c r="S1499" s="154"/>
      <c r="T1499" s="84"/>
      <c r="U1499" s="84"/>
      <c r="V1499" s="84"/>
      <c r="W1499" s="84"/>
      <c r="X1499" s="84"/>
      <c r="Y1499" s="84"/>
      <c r="Z1499" s="84"/>
      <c r="AA1499" s="84"/>
      <c r="AB1499" s="84"/>
      <c r="AC1499" s="84"/>
    </row>
    <row r="1500" ht="15.75" customHeight="1">
      <c r="A1500" s="14" t="s">
        <v>2137</v>
      </c>
      <c r="B1500" s="14">
        <v>2004.0</v>
      </c>
      <c r="C1500" s="14" t="s">
        <v>14501</v>
      </c>
      <c r="D1500" s="14" t="s">
        <v>14502</v>
      </c>
      <c r="E1500" s="150" t="str">
        <f t="shared" si="14"/>
        <v>http://dx.doi.org/10.1109/INFVIS.2004.66</v>
      </c>
      <c r="F1500" s="14">
        <v>175.0</v>
      </c>
      <c r="G1500" s="14">
        <v>182.0</v>
      </c>
      <c r="H1500" s="151"/>
      <c r="I1500" s="14" t="s">
        <v>28</v>
      </c>
      <c r="J1500" s="14" t="s">
        <v>15531</v>
      </c>
      <c r="K1500" s="14" t="s">
        <v>36532</v>
      </c>
      <c r="L1500" s="152" t="s">
        <v>14507</v>
      </c>
      <c r="M1500" s="14" t="s">
        <v>36533</v>
      </c>
      <c r="N1500" s="54" t="s">
        <v>36534</v>
      </c>
      <c r="O1500" s="130" t="s">
        <v>14508</v>
      </c>
      <c r="P1500" s="153" t="s">
        <v>14509</v>
      </c>
      <c r="Q1500" s="14">
        <v>1382906.0</v>
      </c>
      <c r="R1500" s="95"/>
      <c r="S1500" s="154" t="s">
        <v>36538</v>
      </c>
      <c r="T1500" s="84"/>
      <c r="U1500" s="84"/>
      <c r="V1500" s="84"/>
      <c r="W1500" s="84"/>
      <c r="X1500" s="84"/>
      <c r="Y1500" s="84"/>
      <c r="Z1500" s="84"/>
      <c r="AA1500" s="84"/>
      <c r="AB1500" s="84"/>
      <c r="AC1500" s="84"/>
    </row>
    <row r="1501" ht="15.75" customHeight="1">
      <c r="A1501" s="14" t="s">
        <v>2137</v>
      </c>
      <c r="B1501" s="14">
        <v>2004.0</v>
      </c>
      <c r="C1501" s="14" t="s">
        <v>14510</v>
      </c>
      <c r="D1501" s="14" t="s">
        <v>14511</v>
      </c>
      <c r="E1501" s="150" t="str">
        <f t="shared" si="14"/>
        <v>http://dx.doi.org/10.1109/INFVIS.2004.67</v>
      </c>
      <c r="F1501" s="14">
        <v>9.0</v>
      </c>
      <c r="G1501" s="14">
        <v>9.0</v>
      </c>
      <c r="H1501" s="159" t="s">
        <v>30659</v>
      </c>
      <c r="I1501" s="14" t="s">
        <v>21</v>
      </c>
      <c r="J1501" s="14" t="s">
        <v>15534</v>
      </c>
      <c r="K1501" s="14" t="s">
        <v>36542</v>
      </c>
      <c r="L1501" s="152" t="s">
        <v>14517</v>
      </c>
      <c r="M1501" s="14" t="s">
        <v>36543</v>
      </c>
      <c r="N1501" s="54" t="s">
        <v>36542</v>
      </c>
      <c r="O1501" s="130"/>
      <c r="P1501" s="16"/>
      <c r="Q1501" s="14">
        <v>1382920.0</v>
      </c>
      <c r="R1501" s="95"/>
      <c r="S1501" s="154"/>
      <c r="T1501" s="84"/>
      <c r="U1501" s="84"/>
      <c r="V1501" s="84"/>
      <c r="W1501" s="84"/>
      <c r="X1501" s="84"/>
      <c r="Y1501" s="84"/>
      <c r="Z1501" s="84"/>
      <c r="AA1501" s="84"/>
      <c r="AB1501" s="84"/>
      <c r="AC1501" s="84"/>
    </row>
    <row r="1502" ht="15.75" customHeight="1">
      <c r="A1502" s="14" t="s">
        <v>2137</v>
      </c>
      <c r="B1502" s="14">
        <v>2004.0</v>
      </c>
      <c r="C1502" s="14" t="s">
        <v>14518</v>
      </c>
      <c r="D1502" s="14" t="s">
        <v>14519</v>
      </c>
      <c r="E1502" s="150" t="str">
        <f t="shared" si="14"/>
        <v>http://dx.doi.org/10.1109/INFVIS.2004.68</v>
      </c>
      <c r="F1502" s="14">
        <v>81.0</v>
      </c>
      <c r="G1502" s="14">
        <v>88.0</v>
      </c>
      <c r="H1502" s="151"/>
      <c r="I1502" s="14" t="s">
        <v>28</v>
      </c>
      <c r="J1502" s="14" t="s">
        <v>15536</v>
      </c>
      <c r="K1502" s="14" t="s">
        <v>36546</v>
      </c>
      <c r="L1502" s="152" t="s">
        <v>14522</v>
      </c>
      <c r="M1502" s="14" t="s">
        <v>36548</v>
      </c>
      <c r="N1502" s="54" t="s">
        <v>36546</v>
      </c>
      <c r="O1502" s="130" t="s">
        <v>1842</v>
      </c>
      <c r="P1502" s="153" t="s">
        <v>14523</v>
      </c>
      <c r="Q1502" s="14">
        <v>1382894.0</v>
      </c>
      <c r="R1502" s="95"/>
      <c r="S1502" s="154">
        <v>346302.0</v>
      </c>
      <c r="T1502" s="84"/>
      <c r="U1502" s="84"/>
      <c r="V1502" s="84"/>
      <c r="W1502" s="84"/>
      <c r="X1502" s="84"/>
      <c r="Y1502" s="84"/>
      <c r="Z1502" s="84"/>
      <c r="AA1502" s="84"/>
      <c r="AB1502" s="84"/>
      <c r="AC1502" s="84"/>
    </row>
    <row r="1503" ht="15.75" customHeight="1">
      <c r="A1503" s="14" t="s">
        <v>2137</v>
      </c>
      <c r="B1503" s="14">
        <v>2004.0</v>
      </c>
      <c r="C1503" s="14" t="s">
        <v>14528</v>
      </c>
      <c r="D1503" s="14" t="s">
        <v>14529</v>
      </c>
      <c r="E1503" s="150" t="str">
        <f t="shared" si="14"/>
        <v>http://dx.doi.org/10.1109/INFVIS.2004.69</v>
      </c>
      <c r="F1503" s="14" t="s">
        <v>14531</v>
      </c>
      <c r="G1503" s="14" t="s">
        <v>14531</v>
      </c>
      <c r="H1503" s="159" t="s">
        <v>30659</v>
      </c>
      <c r="I1503" s="14" t="s">
        <v>21</v>
      </c>
      <c r="J1503" s="14" t="s">
        <v>15539</v>
      </c>
      <c r="K1503" s="14" t="s">
        <v>36552</v>
      </c>
      <c r="L1503" s="152" t="s">
        <v>14533</v>
      </c>
      <c r="M1503" s="14" t="s">
        <v>36553</v>
      </c>
      <c r="N1503" s="54" t="s">
        <v>36554</v>
      </c>
      <c r="O1503" s="130"/>
      <c r="P1503" s="16"/>
      <c r="Q1503" s="14">
        <v>1382936.0</v>
      </c>
      <c r="R1503" s="95"/>
      <c r="S1503" s="154"/>
      <c r="T1503" s="84"/>
      <c r="U1503" s="84"/>
      <c r="V1503" s="84"/>
      <c r="W1503" s="84"/>
      <c r="X1503" s="84"/>
      <c r="Y1503" s="84"/>
      <c r="Z1503" s="84"/>
      <c r="AA1503" s="84"/>
      <c r="AB1503" s="84"/>
      <c r="AC1503" s="84"/>
    </row>
    <row r="1504" ht="15.75" customHeight="1">
      <c r="A1504" s="14" t="s">
        <v>2137</v>
      </c>
      <c r="B1504" s="14">
        <v>2004.0</v>
      </c>
      <c r="C1504" s="14" t="s">
        <v>14539</v>
      </c>
      <c r="D1504" s="14" t="s">
        <v>14540</v>
      </c>
      <c r="E1504" s="150" t="str">
        <f t="shared" si="14"/>
        <v>http://dx.doi.org/10.1109/INFVIS.2004.70</v>
      </c>
      <c r="F1504" s="14">
        <v>9.0</v>
      </c>
      <c r="G1504" s="14">
        <v>16.0</v>
      </c>
      <c r="H1504" s="151"/>
      <c r="I1504" s="14" t="s">
        <v>28</v>
      </c>
      <c r="J1504" s="14" t="s">
        <v>15545</v>
      </c>
      <c r="K1504" s="14" t="s">
        <v>8784</v>
      </c>
      <c r="L1504" s="152" t="s">
        <v>14542</v>
      </c>
      <c r="M1504" s="14">
        <v>3.73260913E10</v>
      </c>
      <c r="N1504" s="54" t="s">
        <v>8784</v>
      </c>
      <c r="O1504" s="130" t="s">
        <v>14543</v>
      </c>
      <c r="P1504" s="153" t="s">
        <v>14544</v>
      </c>
      <c r="Q1504" s="14">
        <v>1382885.0</v>
      </c>
      <c r="R1504" s="95"/>
      <c r="S1504" s="154" t="s">
        <v>36555</v>
      </c>
      <c r="T1504" s="84"/>
      <c r="U1504" s="84"/>
      <c r="V1504" s="84"/>
      <c r="W1504" s="84"/>
      <c r="X1504" s="84"/>
      <c r="Y1504" s="84"/>
      <c r="Z1504" s="84"/>
      <c r="AA1504" s="84"/>
      <c r="AB1504" s="84"/>
      <c r="AC1504" s="84"/>
    </row>
    <row r="1505" ht="15.75" customHeight="1">
      <c r="A1505" s="14" t="s">
        <v>2137</v>
      </c>
      <c r="B1505" s="14">
        <v>2004.0</v>
      </c>
      <c r="C1505" s="14" t="s">
        <v>14545</v>
      </c>
      <c r="D1505" s="14" t="s">
        <v>14546</v>
      </c>
      <c r="E1505" s="150" t="str">
        <f t="shared" si="14"/>
        <v>http://dx.doi.org/10.1109/INFVIS.2004.71</v>
      </c>
      <c r="F1505" s="14">
        <v>73.0</v>
      </c>
      <c r="G1505" s="14">
        <v>80.0</v>
      </c>
      <c r="H1505" s="151"/>
      <c r="I1505" s="14" t="s">
        <v>28</v>
      </c>
      <c r="J1505" s="14" t="s">
        <v>15547</v>
      </c>
      <c r="K1505" s="14" t="s">
        <v>36574</v>
      </c>
      <c r="L1505" s="152" t="s">
        <v>14552</v>
      </c>
      <c r="M1505" s="14" t="s">
        <v>36576</v>
      </c>
      <c r="N1505" s="54" t="s">
        <v>36574</v>
      </c>
      <c r="O1505" s="130" t="s">
        <v>14553</v>
      </c>
      <c r="P1505" s="153" t="s">
        <v>14554</v>
      </c>
      <c r="Q1505" s="14">
        <v>1382893.0</v>
      </c>
      <c r="R1505" s="95"/>
      <c r="S1505" s="154" t="s">
        <v>36578</v>
      </c>
      <c r="T1505" s="84"/>
      <c r="U1505" s="84"/>
      <c r="V1505" s="84"/>
      <c r="W1505" s="84"/>
      <c r="X1505" s="84"/>
      <c r="Y1505" s="84"/>
      <c r="Z1505" s="84"/>
      <c r="AA1505" s="84"/>
      <c r="AB1505" s="84"/>
      <c r="AC1505" s="84"/>
    </row>
    <row r="1506" ht="15.75" customHeight="1">
      <c r="A1506" s="14" t="s">
        <v>2137</v>
      </c>
      <c r="B1506" s="14">
        <v>2004.0</v>
      </c>
      <c r="C1506" s="14" t="s">
        <v>14555</v>
      </c>
      <c r="D1506" s="14" t="s">
        <v>14556</v>
      </c>
      <c r="E1506" s="150" t="str">
        <f t="shared" si="14"/>
        <v>http://dx.doi.org/10.1109/INFVIS.2004.72</v>
      </c>
      <c r="F1506" s="14">
        <v>22.0</v>
      </c>
      <c r="G1506" s="14">
        <v>22.0</v>
      </c>
      <c r="H1506" s="159" t="s">
        <v>30659</v>
      </c>
      <c r="I1506" s="14" t="s">
        <v>21</v>
      </c>
      <c r="J1506" s="14" t="s">
        <v>36582</v>
      </c>
      <c r="K1506" s="14" t="s">
        <v>36584</v>
      </c>
      <c r="L1506" s="152" t="s">
        <v>14559</v>
      </c>
      <c r="M1506" s="14" t="s">
        <v>36585</v>
      </c>
      <c r="N1506" s="54" t="s">
        <v>36584</v>
      </c>
      <c r="O1506" s="130"/>
      <c r="P1506" s="16"/>
      <c r="Q1506" s="14">
        <v>1382933.0</v>
      </c>
      <c r="R1506" s="95"/>
      <c r="S1506" s="154"/>
      <c r="T1506" s="84"/>
      <c r="U1506" s="84"/>
      <c r="V1506" s="84"/>
      <c r="W1506" s="84"/>
      <c r="X1506" s="84"/>
      <c r="Y1506" s="84"/>
      <c r="Z1506" s="84"/>
      <c r="AA1506" s="84"/>
      <c r="AB1506" s="84"/>
      <c r="AC1506" s="84"/>
    </row>
    <row r="1507" ht="15.75" customHeight="1">
      <c r="A1507" s="14" t="s">
        <v>2137</v>
      </c>
      <c r="B1507" s="14">
        <v>2004.0</v>
      </c>
      <c r="C1507" s="14" t="s">
        <v>14560</v>
      </c>
      <c r="D1507" s="14" t="s">
        <v>14561</v>
      </c>
      <c r="E1507" s="150" t="str">
        <f t="shared" si="14"/>
        <v>http://dx.doi.org/10.1109/INFVIS.2004.73</v>
      </c>
      <c r="F1507" s="14">
        <v>12.0</v>
      </c>
      <c r="G1507" s="14">
        <v>12.0</v>
      </c>
      <c r="H1507" s="159" t="s">
        <v>30659</v>
      </c>
      <c r="I1507" s="14" t="s">
        <v>21</v>
      </c>
      <c r="J1507" s="14" t="s">
        <v>15552</v>
      </c>
      <c r="K1507" s="14" t="s">
        <v>36586</v>
      </c>
      <c r="L1507" s="152" t="s">
        <v>14569</v>
      </c>
      <c r="M1507" s="14" t="s">
        <v>36587</v>
      </c>
      <c r="N1507" s="54" t="s">
        <v>36588</v>
      </c>
      <c r="O1507" s="130"/>
      <c r="P1507" s="16"/>
      <c r="Q1507" s="14">
        <v>1382923.0</v>
      </c>
      <c r="R1507" s="95"/>
      <c r="S1507" s="154"/>
      <c r="T1507" s="84"/>
      <c r="U1507" s="84"/>
      <c r="V1507" s="84"/>
      <c r="W1507" s="84"/>
      <c r="X1507" s="84"/>
      <c r="Y1507" s="84"/>
      <c r="Z1507" s="84"/>
      <c r="AA1507" s="84"/>
      <c r="AB1507" s="84"/>
      <c r="AC1507" s="84"/>
    </row>
    <row r="1508" ht="15.75" customHeight="1">
      <c r="A1508" s="14" t="s">
        <v>2137</v>
      </c>
      <c r="B1508" s="14">
        <v>2004.0</v>
      </c>
      <c r="C1508" s="14" t="s">
        <v>14570</v>
      </c>
      <c r="D1508" s="14" t="s">
        <v>14571</v>
      </c>
      <c r="E1508" s="150" t="str">
        <f t="shared" si="14"/>
        <v>http://dx.doi.org/10.1109/INFVIS.2004.74</v>
      </c>
      <c r="F1508" s="14">
        <v>15.0</v>
      </c>
      <c r="G1508" s="14">
        <v>15.0</v>
      </c>
      <c r="H1508" s="159" t="s">
        <v>30659</v>
      </c>
      <c r="I1508" s="14" t="s">
        <v>21</v>
      </c>
      <c r="J1508" s="14" t="s">
        <v>15555</v>
      </c>
      <c r="K1508" s="14" t="s">
        <v>36589</v>
      </c>
      <c r="L1508" s="152" t="s">
        <v>14577</v>
      </c>
      <c r="M1508" s="14" t="s">
        <v>36590</v>
      </c>
      <c r="N1508" s="54" t="s">
        <v>36589</v>
      </c>
      <c r="O1508" s="130"/>
      <c r="P1508" s="16"/>
      <c r="Q1508" s="14">
        <v>1382926.0</v>
      </c>
      <c r="R1508" s="95"/>
      <c r="S1508" s="154"/>
      <c r="T1508" s="84"/>
      <c r="U1508" s="84"/>
      <c r="V1508" s="84"/>
      <c r="W1508" s="84"/>
      <c r="X1508" s="84"/>
      <c r="Y1508" s="84"/>
      <c r="Z1508" s="84"/>
      <c r="AA1508" s="84"/>
      <c r="AB1508" s="84"/>
      <c r="AC1508" s="84"/>
    </row>
    <row r="1509" ht="15.75" customHeight="1">
      <c r="A1509" s="14" t="s">
        <v>2137</v>
      </c>
      <c r="B1509" s="14">
        <v>2004.0</v>
      </c>
      <c r="C1509" s="14" t="s">
        <v>14578</v>
      </c>
      <c r="D1509" s="14" t="s">
        <v>14579</v>
      </c>
      <c r="E1509" s="150" t="str">
        <f t="shared" si="14"/>
        <v>http://dx.doi.org/10.1109/INFVIS.2004.75</v>
      </c>
      <c r="F1509" s="14">
        <v>6.0</v>
      </c>
      <c r="G1509" s="14">
        <v>6.0</v>
      </c>
      <c r="H1509" s="159" t="s">
        <v>30659</v>
      </c>
      <c r="I1509" s="14" t="s">
        <v>21</v>
      </c>
      <c r="J1509" s="14" t="s">
        <v>15558</v>
      </c>
      <c r="K1509" s="14" t="s">
        <v>36597</v>
      </c>
      <c r="L1509" s="152" t="s">
        <v>14585</v>
      </c>
      <c r="M1509" s="14" t="s">
        <v>36598</v>
      </c>
      <c r="N1509" s="54" t="s">
        <v>36599</v>
      </c>
      <c r="O1509" s="130"/>
      <c r="P1509" s="16"/>
      <c r="Q1509" s="14">
        <v>1382917.0</v>
      </c>
      <c r="R1509" s="95"/>
      <c r="S1509" s="154"/>
      <c r="T1509" s="84"/>
      <c r="U1509" s="84"/>
      <c r="V1509" s="84"/>
      <c r="W1509" s="84"/>
      <c r="X1509" s="84"/>
      <c r="Y1509" s="84"/>
      <c r="Z1509" s="84"/>
      <c r="AA1509" s="84"/>
      <c r="AB1509" s="84"/>
      <c r="AC1509" s="84"/>
    </row>
    <row r="1510" ht="15.75" customHeight="1">
      <c r="A1510" s="14" t="s">
        <v>2137</v>
      </c>
      <c r="B1510" s="14">
        <v>2004.0</v>
      </c>
      <c r="C1510" s="14" t="s">
        <v>14586</v>
      </c>
      <c r="D1510" s="14" t="s">
        <v>14587</v>
      </c>
      <c r="E1510" s="150" t="str">
        <f t="shared" si="14"/>
        <v>http://dx.doi.org/10.1109/INFVIS.2004.76</v>
      </c>
      <c r="F1510" s="14">
        <v>20.0</v>
      </c>
      <c r="G1510" s="14">
        <v>20.0</v>
      </c>
      <c r="H1510" s="159" t="s">
        <v>30659</v>
      </c>
      <c r="I1510" s="14" t="s">
        <v>21</v>
      </c>
      <c r="J1510" s="14" t="s">
        <v>15561</v>
      </c>
      <c r="K1510" s="14" t="s">
        <v>36601</v>
      </c>
      <c r="L1510" s="152" t="s">
        <v>14590</v>
      </c>
      <c r="M1510" s="14" t="s">
        <v>36614</v>
      </c>
      <c r="N1510" s="54" t="s">
        <v>36601</v>
      </c>
      <c r="O1510" s="130"/>
      <c r="P1510" s="16"/>
      <c r="Q1510" s="14">
        <v>1382931.0</v>
      </c>
      <c r="R1510" s="95"/>
      <c r="S1510" s="154"/>
      <c r="T1510" s="84"/>
      <c r="U1510" s="84"/>
      <c r="V1510" s="84"/>
      <c r="W1510" s="84"/>
      <c r="X1510" s="84"/>
      <c r="Y1510" s="84"/>
      <c r="Z1510" s="84"/>
      <c r="AA1510" s="84"/>
      <c r="AB1510" s="84"/>
      <c r="AC1510" s="84"/>
    </row>
    <row r="1511" ht="15.75" customHeight="1">
      <c r="A1511" s="14" t="s">
        <v>2137</v>
      </c>
      <c r="B1511" s="14">
        <v>2004.0</v>
      </c>
      <c r="C1511" s="14" t="s">
        <v>14591</v>
      </c>
      <c r="D1511" s="14" t="s">
        <v>14592</v>
      </c>
      <c r="E1511" s="150" t="str">
        <f t="shared" si="14"/>
        <v>http://dx.doi.org/10.1109/INFVIS.2004.77</v>
      </c>
      <c r="F1511" s="14" t="s">
        <v>14597</v>
      </c>
      <c r="G1511" s="14" t="s">
        <v>14597</v>
      </c>
      <c r="H1511" s="159" t="s">
        <v>30659</v>
      </c>
      <c r="I1511" s="14" t="s">
        <v>21</v>
      </c>
      <c r="J1511" s="14" t="s">
        <v>15564</v>
      </c>
      <c r="K1511" s="14" t="s">
        <v>36619</v>
      </c>
      <c r="L1511" s="152" t="s">
        <v>14598</v>
      </c>
      <c r="M1511" s="14" t="s">
        <v>36620</v>
      </c>
      <c r="N1511" s="54" t="s">
        <v>36619</v>
      </c>
      <c r="O1511" s="130"/>
      <c r="P1511" s="16"/>
      <c r="Q1511" s="14">
        <v>1382937.0</v>
      </c>
      <c r="R1511" s="95"/>
      <c r="S1511" s="154"/>
      <c r="T1511" s="84"/>
      <c r="U1511" s="84"/>
      <c r="V1511" s="84"/>
      <c r="W1511" s="84"/>
      <c r="X1511" s="84"/>
      <c r="Y1511" s="84"/>
      <c r="Z1511" s="84"/>
      <c r="AA1511" s="84"/>
      <c r="AB1511" s="84"/>
      <c r="AC1511" s="84"/>
    </row>
    <row r="1512" ht="15.75" customHeight="1">
      <c r="A1512" s="14" t="s">
        <v>17</v>
      </c>
      <c r="B1512" s="14">
        <v>2004.0</v>
      </c>
      <c r="C1512" s="14" t="s">
        <v>14885</v>
      </c>
      <c r="D1512" s="14" t="s">
        <v>14886</v>
      </c>
      <c r="E1512" s="150" t="str">
        <f t="shared" si="14"/>
        <v>http://dx.doi.org/10.1109/VISUAL.2004.2</v>
      </c>
      <c r="F1512" s="14">
        <v>2.0</v>
      </c>
      <c r="G1512" s="14">
        <v>2.0</v>
      </c>
      <c r="H1512" s="159" t="s">
        <v>30659</v>
      </c>
      <c r="I1512" s="14" t="s">
        <v>21</v>
      </c>
      <c r="J1512" s="14" t="s">
        <v>15659</v>
      </c>
      <c r="K1512" s="14" t="s">
        <v>36624</v>
      </c>
      <c r="L1512" s="152" t="s">
        <v>14889</v>
      </c>
      <c r="M1512" s="14" t="s">
        <v>36625</v>
      </c>
      <c r="N1512" s="54" t="s">
        <v>36624</v>
      </c>
      <c r="O1512" s="130"/>
      <c r="P1512" s="16"/>
      <c r="Q1512" s="14">
        <v>1372251.0</v>
      </c>
      <c r="R1512" s="95"/>
      <c r="S1512" s="154"/>
      <c r="T1512" s="84"/>
      <c r="U1512" s="84"/>
      <c r="V1512" s="84"/>
      <c r="W1512" s="84"/>
      <c r="X1512" s="84"/>
      <c r="Y1512" s="84"/>
      <c r="Z1512" s="84"/>
      <c r="AA1512" s="84"/>
      <c r="AB1512" s="84"/>
      <c r="AC1512" s="84"/>
    </row>
    <row r="1513" ht="15.75" customHeight="1">
      <c r="A1513" s="14" t="s">
        <v>17</v>
      </c>
      <c r="B1513" s="14">
        <v>2004.0</v>
      </c>
      <c r="C1513" s="14" t="s">
        <v>14943</v>
      </c>
      <c r="D1513" s="14" t="s">
        <v>14944</v>
      </c>
      <c r="E1513" s="150" t="str">
        <f t="shared" si="14"/>
        <v>http://dx.doi.org/10.1109/VISUAL.2004.3</v>
      </c>
      <c r="F1513" s="14">
        <v>195.0</v>
      </c>
      <c r="G1513" s="14">
        <v>202.0</v>
      </c>
      <c r="H1513" s="151"/>
      <c r="I1513" s="14" t="s">
        <v>28</v>
      </c>
      <c r="J1513" s="14" t="s">
        <v>15683</v>
      </c>
      <c r="K1513" s="14" t="s">
        <v>36640</v>
      </c>
      <c r="L1513" s="152" t="s">
        <v>14947</v>
      </c>
      <c r="M1513" s="14" t="s">
        <v>36641</v>
      </c>
      <c r="N1513" s="54" t="s">
        <v>36640</v>
      </c>
      <c r="O1513" s="130" t="s">
        <v>14948</v>
      </c>
      <c r="P1513" s="153" t="s">
        <v>14949</v>
      </c>
      <c r="Q1513" s="14">
        <v>1372197.0</v>
      </c>
      <c r="R1513" s="95"/>
      <c r="S1513" s="154" t="s">
        <v>36643</v>
      </c>
      <c r="T1513" s="84"/>
      <c r="U1513" s="84"/>
      <c r="V1513" s="84"/>
      <c r="W1513" s="84"/>
      <c r="X1513" s="84"/>
      <c r="Y1513" s="84"/>
      <c r="Z1513" s="84"/>
      <c r="AA1513" s="84"/>
      <c r="AB1513" s="84"/>
      <c r="AC1513" s="84"/>
    </row>
    <row r="1514" ht="15.75" customHeight="1">
      <c r="A1514" s="14" t="s">
        <v>17</v>
      </c>
      <c r="B1514" s="14">
        <v>2004.0</v>
      </c>
      <c r="C1514" s="14" t="s">
        <v>15008</v>
      </c>
      <c r="D1514" s="14" t="s">
        <v>15009</v>
      </c>
      <c r="E1514" s="150" t="str">
        <f t="shared" si="14"/>
        <v>http://dx.doi.org/10.1109/VISUAL.2004.4</v>
      </c>
      <c r="F1514" s="14">
        <v>219.0</v>
      </c>
      <c r="G1514" s="14">
        <v>226.0</v>
      </c>
      <c r="H1514" s="151"/>
      <c r="I1514" s="14" t="s">
        <v>28</v>
      </c>
      <c r="J1514" s="14" t="s">
        <v>15711</v>
      </c>
      <c r="K1514" s="14" t="s">
        <v>36646</v>
      </c>
      <c r="L1514" s="152" t="s">
        <v>15012</v>
      </c>
      <c r="M1514" s="14" t="s">
        <v>36647</v>
      </c>
      <c r="N1514" s="54" t="s">
        <v>36648</v>
      </c>
      <c r="O1514" s="130" t="s">
        <v>15013</v>
      </c>
      <c r="P1514" s="153" t="s">
        <v>15014</v>
      </c>
      <c r="Q1514" s="14">
        <v>1372200.0</v>
      </c>
      <c r="R1514" s="95"/>
      <c r="S1514" s="154" t="s">
        <v>36650</v>
      </c>
      <c r="T1514" s="84"/>
      <c r="U1514" s="84"/>
      <c r="V1514" s="84"/>
      <c r="W1514" s="84"/>
      <c r="X1514" s="84"/>
      <c r="Y1514" s="84"/>
      <c r="Z1514" s="84"/>
      <c r="AA1514" s="84"/>
      <c r="AB1514" s="84"/>
      <c r="AC1514" s="84"/>
    </row>
    <row r="1515" ht="15.75" customHeight="1">
      <c r="A1515" s="14" t="s">
        <v>17</v>
      </c>
      <c r="B1515" s="14">
        <v>2004.0</v>
      </c>
      <c r="C1515" s="14" t="s">
        <v>15032</v>
      </c>
      <c r="D1515" s="14" t="s">
        <v>15033</v>
      </c>
      <c r="E1515" s="150" t="str">
        <f t="shared" si="14"/>
        <v>http://dx.doi.org/10.1109/VISUAL.2004.5</v>
      </c>
      <c r="F1515" s="14">
        <v>107.0</v>
      </c>
      <c r="G1515" s="14">
        <v>114.0</v>
      </c>
      <c r="H1515" s="151"/>
      <c r="I1515" s="14" t="s">
        <v>28</v>
      </c>
      <c r="J1515" s="14" t="s">
        <v>15723</v>
      </c>
      <c r="K1515" s="14" t="s">
        <v>36654</v>
      </c>
      <c r="L1515" s="152" t="s">
        <v>15036</v>
      </c>
      <c r="M1515" s="14" t="s">
        <v>36656</v>
      </c>
      <c r="N1515" s="54" t="s">
        <v>36654</v>
      </c>
      <c r="O1515" s="130"/>
      <c r="P1515" s="153" t="s">
        <v>15037</v>
      </c>
      <c r="Q1515" s="14">
        <v>1372186.0</v>
      </c>
      <c r="R1515" s="95"/>
      <c r="S1515" s="154"/>
      <c r="T1515" s="84"/>
      <c r="U1515" s="84"/>
      <c r="V1515" s="84"/>
      <c r="W1515" s="84"/>
      <c r="X1515" s="84"/>
      <c r="Y1515" s="84"/>
      <c r="Z1515" s="84"/>
      <c r="AA1515" s="84"/>
      <c r="AB1515" s="84"/>
      <c r="AC1515" s="84"/>
    </row>
    <row r="1516" ht="15.75" customHeight="1">
      <c r="A1516" s="14" t="s">
        <v>17</v>
      </c>
      <c r="B1516" s="14">
        <v>2004.0</v>
      </c>
      <c r="C1516" s="14" t="s">
        <v>15123</v>
      </c>
      <c r="D1516" s="14" t="s">
        <v>15124</v>
      </c>
      <c r="E1516" s="150" t="str">
        <f t="shared" si="14"/>
        <v>http://dx.doi.org/10.1109/VISUAL.2004.6</v>
      </c>
      <c r="F1516" s="14">
        <v>27.0</v>
      </c>
      <c r="G1516" s="14">
        <v>27.0</v>
      </c>
      <c r="H1516" s="159" t="s">
        <v>30659</v>
      </c>
      <c r="I1516" s="14" t="s">
        <v>21</v>
      </c>
      <c r="J1516" s="14"/>
      <c r="K1516" s="14" t="s">
        <v>36660</v>
      </c>
      <c r="L1516" s="152" t="s">
        <v>14924</v>
      </c>
      <c r="M1516" s="14" t="s">
        <v>36662</v>
      </c>
      <c r="N1516" s="54" t="s">
        <v>36663</v>
      </c>
      <c r="O1516" s="130"/>
      <c r="P1516" s="16"/>
      <c r="Q1516" s="14">
        <v>1372276.0</v>
      </c>
      <c r="R1516" s="95"/>
      <c r="S1516" s="154"/>
      <c r="T1516" s="84"/>
      <c r="U1516" s="84"/>
      <c r="V1516" s="84"/>
      <c r="W1516" s="84"/>
      <c r="X1516" s="84"/>
      <c r="Y1516" s="84"/>
      <c r="Z1516" s="84"/>
      <c r="AA1516" s="84"/>
      <c r="AB1516" s="84"/>
      <c r="AC1516" s="84"/>
    </row>
    <row r="1517" ht="15.75" customHeight="1">
      <c r="A1517" s="14" t="s">
        <v>17</v>
      </c>
      <c r="B1517" s="14">
        <v>2004.0</v>
      </c>
      <c r="C1517" s="14" t="s">
        <v>15222</v>
      </c>
      <c r="D1517" s="14" t="s">
        <v>15223</v>
      </c>
      <c r="E1517" s="150" t="str">
        <f t="shared" si="14"/>
        <v>http://dx.doi.org/10.1109/VISUAL.2004.7</v>
      </c>
      <c r="F1517" s="14">
        <v>235.0</v>
      </c>
      <c r="G1517" s="14">
        <v>241.0</v>
      </c>
      <c r="H1517" s="151"/>
      <c r="I1517" s="14" t="s">
        <v>28</v>
      </c>
      <c r="J1517" s="14" t="s">
        <v>15910</v>
      </c>
      <c r="K1517" s="14" t="s">
        <v>36666</v>
      </c>
      <c r="L1517" s="152" t="s">
        <v>880</v>
      </c>
      <c r="M1517" s="14" t="s">
        <v>36667</v>
      </c>
      <c r="N1517" s="54" t="s">
        <v>36668</v>
      </c>
      <c r="O1517" s="130"/>
      <c r="P1517" s="153" t="s">
        <v>15232</v>
      </c>
      <c r="Q1517" s="14">
        <v>1372202.0</v>
      </c>
      <c r="R1517" s="95"/>
      <c r="S1517" s="154"/>
      <c r="T1517" s="84"/>
      <c r="U1517" s="84"/>
      <c r="V1517" s="84"/>
      <c r="W1517" s="84"/>
      <c r="X1517" s="84"/>
      <c r="Y1517" s="84"/>
      <c r="Z1517" s="84"/>
      <c r="AA1517" s="84"/>
      <c r="AB1517" s="84"/>
      <c r="AC1517" s="84"/>
    </row>
    <row r="1518" ht="15.75" customHeight="1">
      <c r="A1518" s="14" t="s">
        <v>17</v>
      </c>
      <c r="B1518" s="14">
        <v>2004.0</v>
      </c>
      <c r="C1518" s="14" t="s">
        <v>15814</v>
      </c>
      <c r="D1518" s="14" t="s">
        <v>15815</v>
      </c>
      <c r="E1518" s="150" t="str">
        <f t="shared" si="14"/>
        <v>http://dx.doi.org/10.1109/VISUAL.2004.9</v>
      </c>
      <c r="F1518" s="14">
        <v>33.0</v>
      </c>
      <c r="G1518" s="14">
        <v>33.0</v>
      </c>
      <c r="H1518" s="159" t="s">
        <v>30659</v>
      </c>
      <c r="I1518" s="14" t="s">
        <v>21</v>
      </c>
      <c r="J1518" s="14"/>
      <c r="K1518" s="14" t="s">
        <v>36672</v>
      </c>
      <c r="L1518" s="152" t="s">
        <v>15818</v>
      </c>
      <c r="M1518" s="14" t="s">
        <v>36674</v>
      </c>
      <c r="N1518" s="54" t="s">
        <v>36672</v>
      </c>
      <c r="O1518" s="130"/>
      <c r="P1518" s="16"/>
      <c r="Q1518" s="14">
        <v>1372282.0</v>
      </c>
      <c r="R1518" s="95"/>
      <c r="S1518" s="154"/>
      <c r="T1518" s="84"/>
      <c r="U1518" s="84"/>
      <c r="V1518" s="84"/>
      <c r="W1518" s="84"/>
      <c r="X1518" s="84"/>
      <c r="Y1518" s="84"/>
      <c r="Z1518" s="84"/>
      <c r="AA1518" s="84"/>
      <c r="AB1518" s="84"/>
      <c r="AC1518" s="84"/>
    </row>
    <row r="1519" ht="15.75" customHeight="1">
      <c r="A1519" s="14" t="s">
        <v>17</v>
      </c>
      <c r="B1519" s="14">
        <v>2004.0</v>
      </c>
      <c r="C1519" s="14" t="s">
        <v>14608</v>
      </c>
      <c r="D1519" s="14" t="s">
        <v>14609</v>
      </c>
      <c r="E1519" s="150" t="str">
        <f t="shared" si="14"/>
        <v>http://dx.doi.org/10.1109/VISUAL.2004.10</v>
      </c>
      <c r="F1519" s="14">
        <v>7.0</v>
      </c>
      <c r="G1519" s="14">
        <v>7.0</v>
      </c>
      <c r="H1519" s="159" t="s">
        <v>30659</v>
      </c>
      <c r="I1519" s="14" t="s">
        <v>21</v>
      </c>
      <c r="J1519" s="14" t="s">
        <v>36677</v>
      </c>
      <c r="K1519" s="14" t="s">
        <v>36679</v>
      </c>
      <c r="L1519" s="152" t="s">
        <v>14615</v>
      </c>
      <c r="M1519" s="14" t="s">
        <v>36680</v>
      </c>
      <c r="N1519" s="54" t="s">
        <v>36681</v>
      </c>
      <c r="O1519" s="130"/>
      <c r="P1519" s="16"/>
      <c r="Q1519" s="14">
        <v>1372256.0</v>
      </c>
      <c r="R1519" s="95"/>
      <c r="S1519" s="154"/>
      <c r="T1519" s="84"/>
      <c r="U1519" s="84"/>
      <c r="V1519" s="84"/>
      <c r="W1519" s="84"/>
      <c r="X1519" s="84"/>
      <c r="Y1519" s="84"/>
      <c r="Z1519" s="84"/>
      <c r="AA1519" s="84"/>
      <c r="AB1519" s="84"/>
      <c r="AC1519" s="84"/>
    </row>
    <row r="1520" ht="15.75" customHeight="1">
      <c r="A1520" s="14" t="s">
        <v>17</v>
      </c>
      <c r="B1520" s="14">
        <v>2004.0</v>
      </c>
      <c r="C1520" s="14" t="s">
        <v>14735</v>
      </c>
      <c r="D1520" s="14" t="s">
        <v>14736</v>
      </c>
      <c r="E1520" s="150" t="str">
        <f t="shared" si="14"/>
        <v>http://dx.doi.org/10.1109/VISUAL.2004.11</v>
      </c>
      <c r="F1520" s="14">
        <v>30.0</v>
      </c>
      <c r="G1520" s="14">
        <v>30.0</v>
      </c>
      <c r="H1520" s="159" t="s">
        <v>30659</v>
      </c>
      <c r="I1520" s="14" t="s">
        <v>21</v>
      </c>
      <c r="J1520" s="14"/>
      <c r="K1520" s="14" t="s">
        <v>36684</v>
      </c>
      <c r="L1520" s="152" t="s">
        <v>14739</v>
      </c>
      <c r="M1520" s="14" t="s">
        <v>36685</v>
      </c>
      <c r="N1520" s="54" t="s">
        <v>36684</v>
      </c>
      <c r="O1520" s="130"/>
      <c r="P1520" s="16"/>
      <c r="Q1520" s="14">
        <v>1372279.0</v>
      </c>
      <c r="R1520" s="95"/>
      <c r="S1520" s="154"/>
      <c r="T1520" s="84"/>
      <c r="U1520" s="84"/>
      <c r="V1520" s="84"/>
      <c r="W1520" s="84"/>
      <c r="X1520" s="84"/>
      <c r="Y1520" s="84"/>
      <c r="Z1520" s="84"/>
      <c r="AA1520" s="84"/>
      <c r="AB1520" s="84"/>
      <c r="AC1520" s="84"/>
    </row>
    <row r="1521" ht="15.75" customHeight="1">
      <c r="A1521" s="14" t="s">
        <v>17</v>
      </c>
      <c r="B1521" s="14">
        <v>2004.0</v>
      </c>
      <c r="C1521" s="14" t="s">
        <v>14852</v>
      </c>
      <c r="D1521" s="14" t="s">
        <v>14853</v>
      </c>
      <c r="E1521" s="150" t="str">
        <f t="shared" si="14"/>
        <v>http://dx.doi.org/10.1109/VISUAL.2004.13</v>
      </c>
      <c r="F1521" s="14">
        <v>43.0</v>
      </c>
      <c r="G1521" s="14">
        <v>50.0</v>
      </c>
      <c r="H1521" s="151"/>
      <c r="I1521" s="14" t="s">
        <v>28</v>
      </c>
      <c r="J1521" s="14" t="s">
        <v>15644</v>
      </c>
      <c r="K1521" s="14" t="s">
        <v>15645</v>
      </c>
      <c r="L1521" s="152" t="s">
        <v>14856</v>
      </c>
      <c r="M1521" s="14" t="s">
        <v>36690</v>
      </c>
      <c r="N1521" s="54" t="s">
        <v>15645</v>
      </c>
      <c r="O1521" s="130" t="s">
        <v>14857</v>
      </c>
      <c r="P1521" s="153" t="s">
        <v>14858</v>
      </c>
      <c r="Q1521" s="14">
        <v>1372178.0</v>
      </c>
      <c r="R1521" s="95"/>
      <c r="S1521" s="154" t="s">
        <v>36691</v>
      </c>
      <c r="T1521" s="84"/>
      <c r="U1521" s="84"/>
      <c r="V1521" s="84"/>
      <c r="W1521" s="84"/>
      <c r="X1521" s="84"/>
      <c r="Y1521" s="84"/>
      <c r="Z1521" s="84"/>
      <c r="AA1521" s="84"/>
      <c r="AB1521" s="84"/>
      <c r="AC1521" s="84"/>
    </row>
    <row r="1522" ht="15.75" customHeight="1">
      <c r="A1522" s="14" t="s">
        <v>17</v>
      </c>
      <c r="B1522" s="14">
        <v>2004.0</v>
      </c>
      <c r="C1522" s="14" t="s">
        <v>14859</v>
      </c>
      <c r="D1522" s="14" t="s">
        <v>14860</v>
      </c>
      <c r="E1522" s="150" t="str">
        <f t="shared" si="14"/>
        <v>http://dx.doi.org/10.1109/VISUAL.2004.14</v>
      </c>
      <c r="F1522" s="14">
        <v>10.0</v>
      </c>
      <c r="G1522" s="14">
        <v>10.0</v>
      </c>
      <c r="H1522" s="159" t="s">
        <v>30659</v>
      </c>
      <c r="I1522" s="14" t="s">
        <v>21</v>
      </c>
      <c r="J1522" s="14" t="s">
        <v>15647</v>
      </c>
      <c r="K1522" s="14" t="s">
        <v>36695</v>
      </c>
      <c r="L1522" s="152" t="s">
        <v>14863</v>
      </c>
      <c r="M1522" s="14" t="s">
        <v>36696</v>
      </c>
      <c r="N1522" s="54" t="s">
        <v>36695</v>
      </c>
      <c r="O1522" s="130"/>
      <c r="P1522" s="16"/>
      <c r="Q1522" s="14">
        <v>1372259.0</v>
      </c>
      <c r="R1522" s="95"/>
      <c r="S1522" s="154"/>
      <c r="T1522" s="84"/>
      <c r="U1522" s="84"/>
      <c r="V1522" s="84"/>
      <c r="W1522" s="84"/>
      <c r="X1522" s="84"/>
      <c r="Y1522" s="84"/>
      <c r="Z1522" s="84"/>
      <c r="AA1522" s="84"/>
      <c r="AB1522" s="84"/>
      <c r="AC1522" s="84"/>
    </row>
    <row r="1523" ht="15.75" customHeight="1">
      <c r="A1523" s="14" t="s">
        <v>17</v>
      </c>
      <c r="B1523" s="14">
        <v>2004.0</v>
      </c>
      <c r="C1523" s="14" t="s">
        <v>14864</v>
      </c>
      <c r="D1523" s="14" t="s">
        <v>14865</v>
      </c>
      <c r="E1523" s="150" t="str">
        <f t="shared" si="14"/>
        <v>http://dx.doi.org/10.1109/VISUAL.2004.15</v>
      </c>
      <c r="F1523" s="14">
        <v>211.0</v>
      </c>
      <c r="G1523" s="14">
        <v>217.0</v>
      </c>
      <c r="H1523" s="151"/>
      <c r="I1523" s="14" t="s">
        <v>28</v>
      </c>
      <c r="J1523" s="14" t="s">
        <v>15650</v>
      </c>
      <c r="K1523" s="14" t="s">
        <v>36699</v>
      </c>
      <c r="L1523" s="152" t="s">
        <v>494</v>
      </c>
      <c r="M1523" s="14" t="s">
        <v>36700</v>
      </c>
      <c r="N1523" s="54" t="s">
        <v>36699</v>
      </c>
      <c r="O1523" s="130" t="s">
        <v>14868</v>
      </c>
      <c r="P1523" s="153" t="s">
        <v>14869</v>
      </c>
      <c r="Q1523" s="14">
        <v>1372199.0</v>
      </c>
      <c r="R1523" s="95"/>
      <c r="S1523" s="154" t="s">
        <v>36703</v>
      </c>
      <c r="T1523" s="84"/>
      <c r="U1523" s="84"/>
      <c r="V1523" s="84"/>
      <c r="W1523" s="84"/>
      <c r="X1523" s="84"/>
      <c r="Y1523" s="84"/>
      <c r="Z1523" s="84"/>
      <c r="AA1523" s="84"/>
      <c r="AB1523" s="84"/>
      <c r="AC1523" s="84"/>
    </row>
    <row r="1524" ht="15.75" customHeight="1">
      <c r="A1524" s="14" t="s">
        <v>17</v>
      </c>
      <c r="B1524" s="14">
        <v>2004.0</v>
      </c>
      <c r="C1524" s="14" t="s">
        <v>14870</v>
      </c>
      <c r="D1524" s="14" t="s">
        <v>14871</v>
      </c>
      <c r="E1524" s="150" t="str">
        <f t="shared" si="14"/>
        <v>http://dx.doi.org/10.1109/VISUAL.2004.16</v>
      </c>
      <c r="F1524" s="14">
        <v>31.0</v>
      </c>
      <c r="G1524" s="14">
        <v>31.0</v>
      </c>
      <c r="H1524" s="159" t="s">
        <v>30659</v>
      </c>
      <c r="I1524" s="14" t="s">
        <v>21</v>
      </c>
      <c r="J1524" s="14" t="s">
        <v>15652</v>
      </c>
      <c r="K1524" s="14" t="s">
        <v>36705</v>
      </c>
      <c r="L1524" s="152" t="s">
        <v>14874</v>
      </c>
      <c r="M1524" s="14" t="s">
        <v>36706</v>
      </c>
      <c r="N1524" s="54" t="s">
        <v>36705</v>
      </c>
      <c r="O1524" s="130"/>
      <c r="P1524" s="16"/>
      <c r="Q1524" s="14">
        <v>1372280.0</v>
      </c>
      <c r="R1524" s="95"/>
      <c r="S1524" s="154"/>
      <c r="T1524" s="84"/>
      <c r="U1524" s="84"/>
      <c r="V1524" s="84"/>
      <c r="W1524" s="84"/>
      <c r="X1524" s="84"/>
      <c r="Y1524" s="84"/>
      <c r="Z1524" s="84"/>
      <c r="AA1524" s="84"/>
      <c r="AB1524" s="84"/>
      <c r="AC1524" s="84"/>
    </row>
    <row r="1525" ht="15.75" customHeight="1">
      <c r="A1525" s="14" t="s">
        <v>17</v>
      </c>
      <c r="B1525" s="14">
        <v>2004.0</v>
      </c>
      <c r="C1525" s="14" t="s">
        <v>14875</v>
      </c>
      <c r="D1525" s="14" t="s">
        <v>14876</v>
      </c>
      <c r="E1525" s="150" t="str">
        <f t="shared" si="14"/>
        <v>http://dx.doi.org/10.1109/VISUAL.2004.18</v>
      </c>
      <c r="F1525" s="14">
        <v>83.0</v>
      </c>
      <c r="G1525" s="14">
        <v>90.0</v>
      </c>
      <c r="H1525" s="151"/>
      <c r="I1525" s="14" t="s">
        <v>28</v>
      </c>
      <c r="J1525" s="14" t="s">
        <v>15654</v>
      </c>
      <c r="K1525" s="14" t="s">
        <v>36711</v>
      </c>
      <c r="L1525" s="152" t="s">
        <v>5349</v>
      </c>
      <c r="M1525" s="14" t="s">
        <v>36712</v>
      </c>
      <c r="N1525" s="54" t="s">
        <v>36711</v>
      </c>
      <c r="O1525" s="130"/>
      <c r="P1525" s="153" t="s">
        <v>14879</v>
      </c>
      <c r="Q1525" s="14">
        <v>1372183.0</v>
      </c>
      <c r="R1525" s="95"/>
      <c r="S1525" s="154"/>
      <c r="T1525" s="84"/>
      <c r="U1525" s="84"/>
      <c r="V1525" s="84"/>
      <c r="W1525" s="84"/>
      <c r="X1525" s="84"/>
      <c r="Y1525" s="84"/>
      <c r="Z1525" s="84"/>
      <c r="AA1525" s="84"/>
      <c r="AB1525" s="84"/>
      <c r="AC1525" s="84"/>
    </row>
    <row r="1526" ht="15.75" customHeight="1">
      <c r="A1526" s="14" t="s">
        <v>17</v>
      </c>
      <c r="B1526" s="14">
        <v>2004.0</v>
      </c>
      <c r="C1526" s="14" t="s">
        <v>14880</v>
      </c>
      <c r="D1526" s="14" t="s">
        <v>14881</v>
      </c>
      <c r="E1526" s="150" t="str">
        <f t="shared" si="14"/>
        <v>http://dx.doi.org/10.1109/VISUAL.2004.19</v>
      </c>
      <c r="F1526" s="14">
        <v>8.0</v>
      </c>
      <c r="G1526" s="14">
        <v>8.0</v>
      </c>
      <c r="H1526" s="159" t="s">
        <v>30659</v>
      </c>
      <c r="I1526" s="14" t="s">
        <v>21</v>
      </c>
      <c r="J1526" s="14" t="s">
        <v>15656</v>
      </c>
      <c r="K1526" s="14" t="s">
        <v>36715</v>
      </c>
      <c r="L1526" s="152" t="s">
        <v>14884</v>
      </c>
      <c r="M1526" s="14" t="s">
        <v>36716</v>
      </c>
      <c r="N1526" s="54" t="s">
        <v>36715</v>
      </c>
      <c r="O1526" s="130"/>
      <c r="P1526" s="16"/>
      <c r="Q1526" s="14">
        <v>1372257.0</v>
      </c>
      <c r="R1526" s="95"/>
      <c r="S1526" s="154"/>
      <c r="T1526" s="84"/>
      <c r="U1526" s="84"/>
      <c r="V1526" s="84"/>
      <c r="W1526" s="84"/>
      <c r="X1526" s="84"/>
      <c r="Y1526" s="84"/>
      <c r="Z1526" s="84"/>
      <c r="AA1526" s="84"/>
      <c r="AB1526" s="84"/>
      <c r="AC1526" s="84"/>
    </row>
    <row r="1527" ht="15.75" customHeight="1">
      <c r="A1527" s="14" t="s">
        <v>17</v>
      </c>
      <c r="B1527" s="14">
        <v>2004.0</v>
      </c>
      <c r="C1527" s="14" t="s">
        <v>14890</v>
      </c>
      <c r="D1527" s="14" t="s">
        <v>14891</v>
      </c>
      <c r="E1527" s="150" t="str">
        <f t="shared" si="14"/>
        <v>http://dx.doi.org/10.1109/VISUAL.2004.21</v>
      </c>
      <c r="F1527" s="14">
        <v>9.0</v>
      </c>
      <c r="G1527" s="14">
        <v>9.0</v>
      </c>
      <c r="H1527" s="159" t="s">
        <v>30659</v>
      </c>
      <c r="I1527" s="14" t="s">
        <v>21</v>
      </c>
      <c r="J1527" s="14" t="s">
        <v>15661</v>
      </c>
      <c r="K1527" s="14" t="s">
        <v>36719</v>
      </c>
      <c r="L1527" s="152" t="s">
        <v>14894</v>
      </c>
      <c r="M1527" s="14" t="s">
        <v>36720</v>
      </c>
      <c r="N1527" s="54" t="s">
        <v>36719</v>
      </c>
      <c r="O1527" s="130"/>
      <c r="P1527" s="16"/>
      <c r="Q1527" s="14">
        <v>1372258.0</v>
      </c>
      <c r="R1527" s="95"/>
      <c r="S1527" s="154"/>
      <c r="T1527" s="84"/>
      <c r="U1527" s="84"/>
      <c r="V1527" s="84"/>
      <c r="W1527" s="84"/>
      <c r="X1527" s="84"/>
      <c r="Y1527" s="84"/>
      <c r="Z1527" s="84"/>
      <c r="AA1527" s="84"/>
      <c r="AB1527" s="84"/>
      <c r="AC1527" s="84"/>
    </row>
    <row r="1528" ht="15.75" customHeight="1">
      <c r="A1528" s="14" t="s">
        <v>17</v>
      </c>
      <c r="B1528" s="14">
        <v>2004.0</v>
      </c>
      <c r="C1528" s="14" t="s">
        <v>14895</v>
      </c>
      <c r="D1528" s="14" t="s">
        <v>14896</v>
      </c>
      <c r="E1528" s="150" t="str">
        <f t="shared" si="14"/>
        <v>http://dx.doi.org/10.1109/VISUAL.2004.22</v>
      </c>
      <c r="F1528" s="14">
        <v>11.0</v>
      </c>
      <c r="G1528" s="14">
        <v>11.0</v>
      </c>
      <c r="H1528" s="159" t="s">
        <v>30659</v>
      </c>
      <c r="I1528" s="14" t="s">
        <v>21</v>
      </c>
      <c r="J1528" s="14"/>
      <c r="K1528" s="14" t="s">
        <v>36722</v>
      </c>
      <c r="L1528" s="152" t="s">
        <v>14898</v>
      </c>
      <c r="M1528" s="14" t="s">
        <v>36723</v>
      </c>
      <c r="N1528" s="54" t="s">
        <v>36722</v>
      </c>
      <c r="O1528" s="130"/>
      <c r="P1528" s="16"/>
      <c r="Q1528" s="14">
        <v>1372260.0</v>
      </c>
      <c r="R1528" s="95"/>
      <c r="S1528" s="154"/>
      <c r="T1528" s="84"/>
      <c r="U1528" s="84"/>
      <c r="V1528" s="84"/>
      <c r="W1528" s="84"/>
      <c r="X1528" s="84"/>
      <c r="Y1528" s="84"/>
      <c r="Z1528" s="84"/>
      <c r="AA1528" s="84"/>
      <c r="AB1528" s="84"/>
      <c r="AC1528" s="84"/>
    </row>
    <row r="1529" ht="15.75" customHeight="1">
      <c r="A1529" s="14" t="s">
        <v>17</v>
      </c>
      <c r="B1529" s="14">
        <v>2004.0</v>
      </c>
      <c r="C1529" s="14" t="s">
        <v>14899</v>
      </c>
      <c r="D1529" s="14" t="s">
        <v>14900</v>
      </c>
      <c r="E1529" s="150" t="str">
        <f t="shared" si="14"/>
        <v>http://dx.doi.org/10.1109/VISUAL.2004.23</v>
      </c>
      <c r="F1529" s="14">
        <v>465.0</v>
      </c>
      <c r="G1529" s="14">
        <v>472.0</v>
      </c>
      <c r="H1529" s="151"/>
      <c r="I1529" s="14" t="s">
        <v>28</v>
      </c>
      <c r="J1529" s="14" t="s">
        <v>15667</v>
      </c>
      <c r="K1529" s="14" t="s">
        <v>36724</v>
      </c>
      <c r="L1529" s="152" t="s">
        <v>14903</v>
      </c>
      <c r="M1529" s="14" t="s">
        <v>36725</v>
      </c>
      <c r="N1529" s="54" t="s">
        <v>36724</v>
      </c>
      <c r="O1529" s="130" t="s">
        <v>14904</v>
      </c>
      <c r="P1529" s="153" t="s">
        <v>14905</v>
      </c>
      <c r="Q1529" s="14">
        <v>1372231.0</v>
      </c>
      <c r="R1529" s="95"/>
      <c r="S1529" s="154" t="s">
        <v>36727</v>
      </c>
      <c r="T1529" s="84"/>
      <c r="U1529" s="84"/>
      <c r="V1529" s="84"/>
      <c r="W1529" s="84"/>
      <c r="X1529" s="84"/>
      <c r="Y1529" s="84"/>
      <c r="Z1529" s="84"/>
      <c r="AA1529" s="84"/>
      <c r="AB1529" s="84"/>
      <c r="AC1529" s="84"/>
    </row>
    <row r="1530" ht="15.75" customHeight="1">
      <c r="A1530" s="14" t="s">
        <v>17</v>
      </c>
      <c r="B1530" s="14">
        <v>2004.0</v>
      </c>
      <c r="C1530" s="14" t="s">
        <v>14906</v>
      </c>
      <c r="D1530" s="14" t="s">
        <v>14907</v>
      </c>
      <c r="E1530" s="150" t="str">
        <f t="shared" si="14"/>
        <v>http://dx.doi.org/10.1109/VISUAL.2004.24</v>
      </c>
      <c r="F1530" s="14">
        <v>553.0</v>
      </c>
      <c r="G1530" s="14">
        <v>560.0</v>
      </c>
      <c r="H1530" s="151"/>
      <c r="I1530" s="14" t="s">
        <v>28</v>
      </c>
      <c r="J1530" s="14" t="s">
        <v>15670</v>
      </c>
      <c r="K1530" s="14" t="s">
        <v>36729</v>
      </c>
      <c r="L1530" s="152" t="s">
        <v>14910</v>
      </c>
      <c r="M1530" s="14" t="s">
        <v>36730</v>
      </c>
      <c r="N1530" s="54" t="s">
        <v>36729</v>
      </c>
      <c r="O1530" s="130" t="s">
        <v>14911</v>
      </c>
      <c r="P1530" s="153" t="s">
        <v>14912</v>
      </c>
      <c r="Q1530" s="14">
        <v>1372242.0</v>
      </c>
      <c r="R1530" s="95"/>
      <c r="S1530" s="154" t="s">
        <v>36732</v>
      </c>
      <c r="T1530" s="84"/>
      <c r="U1530" s="84"/>
      <c r="V1530" s="84"/>
      <c r="W1530" s="84"/>
      <c r="X1530" s="84"/>
      <c r="Y1530" s="84"/>
      <c r="Z1530" s="84"/>
      <c r="AA1530" s="84"/>
      <c r="AB1530" s="84"/>
      <c r="AC1530" s="84"/>
    </row>
    <row r="1531" ht="15.75" customHeight="1">
      <c r="A1531" s="14" t="s">
        <v>17</v>
      </c>
      <c r="B1531" s="14">
        <v>2004.0</v>
      </c>
      <c r="C1531" s="14" t="s">
        <v>14913</v>
      </c>
      <c r="D1531" s="14" t="s">
        <v>14914</v>
      </c>
      <c r="E1531" s="150" t="str">
        <f t="shared" si="14"/>
        <v>http://dx.doi.org/10.1109/VISUAL.2004.25</v>
      </c>
      <c r="F1531" s="14">
        <v>115.0</v>
      </c>
      <c r="G1531" s="14">
        <v>122.0</v>
      </c>
      <c r="H1531" s="151"/>
      <c r="I1531" s="14" t="s">
        <v>28</v>
      </c>
      <c r="J1531" s="14" t="s">
        <v>15673</v>
      </c>
      <c r="K1531" s="14" t="s">
        <v>36736</v>
      </c>
      <c r="L1531" s="152" t="s">
        <v>14917</v>
      </c>
      <c r="M1531" s="14" t="s">
        <v>36737</v>
      </c>
      <c r="N1531" s="54" t="s">
        <v>36736</v>
      </c>
      <c r="O1531" s="130" t="s">
        <v>14918</v>
      </c>
      <c r="P1531" s="153" t="s">
        <v>14919</v>
      </c>
      <c r="Q1531" s="14">
        <v>1372187.0</v>
      </c>
      <c r="R1531" s="95"/>
      <c r="S1531" s="154" t="s">
        <v>36738</v>
      </c>
      <c r="T1531" s="84"/>
      <c r="U1531" s="84"/>
      <c r="V1531" s="84"/>
      <c r="W1531" s="84"/>
      <c r="X1531" s="84"/>
      <c r="Y1531" s="84"/>
      <c r="Z1531" s="84"/>
      <c r="AA1531" s="84"/>
      <c r="AB1531" s="84"/>
      <c r="AC1531" s="84"/>
    </row>
    <row r="1532" ht="15.75" customHeight="1">
      <c r="A1532" s="14" t="s">
        <v>17</v>
      </c>
      <c r="B1532" s="14">
        <v>2004.0</v>
      </c>
      <c r="C1532" s="14" t="s">
        <v>14920</v>
      </c>
      <c r="D1532" s="14" t="s">
        <v>14921</v>
      </c>
      <c r="E1532" s="150" t="str">
        <f t="shared" si="14"/>
        <v>http://dx.doi.org/10.1109/VISUAL.2004.26</v>
      </c>
      <c r="F1532" s="14">
        <v>28.0</v>
      </c>
      <c r="G1532" s="14">
        <v>28.0</v>
      </c>
      <c r="H1532" s="159" t="s">
        <v>30659</v>
      </c>
      <c r="I1532" s="14" t="s">
        <v>21</v>
      </c>
      <c r="J1532" s="14"/>
      <c r="K1532" s="14" t="s">
        <v>36754</v>
      </c>
      <c r="L1532" s="152" t="s">
        <v>14924</v>
      </c>
      <c r="M1532" s="14" t="s">
        <v>36755</v>
      </c>
      <c r="N1532" s="54" t="s">
        <v>36754</v>
      </c>
      <c r="O1532" s="130"/>
      <c r="P1532" s="16"/>
      <c r="Q1532" s="14">
        <v>1372277.0</v>
      </c>
      <c r="R1532" s="95"/>
      <c r="S1532" s="154"/>
      <c r="T1532" s="84"/>
      <c r="U1532" s="84"/>
      <c r="V1532" s="84"/>
      <c r="W1532" s="84"/>
      <c r="X1532" s="84"/>
      <c r="Y1532" s="84"/>
      <c r="Z1532" s="84"/>
      <c r="AA1532" s="84"/>
      <c r="AB1532" s="84"/>
      <c r="AC1532" s="84"/>
    </row>
    <row r="1533" ht="15.75" customHeight="1">
      <c r="A1533" s="14" t="s">
        <v>17</v>
      </c>
      <c r="B1533" s="14">
        <v>2004.0</v>
      </c>
      <c r="C1533" s="14" t="s">
        <v>14925</v>
      </c>
      <c r="D1533" s="14" t="s">
        <v>14926</v>
      </c>
      <c r="E1533" s="150" t="str">
        <f t="shared" si="14"/>
        <v>http://dx.doi.org/10.1109/VISUAL.2004.27</v>
      </c>
      <c r="F1533" s="14">
        <v>505.0</v>
      </c>
      <c r="G1533" s="14">
        <v>512.0</v>
      </c>
      <c r="H1533" s="151"/>
      <c r="I1533" s="14" t="s">
        <v>28</v>
      </c>
      <c r="J1533" s="14" t="s">
        <v>15677</v>
      </c>
      <c r="K1533" s="14" t="s">
        <v>36758</v>
      </c>
      <c r="L1533" s="152" t="s">
        <v>753</v>
      </c>
      <c r="M1533" s="14" t="s">
        <v>36760</v>
      </c>
      <c r="N1533" s="54" t="s">
        <v>36758</v>
      </c>
      <c r="O1533" s="130" t="s">
        <v>14929</v>
      </c>
      <c r="P1533" s="153" t="s">
        <v>14930</v>
      </c>
      <c r="Q1533" s="14">
        <v>1372236.0</v>
      </c>
      <c r="R1533" s="95"/>
      <c r="S1533" s="154" t="s">
        <v>36761</v>
      </c>
      <c r="T1533" s="84"/>
      <c r="U1533" s="84"/>
      <c r="V1533" s="84"/>
      <c r="W1533" s="84"/>
      <c r="X1533" s="84"/>
      <c r="Y1533" s="84"/>
      <c r="Z1533" s="84"/>
      <c r="AA1533" s="84"/>
      <c r="AB1533" s="84"/>
      <c r="AC1533" s="84"/>
    </row>
    <row r="1534" ht="15.75" customHeight="1">
      <c r="A1534" s="14" t="s">
        <v>17</v>
      </c>
      <c r="B1534" s="14">
        <v>2004.0</v>
      </c>
      <c r="C1534" s="14" t="s">
        <v>14931</v>
      </c>
      <c r="D1534" s="14" t="s">
        <v>14932</v>
      </c>
      <c r="E1534" s="150" t="str">
        <f t="shared" si="14"/>
        <v>http://dx.doi.org/10.1109/VISUAL.2004.28</v>
      </c>
      <c r="F1534" s="14">
        <v>489.0</v>
      </c>
      <c r="G1534" s="14">
        <v>496.0</v>
      </c>
      <c r="H1534" s="151"/>
      <c r="I1534" s="14" t="s">
        <v>28</v>
      </c>
      <c r="J1534" s="14" t="s">
        <v>15679</v>
      </c>
      <c r="K1534" s="14" t="s">
        <v>9640</v>
      </c>
      <c r="L1534" s="152" t="s">
        <v>14934</v>
      </c>
      <c r="M1534" s="14">
        <v>3.72837541E10</v>
      </c>
      <c r="N1534" s="54" t="s">
        <v>9640</v>
      </c>
      <c r="O1534" s="130" t="s">
        <v>14935</v>
      </c>
      <c r="P1534" s="153" t="s">
        <v>14936</v>
      </c>
      <c r="Q1534" s="14">
        <v>1372234.0</v>
      </c>
      <c r="R1534" s="95"/>
      <c r="S1534" s="154" t="s">
        <v>36766</v>
      </c>
      <c r="T1534" s="84"/>
      <c r="U1534" s="84"/>
      <c r="V1534" s="84"/>
      <c r="W1534" s="84"/>
      <c r="X1534" s="84"/>
      <c r="Y1534" s="84"/>
      <c r="Z1534" s="84"/>
      <c r="AA1534" s="84"/>
      <c r="AB1534" s="84"/>
      <c r="AC1534" s="84"/>
    </row>
    <row r="1535" ht="15.75" customHeight="1">
      <c r="A1535" s="14" t="s">
        <v>17</v>
      </c>
      <c r="B1535" s="14">
        <v>2004.0</v>
      </c>
      <c r="C1535" s="14" t="s">
        <v>14937</v>
      </c>
      <c r="D1535" s="14" t="s">
        <v>14938</v>
      </c>
      <c r="E1535" s="150" t="str">
        <f t="shared" si="14"/>
        <v>http://dx.doi.org/10.1109/VISUAL.2004.29</v>
      </c>
      <c r="F1535" s="14">
        <v>441.0</v>
      </c>
      <c r="G1535" s="14">
        <v>448.0</v>
      </c>
      <c r="H1535" s="151"/>
      <c r="I1535" s="14" t="s">
        <v>28</v>
      </c>
      <c r="J1535" s="14" t="s">
        <v>15681</v>
      </c>
      <c r="K1535" s="14" t="s">
        <v>36771</v>
      </c>
      <c r="L1535" s="152" t="s">
        <v>880</v>
      </c>
      <c r="M1535" s="14" t="s">
        <v>36772</v>
      </c>
      <c r="N1535" s="54" t="s">
        <v>36771</v>
      </c>
      <c r="O1535" s="130" t="s">
        <v>14941</v>
      </c>
      <c r="P1535" s="153" t="s">
        <v>14942</v>
      </c>
      <c r="Q1535" s="14">
        <v>1372228.0</v>
      </c>
      <c r="R1535" s="95"/>
      <c r="S1535" s="154" t="s">
        <v>36773</v>
      </c>
      <c r="T1535" s="84"/>
      <c r="U1535" s="84"/>
      <c r="V1535" s="84"/>
      <c r="W1535" s="84"/>
      <c r="X1535" s="84"/>
      <c r="Y1535" s="84"/>
      <c r="Z1535" s="84"/>
      <c r="AA1535" s="84"/>
      <c r="AB1535" s="84"/>
      <c r="AC1535" s="84"/>
    </row>
    <row r="1536" ht="15.75" customHeight="1">
      <c r="A1536" s="14" t="s">
        <v>17</v>
      </c>
      <c r="B1536" s="14">
        <v>2004.0</v>
      </c>
      <c r="C1536" s="14" t="s">
        <v>14950</v>
      </c>
      <c r="D1536" s="14" t="s">
        <v>14951</v>
      </c>
      <c r="E1536" s="150" t="str">
        <f t="shared" si="14"/>
        <v>http://dx.doi.org/10.1109/VISUAL.2004.30</v>
      </c>
      <c r="F1536" s="14">
        <v>377.0</v>
      </c>
      <c r="G1536" s="14">
        <v>384.0</v>
      </c>
      <c r="H1536" s="151"/>
      <c r="I1536" s="14" t="s">
        <v>28</v>
      </c>
      <c r="J1536" s="14" t="s">
        <v>15686</v>
      </c>
      <c r="K1536" s="14" t="s">
        <v>36782</v>
      </c>
      <c r="L1536" s="152" t="s">
        <v>14953</v>
      </c>
      <c r="M1536" s="14" t="s">
        <v>36784</v>
      </c>
      <c r="N1536" s="54" t="s">
        <v>36782</v>
      </c>
      <c r="O1536" s="130" t="s">
        <v>14954</v>
      </c>
      <c r="P1536" s="153" t="s">
        <v>14955</v>
      </c>
      <c r="Q1536" s="14">
        <v>1372220.0</v>
      </c>
      <c r="R1536" s="95"/>
      <c r="S1536" s="154" t="s">
        <v>36785</v>
      </c>
      <c r="T1536" s="84"/>
      <c r="U1536" s="84"/>
      <c r="V1536" s="84"/>
      <c r="W1536" s="84"/>
      <c r="X1536" s="84"/>
      <c r="Y1536" s="84"/>
      <c r="Z1536" s="84"/>
      <c r="AA1536" s="84"/>
      <c r="AB1536" s="84"/>
      <c r="AC1536" s="84"/>
    </row>
    <row r="1537" ht="15.75" customHeight="1">
      <c r="A1537" s="14" t="s">
        <v>17</v>
      </c>
      <c r="B1537" s="14">
        <v>2004.0</v>
      </c>
      <c r="C1537" s="14" t="s">
        <v>14956</v>
      </c>
      <c r="D1537" s="14" t="s">
        <v>14957</v>
      </c>
      <c r="E1537" s="150" t="str">
        <f t="shared" si="14"/>
        <v>http://dx.doi.org/10.1109/VISUAL.2004.31</v>
      </c>
      <c r="F1537" s="14">
        <v>26.0</v>
      </c>
      <c r="G1537" s="14">
        <v>26.0</v>
      </c>
      <c r="H1537" s="159" t="s">
        <v>30659</v>
      </c>
      <c r="I1537" s="14" t="s">
        <v>21</v>
      </c>
      <c r="J1537" s="14"/>
      <c r="K1537" s="14" t="s">
        <v>36788</v>
      </c>
      <c r="L1537" s="152" t="s">
        <v>14960</v>
      </c>
      <c r="M1537" s="14" t="s">
        <v>36789</v>
      </c>
      <c r="N1537" s="54" t="s">
        <v>36788</v>
      </c>
      <c r="O1537" s="130"/>
      <c r="P1537" s="16"/>
      <c r="Q1537" s="14">
        <v>1372275.0</v>
      </c>
      <c r="R1537" s="95"/>
      <c r="S1537" s="154"/>
      <c r="T1537" s="84"/>
      <c r="U1537" s="84"/>
      <c r="V1537" s="84"/>
      <c r="W1537" s="84"/>
      <c r="X1537" s="84"/>
      <c r="Y1537" s="84"/>
      <c r="Z1537" s="84"/>
      <c r="AA1537" s="84"/>
      <c r="AB1537" s="84"/>
      <c r="AC1537" s="84"/>
    </row>
    <row r="1538" ht="15.75" customHeight="1">
      <c r="A1538" s="14" t="s">
        <v>17</v>
      </c>
      <c r="B1538" s="14">
        <v>2004.0</v>
      </c>
      <c r="C1538" s="14" t="s">
        <v>14961</v>
      </c>
      <c r="D1538" s="14" t="s">
        <v>14962</v>
      </c>
      <c r="E1538" s="150" t="str">
        <f t="shared" si="14"/>
        <v>http://dx.doi.org/10.1109/VISUAL.2004.32</v>
      </c>
      <c r="F1538" s="14">
        <v>35.0</v>
      </c>
      <c r="G1538" s="14">
        <v>42.0</v>
      </c>
      <c r="H1538" s="151"/>
      <c r="I1538" s="14" t="s">
        <v>28</v>
      </c>
      <c r="J1538" s="14" t="s">
        <v>15690</v>
      </c>
      <c r="K1538" s="14" t="s">
        <v>36794</v>
      </c>
      <c r="L1538" s="152" t="s">
        <v>14965</v>
      </c>
      <c r="M1538" s="14" t="s">
        <v>36795</v>
      </c>
      <c r="N1538" s="54" t="s">
        <v>36794</v>
      </c>
      <c r="O1538" s="130" t="s">
        <v>14966</v>
      </c>
      <c r="P1538" s="153" t="s">
        <v>14967</v>
      </c>
      <c r="Q1538" s="14">
        <v>1372177.0</v>
      </c>
      <c r="R1538" s="95"/>
      <c r="S1538" s="154" t="s">
        <v>36797</v>
      </c>
      <c r="T1538" s="84"/>
      <c r="U1538" s="84"/>
      <c r="V1538" s="84"/>
      <c r="W1538" s="84"/>
      <c r="X1538" s="84"/>
      <c r="Y1538" s="84"/>
      <c r="Z1538" s="84"/>
      <c r="AA1538" s="84"/>
      <c r="AB1538" s="84"/>
      <c r="AC1538" s="84"/>
    </row>
    <row r="1539" ht="15.75" customHeight="1">
      <c r="A1539" s="14" t="s">
        <v>17</v>
      </c>
      <c r="B1539" s="14">
        <v>2004.0</v>
      </c>
      <c r="C1539" s="14" t="s">
        <v>14968</v>
      </c>
      <c r="D1539" s="14" t="s">
        <v>14969</v>
      </c>
      <c r="E1539" s="150" t="str">
        <f t="shared" si="14"/>
        <v>http://dx.doi.org/10.1109/VISUAL.2004.33</v>
      </c>
      <c r="F1539" s="14">
        <v>32.0</v>
      </c>
      <c r="G1539" s="14">
        <v>32.0</v>
      </c>
      <c r="H1539" s="159" t="s">
        <v>30659</v>
      </c>
      <c r="I1539" s="14" t="s">
        <v>21</v>
      </c>
      <c r="J1539" s="14" t="s">
        <v>15694</v>
      </c>
      <c r="K1539" s="14" t="s">
        <v>36802</v>
      </c>
      <c r="L1539" s="152" t="s">
        <v>14972</v>
      </c>
      <c r="M1539" s="14" t="s">
        <v>36803</v>
      </c>
      <c r="N1539" s="54" t="s">
        <v>36802</v>
      </c>
      <c r="O1539" s="130"/>
      <c r="P1539" s="16"/>
      <c r="Q1539" s="14">
        <v>1372281.0</v>
      </c>
      <c r="R1539" s="95"/>
      <c r="S1539" s="154"/>
      <c r="T1539" s="84"/>
      <c r="U1539" s="84"/>
      <c r="V1539" s="84"/>
      <c r="W1539" s="84"/>
      <c r="X1539" s="84"/>
      <c r="Y1539" s="84"/>
      <c r="Z1539" s="84"/>
      <c r="AA1539" s="84"/>
      <c r="AB1539" s="84"/>
      <c r="AC1539" s="84"/>
    </row>
    <row r="1540" ht="15.75" customHeight="1">
      <c r="A1540" s="14" t="s">
        <v>17</v>
      </c>
      <c r="B1540" s="14">
        <v>2004.0</v>
      </c>
      <c r="C1540" s="14" t="s">
        <v>14973</v>
      </c>
      <c r="D1540" s="14" t="s">
        <v>14974</v>
      </c>
      <c r="E1540" s="150" t="str">
        <f t="shared" si="14"/>
        <v>http://dx.doi.org/10.1109/VISUAL.2004.34</v>
      </c>
      <c r="F1540" s="14">
        <v>91.0</v>
      </c>
      <c r="G1540" s="14">
        <v>98.0</v>
      </c>
      <c r="H1540" s="151"/>
      <c r="I1540" s="14" t="s">
        <v>28</v>
      </c>
      <c r="J1540" s="14" t="s">
        <v>15697</v>
      </c>
      <c r="K1540" s="14" t="s">
        <v>36804</v>
      </c>
      <c r="L1540" s="152" t="s">
        <v>14977</v>
      </c>
      <c r="M1540" s="14" t="s">
        <v>36805</v>
      </c>
      <c r="N1540" s="54" t="s">
        <v>36804</v>
      </c>
      <c r="O1540" s="130" t="s">
        <v>14978</v>
      </c>
      <c r="P1540" s="153" t="s">
        <v>14979</v>
      </c>
      <c r="Q1540" s="14">
        <v>1372184.0</v>
      </c>
      <c r="R1540" s="95"/>
      <c r="S1540" s="154" t="s">
        <v>36806</v>
      </c>
      <c r="T1540" s="84"/>
      <c r="U1540" s="84"/>
      <c r="V1540" s="84"/>
      <c r="W1540" s="84"/>
      <c r="X1540" s="84"/>
      <c r="Y1540" s="84"/>
      <c r="Z1540" s="84"/>
      <c r="AA1540" s="84"/>
      <c r="AB1540" s="84"/>
      <c r="AC1540" s="84"/>
    </row>
    <row r="1541" ht="15.75" customHeight="1">
      <c r="A1541" s="14" t="s">
        <v>17</v>
      </c>
      <c r="B1541" s="14">
        <v>2004.0</v>
      </c>
      <c r="C1541" s="14" t="s">
        <v>14980</v>
      </c>
      <c r="D1541" s="14" t="s">
        <v>14981</v>
      </c>
      <c r="E1541" s="150" t="str">
        <f t="shared" si="14"/>
        <v>http://dx.doi.org/10.1109/VISUAL.2004.35</v>
      </c>
      <c r="F1541" s="14">
        <v>75.0</v>
      </c>
      <c r="G1541" s="14">
        <v>82.0</v>
      </c>
      <c r="H1541" s="151"/>
      <c r="I1541" s="14" t="s">
        <v>28</v>
      </c>
      <c r="J1541" s="14" t="s">
        <v>15700</v>
      </c>
      <c r="K1541" s="14" t="s">
        <v>36808</v>
      </c>
      <c r="L1541" s="152" t="s">
        <v>178</v>
      </c>
      <c r="M1541" s="14" t="s">
        <v>36809</v>
      </c>
      <c r="N1541" s="54" t="s">
        <v>36808</v>
      </c>
      <c r="O1541" s="130"/>
      <c r="P1541" s="153" t="s">
        <v>14984</v>
      </c>
      <c r="Q1541" s="14">
        <v>1372182.0</v>
      </c>
      <c r="R1541" s="95"/>
      <c r="S1541" s="154"/>
      <c r="T1541" s="84"/>
      <c r="U1541" s="84"/>
      <c r="V1541" s="84"/>
      <c r="W1541" s="84"/>
      <c r="X1541" s="84"/>
      <c r="Y1541" s="84"/>
      <c r="Z1541" s="84"/>
      <c r="AA1541" s="84"/>
      <c r="AB1541" s="84"/>
      <c r="AC1541" s="84"/>
    </row>
    <row r="1542" ht="15.75" customHeight="1">
      <c r="A1542" s="14" t="s">
        <v>17</v>
      </c>
      <c r="B1542" s="14">
        <v>2004.0</v>
      </c>
      <c r="C1542" s="14" t="s">
        <v>14985</v>
      </c>
      <c r="D1542" s="14" t="s">
        <v>14986</v>
      </c>
      <c r="E1542" s="150" t="str">
        <f t="shared" si="14"/>
        <v>http://dx.doi.org/10.1109/VISUAL.2004.36</v>
      </c>
      <c r="F1542" s="14">
        <v>481.0</v>
      </c>
      <c r="G1542" s="14">
        <v>488.0</v>
      </c>
      <c r="H1542" s="151"/>
      <c r="I1542" s="14" t="s">
        <v>28</v>
      </c>
      <c r="J1542" s="14" t="s">
        <v>36810</v>
      </c>
      <c r="K1542" s="14" t="s">
        <v>35763</v>
      </c>
      <c r="L1542" s="152" t="s">
        <v>14989</v>
      </c>
      <c r="M1542" s="14" t="s">
        <v>35764</v>
      </c>
      <c r="N1542" s="54" t="s">
        <v>35763</v>
      </c>
      <c r="O1542" s="130"/>
      <c r="P1542" s="153" t="s">
        <v>14990</v>
      </c>
      <c r="Q1542" s="14">
        <v>1372233.0</v>
      </c>
      <c r="R1542" s="95"/>
      <c r="S1542" s="154"/>
      <c r="T1542" s="84"/>
      <c r="U1542" s="84"/>
      <c r="V1542" s="84"/>
      <c r="W1542" s="84"/>
      <c r="X1542" s="84"/>
      <c r="Y1542" s="84"/>
      <c r="Z1542" s="84"/>
      <c r="AA1542" s="84"/>
      <c r="AB1542" s="84"/>
      <c r="AC1542" s="84"/>
    </row>
    <row r="1543" ht="15.75" customHeight="1">
      <c r="A1543" s="14" t="s">
        <v>17</v>
      </c>
      <c r="B1543" s="14">
        <v>2004.0</v>
      </c>
      <c r="C1543" s="14" t="s">
        <v>14991</v>
      </c>
      <c r="D1543" s="14" t="s">
        <v>14992</v>
      </c>
      <c r="E1543" s="150" t="str">
        <f t="shared" si="14"/>
        <v>http://dx.doi.org/10.1109/VISUAL.2004.37</v>
      </c>
      <c r="F1543" s="14">
        <v>297.0</v>
      </c>
      <c r="G1543" s="14">
        <v>304.0</v>
      </c>
      <c r="H1543" s="151"/>
      <c r="I1543" s="14" t="s">
        <v>28</v>
      </c>
      <c r="J1543" s="14" t="s">
        <v>15704</v>
      </c>
      <c r="K1543" s="14" t="s">
        <v>36813</v>
      </c>
      <c r="L1543" s="152" t="s">
        <v>3047</v>
      </c>
      <c r="M1543" s="14" t="s">
        <v>36814</v>
      </c>
      <c r="N1543" s="54" t="s">
        <v>36813</v>
      </c>
      <c r="O1543" s="130" t="s">
        <v>13478</v>
      </c>
      <c r="P1543" s="153" t="s">
        <v>14995</v>
      </c>
      <c r="Q1543" s="14">
        <v>1372210.0</v>
      </c>
      <c r="R1543" s="95"/>
      <c r="S1543" s="154">
        <v>1250380.0</v>
      </c>
      <c r="T1543" s="84"/>
      <c r="U1543" s="84"/>
      <c r="V1543" s="84"/>
      <c r="W1543" s="84"/>
      <c r="X1543" s="84"/>
      <c r="Y1543" s="84"/>
      <c r="Z1543" s="84"/>
      <c r="AA1543" s="84"/>
      <c r="AB1543" s="84"/>
      <c r="AC1543" s="84"/>
    </row>
    <row r="1544" ht="15.75" customHeight="1">
      <c r="A1544" s="14" t="s">
        <v>17</v>
      </c>
      <c r="B1544" s="14">
        <v>2004.0</v>
      </c>
      <c r="C1544" s="14" t="s">
        <v>14996</v>
      </c>
      <c r="D1544" s="14" t="s">
        <v>14997</v>
      </c>
      <c r="E1544" s="150" t="str">
        <f t="shared" si="14"/>
        <v>http://dx.doi.org/10.1109/VISUAL.2004.38</v>
      </c>
      <c r="F1544" s="14">
        <v>67.0</v>
      </c>
      <c r="G1544" s="14">
        <v>74.0</v>
      </c>
      <c r="H1544" s="151"/>
      <c r="I1544" s="14" t="s">
        <v>28</v>
      </c>
      <c r="J1544" s="14" t="s">
        <v>15706</v>
      </c>
      <c r="K1544" s="14" t="s">
        <v>36817</v>
      </c>
      <c r="L1544" s="152" t="s">
        <v>15000</v>
      </c>
      <c r="M1544" s="14" t="s">
        <v>36818</v>
      </c>
      <c r="N1544" s="54" t="s">
        <v>36817</v>
      </c>
      <c r="O1544" s="130" t="s">
        <v>15001</v>
      </c>
      <c r="P1544" s="153" t="s">
        <v>15002</v>
      </c>
      <c r="Q1544" s="14">
        <v>1372181.0</v>
      </c>
      <c r="R1544" s="95"/>
      <c r="S1544" s="154" t="s">
        <v>36819</v>
      </c>
      <c r="T1544" s="84"/>
      <c r="U1544" s="84"/>
      <c r="V1544" s="84"/>
      <c r="W1544" s="84"/>
      <c r="X1544" s="84"/>
      <c r="Y1544" s="84"/>
      <c r="Z1544" s="84"/>
      <c r="AA1544" s="84"/>
      <c r="AB1544" s="84"/>
      <c r="AC1544" s="84"/>
    </row>
    <row r="1545" ht="15.75" customHeight="1">
      <c r="A1545" s="14" t="s">
        <v>17</v>
      </c>
      <c r="B1545" s="14">
        <v>2004.0</v>
      </c>
      <c r="C1545" s="14" t="s">
        <v>15003</v>
      </c>
      <c r="D1545" s="14" t="s">
        <v>15004</v>
      </c>
      <c r="E1545" s="150" t="str">
        <f t="shared" si="14"/>
        <v>http://dx.doi.org/10.1109/VISUAL.2004.39</v>
      </c>
      <c r="F1545" s="14">
        <v>4.0</v>
      </c>
      <c r="G1545" s="14">
        <v>4.0</v>
      </c>
      <c r="H1545" s="159" t="s">
        <v>30659</v>
      </c>
      <c r="I1545" s="14" t="s">
        <v>21</v>
      </c>
      <c r="J1545" s="14" t="s">
        <v>15709</v>
      </c>
      <c r="K1545" s="14" t="s">
        <v>35596</v>
      </c>
      <c r="L1545" s="152" t="s">
        <v>15007</v>
      </c>
      <c r="M1545" s="14" t="s">
        <v>35597</v>
      </c>
      <c r="N1545" s="54" t="s">
        <v>35596</v>
      </c>
      <c r="O1545" s="130"/>
      <c r="P1545" s="16"/>
      <c r="Q1545" s="14">
        <v>1372253.0</v>
      </c>
      <c r="R1545" s="95"/>
      <c r="S1545" s="154"/>
      <c r="T1545" s="84"/>
      <c r="U1545" s="84"/>
      <c r="V1545" s="84"/>
      <c r="W1545" s="84"/>
      <c r="X1545" s="84"/>
      <c r="Y1545" s="84"/>
      <c r="Z1545" s="84"/>
      <c r="AA1545" s="84"/>
      <c r="AB1545" s="84"/>
      <c r="AC1545" s="84"/>
    </row>
    <row r="1546" ht="15.75" customHeight="1">
      <c r="A1546" s="14" t="s">
        <v>17</v>
      </c>
      <c r="B1546" s="14">
        <v>2004.0</v>
      </c>
      <c r="C1546" s="14" t="s">
        <v>15015</v>
      </c>
      <c r="D1546" s="14" t="s">
        <v>15016</v>
      </c>
      <c r="E1546" s="150" t="str">
        <f t="shared" si="14"/>
        <v>http://dx.doi.org/10.1109/VISUAL.2004.46</v>
      </c>
      <c r="F1546" s="14">
        <v>529.0</v>
      </c>
      <c r="G1546" s="14">
        <v>536.0</v>
      </c>
      <c r="H1546" s="151"/>
      <c r="I1546" s="14" t="s">
        <v>28</v>
      </c>
      <c r="J1546" s="14" t="s">
        <v>15713</v>
      </c>
      <c r="K1546" s="14" t="s">
        <v>36828</v>
      </c>
      <c r="L1546" s="152" t="s">
        <v>15019</v>
      </c>
      <c r="M1546" s="14" t="s">
        <v>36829</v>
      </c>
      <c r="N1546" s="54" t="s">
        <v>36828</v>
      </c>
      <c r="O1546" s="130" t="s">
        <v>15020</v>
      </c>
      <c r="P1546" s="153" t="s">
        <v>15021</v>
      </c>
      <c r="Q1546" s="14">
        <v>1372239.0</v>
      </c>
      <c r="R1546" s="95"/>
      <c r="S1546" s="154" t="s">
        <v>36830</v>
      </c>
      <c r="T1546" s="84"/>
      <c r="U1546" s="84"/>
      <c r="V1546" s="84"/>
      <c r="W1546" s="84"/>
      <c r="X1546" s="84"/>
      <c r="Y1546" s="84"/>
      <c r="Z1546" s="84"/>
      <c r="AA1546" s="84"/>
      <c r="AB1546" s="84"/>
      <c r="AC1546" s="84"/>
    </row>
    <row r="1547" ht="15.75" customHeight="1">
      <c r="A1547" s="14" t="s">
        <v>17</v>
      </c>
      <c r="B1547" s="14">
        <v>2004.0</v>
      </c>
      <c r="C1547" s="14" t="s">
        <v>15022</v>
      </c>
      <c r="D1547" s="14" t="s">
        <v>15023</v>
      </c>
      <c r="E1547" s="150" t="str">
        <f t="shared" si="14"/>
        <v>http://dx.doi.org/10.1109/VISUAL.2004.47</v>
      </c>
      <c r="F1547" s="14">
        <v>227.0</v>
      </c>
      <c r="G1547" s="14">
        <v>234.0</v>
      </c>
      <c r="H1547" s="151"/>
      <c r="I1547" s="14" t="s">
        <v>28</v>
      </c>
      <c r="J1547" s="14" t="s">
        <v>15716</v>
      </c>
      <c r="K1547" s="14" t="s">
        <v>36835</v>
      </c>
      <c r="L1547" s="152" t="s">
        <v>494</v>
      </c>
      <c r="M1547" s="14" t="s">
        <v>36836</v>
      </c>
      <c r="N1547" s="54" t="s">
        <v>36835</v>
      </c>
      <c r="O1547" s="130"/>
      <c r="P1547" s="153" t="s">
        <v>15026</v>
      </c>
      <c r="Q1547" s="14">
        <v>1372201.0</v>
      </c>
      <c r="R1547" s="95"/>
      <c r="S1547" s="154"/>
      <c r="T1547" s="84"/>
      <c r="U1547" s="84"/>
      <c r="V1547" s="84"/>
      <c r="W1547" s="84"/>
      <c r="X1547" s="84"/>
      <c r="Y1547" s="84"/>
      <c r="Z1547" s="84"/>
      <c r="AA1547" s="84"/>
      <c r="AB1547" s="84"/>
      <c r="AC1547" s="84"/>
    </row>
    <row r="1548" ht="15.75" customHeight="1">
      <c r="A1548" s="14" t="s">
        <v>17</v>
      </c>
      <c r="B1548" s="14">
        <v>2004.0</v>
      </c>
      <c r="C1548" s="14" t="s">
        <v>15027</v>
      </c>
      <c r="D1548" s="14" t="s">
        <v>15028</v>
      </c>
      <c r="E1548" s="150" t="str">
        <f t="shared" si="14"/>
        <v>http://dx.doi.org/10.1109/VISUAL.2004.48</v>
      </c>
      <c r="F1548" s="14">
        <v>139.0</v>
      </c>
      <c r="G1548" s="14">
        <v>145.0</v>
      </c>
      <c r="H1548" s="151"/>
      <c r="I1548" s="14" t="s">
        <v>28</v>
      </c>
      <c r="J1548" s="14" t="s">
        <v>15719</v>
      </c>
      <c r="K1548" s="14" t="s">
        <v>36840</v>
      </c>
      <c r="L1548" s="152" t="s">
        <v>13553</v>
      </c>
      <c r="M1548" s="14" t="s">
        <v>36841</v>
      </c>
      <c r="N1548" s="54" t="s">
        <v>36842</v>
      </c>
      <c r="O1548" s="130" t="s">
        <v>15030</v>
      </c>
      <c r="P1548" s="153" t="s">
        <v>15031</v>
      </c>
      <c r="Q1548" s="14">
        <v>1372190.0</v>
      </c>
      <c r="R1548" s="95"/>
      <c r="S1548" s="154" t="s">
        <v>36843</v>
      </c>
      <c r="T1548" s="84"/>
      <c r="U1548" s="84"/>
      <c r="V1548" s="84"/>
      <c r="W1548" s="84"/>
      <c r="X1548" s="84"/>
      <c r="Y1548" s="84"/>
      <c r="Z1548" s="84"/>
      <c r="AA1548" s="84"/>
      <c r="AB1548" s="84"/>
      <c r="AC1548" s="84"/>
    </row>
    <row r="1549" ht="15.75" customHeight="1">
      <c r="A1549" s="14" t="s">
        <v>17</v>
      </c>
      <c r="B1549" s="14">
        <v>2004.0</v>
      </c>
      <c r="C1549" s="14" t="s">
        <v>15038</v>
      </c>
      <c r="D1549" s="14" t="s">
        <v>15039</v>
      </c>
      <c r="E1549" s="150" t="str">
        <f t="shared" si="14"/>
        <v>http://dx.doi.org/10.1109/VISUAL.2004.50</v>
      </c>
      <c r="F1549" s="14">
        <v>537.0</v>
      </c>
      <c r="G1549" s="14">
        <v>544.0</v>
      </c>
      <c r="H1549" s="151"/>
      <c r="I1549" s="14" t="s">
        <v>28</v>
      </c>
      <c r="J1549" s="14" t="s">
        <v>15727</v>
      </c>
      <c r="K1549" s="14" t="s">
        <v>36847</v>
      </c>
      <c r="L1549" s="152" t="s">
        <v>15045</v>
      </c>
      <c r="M1549" s="14" t="s">
        <v>36848</v>
      </c>
      <c r="N1549" s="54" t="s">
        <v>36847</v>
      </c>
      <c r="O1549" s="130"/>
      <c r="P1549" s="153" t="s">
        <v>15046</v>
      </c>
      <c r="Q1549" s="14">
        <v>1372240.0</v>
      </c>
      <c r="R1549" s="95"/>
      <c r="S1549" s="154"/>
      <c r="T1549" s="84"/>
      <c r="U1549" s="84"/>
      <c r="V1549" s="84"/>
      <c r="W1549" s="84"/>
      <c r="X1549" s="84"/>
      <c r="Y1549" s="84"/>
      <c r="Z1549" s="84"/>
      <c r="AA1549" s="84"/>
      <c r="AB1549" s="84"/>
      <c r="AC1549" s="84"/>
    </row>
    <row r="1550" ht="15.75" customHeight="1">
      <c r="A1550" s="14" t="s">
        <v>17</v>
      </c>
      <c r="B1550" s="14">
        <v>2004.0</v>
      </c>
      <c r="C1550" s="14" t="s">
        <v>15047</v>
      </c>
      <c r="D1550" s="14" t="s">
        <v>15048</v>
      </c>
      <c r="E1550" s="150" t="str">
        <f t="shared" si="14"/>
        <v>http://dx.doi.org/10.1109/VISUAL.2004.51</v>
      </c>
      <c r="F1550" s="14">
        <v>345.0</v>
      </c>
      <c r="G1550" s="14">
        <v>352.0</v>
      </c>
      <c r="H1550" s="151"/>
      <c r="I1550" s="14" t="s">
        <v>28</v>
      </c>
      <c r="J1550" s="14" t="s">
        <v>15736</v>
      </c>
      <c r="K1550" s="14" t="s">
        <v>36851</v>
      </c>
      <c r="L1550" s="152" t="s">
        <v>15053</v>
      </c>
      <c r="M1550" s="14" t="s">
        <v>36852</v>
      </c>
      <c r="N1550" s="54" t="s">
        <v>36851</v>
      </c>
      <c r="O1550" s="130" t="s">
        <v>15055</v>
      </c>
      <c r="P1550" s="153" t="s">
        <v>15056</v>
      </c>
      <c r="Q1550" s="14">
        <v>1372216.0</v>
      </c>
      <c r="R1550" s="95"/>
      <c r="S1550" s="154" t="s">
        <v>36854</v>
      </c>
      <c r="T1550" s="84"/>
      <c r="U1550" s="84"/>
      <c r="V1550" s="84"/>
      <c r="W1550" s="84"/>
      <c r="X1550" s="84"/>
      <c r="Y1550" s="84"/>
      <c r="Z1550" s="84"/>
      <c r="AA1550" s="84"/>
      <c r="AB1550" s="84"/>
      <c r="AC1550" s="84"/>
    </row>
    <row r="1551" ht="15.75" customHeight="1">
      <c r="A1551" s="14" t="s">
        <v>17</v>
      </c>
      <c r="B1551" s="14">
        <v>2004.0</v>
      </c>
      <c r="C1551" s="14" t="s">
        <v>15057</v>
      </c>
      <c r="D1551" s="14" t="s">
        <v>15058</v>
      </c>
      <c r="E1551" s="150" t="str">
        <f t="shared" si="14"/>
        <v>http://dx.doi.org/10.1109/VISUAL.2004.52</v>
      </c>
      <c r="F1551" s="14">
        <v>457.0</v>
      </c>
      <c r="G1551" s="14">
        <v>464.0</v>
      </c>
      <c r="H1551" s="151"/>
      <c r="I1551" s="14" t="s">
        <v>28</v>
      </c>
      <c r="J1551" s="14" t="s">
        <v>15751</v>
      </c>
      <c r="K1551" s="14" t="s">
        <v>36857</v>
      </c>
      <c r="L1551" s="152" t="s">
        <v>12013</v>
      </c>
      <c r="M1551" s="14" t="s">
        <v>36859</v>
      </c>
      <c r="N1551" s="54" t="s">
        <v>36857</v>
      </c>
      <c r="O1551" s="130" t="s">
        <v>15062</v>
      </c>
      <c r="P1551" s="153" t="s">
        <v>15063</v>
      </c>
      <c r="Q1551" s="14">
        <v>1372230.0</v>
      </c>
      <c r="R1551" s="95"/>
      <c r="S1551" s="154" t="s">
        <v>36862</v>
      </c>
      <c r="T1551" s="84"/>
      <c r="U1551" s="84"/>
      <c r="V1551" s="84"/>
      <c r="W1551" s="84"/>
      <c r="X1551" s="84"/>
      <c r="Y1551" s="84"/>
      <c r="Z1551" s="84"/>
      <c r="AA1551" s="84"/>
      <c r="AB1551" s="84"/>
      <c r="AC1551" s="84"/>
    </row>
    <row r="1552" ht="15.75" customHeight="1">
      <c r="A1552" s="14" t="s">
        <v>17</v>
      </c>
      <c r="B1552" s="14">
        <v>2004.0</v>
      </c>
      <c r="C1552" s="14" t="s">
        <v>15064</v>
      </c>
      <c r="D1552" s="14" t="s">
        <v>15065</v>
      </c>
      <c r="E1552" s="150" t="str">
        <f t="shared" si="14"/>
        <v>http://dx.doi.org/10.1109/VISUAL.2004.53</v>
      </c>
      <c r="F1552" s="14">
        <v>18.0</v>
      </c>
      <c r="G1552" s="14">
        <v>18.0</v>
      </c>
      <c r="H1552" s="159" t="s">
        <v>30659</v>
      </c>
      <c r="I1552" s="14" t="s">
        <v>21</v>
      </c>
      <c r="J1552" s="14"/>
      <c r="K1552" s="14" t="s">
        <v>36864</v>
      </c>
      <c r="L1552" s="152" t="s">
        <v>15071</v>
      </c>
      <c r="M1552" s="14" t="s">
        <v>36865</v>
      </c>
      <c r="N1552" s="54" t="s">
        <v>36864</v>
      </c>
      <c r="O1552" s="130"/>
      <c r="P1552" s="16"/>
      <c r="Q1552" s="14">
        <v>1372267.0</v>
      </c>
      <c r="R1552" s="95"/>
      <c r="S1552" s="154"/>
      <c r="T1552" s="84"/>
      <c r="U1552" s="84"/>
      <c r="V1552" s="84"/>
      <c r="W1552" s="84"/>
      <c r="X1552" s="84"/>
      <c r="Y1552" s="84"/>
      <c r="Z1552" s="84"/>
      <c r="AA1552" s="84"/>
      <c r="AB1552" s="84"/>
      <c r="AC1552" s="84"/>
    </row>
    <row r="1553" ht="15.75" customHeight="1">
      <c r="A1553" s="14" t="s">
        <v>17</v>
      </c>
      <c r="B1553" s="14">
        <v>2004.0</v>
      </c>
      <c r="C1553" s="14" t="s">
        <v>15072</v>
      </c>
      <c r="D1553" s="14" t="s">
        <v>15073</v>
      </c>
      <c r="E1553" s="150" t="str">
        <f t="shared" si="14"/>
        <v>http://dx.doi.org/10.1109/VISUAL.2004.54</v>
      </c>
      <c r="F1553" s="14">
        <v>24.0</v>
      </c>
      <c r="G1553" s="14">
        <v>24.0</v>
      </c>
      <c r="H1553" s="159" t="s">
        <v>30659</v>
      </c>
      <c r="I1553" s="14" t="s">
        <v>21</v>
      </c>
      <c r="J1553" s="14" t="s">
        <v>15764</v>
      </c>
      <c r="K1553" s="14" t="s">
        <v>36868</v>
      </c>
      <c r="L1553" s="152" t="s">
        <v>15076</v>
      </c>
      <c r="M1553" s="14" t="s">
        <v>36869</v>
      </c>
      <c r="N1553" s="54" t="s">
        <v>36870</v>
      </c>
      <c r="O1553" s="130"/>
      <c r="P1553" s="16"/>
      <c r="Q1553" s="14">
        <v>1372273.0</v>
      </c>
      <c r="R1553" s="95"/>
      <c r="S1553" s="154"/>
      <c r="T1553" s="84"/>
      <c r="U1553" s="84"/>
      <c r="V1553" s="84"/>
      <c r="W1553" s="84"/>
      <c r="X1553" s="84"/>
      <c r="Y1553" s="84"/>
      <c r="Z1553" s="84"/>
      <c r="AA1553" s="84"/>
      <c r="AB1553" s="84"/>
      <c r="AC1553" s="84"/>
    </row>
    <row r="1554" ht="15.75" customHeight="1">
      <c r="A1554" s="14" t="s">
        <v>17</v>
      </c>
      <c r="B1554" s="14">
        <v>2004.0</v>
      </c>
      <c r="C1554" s="14" t="s">
        <v>15077</v>
      </c>
      <c r="D1554" s="14" t="s">
        <v>15079</v>
      </c>
      <c r="E1554" s="150" t="str">
        <f t="shared" si="14"/>
        <v>http://dx.doi.org/10.1109/VISUAL.2004.55</v>
      </c>
      <c r="F1554" s="14">
        <v>353.0</v>
      </c>
      <c r="G1554" s="14">
        <v>360.0</v>
      </c>
      <c r="H1554" s="151"/>
      <c r="I1554" s="14" t="s">
        <v>28</v>
      </c>
      <c r="J1554" s="14" t="s">
        <v>15772</v>
      </c>
      <c r="K1554" s="14" t="s">
        <v>36873</v>
      </c>
      <c r="L1554" s="152" t="s">
        <v>10945</v>
      </c>
      <c r="M1554" s="14" t="s">
        <v>36874</v>
      </c>
      <c r="N1554" s="54" t="s">
        <v>36875</v>
      </c>
      <c r="O1554" s="130" t="s">
        <v>15082</v>
      </c>
      <c r="P1554" s="153" t="s">
        <v>15083</v>
      </c>
      <c r="Q1554" s="14">
        <v>1372217.0</v>
      </c>
      <c r="R1554" s="95"/>
      <c r="S1554" s="154" t="s">
        <v>36877</v>
      </c>
      <c r="T1554" s="84"/>
      <c r="U1554" s="84"/>
      <c r="V1554" s="84"/>
      <c r="W1554" s="84"/>
      <c r="X1554" s="84"/>
      <c r="Y1554" s="84"/>
      <c r="Z1554" s="84"/>
      <c r="AA1554" s="84"/>
      <c r="AB1554" s="84"/>
      <c r="AC1554" s="84"/>
    </row>
    <row r="1555" ht="15.75" customHeight="1">
      <c r="A1555" s="14" t="s">
        <v>17</v>
      </c>
      <c r="B1555" s="14">
        <v>2004.0</v>
      </c>
      <c r="C1555" s="14" t="s">
        <v>15084</v>
      </c>
      <c r="D1555" s="14" t="s">
        <v>15085</v>
      </c>
      <c r="E1555" s="150" t="str">
        <f t="shared" si="14"/>
        <v>http://dx.doi.org/10.1109/VISUAL.2004.56</v>
      </c>
      <c r="F1555" s="14">
        <v>521.0</v>
      </c>
      <c r="G1555" s="14">
        <v>527.0</v>
      </c>
      <c r="H1555" s="151"/>
      <c r="I1555" s="14" t="s">
        <v>28</v>
      </c>
      <c r="J1555" s="14" t="s">
        <v>15782</v>
      </c>
      <c r="K1555" s="14" t="s">
        <v>36880</v>
      </c>
      <c r="L1555" s="152" t="s">
        <v>15091</v>
      </c>
      <c r="M1555" s="14" t="s">
        <v>36881</v>
      </c>
      <c r="N1555" s="54" t="s">
        <v>36882</v>
      </c>
      <c r="O1555" s="130" t="s">
        <v>15092</v>
      </c>
      <c r="P1555" s="153" t="s">
        <v>15093</v>
      </c>
      <c r="Q1555" s="14">
        <v>1372238.0</v>
      </c>
      <c r="R1555" s="95"/>
      <c r="S1555" s="154" t="s">
        <v>36883</v>
      </c>
      <c r="T1555" s="84"/>
      <c r="U1555" s="84"/>
      <c r="V1555" s="84"/>
      <c r="W1555" s="84"/>
      <c r="X1555" s="84"/>
      <c r="Y1555" s="84"/>
      <c r="Z1555" s="84"/>
      <c r="AA1555" s="84"/>
      <c r="AB1555" s="84"/>
      <c r="AC1555" s="84"/>
    </row>
    <row r="1556" ht="15.75" customHeight="1">
      <c r="A1556" s="14" t="s">
        <v>17</v>
      </c>
      <c r="B1556" s="14">
        <v>2004.0</v>
      </c>
      <c r="C1556" s="14" t="s">
        <v>15094</v>
      </c>
      <c r="D1556" s="14" t="s">
        <v>15095</v>
      </c>
      <c r="E1556" s="150" t="str">
        <f t="shared" si="14"/>
        <v>http://dx.doi.org/10.1109/VISUAL.2004.57</v>
      </c>
      <c r="F1556" s="14">
        <v>6.0</v>
      </c>
      <c r="G1556" s="14">
        <v>6.0</v>
      </c>
      <c r="H1556" s="159" t="s">
        <v>30659</v>
      </c>
      <c r="I1556" s="14" t="s">
        <v>21</v>
      </c>
      <c r="J1556" s="14"/>
      <c r="K1556" s="14" t="s">
        <v>36886</v>
      </c>
      <c r="L1556" s="152" t="s">
        <v>15101</v>
      </c>
      <c r="M1556" s="14" t="s">
        <v>36887</v>
      </c>
      <c r="N1556" s="54" t="s">
        <v>36886</v>
      </c>
      <c r="O1556" s="130"/>
      <c r="P1556" s="16"/>
      <c r="Q1556" s="14">
        <v>1372255.0</v>
      </c>
      <c r="R1556" s="95"/>
      <c r="S1556" s="154"/>
      <c r="T1556" s="84"/>
      <c r="U1556" s="84"/>
      <c r="V1556" s="84"/>
      <c r="W1556" s="84"/>
      <c r="X1556" s="84"/>
      <c r="Y1556" s="84"/>
      <c r="Z1556" s="84"/>
      <c r="AA1556" s="84"/>
      <c r="AB1556" s="84"/>
      <c r="AC1556" s="84"/>
    </row>
    <row r="1557" ht="15.75" customHeight="1">
      <c r="A1557" s="14" t="s">
        <v>17</v>
      </c>
      <c r="B1557" s="14">
        <v>2004.0</v>
      </c>
      <c r="C1557" s="14" t="s">
        <v>15102</v>
      </c>
      <c r="D1557" s="14" t="s">
        <v>15104</v>
      </c>
      <c r="E1557" s="150" t="str">
        <f t="shared" si="14"/>
        <v>http://dx.doi.org/10.1109/VISUAL.2004.58</v>
      </c>
      <c r="F1557" s="14">
        <v>361.0</v>
      </c>
      <c r="G1557" s="14">
        <v>368.0</v>
      </c>
      <c r="H1557" s="151"/>
      <c r="I1557" s="14" t="s">
        <v>28</v>
      </c>
      <c r="J1557" s="14" t="s">
        <v>15797</v>
      </c>
      <c r="K1557" s="14" t="s">
        <v>36892</v>
      </c>
      <c r="L1557" s="152" t="s">
        <v>5704</v>
      </c>
      <c r="M1557" s="14" t="s">
        <v>36893</v>
      </c>
      <c r="N1557" s="54" t="s">
        <v>36892</v>
      </c>
      <c r="O1557" s="130" t="s">
        <v>12819</v>
      </c>
      <c r="P1557" s="153" t="s">
        <v>15111</v>
      </c>
      <c r="Q1557" s="14">
        <v>1372218.0</v>
      </c>
      <c r="R1557" s="95"/>
      <c r="S1557" s="154">
        <v>1183829.0</v>
      </c>
      <c r="T1557" s="84"/>
      <c r="U1557" s="84"/>
      <c r="V1557" s="84"/>
      <c r="W1557" s="84"/>
      <c r="X1557" s="84"/>
      <c r="Y1557" s="84"/>
      <c r="Z1557" s="84"/>
      <c r="AA1557" s="84"/>
      <c r="AB1557" s="84"/>
      <c r="AC1557" s="84"/>
    </row>
    <row r="1558" ht="15.75" customHeight="1">
      <c r="A1558" s="14" t="s">
        <v>17</v>
      </c>
      <c r="B1558" s="14">
        <v>2004.0</v>
      </c>
      <c r="C1558" s="14" t="s">
        <v>15112</v>
      </c>
      <c r="D1558" s="14" t="s">
        <v>15113</v>
      </c>
      <c r="E1558" s="150" t="str">
        <f t="shared" si="14"/>
        <v>http://dx.doi.org/10.1109/VISUAL.2004.59</v>
      </c>
      <c r="F1558" s="14">
        <v>51.0</v>
      </c>
      <c r="G1558" s="14">
        <v>58.0</v>
      </c>
      <c r="H1558" s="151"/>
      <c r="I1558" s="14" t="s">
        <v>28</v>
      </c>
      <c r="J1558" s="14" t="s">
        <v>15802</v>
      </c>
      <c r="K1558" s="14" t="s">
        <v>36897</v>
      </c>
      <c r="L1558" s="152" t="s">
        <v>15120</v>
      </c>
      <c r="M1558" s="14" t="s">
        <v>36898</v>
      </c>
      <c r="N1558" s="54" t="s">
        <v>36897</v>
      </c>
      <c r="O1558" s="130" t="s">
        <v>15121</v>
      </c>
      <c r="P1558" s="153" t="s">
        <v>15122</v>
      </c>
      <c r="Q1558" s="14">
        <v>1372179.0</v>
      </c>
      <c r="R1558" s="95"/>
      <c r="S1558" s="154" t="s">
        <v>36900</v>
      </c>
      <c r="T1558" s="84"/>
      <c r="U1558" s="84"/>
      <c r="V1558" s="84"/>
      <c r="W1558" s="84"/>
      <c r="X1558" s="84"/>
      <c r="Y1558" s="84"/>
      <c r="Z1558" s="84"/>
      <c r="AA1558" s="84"/>
      <c r="AB1558" s="84"/>
      <c r="AC1558" s="84"/>
    </row>
    <row r="1559" ht="15.75" customHeight="1">
      <c r="A1559" s="14" t="s">
        <v>17</v>
      </c>
      <c r="B1559" s="14">
        <v>2004.0</v>
      </c>
      <c r="C1559" s="14" t="s">
        <v>36901</v>
      </c>
      <c r="D1559" s="14" t="s">
        <v>15131</v>
      </c>
      <c r="E1559" s="150" t="str">
        <f t="shared" si="14"/>
        <v>http://dx.doi.org/10.1109/VISUAL.2004.60</v>
      </c>
      <c r="F1559" s="14">
        <v>35.0</v>
      </c>
      <c r="G1559" s="14">
        <v>35.0</v>
      </c>
      <c r="H1559" s="159" t="s">
        <v>30659</v>
      </c>
      <c r="I1559" s="14" t="s">
        <v>21</v>
      </c>
      <c r="J1559" s="14"/>
      <c r="K1559" s="14" t="s">
        <v>36903</v>
      </c>
      <c r="L1559" s="152" t="s">
        <v>15137</v>
      </c>
      <c r="M1559" s="14" t="s">
        <v>36904</v>
      </c>
      <c r="N1559" s="54" t="s">
        <v>36903</v>
      </c>
      <c r="O1559" s="130"/>
      <c r="P1559" s="16"/>
      <c r="Q1559" s="14">
        <v>1372284.0</v>
      </c>
      <c r="R1559" s="95"/>
      <c r="S1559" s="154"/>
      <c r="T1559" s="84"/>
      <c r="U1559" s="84"/>
      <c r="V1559" s="84"/>
      <c r="W1559" s="84"/>
      <c r="X1559" s="84"/>
      <c r="Y1559" s="84"/>
      <c r="Z1559" s="84"/>
      <c r="AA1559" s="84"/>
      <c r="AB1559" s="84"/>
      <c r="AC1559" s="84"/>
    </row>
    <row r="1560" ht="15.75" customHeight="1">
      <c r="A1560" s="14" t="s">
        <v>17</v>
      </c>
      <c r="B1560" s="14">
        <v>2004.0</v>
      </c>
      <c r="C1560" s="14" t="s">
        <v>15147</v>
      </c>
      <c r="D1560" s="14" t="s">
        <v>15148</v>
      </c>
      <c r="E1560" s="150" t="str">
        <f t="shared" si="14"/>
        <v>http://dx.doi.org/10.1109/VISUAL.2004.62</v>
      </c>
      <c r="F1560" s="14">
        <v>281.0</v>
      </c>
      <c r="G1560" s="14">
        <v>288.0</v>
      </c>
      <c r="H1560" s="151"/>
      <c r="I1560" s="14" t="s">
        <v>28</v>
      </c>
      <c r="J1560" s="14" t="s">
        <v>15855</v>
      </c>
      <c r="K1560" s="14" t="s">
        <v>36909</v>
      </c>
      <c r="L1560" s="152" t="s">
        <v>3397</v>
      </c>
      <c r="M1560" s="14" t="s">
        <v>36910</v>
      </c>
      <c r="N1560" s="54" t="s">
        <v>36909</v>
      </c>
      <c r="O1560" s="130" t="s">
        <v>15154</v>
      </c>
      <c r="P1560" s="153" t="s">
        <v>15155</v>
      </c>
      <c r="Q1560" s="14">
        <v>1372208.0</v>
      </c>
      <c r="R1560" s="95"/>
      <c r="S1560" s="154" t="s">
        <v>36912</v>
      </c>
      <c r="T1560" s="84"/>
      <c r="U1560" s="84"/>
      <c r="V1560" s="84"/>
      <c r="W1560" s="84"/>
      <c r="X1560" s="84"/>
      <c r="Y1560" s="84"/>
      <c r="Z1560" s="84"/>
      <c r="AA1560" s="84"/>
      <c r="AB1560" s="84"/>
      <c r="AC1560" s="84"/>
    </row>
    <row r="1561" ht="15.75" customHeight="1">
      <c r="A1561" s="14" t="s">
        <v>17</v>
      </c>
      <c r="B1561" s="14">
        <v>2004.0</v>
      </c>
      <c r="C1561" s="14" t="s">
        <v>15156</v>
      </c>
      <c r="D1561" s="14" t="s">
        <v>15157</v>
      </c>
      <c r="E1561" s="150" t="str">
        <f t="shared" si="14"/>
        <v>http://dx.doi.org/10.1109/VISUAL.2004.63</v>
      </c>
      <c r="F1561" s="14">
        <v>19.0</v>
      </c>
      <c r="G1561" s="14">
        <v>26.0</v>
      </c>
      <c r="H1561" s="151"/>
      <c r="I1561" s="14" t="s">
        <v>28</v>
      </c>
      <c r="J1561" s="14" t="s">
        <v>15861</v>
      </c>
      <c r="K1561" s="14" t="s">
        <v>36915</v>
      </c>
      <c r="L1561" s="152" t="s">
        <v>15162</v>
      </c>
      <c r="M1561" s="14" t="s">
        <v>36916</v>
      </c>
      <c r="N1561" s="54" t="s">
        <v>36915</v>
      </c>
      <c r="O1561" s="130" t="s">
        <v>15163</v>
      </c>
      <c r="P1561" s="153" t="s">
        <v>15164</v>
      </c>
      <c r="Q1561" s="14">
        <v>1372175.0</v>
      </c>
      <c r="R1561" s="95"/>
      <c r="S1561" s="154" t="s">
        <v>36918</v>
      </c>
      <c r="T1561" s="84"/>
      <c r="U1561" s="84"/>
      <c r="V1561" s="84"/>
      <c r="W1561" s="84"/>
      <c r="X1561" s="84"/>
      <c r="Y1561" s="84"/>
      <c r="Z1561" s="84"/>
      <c r="AA1561" s="84"/>
      <c r="AB1561" s="84"/>
      <c r="AC1561" s="84"/>
    </row>
    <row r="1562" ht="15.75" customHeight="1">
      <c r="A1562" s="14" t="s">
        <v>17</v>
      </c>
      <c r="B1562" s="14">
        <v>2004.0</v>
      </c>
      <c r="C1562" s="14" t="s">
        <v>15166</v>
      </c>
      <c r="D1562" s="14" t="s">
        <v>15168</v>
      </c>
      <c r="E1562" s="150" t="str">
        <f t="shared" si="14"/>
        <v>http://dx.doi.org/10.1109/VISUAL.2004.64</v>
      </c>
      <c r="F1562" s="14">
        <v>289.0</v>
      </c>
      <c r="G1562" s="14">
        <v>296.0</v>
      </c>
      <c r="H1562" s="151"/>
      <c r="I1562" s="14" t="s">
        <v>28</v>
      </c>
      <c r="J1562" s="14" t="s">
        <v>15871</v>
      </c>
      <c r="K1562" s="14" t="s">
        <v>36921</v>
      </c>
      <c r="L1562" s="152" t="s">
        <v>15174</v>
      </c>
      <c r="M1562" s="14" t="s">
        <v>36923</v>
      </c>
      <c r="N1562" s="54" t="s">
        <v>36921</v>
      </c>
      <c r="O1562" s="130" t="s">
        <v>15175</v>
      </c>
      <c r="P1562" s="153" t="s">
        <v>15176</v>
      </c>
      <c r="Q1562" s="14">
        <v>1372209.0</v>
      </c>
      <c r="R1562" s="95"/>
      <c r="S1562" s="154" t="s">
        <v>36924</v>
      </c>
      <c r="T1562" s="84"/>
      <c r="U1562" s="84"/>
      <c r="V1562" s="84"/>
      <c r="W1562" s="84"/>
      <c r="X1562" s="84"/>
      <c r="Y1562" s="84"/>
      <c r="Z1562" s="84"/>
      <c r="AA1562" s="84"/>
      <c r="AB1562" s="84"/>
      <c r="AC1562" s="84"/>
    </row>
    <row r="1563" ht="15.75" customHeight="1">
      <c r="A1563" s="14" t="s">
        <v>17</v>
      </c>
      <c r="B1563" s="14">
        <v>2004.0</v>
      </c>
      <c r="C1563" s="14" t="s">
        <v>15177</v>
      </c>
      <c r="D1563" s="14" t="s">
        <v>15178</v>
      </c>
      <c r="E1563" s="150" t="str">
        <f t="shared" si="14"/>
        <v>http://dx.doi.org/10.1109/VISUAL.2004.65</v>
      </c>
      <c r="F1563" s="14">
        <v>11.0</v>
      </c>
      <c r="G1563" s="14">
        <v>18.0</v>
      </c>
      <c r="H1563" s="151"/>
      <c r="I1563" s="14" t="s">
        <v>28</v>
      </c>
      <c r="J1563" s="14" t="s">
        <v>15873</v>
      </c>
      <c r="K1563" s="14" t="s">
        <v>36928</v>
      </c>
      <c r="L1563" s="152" t="s">
        <v>15183</v>
      </c>
      <c r="M1563" s="14" t="s">
        <v>36929</v>
      </c>
      <c r="N1563" s="54" t="s">
        <v>36928</v>
      </c>
      <c r="O1563" s="130" t="s">
        <v>15184</v>
      </c>
      <c r="P1563" s="153" t="s">
        <v>15185</v>
      </c>
      <c r="Q1563" s="14">
        <v>1372174.0</v>
      </c>
      <c r="R1563" s="95"/>
      <c r="S1563" s="154" t="s">
        <v>36931</v>
      </c>
      <c r="T1563" s="84"/>
      <c r="U1563" s="84"/>
      <c r="V1563" s="84"/>
      <c r="W1563" s="84"/>
      <c r="X1563" s="84"/>
      <c r="Y1563" s="84"/>
      <c r="Z1563" s="84"/>
      <c r="AA1563" s="84"/>
      <c r="AB1563" s="84"/>
      <c r="AC1563" s="84"/>
    </row>
    <row r="1564" ht="15.75" customHeight="1">
      <c r="A1564" s="14" t="s">
        <v>17</v>
      </c>
      <c r="B1564" s="14">
        <v>2004.0</v>
      </c>
      <c r="C1564" s="14" t="s">
        <v>15186</v>
      </c>
      <c r="D1564" s="14" t="s">
        <v>15187</v>
      </c>
      <c r="E1564" s="150" t="str">
        <f t="shared" si="14"/>
        <v>http://dx.doi.org/10.1109/VISUAL.2004.66</v>
      </c>
      <c r="F1564" s="14">
        <v>5.0</v>
      </c>
      <c r="G1564" s="14">
        <v>5.0</v>
      </c>
      <c r="H1564" s="159" t="s">
        <v>30659</v>
      </c>
      <c r="I1564" s="14" t="s">
        <v>21</v>
      </c>
      <c r="J1564" s="14" t="s">
        <v>36933</v>
      </c>
      <c r="K1564" s="14" t="s">
        <v>36934</v>
      </c>
      <c r="L1564" s="152" t="s">
        <v>15192</v>
      </c>
      <c r="M1564" s="14"/>
      <c r="N1564" s="54" t="s">
        <v>7337</v>
      </c>
      <c r="O1564" s="130"/>
      <c r="P1564" s="16"/>
      <c r="Q1564" s="14">
        <v>1372254.0</v>
      </c>
      <c r="R1564" s="95"/>
      <c r="S1564" s="154"/>
      <c r="T1564" s="84"/>
      <c r="U1564" s="84"/>
      <c r="V1564" s="84"/>
      <c r="W1564" s="84"/>
      <c r="X1564" s="84"/>
      <c r="Y1564" s="84"/>
      <c r="Z1564" s="84"/>
      <c r="AA1564" s="84"/>
      <c r="AB1564" s="84"/>
      <c r="AC1564" s="84"/>
    </row>
    <row r="1565" ht="15.75" customHeight="1">
      <c r="A1565" s="14" t="s">
        <v>17</v>
      </c>
      <c r="B1565" s="14">
        <v>2004.0</v>
      </c>
      <c r="C1565" s="14" t="s">
        <v>15194</v>
      </c>
      <c r="D1565" s="14" t="s">
        <v>15195</v>
      </c>
      <c r="E1565" s="150" t="str">
        <f t="shared" si="14"/>
        <v>http://dx.doi.org/10.1109/VISUAL.2004.67</v>
      </c>
      <c r="F1565" s="14">
        <v>12.0</v>
      </c>
      <c r="G1565" s="14">
        <v>12.0</v>
      </c>
      <c r="H1565" s="159" t="s">
        <v>30659</v>
      </c>
      <c r="I1565" s="14" t="s">
        <v>21</v>
      </c>
      <c r="J1565" s="14" t="s">
        <v>36938</v>
      </c>
      <c r="K1565" s="14" t="s">
        <v>36939</v>
      </c>
      <c r="L1565" s="152" t="s">
        <v>14972</v>
      </c>
      <c r="M1565" s="14" t="s">
        <v>36940</v>
      </c>
      <c r="N1565" s="54" t="s">
        <v>36939</v>
      </c>
      <c r="O1565" s="130"/>
      <c r="P1565" s="16"/>
      <c r="Q1565" s="14">
        <v>1372261.0</v>
      </c>
      <c r="R1565" s="95"/>
      <c r="S1565" s="154"/>
      <c r="T1565" s="84"/>
      <c r="U1565" s="84"/>
      <c r="V1565" s="84"/>
      <c r="W1565" s="84"/>
      <c r="X1565" s="84"/>
      <c r="Y1565" s="84"/>
      <c r="Z1565" s="84"/>
      <c r="AA1565" s="84"/>
      <c r="AB1565" s="84"/>
      <c r="AC1565" s="84"/>
    </row>
    <row r="1566" ht="15.75" customHeight="1">
      <c r="A1566" s="14" t="s">
        <v>17</v>
      </c>
      <c r="B1566" s="14">
        <v>2004.0</v>
      </c>
      <c r="C1566" s="14" t="s">
        <v>15202</v>
      </c>
      <c r="D1566" s="14" t="s">
        <v>15203</v>
      </c>
      <c r="E1566" s="150" t="str">
        <f t="shared" si="14"/>
        <v>http://dx.doi.org/10.1109/VISUAL.2004.68</v>
      </c>
      <c r="F1566" s="14">
        <v>275.0</v>
      </c>
      <c r="G1566" s="14">
        <v>280.0</v>
      </c>
      <c r="H1566" s="151"/>
      <c r="I1566" s="14" t="s">
        <v>28</v>
      </c>
      <c r="J1566" s="14" t="s">
        <v>15892</v>
      </c>
      <c r="K1566" s="14" t="s">
        <v>36946</v>
      </c>
      <c r="L1566" s="152" t="s">
        <v>15209</v>
      </c>
      <c r="M1566" s="14" t="s">
        <v>36947</v>
      </c>
      <c r="N1566" s="54" t="s">
        <v>36946</v>
      </c>
      <c r="O1566" s="130"/>
      <c r="P1566" s="153" t="s">
        <v>15210</v>
      </c>
      <c r="Q1566" s="14">
        <v>1372207.0</v>
      </c>
      <c r="R1566" s="95"/>
      <c r="S1566" s="154"/>
      <c r="T1566" s="84"/>
      <c r="U1566" s="84"/>
      <c r="V1566" s="84"/>
      <c r="W1566" s="84"/>
      <c r="X1566" s="84"/>
      <c r="Y1566" s="84"/>
      <c r="Z1566" s="84"/>
      <c r="AA1566" s="84"/>
      <c r="AB1566" s="84"/>
      <c r="AC1566" s="84"/>
    </row>
    <row r="1567" ht="15.75" customHeight="1">
      <c r="A1567" s="14" t="s">
        <v>17</v>
      </c>
      <c r="B1567" s="14">
        <v>2004.0</v>
      </c>
      <c r="C1567" s="14" t="s">
        <v>15211</v>
      </c>
      <c r="D1567" s="14" t="s">
        <v>15212</v>
      </c>
      <c r="E1567" s="150" t="str">
        <f t="shared" si="14"/>
        <v>http://dx.doi.org/10.1109/VISUAL.2004.69</v>
      </c>
      <c r="F1567" s="14">
        <v>417.0</v>
      </c>
      <c r="G1567" s="14">
        <v>424.0</v>
      </c>
      <c r="H1567" s="151"/>
      <c r="I1567" s="14" t="s">
        <v>28</v>
      </c>
      <c r="J1567" s="14" t="s">
        <v>15901</v>
      </c>
      <c r="K1567" s="14" t="s">
        <v>15217</v>
      </c>
      <c r="L1567" s="152" t="s">
        <v>15218</v>
      </c>
      <c r="M1567" s="14" t="s">
        <v>36952</v>
      </c>
      <c r="N1567" s="54" t="s">
        <v>15217</v>
      </c>
      <c r="O1567" s="130" t="s">
        <v>15219</v>
      </c>
      <c r="P1567" s="153" t="s">
        <v>15220</v>
      </c>
      <c r="Q1567" s="14">
        <v>1372225.0</v>
      </c>
      <c r="R1567" s="95"/>
      <c r="S1567" s="154" t="s">
        <v>36954</v>
      </c>
      <c r="T1567" s="84"/>
      <c r="U1567" s="84"/>
      <c r="V1567" s="84"/>
      <c r="W1567" s="84"/>
      <c r="X1567" s="84"/>
      <c r="Y1567" s="84"/>
      <c r="Z1567" s="84"/>
      <c r="AA1567" s="84"/>
      <c r="AB1567" s="84"/>
      <c r="AC1567" s="84"/>
    </row>
    <row r="1568" ht="15.75" customHeight="1">
      <c r="A1568" s="14" t="s">
        <v>17</v>
      </c>
      <c r="B1568" s="14">
        <v>2004.0</v>
      </c>
      <c r="C1568" s="14" t="s">
        <v>15233</v>
      </c>
      <c r="D1568" s="14" t="s">
        <v>15234</v>
      </c>
      <c r="E1568" s="150" t="str">
        <f t="shared" si="14"/>
        <v>http://dx.doi.org/10.1109/VISUAL.2004.70</v>
      </c>
      <c r="F1568" s="14">
        <v>3.0</v>
      </c>
      <c r="G1568" s="14">
        <v>10.0</v>
      </c>
      <c r="H1568" s="151"/>
      <c r="I1568" s="14" t="s">
        <v>28</v>
      </c>
      <c r="J1568" s="14" t="s">
        <v>15919</v>
      </c>
      <c r="K1568" s="14" t="s">
        <v>36958</v>
      </c>
      <c r="L1568" s="152" t="s">
        <v>15240</v>
      </c>
      <c r="M1568" s="14" t="s">
        <v>36959</v>
      </c>
      <c r="N1568" s="54" t="s">
        <v>36958</v>
      </c>
      <c r="O1568" s="130" t="s">
        <v>2052</v>
      </c>
      <c r="P1568" s="153" t="s">
        <v>15241</v>
      </c>
      <c r="Q1568" s="14">
        <v>1372173.0</v>
      </c>
      <c r="R1568" s="95"/>
      <c r="S1568" s="154">
        <v>346331.0</v>
      </c>
      <c r="T1568" s="84"/>
      <c r="U1568" s="84"/>
      <c r="V1568" s="84"/>
      <c r="W1568" s="84"/>
      <c r="X1568" s="84"/>
      <c r="Y1568" s="84"/>
      <c r="Z1568" s="84"/>
      <c r="AA1568" s="84"/>
      <c r="AB1568" s="84"/>
      <c r="AC1568" s="84"/>
    </row>
    <row r="1569" ht="15.75" customHeight="1">
      <c r="A1569" s="14" t="s">
        <v>17</v>
      </c>
      <c r="B1569" s="14">
        <v>2004.0</v>
      </c>
      <c r="C1569" s="14" t="s">
        <v>15242</v>
      </c>
      <c r="D1569" s="14" t="s">
        <v>15243</v>
      </c>
      <c r="E1569" s="150" t="str">
        <f t="shared" si="14"/>
        <v>http://dx.doi.org/10.1109/VISUAL.2004.71</v>
      </c>
      <c r="F1569" s="14">
        <v>14.0</v>
      </c>
      <c r="G1569" s="14">
        <v>14.0</v>
      </c>
      <c r="H1569" s="159" t="s">
        <v>30659</v>
      </c>
      <c r="I1569" s="14" t="s">
        <v>21</v>
      </c>
      <c r="J1569" s="14" t="s">
        <v>15928</v>
      </c>
      <c r="K1569" s="14" t="s">
        <v>36964</v>
      </c>
      <c r="L1569" s="152" t="s">
        <v>14199</v>
      </c>
      <c r="M1569" s="14" t="s">
        <v>36965</v>
      </c>
      <c r="N1569" s="54" t="s">
        <v>36964</v>
      </c>
      <c r="O1569" s="130"/>
      <c r="P1569" s="16"/>
      <c r="Q1569" s="14">
        <v>1372263.0</v>
      </c>
      <c r="R1569" s="95"/>
      <c r="S1569" s="154"/>
      <c r="T1569" s="84"/>
      <c r="U1569" s="84"/>
      <c r="V1569" s="84"/>
      <c r="W1569" s="84"/>
      <c r="X1569" s="84"/>
      <c r="Y1569" s="84"/>
      <c r="Z1569" s="84"/>
      <c r="AA1569" s="84"/>
      <c r="AB1569" s="84"/>
      <c r="AC1569" s="84"/>
    </row>
    <row r="1570" ht="15.75" customHeight="1">
      <c r="A1570" s="14" t="s">
        <v>17</v>
      </c>
      <c r="B1570" s="14">
        <v>2004.0</v>
      </c>
      <c r="C1570" s="14" t="s">
        <v>15250</v>
      </c>
      <c r="D1570" s="14" t="s">
        <v>15251</v>
      </c>
      <c r="E1570" s="150" t="str">
        <f t="shared" si="14"/>
        <v>http://dx.doi.org/10.1109/VISUAL.2004.72</v>
      </c>
      <c r="F1570" s="14">
        <v>393.0</v>
      </c>
      <c r="G1570" s="14">
        <v>400.0</v>
      </c>
      <c r="H1570" s="151"/>
      <c r="I1570" s="14" t="s">
        <v>28</v>
      </c>
      <c r="J1570" s="14" t="s">
        <v>15937</v>
      </c>
      <c r="K1570" s="14" t="s">
        <v>36969</v>
      </c>
      <c r="L1570" s="152" t="s">
        <v>15257</v>
      </c>
      <c r="M1570" s="14" t="s">
        <v>36970</v>
      </c>
      <c r="N1570" s="54" t="s">
        <v>36969</v>
      </c>
      <c r="O1570" s="130" t="s">
        <v>11129</v>
      </c>
      <c r="P1570" s="153" t="s">
        <v>15258</v>
      </c>
      <c r="Q1570" s="14">
        <v>1372222.0</v>
      </c>
      <c r="R1570" s="95"/>
      <c r="S1570" s="154">
        <v>964555.0</v>
      </c>
      <c r="T1570" s="84"/>
      <c r="U1570" s="84"/>
      <c r="V1570" s="84"/>
      <c r="W1570" s="84"/>
      <c r="X1570" s="84"/>
      <c r="Y1570" s="84"/>
      <c r="Z1570" s="84"/>
      <c r="AA1570" s="84"/>
      <c r="AB1570" s="84"/>
      <c r="AC1570" s="84"/>
    </row>
    <row r="1571" ht="15.75" customHeight="1">
      <c r="A1571" s="14" t="s">
        <v>17</v>
      </c>
      <c r="B1571" s="14">
        <v>2004.0</v>
      </c>
      <c r="C1571" s="14" t="s">
        <v>15259</v>
      </c>
      <c r="D1571" s="14" t="s">
        <v>15262</v>
      </c>
      <c r="E1571" s="150" t="str">
        <f t="shared" si="14"/>
        <v>http://dx.doi.org/10.1109/VISUAL.2004.73</v>
      </c>
      <c r="F1571" s="14">
        <v>305.0</v>
      </c>
      <c r="G1571" s="14">
        <v>312.0</v>
      </c>
      <c r="H1571" s="151"/>
      <c r="I1571" s="14" t="s">
        <v>28</v>
      </c>
      <c r="J1571" s="14" t="s">
        <v>15946</v>
      </c>
      <c r="K1571" s="14" t="s">
        <v>11396</v>
      </c>
      <c r="L1571" s="152" t="s">
        <v>15266</v>
      </c>
      <c r="M1571" s="14">
        <v>3.7268045E10</v>
      </c>
      <c r="N1571" s="54" t="s">
        <v>11396</v>
      </c>
      <c r="O1571" s="130" t="s">
        <v>15267</v>
      </c>
      <c r="P1571" s="153" t="s">
        <v>15268</v>
      </c>
      <c r="Q1571" s="14">
        <v>1372211.0</v>
      </c>
      <c r="R1571" s="95"/>
      <c r="S1571" s="154" t="s">
        <v>36974</v>
      </c>
      <c r="T1571" s="84"/>
      <c r="U1571" s="84"/>
      <c r="V1571" s="84"/>
      <c r="W1571" s="84"/>
      <c r="X1571" s="84"/>
      <c r="Y1571" s="84"/>
      <c r="Z1571" s="84"/>
      <c r="AA1571" s="84"/>
      <c r="AB1571" s="84"/>
      <c r="AC1571" s="84"/>
    </row>
    <row r="1572" ht="15.75" customHeight="1">
      <c r="A1572" s="14" t="s">
        <v>17</v>
      </c>
      <c r="B1572" s="14">
        <v>2004.0</v>
      </c>
      <c r="C1572" s="14" t="s">
        <v>15270</v>
      </c>
      <c r="D1572" s="14" t="s">
        <v>15272</v>
      </c>
      <c r="E1572" s="150" t="str">
        <f t="shared" si="14"/>
        <v>http://dx.doi.org/10.1109/VISUAL.2004.74</v>
      </c>
      <c r="F1572" s="14">
        <v>17.0</v>
      </c>
      <c r="G1572" s="14">
        <v>17.0</v>
      </c>
      <c r="H1572" s="159" t="s">
        <v>30659</v>
      </c>
      <c r="I1572" s="14" t="s">
        <v>21</v>
      </c>
      <c r="J1572" s="14" t="s">
        <v>15951</v>
      </c>
      <c r="K1572" s="14" t="s">
        <v>36978</v>
      </c>
      <c r="L1572" s="152" t="s">
        <v>15278</v>
      </c>
      <c r="M1572" s="14" t="s">
        <v>36979</v>
      </c>
      <c r="N1572" s="54" t="s">
        <v>36980</v>
      </c>
      <c r="O1572" s="130"/>
      <c r="P1572" s="16"/>
      <c r="Q1572" s="14">
        <v>1372266.0</v>
      </c>
      <c r="R1572" s="95"/>
      <c r="S1572" s="154"/>
      <c r="T1572" s="84"/>
      <c r="U1572" s="84"/>
      <c r="V1572" s="84"/>
      <c r="W1572" s="84"/>
      <c r="X1572" s="84"/>
      <c r="Y1572" s="84"/>
      <c r="Z1572" s="84"/>
      <c r="AA1572" s="84"/>
      <c r="AB1572" s="84"/>
      <c r="AC1572" s="84"/>
    </row>
    <row r="1573" ht="15.75" customHeight="1">
      <c r="A1573" s="14" t="s">
        <v>17</v>
      </c>
      <c r="B1573" s="14">
        <v>2004.0</v>
      </c>
      <c r="C1573" s="14" t="s">
        <v>15279</v>
      </c>
      <c r="D1573" s="14" t="s">
        <v>15280</v>
      </c>
      <c r="E1573" s="150" t="str">
        <f t="shared" si="14"/>
        <v>http://dx.doi.org/10.1109/VISUAL.2004.75</v>
      </c>
      <c r="F1573" s="14">
        <v>267.0</v>
      </c>
      <c r="G1573" s="14">
        <v>274.0</v>
      </c>
      <c r="H1573" s="151"/>
      <c r="I1573" s="14" t="s">
        <v>28</v>
      </c>
      <c r="J1573" s="14" t="s">
        <v>15957</v>
      </c>
      <c r="K1573" s="14" t="s">
        <v>36983</v>
      </c>
      <c r="L1573" s="152" t="s">
        <v>184</v>
      </c>
      <c r="M1573" s="14" t="s">
        <v>36984</v>
      </c>
      <c r="N1573" s="54" t="s">
        <v>36983</v>
      </c>
      <c r="O1573" s="130"/>
      <c r="P1573" s="153" t="s">
        <v>15286</v>
      </c>
      <c r="Q1573" s="14">
        <v>1372206.0</v>
      </c>
      <c r="R1573" s="95"/>
      <c r="S1573" s="154"/>
      <c r="T1573" s="84"/>
      <c r="U1573" s="84"/>
      <c r="V1573" s="84"/>
      <c r="W1573" s="84"/>
      <c r="X1573" s="84"/>
      <c r="Y1573" s="84"/>
      <c r="Z1573" s="84"/>
      <c r="AA1573" s="84"/>
      <c r="AB1573" s="84"/>
      <c r="AC1573" s="84"/>
    </row>
    <row r="1574" ht="15.75" customHeight="1">
      <c r="A1574" s="14" t="s">
        <v>17</v>
      </c>
      <c r="B1574" s="14">
        <v>2004.0</v>
      </c>
      <c r="C1574" s="14" t="s">
        <v>15287</v>
      </c>
      <c r="D1574" s="14" t="s">
        <v>15288</v>
      </c>
      <c r="E1574" s="150" t="str">
        <f t="shared" si="14"/>
        <v>http://dx.doi.org/10.1109/VISUAL.2004.76</v>
      </c>
      <c r="F1574" s="14">
        <v>563.0</v>
      </c>
      <c r="G1574" s="14">
        <v>566.0</v>
      </c>
      <c r="H1574" s="159" t="s">
        <v>30659</v>
      </c>
      <c r="I1574" s="14" t="s">
        <v>21</v>
      </c>
      <c r="J1574" s="14" t="s">
        <v>15964</v>
      </c>
      <c r="K1574" s="14" t="s">
        <v>36988</v>
      </c>
      <c r="L1574" s="152" t="s">
        <v>15296</v>
      </c>
      <c r="M1574" s="14" t="s">
        <v>36989</v>
      </c>
      <c r="N1574" s="54" t="s">
        <v>36990</v>
      </c>
      <c r="O1574" s="130"/>
      <c r="P1574" s="16"/>
      <c r="Q1574" s="14">
        <v>1372243.0</v>
      </c>
      <c r="R1574" s="95"/>
      <c r="S1574" s="154"/>
      <c r="T1574" s="84"/>
      <c r="U1574" s="84"/>
      <c r="V1574" s="84"/>
      <c r="W1574" s="84"/>
      <c r="X1574" s="84"/>
      <c r="Y1574" s="84"/>
      <c r="Z1574" s="84"/>
      <c r="AA1574" s="84"/>
      <c r="AB1574" s="84"/>
      <c r="AC1574" s="84"/>
    </row>
    <row r="1575" ht="15.75" customHeight="1">
      <c r="A1575" s="14" t="s">
        <v>17</v>
      </c>
      <c r="B1575" s="14">
        <v>2004.0</v>
      </c>
      <c r="C1575" s="14" t="s">
        <v>15298</v>
      </c>
      <c r="D1575" s="14" t="s">
        <v>15299</v>
      </c>
      <c r="E1575" s="150" t="str">
        <f t="shared" si="14"/>
        <v>http://dx.doi.org/10.1109/VISUAL.2004.77</v>
      </c>
      <c r="F1575" s="14">
        <v>567.0</v>
      </c>
      <c r="G1575" s="14">
        <v>568.0</v>
      </c>
      <c r="H1575" s="159" t="s">
        <v>30659</v>
      </c>
      <c r="I1575" s="14" t="s">
        <v>21</v>
      </c>
      <c r="J1575" s="14" t="s">
        <v>15966</v>
      </c>
      <c r="K1575" s="14" t="s">
        <v>36994</v>
      </c>
      <c r="L1575" s="152" t="s">
        <v>14824</v>
      </c>
      <c r="M1575" s="14" t="s">
        <v>36995</v>
      </c>
      <c r="N1575" s="54" t="s">
        <v>36997</v>
      </c>
      <c r="O1575" s="130"/>
      <c r="P1575" s="16"/>
      <c r="Q1575" s="14">
        <v>1372244.0</v>
      </c>
      <c r="R1575" s="95"/>
      <c r="S1575" s="154"/>
      <c r="T1575" s="84"/>
      <c r="U1575" s="84"/>
      <c r="V1575" s="84"/>
      <c r="W1575" s="84"/>
      <c r="X1575" s="84"/>
      <c r="Y1575" s="84"/>
      <c r="Z1575" s="84"/>
      <c r="AA1575" s="84"/>
      <c r="AB1575" s="84"/>
      <c r="AC1575" s="84"/>
    </row>
    <row r="1576" ht="15.75" customHeight="1">
      <c r="A1576" s="14" t="s">
        <v>17</v>
      </c>
      <c r="B1576" s="14">
        <v>2004.0</v>
      </c>
      <c r="C1576" s="14" t="s">
        <v>15721</v>
      </c>
      <c r="D1576" s="14" t="s">
        <v>15722</v>
      </c>
      <c r="E1576" s="150" t="str">
        <f t="shared" si="14"/>
        <v>http://dx.doi.org/10.1109/VISUAL.2004.78</v>
      </c>
      <c r="F1576" s="14">
        <v>569.0</v>
      </c>
      <c r="G1576" s="14">
        <v>571.0</v>
      </c>
      <c r="H1576" s="159" t="s">
        <v>30659</v>
      </c>
      <c r="I1576" s="14" t="s">
        <v>21</v>
      </c>
      <c r="J1576" s="14" t="s">
        <v>15968</v>
      </c>
      <c r="K1576" s="14" t="s">
        <v>37001</v>
      </c>
      <c r="L1576" s="152" t="s">
        <v>15732</v>
      </c>
      <c r="M1576" s="14" t="s">
        <v>37002</v>
      </c>
      <c r="N1576" s="54" t="s">
        <v>37003</v>
      </c>
      <c r="O1576" s="130"/>
      <c r="P1576" s="16"/>
      <c r="Q1576" s="14">
        <v>1372245.0</v>
      </c>
      <c r="R1576" s="95"/>
      <c r="S1576" s="154"/>
      <c r="T1576" s="84"/>
      <c r="U1576" s="84"/>
      <c r="V1576" s="84"/>
      <c r="W1576" s="84"/>
      <c r="X1576" s="84"/>
      <c r="Y1576" s="84"/>
      <c r="Z1576" s="84"/>
      <c r="AA1576" s="84"/>
      <c r="AB1576" s="84"/>
      <c r="AC1576" s="84"/>
    </row>
    <row r="1577" ht="15.75" customHeight="1">
      <c r="A1577" s="14" t="s">
        <v>17</v>
      </c>
      <c r="B1577" s="14">
        <v>2004.0</v>
      </c>
      <c r="C1577" s="14" t="s">
        <v>15733</v>
      </c>
      <c r="D1577" s="14" t="s">
        <v>15734</v>
      </c>
      <c r="E1577" s="150" t="str">
        <f t="shared" si="14"/>
        <v>http://dx.doi.org/10.1109/VISUAL.2004.79</v>
      </c>
      <c r="F1577" s="14">
        <v>573.0</v>
      </c>
      <c r="G1577" s="14">
        <v>575.0</v>
      </c>
      <c r="H1577" s="159" t="s">
        <v>30659</v>
      </c>
      <c r="I1577" s="14" t="s">
        <v>21</v>
      </c>
      <c r="J1577" s="14" t="s">
        <v>15970</v>
      </c>
      <c r="K1577" s="14" t="s">
        <v>37006</v>
      </c>
      <c r="L1577" s="152" t="s">
        <v>15741</v>
      </c>
      <c r="M1577" s="14" t="s">
        <v>37008</v>
      </c>
      <c r="N1577" s="54" t="s">
        <v>37009</v>
      </c>
      <c r="O1577" s="130"/>
      <c r="P1577" s="16"/>
      <c r="Q1577" s="14">
        <v>1372246.0</v>
      </c>
      <c r="R1577" s="95"/>
      <c r="S1577" s="154"/>
      <c r="T1577" s="84"/>
      <c r="U1577" s="84"/>
      <c r="V1577" s="84"/>
      <c r="W1577" s="84"/>
      <c r="X1577" s="84"/>
      <c r="Y1577" s="84"/>
      <c r="Z1577" s="84"/>
      <c r="AA1577" s="84"/>
      <c r="AB1577" s="84"/>
      <c r="AC1577" s="84"/>
    </row>
    <row r="1578" ht="15.75" customHeight="1">
      <c r="A1578" s="14" t="s">
        <v>17</v>
      </c>
      <c r="B1578" s="14">
        <v>2004.0</v>
      </c>
      <c r="C1578" s="14" t="s">
        <v>15742</v>
      </c>
      <c r="D1578" s="14" t="s">
        <v>15743</v>
      </c>
      <c r="E1578" s="150" t="str">
        <f t="shared" si="14"/>
        <v>http://dx.doi.org/10.1109/VISUAL.2004.80</v>
      </c>
      <c r="F1578" s="14">
        <v>123.0</v>
      </c>
      <c r="G1578" s="14">
        <v>130.0</v>
      </c>
      <c r="H1578" s="151"/>
      <c r="I1578" s="14" t="s">
        <v>28</v>
      </c>
      <c r="J1578" s="14" t="s">
        <v>15974</v>
      </c>
      <c r="K1578" s="14" t="s">
        <v>37013</v>
      </c>
      <c r="L1578" s="152" t="s">
        <v>15746</v>
      </c>
      <c r="M1578" s="14" t="s">
        <v>37015</v>
      </c>
      <c r="N1578" s="54" t="s">
        <v>37016</v>
      </c>
      <c r="O1578" s="130" t="s">
        <v>15747</v>
      </c>
      <c r="P1578" s="153" t="s">
        <v>15748</v>
      </c>
      <c r="Q1578" s="14">
        <v>1372188.0</v>
      </c>
      <c r="R1578" s="95"/>
      <c r="S1578" s="154" t="s">
        <v>37017</v>
      </c>
      <c r="T1578" s="84"/>
      <c r="U1578" s="84"/>
      <c r="V1578" s="84"/>
      <c r="W1578" s="84"/>
      <c r="X1578" s="84"/>
      <c r="Y1578" s="84"/>
      <c r="Z1578" s="84"/>
      <c r="AA1578" s="84"/>
      <c r="AB1578" s="84"/>
      <c r="AC1578" s="84"/>
    </row>
    <row r="1579" ht="15.75" customHeight="1">
      <c r="A1579" s="14" t="s">
        <v>17</v>
      </c>
      <c r="B1579" s="14">
        <v>2004.0</v>
      </c>
      <c r="C1579" s="14" t="s">
        <v>15749</v>
      </c>
      <c r="D1579" s="14" t="s">
        <v>15750</v>
      </c>
      <c r="E1579" s="150" t="str">
        <f t="shared" si="14"/>
        <v>http://dx.doi.org/10.1109/VISUAL.2004.81</v>
      </c>
      <c r="F1579" s="14">
        <v>425.0</v>
      </c>
      <c r="G1579" s="14">
        <v>432.0</v>
      </c>
      <c r="H1579" s="151"/>
      <c r="I1579" s="14" t="s">
        <v>28</v>
      </c>
      <c r="J1579" s="14" t="s">
        <v>15982</v>
      </c>
      <c r="K1579" s="14" t="s">
        <v>37021</v>
      </c>
      <c r="L1579" s="152" t="s">
        <v>15758</v>
      </c>
      <c r="M1579" s="14" t="s">
        <v>37022</v>
      </c>
      <c r="N1579" s="54" t="s">
        <v>37021</v>
      </c>
      <c r="O1579" s="130" t="s">
        <v>15759</v>
      </c>
      <c r="P1579" s="153" t="s">
        <v>15760</v>
      </c>
      <c r="Q1579" s="14">
        <v>1372226.0</v>
      </c>
      <c r="R1579" s="95"/>
      <c r="S1579" s="154" t="s">
        <v>37024</v>
      </c>
      <c r="T1579" s="84"/>
      <c r="U1579" s="84"/>
      <c r="V1579" s="84"/>
      <c r="W1579" s="84"/>
      <c r="X1579" s="84"/>
      <c r="Y1579" s="84"/>
      <c r="Z1579" s="84"/>
      <c r="AA1579" s="84"/>
      <c r="AB1579" s="84"/>
      <c r="AC1579" s="84"/>
    </row>
    <row r="1580" ht="15.75" customHeight="1">
      <c r="A1580" s="14" t="s">
        <v>17</v>
      </c>
      <c r="B1580" s="14">
        <v>2004.0</v>
      </c>
      <c r="C1580" s="14" t="s">
        <v>15761</v>
      </c>
      <c r="D1580" s="14" t="s">
        <v>15762</v>
      </c>
      <c r="E1580" s="150" t="str">
        <f t="shared" si="14"/>
        <v>http://dx.doi.org/10.1109/VISUAL.2004.82</v>
      </c>
      <c r="F1580" s="14">
        <v>473.0</v>
      </c>
      <c r="G1580" s="14">
        <v>480.0</v>
      </c>
      <c r="H1580" s="151"/>
      <c r="I1580" s="14" t="s">
        <v>28</v>
      </c>
      <c r="J1580" s="14" t="s">
        <v>15988</v>
      </c>
      <c r="K1580" s="14" t="s">
        <v>37028</v>
      </c>
      <c r="L1580" s="152" t="s">
        <v>15767</v>
      </c>
      <c r="M1580" s="14" t="s">
        <v>37029</v>
      </c>
      <c r="N1580" s="54" t="s">
        <v>37030</v>
      </c>
      <c r="O1580" s="130" t="s">
        <v>2170</v>
      </c>
      <c r="P1580" s="153" t="s">
        <v>15768</v>
      </c>
      <c r="Q1580" s="14">
        <v>1372232.0</v>
      </c>
      <c r="R1580" s="95"/>
      <c r="S1580" s="154">
        <v>528685.0</v>
      </c>
      <c r="T1580" s="84"/>
      <c r="U1580" s="84"/>
      <c r="V1580" s="84"/>
      <c r="W1580" s="84"/>
      <c r="X1580" s="84"/>
      <c r="Y1580" s="84"/>
      <c r="Z1580" s="84"/>
      <c r="AA1580" s="84"/>
      <c r="AB1580" s="84"/>
      <c r="AC1580" s="84"/>
    </row>
    <row r="1581" ht="15.75" customHeight="1">
      <c r="A1581" s="14" t="s">
        <v>17</v>
      </c>
      <c r="B1581" s="14">
        <v>2004.0</v>
      </c>
      <c r="C1581" s="14" t="s">
        <v>15769</v>
      </c>
      <c r="D1581" s="14" t="s">
        <v>15770</v>
      </c>
      <c r="E1581" s="150" t="str">
        <f t="shared" si="14"/>
        <v>http://dx.doi.org/10.1109/VISUAL.2004.85</v>
      </c>
      <c r="F1581" s="14">
        <v>27.0</v>
      </c>
      <c r="G1581" s="14">
        <v>34.0</v>
      </c>
      <c r="H1581" s="151"/>
      <c r="I1581" s="14" t="s">
        <v>28</v>
      </c>
      <c r="J1581" s="14" t="s">
        <v>15994</v>
      </c>
      <c r="K1581" s="14" t="s">
        <v>37033</v>
      </c>
      <c r="L1581" s="152" t="s">
        <v>15776</v>
      </c>
      <c r="M1581" s="14" t="s">
        <v>37034</v>
      </c>
      <c r="N1581" s="54" t="s">
        <v>37033</v>
      </c>
      <c r="O1581" s="130" t="s">
        <v>15777</v>
      </c>
      <c r="P1581" s="153" t="s">
        <v>15778</v>
      </c>
      <c r="Q1581" s="14">
        <v>1372176.0</v>
      </c>
      <c r="R1581" s="95"/>
      <c r="S1581" s="154" t="s">
        <v>37035</v>
      </c>
      <c r="T1581" s="84"/>
      <c r="U1581" s="84"/>
      <c r="V1581" s="84"/>
      <c r="W1581" s="84"/>
      <c r="X1581" s="84"/>
      <c r="Y1581" s="84"/>
      <c r="Z1581" s="84"/>
      <c r="AA1581" s="84"/>
      <c r="AB1581" s="84"/>
      <c r="AC1581" s="84"/>
    </row>
    <row r="1582" ht="15.75" customHeight="1">
      <c r="A1582" s="14" t="s">
        <v>17</v>
      </c>
      <c r="B1582" s="14">
        <v>2004.0</v>
      </c>
      <c r="C1582" s="14" t="s">
        <v>15779</v>
      </c>
      <c r="D1582" s="14" t="s">
        <v>15780</v>
      </c>
      <c r="E1582" s="150" t="str">
        <f t="shared" si="14"/>
        <v>http://dx.doi.org/10.1109/VISUAL.2004.86</v>
      </c>
      <c r="F1582" s="14">
        <v>131.0</v>
      </c>
      <c r="G1582" s="14">
        <v>138.0</v>
      </c>
      <c r="H1582" s="151"/>
      <c r="I1582" s="14" t="s">
        <v>28</v>
      </c>
      <c r="J1582" s="14" t="s">
        <v>16003</v>
      </c>
      <c r="K1582" s="14" t="s">
        <v>37036</v>
      </c>
      <c r="L1582" s="152" t="s">
        <v>3047</v>
      </c>
      <c r="M1582" s="14" t="s">
        <v>37037</v>
      </c>
      <c r="N1582" s="54" t="s">
        <v>37038</v>
      </c>
      <c r="O1582" s="130" t="s">
        <v>15787</v>
      </c>
      <c r="P1582" s="153" t="s">
        <v>15788</v>
      </c>
      <c r="Q1582" s="14">
        <v>1372189.0</v>
      </c>
      <c r="R1582" s="95"/>
      <c r="S1582" s="154" t="s">
        <v>37039</v>
      </c>
      <c r="T1582" s="84"/>
      <c r="U1582" s="84"/>
      <c r="V1582" s="84"/>
      <c r="W1582" s="84"/>
      <c r="X1582" s="84"/>
      <c r="Y1582" s="84"/>
      <c r="Z1582" s="84"/>
      <c r="AA1582" s="84"/>
      <c r="AB1582" s="84"/>
      <c r="AC1582" s="84"/>
    </row>
    <row r="1583" ht="15.75" customHeight="1">
      <c r="A1583" s="14" t="s">
        <v>17</v>
      </c>
      <c r="B1583" s="14">
        <v>2004.0</v>
      </c>
      <c r="C1583" s="14" t="s">
        <v>15789</v>
      </c>
      <c r="D1583" s="14" t="s">
        <v>15790</v>
      </c>
      <c r="E1583" s="150" t="str">
        <f t="shared" si="14"/>
        <v>http://dx.doi.org/10.1109/VISUAL.2004.87</v>
      </c>
      <c r="F1583" s="14">
        <v>203.0</v>
      </c>
      <c r="G1583" s="14">
        <v>210.0</v>
      </c>
      <c r="H1583" s="151"/>
      <c r="I1583" s="14" t="s">
        <v>28</v>
      </c>
      <c r="J1583" s="14" t="s">
        <v>16005</v>
      </c>
      <c r="K1583" s="14" t="s">
        <v>9640</v>
      </c>
      <c r="L1583" s="152" t="s">
        <v>15794</v>
      </c>
      <c r="M1583" s="14">
        <v>3.72837541E10</v>
      </c>
      <c r="N1583" s="54" t="s">
        <v>9640</v>
      </c>
      <c r="O1583" s="130" t="s">
        <v>15795</v>
      </c>
      <c r="P1583" s="153" t="s">
        <v>15796</v>
      </c>
      <c r="Q1583" s="14">
        <v>1372198.0</v>
      </c>
      <c r="R1583" s="95"/>
      <c r="S1583" s="154" t="s">
        <v>37040</v>
      </c>
      <c r="T1583" s="84"/>
      <c r="U1583" s="84"/>
      <c r="V1583" s="84"/>
      <c r="W1583" s="84"/>
      <c r="X1583" s="84"/>
      <c r="Y1583" s="84"/>
      <c r="Z1583" s="84"/>
      <c r="AA1583" s="84"/>
      <c r="AB1583" s="84"/>
      <c r="AC1583" s="84"/>
    </row>
    <row r="1584" ht="15.75" customHeight="1">
      <c r="A1584" s="14" t="s">
        <v>17</v>
      </c>
      <c r="B1584" s="14">
        <v>2004.0</v>
      </c>
      <c r="C1584" s="14" t="s">
        <v>15798</v>
      </c>
      <c r="D1584" s="14" t="s">
        <v>15800</v>
      </c>
      <c r="E1584" s="150" t="str">
        <f t="shared" si="14"/>
        <v>http://dx.doi.org/10.1109/VISUAL.2004.88</v>
      </c>
      <c r="F1584" s="14">
        <v>545.0</v>
      </c>
      <c r="G1584" s="14">
        <v>552.0</v>
      </c>
      <c r="H1584" s="151"/>
      <c r="I1584" s="14" t="s">
        <v>28</v>
      </c>
      <c r="J1584" s="14" t="s">
        <v>37041</v>
      </c>
      <c r="K1584" s="14" t="s">
        <v>37042</v>
      </c>
      <c r="L1584" s="152" t="s">
        <v>15807</v>
      </c>
      <c r="M1584" s="14" t="s">
        <v>37043</v>
      </c>
      <c r="N1584" s="54" t="s">
        <v>37042</v>
      </c>
      <c r="O1584" s="130" t="s">
        <v>15808</v>
      </c>
      <c r="P1584" s="153" t="s">
        <v>15809</v>
      </c>
      <c r="Q1584" s="14">
        <v>1372241.0</v>
      </c>
      <c r="R1584" s="95"/>
      <c r="S1584" s="154" t="s">
        <v>37044</v>
      </c>
      <c r="T1584" s="84"/>
      <c r="U1584" s="84"/>
      <c r="V1584" s="84"/>
      <c r="W1584" s="84"/>
      <c r="X1584" s="84"/>
      <c r="Y1584" s="84"/>
      <c r="Z1584" s="84"/>
      <c r="AA1584" s="84"/>
      <c r="AB1584" s="84"/>
      <c r="AC1584" s="84"/>
    </row>
    <row r="1585" ht="15.75" customHeight="1">
      <c r="A1585" s="14" t="s">
        <v>17</v>
      </c>
      <c r="B1585" s="14">
        <v>2004.0</v>
      </c>
      <c r="C1585" s="14" t="s">
        <v>15810</v>
      </c>
      <c r="D1585" s="14" t="s">
        <v>15811</v>
      </c>
      <c r="E1585" s="150" t="str">
        <f t="shared" si="14"/>
        <v>http://dx.doi.org/10.1109/VISUAL.2004.89</v>
      </c>
      <c r="F1585" s="14">
        <v>34.0</v>
      </c>
      <c r="G1585" s="14">
        <v>34.0</v>
      </c>
      <c r="H1585" s="159" t="s">
        <v>30659</v>
      </c>
      <c r="I1585" s="14" t="s">
        <v>21</v>
      </c>
      <c r="J1585" s="14" t="s">
        <v>37045</v>
      </c>
      <c r="K1585" s="14" t="s">
        <v>37046</v>
      </c>
      <c r="L1585" s="152" t="s">
        <v>14924</v>
      </c>
      <c r="M1585" s="14" t="s">
        <v>37047</v>
      </c>
      <c r="N1585" s="54" t="s">
        <v>37046</v>
      </c>
      <c r="O1585" s="130"/>
      <c r="P1585" s="16"/>
      <c r="Q1585" s="14">
        <v>1372283.0</v>
      </c>
      <c r="R1585" s="95"/>
      <c r="S1585" s="154"/>
      <c r="T1585" s="84"/>
      <c r="U1585" s="84"/>
      <c r="V1585" s="84"/>
      <c r="W1585" s="84"/>
      <c r="X1585" s="84"/>
      <c r="Y1585" s="84"/>
      <c r="Z1585" s="84"/>
      <c r="AA1585" s="84"/>
      <c r="AB1585" s="84"/>
      <c r="AC1585" s="84"/>
    </row>
    <row r="1586" ht="15.75" customHeight="1">
      <c r="A1586" s="14" t="s">
        <v>17</v>
      </c>
      <c r="B1586" s="14">
        <v>2004.0</v>
      </c>
      <c r="C1586" s="14" t="s">
        <v>15819</v>
      </c>
      <c r="D1586" s="14" t="s">
        <v>15820</v>
      </c>
      <c r="E1586" s="150" t="str">
        <f t="shared" si="14"/>
        <v>http://dx.doi.org/10.1109/VISUAL.2004.90</v>
      </c>
      <c r="F1586" s="14">
        <v>99.0</v>
      </c>
      <c r="G1586" s="14">
        <v>106.0</v>
      </c>
      <c r="H1586" s="151"/>
      <c r="I1586" s="14" t="s">
        <v>28</v>
      </c>
      <c r="J1586" s="14" t="s">
        <v>16026</v>
      </c>
      <c r="K1586" s="14" t="s">
        <v>37048</v>
      </c>
      <c r="L1586" s="152" t="s">
        <v>15823</v>
      </c>
      <c r="M1586" s="14" t="s">
        <v>37049</v>
      </c>
      <c r="N1586" s="54" t="s">
        <v>37048</v>
      </c>
      <c r="O1586" s="130" t="s">
        <v>15824</v>
      </c>
      <c r="P1586" s="153" t="s">
        <v>15825</v>
      </c>
      <c r="Q1586" s="14">
        <v>1372185.0</v>
      </c>
      <c r="R1586" s="95"/>
      <c r="S1586" s="154" t="s">
        <v>37050</v>
      </c>
      <c r="T1586" s="84"/>
      <c r="U1586" s="84"/>
      <c r="V1586" s="84"/>
      <c r="W1586" s="84"/>
      <c r="X1586" s="84"/>
      <c r="Y1586" s="84"/>
      <c r="Z1586" s="84"/>
      <c r="AA1586" s="84"/>
      <c r="AB1586" s="84"/>
      <c r="AC1586" s="84"/>
    </row>
    <row r="1587" ht="15.75" customHeight="1">
      <c r="A1587" s="14" t="s">
        <v>17</v>
      </c>
      <c r="B1587" s="14">
        <v>2004.0</v>
      </c>
      <c r="C1587" s="14" t="s">
        <v>15826</v>
      </c>
      <c r="D1587" s="14" t="s">
        <v>15827</v>
      </c>
      <c r="E1587" s="150" t="str">
        <f t="shared" si="14"/>
        <v>http://dx.doi.org/10.1109/VISUAL.2004.91</v>
      </c>
      <c r="F1587" s="14">
        <v>409.0</v>
      </c>
      <c r="G1587" s="14">
        <v>416.0</v>
      </c>
      <c r="H1587" s="151"/>
      <c r="I1587" s="14" t="s">
        <v>28</v>
      </c>
      <c r="J1587" s="14" t="s">
        <v>16034</v>
      </c>
      <c r="K1587" s="14" t="s">
        <v>37051</v>
      </c>
      <c r="L1587" s="152" t="s">
        <v>15829</v>
      </c>
      <c r="M1587" s="14" t="s">
        <v>37052</v>
      </c>
      <c r="N1587" s="54" t="s">
        <v>37051</v>
      </c>
      <c r="O1587" s="130"/>
      <c r="P1587" s="153" t="s">
        <v>15830</v>
      </c>
      <c r="Q1587" s="14">
        <v>1372224.0</v>
      </c>
      <c r="R1587" s="95"/>
      <c r="S1587" s="154"/>
      <c r="T1587" s="84"/>
      <c r="U1587" s="84"/>
      <c r="V1587" s="84"/>
      <c r="W1587" s="84"/>
      <c r="X1587" s="84"/>
      <c r="Y1587" s="84"/>
      <c r="Z1587" s="84"/>
      <c r="AA1587" s="84"/>
      <c r="AB1587" s="84"/>
      <c r="AC1587" s="84"/>
    </row>
    <row r="1588" ht="15.75" customHeight="1">
      <c r="A1588" s="14" t="s">
        <v>17</v>
      </c>
      <c r="B1588" s="14">
        <v>2004.0</v>
      </c>
      <c r="C1588" s="14" t="s">
        <v>15831</v>
      </c>
      <c r="D1588" s="14" t="s">
        <v>15832</v>
      </c>
      <c r="E1588" s="150" t="str">
        <f t="shared" si="14"/>
        <v>http://dx.doi.org/10.1109/VISUAL.2004.94</v>
      </c>
      <c r="F1588" s="14">
        <v>251.0</v>
      </c>
      <c r="G1588" s="14">
        <v>258.0</v>
      </c>
      <c r="H1588" s="151"/>
      <c r="I1588" s="14" t="s">
        <v>28</v>
      </c>
      <c r="J1588" s="14" t="s">
        <v>16044</v>
      </c>
      <c r="K1588" s="14" t="s">
        <v>37054</v>
      </c>
      <c r="L1588" s="152" t="s">
        <v>12380</v>
      </c>
      <c r="M1588" s="14" t="s">
        <v>37055</v>
      </c>
      <c r="N1588" s="54" t="s">
        <v>37054</v>
      </c>
      <c r="O1588" s="130"/>
      <c r="P1588" s="153" t="s">
        <v>15836</v>
      </c>
      <c r="Q1588" s="14">
        <v>1372204.0</v>
      </c>
      <c r="R1588" s="95"/>
      <c r="S1588" s="154"/>
      <c r="T1588" s="84"/>
      <c r="U1588" s="84"/>
      <c r="V1588" s="84"/>
      <c r="W1588" s="84"/>
      <c r="X1588" s="84"/>
      <c r="Y1588" s="84"/>
      <c r="Z1588" s="84"/>
      <c r="AA1588" s="84"/>
      <c r="AB1588" s="84"/>
      <c r="AC1588" s="84"/>
    </row>
    <row r="1589" ht="15.75" customHeight="1">
      <c r="A1589" s="14" t="s">
        <v>17</v>
      </c>
      <c r="B1589" s="14">
        <v>2004.0</v>
      </c>
      <c r="C1589" s="14" t="s">
        <v>15837</v>
      </c>
      <c r="D1589" s="14" t="s">
        <v>15838</v>
      </c>
      <c r="E1589" s="150" t="str">
        <f t="shared" si="14"/>
        <v>http://dx.doi.org/10.1109/VISUAL.2004.95</v>
      </c>
      <c r="F1589" s="14">
        <v>171.0</v>
      </c>
      <c r="G1589" s="14">
        <v>178.0</v>
      </c>
      <c r="H1589" s="151"/>
      <c r="I1589" s="14" t="s">
        <v>28</v>
      </c>
      <c r="J1589" s="14" t="s">
        <v>16053</v>
      </c>
      <c r="K1589" s="14" t="s">
        <v>37057</v>
      </c>
      <c r="L1589" s="152" t="s">
        <v>15843</v>
      </c>
      <c r="M1589" s="14" t="s">
        <v>37058</v>
      </c>
      <c r="N1589" s="54" t="s">
        <v>37059</v>
      </c>
      <c r="O1589" s="130" t="s">
        <v>15844</v>
      </c>
      <c r="P1589" s="153" t="s">
        <v>15845</v>
      </c>
      <c r="Q1589" s="14">
        <v>1372194.0</v>
      </c>
      <c r="R1589" s="95"/>
      <c r="S1589" s="154" t="s">
        <v>37061</v>
      </c>
      <c r="T1589" s="84"/>
      <c r="U1589" s="84"/>
      <c r="V1589" s="84"/>
      <c r="W1589" s="84"/>
      <c r="X1589" s="84"/>
      <c r="Y1589" s="84"/>
      <c r="Z1589" s="84"/>
      <c r="AA1589" s="84"/>
      <c r="AB1589" s="84"/>
      <c r="AC1589" s="84"/>
    </row>
    <row r="1590" ht="15.75" customHeight="1">
      <c r="A1590" s="14" t="s">
        <v>17</v>
      </c>
      <c r="B1590" s="14">
        <v>2004.0</v>
      </c>
      <c r="C1590" s="14" t="s">
        <v>14795</v>
      </c>
      <c r="D1590" s="14" t="s">
        <v>14796</v>
      </c>
      <c r="E1590" s="150" t="str">
        <f t="shared" si="14"/>
        <v>http://dx.doi.org/10.1109/VISUAL.2004.12</v>
      </c>
      <c r="F1590" s="14" t="s">
        <v>14798</v>
      </c>
      <c r="G1590" s="14"/>
      <c r="H1590" s="159" t="s">
        <v>30659</v>
      </c>
      <c r="I1590" s="14" t="s">
        <v>21</v>
      </c>
      <c r="J1590" s="14" t="s">
        <v>15622</v>
      </c>
      <c r="K1590" s="14" t="s">
        <v>8046</v>
      </c>
      <c r="L1590" s="152" t="s">
        <v>14799</v>
      </c>
      <c r="M1590" s="14"/>
      <c r="N1590" s="54" t="s">
        <v>8046</v>
      </c>
      <c r="O1590" s="130"/>
      <c r="P1590" s="16"/>
      <c r="Q1590" s="14">
        <v>1372172.0</v>
      </c>
      <c r="R1590" s="95"/>
      <c r="S1590" s="154"/>
      <c r="T1590" s="84"/>
      <c r="U1590" s="84"/>
      <c r="V1590" s="84"/>
      <c r="W1590" s="84"/>
      <c r="X1590" s="84"/>
      <c r="Y1590" s="84"/>
      <c r="Z1590" s="84"/>
      <c r="AA1590" s="84"/>
      <c r="AB1590" s="84"/>
      <c r="AC1590" s="84"/>
    </row>
    <row r="1591" ht="15.75" customHeight="1">
      <c r="A1591" s="14" t="s">
        <v>17</v>
      </c>
      <c r="B1591" s="14">
        <v>2004.0</v>
      </c>
      <c r="C1591" s="14" t="s">
        <v>15846</v>
      </c>
      <c r="D1591" s="14" t="s">
        <v>15847</v>
      </c>
      <c r="E1591" s="150" t="str">
        <f t="shared" si="14"/>
        <v>http://dx.doi.org/10.1109/VISUAL.2004.96</v>
      </c>
      <c r="F1591" s="14">
        <v>497.0</v>
      </c>
      <c r="G1591" s="14">
        <v>504.0</v>
      </c>
      <c r="H1591" s="151"/>
      <c r="I1591" s="14" t="s">
        <v>28</v>
      </c>
      <c r="J1591" s="14" t="s">
        <v>16059</v>
      </c>
      <c r="K1591" s="14" t="s">
        <v>37067</v>
      </c>
      <c r="L1591" s="152" t="s">
        <v>7837</v>
      </c>
      <c r="M1591" s="14" t="s">
        <v>37068</v>
      </c>
      <c r="N1591" s="54" t="s">
        <v>37069</v>
      </c>
      <c r="O1591" s="130" t="s">
        <v>15853</v>
      </c>
      <c r="P1591" s="153" t="s">
        <v>15854</v>
      </c>
      <c r="Q1591" s="14">
        <v>1372235.0</v>
      </c>
      <c r="R1591" s="95"/>
      <c r="S1591" s="154" t="s">
        <v>37071</v>
      </c>
      <c r="T1591" s="84"/>
      <c r="U1591" s="84"/>
      <c r="V1591" s="84"/>
      <c r="W1591" s="84"/>
      <c r="X1591" s="84"/>
      <c r="Y1591" s="84"/>
      <c r="Z1591" s="84"/>
      <c r="AA1591" s="84"/>
      <c r="AB1591" s="84"/>
      <c r="AC1591" s="84"/>
    </row>
    <row r="1592" ht="15.75" customHeight="1">
      <c r="A1592" s="14" t="s">
        <v>17</v>
      </c>
      <c r="B1592" s="14">
        <v>2004.0</v>
      </c>
      <c r="C1592" s="14" t="s">
        <v>15856</v>
      </c>
      <c r="D1592" s="14" t="s">
        <v>15857</v>
      </c>
      <c r="E1592" s="150" t="str">
        <f t="shared" si="14"/>
        <v>http://dx.doi.org/10.1109/VISUAL.2004.98</v>
      </c>
      <c r="F1592" s="14">
        <v>513.0</v>
      </c>
      <c r="G1592" s="14">
        <v>520.0</v>
      </c>
      <c r="H1592" s="151"/>
      <c r="I1592" s="14" t="s">
        <v>28</v>
      </c>
      <c r="J1592" s="14" t="s">
        <v>16064</v>
      </c>
      <c r="K1592" s="14" t="s">
        <v>37072</v>
      </c>
      <c r="L1592" s="152" t="s">
        <v>15865</v>
      </c>
      <c r="M1592" s="14" t="s">
        <v>37073</v>
      </c>
      <c r="N1592" s="54" t="s">
        <v>37072</v>
      </c>
      <c r="O1592" s="130" t="s">
        <v>15866</v>
      </c>
      <c r="P1592" s="153" t="s">
        <v>15867</v>
      </c>
      <c r="Q1592" s="14">
        <v>1372237.0</v>
      </c>
      <c r="R1592" s="95"/>
      <c r="S1592" s="154" t="s">
        <v>37074</v>
      </c>
      <c r="T1592" s="84"/>
      <c r="U1592" s="84"/>
      <c r="V1592" s="84"/>
      <c r="W1592" s="84"/>
      <c r="X1592" s="84"/>
      <c r="Y1592" s="84"/>
      <c r="Z1592" s="84"/>
      <c r="AA1592" s="84"/>
      <c r="AB1592" s="84"/>
      <c r="AC1592" s="84"/>
    </row>
    <row r="1593" ht="15.75" customHeight="1">
      <c r="A1593" s="14" t="s">
        <v>17</v>
      </c>
      <c r="B1593" s="14">
        <v>2004.0</v>
      </c>
      <c r="C1593" s="14" t="s">
        <v>15868</v>
      </c>
      <c r="D1593" s="14" t="s">
        <v>15869</v>
      </c>
      <c r="E1593" s="150" t="str">
        <f t="shared" si="14"/>
        <v>http://dx.doi.org/10.1109/VISUAL.2004.99</v>
      </c>
      <c r="F1593" s="14">
        <v>321.0</v>
      </c>
      <c r="G1593" s="14">
        <v>328.0</v>
      </c>
      <c r="H1593" s="151"/>
      <c r="I1593" s="14" t="s">
        <v>28</v>
      </c>
      <c r="J1593" s="14" t="s">
        <v>16076</v>
      </c>
      <c r="K1593" s="14" t="s">
        <v>37078</v>
      </c>
      <c r="L1593" s="152" t="s">
        <v>9852</v>
      </c>
      <c r="M1593" s="14" t="s">
        <v>37079</v>
      </c>
      <c r="N1593" s="54" t="s">
        <v>37078</v>
      </c>
      <c r="O1593" s="130" t="s">
        <v>15877</v>
      </c>
      <c r="P1593" s="153" t="s">
        <v>15878</v>
      </c>
      <c r="Q1593" s="14">
        <v>1372213.0</v>
      </c>
      <c r="R1593" s="95"/>
      <c r="S1593" s="154" t="s">
        <v>37081</v>
      </c>
      <c r="T1593" s="84"/>
      <c r="U1593" s="84"/>
      <c r="V1593" s="84"/>
      <c r="W1593" s="84"/>
      <c r="X1593" s="84"/>
      <c r="Y1593" s="84"/>
      <c r="Z1593" s="84"/>
      <c r="AA1593" s="84"/>
      <c r="AB1593" s="84"/>
      <c r="AC1593" s="84"/>
    </row>
    <row r="1594" ht="15.75" customHeight="1">
      <c r="A1594" s="14" t="s">
        <v>17</v>
      </c>
      <c r="B1594" s="14">
        <v>2004.0</v>
      </c>
      <c r="C1594" s="14" t="s">
        <v>14616</v>
      </c>
      <c r="D1594" s="14" t="s">
        <v>14617</v>
      </c>
      <c r="E1594" s="150" t="str">
        <f t="shared" si="14"/>
        <v>http://dx.doi.org/10.1109/VISUAL.2004.101</v>
      </c>
      <c r="F1594" s="14">
        <v>259.0</v>
      </c>
      <c r="G1594" s="14">
        <v>266.0</v>
      </c>
      <c r="H1594" s="151"/>
      <c r="I1594" s="14" t="s">
        <v>28</v>
      </c>
      <c r="J1594" s="14" t="s">
        <v>15573</v>
      </c>
      <c r="K1594" s="14" t="s">
        <v>37084</v>
      </c>
      <c r="L1594" s="152" t="s">
        <v>753</v>
      </c>
      <c r="M1594" s="14" t="s">
        <v>37085</v>
      </c>
      <c r="N1594" s="54" t="s">
        <v>37084</v>
      </c>
      <c r="O1594" s="130" t="s">
        <v>13266</v>
      </c>
      <c r="P1594" s="153" t="s">
        <v>14687</v>
      </c>
      <c r="Q1594" s="14">
        <v>1372205.0</v>
      </c>
      <c r="R1594" s="95"/>
      <c r="S1594" s="154">
        <v>1250359.0</v>
      </c>
      <c r="T1594" s="84"/>
      <c r="U1594" s="84"/>
      <c r="V1594" s="84"/>
      <c r="W1594" s="84"/>
      <c r="X1594" s="84"/>
      <c r="Y1594" s="84"/>
      <c r="Z1594" s="84"/>
      <c r="AA1594" s="84"/>
      <c r="AB1594" s="84"/>
      <c r="AC1594" s="84"/>
    </row>
    <row r="1595" ht="15.75" customHeight="1">
      <c r="A1595" s="14" t="s">
        <v>17</v>
      </c>
      <c r="B1595" s="14">
        <v>2004.0</v>
      </c>
      <c r="C1595" s="14" t="s">
        <v>14688</v>
      </c>
      <c r="D1595" s="14" t="s">
        <v>14689</v>
      </c>
      <c r="E1595" s="150" t="str">
        <f t="shared" si="14"/>
        <v>http://dx.doi.org/10.1109/VISUAL.2004.102</v>
      </c>
      <c r="F1595" s="14">
        <v>433.0</v>
      </c>
      <c r="G1595" s="14">
        <v>440.0</v>
      </c>
      <c r="H1595" s="151"/>
      <c r="I1595" s="14" t="s">
        <v>28</v>
      </c>
      <c r="J1595" s="14" t="s">
        <v>15575</v>
      </c>
      <c r="K1595" s="14" t="s">
        <v>37088</v>
      </c>
      <c r="L1595" s="152" t="s">
        <v>14692</v>
      </c>
      <c r="M1595" s="14" t="s">
        <v>37089</v>
      </c>
      <c r="N1595" s="54" t="s">
        <v>37088</v>
      </c>
      <c r="O1595" s="130" t="s">
        <v>14693</v>
      </c>
      <c r="P1595" s="153" t="s">
        <v>14694</v>
      </c>
      <c r="Q1595" s="14">
        <v>1372227.0</v>
      </c>
      <c r="R1595" s="95"/>
      <c r="S1595" s="154" t="s">
        <v>37090</v>
      </c>
      <c r="T1595" s="84"/>
      <c r="U1595" s="84"/>
      <c r="V1595" s="84"/>
      <c r="W1595" s="84"/>
      <c r="X1595" s="84"/>
      <c r="Y1595" s="84"/>
      <c r="Z1595" s="84"/>
      <c r="AA1595" s="84"/>
      <c r="AB1595" s="84"/>
      <c r="AC1595" s="84"/>
    </row>
    <row r="1596" ht="15.75" customHeight="1">
      <c r="A1596" s="14" t="s">
        <v>17</v>
      </c>
      <c r="B1596" s="14">
        <v>2004.0</v>
      </c>
      <c r="C1596" s="14" t="s">
        <v>14695</v>
      </c>
      <c r="D1596" s="14" t="s">
        <v>14696</v>
      </c>
      <c r="E1596" s="150" t="str">
        <f t="shared" si="14"/>
        <v>http://dx.doi.org/10.1109/VISUAL.2004.103</v>
      </c>
      <c r="F1596" s="14">
        <v>243.0</v>
      </c>
      <c r="G1596" s="14">
        <v>250.0</v>
      </c>
      <c r="H1596" s="151"/>
      <c r="I1596" s="14" t="s">
        <v>28</v>
      </c>
      <c r="J1596" s="14" t="s">
        <v>15578</v>
      </c>
      <c r="K1596" s="14" t="s">
        <v>37094</v>
      </c>
      <c r="L1596" s="152" t="s">
        <v>14698</v>
      </c>
      <c r="M1596" s="14" t="s">
        <v>37095</v>
      </c>
      <c r="N1596" s="54" t="s">
        <v>37096</v>
      </c>
      <c r="O1596" s="130" t="s">
        <v>14699</v>
      </c>
      <c r="P1596" s="153" t="s">
        <v>14700</v>
      </c>
      <c r="Q1596" s="14">
        <v>1372203.0</v>
      </c>
      <c r="R1596" s="95"/>
      <c r="S1596" s="154" t="s">
        <v>37097</v>
      </c>
      <c r="T1596" s="84"/>
      <c r="U1596" s="84"/>
      <c r="V1596" s="84"/>
      <c r="W1596" s="84"/>
      <c r="X1596" s="84"/>
      <c r="Y1596" s="84"/>
      <c r="Z1596" s="84"/>
      <c r="AA1596" s="84"/>
      <c r="AB1596" s="84"/>
      <c r="AC1596" s="84"/>
    </row>
    <row r="1597" ht="15.75" customHeight="1">
      <c r="A1597" s="14" t="s">
        <v>17</v>
      </c>
      <c r="B1597" s="14">
        <v>2004.0</v>
      </c>
      <c r="C1597" s="14" t="s">
        <v>15138</v>
      </c>
      <c r="D1597" s="14" t="s">
        <v>15139</v>
      </c>
      <c r="E1597" s="150" t="str">
        <f t="shared" si="14"/>
        <v>http://dx.doi.org/10.1109/VISUAL.2004.61</v>
      </c>
      <c r="F1597" s="14" t="s">
        <v>15144</v>
      </c>
      <c r="G1597" s="14"/>
      <c r="H1597" s="159" t="s">
        <v>30659</v>
      </c>
      <c r="I1597" s="14" t="s">
        <v>21</v>
      </c>
      <c r="J1597" s="14" t="s">
        <v>15849</v>
      </c>
      <c r="K1597" s="14" t="s">
        <v>7711</v>
      </c>
      <c r="L1597" s="152" t="s">
        <v>15146</v>
      </c>
      <c r="M1597" s="14">
        <v>3.72827368E10</v>
      </c>
      <c r="N1597" s="54" t="s">
        <v>7711</v>
      </c>
      <c r="O1597" s="130"/>
      <c r="P1597" s="16"/>
      <c r="Q1597" s="14">
        <v>1372171.0</v>
      </c>
      <c r="R1597" s="95"/>
      <c r="S1597" s="154"/>
      <c r="T1597" s="84"/>
      <c r="U1597" s="84"/>
      <c r="V1597" s="84"/>
      <c r="W1597" s="84"/>
      <c r="X1597" s="84"/>
      <c r="Y1597" s="84"/>
      <c r="Z1597" s="84"/>
      <c r="AA1597" s="84"/>
      <c r="AB1597" s="84"/>
      <c r="AC1597" s="84"/>
    </row>
    <row r="1598" ht="15.75" customHeight="1">
      <c r="A1598" s="14" t="s">
        <v>17</v>
      </c>
      <c r="B1598" s="14">
        <v>2004.0</v>
      </c>
      <c r="C1598" s="14" t="s">
        <v>14701</v>
      </c>
      <c r="D1598" s="14" t="s">
        <v>14702</v>
      </c>
      <c r="E1598" s="150" t="str">
        <f t="shared" si="14"/>
        <v>http://dx.doi.org/10.1109/VISUAL.2004.104</v>
      </c>
      <c r="F1598" s="14">
        <v>385.0</v>
      </c>
      <c r="G1598" s="14">
        <v>392.0</v>
      </c>
      <c r="H1598" s="151"/>
      <c r="I1598" s="14" t="s">
        <v>28</v>
      </c>
      <c r="J1598" s="14" t="s">
        <v>37101</v>
      </c>
      <c r="K1598" s="14" t="s">
        <v>37102</v>
      </c>
      <c r="L1598" s="152" t="s">
        <v>14705</v>
      </c>
      <c r="M1598" s="14" t="s">
        <v>37103</v>
      </c>
      <c r="N1598" s="54" t="s">
        <v>37102</v>
      </c>
      <c r="O1598" s="130" t="s">
        <v>14706</v>
      </c>
      <c r="P1598" s="153" t="s">
        <v>14707</v>
      </c>
      <c r="Q1598" s="14">
        <v>1372221.0</v>
      </c>
      <c r="R1598" s="95"/>
      <c r="S1598" s="154" t="s">
        <v>37105</v>
      </c>
      <c r="T1598" s="84"/>
      <c r="U1598" s="84"/>
      <c r="V1598" s="84"/>
      <c r="W1598" s="84"/>
      <c r="X1598" s="84"/>
      <c r="Y1598" s="84"/>
      <c r="Z1598" s="84"/>
      <c r="AA1598" s="84"/>
      <c r="AB1598" s="84"/>
      <c r="AC1598" s="84"/>
    </row>
    <row r="1599" ht="15.75" customHeight="1">
      <c r="A1599" s="14" t="s">
        <v>17</v>
      </c>
      <c r="B1599" s="14">
        <v>2004.0</v>
      </c>
      <c r="C1599" s="14" t="s">
        <v>14708</v>
      </c>
      <c r="D1599" s="14" t="s">
        <v>14709</v>
      </c>
      <c r="E1599" s="150" t="str">
        <f t="shared" si="14"/>
        <v>http://dx.doi.org/10.1109/VISUAL.2004.105</v>
      </c>
      <c r="F1599" s="14">
        <v>313.0</v>
      </c>
      <c r="G1599" s="14">
        <v>320.0</v>
      </c>
      <c r="H1599" s="151"/>
      <c r="I1599" s="14" t="s">
        <v>28</v>
      </c>
      <c r="J1599" s="14" t="s">
        <v>15585</v>
      </c>
      <c r="K1599" s="14" t="s">
        <v>35599</v>
      </c>
      <c r="L1599" s="152" t="s">
        <v>3182</v>
      </c>
      <c r="M1599" s="14" t="s">
        <v>35600</v>
      </c>
      <c r="N1599" s="54" t="s">
        <v>35599</v>
      </c>
      <c r="O1599" s="130" t="s">
        <v>14711</v>
      </c>
      <c r="P1599" s="153" t="s">
        <v>14712</v>
      </c>
      <c r="Q1599" s="14">
        <v>1372212.0</v>
      </c>
      <c r="R1599" s="95"/>
      <c r="S1599" s="154" t="s">
        <v>37110</v>
      </c>
      <c r="T1599" s="84"/>
      <c r="U1599" s="84"/>
      <c r="V1599" s="84"/>
      <c r="W1599" s="84"/>
      <c r="X1599" s="84"/>
      <c r="Y1599" s="84"/>
      <c r="Z1599" s="84"/>
      <c r="AA1599" s="84"/>
      <c r="AB1599" s="84"/>
      <c r="AC1599" s="84"/>
    </row>
    <row r="1600" ht="15.75" customHeight="1">
      <c r="A1600" s="14" t="s">
        <v>17</v>
      </c>
      <c r="B1600" s="14">
        <v>2004.0</v>
      </c>
      <c r="C1600" s="14" t="s">
        <v>14713</v>
      </c>
      <c r="D1600" s="14" t="s">
        <v>14714</v>
      </c>
      <c r="E1600" s="150" t="str">
        <f t="shared" si="14"/>
        <v>http://dx.doi.org/10.1109/VISUAL.2004.106</v>
      </c>
      <c r="F1600" s="14">
        <v>337.0</v>
      </c>
      <c r="G1600" s="14">
        <v>344.0</v>
      </c>
      <c r="H1600" s="151"/>
      <c r="I1600" s="14" t="s">
        <v>28</v>
      </c>
      <c r="J1600" s="14" t="s">
        <v>15587</v>
      </c>
      <c r="K1600" s="14" t="s">
        <v>37112</v>
      </c>
      <c r="L1600" s="152" t="s">
        <v>14717</v>
      </c>
      <c r="M1600" s="14" t="s">
        <v>37113</v>
      </c>
      <c r="N1600" s="54" t="s">
        <v>37114</v>
      </c>
      <c r="O1600" s="130" t="s">
        <v>5005</v>
      </c>
      <c r="P1600" s="153" t="s">
        <v>14718</v>
      </c>
      <c r="Q1600" s="14">
        <v>1372215.0</v>
      </c>
      <c r="R1600" s="95"/>
      <c r="S1600" s="154">
        <v>809874.0</v>
      </c>
      <c r="T1600" s="84"/>
      <c r="U1600" s="84"/>
      <c r="V1600" s="84"/>
      <c r="W1600" s="84"/>
      <c r="X1600" s="84"/>
      <c r="Y1600" s="84"/>
      <c r="Z1600" s="84"/>
      <c r="AA1600" s="84"/>
      <c r="AB1600" s="84"/>
      <c r="AC1600" s="84"/>
    </row>
    <row r="1601" ht="15.75" customHeight="1">
      <c r="A1601" s="14" t="s">
        <v>17</v>
      </c>
      <c r="B1601" s="14">
        <v>2004.0</v>
      </c>
      <c r="C1601" s="14" t="s">
        <v>14719</v>
      </c>
      <c r="D1601" s="14" t="s">
        <v>14720</v>
      </c>
      <c r="E1601" s="150" t="str">
        <f t="shared" si="14"/>
        <v>http://dx.doi.org/10.1109/VISUAL.2004.107</v>
      </c>
      <c r="F1601" s="14">
        <v>329.0</v>
      </c>
      <c r="G1601" s="14">
        <v>336.0</v>
      </c>
      <c r="H1601" s="151"/>
      <c r="I1601" s="14" t="s">
        <v>28</v>
      </c>
      <c r="J1601" s="14" t="s">
        <v>15589</v>
      </c>
      <c r="K1601" s="14" t="s">
        <v>37118</v>
      </c>
      <c r="L1601" s="152" t="s">
        <v>5181</v>
      </c>
      <c r="M1601" s="14" t="s">
        <v>37119</v>
      </c>
      <c r="N1601" s="54" t="s">
        <v>37118</v>
      </c>
      <c r="O1601" s="130" t="s">
        <v>14723</v>
      </c>
      <c r="P1601" s="153" t="s">
        <v>14724</v>
      </c>
      <c r="Q1601" s="14">
        <v>1372214.0</v>
      </c>
      <c r="R1601" s="95"/>
      <c r="S1601" s="154" t="s">
        <v>37120</v>
      </c>
      <c r="T1601" s="84"/>
      <c r="U1601" s="84"/>
      <c r="V1601" s="84"/>
      <c r="W1601" s="84"/>
      <c r="X1601" s="84"/>
      <c r="Y1601" s="84"/>
      <c r="Z1601" s="84"/>
      <c r="AA1601" s="84"/>
      <c r="AB1601" s="84"/>
      <c r="AC1601" s="84"/>
    </row>
    <row r="1602" ht="15.75" customHeight="1">
      <c r="A1602" s="14" t="s">
        <v>17</v>
      </c>
      <c r="B1602" s="14">
        <v>2004.0</v>
      </c>
      <c r="C1602" s="14" t="s">
        <v>14725</v>
      </c>
      <c r="D1602" s="14" t="s">
        <v>14726</v>
      </c>
      <c r="E1602" s="150" t="str">
        <f t="shared" si="14"/>
        <v>http://dx.doi.org/10.1109/VISUAL.2004.108</v>
      </c>
      <c r="F1602" s="14">
        <v>25.0</v>
      </c>
      <c r="G1602" s="14">
        <v>25.0</v>
      </c>
      <c r="H1602" s="159" t="s">
        <v>30659</v>
      </c>
      <c r="I1602" s="14" t="s">
        <v>21</v>
      </c>
      <c r="J1602" s="14" t="s">
        <v>15591</v>
      </c>
      <c r="K1602" s="14" t="s">
        <v>37124</v>
      </c>
      <c r="L1602" s="152" t="s">
        <v>14729</v>
      </c>
      <c r="M1602" s="14" t="s">
        <v>37125</v>
      </c>
      <c r="N1602" s="54" t="s">
        <v>37124</v>
      </c>
      <c r="O1602" s="130"/>
      <c r="P1602" s="16"/>
      <c r="Q1602" s="14">
        <v>1372274.0</v>
      </c>
      <c r="R1602" s="95"/>
      <c r="S1602" s="154"/>
      <c r="T1602" s="84"/>
      <c r="U1602" s="84"/>
      <c r="V1602" s="84"/>
      <c r="W1602" s="84"/>
      <c r="X1602" s="84"/>
      <c r="Y1602" s="84"/>
      <c r="Z1602" s="84"/>
      <c r="AA1602" s="84"/>
      <c r="AB1602" s="84"/>
      <c r="AC1602" s="84"/>
    </row>
    <row r="1603" ht="15.75" customHeight="1">
      <c r="A1603" s="14" t="s">
        <v>17</v>
      </c>
      <c r="B1603" s="14">
        <v>2004.0</v>
      </c>
      <c r="C1603" s="14" t="s">
        <v>14730</v>
      </c>
      <c r="D1603" s="14" t="s">
        <v>14731</v>
      </c>
      <c r="E1603" s="150" t="str">
        <f t="shared" si="14"/>
        <v>http://dx.doi.org/10.1109/VISUAL.2004.109</v>
      </c>
      <c r="F1603" s="14">
        <v>1.0</v>
      </c>
      <c r="G1603" s="14">
        <v>1.0</v>
      </c>
      <c r="H1603" s="159" t="s">
        <v>30659</v>
      </c>
      <c r="I1603" s="14" t="s">
        <v>21</v>
      </c>
      <c r="J1603" s="14"/>
      <c r="K1603" s="14" t="s">
        <v>37129</v>
      </c>
      <c r="L1603" s="152" t="s">
        <v>14734</v>
      </c>
      <c r="M1603" s="14" t="s">
        <v>37131</v>
      </c>
      <c r="N1603" s="54" t="s">
        <v>37129</v>
      </c>
      <c r="O1603" s="130"/>
      <c r="P1603" s="16"/>
      <c r="Q1603" s="14">
        <v>1372250.0</v>
      </c>
      <c r="R1603" s="95"/>
      <c r="S1603" s="154"/>
      <c r="T1603" s="84"/>
      <c r="U1603" s="84"/>
      <c r="V1603" s="84"/>
      <c r="W1603" s="84"/>
      <c r="X1603" s="84"/>
      <c r="Y1603" s="84"/>
      <c r="Z1603" s="84"/>
      <c r="AA1603" s="84"/>
      <c r="AB1603" s="84"/>
      <c r="AC1603" s="84"/>
    </row>
    <row r="1604" ht="15.75" customHeight="1">
      <c r="A1604" s="14" t="s">
        <v>17</v>
      </c>
      <c r="B1604" s="14">
        <v>2004.0</v>
      </c>
      <c r="C1604" s="14" t="s">
        <v>14740</v>
      </c>
      <c r="D1604" s="14" t="s">
        <v>14741</v>
      </c>
      <c r="E1604" s="150" t="str">
        <f t="shared" si="14"/>
        <v>http://dx.doi.org/10.1109/VISUAL.2004.110</v>
      </c>
      <c r="F1604" s="14">
        <v>147.0</v>
      </c>
      <c r="G1604" s="14">
        <v>154.0</v>
      </c>
      <c r="H1604" s="151"/>
      <c r="I1604" s="14" t="s">
        <v>28</v>
      </c>
      <c r="J1604" s="14" t="s">
        <v>15596</v>
      </c>
      <c r="K1604" s="14" t="s">
        <v>37134</v>
      </c>
      <c r="L1604" s="152" t="s">
        <v>14744</v>
      </c>
      <c r="M1604" s="14" t="s">
        <v>37135</v>
      </c>
      <c r="N1604" s="54" t="s">
        <v>37134</v>
      </c>
      <c r="O1604" s="130" t="s">
        <v>14745</v>
      </c>
      <c r="P1604" s="153" t="s">
        <v>14746</v>
      </c>
      <c r="Q1604" s="14">
        <v>1372191.0</v>
      </c>
      <c r="R1604" s="95"/>
      <c r="S1604" s="154" t="s">
        <v>37137</v>
      </c>
      <c r="T1604" s="84"/>
      <c r="U1604" s="84"/>
      <c r="V1604" s="84"/>
      <c r="W1604" s="84"/>
      <c r="X1604" s="84"/>
      <c r="Y1604" s="84"/>
      <c r="Z1604" s="84"/>
      <c r="AA1604" s="84"/>
      <c r="AB1604" s="84"/>
      <c r="AC1604" s="84"/>
    </row>
    <row r="1605" ht="15.75" customHeight="1">
      <c r="A1605" s="14" t="s">
        <v>17</v>
      </c>
      <c r="B1605" s="14">
        <v>2004.0</v>
      </c>
      <c r="C1605" s="14" t="s">
        <v>14747</v>
      </c>
      <c r="D1605" s="14" t="s">
        <v>14748</v>
      </c>
      <c r="E1605" s="150" t="str">
        <f t="shared" si="14"/>
        <v>http://dx.doi.org/10.1109/VISUAL.2004.111</v>
      </c>
      <c r="F1605" s="14">
        <v>3.0</v>
      </c>
      <c r="G1605" s="14">
        <v>3.0</v>
      </c>
      <c r="H1605" s="159" t="s">
        <v>30659</v>
      </c>
      <c r="I1605" s="14" t="s">
        <v>21</v>
      </c>
      <c r="J1605" s="14" t="s">
        <v>15599</v>
      </c>
      <c r="K1605" s="14" t="s">
        <v>37139</v>
      </c>
      <c r="L1605" s="152" t="s">
        <v>14751</v>
      </c>
      <c r="M1605" s="14" t="s">
        <v>37140</v>
      </c>
      <c r="N1605" s="54" t="s">
        <v>37139</v>
      </c>
      <c r="O1605" s="130"/>
      <c r="P1605" s="16"/>
      <c r="Q1605" s="14">
        <v>1372252.0</v>
      </c>
      <c r="R1605" s="95"/>
      <c r="S1605" s="154"/>
      <c r="T1605" s="84"/>
      <c r="U1605" s="84"/>
      <c r="V1605" s="84"/>
      <c r="W1605" s="84"/>
      <c r="X1605" s="84"/>
      <c r="Y1605" s="84"/>
      <c r="Z1605" s="84"/>
      <c r="AA1605" s="84"/>
      <c r="AB1605" s="84"/>
      <c r="AC1605" s="84"/>
    </row>
    <row r="1606" ht="15.75" customHeight="1">
      <c r="A1606" s="14" t="s">
        <v>17</v>
      </c>
      <c r="B1606" s="14">
        <v>2004.0</v>
      </c>
      <c r="C1606" s="14" t="s">
        <v>14752</v>
      </c>
      <c r="D1606" s="14" t="s">
        <v>14753</v>
      </c>
      <c r="E1606" s="150" t="str">
        <f t="shared" si="14"/>
        <v>http://dx.doi.org/10.1109/VISUAL.2004.112</v>
      </c>
      <c r="F1606" s="14">
        <v>155.0</v>
      </c>
      <c r="G1606" s="14">
        <v>162.0</v>
      </c>
      <c r="H1606" s="151"/>
      <c r="I1606" s="14" t="s">
        <v>28</v>
      </c>
      <c r="J1606" s="14" t="s">
        <v>15603</v>
      </c>
      <c r="K1606" s="14" t="s">
        <v>37143</v>
      </c>
      <c r="L1606" s="152" t="s">
        <v>14756</v>
      </c>
      <c r="M1606" s="14" t="s">
        <v>37144</v>
      </c>
      <c r="N1606" s="54" t="s">
        <v>37143</v>
      </c>
      <c r="O1606" s="130" t="s">
        <v>3639</v>
      </c>
      <c r="P1606" s="153" t="s">
        <v>14757</v>
      </c>
      <c r="Q1606" s="14">
        <v>1372192.0</v>
      </c>
      <c r="R1606" s="95"/>
      <c r="S1606" s="154">
        <v>663890.0</v>
      </c>
      <c r="T1606" s="84"/>
      <c r="U1606" s="84"/>
      <c r="V1606" s="84"/>
      <c r="W1606" s="84"/>
      <c r="X1606" s="84"/>
      <c r="Y1606" s="84"/>
      <c r="Z1606" s="84"/>
      <c r="AA1606" s="84"/>
      <c r="AB1606" s="84"/>
      <c r="AC1606" s="84"/>
    </row>
    <row r="1607" ht="15.75" customHeight="1">
      <c r="A1607" s="14" t="s">
        <v>17</v>
      </c>
      <c r="B1607" s="14">
        <v>2004.0</v>
      </c>
      <c r="C1607" s="14" t="s">
        <v>14758</v>
      </c>
      <c r="D1607" s="14" t="s">
        <v>14759</v>
      </c>
      <c r="E1607" s="150" t="str">
        <f t="shared" si="14"/>
        <v>http://dx.doi.org/10.1109/VISUAL.2004.113</v>
      </c>
      <c r="F1607" s="14">
        <v>187.0</v>
      </c>
      <c r="G1607" s="14">
        <v>194.0</v>
      </c>
      <c r="H1607" s="151"/>
      <c r="I1607" s="14" t="s">
        <v>28</v>
      </c>
      <c r="J1607" s="14" t="s">
        <v>15606</v>
      </c>
      <c r="K1607" s="14" t="s">
        <v>37146</v>
      </c>
      <c r="L1607" s="152" t="s">
        <v>14762</v>
      </c>
      <c r="M1607" s="14" t="s">
        <v>37147</v>
      </c>
      <c r="N1607" s="54" t="s">
        <v>37146</v>
      </c>
      <c r="O1607" s="130" t="s">
        <v>14763</v>
      </c>
      <c r="P1607" s="153" t="s">
        <v>14764</v>
      </c>
      <c r="Q1607" s="14">
        <v>1372196.0</v>
      </c>
      <c r="R1607" s="95"/>
      <c r="S1607" s="154" t="s">
        <v>37148</v>
      </c>
      <c r="T1607" s="84"/>
      <c r="U1607" s="84"/>
      <c r="V1607" s="84"/>
      <c r="W1607" s="84"/>
      <c r="X1607" s="84"/>
      <c r="Y1607" s="84"/>
      <c r="Z1607" s="84"/>
      <c r="AA1607" s="84"/>
      <c r="AB1607" s="84"/>
      <c r="AC1607" s="84"/>
    </row>
    <row r="1608" ht="15.75" customHeight="1">
      <c r="A1608" s="14" t="s">
        <v>17</v>
      </c>
      <c r="B1608" s="14">
        <v>2004.0</v>
      </c>
      <c r="C1608" s="14" t="s">
        <v>14765</v>
      </c>
      <c r="D1608" s="14" t="s">
        <v>14766</v>
      </c>
      <c r="E1608" s="150" t="str">
        <f t="shared" si="14"/>
        <v>http://dx.doi.org/10.1109/VISUAL.2004.114</v>
      </c>
      <c r="F1608" s="14">
        <v>23.0</v>
      </c>
      <c r="G1608" s="14">
        <v>23.0</v>
      </c>
      <c r="H1608" s="159" t="s">
        <v>30659</v>
      </c>
      <c r="I1608" s="14" t="s">
        <v>21</v>
      </c>
      <c r="J1608" s="14" t="s">
        <v>15609</v>
      </c>
      <c r="K1608" s="14" t="s">
        <v>37151</v>
      </c>
      <c r="L1608" s="152" t="s">
        <v>14769</v>
      </c>
      <c r="M1608" s="14" t="s">
        <v>37152</v>
      </c>
      <c r="N1608" s="54" t="s">
        <v>37151</v>
      </c>
      <c r="O1608" s="130"/>
      <c r="P1608" s="16"/>
      <c r="Q1608" s="14">
        <v>1372272.0</v>
      </c>
      <c r="R1608" s="95"/>
      <c r="S1608" s="154"/>
      <c r="T1608" s="84"/>
      <c r="U1608" s="84"/>
      <c r="V1608" s="84"/>
      <c r="W1608" s="84"/>
      <c r="X1608" s="84"/>
      <c r="Y1608" s="84"/>
      <c r="Z1608" s="84"/>
      <c r="AA1608" s="84"/>
      <c r="AB1608" s="84"/>
      <c r="AC1608" s="84"/>
    </row>
    <row r="1609" ht="15.75" customHeight="1">
      <c r="A1609" s="14" t="s">
        <v>17</v>
      </c>
      <c r="B1609" s="14">
        <v>2004.0</v>
      </c>
      <c r="C1609" s="14" t="s">
        <v>14770</v>
      </c>
      <c r="D1609" s="14" t="s">
        <v>14771</v>
      </c>
      <c r="E1609" s="150" t="str">
        <f t="shared" si="14"/>
        <v>http://dx.doi.org/10.1109/VISUAL.2004.115</v>
      </c>
      <c r="F1609" s="14">
        <v>369.0</v>
      </c>
      <c r="G1609" s="14">
        <v>376.0</v>
      </c>
      <c r="H1609" s="151"/>
      <c r="I1609" s="14" t="s">
        <v>28</v>
      </c>
      <c r="J1609" s="14" t="s">
        <v>15612</v>
      </c>
      <c r="K1609" s="14" t="s">
        <v>37156</v>
      </c>
      <c r="L1609" s="152" t="s">
        <v>14774</v>
      </c>
      <c r="M1609" s="14" t="s">
        <v>37158</v>
      </c>
      <c r="N1609" s="54" t="s">
        <v>37159</v>
      </c>
      <c r="O1609" s="130" t="s">
        <v>14775</v>
      </c>
      <c r="P1609" s="153" t="s">
        <v>14776</v>
      </c>
      <c r="Q1609" s="14">
        <v>1372219.0</v>
      </c>
      <c r="R1609" s="95"/>
      <c r="S1609" s="154" t="s">
        <v>37160</v>
      </c>
      <c r="T1609" s="84"/>
      <c r="U1609" s="84"/>
      <c r="V1609" s="84"/>
      <c r="W1609" s="84"/>
      <c r="X1609" s="84"/>
      <c r="Y1609" s="84"/>
      <c r="Z1609" s="84"/>
      <c r="AA1609" s="84"/>
      <c r="AB1609" s="84"/>
      <c r="AC1609" s="84"/>
    </row>
    <row r="1610" ht="15.75" customHeight="1">
      <c r="A1610" s="14" t="s">
        <v>17</v>
      </c>
      <c r="B1610" s="14">
        <v>2004.0</v>
      </c>
      <c r="C1610" s="14" t="s">
        <v>14777</v>
      </c>
      <c r="D1610" s="14" t="s">
        <v>14778</v>
      </c>
      <c r="E1610" s="150" t="str">
        <f t="shared" si="14"/>
        <v>http://dx.doi.org/10.1109/VISUAL.2004.116</v>
      </c>
      <c r="F1610" s="14">
        <v>29.0</v>
      </c>
      <c r="G1610" s="14">
        <v>29.0</v>
      </c>
      <c r="H1610" s="159" t="s">
        <v>30659</v>
      </c>
      <c r="I1610" s="14" t="s">
        <v>21</v>
      </c>
      <c r="J1610" s="14"/>
      <c r="K1610" s="14" t="s">
        <v>37165</v>
      </c>
      <c r="L1610" s="152" t="s">
        <v>14781</v>
      </c>
      <c r="M1610" s="14" t="s">
        <v>37166</v>
      </c>
      <c r="N1610" s="54" t="s">
        <v>37167</v>
      </c>
      <c r="O1610" s="130"/>
      <c r="P1610" s="16"/>
      <c r="Q1610" s="14">
        <v>1372278.0</v>
      </c>
      <c r="R1610" s="95"/>
      <c r="S1610" s="154"/>
      <c r="T1610" s="84"/>
      <c r="U1610" s="84"/>
      <c r="V1610" s="84"/>
      <c r="W1610" s="84"/>
      <c r="X1610" s="84"/>
      <c r="Y1610" s="84"/>
      <c r="Z1610" s="84"/>
      <c r="AA1610" s="84"/>
      <c r="AB1610" s="84"/>
      <c r="AC1610" s="84"/>
    </row>
    <row r="1611" ht="15.75" customHeight="1">
      <c r="A1611" s="14" t="s">
        <v>17</v>
      </c>
      <c r="B1611" s="14">
        <v>2004.0</v>
      </c>
      <c r="C1611" s="14" t="s">
        <v>14782</v>
      </c>
      <c r="D1611" s="14" t="s">
        <v>14783</v>
      </c>
      <c r="E1611" s="150" t="str">
        <f t="shared" si="14"/>
        <v>http://dx.doi.org/10.1109/VISUAL.2004.117</v>
      </c>
      <c r="F1611" s="14">
        <v>21.0</v>
      </c>
      <c r="G1611" s="14">
        <v>21.0</v>
      </c>
      <c r="H1611" s="159" t="s">
        <v>30659</v>
      </c>
      <c r="I1611" s="14" t="s">
        <v>21</v>
      </c>
      <c r="J1611" s="14" t="s">
        <v>15617</v>
      </c>
      <c r="K1611" s="14" t="s">
        <v>37171</v>
      </c>
      <c r="L1611" s="152" t="s">
        <v>14786</v>
      </c>
      <c r="M1611" s="14" t="s">
        <v>37172</v>
      </c>
      <c r="N1611" s="54" t="s">
        <v>37171</v>
      </c>
      <c r="O1611" s="130"/>
      <c r="P1611" s="16"/>
      <c r="Q1611" s="14">
        <v>1372270.0</v>
      </c>
      <c r="R1611" s="95"/>
      <c r="S1611" s="154"/>
      <c r="T1611" s="84"/>
      <c r="U1611" s="84"/>
      <c r="V1611" s="84"/>
      <c r="W1611" s="84"/>
      <c r="X1611" s="84"/>
      <c r="Y1611" s="84"/>
      <c r="Z1611" s="84"/>
      <c r="AA1611" s="84"/>
      <c r="AB1611" s="84"/>
      <c r="AC1611" s="84"/>
    </row>
    <row r="1612" ht="15.75" customHeight="1">
      <c r="A1612" s="14" t="s">
        <v>17</v>
      </c>
      <c r="B1612" s="14">
        <v>2004.0</v>
      </c>
      <c r="C1612" s="14" t="s">
        <v>14787</v>
      </c>
      <c r="D1612" s="14" t="s">
        <v>14788</v>
      </c>
      <c r="E1612" s="150" t="str">
        <f t="shared" si="14"/>
        <v>http://dx.doi.org/10.1109/VISUAL.2004.118</v>
      </c>
      <c r="F1612" s="14">
        <v>20.0</v>
      </c>
      <c r="G1612" s="14">
        <v>20.0</v>
      </c>
      <c r="H1612" s="159" t="s">
        <v>30659</v>
      </c>
      <c r="I1612" s="14" t="s">
        <v>21</v>
      </c>
      <c r="J1612" s="14"/>
      <c r="K1612" s="14" t="s">
        <v>37175</v>
      </c>
      <c r="L1612" s="152" t="s">
        <v>14786</v>
      </c>
      <c r="M1612" s="14" t="s">
        <v>37176</v>
      </c>
      <c r="N1612" s="54" t="s">
        <v>37175</v>
      </c>
      <c r="O1612" s="130"/>
      <c r="P1612" s="16"/>
      <c r="Q1612" s="14">
        <v>1372269.0</v>
      </c>
      <c r="R1612" s="95"/>
      <c r="S1612" s="154"/>
      <c r="T1612" s="84"/>
      <c r="U1612" s="84"/>
      <c r="V1612" s="84"/>
      <c r="W1612" s="84"/>
      <c r="X1612" s="84"/>
      <c r="Y1612" s="84"/>
      <c r="Z1612" s="84"/>
      <c r="AA1612" s="84"/>
      <c r="AB1612" s="84"/>
      <c r="AC1612" s="84"/>
    </row>
    <row r="1613" ht="15.75" customHeight="1">
      <c r="A1613" s="14" t="s">
        <v>17</v>
      </c>
      <c r="B1613" s="14">
        <v>2004.0</v>
      </c>
      <c r="C1613" s="14" t="s">
        <v>14791</v>
      </c>
      <c r="D1613" s="14" t="s">
        <v>14792</v>
      </c>
      <c r="E1613" s="150" t="str">
        <f t="shared" si="14"/>
        <v>http://dx.doi.org/10.1109/VISUAL.2004.119</v>
      </c>
      <c r="F1613" s="14">
        <v>13.0</v>
      </c>
      <c r="G1613" s="14">
        <v>13.0</v>
      </c>
      <c r="H1613" s="159" t="s">
        <v>30659</v>
      </c>
      <c r="I1613" s="14" t="s">
        <v>21</v>
      </c>
      <c r="J1613" s="14"/>
      <c r="K1613" s="14" t="s">
        <v>6616</v>
      </c>
      <c r="L1613" s="152" t="s">
        <v>14794</v>
      </c>
      <c r="M1613" s="14">
        <v>3.72761862E10</v>
      </c>
      <c r="N1613" s="54" t="s">
        <v>6616</v>
      </c>
      <c r="O1613" s="130"/>
      <c r="P1613" s="16"/>
      <c r="Q1613" s="14">
        <v>1372262.0</v>
      </c>
      <c r="R1613" s="95"/>
      <c r="S1613" s="154"/>
      <c r="T1613" s="84"/>
      <c r="U1613" s="84"/>
      <c r="V1613" s="84"/>
      <c r="W1613" s="84"/>
      <c r="X1613" s="84"/>
      <c r="Y1613" s="84"/>
      <c r="Z1613" s="84"/>
      <c r="AA1613" s="84"/>
      <c r="AB1613" s="84"/>
      <c r="AC1613" s="84"/>
    </row>
    <row r="1614" ht="15.75" customHeight="1">
      <c r="A1614" s="14" t="s">
        <v>17</v>
      </c>
      <c r="B1614" s="14">
        <v>2004.0</v>
      </c>
      <c r="C1614" s="14" t="s">
        <v>14800</v>
      </c>
      <c r="D1614" s="14" t="s">
        <v>14801</v>
      </c>
      <c r="E1614" s="150" t="str">
        <f t="shared" si="14"/>
        <v>http://dx.doi.org/10.1109/VISUAL.2004.120</v>
      </c>
      <c r="F1614" s="14">
        <v>163.0</v>
      </c>
      <c r="G1614" s="14">
        <v>170.0</v>
      </c>
      <c r="H1614" s="151"/>
      <c r="I1614" s="14" t="s">
        <v>28</v>
      </c>
      <c r="J1614" s="14" t="s">
        <v>15624</v>
      </c>
      <c r="K1614" s="14" t="s">
        <v>37183</v>
      </c>
      <c r="L1614" s="152" t="s">
        <v>14804</v>
      </c>
      <c r="M1614" s="14" t="s">
        <v>37184</v>
      </c>
      <c r="N1614" s="54" t="s">
        <v>37183</v>
      </c>
      <c r="O1614" s="130"/>
      <c r="P1614" s="153" t="s">
        <v>14805</v>
      </c>
      <c r="Q1614" s="14">
        <v>1372193.0</v>
      </c>
      <c r="R1614" s="95"/>
      <c r="S1614" s="154"/>
      <c r="T1614" s="84"/>
      <c r="U1614" s="84"/>
      <c r="V1614" s="84"/>
      <c r="W1614" s="84"/>
      <c r="X1614" s="84"/>
      <c r="Y1614" s="84"/>
      <c r="Z1614" s="84"/>
      <c r="AA1614" s="84"/>
      <c r="AB1614" s="84"/>
      <c r="AC1614" s="84"/>
    </row>
    <row r="1615" ht="15.75" customHeight="1">
      <c r="A1615" s="14" t="s">
        <v>17</v>
      </c>
      <c r="B1615" s="14">
        <v>2004.0</v>
      </c>
      <c r="C1615" s="14" t="s">
        <v>14806</v>
      </c>
      <c r="D1615" s="14" t="s">
        <v>14807</v>
      </c>
      <c r="E1615" s="150" t="str">
        <f t="shared" si="14"/>
        <v>http://dx.doi.org/10.1109/VISUAL.2004.121</v>
      </c>
      <c r="F1615" s="14">
        <v>401.0</v>
      </c>
      <c r="G1615" s="14">
        <v>408.0</v>
      </c>
      <c r="H1615" s="151"/>
      <c r="I1615" s="14" t="s">
        <v>28</v>
      </c>
      <c r="J1615" s="14" t="s">
        <v>15627</v>
      </c>
      <c r="K1615" s="14" t="s">
        <v>37186</v>
      </c>
      <c r="L1615" s="152" t="s">
        <v>14810</v>
      </c>
      <c r="M1615" s="14" t="s">
        <v>37187</v>
      </c>
      <c r="N1615" s="54" t="s">
        <v>37186</v>
      </c>
      <c r="O1615" s="130" t="s">
        <v>14811</v>
      </c>
      <c r="P1615" s="153" t="s">
        <v>14812</v>
      </c>
      <c r="Q1615" s="14">
        <v>1372223.0</v>
      </c>
      <c r="R1615" s="95"/>
      <c r="S1615" s="154" t="s">
        <v>37189</v>
      </c>
      <c r="T1615" s="84"/>
      <c r="U1615" s="84"/>
      <c r="V1615" s="84"/>
      <c r="W1615" s="84"/>
      <c r="X1615" s="84"/>
      <c r="Y1615" s="84"/>
      <c r="Z1615" s="84"/>
      <c r="AA1615" s="84"/>
      <c r="AB1615" s="84"/>
      <c r="AC1615" s="84"/>
    </row>
    <row r="1616" ht="15.75" customHeight="1">
      <c r="A1616" s="14" t="s">
        <v>17</v>
      </c>
      <c r="B1616" s="14">
        <v>2004.0</v>
      </c>
      <c r="C1616" s="14" t="s">
        <v>14813</v>
      </c>
      <c r="D1616" s="14" t="s">
        <v>14814</v>
      </c>
      <c r="E1616" s="150" t="str">
        <f t="shared" si="14"/>
        <v>http://dx.doi.org/10.1109/VISUAL.2004.122</v>
      </c>
      <c r="F1616" s="14">
        <v>59.0</v>
      </c>
      <c r="G1616" s="14">
        <v>66.0</v>
      </c>
      <c r="H1616" s="151"/>
      <c r="I1616" s="14" t="s">
        <v>28</v>
      </c>
      <c r="J1616" s="14" t="s">
        <v>15630</v>
      </c>
      <c r="K1616" s="14" t="s">
        <v>37191</v>
      </c>
      <c r="L1616" s="152" t="s">
        <v>14817</v>
      </c>
      <c r="M1616" s="14" t="s">
        <v>37193</v>
      </c>
      <c r="N1616" s="54" t="s">
        <v>37191</v>
      </c>
      <c r="O1616" s="130" t="s">
        <v>14818</v>
      </c>
      <c r="P1616" s="153" t="s">
        <v>14819</v>
      </c>
      <c r="Q1616" s="14">
        <v>1372180.0</v>
      </c>
      <c r="R1616" s="95"/>
      <c r="S1616" s="154" t="s">
        <v>37194</v>
      </c>
      <c r="T1616" s="84"/>
      <c r="U1616" s="84"/>
      <c r="V1616" s="84"/>
      <c r="W1616" s="84"/>
      <c r="X1616" s="84"/>
      <c r="Y1616" s="84"/>
      <c r="Z1616" s="84"/>
      <c r="AA1616" s="84"/>
      <c r="AB1616" s="84"/>
      <c r="AC1616" s="84"/>
    </row>
    <row r="1617" ht="15.75" customHeight="1">
      <c r="A1617" s="14" t="s">
        <v>17</v>
      </c>
      <c r="B1617" s="14">
        <v>2004.0</v>
      </c>
      <c r="C1617" s="14" t="s">
        <v>14820</v>
      </c>
      <c r="D1617" s="14" t="s">
        <v>14821</v>
      </c>
      <c r="E1617" s="150" t="str">
        <f t="shared" si="14"/>
        <v>http://dx.doi.org/10.1109/VISUAL.2004.123</v>
      </c>
      <c r="F1617" s="14">
        <v>15.0</v>
      </c>
      <c r="G1617" s="14">
        <v>15.0</v>
      </c>
      <c r="H1617" s="159" t="s">
        <v>30659</v>
      </c>
      <c r="I1617" s="14" t="s">
        <v>21</v>
      </c>
      <c r="J1617" s="14"/>
      <c r="K1617" s="14" t="s">
        <v>37197</v>
      </c>
      <c r="L1617" s="152" t="s">
        <v>14824</v>
      </c>
      <c r="M1617" s="14" t="s">
        <v>37199</v>
      </c>
      <c r="N1617" s="54" t="s">
        <v>37197</v>
      </c>
      <c r="O1617" s="130"/>
      <c r="P1617" s="16"/>
      <c r="Q1617" s="14">
        <v>1372264.0</v>
      </c>
      <c r="R1617" s="95"/>
      <c r="S1617" s="154"/>
      <c r="T1617" s="84"/>
      <c r="U1617" s="84"/>
      <c r="V1617" s="84"/>
      <c r="W1617" s="84"/>
      <c r="X1617" s="84"/>
      <c r="Y1617" s="84"/>
      <c r="Z1617" s="84"/>
      <c r="AA1617" s="84"/>
      <c r="AB1617" s="84"/>
      <c r="AC1617" s="84"/>
    </row>
    <row r="1618" ht="15.75" customHeight="1">
      <c r="A1618" s="14" t="s">
        <v>17</v>
      </c>
      <c r="B1618" s="14">
        <v>2004.0</v>
      </c>
      <c r="C1618" s="14" t="s">
        <v>14825</v>
      </c>
      <c r="D1618" s="14" t="s">
        <v>14826</v>
      </c>
      <c r="E1618" s="150" t="str">
        <f t="shared" si="14"/>
        <v>http://dx.doi.org/10.1109/VISUAL.2004.124</v>
      </c>
      <c r="F1618" s="14">
        <v>16.0</v>
      </c>
      <c r="G1618" s="14">
        <v>16.0</v>
      </c>
      <c r="H1618" s="159" t="s">
        <v>30659</v>
      </c>
      <c r="I1618" s="14" t="s">
        <v>21</v>
      </c>
      <c r="J1618" s="14"/>
      <c r="K1618" s="14" t="s">
        <v>37201</v>
      </c>
      <c r="L1618" s="152" t="s">
        <v>14829</v>
      </c>
      <c r="M1618" s="14" t="s">
        <v>37202</v>
      </c>
      <c r="N1618" s="54" t="s">
        <v>37201</v>
      </c>
      <c r="O1618" s="130"/>
      <c r="P1618" s="16"/>
      <c r="Q1618" s="14">
        <v>1372265.0</v>
      </c>
      <c r="R1618" s="95"/>
      <c r="S1618" s="154"/>
      <c r="T1618" s="84"/>
      <c r="U1618" s="84"/>
      <c r="V1618" s="84"/>
      <c r="W1618" s="84"/>
      <c r="X1618" s="84"/>
      <c r="Y1618" s="84"/>
      <c r="Z1618" s="84"/>
      <c r="AA1618" s="84"/>
      <c r="AB1618" s="84"/>
      <c r="AC1618" s="84"/>
    </row>
    <row r="1619" ht="15.75" customHeight="1">
      <c r="A1619" s="14" t="s">
        <v>17</v>
      </c>
      <c r="B1619" s="14">
        <v>2004.0</v>
      </c>
      <c r="C1619" s="14" t="s">
        <v>14830</v>
      </c>
      <c r="D1619" s="14" t="s">
        <v>14831</v>
      </c>
      <c r="E1619" s="150" t="str">
        <f t="shared" si="14"/>
        <v>http://dx.doi.org/10.1109/VISUAL.2004.125</v>
      </c>
      <c r="F1619" s="14">
        <v>22.0</v>
      </c>
      <c r="G1619" s="14">
        <v>22.0</v>
      </c>
      <c r="H1619" s="159" t="s">
        <v>30659</v>
      </c>
      <c r="I1619" s="14" t="s">
        <v>21</v>
      </c>
      <c r="J1619" s="14"/>
      <c r="K1619" s="14" t="s">
        <v>37205</v>
      </c>
      <c r="L1619" s="152" t="s">
        <v>14829</v>
      </c>
      <c r="M1619" s="14" t="s">
        <v>37206</v>
      </c>
      <c r="N1619" s="54" t="s">
        <v>37205</v>
      </c>
      <c r="O1619" s="130"/>
      <c r="P1619" s="16"/>
      <c r="Q1619" s="14">
        <v>1372271.0</v>
      </c>
      <c r="R1619" s="95"/>
      <c r="S1619" s="154"/>
      <c r="T1619" s="84"/>
      <c r="U1619" s="84"/>
      <c r="V1619" s="84"/>
      <c r="W1619" s="84"/>
      <c r="X1619" s="84"/>
      <c r="Y1619" s="84"/>
      <c r="Z1619" s="84"/>
      <c r="AA1619" s="84"/>
      <c r="AB1619" s="84"/>
      <c r="AC1619" s="84"/>
    </row>
    <row r="1620" ht="15.75" customHeight="1">
      <c r="A1620" s="14" t="s">
        <v>17</v>
      </c>
      <c r="B1620" s="14">
        <v>2004.0</v>
      </c>
      <c r="C1620" s="14" t="s">
        <v>37208</v>
      </c>
      <c r="D1620" s="14" t="s">
        <v>14835</v>
      </c>
      <c r="E1620" s="150" t="str">
        <f t="shared" si="14"/>
        <v>http://dx.doi.org/10.1109/VISUAL.2004.126</v>
      </c>
      <c r="F1620" s="14">
        <v>19.0</v>
      </c>
      <c r="G1620" s="14">
        <v>19.0</v>
      </c>
      <c r="H1620" s="159" t="s">
        <v>30659</v>
      </c>
      <c r="I1620" s="14" t="s">
        <v>21</v>
      </c>
      <c r="J1620" s="14" t="s">
        <v>15637</v>
      </c>
      <c r="K1620" s="14" t="s">
        <v>37211</v>
      </c>
      <c r="L1620" s="152" t="s">
        <v>14838</v>
      </c>
      <c r="M1620" s="14" t="s">
        <v>37213</v>
      </c>
      <c r="N1620" s="54" t="s">
        <v>37211</v>
      </c>
      <c r="O1620" s="130"/>
      <c r="P1620" s="16"/>
      <c r="Q1620" s="14">
        <v>1372268.0</v>
      </c>
      <c r="R1620" s="95"/>
      <c r="S1620" s="154"/>
      <c r="T1620" s="84"/>
      <c r="U1620" s="84"/>
      <c r="V1620" s="84"/>
      <c r="W1620" s="84"/>
      <c r="X1620" s="84"/>
      <c r="Y1620" s="84"/>
      <c r="Z1620" s="84"/>
      <c r="AA1620" s="84"/>
      <c r="AB1620" s="84"/>
      <c r="AC1620" s="84"/>
    </row>
    <row r="1621" ht="15.75" customHeight="1">
      <c r="A1621" s="14" t="s">
        <v>17</v>
      </c>
      <c r="B1621" s="14">
        <v>2004.0</v>
      </c>
      <c r="C1621" s="14" t="s">
        <v>14839</v>
      </c>
      <c r="D1621" s="14" t="s">
        <v>14840</v>
      </c>
      <c r="E1621" s="150" t="str">
        <f t="shared" si="14"/>
        <v>http://dx.doi.org/10.1109/VISUAL.2004.127</v>
      </c>
      <c r="F1621" s="14">
        <v>449.0</v>
      </c>
      <c r="G1621" s="14">
        <v>455.0</v>
      </c>
      <c r="H1621" s="151"/>
      <c r="I1621" s="14" t="s">
        <v>28</v>
      </c>
      <c r="J1621" s="14" t="s">
        <v>15639</v>
      </c>
      <c r="K1621" s="14" t="s">
        <v>6472</v>
      </c>
      <c r="L1621" s="152" t="s">
        <v>14842</v>
      </c>
      <c r="M1621" s="14">
        <v>3.7282067E10</v>
      </c>
      <c r="N1621" s="54" t="s">
        <v>6472</v>
      </c>
      <c r="O1621" s="130" t="s">
        <v>14843</v>
      </c>
      <c r="P1621" s="153" t="s">
        <v>14844</v>
      </c>
      <c r="Q1621" s="14">
        <v>1372229.0</v>
      </c>
      <c r="R1621" s="95"/>
      <c r="S1621" s="154" t="s">
        <v>37217</v>
      </c>
      <c r="T1621" s="84"/>
      <c r="U1621" s="84"/>
      <c r="V1621" s="84"/>
      <c r="W1621" s="84"/>
      <c r="X1621" s="84"/>
      <c r="Y1621" s="84"/>
      <c r="Z1621" s="84"/>
      <c r="AA1621" s="84"/>
      <c r="AB1621" s="84"/>
      <c r="AC1621" s="84"/>
    </row>
    <row r="1622" ht="15.75" customHeight="1">
      <c r="A1622" s="14" t="s">
        <v>17</v>
      </c>
      <c r="B1622" s="14">
        <v>2004.0</v>
      </c>
      <c r="C1622" s="14" t="s">
        <v>14845</v>
      </c>
      <c r="D1622" s="14" t="s">
        <v>14846</v>
      </c>
      <c r="E1622" s="150" t="str">
        <f t="shared" si="14"/>
        <v>http://dx.doi.org/10.1109/VISUAL.2004.128</v>
      </c>
      <c r="F1622" s="14">
        <v>179.0</v>
      </c>
      <c r="G1622" s="14">
        <v>186.0</v>
      </c>
      <c r="H1622" s="151"/>
      <c r="I1622" s="14" t="s">
        <v>28</v>
      </c>
      <c r="J1622" s="14" t="s">
        <v>15641</v>
      </c>
      <c r="K1622" s="14" t="s">
        <v>37221</v>
      </c>
      <c r="L1622" s="152" t="s">
        <v>14849</v>
      </c>
      <c r="M1622" s="14" t="s">
        <v>37222</v>
      </c>
      <c r="N1622" s="54" t="s">
        <v>37221</v>
      </c>
      <c r="O1622" s="130" t="s">
        <v>14850</v>
      </c>
      <c r="P1622" s="153" t="s">
        <v>14851</v>
      </c>
      <c r="Q1622" s="14">
        <v>1372195.0</v>
      </c>
      <c r="R1622" s="95"/>
      <c r="S1622" s="154" t="s">
        <v>37224</v>
      </c>
      <c r="T1622" s="84"/>
      <c r="U1622" s="84"/>
      <c r="V1622" s="84"/>
      <c r="W1622" s="84"/>
      <c r="X1622" s="84"/>
      <c r="Y1622" s="84"/>
      <c r="Z1622" s="84"/>
      <c r="AA1622" s="84"/>
      <c r="AB1622" s="84"/>
      <c r="AC1622" s="84"/>
    </row>
    <row r="1623" ht="15.75" customHeight="1">
      <c r="A1623" s="14" t="s">
        <v>2137</v>
      </c>
      <c r="B1623" s="14">
        <v>2003.0</v>
      </c>
      <c r="C1623" s="14" t="s">
        <v>12872</v>
      </c>
      <c r="D1623" s="14" t="s">
        <v>12873</v>
      </c>
      <c r="E1623" s="150" t="str">
        <f t="shared" si="14"/>
        <v>http://dx.doi.org/10.1109/INFVIS.2003.1249005</v>
      </c>
      <c r="F1623" s="14">
        <v>23.0</v>
      </c>
      <c r="G1623" s="14">
        <v>30.0</v>
      </c>
      <c r="H1623" s="151"/>
      <c r="I1623" s="14" t="s">
        <v>28</v>
      </c>
      <c r="J1623" s="14" t="s">
        <v>14481</v>
      </c>
      <c r="K1623" s="14" t="s">
        <v>37227</v>
      </c>
      <c r="L1623" s="152" t="s">
        <v>12881</v>
      </c>
      <c r="M1623" s="14" t="s">
        <v>37228</v>
      </c>
      <c r="N1623" s="54" t="s">
        <v>37227</v>
      </c>
      <c r="O1623" s="130"/>
      <c r="P1623" s="153" t="s">
        <v>12882</v>
      </c>
      <c r="Q1623" s="14">
        <v>1249005.0</v>
      </c>
      <c r="R1623" s="95"/>
      <c r="S1623" s="154"/>
      <c r="T1623" s="84"/>
      <c r="U1623" s="84"/>
      <c r="V1623" s="84"/>
      <c r="W1623" s="84"/>
      <c r="X1623" s="84"/>
      <c r="Y1623" s="84"/>
      <c r="Z1623" s="84"/>
      <c r="AA1623" s="84"/>
      <c r="AB1623" s="84"/>
      <c r="AC1623" s="84"/>
    </row>
    <row r="1624" ht="15.75" customHeight="1">
      <c r="A1624" s="14" t="s">
        <v>2137</v>
      </c>
      <c r="B1624" s="14">
        <v>2003.0</v>
      </c>
      <c r="C1624" s="14" t="s">
        <v>12960</v>
      </c>
      <c r="D1624" s="14" t="s">
        <v>12961</v>
      </c>
      <c r="E1624" s="150" t="str">
        <f t="shared" si="14"/>
        <v>http://dx.doi.org/10.1109/INFVIS.2003.1249013</v>
      </c>
      <c r="F1624" s="14">
        <v>91.0</v>
      </c>
      <c r="G1624" s="14">
        <v>96.0</v>
      </c>
      <c r="H1624" s="151"/>
      <c r="I1624" s="14" t="s">
        <v>28</v>
      </c>
      <c r="J1624" s="14" t="s">
        <v>14563</v>
      </c>
      <c r="K1624" s="14" t="s">
        <v>37233</v>
      </c>
      <c r="L1624" s="152" t="s">
        <v>12967</v>
      </c>
      <c r="M1624" s="14" t="s">
        <v>37234</v>
      </c>
      <c r="N1624" s="54" t="s">
        <v>37233</v>
      </c>
      <c r="O1624" s="130" t="s">
        <v>12968</v>
      </c>
      <c r="P1624" s="153" t="s">
        <v>12969</v>
      </c>
      <c r="Q1624" s="14">
        <v>1249013.0</v>
      </c>
      <c r="R1624" s="95"/>
      <c r="S1624" s="154" t="s">
        <v>37235</v>
      </c>
      <c r="T1624" s="84"/>
      <c r="U1624" s="84"/>
      <c r="V1624" s="84"/>
      <c r="W1624" s="84"/>
      <c r="X1624" s="84"/>
      <c r="Y1624" s="84"/>
      <c r="Z1624" s="84"/>
      <c r="AA1624" s="84"/>
      <c r="AB1624" s="84"/>
      <c r="AC1624" s="84"/>
    </row>
    <row r="1625" ht="15.75" customHeight="1">
      <c r="A1625" s="14" t="s">
        <v>2137</v>
      </c>
      <c r="B1625" s="14">
        <v>2003.0</v>
      </c>
      <c r="C1625" s="14" t="s">
        <v>13071</v>
      </c>
      <c r="D1625" s="14" t="s">
        <v>13072</v>
      </c>
      <c r="E1625" s="150" t="str">
        <f t="shared" si="14"/>
        <v>http://dx.doi.org/10.1109/INFVIS.2003.1249021</v>
      </c>
      <c r="F1625" s="14">
        <v>155.0</v>
      </c>
      <c r="G1625" s="14">
        <v>162.0</v>
      </c>
      <c r="H1625" s="151"/>
      <c r="I1625" s="14" t="s">
        <v>28</v>
      </c>
      <c r="J1625" s="14" t="s">
        <v>14622</v>
      </c>
      <c r="K1625" s="14" t="s">
        <v>37239</v>
      </c>
      <c r="L1625" s="152" t="s">
        <v>13075</v>
      </c>
      <c r="M1625" s="14" t="s">
        <v>37241</v>
      </c>
      <c r="N1625" s="54" t="s">
        <v>37239</v>
      </c>
      <c r="O1625" s="130" t="s">
        <v>3343</v>
      </c>
      <c r="P1625" s="153" t="s">
        <v>13076</v>
      </c>
      <c r="Q1625" s="14">
        <v>1249021.0</v>
      </c>
      <c r="R1625" s="95"/>
      <c r="S1625" s="154">
        <v>636784.0</v>
      </c>
      <c r="T1625" s="84"/>
      <c r="U1625" s="84"/>
      <c r="V1625" s="84"/>
      <c r="W1625" s="84"/>
      <c r="X1625" s="84"/>
      <c r="Y1625" s="84"/>
      <c r="Z1625" s="84"/>
      <c r="AA1625" s="84"/>
      <c r="AB1625" s="84"/>
      <c r="AC1625" s="84"/>
    </row>
    <row r="1626" ht="15.75" customHeight="1">
      <c r="A1626" s="14" t="s">
        <v>2137</v>
      </c>
      <c r="B1626" s="14">
        <v>2003.0</v>
      </c>
      <c r="C1626" s="14" t="s">
        <v>13135</v>
      </c>
      <c r="D1626" s="117" t="s">
        <v>13136</v>
      </c>
      <c r="E1626" s="172" t="s">
        <v>13138</v>
      </c>
      <c r="F1626" s="14">
        <v>219.0</v>
      </c>
      <c r="G1626" s="14">
        <v>225.0</v>
      </c>
      <c r="H1626" s="151"/>
      <c r="I1626" s="14" t="s">
        <v>28</v>
      </c>
      <c r="J1626" s="54" t="s">
        <v>37252</v>
      </c>
      <c r="K1626" s="14" t="s">
        <v>37253</v>
      </c>
      <c r="L1626" s="152" t="s">
        <v>13146</v>
      </c>
      <c r="M1626" s="14"/>
      <c r="N1626" s="54" t="s">
        <v>37254</v>
      </c>
      <c r="O1626" s="130" t="s">
        <v>11895</v>
      </c>
      <c r="P1626" s="193" t="s">
        <v>13147</v>
      </c>
      <c r="Q1626" s="14">
        <v>1249029.0</v>
      </c>
      <c r="R1626" s="95" t="s">
        <v>18275</v>
      </c>
      <c r="S1626" s="154">
        <v>1173155.0</v>
      </c>
      <c r="T1626" s="116"/>
      <c r="U1626" s="116"/>
      <c r="V1626" s="116"/>
      <c r="W1626" s="116"/>
      <c r="X1626" s="116"/>
      <c r="Y1626" s="116"/>
      <c r="Z1626" s="116"/>
      <c r="AA1626" s="116"/>
      <c r="AB1626" s="116"/>
      <c r="AC1626" s="116"/>
    </row>
    <row r="1627" ht="15.75" customHeight="1">
      <c r="A1627" s="14" t="s">
        <v>2137</v>
      </c>
      <c r="B1627" s="14">
        <v>2003.0</v>
      </c>
      <c r="C1627" s="14" t="s">
        <v>13156</v>
      </c>
      <c r="D1627" s="14" t="s">
        <v>13157</v>
      </c>
      <c r="E1627" s="150" t="str">
        <f t="shared" ref="E1627:E1633" si="15">"http://dx.doi.org/" &amp; D1627</f>
        <v>http://dx.doi.org/10.1109/INFVIS.2003.1249031</v>
      </c>
      <c r="F1627" s="14">
        <v>233.0</v>
      </c>
      <c r="G1627" s="14">
        <v>240.0</v>
      </c>
      <c r="H1627" s="151"/>
      <c r="I1627" s="14" t="s">
        <v>28</v>
      </c>
      <c r="J1627" s="14" t="s">
        <v>14648</v>
      </c>
      <c r="K1627" s="14" t="s">
        <v>37281</v>
      </c>
      <c r="L1627" s="152" t="s">
        <v>13166</v>
      </c>
      <c r="M1627" s="14" t="s">
        <v>37282</v>
      </c>
      <c r="N1627" s="54" t="s">
        <v>37281</v>
      </c>
      <c r="O1627" s="130"/>
      <c r="P1627" s="153" t="s">
        <v>13167</v>
      </c>
      <c r="Q1627" s="14">
        <v>1249031.0</v>
      </c>
      <c r="R1627" s="95"/>
      <c r="S1627" s="154"/>
      <c r="T1627" s="84"/>
      <c r="U1627" s="84"/>
      <c r="V1627" s="84"/>
      <c r="W1627" s="84"/>
      <c r="X1627" s="84"/>
      <c r="Y1627" s="84"/>
      <c r="Z1627" s="84"/>
      <c r="AA1627" s="84"/>
      <c r="AB1627" s="84"/>
      <c r="AC1627" s="84"/>
    </row>
    <row r="1628" ht="15.75" customHeight="1">
      <c r="A1628" s="14" t="s">
        <v>2137</v>
      </c>
      <c r="B1628" s="14">
        <v>2003.0</v>
      </c>
      <c r="C1628" s="14" t="s">
        <v>13095</v>
      </c>
      <c r="D1628" s="14" t="s">
        <v>13096</v>
      </c>
      <c r="E1628" s="150" t="str">
        <f t="shared" si="15"/>
        <v>http://dx.doi.org/10.1109/INFVIS.2003.1249025</v>
      </c>
      <c r="F1628" s="14">
        <v>189.0</v>
      </c>
      <c r="G1628" s="14">
        <v>196.0</v>
      </c>
      <c r="H1628" s="151"/>
      <c r="I1628" s="14" t="s">
        <v>28</v>
      </c>
      <c r="J1628" s="14" t="s">
        <v>14633</v>
      </c>
      <c r="K1628" s="14" t="s">
        <v>37285</v>
      </c>
      <c r="L1628" s="152" t="s">
        <v>2201</v>
      </c>
      <c r="M1628" s="14" t="s">
        <v>37286</v>
      </c>
      <c r="N1628" s="54" t="s">
        <v>37285</v>
      </c>
      <c r="O1628" s="130" t="s">
        <v>4003</v>
      </c>
      <c r="P1628" s="153" t="s">
        <v>13099</v>
      </c>
      <c r="Q1628" s="14">
        <v>1249025.0</v>
      </c>
      <c r="R1628" s="95"/>
      <c r="S1628" s="154">
        <v>729554.0</v>
      </c>
      <c r="T1628" s="84"/>
      <c r="U1628" s="84"/>
      <c r="V1628" s="84"/>
      <c r="W1628" s="84"/>
      <c r="X1628" s="84"/>
      <c r="Y1628" s="84"/>
      <c r="Z1628" s="84"/>
      <c r="AA1628" s="84"/>
      <c r="AB1628" s="84"/>
      <c r="AC1628" s="84"/>
    </row>
    <row r="1629" ht="15.75" customHeight="1">
      <c r="A1629" s="14" t="s">
        <v>2137</v>
      </c>
      <c r="B1629" s="14">
        <v>2003.0</v>
      </c>
      <c r="C1629" s="14" t="s">
        <v>13089</v>
      </c>
      <c r="D1629" s="14" t="s">
        <v>13090</v>
      </c>
      <c r="E1629" s="150" t="str">
        <f t="shared" si="15"/>
        <v>http://dx.doi.org/10.1109/INFVIS.2003.1249024</v>
      </c>
      <c r="F1629" s="14">
        <v>181.0</v>
      </c>
      <c r="G1629" s="14">
        <v>188.0</v>
      </c>
      <c r="H1629" s="151"/>
      <c r="I1629" s="14" t="s">
        <v>28</v>
      </c>
      <c r="J1629" s="14" t="s">
        <v>14631</v>
      </c>
      <c r="K1629" s="14" t="s">
        <v>8239</v>
      </c>
      <c r="L1629" s="152" t="s">
        <v>13092</v>
      </c>
      <c r="M1629" s="14">
        <v>3.82012926E10</v>
      </c>
      <c r="N1629" s="54" t="s">
        <v>8239</v>
      </c>
      <c r="O1629" s="130" t="s">
        <v>13093</v>
      </c>
      <c r="P1629" s="153" t="s">
        <v>13094</v>
      </c>
      <c r="Q1629" s="14">
        <v>1249024.0</v>
      </c>
      <c r="R1629" s="95"/>
      <c r="S1629" s="154" t="s">
        <v>37296</v>
      </c>
      <c r="T1629" s="84"/>
      <c r="U1629" s="84"/>
      <c r="V1629" s="84"/>
      <c r="W1629" s="84"/>
      <c r="X1629" s="84"/>
      <c r="Y1629" s="84"/>
      <c r="Z1629" s="84"/>
      <c r="AA1629" s="84"/>
      <c r="AB1629" s="84"/>
      <c r="AC1629" s="84"/>
    </row>
    <row r="1630" ht="15.75" customHeight="1">
      <c r="A1630" s="14" t="s">
        <v>2137</v>
      </c>
      <c r="B1630" s="14">
        <v>2003.0</v>
      </c>
      <c r="C1630" s="14" t="s">
        <v>13026</v>
      </c>
      <c r="D1630" s="14" t="s">
        <v>13027</v>
      </c>
      <c r="E1630" s="150" t="str">
        <f t="shared" si="15"/>
        <v>http://dx.doi.org/10.1109/INFVIS.2003.1249019</v>
      </c>
      <c r="F1630" s="14">
        <v>137.0</v>
      </c>
      <c r="G1630" s="14">
        <v>144.0</v>
      </c>
      <c r="H1630" s="151"/>
      <c r="I1630" s="14" t="s">
        <v>28</v>
      </c>
      <c r="J1630" s="14" t="s">
        <v>14611</v>
      </c>
      <c r="K1630" s="14" t="s">
        <v>37302</v>
      </c>
      <c r="L1630" s="152" t="s">
        <v>13035</v>
      </c>
      <c r="M1630" s="14" t="s">
        <v>37303</v>
      </c>
      <c r="N1630" s="54" t="s">
        <v>37302</v>
      </c>
      <c r="O1630" s="130" t="s">
        <v>4082</v>
      </c>
      <c r="P1630" s="153" t="s">
        <v>13036</v>
      </c>
      <c r="Q1630" s="14">
        <v>1249019.0</v>
      </c>
      <c r="R1630" s="95"/>
      <c r="S1630" s="154">
        <v>729555.0</v>
      </c>
      <c r="T1630" s="84"/>
      <c r="U1630" s="84"/>
      <c r="V1630" s="84"/>
      <c r="W1630" s="84"/>
      <c r="X1630" s="84"/>
      <c r="Y1630" s="84"/>
      <c r="Z1630" s="84"/>
      <c r="AA1630" s="84"/>
      <c r="AB1630" s="84"/>
      <c r="AC1630" s="84"/>
    </row>
    <row r="1631" ht="15.75" customHeight="1">
      <c r="A1631" s="14" t="s">
        <v>2137</v>
      </c>
      <c r="B1631" s="14">
        <v>2003.0</v>
      </c>
      <c r="C1631" s="14" t="s">
        <v>13077</v>
      </c>
      <c r="D1631" s="14" t="s">
        <v>13078</v>
      </c>
      <c r="E1631" s="150" t="str">
        <f t="shared" si="15"/>
        <v>http://dx.doi.org/10.1109/INFVIS.2003.1249022</v>
      </c>
      <c r="F1631" s="14">
        <v>163.0</v>
      </c>
      <c r="G1631" s="14">
        <v>170.0</v>
      </c>
      <c r="H1631" s="151"/>
      <c r="I1631" s="14" t="s">
        <v>28</v>
      </c>
      <c r="J1631" s="14" t="s">
        <v>14625</v>
      </c>
      <c r="K1631" s="14" t="s">
        <v>37310</v>
      </c>
      <c r="L1631" s="152" t="s">
        <v>13081</v>
      </c>
      <c r="M1631" s="14" t="s">
        <v>37311</v>
      </c>
      <c r="N1631" s="54" t="s">
        <v>37310</v>
      </c>
      <c r="O1631" s="130"/>
      <c r="P1631" s="153" t="s">
        <v>13082</v>
      </c>
      <c r="Q1631" s="14">
        <v>1249022.0</v>
      </c>
      <c r="R1631" s="95"/>
      <c r="S1631" s="154"/>
      <c r="T1631" s="84"/>
      <c r="U1631" s="84"/>
      <c r="V1631" s="84"/>
      <c r="W1631" s="84"/>
      <c r="X1631" s="84"/>
      <c r="Y1631" s="84"/>
      <c r="Z1631" s="84"/>
      <c r="AA1631" s="84"/>
      <c r="AB1631" s="84"/>
      <c r="AC1631" s="84"/>
    </row>
    <row r="1632" ht="15.75" customHeight="1">
      <c r="A1632" s="14" t="s">
        <v>2137</v>
      </c>
      <c r="B1632" s="14">
        <v>2003.0</v>
      </c>
      <c r="C1632" s="14" t="s">
        <v>13083</v>
      </c>
      <c r="D1632" s="14" t="s">
        <v>13084</v>
      </c>
      <c r="E1632" s="150" t="str">
        <f t="shared" si="15"/>
        <v>http://dx.doi.org/10.1109/INFVIS.2003.1249023</v>
      </c>
      <c r="F1632" s="14">
        <v>173.0</v>
      </c>
      <c r="G1632" s="14">
        <v>180.0</v>
      </c>
      <c r="H1632" s="151"/>
      <c r="I1632" s="14" t="s">
        <v>28</v>
      </c>
      <c r="J1632" s="14" t="s">
        <v>14628</v>
      </c>
      <c r="K1632" s="14" t="s">
        <v>37319</v>
      </c>
      <c r="L1632" s="152" t="s">
        <v>13087</v>
      </c>
      <c r="M1632" s="14" t="s">
        <v>37320</v>
      </c>
      <c r="N1632" s="54" t="s">
        <v>37319</v>
      </c>
      <c r="O1632" s="130" t="s">
        <v>11908</v>
      </c>
      <c r="P1632" s="153" t="s">
        <v>13088</v>
      </c>
      <c r="Q1632" s="14">
        <v>1249023.0</v>
      </c>
      <c r="R1632" s="95"/>
      <c r="S1632" s="154">
        <v>1173157.0</v>
      </c>
      <c r="T1632" s="84"/>
      <c r="U1632" s="84"/>
      <c r="V1632" s="84"/>
      <c r="W1632" s="84"/>
      <c r="X1632" s="84"/>
      <c r="Y1632" s="84"/>
      <c r="Z1632" s="84"/>
      <c r="AA1632" s="84"/>
      <c r="AB1632" s="84"/>
      <c r="AC1632" s="84"/>
    </row>
    <row r="1633" ht="15.75" customHeight="1">
      <c r="A1633" s="14" t="s">
        <v>2137</v>
      </c>
      <c r="B1633" s="14">
        <v>2003.0</v>
      </c>
      <c r="C1633" s="14" t="s">
        <v>12894</v>
      </c>
      <c r="D1633" s="14" t="s">
        <v>12896</v>
      </c>
      <c r="E1633" s="150" t="str">
        <f t="shared" si="15"/>
        <v>http://dx.doi.org/10.1109/INFVIS.2003.1249007</v>
      </c>
      <c r="F1633" s="14">
        <v>41.0</v>
      </c>
      <c r="G1633" s="14">
        <v>48.0</v>
      </c>
      <c r="H1633" s="151"/>
      <c r="I1633" s="14" t="s">
        <v>28</v>
      </c>
      <c r="J1633" s="14" t="s">
        <v>14494</v>
      </c>
      <c r="K1633" s="14" t="s">
        <v>37324</v>
      </c>
      <c r="L1633" s="152" t="s">
        <v>4915</v>
      </c>
      <c r="M1633" s="14" t="s">
        <v>37326</v>
      </c>
      <c r="N1633" s="54" t="s">
        <v>37324</v>
      </c>
      <c r="O1633" s="130" t="s">
        <v>12906</v>
      </c>
      <c r="P1633" s="153" t="s">
        <v>12907</v>
      </c>
      <c r="Q1633" s="14">
        <v>1249007.0</v>
      </c>
      <c r="R1633" s="95"/>
      <c r="S1633" s="154" t="s">
        <v>37327</v>
      </c>
      <c r="T1633" s="84"/>
      <c r="U1633" s="84"/>
      <c r="V1633" s="84"/>
      <c r="W1633" s="84"/>
      <c r="X1633" s="84"/>
      <c r="Y1633" s="84"/>
      <c r="Z1633" s="84"/>
      <c r="AA1633" s="84"/>
      <c r="AB1633" s="84"/>
      <c r="AC1633" s="84"/>
    </row>
    <row r="1634" ht="15.75" customHeight="1">
      <c r="A1634" s="14" t="s">
        <v>2137</v>
      </c>
      <c r="B1634" s="14">
        <v>2003.0</v>
      </c>
      <c r="C1634" s="14" t="s">
        <v>13168</v>
      </c>
      <c r="D1634" s="67" t="s">
        <v>13169</v>
      </c>
      <c r="E1634" s="194" t="s">
        <v>13170</v>
      </c>
      <c r="F1634" s="14">
        <v>241.0</v>
      </c>
      <c r="G1634" s="14">
        <v>248.0</v>
      </c>
      <c r="H1634" s="151"/>
      <c r="I1634" s="14" t="s">
        <v>28</v>
      </c>
      <c r="J1634" s="54" t="s">
        <v>14651</v>
      </c>
      <c r="K1634" s="14" t="s">
        <v>37342</v>
      </c>
      <c r="L1634" s="152" t="s">
        <v>13178</v>
      </c>
      <c r="M1634" s="14"/>
      <c r="N1634" s="54" t="s">
        <v>37343</v>
      </c>
      <c r="O1634" s="130"/>
      <c r="P1634" s="193" t="s">
        <v>13179</v>
      </c>
      <c r="Q1634" s="14">
        <v>1249032.0</v>
      </c>
      <c r="R1634" s="95" t="s">
        <v>18275</v>
      </c>
      <c r="S1634" s="154"/>
      <c r="T1634" s="116"/>
      <c r="U1634" s="116"/>
      <c r="V1634" s="116"/>
      <c r="W1634" s="116"/>
      <c r="X1634" s="116"/>
      <c r="Y1634" s="116"/>
      <c r="Z1634" s="116"/>
      <c r="AA1634" s="116"/>
      <c r="AB1634" s="116"/>
      <c r="AC1634" s="116"/>
    </row>
    <row r="1635" ht="15.75" customHeight="1">
      <c r="A1635" s="14" t="s">
        <v>2137</v>
      </c>
      <c r="B1635" s="14">
        <v>2003.0</v>
      </c>
      <c r="C1635" s="14" t="s">
        <v>12970</v>
      </c>
      <c r="D1635" s="14" t="s">
        <v>12971</v>
      </c>
      <c r="E1635" s="150" t="str">
        <f t="shared" ref="E1635:E1641" si="16">"http://dx.doi.org/" &amp; D1635</f>
        <v>http://dx.doi.org/10.1109/INFVIS.2003.1249014</v>
      </c>
      <c r="F1635" s="14">
        <v>97.0</v>
      </c>
      <c r="G1635" s="14">
        <v>104.0</v>
      </c>
      <c r="H1635" s="151"/>
      <c r="I1635" s="14" t="s">
        <v>28</v>
      </c>
      <c r="J1635" s="14" t="s">
        <v>14565</v>
      </c>
      <c r="K1635" s="14" t="s">
        <v>37356</v>
      </c>
      <c r="L1635" s="152" t="s">
        <v>12977</v>
      </c>
      <c r="M1635" s="14" t="s">
        <v>37358</v>
      </c>
      <c r="N1635" s="54" t="s">
        <v>37356</v>
      </c>
      <c r="O1635" s="130" t="s">
        <v>12978</v>
      </c>
      <c r="P1635" s="153" t="s">
        <v>12980</v>
      </c>
      <c r="Q1635" s="14">
        <v>1249014.0</v>
      </c>
      <c r="R1635" s="95"/>
      <c r="S1635" s="154" t="s">
        <v>37359</v>
      </c>
      <c r="T1635" s="84"/>
      <c r="U1635" s="84"/>
      <c r="V1635" s="84"/>
      <c r="W1635" s="84"/>
      <c r="X1635" s="84"/>
      <c r="Y1635" s="84"/>
      <c r="Z1635" s="84"/>
      <c r="AA1635" s="84"/>
      <c r="AB1635" s="84"/>
      <c r="AC1635" s="84"/>
    </row>
    <row r="1636" ht="15.75" customHeight="1">
      <c r="A1636" s="14" t="s">
        <v>2137</v>
      </c>
      <c r="B1636" s="14">
        <v>2003.0</v>
      </c>
      <c r="C1636" s="14" t="s">
        <v>12908</v>
      </c>
      <c r="D1636" s="14" t="s">
        <v>12909</v>
      </c>
      <c r="E1636" s="150" t="str">
        <f t="shared" si="16"/>
        <v>http://dx.doi.org/10.1109/INFVIS.2003.1249008</v>
      </c>
      <c r="F1636" s="14">
        <v>51.0</v>
      </c>
      <c r="G1636" s="14">
        <v>58.0</v>
      </c>
      <c r="H1636" s="151"/>
      <c r="I1636" s="14" t="s">
        <v>28</v>
      </c>
      <c r="J1636" s="14" t="s">
        <v>14496</v>
      </c>
      <c r="K1636" s="14" t="s">
        <v>37361</v>
      </c>
      <c r="L1636" s="152" t="s">
        <v>12914</v>
      </c>
      <c r="M1636" s="14" t="s">
        <v>37362</v>
      </c>
      <c r="N1636" s="54" t="s">
        <v>37361</v>
      </c>
      <c r="O1636" s="130" t="s">
        <v>12915</v>
      </c>
      <c r="P1636" s="153" t="s">
        <v>12916</v>
      </c>
      <c r="Q1636" s="14">
        <v>1249008.0</v>
      </c>
      <c r="R1636" s="95"/>
      <c r="S1636" s="154" t="s">
        <v>37363</v>
      </c>
      <c r="T1636" s="84"/>
      <c r="U1636" s="84"/>
      <c r="V1636" s="84"/>
      <c r="W1636" s="84"/>
      <c r="X1636" s="84"/>
      <c r="Y1636" s="84"/>
      <c r="Z1636" s="84"/>
      <c r="AA1636" s="84"/>
      <c r="AB1636" s="84"/>
      <c r="AC1636" s="84"/>
    </row>
    <row r="1637" ht="15.75" customHeight="1">
      <c r="A1637" s="14" t="s">
        <v>2137</v>
      </c>
      <c r="B1637" s="14">
        <v>2003.0</v>
      </c>
      <c r="C1637" s="14" t="s">
        <v>13037</v>
      </c>
      <c r="D1637" s="14" t="s">
        <v>13038</v>
      </c>
      <c r="E1637" s="150" t="str">
        <f t="shared" si="16"/>
        <v>http://dx.doi.org/10.1109/INFVIS.2003.1249020</v>
      </c>
      <c r="F1637" s="14">
        <v>147.0</v>
      </c>
      <c r="G1637" s="14">
        <v>153.0</v>
      </c>
      <c r="H1637" s="151"/>
      <c r="I1637" s="14" t="s">
        <v>28</v>
      </c>
      <c r="J1637" s="14" t="s">
        <v>14619</v>
      </c>
      <c r="K1637" s="14" t="s">
        <v>37365</v>
      </c>
      <c r="L1637" s="152" t="s">
        <v>13069</v>
      </c>
      <c r="M1637" s="14" t="s">
        <v>37366</v>
      </c>
      <c r="N1637" s="54" t="s">
        <v>37365</v>
      </c>
      <c r="O1637" s="130" t="s">
        <v>4849</v>
      </c>
      <c r="P1637" s="153" t="s">
        <v>13070</v>
      </c>
      <c r="Q1637" s="14">
        <v>1249020.0</v>
      </c>
      <c r="R1637" s="95"/>
      <c r="S1637" s="154">
        <v>801862.0</v>
      </c>
      <c r="T1637" s="84"/>
      <c r="U1637" s="84"/>
      <c r="V1637" s="84"/>
      <c r="W1637" s="84"/>
      <c r="X1637" s="84"/>
      <c r="Y1637" s="84"/>
      <c r="Z1637" s="84"/>
      <c r="AA1637" s="84"/>
      <c r="AB1637" s="84"/>
      <c r="AC1637" s="84"/>
    </row>
    <row r="1638" ht="15.75" customHeight="1">
      <c r="A1638" s="14" t="s">
        <v>2137</v>
      </c>
      <c r="B1638" s="14">
        <v>2003.0</v>
      </c>
      <c r="C1638" s="14" t="s">
        <v>12850</v>
      </c>
      <c r="D1638" s="14" t="s">
        <v>12851</v>
      </c>
      <c r="E1638" s="150" t="str">
        <f t="shared" si="16"/>
        <v>http://dx.doi.org/10.1109/INFVIS.2003.1249002</v>
      </c>
      <c r="F1638" s="14">
        <v>7.0</v>
      </c>
      <c r="G1638" s="14"/>
      <c r="H1638" s="159" t="s">
        <v>30659</v>
      </c>
      <c r="I1638" s="14" t="s">
        <v>21</v>
      </c>
      <c r="J1638" s="14" t="s">
        <v>14466</v>
      </c>
      <c r="K1638" s="14" t="s">
        <v>10559</v>
      </c>
      <c r="L1638" s="152" t="s">
        <v>12854</v>
      </c>
      <c r="M1638" s="14">
        <v>3.74431782E10</v>
      </c>
      <c r="N1638" s="54" t="s">
        <v>10559</v>
      </c>
      <c r="O1638" s="130"/>
      <c r="P1638" s="16"/>
      <c r="Q1638" s="14">
        <v>1249002.0</v>
      </c>
      <c r="R1638" s="95"/>
      <c r="S1638" s="154"/>
      <c r="T1638" s="84"/>
      <c r="U1638" s="84"/>
      <c r="V1638" s="84"/>
      <c r="W1638" s="84"/>
      <c r="X1638" s="84"/>
      <c r="Y1638" s="84"/>
      <c r="Z1638" s="84"/>
      <c r="AA1638" s="84"/>
      <c r="AB1638" s="84"/>
      <c r="AC1638" s="84"/>
    </row>
    <row r="1639" ht="15.75" customHeight="1">
      <c r="A1639" s="14" t="s">
        <v>2137</v>
      </c>
      <c r="B1639" s="14">
        <v>2003.0</v>
      </c>
      <c r="C1639" s="14" t="s">
        <v>12883</v>
      </c>
      <c r="D1639" s="14" t="s">
        <v>12884</v>
      </c>
      <c r="E1639" s="150" t="str">
        <f t="shared" si="16"/>
        <v>http://dx.doi.org/10.1109/INFVIS.2003.1249006</v>
      </c>
      <c r="F1639" s="14">
        <v>31.0</v>
      </c>
      <c r="G1639" s="14">
        <v>38.0</v>
      </c>
      <c r="H1639" s="151"/>
      <c r="I1639" s="14" t="s">
        <v>28</v>
      </c>
      <c r="J1639" s="14" t="s">
        <v>14488</v>
      </c>
      <c r="K1639" s="14" t="s">
        <v>37402</v>
      </c>
      <c r="L1639" s="152" t="s">
        <v>12891</v>
      </c>
      <c r="M1639" s="14" t="s">
        <v>37403</v>
      </c>
      <c r="N1639" s="54" t="s">
        <v>37404</v>
      </c>
      <c r="O1639" s="130" t="s">
        <v>12892</v>
      </c>
      <c r="P1639" s="153" t="s">
        <v>12893</v>
      </c>
      <c r="Q1639" s="14">
        <v>1249006.0</v>
      </c>
      <c r="R1639" s="95"/>
      <c r="S1639" s="154" t="s">
        <v>37406</v>
      </c>
      <c r="T1639" s="84"/>
      <c r="U1639" s="84"/>
      <c r="V1639" s="84"/>
      <c r="W1639" s="84"/>
      <c r="X1639" s="84"/>
      <c r="Y1639" s="84"/>
      <c r="Z1639" s="84"/>
      <c r="AA1639" s="84"/>
      <c r="AB1639" s="84"/>
      <c r="AC1639" s="84"/>
    </row>
    <row r="1640" ht="15.75" customHeight="1">
      <c r="A1640" s="14" t="s">
        <v>2137</v>
      </c>
      <c r="B1640" s="14">
        <v>2003.0</v>
      </c>
      <c r="C1640" s="14" t="s">
        <v>13110</v>
      </c>
      <c r="D1640" s="14" t="s">
        <v>13111</v>
      </c>
      <c r="E1640" s="150" t="str">
        <f t="shared" si="16"/>
        <v>http://dx.doi.org/10.1109/INFVIS.2003.1249027</v>
      </c>
      <c r="F1640" s="14">
        <v>203.0</v>
      </c>
      <c r="G1640" s="14">
        <v>208.0</v>
      </c>
      <c r="H1640" s="151"/>
      <c r="I1640" s="14" t="s">
        <v>28</v>
      </c>
      <c r="J1640" s="14" t="s">
        <v>14638</v>
      </c>
      <c r="K1640" s="14" t="s">
        <v>37410</v>
      </c>
      <c r="L1640" s="152" t="s">
        <v>13124</v>
      </c>
      <c r="M1640" s="14" t="s">
        <v>37412</v>
      </c>
      <c r="N1640" s="54" t="s">
        <v>37410</v>
      </c>
      <c r="O1640" s="130" t="s">
        <v>13125</v>
      </c>
      <c r="P1640" s="153" t="s">
        <v>13126</v>
      </c>
      <c r="Q1640" s="14">
        <v>1249027.0</v>
      </c>
      <c r="R1640" s="95"/>
      <c r="S1640" s="154" t="s">
        <v>37414</v>
      </c>
      <c r="T1640" s="84"/>
      <c r="U1640" s="84"/>
      <c r="V1640" s="84"/>
      <c r="W1640" s="84"/>
      <c r="X1640" s="84"/>
      <c r="Y1640" s="84"/>
      <c r="Z1640" s="84"/>
      <c r="AA1640" s="84"/>
      <c r="AB1640" s="84"/>
      <c r="AC1640" s="84"/>
    </row>
    <row r="1641" ht="15.75" customHeight="1">
      <c r="A1641" s="14" t="s">
        <v>2137</v>
      </c>
      <c r="B1641" s="14">
        <v>2003.0</v>
      </c>
      <c r="C1641" s="14" t="s">
        <v>12836</v>
      </c>
      <c r="D1641" s="14" t="s">
        <v>12837</v>
      </c>
      <c r="E1641" s="150" t="str">
        <f t="shared" si="16"/>
        <v>http://dx.doi.org/10.1109/INFVIS.2003.1249000</v>
      </c>
      <c r="F1641" s="14"/>
      <c r="G1641" s="14"/>
      <c r="H1641" s="159" t="s">
        <v>30659</v>
      </c>
      <c r="I1641" s="14" t="s">
        <v>21</v>
      </c>
      <c r="J1641" s="14" t="s">
        <v>14454</v>
      </c>
      <c r="K1641" s="14" t="s">
        <v>37456</v>
      </c>
      <c r="L1641" s="152"/>
      <c r="M1641" s="14"/>
      <c r="N1641" s="14" t="s">
        <v>37457</v>
      </c>
      <c r="O1641" s="130"/>
      <c r="P1641" s="16"/>
      <c r="Q1641" s="14">
        <v>1249000.0</v>
      </c>
      <c r="R1641" s="95"/>
      <c r="S1641" s="154"/>
      <c r="T1641" s="84"/>
      <c r="U1641" s="84"/>
      <c r="V1641" s="84"/>
      <c r="W1641" s="84"/>
      <c r="X1641" s="84"/>
      <c r="Y1641" s="84"/>
      <c r="Z1641" s="84"/>
      <c r="AA1641" s="84"/>
      <c r="AB1641" s="84"/>
      <c r="AC1641" s="84"/>
    </row>
    <row r="1642" ht="15.75" customHeight="1">
      <c r="A1642" s="14" t="s">
        <v>2137</v>
      </c>
      <c r="B1642" s="14">
        <v>2003.0</v>
      </c>
      <c r="C1642" s="14" t="s">
        <v>12945</v>
      </c>
      <c r="D1642" s="67" t="s">
        <v>12946</v>
      </c>
      <c r="E1642" s="194" t="s">
        <v>12948</v>
      </c>
      <c r="F1642" s="14">
        <v>85.0</v>
      </c>
      <c r="G1642" s="14">
        <v>90.0</v>
      </c>
      <c r="H1642" s="151"/>
      <c r="I1642" s="14" t="s">
        <v>28</v>
      </c>
      <c r="J1642" s="54" t="s">
        <v>37486</v>
      </c>
      <c r="K1642" s="14" t="s">
        <v>37487</v>
      </c>
      <c r="L1642" s="162"/>
      <c r="M1642" s="14"/>
      <c r="N1642" s="54" t="s">
        <v>37487</v>
      </c>
      <c r="O1642" s="130" t="s">
        <v>12958</v>
      </c>
      <c r="P1642" s="193" t="s">
        <v>12959</v>
      </c>
      <c r="Q1642" s="14">
        <v>1249012.0</v>
      </c>
      <c r="R1642" s="95" t="s">
        <v>18275</v>
      </c>
      <c r="S1642" s="154" t="s">
        <v>37489</v>
      </c>
      <c r="T1642" s="116"/>
      <c r="U1642" s="116"/>
      <c r="V1642" s="116"/>
      <c r="W1642" s="116"/>
      <c r="X1642" s="116"/>
      <c r="Y1642" s="116"/>
      <c r="Z1642" s="116"/>
      <c r="AA1642" s="116"/>
      <c r="AB1642" s="116"/>
      <c r="AC1642" s="116"/>
    </row>
    <row r="1643" ht="15.75" customHeight="1">
      <c r="A1643" s="14" t="s">
        <v>2137</v>
      </c>
      <c r="B1643" s="14">
        <v>2003.0</v>
      </c>
      <c r="C1643" s="14" t="s">
        <v>12855</v>
      </c>
      <c r="D1643" s="14" t="s">
        <v>12856</v>
      </c>
      <c r="E1643" s="150" t="str">
        <f t="shared" ref="E1643:E1647" si="17">"http://dx.doi.org/" &amp; D1643</f>
        <v>http://dx.doi.org/10.1109/INFVIS.2003.1249003</v>
      </c>
      <c r="F1643" s="14">
        <v>11.0</v>
      </c>
      <c r="G1643" s="14">
        <v>11.0</v>
      </c>
      <c r="H1643" s="159" t="s">
        <v>30659</v>
      </c>
      <c r="I1643" s="14" t="s">
        <v>21</v>
      </c>
      <c r="J1643" s="14"/>
      <c r="K1643" s="14" t="s">
        <v>9765</v>
      </c>
      <c r="L1643" s="152" t="s">
        <v>12859</v>
      </c>
      <c r="M1643" s="14">
        <v>3.82026724E10</v>
      </c>
      <c r="N1643" s="54" t="s">
        <v>9765</v>
      </c>
      <c r="O1643" s="130"/>
      <c r="P1643" s="16"/>
      <c r="Q1643" s="14">
        <v>1249003.0</v>
      </c>
      <c r="R1643" s="95"/>
      <c r="S1643" s="154"/>
      <c r="T1643" s="84"/>
      <c r="U1643" s="84"/>
      <c r="V1643" s="84"/>
      <c r="W1643" s="84"/>
      <c r="X1643" s="84"/>
      <c r="Y1643" s="84"/>
      <c r="Z1643" s="84"/>
      <c r="AA1643" s="84"/>
      <c r="AB1643" s="84"/>
      <c r="AC1643" s="84"/>
    </row>
    <row r="1644" ht="15.75" customHeight="1">
      <c r="A1644" s="14" t="s">
        <v>2137</v>
      </c>
      <c r="B1644" s="14">
        <v>2003.0</v>
      </c>
      <c r="C1644" s="14" t="s">
        <v>13014</v>
      </c>
      <c r="D1644" s="14" t="s">
        <v>13015</v>
      </c>
      <c r="E1644" s="150" t="str">
        <f t="shared" si="17"/>
        <v>http://dx.doi.org/10.1109/INFVIS.2003.1249018</v>
      </c>
      <c r="F1644" s="14">
        <v>131.0</v>
      </c>
      <c r="G1644" s="14">
        <v>136.0</v>
      </c>
      <c r="H1644" s="151"/>
      <c r="I1644" s="14" t="s">
        <v>28</v>
      </c>
      <c r="J1644" s="14" t="s">
        <v>14602</v>
      </c>
      <c r="K1644" s="14" t="s">
        <v>37544</v>
      </c>
      <c r="L1644" s="152" t="s">
        <v>13022</v>
      </c>
      <c r="M1644" s="14" t="s">
        <v>37546</v>
      </c>
      <c r="N1644" s="54" t="s">
        <v>37544</v>
      </c>
      <c r="O1644" s="130" t="s">
        <v>378</v>
      </c>
      <c r="P1644" s="153" t="s">
        <v>13024</v>
      </c>
      <c r="Q1644" s="14">
        <v>1249018.0</v>
      </c>
      <c r="R1644" s="95"/>
      <c r="S1644" s="154">
        <v>146402.0</v>
      </c>
      <c r="T1644" s="84"/>
      <c r="U1644" s="84"/>
      <c r="V1644" s="84"/>
      <c r="W1644" s="84"/>
      <c r="X1644" s="84"/>
      <c r="Y1644" s="84"/>
      <c r="Z1644" s="84"/>
      <c r="AA1644" s="84"/>
      <c r="AB1644" s="84"/>
      <c r="AC1644" s="84"/>
    </row>
    <row r="1645" ht="15.75" customHeight="1">
      <c r="A1645" s="14" t="s">
        <v>2137</v>
      </c>
      <c r="B1645" s="14">
        <v>2003.0</v>
      </c>
      <c r="C1645" s="14" t="s">
        <v>12983</v>
      </c>
      <c r="D1645" s="14" t="s">
        <v>12984</v>
      </c>
      <c r="E1645" s="150" t="str">
        <f t="shared" si="17"/>
        <v>http://dx.doi.org/10.1109/INFVIS.2003.1249015</v>
      </c>
      <c r="F1645" s="14">
        <v>105.0</v>
      </c>
      <c r="G1645" s="14">
        <v>112.0</v>
      </c>
      <c r="H1645" s="151"/>
      <c r="I1645" s="14" t="s">
        <v>28</v>
      </c>
      <c r="J1645" s="14" t="s">
        <v>14573</v>
      </c>
      <c r="K1645" s="14" t="s">
        <v>37558</v>
      </c>
      <c r="L1645" s="152" t="s">
        <v>12989</v>
      </c>
      <c r="M1645" s="14" t="s">
        <v>37560</v>
      </c>
      <c r="N1645" s="54" t="s">
        <v>37558</v>
      </c>
      <c r="O1645" s="130" t="s">
        <v>12990</v>
      </c>
      <c r="P1645" s="153" t="s">
        <v>12991</v>
      </c>
      <c r="Q1645" s="14">
        <v>1249015.0</v>
      </c>
      <c r="R1645" s="95"/>
      <c r="S1645" s="154" t="s">
        <v>37562</v>
      </c>
      <c r="T1645" s="84"/>
      <c r="U1645" s="84"/>
      <c r="V1645" s="84"/>
      <c r="W1645" s="84"/>
      <c r="X1645" s="84"/>
      <c r="Y1645" s="84"/>
      <c r="Z1645" s="84"/>
      <c r="AA1645" s="84"/>
      <c r="AB1645" s="84"/>
      <c r="AC1645" s="84"/>
    </row>
    <row r="1646" ht="15.75" customHeight="1">
      <c r="A1646" s="14" t="s">
        <v>2137</v>
      </c>
      <c r="B1646" s="14">
        <v>2003.0</v>
      </c>
      <c r="C1646" s="14" t="s">
        <v>12992</v>
      </c>
      <c r="D1646" s="14" t="s">
        <v>12993</v>
      </c>
      <c r="E1646" s="150" t="str">
        <f t="shared" si="17"/>
        <v>http://dx.doi.org/10.1109/INFVIS.2003.1249016</v>
      </c>
      <c r="F1646" s="14">
        <v>113.0</v>
      </c>
      <c r="G1646" s="14">
        <v>120.0</v>
      </c>
      <c r="H1646" s="151"/>
      <c r="I1646" s="14" t="s">
        <v>28</v>
      </c>
      <c r="J1646" s="14" t="s">
        <v>14581</v>
      </c>
      <c r="K1646" s="14" t="s">
        <v>37565</v>
      </c>
      <c r="L1646" s="152" t="s">
        <v>13001</v>
      </c>
      <c r="M1646" s="14" t="s">
        <v>37566</v>
      </c>
      <c r="N1646" s="54" t="s">
        <v>37565</v>
      </c>
      <c r="O1646" s="130" t="s">
        <v>13002</v>
      </c>
      <c r="P1646" s="153" t="s">
        <v>13003</v>
      </c>
      <c r="Q1646" s="14">
        <v>1249016.0</v>
      </c>
      <c r="R1646" s="95"/>
      <c r="S1646" s="154" t="s">
        <v>37568</v>
      </c>
      <c r="T1646" s="84"/>
      <c r="U1646" s="84"/>
      <c r="V1646" s="84"/>
      <c r="W1646" s="84"/>
      <c r="X1646" s="84"/>
      <c r="Y1646" s="84"/>
      <c r="Z1646" s="84"/>
      <c r="AA1646" s="84"/>
      <c r="AB1646" s="84"/>
      <c r="AC1646" s="84"/>
    </row>
    <row r="1647" ht="15.75" customHeight="1">
      <c r="A1647" s="14" t="s">
        <v>2137</v>
      </c>
      <c r="B1647" s="14">
        <v>2003.0</v>
      </c>
      <c r="C1647" s="14" t="s">
        <v>12917</v>
      </c>
      <c r="D1647" s="14" t="s">
        <v>12918</v>
      </c>
      <c r="E1647" s="150" t="str">
        <f t="shared" si="17"/>
        <v>http://dx.doi.org/10.1109/INFVIS.2003.1249009</v>
      </c>
      <c r="F1647" s="14">
        <v>59.0</v>
      </c>
      <c r="G1647" s="14">
        <v>66.0</v>
      </c>
      <c r="H1647" s="151"/>
      <c r="I1647" s="14" t="s">
        <v>28</v>
      </c>
      <c r="J1647" s="14" t="s">
        <v>14504</v>
      </c>
      <c r="K1647" s="14" t="s">
        <v>37601</v>
      </c>
      <c r="L1647" s="152" t="s">
        <v>12923</v>
      </c>
      <c r="M1647" s="14" t="s">
        <v>37602</v>
      </c>
      <c r="N1647" s="54" t="s">
        <v>37601</v>
      </c>
      <c r="O1647" s="130" t="s">
        <v>12925</v>
      </c>
      <c r="P1647" s="153" t="s">
        <v>12926</v>
      </c>
      <c r="Q1647" s="14">
        <v>1249009.0</v>
      </c>
      <c r="R1647" s="95"/>
      <c r="S1647" s="154" t="s">
        <v>37603</v>
      </c>
      <c r="T1647" s="84"/>
      <c r="U1647" s="84"/>
      <c r="V1647" s="84"/>
      <c r="W1647" s="84"/>
      <c r="X1647" s="84"/>
      <c r="Y1647" s="84"/>
      <c r="Z1647" s="84"/>
      <c r="AA1647" s="84"/>
      <c r="AB1647" s="84"/>
      <c r="AC1647" s="84"/>
    </row>
    <row r="1648" ht="15.75" customHeight="1">
      <c r="A1648" s="14" t="s">
        <v>2137</v>
      </c>
      <c r="B1648" s="14">
        <v>2003.0</v>
      </c>
      <c r="C1648" s="14" t="s">
        <v>12935</v>
      </c>
      <c r="D1648" s="67" t="s">
        <v>12936</v>
      </c>
      <c r="E1648" s="194" t="s">
        <v>12937</v>
      </c>
      <c r="F1648" s="14">
        <v>75.0</v>
      </c>
      <c r="G1648" s="14">
        <v>84.0</v>
      </c>
      <c r="H1648" s="151"/>
      <c r="I1648" s="14" t="s">
        <v>28</v>
      </c>
      <c r="J1648" s="54" t="s">
        <v>37614</v>
      </c>
      <c r="K1648" s="14" t="s">
        <v>37616</v>
      </c>
      <c r="L1648" s="162"/>
      <c r="M1648" s="14"/>
      <c r="N1648" s="54" t="s">
        <v>37617</v>
      </c>
      <c r="O1648" s="130"/>
      <c r="P1648" s="193" t="s">
        <v>12944</v>
      </c>
      <c r="Q1648" s="14">
        <v>1249011.0</v>
      </c>
      <c r="R1648" s="95" t="s">
        <v>18275</v>
      </c>
      <c r="S1648" s="154"/>
      <c r="T1648" s="116"/>
      <c r="U1648" s="116"/>
      <c r="V1648" s="116"/>
      <c r="W1648" s="116"/>
      <c r="X1648" s="116"/>
      <c r="Y1648" s="116"/>
      <c r="Z1648" s="116"/>
      <c r="AA1648" s="116"/>
      <c r="AB1648" s="116"/>
      <c r="AC1648" s="116"/>
    </row>
    <row r="1649" ht="15.75" customHeight="1">
      <c r="A1649" s="14" t="s">
        <v>2137</v>
      </c>
      <c r="B1649" s="14">
        <v>2003.0</v>
      </c>
      <c r="C1649" s="14" t="s">
        <v>12860</v>
      </c>
      <c r="D1649" s="14" t="s">
        <v>12861</v>
      </c>
      <c r="E1649" s="150" t="str">
        <f t="shared" ref="E1649:E1652" si="18">"http://dx.doi.org/" &amp; D1649</f>
        <v>http://dx.doi.org/10.1109/INFVIS.2003.1249004</v>
      </c>
      <c r="F1649" s="14">
        <v>15.0</v>
      </c>
      <c r="G1649" s="14">
        <v>23.0</v>
      </c>
      <c r="H1649" s="151"/>
      <c r="I1649" s="14" t="s">
        <v>28</v>
      </c>
      <c r="J1649" s="14" t="s">
        <v>14475</v>
      </c>
      <c r="K1649" s="14" t="s">
        <v>37626</v>
      </c>
      <c r="L1649" s="152" t="s">
        <v>12869</v>
      </c>
      <c r="M1649" s="14" t="s">
        <v>37628</v>
      </c>
      <c r="N1649" s="54" t="s">
        <v>37626</v>
      </c>
      <c r="O1649" s="130" t="s">
        <v>12870</v>
      </c>
      <c r="P1649" s="153" t="s">
        <v>12871</v>
      </c>
      <c r="Q1649" s="14">
        <v>1249004.0</v>
      </c>
      <c r="R1649" s="95"/>
      <c r="S1649" s="154">
        <v>1249030.0</v>
      </c>
      <c r="T1649" s="84"/>
      <c r="U1649" s="84"/>
      <c r="V1649" s="84"/>
      <c r="W1649" s="84"/>
      <c r="X1649" s="84"/>
      <c r="Y1649" s="84"/>
      <c r="Z1649" s="84"/>
      <c r="AA1649" s="84"/>
      <c r="AB1649" s="84"/>
      <c r="AC1649" s="84"/>
    </row>
    <row r="1650" ht="15.75" customHeight="1">
      <c r="A1650" s="14" t="s">
        <v>2137</v>
      </c>
      <c r="B1650" s="14">
        <v>2003.0</v>
      </c>
      <c r="C1650" s="14" t="s">
        <v>12843</v>
      </c>
      <c r="D1650" s="14" t="s">
        <v>12844</v>
      </c>
      <c r="E1650" s="150" t="str">
        <f t="shared" si="18"/>
        <v>http://dx.doi.org/10.1109/INFVIS.2003.1249001</v>
      </c>
      <c r="F1650" s="14">
        <v>3.0</v>
      </c>
      <c r="G1650" s="14">
        <v>3.0</v>
      </c>
      <c r="H1650" s="159" t="s">
        <v>30659</v>
      </c>
      <c r="I1650" s="14" t="s">
        <v>21</v>
      </c>
      <c r="J1650" s="14"/>
      <c r="K1650" s="14" t="s">
        <v>11335</v>
      </c>
      <c r="L1650" s="152" t="s">
        <v>12849</v>
      </c>
      <c r="M1650" s="14">
        <v>3.72658508E10</v>
      </c>
      <c r="N1650" s="54" t="s">
        <v>11335</v>
      </c>
      <c r="O1650" s="130"/>
      <c r="P1650" s="16"/>
      <c r="Q1650" s="14">
        <v>1249001.0</v>
      </c>
      <c r="R1650" s="95"/>
      <c r="S1650" s="154"/>
      <c r="T1650" s="84"/>
      <c r="U1650" s="84"/>
      <c r="V1650" s="84"/>
      <c r="W1650" s="84"/>
      <c r="X1650" s="84"/>
      <c r="Y1650" s="84"/>
      <c r="Z1650" s="84"/>
      <c r="AA1650" s="84"/>
      <c r="AB1650" s="84"/>
      <c r="AC1650" s="84"/>
    </row>
    <row r="1651" ht="15.75" customHeight="1">
      <c r="A1651" s="14" t="s">
        <v>2137</v>
      </c>
      <c r="B1651" s="14">
        <v>2003.0</v>
      </c>
      <c r="C1651" s="14" t="s">
        <v>13127</v>
      </c>
      <c r="D1651" s="14" t="s">
        <v>13128</v>
      </c>
      <c r="E1651" s="150" t="str">
        <f t="shared" si="18"/>
        <v>http://dx.doi.org/10.1109/INFVIS.2003.1249028</v>
      </c>
      <c r="F1651" s="14">
        <v>211.0</v>
      </c>
      <c r="G1651" s="14">
        <v>218.0</v>
      </c>
      <c r="H1651" s="151"/>
      <c r="I1651" s="14" t="s">
        <v>28</v>
      </c>
      <c r="J1651" s="14" t="s">
        <v>14640</v>
      </c>
      <c r="K1651" s="14" t="s">
        <v>8688</v>
      </c>
      <c r="L1651" s="152"/>
      <c r="M1651" s="14">
        <v>3.82031521E10</v>
      </c>
      <c r="N1651" s="54" t="s">
        <v>8688</v>
      </c>
      <c r="O1651" s="130" t="s">
        <v>13133</v>
      </c>
      <c r="P1651" s="153" t="s">
        <v>13134</v>
      </c>
      <c r="Q1651" s="14">
        <v>1249028.0</v>
      </c>
      <c r="R1651" s="95"/>
      <c r="S1651" s="154" t="s">
        <v>37636</v>
      </c>
      <c r="T1651" s="84"/>
      <c r="U1651" s="84"/>
      <c r="V1651" s="84"/>
      <c r="W1651" s="84"/>
      <c r="X1651" s="84"/>
      <c r="Y1651" s="84"/>
      <c r="Z1651" s="84"/>
      <c r="AA1651" s="84"/>
      <c r="AB1651" s="84"/>
      <c r="AC1651" s="84"/>
    </row>
    <row r="1652" ht="15.75" customHeight="1">
      <c r="A1652" s="14" t="s">
        <v>2137</v>
      </c>
      <c r="B1652" s="14">
        <v>2003.0</v>
      </c>
      <c r="C1652" s="14" t="s">
        <v>13148</v>
      </c>
      <c r="D1652" s="14" t="s">
        <v>12870</v>
      </c>
      <c r="E1652" s="150" t="str">
        <f t="shared" si="18"/>
        <v>http://dx.doi.org/10.1109/INFVIS.2003.1249030</v>
      </c>
      <c r="F1652" s="14">
        <v>227.0</v>
      </c>
      <c r="G1652" s="14">
        <v>232.0</v>
      </c>
      <c r="H1652" s="151"/>
      <c r="I1652" s="14" t="s">
        <v>28</v>
      </c>
      <c r="J1652" s="14" t="s">
        <v>14645</v>
      </c>
      <c r="K1652" s="14" t="s">
        <v>11190</v>
      </c>
      <c r="L1652" s="152" t="s">
        <v>13153</v>
      </c>
      <c r="M1652" s="14">
        <v>3.7326291E10</v>
      </c>
      <c r="N1652" s="54" t="s">
        <v>11190</v>
      </c>
      <c r="O1652" s="130" t="s">
        <v>13154</v>
      </c>
      <c r="P1652" s="153" t="s">
        <v>13155</v>
      </c>
      <c r="Q1652" s="14">
        <v>1249030.0</v>
      </c>
      <c r="R1652" s="95"/>
      <c r="S1652" s="154" t="s">
        <v>37642</v>
      </c>
      <c r="T1652" s="84"/>
      <c r="U1652" s="84"/>
      <c r="V1652" s="84"/>
      <c r="W1652" s="84"/>
      <c r="X1652" s="84"/>
      <c r="Y1652" s="84"/>
      <c r="Z1652" s="84"/>
      <c r="AA1652" s="84"/>
      <c r="AB1652" s="84"/>
      <c r="AC1652" s="84"/>
    </row>
    <row r="1653" ht="15.75" customHeight="1">
      <c r="A1653" s="14" t="s">
        <v>2137</v>
      </c>
      <c r="B1653" s="14">
        <v>2003.0</v>
      </c>
      <c r="C1653" s="14" t="s">
        <v>13004</v>
      </c>
      <c r="D1653" s="97" t="s">
        <v>13005</v>
      </c>
      <c r="E1653" s="194" t="s">
        <v>13006</v>
      </c>
      <c r="F1653" s="14">
        <v>121.0</v>
      </c>
      <c r="G1653" s="14">
        <v>128.0</v>
      </c>
      <c r="H1653" s="151"/>
      <c r="I1653" s="14" t="s">
        <v>28</v>
      </c>
      <c r="J1653" s="54" t="s">
        <v>37714</v>
      </c>
      <c r="K1653" s="14" t="s">
        <v>37715</v>
      </c>
      <c r="L1653" s="162" t="s">
        <v>13009</v>
      </c>
      <c r="M1653" s="14"/>
      <c r="N1653" s="54" t="s">
        <v>37717</v>
      </c>
      <c r="O1653" s="130" t="s">
        <v>13011</v>
      </c>
      <c r="P1653" s="193" t="s">
        <v>13013</v>
      </c>
      <c r="Q1653" s="14">
        <v>1249017.0</v>
      </c>
      <c r="R1653" s="95" t="s">
        <v>18275</v>
      </c>
      <c r="S1653" s="154" t="s">
        <v>37718</v>
      </c>
      <c r="T1653" s="116"/>
      <c r="U1653" s="116"/>
      <c r="V1653" s="116"/>
      <c r="W1653" s="116"/>
      <c r="X1653" s="116"/>
      <c r="Y1653" s="116"/>
      <c r="Z1653" s="116"/>
      <c r="AA1653" s="116"/>
      <c r="AB1653" s="116"/>
      <c r="AC1653" s="116"/>
    </row>
    <row r="1654" ht="15.75" customHeight="1">
      <c r="A1654" s="14" t="s">
        <v>2137</v>
      </c>
      <c r="B1654" s="14">
        <v>2003.0</v>
      </c>
      <c r="C1654" s="14" t="s">
        <v>13100</v>
      </c>
      <c r="D1654" s="14" t="s">
        <v>13101</v>
      </c>
      <c r="E1654" s="150" t="str">
        <f t="shared" ref="E1654:E1873" si="19">"http://dx.doi.org/" &amp; D1654</f>
        <v>http://dx.doi.org/10.1109/INFVIS.2003.1249026</v>
      </c>
      <c r="F1654" s="14">
        <v>197.0</v>
      </c>
      <c r="G1654" s="14">
        <v>201.0</v>
      </c>
      <c r="H1654" s="151"/>
      <c r="I1654" s="14" t="s">
        <v>28</v>
      </c>
      <c r="J1654" s="14" t="s">
        <v>14635</v>
      </c>
      <c r="K1654" s="14" t="s">
        <v>37724</v>
      </c>
      <c r="L1654" s="152" t="s">
        <v>13107</v>
      </c>
      <c r="M1654" s="14" t="s">
        <v>37725</v>
      </c>
      <c r="N1654" s="54" t="s">
        <v>37724</v>
      </c>
      <c r="O1654" s="130" t="s">
        <v>13108</v>
      </c>
      <c r="P1654" s="153" t="s">
        <v>13109</v>
      </c>
      <c r="Q1654" s="14">
        <v>1249026.0</v>
      </c>
      <c r="R1654" s="95"/>
      <c r="S1654" s="154" t="s">
        <v>37727</v>
      </c>
      <c r="T1654" s="84"/>
      <c r="U1654" s="84"/>
      <c r="V1654" s="84"/>
      <c r="W1654" s="84"/>
      <c r="X1654" s="84"/>
      <c r="Y1654" s="84"/>
      <c r="Z1654" s="84"/>
      <c r="AA1654" s="84"/>
      <c r="AB1654" s="84"/>
      <c r="AC1654" s="84"/>
    </row>
    <row r="1655" ht="15.75" customHeight="1">
      <c r="A1655" s="14" t="s">
        <v>2137</v>
      </c>
      <c r="B1655" s="14">
        <v>2003.0</v>
      </c>
      <c r="C1655" s="14" t="s">
        <v>12928</v>
      </c>
      <c r="D1655" s="14" t="s">
        <v>12929</v>
      </c>
      <c r="E1655" s="150" t="str">
        <f t="shared" si="19"/>
        <v>http://dx.doi.org/10.1109/INFVIS.2003.1249010</v>
      </c>
      <c r="F1655" s="14">
        <v>67.0</v>
      </c>
      <c r="G1655" s="14">
        <v>74.0</v>
      </c>
      <c r="H1655" s="151"/>
      <c r="I1655" s="14" t="s">
        <v>28</v>
      </c>
      <c r="J1655" s="14" t="s">
        <v>14513</v>
      </c>
      <c r="K1655" s="14" t="s">
        <v>37731</v>
      </c>
      <c r="L1655" s="152" t="s">
        <v>12932</v>
      </c>
      <c r="M1655" s="14" t="s">
        <v>37732</v>
      </c>
      <c r="N1655" s="54" t="s">
        <v>37731</v>
      </c>
      <c r="O1655" s="130" t="s">
        <v>12933</v>
      </c>
      <c r="P1655" s="153" t="s">
        <v>12934</v>
      </c>
      <c r="Q1655" s="14">
        <v>1249010.0</v>
      </c>
      <c r="R1655" s="95"/>
      <c r="S1655" s="154" t="s">
        <v>37734</v>
      </c>
      <c r="T1655" s="84"/>
      <c r="U1655" s="84"/>
      <c r="V1655" s="84"/>
      <c r="W1655" s="84"/>
      <c r="X1655" s="84"/>
      <c r="Y1655" s="84"/>
      <c r="Z1655" s="84"/>
      <c r="AA1655" s="84"/>
      <c r="AB1655" s="84"/>
      <c r="AC1655" s="84"/>
    </row>
    <row r="1656" ht="15.75" customHeight="1">
      <c r="A1656" s="14" t="s">
        <v>17</v>
      </c>
      <c r="B1656" s="14">
        <v>2003.0</v>
      </c>
      <c r="C1656" s="14" t="s">
        <v>13446</v>
      </c>
      <c r="D1656" s="14" t="s">
        <v>13447</v>
      </c>
      <c r="E1656" s="150" t="str">
        <f t="shared" si="19"/>
        <v>http://dx.doi.org/10.1109/VISUAL.2003.1250377</v>
      </c>
      <c r="F1656" s="14">
        <v>233.0</v>
      </c>
      <c r="G1656" s="14">
        <v>240.0</v>
      </c>
      <c r="H1656" s="151"/>
      <c r="I1656" s="14" t="s">
        <v>28</v>
      </c>
      <c r="J1656" s="14" t="s">
        <v>15171</v>
      </c>
      <c r="K1656" s="14" t="s">
        <v>37737</v>
      </c>
      <c r="L1656" s="152" t="s">
        <v>11886</v>
      </c>
      <c r="M1656" s="14" t="s">
        <v>37738</v>
      </c>
      <c r="N1656" s="54" t="s">
        <v>37737</v>
      </c>
      <c r="O1656" s="130" t="s">
        <v>13452</v>
      </c>
      <c r="P1656" s="153" t="s">
        <v>13453</v>
      </c>
      <c r="Q1656" s="14">
        <v>1250377.0</v>
      </c>
      <c r="R1656" s="95"/>
      <c r="S1656" s="154" t="s">
        <v>37740</v>
      </c>
      <c r="T1656" s="84"/>
      <c r="U1656" s="84"/>
      <c r="V1656" s="84"/>
      <c r="W1656" s="84"/>
      <c r="X1656" s="84"/>
      <c r="Y1656" s="84"/>
      <c r="Z1656" s="84"/>
      <c r="AA1656" s="84"/>
      <c r="AB1656" s="84"/>
      <c r="AC1656" s="84"/>
    </row>
    <row r="1657" ht="15.75" customHeight="1">
      <c r="A1657" s="14" t="s">
        <v>17</v>
      </c>
      <c r="B1657" s="14">
        <v>2003.0</v>
      </c>
      <c r="C1657" s="14" t="s">
        <v>13486</v>
      </c>
      <c r="D1657" s="14" t="s">
        <v>13487</v>
      </c>
      <c r="E1657" s="150" t="str">
        <f t="shared" si="19"/>
        <v>http://dx.doi.org/10.1109/VISUAL.2003.1250381</v>
      </c>
      <c r="F1657" s="14">
        <v>263.0</v>
      </c>
      <c r="G1657" s="14">
        <v>269.0</v>
      </c>
      <c r="H1657" s="151"/>
      <c r="I1657" s="14" t="s">
        <v>28</v>
      </c>
      <c r="J1657" s="14" t="s">
        <v>15199</v>
      </c>
      <c r="K1657" s="14" t="s">
        <v>37742</v>
      </c>
      <c r="L1657" s="152" t="s">
        <v>13494</v>
      </c>
      <c r="M1657" s="14" t="s">
        <v>37743</v>
      </c>
      <c r="N1657" s="54" t="s">
        <v>37745</v>
      </c>
      <c r="O1657" s="130" t="s">
        <v>13495</v>
      </c>
      <c r="P1657" s="153" t="s">
        <v>13496</v>
      </c>
      <c r="Q1657" s="14">
        <v>1250381.0</v>
      </c>
      <c r="R1657" s="95"/>
      <c r="S1657" s="154" t="s">
        <v>37746</v>
      </c>
      <c r="T1657" s="84"/>
      <c r="U1657" s="84"/>
      <c r="V1657" s="84"/>
      <c r="W1657" s="84"/>
      <c r="X1657" s="84"/>
      <c r="Y1657" s="84"/>
      <c r="Z1657" s="84"/>
      <c r="AA1657" s="84"/>
      <c r="AB1657" s="84"/>
      <c r="AC1657" s="84"/>
    </row>
    <row r="1658" ht="15.75" customHeight="1">
      <c r="A1658" s="14" t="s">
        <v>17</v>
      </c>
      <c r="B1658" s="14">
        <v>2003.0</v>
      </c>
      <c r="C1658" s="14" t="s">
        <v>13712</v>
      </c>
      <c r="D1658" s="14" t="s">
        <v>13713</v>
      </c>
      <c r="E1658" s="150" t="str">
        <f t="shared" si="19"/>
        <v>http://dx.doi.org/10.1109/VISUAL.2003.1250405</v>
      </c>
      <c r="F1658" s="14">
        <v>441.0</v>
      </c>
      <c r="G1658" s="14">
        <v>448.0</v>
      </c>
      <c r="H1658" s="151"/>
      <c r="I1658" s="14" t="s">
        <v>28</v>
      </c>
      <c r="J1658" s="14" t="s">
        <v>15328</v>
      </c>
      <c r="K1658" s="14" t="s">
        <v>37749</v>
      </c>
      <c r="L1658" s="152" t="s">
        <v>13716</v>
      </c>
      <c r="M1658" s="14" t="s">
        <v>37750</v>
      </c>
      <c r="N1658" s="54" t="s">
        <v>37749</v>
      </c>
      <c r="O1658" s="130" t="s">
        <v>13717</v>
      </c>
      <c r="P1658" s="153" t="s">
        <v>13718</v>
      </c>
      <c r="Q1658" s="14">
        <v>1250405.0</v>
      </c>
      <c r="R1658" s="95"/>
      <c r="S1658" s="154" t="s">
        <v>37751</v>
      </c>
      <c r="T1658" s="84"/>
      <c r="U1658" s="84"/>
      <c r="V1658" s="84"/>
      <c r="W1658" s="84"/>
      <c r="X1658" s="84"/>
      <c r="Y1658" s="84"/>
      <c r="Z1658" s="84"/>
      <c r="AA1658" s="84"/>
      <c r="AB1658" s="84"/>
      <c r="AC1658" s="84"/>
    </row>
    <row r="1659" ht="15.75" customHeight="1">
      <c r="A1659" s="14" t="s">
        <v>17</v>
      </c>
      <c r="B1659" s="14">
        <v>2003.0</v>
      </c>
      <c r="C1659" s="14" t="s">
        <v>13699</v>
      </c>
      <c r="D1659" s="14" t="s">
        <v>13700</v>
      </c>
      <c r="E1659" s="150" t="str">
        <f t="shared" si="19"/>
        <v>http://dx.doi.org/10.1109/VISUAL.2003.1250403</v>
      </c>
      <c r="F1659" s="14">
        <v>425.0</v>
      </c>
      <c r="G1659" s="14">
        <v>432.0</v>
      </c>
      <c r="H1659" s="151"/>
      <c r="I1659" s="14" t="s">
        <v>28</v>
      </c>
      <c r="J1659" s="14" t="s">
        <v>15323</v>
      </c>
      <c r="K1659" s="14" t="s">
        <v>37754</v>
      </c>
      <c r="L1659" s="152" t="s">
        <v>13703</v>
      </c>
      <c r="M1659" s="14" t="s">
        <v>37756</v>
      </c>
      <c r="N1659" s="54" t="s">
        <v>37754</v>
      </c>
      <c r="O1659" s="130" t="s">
        <v>13704</v>
      </c>
      <c r="P1659" s="153" t="s">
        <v>13705</v>
      </c>
      <c r="Q1659" s="14">
        <v>1250403.0</v>
      </c>
      <c r="R1659" s="95"/>
      <c r="S1659" s="154" t="s">
        <v>37757</v>
      </c>
      <c r="T1659" s="84"/>
      <c r="U1659" s="84"/>
      <c r="V1659" s="84"/>
      <c r="W1659" s="84"/>
      <c r="X1659" s="84"/>
      <c r="Y1659" s="84"/>
      <c r="Z1659" s="84"/>
      <c r="AA1659" s="84"/>
      <c r="AB1659" s="84"/>
      <c r="AC1659" s="84"/>
    </row>
    <row r="1660" ht="15.75" customHeight="1">
      <c r="A1660" s="14" t="s">
        <v>17</v>
      </c>
      <c r="B1660" s="14">
        <v>2003.0</v>
      </c>
      <c r="C1660" s="14" t="s">
        <v>13313</v>
      </c>
      <c r="D1660" s="14" t="s">
        <v>13314</v>
      </c>
      <c r="E1660" s="150" t="str">
        <f t="shared" si="19"/>
        <v>http://dx.doi.org/10.1109/VISUAL.2003.1250365</v>
      </c>
      <c r="F1660" s="14">
        <v>139.0</v>
      </c>
      <c r="G1660" s="14">
        <v>146.0</v>
      </c>
      <c r="H1660" s="151"/>
      <c r="I1660" s="14" t="s">
        <v>28</v>
      </c>
      <c r="J1660" s="14" t="s">
        <v>15078</v>
      </c>
      <c r="K1660" s="14" t="s">
        <v>37761</v>
      </c>
      <c r="L1660" s="152" t="s">
        <v>4441</v>
      </c>
      <c r="M1660" s="14" t="s">
        <v>37762</v>
      </c>
      <c r="N1660" s="54" t="s">
        <v>37761</v>
      </c>
      <c r="O1660" s="130" t="s">
        <v>13327</v>
      </c>
      <c r="P1660" s="153" t="s">
        <v>13328</v>
      </c>
      <c r="Q1660" s="14">
        <v>1250365.0</v>
      </c>
      <c r="R1660" s="95"/>
      <c r="S1660" s="154" t="s">
        <v>37763</v>
      </c>
      <c r="T1660" s="84"/>
      <c r="U1660" s="84"/>
      <c r="V1660" s="84"/>
      <c r="W1660" s="84"/>
      <c r="X1660" s="84"/>
      <c r="Y1660" s="84"/>
      <c r="Z1660" s="84"/>
      <c r="AA1660" s="84"/>
      <c r="AB1660" s="84"/>
      <c r="AC1660" s="84"/>
    </row>
    <row r="1661" ht="15.75" customHeight="1">
      <c r="A1661" s="14" t="s">
        <v>17</v>
      </c>
      <c r="B1661" s="14">
        <v>2003.0</v>
      </c>
      <c r="C1661" s="14" t="s">
        <v>13766</v>
      </c>
      <c r="D1661" s="14" t="s">
        <v>13767</v>
      </c>
      <c r="E1661" s="150" t="str">
        <f t="shared" si="19"/>
        <v>http://dx.doi.org/10.1109/VISUAL.2003.1250413</v>
      </c>
      <c r="F1661" s="14">
        <v>505.0</v>
      </c>
      <c r="G1661" s="14">
        <v>512.0</v>
      </c>
      <c r="H1661" s="151"/>
      <c r="I1661" s="14" t="s">
        <v>28</v>
      </c>
      <c r="J1661" s="14" t="s">
        <v>15353</v>
      </c>
      <c r="K1661" s="14" t="s">
        <v>37766</v>
      </c>
      <c r="L1661" s="152" t="s">
        <v>12580</v>
      </c>
      <c r="M1661" s="14" t="s">
        <v>37767</v>
      </c>
      <c r="N1661" s="54" t="s">
        <v>37766</v>
      </c>
      <c r="O1661" s="130" t="s">
        <v>13770</v>
      </c>
      <c r="P1661" s="153" t="s">
        <v>13771</v>
      </c>
      <c r="Q1661" s="14">
        <v>1250413.0</v>
      </c>
      <c r="R1661" s="95"/>
      <c r="S1661" s="154" t="s">
        <v>37768</v>
      </c>
      <c r="T1661" s="84"/>
      <c r="U1661" s="84"/>
      <c r="V1661" s="84"/>
      <c r="W1661" s="84"/>
      <c r="X1661" s="84"/>
      <c r="Y1661" s="84"/>
      <c r="Z1661" s="84"/>
      <c r="AA1661" s="84"/>
      <c r="AB1661" s="84"/>
      <c r="AC1661" s="84"/>
    </row>
    <row r="1662" ht="15.75" customHeight="1">
      <c r="A1662" s="14" t="s">
        <v>17</v>
      </c>
      <c r="B1662" s="14">
        <v>2003.0</v>
      </c>
      <c r="C1662" s="14" t="s">
        <v>13277</v>
      </c>
      <c r="D1662" s="14" t="s">
        <v>13278</v>
      </c>
      <c r="E1662" s="150" t="str">
        <f t="shared" si="19"/>
        <v>http://dx.doi.org/10.1109/VISUAL.2003.1250361</v>
      </c>
      <c r="F1662" s="14">
        <v>107.0</v>
      </c>
      <c r="G1662" s="14">
        <v>114.0</v>
      </c>
      <c r="H1662" s="151"/>
      <c r="I1662" s="14" t="s">
        <v>28</v>
      </c>
      <c r="J1662" s="14" t="s">
        <v>15041</v>
      </c>
      <c r="K1662" s="14" t="s">
        <v>37824</v>
      </c>
      <c r="L1662" s="152" t="s">
        <v>13281</v>
      </c>
      <c r="M1662" s="14" t="s">
        <v>37826</v>
      </c>
      <c r="N1662" s="54" t="s">
        <v>37824</v>
      </c>
      <c r="O1662" s="130" t="s">
        <v>13282</v>
      </c>
      <c r="P1662" s="153" t="s">
        <v>13283</v>
      </c>
      <c r="Q1662" s="14">
        <v>1250361.0</v>
      </c>
      <c r="R1662" s="95"/>
      <c r="S1662" s="154" t="s">
        <v>37827</v>
      </c>
      <c r="T1662" s="84"/>
      <c r="U1662" s="84"/>
      <c r="V1662" s="84"/>
      <c r="W1662" s="84"/>
      <c r="X1662" s="84"/>
      <c r="Y1662" s="84"/>
      <c r="Z1662" s="84"/>
      <c r="AA1662" s="84"/>
      <c r="AB1662" s="84"/>
      <c r="AC1662" s="84"/>
    </row>
    <row r="1663" ht="15.75" customHeight="1">
      <c r="A1663" s="14" t="s">
        <v>17</v>
      </c>
      <c r="B1663" s="14">
        <v>2003.0</v>
      </c>
      <c r="C1663" s="14" t="s">
        <v>13779</v>
      </c>
      <c r="D1663" s="14" t="s">
        <v>13780</v>
      </c>
      <c r="E1663" s="150" t="str">
        <f t="shared" si="19"/>
        <v>http://dx.doi.org/10.1109/VISUAL.2003.1250415</v>
      </c>
      <c r="F1663" s="14">
        <v>523.0</v>
      </c>
      <c r="G1663" s="14">
        <v>530.0</v>
      </c>
      <c r="H1663" s="151"/>
      <c r="I1663" s="14" t="s">
        <v>28</v>
      </c>
      <c r="J1663" s="14" t="s">
        <v>15359</v>
      </c>
      <c r="K1663" s="14" t="s">
        <v>37838</v>
      </c>
      <c r="L1663" s="152" t="s">
        <v>12580</v>
      </c>
      <c r="M1663" s="14" t="s">
        <v>37839</v>
      </c>
      <c r="N1663" s="54" t="s">
        <v>37838</v>
      </c>
      <c r="O1663" s="130" t="s">
        <v>12697</v>
      </c>
      <c r="P1663" s="153" t="s">
        <v>13783</v>
      </c>
      <c r="Q1663" s="14">
        <v>1250415.0</v>
      </c>
      <c r="R1663" s="95"/>
      <c r="S1663" s="154">
        <v>1183816.0</v>
      </c>
      <c r="T1663" s="84"/>
      <c r="U1663" s="84"/>
      <c r="V1663" s="84"/>
      <c r="W1663" s="84"/>
      <c r="X1663" s="84"/>
      <c r="Y1663" s="84"/>
      <c r="Z1663" s="84"/>
      <c r="AA1663" s="84"/>
      <c r="AB1663" s="84"/>
      <c r="AC1663" s="84"/>
    </row>
    <row r="1664" ht="15.75" customHeight="1">
      <c r="A1664" s="14" t="s">
        <v>17</v>
      </c>
      <c r="B1664" s="14">
        <v>2003.0</v>
      </c>
      <c r="C1664" s="14" t="s">
        <v>13843</v>
      </c>
      <c r="D1664" s="14" t="s">
        <v>13844</v>
      </c>
      <c r="E1664" s="150" t="str">
        <f t="shared" si="19"/>
        <v>http://dx.doi.org/10.1109/VISUAL.2003.1250420</v>
      </c>
      <c r="F1664" s="14">
        <v>561.0</v>
      </c>
      <c r="G1664" s="14">
        <v>568.0</v>
      </c>
      <c r="H1664" s="151"/>
      <c r="I1664" s="14" t="s">
        <v>28</v>
      </c>
      <c r="J1664" s="14" t="s">
        <v>15371</v>
      </c>
      <c r="K1664" s="14" t="s">
        <v>37844</v>
      </c>
      <c r="L1664" s="152" t="s">
        <v>13847</v>
      </c>
      <c r="M1664" s="14" t="s">
        <v>37845</v>
      </c>
      <c r="N1664" s="54" t="s">
        <v>37844</v>
      </c>
      <c r="O1664" s="130" t="s">
        <v>13848</v>
      </c>
      <c r="P1664" s="153" t="s">
        <v>13849</v>
      </c>
      <c r="Q1664" s="14">
        <v>1250420.0</v>
      </c>
      <c r="R1664" s="95"/>
      <c r="S1664" s="154" t="s">
        <v>37847</v>
      </c>
      <c r="T1664" s="84"/>
      <c r="U1664" s="84"/>
      <c r="V1664" s="84"/>
      <c r="W1664" s="84"/>
      <c r="X1664" s="84"/>
      <c r="Y1664" s="84"/>
      <c r="Z1664" s="84"/>
      <c r="AA1664" s="84"/>
      <c r="AB1664" s="84"/>
      <c r="AC1664" s="84"/>
    </row>
    <row r="1665" ht="15.75" customHeight="1">
      <c r="A1665" s="14" t="s">
        <v>17</v>
      </c>
      <c r="B1665" s="14">
        <v>2003.0</v>
      </c>
      <c r="C1665" s="14" t="s">
        <v>13518</v>
      </c>
      <c r="D1665" s="14" t="s">
        <v>13519</v>
      </c>
      <c r="E1665" s="150" t="str">
        <f t="shared" si="19"/>
        <v>http://dx.doi.org/10.1109/VISUAL.2003.1250384</v>
      </c>
      <c r="F1665" s="14">
        <v>287.0</v>
      </c>
      <c r="G1665" s="14">
        <v>292.0</v>
      </c>
      <c r="H1665" s="151"/>
      <c r="I1665" s="14" t="s">
        <v>28</v>
      </c>
      <c r="J1665" s="14" t="s">
        <v>15221</v>
      </c>
      <c r="K1665" s="14" t="s">
        <v>37852</v>
      </c>
      <c r="L1665" s="152" t="s">
        <v>13526</v>
      </c>
      <c r="M1665" s="14" t="s">
        <v>37853</v>
      </c>
      <c r="N1665" s="54" t="s">
        <v>37852</v>
      </c>
      <c r="O1665" s="130" t="s">
        <v>13528</v>
      </c>
      <c r="P1665" s="153" t="s">
        <v>13529</v>
      </c>
      <c r="Q1665" s="14">
        <v>1250384.0</v>
      </c>
      <c r="R1665" s="95"/>
      <c r="S1665" s="154" t="s">
        <v>37854</v>
      </c>
      <c r="T1665" s="84"/>
      <c r="U1665" s="84"/>
      <c r="V1665" s="84"/>
      <c r="W1665" s="84"/>
      <c r="X1665" s="84"/>
      <c r="Y1665" s="84"/>
      <c r="Z1665" s="84"/>
      <c r="AA1665" s="84"/>
      <c r="AB1665" s="84"/>
      <c r="AC1665" s="84"/>
    </row>
    <row r="1666" ht="15.75" customHeight="1">
      <c r="A1666" s="14" t="s">
        <v>17</v>
      </c>
      <c r="B1666" s="14">
        <v>2003.0</v>
      </c>
      <c r="C1666" s="14" t="s">
        <v>13752</v>
      </c>
      <c r="D1666" s="14" t="s">
        <v>13753</v>
      </c>
      <c r="E1666" s="150" t="str">
        <f t="shared" si="19"/>
        <v>http://dx.doi.org/10.1109/VISUAL.2003.1250411</v>
      </c>
      <c r="F1666" s="14">
        <v>489.0</v>
      </c>
      <c r="G1666" s="14">
        <v>496.0</v>
      </c>
      <c r="H1666" s="151"/>
      <c r="I1666" s="14" t="s">
        <v>28</v>
      </c>
      <c r="J1666" s="14" t="s">
        <v>15346</v>
      </c>
      <c r="K1666" s="14" t="s">
        <v>37857</v>
      </c>
      <c r="L1666" s="152" t="s">
        <v>13756</v>
      </c>
      <c r="M1666" s="14" t="s">
        <v>37859</v>
      </c>
      <c r="N1666" s="54" t="s">
        <v>37857</v>
      </c>
      <c r="O1666" s="130" t="s">
        <v>13757</v>
      </c>
      <c r="P1666" s="153" t="s">
        <v>13758</v>
      </c>
      <c r="Q1666" s="14">
        <v>1250411.0</v>
      </c>
      <c r="R1666" s="95"/>
      <c r="S1666" s="154" t="s">
        <v>37860</v>
      </c>
      <c r="T1666" s="84"/>
      <c r="U1666" s="84"/>
      <c r="V1666" s="84"/>
      <c r="W1666" s="84"/>
      <c r="X1666" s="84"/>
      <c r="Y1666" s="84"/>
      <c r="Z1666" s="84"/>
      <c r="AA1666" s="84"/>
      <c r="AB1666" s="84"/>
      <c r="AC1666" s="84"/>
    </row>
    <row r="1667" ht="15.75" customHeight="1">
      <c r="A1667" s="14" t="s">
        <v>17</v>
      </c>
      <c r="B1667" s="14">
        <v>2003.0</v>
      </c>
      <c r="C1667" s="14" t="s">
        <v>13204</v>
      </c>
      <c r="D1667" s="14" t="s">
        <v>13205</v>
      </c>
      <c r="E1667" s="150" t="str">
        <f t="shared" si="19"/>
        <v>http://dx.doi.org/10.1109/VISUAL.2003.1250353</v>
      </c>
      <c r="F1667" s="14">
        <v>43.0</v>
      </c>
      <c r="G1667" s="14">
        <v>50.0</v>
      </c>
      <c r="H1667" s="151"/>
      <c r="I1667" s="14" t="s">
        <v>28</v>
      </c>
      <c r="J1667" s="14" t="s">
        <v>14662</v>
      </c>
      <c r="K1667" s="14" t="s">
        <v>37863</v>
      </c>
      <c r="L1667" s="152" t="s">
        <v>10259</v>
      </c>
      <c r="M1667" s="14" t="s">
        <v>37864</v>
      </c>
      <c r="N1667" s="54" t="s">
        <v>37865</v>
      </c>
      <c r="O1667" s="130" t="s">
        <v>13208</v>
      </c>
      <c r="P1667" s="153" t="s">
        <v>11972</v>
      </c>
      <c r="Q1667" s="14">
        <v>1250353.0</v>
      </c>
      <c r="R1667" s="95"/>
      <c r="S1667" s="154" t="s">
        <v>37866</v>
      </c>
      <c r="T1667" s="84"/>
      <c r="U1667" s="84"/>
      <c r="V1667" s="84"/>
      <c r="W1667" s="84"/>
      <c r="X1667" s="84"/>
      <c r="Y1667" s="84"/>
      <c r="Z1667" s="84"/>
      <c r="AA1667" s="84"/>
      <c r="AB1667" s="84"/>
      <c r="AC1667" s="84"/>
    </row>
    <row r="1668" ht="15.75" customHeight="1">
      <c r="A1668" s="14" t="s">
        <v>17</v>
      </c>
      <c r="B1668" s="14">
        <v>2003.0</v>
      </c>
      <c r="C1668" s="14" t="s">
        <v>13739</v>
      </c>
      <c r="D1668" s="14" t="s">
        <v>13740</v>
      </c>
      <c r="E1668" s="150" t="str">
        <f t="shared" si="19"/>
        <v>http://dx.doi.org/10.1109/VISUAL.2003.1250409</v>
      </c>
      <c r="F1668" s="14">
        <v>473.0</v>
      </c>
      <c r="G1668" s="14">
        <v>480.0</v>
      </c>
      <c r="H1668" s="151"/>
      <c r="I1668" s="14" t="s">
        <v>28</v>
      </c>
      <c r="J1668" s="14" t="s">
        <v>15340</v>
      </c>
      <c r="K1668" s="14" t="s">
        <v>37901</v>
      </c>
      <c r="L1668" s="152" t="s">
        <v>13743</v>
      </c>
      <c r="M1668" s="14" t="s">
        <v>37902</v>
      </c>
      <c r="N1668" s="54" t="s">
        <v>37901</v>
      </c>
      <c r="O1668" s="130" t="s">
        <v>13744</v>
      </c>
      <c r="P1668" s="153" t="s">
        <v>13745</v>
      </c>
      <c r="Q1668" s="14">
        <v>1250409.0</v>
      </c>
      <c r="R1668" s="95"/>
      <c r="S1668" s="154" t="s">
        <v>37904</v>
      </c>
      <c r="T1668" s="84"/>
      <c r="U1668" s="84"/>
      <c r="V1668" s="84"/>
      <c r="W1668" s="84"/>
      <c r="X1668" s="84"/>
      <c r="Y1668" s="84"/>
      <c r="Z1668" s="84"/>
      <c r="AA1668" s="84"/>
      <c r="AB1668" s="84"/>
      <c r="AC1668" s="84"/>
    </row>
    <row r="1669" ht="15.75" customHeight="1">
      <c r="A1669" s="14" t="s">
        <v>17</v>
      </c>
      <c r="B1669" s="14">
        <v>2003.0</v>
      </c>
      <c r="C1669" s="14" t="s">
        <v>13454</v>
      </c>
      <c r="D1669" s="14" t="s">
        <v>13455</v>
      </c>
      <c r="E1669" s="150" t="str">
        <f t="shared" si="19"/>
        <v>http://dx.doi.org/10.1109/VISUAL.2003.1250378</v>
      </c>
      <c r="F1669" s="14">
        <v>241.0</v>
      </c>
      <c r="G1669" s="14">
        <v>248.0</v>
      </c>
      <c r="H1669" s="151"/>
      <c r="I1669" s="14" t="s">
        <v>28</v>
      </c>
      <c r="J1669" s="14" t="s">
        <v>15180</v>
      </c>
      <c r="K1669" s="14" t="s">
        <v>37909</v>
      </c>
      <c r="L1669" s="152" t="s">
        <v>13416</v>
      </c>
      <c r="M1669" s="14" t="s">
        <v>37910</v>
      </c>
      <c r="N1669" s="54" t="s">
        <v>37909</v>
      </c>
      <c r="O1669" s="130" t="s">
        <v>13464</v>
      </c>
      <c r="P1669" s="153" t="s">
        <v>13465</v>
      </c>
      <c r="Q1669" s="14">
        <v>1250378.0</v>
      </c>
      <c r="R1669" s="95"/>
      <c r="S1669" s="154" t="s">
        <v>37912</v>
      </c>
      <c r="T1669" s="84"/>
      <c r="U1669" s="84"/>
      <c r="V1669" s="84"/>
      <c r="W1669" s="84"/>
      <c r="X1669" s="84"/>
      <c r="Y1669" s="84"/>
      <c r="Z1669" s="84"/>
      <c r="AA1669" s="84"/>
      <c r="AB1669" s="84"/>
      <c r="AC1669" s="84"/>
    </row>
    <row r="1670" ht="15.75" customHeight="1">
      <c r="A1670" s="14" t="s">
        <v>17</v>
      </c>
      <c r="B1670" s="14">
        <v>2003.0</v>
      </c>
      <c r="C1670" s="14" t="s">
        <v>13389</v>
      </c>
      <c r="D1670" s="14" t="s">
        <v>13390</v>
      </c>
      <c r="E1670" s="150" t="str">
        <f t="shared" si="19"/>
        <v>http://dx.doi.org/10.1109/VISUAL.2003.1250372</v>
      </c>
      <c r="F1670" s="14">
        <v>193.0</v>
      </c>
      <c r="G1670" s="14">
        <v>200.0</v>
      </c>
      <c r="H1670" s="151"/>
      <c r="I1670" s="14" t="s">
        <v>28</v>
      </c>
      <c r="J1670" s="14" t="s">
        <v>15133</v>
      </c>
      <c r="K1670" s="14" t="s">
        <v>37916</v>
      </c>
      <c r="L1670" s="152" t="s">
        <v>13396</v>
      </c>
      <c r="M1670" s="14" t="s">
        <v>37917</v>
      </c>
      <c r="N1670" s="54" t="s">
        <v>37916</v>
      </c>
      <c r="O1670" s="130" t="s">
        <v>13397</v>
      </c>
      <c r="P1670" s="153" t="s">
        <v>13398</v>
      </c>
      <c r="Q1670" s="14">
        <v>1250372.0</v>
      </c>
      <c r="R1670" s="95"/>
      <c r="S1670" s="154" t="s">
        <v>37923</v>
      </c>
      <c r="T1670" s="84"/>
      <c r="U1670" s="84"/>
      <c r="V1670" s="84"/>
      <c r="W1670" s="84"/>
      <c r="X1670" s="84"/>
      <c r="Y1670" s="84"/>
      <c r="Z1670" s="84"/>
      <c r="AA1670" s="84"/>
      <c r="AB1670" s="84"/>
      <c r="AC1670" s="84"/>
    </row>
    <row r="1671" ht="15.75" customHeight="1">
      <c r="A1671" s="14" t="s">
        <v>17</v>
      </c>
      <c r="B1671" s="14">
        <v>2003.0</v>
      </c>
      <c r="C1671" s="14" t="s">
        <v>13530</v>
      </c>
      <c r="D1671" s="14" t="s">
        <v>13531</v>
      </c>
      <c r="E1671" s="150" t="str">
        <f t="shared" si="19"/>
        <v>http://dx.doi.org/10.1109/VISUAL.2003.1250385</v>
      </c>
      <c r="F1671" s="14">
        <v>293.0</v>
      </c>
      <c r="G1671" s="14">
        <v>300.0</v>
      </c>
      <c r="H1671" s="151"/>
      <c r="I1671" s="14" t="s">
        <v>28</v>
      </c>
      <c r="J1671" s="14" t="s">
        <v>15228</v>
      </c>
      <c r="K1671" s="14" t="s">
        <v>37930</v>
      </c>
      <c r="L1671" s="152" t="s">
        <v>13526</v>
      </c>
      <c r="M1671" s="14" t="s">
        <v>37932</v>
      </c>
      <c r="N1671" s="54" t="s">
        <v>37930</v>
      </c>
      <c r="O1671" s="130" t="s">
        <v>13534</v>
      </c>
      <c r="P1671" s="153" t="s">
        <v>13535</v>
      </c>
      <c r="Q1671" s="14">
        <v>1250385.0</v>
      </c>
      <c r="R1671" s="95"/>
      <c r="S1671" s="154" t="s">
        <v>37933</v>
      </c>
      <c r="T1671" s="84"/>
      <c r="U1671" s="84"/>
      <c r="V1671" s="84"/>
      <c r="W1671" s="84"/>
      <c r="X1671" s="84"/>
      <c r="Y1671" s="84"/>
      <c r="Z1671" s="84"/>
      <c r="AA1671" s="84"/>
      <c r="AB1671" s="84"/>
      <c r="AC1671" s="84"/>
    </row>
    <row r="1672" ht="15.75" customHeight="1">
      <c r="A1672" s="14" t="s">
        <v>17</v>
      </c>
      <c r="B1672" s="14">
        <v>2003.0</v>
      </c>
      <c r="C1672" s="14" t="s">
        <v>13600</v>
      </c>
      <c r="D1672" s="14" t="s">
        <v>13601</v>
      </c>
      <c r="E1672" s="150" t="str">
        <f t="shared" si="19"/>
        <v>http://dx.doi.org/10.1109/VISUAL.2003.1250392</v>
      </c>
      <c r="F1672" s="14">
        <v>349.0</v>
      </c>
      <c r="G1672" s="14">
        <v>354.0</v>
      </c>
      <c r="H1672" s="151"/>
      <c r="I1672" s="14" t="s">
        <v>28</v>
      </c>
      <c r="J1672" s="14" t="s">
        <v>15282</v>
      </c>
      <c r="K1672" s="14" t="s">
        <v>37938</v>
      </c>
      <c r="L1672" s="152" t="s">
        <v>13611</v>
      </c>
      <c r="M1672" s="14" t="s">
        <v>37939</v>
      </c>
      <c r="N1672" s="54" t="s">
        <v>37938</v>
      </c>
      <c r="O1672" s="130"/>
      <c r="P1672" s="153" t="s">
        <v>13612</v>
      </c>
      <c r="Q1672" s="14">
        <v>1250392.0</v>
      </c>
      <c r="R1672" s="95"/>
      <c r="S1672" s="154"/>
      <c r="T1672" s="84"/>
      <c r="U1672" s="84"/>
      <c r="V1672" s="84"/>
      <c r="W1672" s="84"/>
      <c r="X1672" s="84"/>
      <c r="Y1672" s="84"/>
      <c r="Z1672" s="84"/>
      <c r="AA1672" s="84"/>
      <c r="AB1672" s="84"/>
      <c r="AC1672" s="84"/>
    </row>
    <row r="1673" ht="15.75" customHeight="1">
      <c r="A1673" s="14" t="s">
        <v>17</v>
      </c>
      <c r="B1673" s="14">
        <v>2003.0</v>
      </c>
      <c r="C1673" s="14" t="s">
        <v>13209</v>
      </c>
      <c r="D1673" s="14" t="s">
        <v>13210</v>
      </c>
      <c r="E1673" s="150" t="str">
        <f t="shared" si="19"/>
        <v>http://dx.doi.org/10.1109/VISUAL.2003.1250354</v>
      </c>
      <c r="F1673" s="14">
        <v>51.0</v>
      </c>
      <c r="G1673" s="14">
        <v>58.0</v>
      </c>
      <c r="H1673" s="151"/>
      <c r="I1673" s="14" t="s">
        <v>28</v>
      </c>
      <c r="J1673" s="14" t="s">
        <v>14665</v>
      </c>
      <c r="K1673" s="14" t="s">
        <v>37942</v>
      </c>
      <c r="L1673" s="152" t="s">
        <v>13213</v>
      </c>
      <c r="M1673" s="14" t="s">
        <v>37944</v>
      </c>
      <c r="N1673" s="54" t="s">
        <v>37942</v>
      </c>
      <c r="O1673" s="130" t="s">
        <v>13214</v>
      </c>
      <c r="P1673" s="153" t="s">
        <v>13215</v>
      </c>
      <c r="Q1673" s="14">
        <v>1250354.0</v>
      </c>
      <c r="R1673" s="95"/>
      <c r="S1673" s="154" t="s">
        <v>37946</v>
      </c>
      <c r="T1673" s="84"/>
      <c r="U1673" s="84"/>
      <c r="V1673" s="84"/>
      <c r="W1673" s="84"/>
      <c r="X1673" s="84"/>
      <c r="Y1673" s="84"/>
      <c r="Z1673" s="84"/>
      <c r="AA1673" s="84"/>
      <c r="AB1673" s="84"/>
      <c r="AC1673" s="84"/>
    </row>
    <row r="1674" ht="15.75" customHeight="1">
      <c r="A1674" s="14" t="s">
        <v>17</v>
      </c>
      <c r="B1674" s="14">
        <v>2003.0</v>
      </c>
      <c r="C1674" s="14" t="s">
        <v>13772</v>
      </c>
      <c r="D1674" s="14" t="s">
        <v>13773</v>
      </c>
      <c r="E1674" s="150" t="str">
        <f t="shared" si="19"/>
        <v>http://dx.doi.org/10.1109/VISUAL.2003.1250414</v>
      </c>
      <c r="F1674" s="14">
        <v>513.0</v>
      </c>
      <c r="G1674" s="14">
        <v>520.0</v>
      </c>
      <c r="H1674" s="151"/>
      <c r="I1674" s="14" t="s">
        <v>28</v>
      </c>
      <c r="J1674" s="14" t="s">
        <v>15355</v>
      </c>
      <c r="K1674" s="14" t="s">
        <v>37949</v>
      </c>
      <c r="L1674" s="152" t="s">
        <v>13776</v>
      </c>
      <c r="M1674" s="14" t="s">
        <v>37950</v>
      </c>
      <c r="N1674" s="54" t="s">
        <v>37951</v>
      </c>
      <c r="O1674" s="130" t="s">
        <v>13777</v>
      </c>
      <c r="P1674" s="153" t="s">
        <v>13778</v>
      </c>
      <c r="Q1674" s="14">
        <v>1250414.0</v>
      </c>
      <c r="R1674" s="95"/>
      <c r="S1674" s="154" t="s">
        <v>37953</v>
      </c>
      <c r="T1674" s="84"/>
      <c r="U1674" s="84"/>
      <c r="V1674" s="84"/>
      <c r="W1674" s="84"/>
      <c r="X1674" s="84"/>
      <c r="Y1674" s="84"/>
      <c r="Z1674" s="84"/>
      <c r="AA1674" s="84"/>
      <c r="AB1674" s="84"/>
      <c r="AC1674" s="84"/>
    </row>
    <row r="1675" ht="15.75" customHeight="1">
      <c r="A1675" s="14" t="s">
        <v>17</v>
      </c>
      <c r="B1675" s="14">
        <v>2003.0</v>
      </c>
      <c r="C1675" s="14" t="s">
        <v>13962</v>
      </c>
      <c r="D1675" s="14" t="s">
        <v>13963</v>
      </c>
      <c r="E1675" s="150" t="str">
        <f t="shared" si="19"/>
        <v>http://dx.doi.org/10.1109/VISUAL.2003.1250429</v>
      </c>
      <c r="F1675" s="14">
        <v>615.0</v>
      </c>
      <c r="G1675" s="14">
        <v>617.0</v>
      </c>
      <c r="H1675" s="159" t="s">
        <v>30659</v>
      </c>
      <c r="I1675" s="14" t="s">
        <v>21</v>
      </c>
      <c r="J1675" s="14"/>
      <c r="K1675" s="14" t="s">
        <v>37957</v>
      </c>
      <c r="L1675" s="152" t="s">
        <v>13968</v>
      </c>
      <c r="M1675" s="14" t="s">
        <v>37959</v>
      </c>
      <c r="N1675" s="54" t="s">
        <v>37960</v>
      </c>
      <c r="O1675" s="130"/>
      <c r="P1675" s="16"/>
      <c r="Q1675" s="14">
        <v>1250429.0</v>
      </c>
      <c r="R1675" s="95"/>
      <c r="S1675" s="154"/>
      <c r="T1675" s="84"/>
      <c r="U1675" s="84"/>
      <c r="V1675" s="84"/>
      <c r="W1675" s="84"/>
      <c r="X1675" s="84"/>
      <c r="Y1675" s="84"/>
      <c r="Z1675" s="84"/>
      <c r="AA1675" s="84"/>
      <c r="AB1675" s="84"/>
      <c r="AC1675" s="84"/>
    </row>
    <row r="1676" ht="15.75" customHeight="1">
      <c r="A1676" s="14" t="s">
        <v>17</v>
      </c>
      <c r="B1676" s="14">
        <v>2003.0</v>
      </c>
      <c r="C1676" s="14" t="s">
        <v>13284</v>
      </c>
      <c r="D1676" s="14" t="s">
        <v>13285</v>
      </c>
      <c r="E1676" s="150" t="str">
        <f t="shared" si="19"/>
        <v>http://dx.doi.org/10.1109/VISUAL.2003.1250362</v>
      </c>
      <c r="F1676" s="14">
        <v>115.0</v>
      </c>
      <c r="G1676" s="14">
        <v>121.0</v>
      </c>
      <c r="H1676" s="151"/>
      <c r="I1676" s="14" t="s">
        <v>28</v>
      </c>
      <c r="J1676" s="14" t="s">
        <v>15050</v>
      </c>
      <c r="K1676" s="14" t="s">
        <v>37964</v>
      </c>
      <c r="L1676" s="152" t="s">
        <v>13291</v>
      </c>
      <c r="M1676" s="14" t="s">
        <v>37965</v>
      </c>
      <c r="N1676" s="54" t="s">
        <v>37967</v>
      </c>
      <c r="O1676" s="130" t="s">
        <v>13292</v>
      </c>
      <c r="P1676" s="153" t="s">
        <v>13293</v>
      </c>
      <c r="Q1676" s="14">
        <v>1250362.0</v>
      </c>
      <c r="R1676" s="95"/>
      <c r="S1676" s="154" t="s">
        <v>37968</v>
      </c>
      <c r="T1676" s="84"/>
      <c r="U1676" s="84"/>
      <c r="V1676" s="84"/>
      <c r="W1676" s="84"/>
      <c r="X1676" s="84"/>
      <c r="Y1676" s="84"/>
      <c r="Z1676" s="84"/>
      <c r="AA1676" s="84"/>
      <c r="AB1676" s="84"/>
      <c r="AC1676" s="84"/>
    </row>
    <row r="1677" ht="15.75" customHeight="1">
      <c r="A1677" s="14" t="s">
        <v>17</v>
      </c>
      <c r="B1677" s="14">
        <v>2003.0</v>
      </c>
      <c r="C1677" s="14" t="s">
        <v>13559</v>
      </c>
      <c r="D1677" s="14" t="s">
        <v>13560</v>
      </c>
      <c r="E1677" s="150" t="str">
        <f t="shared" si="19"/>
        <v>http://dx.doi.org/10.1109/VISUAL.2003.1250388</v>
      </c>
      <c r="F1677" s="14">
        <v>317.0</v>
      </c>
      <c r="G1677" s="14">
        <v>324.0</v>
      </c>
      <c r="H1677" s="151"/>
      <c r="I1677" s="14" t="s">
        <v>28</v>
      </c>
      <c r="J1677" s="14" t="s">
        <v>15253</v>
      </c>
      <c r="K1677" s="14" t="s">
        <v>37971</v>
      </c>
      <c r="L1677" s="152" t="s">
        <v>13567</v>
      </c>
      <c r="M1677" s="14" t="s">
        <v>37973</v>
      </c>
      <c r="N1677" s="54" t="s">
        <v>37971</v>
      </c>
      <c r="O1677" s="130" t="s">
        <v>13568</v>
      </c>
      <c r="P1677" s="153" t="s">
        <v>13569</v>
      </c>
      <c r="Q1677" s="14">
        <v>1250388.0</v>
      </c>
      <c r="R1677" s="95"/>
      <c r="S1677" s="154" t="s">
        <v>37974</v>
      </c>
      <c r="T1677" s="84"/>
      <c r="U1677" s="84"/>
      <c r="V1677" s="84"/>
      <c r="W1677" s="84"/>
      <c r="X1677" s="84"/>
      <c r="Y1677" s="84"/>
      <c r="Z1677" s="84"/>
      <c r="AA1677" s="84"/>
      <c r="AB1677" s="84"/>
      <c r="AC1677" s="84"/>
    </row>
    <row r="1678" ht="15.75" customHeight="1">
      <c r="A1678" s="14" t="s">
        <v>17</v>
      </c>
      <c r="B1678" s="14">
        <v>2003.0</v>
      </c>
      <c r="C1678" s="14" t="s">
        <v>13192</v>
      </c>
      <c r="D1678" s="14" t="s">
        <v>13193</v>
      </c>
      <c r="E1678" s="150" t="str">
        <f t="shared" si="19"/>
        <v>http://dx.doi.org/10.1109/VISUAL.2003.1250351</v>
      </c>
      <c r="F1678" s="14">
        <v>27.0</v>
      </c>
      <c r="G1678" s="14">
        <v>34.0</v>
      </c>
      <c r="H1678" s="151"/>
      <c r="I1678" s="14" t="s">
        <v>28</v>
      </c>
      <c r="J1678" s="14" t="s">
        <v>14656</v>
      </c>
      <c r="K1678" s="14" t="s">
        <v>37977</v>
      </c>
      <c r="L1678" s="152" t="s">
        <v>13196</v>
      </c>
      <c r="M1678" s="14" t="s">
        <v>37978</v>
      </c>
      <c r="N1678" s="54" t="s">
        <v>37977</v>
      </c>
      <c r="O1678" s="130" t="s">
        <v>11961</v>
      </c>
      <c r="P1678" s="153" t="s">
        <v>13197</v>
      </c>
      <c r="Q1678" s="14">
        <v>1250351.0</v>
      </c>
      <c r="R1678" s="95"/>
      <c r="S1678" s="154">
        <v>1183754.0</v>
      </c>
      <c r="T1678" s="84"/>
      <c r="U1678" s="84"/>
      <c r="V1678" s="84"/>
      <c r="W1678" s="84"/>
      <c r="X1678" s="84"/>
      <c r="Y1678" s="84"/>
      <c r="Z1678" s="84"/>
      <c r="AA1678" s="84"/>
      <c r="AB1678" s="84"/>
      <c r="AC1678" s="84"/>
    </row>
    <row r="1679" ht="15.75" customHeight="1">
      <c r="A1679" s="14" t="s">
        <v>17</v>
      </c>
      <c r="B1679" s="14">
        <v>2003.0</v>
      </c>
      <c r="C1679" s="14" t="s">
        <v>13227</v>
      </c>
      <c r="D1679" s="14" t="s">
        <v>13228</v>
      </c>
      <c r="E1679" s="150" t="str">
        <f t="shared" si="19"/>
        <v>http://dx.doi.org/10.1109/VISUAL.2003.1250356</v>
      </c>
      <c r="F1679" s="14">
        <v>67.0</v>
      </c>
      <c r="G1679" s="14">
        <v>74.0</v>
      </c>
      <c r="H1679" s="151"/>
      <c r="I1679" s="14" t="s">
        <v>28</v>
      </c>
      <c r="J1679" s="14" t="s">
        <v>14671</v>
      </c>
      <c r="K1679" s="14" t="s">
        <v>37979</v>
      </c>
      <c r="L1679" s="152" t="s">
        <v>13236</v>
      </c>
      <c r="M1679" s="14" t="s">
        <v>37981</v>
      </c>
      <c r="N1679" s="54" t="s">
        <v>37979</v>
      </c>
      <c r="O1679" s="130" t="s">
        <v>13237</v>
      </c>
      <c r="P1679" s="153" t="s">
        <v>13238</v>
      </c>
      <c r="Q1679" s="14">
        <v>1250356.0</v>
      </c>
      <c r="R1679" s="95"/>
      <c r="S1679" s="154" t="s">
        <v>37982</v>
      </c>
      <c r="T1679" s="84"/>
      <c r="U1679" s="84"/>
      <c r="V1679" s="84"/>
      <c r="W1679" s="84"/>
      <c r="X1679" s="84"/>
      <c r="Y1679" s="84"/>
      <c r="Z1679" s="84"/>
      <c r="AA1679" s="84"/>
      <c r="AB1679" s="84"/>
      <c r="AC1679" s="84"/>
    </row>
    <row r="1680" ht="15.75" customHeight="1">
      <c r="A1680" s="14" t="s">
        <v>17</v>
      </c>
      <c r="B1680" s="14">
        <v>2003.0</v>
      </c>
      <c r="C1680" s="14" t="s">
        <v>13652</v>
      </c>
      <c r="D1680" s="14" t="s">
        <v>13653</v>
      </c>
      <c r="E1680" s="150" t="str">
        <f t="shared" si="19"/>
        <v>http://dx.doi.org/10.1109/VISUAL.2003.1250398</v>
      </c>
      <c r="F1680" s="14">
        <v>387.0</v>
      </c>
      <c r="G1680" s="14">
        <v>392.0</v>
      </c>
      <c r="H1680" s="151"/>
      <c r="I1680" s="14" t="s">
        <v>28</v>
      </c>
      <c r="J1680" s="14" t="s">
        <v>15307</v>
      </c>
      <c r="K1680" s="14" t="s">
        <v>6472</v>
      </c>
      <c r="L1680" s="152" t="s">
        <v>13659</v>
      </c>
      <c r="M1680" s="14">
        <v>3.7282067E10</v>
      </c>
      <c r="N1680" s="54" t="s">
        <v>6472</v>
      </c>
      <c r="O1680" s="130"/>
      <c r="P1680" s="153" t="s">
        <v>13660</v>
      </c>
      <c r="Q1680" s="14">
        <v>1250398.0</v>
      </c>
      <c r="R1680" s="95"/>
      <c r="S1680" s="154"/>
      <c r="T1680" s="84"/>
      <c r="U1680" s="84"/>
      <c r="V1680" s="84"/>
      <c r="W1680" s="84"/>
      <c r="X1680" s="84"/>
      <c r="Y1680" s="84"/>
      <c r="Z1680" s="84"/>
      <c r="AA1680" s="84"/>
      <c r="AB1680" s="84"/>
      <c r="AC1680" s="84"/>
    </row>
    <row r="1681" ht="15.75" customHeight="1">
      <c r="A1681" s="14" t="s">
        <v>17</v>
      </c>
      <c r="B1681" s="14">
        <v>2003.0</v>
      </c>
      <c r="C1681" s="14" t="s">
        <v>13362</v>
      </c>
      <c r="D1681" s="14" t="s">
        <v>13363</v>
      </c>
      <c r="E1681" s="150" t="str">
        <f t="shared" si="19"/>
        <v>http://dx.doi.org/10.1109/VISUAL.2003.1250369</v>
      </c>
      <c r="F1681" s="14">
        <v>171.0</v>
      </c>
      <c r="G1681" s="14">
        <v>176.0</v>
      </c>
      <c r="H1681" s="151"/>
      <c r="I1681" s="14" t="s">
        <v>28</v>
      </c>
      <c r="J1681" s="14" t="s">
        <v>15108</v>
      </c>
      <c r="K1681" s="14" t="s">
        <v>37989</v>
      </c>
      <c r="L1681" s="152" t="s">
        <v>4915</v>
      </c>
      <c r="M1681" s="14" t="s">
        <v>37990</v>
      </c>
      <c r="N1681" s="54" t="s">
        <v>37989</v>
      </c>
      <c r="O1681" s="130" t="s">
        <v>13244</v>
      </c>
      <c r="P1681" s="153" t="s">
        <v>13368</v>
      </c>
      <c r="Q1681" s="14">
        <v>1250369.0</v>
      </c>
      <c r="R1681" s="95"/>
      <c r="S1681" s="154">
        <v>1250357.0</v>
      </c>
      <c r="T1681" s="84"/>
      <c r="U1681" s="84"/>
      <c r="V1681" s="84"/>
      <c r="W1681" s="84"/>
      <c r="X1681" s="84"/>
      <c r="Y1681" s="84"/>
      <c r="Z1681" s="84"/>
      <c r="AA1681" s="84"/>
      <c r="AB1681" s="84"/>
      <c r="AC1681" s="84"/>
    </row>
    <row r="1682" ht="15.75" customHeight="1">
      <c r="A1682" s="14" t="s">
        <v>17</v>
      </c>
      <c r="B1682" s="14">
        <v>2003.0</v>
      </c>
      <c r="C1682" s="14" t="s">
        <v>13271</v>
      </c>
      <c r="D1682" s="14" t="s">
        <v>13272</v>
      </c>
      <c r="E1682" s="150" t="str">
        <f t="shared" si="19"/>
        <v>http://dx.doi.org/10.1109/VISUAL.2003.1250360</v>
      </c>
      <c r="F1682" s="14">
        <v>99.0</v>
      </c>
      <c r="G1682" s="14">
        <v>106.0</v>
      </c>
      <c r="H1682" s="151"/>
      <c r="I1682" s="14" t="s">
        <v>28</v>
      </c>
      <c r="J1682" s="14" t="s">
        <v>14684</v>
      </c>
      <c r="K1682" s="14" t="s">
        <v>37995</v>
      </c>
      <c r="L1682" s="152" t="s">
        <v>4370</v>
      </c>
      <c r="M1682" s="14" t="s">
        <v>37997</v>
      </c>
      <c r="N1682" s="54" t="s">
        <v>37995</v>
      </c>
      <c r="O1682" s="130" t="s">
        <v>13275</v>
      </c>
      <c r="P1682" s="153" t="s">
        <v>13276</v>
      </c>
      <c r="Q1682" s="14">
        <v>1250360.0</v>
      </c>
      <c r="R1682" s="95"/>
      <c r="S1682" s="154" t="s">
        <v>37998</v>
      </c>
      <c r="T1682" s="84"/>
      <c r="U1682" s="84"/>
      <c r="V1682" s="84"/>
      <c r="W1682" s="84"/>
      <c r="X1682" s="84"/>
      <c r="Y1682" s="84"/>
      <c r="Z1682" s="84"/>
      <c r="AA1682" s="84"/>
      <c r="AB1682" s="84"/>
      <c r="AC1682" s="84"/>
    </row>
    <row r="1683" ht="15.75" customHeight="1">
      <c r="A1683" s="14" t="s">
        <v>17</v>
      </c>
      <c r="B1683" s="14">
        <v>2003.0</v>
      </c>
      <c r="C1683" s="14" t="s">
        <v>13379</v>
      </c>
      <c r="D1683" s="14" t="s">
        <v>13380</v>
      </c>
      <c r="E1683" s="150" t="str">
        <f t="shared" si="19"/>
        <v>http://dx.doi.org/10.1109/VISUAL.2003.1250371</v>
      </c>
      <c r="F1683" s="14">
        <v>185.0</v>
      </c>
      <c r="G1683" s="14">
        <v>192.0</v>
      </c>
      <c r="H1683" s="151"/>
      <c r="I1683" s="14" t="s">
        <v>28</v>
      </c>
      <c r="J1683" s="14" t="s">
        <v>15126</v>
      </c>
      <c r="K1683" s="14" t="s">
        <v>10536</v>
      </c>
      <c r="L1683" s="152" t="s">
        <v>13386</v>
      </c>
      <c r="M1683" s="14">
        <v>3.72667537E10</v>
      </c>
      <c r="N1683" s="54" t="s">
        <v>10536</v>
      </c>
      <c r="O1683" s="130" t="s">
        <v>13387</v>
      </c>
      <c r="P1683" s="153" t="s">
        <v>13388</v>
      </c>
      <c r="Q1683" s="14">
        <v>1250371.0</v>
      </c>
      <c r="R1683" s="95"/>
      <c r="S1683" s="154" t="s">
        <v>38012</v>
      </c>
      <c r="T1683" s="84"/>
      <c r="U1683" s="84"/>
      <c r="V1683" s="84"/>
      <c r="W1683" s="84"/>
      <c r="X1683" s="84"/>
      <c r="Y1683" s="84"/>
      <c r="Z1683" s="84"/>
      <c r="AA1683" s="84"/>
      <c r="AB1683" s="84"/>
      <c r="AC1683" s="84"/>
    </row>
    <row r="1684" ht="15.75" customHeight="1">
      <c r="A1684" s="14" t="s">
        <v>17</v>
      </c>
      <c r="B1684" s="14">
        <v>2003.0</v>
      </c>
      <c r="C1684" s="14" t="s">
        <v>13759</v>
      </c>
      <c r="D1684" s="14" t="s">
        <v>13760</v>
      </c>
      <c r="E1684" s="150" t="str">
        <f t="shared" si="19"/>
        <v>http://dx.doi.org/10.1109/VISUAL.2003.1250412</v>
      </c>
      <c r="F1684" s="14">
        <v>497.0</v>
      </c>
      <c r="G1684" s="14">
        <v>504.0</v>
      </c>
      <c r="H1684" s="151"/>
      <c r="I1684" s="14" t="s">
        <v>28</v>
      </c>
      <c r="J1684" s="14" t="s">
        <v>15350</v>
      </c>
      <c r="K1684" s="14" t="s">
        <v>38016</v>
      </c>
      <c r="L1684" s="152" t="s">
        <v>13763</v>
      </c>
      <c r="M1684" s="14" t="s">
        <v>38017</v>
      </c>
      <c r="N1684" s="54" t="s">
        <v>38016</v>
      </c>
      <c r="O1684" s="130" t="s">
        <v>13764</v>
      </c>
      <c r="P1684" s="153" t="s">
        <v>13765</v>
      </c>
      <c r="Q1684" s="14">
        <v>1250412.0</v>
      </c>
      <c r="R1684" s="95"/>
      <c r="S1684" s="154" t="s">
        <v>38018</v>
      </c>
      <c r="T1684" s="84"/>
      <c r="U1684" s="84"/>
      <c r="V1684" s="84"/>
      <c r="W1684" s="84"/>
      <c r="X1684" s="84"/>
      <c r="Y1684" s="84"/>
      <c r="Z1684" s="84"/>
      <c r="AA1684" s="84"/>
      <c r="AB1684" s="84"/>
      <c r="AC1684" s="84"/>
    </row>
    <row r="1685" ht="15.75" customHeight="1">
      <c r="A1685" s="14" t="s">
        <v>17</v>
      </c>
      <c r="B1685" s="14">
        <v>2003.0</v>
      </c>
      <c r="C1685" s="14" t="s">
        <v>13546</v>
      </c>
      <c r="D1685" s="14" t="s">
        <v>13547</v>
      </c>
      <c r="E1685" s="150" t="str">
        <f t="shared" si="19"/>
        <v>http://dx.doi.org/10.1109/VISUAL.2003.1250387</v>
      </c>
      <c r="F1685" s="14">
        <v>309.0</v>
      </c>
      <c r="G1685" s="14">
        <v>316.0</v>
      </c>
      <c r="H1685" s="151"/>
      <c r="I1685" s="14" t="s">
        <v>28</v>
      </c>
      <c r="J1685" s="14" t="s">
        <v>15245</v>
      </c>
      <c r="K1685" s="14" t="s">
        <v>36840</v>
      </c>
      <c r="L1685" s="152" t="s">
        <v>13553</v>
      </c>
      <c r="M1685" s="14" t="s">
        <v>36841</v>
      </c>
      <c r="N1685" s="54" t="s">
        <v>36842</v>
      </c>
      <c r="O1685" s="130" t="s">
        <v>13554</v>
      </c>
      <c r="P1685" s="153" t="s">
        <v>13555</v>
      </c>
      <c r="Q1685" s="14">
        <v>1250387.0</v>
      </c>
      <c r="R1685" s="95"/>
      <c r="S1685" s="154" t="s">
        <v>38022</v>
      </c>
      <c r="T1685" s="84"/>
      <c r="U1685" s="84"/>
      <c r="V1685" s="84"/>
      <c r="W1685" s="84"/>
      <c r="X1685" s="84"/>
      <c r="Y1685" s="84"/>
      <c r="Z1685" s="84"/>
      <c r="AA1685" s="84"/>
      <c r="AB1685" s="84"/>
      <c r="AC1685" s="84"/>
    </row>
    <row r="1686" ht="15.75" customHeight="1">
      <c r="A1686" s="14" t="s">
        <v>17</v>
      </c>
      <c r="B1686" s="14">
        <v>2003.0</v>
      </c>
      <c r="C1686" s="14" t="s">
        <v>13581</v>
      </c>
      <c r="D1686" s="14" t="s">
        <v>13582</v>
      </c>
      <c r="E1686" s="150" t="str">
        <f t="shared" si="19"/>
        <v>http://dx.doi.org/10.1109/VISUAL.2003.1250390</v>
      </c>
      <c r="F1686" s="14">
        <v>333.0</v>
      </c>
      <c r="G1686" s="14">
        <v>340.0</v>
      </c>
      <c r="H1686" s="151"/>
      <c r="I1686" s="14" t="s">
        <v>28</v>
      </c>
      <c r="J1686" s="14" t="s">
        <v>15269</v>
      </c>
      <c r="K1686" s="14" t="s">
        <v>38026</v>
      </c>
      <c r="L1686" s="152" t="s">
        <v>13588</v>
      </c>
      <c r="M1686" s="14" t="s">
        <v>38027</v>
      </c>
      <c r="N1686" s="54" t="s">
        <v>38028</v>
      </c>
      <c r="O1686" s="130" t="s">
        <v>5701</v>
      </c>
      <c r="P1686" s="153" t="s">
        <v>13589</v>
      </c>
      <c r="Q1686" s="14">
        <v>1250390.0</v>
      </c>
      <c r="R1686" s="95"/>
      <c r="S1686" s="154">
        <v>885683.0</v>
      </c>
      <c r="T1686" s="84"/>
      <c r="U1686" s="84"/>
      <c r="V1686" s="84"/>
      <c r="W1686" s="84"/>
      <c r="X1686" s="84"/>
      <c r="Y1686" s="84"/>
      <c r="Z1686" s="84"/>
      <c r="AA1686" s="84"/>
      <c r="AB1686" s="84"/>
      <c r="AC1686" s="84"/>
    </row>
    <row r="1687" ht="15.75" customHeight="1">
      <c r="A1687" s="14" t="s">
        <v>17</v>
      </c>
      <c r="B1687" s="14">
        <v>2003.0</v>
      </c>
      <c r="C1687" s="14" t="s">
        <v>13889</v>
      </c>
      <c r="D1687" s="14" t="s">
        <v>13890</v>
      </c>
      <c r="E1687" s="150" t="str">
        <f t="shared" si="19"/>
        <v>http://dx.doi.org/10.1109/VISUAL.2003.1250425</v>
      </c>
      <c r="F1687" s="14">
        <v>597.0</v>
      </c>
      <c r="G1687" s="14">
        <v>602.0</v>
      </c>
      <c r="H1687" s="151"/>
      <c r="I1687" s="14" t="s">
        <v>28</v>
      </c>
      <c r="J1687" s="14" t="s">
        <v>15387</v>
      </c>
      <c r="K1687" s="14" t="s">
        <v>38030</v>
      </c>
      <c r="L1687" s="152" t="s">
        <v>13898</v>
      </c>
      <c r="M1687" s="14" t="s">
        <v>38031</v>
      </c>
      <c r="N1687" s="54" t="s">
        <v>38033</v>
      </c>
      <c r="O1687" s="130" t="s">
        <v>13899</v>
      </c>
      <c r="P1687" s="153" t="s">
        <v>13900</v>
      </c>
      <c r="Q1687" s="14">
        <v>1250425.0</v>
      </c>
      <c r="R1687" s="95"/>
      <c r="S1687" s="154" t="s">
        <v>38034</v>
      </c>
      <c r="T1687" s="84"/>
      <c r="U1687" s="84"/>
      <c r="V1687" s="84"/>
      <c r="W1687" s="84"/>
      <c r="X1687" s="84"/>
      <c r="Y1687" s="84"/>
      <c r="Z1687" s="84"/>
      <c r="AA1687" s="84"/>
      <c r="AB1687" s="84"/>
      <c r="AC1687" s="84"/>
    </row>
    <row r="1688" ht="15.75" customHeight="1">
      <c r="A1688" s="14" t="s">
        <v>17</v>
      </c>
      <c r="B1688" s="14">
        <v>2003.0</v>
      </c>
      <c r="C1688" s="14" t="s">
        <v>13570</v>
      </c>
      <c r="D1688" s="14" t="s">
        <v>13571</v>
      </c>
      <c r="E1688" s="150" t="str">
        <f t="shared" si="19"/>
        <v>http://dx.doi.org/10.1109/VISUAL.2003.1250389</v>
      </c>
      <c r="F1688" s="14">
        <v>325.0</v>
      </c>
      <c r="G1688" s="14">
        <v>332.0</v>
      </c>
      <c r="H1688" s="151"/>
      <c r="I1688" s="14" t="s">
        <v>28</v>
      </c>
      <c r="J1688" s="14" t="s">
        <v>15260</v>
      </c>
      <c r="K1688" s="14" t="s">
        <v>38037</v>
      </c>
      <c r="L1688" s="152" t="s">
        <v>13578</v>
      </c>
      <c r="M1688" s="14" t="s">
        <v>38038</v>
      </c>
      <c r="N1688" s="54" t="s">
        <v>38037</v>
      </c>
      <c r="O1688" s="130" t="s">
        <v>13579</v>
      </c>
      <c r="P1688" s="153" t="s">
        <v>13580</v>
      </c>
      <c r="Q1688" s="14">
        <v>1250389.0</v>
      </c>
      <c r="R1688" s="95"/>
      <c r="S1688" s="154" t="s">
        <v>38041</v>
      </c>
      <c r="T1688" s="84"/>
      <c r="U1688" s="84"/>
      <c r="V1688" s="84"/>
      <c r="W1688" s="84"/>
      <c r="X1688" s="84"/>
      <c r="Y1688" s="84"/>
      <c r="Z1688" s="84"/>
      <c r="AA1688" s="84"/>
      <c r="AB1688" s="84"/>
      <c r="AC1688" s="84"/>
    </row>
    <row r="1689" ht="15.75" customHeight="1">
      <c r="A1689" s="14" t="s">
        <v>17</v>
      </c>
      <c r="B1689" s="14">
        <v>2003.0</v>
      </c>
      <c r="C1689" s="14" t="s">
        <v>13706</v>
      </c>
      <c r="D1689" s="14" t="s">
        <v>13707</v>
      </c>
      <c r="E1689" s="150" t="str">
        <f t="shared" si="19"/>
        <v>http://dx.doi.org/10.1109/VISUAL.2003.1250404</v>
      </c>
      <c r="F1689" s="14">
        <v>433.0</v>
      </c>
      <c r="G1689" s="14">
        <v>440.0</v>
      </c>
      <c r="H1689" s="151"/>
      <c r="I1689" s="14" t="s">
        <v>28</v>
      </c>
      <c r="J1689" s="14" t="s">
        <v>15326</v>
      </c>
      <c r="K1689" s="14" t="s">
        <v>38044</v>
      </c>
      <c r="L1689" s="152" t="s">
        <v>13709</v>
      </c>
      <c r="M1689" s="14" t="s">
        <v>38045</v>
      </c>
      <c r="N1689" s="54" t="s">
        <v>38044</v>
      </c>
      <c r="O1689" s="130" t="s">
        <v>13710</v>
      </c>
      <c r="P1689" s="153" t="s">
        <v>13711</v>
      </c>
      <c r="Q1689" s="14">
        <v>1250404.0</v>
      </c>
      <c r="R1689" s="95"/>
      <c r="S1689" s="154" t="s">
        <v>38046</v>
      </c>
      <c r="T1689" s="84"/>
      <c r="U1689" s="84"/>
      <c r="V1689" s="84"/>
      <c r="W1689" s="84"/>
      <c r="X1689" s="84"/>
      <c r="Y1689" s="84"/>
      <c r="Z1689" s="84"/>
      <c r="AA1689" s="84"/>
      <c r="AB1689" s="84"/>
      <c r="AC1689" s="84"/>
    </row>
    <row r="1690" ht="15.75" customHeight="1">
      <c r="A1690" s="14" t="s">
        <v>17</v>
      </c>
      <c r="B1690" s="14">
        <v>2003.0</v>
      </c>
      <c r="C1690" s="14" t="s">
        <v>13689</v>
      </c>
      <c r="D1690" s="14" t="s">
        <v>13690</v>
      </c>
      <c r="E1690" s="150" t="str">
        <f t="shared" si="19"/>
        <v>http://dx.doi.org/10.1109/VISUAL.2003.1250402</v>
      </c>
      <c r="F1690" s="14">
        <v>417.0</v>
      </c>
      <c r="G1690" s="14">
        <v>424.0</v>
      </c>
      <c r="H1690" s="151"/>
      <c r="I1690" s="14" t="s">
        <v>28</v>
      </c>
      <c r="J1690" s="14" t="s">
        <v>15320</v>
      </c>
      <c r="K1690" s="14" t="s">
        <v>38050</v>
      </c>
      <c r="L1690" s="152" t="s">
        <v>13696</v>
      </c>
      <c r="M1690" s="14" t="s">
        <v>38051</v>
      </c>
      <c r="N1690" s="54" t="s">
        <v>38050</v>
      </c>
      <c r="O1690" s="130" t="s">
        <v>13697</v>
      </c>
      <c r="P1690" s="153" t="s">
        <v>13698</v>
      </c>
      <c r="Q1690" s="14">
        <v>1250402.0</v>
      </c>
      <c r="R1690" s="95"/>
      <c r="S1690" s="154" t="s">
        <v>38053</v>
      </c>
      <c r="T1690" s="84"/>
      <c r="U1690" s="84"/>
      <c r="V1690" s="84"/>
      <c r="W1690" s="84"/>
      <c r="X1690" s="84"/>
      <c r="Y1690" s="84"/>
      <c r="Z1690" s="84"/>
      <c r="AA1690" s="84"/>
      <c r="AB1690" s="84"/>
      <c r="AC1690" s="84"/>
    </row>
    <row r="1691" ht="15.75" customHeight="1">
      <c r="A1691" s="14" t="s">
        <v>17</v>
      </c>
      <c r="B1691" s="14">
        <v>2003.0</v>
      </c>
      <c r="C1691" s="14" t="s">
        <v>13536</v>
      </c>
      <c r="D1691" s="14" t="s">
        <v>13537</v>
      </c>
      <c r="E1691" s="150" t="str">
        <f t="shared" si="19"/>
        <v>http://dx.doi.org/10.1109/VISUAL.2003.1250386</v>
      </c>
      <c r="F1691" s="14">
        <v>301.0</v>
      </c>
      <c r="G1691" s="14">
        <v>308.0</v>
      </c>
      <c r="H1691" s="151"/>
      <c r="I1691" s="14" t="s">
        <v>28</v>
      </c>
      <c r="J1691" s="14" t="s">
        <v>15236</v>
      </c>
      <c r="K1691" s="14" t="s">
        <v>38057</v>
      </c>
      <c r="L1691" s="152" t="s">
        <v>13543</v>
      </c>
      <c r="M1691" s="14" t="s">
        <v>38058</v>
      </c>
      <c r="N1691" s="54" t="s">
        <v>38057</v>
      </c>
      <c r="O1691" s="130" t="s">
        <v>13544</v>
      </c>
      <c r="P1691" s="153" t="s">
        <v>13545</v>
      </c>
      <c r="Q1691" s="14">
        <v>1250386.0</v>
      </c>
      <c r="R1691" s="95"/>
      <c r="S1691" s="154" t="s">
        <v>38060</v>
      </c>
      <c r="T1691" s="84"/>
      <c r="U1691" s="84"/>
      <c r="V1691" s="84"/>
      <c r="W1691" s="84"/>
      <c r="X1691" s="84"/>
      <c r="Y1691" s="84"/>
      <c r="Z1691" s="84"/>
      <c r="AA1691" s="84"/>
      <c r="AB1691" s="84"/>
      <c r="AC1691" s="84"/>
    </row>
    <row r="1692" ht="15.75" customHeight="1">
      <c r="A1692" s="14" t="s">
        <v>17</v>
      </c>
      <c r="B1692" s="14">
        <v>2003.0</v>
      </c>
      <c r="C1692" s="14" t="s">
        <v>13876</v>
      </c>
      <c r="D1692" s="14" t="s">
        <v>13877</v>
      </c>
      <c r="E1692" s="150" t="str">
        <f t="shared" si="19"/>
        <v>http://dx.doi.org/10.1109/VISUAL.2003.1250424</v>
      </c>
      <c r="F1692" s="14">
        <v>589.0</v>
      </c>
      <c r="G1692" s="14">
        <v>596.0</v>
      </c>
      <c r="H1692" s="151"/>
      <c r="I1692" s="14" t="s">
        <v>28</v>
      </c>
      <c r="J1692" s="14" t="s">
        <v>15384</v>
      </c>
      <c r="K1692" s="14" t="s">
        <v>38063</v>
      </c>
      <c r="L1692" s="152" t="s">
        <v>13886</v>
      </c>
      <c r="M1692" s="14" t="s">
        <v>38064</v>
      </c>
      <c r="N1692" s="54" t="s">
        <v>38063</v>
      </c>
      <c r="O1692" s="130"/>
      <c r="P1692" s="153" t="s">
        <v>13887</v>
      </c>
      <c r="Q1692" s="14">
        <v>1250424.0</v>
      </c>
      <c r="R1692" s="95"/>
      <c r="S1692" s="154"/>
      <c r="T1692" s="84"/>
      <c r="U1692" s="84"/>
      <c r="V1692" s="84"/>
      <c r="W1692" s="84"/>
      <c r="X1692" s="84"/>
      <c r="Y1692" s="84"/>
      <c r="Z1692" s="84"/>
      <c r="AA1692" s="84"/>
      <c r="AB1692" s="84"/>
      <c r="AC1692" s="84"/>
    </row>
    <row r="1693" ht="15.75" customHeight="1">
      <c r="A1693" s="14" t="s">
        <v>17</v>
      </c>
      <c r="B1693" s="14">
        <v>2003.0</v>
      </c>
      <c r="C1693" s="14" t="s">
        <v>13369</v>
      </c>
      <c r="D1693" s="14" t="s">
        <v>13370</v>
      </c>
      <c r="E1693" s="150" t="str">
        <f t="shared" si="19"/>
        <v>http://dx.doi.org/10.1109/VISUAL.2003.1250370</v>
      </c>
      <c r="F1693" s="14">
        <v>177.0</v>
      </c>
      <c r="G1693" s="14">
        <v>184.0</v>
      </c>
      <c r="H1693" s="151"/>
      <c r="I1693" s="14" t="s">
        <v>28</v>
      </c>
      <c r="J1693" s="14" t="s">
        <v>15115</v>
      </c>
      <c r="K1693" s="14" t="s">
        <v>38068</v>
      </c>
      <c r="L1693" s="152" t="s">
        <v>13377</v>
      </c>
      <c r="M1693" s="14" t="s">
        <v>38070</v>
      </c>
      <c r="N1693" s="54" t="s">
        <v>38068</v>
      </c>
      <c r="O1693" s="130" t="s">
        <v>5996</v>
      </c>
      <c r="P1693" s="153" t="s">
        <v>13378</v>
      </c>
      <c r="Q1693" s="14">
        <v>1250370.0</v>
      </c>
      <c r="R1693" s="95"/>
      <c r="S1693" s="154">
        <v>885732.0</v>
      </c>
      <c r="T1693" s="84"/>
      <c r="U1693" s="84"/>
      <c r="V1693" s="84"/>
      <c r="W1693" s="84"/>
      <c r="X1693" s="84"/>
      <c r="Y1693" s="84"/>
      <c r="Z1693" s="84"/>
      <c r="AA1693" s="84"/>
      <c r="AB1693" s="84"/>
      <c r="AC1693" s="84"/>
    </row>
    <row r="1694" ht="15.75" customHeight="1">
      <c r="A1694" s="14" t="s">
        <v>17</v>
      </c>
      <c r="B1694" s="14">
        <v>2003.0</v>
      </c>
      <c r="C1694" s="14" t="s">
        <v>13466</v>
      </c>
      <c r="D1694" s="14" t="s">
        <v>13467</v>
      </c>
      <c r="E1694" s="150" t="str">
        <f t="shared" si="19"/>
        <v>http://dx.doi.org/10.1109/VISUAL.2003.1250379</v>
      </c>
      <c r="F1694" s="14">
        <v>249.0</v>
      </c>
      <c r="G1694" s="14">
        <v>256.0</v>
      </c>
      <c r="H1694" s="151"/>
      <c r="I1694" s="14" t="s">
        <v>28</v>
      </c>
      <c r="J1694" s="14" t="s">
        <v>15189</v>
      </c>
      <c r="K1694" s="14" t="s">
        <v>35599</v>
      </c>
      <c r="L1694" s="152" t="s">
        <v>13474</v>
      </c>
      <c r="M1694" s="14" t="s">
        <v>35600</v>
      </c>
      <c r="N1694" s="54" t="s">
        <v>35599</v>
      </c>
      <c r="O1694" s="130" t="s">
        <v>13475</v>
      </c>
      <c r="P1694" s="153" t="s">
        <v>13476</v>
      </c>
      <c r="Q1694" s="14">
        <v>1250379.0</v>
      </c>
      <c r="R1694" s="95"/>
      <c r="S1694" s="154" t="s">
        <v>38075</v>
      </c>
      <c r="T1694" s="84"/>
      <c r="U1694" s="84"/>
      <c r="V1694" s="84"/>
      <c r="W1694" s="84"/>
      <c r="X1694" s="84"/>
      <c r="Y1694" s="84"/>
      <c r="Z1694" s="84"/>
      <c r="AA1694" s="84"/>
      <c r="AB1694" s="84"/>
      <c r="AC1694" s="84"/>
    </row>
    <row r="1695" ht="15.75" customHeight="1">
      <c r="A1695" s="14" t="s">
        <v>17</v>
      </c>
      <c r="B1695" s="14">
        <v>2003.0</v>
      </c>
      <c r="C1695" s="14" t="s">
        <v>13180</v>
      </c>
      <c r="D1695" s="14" t="s">
        <v>13181</v>
      </c>
      <c r="E1695" s="150" t="str">
        <f t="shared" si="19"/>
        <v>http://dx.doi.org/10.1109/VISUAL.2003.1250348</v>
      </c>
      <c r="F1695" s="14"/>
      <c r="G1695" s="14"/>
      <c r="H1695" s="159" t="s">
        <v>30659</v>
      </c>
      <c r="I1695" s="14" t="s">
        <v>21</v>
      </c>
      <c r="J1695" s="14" t="s">
        <v>14654</v>
      </c>
      <c r="K1695" s="14" t="s">
        <v>38079</v>
      </c>
      <c r="L1695" s="152"/>
      <c r="M1695" s="14"/>
      <c r="N1695" s="14" t="s">
        <v>38080</v>
      </c>
      <c r="O1695" s="130"/>
      <c r="P1695" s="16"/>
      <c r="Q1695" s="14">
        <v>1250348.0</v>
      </c>
      <c r="R1695" s="95"/>
      <c r="S1695" s="154"/>
      <c r="T1695" s="84"/>
      <c r="U1695" s="84"/>
      <c r="V1695" s="84"/>
      <c r="W1695" s="84"/>
      <c r="X1695" s="84"/>
      <c r="Y1695" s="84"/>
      <c r="Z1695" s="84"/>
      <c r="AA1695" s="84"/>
      <c r="AB1695" s="84"/>
      <c r="AC1695" s="84"/>
    </row>
    <row r="1696" ht="15.75" customHeight="1">
      <c r="A1696" s="14" t="s">
        <v>17</v>
      </c>
      <c r="B1696" s="14">
        <v>2003.0</v>
      </c>
      <c r="C1696" s="14" t="s">
        <v>13294</v>
      </c>
      <c r="D1696" s="14" t="s">
        <v>13295</v>
      </c>
      <c r="E1696" s="150" t="str">
        <f t="shared" si="19"/>
        <v>http://dx.doi.org/10.1109/VISUAL.2003.1250363</v>
      </c>
      <c r="F1696" s="14">
        <v>123.0</v>
      </c>
      <c r="G1696" s="14">
        <v>130.0</v>
      </c>
      <c r="H1696" s="151"/>
      <c r="I1696" s="14" t="s">
        <v>28</v>
      </c>
      <c r="J1696" s="14" t="s">
        <v>15060</v>
      </c>
      <c r="K1696" s="14" t="s">
        <v>11200</v>
      </c>
      <c r="L1696" s="152" t="s">
        <v>13153</v>
      </c>
      <c r="M1696" s="14">
        <v>3.72672492E10</v>
      </c>
      <c r="N1696" s="54" t="s">
        <v>11200</v>
      </c>
      <c r="O1696" s="130" t="s">
        <v>13301</v>
      </c>
      <c r="P1696" s="153" t="s">
        <v>13302</v>
      </c>
      <c r="Q1696" s="14">
        <v>1250363.0</v>
      </c>
      <c r="R1696" s="95"/>
      <c r="S1696" s="154" t="s">
        <v>38084</v>
      </c>
      <c r="T1696" s="84"/>
      <c r="U1696" s="84"/>
      <c r="V1696" s="84"/>
      <c r="W1696" s="84"/>
      <c r="X1696" s="84"/>
      <c r="Y1696" s="84"/>
      <c r="Z1696" s="84"/>
      <c r="AA1696" s="84"/>
      <c r="AB1696" s="84"/>
      <c r="AC1696" s="84"/>
    </row>
    <row r="1697" ht="15.75" customHeight="1">
      <c r="A1697" s="14" t="s">
        <v>17</v>
      </c>
      <c r="B1697" s="14">
        <v>2003.0</v>
      </c>
      <c r="C1697" s="14" t="s">
        <v>13303</v>
      </c>
      <c r="D1697" s="14" t="s">
        <v>13304</v>
      </c>
      <c r="E1697" s="150" t="str">
        <f t="shared" si="19"/>
        <v>http://dx.doi.org/10.1109/VISUAL.2003.1250364</v>
      </c>
      <c r="F1697" s="14">
        <v>131.0</v>
      </c>
      <c r="G1697" s="14">
        <v>138.0</v>
      </c>
      <c r="H1697" s="151"/>
      <c r="I1697" s="14" t="s">
        <v>28</v>
      </c>
      <c r="J1697" s="14" t="s">
        <v>15067</v>
      </c>
      <c r="K1697" s="14" t="s">
        <v>38087</v>
      </c>
      <c r="L1697" s="152" t="s">
        <v>13310</v>
      </c>
      <c r="M1697" s="14" t="s">
        <v>38088</v>
      </c>
      <c r="N1697" s="54" t="s">
        <v>38087</v>
      </c>
      <c r="O1697" s="130" t="s">
        <v>13311</v>
      </c>
      <c r="P1697" s="153" t="s">
        <v>13312</v>
      </c>
      <c r="Q1697" s="14">
        <v>1250364.0</v>
      </c>
      <c r="R1697" s="95"/>
      <c r="S1697" s="154" t="s">
        <v>38089</v>
      </c>
      <c r="T1697" s="84"/>
      <c r="U1697" s="84"/>
      <c r="V1697" s="84"/>
      <c r="W1697" s="84"/>
      <c r="X1697" s="84"/>
      <c r="Y1697" s="84"/>
      <c r="Z1697" s="84"/>
      <c r="AA1697" s="84"/>
      <c r="AB1697" s="84"/>
      <c r="AC1697" s="84"/>
    </row>
    <row r="1698" ht="15.75" customHeight="1">
      <c r="A1698" s="14" t="s">
        <v>17</v>
      </c>
      <c r="B1698" s="14">
        <v>2003.0</v>
      </c>
      <c r="C1698" s="14" t="s">
        <v>13954</v>
      </c>
      <c r="D1698" s="14" t="s">
        <v>13955</v>
      </c>
      <c r="E1698" s="150" t="str">
        <f t="shared" si="19"/>
        <v>http://dx.doi.org/10.1109/VISUAL.2003.1250428</v>
      </c>
      <c r="F1698" s="14">
        <v>611.0</v>
      </c>
      <c r="G1698" s="14">
        <v>614.0</v>
      </c>
      <c r="H1698" s="159" t="s">
        <v>30659</v>
      </c>
      <c r="I1698" s="14" t="s">
        <v>21</v>
      </c>
      <c r="J1698" s="14"/>
      <c r="K1698" s="14" t="s">
        <v>38092</v>
      </c>
      <c r="L1698" s="152" t="s">
        <v>13961</v>
      </c>
      <c r="M1698" s="14" t="s">
        <v>38093</v>
      </c>
      <c r="N1698" s="54" t="s">
        <v>38094</v>
      </c>
      <c r="O1698" s="130"/>
      <c r="P1698" s="16"/>
      <c r="Q1698" s="14">
        <v>1250428.0</v>
      </c>
      <c r="R1698" s="95"/>
      <c r="S1698" s="154"/>
      <c r="T1698" s="84"/>
      <c r="U1698" s="84"/>
      <c r="V1698" s="84"/>
      <c r="W1698" s="84"/>
      <c r="X1698" s="84"/>
      <c r="Y1698" s="84"/>
      <c r="Z1698" s="84"/>
      <c r="AA1698" s="84"/>
      <c r="AB1698" s="84"/>
      <c r="AC1698" s="84"/>
    </row>
    <row r="1699" ht="15.75" customHeight="1">
      <c r="A1699" s="14" t="s">
        <v>17</v>
      </c>
      <c r="B1699" s="14">
        <v>2003.0</v>
      </c>
      <c r="C1699" s="14" t="s">
        <v>13790</v>
      </c>
      <c r="D1699" s="14" t="s">
        <v>13791</v>
      </c>
      <c r="E1699" s="150" t="str">
        <f t="shared" si="19"/>
        <v>http://dx.doi.org/10.1109/VISUAL.2003.1250417</v>
      </c>
      <c r="F1699" s="14">
        <v>539.0</v>
      </c>
      <c r="G1699" s="14">
        <v>546.0</v>
      </c>
      <c r="H1699" s="151"/>
      <c r="I1699" s="14" t="s">
        <v>28</v>
      </c>
      <c r="J1699" s="14" t="s">
        <v>15363</v>
      </c>
      <c r="K1699" s="14" t="s">
        <v>38098</v>
      </c>
      <c r="L1699" s="152" t="s">
        <v>13543</v>
      </c>
      <c r="M1699" s="14" t="s">
        <v>38099</v>
      </c>
      <c r="N1699" s="54" t="s">
        <v>38098</v>
      </c>
      <c r="O1699" s="130" t="s">
        <v>13794</v>
      </c>
      <c r="P1699" s="153" t="s">
        <v>13795</v>
      </c>
      <c r="Q1699" s="14">
        <v>1250417.0</v>
      </c>
      <c r="R1699" s="95"/>
      <c r="S1699" s="154" t="s">
        <v>38102</v>
      </c>
      <c r="T1699" s="84"/>
      <c r="U1699" s="84"/>
      <c r="V1699" s="84"/>
      <c r="W1699" s="84"/>
      <c r="X1699" s="84"/>
      <c r="Y1699" s="84"/>
      <c r="Z1699" s="84"/>
      <c r="AA1699" s="84"/>
      <c r="AB1699" s="84"/>
      <c r="AC1699" s="84"/>
    </row>
    <row r="1700" ht="15.75" customHeight="1">
      <c r="A1700" s="14" t="s">
        <v>17</v>
      </c>
      <c r="B1700" s="14">
        <v>2003.0</v>
      </c>
      <c r="C1700" s="14" t="s">
        <v>13242</v>
      </c>
      <c r="D1700" s="14" t="s">
        <v>13244</v>
      </c>
      <c r="E1700" s="150" t="str">
        <f t="shared" si="19"/>
        <v>http://dx.doi.org/10.1109/VISUAL.2003.1250357</v>
      </c>
      <c r="F1700" s="14">
        <v>75.0</v>
      </c>
      <c r="G1700" s="14">
        <v>82.0</v>
      </c>
      <c r="H1700" s="151"/>
      <c r="I1700" s="14" t="s">
        <v>28</v>
      </c>
      <c r="J1700" s="14" t="s">
        <v>14674</v>
      </c>
      <c r="K1700" s="14" t="s">
        <v>38105</v>
      </c>
      <c r="L1700" s="152" t="s">
        <v>13252</v>
      </c>
      <c r="M1700" s="14" t="s">
        <v>38106</v>
      </c>
      <c r="N1700" s="54" t="s">
        <v>38107</v>
      </c>
      <c r="O1700" s="130" t="s">
        <v>13253</v>
      </c>
      <c r="P1700" s="153" t="s">
        <v>13254</v>
      </c>
      <c r="Q1700" s="14">
        <v>1250357.0</v>
      </c>
      <c r="R1700" s="95"/>
      <c r="S1700" s="154" t="s">
        <v>38109</v>
      </c>
      <c r="T1700" s="84"/>
      <c r="U1700" s="84"/>
      <c r="V1700" s="84"/>
      <c r="W1700" s="84"/>
      <c r="X1700" s="84"/>
      <c r="Y1700" s="84"/>
      <c r="Z1700" s="84"/>
      <c r="AA1700" s="84"/>
      <c r="AB1700" s="84"/>
      <c r="AC1700" s="84"/>
    </row>
    <row r="1701" ht="15.75" customHeight="1">
      <c r="A1701" s="14" t="s">
        <v>17</v>
      </c>
      <c r="B1701" s="14">
        <v>2003.0</v>
      </c>
      <c r="C1701" s="14" t="s">
        <v>13868</v>
      </c>
      <c r="D1701" s="14" t="s">
        <v>13869</v>
      </c>
      <c r="E1701" s="150" t="str">
        <f t="shared" si="19"/>
        <v>http://dx.doi.org/10.1109/VISUAL.2003.1250423</v>
      </c>
      <c r="F1701" s="14">
        <v>581.0</v>
      </c>
      <c r="G1701" s="14">
        <v>588.0</v>
      </c>
      <c r="H1701" s="151"/>
      <c r="I1701" s="14" t="s">
        <v>28</v>
      </c>
      <c r="J1701" s="14" t="s">
        <v>15381</v>
      </c>
      <c r="K1701" s="14" t="s">
        <v>38112</v>
      </c>
      <c r="L1701" s="152" t="s">
        <v>13578</v>
      </c>
      <c r="M1701" s="14" t="s">
        <v>38113</v>
      </c>
      <c r="N1701" s="54" t="s">
        <v>38114</v>
      </c>
      <c r="O1701" s="130"/>
      <c r="P1701" s="153" t="s">
        <v>13875</v>
      </c>
      <c r="Q1701" s="14">
        <v>1250423.0</v>
      </c>
      <c r="R1701" s="95"/>
      <c r="S1701" s="154"/>
      <c r="T1701" s="84"/>
      <c r="U1701" s="84"/>
      <c r="V1701" s="84"/>
      <c r="W1701" s="84"/>
      <c r="X1701" s="84"/>
      <c r="Y1701" s="84"/>
      <c r="Z1701" s="84"/>
      <c r="AA1701" s="84"/>
      <c r="AB1701" s="84"/>
      <c r="AC1701" s="84"/>
    </row>
    <row r="1702" ht="15.75" customHeight="1">
      <c r="A1702" s="14" t="s">
        <v>17</v>
      </c>
      <c r="B1702" s="14">
        <v>2003.0</v>
      </c>
      <c r="C1702" s="14" t="s">
        <v>13352</v>
      </c>
      <c r="D1702" s="14" t="s">
        <v>13353</v>
      </c>
      <c r="E1702" s="150" t="str">
        <f t="shared" si="19"/>
        <v>http://dx.doi.org/10.1109/VISUAL.2003.1250368</v>
      </c>
      <c r="F1702" s="14">
        <v>163.0</v>
      </c>
      <c r="G1702" s="14">
        <v>170.0</v>
      </c>
      <c r="H1702" s="151"/>
      <c r="I1702" s="14" t="s">
        <v>28</v>
      </c>
      <c r="J1702" s="14" t="s">
        <v>15103</v>
      </c>
      <c r="K1702" s="14" t="s">
        <v>38117</v>
      </c>
      <c r="L1702" s="152" t="s">
        <v>3739</v>
      </c>
      <c r="M1702" s="14" t="s">
        <v>38119</v>
      </c>
      <c r="N1702" s="54" t="s">
        <v>38117</v>
      </c>
      <c r="O1702" s="130" t="s">
        <v>13360</v>
      </c>
      <c r="P1702" s="153" t="s">
        <v>13361</v>
      </c>
      <c r="Q1702" s="14">
        <v>1250368.0</v>
      </c>
      <c r="R1702" s="95"/>
      <c r="S1702" s="154" t="s">
        <v>38120</v>
      </c>
      <c r="T1702" s="84"/>
      <c r="U1702" s="84"/>
      <c r="V1702" s="84"/>
      <c r="W1702" s="84"/>
      <c r="X1702" s="84"/>
      <c r="Y1702" s="84"/>
      <c r="Z1702" s="84"/>
      <c r="AA1702" s="84"/>
      <c r="AB1702" s="84"/>
      <c r="AC1702" s="84"/>
    </row>
    <row r="1703" ht="15.75" customHeight="1">
      <c r="A1703" s="14" t="s">
        <v>17</v>
      </c>
      <c r="B1703" s="14">
        <v>2003.0</v>
      </c>
      <c r="C1703" s="14" t="s">
        <v>13937</v>
      </c>
      <c r="D1703" s="14" t="s">
        <v>13938</v>
      </c>
      <c r="E1703" s="150" t="str">
        <f t="shared" si="19"/>
        <v>http://dx.doi.org/10.1109/VISUAL.2003.1250427</v>
      </c>
      <c r="F1703" s="14">
        <v>607.0</v>
      </c>
      <c r="G1703" s="14">
        <v>610.0</v>
      </c>
      <c r="H1703" s="159" t="s">
        <v>30659</v>
      </c>
      <c r="I1703" s="14" t="s">
        <v>21</v>
      </c>
      <c r="J1703" s="14"/>
      <c r="K1703" s="14" t="s">
        <v>6476</v>
      </c>
      <c r="L1703" s="152" t="s">
        <v>13953</v>
      </c>
      <c r="M1703" s="14">
        <v>3.81988721E10</v>
      </c>
      <c r="N1703" s="54" t="s">
        <v>6476</v>
      </c>
      <c r="O1703" s="130"/>
      <c r="P1703" s="16"/>
      <c r="Q1703" s="14">
        <v>1250427.0</v>
      </c>
      <c r="R1703" s="95"/>
      <c r="S1703" s="154"/>
      <c r="T1703" s="84"/>
      <c r="U1703" s="84"/>
      <c r="V1703" s="84"/>
      <c r="W1703" s="84"/>
      <c r="X1703" s="84"/>
      <c r="Y1703" s="84"/>
      <c r="Z1703" s="84"/>
      <c r="AA1703" s="84"/>
      <c r="AB1703" s="84"/>
      <c r="AC1703" s="84"/>
    </row>
    <row r="1704" ht="15.75" customHeight="1">
      <c r="A1704" s="14" t="s">
        <v>17</v>
      </c>
      <c r="B1704" s="14">
        <v>2003.0</v>
      </c>
      <c r="C1704" s="14" t="s">
        <v>13733</v>
      </c>
      <c r="D1704" s="14" t="s">
        <v>13734</v>
      </c>
      <c r="E1704" s="150" t="str">
        <f t="shared" si="19"/>
        <v>http://dx.doi.org/10.1109/VISUAL.2003.1250408</v>
      </c>
      <c r="F1704" s="14">
        <v>465.0</v>
      </c>
      <c r="G1704" s="14">
        <v>472.0</v>
      </c>
      <c r="H1704" s="151"/>
      <c r="I1704" s="14" t="s">
        <v>28</v>
      </c>
      <c r="J1704" s="14" t="s">
        <v>15338</v>
      </c>
      <c r="K1704" s="14" t="s">
        <v>38127</v>
      </c>
      <c r="L1704" s="152" t="s">
        <v>4370</v>
      </c>
      <c r="M1704" s="14" t="s">
        <v>38128</v>
      </c>
      <c r="N1704" s="54" t="s">
        <v>38127</v>
      </c>
      <c r="O1704" s="130" t="s">
        <v>13737</v>
      </c>
      <c r="P1704" s="153" t="s">
        <v>13738</v>
      </c>
      <c r="Q1704" s="14">
        <v>1250408.0</v>
      </c>
      <c r="R1704" s="95"/>
      <c r="S1704" s="154" t="s">
        <v>38130</v>
      </c>
      <c r="T1704" s="84"/>
      <c r="U1704" s="84"/>
      <c r="V1704" s="84"/>
      <c r="W1704" s="84"/>
      <c r="X1704" s="84"/>
      <c r="Y1704" s="84"/>
      <c r="Z1704" s="84"/>
      <c r="AA1704" s="84"/>
      <c r="AB1704" s="84"/>
      <c r="AC1704" s="84"/>
    </row>
    <row r="1705" ht="15.75" customHeight="1">
      <c r="A1705" s="14" t="s">
        <v>17</v>
      </c>
      <c r="B1705" s="14">
        <v>2003.0</v>
      </c>
      <c r="C1705" s="14" t="s">
        <v>13623</v>
      </c>
      <c r="D1705" s="14" t="s">
        <v>13624</v>
      </c>
      <c r="E1705" s="150" t="str">
        <f t="shared" si="19"/>
        <v>http://dx.doi.org/10.1109/VISUAL.2003.1250395</v>
      </c>
      <c r="F1705" s="14">
        <v>363.0</v>
      </c>
      <c r="G1705" s="14">
        <v>370.0</v>
      </c>
      <c r="H1705" s="151"/>
      <c r="I1705" s="14" t="s">
        <v>28</v>
      </c>
      <c r="J1705" s="14" t="s">
        <v>15293</v>
      </c>
      <c r="K1705" s="14" t="s">
        <v>38133</v>
      </c>
      <c r="L1705" s="152" t="s">
        <v>13632</v>
      </c>
      <c r="M1705" s="14" t="s">
        <v>38134</v>
      </c>
      <c r="N1705" s="54" t="s">
        <v>38133</v>
      </c>
      <c r="O1705" s="130" t="s">
        <v>12336</v>
      </c>
      <c r="P1705" s="153" t="s">
        <v>13634</v>
      </c>
      <c r="Q1705" s="14">
        <v>1250395.0</v>
      </c>
      <c r="R1705" s="95"/>
      <c r="S1705" s="154">
        <v>1183785.0</v>
      </c>
      <c r="T1705" s="84"/>
      <c r="U1705" s="84"/>
      <c r="V1705" s="84"/>
      <c r="W1705" s="84"/>
      <c r="X1705" s="84"/>
      <c r="Y1705" s="84"/>
      <c r="Z1705" s="84"/>
      <c r="AA1705" s="84"/>
      <c r="AB1705" s="84"/>
      <c r="AC1705" s="84"/>
    </row>
    <row r="1706" ht="15.75" customHeight="1">
      <c r="A1706" s="14" t="s">
        <v>17</v>
      </c>
      <c r="B1706" s="14">
        <v>2003.0</v>
      </c>
      <c r="C1706" s="14" t="s">
        <v>13216</v>
      </c>
      <c r="D1706" s="14" t="s">
        <v>13217</v>
      </c>
      <c r="E1706" s="150" t="str">
        <f t="shared" si="19"/>
        <v>http://dx.doi.org/10.1109/VISUAL.2003.1250355</v>
      </c>
      <c r="F1706" s="14">
        <v>59.0</v>
      </c>
      <c r="G1706" s="14">
        <v>66.0</v>
      </c>
      <c r="H1706" s="151"/>
      <c r="I1706" s="14" t="s">
        <v>28</v>
      </c>
      <c r="J1706" s="14" t="s">
        <v>14669</v>
      </c>
      <c r="K1706" s="14" t="s">
        <v>9640</v>
      </c>
      <c r="L1706" s="152" t="s">
        <v>13225</v>
      </c>
      <c r="M1706" s="14">
        <v>3.72837541E10</v>
      </c>
      <c r="N1706" s="54" t="s">
        <v>9640</v>
      </c>
      <c r="O1706" s="130" t="s">
        <v>536</v>
      </c>
      <c r="P1706" s="153" t="s">
        <v>13226</v>
      </c>
      <c r="Q1706" s="14">
        <v>1250355.0</v>
      </c>
      <c r="R1706" s="95"/>
      <c r="S1706" s="154">
        <v>175782.0</v>
      </c>
      <c r="T1706" s="84"/>
      <c r="U1706" s="84"/>
      <c r="V1706" s="84"/>
      <c r="W1706" s="84"/>
      <c r="X1706" s="84"/>
      <c r="Y1706" s="84"/>
      <c r="Z1706" s="84"/>
      <c r="AA1706" s="84"/>
      <c r="AB1706" s="84"/>
      <c r="AC1706" s="84"/>
    </row>
    <row r="1707" ht="15.75" customHeight="1">
      <c r="A1707" s="14" t="s">
        <v>17</v>
      </c>
      <c r="B1707" s="14">
        <v>2003.0</v>
      </c>
      <c r="C1707" s="14" t="s">
        <v>13635</v>
      </c>
      <c r="D1707" s="14" t="s">
        <v>13636</v>
      </c>
      <c r="E1707" s="150" t="str">
        <f t="shared" si="19"/>
        <v>http://dx.doi.org/10.1109/VISUAL.2003.1250396</v>
      </c>
      <c r="F1707" s="14">
        <v>371.0</v>
      </c>
      <c r="G1707" s="14">
        <v>378.0</v>
      </c>
      <c r="H1707" s="151"/>
      <c r="I1707" s="14" t="s">
        <v>28</v>
      </c>
      <c r="J1707" s="14" t="s">
        <v>15301</v>
      </c>
      <c r="K1707" s="14" t="s">
        <v>11069</v>
      </c>
      <c r="L1707" s="152" t="s">
        <v>13643</v>
      </c>
      <c r="M1707" s="14">
        <v>3.72758613E10</v>
      </c>
      <c r="N1707" s="54" t="s">
        <v>11069</v>
      </c>
      <c r="O1707" s="130" t="s">
        <v>13644</v>
      </c>
      <c r="P1707" s="153" t="s">
        <v>13645</v>
      </c>
      <c r="Q1707" s="14">
        <v>1250396.0</v>
      </c>
      <c r="R1707" s="95"/>
      <c r="S1707" s="154" t="s">
        <v>38140</v>
      </c>
      <c r="T1707" s="84"/>
      <c r="U1707" s="84"/>
      <c r="V1707" s="84"/>
      <c r="W1707" s="84"/>
      <c r="X1707" s="84"/>
      <c r="Y1707" s="84"/>
      <c r="Z1707" s="84"/>
      <c r="AA1707" s="84"/>
      <c r="AB1707" s="84"/>
      <c r="AC1707" s="84"/>
    </row>
    <row r="1708" ht="15.75" customHeight="1">
      <c r="A1708" s="14" t="s">
        <v>17</v>
      </c>
      <c r="B1708" s="14">
        <v>2003.0</v>
      </c>
      <c r="C1708" s="14" t="s">
        <v>13719</v>
      </c>
      <c r="D1708" s="14" t="s">
        <v>13720</v>
      </c>
      <c r="E1708" s="150" t="str">
        <f t="shared" si="19"/>
        <v>http://dx.doi.org/10.1109/VISUAL.2003.1250406</v>
      </c>
      <c r="F1708" s="14">
        <v>449.0</v>
      </c>
      <c r="G1708" s="14">
        <v>456.0</v>
      </c>
      <c r="H1708" s="151"/>
      <c r="I1708" s="14" t="s">
        <v>28</v>
      </c>
      <c r="J1708" s="14" t="s">
        <v>15331</v>
      </c>
      <c r="K1708" s="14" t="s">
        <v>38144</v>
      </c>
      <c r="L1708" s="152" t="s">
        <v>13723</v>
      </c>
      <c r="M1708" s="14" t="s">
        <v>38145</v>
      </c>
      <c r="N1708" s="54" t="s">
        <v>38144</v>
      </c>
      <c r="O1708" s="130" t="s">
        <v>13724</v>
      </c>
      <c r="P1708" s="153" t="s">
        <v>13725</v>
      </c>
      <c r="Q1708" s="14">
        <v>1250406.0</v>
      </c>
      <c r="R1708" s="95"/>
      <c r="S1708" s="154" t="s">
        <v>38146</v>
      </c>
      <c r="T1708" s="84"/>
      <c r="U1708" s="84"/>
      <c r="V1708" s="84"/>
      <c r="W1708" s="84"/>
      <c r="X1708" s="84"/>
      <c r="Y1708" s="84"/>
      <c r="Z1708" s="84"/>
      <c r="AA1708" s="84"/>
      <c r="AB1708" s="84"/>
      <c r="AC1708" s="84"/>
    </row>
    <row r="1709" ht="15.75" customHeight="1">
      <c r="A1709" s="14" t="s">
        <v>17</v>
      </c>
      <c r="B1709" s="14">
        <v>2003.0</v>
      </c>
      <c r="C1709" s="14" t="s">
        <v>13419</v>
      </c>
      <c r="D1709" s="14" t="s">
        <v>13420</v>
      </c>
      <c r="E1709" s="150" t="str">
        <f t="shared" si="19"/>
        <v>http://dx.doi.org/10.1109/VISUAL.2003.1250375</v>
      </c>
      <c r="F1709" s="14">
        <v>217.0</v>
      </c>
      <c r="G1709" s="14">
        <v>224.0</v>
      </c>
      <c r="H1709" s="151"/>
      <c r="I1709" s="14" t="s">
        <v>28</v>
      </c>
      <c r="J1709" s="14" t="s">
        <v>15159</v>
      </c>
      <c r="K1709" s="14" t="s">
        <v>11679</v>
      </c>
      <c r="L1709" s="152" t="s">
        <v>13429</v>
      </c>
      <c r="M1709" s="14">
        <v>3.72882354E10</v>
      </c>
      <c r="N1709" s="54" t="s">
        <v>11679</v>
      </c>
      <c r="O1709" s="130" t="s">
        <v>13430</v>
      </c>
      <c r="P1709" s="153" t="s">
        <v>13431</v>
      </c>
      <c r="Q1709" s="14">
        <v>1250375.0</v>
      </c>
      <c r="R1709" s="95"/>
      <c r="S1709" s="154" t="s">
        <v>38150</v>
      </c>
      <c r="T1709" s="84"/>
      <c r="U1709" s="84"/>
      <c r="V1709" s="84"/>
      <c r="W1709" s="84"/>
      <c r="X1709" s="84"/>
      <c r="Y1709" s="84"/>
      <c r="Z1709" s="84"/>
      <c r="AA1709" s="84"/>
      <c r="AB1709" s="84"/>
      <c r="AC1709" s="84"/>
    </row>
    <row r="1710" ht="15.75" customHeight="1">
      <c r="A1710" s="14" t="s">
        <v>17</v>
      </c>
      <c r="B1710" s="14">
        <v>2003.0</v>
      </c>
      <c r="C1710" s="14" t="s">
        <v>13265</v>
      </c>
      <c r="D1710" s="14" t="s">
        <v>13266</v>
      </c>
      <c r="E1710" s="150" t="str">
        <f t="shared" si="19"/>
        <v>http://dx.doi.org/10.1109/VISUAL.2003.1250359</v>
      </c>
      <c r="F1710" s="14">
        <v>91.0</v>
      </c>
      <c r="G1710" s="14">
        <v>98.0</v>
      </c>
      <c r="H1710" s="151"/>
      <c r="I1710" s="14" t="s">
        <v>28</v>
      </c>
      <c r="J1710" s="14" t="s">
        <v>38155</v>
      </c>
      <c r="K1710" s="14" t="s">
        <v>38156</v>
      </c>
      <c r="L1710" s="152" t="s">
        <v>13269</v>
      </c>
      <c r="M1710" s="14" t="s">
        <v>38157</v>
      </c>
      <c r="N1710" s="54" t="s">
        <v>38156</v>
      </c>
      <c r="O1710" s="130" t="s">
        <v>7101</v>
      </c>
      <c r="P1710" s="153" t="s">
        <v>13270</v>
      </c>
      <c r="Q1710" s="14">
        <v>1250359.0</v>
      </c>
      <c r="R1710" s="95"/>
      <c r="S1710" s="154">
        <v>964489.0</v>
      </c>
      <c r="T1710" s="84"/>
      <c r="U1710" s="84"/>
      <c r="V1710" s="84"/>
      <c r="W1710" s="84"/>
      <c r="X1710" s="84"/>
      <c r="Y1710" s="84"/>
      <c r="Z1710" s="84"/>
      <c r="AA1710" s="84"/>
      <c r="AB1710" s="84"/>
      <c r="AC1710" s="84"/>
    </row>
    <row r="1711" ht="15.75" customHeight="1">
      <c r="A1711" s="14" t="s">
        <v>17</v>
      </c>
      <c r="B1711" s="14">
        <v>2003.0</v>
      </c>
      <c r="C1711" s="14" t="s">
        <v>13329</v>
      </c>
      <c r="D1711" s="14" t="s">
        <v>13330</v>
      </c>
      <c r="E1711" s="150" t="str">
        <f t="shared" si="19"/>
        <v>http://dx.doi.org/10.1109/VISUAL.2003.1250366</v>
      </c>
      <c r="F1711" s="14">
        <v>147.0</v>
      </c>
      <c r="G1711" s="14">
        <v>154.0</v>
      </c>
      <c r="H1711" s="151"/>
      <c r="I1711" s="14" t="s">
        <v>28</v>
      </c>
      <c r="J1711" s="14" t="s">
        <v>15087</v>
      </c>
      <c r="K1711" s="14" t="s">
        <v>35614</v>
      </c>
      <c r="L1711" s="152" t="s">
        <v>13339</v>
      </c>
      <c r="M1711" s="14" t="s">
        <v>38163</v>
      </c>
      <c r="N1711" s="54" t="s">
        <v>35614</v>
      </c>
      <c r="O1711" s="130" t="s">
        <v>13340</v>
      </c>
      <c r="P1711" s="153" t="s">
        <v>13341</v>
      </c>
      <c r="Q1711" s="14">
        <v>1250366.0</v>
      </c>
      <c r="R1711" s="95"/>
      <c r="S1711" s="154" t="s">
        <v>38165</v>
      </c>
      <c r="T1711" s="84"/>
      <c r="U1711" s="84"/>
      <c r="V1711" s="84"/>
      <c r="W1711" s="84"/>
      <c r="X1711" s="84"/>
      <c r="Y1711" s="84"/>
      <c r="Z1711" s="84"/>
      <c r="AA1711" s="84"/>
      <c r="AB1711" s="84"/>
      <c r="AC1711" s="84"/>
    </row>
    <row r="1712" ht="15.75" customHeight="1">
      <c r="A1712" s="14" t="s">
        <v>17</v>
      </c>
      <c r="B1712" s="14">
        <v>2003.0</v>
      </c>
      <c r="C1712" s="14" t="s">
        <v>13860</v>
      </c>
      <c r="D1712" s="14" t="s">
        <v>13861</v>
      </c>
      <c r="E1712" s="150" t="str">
        <f t="shared" si="19"/>
        <v>http://dx.doi.org/10.1109/VISUAL.2003.1250422</v>
      </c>
      <c r="F1712" s="14">
        <v>575.0</v>
      </c>
      <c r="G1712" s="14">
        <v>580.0</v>
      </c>
      <c r="H1712" s="151"/>
      <c r="I1712" s="14" t="s">
        <v>28</v>
      </c>
      <c r="J1712" s="14" t="s">
        <v>15378</v>
      </c>
      <c r="K1712" s="14" t="s">
        <v>38170</v>
      </c>
      <c r="L1712" s="152" t="s">
        <v>13867</v>
      </c>
      <c r="M1712" s="14" t="s">
        <v>38171</v>
      </c>
      <c r="N1712" s="54" t="s">
        <v>38170</v>
      </c>
      <c r="O1712" s="130"/>
      <c r="P1712" s="16"/>
      <c r="Q1712" s="14">
        <v>1250422.0</v>
      </c>
      <c r="R1712" s="95"/>
      <c r="S1712" s="154"/>
      <c r="T1712" s="84"/>
      <c r="U1712" s="84"/>
      <c r="V1712" s="84"/>
      <c r="W1712" s="84"/>
      <c r="X1712" s="84"/>
      <c r="Y1712" s="84"/>
      <c r="Z1712" s="84"/>
      <c r="AA1712" s="84"/>
      <c r="AB1712" s="84"/>
      <c r="AC1712" s="84"/>
    </row>
    <row r="1713" ht="15.75" customHeight="1">
      <c r="A1713" s="14" t="s">
        <v>17</v>
      </c>
      <c r="B1713" s="14">
        <v>2003.0</v>
      </c>
      <c r="C1713" s="14" t="s">
        <v>13198</v>
      </c>
      <c r="D1713" s="14" t="s">
        <v>13199</v>
      </c>
      <c r="E1713" s="150" t="str">
        <f t="shared" si="19"/>
        <v>http://dx.doi.org/10.1109/VISUAL.2003.1250352</v>
      </c>
      <c r="F1713" s="14">
        <v>35.0</v>
      </c>
      <c r="G1713" s="14">
        <v>42.0</v>
      </c>
      <c r="H1713" s="151"/>
      <c r="I1713" s="14" t="s">
        <v>28</v>
      </c>
      <c r="J1713" s="14" t="s">
        <v>14659</v>
      </c>
      <c r="K1713" s="14" t="s">
        <v>38175</v>
      </c>
      <c r="L1713" s="152" t="s">
        <v>13202</v>
      </c>
      <c r="M1713" s="14" t="s">
        <v>38176</v>
      </c>
      <c r="N1713" s="54" t="s">
        <v>38177</v>
      </c>
      <c r="O1713" s="130" t="s">
        <v>7053</v>
      </c>
      <c r="P1713" s="153" t="s">
        <v>13203</v>
      </c>
      <c r="Q1713" s="14">
        <v>1250352.0</v>
      </c>
      <c r="R1713" s="95"/>
      <c r="S1713" s="154">
        <v>963295.0</v>
      </c>
      <c r="T1713" s="84"/>
      <c r="U1713" s="84"/>
      <c r="V1713" s="84"/>
      <c r="W1713" s="84"/>
      <c r="X1713" s="84"/>
      <c r="Y1713" s="84"/>
      <c r="Z1713" s="84"/>
      <c r="AA1713" s="84"/>
      <c r="AB1713" s="84"/>
      <c r="AC1713" s="84"/>
    </row>
    <row r="1714" ht="15.75" customHeight="1">
      <c r="A1714" s="14" t="s">
        <v>17</v>
      </c>
      <c r="B1714" s="14">
        <v>2003.0</v>
      </c>
      <c r="C1714" s="14" t="s">
        <v>13477</v>
      </c>
      <c r="D1714" s="14" t="s">
        <v>13478</v>
      </c>
      <c r="E1714" s="150" t="str">
        <f t="shared" si="19"/>
        <v>http://dx.doi.org/10.1109/VISUAL.2003.1250380</v>
      </c>
      <c r="F1714" s="14">
        <v>257.0</v>
      </c>
      <c r="G1714" s="14">
        <v>262.0</v>
      </c>
      <c r="H1714" s="151"/>
      <c r="I1714" s="14" t="s">
        <v>28</v>
      </c>
      <c r="J1714" s="14" t="s">
        <v>15193</v>
      </c>
      <c r="K1714" s="14" t="s">
        <v>38180</v>
      </c>
      <c r="L1714" s="152" t="s">
        <v>13484</v>
      </c>
      <c r="M1714" s="14" t="s">
        <v>38182</v>
      </c>
      <c r="N1714" s="54" t="s">
        <v>38180</v>
      </c>
      <c r="O1714" s="130" t="s">
        <v>5726</v>
      </c>
      <c r="P1714" s="153" t="s">
        <v>13485</v>
      </c>
      <c r="Q1714" s="14">
        <v>1250380.0</v>
      </c>
      <c r="R1714" s="95"/>
      <c r="S1714" s="154">
        <v>885687.0</v>
      </c>
      <c r="T1714" s="84"/>
      <c r="U1714" s="84"/>
      <c r="V1714" s="84"/>
      <c r="W1714" s="84"/>
      <c r="X1714" s="84"/>
      <c r="Y1714" s="84"/>
      <c r="Z1714" s="84"/>
      <c r="AA1714" s="84"/>
      <c r="AB1714" s="84"/>
      <c r="AC1714" s="84"/>
    </row>
    <row r="1715" ht="15.75" customHeight="1">
      <c r="A1715" s="14" t="s">
        <v>17</v>
      </c>
      <c r="B1715" s="14">
        <v>2003.0</v>
      </c>
      <c r="C1715" s="14" t="s">
        <v>13342</v>
      </c>
      <c r="D1715" s="14" t="s">
        <v>13343</v>
      </c>
      <c r="E1715" s="150" t="str">
        <f t="shared" si="19"/>
        <v>http://dx.doi.org/10.1109/VISUAL.2003.1250367</v>
      </c>
      <c r="F1715" s="14">
        <v>155.0</v>
      </c>
      <c r="G1715" s="14">
        <v>162.0</v>
      </c>
      <c r="H1715" s="151"/>
      <c r="I1715" s="14" t="s">
        <v>28</v>
      </c>
      <c r="J1715" s="14" t="s">
        <v>38186</v>
      </c>
      <c r="K1715" s="14" t="s">
        <v>38187</v>
      </c>
      <c r="L1715" s="152" t="s">
        <v>13349</v>
      </c>
      <c r="M1715" s="14" t="s">
        <v>38188</v>
      </c>
      <c r="N1715" s="54" t="s">
        <v>38187</v>
      </c>
      <c r="O1715" s="130" t="s">
        <v>13350</v>
      </c>
      <c r="P1715" s="153" t="s">
        <v>13351</v>
      </c>
      <c r="Q1715" s="14">
        <v>1250367.0</v>
      </c>
      <c r="R1715" s="95"/>
      <c r="S1715" s="154" t="s">
        <v>38191</v>
      </c>
      <c r="T1715" s="84"/>
      <c r="U1715" s="84"/>
      <c r="V1715" s="84"/>
      <c r="W1715" s="84"/>
      <c r="X1715" s="84"/>
      <c r="Y1715" s="84"/>
      <c r="Z1715" s="84"/>
      <c r="AA1715" s="84"/>
      <c r="AB1715" s="84"/>
      <c r="AC1715" s="84"/>
    </row>
    <row r="1716" ht="15.75" customHeight="1">
      <c r="A1716" s="14" t="s">
        <v>17</v>
      </c>
      <c r="B1716" s="14">
        <v>2003.0</v>
      </c>
      <c r="C1716" s="14" t="s">
        <v>13432</v>
      </c>
      <c r="D1716" s="14" t="s">
        <v>13433</v>
      </c>
      <c r="E1716" s="150" t="str">
        <f t="shared" si="19"/>
        <v>http://dx.doi.org/10.1109/VISUAL.2003.1250376</v>
      </c>
      <c r="F1716" s="14">
        <v>225.0</v>
      </c>
      <c r="G1716" s="14">
        <v>232.0</v>
      </c>
      <c r="H1716" s="151"/>
      <c r="I1716" s="14" t="s">
        <v>28</v>
      </c>
      <c r="J1716" s="14" t="s">
        <v>15165</v>
      </c>
      <c r="K1716" s="14" t="s">
        <v>37078</v>
      </c>
      <c r="L1716" s="152" t="s">
        <v>13443</v>
      </c>
      <c r="M1716" s="14" t="s">
        <v>37079</v>
      </c>
      <c r="N1716" s="54" t="s">
        <v>37078</v>
      </c>
      <c r="O1716" s="130" t="s">
        <v>13444</v>
      </c>
      <c r="P1716" s="153" t="s">
        <v>13445</v>
      </c>
      <c r="Q1716" s="14">
        <v>1250376.0</v>
      </c>
      <c r="R1716" s="95"/>
      <c r="S1716" s="154" t="s">
        <v>38193</v>
      </c>
      <c r="T1716" s="84"/>
      <c r="U1716" s="84"/>
      <c r="V1716" s="84"/>
      <c r="W1716" s="84"/>
      <c r="X1716" s="84"/>
      <c r="Y1716" s="84"/>
      <c r="Z1716" s="84"/>
      <c r="AA1716" s="84"/>
      <c r="AB1716" s="84"/>
      <c r="AC1716" s="84"/>
    </row>
    <row r="1717" ht="15.75" customHeight="1">
      <c r="A1717" s="14" t="s">
        <v>17</v>
      </c>
      <c r="B1717" s="14">
        <v>2003.0</v>
      </c>
      <c r="C1717" s="14" t="s">
        <v>13746</v>
      </c>
      <c r="D1717" s="14" t="s">
        <v>13747</v>
      </c>
      <c r="E1717" s="150" t="str">
        <f t="shared" si="19"/>
        <v>http://dx.doi.org/10.1109/VISUAL.2003.1250410</v>
      </c>
      <c r="F1717" s="14">
        <v>481.0</v>
      </c>
      <c r="G1717" s="14">
        <v>488.0</v>
      </c>
      <c r="H1717" s="151"/>
      <c r="I1717" s="14" t="s">
        <v>28</v>
      </c>
      <c r="J1717" s="14" t="s">
        <v>15343</v>
      </c>
      <c r="K1717" s="14" t="s">
        <v>38196</v>
      </c>
      <c r="L1717" s="152" t="s">
        <v>13750</v>
      </c>
      <c r="M1717" s="14" t="s">
        <v>38202</v>
      </c>
      <c r="N1717" s="54" t="s">
        <v>38196</v>
      </c>
      <c r="O1717" s="130"/>
      <c r="P1717" s="153" t="s">
        <v>13751</v>
      </c>
      <c r="Q1717" s="14">
        <v>1250410.0</v>
      </c>
      <c r="R1717" s="95"/>
      <c r="S1717" s="154"/>
      <c r="T1717" s="84"/>
      <c r="U1717" s="84"/>
      <c r="V1717" s="84"/>
      <c r="W1717" s="84"/>
      <c r="X1717" s="84"/>
      <c r="Y1717" s="84"/>
      <c r="Z1717" s="84"/>
      <c r="AA1717" s="84"/>
      <c r="AB1717" s="84"/>
      <c r="AC1717" s="84"/>
    </row>
    <row r="1718" ht="15.75" customHeight="1">
      <c r="A1718" s="14" t="s">
        <v>17</v>
      </c>
      <c r="B1718" s="14">
        <v>2003.0</v>
      </c>
      <c r="C1718" s="14" t="s">
        <v>13255</v>
      </c>
      <c r="D1718" s="14" t="s">
        <v>13256</v>
      </c>
      <c r="E1718" s="150" t="str">
        <f t="shared" si="19"/>
        <v>http://dx.doi.org/10.1109/VISUAL.2003.1250358</v>
      </c>
      <c r="F1718" s="14">
        <v>83.0</v>
      </c>
      <c r="G1718" s="14">
        <v>90.0</v>
      </c>
      <c r="H1718" s="151"/>
      <c r="I1718" s="14" t="s">
        <v>28</v>
      </c>
      <c r="J1718" s="14" t="s">
        <v>14677</v>
      </c>
      <c r="K1718" s="14" t="s">
        <v>38205</v>
      </c>
      <c r="L1718" s="152" t="s">
        <v>13262</v>
      </c>
      <c r="M1718" s="14" t="s">
        <v>38206</v>
      </c>
      <c r="N1718" s="54" t="s">
        <v>38208</v>
      </c>
      <c r="O1718" s="130" t="s">
        <v>13263</v>
      </c>
      <c r="P1718" s="153" t="s">
        <v>13264</v>
      </c>
      <c r="Q1718" s="14">
        <v>1250358.0</v>
      </c>
      <c r="R1718" s="95"/>
      <c r="S1718" s="154" t="s">
        <v>38209</v>
      </c>
      <c r="T1718" s="84"/>
      <c r="U1718" s="84"/>
      <c r="V1718" s="84"/>
      <c r="W1718" s="84"/>
      <c r="X1718" s="84"/>
      <c r="Y1718" s="84"/>
      <c r="Z1718" s="84"/>
      <c r="AA1718" s="84"/>
      <c r="AB1718" s="84"/>
      <c r="AC1718" s="84"/>
    </row>
    <row r="1719" ht="15.75" customHeight="1">
      <c r="A1719" s="14" t="s">
        <v>17</v>
      </c>
      <c r="B1719" s="14">
        <v>2003.0</v>
      </c>
      <c r="C1719" s="14" t="s">
        <v>13399</v>
      </c>
      <c r="D1719" s="14" t="s">
        <v>13400</v>
      </c>
      <c r="E1719" s="150" t="str">
        <f t="shared" si="19"/>
        <v>http://dx.doi.org/10.1109/VISUAL.2003.1250373</v>
      </c>
      <c r="F1719" s="14">
        <v>201.0</v>
      </c>
      <c r="G1719" s="14">
        <v>208.0</v>
      </c>
      <c r="H1719" s="151"/>
      <c r="I1719" s="14" t="s">
        <v>28</v>
      </c>
      <c r="J1719" s="14" t="s">
        <v>15141</v>
      </c>
      <c r="K1719" s="14" t="s">
        <v>35890</v>
      </c>
      <c r="L1719" s="152" t="s">
        <v>13405</v>
      </c>
      <c r="M1719" s="14" t="s">
        <v>35891</v>
      </c>
      <c r="N1719" s="54" t="s">
        <v>35890</v>
      </c>
      <c r="O1719" s="130" t="s">
        <v>13407</v>
      </c>
      <c r="P1719" s="153" t="s">
        <v>13408</v>
      </c>
      <c r="Q1719" s="14">
        <v>1250373.0</v>
      </c>
      <c r="R1719" s="95"/>
      <c r="S1719" s="154" t="s">
        <v>38214</v>
      </c>
      <c r="T1719" s="84"/>
      <c r="U1719" s="84"/>
      <c r="V1719" s="84"/>
      <c r="W1719" s="84"/>
      <c r="X1719" s="84"/>
      <c r="Y1719" s="84"/>
      <c r="Z1719" s="84"/>
      <c r="AA1719" s="84"/>
      <c r="AB1719" s="84"/>
      <c r="AC1719" s="84"/>
    </row>
    <row r="1720" ht="15.75" customHeight="1">
      <c r="A1720" s="14" t="s">
        <v>17</v>
      </c>
      <c r="B1720" s="14">
        <v>2003.0</v>
      </c>
      <c r="C1720" s="14" t="s">
        <v>13188</v>
      </c>
      <c r="D1720" s="14" t="s">
        <v>13189</v>
      </c>
      <c r="E1720" s="150" t="str">
        <f t="shared" si="19"/>
        <v>http://dx.doi.org/10.1109/VISUAL.2003.1250350</v>
      </c>
      <c r="F1720" s="14">
        <v>21.0</v>
      </c>
      <c r="G1720" s="14">
        <v>24.0</v>
      </c>
      <c r="H1720" s="159" t="s">
        <v>30659</v>
      </c>
      <c r="I1720" s="14" t="s">
        <v>21</v>
      </c>
      <c r="J1720" s="14"/>
      <c r="K1720" s="14" t="s">
        <v>38218</v>
      </c>
      <c r="L1720" s="152" t="s">
        <v>880</v>
      </c>
      <c r="M1720" s="14" t="s">
        <v>880</v>
      </c>
      <c r="N1720" s="54" t="s">
        <v>38219</v>
      </c>
      <c r="O1720" s="130"/>
      <c r="P1720" s="16"/>
      <c r="Q1720" s="14">
        <v>1250350.0</v>
      </c>
      <c r="R1720" s="95"/>
      <c r="S1720" s="154"/>
      <c r="T1720" s="84"/>
      <c r="U1720" s="84"/>
      <c r="V1720" s="84"/>
      <c r="W1720" s="84"/>
      <c r="X1720" s="84"/>
      <c r="Y1720" s="84"/>
      <c r="Z1720" s="84"/>
      <c r="AA1720" s="84"/>
      <c r="AB1720" s="84"/>
      <c r="AC1720" s="84"/>
    </row>
    <row r="1721" ht="15.75" customHeight="1">
      <c r="A1721" s="14" t="s">
        <v>17</v>
      </c>
      <c r="B1721" s="14">
        <v>2003.0</v>
      </c>
      <c r="C1721" s="14" t="s">
        <v>13670</v>
      </c>
      <c r="D1721" s="14" t="s">
        <v>13671</v>
      </c>
      <c r="E1721" s="150" t="str">
        <f t="shared" si="19"/>
        <v>http://dx.doi.org/10.1109/VISUAL.2003.1250400</v>
      </c>
      <c r="F1721" s="14">
        <v>401.0</v>
      </c>
      <c r="G1721" s="14">
        <v>408.0</v>
      </c>
      <c r="H1721" s="151"/>
      <c r="I1721" s="14" t="s">
        <v>28</v>
      </c>
      <c r="J1721" s="14" t="s">
        <v>15314</v>
      </c>
      <c r="K1721" s="14" t="s">
        <v>38224</v>
      </c>
      <c r="L1721" s="152" t="s">
        <v>13677</v>
      </c>
      <c r="M1721" s="14" t="s">
        <v>38225</v>
      </c>
      <c r="N1721" s="54" t="s">
        <v>38224</v>
      </c>
      <c r="O1721" s="130"/>
      <c r="P1721" s="153" t="s">
        <v>13678</v>
      </c>
      <c r="Q1721" s="14">
        <v>1250400.0</v>
      </c>
      <c r="R1721" s="95"/>
      <c r="S1721" s="154"/>
      <c r="T1721" s="84"/>
      <c r="U1721" s="84"/>
      <c r="V1721" s="84"/>
      <c r="W1721" s="84"/>
      <c r="X1721" s="84"/>
      <c r="Y1721" s="84"/>
      <c r="Z1721" s="84"/>
      <c r="AA1721" s="84"/>
      <c r="AB1721" s="84"/>
      <c r="AC1721" s="84"/>
    </row>
    <row r="1722" ht="15.75" customHeight="1">
      <c r="A1722" s="14" t="s">
        <v>17</v>
      </c>
      <c r="B1722" s="14">
        <v>2003.0</v>
      </c>
      <c r="C1722" s="14" t="s">
        <v>13614</v>
      </c>
      <c r="D1722" s="14" t="s">
        <v>13615</v>
      </c>
      <c r="E1722" s="150" t="str">
        <f t="shared" si="19"/>
        <v>http://dx.doi.org/10.1109/VISUAL.2003.1250394</v>
      </c>
      <c r="F1722" s="14">
        <v>355.0</v>
      </c>
      <c r="G1722" s="14">
        <v>362.0</v>
      </c>
      <c r="H1722" s="151"/>
      <c r="I1722" s="14" t="s">
        <v>28</v>
      </c>
      <c r="J1722" s="14" t="s">
        <v>15290</v>
      </c>
      <c r="K1722" s="14" t="s">
        <v>10806</v>
      </c>
      <c r="L1722" s="152" t="s">
        <v>13620</v>
      </c>
      <c r="M1722" s="14">
        <v>3.81970843E10</v>
      </c>
      <c r="N1722" s="54" t="s">
        <v>10806</v>
      </c>
      <c r="O1722" s="130" t="s">
        <v>13621</v>
      </c>
      <c r="P1722" s="153" t="s">
        <v>13622</v>
      </c>
      <c r="Q1722" s="14">
        <v>1250394.0</v>
      </c>
      <c r="R1722" s="95"/>
      <c r="S1722" s="154" t="s">
        <v>38229</v>
      </c>
      <c r="T1722" s="84"/>
      <c r="U1722" s="84"/>
      <c r="V1722" s="84"/>
      <c r="W1722" s="84"/>
      <c r="X1722" s="84"/>
      <c r="Y1722" s="84"/>
      <c r="Z1722" s="84"/>
      <c r="AA1722" s="84"/>
      <c r="AB1722" s="84"/>
      <c r="AC1722" s="84"/>
    </row>
    <row r="1723" ht="15.75" customHeight="1">
      <c r="A1723" s="14" t="s">
        <v>17</v>
      </c>
      <c r="B1723" s="14">
        <v>2003.0</v>
      </c>
      <c r="C1723" s="14" t="s">
        <v>13679</v>
      </c>
      <c r="D1723" s="14" t="s">
        <v>13680</v>
      </c>
      <c r="E1723" s="150" t="str">
        <f t="shared" si="19"/>
        <v>http://dx.doi.org/10.1109/VISUAL.2003.1250401</v>
      </c>
      <c r="F1723" s="14">
        <v>409.0</v>
      </c>
      <c r="G1723" s="14">
        <v>416.0</v>
      </c>
      <c r="H1723" s="151"/>
      <c r="I1723" s="14" t="s">
        <v>28</v>
      </c>
      <c r="J1723" s="14" t="s">
        <v>15317</v>
      </c>
      <c r="K1723" s="14" t="s">
        <v>38233</v>
      </c>
      <c r="L1723" s="152" t="s">
        <v>13687</v>
      </c>
      <c r="M1723" s="14" t="s">
        <v>38234</v>
      </c>
      <c r="N1723" s="54" t="s">
        <v>38233</v>
      </c>
      <c r="O1723" s="130" t="s">
        <v>12384</v>
      </c>
      <c r="P1723" s="153" t="s">
        <v>13688</v>
      </c>
      <c r="Q1723" s="14">
        <v>1250401.0</v>
      </c>
      <c r="R1723" s="95"/>
      <c r="S1723" s="154">
        <v>1183790.0</v>
      </c>
      <c r="T1723" s="84"/>
      <c r="U1723" s="84"/>
      <c r="V1723" s="84"/>
      <c r="W1723" s="84"/>
      <c r="X1723" s="84"/>
      <c r="Y1723" s="84"/>
      <c r="Z1723" s="84"/>
      <c r="AA1723" s="84"/>
      <c r="AB1723" s="84"/>
      <c r="AC1723" s="84"/>
    </row>
    <row r="1724" ht="15.75" customHeight="1">
      <c r="A1724" s="14" t="s">
        <v>17</v>
      </c>
      <c r="B1724" s="14">
        <v>2003.0</v>
      </c>
      <c r="C1724" s="14" t="s">
        <v>13726</v>
      </c>
      <c r="D1724" s="14" t="s">
        <v>13727</v>
      </c>
      <c r="E1724" s="150" t="str">
        <f t="shared" si="19"/>
        <v>http://dx.doi.org/10.1109/VISUAL.2003.1250407</v>
      </c>
      <c r="F1724" s="14">
        <v>457.0</v>
      </c>
      <c r="G1724" s="14">
        <v>464.0</v>
      </c>
      <c r="H1724" s="151"/>
      <c r="I1724" s="14" t="s">
        <v>28</v>
      </c>
      <c r="J1724" s="14" t="s">
        <v>15335</v>
      </c>
      <c r="K1724" s="14" t="s">
        <v>38237</v>
      </c>
      <c r="L1724" s="152" t="s">
        <v>13730</v>
      </c>
      <c r="M1724" s="14" t="s">
        <v>38238</v>
      </c>
      <c r="N1724" s="54" t="s">
        <v>38237</v>
      </c>
      <c r="O1724" s="130" t="s">
        <v>13731</v>
      </c>
      <c r="P1724" s="153" t="s">
        <v>13732</v>
      </c>
      <c r="Q1724" s="14">
        <v>1250407.0</v>
      </c>
      <c r="R1724" s="95"/>
      <c r="S1724" s="154" t="s">
        <v>38240</v>
      </c>
      <c r="T1724" s="84"/>
      <c r="U1724" s="84"/>
      <c r="V1724" s="84"/>
      <c r="W1724" s="84"/>
      <c r="X1724" s="84"/>
      <c r="Y1724" s="84"/>
      <c r="Z1724" s="84"/>
      <c r="AA1724" s="84"/>
      <c r="AB1724" s="84"/>
      <c r="AC1724" s="84"/>
    </row>
    <row r="1725" ht="15.75" customHeight="1">
      <c r="A1725" s="14" t="s">
        <v>17</v>
      </c>
      <c r="B1725" s="14">
        <v>2003.0</v>
      </c>
      <c r="C1725" s="14" t="s">
        <v>13590</v>
      </c>
      <c r="D1725" s="14" t="s">
        <v>13591</v>
      </c>
      <c r="E1725" s="150" t="str">
        <f t="shared" si="19"/>
        <v>http://dx.doi.org/10.1109/VISUAL.2003.1250391</v>
      </c>
      <c r="F1725" s="14">
        <v>341.0</v>
      </c>
      <c r="G1725" s="14">
        <v>348.0</v>
      </c>
      <c r="H1725" s="151"/>
      <c r="I1725" s="14" t="s">
        <v>28</v>
      </c>
      <c r="J1725" s="14" t="s">
        <v>15275</v>
      </c>
      <c r="K1725" s="14" t="s">
        <v>38243</v>
      </c>
      <c r="L1725" s="152" t="s">
        <v>13597</v>
      </c>
      <c r="M1725" s="14" t="s">
        <v>38244</v>
      </c>
      <c r="N1725" s="54" t="s">
        <v>38243</v>
      </c>
      <c r="O1725" s="130" t="s">
        <v>13598</v>
      </c>
      <c r="P1725" s="153" t="s">
        <v>13599</v>
      </c>
      <c r="Q1725" s="14">
        <v>1250391.0</v>
      </c>
      <c r="R1725" s="95"/>
      <c r="S1725" s="154" t="s">
        <v>38246</v>
      </c>
      <c r="T1725" s="84"/>
      <c r="U1725" s="84"/>
      <c r="V1725" s="84"/>
      <c r="W1725" s="84"/>
      <c r="X1725" s="84"/>
      <c r="Y1725" s="84"/>
      <c r="Z1725" s="84"/>
      <c r="AA1725" s="84"/>
      <c r="AB1725" s="84"/>
      <c r="AC1725" s="84"/>
    </row>
    <row r="1726" ht="15.75" customHeight="1">
      <c r="A1726" s="14" t="s">
        <v>17</v>
      </c>
      <c r="B1726" s="14">
        <v>2003.0</v>
      </c>
      <c r="C1726" s="14" t="s">
        <v>13969</v>
      </c>
      <c r="D1726" s="14" t="s">
        <v>13970</v>
      </c>
      <c r="E1726" s="150" t="str">
        <f t="shared" si="19"/>
        <v>http://dx.doi.org/10.1109/VISUAL.2003.1250430</v>
      </c>
      <c r="F1726" s="14">
        <v>619.0</v>
      </c>
      <c r="G1726" s="14">
        <v>621.0</v>
      </c>
      <c r="H1726" s="159" t="s">
        <v>30659</v>
      </c>
      <c r="I1726" s="14" t="s">
        <v>21</v>
      </c>
      <c r="J1726" s="14"/>
      <c r="K1726" s="14" t="s">
        <v>38261</v>
      </c>
      <c r="L1726" s="152" t="s">
        <v>13977</v>
      </c>
      <c r="M1726" s="14" t="s">
        <v>38262</v>
      </c>
      <c r="N1726" s="54" t="s">
        <v>38261</v>
      </c>
      <c r="O1726" s="130"/>
      <c r="P1726" s="16"/>
      <c r="Q1726" s="14">
        <v>1250430.0</v>
      </c>
      <c r="R1726" s="95"/>
      <c r="S1726" s="154"/>
      <c r="T1726" s="84"/>
      <c r="U1726" s="84"/>
      <c r="V1726" s="84"/>
      <c r="W1726" s="84"/>
      <c r="X1726" s="84"/>
      <c r="Y1726" s="84"/>
      <c r="Z1726" s="84"/>
      <c r="AA1726" s="84"/>
      <c r="AB1726" s="84"/>
      <c r="AC1726" s="84"/>
    </row>
    <row r="1727" ht="15.75" customHeight="1">
      <c r="A1727" s="14" t="s">
        <v>17</v>
      </c>
      <c r="B1727" s="14">
        <v>2003.0</v>
      </c>
      <c r="C1727" s="14" t="s">
        <v>13646</v>
      </c>
      <c r="D1727" s="14" t="s">
        <v>13647</v>
      </c>
      <c r="E1727" s="150" t="str">
        <f t="shared" si="19"/>
        <v>http://dx.doi.org/10.1109/VISUAL.2003.1250397</v>
      </c>
      <c r="F1727" s="14">
        <v>379.0</v>
      </c>
      <c r="G1727" s="14">
        <v>385.0</v>
      </c>
      <c r="H1727" s="151"/>
      <c r="I1727" s="14" t="s">
        <v>28</v>
      </c>
      <c r="J1727" s="14" t="s">
        <v>15304</v>
      </c>
      <c r="K1727" s="14" t="s">
        <v>38267</v>
      </c>
      <c r="L1727" s="152" t="s">
        <v>13650</v>
      </c>
      <c r="M1727" s="14" t="s">
        <v>38268</v>
      </c>
      <c r="N1727" s="54" t="s">
        <v>38267</v>
      </c>
      <c r="O1727" s="130"/>
      <c r="P1727" s="153" t="s">
        <v>13651</v>
      </c>
      <c r="Q1727" s="14">
        <v>1250397.0</v>
      </c>
      <c r="R1727" s="95"/>
      <c r="S1727" s="154"/>
      <c r="T1727" s="84"/>
      <c r="U1727" s="84"/>
      <c r="V1727" s="84"/>
      <c r="W1727" s="84"/>
      <c r="X1727" s="84"/>
      <c r="Y1727" s="84"/>
      <c r="Z1727" s="84"/>
      <c r="AA1727" s="84"/>
      <c r="AB1727" s="84"/>
      <c r="AC1727" s="84"/>
    </row>
    <row r="1728" ht="15.75" customHeight="1">
      <c r="A1728" s="14" t="s">
        <v>17</v>
      </c>
      <c r="B1728" s="14">
        <v>2003.0</v>
      </c>
      <c r="C1728" s="14" t="s">
        <v>13829</v>
      </c>
      <c r="D1728" s="14" t="s">
        <v>13830</v>
      </c>
      <c r="E1728" s="150" t="str">
        <f t="shared" si="19"/>
        <v>http://dx.doi.org/10.1109/VISUAL.2003.1250419</v>
      </c>
      <c r="F1728" s="14">
        <v>555.0</v>
      </c>
      <c r="G1728" s="14">
        <v>559.0</v>
      </c>
      <c r="H1728" s="151"/>
      <c r="I1728" s="14" t="s">
        <v>28</v>
      </c>
      <c r="J1728" s="14" t="s">
        <v>15368</v>
      </c>
      <c r="K1728" s="14" t="s">
        <v>38273</v>
      </c>
      <c r="L1728" s="152" t="s">
        <v>13837</v>
      </c>
      <c r="M1728" s="14" t="s">
        <v>38274</v>
      </c>
      <c r="N1728" s="54" t="s">
        <v>38273</v>
      </c>
      <c r="O1728" s="130" t="s">
        <v>13838</v>
      </c>
      <c r="P1728" s="153" t="s">
        <v>13840</v>
      </c>
      <c r="Q1728" s="14">
        <v>1250419.0</v>
      </c>
      <c r="R1728" s="95"/>
      <c r="S1728" s="154" t="s">
        <v>38275</v>
      </c>
      <c r="T1728" s="84"/>
      <c r="U1728" s="84"/>
      <c r="V1728" s="84"/>
      <c r="W1728" s="84"/>
      <c r="X1728" s="84"/>
      <c r="Y1728" s="84"/>
      <c r="Z1728" s="84"/>
      <c r="AA1728" s="84"/>
      <c r="AB1728" s="84"/>
      <c r="AC1728" s="84"/>
    </row>
    <row r="1729" ht="15.75" customHeight="1">
      <c r="A1729" s="14" t="s">
        <v>17</v>
      </c>
      <c r="B1729" s="14">
        <v>2003.0</v>
      </c>
      <c r="C1729" s="14" t="s">
        <v>13661</v>
      </c>
      <c r="D1729" s="14" t="s">
        <v>13662</v>
      </c>
      <c r="E1729" s="150" t="str">
        <f t="shared" si="19"/>
        <v>http://dx.doi.org/10.1109/VISUAL.2003.1250399</v>
      </c>
      <c r="F1729" s="14">
        <v>393.0</v>
      </c>
      <c r="G1729" s="14">
        <v>400.0</v>
      </c>
      <c r="H1729" s="151"/>
      <c r="I1729" s="14" t="s">
        <v>28</v>
      </c>
      <c r="J1729" s="14" t="s">
        <v>38279</v>
      </c>
      <c r="K1729" s="14" t="s">
        <v>38280</v>
      </c>
      <c r="L1729" s="152" t="s">
        <v>13666</v>
      </c>
      <c r="M1729" s="14" t="s">
        <v>38281</v>
      </c>
      <c r="N1729" s="54" t="s">
        <v>38280</v>
      </c>
      <c r="O1729" s="130" t="s">
        <v>13668</v>
      </c>
      <c r="P1729" s="153" t="s">
        <v>13669</v>
      </c>
      <c r="Q1729" s="14">
        <v>1250399.0</v>
      </c>
      <c r="R1729" s="95"/>
      <c r="S1729" s="154" t="s">
        <v>38282</v>
      </c>
      <c r="T1729" s="84"/>
      <c r="U1729" s="84"/>
      <c r="V1729" s="84"/>
      <c r="W1729" s="84"/>
      <c r="X1729" s="84"/>
      <c r="Y1729" s="84"/>
      <c r="Z1729" s="84"/>
      <c r="AA1729" s="84"/>
      <c r="AB1729" s="84"/>
      <c r="AC1729" s="84"/>
    </row>
    <row r="1730" ht="15.75" customHeight="1">
      <c r="A1730" s="14" t="s">
        <v>17</v>
      </c>
      <c r="B1730" s="14">
        <v>2003.0</v>
      </c>
      <c r="C1730" s="14" t="s">
        <v>13784</v>
      </c>
      <c r="D1730" s="14" t="s">
        <v>13785</v>
      </c>
      <c r="E1730" s="150" t="str">
        <f t="shared" si="19"/>
        <v>http://dx.doi.org/10.1109/VISUAL.2003.1250416</v>
      </c>
      <c r="F1730" s="14">
        <v>531.0</v>
      </c>
      <c r="G1730" s="14">
        <v>538.0</v>
      </c>
      <c r="H1730" s="151"/>
      <c r="I1730" s="14" t="s">
        <v>28</v>
      </c>
      <c r="J1730" s="14" t="s">
        <v>15361</v>
      </c>
      <c r="K1730" s="14" t="s">
        <v>38285</v>
      </c>
      <c r="L1730" s="152" t="s">
        <v>1530</v>
      </c>
      <c r="M1730" s="14" t="s">
        <v>38286</v>
      </c>
      <c r="N1730" s="54" t="s">
        <v>38285</v>
      </c>
      <c r="O1730" s="130" t="s">
        <v>13788</v>
      </c>
      <c r="P1730" s="153" t="s">
        <v>13789</v>
      </c>
      <c r="Q1730" s="14">
        <v>1250416.0</v>
      </c>
      <c r="R1730" s="95"/>
      <c r="S1730" s="154" t="s">
        <v>38287</v>
      </c>
      <c r="T1730" s="84"/>
      <c r="U1730" s="84"/>
      <c r="V1730" s="84"/>
      <c r="W1730" s="84"/>
      <c r="X1730" s="84"/>
      <c r="Y1730" s="84"/>
      <c r="Z1730" s="84"/>
      <c r="AA1730" s="84"/>
      <c r="AB1730" s="84"/>
      <c r="AC1730" s="84"/>
    </row>
    <row r="1731" ht="15.75" customHeight="1">
      <c r="A1731" s="14" t="s">
        <v>17</v>
      </c>
      <c r="B1731" s="14">
        <v>2003.0</v>
      </c>
      <c r="C1731" s="14" t="s">
        <v>13796</v>
      </c>
      <c r="D1731" s="14" t="s">
        <v>13797</v>
      </c>
      <c r="E1731" s="150" t="str">
        <f t="shared" si="19"/>
        <v>http://dx.doi.org/10.1109/VISUAL.2003.1250418</v>
      </c>
      <c r="F1731" s="14">
        <v>547.0</v>
      </c>
      <c r="G1731" s="14">
        <v>554.0</v>
      </c>
      <c r="H1731" s="151"/>
      <c r="I1731" s="14" t="s">
        <v>28</v>
      </c>
      <c r="J1731" s="14" t="s">
        <v>15365</v>
      </c>
      <c r="K1731" s="14" t="s">
        <v>38290</v>
      </c>
      <c r="L1731" s="152" t="s">
        <v>13800</v>
      </c>
      <c r="M1731" s="14" t="s">
        <v>38291</v>
      </c>
      <c r="N1731" s="54" t="s">
        <v>38290</v>
      </c>
      <c r="O1731" s="130"/>
      <c r="P1731" s="153" t="s">
        <v>13801</v>
      </c>
      <c r="Q1731" s="14">
        <v>1250418.0</v>
      </c>
      <c r="R1731" s="95"/>
      <c r="S1731" s="154"/>
      <c r="T1731" s="84"/>
      <c r="U1731" s="84"/>
      <c r="V1731" s="84"/>
      <c r="W1731" s="84"/>
      <c r="X1731" s="84"/>
      <c r="Y1731" s="84"/>
      <c r="Z1731" s="84"/>
      <c r="AA1731" s="84"/>
      <c r="AB1731" s="84"/>
      <c r="AC1731" s="84"/>
    </row>
    <row r="1732" ht="15.75" customHeight="1">
      <c r="A1732" s="14" t="s">
        <v>17</v>
      </c>
      <c r="B1732" s="14">
        <v>2003.0</v>
      </c>
      <c r="C1732" s="14" t="s">
        <v>13850</v>
      </c>
      <c r="D1732" s="14" t="s">
        <v>13851</v>
      </c>
      <c r="E1732" s="150" t="str">
        <f t="shared" si="19"/>
        <v>http://dx.doi.org/10.1109/VISUAL.2003.1250421</v>
      </c>
      <c r="F1732" s="14">
        <v>569.0</v>
      </c>
      <c r="G1732" s="14">
        <v>574.0</v>
      </c>
      <c r="H1732" s="151"/>
      <c r="I1732" s="14" t="s">
        <v>28</v>
      </c>
      <c r="J1732" s="14" t="s">
        <v>15374</v>
      </c>
      <c r="K1732" s="14" t="s">
        <v>38297</v>
      </c>
      <c r="L1732" s="152" t="s">
        <v>13857</v>
      </c>
      <c r="M1732" s="14" t="s">
        <v>38299</v>
      </c>
      <c r="N1732" s="54" t="s">
        <v>38297</v>
      </c>
      <c r="O1732" s="130" t="s">
        <v>13858</v>
      </c>
      <c r="P1732" s="153" t="s">
        <v>13859</v>
      </c>
      <c r="Q1732" s="14">
        <v>1250421.0</v>
      </c>
      <c r="R1732" s="95"/>
      <c r="S1732" s="154" t="s">
        <v>38301</v>
      </c>
      <c r="T1732" s="84"/>
      <c r="U1732" s="84"/>
      <c r="V1732" s="84"/>
      <c r="W1732" s="84"/>
      <c r="X1732" s="84"/>
      <c r="Y1732" s="84"/>
      <c r="Z1732" s="84"/>
      <c r="AA1732" s="84"/>
      <c r="AB1732" s="84"/>
      <c r="AC1732" s="84"/>
    </row>
    <row r="1733" ht="15.75" customHeight="1">
      <c r="A1733" s="14" t="s">
        <v>17</v>
      </c>
      <c r="B1733" s="14">
        <v>2003.0</v>
      </c>
      <c r="C1733" s="14" t="s">
        <v>13508</v>
      </c>
      <c r="D1733" s="14" t="s">
        <v>13509</v>
      </c>
      <c r="E1733" s="150" t="str">
        <f t="shared" si="19"/>
        <v>http://dx.doi.org/10.1109/VISUAL.2003.1250383</v>
      </c>
      <c r="F1733" s="14">
        <v>279.0</v>
      </c>
      <c r="G1733" s="14">
        <v>286.0</v>
      </c>
      <c r="H1733" s="151"/>
      <c r="I1733" s="14" t="s">
        <v>28</v>
      </c>
      <c r="J1733" s="14" t="s">
        <v>15214</v>
      </c>
      <c r="K1733" s="14" t="s">
        <v>38304</v>
      </c>
      <c r="L1733" s="152" t="s">
        <v>13516</v>
      </c>
      <c r="M1733" s="14" t="s">
        <v>38305</v>
      </c>
      <c r="N1733" s="54" t="s">
        <v>38306</v>
      </c>
      <c r="O1733" s="130"/>
      <c r="P1733" s="153" t="s">
        <v>13517</v>
      </c>
      <c r="Q1733" s="14">
        <v>1250383.0</v>
      </c>
      <c r="R1733" s="95"/>
      <c r="S1733" s="154"/>
      <c r="T1733" s="84"/>
      <c r="U1733" s="84"/>
      <c r="V1733" s="84"/>
      <c r="W1733" s="84"/>
      <c r="X1733" s="84"/>
      <c r="Y1733" s="84"/>
      <c r="Z1733" s="84"/>
      <c r="AA1733" s="84"/>
      <c r="AB1733" s="84"/>
      <c r="AC1733" s="84"/>
    </row>
    <row r="1734" ht="15.75" customHeight="1">
      <c r="A1734" s="14" t="s">
        <v>17</v>
      </c>
      <c r="B1734" s="14">
        <v>2003.0</v>
      </c>
      <c r="C1734" s="14" t="s">
        <v>13409</v>
      </c>
      <c r="D1734" s="14" t="s">
        <v>13410</v>
      </c>
      <c r="E1734" s="150" t="str">
        <f t="shared" si="19"/>
        <v>http://dx.doi.org/10.1109/VISUAL.2003.1250374</v>
      </c>
      <c r="F1734" s="14">
        <v>209.0</v>
      </c>
      <c r="G1734" s="14">
        <v>216.0</v>
      </c>
      <c r="H1734" s="151"/>
      <c r="I1734" s="14" t="s">
        <v>28</v>
      </c>
      <c r="J1734" s="14" t="s">
        <v>15150</v>
      </c>
      <c r="K1734" s="14" t="s">
        <v>38307</v>
      </c>
      <c r="L1734" s="152" t="s">
        <v>13416</v>
      </c>
      <c r="M1734" s="14" t="s">
        <v>38308</v>
      </c>
      <c r="N1734" s="54" t="s">
        <v>38307</v>
      </c>
      <c r="O1734" s="130" t="s">
        <v>13417</v>
      </c>
      <c r="P1734" s="153" t="s">
        <v>13418</v>
      </c>
      <c r="Q1734" s="14">
        <v>1250374.0</v>
      </c>
      <c r="R1734" s="95"/>
      <c r="S1734" s="154" t="s">
        <v>38309</v>
      </c>
      <c r="T1734" s="84"/>
      <c r="U1734" s="84"/>
      <c r="V1734" s="84"/>
      <c r="W1734" s="84"/>
      <c r="X1734" s="84"/>
      <c r="Y1734" s="84"/>
      <c r="Z1734" s="84"/>
      <c r="AA1734" s="84"/>
      <c r="AB1734" s="84"/>
      <c r="AC1734" s="84"/>
    </row>
    <row r="1735" ht="15.75" customHeight="1">
      <c r="A1735" s="14" t="s">
        <v>17</v>
      </c>
      <c r="B1735" s="14">
        <v>2003.0</v>
      </c>
      <c r="C1735" s="14" t="s">
        <v>13497</v>
      </c>
      <c r="D1735" s="14" t="s">
        <v>13498</v>
      </c>
      <c r="E1735" s="150" t="str">
        <f t="shared" si="19"/>
        <v>http://dx.doi.org/10.1109/VISUAL.2003.1250382</v>
      </c>
      <c r="F1735" s="14">
        <v>271.0</v>
      </c>
      <c r="G1735" s="14">
        <v>278.0</v>
      </c>
      <c r="H1735" s="151"/>
      <c r="I1735" s="14" t="s">
        <v>28</v>
      </c>
      <c r="J1735" s="14" t="s">
        <v>15205</v>
      </c>
      <c r="K1735" s="14" t="s">
        <v>38310</v>
      </c>
      <c r="L1735" s="152" t="s">
        <v>13504</v>
      </c>
      <c r="M1735" s="14" t="s">
        <v>38311</v>
      </c>
      <c r="N1735" s="54" t="s">
        <v>38310</v>
      </c>
      <c r="O1735" s="130" t="s">
        <v>13505</v>
      </c>
      <c r="P1735" s="153" t="s">
        <v>13506</v>
      </c>
      <c r="Q1735" s="14">
        <v>1250382.0</v>
      </c>
      <c r="R1735" s="95"/>
      <c r="S1735" s="154" t="s">
        <v>38312</v>
      </c>
      <c r="T1735" s="84"/>
      <c r="U1735" s="84"/>
      <c r="V1735" s="84"/>
      <c r="W1735" s="84"/>
      <c r="X1735" s="84"/>
      <c r="Y1735" s="84"/>
      <c r="Z1735" s="84"/>
      <c r="AA1735" s="84"/>
      <c r="AB1735" s="84"/>
      <c r="AC1735" s="84"/>
    </row>
    <row r="1736" ht="15.75" customHeight="1">
      <c r="A1736" s="14" t="s">
        <v>17</v>
      </c>
      <c r="B1736" s="14">
        <v>2003.0</v>
      </c>
      <c r="C1736" s="14" t="s">
        <v>13901</v>
      </c>
      <c r="D1736" s="14" t="s">
        <v>13902</v>
      </c>
      <c r="E1736" s="150" t="str">
        <f t="shared" si="19"/>
        <v>http://dx.doi.org/10.1109/VISUAL.2003.1250426</v>
      </c>
      <c r="F1736" s="14">
        <v>605.0</v>
      </c>
      <c r="G1736" s="14">
        <v>606.0</v>
      </c>
      <c r="H1736" s="159" t="s">
        <v>30659</v>
      </c>
      <c r="I1736" s="14" t="s">
        <v>21</v>
      </c>
      <c r="J1736" s="14"/>
      <c r="K1736" s="14" t="s">
        <v>38313</v>
      </c>
      <c r="L1736" s="152" t="s">
        <v>13936</v>
      </c>
      <c r="M1736" s="14" t="s">
        <v>5349</v>
      </c>
      <c r="N1736" s="54" t="s">
        <v>38314</v>
      </c>
      <c r="O1736" s="130"/>
      <c r="P1736" s="16"/>
      <c r="Q1736" s="14">
        <v>1250426.0</v>
      </c>
      <c r="R1736" s="95"/>
      <c r="S1736" s="154"/>
      <c r="T1736" s="84"/>
      <c r="U1736" s="84"/>
      <c r="V1736" s="84"/>
      <c r="W1736" s="84"/>
      <c r="X1736" s="84"/>
      <c r="Y1736" s="84"/>
      <c r="Z1736" s="84"/>
      <c r="AA1736" s="84"/>
      <c r="AB1736" s="84"/>
      <c r="AC1736" s="84"/>
    </row>
    <row r="1737" ht="15.75" customHeight="1">
      <c r="A1737" s="14" t="s">
        <v>2137</v>
      </c>
      <c r="B1737" s="14">
        <v>2002.0</v>
      </c>
      <c r="C1737" s="14" t="s">
        <v>11930</v>
      </c>
      <c r="D1737" s="14" t="s">
        <v>11931</v>
      </c>
      <c r="E1737" s="150" t="str">
        <f t="shared" si="19"/>
        <v>http://dx.doi.org/10.1109/INFVIS.2002.1173161</v>
      </c>
      <c r="F1737" s="14">
        <v>152.0</v>
      </c>
      <c r="G1737" s="14">
        <v>158.0</v>
      </c>
      <c r="H1737" s="151"/>
      <c r="I1737" s="14" t="s">
        <v>28</v>
      </c>
      <c r="J1737" s="14" t="s">
        <v>38316</v>
      </c>
      <c r="K1737" s="14" t="s">
        <v>38317</v>
      </c>
      <c r="L1737" s="152" t="s">
        <v>11934</v>
      </c>
      <c r="M1737" s="14" t="s">
        <v>38318</v>
      </c>
      <c r="N1737" s="54" t="s">
        <v>38317</v>
      </c>
      <c r="O1737" s="130" t="s">
        <v>2942</v>
      </c>
      <c r="P1737" s="16"/>
      <c r="Q1737" s="14">
        <v>1173161.0</v>
      </c>
      <c r="R1737" s="95"/>
      <c r="S1737" s="154">
        <v>567787.0</v>
      </c>
      <c r="T1737" s="84"/>
      <c r="U1737" s="84"/>
      <c r="V1737" s="84"/>
      <c r="W1737" s="84"/>
      <c r="X1737" s="84"/>
      <c r="Y1737" s="84"/>
      <c r="Z1737" s="84"/>
      <c r="AA1737" s="84"/>
      <c r="AB1737" s="84"/>
      <c r="AC1737" s="84"/>
    </row>
    <row r="1738" ht="15.75" customHeight="1">
      <c r="A1738" s="14" t="s">
        <v>2137</v>
      </c>
      <c r="B1738" s="14">
        <v>2002.0</v>
      </c>
      <c r="C1738" s="14" t="s">
        <v>11876</v>
      </c>
      <c r="D1738" s="14" t="s">
        <v>11877</v>
      </c>
      <c r="E1738" s="150" t="str">
        <f t="shared" si="19"/>
        <v>http://dx.doi.org/10.1109/INFVIS.2002.1173152</v>
      </c>
      <c r="F1738" s="14">
        <v>85.0</v>
      </c>
      <c r="G1738" s="14">
        <v>92.0</v>
      </c>
      <c r="H1738" s="151"/>
      <c r="I1738" s="14" t="s">
        <v>28</v>
      </c>
      <c r="J1738" s="14" t="s">
        <v>13933</v>
      </c>
      <c r="K1738" s="14" t="s">
        <v>11879</v>
      </c>
      <c r="L1738" s="152" t="s">
        <v>11880</v>
      </c>
      <c r="M1738" s="14" t="s">
        <v>38320</v>
      </c>
      <c r="N1738" s="54" t="s">
        <v>11879</v>
      </c>
      <c r="O1738" s="130" t="s">
        <v>11881</v>
      </c>
      <c r="P1738" s="16"/>
      <c r="Q1738" s="14">
        <v>1173152.0</v>
      </c>
      <c r="R1738" s="95"/>
      <c r="S1738" s="154" t="s">
        <v>38321</v>
      </c>
      <c r="T1738" s="84"/>
      <c r="U1738" s="84"/>
      <c r="V1738" s="84"/>
      <c r="W1738" s="84"/>
      <c r="X1738" s="84"/>
      <c r="Y1738" s="84"/>
      <c r="Z1738" s="84"/>
      <c r="AA1738" s="84"/>
      <c r="AB1738" s="84"/>
      <c r="AC1738" s="84"/>
    </row>
    <row r="1739" ht="15.75" customHeight="1">
      <c r="A1739" s="14" t="s">
        <v>2137</v>
      </c>
      <c r="B1739" s="14">
        <v>2002.0</v>
      </c>
      <c r="C1739" s="14" t="s">
        <v>11919</v>
      </c>
      <c r="D1739" s="14" t="s">
        <v>11920</v>
      </c>
      <c r="E1739" s="150" t="str">
        <f t="shared" si="19"/>
        <v>http://dx.doi.org/10.1109/INFVIS.2002.1173159</v>
      </c>
      <c r="F1739" s="14">
        <v>137.0</v>
      </c>
      <c r="G1739" s="14">
        <v>144.0</v>
      </c>
      <c r="H1739" s="151"/>
      <c r="I1739" s="14" t="s">
        <v>28</v>
      </c>
      <c r="J1739" s="14" t="s">
        <v>13972</v>
      </c>
      <c r="K1739" s="14" t="s">
        <v>38322</v>
      </c>
      <c r="L1739" s="152" t="s">
        <v>11923</v>
      </c>
      <c r="M1739" s="14" t="s">
        <v>38323</v>
      </c>
      <c r="N1739" s="54" t="s">
        <v>38322</v>
      </c>
      <c r="O1739" s="130"/>
      <c r="P1739" s="153" t="s">
        <v>11924</v>
      </c>
      <c r="Q1739" s="14">
        <v>1173159.0</v>
      </c>
      <c r="R1739" s="95"/>
      <c r="S1739" s="154"/>
      <c r="T1739" s="84"/>
      <c r="U1739" s="84"/>
      <c r="V1739" s="84"/>
      <c r="W1739" s="84"/>
      <c r="X1739" s="84"/>
      <c r="Y1739" s="84"/>
      <c r="Z1739" s="84"/>
      <c r="AA1739" s="84"/>
      <c r="AB1739" s="84"/>
      <c r="AC1739" s="84"/>
    </row>
    <row r="1740" ht="15.75" customHeight="1">
      <c r="A1740" s="14" t="s">
        <v>2137</v>
      </c>
      <c r="B1740" s="14">
        <v>2002.0</v>
      </c>
      <c r="C1740" s="14" t="s">
        <v>11907</v>
      </c>
      <c r="D1740" s="14" t="s">
        <v>11908</v>
      </c>
      <c r="E1740" s="150" t="str">
        <f t="shared" si="19"/>
        <v>http://dx.doi.org/10.1109/INFVIS.2002.1173157</v>
      </c>
      <c r="F1740" s="14">
        <v>127.0</v>
      </c>
      <c r="G1740" s="14">
        <v>130.0</v>
      </c>
      <c r="H1740" s="151"/>
      <c r="I1740" s="14" t="s">
        <v>28</v>
      </c>
      <c r="J1740" s="14" t="s">
        <v>13957</v>
      </c>
      <c r="K1740" s="14" t="s">
        <v>38324</v>
      </c>
      <c r="L1740" s="152" t="s">
        <v>11911</v>
      </c>
      <c r="M1740" s="14" t="s">
        <v>38325</v>
      </c>
      <c r="N1740" s="54" t="s">
        <v>38324</v>
      </c>
      <c r="O1740" s="130" t="s">
        <v>11912</v>
      </c>
      <c r="P1740" s="153" t="s">
        <v>11913</v>
      </c>
      <c r="Q1740" s="14">
        <v>1173157.0</v>
      </c>
      <c r="R1740" s="95"/>
      <c r="S1740" s="154" t="s">
        <v>38326</v>
      </c>
      <c r="T1740" s="84"/>
      <c r="U1740" s="84"/>
      <c r="V1740" s="84"/>
      <c r="W1740" s="84"/>
      <c r="X1740" s="84"/>
      <c r="Y1740" s="84"/>
      <c r="Z1740" s="84"/>
      <c r="AA1740" s="84"/>
      <c r="AB1740" s="84"/>
      <c r="AC1740" s="84"/>
    </row>
    <row r="1741" ht="15.75" customHeight="1">
      <c r="A1741" s="14" t="s">
        <v>2137</v>
      </c>
      <c r="B1741" s="14">
        <v>2002.0</v>
      </c>
      <c r="C1741" s="14" t="s">
        <v>11894</v>
      </c>
      <c r="D1741" s="14" t="s">
        <v>11895</v>
      </c>
      <c r="E1741" s="150" t="str">
        <f t="shared" si="19"/>
        <v>http://dx.doi.org/10.1109/INFVIS.2002.1173155</v>
      </c>
      <c r="F1741" s="14">
        <v>110.0</v>
      </c>
      <c r="G1741" s="14">
        <v>116.0</v>
      </c>
      <c r="H1741" s="151"/>
      <c r="I1741" s="14" t="s">
        <v>28</v>
      </c>
      <c r="J1741" s="14" t="s">
        <v>13946</v>
      </c>
      <c r="K1741" s="14" t="s">
        <v>11348</v>
      </c>
      <c r="L1741" s="152" t="s">
        <v>11898</v>
      </c>
      <c r="M1741" s="14">
        <v>3.75507597E10</v>
      </c>
      <c r="N1741" s="54" t="s">
        <v>11348</v>
      </c>
      <c r="O1741" s="130" t="s">
        <v>11899</v>
      </c>
      <c r="P1741" s="153" t="s">
        <v>11900</v>
      </c>
      <c r="Q1741" s="14">
        <v>1173155.0</v>
      </c>
      <c r="R1741" s="95"/>
      <c r="S1741" s="154" t="s">
        <v>38328</v>
      </c>
      <c r="T1741" s="84"/>
      <c r="U1741" s="84"/>
      <c r="V1741" s="84"/>
      <c r="W1741" s="84"/>
      <c r="X1741" s="84"/>
      <c r="Y1741" s="84"/>
      <c r="Z1741" s="84"/>
      <c r="AA1741" s="84"/>
      <c r="AB1741" s="84"/>
      <c r="AC1741" s="84"/>
    </row>
    <row r="1742" ht="15.75" customHeight="1">
      <c r="A1742" s="14" t="s">
        <v>2137</v>
      </c>
      <c r="B1742" s="14">
        <v>2002.0</v>
      </c>
      <c r="C1742" s="14" t="s">
        <v>11882</v>
      </c>
      <c r="D1742" s="14" t="s">
        <v>11883</v>
      </c>
      <c r="E1742" s="150" t="str">
        <f t="shared" si="19"/>
        <v>http://dx.doi.org/10.1109/INFVIS.2002.1173153</v>
      </c>
      <c r="F1742" s="14">
        <v>93.0</v>
      </c>
      <c r="G1742" s="14">
        <v>100.0</v>
      </c>
      <c r="H1742" s="151"/>
      <c r="I1742" s="14" t="s">
        <v>28</v>
      </c>
      <c r="J1742" s="14" t="s">
        <v>13940</v>
      </c>
      <c r="K1742" s="14" t="s">
        <v>36461</v>
      </c>
      <c r="L1742" s="152" t="s">
        <v>11886</v>
      </c>
      <c r="M1742" s="14" t="s">
        <v>36462</v>
      </c>
      <c r="N1742" s="54" t="s">
        <v>36461</v>
      </c>
      <c r="O1742" s="130" t="s">
        <v>11887</v>
      </c>
      <c r="P1742" s="16"/>
      <c r="Q1742" s="14">
        <v>1173153.0</v>
      </c>
      <c r="R1742" s="95"/>
      <c r="S1742" s="154" t="s">
        <v>38332</v>
      </c>
      <c r="T1742" s="84"/>
      <c r="U1742" s="84"/>
      <c r="V1742" s="84"/>
      <c r="W1742" s="84"/>
      <c r="X1742" s="84"/>
      <c r="Y1742" s="84"/>
      <c r="Z1742" s="84"/>
      <c r="AA1742" s="84"/>
      <c r="AB1742" s="84"/>
      <c r="AC1742" s="84"/>
    </row>
    <row r="1743" ht="15.75" customHeight="1">
      <c r="A1743" s="14" t="s">
        <v>2137</v>
      </c>
      <c r="B1743" s="14">
        <v>2002.0</v>
      </c>
      <c r="C1743" s="14" t="s">
        <v>11630</v>
      </c>
      <c r="D1743" s="14" t="s">
        <v>11632</v>
      </c>
      <c r="E1743" s="150" t="str">
        <f t="shared" si="19"/>
        <v>http://dx.doi.org/10.1109/INFVIS.2002.1173143</v>
      </c>
      <c r="F1743" s="14">
        <v>23.0</v>
      </c>
      <c r="G1743" s="14">
        <v>30.0</v>
      </c>
      <c r="H1743" s="151"/>
      <c r="I1743" s="14" t="s">
        <v>28</v>
      </c>
      <c r="J1743" s="14" t="s">
        <v>13907</v>
      </c>
      <c r="K1743" s="14" t="s">
        <v>38334</v>
      </c>
      <c r="L1743" s="152" t="s">
        <v>11670</v>
      </c>
      <c r="M1743" s="14" t="s">
        <v>38336</v>
      </c>
      <c r="N1743" s="54" t="s">
        <v>38337</v>
      </c>
      <c r="O1743" s="130" t="s">
        <v>2736</v>
      </c>
      <c r="P1743" s="16"/>
      <c r="Q1743" s="14">
        <v>1173143.0</v>
      </c>
      <c r="R1743" s="95"/>
      <c r="S1743" s="154">
        <v>559211.0</v>
      </c>
      <c r="T1743" s="84"/>
      <c r="U1743" s="84"/>
      <c r="V1743" s="84"/>
      <c r="W1743" s="84"/>
      <c r="X1743" s="84"/>
      <c r="Y1743" s="84"/>
      <c r="Z1743" s="84"/>
      <c r="AA1743" s="84"/>
      <c r="AB1743" s="84"/>
      <c r="AC1743" s="84"/>
    </row>
    <row r="1744" ht="15.75" customHeight="1">
      <c r="A1744" s="14" t="s">
        <v>2137</v>
      </c>
      <c r="B1744" s="14">
        <v>2002.0</v>
      </c>
      <c r="C1744" s="14" t="s">
        <v>11864</v>
      </c>
      <c r="D1744" s="14" t="s">
        <v>11865</v>
      </c>
      <c r="E1744" s="150" t="str">
        <f t="shared" si="19"/>
        <v>http://dx.doi.org/10.1109/INFVIS.2002.1173150</v>
      </c>
      <c r="F1744" s="14">
        <v>71.0</v>
      </c>
      <c r="G1744" s="14">
        <v>74.0</v>
      </c>
      <c r="H1744" s="151"/>
      <c r="I1744" s="14" t="s">
        <v>28</v>
      </c>
      <c r="J1744" s="14" t="s">
        <v>13927</v>
      </c>
      <c r="K1744" s="14" t="s">
        <v>38340</v>
      </c>
      <c r="L1744" s="152" t="s">
        <v>11868</v>
      </c>
      <c r="M1744" s="14" t="s">
        <v>38341</v>
      </c>
      <c r="N1744" s="54" t="s">
        <v>38340</v>
      </c>
      <c r="O1744" s="130" t="s">
        <v>11869</v>
      </c>
      <c r="P1744" s="16"/>
      <c r="Q1744" s="14">
        <v>1173150.0</v>
      </c>
      <c r="R1744" s="95"/>
      <c r="S1744" s="154" t="s">
        <v>38347</v>
      </c>
      <c r="T1744" s="84"/>
      <c r="U1744" s="84"/>
      <c r="V1744" s="84"/>
      <c r="W1744" s="84"/>
      <c r="X1744" s="84"/>
      <c r="Y1744" s="84"/>
      <c r="Z1744" s="84"/>
      <c r="AA1744" s="84"/>
      <c r="AB1744" s="84"/>
      <c r="AC1744" s="84"/>
    </row>
    <row r="1745" ht="15.75" customHeight="1">
      <c r="A1745" s="14" t="s">
        <v>2137</v>
      </c>
      <c r="B1745" s="14">
        <v>2002.0</v>
      </c>
      <c r="C1745" s="14" t="s">
        <v>11935</v>
      </c>
      <c r="D1745" s="14" t="s">
        <v>11936</v>
      </c>
      <c r="E1745" s="150" t="str">
        <f t="shared" si="19"/>
        <v>http://dx.doi.org/10.1109/INFVIS.2002.1173162</v>
      </c>
      <c r="F1745" s="14">
        <v>161.0</v>
      </c>
      <c r="G1745" s="14">
        <v>164.0</v>
      </c>
      <c r="H1745" s="151"/>
      <c r="I1745" s="14" t="s">
        <v>28</v>
      </c>
      <c r="J1745" s="14" t="s">
        <v>13996</v>
      </c>
      <c r="K1745" s="14" t="s">
        <v>9347</v>
      </c>
      <c r="L1745" s="152" t="s">
        <v>11938</v>
      </c>
      <c r="M1745" s="14">
        <v>3.73435653E10</v>
      </c>
      <c r="N1745" s="54" t="s">
        <v>9347</v>
      </c>
      <c r="O1745" s="130" t="s">
        <v>6121</v>
      </c>
      <c r="P1745" s="16"/>
      <c r="Q1745" s="14">
        <v>1173162.0</v>
      </c>
      <c r="R1745" s="95"/>
      <c r="S1745" s="154">
        <v>963273.0</v>
      </c>
      <c r="T1745" s="84"/>
      <c r="U1745" s="84"/>
      <c r="V1745" s="84"/>
      <c r="W1745" s="84"/>
      <c r="X1745" s="84"/>
      <c r="Y1745" s="84"/>
      <c r="Z1745" s="84"/>
      <c r="AA1745" s="84"/>
      <c r="AB1745" s="84"/>
      <c r="AC1745" s="84"/>
    </row>
    <row r="1746" ht="15.75" customHeight="1">
      <c r="A1746" s="14" t="s">
        <v>2137</v>
      </c>
      <c r="B1746" s="14">
        <v>2002.0</v>
      </c>
      <c r="C1746" s="14" t="s">
        <v>11943</v>
      </c>
      <c r="D1746" s="14" t="s">
        <v>11944</v>
      </c>
      <c r="E1746" s="150" t="str">
        <f t="shared" si="19"/>
        <v>http://dx.doi.org/10.1109/INFVIS.2002.1173164</v>
      </c>
      <c r="F1746" s="14">
        <v>171.0</v>
      </c>
      <c r="G1746" s="14">
        <v>171.0</v>
      </c>
      <c r="H1746" s="159" t="s">
        <v>30659</v>
      </c>
      <c r="I1746" s="14" t="s">
        <v>21</v>
      </c>
      <c r="J1746" s="14"/>
      <c r="K1746" s="14" t="s">
        <v>8833</v>
      </c>
      <c r="L1746" s="152" t="s">
        <v>11947</v>
      </c>
      <c r="M1746" s="14">
        <v>3.73785704E10</v>
      </c>
      <c r="N1746" s="54" t="s">
        <v>8833</v>
      </c>
      <c r="O1746" s="130"/>
      <c r="P1746" s="16"/>
      <c r="Q1746" s="14">
        <v>1173164.0</v>
      </c>
      <c r="R1746" s="95"/>
      <c r="S1746" s="154"/>
      <c r="T1746" s="84"/>
      <c r="U1746" s="84"/>
      <c r="V1746" s="84"/>
      <c r="W1746" s="84"/>
      <c r="X1746" s="84"/>
      <c r="Y1746" s="84"/>
      <c r="Z1746" s="84"/>
      <c r="AA1746" s="84"/>
      <c r="AB1746" s="84"/>
      <c r="AC1746" s="84"/>
    </row>
    <row r="1747" ht="15.75" customHeight="1">
      <c r="A1747" s="14" t="s">
        <v>2137</v>
      </c>
      <c r="B1747" s="14">
        <v>2002.0</v>
      </c>
      <c r="C1747" s="14" t="s">
        <v>11674</v>
      </c>
      <c r="D1747" s="14" t="s">
        <v>11676</v>
      </c>
      <c r="E1747" s="150" t="str">
        <f t="shared" si="19"/>
        <v>http://dx.doi.org/10.1109/INFVIS.2002.1173144</v>
      </c>
      <c r="F1747" s="14">
        <v>33.0</v>
      </c>
      <c r="G1747" s="14">
        <v>36.0</v>
      </c>
      <c r="H1747" s="151"/>
      <c r="I1747" s="14" t="s">
        <v>28</v>
      </c>
      <c r="J1747" s="14" t="s">
        <v>13909</v>
      </c>
      <c r="K1747" s="14" t="s">
        <v>38350</v>
      </c>
      <c r="L1747" s="152" t="s">
        <v>11711</v>
      </c>
      <c r="M1747" s="14" t="s">
        <v>38351</v>
      </c>
      <c r="N1747" s="54" t="s">
        <v>38350</v>
      </c>
      <c r="O1747" s="130" t="s">
        <v>11712</v>
      </c>
      <c r="P1747" s="16"/>
      <c r="Q1747" s="14">
        <v>1173144.0</v>
      </c>
      <c r="R1747" s="95"/>
      <c r="S1747" s="154" t="s">
        <v>38353</v>
      </c>
      <c r="T1747" s="84"/>
      <c r="U1747" s="84"/>
      <c r="V1747" s="84"/>
      <c r="W1747" s="84"/>
      <c r="X1747" s="84"/>
      <c r="Y1747" s="84"/>
      <c r="Z1747" s="84"/>
      <c r="AA1747" s="84"/>
      <c r="AB1747" s="84"/>
      <c r="AC1747" s="84"/>
    </row>
    <row r="1748" ht="15.75" customHeight="1">
      <c r="A1748" s="14" t="s">
        <v>2137</v>
      </c>
      <c r="B1748" s="14">
        <v>2002.0</v>
      </c>
      <c r="C1748" s="14" t="s">
        <v>11763</v>
      </c>
      <c r="D1748" s="14" t="s">
        <v>11765</v>
      </c>
      <c r="E1748" s="150" t="str">
        <f t="shared" si="19"/>
        <v>http://dx.doi.org/10.1109/INFVIS.2002.1173146</v>
      </c>
      <c r="F1748" s="14">
        <v>43.0</v>
      </c>
      <c r="G1748" s="14">
        <v>50.0</v>
      </c>
      <c r="H1748" s="151"/>
      <c r="I1748" s="14" t="s">
        <v>28</v>
      </c>
      <c r="J1748" s="14" t="s">
        <v>13915</v>
      </c>
      <c r="K1748" s="14" t="s">
        <v>38354</v>
      </c>
      <c r="L1748" s="152" t="s">
        <v>5581</v>
      </c>
      <c r="M1748" s="14" t="s">
        <v>38355</v>
      </c>
      <c r="N1748" s="54" t="s">
        <v>38354</v>
      </c>
      <c r="O1748" s="130"/>
      <c r="P1748" s="16"/>
      <c r="Q1748" s="14">
        <v>1173146.0</v>
      </c>
      <c r="R1748" s="95"/>
      <c r="S1748" s="154"/>
      <c r="T1748" s="84"/>
      <c r="U1748" s="84"/>
      <c r="V1748" s="84"/>
      <c r="W1748" s="84"/>
      <c r="X1748" s="84"/>
      <c r="Y1748" s="84"/>
      <c r="Z1748" s="84"/>
      <c r="AA1748" s="84"/>
      <c r="AB1748" s="84"/>
      <c r="AC1748" s="84"/>
    </row>
    <row r="1749" ht="15.75" customHeight="1">
      <c r="A1749" s="14" t="s">
        <v>2137</v>
      </c>
      <c r="B1749" s="14">
        <v>2002.0</v>
      </c>
      <c r="C1749" s="14" t="s">
        <v>11901</v>
      </c>
      <c r="D1749" s="14" t="s">
        <v>11902</v>
      </c>
      <c r="E1749" s="150" t="str">
        <f t="shared" si="19"/>
        <v>http://dx.doi.org/10.1109/INFVIS.2002.1173156</v>
      </c>
      <c r="F1749" s="14">
        <v>117.0</v>
      </c>
      <c r="G1749" s="14">
        <v>124.0</v>
      </c>
      <c r="H1749" s="151"/>
      <c r="I1749" s="14" t="s">
        <v>28</v>
      </c>
      <c r="J1749" s="14" t="s">
        <v>13949</v>
      </c>
      <c r="K1749" s="14" t="s">
        <v>38356</v>
      </c>
      <c r="L1749" s="152" t="s">
        <v>11905</v>
      </c>
      <c r="M1749" s="14" t="s">
        <v>38357</v>
      </c>
      <c r="N1749" s="54" t="s">
        <v>38356</v>
      </c>
      <c r="O1749" s="130" t="s">
        <v>11906</v>
      </c>
      <c r="P1749" s="16"/>
      <c r="Q1749" s="14">
        <v>1173156.0</v>
      </c>
      <c r="R1749" s="95"/>
      <c r="S1749" s="154" t="s">
        <v>38358</v>
      </c>
      <c r="T1749" s="84"/>
      <c r="U1749" s="84"/>
      <c r="V1749" s="84"/>
      <c r="W1749" s="84"/>
      <c r="X1749" s="84"/>
      <c r="Y1749" s="84"/>
      <c r="Z1749" s="84"/>
      <c r="AA1749" s="84"/>
      <c r="AB1749" s="84"/>
      <c r="AC1749" s="84"/>
    </row>
    <row r="1750" ht="15.75" customHeight="1">
      <c r="A1750" s="14" t="s">
        <v>2137</v>
      </c>
      <c r="B1750" s="14">
        <v>2002.0</v>
      </c>
      <c r="C1750" s="14" t="s">
        <v>11512</v>
      </c>
      <c r="D1750" s="14" t="s">
        <v>11514</v>
      </c>
      <c r="E1750" s="150" t="str">
        <f t="shared" si="19"/>
        <v>http://dx.doi.org/10.1109/INFVIS.2002.1173140</v>
      </c>
      <c r="F1750" s="14">
        <v>3.0</v>
      </c>
      <c r="G1750" s="14">
        <v>4.0</v>
      </c>
      <c r="H1750" s="159" t="s">
        <v>30659</v>
      </c>
      <c r="I1750" s="14" t="s">
        <v>21</v>
      </c>
      <c r="J1750" s="14" t="s">
        <v>13892</v>
      </c>
      <c r="K1750" s="14" t="s">
        <v>6957</v>
      </c>
      <c r="L1750" s="152" t="s">
        <v>11536</v>
      </c>
      <c r="M1750" s="14">
        <v>3.72823443E10</v>
      </c>
      <c r="N1750" s="54" t="s">
        <v>6957</v>
      </c>
      <c r="O1750" s="130"/>
      <c r="P1750" s="16"/>
      <c r="Q1750" s="14">
        <v>1173140.0</v>
      </c>
      <c r="R1750" s="95"/>
      <c r="S1750" s="154"/>
      <c r="T1750" s="84"/>
      <c r="U1750" s="84"/>
      <c r="V1750" s="84"/>
      <c r="W1750" s="84"/>
      <c r="X1750" s="84"/>
      <c r="Y1750" s="84"/>
      <c r="Z1750" s="84"/>
      <c r="AA1750" s="84"/>
      <c r="AB1750" s="84"/>
      <c r="AC1750" s="84"/>
    </row>
    <row r="1751" ht="15.75" customHeight="1">
      <c r="A1751" s="14" t="s">
        <v>2137</v>
      </c>
      <c r="B1751" s="14">
        <v>2002.0</v>
      </c>
      <c r="C1751" s="14" t="s">
        <v>11870</v>
      </c>
      <c r="D1751" s="14" t="s">
        <v>11871</v>
      </c>
      <c r="E1751" s="150" t="str">
        <f t="shared" si="19"/>
        <v>http://dx.doi.org/10.1109/INFVIS.2002.1173151</v>
      </c>
      <c r="F1751" s="14">
        <v>77.0</v>
      </c>
      <c r="G1751" s="14">
        <v>84.0</v>
      </c>
      <c r="H1751" s="151"/>
      <c r="I1751" s="14" t="s">
        <v>28</v>
      </c>
      <c r="J1751" s="14" t="s">
        <v>13930</v>
      </c>
      <c r="K1751" s="14" t="s">
        <v>38359</v>
      </c>
      <c r="L1751" s="152" t="s">
        <v>4817</v>
      </c>
      <c r="M1751" s="14" t="s">
        <v>38360</v>
      </c>
      <c r="N1751" s="54" t="s">
        <v>38359</v>
      </c>
      <c r="O1751" s="130" t="s">
        <v>11874</v>
      </c>
      <c r="P1751" s="153" t="s">
        <v>11875</v>
      </c>
      <c r="Q1751" s="14">
        <v>1173151.0</v>
      </c>
      <c r="R1751" s="95"/>
      <c r="S1751" s="154" t="s">
        <v>38361</v>
      </c>
      <c r="T1751" s="84"/>
      <c r="U1751" s="84"/>
      <c r="V1751" s="84"/>
      <c r="W1751" s="84"/>
      <c r="X1751" s="84"/>
      <c r="Y1751" s="84"/>
      <c r="Z1751" s="84"/>
      <c r="AA1751" s="84"/>
      <c r="AB1751" s="84"/>
      <c r="AC1751" s="84"/>
    </row>
    <row r="1752" ht="15.75" customHeight="1">
      <c r="A1752" s="14" t="s">
        <v>2137</v>
      </c>
      <c r="B1752" s="14">
        <v>2002.0</v>
      </c>
      <c r="C1752" s="14" t="s">
        <v>11914</v>
      </c>
      <c r="D1752" s="14" t="s">
        <v>11915</v>
      </c>
      <c r="E1752" s="150" t="str">
        <f t="shared" si="19"/>
        <v>http://dx.doi.org/10.1109/INFVIS.2002.1173158</v>
      </c>
      <c r="F1752" s="14">
        <v>131.0</v>
      </c>
      <c r="G1752" s="14">
        <v>134.0</v>
      </c>
      <c r="H1752" s="151"/>
      <c r="I1752" s="14" t="s">
        <v>28</v>
      </c>
      <c r="J1752" s="14" t="s">
        <v>13965</v>
      </c>
      <c r="K1752" s="14" t="s">
        <v>38362</v>
      </c>
      <c r="L1752" s="152" t="s">
        <v>4680</v>
      </c>
      <c r="M1752" s="14" t="s">
        <v>38363</v>
      </c>
      <c r="N1752" s="54" t="s">
        <v>38362</v>
      </c>
      <c r="O1752" s="130" t="s">
        <v>11918</v>
      </c>
      <c r="P1752" s="16"/>
      <c r="Q1752" s="14">
        <v>1173158.0</v>
      </c>
      <c r="R1752" s="95"/>
      <c r="S1752" s="154" t="s">
        <v>38364</v>
      </c>
      <c r="T1752" s="84"/>
      <c r="U1752" s="84"/>
      <c r="V1752" s="84"/>
      <c r="W1752" s="84"/>
      <c r="X1752" s="84"/>
      <c r="Y1752" s="84"/>
      <c r="Z1752" s="84"/>
      <c r="AA1752" s="84"/>
      <c r="AB1752" s="84"/>
      <c r="AC1752" s="84"/>
    </row>
    <row r="1753" ht="15.75" customHeight="1">
      <c r="A1753" s="14" t="s">
        <v>2137</v>
      </c>
      <c r="B1753" s="14">
        <v>2002.0</v>
      </c>
      <c r="C1753" s="14" t="s">
        <v>11539</v>
      </c>
      <c r="D1753" s="14" t="s">
        <v>11541</v>
      </c>
      <c r="E1753" s="150" t="str">
        <f t="shared" si="19"/>
        <v>http://dx.doi.org/10.1109/INFVIS.2002.1173141</v>
      </c>
      <c r="F1753" s="14">
        <v>7.0</v>
      </c>
      <c r="G1753" s="14">
        <v>14.0</v>
      </c>
      <c r="H1753" s="151"/>
      <c r="I1753" s="14" t="s">
        <v>28</v>
      </c>
      <c r="J1753" s="14" t="s">
        <v>13895</v>
      </c>
      <c r="K1753" s="14" t="s">
        <v>38365</v>
      </c>
      <c r="L1753" s="152" t="s">
        <v>4915</v>
      </c>
      <c r="M1753" s="14" t="s">
        <v>38366</v>
      </c>
      <c r="N1753" s="54" t="s">
        <v>38365</v>
      </c>
      <c r="O1753" s="130" t="s">
        <v>5481</v>
      </c>
      <c r="P1753" s="16"/>
      <c r="Q1753" s="14">
        <v>1173141.0</v>
      </c>
      <c r="R1753" s="95"/>
      <c r="S1753" s="154">
        <v>885086.0</v>
      </c>
      <c r="T1753" s="84"/>
      <c r="U1753" s="84"/>
      <c r="V1753" s="84"/>
      <c r="W1753" s="84"/>
      <c r="X1753" s="84"/>
      <c r="Y1753" s="84"/>
      <c r="Z1753" s="84"/>
      <c r="AA1753" s="84"/>
      <c r="AB1753" s="84"/>
      <c r="AC1753" s="84"/>
    </row>
    <row r="1754" ht="15.75" customHeight="1">
      <c r="A1754" s="14" t="s">
        <v>2137</v>
      </c>
      <c r="B1754" s="14">
        <v>2002.0</v>
      </c>
      <c r="C1754" s="14" t="s">
        <v>11857</v>
      </c>
      <c r="D1754" s="14" t="s">
        <v>11858</v>
      </c>
      <c r="E1754" s="150" t="str">
        <f t="shared" si="19"/>
        <v>http://dx.doi.org/10.1109/INFVIS.2002.1173149</v>
      </c>
      <c r="F1754" s="14">
        <v>67.0</v>
      </c>
      <c r="G1754" s="14">
        <v>70.0</v>
      </c>
      <c r="H1754" s="151"/>
      <c r="I1754" s="14" t="s">
        <v>28</v>
      </c>
      <c r="J1754" s="14" t="s">
        <v>13923</v>
      </c>
      <c r="K1754" s="14" t="s">
        <v>38369</v>
      </c>
      <c r="L1754" s="152" t="s">
        <v>11861</v>
      </c>
      <c r="M1754" s="14" t="s">
        <v>38370</v>
      </c>
      <c r="N1754" s="54" t="s">
        <v>38371</v>
      </c>
      <c r="O1754" s="130" t="s">
        <v>11862</v>
      </c>
      <c r="P1754" s="153" t="s">
        <v>11863</v>
      </c>
      <c r="Q1754" s="14">
        <v>1173149.0</v>
      </c>
      <c r="R1754" s="95"/>
      <c r="S1754" s="154" t="s">
        <v>38372</v>
      </c>
      <c r="T1754" s="84"/>
      <c r="U1754" s="84"/>
      <c r="V1754" s="84"/>
      <c r="W1754" s="84"/>
      <c r="X1754" s="84"/>
      <c r="Y1754" s="84"/>
      <c r="Z1754" s="84"/>
      <c r="AA1754" s="84"/>
      <c r="AB1754" s="84"/>
      <c r="AC1754" s="84"/>
    </row>
    <row r="1755" ht="15.75" customHeight="1">
      <c r="A1755" s="14" t="s">
        <v>2137</v>
      </c>
      <c r="B1755" s="14">
        <v>2002.0</v>
      </c>
      <c r="C1755" s="14" t="s">
        <v>11842</v>
      </c>
      <c r="D1755" s="14" t="s">
        <v>11844</v>
      </c>
      <c r="E1755" s="150" t="str">
        <f t="shared" si="19"/>
        <v>http://dx.doi.org/10.1109/INFVIS.2002.1173148</v>
      </c>
      <c r="F1755" s="14">
        <v>57.0</v>
      </c>
      <c r="G1755" s="14">
        <v>64.0</v>
      </c>
      <c r="H1755" s="151"/>
      <c r="I1755" s="14" t="s">
        <v>28</v>
      </c>
      <c r="J1755" s="14" t="s">
        <v>13920</v>
      </c>
      <c r="K1755" s="14" t="s">
        <v>38373</v>
      </c>
      <c r="L1755" s="152" t="s">
        <v>11856</v>
      </c>
      <c r="M1755" s="14" t="s">
        <v>38374</v>
      </c>
      <c r="N1755" s="54" t="s">
        <v>38373</v>
      </c>
      <c r="O1755" s="130" t="s">
        <v>2892</v>
      </c>
      <c r="P1755" s="16"/>
      <c r="Q1755" s="14">
        <v>1173148.0</v>
      </c>
      <c r="R1755" s="95"/>
      <c r="S1755" s="154">
        <v>567745.0</v>
      </c>
      <c r="T1755" s="84"/>
      <c r="U1755" s="84"/>
      <c r="V1755" s="84"/>
      <c r="W1755" s="84"/>
      <c r="X1755" s="84"/>
      <c r="Y1755" s="84"/>
      <c r="Z1755" s="84"/>
      <c r="AA1755" s="84"/>
      <c r="AB1755" s="84"/>
      <c r="AC1755" s="84"/>
    </row>
    <row r="1756" ht="15.75" customHeight="1">
      <c r="A1756" s="14" t="s">
        <v>2137</v>
      </c>
      <c r="B1756" s="14">
        <v>2002.0</v>
      </c>
      <c r="C1756" s="14" t="s">
        <v>11801</v>
      </c>
      <c r="D1756" s="14" t="s">
        <v>11803</v>
      </c>
      <c r="E1756" s="150" t="str">
        <f t="shared" si="19"/>
        <v>http://dx.doi.org/10.1109/INFVIS.2002.1173147</v>
      </c>
      <c r="F1756" s="14">
        <v>51.0</v>
      </c>
      <c r="G1756" s="14">
        <v>56.0</v>
      </c>
      <c r="H1756" s="151"/>
      <c r="I1756" s="14" t="s">
        <v>28</v>
      </c>
      <c r="J1756" s="14" t="s">
        <v>13917</v>
      </c>
      <c r="K1756" s="14" t="s">
        <v>38375</v>
      </c>
      <c r="L1756" s="152" t="s">
        <v>11839</v>
      </c>
      <c r="M1756" s="14" t="s">
        <v>38376</v>
      </c>
      <c r="N1756" s="54" t="s">
        <v>38375</v>
      </c>
      <c r="O1756" s="130" t="s">
        <v>6949</v>
      </c>
      <c r="P1756" s="16"/>
      <c r="Q1756" s="14">
        <v>1173147.0</v>
      </c>
      <c r="R1756" s="95"/>
      <c r="S1756" s="154">
        <v>963291.0</v>
      </c>
      <c r="T1756" s="84"/>
      <c r="U1756" s="84"/>
      <c r="V1756" s="84"/>
      <c r="W1756" s="84"/>
      <c r="X1756" s="84"/>
      <c r="Y1756" s="84"/>
      <c r="Z1756" s="84"/>
      <c r="AA1756" s="84"/>
      <c r="AB1756" s="84"/>
      <c r="AC1756" s="84"/>
    </row>
    <row r="1757" ht="15.75" customHeight="1">
      <c r="A1757" s="14" t="s">
        <v>2137</v>
      </c>
      <c r="B1757" s="14">
        <v>2002.0</v>
      </c>
      <c r="C1757" s="14" t="s">
        <v>11939</v>
      </c>
      <c r="D1757" s="14" t="s">
        <v>11940</v>
      </c>
      <c r="E1757" s="150" t="str">
        <f t="shared" si="19"/>
        <v>http://dx.doi.org/10.1109/INFVIS.2002.1173163</v>
      </c>
      <c r="F1757" s="14">
        <v>165.0</v>
      </c>
      <c r="G1757" s="14">
        <v>168.0</v>
      </c>
      <c r="H1757" s="151"/>
      <c r="I1757" s="14" t="s">
        <v>28</v>
      </c>
      <c r="J1757" s="14" t="s">
        <v>14000</v>
      </c>
      <c r="K1757" s="14" t="s">
        <v>38377</v>
      </c>
      <c r="L1757" s="152" t="s">
        <v>178</v>
      </c>
      <c r="M1757" s="14" t="s">
        <v>38378</v>
      </c>
      <c r="N1757" s="54" t="s">
        <v>38377</v>
      </c>
      <c r="O1757" s="130" t="s">
        <v>6992</v>
      </c>
      <c r="P1757" s="16"/>
      <c r="Q1757" s="14">
        <v>1173163.0</v>
      </c>
      <c r="R1757" s="95"/>
      <c r="S1757" s="154">
        <v>963293.0</v>
      </c>
      <c r="T1757" s="84"/>
      <c r="U1757" s="84"/>
      <c r="V1757" s="84"/>
      <c r="W1757" s="84"/>
      <c r="X1757" s="84"/>
      <c r="Y1757" s="84"/>
      <c r="Z1757" s="84"/>
      <c r="AA1757" s="84"/>
      <c r="AB1757" s="84"/>
      <c r="AC1757" s="84"/>
    </row>
    <row r="1758" ht="15.75" customHeight="1">
      <c r="A1758" s="14" t="s">
        <v>2137</v>
      </c>
      <c r="B1758" s="14">
        <v>2002.0</v>
      </c>
      <c r="C1758" s="14" t="s">
        <v>11925</v>
      </c>
      <c r="D1758" s="14" t="s">
        <v>11926</v>
      </c>
      <c r="E1758" s="150" t="str">
        <f t="shared" si="19"/>
        <v>http://dx.doi.org/10.1109/INFVIS.2002.1173160</v>
      </c>
      <c r="F1758" s="14">
        <v>145.0</v>
      </c>
      <c r="G1758" s="14">
        <v>151.0</v>
      </c>
      <c r="H1758" s="151"/>
      <c r="I1758" s="14" t="s">
        <v>28</v>
      </c>
      <c r="J1758" s="14" t="s">
        <v>13975</v>
      </c>
      <c r="K1758" s="14" t="s">
        <v>38379</v>
      </c>
      <c r="L1758" s="152" t="s">
        <v>11929</v>
      </c>
      <c r="M1758" s="14" t="s">
        <v>38380</v>
      </c>
      <c r="N1758" s="54" t="s">
        <v>38379</v>
      </c>
      <c r="O1758" s="130" t="s">
        <v>6351</v>
      </c>
      <c r="P1758" s="16"/>
      <c r="Q1758" s="14">
        <v>1173160.0</v>
      </c>
      <c r="R1758" s="95"/>
      <c r="S1758" s="154">
        <v>963279.0</v>
      </c>
      <c r="T1758" s="84"/>
      <c r="U1758" s="84"/>
      <c r="V1758" s="84"/>
      <c r="W1758" s="84"/>
      <c r="X1758" s="84"/>
      <c r="Y1758" s="84"/>
      <c r="Z1758" s="84"/>
      <c r="AA1758" s="84"/>
      <c r="AB1758" s="84"/>
      <c r="AC1758" s="84"/>
    </row>
    <row r="1759" ht="15.75" customHeight="1">
      <c r="A1759" s="14" t="s">
        <v>2137</v>
      </c>
      <c r="B1759" s="14">
        <v>2002.0</v>
      </c>
      <c r="C1759" s="14" t="s">
        <v>11588</v>
      </c>
      <c r="D1759" s="14" t="s">
        <v>11589</v>
      </c>
      <c r="E1759" s="150" t="str">
        <f t="shared" si="19"/>
        <v>http://dx.doi.org/10.1109/INFVIS.2002.1173142</v>
      </c>
      <c r="F1759" s="14">
        <v>15.0</v>
      </c>
      <c r="G1759" s="14">
        <v>22.0</v>
      </c>
      <c r="H1759" s="151"/>
      <c r="I1759" s="14" t="s">
        <v>28</v>
      </c>
      <c r="J1759" s="14" t="s">
        <v>13904</v>
      </c>
      <c r="K1759" s="14" t="s">
        <v>38381</v>
      </c>
      <c r="L1759" s="152" t="s">
        <v>4680</v>
      </c>
      <c r="M1759" s="14" t="s">
        <v>38382</v>
      </c>
      <c r="N1759" s="54" t="s">
        <v>38381</v>
      </c>
      <c r="O1759" s="130" t="s">
        <v>11625</v>
      </c>
      <c r="P1759" s="16"/>
      <c r="Q1759" s="14">
        <v>1173142.0</v>
      </c>
      <c r="R1759" s="95"/>
      <c r="S1759" s="154" t="s">
        <v>38384</v>
      </c>
      <c r="T1759" s="84"/>
      <c r="U1759" s="84"/>
      <c r="V1759" s="84"/>
      <c r="W1759" s="84"/>
      <c r="X1759" s="84"/>
      <c r="Y1759" s="84"/>
      <c r="Z1759" s="84"/>
      <c r="AA1759" s="84"/>
      <c r="AB1759" s="84"/>
      <c r="AC1759" s="84"/>
    </row>
    <row r="1760" ht="15.75" customHeight="1">
      <c r="A1760" s="14" t="s">
        <v>2137</v>
      </c>
      <c r="B1760" s="14">
        <v>2002.0</v>
      </c>
      <c r="C1760" s="14" t="s">
        <v>11888</v>
      </c>
      <c r="D1760" s="14" t="s">
        <v>11889</v>
      </c>
      <c r="E1760" s="150" t="str">
        <f t="shared" si="19"/>
        <v>http://dx.doi.org/10.1109/INFVIS.2002.1173154</v>
      </c>
      <c r="F1760" s="14">
        <v>103.0</v>
      </c>
      <c r="G1760" s="14">
        <v>109.0</v>
      </c>
      <c r="H1760" s="151"/>
      <c r="I1760" s="14" t="s">
        <v>28</v>
      </c>
      <c r="J1760" s="14" t="s">
        <v>13943</v>
      </c>
      <c r="K1760" s="14" t="s">
        <v>38385</v>
      </c>
      <c r="L1760" s="152" t="s">
        <v>11892</v>
      </c>
      <c r="M1760" s="14" t="s">
        <v>38386</v>
      </c>
      <c r="N1760" s="54" t="s">
        <v>38385</v>
      </c>
      <c r="O1760" s="130" t="s">
        <v>11893</v>
      </c>
      <c r="P1760" s="16"/>
      <c r="Q1760" s="14">
        <v>1173154.0</v>
      </c>
      <c r="R1760" s="95"/>
      <c r="S1760" s="154" t="s">
        <v>38387</v>
      </c>
      <c r="T1760" s="84"/>
      <c r="U1760" s="84"/>
      <c r="V1760" s="84"/>
      <c r="W1760" s="84"/>
      <c r="X1760" s="84"/>
      <c r="Y1760" s="84"/>
      <c r="Z1760" s="84"/>
      <c r="AA1760" s="84"/>
      <c r="AB1760" s="84"/>
      <c r="AC1760" s="84"/>
    </row>
    <row r="1761" ht="15.75" customHeight="1">
      <c r="A1761" s="14" t="s">
        <v>2137</v>
      </c>
      <c r="B1761" s="14">
        <v>2002.0</v>
      </c>
      <c r="C1761" s="14" t="s">
        <v>11716</v>
      </c>
      <c r="D1761" s="14" t="s">
        <v>11718</v>
      </c>
      <c r="E1761" s="150" t="str">
        <f t="shared" si="19"/>
        <v>http://dx.doi.org/10.1109/INFVIS.2002.1173145</v>
      </c>
      <c r="F1761" s="14">
        <v>37.0</v>
      </c>
      <c r="G1761" s="14">
        <v>40.0</v>
      </c>
      <c r="H1761" s="151"/>
      <c r="I1761" s="14" t="s">
        <v>28</v>
      </c>
      <c r="J1761" s="14" t="s">
        <v>13913</v>
      </c>
      <c r="K1761" s="14" t="s">
        <v>38388</v>
      </c>
      <c r="L1761" s="152" t="s">
        <v>30</v>
      </c>
      <c r="M1761" s="14" t="s">
        <v>38389</v>
      </c>
      <c r="N1761" s="54" t="s">
        <v>38388</v>
      </c>
      <c r="O1761" s="130" t="s">
        <v>11758</v>
      </c>
      <c r="P1761" s="153" t="s">
        <v>11760</v>
      </c>
      <c r="Q1761" s="14">
        <v>1173145.0</v>
      </c>
      <c r="R1761" s="95"/>
      <c r="S1761" s="154" t="s">
        <v>38390</v>
      </c>
      <c r="T1761" s="84"/>
      <c r="U1761" s="84"/>
      <c r="V1761" s="84"/>
      <c r="W1761" s="84"/>
      <c r="X1761" s="84"/>
      <c r="Y1761" s="84"/>
      <c r="Z1761" s="84"/>
      <c r="AA1761" s="84"/>
      <c r="AB1761" s="84"/>
      <c r="AC1761" s="84"/>
    </row>
    <row r="1762" ht="15.75" customHeight="1">
      <c r="A1762" s="14" t="s">
        <v>17</v>
      </c>
      <c r="B1762" s="14">
        <v>2002.0</v>
      </c>
      <c r="C1762" s="14" t="s">
        <v>12743</v>
      </c>
      <c r="D1762" s="14" t="s">
        <v>12744</v>
      </c>
      <c r="E1762" s="150" t="str">
        <f t="shared" si="19"/>
        <v>http://dx.doi.org/10.1109/VISUAL.2002.1183821</v>
      </c>
      <c r="F1762" s="14">
        <v>525.0</v>
      </c>
      <c r="G1762" s="14">
        <v>528.0</v>
      </c>
      <c r="H1762" s="151"/>
      <c r="I1762" s="14" t="s">
        <v>28</v>
      </c>
      <c r="J1762" s="14" t="s">
        <v>14400</v>
      </c>
      <c r="K1762" s="14" t="s">
        <v>38391</v>
      </c>
      <c r="L1762" s="152" t="s">
        <v>12754</v>
      </c>
      <c r="M1762" s="14" t="s">
        <v>38392</v>
      </c>
      <c r="N1762" s="54" t="s">
        <v>38391</v>
      </c>
      <c r="O1762" s="130" t="s">
        <v>12755</v>
      </c>
      <c r="P1762" s="153" t="s">
        <v>12756</v>
      </c>
      <c r="Q1762" s="14">
        <v>1183821.0</v>
      </c>
      <c r="R1762" s="95"/>
      <c r="S1762" s="154" t="s">
        <v>38393</v>
      </c>
      <c r="T1762" s="84"/>
      <c r="U1762" s="84"/>
      <c r="V1762" s="84"/>
      <c r="W1762" s="84"/>
      <c r="X1762" s="84"/>
      <c r="Y1762" s="84"/>
      <c r="Z1762" s="84"/>
      <c r="AA1762" s="84"/>
      <c r="AB1762" s="84"/>
      <c r="AC1762" s="84"/>
    </row>
    <row r="1763" ht="15.75" customHeight="1">
      <c r="A1763" s="14" t="s">
        <v>17</v>
      </c>
      <c r="B1763" s="14">
        <v>2002.0</v>
      </c>
      <c r="C1763" s="14" t="s">
        <v>12790</v>
      </c>
      <c r="D1763" s="14" t="s">
        <v>12791</v>
      </c>
      <c r="E1763" s="150" t="str">
        <f t="shared" si="19"/>
        <v>http://dx.doi.org/10.1109/VISUAL.2002.1183826</v>
      </c>
      <c r="F1763" s="14">
        <v>545.0</v>
      </c>
      <c r="G1763" s="14">
        <v>548.0</v>
      </c>
      <c r="H1763" s="151"/>
      <c r="I1763" s="14" t="s">
        <v>28</v>
      </c>
      <c r="J1763" s="14" t="s">
        <v>14428</v>
      </c>
      <c r="K1763" s="14" t="s">
        <v>38394</v>
      </c>
      <c r="L1763" s="152" t="s">
        <v>11212</v>
      </c>
      <c r="M1763" s="14" t="s">
        <v>38395</v>
      </c>
      <c r="N1763" s="54" t="s">
        <v>38394</v>
      </c>
      <c r="O1763" s="130" t="s">
        <v>11166</v>
      </c>
      <c r="P1763" s="153" t="s">
        <v>12793</v>
      </c>
      <c r="Q1763" s="14">
        <v>1183826.0</v>
      </c>
      <c r="R1763" s="95"/>
      <c r="S1763" s="154">
        <v>964557.0</v>
      </c>
      <c r="T1763" s="84"/>
      <c r="U1763" s="84"/>
      <c r="V1763" s="84"/>
      <c r="W1763" s="84"/>
      <c r="X1763" s="84"/>
      <c r="Y1763" s="84"/>
      <c r="Z1763" s="84"/>
      <c r="AA1763" s="84"/>
      <c r="AB1763" s="84"/>
      <c r="AC1763" s="84"/>
    </row>
    <row r="1764" ht="15.75" customHeight="1">
      <c r="A1764" s="14" t="s">
        <v>17</v>
      </c>
      <c r="B1764" s="14">
        <v>2002.0</v>
      </c>
      <c r="C1764" s="14" t="s">
        <v>12766</v>
      </c>
      <c r="D1764" s="14" t="s">
        <v>12767</v>
      </c>
      <c r="E1764" s="150" t="str">
        <f t="shared" si="19"/>
        <v>http://dx.doi.org/10.1109/VISUAL.2002.1183823</v>
      </c>
      <c r="F1764" s="14">
        <v>533.0</v>
      </c>
      <c r="G1764" s="14">
        <v>536.0</v>
      </c>
      <c r="H1764" s="151"/>
      <c r="I1764" s="14" t="s">
        <v>28</v>
      </c>
      <c r="J1764" s="14" t="s">
        <v>14412</v>
      </c>
      <c r="K1764" s="14" t="s">
        <v>38397</v>
      </c>
      <c r="L1764" s="152" t="s">
        <v>12773</v>
      </c>
      <c r="M1764" s="14" t="s">
        <v>38398</v>
      </c>
      <c r="N1764" s="54" t="s">
        <v>38397</v>
      </c>
      <c r="O1764" s="130" t="s">
        <v>12774</v>
      </c>
      <c r="P1764" s="153" t="s">
        <v>12775</v>
      </c>
      <c r="Q1764" s="14">
        <v>1183823.0</v>
      </c>
      <c r="R1764" s="95"/>
      <c r="S1764" s="154" t="s">
        <v>38399</v>
      </c>
      <c r="T1764" s="84"/>
      <c r="U1764" s="84"/>
      <c r="V1764" s="84"/>
      <c r="W1764" s="84"/>
      <c r="X1764" s="84"/>
      <c r="Y1764" s="84"/>
      <c r="Z1764" s="84"/>
      <c r="AA1764" s="84"/>
      <c r="AB1764" s="84"/>
      <c r="AC1764" s="84"/>
    </row>
    <row r="1765" ht="15.75" customHeight="1">
      <c r="A1765" s="14" t="s">
        <v>17</v>
      </c>
      <c r="B1765" s="14">
        <v>2002.0</v>
      </c>
      <c r="C1765" s="14" t="s">
        <v>12818</v>
      </c>
      <c r="D1765" s="14" t="s">
        <v>12819</v>
      </c>
      <c r="E1765" s="150" t="str">
        <f t="shared" si="19"/>
        <v>http://dx.doi.org/10.1109/VISUAL.2002.1183829</v>
      </c>
      <c r="F1765" s="14">
        <v>557.0</v>
      </c>
      <c r="G1765" s="14">
        <v>560.0</v>
      </c>
      <c r="H1765" s="151"/>
      <c r="I1765" s="14" t="s">
        <v>28</v>
      </c>
      <c r="J1765" s="14" t="s">
        <v>14443</v>
      </c>
      <c r="K1765" s="14" t="s">
        <v>38400</v>
      </c>
      <c r="L1765" s="152" t="s">
        <v>5704</v>
      </c>
      <c r="M1765" s="14" t="s">
        <v>38401</v>
      </c>
      <c r="N1765" s="54" t="s">
        <v>38400</v>
      </c>
      <c r="O1765" s="130" t="s">
        <v>5346</v>
      </c>
      <c r="P1765" s="153" t="s">
        <v>12824</v>
      </c>
      <c r="Q1765" s="14">
        <v>1183829.0</v>
      </c>
      <c r="R1765" s="95"/>
      <c r="S1765" s="154">
        <v>809918.0</v>
      </c>
      <c r="T1765" s="84"/>
      <c r="U1765" s="84"/>
      <c r="V1765" s="84"/>
      <c r="W1765" s="84"/>
      <c r="X1765" s="84"/>
      <c r="Y1765" s="84"/>
      <c r="Z1765" s="84"/>
      <c r="AA1765" s="84"/>
      <c r="AB1765" s="84"/>
      <c r="AC1765" s="84"/>
    </row>
    <row r="1766" ht="15.75" customHeight="1">
      <c r="A1766" s="14" t="s">
        <v>17</v>
      </c>
      <c r="B1766" s="14">
        <v>2002.0</v>
      </c>
      <c r="C1766" s="14" t="s">
        <v>12394</v>
      </c>
      <c r="D1766" s="14" t="s">
        <v>12395</v>
      </c>
      <c r="E1766" s="150" t="str">
        <f t="shared" si="19"/>
        <v>http://dx.doi.org/10.1109/VISUAL.2002.1183791</v>
      </c>
      <c r="F1766" s="14">
        <v>323.0</v>
      </c>
      <c r="G1766" s="14">
        <v>330.0</v>
      </c>
      <c r="H1766" s="151"/>
      <c r="I1766" s="14" t="s">
        <v>28</v>
      </c>
      <c r="J1766" s="14" t="s">
        <v>14201</v>
      </c>
      <c r="K1766" s="14" t="s">
        <v>38402</v>
      </c>
      <c r="L1766" s="152" t="s">
        <v>12404</v>
      </c>
      <c r="M1766" s="14" t="s">
        <v>38403</v>
      </c>
      <c r="N1766" s="54" t="s">
        <v>38402</v>
      </c>
      <c r="O1766" s="130" t="s">
        <v>12405</v>
      </c>
      <c r="P1766" s="153" t="s">
        <v>12406</v>
      </c>
      <c r="Q1766" s="14">
        <v>1183791.0</v>
      </c>
      <c r="R1766" s="95"/>
      <c r="S1766" s="154" t="s">
        <v>38404</v>
      </c>
      <c r="T1766" s="84"/>
      <c r="U1766" s="84"/>
      <c r="V1766" s="84"/>
      <c r="W1766" s="84"/>
      <c r="X1766" s="84"/>
      <c r="Y1766" s="84"/>
      <c r="Z1766" s="84"/>
      <c r="AA1766" s="84"/>
      <c r="AB1766" s="84"/>
      <c r="AC1766" s="84"/>
    </row>
    <row r="1767" ht="15.75" customHeight="1">
      <c r="A1767" s="14" t="s">
        <v>17</v>
      </c>
      <c r="B1767" s="14">
        <v>2002.0</v>
      </c>
      <c r="C1767" s="14" t="s">
        <v>12101</v>
      </c>
      <c r="D1767" s="14" t="s">
        <v>12102</v>
      </c>
      <c r="E1767" s="150" t="str">
        <f t="shared" si="19"/>
        <v>http://dx.doi.org/10.1109/VISUAL.2002.1183765</v>
      </c>
      <c r="F1767" s="14">
        <v>117.0</v>
      </c>
      <c r="G1767" s="14">
        <v>124.0</v>
      </c>
      <c r="H1767" s="151"/>
      <c r="I1767" s="14" t="s">
        <v>28</v>
      </c>
      <c r="J1767" s="14" t="s">
        <v>14038</v>
      </c>
      <c r="K1767" s="14" t="s">
        <v>38405</v>
      </c>
      <c r="L1767" s="152" t="s">
        <v>5595</v>
      </c>
      <c r="M1767" s="14" t="s">
        <v>38406</v>
      </c>
      <c r="N1767" s="54" t="s">
        <v>38405</v>
      </c>
      <c r="O1767" s="130" t="s">
        <v>12107</v>
      </c>
      <c r="P1767" s="153" t="s">
        <v>12109</v>
      </c>
      <c r="Q1767" s="14">
        <v>1183765.0</v>
      </c>
      <c r="R1767" s="95"/>
      <c r="S1767" s="154" t="s">
        <v>38407</v>
      </c>
      <c r="T1767" s="84"/>
      <c r="U1767" s="84"/>
      <c r="V1767" s="84"/>
      <c r="W1767" s="84"/>
      <c r="X1767" s="84"/>
      <c r="Y1767" s="84"/>
      <c r="Z1767" s="84"/>
      <c r="AA1767" s="84"/>
      <c r="AB1767" s="84"/>
      <c r="AC1767" s="84"/>
    </row>
    <row r="1768" ht="15.75" customHeight="1">
      <c r="A1768" s="14" t="s">
        <v>17</v>
      </c>
      <c r="B1768" s="14">
        <v>2002.0</v>
      </c>
      <c r="C1768" s="14" t="s">
        <v>12206</v>
      </c>
      <c r="D1768" s="14" t="s">
        <v>12207</v>
      </c>
      <c r="E1768" s="150" t="str">
        <f t="shared" si="19"/>
        <v>http://dx.doi.org/10.1109/VISUAL.2002.1183776</v>
      </c>
      <c r="F1768" s="14">
        <v>203.0</v>
      </c>
      <c r="G1768" s="14">
        <v>210.0</v>
      </c>
      <c r="H1768" s="151"/>
      <c r="I1768" s="14" t="s">
        <v>28</v>
      </c>
      <c r="J1768" s="14" t="s">
        <v>38408</v>
      </c>
      <c r="K1768" s="14" t="s">
        <v>38409</v>
      </c>
      <c r="L1768" s="152" t="s">
        <v>12213</v>
      </c>
      <c r="M1768" s="14" t="s">
        <v>38410</v>
      </c>
      <c r="N1768" s="54" t="s">
        <v>38409</v>
      </c>
      <c r="O1768" s="130" t="s">
        <v>12214</v>
      </c>
      <c r="P1768" s="153" t="s">
        <v>12215</v>
      </c>
      <c r="Q1768" s="14">
        <v>1183776.0</v>
      </c>
      <c r="R1768" s="95"/>
      <c r="S1768" s="154" t="s">
        <v>38411</v>
      </c>
      <c r="T1768" s="84"/>
      <c r="U1768" s="84"/>
      <c r="V1768" s="84"/>
      <c r="W1768" s="84"/>
      <c r="X1768" s="84"/>
      <c r="Y1768" s="84"/>
      <c r="Z1768" s="84"/>
      <c r="AA1768" s="84"/>
      <c r="AB1768" s="84"/>
      <c r="AC1768" s="84"/>
    </row>
    <row r="1769" ht="15.75" customHeight="1">
      <c r="A1769" s="14" t="s">
        <v>17</v>
      </c>
      <c r="B1769" s="14">
        <v>2002.0</v>
      </c>
      <c r="C1769" s="14" t="s">
        <v>12583</v>
      </c>
      <c r="D1769" s="14" t="s">
        <v>12586</v>
      </c>
      <c r="E1769" s="150" t="str">
        <f t="shared" si="19"/>
        <v>http://dx.doi.org/10.1109/VISUAL.2002.1183806</v>
      </c>
      <c r="F1769" s="14">
        <v>443.0</v>
      </c>
      <c r="G1769" s="14">
        <v>450.0</v>
      </c>
      <c r="H1769" s="151"/>
      <c r="I1769" s="14" t="s">
        <v>28</v>
      </c>
      <c r="J1769" s="14" t="s">
        <v>14298</v>
      </c>
      <c r="K1769" s="14" t="s">
        <v>38412</v>
      </c>
      <c r="L1769" s="152" t="s">
        <v>12598</v>
      </c>
      <c r="M1769" s="14" t="s">
        <v>38413</v>
      </c>
      <c r="N1769" s="54" t="s">
        <v>38412</v>
      </c>
      <c r="O1769" s="130" t="s">
        <v>12599</v>
      </c>
      <c r="P1769" s="153" t="s">
        <v>12600</v>
      </c>
      <c r="Q1769" s="14">
        <v>1183806.0</v>
      </c>
      <c r="R1769" s="95"/>
      <c r="S1769" s="154" t="s">
        <v>38414</v>
      </c>
      <c r="T1769" s="84"/>
      <c r="U1769" s="84"/>
      <c r="V1769" s="84"/>
      <c r="W1769" s="84"/>
      <c r="X1769" s="84"/>
      <c r="Y1769" s="84"/>
      <c r="Z1769" s="84"/>
      <c r="AA1769" s="84"/>
      <c r="AB1769" s="84"/>
      <c r="AC1769" s="84"/>
    </row>
    <row r="1770" ht="15.75" customHeight="1">
      <c r="A1770" s="14" t="s">
        <v>17</v>
      </c>
      <c r="B1770" s="14">
        <v>2002.0</v>
      </c>
      <c r="C1770" s="14" t="s">
        <v>12613</v>
      </c>
      <c r="D1770" s="14" t="s">
        <v>12614</v>
      </c>
      <c r="E1770" s="150" t="str">
        <f t="shared" si="19"/>
        <v>http://dx.doi.org/10.1109/VISUAL.2002.1183808</v>
      </c>
      <c r="F1770" s="14">
        <v>459.0</v>
      </c>
      <c r="G1770" s="14">
        <v>466.0</v>
      </c>
      <c r="H1770" s="151"/>
      <c r="I1770" s="14" t="s">
        <v>28</v>
      </c>
      <c r="J1770" s="14" t="s">
        <v>14308</v>
      </c>
      <c r="K1770" s="14" t="s">
        <v>38415</v>
      </c>
      <c r="L1770" s="152" t="s">
        <v>12625</v>
      </c>
      <c r="M1770" s="14" t="s">
        <v>38416</v>
      </c>
      <c r="N1770" s="54" t="s">
        <v>38415</v>
      </c>
      <c r="O1770" s="130" t="s">
        <v>536</v>
      </c>
      <c r="P1770" s="153" t="s">
        <v>12626</v>
      </c>
      <c r="Q1770" s="14">
        <v>1183808.0</v>
      </c>
      <c r="R1770" s="95"/>
      <c r="S1770" s="154">
        <v>175782.0</v>
      </c>
      <c r="T1770" s="84"/>
      <c r="U1770" s="84"/>
      <c r="V1770" s="84"/>
      <c r="W1770" s="84"/>
      <c r="X1770" s="84"/>
      <c r="Y1770" s="84"/>
      <c r="Z1770" s="84"/>
      <c r="AA1770" s="84"/>
      <c r="AB1770" s="84"/>
      <c r="AC1770" s="84"/>
    </row>
    <row r="1771" ht="15.75" customHeight="1">
      <c r="A1771" s="14" t="s">
        <v>17</v>
      </c>
      <c r="B1771" s="14">
        <v>2002.0</v>
      </c>
      <c r="C1771" s="14" t="s">
        <v>12547</v>
      </c>
      <c r="D1771" s="14" t="s">
        <v>12548</v>
      </c>
      <c r="E1771" s="150" t="str">
        <f t="shared" si="19"/>
        <v>http://dx.doi.org/10.1109/VISUAL.2002.1183803</v>
      </c>
      <c r="F1771" s="14">
        <v>419.0</v>
      </c>
      <c r="G1771" s="14">
        <v>426.0</v>
      </c>
      <c r="H1771" s="151"/>
      <c r="I1771" s="14" t="s">
        <v>28</v>
      </c>
      <c r="J1771" s="14" t="s">
        <v>14276</v>
      </c>
      <c r="K1771" s="14" t="s">
        <v>38425</v>
      </c>
      <c r="L1771" s="152" t="s">
        <v>7936</v>
      </c>
      <c r="M1771" s="14" t="s">
        <v>38426</v>
      </c>
      <c r="N1771" s="54" t="s">
        <v>38427</v>
      </c>
      <c r="O1771" s="130" t="s">
        <v>2378</v>
      </c>
      <c r="P1771" s="153" t="s">
        <v>12553</v>
      </c>
      <c r="Q1771" s="14">
        <v>1183803.0</v>
      </c>
      <c r="R1771" s="95"/>
      <c r="S1771" s="154">
        <v>480803.0</v>
      </c>
      <c r="T1771" s="84"/>
      <c r="U1771" s="84"/>
      <c r="V1771" s="84"/>
      <c r="W1771" s="84"/>
      <c r="X1771" s="84"/>
      <c r="Y1771" s="84"/>
      <c r="Z1771" s="84"/>
      <c r="AA1771" s="84"/>
      <c r="AB1771" s="84"/>
      <c r="AC1771" s="84"/>
    </row>
    <row r="1772" ht="15.75" customHeight="1">
      <c r="A1772" s="14" t="s">
        <v>17</v>
      </c>
      <c r="B1772" s="14">
        <v>2002.0</v>
      </c>
      <c r="C1772" s="14" t="s">
        <v>12601</v>
      </c>
      <c r="D1772" s="14" t="s">
        <v>12602</v>
      </c>
      <c r="E1772" s="150" t="str">
        <f t="shared" si="19"/>
        <v>http://dx.doi.org/10.1109/VISUAL.2002.1183807</v>
      </c>
      <c r="F1772" s="14">
        <v>451.0</v>
      </c>
      <c r="G1772" s="14">
        <v>458.0</v>
      </c>
      <c r="H1772" s="151"/>
      <c r="I1772" s="14" t="s">
        <v>28</v>
      </c>
      <c r="J1772" s="14" t="s">
        <v>14303</v>
      </c>
      <c r="K1772" s="14" t="s">
        <v>38428</v>
      </c>
      <c r="L1772" s="152" t="s">
        <v>1158</v>
      </c>
      <c r="M1772" s="14">
        <v>3.7282608E10</v>
      </c>
      <c r="N1772" s="54" t="s">
        <v>10974</v>
      </c>
      <c r="O1772" s="130" t="s">
        <v>12611</v>
      </c>
      <c r="P1772" s="153" t="s">
        <v>12612</v>
      </c>
      <c r="Q1772" s="14">
        <v>1183807.0</v>
      </c>
      <c r="R1772" s="95"/>
      <c r="S1772" s="154" t="s">
        <v>38429</v>
      </c>
      <c r="T1772" s="84"/>
      <c r="U1772" s="84"/>
      <c r="V1772" s="84"/>
      <c r="W1772" s="84"/>
      <c r="X1772" s="84"/>
      <c r="Y1772" s="84"/>
      <c r="Z1772" s="84"/>
      <c r="AA1772" s="84"/>
      <c r="AB1772" s="84"/>
      <c r="AC1772" s="84"/>
    </row>
    <row r="1773" ht="15.75" customHeight="1">
      <c r="A1773" s="14" t="s">
        <v>17</v>
      </c>
      <c r="B1773" s="14">
        <v>2002.0</v>
      </c>
      <c r="C1773" s="14" t="s">
        <v>12554</v>
      </c>
      <c r="D1773" s="14" t="s">
        <v>12555</v>
      </c>
      <c r="E1773" s="150" t="str">
        <f t="shared" si="19"/>
        <v>http://dx.doi.org/10.1109/VISUAL.2002.1183804</v>
      </c>
      <c r="F1773" s="14">
        <v>427.0</v>
      </c>
      <c r="G1773" s="14">
        <v>433.0</v>
      </c>
      <c r="H1773" s="151"/>
      <c r="I1773" s="14" t="s">
        <v>28</v>
      </c>
      <c r="J1773" s="14" t="s">
        <v>14284</v>
      </c>
      <c r="K1773" s="14" t="s">
        <v>38430</v>
      </c>
      <c r="L1773" s="152" t="s">
        <v>4515</v>
      </c>
      <c r="M1773" s="14" t="s">
        <v>38431</v>
      </c>
      <c r="N1773" s="54" t="s">
        <v>38432</v>
      </c>
      <c r="O1773" s="130" t="s">
        <v>10718</v>
      </c>
      <c r="P1773" s="153" t="s">
        <v>12565</v>
      </c>
      <c r="Q1773" s="14">
        <v>1183804.0</v>
      </c>
      <c r="R1773" s="95"/>
      <c r="S1773" s="154">
        <v>964546.0</v>
      </c>
      <c r="T1773" s="84"/>
      <c r="U1773" s="84"/>
      <c r="V1773" s="84"/>
      <c r="W1773" s="84"/>
      <c r="X1773" s="84"/>
      <c r="Y1773" s="84"/>
      <c r="Z1773" s="84"/>
      <c r="AA1773" s="84"/>
      <c r="AB1773" s="84"/>
      <c r="AC1773" s="84"/>
    </row>
    <row r="1774" ht="15.75" customHeight="1">
      <c r="A1774" s="14" t="s">
        <v>17</v>
      </c>
      <c r="B1774" s="14">
        <v>2002.0</v>
      </c>
      <c r="C1774" s="14" t="s">
        <v>12441</v>
      </c>
      <c r="D1774" s="14" t="s">
        <v>12442</v>
      </c>
      <c r="E1774" s="150" t="str">
        <f t="shared" si="19"/>
        <v>http://dx.doi.org/10.1109/VISUAL.2002.1183795</v>
      </c>
      <c r="F1774" s="14">
        <v>355.0</v>
      </c>
      <c r="G1774" s="14">
        <v>362.0</v>
      </c>
      <c r="H1774" s="151"/>
      <c r="I1774" s="14" t="s">
        <v>28</v>
      </c>
      <c r="J1774" s="14" t="s">
        <v>14225</v>
      </c>
      <c r="K1774" s="14" t="s">
        <v>38433</v>
      </c>
      <c r="L1774" s="152" t="s">
        <v>12449</v>
      </c>
      <c r="M1774" s="14" t="s">
        <v>38434</v>
      </c>
      <c r="N1774" s="54" t="s">
        <v>38433</v>
      </c>
      <c r="O1774" s="130"/>
      <c r="P1774" s="153" t="s">
        <v>12450</v>
      </c>
      <c r="Q1774" s="14">
        <v>1183795.0</v>
      </c>
      <c r="R1774" s="95"/>
      <c r="S1774" s="154"/>
      <c r="T1774" s="84"/>
      <c r="U1774" s="84"/>
      <c r="V1774" s="84"/>
      <c r="W1774" s="84"/>
      <c r="X1774" s="84"/>
      <c r="Y1774" s="84"/>
      <c r="Z1774" s="84"/>
      <c r="AA1774" s="84"/>
      <c r="AB1774" s="84"/>
      <c r="AC1774" s="84"/>
    </row>
    <row r="1775" ht="15.75" customHeight="1">
      <c r="A1775" s="14" t="s">
        <v>17</v>
      </c>
      <c r="B1775" s="14">
        <v>2002.0</v>
      </c>
      <c r="C1775" s="14" t="s">
        <v>12794</v>
      </c>
      <c r="D1775" s="14" t="s">
        <v>12795</v>
      </c>
      <c r="E1775" s="150" t="str">
        <f t="shared" si="19"/>
        <v>http://dx.doi.org/10.1109/VISUAL.2002.1183827</v>
      </c>
      <c r="F1775" s="14">
        <v>549.0</v>
      </c>
      <c r="G1775" s="14">
        <v>552.0</v>
      </c>
      <c r="H1775" s="151"/>
      <c r="I1775" s="14" t="s">
        <v>28</v>
      </c>
      <c r="J1775" s="14" t="s">
        <v>14435</v>
      </c>
      <c r="K1775" s="14" t="s">
        <v>11091</v>
      </c>
      <c r="L1775" s="152" t="s">
        <v>1158</v>
      </c>
      <c r="M1775" s="14">
        <v>3.73721755E10</v>
      </c>
      <c r="N1775" s="54" t="s">
        <v>11091</v>
      </c>
      <c r="O1775" s="130" t="s">
        <v>12803</v>
      </c>
      <c r="P1775" s="153" t="s">
        <v>12804</v>
      </c>
      <c r="Q1775" s="14">
        <v>1183827.0</v>
      </c>
      <c r="R1775" s="95"/>
      <c r="S1775" s="154" t="s">
        <v>38435</v>
      </c>
      <c r="T1775" s="84"/>
      <c r="U1775" s="84"/>
      <c r="V1775" s="84"/>
      <c r="W1775" s="84"/>
      <c r="X1775" s="84"/>
      <c r="Y1775" s="84"/>
      <c r="Z1775" s="84"/>
      <c r="AA1775" s="84"/>
      <c r="AB1775" s="84"/>
      <c r="AC1775" s="84"/>
    </row>
    <row r="1776" ht="15.75" customHeight="1">
      <c r="A1776" s="14" t="s">
        <v>17</v>
      </c>
      <c r="B1776" s="14">
        <v>2002.0</v>
      </c>
      <c r="C1776" s="14" t="s">
        <v>12685</v>
      </c>
      <c r="D1776" s="14" t="s">
        <v>12686</v>
      </c>
      <c r="E1776" s="150" t="str">
        <f t="shared" si="19"/>
        <v>http://dx.doi.org/10.1109/VISUAL.2002.1183815</v>
      </c>
      <c r="F1776" s="14">
        <v>501.0</v>
      </c>
      <c r="G1776" s="14">
        <v>504.0</v>
      </c>
      <c r="H1776" s="151"/>
      <c r="I1776" s="14" t="s">
        <v>28</v>
      </c>
      <c r="J1776" s="14" t="s">
        <v>14358</v>
      </c>
      <c r="K1776" s="14" t="s">
        <v>8193</v>
      </c>
      <c r="L1776" s="152" t="s">
        <v>12694</v>
      </c>
      <c r="M1776" s="14">
        <v>3.75978205E10</v>
      </c>
      <c r="N1776" s="54" t="s">
        <v>8193</v>
      </c>
      <c r="O1776" s="130" t="s">
        <v>3859</v>
      </c>
      <c r="P1776" s="153" t="s">
        <v>12695</v>
      </c>
      <c r="Q1776" s="14">
        <v>1183815.0</v>
      </c>
      <c r="R1776" s="95"/>
      <c r="S1776" s="154">
        <v>663931.0</v>
      </c>
      <c r="T1776" s="84"/>
      <c r="U1776" s="84"/>
      <c r="V1776" s="84"/>
      <c r="W1776" s="84"/>
      <c r="X1776" s="84"/>
      <c r="Y1776" s="84"/>
      <c r="Z1776" s="84"/>
      <c r="AA1776" s="84"/>
      <c r="AB1776" s="84"/>
      <c r="AC1776" s="84"/>
    </row>
    <row r="1777" ht="15.75" customHeight="1">
      <c r="A1777" s="14" t="s">
        <v>17</v>
      </c>
      <c r="B1777" s="14">
        <v>2002.0</v>
      </c>
      <c r="C1777" s="14" t="s">
        <v>12710</v>
      </c>
      <c r="D1777" s="14" t="s">
        <v>12711</v>
      </c>
      <c r="E1777" s="150" t="str">
        <f t="shared" si="19"/>
        <v>http://dx.doi.org/10.1109/VISUAL.2002.1183818</v>
      </c>
      <c r="F1777" s="14">
        <v>513.0</v>
      </c>
      <c r="G1777" s="14">
        <v>516.0</v>
      </c>
      <c r="H1777" s="151"/>
      <c r="I1777" s="14" t="s">
        <v>28</v>
      </c>
      <c r="J1777" s="14" t="s">
        <v>14384</v>
      </c>
      <c r="K1777" s="14" t="s">
        <v>38436</v>
      </c>
      <c r="L1777" s="152" t="s">
        <v>12717</v>
      </c>
      <c r="M1777" s="14" t="s">
        <v>38437</v>
      </c>
      <c r="N1777" s="54" t="s">
        <v>38436</v>
      </c>
      <c r="O1777" s="130"/>
      <c r="P1777" s="153" t="s">
        <v>12719</v>
      </c>
      <c r="Q1777" s="14">
        <v>1183818.0</v>
      </c>
      <c r="R1777" s="95"/>
      <c r="S1777" s="154"/>
      <c r="T1777" s="84"/>
      <c r="U1777" s="84"/>
      <c r="V1777" s="84"/>
      <c r="W1777" s="84"/>
      <c r="X1777" s="84"/>
      <c r="Y1777" s="84"/>
      <c r="Z1777" s="84"/>
      <c r="AA1777" s="84"/>
      <c r="AB1777" s="84"/>
      <c r="AC1777" s="84"/>
    </row>
    <row r="1778" ht="15.75" customHeight="1">
      <c r="A1778" s="14" t="s">
        <v>17</v>
      </c>
      <c r="B1778" s="14">
        <v>2002.0</v>
      </c>
      <c r="C1778" s="14" t="s">
        <v>12644</v>
      </c>
      <c r="D1778" s="14" t="s">
        <v>12645</v>
      </c>
      <c r="E1778" s="150" t="str">
        <f t="shared" si="19"/>
        <v>http://dx.doi.org/10.1109/VISUAL.2002.1183811</v>
      </c>
      <c r="F1778" s="14">
        <v>485.0</v>
      </c>
      <c r="G1778" s="14">
        <v>488.0</v>
      </c>
      <c r="H1778" s="151"/>
      <c r="I1778" s="14" t="s">
        <v>28</v>
      </c>
      <c r="J1778" s="14" t="s">
        <v>14328</v>
      </c>
      <c r="K1778" s="14" t="s">
        <v>38438</v>
      </c>
      <c r="L1778" s="152" t="s">
        <v>12652</v>
      </c>
      <c r="M1778" s="14" t="s">
        <v>38439</v>
      </c>
      <c r="N1778" s="54" t="s">
        <v>38438</v>
      </c>
      <c r="O1778" s="130" t="s">
        <v>12653</v>
      </c>
      <c r="P1778" s="153" t="s">
        <v>12654</v>
      </c>
      <c r="Q1778" s="14">
        <v>1183811.0</v>
      </c>
      <c r="R1778" s="95"/>
      <c r="S1778" s="154" t="s">
        <v>38440</v>
      </c>
      <c r="T1778" s="84"/>
      <c r="U1778" s="84"/>
      <c r="V1778" s="84"/>
      <c r="W1778" s="84"/>
      <c r="X1778" s="84"/>
      <c r="Y1778" s="84"/>
      <c r="Z1778" s="84"/>
      <c r="AA1778" s="84"/>
      <c r="AB1778" s="84"/>
      <c r="AC1778" s="84"/>
    </row>
    <row r="1779" ht="15.75" customHeight="1">
      <c r="A1779" s="14" t="s">
        <v>17</v>
      </c>
      <c r="B1779" s="14">
        <v>2002.0</v>
      </c>
      <c r="C1779" s="14" t="s">
        <v>12730</v>
      </c>
      <c r="D1779" s="14" t="s">
        <v>12731</v>
      </c>
      <c r="E1779" s="150" t="str">
        <f t="shared" si="19"/>
        <v>http://dx.doi.org/10.1109/VISUAL.2002.1183820</v>
      </c>
      <c r="F1779" s="14">
        <v>521.0</v>
      </c>
      <c r="G1779" s="14">
        <v>524.0</v>
      </c>
      <c r="H1779" s="151"/>
      <c r="I1779" s="14" t="s">
        <v>28</v>
      </c>
      <c r="J1779" s="14" t="s">
        <v>14397</v>
      </c>
      <c r="K1779" s="14" t="s">
        <v>38442</v>
      </c>
      <c r="L1779" s="152" t="s">
        <v>12741</v>
      </c>
      <c r="M1779" s="14" t="s">
        <v>38443</v>
      </c>
      <c r="N1779" s="54" t="s">
        <v>38442</v>
      </c>
      <c r="O1779" s="130" t="s">
        <v>1558</v>
      </c>
      <c r="P1779" s="153" t="s">
        <v>12742</v>
      </c>
      <c r="Q1779" s="14">
        <v>1183820.0</v>
      </c>
      <c r="R1779" s="95"/>
      <c r="S1779" s="154">
        <v>398877.0</v>
      </c>
      <c r="T1779" s="84"/>
      <c r="U1779" s="84"/>
      <c r="V1779" s="84"/>
      <c r="W1779" s="84"/>
      <c r="X1779" s="84"/>
      <c r="Y1779" s="84"/>
      <c r="Z1779" s="84"/>
      <c r="AA1779" s="84"/>
      <c r="AB1779" s="84"/>
      <c r="AC1779" s="84"/>
    </row>
    <row r="1780" ht="15.75" customHeight="1">
      <c r="A1780" s="14" t="s">
        <v>17</v>
      </c>
      <c r="B1780" s="14">
        <v>2002.0</v>
      </c>
      <c r="C1780" s="14" t="s">
        <v>12696</v>
      </c>
      <c r="D1780" s="14" t="s">
        <v>12697</v>
      </c>
      <c r="E1780" s="150" t="str">
        <f t="shared" si="19"/>
        <v>http://dx.doi.org/10.1109/VISUAL.2002.1183816</v>
      </c>
      <c r="F1780" s="14">
        <v>505.0</v>
      </c>
      <c r="G1780" s="14">
        <v>508.0</v>
      </c>
      <c r="H1780" s="151"/>
      <c r="I1780" s="14" t="s">
        <v>28</v>
      </c>
      <c r="J1780" s="14" t="s">
        <v>14367</v>
      </c>
      <c r="K1780" s="14" t="s">
        <v>38444</v>
      </c>
      <c r="L1780" s="152" t="s">
        <v>4927</v>
      </c>
      <c r="M1780" s="14" t="s">
        <v>38446</v>
      </c>
      <c r="N1780" s="54" t="s">
        <v>38444</v>
      </c>
      <c r="O1780" s="130"/>
      <c r="P1780" s="153" t="s">
        <v>12700</v>
      </c>
      <c r="Q1780" s="14">
        <v>1183816.0</v>
      </c>
      <c r="R1780" s="95"/>
      <c r="S1780" s="154"/>
      <c r="T1780" s="84"/>
      <c r="U1780" s="84"/>
      <c r="V1780" s="84"/>
      <c r="W1780" s="84"/>
      <c r="X1780" s="84"/>
      <c r="Y1780" s="84"/>
      <c r="Z1780" s="84"/>
      <c r="AA1780" s="84"/>
      <c r="AB1780" s="84"/>
      <c r="AC1780" s="84"/>
    </row>
    <row r="1781" ht="15.75" customHeight="1">
      <c r="A1781" s="14" t="s">
        <v>17</v>
      </c>
      <c r="B1781" s="14">
        <v>2002.0</v>
      </c>
      <c r="C1781" s="14" t="s">
        <v>12825</v>
      </c>
      <c r="D1781" s="14" t="s">
        <v>12826</v>
      </c>
      <c r="E1781" s="150" t="str">
        <f t="shared" si="19"/>
        <v>http://dx.doi.org/10.1109/VISUAL.2002.1183830</v>
      </c>
      <c r="F1781" s="14">
        <v>561.0</v>
      </c>
      <c r="G1781" s="14">
        <v>564.0</v>
      </c>
      <c r="H1781" s="151"/>
      <c r="I1781" s="14" t="s">
        <v>28</v>
      </c>
      <c r="J1781" s="14" t="s">
        <v>14452</v>
      </c>
      <c r="K1781" s="14" t="s">
        <v>38447</v>
      </c>
      <c r="L1781" s="152"/>
      <c r="M1781" s="14">
        <v>3.73722473E10</v>
      </c>
      <c r="N1781" s="54" t="s">
        <v>11160</v>
      </c>
      <c r="O1781" s="130"/>
      <c r="P1781" s="153" t="s">
        <v>12833</v>
      </c>
      <c r="Q1781" s="14">
        <v>1183830.0</v>
      </c>
      <c r="R1781" s="95"/>
      <c r="S1781" s="154"/>
      <c r="T1781" s="84"/>
      <c r="U1781" s="84"/>
      <c r="V1781" s="84"/>
      <c r="W1781" s="84"/>
      <c r="X1781" s="84"/>
      <c r="Y1781" s="84"/>
      <c r="Z1781" s="84"/>
      <c r="AA1781" s="84"/>
      <c r="AB1781" s="84"/>
      <c r="AC1781" s="84"/>
    </row>
    <row r="1782" ht="15.75" customHeight="1">
      <c r="A1782" s="14" t="s">
        <v>17</v>
      </c>
      <c r="B1782" s="14">
        <v>2002.0</v>
      </c>
      <c r="C1782" s="14" t="s">
        <v>12721</v>
      </c>
      <c r="D1782" s="14" t="s">
        <v>12722</v>
      </c>
      <c r="E1782" s="150" t="str">
        <f t="shared" si="19"/>
        <v>http://dx.doi.org/10.1109/VISUAL.2002.1183819</v>
      </c>
      <c r="F1782" s="14">
        <v>517.0</v>
      </c>
      <c r="G1782" s="14">
        <v>520.0</v>
      </c>
      <c r="H1782" s="151"/>
      <c r="I1782" s="14" t="s">
        <v>28</v>
      </c>
      <c r="J1782" s="14" t="s">
        <v>14388</v>
      </c>
      <c r="K1782" s="14" t="s">
        <v>38448</v>
      </c>
      <c r="L1782" s="152" t="s">
        <v>12727</v>
      </c>
      <c r="M1782" s="14" t="s">
        <v>38449</v>
      </c>
      <c r="N1782" s="54" t="s">
        <v>38448</v>
      </c>
      <c r="O1782" s="130" t="s">
        <v>12728</v>
      </c>
      <c r="P1782" s="153" t="s">
        <v>12729</v>
      </c>
      <c r="Q1782" s="14">
        <v>1183819.0</v>
      </c>
      <c r="R1782" s="95"/>
      <c r="S1782" s="154" t="s">
        <v>38450</v>
      </c>
      <c r="T1782" s="84"/>
      <c r="U1782" s="84"/>
      <c r="V1782" s="84"/>
      <c r="W1782" s="84"/>
      <c r="X1782" s="84"/>
      <c r="Y1782" s="84"/>
      <c r="Z1782" s="84"/>
      <c r="AA1782" s="84"/>
      <c r="AB1782" s="84"/>
      <c r="AC1782" s="84"/>
    </row>
    <row r="1783" ht="15.75" customHeight="1">
      <c r="A1783" s="14" t="s">
        <v>17</v>
      </c>
      <c r="B1783" s="14">
        <v>2002.0</v>
      </c>
      <c r="C1783" s="14" t="s">
        <v>12665</v>
      </c>
      <c r="D1783" s="14" t="s">
        <v>12666</v>
      </c>
      <c r="E1783" s="150" t="str">
        <f t="shared" si="19"/>
        <v>http://dx.doi.org/10.1109/VISUAL.2002.1183813</v>
      </c>
      <c r="F1783" s="14">
        <v>493.0</v>
      </c>
      <c r="G1783" s="14">
        <v>496.0</v>
      </c>
      <c r="H1783" s="151"/>
      <c r="I1783" s="14" t="s">
        <v>28</v>
      </c>
      <c r="J1783" s="14" t="s">
        <v>38451</v>
      </c>
      <c r="K1783" s="14" t="s">
        <v>38452</v>
      </c>
      <c r="L1783" s="152" t="s">
        <v>12672</v>
      </c>
      <c r="M1783" s="14" t="s">
        <v>38453</v>
      </c>
      <c r="N1783" s="54" t="s">
        <v>38452</v>
      </c>
      <c r="O1783" s="130" t="s">
        <v>25</v>
      </c>
      <c r="P1783" s="153" t="s">
        <v>12673</v>
      </c>
      <c r="Q1783" s="14">
        <v>1183813.0</v>
      </c>
      <c r="R1783" s="95"/>
      <c r="S1783" s="154">
        <v>146359.0</v>
      </c>
      <c r="T1783" s="84"/>
      <c r="U1783" s="84"/>
      <c r="V1783" s="84"/>
      <c r="W1783" s="84"/>
      <c r="X1783" s="84"/>
      <c r="Y1783" s="84"/>
      <c r="Z1783" s="84"/>
      <c r="AA1783" s="84"/>
      <c r="AB1783" s="84"/>
      <c r="AC1783" s="84"/>
    </row>
    <row r="1784" ht="15.75" customHeight="1">
      <c r="A1784" s="14" t="s">
        <v>17</v>
      </c>
      <c r="B1784" s="14">
        <v>2002.0</v>
      </c>
      <c r="C1784" s="14" t="s">
        <v>12757</v>
      </c>
      <c r="D1784" s="14" t="s">
        <v>12758</v>
      </c>
      <c r="E1784" s="150" t="str">
        <f t="shared" si="19"/>
        <v>http://dx.doi.org/10.1109/VISUAL.2002.1183822</v>
      </c>
      <c r="F1784" s="14">
        <v>529.0</v>
      </c>
      <c r="G1784" s="14">
        <v>532.0</v>
      </c>
      <c r="H1784" s="151"/>
      <c r="I1784" s="14" t="s">
        <v>28</v>
      </c>
      <c r="J1784" s="14" t="s">
        <v>14408</v>
      </c>
      <c r="K1784" s="14" t="s">
        <v>38455</v>
      </c>
      <c r="L1784" s="152" t="s">
        <v>12763</v>
      </c>
      <c r="M1784" s="14" t="s">
        <v>38456</v>
      </c>
      <c r="N1784" s="54" t="s">
        <v>38455</v>
      </c>
      <c r="O1784" s="130" t="s">
        <v>12764</v>
      </c>
      <c r="P1784" s="153" t="s">
        <v>12765</v>
      </c>
      <c r="Q1784" s="14">
        <v>1183822.0</v>
      </c>
      <c r="R1784" s="95"/>
      <c r="S1784" s="154" t="s">
        <v>38457</v>
      </c>
      <c r="T1784" s="84"/>
      <c r="U1784" s="84"/>
      <c r="V1784" s="84"/>
      <c r="W1784" s="84"/>
      <c r="X1784" s="84"/>
      <c r="Y1784" s="84"/>
      <c r="Z1784" s="84"/>
      <c r="AA1784" s="84"/>
      <c r="AB1784" s="84"/>
      <c r="AC1784" s="84"/>
    </row>
    <row r="1785" ht="15.75" customHeight="1">
      <c r="A1785" s="14" t="s">
        <v>17</v>
      </c>
      <c r="B1785" s="14">
        <v>2002.0</v>
      </c>
      <c r="C1785" s="14" t="s">
        <v>12655</v>
      </c>
      <c r="D1785" s="14" t="s">
        <v>12656</v>
      </c>
      <c r="E1785" s="150" t="str">
        <f t="shared" si="19"/>
        <v>http://dx.doi.org/10.1109/VISUAL.2002.1183812</v>
      </c>
      <c r="F1785" s="14">
        <v>489.0</v>
      </c>
      <c r="G1785" s="14">
        <v>492.0</v>
      </c>
      <c r="H1785" s="151"/>
      <c r="I1785" s="14" t="s">
        <v>28</v>
      </c>
      <c r="J1785" s="14" t="s">
        <v>14337</v>
      </c>
      <c r="K1785" s="14" t="s">
        <v>38458</v>
      </c>
      <c r="L1785" s="152" t="s">
        <v>12662</v>
      </c>
      <c r="M1785" s="14" t="s">
        <v>38459</v>
      </c>
      <c r="N1785" s="54" t="s">
        <v>38461</v>
      </c>
      <c r="O1785" s="130" t="s">
        <v>12663</v>
      </c>
      <c r="P1785" s="153" t="s">
        <v>12664</v>
      </c>
      <c r="Q1785" s="14">
        <v>1183812.0</v>
      </c>
      <c r="R1785" s="95"/>
      <c r="S1785" s="154" t="s">
        <v>38462</v>
      </c>
      <c r="T1785" s="84"/>
      <c r="U1785" s="84"/>
      <c r="V1785" s="84"/>
      <c r="W1785" s="84"/>
      <c r="X1785" s="84"/>
      <c r="Y1785" s="84"/>
      <c r="Z1785" s="84"/>
      <c r="AA1785" s="84"/>
      <c r="AB1785" s="84"/>
      <c r="AC1785" s="84"/>
    </row>
    <row r="1786" ht="15.75" customHeight="1">
      <c r="A1786" s="14" t="s">
        <v>17</v>
      </c>
      <c r="B1786" s="14">
        <v>2002.0</v>
      </c>
      <c r="C1786" s="14" t="s">
        <v>12383</v>
      </c>
      <c r="D1786" s="14" t="s">
        <v>12384</v>
      </c>
      <c r="E1786" s="150" t="str">
        <f t="shared" si="19"/>
        <v>http://dx.doi.org/10.1109/VISUAL.2002.1183790</v>
      </c>
      <c r="F1786" s="14">
        <v>315.0</v>
      </c>
      <c r="G1786" s="14">
        <v>322.0</v>
      </c>
      <c r="H1786" s="151"/>
      <c r="I1786" s="14" t="s">
        <v>28</v>
      </c>
      <c r="J1786" s="14" t="s">
        <v>14195</v>
      </c>
      <c r="K1786" s="14" t="s">
        <v>38463</v>
      </c>
      <c r="L1786" s="152" t="s">
        <v>12391</v>
      </c>
      <c r="M1786" s="14" t="s">
        <v>38464</v>
      </c>
      <c r="N1786" s="54" t="s">
        <v>38465</v>
      </c>
      <c r="O1786" s="130" t="s">
        <v>12392</v>
      </c>
      <c r="P1786" s="153" t="s">
        <v>12393</v>
      </c>
      <c r="Q1786" s="14">
        <v>1183790.0</v>
      </c>
      <c r="R1786" s="95"/>
      <c r="S1786" s="154" t="s">
        <v>38466</v>
      </c>
      <c r="T1786" s="84"/>
      <c r="U1786" s="84"/>
      <c r="V1786" s="84"/>
      <c r="W1786" s="84"/>
      <c r="X1786" s="84"/>
      <c r="Y1786" s="84"/>
      <c r="Z1786" s="84"/>
      <c r="AA1786" s="84"/>
      <c r="AB1786" s="84"/>
      <c r="AC1786" s="84"/>
    </row>
    <row r="1787" ht="15.75" customHeight="1">
      <c r="A1787" s="14" t="s">
        <v>17</v>
      </c>
      <c r="B1787" s="14">
        <v>2002.0</v>
      </c>
      <c r="C1787" s="14" t="s">
        <v>12131</v>
      </c>
      <c r="D1787" s="14" t="s">
        <v>12132</v>
      </c>
      <c r="E1787" s="150" t="str">
        <f t="shared" si="19"/>
        <v>http://dx.doi.org/10.1109/VISUAL.2002.1183768</v>
      </c>
      <c r="F1787" s="14">
        <v>141.0</v>
      </c>
      <c r="G1787" s="14">
        <v>146.0</v>
      </c>
      <c r="H1787" s="151"/>
      <c r="I1787" s="14" t="s">
        <v>28</v>
      </c>
      <c r="J1787" s="14" t="s">
        <v>14046</v>
      </c>
      <c r="K1787" s="14" t="s">
        <v>38468</v>
      </c>
      <c r="L1787" s="152" t="s">
        <v>12135</v>
      </c>
      <c r="M1787" s="14" t="s">
        <v>38469</v>
      </c>
      <c r="N1787" s="54" t="s">
        <v>38468</v>
      </c>
      <c r="O1787" s="130" t="s">
        <v>12136</v>
      </c>
      <c r="P1787" s="153" t="s">
        <v>12137</v>
      </c>
      <c r="Q1787" s="14">
        <v>1183768.0</v>
      </c>
      <c r="R1787" s="95"/>
      <c r="S1787" s="154" t="s">
        <v>38470</v>
      </c>
      <c r="T1787" s="84"/>
      <c r="U1787" s="84"/>
      <c r="V1787" s="84"/>
      <c r="W1787" s="84"/>
      <c r="X1787" s="84"/>
      <c r="Y1787" s="84"/>
      <c r="Z1787" s="84"/>
      <c r="AA1787" s="84"/>
      <c r="AB1787" s="84"/>
      <c r="AC1787" s="84"/>
    </row>
    <row r="1788" ht="15.75" customHeight="1">
      <c r="A1788" s="14" t="s">
        <v>17</v>
      </c>
      <c r="B1788" s="14">
        <v>2002.0</v>
      </c>
      <c r="C1788" s="14" t="s">
        <v>12346</v>
      </c>
      <c r="D1788" s="14" t="s">
        <v>12347</v>
      </c>
      <c r="E1788" s="150" t="str">
        <f t="shared" si="19"/>
        <v>http://dx.doi.org/10.1109/VISUAL.2002.1183786</v>
      </c>
      <c r="F1788" s="14">
        <v>283.0</v>
      </c>
      <c r="G1788" s="14">
        <v>289.0</v>
      </c>
      <c r="H1788" s="151"/>
      <c r="I1788" s="14" t="s">
        <v>28</v>
      </c>
      <c r="J1788" s="14" t="s">
        <v>14166</v>
      </c>
      <c r="K1788" s="14" t="s">
        <v>38471</v>
      </c>
      <c r="L1788" s="152" t="s">
        <v>12355</v>
      </c>
      <c r="M1788" s="14" t="s">
        <v>38472</v>
      </c>
      <c r="N1788" s="54" t="s">
        <v>38471</v>
      </c>
      <c r="O1788" s="130" t="s">
        <v>12356</v>
      </c>
      <c r="P1788" s="153" t="s">
        <v>12357</v>
      </c>
      <c r="Q1788" s="14">
        <v>1183786.0</v>
      </c>
      <c r="R1788" s="95"/>
      <c r="S1788" s="154" t="s">
        <v>38473</v>
      </c>
      <c r="T1788" s="84"/>
      <c r="U1788" s="84"/>
      <c r="V1788" s="84"/>
      <c r="W1788" s="84"/>
      <c r="X1788" s="84"/>
      <c r="Y1788" s="84"/>
      <c r="Z1788" s="84"/>
      <c r="AA1788" s="84"/>
      <c r="AB1788" s="84"/>
      <c r="AC1788" s="84"/>
    </row>
    <row r="1789" ht="15.75" customHeight="1">
      <c r="A1789" s="14" t="s">
        <v>17</v>
      </c>
      <c r="B1789" s="14">
        <v>2002.0</v>
      </c>
      <c r="C1789" s="14" t="s">
        <v>11960</v>
      </c>
      <c r="D1789" s="14" t="s">
        <v>11961</v>
      </c>
      <c r="E1789" s="150" t="str">
        <f t="shared" si="19"/>
        <v>http://dx.doi.org/10.1109/VISUAL.2002.1183754</v>
      </c>
      <c r="F1789" s="14">
        <v>37.0</v>
      </c>
      <c r="G1789" s="14">
        <v>44.0</v>
      </c>
      <c r="H1789" s="151"/>
      <c r="I1789" s="14" t="s">
        <v>28</v>
      </c>
      <c r="J1789" s="14" t="s">
        <v>14010</v>
      </c>
      <c r="K1789" s="14" t="s">
        <v>38475</v>
      </c>
      <c r="L1789" s="152" t="s">
        <v>11970</v>
      </c>
      <c r="M1789" s="14" t="s">
        <v>38476</v>
      </c>
      <c r="N1789" s="54" t="s">
        <v>38477</v>
      </c>
      <c r="O1789" s="130" t="s">
        <v>11971</v>
      </c>
      <c r="P1789" s="153" t="s">
        <v>11972</v>
      </c>
      <c r="Q1789" s="14">
        <v>1183754.0</v>
      </c>
      <c r="R1789" s="95"/>
      <c r="S1789" s="154" t="s">
        <v>38478</v>
      </c>
      <c r="T1789" s="84"/>
      <c r="U1789" s="84"/>
      <c r="V1789" s="84"/>
      <c r="W1789" s="84"/>
      <c r="X1789" s="84"/>
      <c r="Y1789" s="84"/>
      <c r="Z1789" s="84"/>
      <c r="AA1789" s="84"/>
      <c r="AB1789" s="84"/>
      <c r="AC1789" s="84"/>
    </row>
    <row r="1790" ht="15.75" customHeight="1">
      <c r="A1790" s="14" t="s">
        <v>17</v>
      </c>
      <c r="B1790" s="14">
        <v>2002.0</v>
      </c>
      <c r="C1790" s="14" t="s">
        <v>11974</v>
      </c>
      <c r="D1790" s="14" t="s">
        <v>11976</v>
      </c>
      <c r="E1790" s="150" t="str">
        <f t="shared" si="19"/>
        <v>http://dx.doi.org/10.1109/VISUAL.2002.1183755</v>
      </c>
      <c r="F1790" s="14">
        <v>45.0</v>
      </c>
      <c r="G1790" s="14">
        <v>52.0</v>
      </c>
      <c r="H1790" s="151"/>
      <c r="I1790" s="14" t="s">
        <v>28</v>
      </c>
      <c r="J1790" s="14" t="s">
        <v>14013</v>
      </c>
      <c r="K1790" s="14" t="s">
        <v>38479</v>
      </c>
      <c r="L1790" s="152" t="s">
        <v>7837</v>
      </c>
      <c r="M1790" s="14" t="s">
        <v>38480</v>
      </c>
      <c r="N1790" s="54" t="s">
        <v>38481</v>
      </c>
      <c r="O1790" s="130" t="s">
        <v>11995</v>
      </c>
      <c r="P1790" s="153" t="s">
        <v>11996</v>
      </c>
      <c r="Q1790" s="14">
        <v>1183755.0</v>
      </c>
      <c r="R1790" s="95"/>
      <c r="S1790" s="154" t="s">
        <v>38482</v>
      </c>
      <c r="T1790" s="84"/>
      <c r="U1790" s="84"/>
      <c r="V1790" s="84"/>
      <c r="W1790" s="84"/>
      <c r="X1790" s="84"/>
      <c r="Y1790" s="84"/>
      <c r="Z1790" s="84"/>
      <c r="AA1790" s="84"/>
      <c r="AB1790" s="84"/>
      <c r="AC1790" s="84"/>
    </row>
    <row r="1791" ht="15.75" customHeight="1">
      <c r="A1791" s="14" t="s">
        <v>17</v>
      </c>
      <c r="B1791" s="14">
        <v>2002.0</v>
      </c>
      <c r="C1791" s="14" t="s">
        <v>12430</v>
      </c>
      <c r="D1791" s="14" t="s">
        <v>12431</v>
      </c>
      <c r="E1791" s="150" t="str">
        <f t="shared" si="19"/>
        <v>http://dx.doi.org/10.1109/VISUAL.2002.1183794</v>
      </c>
      <c r="F1791" s="14">
        <v>347.0</v>
      </c>
      <c r="G1791" s="14">
        <v>354.0</v>
      </c>
      <c r="H1791" s="151"/>
      <c r="I1791" s="14" t="s">
        <v>28</v>
      </c>
      <c r="J1791" s="14" t="s">
        <v>14219</v>
      </c>
      <c r="K1791" s="14" t="s">
        <v>38484</v>
      </c>
      <c r="L1791" s="152" t="s">
        <v>12438</v>
      </c>
      <c r="M1791" s="14" t="s">
        <v>38485</v>
      </c>
      <c r="N1791" s="54" t="s">
        <v>38484</v>
      </c>
      <c r="O1791" s="130" t="s">
        <v>12136</v>
      </c>
      <c r="P1791" s="153" t="s">
        <v>12439</v>
      </c>
      <c r="Q1791" s="14">
        <v>1183794.0</v>
      </c>
      <c r="R1791" s="95"/>
      <c r="S1791" s="154" t="s">
        <v>38470</v>
      </c>
      <c r="T1791" s="84"/>
      <c r="U1791" s="84"/>
      <c r="V1791" s="84"/>
      <c r="W1791" s="84"/>
      <c r="X1791" s="84"/>
      <c r="Y1791" s="84"/>
      <c r="Z1791" s="84"/>
      <c r="AA1791" s="84"/>
      <c r="AB1791" s="84"/>
      <c r="AC1791" s="84"/>
    </row>
    <row r="1792" ht="15.75" customHeight="1">
      <c r="A1792" s="14" t="s">
        <v>17</v>
      </c>
      <c r="B1792" s="14">
        <v>2002.0</v>
      </c>
      <c r="C1792" s="14" t="s">
        <v>12190</v>
      </c>
      <c r="D1792" s="14" t="s">
        <v>12191</v>
      </c>
      <c r="E1792" s="150" t="str">
        <f t="shared" si="19"/>
        <v>http://dx.doi.org/10.1109/VISUAL.2002.1183774</v>
      </c>
      <c r="F1792" s="14">
        <v>187.0</v>
      </c>
      <c r="G1792" s="14">
        <v>194.0</v>
      </c>
      <c r="H1792" s="151"/>
      <c r="I1792" s="14" t="s">
        <v>28</v>
      </c>
      <c r="J1792" s="14" t="s">
        <v>38486</v>
      </c>
      <c r="K1792" s="14" t="s">
        <v>38487</v>
      </c>
      <c r="L1792" s="152" t="s">
        <v>12197</v>
      </c>
      <c r="M1792" s="14" t="s">
        <v>38488</v>
      </c>
      <c r="N1792" s="54" t="s">
        <v>38487</v>
      </c>
      <c r="O1792" s="130" t="s">
        <v>3572</v>
      </c>
      <c r="P1792" s="153" t="s">
        <v>12198</v>
      </c>
      <c r="Q1792" s="14">
        <v>1183774.0</v>
      </c>
      <c r="R1792" s="95"/>
      <c r="S1792" s="154">
        <v>663875.0</v>
      </c>
      <c r="T1792" s="84"/>
      <c r="U1792" s="84"/>
      <c r="V1792" s="84"/>
      <c r="W1792" s="84"/>
      <c r="X1792" s="84"/>
      <c r="Y1792" s="84"/>
      <c r="Z1792" s="84"/>
      <c r="AA1792" s="84"/>
      <c r="AB1792" s="84"/>
      <c r="AC1792" s="84"/>
    </row>
    <row r="1793" ht="15.75" customHeight="1">
      <c r="A1793" s="14" t="s">
        <v>17</v>
      </c>
      <c r="B1793" s="14">
        <v>2002.0</v>
      </c>
      <c r="C1793" s="14" t="s">
        <v>12162</v>
      </c>
      <c r="D1793" s="14" t="s">
        <v>12163</v>
      </c>
      <c r="E1793" s="150" t="str">
        <f t="shared" si="19"/>
        <v>http://dx.doi.org/10.1109/VISUAL.2002.1183771</v>
      </c>
      <c r="F1793" s="14">
        <v>163.0</v>
      </c>
      <c r="G1793" s="14">
        <v>170.0</v>
      </c>
      <c r="H1793" s="151"/>
      <c r="I1793" s="14" t="s">
        <v>28</v>
      </c>
      <c r="J1793" s="14" t="s">
        <v>14054</v>
      </c>
      <c r="K1793" s="14" t="s">
        <v>38489</v>
      </c>
      <c r="L1793" s="152" t="s">
        <v>12170</v>
      </c>
      <c r="M1793" s="14" t="s">
        <v>38490</v>
      </c>
      <c r="N1793" s="54" t="s">
        <v>38491</v>
      </c>
      <c r="O1793" s="130" t="s">
        <v>12171</v>
      </c>
      <c r="P1793" s="16"/>
      <c r="Q1793" s="14">
        <v>1183771.0</v>
      </c>
      <c r="R1793" s="95"/>
      <c r="S1793" s="154" t="s">
        <v>38492</v>
      </c>
      <c r="T1793" s="84"/>
      <c r="U1793" s="84"/>
      <c r="V1793" s="84"/>
      <c r="W1793" s="84"/>
      <c r="X1793" s="84"/>
      <c r="Y1793" s="84"/>
      <c r="Z1793" s="84"/>
      <c r="AA1793" s="84"/>
      <c r="AB1793" s="84"/>
      <c r="AC1793" s="84"/>
    </row>
    <row r="1794" ht="15.75" customHeight="1">
      <c r="A1794" s="14" t="s">
        <v>17</v>
      </c>
      <c r="B1794" s="14">
        <v>2002.0</v>
      </c>
      <c r="C1794" s="14" t="s">
        <v>12537</v>
      </c>
      <c r="D1794" s="14" t="s">
        <v>12538</v>
      </c>
      <c r="E1794" s="150" t="str">
        <f t="shared" si="19"/>
        <v>http://dx.doi.org/10.1109/VISUAL.2002.1183802</v>
      </c>
      <c r="F1794" s="14">
        <v>411.0</v>
      </c>
      <c r="G1794" s="14">
        <v>418.0</v>
      </c>
      <c r="H1794" s="151"/>
      <c r="I1794" s="14" t="s">
        <v>28</v>
      </c>
      <c r="J1794" s="14" t="s">
        <v>14273</v>
      </c>
      <c r="K1794" s="14" t="s">
        <v>38494</v>
      </c>
      <c r="L1794" s="152" t="s">
        <v>12545</v>
      </c>
      <c r="M1794" s="14" t="s">
        <v>38495</v>
      </c>
      <c r="N1794" s="54" t="s">
        <v>38496</v>
      </c>
      <c r="O1794" s="130"/>
      <c r="P1794" s="153" t="s">
        <v>12546</v>
      </c>
      <c r="Q1794" s="14">
        <v>1183802.0</v>
      </c>
      <c r="R1794" s="95"/>
      <c r="S1794" s="154"/>
      <c r="T1794" s="84"/>
      <c r="U1794" s="84"/>
      <c r="V1794" s="84"/>
      <c r="W1794" s="84"/>
      <c r="X1794" s="84"/>
      <c r="Y1794" s="84"/>
      <c r="Z1794" s="84"/>
      <c r="AA1794" s="84"/>
      <c r="AB1794" s="84"/>
      <c r="AC1794" s="84"/>
    </row>
    <row r="1795" ht="15.75" customHeight="1">
      <c r="A1795" s="14" t="s">
        <v>17</v>
      </c>
      <c r="B1795" s="14">
        <v>2002.0</v>
      </c>
      <c r="C1795" s="14" t="s">
        <v>12172</v>
      </c>
      <c r="D1795" s="14" t="s">
        <v>12173</v>
      </c>
      <c r="E1795" s="150" t="str">
        <f t="shared" si="19"/>
        <v>http://dx.doi.org/10.1109/VISUAL.2002.1183772</v>
      </c>
      <c r="F1795" s="14">
        <v>171.0</v>
      </c>
      <c r="G1795" s="14">
        <v>178.0</v>
      </c>
      <c r="H1795" s="151"/>
      <c r="I1795" s="14" t="s">
        <v>28</v>
      </c>
      <c r="J1795" s="14" t="s">
        <v>14057</v>
      </c>
      <c r="K1795" s="14" t="s">
        <v>38497</v>
      </c>
      <c r="L1795" s="152" t="s">
        <v>12177</v>
      </c>
      <c r="M1795" s="14" t="s">
        <v>38498</v>
      </c>
      <c r="N1795" s="54" t="s">
        <v>38497</v>
      </c>
      <c r="O1795" s="130" t="s">
        <v>12178</v>
      </c>
      <c r="P1795" s="153" t="s">
        <v>12179</v>
      </c>
      <c r="Q1795" s="14">
        <v>1183772.0</v>
      </c>
      <c r="R1795" s="95"/>
      <c r="S1795" s="154" t="s">
        <v>38499</v>
      </c>
      <c r="T1795" s="84"/>
      <c r="U1795" s="84"/>
      <c r="V1795" s="84"/>
      <c r="W1795" s="84"/>
      <c r="X1795" s="84"/>
      <c r="Y1795" s="84"/>
      <c r="Z1795" s="84"/>
      <c r="AA1795" s="84"/>
      <c r="AB1795" s="84"/>
      <c r="AC1795" s="84"/>
    </row>
    <row r="1796" ht="15.75" customHeight="1">
      <c r="A1796" s="14" t="s">
        <v>17</v>
      </c>
      <c r="B1796" s="14">
        <v>2002.0</v>
      </c>
      <c r="C1796" s="14" t="s">
        <v>12805</v>
      </c>
      <c r="D1796" s="14" t="s">
        <v>12806</v>
      </c>
      <c r="E1796" s="150" t="str">
        <f t="shared" si="19"/>
        <v>http://dx.doi.org/10.1109/VISUAL.2002.1183828</v>
      </c>
      <c r="F1796" s="14">
        <v>553.0</v>
      </c>
      <c r="G1796" s="14">
        <v>556.0</v>
      </c>
      <c r="H1796" s="151"/>
      <c r="I1796" s="14" t="s">
        <v>28</v>
      </c>
      <c r="J1796" s="14" t="s">
        <v>14436</v>
      </c>
      <c r="K1796" s="14" t="s">
        <v>38501</v>
      </c>
      <c r="L1796" s="152" t="s">
        <v>12815</v>
      </c>
      <c r="M1796" s="14" t="s">
        <v>38502</v>
      </c>
      <c r="N1796" s="54" t="s">
        <v>38501</v>
      </c>
      <c r="O1796" s="130" t="s">
        <v>9761</v>
      </c>
      <c r="P1796" s="153" t="s">
        <v>12817</v>
      </c>
      <c r="Q1796" s="14">
        <v>1183828.0</v>
      </c>
      <c r="R1796" s="95"/>
      <c r="S1796" s="154">
        <v>964529.0</v>
      </c>
      <c r="T1796" s="84"/>
      <c r="U1796" s="84"/>
      <c r="V1796" s="84"/>
      <c r="W1796" s="84"/>
      <c r="X1796" s="84"/>
      <c r="Y1796" s="84"/>
      <c r="Z1796" s="84"/>
      <c r="AA1796" s="84"/>
      <c r="AB1796" s="84"/>
      <c r="AC1796" s="84"/>
    </row>
    <row r="1797" ht="15.75" customHeight="1">
      <c r="A1797" s="14" t="s">
        <v>17</v>
      </c>
      <c r="B1797" s="14">
        <v>2002.0</v>
      </c>
      <c r="C1797" s="14" t="s">
        <v>12365</v>
      </c>
      <c r="D1797" s="14" t="s">
        <v>12366</v>
      </c>
      <c r="E1797" s="150" t="str">
        <f t="shared" si="19"/>
        <v>http://dx.doi.org/10.1109/VISUAL.2002.1183788</v>
      </c>
      <c r="F1797" s="14">
        <v>299.0</v>
      </c>
      <c r="G1797" s="14">
        <v>306.0</v>
      </c>
      <c r="H1797" s="151"/>
      <c r="I1797" s="14" t="s">
        <v>28</v>
      </c>
      <c r="J1797" s="14" t="s">
        <v>14178</v>
      </c>
      <c r="K1797" s="14" t="s">
        <v>38503</v>
      </c>
      <c r="L1797" s="152" t="s">
        <v>9326</v>
      </c>
      <c r="M1797" s="14" t="s">
        <v>38504</v>
      </c>
      <c r="N1797" s="54" t="s">
        <v>38503</v>
      </c>
      <c r="O1797" s="130" t="s">
        <v>12371</v>
      </c>
      <c r="P1797" s="153" t="s">
        <v>12372</v>
      </c>
      <c r="Q1797" s="14">
        <v>1183788.0</v>
      </c>
      <c r="R1797" s="95"/>
      <c r="S1797" s="154" t="s">
        <v>38505</v>
      </c>
      <c r="T1797" s="84"/>
      <c r="U1797" s="84"/>
      <c r="V1797" s="84"/>
      <c r="W1797" s="84"/>
      <c r="X1797" s="84"/>
      <c r="Y1797" s="84"/>
      <c r="Z1797" s="84"/>
      <c r="AA1797" s="84"/>
      <c r="AB1797" s="84"/>
      <c r="AC1797" s="84"/>
    </row>
    <row r="1798" ht="15.75" customHeight="1">
      <c r="A1798" s="14" t="s">
        <v>17</v>
      </c>
      <c r="B1798" s="14">
        <v>2002.0</v>
      </c>
      <c r="C1798" s="14" t="s">
        <v>12199</v>
      </c>
      <c r="D1798" s="14" t="s">
        <v>12200</v>
      </c>
      <c r="E1798" s="150" t="str">
        <f t="shared" si="19"/>
        <v>http://dx.doi.org/10.1109/VISUAL.2002.1183775</v>
      </c>
      <c r="F1798" s="14">
        <v>195.0</v>
      </c>
      <c r="G1798" s="14">
        <v>202.0</v>
      </c>
      <c r="H1798" s="151"/>
      <c r="I1798" s="14" t="s">
        <v>28</v>
      </c>
      <c r="J1798" s="14" t="s">
        <v>38506</v>
      </c>
      <c r="K1798" s="14" t="s">
        <v>38507</v>
      </c>
      <c r="L1798" s="152" t="s">
        <v>8742</v>
      </c>
      <c r="M1798" s="14" t="s">
        <v>38508</v>
      </c>
      <c r="N1798" s="54" t="s">
        <v>38507</v>
      </c>
      <c r="O1798" s="130"/>
      <c r="P1798" s="153" t="s">
        <v>12205</v>
      </c>
      <c r="Q1798" s="14">
        <v>1183775.0</v>
      </c>
      <c r="R1798" s="95"/>
      <c r="S1798" s="154"/>
      <c r="T1798" s="84"/>
      <c r="U1798" s="84"/>
      <c r="V1798" s="84"/>
      <c r="W1798" s="84"/>
      <c r="X1798" s="84"/>
      <c r="Y1798" s="84"/>
      <c r="Z1798" s="84"/>
      <c r="AA1798" s="84"/>
      <c r="AB1798" s="84"/>
      <c r="AC1798" s="84"/>
    </row>
    <row r="1799" ht="15.75" customHeight="1">
      <c r="A1799" s="14" t="s">
        <v>17</v>
      </c>
      <c r="B1799" s="14">
        <v>2002.0</v>
      </c>
      <c r="C1799" s="14" t="s">
        <v>12310</v>
      </c>
      <c r="D1799" s="14" t="s">
        <v>12313</v>
      </c>
      <c r="E1799" s="150" t="str">
        <f t="shared" si="19"/>
        <v>http://dx.doi.org/10.1109/VISUAL.2002.1183783</v>
      </c>
      <c r="F1799" s="14">
        <v>259.0</v>
      </c>
      <c r="G1799" s="14">
        <v>265.0</v>
      </c>
      <c r="H1799" s="151"/>
      <c r="I1799" s="14" t="s">
        <v>28</v>
      </c>
      <c r="J1799" s="14" t="s">
        <v>14143</v>
      </c>
      <c r="K1799" s="14" t="s">
        <v>9013</v>
      </c>
      <c r="L1799" s="152" t="s">
        <v>12320</v>
      </c>
      <c r="M1799" s="14">
        <v>3.81496221E10</v>
      </c>
      <c r="N1799" s="54" t="s">
        <v>9013</v>
      </c>
      <c r="O1799" s="130" t="s">
        <v>12321</v>
      </c>
      <c r="P1799" s="153" t="s">
        <v>12322</v>
      </c>
      <c r="Q1799" s="14">
        <v>1183783.0</v>
      </c>
      <c r="R1799" s="95"/>
      <c r="S1799" s="154" t="s">
        <v>38509</v>
      </c>
      <c r="T1799" s="84"/>
      <c r="U1799" s="84"/>
      <c r="V1799" s="84"/>
      <c r="W1799" s="84"/>
      <c r="X1799" s="84"/>
      <c r="Y1799" s="84"/>
      <c r="Z1799" s="84"/>
      <c r="AA1799" s="84"/>
      <c r="AB1799" s="84"/>
      <c r="AC1799" s="84"/>
    </row>
    <row r="1800" ht="15.75" customHeight="1">
      <c r="A1800" s="14" t="s">
        <v>17</v>
      </c>
      <c r="B1800" s="14">
        <v>2002.0</v>
      </c>
      <c r="C1800" s="14" t="s">
        <v>11954</v>
      </c>
      <c r="D1800" s="14" t="s">
        <v>11955</v>
      </c>
      <c r="E1800" s="150" t="str">
        <f t="shared" si="19"/>
        <v>http://dx.doi.org/10.1109/VISUAL.2002.1183753</v>
      </c>
      <c r="F1800" s="14">
        <v>29.0</v>
      </c>
      <c r="G1800" s="14">
        <v>36.0</v>
      </c>
      <c r="H1800" s="151"/>
      <c r="I1800" s="14" t="s">
        <v>28</v>
      </c>
      <c r="J1800" s="14" t="s">
        <v>14007</v>
      </c>
      <c r="K1800" s="14" t="s">
        <v>38510</v>
      </c>
      <c r="L1800" s="152" t="s">
        <v>11958</v>
      </c>
      <c r="M1800" s="14" t="s">
        <v>38511</v>
      </c>
      <c r="N1800" s="54" t="s">
        <v>38510</v>
      </c>
      <c r="O1800" s="130"/>
      <c r="P1800" s="153" t="s">
        <v>11959</v>
      </c>
      <c r="Q1800" s="14">
        <v>1183753.0</v>
      </c>
      <c r="R1800" s="95"/>
      <c r="S1800" s="154"/>
      <c r="T1800" s="84"/>
      <c r="U1800" s="84"/>
      <c r="V1800" s="84"/>
      <c r="W1800" s="84"/>
      <c r="X1800" s="84"/>
      <c r="Y1800" s="84"/>
      <c r="Z1800" s="84"/>
      <c r="AA1800" s="84"/>
      <c r="AB1800" s="84"/>
      <c r="AC1800" s="84"/>
    </row>
    <row r="1801" ht="15.75" customHeight="1">
      <c r="A1801" s="14" t="s">
        <v>17</v>
      </c>
      <c r="B1801" s="14">
        <v>2002.0</v>
      </c>
      <c r="C1801" s="14" t="s">
        <v>12264</v>
      </c>
      <c r="D1801" s="14" t="s">
        <v>12265</v>
      </c>
      <c r="E1801" s="150" t="str">
        <f t="shared" si="19"/>
        <v>http://dx.doi.org/10.1109/VISUAL.2002.1183781</v>
      </c>
      <c r="F1801" s="14">
        <v>243.0</v>
      </c>
      <c r="G1801" s="14">
        <v>250.0</v>
      </c>
      <c r="H1801" s="151"/>
      <c r="I1801" s="14" t="s">
        <v>28</v>
      </c>
      <c r="J1801" s="14" t="s">
        <v>14128</v>
      </c>
      <c r="K1801" s="14" t="s">
        <v>38512</v>
      </c>
      <c r="L1801" s="152" t="s">
        <v>12273</v>
      </c>
      <c r="M1801" s="14" t="s">
        <v>38513</v>
      </c>
      <c r="N1801" s="54" t="s">
        <v>38514</v>
      </c>
      <c r="O1801" s="130"/>
      <c r="P1801" s="153" t="s">
        <v>12274</v>
      </c>
      <c r="Q1801" s="14">
        <v>1183781.0</v>
      </c>
      <c r="R1801" s="95"/>
      <c r="S1801" s="154"/>
      <c r="T1801" s="84"/>
      <c r="U1801" s="84"/>
      <c r="V1801" s="84"/>
      <c r="W1801" s="84"/>
      <c r="X1801" s="84"/>
      <c r="Y1801" s="84"/>
      <c r="Z1801" s="84"/>
      <c r="AA1801" s="84"/>
      <c r="AB1801" s="84"/>
      <c r="AC1801" s="84"/>
    </row>
    <row r="1802" ht="15.75" customHeight="1">
      <c r="A1802" s="14" t="s">
        <v>17</v>
      </c>
      <c r="B1802" s="14">
        <v>2002.0</v>
      </c>
      <c r="C1802" s="14" t="s">
        <v>12112</v>
      </c>
      <c r="D1802" s="14" t="s">
        <v>12113</v>
      </c>
      <c r="E1802" s="150" t="str">
        <f t="shared" si="19"/>
        <v>http://dx.doi.org/10.1109/VISUAL.2002.1183766</v>
      </c>
      <c r="F1802" s="14">
        <v>125.0</v>
      </c>
      <c r="G1802" s="14">
        <v>132.0</v>
      </c>
      <c r="H1802" s="151"/>
      <c r="I1802" s="14" t="s">
        <v>28</v>
      </c>
      <c r="J1802" s="14" t="s">
        <v>14041</v>
      </c>
      <c r="K1802" s="14" t="s">
        <v>38516</v>
      </c>
      <c r="L1802" s="152" t="s">
        <v>12122</v>
      </c>
      <c r="M1802" s="14" t="s">
        <v>38517</v>
      </c>
      <c r="N1802" s="54" t="s">
        <v>38518</v>
      </c>
      <c r="O1802" s="130"/>
      <c r="P1802" s="153" t="s">
        <v>12123</v>
      </c>
      <c r="Q1802" s="14">
        <v>1183766.0</v>
      </c>
      <c r="R1802" s="95"/>
      <c r="S1802" s="154"/>
      <c r="T1802" s="84"/>
      <c r="U1802" s="84"/>
      <c r="V1802" s="84"/>
      <c r="W1802" s="84"/>
      <c r="X1802" s="84"/>
      <c r="Y1802" s="84"/>
      <c r="Z1802" s="84"/>
      <c r="AA1802" s="84"/>
      <c r="AB1802" s="84"/>
      <c r="AC1802" s="84"/>
    </row>
    <row r="1803" ht="15.75" customHeight="1">
      <c r="A1803" s="14" t="s">
        <v>17</v>
      </c>
      <c r="B1803" s="14">
        <v>2002.0</v>
      </c>
      <c r="C1803" s="14" t="s">
        <v>12373</v>
      </c>
      <c r="D1803" s="14" t="s">
        <v>12374</v>
      </c>
      <c r="E1803" s="150" t="str">
        <f t="shared" si="19"/>
        <v>http://dx.doi.org/10.1109/VISUAL.2002.1183789</v>
      </c>
      <c r="F1803" s="14">
        <v>307.0</v>
      </c>
      <c r="G1803" s="14">
        <v>314.0</v>
      </c>
      <c r="H1803" s="151"/>
      <c r="I1803" s="14" t="s">
        <v>28</v>
      </c>
      <c r="J1803" s="14" t="s">
        <v>14186</v>
      </c>
      <c r="K1803" s="14" t="s">
        <v>38519</v>
      </c>
      <c r="L1803" s="152" t="s">
        <v>12380</v>
      </c>
      <c r="M1803" s="14" t="s">
        <v>38520</v>
      </c>
      <c r="N1803" s="54" t="s">
        <v>38519</v>
      </c>
      <c r="O1803" s="130" t="s">
        <v>12381</v>
      </c>
      <c r="P1803" s="153" t="s">
        <v>12382</v>
      </c>
      <c r="Q1803" s="14">
        <v>1183789.0</v>
      </c>
      <c r="R1803" s="95"/>
      <c r="S1803" s="154" t="s">
        <v>38521</v>
      </c>
      <c r="T1803" s="84"/>
      <c r="U1803" s="84"/>
      <c r="V1803" s="84"/>
      <c r="W1803" s="84"/>
      <c r="X1803" s="84"/>
      <c r="Y1803" s="84"/>
      <c r="Z1803" s="84"/>
      <c r="AA1803" s="84"/>
      <c r="AB1803" s="84"/>
      <c r="AC1803" s="84"/>
    </row>
    <row r="1804" ht="15.75" customHeight="1">
      <c r="A1804" s="14" t="s">
        <v>17</v>
      </c>
      <c r="B1804" s="14">
        <v>2002.0</v>
      </c>
      <c r="C1804" s="14" t="s">
        <v>12523</v>
      </c>
      <c r="D1804" s="14" t="s">
        <v>12524</v>
      </c>
      <c r="E1804" s="150" t="str">
        <f t="shared" si="19"/>
        <v>http://dx.doi.org/10.1109/VISUAL.2002.1183801</v>
      </c>
      <c r="F1804" s="14">
        <v>403.0</v>
      </c>
      <c r="G1804" s="14">
        <v>409.0</v>
      </c>
      <c r="H1804" s="151"/>
      <c r="I1804" s="14" t="s">
        <v>28</v>
      </c>
      <c r="J1804" s="14" t="s">
        <v>14265</v>
      </c>
      <c r="K1804" s="14" t="s">
        <v>38522</v>
      </c>
      <c r="L1804" s="152" t="s">
        <v>1966</v>
      </c>
      <c r="M1804" s="14" t="s">
        <v>38523</v>
      </c>
      <c r="N1804" s="54" t="s">
        <v>38522</v>
      </c>
      <c r="O1804" s="130" t="s">
        <v>12533</v>
      </c>
      <c r="P1804" s="153" t="s">
        <v>12534</v>
      </c>
      <c r="Q1804" s="14">
        <v>1183801.0</v>
      </c>
      <c r="R1804" s="95"/>
      <c r="S1804" s="154" t="s">
        <v>38524</v>
      </c>
      <c r="T1804" s="84"/>
      <c r="U1804" s="84"/>
      <c r="V1804" s="84"/>
      <c r="W1804" s="84"/>
      <c r="X1804" s="84"/>
      <c r="Y1804" s="84"/>
      <c r="Z1804" s="84"/>
      <c r="AA1804" s="84"/>
      <c r="AB1804" s="84"/>
      <c r="AC1804" s="84"/>
    </row>
    <row r="1805" ht="15.75" customHeight="1">
      <c r="A1805" s="14" t="s">
        <v>17</v>
      </c>
      <c r="B1805" s="14">
        <v>2002.0</v>
      </c>
      <c r="C1805" s="14" t="s">
        <v>12674</v>
      </c>
      <c r="D1805" s="14" t="s">
        <v>12675</v>
      </c>
      <c r="E1805" s="150" t="str">
        <f t="shared" si="19"/>
        <v>http://dx.doi.org/10.1109/VISUAL.2002.1183814</v>
      </c>
      <c r="F1805" s="14">
        <v>497.0</v>
      </c>
      <c r="G1805" s="14">
        <v>500.0</v>
      </c>
      <c r="H1805" s="151"/>
      <c r="I1805" s="14" t="s">
        <v>28</v>
      </c>
      <c r="J1805" s="14" t="s">
        <v>14349</v>
      </c>
      <c r="K1805" s="14" t="s">
        <v>38526</v>
      </c>
      <c r="L1805" s="152" t="s">
        <v>12683</v>
      </c>
      <c r="M1805" s="14" t="s">
        <v>38527</v>
      </c>
      <c r="N1805" s="54" t="s">
        <v>38526</v>
      </c>
      <c r="O1805" s="130" t="s">
        <v>12684</v>
      </c>
      <c r="P1805" s="153" t="s">
        <v>12130</v>
      </c>
      <c r="Q1805" s="14">
        <v>1183814.0</v>
      </c>
      <c r="R1805" s="95"/>
      <c r="S1805" s="154" t="s">
        <v>38528</v>
      </c>
      <c r="T1805" s="84"/>
      <c r="U1805" s="84"/>
      <c r="V1805" s="84"/>
      <c r="W1805" s="84"/>
      <c r="X1805" s="84"/>
      <c r="Y1805" s="84"/>
      <c r="Z1805" s="84"/>
      <c r="AA1805" s="84"/>
      <c r="AB1805" s="84"/>
      <c r="AC1805" s="84"/>
    </row>
    <row r="1806" ht="15.75" customHeight="1">
      <c r="A1806" s="14" t="s">
        <v>17</v>
      </c>
      <c r="B1806" s="14">
        <v>2002.0</v>
      </c>
      <c r="C1806" s="14" t="s">
        <v>11948</v>
      </c>
      <c r="D1806" s="14" t="s">
        <v>11949</v>
      </c>
      <c r="E1806" s="150" t="str">
        <f t="shared" si="19"/>
        <v>http://dx.doi.org/10.1109/VISUAL.2002.1183752</v>
      </c>
      <c r="F1806" s="14">
        <v>21.0</v>
      </c>
      <c r="G1806" s="14">
        <v>28.0</v>
      </c>
      <c r="H1806" s="151"/>
      <c r="I1806" s="14" t="s">
        <v>28</v>
      </c>
      <c r="J1806" s="14" t="s">
        <v>14004</v>
      </c>
      <c r="K1806" s="14" t="s">
        <v>38529</v>
      </c>
      <c r="L1806" s="152" t="s">
        <v>11952</v>
      </c>
      <c r="M1806" s="14" t="s">
        <v>38530</v>
      </c>
      <c r="N1806" s="54" t="s">
        <v>38529</v>
      </c>
      <c r="O1806" s="130"/>
      <c r="P1806" s="153" t="s">
        <v>11953</v>
      </c>
      <c r="Q1806" s="14">
        <v>1183752.0</v>
      </c>
      <c r="R1806" s="95"/>
      <c r="S1806" s="154"/>
      <c r="T1806" s="84"/>
      <c r="U1806" s="84"/>
      <c r="V1806" s="84"/>
      <c r="W1806" s="84"/>
      <c r="X1806" s="84"/>
      <c r="Y1806" s="84"/>
      <c r="Z1806" s="84"/>
      <c r="AA1806" s="84"/>
      <c r="AB1806" s="84"/>
      <c r="AC1806" s="84"/>
    </row>
    <row r="1807" ht="15.75" customHeight="1">
      <c r="A1807" s="14" t="s">
        <v>17</v>
      </c>
      <c r="B1807" s="14">
        <v>2002.0</v>
      </c>
      <c r="C1807" s="14" t="s">
        <v>11997</v>
      </c>
      <c r="D1807" s="14" t="s">
        <v>11998</v>
      </c>
      <c r="E1807" s="150" t="str">
        <f t="shared" si="19"/>
        <v>http://dx.doi.org/10.1109/VISUAL.2002.1183757</v>
      </c>
      <c r="F1807" s="14">
        <v>53.0</v>
      </c>
      <c r="G1807" s="14">
        <v>60.0</v>
      </c>
      <c r="H1807" s="151"/>
      <c r="I1807" s="14" t="s">
        <v>28</v>
      </c>
      <c r="J1807" s="14" t="s">
        <v>14015</v>
      </c>
      <c r="K1807" s="14" t="s">
        <v>38531</v>
      </c>
      <c r="L1807" s="152" t="s">
        <v>12004</v>
      </c>
      <c r="M1807" s="14" t="s">
        <v>38532</v>
      </c>
      <c r="N1807" s="54" t="s">
        <v>38531</v>
      </c>
      <c r="O1807" s="130" t="s">
        <v>12005</v>
      </c>
      <c r="P1807" s="153" t="s">
        <v>12006</v>
      </c>
      <c r="Q1807" s="14">
        <v>1183757.0</v>
      </c>
      <c r="R1807" s="95"/>
      <c r="S1807" s="154" t="s">
        <v>38533</v>
      </c>
      <c r="T1807" s="84"/>
      <c r="U1807" s="84"/>
      <c r="V1807" s="84"/>
      <c r="W1807" s="84"/>
      <c r="X1807" s="84"/>
      <c r="Y1807" s="84"/>
      <c r="Z1807" s="84"/>
      <c r="AA1807" s="84"/>
      <c r="AB1807" s="84"/>
      <c r="AC1807" s="84"/>
    </row>
    <row r="1808" ht="15.75" customHeight="1">
      <c r="A1808" s="14" t="s">
        <v>17</v>
      </c>
      <c r="B1808" s="14">
        <v>2002.0</v>
      </c>
      <c r="C1808" s="14" t="s">
        <v>12079</v>
      </c>
      <c r="D1808" s="14" t="s">
        <v>12080</v>
      </c>
      <c r="E1808" s="150" t="str">
        <f t="shared" si="19"/>
        <v>http://dx.doi.org/10.1109/VISUAL.2002.1183763</v>
      </c>
      <c r="F1808" s="14">
        <v>101.0</v>
      </c>
      <c r="G1808" s="14">
        <v>108.0</v>
      </c>
      <c r="H1808" s="151"/>
      <c r="I1808" s="14" t="s">
        <v>28</v>
      </c>
      <c r="J1808" s="14" t="s">
        <v>14032</v>
      </c>
      <c r="K1808" s="14" t="s">
        <v>38534</v>
      </c>
      <c r="L1808" s="152" t="s">
        <v>12087</v>
      </c>
      <c r="M1808" s="14" t="s">
        <v>38535</v>
      </c>
      <c r="N1808" s="54" t="s">
        <v>38534</v>
      </c>
      <c r="O1808" s="130" t="s">
        <v>12088</v>
      </c>
      <c r="P1808" s="153" t="s">
        <v>12089</v>
      </c>
      <c r="Q1808" s="14">
        <v>1183763.0</v>
      </c>
      <c r="R1808" s="95"/>
      <c r="S1808" s="154" t="s">
        <v>38536</v>
      </c>
      <c r="T1808" s="84"/>
      <c r="U1808" s="84"/>
      <c r="V1808" s="84"/>
      <c r="W1808" s="84"/>
      <c r="X1808" s="84"/>
      <c r="Y1808" s="84"/>
      <c r="Z1808" s="84"/>
      <c r="AA1808" s="84"/>
      <c r="AB1808" s="84"/>
      <c r="AC1808" s="84"/>
    </row>
    <row r="1809" ht="15.75" customHeight="1">
      <c r="A1809" s="14" t="s">
        <v>17</v>
      </c>
      <c r="B1809" s="14">
        <v>2002.0</v>
      </c>
      <c r="C1809" s="14" t="s">
        <v>12090</v>
      </c>
      <c r="D1809" s="14" t="s">
        <v>12091</v>
      </c>
      <c r="E1809" s="150" t="str">
        <f t="shared" si="19"/>
        <v>http://dx.doi.org/10.1109/VISUAL.2002.1183764</v>
      </c>
      <c r="F1809" s="14">
        <v>109.0</v>
      </c>
      <c r="G1809" s="14">
        <v>116.0</v>
      </c>
      <c r="H1809" s="151"/>
      <c r="I1809" s="14" t="s">
        <v>28</v>
      </c>
      <c r="J1809" s="14" t="s">
        <v>14036</v>
      </c>
      <c r="K1809" s="14" t="s">
        <v>38537</v>
      </c>
      <c r="L1809" s="152" t="s">
        <v>12099</v>
      </c>
      <c r="M1809" s="14" t="s">
        <v>38538</v>
      </c>
      <c r="N1809" s="54" t="s">
        <v>38539</v>
      </c>
      <c r="O1809" s="130" t="s">
        <v>253</v>
      </c>
      <c r="P1809" s="153" t="s">
        <v>12100</v>
      </c>
      <c r="Q1809" s="14">
        <v>1183764.0</v>
      </c>
      <c r="R1809" s="95"/>
      <c r="S1809" s="154">
        <v>146391.0</v>
      </c>
      <c r="T1809" s="84"/>
      <c r="U1809" s="84"/>
      <c r="V1809" s="84"/>
      <c r="W1809" s="84"/>
      <c r="X1809" s="84"/>
      <c r="Y1809" s="84"/>
      <c r="Z1809" s="84"/>
      <c r="AA1809" s="84"/>
      <c r="AB1809" s="84"/>
      <c r="AC1809" s="84"/>
    </row>
    <row r="1810" ht="15.75" customHeight="1">
      <c r="A1810" s="14" t="s">
        <v>17</v>
      </c>
      <c r="B1810" s="14">
        <v>2002.0</v>
      </c>
      <c r="C1810" s="14" t="s">
        <v>12637</v>
      </c>
      <c r="D1810" s="14" t="s">
        <v>12638</v>
      </c>
      <c r="E1810" s="150" t="str">
        <f t="shared" si="19"/>
        <v>http://dx.doi.org/10.1109/VISUAL.2002.1183810</v>
      </c>
      <c r="F1810" s="14">
        <v>475.0</v>
      </c>
      <c r="G1810" s="14">
        <v>482.0</v>
      </c>
      <c r="H1810" s="151"/>
      <c r="I1810" s="14" t="s">
        <v>28</v>
      </c>
      <c r="J1810" s="14" t="s">
        <v>14320</v>
      </c>
      <c r="K1810" s="14" t="s">
        <v>38541</v>
      </c>
      <c r="L1810" s="152" t="s">
        <v>12641</v>
      </c>
      <c r="M1810" s="14" t="s">
        <v>38542</v>
      </c>
      <c r="N1810" s="54" t="s">
        <v>38541</v>
      </c>
      <c r="O1810" s="130" t="s">
        <v>12642</v>
      </c>
      <c r="P1810" s="153" t="s">
        <v>12643</v>
      </c>
      <c r="Q1810" s="14">
        <v>1183810.0</v>
      </c>
      <c r="R1810" s="95"/>
      <c r="S1810" s="154" t="s">
        <v>38543</v>
      </c>
      <c r="T1810" s="84"/>
      <c r="U1810" s="84"/>
      <c r="V1810" s="84"/>
      <c r="W1810" s="84"/>
      <c r="X1810" s="84"/>
      <c r="Y1810" s="84"/>
      <c r="Z1810" s="84"/>
      <c r="AA1810" s="84"/>
      <c r="AB1810" s="84"/>
      <c r="AC1810" s="84"/>
    </row>
    <row r="1811" ht="15.75" customHeight="1">
      <c r="A1811" s="14" t="s">
        <v>17</v>
      </c>
      <c r="B1811" s="14">
        <v>2002.0</v>
      </c>
      <c r="C1811" s="14" t="s">
        <v>12228</v>
      </c>
      <c r="D1811" s="14" t="s">
        <v>12229</v>
      </c>
      <c r="E1811" s="150" t="str">
        <f t="shared" si="19"/>
        <v>http://dx.doi.org/10.1109/VISUAL.2002.1183778</v>
      </c>
      <c r="F1811" s="14">
        <v>219.0</v>
      </c>
      <c r="G1811" s="14">
        <v>226.0</v>
      </c>
      <c r="H1811" s="151"/>
      <c r="I1811" s="14" t="s">
        <v>28</v>
      </c>
      <c r="J1811" s="14" t="s">
        <v>14074</v>
      </c>
      <c r="K1811" s="14" t="s">
        <v>38544</v>
      </c>
      <c r="L1811" s="152" t="s">
        <v>12235</v>
      </c>
      <c r="M1811" s="14" t="s">
        <v>38545</v>
      </c>
      <c r="N1811" s="54" t="s">
        <v>38544</v>
      </c>
      <c r="O1811" s="130" t="s">
        <v>12237</v>
      </c>
      <c r="P1811" s="153" t="s">
        <v>12239</v>
      </c>
      <c r="Q1811" s="14">
        <v>1183778.0</v>
      </c>
      <c r="R1811" s="95"/>
      <c r="S1811" s="154" t="s">
        <v>38546</v>
      </c>
      <c r="T1811" s="84"/>
      <c r="U1811" s="84"/>
      <c r="V1811" s="84"/>
      <c r="W1811" s="84"/>
      <c r="X1811" s="84"/>
      <c r="Y1811" s="84"/>
      <c r="Z1811" s="84"/>
      <c r="AA1811" s="84"/>
      <c r="AB1811" s="84"/>
      <c r="AC1811" s="84"/>
    </row>
    <row r="1812" ht="15.75" customHeight="1">
      <c r="A1812" s="14" t="s">
        <v>17</v>
      </c>
      <c r="B1812" s="14">
        <v>2002.0</v>
      </c>
      <c r="C1812" s="14" t="s">
        <v>12275</v>
      </c>
      <c r="D1812" s="14" t="s">
        <v>12276</v>
      </c>
      <c r="E1812" s="150" t="str">
        <f t="shared" si="19"/>
        <v>http://dx.doi.org/10.1109/VISUAL.2002.1183782</v>
      </c>
      <c r="F1812" s="14">
        <v>251.0</v>
      </c>
      <c r="G1812" s="14">
        <v>257.0</v>
      </c>
      <c r="H1812" s="151"/>
      <c r="I1812" s="14" t="s">
        <v>28</v>
      </c>
      <c r="J1812" s="14" t="s">
        <v>14138</v>
      </c>
      <c r="K1812" s="14" t="s">
        <v>8267</v>
      </c>
      <c r="L1812" s="152" t="s">
        <v>12284</v>
      </c>
      <c r="M1812" s="14">
        <v>3.72827218E10</v>
      </c>
      <c r="N1812" s="54" t="s">
        <v>8267</v>
      </c>
      <c r="O1812" s="130" t="s">
        <v>12285</v>
      </c>
      <c r="P1812" s="153" t="s">
        <v>12286</v>
      </c>
      <c r="Q1812" s="14">
        <v>1183782.0</v>
      </c>
      <c r="R1812" s="95"/>
      <c r="S1812" s="154" t="s">
        <v>38548</v>
      </c>
      <c r="T1812" s="84"/>
      <c r="U1812" s="84"/>
      <c r="V1812" s="84"/>
      <c r="W1812" s="84"/>
      <c r="X1812" s="84"/>
      <c r="Y1812" s="84"/>
      <c r="Z1812" s="84"/>
      <c r="AA1812" s="84"/>
      <c r="AB1812" s="84"/>
      <c r="AC1812" s="84"/>
    </row>
    <row r="1813" ht="15.75" customHeight="1">
      <c r="A1813" s="14" t="s">
        <v>17</v>
      </c>
      <c r="B1813" s="14">
        <v>2002.0</v>
      </c>
      <c r="C1813" s="14" t="s">
        <v>12566</v>
      </c>
      <c r="D1813" s="14" t="s">
        <v>12568</v>
      </c>
      <c r="E1813" s="150" t="str">
        <f t="shared" si="19"/>
        <v>http://dx.doi.org/10.1109/VISUAL.2002.1183805</v>
      </c>
      <c r="F1813" s="14">
        <v>435.0</v>
      </c>
      <c r="G1813" s="14">
        <v>442.0</v>
      </c>
      <c r="H1813" s="151"/>
      <c r="I1813" s="14" t="s">
        <v>28</v>
      </c>
      <c r="J1813" s="14" t="s">
        <v>14290</v>
      </c>
      <c r="K1813" s="14" t="s">
        <v>38549</v>
      </c>
      <c r="L1813" s="152" t="s">
        <v>12580</v>
      </c>
      <c r="M1813" s="14" t="s">
        <v>38550</v>
      </c>
      <c r="N1813" s="54" t="s">
        <v>38549</v>
      </c>
      <c r="O1813" s="130" t="s">
        <v>38551</v>
      </c>
      <c r="P1813" s="153" t="s">
        <v>12581</v>
      </c>
      <c r="Q1813" s="14">
        <v>1183805.0</v>
      </c>
      <c r="R1813" s="95"/>
      <c r="S1813" s="154" t="s">
        <v>38552</v>
      </c>
      <c r="T1813" s="84"/>
      <c r="U1813" s="84"/>
      <c r="V1813" s="84"/>
      <c r="W1813" s="84"/>
      <c r="X1813" s="84"/>
      <c r="Y1813" s="84"/>
      <c r="Z1813" s="84"/>
      <c r="AA1813" s="84"/>
      <c r="AB1813" s="84"/>
      <c r="AC1813" s="84"/>
    </row>
    <row r="1814" ht="15.75" customHeight="1">
      <c r="A1814" s="14" t="s">
        <v>17</v>
      </c>
      <c r="B1814" s="14">
        <v>2002.0</v>
      </c>
      <c r="C1814" s="14" t="s">
        <v>12180</v>
      </c>
      <c r="D1814" s="14" t="s">
        <v>12181</v>
      </c>
      <c r="E1814" s="150" t="str">
        <f t="shared" si="19"/>
        <v>http://dx.doi.org/10.1109/VISUAL.2002.1183773</v>
      </c>
      <c r="F1814" s="14">
        <v>179.0</v>
      </c>
      <c r="G1814" s="14">
        <v>186.0</v>
      </c>
      <c r="H1814" s="151"/>
      <c r="I1814" s="14" t="s">
        <v>28</v>
      </c>
      <c r="J1814" s="14" t="s">
        <v>14060</v>
      </c>
      <c r="K1814" s="14" t="s">
        <v>38553</v>
      </c>
      <c r="L1814" s="152" t="s">
        <v>12188</v>
      </c>
      <c r="M1814" s="14" t="s">
        <v>38554</v>
      </c>
      <c r="N1814" s="54" t="s">
        <v>38555</v>
      </c>
      <c r="O1814" s="130"/>
      <c r="P1814" s="153" t="s">
        <v>12189</v>
      </c>
      <c r="Q1814" s="14">
        <v>1183773.0</v>
      </c>
      <c r="R1814" s="95"/>
      <c r="S1814" s="154"/>
      <c r="T1814" s="84"/>
      <c r="U1814" s="84"/>
      <c r="V1814" s="84"/>
      <c r="W1814" s="84"/>
      <c r="X1814" s="84"/>
      <c r="Y1814" s="84"/>
      <c r="Z1814" s="84"/>
      <c r="AA1814" s="84"/>
      <c r="AB1814" s="84"/>
      <c r="AC1814" s="84"/>
    </row>
    <row r="1815" ht="15.75" customHeight="1">
      <c r="A1815" s="14" t="s">
        <v>17</v>
      </c>
      <c r="B1815" s="14">
        <v>2002.0</v>
      </c>
      <c r="C1815" s="14" t="s">
        <v>12334</v>
      </c>
      <c r="D1815" s="14" t="s">
        <v>12336</v>
      </c>
      <c r="E1815" s="150" t="str">
        <f t="shared" si="19"/>
        <v>http://dx.doi.org/10.1109/VISUAL.2002.1183785</v>
      </c>
      <c r="F1815" s="14">
        <v>275.0</v>
      </c>
      <c r="G1815" s="14">
        <v>282.0</v>
      </c>
      <c r="H1815" s="151"/>
      <c r="I1815" s="14" t="s">
        <v>28</v>
      </c>
      <c r="J1815" s="14" t="s">
        <v>14158</v>
      </c>
      <c r="K1815" s="14" t="s">
        <v>7934</v>
      </c>
      <c r="L1815" s="152" t="s">
        <v>12344</v>
      </c>
      <c r="M1815" s="14">
        <v>3.75657428E10</v>
      </c>
      <c r="N1815" s="54" t="s">
        <v>7934</v>
      </c>
      <c r="O1815" s="130"/>
      <c r="P1815" s="153" t="s">
        <v>12345</v>
      </c>
      <c r="Q1815" s="14">
        <v>1183785.0</v>
      </c>
      <c r="R1815" s="95"/>
      <c r="S1815" s="154"/>
      <c r="T1815" s="84"/>
      <c r="U1815" s="84"/>
      <c r="V1815" s="84"/>
      <c r="W1815" s="84"/>
      <c r="X1815" s="84"/>
      <c r="Y1815" s="84"/>
      <c r="Z1815" s="84"/>
      <c r="AA1815" s="84"/>
      <c r="AB1815" s="84"/>
      <c r="AC1815" s="84"/>
    </row>
    <row r="1816" ht="15.75" customHeight="1">
      <c r="A1816" s="14" t="s">
        <v>17</v>
      </c>
      <c r="B1816" s="14">
        <v>2002.0</v>
      </c>
      <c r="C1816" s="14" t="s">
        <v>12782</v>
      </c>
      <c r="D1816" s="14" t="s">
        <v>12783</v>
      </c>
      <c r="E1816" s="150" t="str">
        <f t="shared" si="19"/>
        <v>http://dx.doi.org/10.1109/VISUAL.2002.1183825</v>
      </c>
      <c r="F1816" s="14">
        <v>541.0</v>
      </c>
      <c r="G1816" s="14">
        <v>544.0</v>
      </c>
      <c r="H1816" s="151"/>
      <c r="I1816" s="14" t="s">
        <v>28</v>
      </c>
      <c r="J1816" s="14" t="s">
        <v>14426</v>
      </c>
      <c r="K1816" s="14" t="s">
        <v>38557</v>
      </c>
      <c r="L1816" s="152" t="s">
        <v>178</v>
      </c>
      <c r="M1816" s="14" t="s">
        <v>38558</v>
      </c>
      <c r="N1816" s="54" t="s">
        <v>38557</v>
      </c>
      <c r="O1816" s="130"/>
      <c r="P1816" s="153" t="s">
        <v>12789</v>
      </c>
      <c r="Q1816" s="14">
        <v>1183825.0</v>
      </c>
      <c r="R1816" s="95"/>
      <c r="S1816" s="154"/>
      <c r="T1816" s="84"/>
      <c r="U1816" s="84"/>
      <c r="V1816" s="84"/>
      <c r="W1816" s="84"/>
      <c r="X1816" s="84"/>
      <c r="Y1816" s="84"/>
      <c r="Z1816" s="84"/>
      <c r="AA1816" s="84"/>
      <c r="AB1816" s="84"/>
      <c r="AC1816" s="84"/>
    </row>
    <row r="1817" ht="15.75" customHeight="1">
      <c r="A1817" s="14" t="s">
        <v>17</v>
      </c>
      <c r="B1817" s="14">
        <v>2002.0</v>
      </c>
      <c r="C1817" s="14" t="s">
        <v>12216</v>
      </c>
      <c r="D1817" s="14" t="s">
        <v>12217</v>
      </c>
      <c r="E1817" s="150" t="str">
        <f t="shared" si="19"/>
        <v>http://dx.doi.org/10.1109/VISUAL.2002.1183777</v>
      </c>
      <c r="F1817" s="14">
        <v>211.0</v>
      </c>
      <c r="G1817" s="14">
        <v>218.0</v>
      </c>
      <c r="H1817" s="151"/>
      <c r="I1817" s="14" t="s">
        <v>28</v>
      </c>
      <c r="J1817" s="14" t="s">
        <v>14072</v>
      </c>
      <c r="K1817" s="14" t="s">
        <v>38560</v>
      </c>
      <c r="L1817" s="152" t="s">
        <v>12225</v>
      </c>
      <c r="M1817" s="14" t="s">
        <v>38561</v>
      </c>
      <c r="N1817" s="54" t="s">
        <v>38560</v>
      </c>
      <c r="O1817" s="130" t="s">
        <v>12226</v>
      </c>
      <c r="P1817" s="153" t="s">
        <v>12227</v>
      </c>
      <c r="Q1817" s="14">
        <v>1183777.0</v>
      </c>
      <c r="R1817" s="95"/>
      <c r="S1817" s="154" t="s">
        <v>38562</v>
      </c>
      <c r="T1817" s="84"/>
      <c r="U1817" s="84"/>
      <c r="V1817" s="84"/>
      <c r="W1817" s="84"/>
      <c r="X1817" s="84"/>
      <c r="Y1817" s="84"/>
      <c r="Z1817" s="84"/>
      <c r="AA1817" s="84"/>
      <c r="AB1817" s="84"/>
      <c r="AC1817" s="84"/>
    </row>
    <row r="1818" ht="15.75" customHeight="1">
      <c r="A1818" s="14" t="s">
        <v>17</v>
      </c>
      <c r="B1818" s="14">
        <v>2002.0</v>
      </c>
      <c r="C1818" s="14" t="s">
        <v>12025</v>
      </c>
      <c r="D1818" s="14" t="s">
        <v>12026</v>
      </c>
      <c r="E1818" s="150" t="str">
        <f t="shared" si="19"/>
        <v>http://dx.doi.org/10.1109/VISUAL.2002.1183760</v>
      </c>
      <c r="F1818" s="14">
        <v>77.0</v>
      </c>
      <c r="G1818" s="14">
        <v>84.0</v>
      </c>
      <c r="H1818" s="151"/>
      <c r="I1818" s="14" t="s">
        <v>28</v>
      </c>
      <c r="J1818" s="14" t="s">
        <v>14024</v>
      </c>
      <c r="K1818" s="14" t="s">
        <v>38563</v>
      </c>
      <c r="L1818" s="152" t="s">
        <v>12031</v>
      </c>
      <c r="M1818" s="14" t="s">
        <v>38565</v>
      </c>
      <c r="N1818" s="54" t="s">
        <v>38563</v>
      </c>
      <c r="O1818" s="130" t="s">
        <v>12032</v>
      </c>
      <c r="P1818" s="153" t="s">
        <v>12033</v>
      </c>
      <c r="Q1818" s="14">
        <v>1183760.0</v>
      </c>
      <c r="R1818" s="95"/>
      <c r="S1818" s="154" t="s">
        <v>38566</v>
      </c>
      <c r="T1818" s="84"/>
      <c r="U1818" s="84"/>
      <c r="V1818" s="84"/>
      <c r="W1818" s="84"/>
      <c r="X1818" s="84"/>
      <c r="Y1818" s="84"/>
      <c r="Z1818" s="84"/>
      <c r="AA1818" s="84"/>
      <c r="AB1818" s="84"/>
      <c r="AC1818" s="84"/>
    </row>
    <row r="1819" ht="15.75" customHeight="1">
      <c r="A1819" s="14" t="s">
        <v>17</v>
      </c>
      <c r="B1819" s="14">
        <v>2002.0</v>
      </c>
      <c r="C1819" s="14" t="s">
        <v>12506</v>
      </c>
      <c r="D1819" s="14" t="s">
        <v>12508</v>
      </c>
      <c r="E1819" s="150" t="str">
        <f t="shared" si="19"/>
        <v>http://dx.doi.org/10.1109/VISUAL.2002.1183799</v>
      </c>
      <c r="F1819" s="14">
        <v>387.0</v>
      </c>
      <c r="G1819" s="14">
        <v>394.0</v>
      </c>
      <c r="H1819" s="151"/>
      <c r="I1819" s="14" t="s">
        <v>28</v>
      </c>
      <c r="J1819" s="14" t="s">
        <v>38567</v>
      </c>
      <c r="K1819" s="14" t="s">
        <v>38030</v>
      </c>
      <c r="L1819" s="152" t="s">
        <v>12511</v>
      </c>
      <c r="M1819" s="14" t="s">
        <v>38568</v>
      </c>
      <c r="N1819" s="54" t="s">
        <v>38033</v>
      </c>
      <c r="O1819" s="130" t="s">
        <v>12512</v>
      </c>
      <c r="P1819" s="153" t="s">
        <v>12513</v>
      </c>
      <c r="Q1819" s="14">
        <v>1183799.0</v>
      </c>
      <c r="R1819" s="95"/>
      <c r="S1819" s="154" t="s">
        <v>38569</v>
      </c>
      <c r="T1819" s="84"/>
      <c r="U1819" s="84"/>
      <c r="V1819" s="84"/>
      <c r="W1819" s="84"/>
      <c r="X1819" s="84"/>
      <c r="Y1819" s="84"/>
      <c r="Z1819" s="84"/>
      <c r="AA1819" s="84"/>
      <c r="AB1819" s="84"/>
      <c r="AC1819" s="84"/>
    </row>
    <row r="1820" ht="15.75" customHeight="1">
      <c r="A1820" s="14" t="s">
        <v>17</v>
      </c>
      <c r="B1820" s="14">
        <v>2002.0</v>
      </c>
      <c r="C1820" s="14" t="s">
        <v>12016</v>
      </c>
      <c r="D1820" s="14" t="s">
        <v>12018</v>
      </c>
      <c r="E1820" s="150" t="str">
        <f t="shared" si="19"/>
        <v>http://dx.doi.org/10.1109/VISUAL.2002.1183759</v>
      </c>
      <c r="F1820" s="14">
        <v>69.0</v>
      </c>
      <c r="G1820" s="14">
        <v>76.0</v>
      </c>
      <c r="H1820" s="151"/>
      <c r="I1820" s="14" t="s">
        <v>28</v>
      </c>
      <c r="J1820" s="14" t="s">
        <v>14022</v>
      </c>
      <c r="K1820" s="14" t="s">
        <v>38571</v>
      </c>
      <c r="L1820" s="152" t="s">
        <v>1596</v>
      </c>
      <c r="M1820" s="14" t="s">
        <v>38572</v>
      </c>
      <c r="N1820" s="54" t="s">
        <v>38571</v>
      </c>
      <c r="O1820" s="130" t="s">
        <v>12022</v>
      </c>
      <c r="P1820" s="153" t="s">
        <v>12024</v>
      </c>
      <c r="Q1820" s="14">
        <v>1183759.0</v>
      </c>
      <c r="R1820" s="95"/>
      <c r="S1820" s="154" t="s">
        <v>38573</v>
      </c>
      <c r="T1820" s="84"/>
      <c r="U1820" s="84"/>
      <c r="V1820" s="84"/>
      <c r="W1820" s="84"/>
      <c r="X1820" s="84"/>
      <c r="Y1820" s="84"/>
      <c r="Z1820" s="84"/>
      <c r="AA1820" s="84"/>
      <c r="AB1820" s="84"/>
      <c r="AC1820" s="84"/>
    </row>
    <row r="1821" ht="15.75" customHeight="1">
      <c r="A1821" s="14" t="s">
        <v>17</v>
      </c>
      <c r="B1821" s="14">
        <v>2002.0</v>
      </c>
      <c r="C1821" s="14" t="s">
        <v>12151</v>
      </c>
      <c r="D1821" s="14" t="s">
        <v>12152</v>
      </c>
      <c r="E1821" s="150" t="str">
        <f t="shared" si="19"/>
        <v>http://dx.doi.org/10.1109/VISUAL.2002.1183770</v>
      </c>
      <c r="F1821" s="14">
        <v>155.0</v>
      </c>
      <c r="G1821" s="14">
        <v>162.0</v>
      </c>
      <c r="H1821" s="151"/>
      <c r="I1821" s="14" t="s">
        <v>28</v>
      </c>
      <c r="J1821" s="14" t="s">
        <v>14051</v>
      </c>
      <c r="K1821" s="14" t="s">
        <v>38574</v>
      </c>
      <c r="L1821" s="152" t="s">
        <v>12159</v>
      </c>
      <c r="M1821" s="14" t="s">
        <v>38575</v>
      </c>
      <c r="N1821" s="54" t="s">
        <v>38574</v>
      </c>
      <c r="O1821" s="130" t="s">
        <v>12160</v>
      </c>
      <c r="P1821" s="153" t="s">
        <v>12161</v>
      </c>
      <c r="Q1821" s="14">
        <v>1183770.0</v>
      </c>
      <c r="R1821" s="95"/>
      <c r="S1821" s="154" t="s">
        <v>38576</v>
      </c>
      <c r="T1821" s="84"/>
      <c r="U1821" s="84"/>
      <c r="V1821" s="84"/>
      <c r="W1821" s="84"/>
      <c r="X1821" s="84"/>
      <c r="Y1821" s="84"/>
      <c r="Z1821" s="84"/>
      <c r="AA1821" s="84"/>
      <c r="AB1821" s="84"/>
      <c r="AC1821" s="84"/>
    </row>
    <row r="1822" ht="15.75" customHeight="1">
      <c r="A1822" s="14" t="s">
        <v>17</v>
      </c>
      <c r="B1822" s="14">
        <v>2002.0</v>
      </c>
      <c r="C1822" s="14" t="s">
        <v>12701</v>
      </c>
      <c r="D1822" s="14" t="s">
        <v>12702</v>
      </c>
      <c r="E1822" s="150" t="str">
        <f t="shared" si="19"/>
        <v>http://dx.doi.org/10.1109/VISUAL.2002.1183817</v>
      </c>
      <c r="F1822" s="14">
        <v>509.0</v>
      </c>
      <c r="G1822" s="14">
        <v>512.0</v>
      </c>
      <c r="H1822" s="151"/>
      <c r="I1822" s="14" t="s">
        <v>28</v>
      </c>
      <c r="J1822" s="14" t="s">
        <v>14376</v>
      </c>
      <c r="K1822" s="14" t="s">
        <v>38578</v>
      </c>
      <c r="L1822" s="152" t="s">
        <v>12708</v>
      </c>
      <c r="M1822" s="14" t="s">
        <v>38579</v>
      </c>
      <c r="N1822" s="54" t="s">
        <v>38578</v>
      </c>
      <c r="O1822" s="130"/>
      <c r="P1822" s="153" t="s">
        <v>12709</v>
      </c>
      <c r="Q1822" s="14">
        <v>1183817.0</v>
      </c>
      <c r="R1822" s="95"/>
      <c r="S1822" s="154"/>
      <c r="T1822" s="84"/>
      <c r="U1822" s="84"/>
      <c r="V1822" s="84"/>
      <c r="W1822" s="84"/>
      <c r="X1822" s="84"/>
      <c r="Y1822" s="84"/>
      <c r="Z1822" s="84"/>
      <c r="AA1822" s="84"/>
      <c r="AB1822" s="84"/>
      <c r="AC1822" s="84"/>
    </row>
    <row r="1823" ht="15.75" customHeight="1">
      <c r="A1823" s="14" t="s">
        <v>17</v>
      </c>
      <c r="B1823" s="14">
        <v>2002.0</v>
      </c>
      <c r="C1823" s="14" t="s">
        <v>12138</v>
      </c>
      <c r="D1823" s="14" t="s">
        <v>12139</v>
      </c>
      <c r="E1823" s="150" t="str">
        <f t="shared" si="19"/>
        <v>http://dx.doi.org/10.1109/VISUAL.2002.1183769</v>
      </c>
      <c r="F1823" s="14">
        <v>147.0</v>
      </c>
      <c r="G1823" s="14">
        <v>153.0</v>
      </c>
      <c r="H1823" s="151"/>
      <c r="I1823" s="14" t="s">
        <v>28</v>
      </c>
      <c r="J1823" s="14" t="s">
        <v>14048</v>
      </c>
      <c r="K1823" s="14" t="s">
        <v>38581</v>
      </c>
      <c r="L1823" s="152" t="s">
        <v>5680</v>
      </c>
      <c r="M1823" s="14" t="s">
        <v>38582</v>
      </c>
      <c r="N1823" s="54" t="s">
        <v>38581</v>
      </c>
      <c r="O1823" s="130" t="s">
        <v>12149</v>
      </c>
      <c r="P1823" s="153" t="s">
        <v>12150</v>
      </c>
      <c r="Q1823" s="14">
        <v>1183769.0</v>
      </c>
      <c r="R1823" s="95"/>
      <c r="S1823" s="154" t="s">
        <v>38583</v>
      </c>
      <c r="T1823" s="84"/>
      <c r="U1823" s="84"/>
      <c r="V1823" s="84"/>
      <c r="W1823" s="84"/>
      <c r="X1823" s="84"/>
      <c r="Y1823" s="84"/>
      <c r="Z1823" s="84"/>
      <c r="AA1823" s="84"/>
      <c r="AB1823" s="84"/>
      <c r="AC1823" s="84"/>
    </row>
    <row r="1824" ht="15.75" customHeight="1">
      <c r="A1824" s="14" t="s">
        <v>17</v>
      </c>
      <c r="B1824" s="14">
        <v>2002.0</v>
      </c>
      <c r="C1824" s="14" t="s">
        <v>12514</v>
      </c>
      <c r="D1824" s="14" t="s">
        <v>12515</v>
      </c>
      <c r="E1824" s="150" t="str">
        <f t="shared" si="19"/>
        <v>http://dx.doi.org/10.1109/VISUAL.2002.1183800</v>
      </c>
      <c r="F1824" s="14">
        <v>395.0</v>
      </c>
      <c r="G1824" s="14">
        <v>402.0</v>
      </c>
      <c r="H1824" s="151"/>
      <c r="I1824" s="14" t="s">
        <v>28</v>
      </c>
      <c r="J1824" s="14" t="s">
        <v>14257</v>
      </c>
      <c r="K1824" s="14" t="s">
        <v>38585</v>
      </c>
      <c r="L1824" s="152" t="s">
        <v>12520</v>
      </c>
      <c r="M1824" s="14" t="s">
        <v>38586</v>
      </c>
      <c r="N1824" s="54" t="s">
        <v>38585</v>
      </c>
      <c r="O1824" s="130" t="s">
        <v>12521</v>
      </c>
      <c r="P1824" s="153" t="s">
        <v>12522</v>
      </c>
      <c r="Q1824" s="14">
        <v>1183800.0</v>
      </c>
      <c r="R1824" s="95"/>
      <c r="S1824" s="154" t="s">
        <v>38587</v>
      </c>
      <c r="T1824" s="84"/>
      <c r="U1824" s="84"/>
      <c r="V1824" s="84"/>
      <c r="W1824" s="84"/>
      <c r="X1824" s="84"/>
      <c r="Y1824" s="84"/>
      <c r="Z1824" s="84"/>
      <c r="AA1824" s="84"/>
      <c r="AB1824" s="84"/>
      <c r="AC1824" s="84"/>
    </row>
    <row r="1825" ht="15.75" customHeight="1">
      <c r="A1825" s="14" t="s">
        <v>17</v>
      </c>
      <c r="B1825" s="14">
        <v>2002.0</v>
      </c>
      <c r="C1825" s="14" t="s">
        <v>12776</v>
      </c>
      <c r="D1825" s="14" t="s">
        <v>12777</v>
      </c>
      <c r="E1825" s="150" t="str">
        <f t="shared" si="19"/>
        <v>http://dx.doi.org/10.1109/VISUAL.2002.1183824</v>
      </c>
      <c r="F1825" s="14">
        <v>537.0</v>
      </c>
      <c r="G1825" s="14">
        <v>540.0</v>
      </c>
      <c r="H1825" s="151"/>
      <c r="I1825" s="14" t="s">
        <v>28</v>
      </c>
      <c r="J1825" s="14" t="s">
        <v>14418</v>
      </c>
      <c r="K1825" s="14" t="s">
        <v>38589</v>
      </c>
      <c r="L1825" s="152" t="s">
        <v>12780</v>
      </c>
      <c r="M1825" s="14" t="s">
        <v>38590</v>
      </c>
      <c r="N1825" s="54" t="s">
        <v>38589</v>
      </c>
      <c r="O1825" s="130" t="s">
        <v>12731</v>
      </c>
      <c r="P1825" s="153" t="s">
        <v>12781</v>
      </c>
      <c r="Q1825" s="14">
        <v>1183824.0</v>
      </c>
      <c r="R1825" s="95"/>
      <c r="S1825" s="154">
        <v>1183820.0</v>
      </c>
      <c r="T1825" s="84"/>
      <c r="U1825" s="84"/>
      <c r="V1825" s="84"/>
      <c r="W1825" s="84"/>
      <c r="X1825" s="84"/>
      <c r="Y1825" s="84"/>
      <c r="Z1825" s="84"/>
      <c r="AA1825" s="84"/>
      <c r="AB1825" s="84"/>
      <c r="AC1825" s="84"/>
    </row>
    <row r="1826" ht="15.75" customHeight="1">
      <c r="A1826" s="14" t="s">
        <v>17</v>
      </c>
      <c r="B1826" s="14">
        <v>2002.0</v>
      </c>
      <c r="C1826" s="14" t="s">
        <v>12420</v>
      </c>
      <c r="D1826" s="14" t="s">
        <v>12421</v>
      </c>
      <c r="E1826" s="150" t="str">
        <f t="shared" si="19"/>
        <v>http://dx.doi.org/10.1109/VISUAL.2002.1183793</v>
      </c>
      <c r="F1826" s="14">
        <v>339.0</v>
      </c>
      <c r="G1826" s="14">
        <v>346.0</v>
      </c>
      <c r="H1826" s="151"/>
      <c r="I1826" s="14" t="s">
        <v>28</v>
      </c>
      <c r="J1826" s="14" t="s">
        <v>14214</v>
      </c>
      <c r="K1826" s="14" t="s">
        <v>38592</v>
      </c>
      <c r="L1826" s="152" t="s">
        <v>12427</v>
      </c>
      <c r="M1826" s="14" t="s">
        <v>38593</v>
      </c>
      <c r="N1826" s="54" t="s">
        <v>38592</v>
      </c>
      <c r="O1826" s="130" t="s">
        <v>12428</v>
      </c>
      <c r="P1826" s="153" t="s">
        <v>12429</v>
      </c>
      <c r="Q1826" s="14">
        <v>1183793.0</v>
      </c>
      <c r="R1826" s="95"/>
      <c r="S1826" s="154" t="s">
        <v>38594</v>
      </c>
      <c r="T1826" s="84"/>
      <c r="U1826" s="84"/>
      <c r="V1826" s="84"/>
      <c r="W1826" s="84"/>
      <c r="X1826" s="84"/>
      <c r="Y1826" s="84"/>
      <c r="Z1826" s="84"/>
      <c r="AA1826" s="84"/>
      <c r="AB1826" s="84"/>
      <c r="AC1826" s="84"/>
    </row>
    <row r="1827" ht="15.75" customHeight="1">
      <c r="A1827" s="14" t="s">
        <v>17</v>
      </c>
      <c r="B1827" s="14">
        <v>2002.0</v>
      </c>
      <c r="C1827" s="14" t="s">
        <v>12407</v>
      </c>
      <c r="D1827" s="14" t="s">
        <v>12408</v>
      </c>
      <c r="E1827" s="150" t="str">
        <f t="shared" si="19"/>
        <v>http://dx.doi.org/10.1109/VISUAL.2002.1183792</v>
      </c>
      <c r="F1827" s="14">
        <v>331.0</v>
      </c>
      <c r="G1827" s="14">
        <v>338.0</v>
      </c>
      <c r="H1827" s="151"/>
      <c r="I1827" s="14" t="s">
        <v>28</v>
      </c>
      <c r="J1827" s="14" t="s">
        <v>14206</v>
      </c>
      <c r="K1827" s="14" t="s">
        <v>38595</v>
      </c>
      <c r="L1827" s="152" t="s">
        <v>12416</v>
      </c>
      <c r="M1827" s="14" t="s">
        <v>38596</v>
      </c>
      <c r="N1827" s="54" t="s">
        <v>38597</v>
      </c>
      <c r="O1827" s="130" t="s">
        <v>2328</v>
      </c>
      <c r="P1827" s="153" t="s">
        <v>12418</v>
      </c>
      <c r="Q1827" s="14">
        <v>1183792.0</v>
      </c>
      <c r="R1827" s="95"/>
      <c r="S1827" s="154">
        <v>480797.0</v>
      </c>
      <c r="T1827" s="84"/>
      <c r="U1827" s="84"/>
      <c r="V1827" s="84"/>
      <c r="W1827" s="84"/>
      <c r="X1827" s="84"/>
      <c r="Y1827" s="84"/>
      <c r="Z1827" s="84"/>
      <c r="AA1827" s="84"/>
      <c r="AB1827" s="84"/>
      <c r="AC1827" s="84"/>
    </row>
    <row r="1828" ht="15.75" customHeight="1">
      <c r="A1828" s="14" t="s">
        <v>17</v>
      </c>
      <c r="B1828" s="14">
        <v>2002.0</v>
      </c>
      <c r="C1828" s="14" t="s">
        <v>12358</v>
      </c>
      <c r="D1828" s="14" t="s">
        <v>12359</v>
      </c>
      <c r="E1828" s="150" t="str">
        <f t="shared" si="19"/>
        <v>http://dx.doi.org/10.1109/VISUAL.2002.1183787</v>
      </c>
      <c r="F1828" s="14">
        <v>291.0</v>
      </c>
      <c r="G1828" s="14">
        <v>298.0</v>
      </c>
      <c r="H1828" s="151"/>
      <c r="I1828" s="14" t="s">
        <v>28</v>
      </c>
      <c r="J1828" s="14" t="s">
        <v>14170</v>
      </c>
      <c r="K1828" s="14" t="s">
        <v>38599</v>
      </c>
      <c r="L1828" s="152" t="s">
        <v>3525</v>
      </c>
      <c r="M1828" s="14" t="s">
        <v>38600</v>
      </c>
      <c r="N1828" s="54" t="s">
        <v>38599</v>
      </c>
      <c r="O1828" s="130" t="s">
        <v>5943</v>
      </c>
      <c r="P1828" s="153" t="s">
        <v>12364</v>
      </c>
      <c r="Q1828" s="14">
        <v>1183787.0</v>
      </c>
      <c r="R1828" s="95"/>
      <c r="S1828" s="154">
        <v>885723.0</v>
      </c>
      <c r="T1828" s="84"/>
      <c r="U1828" s="84"/>
      <c r="V1828" s="84"/>
      <c r="W1828" s="84"/>
      <c r="X1828" s="84"/>
      <c r="Y1828" s="84"/>
      <c r="Z1828" s="84"/>
      <c r="AA1828" s="84"/>
      <c r="AB1828" s="84"/>
      <c r="AC1828" s="84"/>
    </row>
    <row r="1829" ht="15.75" customHeight="1">
      <c r="A1829" s="14" t="s">
        <v>17</v>
      </c>
      <c r="B1829" s="14">
        <v>2002.0</v>
      </c>
      <c r="C1829" s="14" t="s">
        <v>12007</v>
      </c>
      <c r="D1829" s="14" t="s">
        <v>12008</v>
      </c>
      <c r="E1829" s="150" t="str">
        <f t="shared" si="19"/>
        <v>http://dx.doi.org/10.1109/VISUAL.2002.1183758</v>
      </c>
      <c r="F1829" s="14">
        <v>61.0</v>
      </c>
      <c r="G1829" s="14">
        <v>68.0</v>
      </c>
      <c r="H1829" s="151"/>
      <c r="I1829" s="14" t="s">
        <v>28</v>
      </c>
      <c r="J1829" s="14" t="s">
        <v>14019</v>
      </c>
      <c r="K1829" s="14" t="s">
        <v>38601</v>
      </c>
      <c r="L1829" s="152" t="s">
        <v>12013</v>
      </c>
      <c r="M1829" s="14" t="s">
        <v>38602</v>
      </c>
      <c r="N1829" s="54" t="s">
        <v>38604</v>
      </c>
      <c r="O1829" s="130" t="s">
        <v>12014</v>
      </c>
      <c r="P1829" s="153" t="s">
        <v>12015</v>
      </c>
      <c r="Q1829" s="14">
        <v>1183758.0</v>
      </c>
      <c r="R1829" s="95"/>
      <c r="S1829" s="154" t="s">
        <v>38605</v>
      </c>
      <c r="T1829" s="84"/>
      <c r="U1829" s="84"/>
      <c r="V1829" s="84"/>
      <c r="W1829" s="84"/>
      <c r="X1829" s="84"/>
      <c r="Y1829" s="84"/>
      <c r="Z1829" s="84"/>
      <c r="AA1829" s="84"/>
      <c r="AB1829" s="84"/>
      <c r="AC1829" s="84"/>
    </row>
    <row r="1830" ht="15.75" customHeight="1">
      <c r="A1830" s="14" t="s">
        <v>17</v>
      </c>
      <c r="B1830" s="14">
        <v>2002.0</v>
      </c>
      <c r="C1830" s="14" t="s">
        <v>12242</v>
      </c>
      <c r="D1830" s="14" t="s">
        <v>12243</v>
      </c>
      <c r="E1830" s="150" t="str">
        <f t="shared" si="19"/>
        <v>http://dx.doi.org/10.1109/VISUAL.2002.1183779</v>
      </c>
      <c r="F1830" s="14">
        <v>227.0</v>
      </c>
      <c r="G1830" s="14">
        <v>234.0</v>
      </c>
      <c r="H1830" s="151"/>
      <c r="I1830" s="14" t="s">
        <v>28</v>
      </c>
      <c r="J1830" s="14" t="s">
        <v>14077</v>
      </c>
      <c r="K1830" s="14" t="s">
        <v>38606</v>
      </c>
      <c r="L1830" s="152" t="s">
        <v>184</v>
      </c>
      <c r="M1830" s="14" t="s">
        <v>38607</v>
      </c>
      <c r="N1830" s="54" t="s">
        <v>38606</v>
      </c>
      <c r="O1830" s="130" t="s">
        <v>1558</v>
      </c>
      <c r="P1830" s="153" t="s">
        <v>12251</v>
      </c>
      <c r="Q1830" s="14">
        <v>1183779.0</v>
      </c>
      <c r="R1830" s="95"/>
      <c r="S1830" s="154">
        <v>398877.0</v>
      </c>
      <c r="T1830" s="84"/>
      <c r="U1830" s="84"/>
      <c r="V1830" s="84"/>
      <c r="W1830" s="84"/>
      <c r="X1830" s="84"/>
      <c r="Y1830" s="84"/>
      <c r="Z1830" s="84"/>
      <c r="AA1830" s="84"/>
      <c r="AB1830" s="84"/>
      <c r="AC1830" s="84"/>
    </row>
    <row r="1831" ht="15.75" customHeight="1">
      <c r="A1831" s="14" t="s">
        <v>17</v>
      </c>
      <c r="B1831" s="14">
        <v>2002.0</v>
      </c>
      <c r="C1831" s="14" t="s">
        <v>12462</v>
      </c>
      <c r="D1831" s="14" t="s">
        <v>12463</v>
      </c>
      <c r="E1831" s="150" t="str">
        <f t="shared" si="19"/>
        <v>http://dx.doi.org/10.1109/VISUAL.2002.1183797</v>
      </c>
      <c r="F1831" s="14">
        <v>371.0</v>
      </c>
      <c r="G1831" s="14">
        <v>378.0</v>
      </c>
      <c r="H1831" s="151"/>
      <c r="I1831" s="14" t="s">
        <v>28</v>
      </c>
      <c r="J1831" s="14" t="s">
        <v>14235</v>
      </c>
      <c r="K1831" s="14" t="s">
        <v>38608</v>
      </c>
      <c r="L1831" s="152" t="s">
        <v>12471</v>
      </c>
      <c r="M1831" s="14" t="s">
        <v>38609</v>
      </c>
      <c r="N1831" s="54" t="s">
        <v>38608</v>
      </c>
      <c r="O1831" s="130" t="s">
        <v>12472</v>
      </c>
      <c r="P1831" s="153" t="s">
        <v>12473</v>
      </c>
      <c r="Q1831" s="14">
        <v>1183797.0</v>
      </c>
      <c r="R1831" s="95"/>
      <c r="S1831" s="154" t="s">
        <v>38610</v>
      </c>
      <c r="T1831" s="84"/>
      <c r="U1831" s="84"/>
      <c r="V1831" s="84"/>
      <c r="W1831" s="84"/>
      <c r="X1831" s="84"/>
      <c r="Y1831" s="84"/>
      <c r="Z1831" s="84"/>
      <c r="AA1831" s="84"/>
      <c r="AB1831" s="84"/>
      <c r="AC1831" s="84"/>
    </row>
    <row r="1832" ht="15.75" customHeight="1">
      <c r="A1832" s="14" t="s">
        <v>17</v>
      </c>
      <c r="B1832" s="14">
        <v>2002.0</v>
      </c>
      <c r="C1832" s="14" t="s">
        <v>12124</v>
      </c>
      <c r="D1832" s="14" t="s">
        <v>12125</v>
      </c>
      <c r="E1832" s="150" t="str">
        <f t="shared" si="19"/>
        <v>http://dx.doi.org/10.1109/VISUAL.2002.1183767</v>
      </c>
      <c r="F1832" s="14">
        <v>133.0</v>
      </c>
      <c r="G1832" s="14">
        <v>140.0</v>
      </c>
      <c r="H1832" s="151"/>
      <c r="I1832" s="14" t="s">
        <v>28</v>
      </c>
      <c r="J1832" s="14" t="s">
        <v>14043</v>
      </c>
      <c r="K1832" s="14" t="s">
        <v>38612</v>
      </c>
      <c r="L1832" s="152" t="s">
        <v>12128</v>
      </c>
      <c r="M1832" s="14" t="s">
        <v>38613</v>
      </c>
      <c r="N1832" s="54" t="s">
        <v>38612</v>
      </c>
      <c r="O1832" s="130" t="s">
        <v>12129</v>
      </c>
      <c r="P1832" s="153" t="s">
        <v>12130</v>
      </c>
      <c r="Q1832" s="14">
        <v>1183767.0</v>
      </c>
      <c r="R1832" s="95"/>
      <c r="S1832" s="154" t="s">
        <v>38614</v>
      </c>
      <c r="T1832" s="84"/>
      <c r="U1832" s="84"/>
      <c r="V1832" s="84"/>
      <c r="W1832" s="84"/>
      <c r="X1832" s="84"/>
      <c r="Y1832" s="84"/>
      <c r="Z1832" s="84"/>
      <c r="AA1832" s="84"/>
      <c r="AB1832" s="84"/>
      <c r="AC1832" s="84"/>
    </row>
    <row r="1833" ht="15.75" customHeight="1">
      <c r="A1833" s="14" t="s">
        <v>17</v>
      </c>
      <c r="B1833" s="14">
        <v>2002.0</v>
      </c>
      <c r="C1833" s="14" t="s">
        <v>12325</v>
      </c>
      <c r="D1833" s="14" t="s">
        <v>12326</v>
      </c>
      <c r="E1833" s="150" t="str">
        <f t="shared" si="19"/>
        <v>http://dx.doi.org/10.1109/VISUAL.2002.1183784</v>
      </c>
      <c r="F1833" s="14">
        <v>267.0</v>
      </c>
      <c r="G1833" s="14">
        <v>274.0</v>
      </c>
      <c r="H1833" s="151"/>
      <c r="I1833" s="14" t="s">
        <v>28</v>
      </c>
      <c r="J1833" s="14" t="s">
        <v>14150</v>
      </c>
      <c r="K1833" s="14" t="s">
        <v>38615</v>
      </c>
      <c r="L1833" s="152" t="s">
        <v>12331</v>
      </c>
      <c r="M1833" s="14" t="s">
        <v>38616</v>
      </c>
      <c r="N1833" s="54" t="s">
        <v>38615</v>
      </c>
      <c r="O1833" s="130" t="s">
        <v>12332</v>
      </c>
      <c r="P1833" s="153" t="s">
        <v>12333</v>
      </c>
      <c r="Q1833" s="14">
        <v>1183784.0</v>
      </c>
      <c r="R1833" s="95"/>
      <c r="S1833" s="154" t="s">
        <v>38617</v>
      </c>
      <c r="T1833" s="84"/>
      <c r="U1833" s="84"/>
      <c r="V1833" s="84"/>
      <c r="W1833" s="84"/>
      <c r="X1833" s="84"/>
      <c r="Y1833" s="84"/>
      <c r="Z1833" s="84"/>
      <c r="AA1833" s="84"/>
      <c r="AB1833" s="84"/>
      <c r="AC1833" s="84"/>
    </row>
    <row r="1834" ht="15.75" customHeight="1">
      <c r="A1834" s="14" t="s">
        <v>17</v>
      </c>
      <c r="B1834" s="14">
        <v>2002.0</v>
      </c>
      <c r="C1834" s="14" t="s">
        <v>12252</v>
      </c>
      <c r="D1834" s="14" t="s">
        <v>12253</v>
      </c>
      <c r="E1834" s="150" t="str">
        <f t="shared" si="19"/>
        <v>http://dx.doi.org/10.1109/VISUAL.2002.1183780</v>
      </c>
      <c r="F1834" s="14">
        <v>235.0</v>
      </c>
      <c r="G1834" s="14">
        <v>242.0</v>
      </c>
      <c r="H1834" s="151"/>
      <c r="I1834" s="14" t="s">
        <v>28</v>
      </c>
      <c r="J1834" s="14" t="s">
        <v>14120</v>
      </c>
      <c r="K1834" s="14" t="s">
        <v>38618</v>
      </c>
      <c r="L1834" s="152" t="s">
        <v>12262</v>
      </c>
      <c r="M1834" s="14" t="s">
        <v>38619</v>
      </c>
      <c r="N1834" s="54" t="s">
        <v>38618</v>
      </c>
      <c r="O1834" s="130" t="s">
        <v>6006</v>
      </c>
      <c r="P1834" s="153" t="s">
        <v>12263</v>
      </c>
      <c r="Q1834" s="14">
        <v>1183780.0</v>
      </c>
      <c r="R1834" s="95"/>
      <c r="S1834" s="154">
        <v>885733.0</v>
      </c>
      <c r="T1834" s="84"/>
      <c r="U1834" s="84"/>
      <c r="V1834" s="84"/>
      <c r="W1834" s="84"/>
      <c r="X1834" s="84"/>
      <c r="Y1834" s="84"/>
      <c r="Z1834" s="84"/>
      <c r="AA1834" s="84"/>
      <c r="AB1834" s="84"/>
      <c r="AC1834" s="84"/>
    </row>
    <row r="1835" ht="15.75" customHeight="1">
      <c r="A1835" s="14" t="s">
        <v>17</v>
      </c>
      <c r="B1835" s="14">
        <v>2002.0</v>
      </c>
      <c r="C1835" s="14" t="s">
        <v>12043</v>
      </c>
      <c r="D1835" s="14" t="s">
        <v>12044</v>
      </c>
      <c r="E1835" s="150" t="str">
        <f t="shared" si="19"/>
        <v>http://dx.doi.org/10.1109/VISUAL.2002.1183762</v>
      </c>
      <c r="F1835" s="14">
        <v>93.0</v>
      </c>
      <c r="G1835" s="14">
        <v>100.0</v>
      </c>
      <c r="H1835" s="151"/>
      <c r="I1835" s="14" t="s">
        <v>28</v>
      </c>
      <c r="J1835" s="14" t="s">
        <v>14029</v>
      </c>
      <c r="K1835" s="14" t="s">
        <v>38620</v>
      </c>
      <c r="L1835" s="152" t="s">
        <v>5704</v>
      </c>
      <c r="M1835" s="14" t="s">
        <v>38621</v>
      </c>
      <c r="N1835" s="54" t="s">
        <v>38620</v>
      </c>
      <c r="O1835" s="130" t="s">
        <v>12076</v>
      </c>
      <c r="P1835" s="153" t="s">
        <v>12077</v>
      </c>
      <c r="Q1835" s="14">
        <v>1183762.0</v>
      </c>
      <c r="R1835" s="95"/>
      <c r="S1835" s="154" t="s">
        <v>38623</v>
      </c>
      <c r="T1835" s="84"/>
      <c r="U1835" s="84"/>
      <c r="V1835" s="84"/>
      <c r="W1835" s="84"/>
      <c r="X1835" s="84"/>
      <c r="Y1835" s="84"/>
      <c r="Z1835" s="84"/>
      <c r="AA1835" s="84"/>
      <c r="AB1835" s="84"/>
      <c r="AC1835" s="84"/>
    </row>
    <row r="1836" ht="15.75" customHeight="1">
      <c r="A1836" s="14" t="s">
        <v>17</v>
      </c>
      <c r="B1836" s="14">
        <v>2002.0</v>
      </c>
      <c r="C1836" s="14" t="s">
        <v>12474</v>
      </c>
      <c r="D1836" s="14" t="s">
        <v>12475</v>
      </c>
      <c r="E1836" s="150" t="str">
        <f t="shared" si="19"/>
        <v>http://dx.doi.org/10.1109/VISUAL.2002.1183798</v>
      </c>
      <c r="F1836" s="14">
        <v>379.0</v>
      </c>
      <c r="G1836" s="14">
        <v>386.0</v>
      </c>
      <c r="H1836" s="151"/>
      <c r="I1836" s="14" t="s">
        <v>28</v>
      </c>
      <c r="J1836" s="14" t="s">
        <v>14245</v>
      </c>
      <c r="K1836" s="14" t="s">
        <v>35599</v>
      </c>
      <c r="L1836" s="152" t="s">
        <v>3182</v>
      </c>
      <c r="M1836" s="14" t="s">
        <v>35600</v>
      </c>
      <c r="N1836" s="54" t="s">
        <v>35599</v>
      </c>
      <c r="O1836" s="130" t="s">
        <v>12503</v>
      </c>
      <c r="P1836" s="153" t="s">
        <v>12505</v>
      </c>
      <c r="Q1836" s="14">
        <v>1183798.0</v>
      </c>
      <c r="R1836" s="95"/>
      <c r="S1836" s="154" t="s">
        <v>38624</v>
      </c>
      <c r="T1836" s="84"/>
      <c r="U1836" s="84"/>
      <c r="V1836" s="84"/>
      <c r="W1836" s="84"/>
      <c r="X1836" s="84"/>
      <c r="Y1836" s="84"/>
      <c r="Z1836" s="84"/>
      <c r="AA1836" s="84"/>
      <c r="AB1836" s="84"/>
      <c r="AC1836" s="84"/>
    </row>
    <row r="1837" ht="15.75" customHeight="1">
      <c r="A1837" s="14" t="s">
        <v>17</v>
      </c>
      <c r="B1837" s="14">
        <v>2002.0</v>
      </c>
      <c r="C1837" s="14" t="s">
        <v>12627</v>
      </c>
      <c r="D1837" s="14" t="s">
        <v>12628</v>
      </c>
      <c r="E1837" s="150" t="str">
        <f t="shared" si="19"/>
        <v>http://dx.doi.org/10.1109/VISUAL.2002.1183809</v>
      </c>
      <c r="F1837" s="14">
        <v>467.0</v>
      </c>
      <c r="G1837" s="14">
        <v>474.0</v>
      </c>
      <c r="H1837" s="151"/>
      <c r="I1837" s="14" t="s">
        <v>28</v>
      </c>
      <c r="J1837" s="14" t="s">
        <v>14317</v>
      </c>
      <c r="K1837" s="14" t="s">
        <v>38625</v>
      </c>
      <c r="L1837" s="152" t="s">
        <v>12634</v>
      </c>
      <c r="M1837" s="14" t="s">
        <v>38626</v>
      </c>
      <c r="N1837" s="54" t="s">
        <v>38627</v>
      </c>
      <c r="O1837" s="130" t="s">
        <v>12635</v>
      </c>
      <c r="P1837" s="153" t="s">
        <v>12636</v>
      </c>
      <c r="Q1837" s="14">
        <v>1183809.0</v>
      </c>
      <c r="R1837" s="95"/>
      <c r="S1837" s="154" t="s">
        <v>38628</v>
      </c>
      <c r="T1837" s="84"/>
      <c r="U1837" s="84"/>
      <c r="V1837" s="84"/>
      <c r="W1837" s="84"/>
      <c r="X1837" s="84"/>
      <c r="Y1837" s="84"/>
      <c r="Z1837" s="84"/>
      <c r="AA1837" s="84"/>
      <c r="AB1837" s="84"/>
      <c r="AC1837" s="84"/>
    </row>
    <row r="1838" ht="15.75" customHeight="1">
      <c r="A1838" s="14" t="s">
        <v>17</v>
      </c>
      <c r="B1838" s="14">
        <v>2002.0</v>
      </c>
      <c r="C1838" s="14" t="s">
        <v>12034</v>
      </c>
      <c r="D1838" s="14" t="s">
        <v>12035</v>
      </c>
      <c r="E1838" s="150" t="str">
        <f t="shared" si="19"/>
        <v>http://dx.doi.org/10.1109/VISUAL.2002.1183761</v>
      </c>
      <c r="F1838" s="14">
        <v>85.0</v>
      </c>
      <c r="G1838" s="14">
        <v>92.0</v>
      </c>
      <c r="H1838" s="151"/>
      <c r="I1838" s="14" t="s">
        <v>28</v>
      </c>
      <c r="J1838" s="14" t="s">
        <v>14026</v>
      </c>
      <c r="K1838" s="14" t="s">
        <v>38630</v>
      </c>
      <c r="L1838" s="152" t="s">
        <v>3612</v>
      </c>
      <c r="M1838" s="14" t="s">
        <v>38631</v>
      </c>
      <c r="N1838" s="54" t="s">
        <v>38630</v>
      </c>
      <c r="O1838" s="130" t="s">
        <v>12041</v>
      </c>
      <c r="P1838" s="153" t="s">
        <v>12042</v>
      </c>
      <c r="Q1838" s="14">
        <v>1183761.0</v>
      </c>
      <c r="R1838" s="95"/>
      <c r="S1838" s="154" t="s">
        <v>38632</v>
      </c>
      <c r="T1838" s="84"/>
      <c r="U1838" s="84"/>
      <c r="V1838" s="84"/>
      <c r="W1838" s="84"/>
      <c r="X1838" s="84"/>
      <c r="Y1838" s="84"/>
      <c r="Z1838" s="84"/>
      <c r="AA1838" s="84"/>
      <c r="AB1838" s="84"/>
      <c r="AC1838" s="84"/>
    </row>
    <row r="1839" ht="15.75" customHeight="1">
      <c r="A1839" s="14" t="s">
        <v>17</v>
      </c>
      <c r="B1839" s="14">
        <v>2002.0</v>
      </c>
      <c r="C1839" s="14" t="s">
        <v>12451</v>
      </c>
      <c r="D1839" s="14" t="s">
        <v>12452</v>
      </c>
      <c r="E1839" s="150" t="str">
        <f t="shared" si="19"/>
        <v>http://dx.doi.org/10.1109/VISUAL.2002.1183796</v>
      </c>
      <c r="F1839" s="14">
        <v>363.0</v>
      </c>
      <c r="G1839" s="14">
        <v>370.0</v>
      </c>
      <c r="H1839" s="151"/>
      <c r="I1839" s="14" t="s">
        <v>28</v>
      </c>
      <c r="J1839" s="14" t="s">
        <v>14232</v>
      </c>
      <c r="K1839" s="14" t="s">
        <v>38633</v>
      </c>
      <c r="L1839" s="152" t="s">
        <v>12458</v>
      </c>
      <c r="M1839" s="14" t="s">
        <v>38634</v>
      </c>
      <c r="N1839" s="54" t="s">
        <v>38633</v>
      </c>
      <c r="O1839" s="130" t="s">
        <v>12459</v>
      </c>
      <c r="P1839" s="153" t="s">
        <v>12460</v>
      </c>
      <c r="Q1839" s="14">
        <v>1183796.0</v>
      </c>
      <c r="R1839" s="95"/>
      <c r="S1839" s="154" t="s">
        <v>38636</v>
      </c>
      <c r="T1839" s="84"/>
      <c r="U1839" s="84"/>
      <c r="V1839" s="84"/>
      <c r="W1839" s="84"/>
      <c r="X1839" s="84"/>
      <c r="Y1839" s="84"/>
      <c r="Z1839" s="84"/>
      <c r="AA1839" s="84"/>
      <c r="AB1839" s="84"/>
      <c r="AC1839" s="84"/>
    </row>
    <row r="1840" ht="15.75" customHeight="1">
      <c r="A1840" s="14" t="s">
        <v>2137</v>
      </c>
      <c r="B1840" s="14">
        <v>2001.0</v>
      </c>
      <c r="C1840" s="14" t="s">
        <v>6948</v>
      </c>
      <c r="D1840" s="14" t="s">
        <v>6949</v>
      </c>
      <c r="E1840" s="150" t="str">
        <f t="shared" si="19"/>
        <v>http://dx.doi.org/10.1109/INFVIS.2001.963291</v>
      </c>
      <c r="F1840" s="14">
        <v>139.0</v>
      </c>
      <c r="G1840" s="14">
        <v>145.0</v>
      </c>
      <c r="H1840" s="151"/>
      <c r="I1840" s="14" t="s">
        <v>28</v>
      </c>
      <c r="J1840" s="14" t="s">
        <v>13219</v>
      </c>
      <c r="K1840" s="14" t="s">
        <v>38637</v>
      </c>
      <c r="L1840" s="152" t="s">
        <v>6964</v>
      </c>
      <c r="M1840" s="14" t="s">
        <v>38638</v>
      </c>
      <c r="N1840" s="54" t="s">
        <v>38637</v>
      </c>
      <c r="O1840" s="130"/>
      <c r="P1840" s="16"/>
      <c r="Q1840" s="14">
        <v>963291.0</v>
      </c>
      <c r="R1840" s="95"/>
      <c r="S1840" s="154"/>
      <c r="T1840" s="84"/>
      <c r="U1840" s="84"/>
      <c r="V1840" s="84"/>
      <c r="W1840" s="84"/>
      <c r="X1840" s="84"/>
      <c r="Y1840" s="84"/>
      <c r="Z1840" s="84"/>
      <c r="AA1840" s="84"/>
      <c r="AB1840" s="84"/>
      <c r="AC1840" s="84"/>
    </row>
    <row r="1841" ht="15.75" customHeight="1">
      <c r="A1841" s="14" t="s">
        <v>2137</v>
      </c>
      <c r="B1841" s="14">
        <v>2001.0</v>
      </c>
      <c r="C1841" s="14" t="s">
        <v>6928</v>
      </c>
      <c r="D1841" s="14" t="s">
        <v>6929</v>
      </c>
      <c r="E1841" s="150" t="str">
        <f t="shared" si="19"/>
        <v>http://dx.doi.org/10.1109/INFVIS.2001.963290</v>
      </c>
      <c r="F1841" s="14">
        <v>131.0</v>
      </c>
      <c r="G1841" s="14">
        <v>138.0</v>
      </c>
      <c r="H1841" s="151"/>
      <c r="I1841" s="14" t="s">
        <v>28</v>
      </c>
      <c r="J1841" s="14" t="s">
        <v>38640</v>
      </c>
      <c r="K1841" s="14" t="s">
        <v>38641</v>
      </c>
      <c r="L1841" s="152" t="s">
        <v>6945</v>
      </c>
      <c r="M1841" s="14" t="s">
        <v>38642</v>
      </c>
      <c r="N1841" s="54" t="s">
        <v>38641</v>
      </c>
      <c r="O1841" s="130" t="s">
        <v>6946</v>
      </c>
      <c r="P1841" s="16"/>
      <c r="Q1841" s="14">
        <v>963290.0</v>
      </c>
      <c r="R1841" s="95"/>
      <c r="S1841" s="154" t="s">
        <v>38643</v>
      </c>
      <c r="T1841" s="84"/>
      <c r="U1841" s="84"/>
      <c r="V1841" s="84"/>
      <c r="W1841" s="84"/>
      <c r="X1841" s="84"/>
      <c r="Y1841" s="84"/>
      <c r="Z1841" s="84"/>
      <c r="AA1841" s="84"/>
      <c r="AB1841" s="84"/>
      <c r="AC1841" s="84"/>
    </row>
    <row r="1842" ht="15.75" customHeight="1">
      <c r="A1842" s="14" t="s">
        <v>2137</v>
      </c>
      <c r="B1842" s="14">
        <v>2001.0</v>
      </c>
      <c r="C1842" s="14" t="s">
        <v>6912</v>
      </c>
      <c r="D1842" s="14" t="s">
        <v>6913</v>
      </c>
      <c r="E1842" s="150" t="str">
        <f t="shared" si="19"/>
        <v>http://dx.doi.org/10.1109/INFVIS.2001.963289</v>
      </c>
      <c r="F1842" s="14">
        <v>123.0</v>
      </c>
      <c r="G1842" s="14">
        <v>130.0</v>
      </c>
      <c r="H1842" s="151"/>
      <c r="I1842" s="14" t="s">
        <v>28</v>
      </c>
      <c r="J1842" s="14" t="s">
        <v>13183</v>
      </c>
      <c r="K1842" s="14" t="s">
        <v>8784</v>
      </c>
      <c r="L1842" s="152" t="s">
        <v>6927</v>
      </c>
      <c r="M1842" s="14">
        <v>3.73260913E10</v>
      </c>
      <c r="N1842" s="54" t="s">
        <v>8784</v>
      </c>
      <c r="O1842" s="130" t="s">
        <v>2198</v>
      </c>
      <c r="P1842" s="16"/>
      <c r="Q1842" s="14">
        <v>963289.0</v>
      </c>
      <c r="R1842" s="95"/>
      <c r="S1842" s="154">
        <v>528688.0</v>
      </c>
      <c r="T1842" s="84"/>
      <c r="U1842" s="84"/>
      <c r="V1842" s="84"/>
      <c r="W1842" s="84"/>
      <c r="X1842" s="84"/>
      <c r="Y1842" s="84"/>
      <c r="Z1842" s="84"/>
      <c r="AA1842" s="84"/>
      <c r="AB1842" s="84"/>
      <c r="AC1842" s="84"/>
    </row>
    <row r="1843" ht="15.75" customHeight="1">
      <c r="A1843" s="14" t="s">
        <v>2137</v>
      </c>
      <c r="B1843" s="14">
        <v>2001.0</v>
      </c>
      <c r="C1843" s="14" t="s">
        <v>6349</v>
      </c>
      <c r="D1843" s="14" t="s">
        <v>6351</v>
      </c>
      <c r="E1843" s="150" t="str">
        <f t="shared" si="19"/>
        <v>http://dx.doi.org/10.1109/INFVIS.2001.963279</v>
      </c>
      <c r="F1843" s="14">
        <v>43.0</v>
      </c>
      <c r="G1843" s="14">
        <v>50.0</v>
      </c>
      <c r="H1843" s="151"/>
      <c r="I1843" s="14" t="s">
        <v>28</v>
      </c>
      <c r="J1843" s="14" t="s">
        <v>38644</v>
      </c>
      <c r="K1843" s="14" t="s">
        <v>38645</v>
      </c>
      <c r="L1843" s="152" t="s">
        <v>6383</v>
      </c>
      <c r="M1843" s="14" t="s">
        <v>38646</v>
      </c>
      <c r="N1843" s="54" t="s">
        <v>38645</v>
      </c>
      <c r="O1843" s="130" t="s">
        <v>3293</v>
      </c>
      <c r="P1843" s="153" t="s">
        <v>6385</v>
      </c>
      <c r="Q1843" s="14">
        <v>963279.0</v>
      </c>
      <c r="R1843" s="95"/>
      <c r="S1843" s="154">
        <v>636718.0</v>
      </c>
      <c r="T1843" s="84"/>
      <c r="U1843" s="84"/>
      <c r="V1843" s="84"/>
      <c r="W1843" s="84"/>
      <c r="X1843" s="84"/>
      <c r="Y1843" s="84"/>
      <c r="Z1843" s="84"/>
      <c r="AA1843" s="84"/>
      <c r="AB1843" s="84"/>
      <c r="AC1843" s="84"/>
    </row>
    <row r="1844" ht="15.75" customHeight="1">
      <c r="A1844" s="14" t="s">
        <v>2137</v>
      </c>
      <c r="B1844" s="14">
        <v>2001.0</v>
      </c>
      <c r="C1844" s="14" t="s">
        <v>7078</v>
      </c>
      <c r="D1844" s="14" t="s">
        <v>7080</v>
      </c>
      <c r="E1844" s="150" t="str">
        <f t="shared" si="19"/>
        <v>http://dx.doi.org/10.1109/INFVIS.2001.963296</v>
      </c>
      <c r="F1844" s="14">
        <v>169.0</v>
      </c>
      <c r="G1844" s="14">
        <v>170.0</v>
      </c>
      <c r="H1844" s="159" t="s">
        <v>30659</v>
      </c>
      <c r="I1844" s="14" t="s">
        <v>21</v>
      </c>
      <c r="J1844" s="14"/>
      <c r="K1844" s="14" t="s">
        <v>38648</v>
      </c>
      <c r="L1844" s="152" t="s">
        <v>7097</v>
      </c>
      <c r="M1844" s="14" t="s">
        <v>860</v>
      </c>
      <c r="N1844" s="54" t="s">
        <v>38648</v>
      </c>
      <c r="O1844" s="130"/>
      <c r="P1844" s="16"/>
      <c r="Q1844" s="14">
        <v>963296.0</v>
      </c>
      <c r="R1844" s="95"/>
      <c r="S1844" s="154"/>
      <c r="T1844" s="84"/>
      <c r="U1844" s="84"/>
      <c r="V1844" s="84"/>
      <c r="W1844" s="84"/>
      <c r="X1844" s="84"/>
      <c r="Y1844" s="84"/>
      <c r="Z1844" s="84"/>
      <c r="AA1844" s="84"/>
      <c r="AB1844" s="84"/>
      <c r="AC1844" s="84"/>
    </row>
    <row r="1845" ht="15.75" customHeight="1">
      <c r="A1845" s="14" t="s">
        <v>2137</v>
      </c>
      <c r="B1845" s="14">
        <v>2001.0</v>
      </c>
      <c r="C1845" s="14" t="s">
        <v>6755</v>
      </c>
      <c r="D1845" s="14" t="s">
        <v>6757</v>
      </c>
      <c r="E1845" s="150" t="str">
        <f t="shared" si="19"/>
        <v>http://dx.doi.org/10.1109/INFVIS.2001.963285</v>
      </c>
      <c r="F1845" s="14">
        <v>87.0</v>
      </c>
      <c r="G1845" s="14">
        <v>94.0</v>
      </c>
      <c r="H1845" s="151"/>
      <c r="I1845" s="14" t="s">
        <v>28</v>
      </c>
      <c r="J1845" s="14" t="s">
        <v>38649</v>
      </c>
      <c r="K1845" s="14" t="s">
        <v>38650</v>
      </c>
      <c r="L1845" s="152" t="s">
        <v>6482</v>
      </c>
      <c r="M1845" s="14" t="s">
        <v>38651</v>
      </c>
      <c r="N1845" s="54" t="s">
        <v>38650</v>
      </c>
      <c r="O1845" s="130" t="s">
        <v>6788</v>
      </c>
      <c r="P1845" s="153" t="s">
        <v>6789</v>
      </c>
      <c r="Q1845" s="14">
        <v>963285.0</v>
      </c>
      <c r="R1845" s="95"/>
      <c r="S1845" s="154" t="s">
        <v>38652</v>
      </c>
      <c r="T1845" s="84"/>
      <c r="U1845" s="84"/>
      <c r="V1845" s="84"/>
      <c r="W1845" s="84"/>
      <c r="X1845" s="84"/>
      <c r="Y1845" s="84"/>
      <c r="Z1845" s="84"/>
      <c r="AA1845" s="84"/>
      <c r="AB1845" s="84"/>
      <c r="AC1845" s="84"/>
    </row>
    <row r="1846" ht="15.75" customHeight="1">
      <c r="A1846" s="14" t="s">
        <v>2137</v>
      </c>
      <c r="B1846" s="14">
        <v>2001.0</v>
      </c>
      <c r="C1846" s="14" t="s">
        <v>7016</v>
      </c>
      <c r="D1846" s="14" t="s">
        <v>7018</v>
      </c>
      <c r="E1846" s="150" t="str">
        <f t="shared" si="19"/>
        <v>http://dx.doi.org/10.1109/INFVIS.2001.963294</v>
      </c>
      <c r="F1846" s="14">
        <v>159.0</v>
      </c>
      <c r="G1846" s="14">
        <v>162.0</v>
      </c>
      <c r="H1846" s="151"/>
      <c r="I1846" s="14" t="s">
        <v>28</v>
      </c>
      <c r="J1846" s="14" t="s">
        <v>38653</v>
      </c>
      <c r="K1846" s="14" t="s">
        <v>38654</v>
      </c>
      <c r="L1846" s="152" t="s">
        <v>7044</v>
      </c>
      <c r="M1846" s="14" t="s">
        <v>38655</v>
      </c>
      <c r="N1846" s="54" t="s">
        <v>38654</v>
      </c>
      <c r="O1846" s="130" t="s">
        <v>4017</v>
      </c>
      <c r="P1846" s="16"/>
      <c r="Q1846" s="14">
        <v>963294.0</v>
      </c>
      <c r="R1846" s="95"/>
      <c r="S1846" s="154">
        <v>729566.0</v>
      </c>
      <c r="T1846" s="84"/>
      <c r="U1846" s="84"/>
      <c r="V1846" s="84"/>
      <c r="W1846" s="84"/>
      <c r="X1846" s="84"/>
      <c r="Y1846" s="84"/>
      <c r="Z1846" s="84"/>
      <c r="AA1846" s="84"/>
      <c r="AB1846" s="84"/>
      <c r="AC1846" s="84"/>
    </row>
    <row r="1847" ht="15.75" customHeight="1">
      <c r="A1847" s="14" t="s">
        <v>2137</v>
      </c>
      <c r="B1847" s="14">
        <v>2001.0</v>
      </c>
      <c r="C1847" s="14" t="s">
        <v>6991</v>
      </c>
      <c r="D1847" s="14" t="s">
        <v>6992</v>
      </c>
      <c r="E1847" s="150" t="str">
        <f t="shared" si="19"/>
        <v>http://dx.doi.org/10.1109/INFVIS.2001.963293</v>
      </c>
      <c r="F1847" s="14">
        <v>153.0</v>
      </c>
      <c r="G1847" s="14">
        <v>156.0</v>
      </c>
      <c r="H1847" s="151"/>
      <c r="I1847" s="14" t="s">
        <v>28</v>
      </c>
      <c r="J1847" s="14" t="s">
        <v>38656</v>
      </c>
      <c r="K1847" s="14" t="s">
        <v>38657</v>
      </c>
      <c r="L1847" s="152" t="s">
        <v>7012</v>
      </c>
      <c r="M1847" s="14" t="s">
        <v>38658</v>
      </c>
      <c r="N1847" s="54" t="s">
        <v>38657</v>
      </c>
      <c r="O1847" s="130" t="s">
        <v>7013</v>
      </c>
      <c r="P1847" s="16"/>
      <c r="Q1847" s="14">
        <v>963293.0</v>
      </c>
      <c r="R1847" s="95"/>
      <c r="S1847" s="154" t="s">
        <v>38659</v>
      </c>
      <c r="T1847" s="84"/>
      <c r="U1847" s="84"/>
      <c r="V1847" s="84"/>
      <c r="W1847" s="84"/>
      <c r="X1847" s="84"/>
      <c r="Y1847" s="84"/>
      <c r="Z1847" s="84"/>
      <c r="AA1847" s="84"/>
      <c r="AB1847" s="84"/>
      <c r="AC1847" s="84"/>
    </row>
    <row r="1848" ht="15.75" customHeight="1">
      <c r="A1848" s="14" t="s">
        <v>2137</v>
      </c>
      <c r="B1848" s="14">
        <v>2001.0</v>
      </c>
      <c r="C1848" s="14" t="s">
        <v>6967</v>
      </c>
      <c r="D1848" s="14" t="s">
        <v>6968</v>
      </c>
      <c r="E1848" s="150" t="str">
        <f t="shared" si="19"/>
        <v>http://dx.doi.org/10.1109/INFVIS.2001.963292</v>
      </c>
      <c r="F1848" s="14">
        <v>149.0</v>
      </c>
      <c r="G1848" s="14">
        <v>152.0</v>
      </c>
      <c r="H1848" s="151"/>
      <c r="I1848" s="14" t="s">
        <v>28</v>
      </c>
      <c r="J1848" s="14" t="s">
        <v>38660</v>
      </c>
      <c r="K1848" s="14" t="s">
        <v>38641</v>
      </c>
      <c r="L1848" s="152" t="s">
        <v>6945</v>
      </c>
      <c r="M1848" s="14" t="s">
        <v>38642</v>
      </c>
      <c r="N1848" s="54" t="s">
        <v>38641</v>
      </c>
      <c r="O1848" s="130"/>
      <c r="P1848" s="16"/>
      <c r="Q1848" s="14">
        <v>963292.0</v>
      </c>
      <c r="R1848" s="95"/>
      <c r="S1848" s="154"/>
      <c r="T1848" s="84"/>
      <c r="U1848" s="84"/>
      <c r="V1848" s="84"/>
      <c r="W1848" s="84"/>
      <c r="X1848" s="84"/>
      <c r="Y1848" s="84"/>
      <c r="Z1848" s="84"/>
      <c r="AA1848" s="84"/>
      <c r="AB1848" s="84"/>
      <c r="AC1848" s="84"/>
    </row>
    <row r="1849" ht="15.75" customHeight="1">
      <c r="A1849" s="14" t="s">
        <v>2137</v>
      </c>
      <c r="B1849" s="14">
        <v>2001.0</v>
      </c>
      <c r="C1849" s="14" t="s">
        <v>6127</v>
      </c>
      <c r="D1849" s="14" t="s">
        <v>6128</v>
      </c>
      <c r="E1849" s="150" t="str">
        <f t="shared" si="19"/>
        <v>http://dx.doi.org/10.1109/INFVIS.2001.963274</v>
      </c>
      <c r="F1849" s="14">
        <v>15.0</v>
      </c>
      <c r="G1849" s="14">
        <v>22.0</v>
      </c>
      <c r="H1849" s="151"/>
      <c r="I1849" s="14" t="s">
        <v>28</v>
      </c>
      <c r="J1849" s="14" t="s">
        <v>38661</v>
      </c>
      <c r="K1849" s="14" t="s">
        <v>38662</v>
      </c>
      <c r="L1849" s="152" t="s">
        <v>6134</v>
      </c>
      <c r="M1849" s="14" t="s">
        <v>38663</v>
      </c>
      <c r="N1849" s="54" t="s">
        <v>38662</v>
      </c>
      <c r="O1849" s="130" t="s">
        <v>6135</v>
      </c>
      <c r="P1849" s="16"/>
      <c r="Q1849" s="14">
        <v>963274.0</v>
      </c>
      <c r="R1849" s="95"/>
      <c r="S1849" s="154" t="s">
        <v>38664</v>
      </c>
      <c r="T1849" s="84"/>
      <c r="U1849" s="84"/>
      <c r="V1849" s="84"/>
      <c r="W1849" s="84"/>
      <c r="X1849" s="84"/>
      <c r="Y1849" s="84"/>
      <c r="Z1849" s="84"/>
      <c r="AA1849" s="84"/>
      <c r="AB1849" s="84"/>
      <c r="AC1849" s="84"/>
    </row>
    <row r="1850" ht="15.75" customHeight="1">
      <c r="A1850" s="14" t="s">
        <v>2137</v>
      </c>
      <c r="B1850" s="14">
        <v>2001.0</v>
      </c>
      <c r="C1850" s="14" t="s">
        <v>6136</v>
      </c>
      <c r="D1850" s="14" t="s">
        <v>6137</v>
      </c>
      <c r="E1850" s="150" t="str">
        <f t="shared" si="19"/>
        <v>http://dx.doi.org/10.1109/INFVIS.2001.963275</v>
      </c>
      <c r="F1850" s="14">
        <v>23.0</v>
      </c>
      <c r="G1850" s="14">
        <v>30.0</v>
      </c>
      <c r="H1850" s="151"/>
      <c r="I1850" s="14" t="s">
        <v>28</v>
      </c>
      <c r="J1850" s="14" t="s">
        <v>38665</v>
      </c>
      <c r="K1850" s="14" t="s">
        <v>38666</v>
      </c>
      <c r="L1850" s="152" t="s">
        <v>6140</v>
      </c>
      <c r="M1850" s="14" t="s">
        <v>38667</v>
      </c>
      <c r="N1850" s="54" t="s">
        <v>38668</v>
      </c>
      <c r="O1850" s="130" t="s">
        <v>2181</v>
      </c>
      <c r="P1850" s="16"/>
      <c r="Q1850" s="14">
        <v>963275.0</v>
      </c>
      <c r="R1850" s="95"/>
      <c r="S1850" s="154">
        <v>528686.0</v>
      </c>
      <c r="T1850" s="84"/>
      <c r="U1850" s="84"/>
      <c r="V1850" s="84"/>
      <c r="W1850" s="84"/>
      <c r="X1850" s="84"/>
      <c r="Y1850" s="84"/>
      <c r="Z1850" s="84"/>
      <c r="AA1850" s="84"/>
      <c r="AB1850" s="84"/>
      <c r="AC1850" s="84"/>
    </row>
    <row r="1851" ht="15.75" customHeight="1">
      <c r="A1851" s="14" t="s">
        <v>2137</v>
      </c>
      <c r="B1851" s="14">
        <v>2001.0</v>
      </c>
      <c r="C1851" s="14" t="s">
        <v>6563</v>
      </c>
      <c r="D1851" s="14" t="s">
        <v>6565</v>
      </c>
      <c r="E1851" s="150" t="str">
        <f t="shared" si="19"/>
        <v>http://dx.doi.org/10.1109/INFVIS.2001.963284</v>
      </c>
      <c r="F1851" s="14">
        <v>79.0</v>
      </c>
      <c r="G1851" s="14">
        <v>86.0</v>
      </c>
      <c r="H1851" s="151"/>
      <c r="I1851" s="14" t="s">
        <v>28</v>
      </c>
      <c r="J1851" s="14" t="s">
        <v>38670</v>
      </c>
      <c r="K1851" s="14" t="s">
        <v>38671</v>
      </c>
      <c r="L1851" s="152" t="s">
        <v>6747</v>
      </c>
      <c r="M1851" s="14" t="s">
        <v>38672</v>
      </c>
      <c r="N1851" s="54" t="s">
        <v>38671</v>
      </c>
      <c r="O1851" s="130" t="s">
        <v>6749</v>
      </c>
      <c r="P1851" s="153" t="s">
        <v>6751</v>
      </c>
      <c r="Q1851" s="14">
        <v>963284.0</v>
      </c>
      <c r="R1851" s="95"/>
      <c r="S1851" s="154" t="s">
        <v>38673</v>
      </c>
      <c r="T1851" s="84"/>
      <c r="U1851" s="84"/>
      <c r="V1851" s="84"/>
      <c r="W1851" s="84"/>
      <c r="X1851" s="84"/>
      <c r="Y1851" s="84"/>
      <c r="Z1851" s="84"/>
      <c r="AA1851" s="84"/>
      <c r="AB1851" s="84"/>
      <c r="AC1851" s="84"/>
    </row>
    <row r="1852" ht="15.75" customHeight="1">
      <c r="A1852" s="14" t="s">
        <v>2137</v>
      </c>
      <c r="B1852" s="14">
        <v>2001.0</v>
      </c>
      <c r="C1852" s="14" t="s">
        <v>6395</v>
      </c>
      <c r="D1852" s="14" t="s">
        <v>6397</v>
      </c>
      <c r="E1852" s="150" t="str">
        <f t="shared" si="19"/>
        <v>http://dx.doi.org/10.1109/INFVIS.2001.963280</v>
      </c>
      <c r="F1852" s="14">
        <v>51.0</v>
      </c>
      <c r="G1852" s="14">
        <v>58.0</v>
      </c>
      <c r="H1852" s="151"/>
      <c r="I1852" s="14" t="s">
        <v>28</v>
      </c>
      <c r="J1852" s="14" t="s">
        <v>38674</v>
      </c>
      <c r="K1852" s="14" t="s">
        <v>38675</v>
      </c>
      <c r="L1852" s="152" t="s">
        <v>6435</v>
      </c>
      <c r="M1852" s="14" t="s">
        <v>38676</v>
      </c>
      <c r="N1852" s="54" t="s">
        <v>38675</v>
      </c>
      <c r="O1852" s="130"/>
      <c r="P1852" s="153" t="s">
        <v>6444</v>
      </c>
      <c r="Q1852" s="14">
        <v>963280.0</v>
      </c>
      <c r="R1852" s="95"/>
      <c r="S1852" s="154"/>
      <c r="T1852" s="84"/>
      <c r="U1852" s="84"/>
      <c r="V1852" s="84"/>
      <c r="W1852" s="84"/>
      <c r="X1852" s="84"/>
      <c r="Y1852" s="84"/>
      <c r="Z1852" s="84"/>
      <c r="AA1852" s="84"/>
      <c r="AB1852" s="84"/>
      <c r="AC1852" s="84"/>
    </row>
    <row r="1853" ht="15.75" customHeight="1">
      <c r="A1853" s="14" t="s">
        <v>2137</v>
      </c>
      <c r="B1853" s="14">
        <v>2001.0</v>
      </c>
      <c r="C1853" s="14" t="s">
        <v>6270</v>
      </c>
      <c r="D1853" s="14" t="s">
        <v>6272</v>
      </c>
      <c r="E1853" s="150" t="str">
        <f t="shared" si="19"/>
        <v>http://dx.doi.org/10.1109/INFVIS.2001.963278</v>
      </c>
      <c r="F1853" s="14">
        <v>37.0</v>
      </c>
      <c r="G1853" s="14">
        <v>40.0</v>
      </c>
      <c r="H1853" s="151"/>
      <c r="I1853" s="14" t="s">
        <v>28</v>
      </c>
      <c r="J1853" s="14" t="s">
        <v>38677</v>
      </c>
      <c r="K1853" s="14" t="s">
        <v>8652</v>
      </c>
      <c r="L1853" s="152" t="s">
        <v>6341</v>
      </c>
      <c r="M1853" s="14">
        <v>3.77338111E10</v>
      </c>
      <c r="N1853" s="54" t="s">
        <v>8652</v>
      </c>
      <c r="O1853" s="130" t="s">
        <v>6343</v>
      </c>
      <c r="P1853" s="16"/>
      <c r="Q1853" s="14">
        <v>963278.0</v>
      </c>
      <c r="R1853" s="95"/>
      <c r="S1853" s="154" t="s">
        <v>38678</v>
      </c>
      <c r="T1853" s="84"/>
      <c r="U1853" s="84"/>
      <c r="V1853" s="84"/>
      <c r="W1853" s="84"/>
      <c r="X1853" s="84"/>
      <c r="Y1853" s="84"/>
      <c r="Z1853" s="84"/>
      <c r="AA1853" s="84"/>
      <c r="AB1853" s="84"/>
      <c r="AC1853" s="84"/>
    </row>
    <row r="1854" ht="15.75" customHeight="1">
      <c r="A1854" s="14" t="s">
        <v>2137</v>
      </c>
      <c r="B1854" s="14">
        <v>2001.0</v>
      </c>
      <c r="C1854" s="14" t="s">
        <v>6487</v>
      </c>
      <c r="D1854" s="14" t="s">
        <v>6488</v>
      </c>
      <c r="E1854" s="150" t="str">
        <f t="shared" si="19"/>
        <v>http://dx.doi.org/10.1109/INFVIS.2001.963282</v>
      </c>
      <c r="F1854" s="14">
        <v>67.0</v>
      </c>
      <c r="G1854" s="14">
        <v>70.0</v>
      </c>
      <c r="H1854" s="151"/>
      <c r="I1854" s="14" t="s">
        <v>28</v>
      </c>
      <c r="J1854" s="14" t="s">
        <v>38679</v>
      </c>
      <c r="K1854" s="14" t="s">
        <v>38680</v>
      </c>
      <c r="L1854" s="152" t="s">
        <v>6514</v>
      </c>
      <c r="M1854" s="14" t="s">
        <v>38681</v>
      </c>
      <c r="N1854" s="54" t="s">
        <v>38680</v>
      </c>
      <c r="O1854" s="130" t="s">
        <v>5500</v>
      </c>
      <c r="P1854" s="153" t="s">
        <v>6519</v>
      </c>
      <c r="Q1854" s="14">
        <v>963282.0</v>
      </c>
      <c r="R1854" s="95"/>
      <c r="S1854" s="154">
        <v>885089.0</v>
      </c>
      <c r="T1854" s="84"/>
      <c r="U1854" s="84"/>
      <c r="V1854" s="84"/>
      <c r="W1854" s="84"/>
      <c r="X1854" s="84"/>
      <c r="Y1854" s="84"/>
      <c r="Z1854" s="84"/>
      <c r="AA1854" s="84"/>
      <c r="AB1854" s="84"/>
      <c r="AC1854" s="84"/>
    </row>
    <row r="1855" ht="15.75" customHeight="1">
      <c r="A1855" s="14" t="s">
        <v>2137</v>
      </c>
      <c r="B1855" s="14">
        <v>2001.0</v>
      </c>
      <c r="C1855" s="14" t="s">
        <v>7046</v>
      </c>
      <c r="D1855" s="14" t="s">
        <v>7053</v>
      </c>
      <c r="E1855" s="150" t="str">
        <f t="shared" si="19"/>
        <v>http://dx.doi.org/10.1109/INFVIS.2001.963295</v>
      </c>
      <c r="F1855" s="14">
        <v>163.0</v>
      </c>
      <c r="G1855" s="14">
        <v>166.0</v>
      </c>
      <c r="H1855" s="151"/>
      <c r="I1855" s="14" t="s">
        <v>28</v>
      </c>
      <c r="J1855" s="14" t="s">
        <v>38683</v>
      </c>
      <c r="K1855" s="14" t="s">
        <v>38684</v>
      </c>
      <c r="L1855" s="152" t="s">
        <v>7076</v>
      </c>
      <c r="M1855" s="14" t="s">
        <v>38685</v>
      </c>
      <c r="N1855" s="54" t="s">
        <v>38686</v>
      </c>
      <c r="O1855" s="130"/>
      <c r="P1855" s="16"/>
      <c r="Q1855" s="14">
        <v>963295.0</v>
      </c>
      <c r="R1855" s="95"/>
      <c r="S1855" s="154"/>
      <c r="T1855" s="84"/>
      <c r="U1855" s="84"/>
      <c r="V1855" s="84"/>
      <c r="W1855" s="84"/>
      <c r="X1855" s="84"/>
      <c r="Y1855" s="84"/>
      <c r="Z1855" s="84"/>
      <c r="AA1855" s="84"/>
      <c r="AB1855" s="84"/>
      <c r="AC1855" s="84"/>
    </row>
    <row r="1856" ht="15.75" customHeight="1">
      <c r="A1856" s="14" t="s">
        <v>2137</v>
      </c>
      <c r="B1856" s="14">
        <v>2001.0</v>
      </c>
      <c r="C1856" s="14" t="s">
        <v>6837</v>
      </c>
      <c r="D1856" s="14" t="s">
        <v>6839</v>
      </c>
      <c r="E1856" s="150" t="str">
        <f t="shared" si="19"/>
        <v>http://dx.doi.org/10.1109/INFVIS.2001.963287</v>
      </c>
      <c r="F1856" s="14">
        <v>105.0</v>
      </c>
      <c r="G1856" s="14">
        <v>112.0</v>
      </c>
      <c r="H1856" s="151"/>
      <c r="I1856" s="14" t="s">
        <v>28</v>
      </c>
      <c r="J1856" s="14" t="s">
        <v>38687</v>
      </c>
      <c r="K1856" s="14" t="s">
        <v>38688</v>
      </c>
      <c r="L1856" s="152" t="s">
        <v>6867</v>
      </c>
      <c r="M1856" s="14" t="s">
        <v>38689</v>
      </c>
      <c r="N1856" s="54" t="s">
        <v>38688</v>
      </c>
      <c r="O1856" s="130" t="s">
        <v>6868</v>
      </c>
      <c r="P1856" s="16"/>
      <c r="Q1856" s="14">
        <v>963287.0</v>
      </c>
      <c r="R1856" s="95"/>
      <c r="S1856" s="154" t="s">
        <v>38690</v>
      </c>
      <c r="T1856" s="84"/>
      <c r="U1856" s="84"/>
      <c r="V1856" s="84"/>
      <c r="W1856" s="84"/>
      <c r="X1856" s="84"/>
      <c r="Y1856" s="84"/>
      <c r="Z1856" s="84"/>
      <c r="AA1856" s="84"/>
      <c r="AB1856" s="84"/>
      <c r="AC1856" s="84"/>
    </row>
    <row r="1857" ht="15.75" customHeight="1">
      <c r="A1857" s="14" t="s">
        <v>2137</v>
      </c>
      <c r="B1857" s="14">
        <v>2001.0</v>
      </c>
      <c r="C1857" s="14" t="s">
        <v>6526</v>
      </c>
      <c r="D1857" s="14" t="s">
        <v>6527</v>
      </c>
      <c r="E1857" s="150" t="str">
        <f t="shared" si="19"/>
        <v>http://dx.doi.org/10.1109/INFVIS.2001.963283</v>
      </c>
      <c r="F1857" s="14">
        <v>73.0</v>
      </c>
      <c r="G1857" s="14">
        <v>78.0</v>
      </c>
      <c r="H1857" s="151"/>
      <c r="I1857" s="14" t="s">
        <v>28</v>
      </c>
      <c r="J1857" s="14" t="s">
        <v>38691</v>
      </c>
      <c r="K1857" s="14" t="s">
        <v>38692</v>
      </c>
      <c r="L1857" s="152" t="s">
        <v>6556</v>
      </c>
      <c r="M1857" s="14" t="s">
        <v>38693</v>
      </c>
      <c r="N1857" s="54" t="s">
        <v>38692</v>
      </c>
      <c r="O1857" s="130" t="s">
        <v>6558</v>
      </c>
      <c r="P1857" s="153" t="s">
        <v>6560</v>
      </c>
      <c r="Q1857" s="14">
        <v>963283.0</v>
      </c>
      <c r="R1857" s="95"/>
      <c r="S1857" s="154" t="s">
        <v>38694</v>
      </c>
      <c r="T1857" s="84"/>
      <c r="U1857" s="84"/>
      <c r="V1857" s="84"/>
      <c r="W1857" s="84"/>
      <c r="X1857" s="84"/>
      <c r="Y1857" s="84"/>
      <c r="Z1857" s="84"/>
      <c r="AA1857" s="84"/>
      <c r="AB1857" s="84"/>
      <c r="AC1857" s="84"/>
    </row>
    <row r="1858" ht="15.75" customHeight="1">
      <c r="A1858" s="14" t="s">
        <v>2137</v>
      </c>
      <c r="B1858" s="14">
        <v>2001.0</v>
      </c>
      <c r="C1858" s="14" t="s">
        <v>6871</v>
      </c>
      <c r="D1858" s="14" t="s">
        <v>6873</v>
      </c>
      <c r="E1858" s="150" t="str">
        <f t="shared" si="19"/>
        <v>http://dx.doi.org/10.1109/INFVIS.2001.963288</v>
      </c>
      <c r="F1858" s="14">
        <v>113.0</v>
      </c>
      <c r="G1858" s="14">
        <v>120.0</v>
      </c>
      <c r="H1858" s="151"/>
      <c r="I1858" s="14" t="s">
        <v>28</v>
      </c>
      <c r="J1858" s="14" t="s">
        <v>38696</v>
      </c>
      <c r="K1858" s="14" t="s">
        <v>38697</v>
      </c>
      <c r="L1858" s="152" t="s">
        <v>6907</v>
      </c>
      <c r="M1858" s="14" t="s">
        <v>38698</v>
      </c>
      <c r="N1858" s="54" t="s">
        <v>38699</v>
      </c>
      <c r="O1858" s="130" t="s">
        <v>6908</v>
      </c>
      <c r="P1858" s="16"/>
      <c r="Q1858" s="14">
        <v>963288.0</v>
      </c>
      <c r="R1858" s="95"/>
      <c r="S1858" s="154" t="s">
        <v>38700</v>
      </c>
      <c r="T1858" s="84"/>
      <c r="U1858" s="84"/>
      <c r="V1858" s="84"/>
      <c r="W1858" s="84"/>
      <c r="X1858" s="84"/>
      <c r="Y1858" s="84"/>
      <c r="Z1858" s="84"/>
      <c r="AA1858" s="84"/>
      <c r="AB1858" s="84"/>
      <c r="AC1858" s="84"/>
    </row>
    <row r="1859" ht="15.75" customHeight="1">
      <c r="A1859" s="14" t="s">
        <v>2137</v>
      </c>
      <c r="B1859" s="14">
        <v>2001.0</v>
      </c>
      <c r="C1859" s="14" t="s">
        <v>6792</v>
      </c>
      <c r="D1859" s="14" t="s">
        <v>6794</v>
      </c>
      <c r="E1859" s="150" t="str">
        <f t="shared" si="19"/>
        <v>http://dx.doi.org/10.1109/INFVIS.2001.963286</v>
      </c>
      <c r="F1859" s="14">
        <v>97.0</v>
      </c>
      <c r="G1859" s="14">
        <v>104.0</v>
      </c>
      <c r="H1859" s="151"/>
      <c r="I1859" s="14" t="s">
        <v>28</v>
      </c>
      <c r="J1859" s="14" t="s">
        <v>38701</v>
      </c>
      <c r="K1859" s="14" t="s">
        <v>38702</v>
      </c>
      <c r="L1859" s="152" t="s">
        <v>6831</v>
      </c>
      <c r="M1859" s="14" t="s">
        <v>38703</v>
      </c>
      <c r="N1859" s="54" t="s">
        <v>38702</v>
      </c>
      <c r="O1859" s="130" t="s">
        <v>6833</v>
      </c>
      <c r="P1859" s="153" t="s">
        <v>6834</v>
      </c>
      <c r="Q1859" s="14">
        <v>963286.0</v>
      </c>
      <c r="R1859" s="95"/>
      <c r="S1859" s="154" t="s">
        <v>38705</v>
      </c>
      <c r="T1859" s="84"/>
      <c r="U1859" s="84"/>
      <c r="V1859" s="84"/>
      <c r="W1859" s="84"/>
      <c r="X1859" s="84"/>
      <c r="Y1859" s="84"/>
      <c r="Z1859" s="84"/>
      <c r="AA1859" s="84"/>
      <c r="AB1859" s="84"/>
      <c r="AC1859" s="84"/>
    </row>
    <row r="1860" ht="15.75" customHeight="1">
      <c r="A1860" s="14" t="s">
        <v>2137</v>
      </c>
      <c r="B1860" s="14">
        <v>2001.0</v>
      </c>
      <c r="C1860" s="14" t="s">
        <v>6141</v>
      </c>
      <c r="D1860" s="14" t="s">
        <v>6142</v>
      </c>
      <c r="E1860" s="150" t="str">
        <f t="shared" si="19"/>
        <v>http://dx.doi.org/10.1109/INFVIS.2001.963277</v>
      </c>
      <c r="F1860" s="14">
        <v>33.0</v>
      </c>
      <c r="G1860" s="14">
        <v>36.0</v>
      </c>
      <c r="H1860" s="151"/>
      <c r="I1860" s="14" t="s">
        <v>28</v>
      </c>
      <c r="J1860" s="14" t="s">
        <v>38706</v>
      </c>
      <c r="K1860" s="14" t="s">
        <v>38707</v>
      </c>
      <c r="L1860" s="152" t="s">
        <v>6266</v>
      </c>
      <c r="M1860" s="14" t="s">
        <v>38708</v>
      </c>
      <c r="N1860" s="54" t="s">
        <v>38707</v>
      </c>
      <c r="O1860" s="130"/>
      <c r="P1860" s="16"/>
      <c r="Q1860" s="14">
        <v>963277.0</v>
      </c>
      <c r="R1860" s="95"/>
      <c r="S1860" s="154"/>
      <c r="T1860" s="84"/>
      <c r="U1860" s="84"/>
      <c r="V1860" s="84"/>
      <c r="W1860" s="84"/>
      <c r="X1860" s="84"/>
      <c r="Y1860" s="84"/>
      <c r="Z1860" s="84"/>
      <c r="AA1860" s="84"/>
      <c r="AB1860" s="84"/>
      <c r="AC1860" s="84"/>
    </row>
    <row r="1861" ht="15.75" customHeight="1">
      <c r="A1861" s="14" t="s">
        <v>2137</v>
      </c>
      <c r="B1861" s="14">
        <v>2001.0</v>
      </c>
      <c r="C1861" s="14" t="s">
        <v>6113</v>
      </c>
      <c r="D1861" s="14" t="s">
        <v>6114</v>
      </c>
      <c r="E1861" s="150" t="str">
        <f t="shared" si="19"/>
        <v>http://dx.doi.org/10.1109/INFVIS.2001.963272</v>
      </c>
      <c r="F1861" s="14">
        <v>3.0</v>
      </c>
      <c r="G1861" s="14">
        <v>3.0</v>
      </c>
      <c r="H1861" s="159" t="s">
        <v>30659</v>
      </c>
      <c r="I1861" s="14" t="s">
        <v>21</v>
      </c>
      <c r="J1861" s="14"/>
      <c r="K1861" s="14" t="s">
        <v>8046</v>
      </c>
      <c r="L1861" s="152" t="s">
        <v>6119</v>
      </c>
      <c r="M1861" s="14">
        <v>3.73498038E10</v>
      </c>
      <c r="N1861" s="54" t="s">
        <v>8046</v>
      </c>
      <c r="O1861" s="130"/>
      <c r="P1861" s="16"/>
      <c r="Q1861" s="14">
        <v>963272.0</v>
      </c>
      <c r="R1861" s="95"/>
      <c r="S1861" s="154"/>
      <c r="T1861" s="84"/>
      <c r="U1861" s="84"/>
      <c r="V1861" s="84"/>
      <c r="W1861" s="84"/>
      <c r="X1861" s="84"/>
      <c r="Y1861" s="84"/>
      <c r="Z1861" s="84"/>
      <c r="AA1861" s="84"/>
      <c r="AB1861" s="84"/>
      <c r="AC1861" s="84"/>
    </row>
    <row r="1862" ht="15.75" customHeight="1">
      <c r="A1862" s="14" t="s">
        <v>2137</v>
      </c>
      <c r="B1862" s="14">
        <v>2001.0</v>
      </c>
      <c r="C1862" s="14" t="s">
        <v>6447</v>
      </c>
      <c r="D1862" s="14" t="s">
        <v>6449</v>
      </c>
      <c r="E1862" s="150" t="str">
        <f t="shared" si="19"/>
        <v>http://dx.doi.org/10.1109/INFVIS.2001.963281</v>
      </c>
      <c r="F1862" s="14">
        <v>59.0</v>
      </c>
      <c r="G1862" s="14">
        <v>66.0</v>
      </c>
      <c r="H1862" s="151"/>
      <c r="I1862" s="14" t="s">
        <v>28</v>
      </c>
      <c r="J1862" s="14" t="s">
        <v>38709</v>
      </c>
      <c r="K1862" s="14" t="s">
        <v>38710</v>
      </c>
      <c r="L1862" s="152" t="s">
        <v>6482</v>
      </c>
      <c r="M1862" s="14" t="s">
        <v>38711</v>
      </c>
      <c r="N1862" s="54" t="s">
        <v>38710</v>
      </c>
      <c r="O1862" s="130" t="s">
        <v>3301</v>
      </c>
      <c r="P1862" s="16"/>
      <c r="Q1862" s="14">
        <v>963281.0</v>
      </c>
      <c r="R1862" s="95"/>
      <c r="S1862" s="154" t="s">
        <v>38712</v>
      </c>
      <c r="T1862" s="84"/>
      <c r="U1862" s="84"/>
      <c r="V1862" s="84"/>
      <c r="W1862" s="84"/>
      <c r="X1862" s="84"/>
      <c r="Y1862" s="84"/>
      <c r="Z1862" s="84"/>
      <c r="AA1862" s="84"/>
      <c r="AB1862" s="84"/>
      <c r="AC1862" s="84"/>
    </row>
    <row r="1863" ht="15.75" customHeight="1">
      <c r="A1863" s="14" t="s">
        <v>2137</v>
      </c>
      <c r="B1863" s="14">
        <v>2001.0</v>
      </c>
      <c r="C1863" s="14" t="s">
        <v>6120</v>
      </c>
      <c r="D1863" s="14" t="s">
        <v>6121</v>
      </c>
      <c r="E1863" s="150" t="str">
        <f t="shared" si="19"/>
        <v>http://dx.doi.org/10.1109/INFVIS.2001.963273</v>
      </c>
      <c r="F1863" s="14">
        <v>7.0</v>
      </c>
      <c r="G1863" s="14">
        <v>13.0</v>
      </c>
      <c r="H1863" s="151"/>
      <c r="I1863" s="14" t="s">
        <v>28</v>
      </c>
      <c r="J1863" s="14" t="s">
        <v>38714</v>
      </c>
      <c r="K1863" s="14" t="s">
        <v>38715</v>
      </c>
      <c r="L1863" s="152" t="s">
        <v>6124</v>
      </c>
      <c r="M1863" s="14" t="s">
        <v>38716</v>
      </c>
      <c r="N1863" s="54" t="s">
        <v>38715</v>
      </c>
      <c r="O1863" s="130" t="s">
        <v>6125</v>
      </c>
      <c r="P1863" s="153" t="s">
        <v>6126</v>
      </c>
      <c r="Q1863" s="14">
        <v>963273.0</v>
      </c>
      <c r="R1863" s="95"/>
      <c r="S1863" s="154" t="s">
        <v>38718</v>
      </c>
      <c r="T1863" s="84"/>
      <c r="U1863" s="84"/>
      <c r="V1863" s="84"/>
      <c r="W1863" s="84"/>
      <c r="X1863" s="84"/>
      <c r="Y1863" s="84"/>
      <c r="Z1863" s="84"/>
      <c r="AA1863" s="84"/>
      <c r="AB1863" s="84"/>
      <c r="AC1863" s="84"/>
    </row>
    <row r="1864" ht="15.75" customHeight="1">
      <c r="A1864" s="14" t="s">
        <v>17</v>
      </c>
      <c r="B1864" s="14">
        <v>2001.0</v>
      </c>
      <c r="C1864" s="14" t="s">
        <v>11081</v>
      </c>
      <c r="D1864" s="14" t="s">
        <v>11083</v>
      </c>
      <c r="E1864" s="150" t="str">
        <f t="shared" si="19"/>
        <v>http://dx.doi.org/10.1109/VISUAL.2001.964554</v>
      </c>
      <c r="F1864" s="50">
        <v>473.0</v>
      </c>
      <c r="G1864" s="50">
        <v>476.0</v>
      </c>
      <c r="H1864" s="151"/>
      <c r="I1864" s="14" t="s">
        <v>28</v>
      </c>
      <c r="J1864" s="14" t="s">
        <v>13822</v>
      </c>
      <c r="K1864" s="14" t="s">
        <v>38719</v>
      </c>
      <c r="L1864" s="152" t="s">
        <v>3240</v>
      </c>
      <c r="M1864" s="14" t="s">
        <v>38720</v>
      </c>
      <c r="N1864" s="54" t="s">
        <v>38721</v>
      </c>
      <c r="O1864" s="130" t="s">
        <v>11120</v>
      </c>
      <c r="P1864" s="153" t="s">
        <v>11123</v>
      </c>
      <c r="Q1864" s="14">
        <v>964554.0</v>
      </c>
      <c r="R1864" s="95"/>
      <c r="S1864" s="154" t="s">
        <v>38722</v>
      </c>
      <c r="T1864" s="84"/>
      <c r="U1864" s="84"/>
      <c r="V1864" s="84"/>
      <c r="W1864" s="84"/>
      <c r="X1864" s="84"/>
      <c r="Y1864" s="84"/>
      <c r="Z1864" s="84"/>
      <c r="AA1864" s="84"/>
      <c r="AB1864" s="84"/>
      <c r="AC1864" s="84"/>
    </row>
    <row r="1865" ht="15.75" customHeight="1">
      <c r="A1865" s="14" t="s">
        <v>17</v>
      </c>
      <c r="B1865" s="14">
        <v>2001.0</v>
      </c>
      <c r="C1865" s="14" t="s">
        <v>11164</v>
      </c>
      <c r="D1865" s="14" t="s">
        <v>11166</v>
      </c>
      <c r="E1865" s="150" t="str">
        <f t="shared" si="19"/>
        <v>http://dx.doi.org/10.1109/VISUAL.2001.964557</v>
      </c>
      <c r="F1865" s="50">
        <v>485.0</v>
      </c>
      <c r="G1865" s="50">
        <v>488.0</v>
      </c>
      <c r="H1865" s="151"/>
      <c r="I1865" s="14" t="s">
        <v>28</v>
      </c>
      <c r="J1865" s="14" t="s">
        <v>13834</v>
      </c>
      <c r="K1865" s="14" t="s">
        <v>38394</v>
      </c>
      <c r="L1865" s="152" t="s">
        <v>11212</v>
      </c>
      <c r="M1865" s="14" t="s">
        <v>38723</v>
      </c>
      <c r="N1865" s="54" t="s">
        <v>38394</v>
      </c>
      <c r="O1865" s="130" t="s">
        <v>1354</v>
      </c>
      <c r="P1865" s="153" t="s">
        <v>11215</v>
      </c>
      <c r="Q1865" s="14">
        <v>964557.0</v>
      </c>
      <c r="R1865" s="95"/>
      <c r="S1865" s="154">
        <v>398847.0</v>
      </c>
      <c r="T1865" s="84"/>
      <c r="U1865" s="84"/>
      <c r="V1865" s="84"/>
      <c r="W1865" s="84"/>
      <c r="X1865" s="84"/>
      <c r="Y1865" s="84"/>
      <c r="Z1865" s="84"/>
      <c r="AA1865" s="84"/>
      <c r="AB1865" s="84"/>
      <c r="AC1865" s="84"/>
    </row>
    <row r="1866" ht="15.75" customHeight="1">
      <c r="A1866" s="14" t="s">
        <v>17</v>
      </c>
      <c r="B1866" s="14">
        <v>2001.0</v>
      </c>
      <c r="C1866" s="14" t="s">
        <v>8749</v>
      </c>
      <c r="D1866" s="14" t="s">
        <v>8751</v>
      </c>
      <c r="E1866" s="150" t="str">
        <f t="shared" si="19"/>
        <v>http://dx.doi.org/10.1109/VISUAL.2001.964518</v>
      </c>
      <c r="F1866" s="50">
        <v>247.0</v>
      </c>
      <c r="G1866" s="50">
        <v>254.0</v>
      </c>
      <c r="H1866" s="151"/>
      <c r="I1866" s="14" t="s">
        <v>28</v>
      </c>
      <c r="J1866" s="14" t="s">
        <v>13469</v>
      </c>
      <c r="K1866" s="14" t="s">
        <v>38725</v>
      </c>
      <c r="L1866" s="152" t="s">
        <v>8791</v>
      </c>
      <c r="M1866" s="14" t="s">
        <v>38726</v>
      </c>
      <c r="N1866" s="54" t="s">
        <v>38727</v>
      </c>
      <c r="O1866" s="130" t="s">
        <v>8793</v>
      </c>
      <c r="P1866" s="153" t="s">
        <v>8795</v>
      </c>
      <c r="Q1866" s="14">
        <v>964518.0</v>
      </c>
      <c r="R1866" s="95"/>
      <c r="S1866" s="154" t="s">
        <v>38728</v>
      </c>
      <c r="T1866" s="84"/>
      <c r="U1866" s="84"/>
      <c r="V1866" s="84"/>
      <c r="W1866" s="84"/>
      <c r="X1866" s="84"/>
      <c r="Y1866" s="84"/>
      <c r="Z1866" s="84"/>
      <c r="AA1866" s="84"/>
      <c r="AB1866" s="84"/>
      <c r="AC1866" s="84"/>
    </row>
    <row r="1867" ht="15.75" customHeight="1">
      <c r="A1867" s="14" t="s">
        <v>17</v>
      </c>
      <c r="B1867" s="14">
        <v>2001.0</v>
      </c>
      <c r="C1867" s="14" t="s">
        <v>7942</v>
      </c>
      <c r="D1867" s="14" t="s">
        <v>7944</v>
      </c>
      <c r="E1867" s="150" t="str">
        <f t="shared" si="19"/>
        <v>http://dx.doi.org/10.1109/VISUAL.2001.964502</v>
      </c>
      <c r="F1867" s="50">
        <v>121.0</v>
      </c>
      <c r="G1867" s="50">
        <v>126.0</v>
      </c>
      <c r="H1867" s="151"/>
      <c r="I1867" s="14" t="s">
        <v>28</v>
      </c>
      <c r="J1867" s="14" t="s">
        <v>13355</v>
      </c>
      <c r="K1867" s="14" t="s">
        <v>38729</v>
      </c>
      <c r="L1867" s="152" t="s">
        <v>7979</v>
      </c>
      <c r="M1867" s="14" t="s">
        <v>38731</v>
      </c>
      <c r="N1867" s="54" t="s">
        <v>38729</v>
      </c>
      <c r="O1867" s="130" t="s">
        <v>38732</v>
      </c>
      <c r="P1867" s="153" t="s">
        <v>7983</v>
      </c>
      <c r="Q1867" s="14">
        <v>964502.0</v>
      </c>
      <c r="R1867" s="95"/>
      <c r="S1867" s="154" t="s">
        <v>38733</v>
      </c>
      <c r="T1867" s="84"/>
      <c r="U1867" s="84"/>
      <c r="V1867" s="84"/>
      <c r="W1867" s="84"/>
      <c r="X1867" s="84"/>
      <c r="Y1867" s="84"/>
      <c r="Z1867" s="84"/>
      <c r="AA1867" s="84"/>
      <c r="AB1867" s="84"/>
      <c r="AC1867" s="84"/>
    </row>
    <row r="1868" ht="15.75" customHeight="1">
      <c r="A1868" s="14" t="s">
        <v>17</v>
      </c>
      <c r="B1868" s="14">
        <v>2001.0</v>
      </c>
      <c r="C1868" s="14" t="s">
        <v>7841</v>
      </c>
      <c r="D1868" s="14" t="s">
        <v>7842</v>
      </c>
      <c r="E1868" s="150" t="str">
        <f t="shared" si="19"/>
        <v>http://dx.doi.org/10.1109/VISUAL.2001.964500</v>
      </c>
      <c r="F1868" s="50">
        <v>107.0</v>
      </c>
      <c r="G1868" s="50">
        <v>112.0</v>
      </c>
      <c r="H1868" s="151"/>
      <c r="I1868" s="14" t="s">
        <v>28</v>
      </c>
      <c r="J1868" s="14" t="s">
        <v>13335</v>
      </c>
      <c r="K1868" s="14" t="s">
        <v>38734</v>
      </c>
      <c r="L1868" s="152" t="s">
        <v>7890</v>
      </c>
      <c r="M1868" s="14" t="s">
        <v>38735</v>
      </c>
      <c r="N1868" s="54" t="s">
        <v>38734</v>
      </c>
      <c r="O1868" s="130" t="s">
        <v>5932</v>
      </c>
      <c r="P1868" s="153" t="s">
        <v>7892</v>
      </c>
      <c r="Q1868" s="14">
        <v>964500.0</v>
      </c>
      <c r="R1868" s="95"/>
      <c r="S1868" s="154">
        <v>885721.0</v>
      </c>
      <c r="T1868" s="84"/>
      <c r="U1868" s="84"/>
      <c r="V1868" s="84"/>
      <c r="W1868" s="84"/>
      <c r="X1868" s="84"/>
      <c r="Y1868" s="84"/>
      <c r="Z1868" s="84"/>
      <c r="AA1868" s="84"/>
      <c r="AB1868" s="84"/>
      <c r="AC1868" s="84"/>
    </row>
    <row r="1869" ht="15.75" customHeight="1">
      <c r="A1869" s="14" t="s">
        <v>17</v>
      </c>
      <c r="B1869" s="14">
        <v>2001.0</v>
      </c>
      <c r="C1869" s="14" t="s">
        <v>8261</v>
      </c>
      <c r="D1869" s="14" t="s">
        <v>8263</v>
      </c>
      <c r="E1869" s="150" t="str">
        <f t="shared" si="19"/>
        <v>http://dx.doi.org/10.1109/VISUAL.2001.964506</v>
      </c>
      <c r="F1869" s="50">
        <v>151.0</v>
      </c>
      <c r="G1869" s="50">
        <v>158.0</v>
      </c>
      <c r="H1869" s="151"/>
      <c r="I1869" s="14" t="s">
        <v>28</v>
      </c>
      <c r="J1869" s="14" t="s">
        <v>13382</v>
      </c>
      <c r="K1869" s="14" t="s">
        <v>38736</v>
      </c>
      <c r="L1869" s="152" t="s">
        <v>8308</v>
      </c>
      <c r="M1869" s="14" t="s">
        <v>38737</v>
      </c>
      <c r="N1869" s="54" t="s">
        <v>38736</v>
      </c>
      <c r="O1869" s="130" t="s">
        <v>8310</v>
      </c>
      <c r="P1869" s="153" t="s">
        <v>8312</v>
      </c>
      <c r="Q1869" s="14">
        <v>964506.0</v>
      </c>
      <c r="R1869" s="95"/>
      <c r="S1869" s="154" t="s">
        <v>38739</v>
      </c>
      <c r="T1869" s="84"/>
      <c r="U1869" s="84"/>
      <c r="V1869" s="84"/>
      <c r="W1869" s="84"/>
      <c r="X1869" s="84"/>
      <c r="Y1869" s="84"/>
      <c r="Z1869" s="84"/>
      <c r="AA1869" s="84"/>
      <c r="AB1869" s="84"/>
      <c r="AC1869" s="84"/>
    </row>
    <row r="1870" ht="15.75" customHeight="1">
      <c r="A1870" s="14" t="s">
        <v>17</v>
      </c>
      <c r="B1870" s="14">
        <v>2001.0</v>
      </c>
      <c r="C1870" s="14" t="s">
        <v>11471</v>
      </c>
      <c r="D1870" s="14" t="s">
        <v>11473</v>
      </c>
      <c r="E1870" s="150" t="str">
        <f t="shared" si="19"/>
        <v>http://dx.doi.org/10.1109/VISUAL.2001.964564</v>
      </c>
      <c r="F1870" s="50">
        <v>509.0</v>
      </c>
      <c r="G1870" s="50">
        <v>601.0</v>
      </c>
      <c r="H1870" s="151"/>
      <c r="I1870" s="14" t="s">
        <v>28</v>
      </c>
      <c r="J1870" s="14" t="s">
        <v>13882</v>
      </c>
      <c r="K1870" s="14" t="s">
        <v>38740</v>
      </c>
      <c r="L1870" s="152" t="s">
        <v>11509</v>
      </c>
      <c r="M1870" s="14" t="s">
        <v>38741</v>
      </c>
      <c r="N1870" s="54" t="s">
        <v>38740</v>
      </c>
      <c r="O1870" s="130"/>
      <c r="P1870" s="16"/>
      <c r="Q1870" s="14">
        <v>964564.0</v>
      </c>
      <c r="R1870" s="95"/>
      <c r="S1870" s="154"/>
      <c r="T1870" s="84"/>
      <c r="U1870" s="84"/>
      <c r="V1870" s="84"/>
      <c r="W1870" s="84"/>
      <c r="X1870" s="84"/>
      <c r="Y1870" s="84"/>
      <c r="Z1870" s="84"/>
      <c r="AA1870" s="84"/>
      <c r="AB1870" s="84"/>
      <c r="AC1870" s="84"/>
    </row>
    <row r="1871" ht="15.75" customHeight="1">
      <c r="A1871" s="14" t="s">
        <v>17</v>
      </c>
      <c r="B1871" s="14">
        <v>2001.0</v>
      </c>
      <c r="C1871" s="14" t="s">
        <v>9401</v>
      </c>
      <c r="D1871" s="14" t="s">
        <v>9405</v>
      </c>
      <c r="E1871" s="150" t="str">
        <f t="shared" si="19"/>
        <v>http://dx.doi.org/10.1109/VISUAL.2001.964521</v>
      </c>
      <c r="F1871" s="50">
        <v>271.0</v>
      </c>
      <c r="G1871" s="50">
        <v>278.0</v>
      </c>
      <c r="H1871" s="151"/>
      <c r="I1871" s="14" t="s">
        <v>28</v>
      </c>
      <c r="J1871" s="14" t="s">
        <v>13489</v>
      </c>
      <c r="K1871" s="14" t="s">
        <v>38743</v>
      </c>
      <c r="L1871" s="152" t="s">
        <v>9432</v>
      </c>
      <c r="M1871" s="14" t="s">
        <v>38744</v>
      </c>
      <c r="N1871" s="54" t="s">
        <v>38743</v>
      </c>
      <c r="O1871" s="130" t="s">
        <v>9434</v>
      </c>
      <c r="P1871" s="153" t="s">
        <v>9436</v>
      </c>
      <c r="Q1871" s="14">
        <v>964521.0</v>
      </c>
      <c r="R1871" s="95"/>
      <c r="S1871" s="154" t="s">
        <v>38745</v>
      </c>
      <c r="T1871" s="84"/>
      <c r="U1871" s="84"/>
      <c r="V1871" s="84"/>
      <c r="W1871" s="84"/>
      <c r="X1871" s="84"/>
      <c r="Y1871" s="84"/>
      <c r="Z1871" s="84"/>
      <c r="AA1871" s="84"/>
      <c r="AB1871" s="84"/>
      <c r="AC1871" s="84"/>
    </row>
    <row r="1872" ht="15.75" customHeight="1">
      <c r="A1872" s="14" t="s">
        <v>17</v>
      </c>
      <c r="B1872" s="14">
        <v>2001.0</v>
      </c>
      <c r="C1872" s="14" t="s">
        <v>10675</v>
      </c>
      <c r="D1872" s="14" t="s">
        <v>10676</v>
      </c>
      <c r="E1872" s="150" t="str">
        <f t="shared" si="19"/>
        <v>http://dx.doi.org/10.1109/VISUAL.2001.964545</v>
      </c>
      <c r="F1872" s="50">
        <v>437.0</v>
      </c>
      <c r="G1872" s="50">
        <v>440.0</v>
      </c>
      <c r="H1872" s="151"/>
      <c r="I1872" s="14" t="s">
        <v>28</v>
      </c>
      <c r="J1872" s="14" t="s">
        <v>13692</v>
      </c>
      <c r="K1872" s="14" t="s">
        <v>38746</v>
      </c>
      <c r="L1872" s="152" t="s">
        <v>10709</v>
      </c>
      <c r="M1872" s="14" t="s">
        <v>38747</v>
      </c>
      <c r="N1872" s="54" t="s">
        <v>38746</v>
      </c>
      <c r="O1872" s="130" t="s">
        <v>10711</v>
      </c>
      <c r="P1872" s="153" t="s">
        <v>10712</v>
      </c>
      <c r="Q1872" s="14">
        <v>964545.0</v>
      </c>
      <c r="R1872" s="95"/>
      <c r="S1872" s="154" t="s">
        <v>38748</v>
      </c>
      <c r="T1872" s="84"/>
      <c r="U1872" s="84"/>
      <c r="V1872" s="84"/>
      <c r="W1872" s="84"/>
      <c r="X1872" s="84"/>
      <c r="Y1872" s="84"/>
      <c r="Z1872" s="84"/>
      <c r="AA1872" s="84"/>
      <c r="AB1872" s="84"/>
      <c r="AC1872" s="84"/>
    </row>
    <row r="1873" ht="15.75" customHeight="1">
      <c r="A1873" s="14" t="s">
        <v>17</v>
      </c>
      <c r="B1873" s="14">
        <v>2001.0</v>
      </c>
      <c r="C1873" s="14" t="s">
        <v>10033</v>
      </c>
      <c r="D1873" s="14" t="s">
        <v>10035</v>
      </c>
      <c r="E1873" s="150" t="str">
        <f t="shared" si="19"/>
        <v>http://dx.doi.org/10.1109/VISUAL.2001.964535</v>
      </c>
      <c r="F1873" s="50">
        <v>379.0</v>
      </c>
      <c r="G1873" s="50">
        <v>386.0</v>
      </c>
      <c r="H1873" s="151"/>
      <c r="I1873" s="14" t="s">
        <v>28</v>
      </c>
      <c r="J1873" s="14" t="s">
        <v>13607</v>
      </c>
      <c r="K1873" s="14" t="s">
        <v>38750</v>
      </c>
      <c r="L1873" s="152" t="s">
        <v>10069</v>
      </c>
      <c r="M1873" s="14" t="s">
        <v>38751</v>
      </c>
      <c r="N1873" s="54" t="s">
        <v>38750</v>
      </c>
      <c r="O1873" s="130" t="s">
        <v>10071</v>
      </c>
      <c r="P1873" s="153" t="s">
        <v>10073</v>
      </c>
      <c r="Q1873" s="14">
        <v>964535.0</v>
      </c>
      <c r="R1873" s="95"/>
      <c r="S1873" s="154" t="s">
        <v>38752</v>
      </c>
      <c r="T1873" s="84"/>
      <c r="U1873" s="84"/>
      <c r="V1873" s="84"/>
      <c r="W1873" s="84"/>
      <c r="X1873" s="84"/>
      <c r="Y1873" s="84"/>
      <c r="Z1873" s="84"/>
      <c r="AA1873" s="84"/>
      <c r="AB1873" s="84"/>
      <c r="AC1873" s="84"/>
    </row>
    <row r="1874" ht="15.75" customHeight="1">
      <c r="A1874" s="14" t="s">
        <v>17</v>
      </c>
      <c r="B1874" s="50">
        <v>2001.0</v>
      </c>
      <c r="C1874" s="14" t="s">
        <v>11263</v>
      </c>
      <c r="D1874" s="97" t="s">
        <v>11265</v>
      </c>
      <c r="E1874" s="194" t="s">
        <v>11267</v>
      </c>
      <c r="F1874" s="50">
        <v>493.0</v>
      </c>
      <c r="G1874" s="50">
        <v>496.0</v>
      </c>
      <c r="H1874" s="151"/>
      <c r="I1874" s="14" t="s">
        <v>28</v>
      </c>
      <c r="J1874" s="14" t="s">
        <v>38754</v>
      </c>
      <c r="K1874" s="14" t="s">
        <v>38755</v>
      </c>
      <c r="L1874" s="152"/>
      <c r="M1874" s="14"/>
      <c r="N1874" s="54" t="s">
        <v>38755</v>
      </c>
      <c r="O1874" s="130"/>
      <c r="P1874" s="193" t="s">
        <v>11321</v>
      </c>
      <c r="Q1874" s="14">
        <v>964560.0</v>
      </c>
      <c r="R1874" s="95" t="s">
        <v>18275</v>
      </c>
      <c r="S1874" s="154"/>
      <c r="T1874" s="84"/>
      <c r="U1874" s="84"/>
      <c r="V1874" s="84"/>
      <c r="W1874" s="84"/>
      <c r="X1874" s="84"/>
      <c r="Y1874" s="84"/>
      <c r="Z1874" s="84"/>
      <c r="AA1874" s="84"/>
      <c r="AB1874" s="84"/>
      <c r="AC1874" s="84"/>
    </row>
    <row r="1875" ht="15.75" customHeight="1">
      <c r="A1875" s="14" t="s">
        <v>17</v>
      </c>
      <c r="B1875" s="14">
        <v>2001.0</v>
      </c>
      <c r="C1875" s="14" t="s">
        <v>7895</v>
      </c>
      <c r="D1875" s="14" t="s">
        <v>7897</v>
      </c>
      <c r="E1875" s="150" t="str">
        <f t="shared" ref="E1875:E1891" si="20">"http://dx.doi.org/" &amp; D1875</f>
        <v>http://dx.doi.org/10.1109/VISUAL.2001.964501</v>
      </c>
      <c r="F1875" s="50">
        <v>113.0</v>
      </c>
      <c r="G1875" s="50">
        <v>120.0</v>
      </c>
      <c r="H1875" s="151"/>
      <c r="I1875" s="14" t="s">
        <v>28</v>
      </c>
      <c r="J1875" s="14" t="s">
        <v>13345</v>
      </c>
      <c r="K1875" s="14" t="s">
        <v>38756</v>
      </c>
      <c r="L1875" s="152" t="s">
        <v>7936</v>
      </c>
      <c r="M1875" s="14" t="s">
        <v>38757</v>
      </c>
      <c r="N1875" s="54" t="s">
        <v>38758</v>
      </c>
      <c r="O1875" s="130" t="s">
        <v>7937</v>
      </c>
      <c r="P1875" s="153" t="s">
        <v>7939</v>
      </c>
      <c r="Q1875" s="14">
        <v>964501.0</v>
      </c>
      <c r="R1875" s="95"/>
      <c r="S1875" s="154" t="s">
        <v>38759</v>
      </c>
      <c r="T1875" s="84"/>
      <c r="U1875" s="84"/>
      <c r="V1875" s="84"/>
      <c r="W1875" s="84"/>
      <c r="X1875" s="84"/>
      <c r="Y1875" s="84"/>
      <c r="Z1875" s="84"/>
      <c r="AA1875" s="84"/>
      <c r="AB1875" s="84"/>
      <c r="AC1875" s="84"/>
    </row>
    <row r="1876" ht="15.75" customHeight="1">
      <c r="A1876" s="14" t="s">
        <v>17</v>
      </c>
      <c r="B1876" s="14">
        <v>2001.0</v>
      </c>
      <c r="C1876" s="14" t="s">
        <v>10631</v>
      </c>
      <c r="D1876" s="14" t="s">
        <v>10633</v>
      </c>
      <c r="E1876" s="150" t="str">
        <f t="shared" si="20"/>
        <v>http://dx.doi.org/10.1109/VISUAL.2001.964544</v>
      </c>
      <c r="F1876" s="50">
        <v>433.0</v>
      </c>
      <c r="G1876" s="50">
        <v>436.0</v>
      </c>
      <c r="H1876" s="151"/>
      <c r="I1876" s="14" t="s">
        <v>28</v>
      </c>
      <c r="J1876" s="14" t="s">
        <v>13682</v>
      </c>
      <c r="K1876" s="14" t="s">
        <v>38760</v>
      </c>
      <c r="L1876" s="152" t="s">
        <v>10673</v>
      </c>
      <c r="M1876" s="14" t="s">
        <v>38761</v>
      </c>
      <c r="N1876" s="54" t="s">
        <v>38760</v>
      </c>
      <c r="O1876" s="130"/>
      <c r="P1876" s="153" t="s">
        <v>10674</v>
      </c>
      <c r="Q1876" s="14">
        <v>964544.0</v>
      </c>
      <c r="R1876" s="95"/>
      <c r="S1876" s="154"/>
      <c r="T1876" s="84"/>
      <c r="U1876" s="84"/>
      <c r="V1876" s="84"/>
      <c r="W1876" s="84"/>
      <c r="X1876" s="84"/>
      <c r="Y1876" s="84"/>
      <c r="Z1876" s="84"/>
      <c r="AA1876" s="84"/>
      <c r="AB1876" s="84"/>
      <c r="AC1876" s="84"/>
    </row>
    <row r="1877" ht="15.75" customHeight="1">
      <c r="A1877" s="14" t="s">
        <v>17</v>
      </c>
      <c r="B1877" s="14">
        <v>2001.0</v>
      </c>
      <c r="C1877" s="14" t="s">
        <v>10783</v>
      </c>
      <c r="D1877" s="14" t="s">
        <v>10784</v>
      </c>
      <c r="E1877" s="150" t="str">
        <f t="shared" si="20"/>
        <v>http://dx.doi.org/10.1109/VISUAL.2001.964547</v>
      </c>
      <c r="F1877" s="50">
        <v>445.0</v>
      </c>
      <c r="G1877" s="50">
        <v>448.0</v>
      </c>
      <c r="H1877" s="151"/>
      <c r="I1877" s="14" t="s">
        <v>28</v>
      </c>
      <c r="J1877" s="14" t="s">
        <v>13804</v>
      </c>
      <c r="K1877" s="14" t="s">
        <v>38763</v>
      </c>
      <c r="L1877" s="152" t="s">
        <v>144</v>
      </c>
      <c r="M1877" s="14" t="s">
        <v>38764</v>
      </c>
      <c r="N1877" s="54" t="s">
        <v>38765</v>
      </c>
      <c r="O1877" s="130" t="s">
        <v>2299</v>
      </c>
      <c r="P1877" s="153" t="s">
        <v>10822</v>
      </c>
      <c r="Q1877" s="14">
        <v>964547.0</v>
      </c>
      <c r="R1877" s="95"/>
      <c r="S1877" s="154">
        <v>480793.0</v>
      </c>
      <c r="T1877" s="84"/>
      <c r="U1877" s="84"/>
      <c r="V1877" s="84"/>
      <c r="W1877" s="84"/>
      <c r="X1877" s="84"/>
      <c r="Y1877" s="84"/>
      <c r="Z1877" s="84"/>
      <c r="AA1877" s="84"/>
      <c r="AB1877" s="84"/>
      <c r="AC1877" s="84"/>
    </row>
    <row r="1878" ht="15.75" customHeight="1">
      <c r="A1878" s="14" t="s">
        <v>17</v>
      </c>
      <c r="B1878" s="14">
        <v>2001.0</v>
      </c>
      <c r="C1878" s="14" t="s">
        <v>10948</v>
      </c>
      <c r="D1878" s="14" t="s">
        <v>10950</v>
      </c>
      <c r="E1878" s="150" t="str">
        <f t="shared" si="20"/>
        <v>http://dx.doi.org/10.1109/VISUAL.2001.964551</v>
      </c>
      <c r="F1878" s="50">
        <v>461.0</v>
      </c>
      <c r="G1878" s="50">
        <v>464.0</v>
      </c>
      <c r="H1878" s="151"/>
      <c r="I1878" s="14" t="s">
        <v>28</v>
      </c>
      <c r="J1878" s="14" t="s">
        <v>13814</v>
      </c>
      <c r="K1878" s="14" t="s">
        <v>8794</v>
      </c>
      <c r="L1878" s="152" t="s">
        <v>10985</v>
      </c>
      <c r="M1878" s="14">
        <v>3.72667904E10</v>
      </c>
      <c r="N1878" s="54" t="s">
        <v>8794</v>
      </c>
      <c r="O1878" s="130" t="s">
        <v>4206</v>
      </c>
      <c r="P1878" s="153" t="s">
        <v>10988</v>
      </c>
      <c r="Q1878" s="14">
        <v>964551.0</v>
      </c>
      <c r="R1878" s="95"/>
      <c r="S1878" s="154">
        <v>745288.0</v>
      </c>
      <c r="T1878" s="84"/>
      <c r="U1878" s="84"/>
      <c r="V1878" s="84"/>
      <c r="W1878" s="84"/>
      <c r="X1878" s="84"/>
      <c r="Y1878" s="84"/>
      <c r="Z1878" s="84"/>
      <c r="AA1878" s="84"/>
      <c r="AB1878" s="84"/>
      <c r="AC1878" s="84"/>
    </row>
    <row r="1879" ht="15.75" customHeight="1">
      <c r="A1879" s="14" t="s">
        <v>17</v>
      </c>
      <c r="B1879" s="14">
        <v>2001.0</v>
      </c>
      <c r="C1879" s="14" t="s">
        <v>11038</v>
      </c>
      <c r="D1879" s="14" t="s">
        <v>11040</v>
      </c>
      <c r="E1879" s="150" t="str">
        <f t="shared" si="20"/>
        <v>http://dx.doi.org/10.1109/VISUAL.2001.964553</v>
      </c>
      <c r="F1879" s="50">
        <v>469.0</v>
      </c>
      <c r="G1879" s="50">
        <v>472.0</v>
      </c>
      <c r="H1879" s="151"/>
      <c r="I1879" s="14" t="s">
        <v>28</v>
      </c>
      <c r="J1879" s="14" t="s">
        <v>13819</v>
      </c>
      <c r="K1879" s="14" t="s">
        <v>38766</v>
      </c>
      <c r="L1879" s="152" t="s">
        <v>11076</v>
      </c>
      <c r="M1879" s="14" t="s">
        <v>38767</v>
      </c>
      <c r="N1879" s="54" t="s">
        <v>38766</v>
      </c>
      <c r="O1879" s="130"/>
      <c r="P1879" s="153" t="s">
        <v>11078</v>
      </c>
      <c r="Q1879" s="14">
        <v>964553.0</v>
      </c>
      <c r="R1879" s="95"/>
      <c r="S1879" s="154"/>
      <c r="T1879" s="84"/>
      <c r="U1879" s="84"/>
      <c r="V1879" s="84"/>
      <c r="W1879" s="84"/>
      <c r="X1879" s="84"/>
      <c r="Y1879" s="84"/>
      <c r="Z1879" s="84"/>
      <c r="AA1879" s="84"/>
      <c r="AB1879" s="84"/>
      <c r="AC1879" s="84"/>
    </row>
    <row r="1880" ht="15.75" customHeight="1">
      <c r="A1880" s="14" t="s">
        <v>17</v>
      </c>
      <c r="B1880" s="14">
        <v>2001.0</v>
      </c>
      <c r="C1880" s="14" t="s">
        <v>10533</v>
      </c>
      <c r="D1880" s="14" t="s">
        <v>10534</v>
      </c>
      <c r="E1880" s="150" t="str">
        <f t="shared" si="20"/>
        <v>http://dx.doi.org/10.1109/VISUAL.2001.964542</v>
      </c>
      <c r="F1880" s="50">
        <v>425.0</v>
      </c>
      <c r="G1880" s="50">
        <v>428.0</v>
      </c>
      <c r="H1880" s="151"/>
      <c r="I1880" s="14" t="s">
        <v>28</v>
      </c>
      <c r="J1880" s="14" t="s">
        <v>13664</v>
      </c>
      <c r="K1880" s="14" t="s">
        <v>38769</v>
      </c>
      <c r="L1880" s="152" t="s">
        <v>5982</v>
      </c>
      <c r="M1880" s="14" t="s">
        <v>38770</v>
      </c>
      <c r="N1880" s="54" t="s">
        <v>38769</v>
      </c>
      <c r="O1880" s="130" t="s">
        <v>5979</v>
      </c>
      <c r="P1880" s="153" t="s">
        <v>10582</v>
      </c>
      <c r="Q1880" s="14">
        <v>964542.0</v>
      </c>
      <c r="R1880" s="95"/>
      <c r="S1880" s="154">
        <v>885729.0</v>
      </c>
      <c r="T1880" s="84"/>
      <c r="U1880" s="84"/>
      <c r="V1880" s="84"/>
      <c r="W1880" s="84"/>
      <c r="X1880" s="84"/>
      <c r="Y1880" s="84"/>
      <c r="Z1880" s="84"/>
      <c r="AA1880" s="84"/>
      <c r="AB1880" s="84"/>
      <c r="AC1880" s="84"/>
    </row>
    <row r="1881" ht="15.75" customHeight="1">
      <c r="A1881" s="14" t="s">
        <v>17</v>
      </c>
      <c r="B1881" s="14">
        <v>2001.0</v>
      </c>
      <c r="C1881" s="14" t="s">
        <v>10864</v>
      </c>
      <c r="D1881" s="14" t="s">
        <v>10867</v>
      </c>
      <c r="E1881" s="150" t="str">
        <f t="shared" si="20"/>
        <v>http://dx.doi.org/10.1109/VISUAL.2001.964549</v>
      </c>
      <c r="F1881" s="50">
        <v>453.0</v>
      </c>
      <c r="G1881" s="50">
        <v>456.0</v>
      </c>
      <c r="H1881" s="151"/>
      <c r="I1881" s="14" t="s">
        <v>28</v>
      </c>
      <c r="J1881" s="14" t="s">
        <v>13809</v>
      </c>
      <c r="K1881" s="14" t="s">
        <v>38771</v>
      </c>
      <c r="L1881" s="152" t="s">
        <v>10907</v>
      </c>
      <c r="M1881" s="14" t="s">
        <v>38772</v>
      </c>
      <c r="N1881" s="54" t="s">
        <v>38771</v>
      </c>
      <c r="O1881" s="130"/>
      <c r="P1881" s="153" t="s">
        <v>10908</v>
      </c>
      <c r="Q1881" s="14">
        <v>964549.0</v>
      </c>
      <c r="R1881" s="95"/>
      <c r="S1881" s="154"/>
      <c r="T1881" s="84"/>
      <c r="U1881" s="84"/>
      <c r="V1881" s="84"/>
      <c r="W1881" s="84"/>
      <c r="X1881" s="84"/>
      <c r="Y1881" s="84"/>
      <c r="Z1881" s="84"/>
      <c r="AA1881" s="84"/>
      <c r="AB1881" s="84"/>
      <c r="AC1881" s="84"/>
    </row>
    <row r="1882" ht="15.75" customHeight="1">
      <c r="A1882" s="14" t="s">
        <v>17</v>
      </c>
      <c r="B1882" s="14">
        <v>2001.0</v>
      </c>
      <c r="C1882" s="14" t="s">
        <v>10586</v>
      </c>
      <c r="D1882" s="14" t="s">
        <v>10587</v>
      </c>
      <c r="E1882" s="150" t="str">
        <f t="shared" si="20"/>
        <v>http://dx.doi.org/10.1109/VISUAL.2001.964543</v>
      </c>
      <c r="F1882" s="50">
        <v>429.0</v>
      </c>
      <c r="G1882" s="50">
        <v>432.0</v>
      </c>
      <c r="H1882" s="151"/>
      <c r="I1882" s="14" t="s">
        <v>28</v>
      </c>
      <c r="J1882" s="14" t="s">
        <v>38774</v>
      </c>
      <c r="K1882" s="14" t="s">
        <v>38775</v>
      </c>
      <c r="L1882" s="152" t="s">
        <v>10625</v>
      </c>
      <c r="M1882" s="14" t="s">
        <v>38776</v>
      </c>
      <c r="N1882" s="54" t="s">
        <v>38775</v>
      </c>
      <c r="O1882" s="130" t="s">
        <v>5352</v>
      </c>
      <c r="P1882" s="153" t="s">
        <v>10628</v>
      </c>
      <c r="Q1882" s="14">
        <v>964543.0</v>
      </c>
      <c r="R1882" s="95"/>
      <c r="S1882" s="154">
        <v>809919.0</v>
      </c>
      <c r="T1882" s="84"/>
      <c r="U1882" s="84"/>
      <c r="V1882" s="84"/>
      <c r="W1882" s="84"/>
      <c r="X1882" s="84"/>
      <c r="Y1882" s="84"/>
      <c r="Z1882" s="84"/>
      <c r="AA1882" s="84"/>
      <c r="AB1882" s="84"/>
      <c r="AC1882" s="84"/>
    </row>
    <row r="1883" ht="15.75" customHeight="1">
      <c r="A1883" s="14" t="s">
        <v>17</v>
      </c>
      <c r="B1883" s="14">
        <v>2001.0</v>
      </c>
      <c r="C1883" s="14" t="s">
        <v>10992</v>
      </c>
      <c r="D1883" s="14" t="s">
        <v>10993</v>
      </c>
      <c r="E1883" s="150" t="str">
        <f t="shared" si="20"/>
        <v>http://dx.doi.org/10.1109/VISUAL.2001.964552</v>
      </c>
      <c r="F1883" s="50">
        <v>465.0</v>
      </c>
      <c r="G1883" s="50">
        <v>468.0</v>
      </c>
      <c r="H1883" s="151"/>
      <c r="I1883" s="14" t="s">
        <v>28</v>
      </c>
      <c r="J1883" s="14" t="s">
        <v>13817</v>
      </c>
      <c r="K1883" s="14" t="s">
        <v>38777</v>
      </c>
      <c r="L1883" s="152" t="s">
        <v>753</v>
      </c>
      <c r="M1883" s="14" t="s">
        <v>38778</v>
      </c>
      <c r="N1883" s="54" t="s">
        <v>38779</v>
      </c>
      <c r="O1883" s="130" t="s">
        <v>11033</v>
      </c>
      <c r="P1883" s="16"/>
      <c r="Q1883" s="14">
        <v>964552.0</v>
      </c>
      <c r="R1883" s="95"/>
      <c r="S1883" s="154" t="s">
        <v>38780</v>
      </c>
      <c r="T1883" s="84"/>
      <c r="U1883" s="84"/>
      <c r="V1883" s="84"/>
      <c r="W1883" s="84"/>
      <c r="X1883" s="84"/>
      <c r="Y1883" s="84"/>
      <c r="Z1883" s="84"/>
      <c r="AA1883" s="84"/>
      <c r="AB1883" s="84"/>
      <c r="AC1883" s="84"/>
    </row>
    <row r="1884" ht="15.75" customHeight="1">
      <c r="A1884" s="14" t="s">
        <v>17</v>
      </c>
      <c r="B1884" s="14">
        <v>2001.0</v>
      </c>
      <c r="C1884" s="14" t="s">
        <v>8590</v>
      </c>
      <c r="D1884" s="14" t="s">
        <v>8592</v>
      </c>
      <c r="E1884" s="150" t="str">
        <f t="shared" si="20"/>
        <v>http://dx.doi.org/10.1109/VISUAL.2001.964514</v>
      </c>
      <c r="F1884" s="50">
        <v>215.0</v>
      </c>
      <c r="G1884" s="50">
        <v>222.0</v>
      </c>
      <c r="H1884" s="151"/>
      <c r="I1884" s="14" t="s">
        <v>28</v>
      </c>
      <c r="J1884" s="14" t="s">
        <v>13439</v>
      </c>
      <c r="K1884" s="14" t="s">
        <v>38782</v>
      </c>
      <c r="L1884" s="152" t="s">
        <v>8624</v>
      </c>
      <c r="M1884" s="14" t="s">
        <v>38783</v>
      </c>
      <c r="N1884" s="54" t="s">
        <v>38782</v>
      </c>
      <c r="O1884" s="130" t="s">
        <v>5701</v>
      </c>
      <c r="P1884" s="153" t="s">
        <v>8626</v>
      </c>
      <c r="Q1884" s="14">
        <v>964514.0</v>
      </c>
      <c r="R1884" s="95"/>
      <c r="S1884" s="154">
        <v>885683.0</v>
      </c>
      <c r="T1884" s="84"/>
      <c r="U1884" s="84"/>
      <c r="V1884" s="84"/>
      <c r="W1884" s="84"/>
      <c r="X1884" s="84"/>
      <c r="Y1884" s="84"/>
      <c r="Z1884" s="84"/>
      <c r="AA1884" s="84"/>
      <c r="AB1884" s="84"/>
      <c r="AC1884" s="84"/>
    </row>
    <row r="1885" ht="15.75" customHeight="1">
      <c r="A1885" s="14" t="s">
        <v>17</v>
      </c>
      <c r="B1885" s="14">
        <v>2001.0</v>
      </c>
      <c r="C1885" s="14" t="s">
        <v>10716</v>
      </c>
      <c r="D1885" s="14" t="s">
        <v>10718</v>
      </c>
      <c r="E1885" s="150" t="str">
        <f t="shared" si="20"/>
        <v>http://dx.doi.org/10.1109/VISUAL.2001.964546</v>
      </c>
      <c r="F1885" s="50">
        <v>441.0</v>
      </c>
      <c r="G1885" s="50">
        <v>444.0</v>
      </c>
      <c r="H1885" s="151"/>
      <c r="I1885" s="14" t="s">
        <v>28</v>
      </c>
      <c r="J1885" s="14" t="s">
        <v>13802</v>
      </c>
      <c r="K1885" s="14" t="s">
        <v>38430</v>
      </c>
      <c r="L1885" s="152" t="s">
        <v>4515</v>
      </c>
      <c r="M1885" s="14" t="s">
        <v>38431</v>
      </c>
      <c r="N1885" s="54" t="s">
        <v>38432</v>
      </c>
      <c r="O1885" s="130" t="s">
        <v>6024</v>
      </c>
      <c r="P1885" s="153" t="s">
        <v>10779</v>
      </c>
      <c r="Q1885" s="14">
        <v>964546.0</v>
      </c>
      <c r="R1885" s="95"/>
      <c r="S1885" s="154">
        <v>885735.0</v>
      </c>
      <c r="T1885" s="84"/>
      <c r="U1885" s="84"/>
      <c r="V1885" s="84"/>
      <c r="W1885" s="84"/>
      <c r="X1885" s="84"/>
      <c r="Y1885" s="84"/>
      <c r="Z1885" s="84"/>
      <c r="AA1885" s="84"/>
      <c r="AB1885" s="84"/>
      <c r="AC1885" s="84"/>
    </row>
    <row r="1886" ht="15.75" customHeight="1">
      <c r="A1886" s="14" t="s">
        <v>17</v>
      </c>
      <c r="B1886" s="14">
        <v>2001.0</v>
      </c>
      <c r="C1886" s="14" t="s">
        <v>8490</v>
      </c>
      <c r="D1886" s="14" t="s">
        <v>8492</v>
      </c>
      <c r="E1886" s="150" t="str">
        <f t="shared" si="20"/>
        <v>http://dx.doi.org/10.1109/VISUAL.2001.964511</v>
      </c>
      <c r="F1886" s="50">
        <v>191.0</v>
      </c>
      <c r="G1886" s="50">
        <v>198.0</v>
      </c>
      <c r="H1886" s="151"/>
      <c r="I1886" s="14" t="s">
        <v>28</v>
      </c>
      <c r="J1886" s="14" t="s">
        <v>13422</v>
      </c>
      <c r="K1886" s="14" t="s">
        <v>38784</v>
      </c>
      <c r="L1886" s="152" t="s">
        <v>8510</v>
      </c>
      <c r="M1886" s="14" t="s">
        <v>38785</v>
      </c>
      <c r="N1886" s="54" t="s">
        <v>38784</v>
      </c>
      <c r="O1886" s="130" t="s">
        <v>2867</v>
      </c>
      <c r="P1886" s="153" t="s">
        <v>8511</v>
      </c>
      <c r="Q1886" s="14">
        <v>964511.0</v>
      </c>
      <c r="R1886" s="95"/>
      <c r="S1886" s="154">
        <v>567606.0</v>
      </c>
      <c r="T1886" s="84"/>
      <c r="U1886" s="84"/>
      <c r="V1886" s="84"/>
      <c r="W1886" s="84"/>
      <c r="X1886" s="84"/>
      <c r="Y1886" s="84"/>
      <c r="Z1886" s="84"/>
      <c r="AA1886" s="84"/>
      <c r="AB1886" s="84"/>
      <c r="AC1886" s="84"/>
    </row>
    <row r="1887" ht="15.75" customHeight="1">
      <c r="A1887" s="14" t="s">
        <v>17</v>
      </c>
      <c r="B1887" s="14">
        <v>2001.0</v>
      </c>
      <c r="C1887" s="14" t="s">
        <v>9912</v>
      </c>
      <c r="D1887" s="14" t="s">
        <v>9914</v>
      </c>
      <c r="E1887" s="150" t="str">
        <f t="shared" si="20"/>
        <v>http://dx.doi.org/10.1109/VISUAL.2001.964532</v>
      </c>
      <c r="F1887" s="50">
        <v>357.0</v>
      </c>
      <c r="G1887" s="50">
        <v>262.0</v>
      </c>
      <c r="H1887" s="151"/>
      <c r="I1887" s="14" t="s">
        <v>28</v>
      </c>
      <c r="J1887" s="14" t="s">
        <v>13584</v>
      </c>
      <c r="K1887" s="14" t="s">
        <v>38786</v>
      </c>
      <c r="L1887" s="152" t="s">
        <v>9950</v>
      </c>
      <c r="M1887" s="14" t="s">
        <v>38787</v>
      </c>
      <c r="N1887" s="54" t="s">
        <v>38786</v>
      </c>
      <c r="O1887" s="130" t="s">
        <v>9952</v>
      </c>
      <c r="P1887" s="153" t="s">
        <v>9954</v>
      </c>
      <c r="Q1887" s="14">
        <v>964532.0</v>
      </c>
      <c r="R1887" s="95"/>
      <c r="S1887" s="154" t="s">
        <v>38788</v>
      </c>
      <c r="T1887" s="84"/>
      <c r="U1887" s="84"/>
      <c r="V1887" s="84"/>
      <c r="W1887" s="84"/>
      <c r="X1887" s="84"/>
      <c r="Y1887" s="84"/>
      <c r="Z1887" s="84"/>
      <c r="AA1887" s="84"/>
      <c r="AB1887" s="84"/>
      <c r="AC1887" s="84"/>
    </row>
    <row r="1888" ht="15.75" customHeight="1">
      <c r="A1888" s="14" t="s">
        <v>17</v>
      </c>
      <c r="B1888" s="14">
        <v>2001.0</v>
      </c>
      <c r="C1888" s="14" t="s">
        <v>11128</v>
      </c>
      <c r="D1888" s="14" t="s">
        <v>11129</v>
      </c>
      <c r="E1888" s="150" t="str">
        <f t="shared" si="20"/>
        <v>http://dx.doi.org/10.1109/VISUAL.2001.964555</v>
      </c>
      <c r="F1888" s="50">
        <v>477.0</v>
      </c>
      <c r="G1888" s="50">
        <v>480.0</v>
      </c>
      <c r="H1888" s="151"/>
      <c r="I1888" s="14" t="s">
        <v>28</v>
      </c>
      <c r="J1888" s="14" t="s">
        <v>13825</v>
      </c>
      <c r="K1888" s="14" t="s">
        <v>38789</v>
      </c>
      <c r="L1888" s="152" t="s">
        <v>11136</v>
      </c>
      <c r="M1888" s="14" t="s">
        <v>38790</v>
      </c>
      <c r="N1888" s="54" t="s">
        <v>38789</v>
      </c>
      <c r="O1888" s="130"/>
      <c r="P1888" s="153" t="s">
        <v>11137</v>
      </c>
      <c r="Q1888" s="14">
        <v>964555.0</v>
      </c>
      <c r="R1888" s="95"/>
      <c r="S1888" s="154"/>
      <c r="T1888" s="84"/>
      <c r="U1888" s="84"/>
      <c r="V1888" s="84"/>
      <c r="W1888" s="84"/>
      <c r="X1888" s="84"/>
      <c r="Y1888" s="84"/>
      <c r="Z1888" s="84"/>
      <c r="AA1888" s="84"/>
      <c r="AB1888" s="84"/>
      <c r="AC1888" s="84"/>
    </row>
    <row r="1889" ht="15.75" customHeight="1">
      <c r="A1889" s="14" t="s">
        <v>17</v>
      </c>
      <c r="B1889" s="14">
        <v>2001.0</v>
      </c>
      <c r="C1889" s="14" t="s">
        <v>8048</v>
      </c>
      <c r="D1889" s="14" t="s">
        <v>8049</v>
      </c>
      <c r="E1889" s="150" t="str">
        <f t="shared" si="20"/>
        <v>http://dx.doi.org/10.1109/VISUAL.2001.964504</v>
      </c>
      <c r="F1889" s="50">
        <v>135.0</v>
      </c>
      <c r="G1889" s="50">
        <v>142.0</v>
      </c>
      <c r="H1889" s="151"/>
      <c r="I1889" s="14" t="s">
        <v>28</v>
      </c>
      <c r="J1889" s="14" t="s">
        <v>13372</v>
      </c>
      <c r="K1889" s="14" t="s">
        <v>38792</v>
      </c>
      <c r="L1889" s="152" t="s">
        <v>3739</v>
      </c>
      <c r="M1889" s="14" t="s">
        <v>38793</v>
      </c>
      <c r="N1889" s="54" t="s">
        <v>38792</v>
      </c>
      <c r="O1889" s="130"/>
      <c r="P1889" s="153" t="s">
        <v>8088</v>
      </c>
      <c r="Q1889" s="14">
        <v>964504.0</v>
      </c>
      <c r="R1889" s="95"/>
      <c r="S1889" s="154"/>
      <c r="T1889" s="84"/>
      <c r="U1889" s="84"/>
      <c r="V1889" s="84"/>
      <c r="W1889" s="84"/>
      <c r="X1889" s="84"/>
      <c r="Y1889" s="84"/>
      <c r="Z1889" s="84"/>
      <c r="AA1889" s="84"/>
      <c r="AB1889" s="84"/>
      <c r="AC1889" s="84"/>
    </row>
    <row r="1890" ht="15.75" customHeight="1">
      <c r="A1890" s="14" t="s">
        <v>17</v>
      </c>
      <c r="B1890" s="14">
        <v>2001.0</v>
      </c>
      <c r="C1890" s="14" t="s">
        <v>8315</v>
      </c>
      <c r="D1890" s="14" t="s">
        <v>8317</v>
      </c>
      <c r="E1890" s="150" t="str">
        <f t="shared" si="20"/>
        <v>http://dx.doi.org/10.1109/VISUAL.2001.964507</v>
      </c>
      <c r="F1890" s="50">
        <v>159.0</v>
      </c>
      <c r="G1890" s="50">
        <v>166.0</v>
      </c>
      <c r="H1890" s="151"/>
      <c r="I1890" s="14" t="s">
        <v>28</v>
      </c>
      <c r="J1890" s="14" t="s">
        <v>13384</v>
      </c>
      <c r="K1890" s="14" t="s">
        <v>38794</v>
      </c>
      <c r="L1890" s="152" t="s">
        <v>5181</v>
      </c>
      <c r="M1890" s="14" t="s">
        <v>38795</v>
      </c>
      <c r="N1890" s="54" t="s">
        <v>38794</v>
      </c>
      <c r="O1890" s="130" t="s">
        <v>8351</v>
      </c>
      <c r="P1890" s="153" t="s">
        <v>8353</v>
      </c>
      <c r="Q1890" s="14">
        <v>964507.0</v>
      </c>
      <c r="R1890" s="95"/>
      <c r="S1890" s="154" t="s">
        <v>38797</v>
      </c>
      <c r="T1890" s="84"/>
      <c r="U1890" s="84"/>
      <c r="V1890" s="84"/>
      <c r="W1890" s="84"/>
      <c r="X1890" s="84"/>
      <c r="Y1890" s="84"/>
      <c r="Z1890" s="84"/>
      <c r="AA1890" s="84"/>
      <c r="AB1890" s="84"/>
      <c r="AC1890" s="84"/>
    </row>
    <row r="1891" ht="15.75" customHeight="1">
      <c r="A1891" s="14" t="s">
        <v>17</v>
      </c>
      <c r="B1891" s="14">
        <v>2001.0</v>
      </c>
      <c r="C1891" s="14" t="s">
        <v>8697</v>
      </c>
      <c r="D1891" s="14" t="s">
        <v>8698</v>
      </c>
      <c r="E1891" s="150" t="str">
        <f t="shared" si="20"/>
        <v>http://dx.doi.org/10.1109/VISUAL.2001.964517</v>
      </c>
      <c r="F1891" s="50">
        <v>239.0</v>
      </c>
      <c r="G1891" s="50">
        <v>246.0</v>
      </c>
      <c r="H1891" s="151"/>
      <c r="I1891" s="14" t="s">
        <v>28</v>
      </c>
      <c r="J1891" s="14" t="s">
        <v>13460</v>
      </c>
      <c r="K1891" s="14" t="s">
        <v>38798</v>
      </c>
      <c r="L1891" s="152" t="s">
        <v>8742</v>
      </c>
      <c r="M1891" s="14" t="s">
        <v>38799</v>
      </c>
      <c r="N1891" s="54" t="s">
        <v>38798</v>
      </c>
      <c r="O1891" s="130" t="s">
        <v>8744</v>
      </c>
      <c r="P1891" s="153" t="s">
        <v>8746</v>
      </c>
      <c r="Q1891" s="14">
        <v>964517.0</v>
      </c>
      <c r="R1891" s="95"/>
      <c r="S1891" s="154" t="s">
        <v>38800</v>
      </c>
      <c r="T1891" s="84"/>
      <c r="U1891" s="84"/>
      <c r="V1891" s="84"/>
      <c r="W1891" s="84"/>
      <c r="X1891" s="84"/>
      <c r="Y1891" s="84"/>
      <c r="Z1891" s="84"/>
      <c r="AA1891" s="84"/>
      <c r="AB1891" s="84"/>
      <c r="AC1891" s="84"/>
    </row>
    <row r="1892" ht="15.75" customHeight="1">
      <c r="A1892" s="14" t="s">
        <v>17</v>
      </c>
      <c r="B1892" s="14">
        <v>2001.0</v>
      </c>
      <c r="C1892" s="14" t="s">
        <v>8390</v>
      </c>
      <c r="D1892" s="54" t="s">
        <v>8392</v>
      </c>
      <c r="E1892" s="156" t="s">
        <v>8394</v>
      </c>
      <c r="F1892" s="50">
        <v>175.0</v>
      </c>
      <c r="G1892" s="50">
        <v>182.0</v>
      </c>
      <c r="H1892" s="151"/>
      <c r="I1892" s="14" t="s">
        <v>28</v>
      </c>
      <c r="J1892" s="198" t="s">
        <v>38801</v>
      </c>
      <c r="K1892" s="14" t="s">
        <v>38803</v>
      </c>
      <c r="L1892" s="152"/>
      <c r="M1892" s="14"/>
      <c r="N1892" s="54" t="s">
        <v>38804</v>
      </c>
      <c r="O1892" s="130" t="s">
        <v>8444</v>
      </c>
      <c r="P1892" s="193" t="s">
        <v>8446</v>
      </c>
      <c r="Q1892" s="14" t="s">
        <v>38805</v>
      </c>
      <c r="R1892" s="95" t="s">
        <v>18275</v>
      </c>
      <c r="S1892" s="154" t="s">
        <v>38806</v>
      </c>
      <c r="T1892" s="95"/>
      <c r="U1892" s="95"/>
      <c r="V1892" s="95"/>
      <c r="W1892" s="95"/>
      <c r="X1892" s="95"/>
      <c r="Y1892" s="95"/>
      <c r="Z1892" s="95"/>
      <c r="AA1892" s="95"/>
      <c r="AB1892" s="95"/>
      <c r="AC1892" s="95"/>
    </row>
    <row r="1893" ht="15.75" customHeight="1">
      <c r="A1893" s="14" t="s">
        <v>17</v>
      </c>
      <c r="B1893" s="14">
        <v>2001.0</v>
      </c>
      <c r="C1893" s="14" t="s">
        <v>7987</v>
      </c>
      <c r="D1893" s="67" t="s">
        <v>7989</v>
      </c>
      <c r="E1893" s="194" t="s">
        <v>7991</v>
      </c>
      <c r="F1893" s="50">
        <v>127.0</v>
      </c>
      <c r="G1893" s="50">
        <v>134.0</v>
      </c>
      <c r="H1893" s="151"/>
      <c r="I1893" s="14" t="s">
        <v>28</v>
      </c>
      <c r="J1893" s="14" t="s">
        <v>38808</v>
      </c>
      <c r="K1893" s="14" t="s">
        <v>38809</v>
      </c>
      <c r="L1893" s="152"/>
      <c r="M1893" s="14"/>
      <c r="N1893" s="54" t="s">
        <v>38809</v>
      </c>
      <c r="O1893" s="130" t="s">
        <v>8042</v>
      </c>
      <c r="P1893" s="193" t="s">
        <v>8044</v>
      </c>
      <c r="Q1893" s="14" t="s">
        <v>38810</v>
      </c>
      <c r="R1893" s="95" t="s">
        <v>18275</v>
      </c>
      <c r="S1893" s="154" t="s">
        <v>38811</v>
      </c>
      <c r="T1893" s="115"/>
      <c r="U1893" s="115"/>
      <c r="V1893" s="115"/>
      <c r="W1893" s="115"/>
      <c r="X1893" s="115"/>
      <c r="Y1893" s="115"/>
      <c r="Z1893" s="115"/>
      <c r="AA1893" s="115"/>
      <c r="AB1893" s="115"/>
      <c r="AC1893" s="115"/>
    </row>
    <row r="1894" ht="15.75" customHeight="1">
      <c r="A1894" s="14" t="s">
        <v>17</v>
      </c>
      <c r="B1894" s="14">
        <v>2001.0</v>
      </c>
      <c r="C1894" s="14" t="s">
        <v>7634</v>
      </c>
      <c r="D1894" s="67" t="s">
        <v>7635</v>
      </c>
      <c r="E1894" s="194" t="s">
        <v>7637</v>
      </c>
      <c r="F1894" s="50">
        <v>69.0</v>
      </c>
      <c r="G1894" s="50">
        <v>74.0</v>
      </c>
      <c r="H1894" s="151"/>
      <c r="I1894" s="14" t="s">
        <v>28</v>
      </c>
      <c r="J1894" s="14" t="s">
        <v>38813</v>
      </c>
      <c r="K1894" s="14" t="s">
        <v>38814</v>
      </c>
      <c r="L1894" s="152"/>
      <c r="M1894" s="14"/>
      <c r="N1894" s="54" t="s">
        <v>38814</v>
      </c>
      <c r="O1894" s="130" t="s">
        <v>7667</v>
      </c>
      <c r="P1894" s="193" t="s">
        <v>7669</v>
      </c>
      <c r="Q1894" s="14" t="s">
        <v>38815</v>
      </c>
      <c r="R1894" s="95" t="s">
        <v>18275</v>
      </c>
      <c r="S1894" s="154" t="s">
        <v>38816</v>
      </c>
      <c r="T1894" s="115"/>
      <c r="U1894" s="115"/>
      <c r="V1894" s="115"/>
      <c r="W1894" s="115"/>
      <c r="X1894" s="115"/>
      <c r="Y1894" s="115"/>
      <c r="Z1894" s="115"/>
      <c r="AA1894" s="115"/>
      <c r="AB1894" s="115"/>
      <c r="AC1894" s="115"/>
    </row>
    <row r="1895" ht="15.75" customHeight="1">
      <c r="A1895" s="14" t="s">
        <v>17</v>
      </c>
      <c r="B1895" s="14">
        <v>2001.0</v>
      </c>
      <c r="C1895" s="14" t="s">
        <v>7132</v>
      </c>
      <c r="D1895" s="14" t="s">
        <v>7133</v>
      </c>
      <c r="E1895" s="150" t="str">
        <f t="shared" ref="E1895:E1897" si="21">"http://dx.doi.org/" &amp; D1895</f>
        <v>http://dx.doi.org/10.1109/VISUAL.2001.964490</v>
      </c>
      <c r="F1895" s="50">
        <v>29.0</v>
      </c>
      <c r="G1895" s="50">
        <v>36.0</v>
      </c>
      <c r="H1895" s="151"/>
      <c r="I1895" s="14" t="s">
        <v>28</v>
      </c>
      <c r="J1895" s="14" t="s">
        <v>13246</v>
      </c>
      <c r="K1895" s="14" t="s">
        <v>38818</v>
      </c>
      <c r="L1895" s="152" t="s">
        <v>7158</v>
      </c>
      <c r="M1895" s="14" t="s">
        <v>38819</v>
      </c>
      <c r="N1895" s="54" t="s">
        <v>38820</v>
      </c>
      <c r="O1895" s="130" t="s">
        <v>7159</v>
      </c>
      <c r="P1895" s="153" t="s">
        <v>7161</v>
      </c>
      <c r="Q1895" s="14">
        <v>964490.0</v>
      </c>
      <c r="R1895" s="95"/>
      <c r="S1895" s="154" t="s">
        <v>38821</v>
      </c>
      <c r="T1895" s="84"/>
      <c r="U1895" s="84"/>
      <c r="V1895" s="84"/>
      <c r="W1895" s="84"/>
      <c r="X1895" s="84"/>
      <c r="Y1895" s="84"/>
      <c r="Z1895" s="84"/>
      <c r="AA1895" s="84"/>
      <c r="AB1895" s="84"/>
      <c r="AC1895" s="84"/>
    </row>
    <row r="1896" ht="15.75" customHeight="1">
      <c r="A1896" s="14" t="s">
        <v>17</v>
      </c>
      <c r="B1896" s="14">
        <v>2001.0</v>
      </c>
      <c r="C1896" s="14" t="s">
        <v>8629</v>
      </c>
      <c r="D1896" s="14" t="s">
        <v>8631</v>
      </c>
      <c r="E1896" s="150" t="str">
        <f t="shared" si="21"/>
        <v>http://dx.doi.org/10.1109/VISUAL.2001.964515</v>
      </c>
      <c r="F1896" s="50">
        <v>223.0</v>
      </c>
      <c r="G1896" s="50">
        <v>230.0</v>
      </c>
      <c r="H1896" s="151"/>
      <c r="I1896" s="14" t="s">
        <v>28</v>
      </c>
      <c r="J1896" s="14" t="s">
        <v>13449</v>
      </c>
      <c r="K1896" s="14" t="s">
        <v>38823</v>
      </c>
      <c r="L1896" s="152" t="s">
        <v>8660</v>
      </c>
      <c r="M1896" s="14" t="s">
        <v>38824</v>
      </c>
      <c r="N1896" s="54" t="s">
        <v>38823</v>
      </c>
      <c r="O1896" s="130" t="s">
        <v>8662</v>
      </c>
      <c r="P1896" s="153" t="s">
        <v>8663</v>
      </c>
      <c r="Q1896" s="14">
        <v>964515.0</v>
      </c>
      <c r="R1896" s="95"/>
      <c r="S1896" s="154" t="s">
        <v>38825</v>
      </c>
      <c r="T1896" s="84"/>
      <c r="U1896" s="84"/>
      <c r="V1896" s="84"/>
      <c r="W1896" s="84"/>
      <c r="X1896" s="84"/>
      <c r="Y1896" s="84"/>
      <c r="Z1896" s="84"/>
      <c r="AA1896" s="84"/>
      <c r="AB1896" s="84"/>
      <c r="AC1896" s="84"/>
    </row>
    <row r="1897" ht="15.75" customHeight="1">
      <c r="A1897" s="14" t="s">
        <v>17</v>
      </c>
      <c r="B1897" s="14">
        <v>2001.0</v>
      </c>
      <c r="C1897" s="14" t="s">
        <v>9531</v>
      </c>
      <c r="D1897" s="14" t="s">
        <v>9533</v>
      </c>
      <c r="E1897" s="150" t="str">
        <f t="shared" si="21"/>
        <v>http://dx.doi.org/10.1109/VISUAL.2001.964524</v>
      </c>
      <c r="F1897" s="50">
        <v>295.0</v>
      </c>
      <c r="G1897" s="50">
        <v>302.0</v>
      </c>
      <c r="H1897" s="151"/>
      <c r="I1897" s="14" t="s">
        <v>28</v>
      </c>
      <c r="J1897" s="14" t="s">
        <v>13512</v>
      </c>
      <c r="K1897" s="14" t="s">
        <v>38826</v>
      </c>
      <c r="L1897" s="152" t="s">
        <v>9572</v>
      </c>
      <c r="M1897" s="14" t="s">
        <v>38827</v>
      </c>
      <c r="N1897" s="54" t="s">
        <v>38828</v>
      </c>
      <c r="O1897" s="130" t="s">
        <v>5832</v>
      </c>
      <c r="P1897" s="16"/>
      <c r="Q1897" s="14">
        <v>964524.0</v>
      </c>
      <c r="R1897" s="95"/>
      <c r="S1897" s="154">
        <v>885705.0</v>
      </c>
      <c r="T1897" s="84"/>
      <c r="U1897" s="84"/>
      <c r="V1897" s="84"/>
      <c r="W1897" s="84"/>
      <c r="X1897" s="84"/>
      <c r="Y1897" s="84"/>
      <c r="Z1897" s="84"/>
      <c r="AA1897" s="84"/>
      <c r="AB1897" s="84"/>
      <c r="AC1897" s="84"/>
    </row>
    <row r="1898" ht="15.75" customHeight="1">
      <c r="A1898" s="14" t="s">
        <v>17</v>
      </c>
      <c r="B1898" s="14">
        <v>2001.0</v>
      </c>
      <c r="C1898" s="14" t="s">
        <v>9660</v>
      </c>
      <c r="D1898" s="67" t="s">
        <v>9662</v>
      </c>
      <c r="E1898" s="194" t="s">
        <v>9664</v>
      </c>
      <c r="F1898" s="50">
        <v>319.0</v>
      </c>
      <c r="G1898" s="50">
        <v>324.0</v>
      </c>
      <c r="H1898" s="151"/>
      <c r="I1898" s="14" t="s">
        <v>28</v>
      </c>
      <c r="J1898" s="198" t="s">
        <v>13539</v>
      </c>
      <c r="K1898" s="14" t="s">
        <v>38830</v>
      </c>
      <c r="L1898" s="152"/>
      <c r="M1898" s="14"/>
      <c r="N1898" s="54" t="s">
        <v>38831</v>
      </c>
      <c r="O1898" s="130"/>
      <c r="P1898" s="193" t="s">
        <v>9716</v>
      </c>
      <c r="Q1898" s="14" t="s">
        <v>38832</v>
      </c>
      <c r="R1898" s="95" t="s">
        <v>18275</v>
      </c>
      <c r="S1898" s="154"/>
      <c r="T1898" s="115"/>
      <c r="U1898" s="115"/>
      <c r="V1898" s="115"/>
      <c r="W1898" s="115"/>
      <c r="X1898" s="115"/>
      <c r="Y1898" s="115"/>
      <c r="Z1898" s="115"/>
      <c r="AA1898" s="115"/>
      <c r="AB1898" s="115"/>
      <c r="AC1898" s="115"/>
    </row>
    <row r="1899" ht="15.75" customHeight="1">
      <c r="A1899" s="14" t="s">
        <v>17</v>
      </c>
      <c r="B1899" s="14">
        <v>2001.0</v>
      </c>
      <c r="C1899" s="14" t="s">
        <v>11138</v>
      </c>
      <c r="D1899" s="14" t="s">
        <v>11139</v>
      </c>
      <c r="E1899" s="150" t="str">
        <f t="shared" ref="E1899:E1903" si="22">"http://dx.doi.org/" &amp; D1899</f>
        <v>http://dx.doi.org/10.1109/VISUAL.2001.964556</v>
      </c>
      <c r="F1899" s="50">
        <v>481.0</v>
      </c>
      <c r="G1899" s="50">
        <v>484.0</v>
      </c>
      <c r="H1899" s="151"/>
      <c r="I1899" s="14" t="s">
        <v>28</v>
      </c>
      <c r="J1899" s="14" t="s">
        <v>13828</v>
      </c>
      <c r="K1899" s="14" t="s">
        <v>38833</v>
      </c>
      <c r="L1899" s="152" t="s">
        <v>11161</v>
      </c>
      <c r="M1899" s="14" t="s">
        <v>38834</v>
      </c>
      <c r="N1899" s="54" t="s">
        <v>38833</v>
      </c>
      <c r="O1899" s="130"/>
      <c r="P1899" s="16"/>
      <c r="Q1899" s="14">
        <v>964556.0</v>
      </c>
      <c r="R1899" s="95"/>
      <c r="S1899" s="154"/>
      <c r="T1899" s="84"/>
      <c r="U1899" s="84"/>
      <c r="V1899" s="84"/>
      <c r="W1899" s="84"/>
      <c r="X1899" s="84"/>
      <c r="Y1899" s="84"/>
      <c r="Z1899" s="84"/>
      <c r="AA1899" s="84"/>
      <c r="AB1899" s="84"/>
      <c r="AC1899" s="84"/>
    </row>
    <row r="1900" ht="15.75" customHeight="1">
      <c r="A1900" s="14" t="s">
        <v>17</v>
      </c>
      <c r="B1900" s="14">
        <v>2001.0</v>
      </c>
      <c r="C1900" s="14" t="s">
        <v>8513</v>
      </c>
      <c r="D1900" s="14" t="s">
        <v>8515</v>
      </c>
      <c r="E1900" s="150" t="str">
        <f t="shared" si="22"/>
        <v>http://dx.doi.org/10.1109/VISUAL.2001.964512</v>
      </c>
      <c r="F1900" s="50">
        <v>199.0</v>
      </c>
      <c r="G1900" s="50">
        <v>206.0</v>
      </c>
      <c r="H1900" s="151"/>
      <c r="I1900" s="14" t="s">
        <v>28</v>
      </c>
      <c r="J1900" s="14" t="s">
        <v>13426</v>
      </c>
      <c r="K1900" s="14" t="s">
        <v>38836</v>
      </c>
      <c r="L1900" s="152" t="s">
        <v>5445</v>
      </c>
      <c r="M1900" s="14" t="s">
        <v>38837</v>
      </c>
      <c r="N1900" s="54" t="s">
        <v>38838</v>
      </c>
      <c r="O1900" s="130" t="s">
        <v>2867</v>
      </c>
      <c r="P1900" s="16"/>
      <c r="Q1900" s="14">
        <v>964512.0</v>
      </c>
      <c r="R1900" s="95"/>
      <c r="S1900" s="154">
        <v>567606.0</v>
      </c>
      <c r="T1900" s="84"/>
      <c r="U1900" s="84"/>
      <c r="V1900" s="84"/>
      <c r="W1900" s="84"/>
      <c r="X1900" s="84"/>
      <c r="Y1900" s="84"/>
      <c r="Z1900" s="84"/>
      <c r="AA1900" s="84"/>
      <c r="AB1900" s="84"/>
      <c r="AC1900" s="84"/>
    </row>
    <row r="1901" ht="15.75" customHeight="1">
      <c r="A1901" s="14" t="s">
        <v>17</v>
      </c>
      <c r="B1901" s="14">
        <v>2001.0</v>
      </c>
      <c r="C1901" s="14" t="s">
        <v>7165</v>
      </c>
      <c r="D1901" s="14" t="s">
        <v>7166</v>
      </c>
      <c r="E1901" s="150" t="str">
        <f t="shared" si="22"/>
        <v>http://dx.doi.org/10.1109/VISUAL.2001.964491</v>
      </c>
      <c r="F1901" s="50">
        <v>37.0</v>
      </c>
      <c r="G1901" s="50">
        <v>44.0</v>
      </c>
      <c r="H1901" s="151"/>
      <c r="I1901" s="14" t="s">
        <v>28</v>
      </c>
      <c r="J1901" s="14" t="s">
        <v>13248</v>
      </c>
      <c r="K1901" s="14" t="s">
        <v>38839</v>
      </c>
      <c r="L1901" s="152" t="s">
        <v>7194</v>
      </c>
      <c r="M1901" s="14" t="s">
        <v>38840</v>
      </c>
      <c r="N1901" s="54" t="s">
        <v>38841</v>
      </c>
      <c r="O1901" s="130" t="s">
        <v>7196</v>
      </c>
      <c r="P1901" s="153" t="s">
        <v>7197</v>
      </c>
      <c r="Q1901" s="14">
        <v>964491.0</v>
      </c>
      <c r="R1901" s="95"/>
      <c r="S1901" s="154" t="s">
        <v>38842</v>
      </c>
      <c r="T1901" s="84"/>
      <c r="U1901" s="84"/>
      <c r="V1901" s="84"/>
      <c r="W1901" s="84"/>
      <c r="X1901" s="84"/>
      <c r="Y1901" s="84"/>
      <c r="Z1901" s="84"/>
      <c r="AA1901" s="84"/>
      <c r="AB1901" s="84"/>
      <c r="AC1901" s="84"/>
    </row>
    <row r="1902" ht="15.75" customHeight="1">
      <c r="A1902" s="14" t="s">
        <v>17</v>
      </c>
      <c r="B1902" s="14">
        <v>2001.0</v>
      </c>
      <c r="C1902" s="14" t="s">
        <v>9990</v>
      </c>
      <c r="D1902" s="14" t="s">
        <v>9993</v>
      </c>
      <c r="E1902" s="150" t="str">
        <f t="shared" si="22"/>
        <v>http://dx.doi.org/10.1109/VISUAL.2001.964534</v>
      </c>
      <c r="F1902" s="50">
        <v>371.0</v>
      </c>
      <c r="G1902" s="50">
        <v>378.0</v>
      </c>
      <c r="H1902" s="151"/>
      <c r="I1902" s="14" t="s">
        <v>28</v>
      </c>
      <c r="J1902" s="14" t="s">
        <v>13602</v>
      </c>
      <c r="K1902" s="14" t="s">
        <v>38844</v>
      </c>
      <c r="L1902" s="152" t="s">
        <v>10029</v>
      </c>
      <c r="M1902" s="14" t="s">
        <v>38845</v>
      </c>
      <c r="N1902" s="54" t="s">
        <v>38844</v>
      </c>
      <c r="O1902" s="130" t="s">
        <v>10030</v>
      </c>
      <c r="P1902" s="16"/>
      <c r="Q1902" s="14">
        <v>964534.0</v>
      </c>
      <c r="R1902" s="95"/>
      <c r="S1902" s="154" t="s">
        <v>38846</v>
      </c>
      <c r="T1902" s="84"/>
      <c r="U1902" s="84"/>
      <c r="V1902" s="84"/>
      <c r="W1902" s="84"/>
      <c r="X1902" s="84"/>
      <c r="Y1902" s="84"/>
      <c r="Z1902" s="84"/>
      <c r="AA1902" s="84"/>
      <c r="AB1902" s="84"/>
      <c r="AC1902" s="84"/>
    </row>
    <row r="1903" ht="15.75" customHeight="1">
      <c r="A1903" s="14" t="s">
        <v>17</v>
      </c>
      <c r="B1903" s="14">
        <v>2001.0</v>
      </c>
      <c r="C1903" s="14" t="s">
        <v>8798</v>
      </c>
      <c r="D1903" s="14" t="s">
        <v>8800</v>
      </c>
      <c r="E1903" s="150" t="str">
        <f t="shared" si="22"/>
        <v>http://dx.doi.org/10.1109/VISUAL.2001.964519</v>
      </c>
      <c r="F1903" s="50">
        <v>255.0</v>
      </c>
      <c r="G1903" s="50">
        <v>262.0</v>
      </c>
      <c r="H1903" s="151"/>
      <c r="I1903" s="14" t="s">
        <v>28</v>
      </c>
      <c r="J1903" s="14" t="s">
        <v>13471</v>
      </c>
      <c r="K1903" s="14" t="s">
        <v>38848</v>
      </c>
      <c r="L1903" s="152" t="s">
        <v>9326</v>
      </c>
      <c r="M1903" s="14" t="s">
        <v>38849</v>
      </c>
      <c r="N1903" s="54" t="s">
        <v>38848</v>
      </c>
      <c r="O1903" s="130" t="s">
        <v>9328</v>
      </c>
      <c r="P1903" s="153" t="s">
        <v>9330</v>
      </c>
      <c r="Q1903" s="14">
        <v>964519.0</v>
      </c>
      <c r="R1903" s="95"/>
      <c r="S1903" s="154" t="s">
        <v>38850</v>
      </c>
      <c r="T1903" s="84"/>
      <c r="U1903" s="84"/>
      <c r="V1903" s="84"/>
      <c r="W1903" s="84"/>
      <c r="X1903" s="84"/>
      <c r="Y1903" s="84"/>
      <c r="Z1903" s="84"/>
      <c r="AA1903" s="84"/>
      <c r="AB1903" s="84"/>
      <c r="AC1903" s="84"/>
    </row>
    <row r="1904" ht="15.75" customHeight="1">
      <c r="A1904" s="14" t="s">
        <v>17</v>
      </c>
      <c r="B1904" s="14">
        <v>2001.0</v>
      </c>
      <c r="C1904" s="14" t="s">
        <v>7246</v>
      </c>
      <c r="D1904" s="67" t="s">
        <v>7249</v>
      </c>
      <c r="E1904" s="194" t="s">
        <v>7204</v>
      </c>
      <c r="F1904" s="50">
        <v>53.0</v>
      </c>
      <c r="G1904" s="50">
        <v>60.0</v>
      </c>
      <c r="H1904" s="151"/>
      <c r="I1904" s="14" t="s">
        <v>28</v>
      </c>
      <c r="J1904" s="54" t="s">
        <v>13287</v>
      </c>
      <c r="K1904" s="14" t="s">
        <v>38852</v>
      </c>
      <c r="L1904" s="152"/>
      <c r="M1904" s="14"/>
      <c r="N1904" s="54" t="s">
        <v>38852</v>
      </c>
      <c r="O1904" s="130" t="s">
        <v>7286</v>
      </c>
      <c r="P1904" s="54"/>
      <c r="Q1904" s="14" t="s">
        <v>38853</v>
      </c>
      <c r="R1904" s="95" t="s">
        <v>18275</v>
      </c>
      <c r="S1904" s="154" t="s">
        <v>38854</v>
      </c>
      <c r="T1904" s="115"/>
      <c r="U1904" s="115"/>
      <c r="V1904" s="115"/>
      <c r="W1904" s="115"/>
      <c r="X1904" s="115"/>
      <c r="Y1904" s="115"/>
      <c r="Z1904" s="115"/>
      <c r="AA1904" s="115"/>
      <c r="AB1904" s="115"/>
      <c r="AC1904" s="115"/>
    </row>
    <row r="1905" ht="15.75" customHeight="1">
      <c r="A1905" s="14" t="s">
        <v>17</v>
      </c>
      <c r="B1905" s="14">
        <v>2001.0</v>
      </c>
      <c r="C1905" s="14" t="s">
        <v>9484</v>
      </c>
      <c r="D1905" s="14" t="s">
        <v>9486</v>
      </c>
      <c r="E1905" s="150" t="str">
        <f t="shared" ref="E1905:E1909" si="23">"http://dx.doi.org/" &amp; D1905</f>
        <v>http://dx.doi.org/10.1109/VISUAL.2001.964523</v>
      </c>
      <c r="F1905" s="50">
        <v>287.0</v>
      </c>
      <c r="G1905" s="50">
        <v>294.0</v>
      </c>
      <c r="H1905" s="151"/>
      <c r="I1905" s="14" t="s">
        <v>28</v>
      </c>
      <c r="J1905" s="14" t="s">
        <v>13507</v>
      </c>
      <c r="K1905" s="14" t="s">
        <v>38855</v>
      </c>
      <c r="L1905" s="152" t="s">
        <v>9522</v>
      </c>
      <c r="M1905" s="14" t="s">
        <v>38856</v>
      </c>
      <c r="N1905" s="54" t="s">
        <v>38857</v>
      </c>
      <c r="O1905" s="130" t="s">
        <v>9524</v>
      </c>
      <c r="P1905" s="153" t="s">
        <v>9526</v>
      </c>
      <c r="Q1905" s="14">
        <v>964523.0</v>
      </c>
      <c r="R1905" s="95"/>
      <c r="S1905" s="154" t="s">
        <v>38858</v>
      </c>
      <c r="T1905" s="84"/>
      <c r="U1905" s="84"/>
      <c r="V1905" s="84"/>
      <c r="W1905" s="84"/>
      <c r="X1905" s="84"/>
      <c r="Y1905" s="84"/>
      <c r="Z1905" s="84"/>
      <c r="AA1905" s="84"/>
      <c r="AB1905" s="84"/>
      <c r="AC1905" s="84"/>
    </row>
    <row r="1906" ht="15.75" customHeight="1">
      <c r="A1906" s="14" t="s">
        <v>17</v>
      </c>
      <c r="B1906" s="14">
        <v>2001.0</v>
      </c>
      <c r="C1906" s="14" t="s">
        <v>10225</v>
      </c>
      <c r="D1906" s="14" t="s">
        <v>10226</v>
      </c>
      <c r="E1906" s="150" t="str">
        <f t="shared" si="23"/>
        <v>http://dx.doi.org/10.1109/VISUAL.2001.964540</v>
      </c>
      <c r="F1906" s="50">
        <v>411.0</v>
      </c>
      <c r="G1906" s="50">
        <v>418.0</v>
      </c>
      <c r="H1906" s="151"/>
      <c r="I1906" s="14" t="s">
        <v>28</v>
      </c>
      <c r="J1906" s="14" t="s">
        <v>13638</v>
      </c>
      <c r="K1906" s="14" t="s">
        <v>38859</v>
      </c>
      <c r="L1906" s="152" t="s">
        <v>10259</v>
      </c>
      <c r="M1906" s="14" t="s">
        <v>38860</v>
      </c>
      <c r="N1906" s="54" t="s">
        <v>38859</v>
      </c>
      <c r="O1906" s="130" t="s">
        <v>10261</v>
      </c>
      <c r="P1906" s="153" t="s">
        <v>10262</v>
      </c>
      <c r="Q1906" s="14">
        <v>964540.0</v>
      </c>
      <c r="R1906" s="95"/>
      <c r="S1906" s="154" t="s">
        <v>38861</v>
      </c>
      <c r="T1906" s="84"/>
      <c r="U1906" s="84"/>
      <c r="V1906" s="84"/>
      <c r="W1906" s="84"/>
      <c r="X1906" s="84"/>
      <c r="Y1906" s="84"/>
      <c r="Z1906" s="84"/>
      <c r="AA1906" s="84"/>
      <c r="AB1906" s="84"/>
      <c r="AC1906" s="84"/>
    </row>
    <row r="1907" ht="15.75" customHeight="1">
      <c r="A1907" s="14" t="s">
        <v>17</v>
      </c>
      <c r="B1907" s="14">
        <v>2001.0</v>
      </c>
      <c r="C1907" s="14" t="s">
        <v>9720</v>
      </c>
      <c r="D1907" s="14" t="s">
        <v>9721</v>
      </c>
      <c r="E1907" s="150" t="str">
        <f t="shared" si="23"/>
        <v>http://dx.doi.org/10.1109/VISUAL.2001.964528</v>
      </c>
      <c r="F1907" s="50">
        <v>325.0</v>
      </c>
      <c r="G1907" s="50">
        <v>332.0</v>
      </c>
      <c r="H1907" s="151"/>
      <c r="I1907" s="14" t="s">
        <v>28</v>
      </c>
      <c r="J1907" s="14" t="s">
        <v>13549</v>
      </c>
      <c r="K1907" s="14" t="s">
        <v>38863</v>
      </c>
      <c r="L1907" s="152" t="s">
        <v>9754</v>
      </c>
      <c r="M1907" s="14" t="s">
        <v>38864</v>
      </c>
      <c r="N1907" s="54" t="s">
        <v>38863</v>
      </c>
      <c r="O1907" s="130" t="s">
        <v>4975</v>
      </c>
      <c r="P1907" s="153" t="s">
        <v>9756</v>
      </c>
      <c r="Q1907" s="14">
        <v>964528.0</v>
      </c>
      <c r="R1907" s="95"/>
      <c r="S1907" s="154">
        <v>809870.0</v>
      </c>
      <c r="T1907" s="84"/>
      <c r="U1907" s="84"/>
      <c r="V1907" s="84"/>
      <c r="W1907" s="84"/>
      <c r="X1907" s="84"/>
      <c r="Y1907" s="84"/>
      <c r="Z1907" s="84"/>
      <c r="AA1907" s="84"/>
      <c r="AB1907" s="84"/>
      <c r="AC1907" s="84"/>
    </row>
    <row r="1908" ht="15.75" customHeight="1">
      <c r="A1908" s="14" t="s">
        <v>17</v>
      </c>
      <c r="B1908" s="14">
        <v>2001.0</v>
      </c>
      <c r="C1908" s="14" t="s">
        <v>9759</v>
      </c>
      <c r="D1908" s="14" t="s">
        <v>9761</v>
      </c>
      <c r="E1908" s="150" t="str">
        <f t="shared" si="23"/>
        <v>http://dx.doi.org/10.1109/VISUAL.2001.964529</v>
      </c>
      <c r="F1908" s="50">
        <v>333.0</v>
      </c>
      <c r="G1908" s="50">
        <v>340.0</v>
      </c>
      <c r="H1908" s="151"/>
      <c r="I1908" s="14" t="s">
        <v>28</v>
      </c>
      <c r="J1908" s="14" t="s">
        <v>13556</v>
      </c>
      <c r="K1908" s="14" t="s">
        <v>38865</v>
      </c>
      <c r="L1908" s="152" t="s">
        <v>178</v>
      </c>
      <c r="M1908" s="14" t="s">
        <v>38866</v>
      </c>
      <c r="N1908" s="54" t="s">
        <v>38865</v>
      </c>
      <c r="O1908" s="130"/>
      <c r="P1908" s="153" t="s">
        <v>9797</v>
      </c>
      <c r="Q1908" s="14">
        <v>964529.0</v>
      </c>
      <c r="R1908" s="95"/>
      <c r="S1908" s="154"/>
      <c r="T1908" s="84"/>
      <c r="U1908" s="84"/>
      <c r="V1908" s="84"/>
      <c r="W1908" s="84"/>
      <c r="X1908" s="84"/>
      <c r="Y1908" s="84"/>
      <c r="Z1908" s="84"/>
      <c r="AA1908" s="84"/>
      <c r="AB1908" s="84"/>
      <c r="AC1908" s="84"/>
    </row>
    <row r="1909" ht="15.75" customHeight="1">
      <c r="A1909" s="14" t="s">
        <v>17</v>
      </c>
      <c r="B1909" s="14">
        <v>2001.0</v>
      </c>
      <c r="C1909" s="14" t="s">
        <v>7767</v>
      </c>
      <c r="D1909" s="14" t="s">
        <v>7770</v>
      </c>
      <c r="E1909" s="150" t="str">
        <f t="shared" si="23"/>
        <v>http://dx.doi.org/10.1109/VISUAL.2001.964498</v>
      </c>
      <c r="F1909" s="50">
        <v>91.0</v>
      </c>
      <c r="G1909" s="50">
        <v>98.0</v>
      </c>
      <c r="H1909" s="151"/>
      <c r="I1909" s="14" t="s">
        <v>28</v>
      </c>
      <c r="J1909" s="14" t="s">
        <v>13322</v>
      </c>
      <c r="K1909" s="14" t="s">
        <v>38867</v>
      </c>
      <c r="L1909" s="152" t="s">
        <v>7809</v>
      </c>
      <c r="M1909" s="14" t="s">
        <v>38868</v>
      </c>
      <c r="N1909" s="54" t="s">
        <v>38869</v>
      </c>
      <c r="O1909" s="130" t="s">
        <v>2052</v>
      </c>
      <c r="P1909" s="153" t="s">
        <v>7811</v>
      </c>
      <c r="Q1909" s="14">
        <v>964498.0</v>
      </c>
      <c r="R1909" s="95"/>
      <c r="S1909" s="154">
        <v>346331.0</v>
      </c>
      <c r="T1909" s="84"/>
      <c r="U1909" s="84"/>
      <c r="V1909" s="84"/>
      <c r="W1909" s="84"/>
      <c r="X1909" s="84"/>
      <c r="Y1909" s="84"/>
      <c r="Z1909" s="84"/>
      <c r="AA1909" s="84"/>
      <c r="AB1909" s="84"/>
      <c r="AC1909" s="84"/>
    </row>
    <row r="1910" ht="15.75" customHeight="1">
      <c r="A1910" s="14" t="s">
        <v>17</v>
      </c>
      <c r="B1910" s="50">
        <v>2001.0</v>
      </c>
      <c r="C1910" s="14" t="s">
        <v>10265</v>
      </c>
      <c r="D1910" s="67" t="s">
        <v>10266</v>
      </c>
      <c r="E1910" s="194" t="s">
        <v>10269</v>
      </c>
      <c r="F1910" s="50">
        <v>421.0</v>
      </c>
      <c r="G1910" s="50">
        <v>424.0</v>
      </c>
      <c r="H1910" s="151"/>
      <c r="I1910" s="14" t="s">
        <v>28</v>
      </c>
      <c r="J1910" s="14" t="s">
        <v>38870</v>
      </c>
      <c r="K1910" s="14" t="s">
        <v>38871</v>
      </c>
      <c r="L1910" s="152"/>
      <c r="M1910" s="14"/>
      <c r="N1910" s="54" t="s">
        <v>38871</v>
      </c>
      <c r="O1910" s="130"/>
      <c r="P1910" s="193" t="s">
        <v>10530</v>
      </c>
      <c r="Q1910" s="14">
        <v>964541.0</v>
      </c>
      <c r="R1910" s="95" t="s">
        <v>18275</v>
      </c>
      <c r="S1910" s="154"/>
      <c r="T1910" s="84"/>
      <c r="U1910" s="84"/>
      <c r="V1910" s="84"/>
      <c r="W1910" s="84"/>
      <c r="X1910" s="84"/>
      <c r="Y1910" s="84"/>
      <c r="Z1910" s="84"/>
      <c r="AA1910" s="84"/>
      <c r="AB1910" s="84"/>
      <c r="AC1910" s="84"/>
    </row>
    <row r="1911" ht="15.75" customHeight="1">
      <c r="A1911" s="14" t="s">
        <v>17</v>
      </c>
      <c r="B1911" s="14">
        <v>2001.0</v>
      </c>
      <c r="C1911" s="14" t="s">
        <v>8356</v>
      </c>
      <c r="D1911" s="14" t="s">
        <v>8358</v>
      </c>
      <c r="E1911" s="150" t="str">
        <f t="shared" ref="E1911:E1912" si="24">"http://dx.doi.org/" &amp; D1911</f>
        <v>http://dx.doi.org/10.1109/VISUAL.2001.964508</v>
      </c>
      <c r="F1911" s="50">
        <v>167.0</v>
      </c>
      <c r="G1911" s="50">
        <v>554.0</v>
      </c>
      <c r="H1911" s="151"/>
      <c r="I1911" s="14" t="s">
        <v>28</v>
      </c>
      <c r="J1911" s="14" t="s">
        <v>13392</v>
      </c>
      <c r="K1911" s="14" t="s">
        <v>38873</v>
      </c>
      <c r="L1911" s="152" t="s">
        <v>5729</v>
      </c>
      <c r="M1911" s="14" t="s">
        <v>38874</v>
      </c>
      <c r="N1911" s="54" t="s">
        <v>38873</v>
      </c>
      <c r="O1911" s="130" t="s">
        <v>8385</v>
      </c>
      <c r="P1911" s="153" t="s">
        <v>8386</v>
      </c>
      <c r="Q1911" s="14">
        <v>964508.0</v>
      </c>
      <c r="R1911" s="95"/>
      <c r="S1911" s="154" t="s">
        <v>38875</v>
      </c>
      <c r="T1911" s="84"/>
      <c r="U1911" s="84"/>
      <c r="V1911" s="84"/>
      <c r="W1911" s="84"/>
      <c r="X1911" s="84"/>
      <c r="Y1911" s="84"/>
      <c r="Z1911" s="84"/>
      <c r="AA1911" s="84"/>
      <c r="AB1911" s="84"/>
      <c r="AC1911" s="84"/>
    </row>
    <row r="1912" ht="15.75" customHeight="1">
      <c r="A1912" s="14" t="s">
        <v>17</v>
      </c>
      <c r="B1912" s="14">
        <v>2001.0</v>
      </c>
      <c r="C1912" s="14" t="s">
        <v>7099</v>
      </c>
      <c r="D1912" s="14" t="s">
        <v>7101</v>
      </c>
      <c r="E1912" s="150" t="str">
        <f t="shared" si="24"/>
        <v>http://dx.doi.org/10.1109/VISUAL.2001.964489</v>
      </c>
      <c r="F1912" s="50">
        <v>21.0</v>
      </c>
      <c r="G1912" s="50">
        <v>28.0</v>
      </c>
      <c r="H1912" s="151"/>
      <c r="I1912" s="14" t="s">
        <v>28</v>
      </c>
      <c r="J1912" s="14" t="s">
        <v>13239</v>
      </c>
      <c r="K1912" s="14" t="s">
        <v>38876</v>
      </c>
      <c r="L1912" s="152" t="s">
        <v>7122</v>
      </c>
      <c r="M1912" s="14" t="s">
        <v>38877</v>
      </c>
      <c r="N1912" s="54" t="s">
        <v>38876</v>
      </c>
      <c r="O1912" s="130" t="s">
        <v>7123</v>
      </c>
      <c r="P1912" s="153" t="s">
        <v>7129</v>
      </c>
      <c r="Q1912" s="14">
        <v>964489.0</v>
      </c>
      <c r="R1912" s="95"/>
      <c r="S1912" s="154" t="s">
        <v>38878</v>
      </c>
      <c r="T1912" s="84"/>
      <c r="U1912" s="84"/>
      <c r="V1912" s="84"/>
      <c r="W1912" s="84"/>
      <c r="X1912" s="84"/>
      <c r="Y1912" s="84"/>
      <c r="Z1912" s="84"/>
      <c r="AA1912" s="84"/>
      <c r="AB1912" s="84"/>
      <c r="AC1912" s="84"/>
    </row>
    <row r="1913" ht="15.75" customHeight="1">
      <c r="A1913" s="14" t="s">
        <v>17</v>
      </c>
      <c r="B1913" s="14">
        <v>2001.0</v>
      </c>
      <c r="C1913" s="14" t="s">
        <v>7200</v>
      </c>
      <c r="D1913" s="67" t="s">
        <v>7202</v>
      </c>
      <c r="E1913" s="194" t="s">
        <v>7204</v>
      </c>
      <c r="F1913" s="50">
        <v>45.0</v>
      </c>
      <c r="G1913" s="50">
        <v>52.0</v>
      </c>
      <c r="H1913" s="151"/>
      <c r="I1913" s="14" t="s">
        <v>28</v>
      </c>
      <c r="J1913" s="54" t="s">
        <v>13258</v>
      </c>
      <c r="K1913" s="14" t="s">
        <v>38880</v>
      </c>
      <c r="L1913" s="152"/>
      <c r="M1913" s="14"/>
      <c r="N1913" s="54" t="s">
        <v>38880</v>
      </c>
      <c r="O1913" s="130" t="s">
        <v>4115</v>
      </c>
      <c r="P1913" s="193" t="s">
        <v>7235</v>
      </c>
      <c r="Q1913" s="14" t="s">
        <v>38882</v>
      </c>
      <c r="R1913" s="95" t="s">
        <v>18275</v>
      </c>
      <c r="S1913" s="154">
        <v>745282.0</v>
      </c>
      <c r="T1913" s="115"/>
      <c r="U1913" s="115"/>
      <c r="V1913" s="115"/>
      <c r="W1913" s="115"/>
      <c r="X1913" s="115"/>
      <c r="Y1913" s="115"/>
      <c r="Z1913" s="115"/>
      <c r="AA1913" s="115"/>
      <c r="AB1913" s="115"/>
      <c r="AC1913" s="115"/>
    </row>
    <row r="1914" ht="15.75" customHeight="1">
      <c r="A1914" s="14" t="s">
        <v>17</v>
      </c>
      <c r="B1914" s="14">
        <v>2001.0</v>
      </c>
      <c r="C1914" s="14" t="s">
        <v>8092</v>
      </c>
      <c r="D1914" s="14" t="s">
        <v>8094</v>
      </c>
      <c r="E1914" s="150" t="str">
        <f t="shared" ref="E1914:E1921" si="25">"http://dx.doi.org/" &amp; D1914</f>
        <v>http://dx.doi.org/10.1109/VISUAL.2001.964505</v>
      </c>
      <c r="F1914" s="50">
        <v>143.0</v>
      </c>
      <c r="G1914" s="50">
        <v>150.0</v>
      </c>
      <c r="H1914" s="151"/>
      <c r="I1914" s="14" t="s">
        <v>28</v>
      </c>
      <c r="J1914" s="14" t="s">
        <v>13374</v>
      </c>
      <c r="K1914" s="14" t="s">
        <v>38883</v>
      </c>
      <c r="L1914" s="152" t="s">
        <v>8134</v>
      </c>
      <c r="M1914" s="14" t="s">
        <v>38884</v>
      </c>
      <c r="N1914" s="54" t="s">
        <v>38883</v>
      </c>
      <c r="O1914" s="130" t="s">
        <v>8138</v>
      </c>
      <c r="P1914" s="153" t="s">
        <v>8250</v>
      </c>
      <c r="Q1914" s="14">
        <v>964505.0</v>
      </c>
      <c r="R1914" s="95"/>
      <c r="S1914" s="154" t="s">
        <v>38885</v>
      </c>
      <c r="T1914" s="84"/>
      <c r="U1914" s="84"/>
      <c r="V1914" s="84"/>
      <c r="W1914" s="84"/>
      <c r="X1914" s="84"/>
      <c r="Y1914" s="84"/>
      <c r="Z1914" s="84"/>
      <c r="AA1914" s="84"/>
      <c r="AB1914" s="84"/>
      <c r="AC1914" s="84"/>
    </row>
    <row r="1915" ht="15.75" customHeight="1">
      <c r="A1915" s="14" t="s">
        <v>17</v>
      </c>
      <c r="B1915" s="14">
        <v>2001.0</v>
      </c>
      <c r="C1915" s="14" t="s">
        <v>9858</v>
      </c>
      <c r="D1915" s="14" t="s">
        <v>9861</v>
      </c>
      <c r="E1915" s="150" t="str">
        <f t="shared" si="25"/>
        <v>http://dx.doi.org/10.1109/VISUAL.2001.964531</v>
      </c>
      <c r="F1915" s="50">
        <v>349.0</v>
      </c>
      <c r="G1915" s="50">
        <v>356.0</v>
      </c>
      <c r="H1915" s="151"/>
      <c r="I1915" s="14" t="s">
        <v>28</v>
      </c>
      <c r="J1915" s="14" t="s">
        <v>13573</v>
      </c>
      <c r="K1915" s="14" t="s">
        <v>38886</v>
      </c>
      <c r="L1915" s="152" t="s">
        <v>5637</v>
      </c>
      <c r="M1915" s="14" t="s">
        <v>38887</v>
      </c>
      <c r="N1915" s="54" t="s">
        <v>38886</v>
      </c>
      <c r="O1915" s="130" t="s">
        <v>3584</v>
      </c>
      <c r="P1915" s="153" t="s">
        <v>9907</v>
      </c>
      <c r="Q1915" s="14">
        <v>964531.0</v>
      </c>
      <c r="R1915" s="95"/>
      <c r="S1915" s="154">
        <v>663878.0</v>
      </c>
      <c r="T1915" s="84"/>
      <c r="U1915" s="84"/>
      <c r="V1915" s="84"/>
      <c r="W1915" s="84"/>
      <c r="X1915" s="84"/>
      <c r="Y1915" s="84"/>
      <c r="Z1915" s="84"/>
      <c r="AA1915" s="84"/>
      <c r="AB1915" s="84"/>
      <c r="AC1915" s="84"/>
    </row>
    <row r="1916" ht="15.75" customHeight="1">
      <c r="A1916" s="14" t="s">
        <v>17</v>
      </c>
      <c r="B1916" s="14">
        <v>2001.0</v>
      </c>
      <c r="C1916" s="14" t="s">
        <v>9439</v>
      </c>
      <c r="D1916" s="14" t="s">
        <v>9441</v>
      </c>
      <c r="E1916" s="150" t="str">
        <f t="shared" si="25"/>
        <v>http://dx.doi.org/10.1109/VISUAL.2001.964522</v>
      </c>
      <c r="F1916" s="50">
        <v>279.0</v>
      </c>
      <c r="G1916" s="50">
        <v>286.0</v>
      </c>
      <c r="H1916" s="151"/>
      <c r="I1916" s="14" t="s">
        <v>28</v>
      </c>
      <c r="J1916" s="14" t="s">
        <v>13500</v>
      </c>
      <c r="K1916" s="14" t="s">
        <v>38890</v>
      </c>
      <c r="L1916" s="152" t="s">
        <v>9478</v>
      </c>
      <c r="M1916" s="14" t="s">
        <v>38891</v>
      </c>
      <c r="N1916" s="54" t="s">
        <v>38890</v>
      </c>
      <c r="O1916" s="130" t="s">
        <v>38892</v>
      </c>
      <c r="P1916" s="153" t="s">
        <v>9481</v>
      </c>
      <c r="Q1916" s="14">
        <v>964522.0</v>
      </c>
      <c r="R1916" s="95"/>
      <c r="S1916" s="154" t="s">
        <v>38893</v>
      </c>
      <c r="T1916" s="84"/>
      <c r="U1916" s="84"/>
      <c r="V1916" s="84"/>
      <c r="W1916" s="84"/>
      <c r="X1916" s="84"/>
      <c r="Y1916" s="84"/>
      <c r="Z1916" s="84"/>
      <c r="AA1916" s="84"/>
      <c r="AB1916" s="84"/>
      <c r="AC1916" s="84"/>
    </row>
    <row r="1917" ht="15.75" customHeight="1">
      <c r="A1917" s="14" t="s">
        <v>17</v>
      </c>
      <c r="B1917" s="14">
        <v>2001.0</v>
      </c>
      <c r="C1917" s="14" t="s">
        <v>8666</v>
      </c>
      <c r="D1917" s="14" t="s">
        <v>8668</v>
      </c>
      <c r="E1917" s="150" t="str">
        <f t="shared" si="25"/>
        <v>http://dx.doi.org/10.1109/VISUAL.2001.964516</v>
      </c>
      <c r="F1917" s="50">
        <v>231.0</v>
      </c>
      <c r="G1917" s="50">
        <v>238.0</v>
      </c>
      <c r="H1917" s="151"/>
      <c r="I1917" s="14" t="s">
        <v>28</v>
      </c>
      <c r="J1917" s="14" t="s">
        <v>13457</v>
      </c>
      <c r="K1917" s="14" t="s">
        <v>38894</v>
      </c>
      <c r="L1917" s="152" t="s">
        <v>4524</v>
      </c>
      <c r="M1917" s="14" t="s">
        <v>38895</v>
      </c>
      <c r="N1917" s="54" t="s">
        <v>38894</v>
      </c>
      <c r="O1917" s="130" t="s">
        <v>8695</v>
      </c>
      <c r="P1917" s="153" t="s">
        <v>8696</v>
      </c>
      <c r="Q1917" s="14">
        <v>964516.0</v>
      </c>
      <c r="R1917" s="95"/>
      <c r="S1917" s="154" t="s">
        <v>38896</v>
      </c>
      <c r="T1917" s="84"/>
      <c r="U1917" s="84"/>
      <c r="V1917" s="84"/>
      <c r="W1917" s="84"/>
      <c r="X1917" s="84"/>
      <c r="Y1917" s="84"/>
      <c r="Z1917" s="84"/>
      <c r="AA1917" s="84"/>
      <c r="AB1917" s="84"/>
      <c r="AC1917" s="84"/>
    </row>
    <row r="1918" ht="15.75" customHeight="1">
      <c r="A1918" s="14" t="s">
        <v>17</v>
      </c>
      <c r="B1918" s="14">
        <v>2001.0</v>
      </c>
      <c r="C1918" s="14" t="s">
        <v>11380</v>
      </c>
      <c r="D1918" s="14" t="s">
        <v>11382</v>
      </c>
      <c r="E1918" s="150" t="str">
        <f t="shared" si="25"/>
        <v>http://dx.doi.org/10.1109/VISUAL.2001.964562</v>
      </c>
      <c r="F1918" s="50">
        <v>501.0</v>
      </c>
      <c r="G1918" s="50">
        <v>504.0</v>
      </c>
      <c r="H1918" s="151"/>
      <c r="I1918" s="14" t="s">
        <v>28</v>
      </c>
      <c r="J1918" s="14" t="s">
        <v>13871</v>
      </c>
      <c r="K1918" s="14" t="s">
        <v>38897</v>
      </c>
      <c r="L1918" s="152" t="s">
        <v>11412</v>
      </c>
      <c r="M1918" s="14" t="s">
        <v>38898</v>
      </c>
      <c r="N1918" s="54" t="s">
        <v>38897</v>
      </c>
      <c r="O1918" s="130"/>
      <c r="P1918" s="16"/>
      <c r="Q1918" s="14">
        <v>964562.0</v>
      </c>
      <c r="R1918" s="95"/>
      <c r="S1918" s="154"/>
      <c r="T1918" s="84"/>
      <c r="U1918" s="84"/>
      <c r="V1918" s="84"/>
      <c r="W1918" s="84"/>
      <c r="X1918" s="84"/>
      <c r="Y1918" s="84"/>
      <c r="Z1918" s="84"/>
      <c r="AA1918" s="84"/>
      <c r="AB1918" s="84"/>
      <c r="AC1918" s="84"/>
    </row>
    <row r="1919" ht="15.75" customHeight="1">
      <c r="A1919" s="14" t="s">
        <v>17</v>
      </c>
      <c r="B1919" s="14">
        <v>2001.0</v>
      </c>
      <c r="C1919" s="14" t="s">
        <v>7814</v>
      </c>
      <c r="D1919" s="14" t="s">
        <v>7816</v>
      </c>
      <c r="E1919" s="150" t="str">
        <f t="shared" si="25"/>
        <v>http://dx.doi.org/10.1109/VISUAL.2001.964499</v>
      </c>
      <c r="F1919" s="50">
        <v>99.0</v>
      </c>
      <c r="G1919" s="50">
        <v>106.0</v>
      </c>
      <c r="H1919" s="151"/>
      <c r="I1919" s="14" t="s">
        <v>28</v>
      </c>
      <c r="J1919" s="157" t="s">
        <v>38899</v>
      </c>
      <c r="K1919" s="14" t="s">
        <v>38900</v>
      </c>
      <c r="L1919" s="152" t="s">
        <v>7837</v>
      </c>
      <c r="M1919" s="14" t="s">
        <v>38901</v>
      </c>
      <c r="N1919" s="54" t="s">
        <v>38900</v>
      </c>
      <c r="O1919" s="130" t="s">
        <v>7838</v>
      </c>
      <c r="P1919" s="16"/>
      <c r="Q1919" s="14">
        <v>964499.0</v>
      </c>
      <c r="R1919" s="95"/>
      <c r="S1919" s="154" t="s">
        <v>38903</v>
      </c>
      <c r="T1919" s="84"/>
      <c r="U1919" s="84"/>
      <c r="V1919" s="84"/>
      <c r="W1919" s="84"/>
      <c r="X1919" s="84"/>
      <c r="Y1919" s="84"/>
      <c r="Z1919" s="84"/>
      <c r="AA1919" s="84"/>
      <c r="AB1919" s="84"/>
      <c r="AC1919" s="84"/>
    </row>
    <row r="1920" ht="15.75" customHeight="1">
      <c r="A1920" s="14" t="s">
        <v>17</v>
      </c>
      <c r="B1920" s="14">
        <v>2001.0</v>
      </c>
      <c r="C1920" s="14" t="s">
        <v>9801</v>
      </c>
      <c r="D1920" s="14" t="s">
        <v>9803</v>
      </c>
      <c r="E1920" s="150" t="str">
        <f t="shared" si="25"/>
        <v>http://dx.doi.org/10.1109/VISUAL.2001.964530</v>
      </c>
      <c r="F1920" s="50">
        <v>341.0</v>
      </c>
      <c r="G1920" s="50">
        <v>348.0</v>
      </c>
      <c r="H1920" s="151"/>
      <c r="I1920" s="14" t="s">
        <v>28</v>
      </c>
      <c r="J1920" s="14" t="s">
        <v>38904</v>
      </c>
      <c r="K1920" s="14" t="s">
        <v>38905</v>
      </c>
      <c r="L1920" s="152" t="s">
        <v>9852</v>
      </c>
      <c r="M1920" s="14" t="s">
        <v>38906</v>
      </c>
      <c r="N1920" s="54" t="s">
        <v>38905</v>
      </c>
      <c r="O1920" s="130" t="s">
        <v>3509</v>
      </c>
      <c r="P1920" s="153" t="s">
        <v>9855</v>
      </c>
      <c r="Q1920" s="14">
        <v>964530.0</v>
      </c>
      <c r="R1920" s="95"/>
      <c r="S1920" s="154">
        <v>663860.0</v>
      </c>
      <c r="T1920" s="84"/>
      <c r="U1920" s="84"/>
      <c r="V1920" s="84"/>
      <c r="W1920" s="84"/>
      <c r="X1920" s="84"/>
      <c r="Y1920" s="84"/>
      <c r="Z1920" s="84"/>
      <c r="AA1920" s="84"/>
      <c r="AB1920" s="84"/>
      <c r="AC1920" s="84"/>
    </row>
    <row r="1921" ht="15.75" customHeight="1">
      <c r="A1921" s="14" t="s">
        <v>17</v>
      </c>
      <c r="B1921" s="14">
        <v>2001.0</v>
      </c>
      <c r="C1921" s="14" t="s">
        <v>10825</v>
      </c>
      <c r="D1921" s="14" t="s">
        <v>10827</v>
      </c>
      <c r="E1921" s="150" t="str">
        <f t="shared" si="25"/>
        <v>http://dx.doi.org/10.1109/VISUAL.2001.964548</v>
      </c>
      <c r="F1921" s="50">
        <v>449.0</v>
      </c>
      <c r="G1921" s="50">
        <v>452.0</v>
      </c>
      <c r="H1921" s="151"/>
      <c r="I1921" s="14" t="s">
        <v>28</v>
      </c>
      <c r="J1921" s="14" t="s">
        <v>13806</v>
      </c>
      <c r="K1921" s="14" t="s">
        <v>38907</v>
      </c>
      <c r="L1921" s="152" t="s">
        <v>10859</v>
      </c>
      <c r="M1921" s="14" t="s">
        <v>38909</v>
      </c>
      <c r="N1921" s="54" t="s">
        <v>38907</v>
      </c>
      <c r="O1921" s="130"/>
      <c r="P1921" s="153" t="s">
        <v>10861</v>
      </c>
      <c r="Q1921" s="14">
        <v>964548.0</v>
      </c>
      <c r="R1921" s="95"/>
      <c r="S1921" s="154"/>
      <c r="T1921" s="84"/>
      <c r="U1921" s="84"/>
      <c r="V1921" s="84"/>
      <c r="W1921" s="84"/>
      <c r="X1921" s="84"/>
      <c r="Y1921" s="84"/>
      <c r="Z1921" s="84"/>
      <c r="AA1921" s="84"/>
      <c r="AB1921" s="84"/>
      <c r="AC1921" s="84"/>
    </row>
    <row r="1922" ht="15.75" customHeight="1">
      <c r="A1922" s="14" t="s">
        <v>17</v>
      </c>
      <c r="B1922" s="14">
        <v>2001.0</v>
      </c>
      <c r="C1922" s="14" t="s">
        <v>9334</v>
      </c>
      <c r="D1922" s="97" t="s">
        <v>9336</v>
      </c>
      <c r="E1922" s="194" t="s">
        <v>9342</v>
      </c>
      <c r="F1922" s="50">
        <v>263.0</v>
      </c>
      <c r="G1922" s="50">
        <v>270.0</v>
      </c>
      <c r="H1922" s="151"/>
      <c r="I1922" s="14" t="s">
        <v>28</v>
      </c>
      <c r="J1922" s="14" t="s">
        <v>13480</v>
      </c>
      <c r="K1922" s="14" t="s">
        <v>38911</v>
      </c>
      <c r="L1922" s="152"/>
      <c r="M1922" s="14"/>
      <c r="N1922" s="54" t="s">
        <v>38912</v>
      </c>
      <c r="O1922" s="130" t="s">
        <v>9395</v>
      </c>
      <c r="P1922" s="193" t="s">
        <v>9397</v>
      </c>
      <c r="Q1922" s="14" t="s">
        <v>38913</v>
      </c>
      <c r="R1922" s="95" t="s">
        <v>18275</v>
      </c>
      <c r="S1922" s="154" t="s">
        <v>38914</v>
      </c>
      <c r="T1922" s="115"/>
      <c r="U1922" s="115"/>
      <c r="V1922" s="115"/>
      <c r="W1922" s="115"/>
      <c r="X1922" s="115"/>
      <c r="Y1922" s="115"/>
      <c r="Z1922" s="115"/>
      <c r="AA1922" s="115"/>
      <c r="AB1922" s="115"/>
      <c r="AC1922" s="115"/>
    </row>
    <row r="1923" ht="15.75" customHeight="1">
      <c r="A1923" s="14" t="s">
        <v>17</v>
      </c>
      <c r="B1923" s="14">
        <v>2001.0</v>
      </c>
      <c r="C1923" s="14" t="s">
        <v>8449</v>
      </c>
      <c r="D1923" s="14" t="s">
        <v>8451</v>
      </c>
      <c r="E1923" s="150" t="str">
        <f t="shared" ref="E1923:E1929" si="26">"http://dx.doi.org/" &amp; D1923</f>
        <v>http://dx.doi.org/10.1109/VISUAL.2001.964510</v>
      </c>
      <c r="F1923" s="50">
        <v>183.0</v>
      </c>
      <c r="G1923" s="50">
        <v>190.0</v>
      </c>
      <c r="H1923" s="151"/>
      <c r="I1923" s="14" t="s">
        <v>28</v>
      </c>
      <c r="J1923" s="14" t="s">
        <v>13412</v>
      </c>
      <c r="K1923" s="14" t="s">
        <v>38915</v>
      </c>
      <c r="L1923" s="152" t="s">
        <v>8484</v>
      </c>
      <c r="M1923" s="14" t="s">
        <v>38916</v>
      </c>
      <c r="N1923" s="54" t="s">
        <v>38915</v>
      </c>
      <c r="O1923" s="130" t="s">
        <v>2378</v>
      </c>
      <c r="P1923" s="153" t="s">
        <v>8487</v>
      </c>
      <c r="Q1923" s="14">
        <v>964510.0</v>
      </c>
      <c r="R1923" s="95"/>
      <c r="S1923" s="154">
        <v>480803.0</v>
      </c>
      <c r="T1923" s="84"/>
      <c r="U1923" s="84"/>
      <c r="V1923" s="84"/>
      <c r="W1923" s="84"/>
      <c r="X1923" s="84"/>
      <c r="Y1923" s="84"/>
      <c r="Z1923" s="84"/>
      <c r="AA1923" s="84"/>
      <c r="AB1923" s="84"/>
      <c r="AC1923" s="84"/>
    </row>
    <row r="1924" ht="15.75" customHeight="1">
      <c r="A1924" s="14" t="s">
        <v>17</v>
      </c>
      <c r="B1924" s="14">
        <v>2001.0</v>
      </c>
      <c r="C1924" s="14" t="s">
        <v>11218</v>
      </c>
      <c r="D1924" s="14" t="s">
        <v>11220</v>
      </c>
      <c r="E1924" s="150" t="str">
        <f t="shared" si="26"/>
        <v>http://dx.doi.org/10.1109/VISUAL.2001.964559</v>
      </c>
      <c r="F1924" s="50">
        <v>489.0</v>
      </c>
      <c r="G1924" s="50">
        <v>492.0</v>
      </c>
      <c r="H1924" s="151"/>
      <c r="I1924" s="14" t="s">
        <v>28</v>
      </c>
      <c r="J1924" s="14" t="s">
        <v>13839</v>
      </c>
      <c r="K1924" s="14" t="s">
        <v>38917</v>
      </c>
      <c r="L1924" s="152" t="s">
        <v>3790</v>
      </c>
      <c r="M1924" s="14" t="s">
        <v>38918</v>
      </c>
      <c r="N1924" s="54" t="s">
        <v>38917</v>
      </c>
      <c r="O1924" s="130"/>
      <c r="P1924" s="153" t="s">
        <v>11260</v>
      </c>
      <c r="Q1924" s="14">
        <v>964559.0</v>
      </c>
      <c r="R1924" s="95"/>
      <c r="S1924" s="154"/>
      <c r="T1924" s="84"/>
      <c r="U1924" s="84"/>
      <c r="V1924" s="84"/>
      <c r="W1924" s="84"/>
      <c r="X1924" s="84"/>
      <c r="Y1924" s="84"/>
      <c r="Z1924" s="84"/>
      <c r="AA1924" s="84"/>
      <c r="AB1924" s="84"/>
      <c r="AC1924" s="84"/>
    </row>
    <row r="1925" ht="15.75" customHeight="1">
      <c r="A1925" s="14" t="s">
        <v>17</v>
      </c>
      <c r="B1925" s="14">
        <v>2001.0</v>
      </c>
      <c r="C1925" s="14" t="s">
        <v>8549</v>
      </c>
      <c r="D1925" s="14" t="s">
        <v>8550</v>
      </c>
      <c r="E1925" s="150" t="str">
        <f t="shared" si="26"/>
        <v>http://dx.doi.org/10.1109/VISUAL.2001.964513</v>
      </c>
      <c r="F1925" s="50">
        <v>207.0</v>
      </c>
      <c r="G1925" s="50">
        <v>213.0</v>
      </c>
      <c r="H1925" s="151"/>
      <c r="I1925" s="14" t="s">
        <v>28</v>
      </c>
      <c r="J1925" s="14" t="s">
        <v>13435</v>
      </c>
      <c r="K1925" s="14" t="s">
        <v>38920</v>
      </c>
      <c r="L1925" s="152" t="s">
        <v>8584</v>
      </c>
      <c r="M1925" s="14" t="s">
        <v>38921</v>
      </c>
      <c r="N1925" s="54" t="s">
        <v>38920</v>
      </c>
      <c r="O1925" s="130" t="s">
        <v>8586</v>
      </c>
      <c r="P1925" s="153" t="s">
        <v>8587</v>
      </c>
      <c r="Q1925" s="14">
        <v>964513.0</v>
      </c>
      <c r="R1925" s="95"/>
      <c r="S1925" s="154" t="s">
        <v>38922</v>
      </c>
      <c r="T1925" s="84"/>
      <c r="U1925" s="84"/>
      <c r="V1925" s="84"/>
      <c r="W1925" s="84"/>
      <c r="X1925" s="84"/>
      <c r="Y1925" s="84"/>
      <c r="Z1925" s="84"/>
      <c r="AA1925" s="84"/>
      <c r="AB1925" s="84"/>
      <c r="AC1925" s="84"/>
    </row>
    <row r="1926" ht="15.75" customHeight="1">
      <c r="A1926" s="14" t="s">
        <v>17</v>
      </c>
      <c r="B1926" s="14">
        <v>2001.0</v>
      </c>
      <c r="C1926" s="14" t="s">
        <v>7290</v>
      </c>
      <c r="D1926" s="14" t="s">
        <v>7292</v>
      </c>
      <c r="E1926" s="150" t="str">
        <f t="shared" si="26"/>
        <v>http://dx.doi.org/10.1109/VISUAL.2001.964494</v>
      </c>
      <c r="F1926" s="50">
        <v>61.0</v>
      </c>
      <c r="G1926" s="50">
        <v>68.0</v>
      </c>
      <c r="H1926" s="151"/>
      <c r="I1926" s="14" t="s">
        <v>28</v>
      </c>
      <c r="J1926" s="14" t="s">
        <v>13297</v>
      </c>
      <c r="K1926" s="14" t="s">
        <v>38923</v>
      </c>
      <c r="L1926" s="152" t="s">
        <v>7630</v>
      </c>
      <c r="M1926" s="14" t="s">
        <v>38924</v>
      </c>
      <c r="N1926" s="54" t="s">
        <v>38923</v>
      </c>
      <c r="O1926" s="130" t="s">
        <v>7631</v>
      </c>
      <c r="P1926" s="153" t="s">
        <v>7632</v>
      </c>
      <c r="Q1926" s="14">
        <v>964494.0</v>
      </c>
      <c r="R1926" s="95"/>
      <c r="S1926" s="154" t="s">
        <v>38925</v>
      </c>
      <c r="T1926" s="84"/>
      <c r="U1926" s="84"/>
      <c r="V1926" s="84"/>
      <c r="W1926" s="84"/>
      <c r="X1926" s="84"/>
      <c r="Y1926" s="84"/>
      <c r="Z1926" s="84"/>
      <c r="AA1926" s="84"/>
      <c r="AB1926" s="84"/>
      <c r="AC1926" s="84"/>
    </row>
    <row r="1927" ht="15.75" customHeight="1">
      <c r="A1927" s="14" t="s">
        <v>17</v>
      </c>
      <c r="B1927" s="14">
        <v>2001.0</v>
      </c>
      <c r="C1927" s="14" t="s">
        <v>7727</v>
      </c>
      <c r="D1927" s="14" t="s">
        <v>7728</v>
      </c>
      <c r="E1927" s="150" t="str">
        <f t="shared" si="26"/>
        <v>http://dx.doi.org/10.1109/VISUAL.2001.964497</v>
      </c>
      <c r="F1927" s="50">
        <v>83.0</v>
      </c>
      <c r="G1927" s="50">
        <v>90.0</v>
      </c>
      <c r="H1927" s="151"/>
      <c r="I1927" s="14" t="s">
        <v>28</v>
      </c>
      <c r="J1927" s="14" t="s">
        <v>13319</v>
      </c>
      <c r="K1927" s="14" t="s">
        <v>38926</v>
      </c>
      <c r="L1927" s="152" t="s">
        <v>7759</v>
      </c>
      <c r="M1927" s="14" t="s">
        <v>38927</v>
      </c>
      <c r="N1927" s="54" t="s">
        <v>38926</v>
      </c>
      <c r="O1927" s="130" t="s">
        <v>7761</v>
      </c>
      <c r="P1927" s="153" t="s">
        <v>7763</v>
      </c>
      <c r="Q1927" s="14">
        <v>964497.0</v>
      </c>
      <c r="R1927" s="95"/>
      <c r="S1927" s="154" t="s">
        <v>38928</v>
      </c>
      <c r="T1927" s="84"/>
      <c r="U1927" s="84"/>
      <c r="V1927" s="84"/>
      <c r="W1927" s="84"/>
      <c r="X1927" s="84"/>
      <c r="Y1927" s="84"/>
      <c r="Z1927" s="84"/>
      <c r="AA1927" s="84"/>
      <c r="AB1927" s="84"/>
      <c r="AC1927" s="84"/>
    </row>
    <row r="1928" ht="15.75" customHeight="1">
      <c r="A1928" s="14" t="s">
        <v>17</v>
      </c>
      <c r="B1928" s="14">
        <v>2001.0</v>
      </c>
      <c r="C1928" s="14" t="s">
        <v>9621</v>
      </c>
      <c r="D1928" s="14" t="s">
        <v>9623</v>
      </c>
      <c r="E1928" s="150" t="str">
        <f t="shared" si="26"/>
        <v>http://dx.doi.org/10.1109/VISUAL.2001.964526</v>
      </c>
      <c r="F1928" s="50">
        <v>311.0</v>
      </c>
      <c r="G1928" s="50">
        <v>318.0</v>
      </c>
      <c r="H1928" s="151"/>
      <c r="I1928" s="14" t="s">
        <v>28</v>
      </c>
      <c r="J1928" s="14" t="s">
        <v>13524</v>
      </c>
      <c r="K1928" s="14" t="s">
        <v>38929</v>
      </c>
      <c r="L1928" s="152" t="s">
        <v>1596</v>
      </c>
      <c r="M1928" s="14" t="s">
        <v>38930</v>
      </c>
      <c r="N1928" s="54" t="s">
        <v>38929</v>
      </c>
      <c r="O1928" s="130" t="s">
        <v>9657</v>
      </c>
      <c r="P1928" s="16"/>
      <c r="Q1928" s="14">
        <v>964526.0</v>
      </c>
      <c r="R1928" s="95"/>
      <c r="S1928" s="154" t="s">
        <v>38932</v>
      </c>
      <c r="T1928" s="84"/>
      <c r="U1928" s="84"/>
      <c r="V1928" s="84"/>
      <c r="W1928" s="84"/>
      <c r="X1928" s="84"/>
      <c r="Y1928" s="84"/>
      <c r="Z1928" s="84"/>
      <c r="AA1928" s="84"/>
      <c r="AB1928" s="84"/>
      <c r="AC1928" s="84"/>
    </row>
    <row r="1929" ht="15.75" customHeight="1">
      <c r="A1929" s="14" t="s">
        <v>17</v>
      </c>
      <c r="B1929" s="14">
        <v>2001.0</v>
      </c>
      <c r="C1929" s="14" t="s">
        <v>10183</v>
      </c>
      <c r="D1929" s="14" t="s">
        <v>10185</v>
      </c>
      <c r="E1929" s="150" t="str">
        <f t="shared" si="26"/>
        <v>http://dx.doi.org/10.1109/VISUAL.2001.964539</v>
      </c>
      <c r="F1929" s="50">
        <v>403.0</v>
      </c>
      <c r="G1929" s="50">
        <v>410.0</v>
      </c>
      <c r="H1929" s="151"/>
      <c r="I1929" s="14" t="s">
        <v>28</v>
      </c>
      <c r="J1929" s="14" t="s">
        <v>13629</v>
      </c>
      <c r="K1929" s="14" t="s">
        <v>38933</v>
      </c>
      <c r="L1929" s="152" t="s">
        <v>10218</v>
      </c>
      <c r="M1929" s="14" t="s">
        <v>38934</v>
      </c>
      <c r="N1929" s="54" t="s">
        <v>38933</v>
      </c>
      <c r="O1929" s="130" t="s">
        <v>10220</v>
      </c>
      <c r="P1929" s="153" t="s">
        <v>10221</v>
      </c>
      <c r="Q1929" s="14">
        <v>964539.0</v>
      </c>
      <c r="R1929" s="95"/>
      <c r="S1929" s="154" t="s">
        <v>38935</v>
      </c>
      <c r="T1929" s="84"/>
      <c r="U1929" s="84"/>
      <c r="V1929" s="84"/>
      <c r="W1929" s="84"/>
      <c r="X1929" s="84"/>
      <c r="Y1929" s="84"/>
      <c r="Z1929" s="84"/>
      <c r="AA1929" s="84"/>
      <c r="AB1929" s="84"/>
      <c r="AC1929" s="84"/>
    </row>
    <row r="1930" ht="15.75" customHeight="1">
      <c r="A1930" s="14" t="s">
        <v>17</v>
      </c>
      <c r="B1930" s="50">
        <v>2001.0</v>
      </c>
      <c r="C1930" s="14" t="s">
        <v>11324</v>
      </c>
      <c r="D1930" s="67" t="s">
        <v>11326</v>
      </c>
      <c r="E1930" s="194" t="s">
        <v>11329</v>
      </c>
      <c r="F1930" s="50">
        <v>497.0</v>
      </c>
      <c r="G1930" s="50">
        <v>500.0</v>
      </c>
      <c r="H1930" s="151"/>
      <c r="I1930" s="14" t="s">
        <v>28</v>
      </c>
      <c r="J1930" s="14" t="s">
        <v>13863</v>
      </c>
      <c r="K1930" s="14" t="s">
        <v>38936</v>
      </c>
      <c r="L1930" s="152"/>
      <c r="M1930" s="14"/>
      <c r="N1930" s="54" t="s">
        <v>38936</v>
      </c>
      <c r="O1930" s="130"/>
      <c r="P1930" s="193" t="s">
        <v>11377</v>
      </c>
      <c r="Q1930" s="14">
        <v>964561.0</v>
      </c>
      <c r="R1930" s="95" t="s">
        <v>18275</v>
      </c>
      <c r="S1930" s="154"/>
      <c r="T1930" s="84"/>
      <c r="U1930" s="84"/>
      <c r="V1930" s="84"/>
      <c r="W1930" s="84"/>
      <c r="X1930" s="84"/>
      <c r="Y1930" s="84"/>
      <c r="Z1930" s="84"/>
      <c r="AA1930" s="84"/>
      <c r="AB1930" s="84"/>
      <c r="AC1930" s="84"/>
    </row>
    <row r="1931" ht="15.75" customHeight="1">
      <c r="A1931" s="14" t="s">
        <v>17</v>
      </c>
      <c r="B1931" s="14">
        <v>2001.0</v>
      </c>
      <c r="C1931" s="14" t="s">
        <v>10137</v>
      </c>
      <c r="D1931" s="14" t="s">
        <v>10139</v>
      </c>
      <c r="E1931" s="150" t="str">
        <f t="shared" ref="E1931:E1932" si="27">"http://dx.doi.org/" &amp; D1931</f>
        <v>http://dx.doi.org/10.1109/VISUAL.2001.964538</v>
      </c>
      <c r="F1931" s="50">
        <v>395.0</v>
      </c>
      <c r="G1931" s="50">
        <v>402.0</v>
      </c>
      <c r="H1931" s="151"/>
      <c r="I1931" s="14" t="s">
        <v>28</v>
      </c>
      <c r="J1931" s="14" t="s">
        <v>13626</v>
      </c>
      <c r="K1931" s="14" t="s">
        <v>38938</v>
      </c>
      <c r="L1931" s="152" t="s">
        <v>10176</v>
      </c>
      <c r="M1931" s="14" t="s">
        <v>38939</v>
      </c>
      <c r="N1931" s="54" t="s">
        <v>38938</v>
      </c>
      <c r="O1931" s="130" t="s">
        <v>3781</v>
      </c>
      <c r="P1931" s="153" t="s">
        <v>10180</v>
      </c>
      <c r="Q1931" s="14">
        <v>964538.0</v>
      </c>
      <c r="R1931" s="95"/>
      <c r="S1931" s="154">
        <v>663917.0</v>
      </c>
      <c r="T1931" s="84"/>
      <c r="U1931" s="84"/>
      <c r="V1931" s="84"/>
      <c r="W1931" s="84"/>
      <c r="X1931" s="84"/>
      <c r="Y1931" s="84"/>
      <c r="Z1931" s="84"/>
      <c r="AA1931" s="84"/>
      <c r="AB1931" s="84"/>
      <c r="AC1931" s="84"/>
    </row>
    <row r="1932" ht="15.75" customHeight="1">
      <c r="A1932" s="14" t="s">
        <v>17</v>
      </c>
      <c r="B1932" s="14">
        <v>2001.0</v>
      </c>
      <c r="C1932" s="14" t="s">
        <v>9955</v>
      </c>
      <c r="D1932" s="14" t="s">
        <v>9956</v>
      </c>
      <c r="E1932" s="150" t="str">
        <f t="shared" si="27"/>
        <v>http://dx.doi.org/10.1109/VISUAL.2001.964533</v>
      </c>
      <c r="F1932" s="50">
        <v>363.0</v>
      </c>
      <c r="G1932" s="50">
        <v>370.0</v>
      </c>
      <c r="H1932" s="151"/>
      <c r="I1932" s="14" t="s">
        <v>28</v>
      </c>
      <c r="J1932" s="14" t="s">
        <v>13593</v>
      </c>
      <c r="K1932" s="14" t="s">
        <v>38940</v>
      </c>
      <c r="L1932" s="152" t="s">
        <v>9985</v>
      </c>
      <c r="M1932" s="14" t="s">
        <v>38941</v>
      </c>
      <c r="N1932" s="54" t="s">
        <v>38940</v>
      </c>
      <c r="O1932" s="130" t="s">
        <v>9987</v>
      </c>
      <c r="P1932" s="16"/>
      <c r="Q1932" s="14">
        <v>964533.0</v>
      </c>
      <c r="R1932" s="95"/>
      <c r="S1932" s="154" t="s">
        <v>38942</v>
      </c>
      <c r="T1932" s="84"/>
      <c r="U1932" s="84"/>
      <c r="V1932" s="84"/>
      <c r="W1932" s="84"/>
      <c r="X1932" s="84"/>
      <c r="Y1932" s="84"/>
      <c r="Z1932" s="84"/>
      <c r="AA1932" s="84"/>
      <c r="AB1932" s="84"/>
      <c r="AC1932" s="84"/>
    </row>
    <row r="1933" ht="15.75" customHeight="1">
      <c r="A1933" s="14" t="s">
        <v>17</v>
      </c>
      <c r="B1933" s="14">
        <v>2001.0</v>
      </c>
      <c r="C1933" s="14" t="s">
        <v>7673</v>
      </c>
      <c r="D1933" s="67" t="s">
        <v>7675</v>
      </c>
      <c r="E1933" s="194" t="s">
        <v>7677</v>
      </c>
      <c r="F1933" s="50">
        <v>75.0</v>
      </c>
      <c r="G1933" s="50">
        <v>82.0</v>
      </c>
      <c r="H1933" s="151"/>
      <c r="I1933" s="14" t="s">
        <v>28</v>
      </c>
      <c r="J1933" s="14" t="s">
        <v>38943</v>
      </c>
      <c r="K1933" s="14" t="s">
        <v>38944</v>
      </c>
      <c r="L1933" s="152"/>
      <c r="M1933" s="14"/>
      <c r="N1933" s="54" t="s">
        <v>38944</v>
      </c>
      <c r="O1933" s="130" t="s">
        <v>3655</v>
      </c>
      <c r="P1933" s="193" t="s">
        <v>7723</v>
      </c>
      <c r="Q1933" s="14" t="s">
        <v>38945</v>
      </c>
      <c r="R1933" s="95" t="s">
        <v>18275</v>
      </c>
      <c r="S1933" s="154">
        <v>663893.0</v>
      </c>
      <c r="T1933" s="115"/>
      <c r="U1933" s="115"/>
      <c r="V1933" s="115"/>
      <c r="W1933" s="115"/>
      <c r="X1933" s="115"/>
      <c r="Y1933" s="115"/>
      <c r="Z1933" s="115"/>
      <c r="AA1933" s="115"/>
      <c r="AB1933" s="115"/>
      <c r="AC1933" s="115"/>
    </row>
    <row r="1934" ht="15.75" customHeight="1">
      <c r="A1934" s="14" t="s">
        <v>17</v>
      </c>
      <c r="B1934" s="14">
        <v>2001.0</v>
      </c>
      <c r="C1934" s="14" t="s">
        <v>10909</v>
      </c>
      <c r="D1934" s="14" t="s">
        <v>10911</v>
      </c>
      <c r="E1934" s="150" t="str">
        <f>"http://dx.doi.org/" &amp; D1934</f>
        <v>http://dx.doi.org/10.1109/VISUAL.2001.964550</v>
      </c>
      <c r="F1934" s="50">
        <v>457.0</v>
      </c>
      <c r="G1934" s="50">
        <v>460.0</v>
      </c>
      <c r="H1934" s="151"/>
      <c r="I1934" s="14" t="s">
        <v>28</v>
      </c>
      <c r="J1934" s="14" t="s">
        <v>13812</v>
      </c>
      <c r="K1934" s="14" t="s">
        <v>38946</v>
      </c>
      <c r="L1934" s="152" t="s">
        <v>10945</v>
      </c>
      <c r="M1934" s="14" t="s">
        <v>38947</v>
      </c>
      <c r="N1934" s="54" t="s">
        <v>38946</v>
      </c>
      <c r="O1934" s="130"/>
      <c r="P1934" s="153" t="s">
        <v>10946</v>
      </c>
      <c r="Q1934" s="14">
        <v>964550.0</v>
      </c>
      <c r="R1934" s="95"/>
      <c r="S1934" s="154"/>
      <c r="T1934" s="84"/>
      <c r="U1934" s="84"/>
      <c r="V1934" s="84"/>
      <c r="W1934" s="84"/>
      <c r="X1934" s="84"/>
      <c r="Y1934" s="84"/>
      <c r="Z1934" s="84"/>
      <c r="AA1934" s="84"/>
      <c r="AB1934" s="84"/>
      <c r="AC1934" s="84"/>
    </row>
    <row r="1935" ht="15.75" customHeight="1">
      <c r="A1935" s="14" t="s">
        <v>17</v>
      </c>
      <c r="B1935" s="14">
        <v>2001.0</v>
      </c>
      <c r="C1935" s="14" t="s">
        <v>10077</v>
      </c>
      <c r="D1935" s="67" t="s">
        <v>10078</v>
      </c>
      <c r="E1935" s="194" t="s">
        <v>10080</v>
      </c>
      <c r="F1935" s="50">
        <v>387.0</v>
      </c>
      <c r="G1935" s="50">
        <v>394.0</v>
      </c>
      <c r="H1935" s="151"/>
      <c r="I1935" s="14" t="s">
        <v>28</v>
      </c>
      <c r="J1935" s="54" t="s">
        <v>38950</v>
      </c>
      <c r="K1935" s="14" t="s">
        <v>38951</v>
      </c>
      <c r="L1935" s="152"/>
      <c r="M1935" s="14"/>
      <c r="N1935" s="54" t="s">
        <v>38952</v>
      </c>
      <c r="O1935" s="130" t="s">
        <v>10132</v>
      </c>
      <c r="P1935" s="193" t="s">
        <v>10134</v>
      </c>
      <c r="Q1935" s="14" t="s">
        <v>38953</v>
      </c>
      <c r="R1935" s="95" t="s">
        <v>18275</v>
      </c>
      <c r="S1935" s="154" t="s">
        <v>38954</v>
      </c>
      <c r="T1935" s="115"/>
      <c r="U1935" s="115"/>
      <c r="V1935" s="115"/>
      <c r="W1935" s="115"/>
      <c r="X1935" s="115"/>
      <c r="Y1935" s="115"/>
      <c r="Z1935" s="115"/>
      <c r="AA1935" s="115"/>
      <c r="AB1935" s="115"/>
      <c r="AC1935" s="115"/>
    </row>
    <row r="1936" ht="15.75" customHeight="1">
      <c r="A1936" s="14" t="s">
        <v>17</v>
      </c>
      <c r="B1936" s="14">
        <v>2001.0</v>
      </c>
      <c r="C1936" s="14" t="s">
        <v>9579</v>
      </c>
      <c r="D1936" s="14" t="s">
        <v>9581</v>
      </c>
      <c r="E1936" s="150" t="str">
        <f>"http://dx.doi.org/" &amp; D1936</f>
        <v>http://dx.doi.org/10.1109/VISUAL.2001.964525</v>
      </c>
      <c r="F1936" s="50">
        <v>303.0</v>
      </c>
      <c r="G1936" s="50">
        <v>310.0</v>
      </c>
      <c r="H1936" s="151"/>
      <c r="I1936" s="14" t="s">
        <v>28</v>
      </c>
      <c r="J1936" s="14" t="s">
        <v>13521</v>
      </c>
      <c r="K1936" s="14" t="s">
        <v>38955</v>
      </c>
      <c r="L1936" s="152" t="s">
        <v>9614</v>
      </c>
      <c r="M1936" s="14" t="s">
        <v>38956</v>
      </c>
      <c r="N1936" s="54" t="s">
        <v>38957</v>
      </c>
      <c r="O1936" s="130" t="s">
        <v>9616</v>
      </c>
      <c r="P1936" s="153" t="s">
        <v>9618</v>
      </c>
      <c r="Q1936" s="14">
        <v>964525.0</v>
      </c>
      <c r="R1936" s="95"/>
      <c r="S1936" s="154" t="s">
        <v>38958</v>
      </c>
      <c r="T1936" s="84"/>
      <c r="U1936" s="84"/>
      <c r="V1936" s="84"/>
      <c r="W1936" s="84"/>
      <c r="X1936" s="84"/>
      <c r="Y1936" s="84"/>
      <c r="Z1936" s="84"/>
      <c r="AA1936" s="84"/>
      <c r="AB1936" s="84"/>
      <c r="AC1936" s="84"/>
    </row>
    <row r="1937" ht="15.75" customHeight="1">
      <c r="A1937" s="14" t="s">
        <v>17</v>
      </c>
      <c r="B1937" s="50">
        <v>2001.0</v>
      </c>
      <c r="C1937" s="14" t="s">
        <v>11416</v>
      </c>
      <c r="D1937" s="67" t="s">
        <v>11417</v>
      </c>
      <c r="E1937" s="194" t="str">
        <f>HYPERLINK("http://doi.ieeecomputersociety.org/10.1109/VISUAL.2001.964563","http://doi.ieeecomputersociety.org/10.1109/VISUAL.2001.964563")</f>
        <v>http://doi.ieeecomputersociety.org/10.1109/VISUAL.2001.964563</v>
      </c>
      <c r="F1937" s="50">
        <v>505.0</v>
      </c>
      <c r="G1937" s="50">
        <v>508.0</v>
      </c>
      <c r="H1937" s="151"/>
      <c r="I1937" s="14" t="s">
        <v>28</v>
      </c>
      <c r="J1937" s="14" t="s">
        <v>13879</v>
      </c>
      <c r="K1937" s="14" t="s">
        <v>38959</v>
      </c>
      <c r="L1937" s="152"/>
      <c r="M1937" s="14"/>
      <c r="N1937" s="54" t="s">
        <v>38960</v>
      </c>
      <c r="O1937" s="130" t="s">
        <v>4567</v>
      </c>
      <c r="P1937" s="193" t="s">
        <v>11467</v>
      </c>
      <c r="Q1937" s="14">
        <v>964563.0</v>
      </c>
      <c r="R1937" s="95" t="s">
        <v>18275</v>
      </c>
      <c r="S1937" s="154">
        <v>745331.0</v>
      </c>
      <c r="T1937" s="84"/>
      <c r="U1937" s="84"/>
      <c r="V1937" s="84"/>
      <c r="W1937" s="84"/>
      <c r="X1937" s="84"/>
      <c r="Y1937" s="84"/>
      <c r="Z1937" s="84"/>
      <c r="AA1937" s="84"/>
      <c r="AB1937" s="84"/>
      <c r="AC1937" s="84"/>
    </row>
    <row r="1938" ht="15.75" customHeight="1">
      <c r="A1938" s="14" t="s">
        <v>2137</v>
      </c>
      <c r="B1938" s="14">
        <v>2000.0</v>
      </c>
      <c r="C1938" s="14" t="s">
        <v>5493</v>
      </c>
      <c r="D1938" s="14" t="s">
        <v>5494</v>
      </c>
      <c r="E1938" s="150" t="str">
        <f t="shared" ref="E1938:E1954" si="28">"http://dx.doi.org/" &amp; D1938</f>
        <v>http://dx.doi.org/10.1109/INFVIS.2000.885088</v>
      </c>
      <c r="F1938" s="14">
        <v>27.0</v>
      </c>
      <c r="G1938" s="14">
        <v>36.0</v>
      </c>
      <c r="H1938" s="151"/>
      <c r="I1938" s="14" t="s">
        <v>28</v>
      </c>
      <c r="J1938" s="14" t="s">
        <v>38961</v>
      </c>
      <c r="K1938" s="14" t="s">
        <v>38962</v>
      </c>
      <c r="L1938" s="152" t="s">
        <v>5497</v>
      </c>
      <c r="M1938" s="14" t="s">
        <v>38963</v>
      </c>
      <c r="N1938" s="54" t="s">
        <v>38962</v>
      </c>
      <c r="O1938" s="130" t="s">
        <v>5498</v>
      </c>
      <c r="P1938" s="16"/>
      <c r="Q1938" s="14">
        <v>885088.0</v>
      </c>
      <c r="R1938" s="95"/>
      <c r="S1938" s="154" t="s">
        <v>38964</v>
      </c>
      <c r="T1938" s="84"/>
      <c r="U1938" s="84"/>
      <c r="V1938" s="84"/>
      <c r="W1938" s="84"/>
      <c r="X1938" s="84"/>
      <c r="Y1938" s="84"/>
      <c r="Z1938" s="84"/>
      <c r="AA1938" s="84"/>
      <c r="AB1938" s="84"/>
      <c r="AC1938" s="84"/>
    </row>
    <row r="1939" ht="15.75" customHeight="1">
      <c r="A1939" s="14" t="s">
        <v>2137</v>
      </c>
      <c r="B1939" s="14">
        <v>2000.0</v>
      </c>
      <c r="C1939" s="14" t="s">
        <v>5524</v>
      </c>
      <c r="D1939" s="14" t="s">
        <v>5525</v>
      </c>
      <c r="E1939" s="150" t="str">
        <f t="shared" si="28"/>
        <v>http://dx.doi.org/10.1109/INFVIS.2000.885092</v>
      </c>
      <c r="F1939" s="14">
        <v>69.0</v>
      </c>
      <c r="G1939" s="14">
        <v>75.0</v>
      </c>
      <c r="H1939" s="151"/>
      <c r="I1939" s="14" t="s">
        <v>28</v>
      </c>
      <c r="J1939" s="14" t="s">
        <v>38965</v>
      </c>
      <c r="K1939" s="14" t="s">
        <v>38966</v>
      </c>
      <c r="L1939" s="152" t="s">
        <v>5532</v>
      </c>
      <c r="M1939" s="14">
        <v>3.74480308E10</v>
      </c>
      <c r="N1939" s="54" t="s">
        <v>6884</v>
      </c>
      <c r="O1939" s="130" t="s">
        <v>5533</v>
      </c>
      <c r="P1939" s="153" t="s">
        <v>5534</v>
      </c>
      <c r="Q1939" s="14">
        <v>885092.0</v>
      </c>
      <c r="R1939" s="95"/>
      <c r="S1939" s="154" t="s">
        <v>38967</v>
      </c>
      <c r="T1939" s="84"/>
      <c r="U1939" s="84"/>
      <c r="V1939" s="84"/>
      <c r="W1939" s="84"/>
      <c r="X1939" s="84"/>
      <c r="Y1939" s="84"/>
      <c r="Z1939" s="84"/>
      <c r="AA1939" s="84"/>
      <c r="AB1939" s="84"/>
      <c r="AC1939" s="84"/>
    </row>
    <row r="1940" ht="15.75" customHeight="1">
      <c r="A1940" s="14" t="s">
        <v>2137</v>
      </c>
      <c r="B1940" s="14">
        <v>2000.0</v>
      </c>
      <c r="C1940" s="14" t="s">
        <v>5596</v>
      </c>
      <c r="D1940" s="14" t="s">
        <v>5597</v>
      </c>
      <c r="E1940" s="150" t="str">
        <f t="shared" si="28"/>
        <v>http://dx.doi.org/10.1109/INFVIS.2000.885102</v>
      </c>
      <c r="F1940" s="14">
        <v>137.0</v>
      </c>
      <c r="G1940" s="14">
        <v>141.0</v>
      </c>
      <c r="H1940" s="151"/>
      <c r="I1940" s="14" t="s">
        <v>28</v>
      </c>
      <c r="J1940" s="14" t="s">
        <v>38968</v>
      </c>
      <c r="K1940" s="14" t="s">
        <v>38969</v>
      </c>
      <c r="L1940" s="152" t="s">
        <v>5603</v>
      </c>
      <c r="M1940" s="14" t="s">
        <v>38970</v>
      </c>
      <c r="N1940" s="54" t="s">
        <v>38969</v>
      </c>
      <c r="O1940" s="130"/>
      <c r="P1940" s="16"/>
      <c r="Q1940" s="14">
        <v>885102.0</v>
      </c>
      <c r="R1940" s="95"/>
      <c r="S1940" s="154"/>
      <c r="T1940" s="84"/>
      <c r="U1940" s="84"/>
      <c r="V1940" s="84"/>
      <c r="W1940" s="84"/>
      <c r="X1940" s="84"/>
      <c r="Y1940" s="84"/>
      <c r="Z1940" s="84"/>
      <c r="AA1940" s="84"/>
      <c r="AB1940" s="84"/>
      <c r="AC1940" s="84"/>
    </row>
    <row r="1941" ht="15.75" customHeight="1">
      <c r="A1941" s="14" t="s">
        <v>2137</v>
      </c>
      <c r="B1941" s="14">
        <v>2000.0</v>
      </c>
      <c r="C1941" s="14" t="s">
        <v>5616</v>
      </c>
      <c r="D1941" s="14" t="s">
        <v>5617</v>
      </c>
      <c r="E1941" s="150" t="str">
        <f t="shared" si="28"/>
        <v>http://dx.doi.org/10.1109/INFVIS.2000.885105</v>
      </c>
      <c r="F1941" s="14">
        <v>167.0</v>
      </c>
      <c r="G1941" s="14">
        <v>171.0</v>
      </c>
      <c r="H1941" s="151"/>
      <c r="I1941" s="14" t="s">
        <v>28</v>
      </c>
      <c r="J1941" s="14" t="s">
        <v>38971</v>
      </c>
      <c r="K1941" s="14" t="s">
        <v>38972</v>
      </c>
      <c r="L1941" s="152" t="s">
        <v>5623</v>
      </c>
      <c r="M1941" s="14" t="s">
        <v>38973</v>
      </c>
      <c r="N1941" s="54" t="s">
        <v>38972</v>
      </c>
      <c r="O1941" s="130"/>
      <c r="P1941" s="153" t="s">
        <v>38974</v>
      </c>
      <c r="Q1941" s="14">
        <v>885105.0</v>
      </c>
      <c r="R1941" s="95"/>
      <c r="S1941" s="154"/>
      <c r="T1941" s="84"/>
      <c r="U1941" s="84"/>
      <c r="V1941" s="84"/>
      <c r="W1941" s="84"/>
      <c r="X1941" s="84"/>
      <c r="Y1941" s="84"/>
      <c r="Z1941" s="84"/>
      <c r="AA1941" s="84"/>
      <c r="AB1941" s="84"/>
      <c r="AC1941" s="84"/>
    </row>
    <row r="1942" ht="15.75" customHeight="1">
      <c r="A1942" s="14" t="s">
        <v>2137</v>
      </c>
      <c r="B1942" s="14">
        <v>2000.0</v>
      </c>
      <c r="C1942" s="14" t="s">
        <v>5508</v>
      </c>
      <c r="D1942" s="14" t="s">
        <v>5509</v>
      </c>
      <c r="E1942" s="150" t="str">
        <f t="shared" si="28"/>
        <v>http://dx.doi.org/10.1109/INFVIS.2000.885090</v>
      </c>
      <c r="F1942" s="14">
        <v>49.0</v>
      </c>
      <c r="G1942" s="14">
        <v>56.0</v>
      </c>
      <c r="H1942" s="151"/>
      <c r="I1942" s="14" t="s">
        <v>28</v>
      </c>
      <c r="J1942" s="14" t="s">
        <v>38975</v>
      </c>
      <c r="K1942" s="14" t="s">
        <v>38976</v>
      </c>
      <c r="L1942" s="152" t="s">
        <v>5515</v>
      </c>
      <c r="M1942" s="14" t="s">
        <v>38977</v>
      </c>
      <c r="N1942" s="54" t="s">
        <v>38976</v>
      </c>
      <c r="O1942" s="130" t="s">
        <v>5516</v>
      </c>
      <c r="P1942" s="153" t="s">
        <v>5517</v>
      </c>
      <c r="Q1942" s="14">
        <v>885090.0</v>
      </c>
      <c r="R1942" s="95"/>
      <c r="S1942" s="154" t="s">
        <v>38978</v>
      </c>
      <c r="T1942" s="84"/>
      <c r="U1942" s="84"/>
      <c r="V1942" s="84"/>
      <c r="W1942" s="84"/>
      <c r="X1942" s="84"/>
      <c r="Y1942" s="84"/>
      <c r="Z1942" s="84"/>
      <c r="AA1942" s="84"/>
      <c r="AB1942" s="84"/>
      <c r="AC1942" s="84"/>
    </row>
    <row r="1943" ht="15.75" customHeight="1">
      <c r="A1943" s="14" t="s">
        <v>2137</v>
      </c>
      <c r="B1943" s="14">
        <v>2000.0</v>
      </c>
      <c r="C1943" s="14" t="s">
        <v>5518</v>
      </c>
      <c r="D1943" s="14" t="s">
        <v>5519</v>
      </c>
      <c r="E1943" s="150" t="str">
        <f t="shared" si="28"/>
        <v>http://dx.doi.org/10.1109/INFVIS.2000.885091</v>
      </c>
      <c r="F1943" s="14">
        <v>57.0</v>
      </c>
      <c r="G1943" s="14">
        <v>65.0</v>
      </c>
      <c r="H1943" s="151"/>
      <c r="I1943" s="14" t="s">
        <v>28</v>
      </c>
      <c r="J1943" s="14" t="s">
        <v>38980</v>
      </c>
      <c r="K1943" s="14" t="s">
        <v>38981</v>
      </c>
      <c r="L1943" s="152" t="s">
        <v>5522</v>
      </c>
      <c r="M1943" s="14" t="s">
        <v>38982</v>
      </c>
      <c r="N1943" s="54" t="s">
        <v>38981</v>
      </c>
      <c r="O1943" s="130" t="s">
        <v>5523</v>
      </c>
      <c r="P1943" s="16"/>
      <c r="Q1943" s="14">
        <v>885091.0</v>
      </c>
      <c r="R1943" s="95"/>
      <c r="S1943" s="154" t="s">
        <v>38983</v>
      </c>
      <c r="T1943" s="84"/>
      <c r="U1943" s="84"/>
      <c r="V1943" s="84"/>
      <c r="W1943" s="84"/>
      <c r="X1943" s="84"/>
      <c r="Y1943" s="84"/>
      <c r="Z1943" s="84"/>
      <c r="AA1943" s="84"/>
      <c r="AB1943" s="84"/>
      <c r="AC1943" s="84"/>
    </row>
    <row r="1944" ht="15.75" customHeight="1">
      <c r="A1944" s="14" t="s">
        <v>2137</v>
      </c>
      <c r="B1944" s="14">
        <v>2000.0</v>
      </c>
      <c r="C1944" s="14" t="s">
        <v>5550</v>
      </c>
      <c r="D1944" s="14" t="s">
        <v>5551</v>
      </c>
      <c r="E1944" s="150" t="str">
        <f t="shared" si="28"/>
        <v>http://dx.doi.org/10.1109/INFVIS.2000.885095</v>
      </c>
      <c r="F1944" s="14">
        <v>91.0</v>
      </c>
      <c r="G1944" s="14">
        <v>97.0</v>
      </c>
      <c r="H1944" s="151"/>
      <c r="I1944" s="14" t="s">
        <v>28</v>
      </c>
      <c r="J1944" s="14" t="s">
        <v>38985</v>
      </c>
      <c r="K1944" s="14" t="s">
        <v>10659</v>
      </c>
      <c r="L1944" s="152" t="s">
        <v>5557</v>
      </c>
      <c r="M1944" s="14">
        <v>3.80150919E10</v>
      </c>
      <c r="N1944" s="54" t="s">
        <v>10659</v>
      </c>
      <c r="O1944" s="130" t="s">
        <v>5558</v>
      </c>
      <c r="P1944" s="16"/>
      <c r="Q1944" s="14">
        <v>885095.0</v>
      </c>
      <c r="R1944" s="95"/>
      <c r="S1944" s="154" t="s">
        <v>38986</v>
      </c>
      <c r="T1944" s="84"/>
      <c r="U1944" s="84"/>
      <c r="V1944" s="84"/>
      <c r="W1944" s="84"/>
      <c r="X1944" s="84"/>
      <c r="Y1944" s="84"/>
      <c r="Z1944" s="84"/>
      <c r="AA1944" s="84"/>
      <c r="AB1944" s="84"/>
      <c r="AC1944" s="84"/>
    </row>
    <row r="1945" ht="15.75" customHeight="1">
      <c r="A1945" s="14" t="s">
        <v>2137</v>
      </c>
      <c r="B1945" s="14">
        <v>2000.0</v>
      </c>
      <c r="C1945" s="14" t="s">
        <v>5535</v>
      </c>
      <c r="D1945" s="14" t="s">
        <v>5536</v>
      </c>
      <c r="E1945" s="150" t="str">
        <f t="shared" si="28"/>
        <v>http://dx.doi.org/10.1109/INFVIS.2000.885093</v>
      </c>
      <c r="F1945" s="14">
        <v>77.0</v>
      </c>
      <c r="G1945" s="14">
        <v>83.0</v>
      </c>
      <c r="H1945" s="151"/>
      <c r="I1945" s="14" t="s">
        <v>28</v>
      </c>
      <c r="J1945" s="14" t="s">
        <v>38987</v>
      </c>
      <c r="K1945" s="14" t="s">
        <v>38988</v>
      </c>
      <c r="L1945" s="152" t="s">
        <v>3635</v>
      </c>
      <c r="M1945" s="14" t="s">
        <v>38989</v>
      </c>
      <c r="N1945" s="54" t="s">
        <v>38988</v>
      </c>
      <c r="O1945" s="130" t="s">
        <v>5541</v>
      </c>
      <c r="P1945" s="16"/>
      <c r="Q1945" s="14">
        <v>885093.0</v>
      </c>
      <c r="R1945" s="95"/>
      <c r="S1945" s="154" t="s">
        <v>38990</v>
      </c>
      <c r="T1945" s="84"/>
      <c r="U1945" s="84"/>
      <c r="V1945" s="84"/>
      <c r="W1945" s="84"/>
      <c r="X1945" s="84"/>
      <c r="Y1945" s="84"/>
      <c r="Z1945" s="84"/>
      <c r="AA1945" s="84"/>
      <c r="AB1945" s="84"/>
      <c r="AC1945" s="84"/>
    </row>
    <row r="1946" ht="15.75" customHeight="1">
      <c r="A1946" s="14" t="s">
        <v>2137</v>
      </c>
      <c r="B1946" s="14">
        <v>2000.0</v>
      </c>
      <c r="C1946" s="14" t="s">
        <v>5486</v>
      </c>
      <c r="D1946" s="14" t="s">
        <v>5487</v>
      </c>
      <c r="E1946" s="150" t="str">
        <f t="shared" si="28"/>
        <v>http://dx.doi.org/10.1109/INFVIS.2000.885087</v>
      </c>
      <c r="F1946" s="14">
        <v>15.0</v>
      </c>
      <c r="G1946" s="14">
        <v>25.0</v>
      </c>
      <c r="H1946" s="151"/>
      <c r="I1946" s="14" t="s">
        <v>28</v>
      </c>
      <c r="J1946" s="14" t="s">
        <v>38991</v>
      </c>
      <c r="K1946" s="14" t="s">
        <v>38992</v>
      </c>
      <c r="L1946" s="152" t="s">
        <v>30</v>
      </c>
      <c r="M1946" s="14" t="s">
        <v>38993</v>
      </c>
      <c r="N1946" s="54" t="s">
        <v>38992</v>
      </c>
      <c r="O1946" s="130" t="s">
        <v>2198</v>
      </c>
      <c r="P1946" s="153" t="s">
        <v>5491</v>
      </c>
      <c r="Q1946" s="14">
        <v>885087.0</v>
      </c>
      <c r="R1946" s="95"/>
      <c r="S1946" s="154">
        <v>528688.0</v>
      </c>
      <c r="T1946" s="84"/>
      <c r="U1946" s="84"/>
      <c r="V1946" s="84"/>
      <c r="W1946" s="84"/>
      <c r="X1946" s="84"/>
      <c r="Y1946" s="84"/>
      <c r="Z1946" s="84"/>
      <c r="AA1946" s="84"/>
      <c r="AB1946" s="84"/>
      <c r="AC1946" s="84"/>
    </row>
    <row r="1947" ht="15.75" customHeight="1">
      <c r="A1947" s="14" t="s">
        <v>2137</v>
      </c>
      <c r="B1947" s="14">
        <v>2000.0</v>
      </c>
      <c r="C1947" s="14" t="s">
        <v>5559</v>
      </c>
      <c r="D1947" s="14" t="s">
        <v>5560</v>
      </c>
      <c r="E1947" s="150" t="str">
        <f t="shared" si="28"/>
        <v>http://dx.doi.org/10.1109/INFVIS.2000.885096</v>
      </c>
      <c r="F1947" s="14">
        <v>99.0</v>
      </c>
      <c r="G1947" s="14">
        <v>103.0</v>
      </c>
      <c r="H1947" s="151"/>
      <c r="I1947" s="14" t="s">
        <v>28</v>
      </c>
      <c r="J1947" s="14" t="s">
        <v>38995</v>
      </c>
      <c r="K1947" s="14" t="s">
        <v>38996</v>
      </c>
      <c r="L1947" s="152" t="s">
        <v>5566</v>
      </c>
      <c r="M1947" s="14" t="s">
        <v>38997</v>
      </c>
      <c r="N1947" s="54" t="s">
        <v>38996</v>
      </c>
      <c r="O1947" s="130" t="s">
        <v>5567</v>
      </c>
      <c r="P1947" s="16"/>
      <c r="Q1947" s="14">
        <v>885096.0</v>
      </c>
      <c r="R1947" s="95"/>
      <c r="S1947" s="154" t="s">
        <v>38998</v>
      </c>
      <c r="T1947" s="84"/>
      <c r="U1947" s="84"/>
      <c r="V1947" s="84"/>
      <c r="W1947" s="84"/>
      <c r="X1947" s="84"/>
      <c r="Y1947" s="84"/>
      <c r="Z1947" s="84"/>
      <c r="AA1947" s="84"/>
      <c r="AB1947" s="84"/>
      <c r="AC1947" s="84"/>
    </row>
    <row r="1948" ht="15.75" customHeight="1">
      <c r="A1948" s="14" t="s">
        <v>2137</v>
      </c>
      <c r="B1948" s="14">
        <v>2000.0</v>
      </c>
      <c r="C1948" s="14" t="s">
        <v>5604</v>
      </c>
      <c r="D1948" s="14" t="s">
        <v>5605</v>
      </c>
      <c r="E1948" s="150" t="str">
        <f t="shared" si="28"/>
        <v>http://dx.doi.org/10.1109/INFVIS.2000.885103</v>
      </c>
      <c r="F1948" s="14">
        <v>145.0</v>
      </c>
      <c r="G1948" s="14">
        <v>153.0</v>
      </c>
      <c r="H1948" s="151"/>
      <c r="I1948" s="14" t="s">
        <v>28</v>
      </c>
      <c r="J1948" s="14" t="s">
        <v>38999</v>
      </c>
      <c r="K1948" s="14" t="s">
        <v>39000</v>
      </c>
      <c r="L1948" s="152" t="s">
        <v>5609</v>
      </c>
      <c r="M1948" s="14" t="s">
        <v>39001</v>
      </c>
      <c r="N1948" s="54" t="s">
        <v>39000</v>
      </c>
      <c r="O1948" s="130" t="s">
        <v>3903</v>
      </c>
      <c r="P1948" s="16"/>
      <c r="Q1948" s="14">
        <v>885103.0</v>
      </c>
      <c r="R1948" s="95"/>
      <c r="S1948" s="154">
        <v>729567.0</v>
      </c>
      <c r="T1948" s="84"/>
      <c r="U1948" s="84"/>
      <c r="V1948" s="84"/>
      <c r="W1948" s="84"/>
      <c r="X1948" s="84"/>
      <c r="Y1948" s="84"/>
      <c r="Z1948" s="84"/>
      <c r="AA1948" s="84"/>
      <c r="AB1948" s="84"/>
      <c r="AC1948" s="84"/>
    </row>
    <row r="1949" ht="15.75" customHeight="1">
      <c r="A1949" s="14" t="s">
        <v>2137</v>
      </c>
      <c r="B1949" s="14">
        <v>2000.0</v>
      </c>
      <c r="C1949" s="14" t="s">
        <v>5583</v>
      </c>
      <c r="D1949" s="14" t="s">
        <v>5584</v>
      </c>
      <c r="E1949" s="150" t="str">
        <f t="shared" si="28"/>
        <v>http://dx.doi.org/10.1109/INFVIS.2000.885099</v>
      </c>
      <c r="F1949" s="14">
        <v>125.0</v>
      </c>
      <c r="G1949" s="14">
        <v>129.0</v>
      </c>
      <c r="H1949" s="151"/>
      <c r="I1949" s="14" t="s">
        <v>28</v>
      </c>
      <c r="J1949" s="14" t="s">
        <v>39003</v>
      </c>
      <c r="K1949" s="14" t="s">
        <v>39004</v>
      </c>
      <c r="L1949" s="152" t="s">
        <v>5589</v>
      </c>
      <c r="M1949" s="14" t="s">
        <v>39005</v>
      </c>
      <c r="N1949" s="54" t="s">
        <v>39004</v>
      </c>
      <c r="O1949" s="130"/>
      <c r="P1949" s="16"/>
      <c r="Q1949" s="14">
        <v>885099.0</v>
      </c>
      <c r="R1949" s="95"/>
      <c r="S1949" s="154"/>
      <c r="T1949" s="84"/>
      <c r="U1949" s="84"/>
      <c r="V1949" s="84"/>
      <c r="W1949" s="84"/>
      <c r="X1949" s="84"/>
      <c r="Y1949" s="84"/>
      <c r="Z1949" s="84"/>
      <c r="AA1949" s="84"/>
      <c r="AB1949" s="84"/>
      <c r="AC1949" s="84"/>
    </row>
    <row r="1950" ht="15.75" customHeight="1">
      <c r="A1950" s="14" t="s">
        <v>2137</v>
      </c>
      <c r="B1950" s="14">
        <v>2000.0</v>
      </c>
      <c r="C1950" s="14" t="s">
        <v>5611</v>
      </c>
      <c r="D1950" s="14" t="s">
        <v>5612</v>
      </c>
      <c r="E1950" s="150" t="str">
        <f t="shared" si="28"/>
        <v>http://dx.doi.org/10.1109/INFVIS.2000.885104</v>
      </c>
      <c r="F1950" s="14">
        <v>155.0</v>
      </c>
      <c r="G1950" s="14">
        <v>165.0</v>
      </c>
      <c r="H1950" s="151"/>
      <c r="I1950" s="14" t="s">
        <v>28</v>
      </c>
      <c r="J1950" s="14" t="s">
        <v>39006</v>
      </c>
      <c r="K1950" s="14" t="s">
        <v>39007</v>
      </c>
      <c r="L1950" s="152" t="s">
        <v>5615</v>
      </c>
      <c r="M1950" s="14" t="s">
        <v>39008</v>
      </c>
      <c r="N1950" s="54" t="s">
        <v>39007</v>
      </c>
      <c r="O1950" s="130" t="s">
        <v>3579</v>
      </c>
      <c r="P1950" s="16"/>
      <c r="Q1950" s="14">
        <v>885104.0</v>
      </c>
      <c r="R1950" s="95"/>
      <c r="S1950" s="154">
        <v>663876.0</v>
      </c>
      <c r="T1950" s="84"/>
      <c r="U1950" s="84"/>
      <c r="V1950" s="84"/>
      <c r="W1950" s="84"/>
      <c r="X1950" s="84"/>
      <c r="Y1950" s="84"/>
      <c r="Z1950" s="84"/>
      <c r="AA1950" s="84"/>
      <c r="AB1950" s="84"/>
      <c r="AC1950" s="84"/>
    </row>
    <row r="1951" ht="15.75" customHeight="1">
      <c r="A1951" s="14" t="s">
        <v>2137</v>
      </c>
      <c r="B1951" s="14">
        <v>2000.0</v>
      </c>
      <c r="C1951" s="14" t="s">
        <v>5590</v>
      </c>
      <c r="D1951" s="14" t="s">
        <v>5591</v>
      </c>
      <c r="E1951" s="150" t="str">
        <f t="shared" si="28"/>
        <v>http://dx.doi.org/10.1109/INFVIS.2000.885101</v>
      </c>
      <c r="F1951" s="14">
        <v>131.0</v>
      </c>
      <c r="G1951" s="14" t="s">
        <v>5593</v>
      </c>
      <c r="H1951" s="151"/>
      <c r="I1951" s="14" t="s">
        <v>28</v>
      </c>
      <c r="J1951" s="14" t="s">
        <v>39009</v>
      </c>
      <c r="K1951" s="14" t="s">
        <v>39010</v>
      </c>
      <c r="L1951" s="152" t="s">
        <v>5595</v>
      </c>
      <c r="M1951" s="14" t="s">
        <v>39011</v>
      </c>
      <c r="N1951" s="54" t="s">
        <v>39010</v>
      </c>
      <c r="O1951" s="130"/>
      <c r="P1951" s="16"/>
      <c r="Q1951" s="14">
        <v>885101.0</v>
      </c>
      <c r="R1951" s="95"/>
      <c r="S1951" s="154"/>
      <c r="T1951" s="84"/>
      <c r="U1951" s="84"/>
      <c r="V1951" s="84"/>
      <c r="W1951" s="84"/>
      <c r="X1951" s="84"/>
      <c r="Y1951" s="84"/>
      <c r="Z1951" s="84"/>
      <c r="AA1951" s="84"/>
      <c r="AB1951" s="84"/>
      <c r="AC1951" s="84"/>
    </row>
    <row r="1952" ht="15.75" customHeight="1">
      <c r="A1952" s="14" t="s">
        <v>2137</v>
      </c>
      <c r="B1952" s="14">
        <v>2000.0</v>
      </c>
      <c r="C1952" s="14" t="s">
        <v>5480</v>
      </c>
      <c r="D1952" s="14" t="s">
        <v>5481</v>
      </c>
      <c r="E1952" s="150" t="str">
        <f t="shared" si="28"/>
        <v>http://dx.doi.org/10.1109/INFVIS.2000.885086</v>
      </c>
      <c r="F1952" s="14">
        <v>5.0</v>
      </c>
      <c r="G1952" s="14">
        <v>14.0</v>
      </c>
      <c r="H1952" s="151"/>
      <c r="I1952" s="14" t="s">
        <v>28</v>
      </c>
      <c r="J1952" s="14" t="s">
        <v>39013</v>
      </c>
      <c r="K1952" s="14" t="s">
        <v>39014</v>
      </c>
      <c r="L1952" s="152" t="s">
        <v>5115</v>
      </c>
      <c r="M1952" s="14" t="s">
        <v>39015</v>
      </c>
      <c r="N1952" s="54" t="s">
        <v>39014</v>
      </c>
      <c r="O1952" s="130" t="s">
        <v>2728</v>
      </c>
      <c r="P1952" s="16"/>
      <c r="Q1952" s="14">
        <v>885086.0</v>
      </c>
      <c r="R1952" s="95"/>
      <c r="S1952" s="154">
        <v>559210.0</v>
      </c>
      <c r="T1952" s="84"/>
      <c r="U1952" s="84"/>
      <c r="V1952" s="84"/>
      <c r="W1952" s="84"/>
      <c r="X1952" s="84"/>
      <c r="Y1952" s="84"/>
      <c r="Z1952" s="84"/>
      <c r="AA1952" s="84"/>
      <c r="AB1952" s="84"/>
      <c r="AC1952" s="84"/>
    </row>
    <row r="1953" ht="15.75" customHeight="1">
      <c r="A1953" s="14" t="s">
        <v>2137</v>
      </c>
      <c r="B1953" s="14">
        <v>2000.0</v>
      </c>
      <c r="C1953" s="14" t="s">
        <v>5542</v>
      </c>
      <c r="D1953" s="14" t="s">
        <v>5543</v>
      </c>
      <c r="E1953" s="150" t="str">
        <f t="shared" si="28"/>
        <v>http://dx.doi.org/10.1109/INFVIS.2000.885094</v>
      </c>
      <c r="F1953" s="14">
        <v>85.0</v>
      </c>
      <c r="G1953" s="14">
        <v>89.0</v>
      </c>
      <c r="H1953" s="151"/>
      <c r="I1953" s="14" t="s">
        <v>28</v>
      </c>
      <c r="J1953" s="14" t="s">
        <v>39016</v>
      </c>
      <c r="K1953" s="14" t="s">
        <v>39017</v>
      </c>
      <c r="L1953" s="152" t="s">
        <v>5548</v>
      </c>
      <c r="M1953" s="14" t="s">
        <v>39019</v>
      </c>
      <c r="N1953" s="54" t="s">
        <v>39017</v>
      </c>
      <c r="O1953" s="130" t="s">
        <v>5549</v>
      </c>
      <c r="P1953" s="16"/>
      <c r="Q1953" s="14">
        <v>885094.0</v>
      </c>
      <c r="R1953" s="95"/>
      <c r="S1953" s="154" t="s">
        <v>39020</v>
      </c>
      <c r="T1953" s="84"/>
      <c r="U1953" s="84"/>
      <c r="V1953" s="84"/>
      <c r="W1953" s="84"/>
      <c r="X1953" s="84"/>
      <c r="Y1953" s="84"/>
      <c r="Z1953" s="84"/>
      <c r="AA1953" s="84"/>
      <c r="AB1953" s="84"/>
      <c r="AC1953" s="84"/>
    </row>
    <row r="1954" ht="15.75" customHeight="1">
      <c r="A1954" s="14" t="s">
        <v>2137</v>
      </c>
      <c r="B1954" s="14">
        <v>2000.0</v>
      </c>
      <c r="C1954" s="14" t="s">
        <v>5577</v>
      </c>
      <c r="D1954" s="14" t="s">
        <v>5578</v>
      </c>
      <c r="E1954" s="150" t="str">
        <f t="shared" si="28"/>
        <v>http://dx.doi.org/10.1109/INFVIS.2000.885098</v>
      </c>
      <c r="F1954" s="14">
        <v>115.0</v>
      </c>
      <c r="G1954" s="14">
        <v>123.0</v>
      </c>
      <c r="H1954" s="151"/>
      <c r="I1954" s="14" t="s">
        <v>28</v>
      </c>
      <c r="J1954" s="14" t="s">
        <v>39021</v>
      </c>
      <c r="K1954" s="14" t="s">
        <v>39022</v>
      </c>
      <c r="L1954" s="152" t="s">
        <v>5581</v>
      </c>
      <c r="M1954" s="14" t="s">
        <v>39023</v>
      </c>
      <c r="N1954" s="54" t="s">
        <v>39024</v>
      </c>
      <c r="O1954" s="130" t="s">
        <v>5582</v>
      </c>
      <c r="P1954" s="16"/>
      <c r="Q1954" s="14">
        <v>885098.0</v>
      </c>
      <c r="R1954" s="95"/>
      <c r="S1954" s="154" t="s">
        <v>39025</v>
      </c>
      <c r="T1954" s="84"/>
      <c r="U1954" s="84"/>
      <c r="V1954" s="84"/>
      <c r="W1954" s="84"/>
      <c r="X1954" s="84"/>
      <c r="Y1954" s="84"/>
      <c r="Z1954" s="84"/>
      <c r="AA1954" s="84"/>
      <c r="AB1954" s="84"/>
      <c r="AC1954" s="84"/>
    </row>
    <row r="1955" ht="15.75" customHeight="1">
      <c r="A1955" s="14" t="s">
        <v>2137</v>
      </c>
      <c r="B1955" s="50">
        <v>2000.0</v>
      </c>
      <c r="C1955" s="14" t="s">
        <v>5472</v>
      </c>
      <c r="D1955" s="14" t="s">
        <v>5473</v>
      </c>
      <c r="E1955" s="172" t="s">
        <v>5475</v>
      </c>
      <c r="F1955" s="14">
        <v>173.0</v>
      </c>
      <c r="G1955" s="14"/>
      <c r="H1955" s="151"/>
      <c r="I1955" s="14" t="s">
        <v>28</v>
      </c>
      <c r="J1955" s="14" t="s">
        <v>39026</v>
      </c>
      <c r="K1955" s="14" t="s">
        <v>39027</v>
      </c>
      <c r="L1955" s="152" t="s">
        <v>5478</v>
      </c>
      <c r="M1955" s="14"/>
      <c r="N1955" s="54" t="s">
        <v>39027</v>
      </c>
      <c r="O1955" s="130" t="s">
        <v>5479</v>
      </c>
      <c r="P1955" s="16"/>
      <c r="Q1955" s="14" t="s">
        <v>39028</v>
      </c>
      <c r="R1955" s="95" t="s">
        <v>18275</v>
      </c>
      <c r="S1955" s="154" t="s">
        <v>39029</v>
      </c>
      <c r="T1955" s="84"/>
      <c r="U1955" s="84"/>
      <c r="V1955" s="84"/>
      <c r="W1955" s="84"/>
      <c r="X1955" s="84"/>
      <c r="Y1955" s="84"/>
      <c r="Z1955" s="84"/>
      <c r="AA1955" s="84"/>
      <c r="AB1955" s="84"/>
      <c r="AC1955" s="84"/>
    </row>
    <row r="1956" ht="15.75" customHeight="1">
      <c r="A1956" s="14" t="s">
        <v>2137</v>
      </c>
      <c r="B1956" s="14">
        <v>2000.0</v>
      </c>
      <c r="C1956" s="14" t="s">
        <v>5499</v>
      </c>
      <c r="D1956" s="14" t="s">
        <v>5500</v>
      </c>
      <c r="E1956" s="150" t="str">
        <f t="shared" ref="E1956:E1959" si="29">"http://dx.doi.org/" &amp; D1956</f>
        <v>http://dx.doi.org/10.1109/INFVIS.2000.885089</v>
      </c>
      <c r="F1956" s="14">
        <v>39.0</v>
      </c>
      <c r="G1956" s="14">
        <v>47.0</v>
      </c>
      <c r="H1956" s="151"/>
      <c r="I1956" s="14" t="s">
        <v>28</v>
      </c>
      <c r="J1956" s="14" t="s">
        <v>39030</v>
      </c>
      <c r="K1956" s="14" t="s">
        <v>39031</v>
      </c>
      <c r="L1956" s="152" t="s">
        <v>178</v>
      </c>
      <c r="M1956" s="14" t="s">
        <v>39032</v>
      </c>
      <c r="N1956" s="54" t="s">
        <v>39031</v>
      </c>
      <c r="O1956" s="130" t="s">
        <v>5506</v>
      </c>
      <c r="P1956" s="153" t="s">
        <v>39033</v>
      </c>
      <c r="Q1956" s="14">
        <v>885089.0</v>
      </c>
      <c r="R1956" s="95"/>
      <c r="S1956" s="154" t="s">
        <v>39034</v>
      </c>
      <c r="T1956" s="84"/>
      <c r="U1956" s="84"/>
      <c r="V1956" s="84"/>
      <c r="W1956" s="84"/>
      <c r="X1956" s="84"/>
      <c r="Y1956" s="84"/>
      <c r="Z1956" s="84"/>
      <c r="AA1956" s="84"/>
      <c r="AB1956" s="84"/>
      <c r="AC1956" s="84"/>
    </row>
    <row r="1957" ht="15.75" customHeight="1">
      <c r="A1957" s="14" t="s">
        <v>2137</v>
      </c>
      <c r="B1957" s="14">
        <v>2000.0</v>
      </c>
      <c r="C1957" s="14" t="s">
        <v>5568</v>
      </c>
      <c r="D1957" s="14" t="s">
        <v>5569</v>
      </c>
      <c r="E1957" s="150" t="str">
        <f t="shared" si="29"/>
        <v>http://dx.doi.org/10.1109/INFVIS.2000.885097</v>
      </c>
      <c r="F1957" s="14">
        <v>105.0</v>
      </c>
      <c r="G1957" s="14">
        <v>111.0</v>
      </c>
      <c r="H1957" s="151"/>
      <c r="I1957" s="14" t="s">
        <v>28</v>
      </c>
      <c r="J1957" s="14" t="s">
        <v>39035</v>
      </c>
      <c r="K1957" s="14" t="s">
        <v>39036</v>
      </c>
      <c r="L1957" s="152" t="s">
        <v>5575</v>
      </c>
      <c r="M1957" s="14" t="s">
        <v>39037</v>
      </c>
      <c r="N1957" s="54" t="s">
        <v>39036</v>
      </c>
      <c r="O1957" s="130" t="s">
        <v>5576</v>
      </c>
      <c r="P1957" s="16"/>
      <c r="Q1957" s="14">
        <v>885097.0</v>
      </c>
      <c r="R1957" s="95"/>
      <c r="S1957" s="154" t="s">
        <v>39038</v>
      </c>
      <c r="T1957" s="84"/>
      <c r="U1957" s="84"/>
      <c r="V1957" s="84"/>
      <c r="W1957" s="84"/>
      <c r="X1957" s="84"/>
      <c r="Y1957" s="84"/>
      <c r="Z1957" s="84"/>
      <c r="AA1957" s="84"/>
      <c r="AB1957" s="84"/>
      <c r="AC1957" s="84"/>
    </row>
    <row r="1958" ht="15.75" customHeight="1">
      <c r="A1958" s="14" t="s">
        <v>17</v>
      </c>
      <c r="B1958" s="14">
        <v>2000.0</v>
      </c>
      <c r="C1958" s="14" t="s">
        <v>5646</v>
      </c>
      <c r="D1958" s="14" t="s">
        <v>5647</v>
      </c>
      <c r="E1958" s="150" t="str">
        <f t="shared" si="29"/>
        <v>http://dx.doi.org/10.1109/VISUAL.2000.885674</v>
      </c>
      <c r="F1958" s="14">
        <v>37.0</v>
      </c>
      <c r="G1958" s="14">
        <v>44.0</v>
      </c>
      <c r="H1958" s="151"/>
      <c r="I1958" s="14" t="s">
        <v>28</v>
      </c>
      <c r="J1958" s="14" t="s">
        <v>12649</v>
      </c>
      <c r="K1958" s="14" t="s">
        <v>39039</v>
      </c>
      <c r="L1958" s="152" t="s">
        <v>184</v>
      </c>
      <c r="M1958" s="14" t="s">
        <v>39040</v>
      </c>
      <c r="N1958" s="54" t="s">
        <v>39039</v>
      </c>
      <c r="O1958" s="130" t="s">
        <v>5320</v>
      </c>
      <c r="P1958" s="153" t="s">
        <v>39041</v>
      </c>
      <c r="Q1958" s="14">
        <v>885674.0</v>
      </c>
      <c r="R1958" s="95"/>
      <c r="S1958" s="154">
        <v>809914.0</v>
      </c>
      <c r="T1958" s="84"/>
      <c r="U1958" s="84"/>
      <c r="V1958" s="84"/>
      <c r="W1958" s="84"/>
      <c r="X1958" s="84"/>
      <c r="Y1958" s="84"/>
      <c r="Z1958" s="84"/>
      <c r="AA1958" s="84"/>
      <c r="AB1958" s="84"/>
      <c r="AC1958" s="84"/>
    </row>
    <row r="1959" ht="15.75" customHeight="1">
      <c r="A1959" s="14" t="s">
        <v>17</v>
      </c>
      <c r="B1959" s="14">
        <v>2000.0</v>
      </c>
      <c r="C1959" s="14" t="s">
        <v>5966</v>
      </c>
      <c r="D1959" s="14" t="s">
        <v>5967</v>
      </c>
      <c r="E1959" s="150" t="str">
        <f t="shared" si="29"/>
        <v>http://dx.doi.org/10.1109/VISUAL.2000.885727</v>
      </c>
      <c r="F1959" s="14">
        <v>441.0</v>
      </c>
      <c r="G1959" s="14">
        <v>444.0</v>
      </c>
      <c r="H1959" s="151"/>
      <c r="I1959" s="14" t="s">
        <v>28</v>
      </c>
      <c r="J1959" s="14" t="s">
        <v>13017</v>
      </c>
      <c r="K1959" s="14" t="s">
        <v>39042</v>
      </c>
      <c r="L1959" s="152" t="s">
        <v>5970</v>
      </c>
      <c r="M1959" s="14" t="s">
        <v>39043</v>
      </c>
      <c r="N1959" s="54" t="s">
        <v>39042</v>
      </c>
      <c r="O1959" s="130"/>
      <c r="P1959" s="199" t="s">
        <v>5971</v>
      </c>
      <c r="Q1959" s="14">
        <v>885727.0</v>
      </c>
      <c r="R1959" s="95"/>
      <c r="S1959" s="154"/>
      <c r="T1959" s="84"/>
      <c r="U1959" s="84"/>
      <c r="V1959" s="84"/>
      <c r="W1959" s="84"/>
      <c r="X1959" s="84"/>
      <c r="Y1959" s="84"/>
      <c r="Z1959" s="84"/>
      <c r="AA1959" s="84"/>
      <c r="AB1959" s="84"/>
      <c r="AC1959" s="84"/>
    </row>
    <row r="1960" ht="15.75" customHeight="1">
      <c r="A1960" s="14" t="s">
        <v>17</v>
      </c>
      <c r="B1960" s="50">
        <v>2000.0</v>
      </c>
      <c r="C1960" s="14" t="s">
        <v>5894</v>
      </c>
      <c r="D1960" s="67" t="s">
        <v>5895</v>
      </c>
      <c r="E1960" s="194" t="s">
        <v>5896</v>
      </c>
      <c r="F1960" s="50">
        <v>351.0</v>
      </c>
      <c r="G1960" s="50">
        <v>358.0</v>
      </c>
      <c r="H1960" s="151"/>
      <c r="I1960" s="14" t="s">
        <v>28</v>
      </c>
      <c r="J1960" s="14" t="s">
        <v>39047</v>
      </c>
      <c r="K1960" s="112" t="s">
        <v>39048</v>
      </c>
      <c r="L1960" s="14" t="s">
        <v>5898</v>
      </c>
      <c r="M1960" s="14"/>
      <c r="N1960" s="54" t="s">
        <v>39048</v>
      </c>
      <c r="O1960" s="130" t="s">
        <v>5899</v>
      </c>
      <c r="P1960" s="54"/>
      <c r="Q1960" s="14">
        <v>885715.0</v>
      </c>
      <c r="R1960" s="95" t="s">
        <v>18275</v>
      </c>
      <c r="S1960" s="154" t="s">
        <v>39049</v>
      </c>
      <c r="T1960" s="84"/>
      <c r="U1960" s="84"/>
      <c r="V1960" s="84"/>
      <c r="W1960" s="84"/>
      <c r="X1960" s="84"/>
      <c r="Y1960" s="84"/>
      <c r="Z1960" s="84"/>
      <c r="AA1960" s="84"/>
      <c r="AB1960" s="84"/>
      <c r="AC1960" s="84"/>
    </row>
    <row r="1961" ht="15.75" customHeight="1">
      <c r="A1961" s="14" t="s">
        <v>17</v>
      </c>
      <c r="B1961" s="14">
        <v>2000.0</v>
      </c>
      <c r="C1961" s="14" t="s">
        <v>5745</v>
      </c>
      <c r="D1961" s="14" t="s">
        <v>5746</v>
      </c>
      <c r="E1961" s="150" t="str">
        <f t="shared" ref="E1961:E1970" si="30">"http://dx.doi.org/" &amp; D1961</f>
        <v>http://dx.doi.org/10.1109/VISUAL.2000.885690</v>
      </c>
      <c r="F1961" s="14">
        <v>163.0</v>
      </c>
      <c r="G1961" s="14">
        <v>170.0</v>
      </c>
      <c r="H1961" s="151"/>
      <c r="I1961" s="14" t="s">
        <v>28</v>
      </c>
      <c r="J1961" s="14" t="s">
        <v>12760</v>
      </c>
      <c r="K1961" s="14" t="s">
        <v>39050</v>
      </c>
      <c r="L1961" s="152" t="s">
        <v>5748</v>
      </c>
      <c r="M1961" s="14" t="s">
        <v>39051</v>
      </c>
      <c r="N1961" s="54" t="s">
        <v>39050</v>
      </c>
      <c r="O1961" s="130" t="s">
        <v>5749</v>
      </c>
      <c r="P1961" s="153" t="s">
        <v>5750</v>
      </c>
      <c r="Q1961" s="14">
        <v>885690.0</v>
      </c>
      <c r="R1961" s="95"/>
      <c r="S1961" s="154" t="s">
        <v>39052</v>
      </c>
      <c r="T1961" s="84"/>
      <c r="U1961" s="84"/>
      <c r="V1961" s="84"/>
      <c r="W1961" s="84"/>
      <c r="X1961" s="84"/>
      <c r="Y1961" s="84"/>
      <c r="Z1961" s="84"/>
      <c r="AA1961" s="84"/>
      <c r="AB1961" s="84"/>
      <c r="AC1961" s="84"/>
    </row>
    <row r="1962" ht="15.75" customHeight="1">
      <c r="A1962" s="14" t="s">
        <v>17</v>
      </c>
      <c r="B1962" s="14">
        <v>2000.0</v>
      </c>
      <c r="C1962" s="14" t="s">
        <v>5731</v>
      </c>
      <c r="D1962" s="14" t="s">
        <v>5732</v>
      </c>
      <c r="E1962" s="150" t="str">
        <f t="shared" si="30"/>
        <v>http://dx.doi.org/10.1109/VISUAL.2000.885688</v>
      </c>
      <c r="F1962" s="14">
        <v>147.0</v>
      </c>
      <c r="G1962" s="14">
        <v>154.0</v>
      </c>
      <c r="H1962" s="151"/>
      <c r="I1962" s="14" t="s">
        <v>28</v>
      </c>
      <c r="J1962" s="14" t="s">
        <v>12746</v>
      </c>
      <c r="K1962" s="14" t="s">
        <v>39053</v>
      </c>
      <c r="L1962" s="152" t="s">
        <v>5735</v>
      </c>
      <c r="M1962" s="14" t="s">
        <v>39054</v>
      </c>
      <c r="N1962" s="54" t="s">
        <v>39055</v>
      </c>
      <c r="O1962" s="130" t="s">
        <v>5736</v>
      </c>
      <c r="P1962" s="153" t="s">
        <v>5737</v>
      </c>
      <c r="Q1962" s="14">
        <v>885688.0</v>
      </c>
      <c r="R1962" s="95"/>
      <c r="S1962" s="154" t="s">
        <v>39056</v>
      </c>
      <c r="T1962" s="84"/>
      <c r="U1962" s="84"/>
      <c r="V1962" s="84"/>
      <c r="W1962" s="84"/>
      <c r="X1962" s="84"/>
      <c r="Y1962" s="84"/>
      <c r="Z1962" s="84"/>
      <c r="AA1962" s="84"/>
      <c r="AB1962" s="84"/>
      <c r="AC1962" s="84"/>
    </row>
    <row r="1963" ht="15.75" customHeight="1">
      <c r="A1963" s="14" t="s">
        <v>17</v>
      </c>
      <c r="B1963" s="14">
        <v>2000.0</v>
      </c>
      <c r="C1963" s="14" t="s">
        <v>5669</v>
      </c>
      <c r="D1963" s="14" t="s">
        <v>5670</v>
      </c>
      <c r="E1963" s="150" t="str">
        <f t="shared" si="30"/>
        <v>http://dx.doi.org/10.1109/VISUAL.2000.885678</v>
      </c>
      <c r="F1963" s="14">
        <v>69.0</v>
      </c>
      <c r="G1963" s="14">
        <v>76.0</v>
      </c>
      <c r="H1963" s="151"/>
      <c r="I1963" s="14" t="s">
        <v>28</v>
      </c>
      <c r="J1963" s="14" t="s">
        <v>12680</v>
      </c>
      <c r="K1963" s="14" t="s">
        <v>37601</v>
      </c>
      <c r="L1963" s="152" t="s">
        <v>5673</v>
      </c>
      <c r="M1963" s="14" t="s">
        <v>39057</v>
      </c>
      <c r="N1963" s="54" t="s">
        <v>37601</v>
      </c>
      <c r="O1963" s="130" t="s">
        <v>5674</v>
      </c>
      <c r="P1963" s="153" t="s">
        <v>5675</v>
      </c>
      <c r="Q1963" s="14">
        <v>885678.0</v>
      </c>
      <c r="R1963" s="95"/>
      <c r="S1963" s="154" t="s">
        <v>39058</v>
      </c>
      <c r="T1963" s="84"/>
      <c r="U1963" s="84"/>
      <c r="V1963" s="84"/>
      <c r="W1963" s="84"/>
      <c r="X1963" s="84"/>
      <c r="Y1963" s="84"/>
      <c r="Z1963" s="84"/>
      <c r="AA1963" s="84"/>
      <c r="AB1963" s="84"/>
      <c r="AC1963" s="84"/>
    </row>
    <row r="1964" ht="15.75" customHeight="1">
      <c r="A1964" s="14" t="s">
        <v>17</v>
      </c>
      <c r="B1964" s="14">
        <v>2000.0</v>
      </c>
      <c r="C1964" s="14" t="s">
        <v>5900</v>
      </c>
      <c r="D1964" s="14" t="s">
        <v>5901</v>
      </c>
      <c r="E1964" s="150" t="str">
        <f t="shared" si="30"/>
        <v>http://dx.doi.org/10.1109/VISUAL.2000.885716</v>
      </c>
      <c r="F1964" s="14">
        <v>359.0</v>
      </c>
      <c r="G1964" s="14">
        <v>366.0</v>
      </c>
      <c r="H1964" s="151"/>
      <c r="I1964" s="14" t="s">
        <v>28</v>
      </c>
      <c r="J1964" s="14" t="s">
        <v>12941</v>
      </c>
      <c r="K1964" s="14" t="s">
        <v>38794</v>
      </c>
      <c r="L1964" s="152" t="s">
        <v>5181</v>
      </c>
      <c r="M1964" s="14" t="s">
        <v>38795</v>
      </c>
      <c r="N1964" s="54" t="s">
        <v>38794</v>
      </c>
      <c r="O1964" s="130" t="s">
        <v>5904</v>
      </c>
      <c r="P1964" s="153" t="s">
        <v>5905</v>
      </c>
      <c r="Q1964" s="14">
        <v>885716.0</v>
      </c>
      <c r="R1964" s="95"/>
      <c r="S1964" s="154" t="s">
        <v>39059</v>
      </c>
      <c r="T1964" s="84"/>
      <c r="U1964" s="84"/>
      <c r="V1964" s="84"/>
      <c r="W1964" s="84"/>
      <c r="X1964" s="84"/>
      <c r="Y1964" s="84"/>
      <c r="Z1964" s="84"/>
      <c r="AA1964" s="84"/>
      <c r="AB1964" s="84"/>
      <c r="AC1964" s="84"/>
    </row>
    <row r="1965" ht="15.75" customHeight="1">
      <c r="A1965" s="14" t="s">
        <v>17</v>
      </c>
      <c r="B1965" s="14">
        <v>2000.0</v>
      </c>
      <c r="C1965" s="14" t="s">
        <v>5639</v>
      </c>
      <c r="D1965" s="14" t="s">
        <v>5640</v>
      </c>
      <c r="E1965" s="150" t="str">
        <f t="shared" si="30"/>
        <v>http://dx.doi.org/10.1109/VISUAL.2000.885673</v>
      </c>
      <c r="F1965" s="14">
        <v>29.0</v>
      </c>
      <c r="G1965" s="14">
        <v>36.0</v>
      </c>
      <c r="H1965" s="151"/>
      <c r="I1965" s="14" t="s">
        <v>28</v>
      </c>
      <c r="J1965" s="14" t="s">
        <v>12630</v>
      </c>
      <c r="K1965" s="14" t="s">
        <v>39061</v>
      </c>
      <c r="L1965" s="152" t="s">
        <v>5643</v>
      </c>
      <c r="M1965" s="14" t="s">
        <v>39062</v>
      </c>
      <c r="N1965" s="54" t="s">
        <v>39061</v>
      </c>
      <c r="O1965" s="130" t="s">
        <v>5644</v>
      </c>
      <c r="P1965" s="153" t="s">
        <v>5645</v>
      </c>
      <c r="Q1965" s="14">
        <v>885673.0</v>
      </c>
      <c r="R1965" s="95"/>
      <c r="S1965" s="154" t="s">
        <v>39063</v>
      </c>
      <c r="T1965" s="84"/>
      <c r="U1965" s="84"/>
      <c r="V1965" s="84"/>
      <c r="W1965" s="84"/>
      <c r="X1965" s="84"/>
      <c r="Y1965" s="84"/>
      <c r="Z1965" s="84"/>
      <c r="AA1965" s="84"/>
      <c r="AB1965" s="84"/>
      <c r="AC1965" s="84"/>
    </row>
    <row r="1966" ht="15.75" customHeight="1">
      <c r="A1966" s="14" t="s">
        <v>17</v>
      </c>
      <c r="B1966" s="14">
        <v>2000.0</v>
      </c>
      <c r="C1966" s="14" t="s">
        <v>5707</v>
      </c>
      <c r="D1966" s="14" t="s">
        <v>5708</v>
      </c>
      <c r="E1966" s="150" t="str">
        <f t="shared" si="30"/>
        <v>http://dx.doi.org/10.1109/VISUAL.2000.885684</v>
      </c>
      <c r="F1966" s="14">
        <v>117.0</v>
      </c>
      <c r="G1966" s="14">
        <v>124.0</v>
      </c>
      <c r="H1966" s="151"/>
      <c r="I1966" s="14" t="s">
        <v>28</v>
      </c>
      <c r="J1966" s="14" t="s">
        <v>12724</v>
      </c>
      <c r="K1966" s="14" t="s">
        <v>39064</v>
      </c>
      <c r="L1966" s="152" t="s">
        <v>3047</v>
      </c>
      <c r="M1966" s="14" t="s">
        <v>39066</v>
      </c>
      <c r="N1966" s="54" t="s">
        <v>39064</v>
      </c>
      <c r="O1966" s="130" t="s">
        <v>5110</v>
      </c>
      <c r="P1966" s="153" t="s">
        <v>5711</v>
      </c>
      <c r="Q1966" s="14">
        <v>885684.0</v>
      </c>
      <c r="R1966" s="95"/>
      <c r="S1966" s="154">
        <v>809890.0</v>
      </c>
      <c r="T1966" s="84"/>
      <c r="U1966" s="84"/>
      <c r="V1966" s="84"/>
      <c r="W1966" s="84"/>
      <c r="X1966" s="84"/>
      <c r="Y1966" s="84"/>
      <c r="Z1966" s="84"/>
      <c r="AA1966" s="84"/>
      <c r="AB1966" s="84"/>
      <c r="AC1966" s="84"/>
    </row>
    <row r="1967" ht="15.75" customHeight="1">
      <c r="A1967" s="14" t="s">
        <v>17</v>
      </c>
      <c r="B1967" s="14">
        <v>2000.0</v>
      </c>
      <c r="C1967" s="14" t="s">
        <v>5984</v>
      </c>
      <c r="D1967" s="14" t="s">
        <v>5985</v>
      </c>
      <c r="E1967" s="150" t="str">
        <f t="shared" si="30"/>
        <v>http://dx.doi.org/10.1109/VISUAL.2000.885730</v>
      </c>
      <c r="F1967" s="14">
        <v>453.0</v>
      </c>
      <c r="G1967" s="14">
        <v>456.0</v>
      </c>
      <c r="H1967" s="151"/>
      <c r="I1967" s="14" t="s">
        <v>28</v>
      </c>
      <c r="J1967" s="14" t="s">
        <v>13031</v>
      </c>
      <c r="K1967" s="14" t="s">
        <v>39067</v>
      </c>
      <c r="L1967" s="152" t="s">
        <v>5988</v>
      </c>
      <c r="M1967" s="14" t="s">
        <v>39068</v>
      </c>
      <c r="N1967" s="54" t="s">
        <v>39069</v>
      </c>
      <c r="O1967" s="130"/>
      <c r="P1967" s="199" t="s">
        <v>5989</v>
      </c>
      <c r="Q1967" s="14">
        <v>885730.0</v>
      </c>
      <c r="R1967" s="95"/>
      <c r="S1967" s="154"/>
      <c r="T1967" s="84"/>
      <c r="U1967" s="84"/>
      <c r="V1967" s="84"/>
      <c r="W1967" s="84"/>
      <c r="X1967" s="84"/>
      <c r="Y1967" s="84"/>
      <c r="Z1967" s="84"/>
      <c r="AA1967" s="84"/>
      <c r="AB1967" s="84"/>
      <c r="AC1967" s="84"/>
    </row>
    <row r="1968" ht="15.75" customHeight="1">
      <c r="A1968" s="14" t="s">
        <v>17</v>
      </c>
      <c r="B1968" s="14">
        <v>2000.0</v>
      </c>
      <c r="C1968" s="14" t="s">
        <v>5931</v>
      </c>
      <c r="D1968" s="14" t="s">
        <v>5932</v>
      </c>
      <c r="E1968" s="150" t="str">
        <f t="shared" si="30"/>
        <v>http://dx.doi.org/10.1109/VISUAL.2000.885721</v>
      </c>
      <c r="F1968" s="14">
        <v>397.0</v>
      </c>
      <c r="G1968" s="14">
        <v>405.0</v>
      </c>
      <c r="H1968" s="151"/>
      <c r="I1968" s="14" t="s">
        <v>28</v>
      </c>
      <c r="J1968" s="14" t="s">
        <v>12973</v>
      </c>
      <c r="K1968" s="14" t="s">
        <v>39070</v>
      </c>
      <c r="L1968" s="152" t="s">
        <v>5935</v>
      </c>
      <c r="M1968" s="14" t="s">
        <v>39071</v>
      </c>
      <c r="N1968" s="54" t="s">
        <v>39070</v>
      </c>
      <c r="O1968" s="130" t="s">
        <v>5237</v>
      </c>
      <c r="P1968" s="153" t="s">
        <v>5936</v>
      </c>
      <c r="Q1968" s="14">
        <v>885721.0</v>
      </c>
      <c r="R1968" s="95"/>
      <c r="S1968" s="154">
        <v>809904.0</v>
      </c>
      <c r="T1968" s="84"/>
      <c r="U1968" s="84"/>
      <c r="V1968" s="84"/>
      <c r="W1968" s="84"/>
      <c r="X1968" s="84"/>
      <c r="Y1968" s="84"/>
      <c r="Z1968" s="84"/>
      <c r="AA1968" s="84"/>
      <c r="AB1968" s="84"/>
      <c r="AC1968" s="84"/>
    </row>
    <row r="1969" ht="15.75" customHeight="1">
      <c r="A1969" s="14" t="s">
        <v>17</v>
      </c>
      <c r="B1969" s="14">
        <v>2000.0</v>
      </c>
      <c r="C1969" s="14" t="s">
        <v>5712</v>
      </c>
      <c r="D1969" s="14" t="s">
        <v>5713</v>
      </c>
      <c r="E1969" s="150" t="str">
        <f t="shared" si="30"/>
        <v>http://dx.doi.org/10.1109/VISUAL.2000.885685</v>
      </c>
      <c r="F1969" s="14">
        <v>125.0</v>
      </c>
      <c r="G1969" s="14">
        <v>130.0</v>
      </c>
      <c r="H1969" s="151"/>
      <c r="I1969" s="14" t="s">
        <v>28</v>
      </c>
      <c r="J1969" s="14" t="s">
        <v>12732</v>
      </c>
      <c r="K1969" s="14" t="s">
        <v>39073</v>
      </c>
      <c r="L1969" s="152" t="s">
        <v>5716</v>
      </c>
      <c r="M1969" s="14" t="s">
        <v>39074</v>
      </c>
      <c r="N1969" s="54" t="s">
        <v>39075</v>
      </c>
      <c r="O1969" s="130" t="s">
        <v>5057</v>
      </c>
      <c r="P1969" s="153" t="s">
        <v>5717</v>
      </c>
      <c r="Q1969" s="14">
        <v>885685.0</v>
      </c>
      <c r="R1969" s="95"/>
      <c r="S1969" s="154">
        <v>809883.0</v>
      </c>
      <c r="T1969" s="84"/>
      <c r="U1969" s="84"/>
      <c r="V1969" s="84"/>
      <c r="W1969" s="84"/>
      <c r="X1969" s="84"/>
      <c r="Y1969" s="84"/>
      <c r="Z1969" s="84"/>
      <c r="AA1969" s="84"/>
      <c r="AB1969" s="84"/>
      <c r="AC1969" s="84"/>
    </row>
    <row r="1970" ht="15.75" customHeight="1">
      <c r="A1970" s="14" t="s">
        <v>17</v>
      </c>
      <c r="B1970" s="14">
        <v>2000.0</v>
      </c>
      <c r="C1970" s="14" t="s">
        <v>5763</v>
      </c>
      <c r="D1970" s="14" t="s">
        <v>5764</v>
      </c>
      <c r="E1970" s="150" t="str">
        <f t="shared" si="30"/>
        <v>http://dx.doi.org/10.1109/VISUAL.2000.885693</v>
      </c>
      <c r="F1970" s="14">
        <v>187.0</v>
      </c>
      <c r="G1970" s="14">
        <v>194.0</v>
      </c>
      <c r="H1970" s="151"/>
      <c r="I1970" s="14" t="s">
        <v>28</v>
      </c>
      <c r="J1970" s="14" t="s">
        <v>12797</v>
      </c>
      <c r="K1970" s="14" t="s">
        <v>39076</v>
      </c>
      <c r="L1970" s="152" t="s">
        <v>5767</v>
      </c>
      <c r="M1970" s="14" t="s">
        <v>39077</v>
      </c>
      <c r="N1970" s="54" t="s">
        <v>39076</v>
      </c>
      <c r="O1970" s="130" t="s">
        <v>3037</v>
      </c>
      <c r="P1970" s="153" t="s">
        <v>5768</v>
      </c>
      <c r="Q1970" s="14">
        <v>885693.0</v>
      </c>
      <c r="R1970" s="95"/>
      <c r="S1970" s="154">
        <v>568112.0</v>
      </c>
      <c r="T1970" s="84"/>
      <c r="U1970" s="84"/>
      <c r="V1970" s="84"/>
      <c r="W1970" s="84"/>
      <c r="X1970" s="84"/>
      <c r="Y1970" s="84"/>
      <c r="Z1970" s="84"/>
      <c r="AA1970" s="84"/>
      <c r="AB1970" s="84"/>
      <c r="AC1970" s="84"/>
    </row>
    <row r="1971" ht="15.75" customHeight="1">
      <c r="A1971" s="14" t="s">
        <v>17</v>
      </c>
      <c r="B1971" s="50">
        <v>2000.0</v>
      </c>
      <c r="C1971" s="95" t="s">
        <v>5925</v>
      </c>
      <c r="D1971" s="67" t="s">
        <v>5926</v>
      </c>
      <c r="E1971" s="194" t="s">
        <v>5927</v>
      </c>
      <c r="F1971" s="50">
        <v>389.0</v>
      </c>
      <c r="G1971" s="50">
        <v>396.0</v>
      </c>
      <c r="H1971" s="151"/>
      <c r="I1971" s="14" t="s">
        <v>28</v>
      </c>
      <c r="J1971" s="14" t="s">
        <v>39079</v>
      </c>
      <c r="K1971" s="14" t="s">
        <v>39080</v>
      </c>
      <c r="L1971" s="14" t="s">
        <v>5929</v>
      </c>
      <c r="M1971" s="14"/>
      <c r="N1971" s="54" t="s">
        <v>39081</v>
      </c>
      <c r="O1971" s="130" t="s">
        <v>5930</v>
      </c>
      <c r="P1971" s="54"/>
      <c r="Q1971" s="50">
        <v>885720.0</v>
      </c>
      <c r="R1971" s="95" t="s">
        <v>18275</v>
      </c>
      <c r="S1971" s="154" t="s">
        <v>39082</v>
      </c>
      <c r="T1971" s="84"/>
      <c r="U1971" s="84"/>
      <c r="V1971" s="84"/>
      <c r="W1971" s="84"/>
      <c r="X1971" s="84"/>
      <c r="Y1971" s="84"/>
      <c r="Z1971" s="84"/>
      <c r="AA1971" s="84"/>
      <c r="AB1971" s="84"/>
      <c r="AC1971" s="84"/>
    </row>
    <row r="1972" ht="15.75" customHeight="1">
      <c r="A1972" s="14" t="s">
        <v>17</v>
      </c>
      <c r="B1972" s="14">
        <v>2000.0</v>
      </c>
      <c r="C1972" s="14" t="s">
        <v>6041</v>
      </c>
      <c r="D1972" s="14" t="s">
        <v>6042</v>
      </c>
      <c r="E1972" s="150" t="str">
        <f t="shared" ref="E1972:E1975" si="31">"http://dx.doi.org/" &amp; D1972</f>
        <v>http://dx.doi.org/10.1109/VISUAL.2000.885737</v>
      </c>
      <c r="F1972" s="14">
        <v>481.0</v>
      </c>
      <c r="G1972" s="14">
        <v>484.0</v>
      </c>
      <c r="H1972" s="151"/>
      <c r="I1972" s="14" t="s">
        <v>28</v>
      </c>
      <c r="J1972" s="14" t="s">
        <v>13054</v>
      </c>
      <c r="K1972" s="14" t="s">
        <v>39083</v>
      </c>
      <c r="L1972" s="152" t="s">
        <v>4660</v>
      </c>
      <c r="M1972" s="14" t="s">
        <v>39084</v>
      </c>
      <c r="N1972" s="54" t="s">
        <v>39085</v>
      </c>
      <c r="O1972" s="130" t="s">
        <v>6045</v>
      </c>
      <c r="P1972" s="199" t="s">
        <v>6046</v>
      </c>
      <c r="Q1972" s="14">
        <v>885737.0</v>
      </c>
      <c r="R1972" s="95"/>
      <c r="S1972" s="154" t="s">
        <v>39086</v>
      </c>
      <c r="T1972" s="84"/>
      <c r="U1972" s="84"/>
      <c r="V1972" s="84"/>
      <c r="W1972" s="84"/>
      <c r="X1972" s="84"/>
      <c r="Y1972" s="84"/>
      <c r="Z1972" s="84"/>
      <c r="AA1972" s="84"/>
      <c r="AB1972" s="84"/>
      <c r="AC1972" s="84"/>
    </row>
    <row r="1973" ht="15.75" customHeight="1">
      <c r="A1973" s="14" t="s">
        <v>17</v>
      </c>
      <c r="B1973" s="14">
        <v>2000.0</v>
      </c>
      <c r="C1973" s="14" t="s">
        <v>5651</v>
      </c>
      <c r="D1973" s="14" t="s">
        <v>5652</v>
      </c>
      <c r="E1973" s="150" t="str">
        <f t="shared" si="31"/>
        <v>http://dx.doi.org/10.1109/VISUAL.2000.885675</v>
      </c>
      <c r="F1973" s="14">
        <v>45.0</v>
      </c>
      <c r="G1973" s="14">
        <v>52.0</v>
      </c>
      <c r="H1973" s="151"/>
      <c r="I1973" s="14" t="s">
        <v>28</v>
      </c>
      <c r="J1973" s="14" t="s">
        <v>12659</v>
      </c>
      <c r="K1973" s="14" t="s">
        <v>39087</v>
      </c>
      <c r="L1973" s="152" t="s">
        <v>5655</v>
      </c>
      <c r="M1973" s="14" t="s">
        <v>39088</v>
      </c>
      <c r="N1973" s="54" t="s">
        <v>39087</v>
      </c>
      <c r="O1973" s="130" t="s">
        <v>5647</v>
      </c>
      <c r="P1973" s="16"/>
      <c r="Q1973" s="14">
        <v>885675.0</v>
      </c>
      <c r="R1973" s="95"/>
      <c r="S1973" s="154">
        <v>885674.0</v>
      </c>
      <c r="T1973" s="84"/>
      <c r="U1973" s="84"/>
      <c r="V1973" s="84"/>
      <c r="W1973" s="84"/>
      <c r="X1973" s="84"/>
      <c r="Y1973" s="84"/>
      <c r="Z1973" s="84"/>
      <c r="AA1973" s="84"/>
      <c r="AB1973" s="84"/>
      <c r="AC1973" s="84"/>
    </row>
    <row r="1974" ht="15.75" customHeight="1">
      <c r="A1974" s="14" t="s">
        <v>17</v>
      </c>
      <c r="B1974" s="14">
        <v>2000.0</v>
      </c>
      <c r="C1974" s="14" t="s">
        <v>5978</v>
      </c>
      <c r="D1974" s="14" t="s">
        <v>5979</v>
      </c>
      <c r="E1974" s="150" t="str">
        <f t="shared" si="31"/>
        <v>http://dx.doi.org/10.1109/VISUAL.2000.885729</v>
      </c>
      <c r="F1974" s="14">
        <v>449.0</v>
      </c>
      <c r="G1974" s="14">
        <v>452.0</v>
      </c>
      <c r="H1974" s="151"/>
      <c r="I1974" s="14" t="s">
        <v>28</v>
      </c>
      <c r="J1974" s="14" t="s">
        <v>13029</v>
      </c>
      <c r="K1974" s="14" t="s">
        <v>39089</v>
      </c>
      <c r="L1974" s="152" t="s">
        <v>5982</v>
      </c>
      <c r="M1974" s="14" t="s">
        <v>39090</v>
      </c>
      <c r="N1974" s="54" t="s">
        <v>39089</v>
      </c>
      <c r="O1974" s="130" t="s">
        <v>3151</v>
      </c>
      <c r="P1974" s="199" t="s">
        <v>5983</v>
      </c>
      <c r="Q1974" s="14">
        <v>885729.0</v>
      </c>
      <c r="R1974" s="95"/>
      <c r="S1974" s="154">
        <v>568134.0</v>
      </c>
      <c r="T1974" s="84"/>
      <c r="U1974" s="84"/>
      <c r="V1974" s="84"/>
      <c r="W1974" s="84"/>
      <c r="X1974" s="84"/>
      <c r="Y1974" s="84"/>
      <c r="Z1974" s="84"/>
      <c r="AA1974" s="84"/>
      <c r="AB1974" s="84"/>
      <c r="AC1974" s="84"/>
    </row>
    <row r="1975" ht="15.75" customHeight="1">
      <c r="A1975" s="14" t="s">
        <v>17</v>
      </c>
      <c r="B1975" s="14">
        <v>2000.0</v>
      </c>
      <c r="C1975" s="14" t="s">
        <v>5906</v>
      </c>
      <c r="D1975" s="14" t="s">
        <v>5907</v>
      </c>
      <c r="E1975" s="150" t="str">
        <f t="shared" si="31"/>
        <v>http://dx.doi.org/10.1109/VISUAL.2000.885717</v>
      </c>
      <c r="F1975" s="14">
        <v>367.0</v>
      </c>
      <c r="G1975" s="14">
        <v>372.0</v>
      </c>
      <c r="H1975" s="151"/>
      <c r="I1975" s="14" t="s">
        <v>28</v>
      </c>
      <c r="J1975" s="14" t="s">
        <v>12947</v>
      </c>
      <c r="K1975" s="14" t="s">
        <v>39091</v>
      </c>
      <c r="L1975" s="152" t="s">
        <v>5910</v>
      </c>
      <c r="M1975" s="14" t="s">
        <v>39092</v>
      </c>
      <c r="N1975" s="54" t="s">
        <v>39093</v>
      </c>
      <c r="O1975" s="130" t="s">
        <v>5911</v>
      </c>
      <c r="P1975" s="153" t="s">
        <v>5912</v>
      </c>
      <c r="Q1975" s="14">
        <v>885717.0</v>
      </c>
      <c r="R1975" s="95"/>
      <c r="S1975" s="154" t="s">
        <v>39094</v>
      </c>
      <c r="T1975" s="84"/>
      <c r="U1975" s="84"/>
      <c r="V1975" s="84"/>
      <c r="W1975" s="84"/>
      <c r="X1975" s="84"/>
      <c r="Y1975" s="84"/>
      <c r="Z1975" s="84"/>
      <c r="AA1975" s="84"/>
      <c r="AB1975" s="84"/>
      <c r="AC1975" s="84"/>
    </row>
    <row r="1976" ht="15.75" customHeight="1">
      <c r="A1976" s="14" t="s">
        <v>17</v>
      </c>
      <c r="B1976" s="50">
        <v>2000.0</v>
      </c>
      <c r="C1976" s="14" t="s">
        <v>5656</v>
      </c>
      <c r="D1976" s="67" t="s">
        <v>5657</v>
      </c>
      <c r="E1976" s="200" t="str">
        <f>HYPERLINK("http://doi.ieeecomputersociety.org/10.1109/VISUAL.2000.885676","http://doi.ieeecomputersociety.org/10.1109/VISUAL.2000.885676")</f>
        <v>http://doi.ieeecomputersociety.org/10.1109/VISUAL.2000.885676</v>
      </c>
      <c r="F1976" s="50">
        <v>53.0</v>
      </c>
      <c r="G1976" s="50">
        <v>60.0</v>
      </c>
      <c r="H1976" s="151"/>
      <c r="I1976" s="14" t="s">
        <v>28</v>
      </c>
      <c r="J1976" s="14" t="s">
        <v>39096</v>
      </c>
      <c r="K1976" s="14" t="s">
        <v>39097</v>
      </c>
      <c r="L1976" s="152" t="s">
        <v>5660</v>
      </c>
      <c r="M1976" s="14"/>
      <c r="N1976" s="54" t="s">
        <v>8325</v>
      </c>
      <c r="O1976" s="130"/>
      <c r="P1976" s="193" t="s">
        <v>5661</v>
      </c>
      <c r="Q1976" s="14">
        <v>885676.0</v>
      </c>
      <c r="R1976" s="95" t="s">
        <v>18275</v>
      </c>
      <c r="S1976" s="154"/>
      <c r="T1976" s="84"/>
      <c r="U1976" s="84"/>
      <c r="V1976" s="84"/>
      <c r="W1976" s="84"/>
      <c r="X1976" s="84"/>
      <c r="Y1976" s="84"/>
      <c r="Z1976" s="84"/>
      <c r="AA1976" s="84"/>
      <c r="AB1976" s="84"/>
      <c r="AC1976" s="84"/>
    </row>
    <row r="1977" ht="15.75" customHeight="1">
      <c r="A1977" s="14" t="s">
        <v>17</v>
      </c>
      <c r="B1977" s="14">
        <v>2000.0</v>
      </c>
      <c r="C1977" s="14" t="s">
        <v>5751</v>
      </c>
      <c r="D1977" s="14" t="s">
        <v>5752</v>
      </c>
      <c r="E1977" s="150" t="str">
        <f t="shared" ref="E1977:E1978" si="32">"http://dx.doi.org/" &amp; D1977</f>
        <v>http://dx.doi.org/10.1109/VISUAL.2000.885691</v>
      </c>
      <c r="F1977" s="14">
        <v>171.0</v>
      </c>
      <c r="G1977" s="14">
        <v>178.0</v>
      </c>
      <c r="H1977" s="151"/>
      <c r="I1977" s="14" t="s">
        <v>28</v>
      </c>
      <c r="J1977" s="14" t="s">
        <v>12769</v>
      </c>
      <c r="K1977" s="14" t="s">
        <v>39098</v>
      </c>
      <c r="L1977" s="152" t="s">
        <v>5755</v>
      </c>
      <c r="M1977" s="14" t="s">
        <v>39100</v>
      </c>
      <c r="N1977" s="54" t="s">
        <v>38750</v>
      </c>
      <c r="O1977" s="130" t="s">
        <v>5020</v>
      </c>
      <c r="P1977" s="153" t="s">
        <v>5756</v>
      </c>
      <c r="Q1977" s="14">
        <v>885691.0</v>
      </c>
      <c r="R1977" s="95"/>
      <c r="S1977" s="154" t="s">
        <v>39101</v>
      </c>
      <c r="T1977" s="84"/>
      <c r="U1977" s="84"/>
      <c r="V1977" s="84"/>
      <c r="W1977" s="84"/>
      <c r="X1977" s="84"/>
      <c r="Y1977" s="84"/>
      <c r="Z1977" s="84"/>
      <c r="AA1977" s="84"/>
      <c r="AB1977" s="84"/>
      <c r="AC1977" s="84"/>
    </row>
    <row r="1978" ht="15.75" customHeight="1">
      <c r="A1978" s="14" t="s">
        <v>17</v>
      </c>
      <c r="B1978" s="14">
        <v>2000.0</v>
      </c>
      <c r="C1978" s="14" t="s">
        <v>5625</v>
      </c>
      <c r="D1978" s="14" t="s">
        <v>5626</v>
      </c>
      <c r="E1978" s="150" t="str">
        <f t="shared" si="32"/>
        <v>http://dx.doi.org/10.1109/VISUAL.2000.885672</v>
      </c>
      <c r="F1978" s="14">
        <v>21.0</v>
      </c>
      <c r="G1978" s="14">
        <v>28.0</v>
      </c>
      <c r="H1978" s="151"/>
      <c r="I1978" s="14" t="s">
        <v>28</v>
      </c>
      <c r="J1978" s="14" t="s">
        <v>12620</v>
      </c>
      <c r="K1978" s="14" t="s">
        <v>38394</v>
      </c>
      <c r="L1978" s="152" t="s">
        <v>5637</v>
      </c>
      <c r="M1978" s="14" t="s">
        <v>38723</v>
      </c>
      <c r="N1978" s="54" t="s">
        <v>38394</v>
      </c>
      <c r="O1978" s="130" t="s">
        <v>4406</v>
      </c>
      <c r="P1978" s="153" t="s">
        <v>5638</v>
      </c>
      <c r="Q1978" s="14">
        <v>885672.0</v>
      </c>
      <c r="R1978" s="95"/>
      <c r="S1978" s="154">
        <v>745311.0</v>
      </c>
      <c r="T1978" s="84"/>
      <c r="U1978" s="84"/>
      <c r="V1978" s="84"/>
      <c r="W1978" s="84"/>
      <c r="X1978" s="84"/>
      <c r="Y1978" s="84"/>
      <c r="Z1978" s="84"/>
      <c r="AA1978" s="84"/>
      <c r="AB1978" s="84"/>
      <c r="AC1978" s="84"/>
    </row>
    <row r="1979" ht="15.75" customHeight="1">
      <c r="A1979" s="14" t="s">
        <v>17</v>
      </c>
      <c r="B1979" s="50">
        <v>2000.0</v>
      </c>
      <c r="C1979" s="14" t="s">
        <v>5937</v>
      </c>
      <c r="D1979" s="14" t="s">
        <v>5938</v>
      </c>
      <c r="E1979" s="156" t="str">
        <f>HYPERLINK("http://doi.ieeecomputersociety.org/10.1109/VISUAL.2000.885722","http://doi.ieeecomputersociety.org/10.1109/VISUAL.2000.885722")</f>
        <v>http://doi.ieeecomputersociety.org/10.1109/VISUAL.2000.885722</v>
      </c>
      <c r="F1979" s="50">
        <v>407.0</v>
      </c>
      <c r="G1979" s="50">
        <v>414.0</v>
      </c>
      <c r="H1979" s="159"/>
      <c r="I1979" s="14" t="s">
        <v>28</v>
      </c>
      <c r="J1979" s="78" t="s">
        <v>39103</v>
      </c>
      <c r="K1979" s="54" t="s">
        <v>38857</v>
      </c>
      <c r="L1979" s="14" t="s">
        <v>5941</v>
      </c>
      <c r="M1979" s="14"/>
      <c r="N1979" s="54" t="s">
        <v>38857</v>
      </c>
      <c r="O1979" s="130"/>
      <c r="P1979" s="54"/>
      <c r="Q1979" s="50">
        <v>885722.0</v>
      </c>
      <c r="R1979" s="95"/>
      <c r="S1979" s="154"/>
      <c r="T1979" s="84"/>
      <c r="U1979" s="84"/>
      <c r="V1979" s="84"/>
      <c r="W1979" s="84"/>
      <c r="X1979" s="84"/>
      <c r="Y1979" s="84"/>
      <c r="Z1979" s="84"/>
      <c r="AA1979" s="84"/>
      <c r="AB1979" s="84"/>
      <c r="AC1979" s="84"/>
    </row>
    <row r="1980" ht="15.75" customHeight="1">
      <c r="A1980" s="14" t="s">
        <v>17</v>
      </c>
      <c r="B1980" s="14">
        <v>2000.0</v>
      </c>
      <c r="C1980" s="14" t="s">
        <v>5955</v>
      </c>
      <c r="D1980" s="14" t="s">
        <v>5956</v>
      </c>
      <c r="E1980" s="150" t="str">
        <f t="shared" ref="E1980:E1986" si="33">"http://dx.doi.org/" &amp; D1980</f>
        <v>http://dx.doi.org/10.1109/VISUAL.2000.885725</v>
      </c>
      <c r="F1980" s="14">
        <v>433.0</v>
      </c>
      <c r="G1980" s="14">
        <v>436.0</v>
      </c>
      <c r="H1980" s="151"/>
      <c r="I1980" s="14" t="s">
        <v>28</v>
      </c>
      <c r="J1980" s="14" t="s">
        <v>12998</v>
      </c>
      <c r="K1980" s="14" t="s">
        <v>39104</v>
      </c>
      <c r="L1980" s="152" t="s">
        <v>4376</v>
      </c>
      <c r="M1980" s="14" t="s">
        <v>39106</v>
      </c>
      <c r="N1980" s="54" t="s">
        <v>39104</v>
      </c>
      <c r="O1980" s="130" t="s">
        <v>5959</v>
      </c>
      <c r="P1980" s="199" t="s">
        <v>5960</v>
      </c>
      <c r="Q1980" s="14">
        <v>885725.0</v>
      </c>
      <c r="R1980" s="95"/>
      <c r="S1980" s="154" t="s">
        <v>39107</v>
      </c>
      <c r="T1980" s="84"/>
      <c r="U1980" s="84"/>
      <c r="V1980" s="84"/>
      <c r="W1980" s="84"/>
      <c r="X1980" s="84"/>
      <c r="Y1980" s="84"/>
      <c r="Z1980" s="84"/>
      <c r="AA1980" s="84"/>
      <c r="AB1980" s="84"/>
      <c r="AC1980" s="84"/>
    </row>
    <row r="1981" ht="15.75" customHeight="1">
      <c r="A1981" s="14" t="s">
        <v>17</v>
      </c>
      <c r="B1981" s="14">
        <v>2000.0</v>
      </c>
      <c r="C1981" s="14" t="s">
        <v>5789</v>
      </c>
      <c r="D1981" s="14" t="s">
        <v>5790</v>
      </c>
      <c r="E1981" s="150" t="str">
        <f t="shared" si="33"/>
        <v>http://dx.doi.org/10.1109/VISUAL.2000.885698</v>
      </c>
      <c r="F1981" s="14">
        <v>219.0</v>
      </c>
      <c r="G1981" s="14">
        <v>226.0</v>
      </c>
      <c r="H1981" s="151"/>
      <c r="I1981" s="14" t="s">
        <v>28</v>
      </c>
      <c r="J1981" s="14" t="s">
        <v>12821</v>
      </c>
      <c r="K1981" s="14" t="s">
        <v>39108</v>
      </c>
      <c r="L1981" s="152" t="s">
        <v>2670</v>
      </c>
      <c r="M1981" s="14" t="s">
        <v>39109</v>
      </c>
      <c r="N1981" s="54" t="s">
        <v>39110</v>
      </c>
      <c r="O1981" s="130" t="s">
        <v>5793</v>
      </c>
      <c r="P1981" s="16"/>
      <c r="Q1981" s="14">
        <v>885698.0</v>
      </c>
      <c r="R1981" s="95"/>
      <c r="S1981" s="154" t="s">
        <v>39111</v>
      </c>
      <c r="T1981" s="84"/>
      <c r="U1981" s="84"/>
      <c r="V1981" s="84"/>
      <c r="W1981" s="84"/>
      <c r="X1981" s="84"/>
      <c r="Y1981" s="84"/>
      <c r="Z1981" s="84"/>
      <c r="AA1981" s="84"/>
      <c r="AB1981" s="84"/>
      <c r="AC1981" s="84"/>
    </row>
    <row r="1982" ht="15.75" customHeight="1">
      <c r="A1982" s="14" t="s">
        <v>17</v>
      </c>
      <c r="B1982" s="14">
        <v>2000.0</v>
      </c>
      <c r="C1982" s="14" t="s">
        <v>5972</v>
      </c>
      <c r="D1982" s="14" t="s">
        <v>5973</v>
      </c>
      <c r="E1982" s="150" t="str">
        <f t="shared" si="33"/>
        <v>http://dx.doi.org/10.1109/VISUAL.2000.885728</v>
      </c>
      <c r="F1982" s="14">
        <v>445.0</v>
      </c>
      <c r="G1982" s="14">
        <v>448.0</v>
      </c>
      <c r="H1982" s="151"/>
      <c r="I1982" s="14" t="s">
        <v>28</v>
      </c>
      <c r="J1982" s="14" t="s">
        <v>13021</v>
      </c>
      <c r="K1982" s="14" t="s">
        <v>11396</v>
      </c>
      <c r="L1982" s="152" t="s">
        <v>5976</v>
      </c>
      <c r="M1982" s="14">
        <v>3.84703135E10</v>
      </c>
      <c r="N1982" s="54" t="s">
        <v>11396</v>
      </c>
      <c r="O1982" s="130" t="s">
        <v>1107</v>
      </c>
      <c r="P1982" s="199" t="s">
        <v>5977</v>
      </c>
      <c r="Q1982" s="14">
        <v>885728.0</v>
      </c>
      <c r="R1982" s="95"/>
      <c r="S1982" s="154">
        <v>235196.0</v>
      </c>
      <c r="T1982" s="84"/>
      <c r="U1982" s="84"/>
      <c r="V1982" s="84"/>
      <c r="W1982" s="84"/>
      <c r="X1982" s="84"/>
      <c r="Y1982" s="84"/>
      <c r="Z1982" s="84"/>
      <c r="AA1982" s="84"/>
      <c r="AB1982" s="84"/>
      <c r="AC1982" s="84"/>
    </row>
    <row r="1983" ht="15.75" customHeight="1">
      <c r="A1983" s="14" t="s">
        <v>17</v>
      </c>
      <c r="B1983" s="14">
        <v>2000.0</v>
      </c>
      <c r="C1983" s="14" t="s">
        <v>5869</v>
      </c>
      <c r="D1983" s="14" t="s">
        <v>5870</v>
      </c>
      <c r="E1983" s="150" t="str">
        <f t="shared" si="33"/>
        <v>http://dx.doi.org/10.1109/VISUAL.2000.885711</v>
      </c>
      <c r="F1983" s="14">
        <v>319.0</v>
      </c>
      <c r="G1983" s="14">
        <v>326.0</v>
      </c>
      <c r="H1983" s="151"/>
      <c r="I1983" s="14" t="s">
        <v>28</v>
      </c>
      <c r="J1983" s="14" t="s">
        <v>12902</v>
      </c>
      <c r="K1983" s="14" t="s">
        <v>39112</v>
      </c>
      <c r="L1983" s="152" t="s">
        <v>5873</v>
      </c>
      <c r="M1983" s="14" t="s">
        <v>39113</v>
      </c>
      <c r="N1983" s="54" t="s">
        <v>39112</v>
      </c>
      <c r="O1983" s="130" t="s">
        <v>5874</v>
      </c>
      <c r="P1983" s="153" t="s">
        <v>5875</v>
      </c>
      <c r="Q1983" s="14">
        <v>885711.0</v>
      </c>
      <c r="R1983" s="95"/>
      <c r="S1983" s="154" t="s">
        <v>39114</v>
      </c>
      <c r="T1983" s="84"/>
      <c r="U1983" s="84"/>
      <c r="V1983" s="84"/>
      <c r="W1983" s="84"/>
      <c r="X1983" s="84"/>
      <c r="Y1983" s="84"/>
      <c r="Z1983" s="84"/>
      <c r="AA1983" s="84"/>
      <c r="AB1983" s="84"/>
      <c r="AC1983" s="84"/>
    </row>
    <row r="1984" ht="15.75" customHeight="1">
      <c r="A1984" s="14" t="s">
        <v>17</v>
      </c>
      <c r="B1984" s="14">
        <v>2000.0</v>
      </c>
      <c r="C1984" s="14" t="s">
        <v>5662</v>
      </c>
      <c r="D1984" s="14" t="s">
        <v>5663</v>
      </c>
      <c r="E1984" s="150" t="str">
        <f t="shared" si="33"/>
        <v>http://dx.doi.org/10.1109/VISUAL.2000.885677</v>
      </c>
      <c r="F1984" s="14">
        <v>61.0</v>
      </c>
      <c r="G1984" s="14">
        <v>68.0</v>
      </c>
      <c r="H1984" s="151"/>
      <c r="I1984" s="14" t="s">
        <v>28</v>
      </c>
      <c r="J1984" s="14" t="s">
        <v>12676</v>
      </c>
      <c r="K1984" s="14" t="s">
        <v>39117</v>
      </c>
      <c r="L1984" s="152" t="s">
        <v>5666</v>
      </c>
      <c r="M1984" s="14" t="s">
        <v>39118</v>
      </c>
      <c r="N1984" s="54" t="s">
        <v>39119</v>
      </c>
      <c r="O1984" s="130" t="s">
        <v>5667</v>
      </c>
      <c r="P1984" s="153" t="s">
        <v>39120</v>
      </c>
      <c r="Q1984" s="14">
        <v>885677.0</v>
      </c>
      <c r="R1984" s="95"/>
      <c r="S1984" s="154" t="s">
        <v>39121</v>
      </c>
      <c r="T1984" s="84"/>
      <c r="U1984" s="84"/>
      <c r="V1984" s="84"/>
      <c r="W1984" s="84"/>
      <c r="X1984" s="84"/>
      <c r="Y1984" s="84"/>
      <c r="Z1984" s="84"/>
      <c r="AA1984" s="84"/>
      <c r="AB1984" s="84"/>
      <c r="AC1984" s="84"/>
    </row>
    <row r="1985" ht="15.75" customHeight="1">
      <c r="A1985" s="14" t="s">
        <v>17</v>
      </c>
      <c r="B1985" s="14">
        <v>2000.0</v>
      </c>
      <c r="C1985" s="14" t="s">
        <v>5738</v>
      </c>
      <c r="D1985" s="14" t="s">
        <v>5739</v>
      </c>
      <c r="E1985" s="150" t="str">
        <f t="shared" si="33"/>
        <v>http://dx.doi.org/10.1109/VISUAL.2000.885689</v>
      </c>
      <c r="F1985" s="14">
        <v>155.0</v>
      </c>
      <c r="G1985" s="14">
        <v>162.0</v>
      </c>
      <c r="H1985" s="151"/>
      <c r="I1985" s="14" t="s">
        <v>28</v>
      </c>
      <c r="J1985" s="14" t="s">
        <v>12750</v>
      </c>
      <c r="K1985" s="14" t="s">
        <v>38852</v>
      </c>
      <c r="L1985" s="152" t="s">
        <v>5742</v>
      </c>
      <c r="M1985" s="14" t="s">
        <v>39122</v>
      </c>
      <c r="N1985" s="54" t="s">
        <v>38852</v>
      </c>
      <c r="O1985" s="130" t="s">
        <v>5743</v>
      </c>
      <c r="P1985" s="153" t="s">
        <v>5744</v>
      </c>
      <c r="Q1985" s="14">
        <v>885689.0</v>
      </c>
      <c r="R1985" s="95"/>
      <c r="S1985" s="154" t="s">
        <v>39123</v>
      </c>
      <c r="T1985" s="84"/>
      <c r="U1985" s="84"/>
      <c r="V1985" s="84"/>
      <c r="W1985" s="84"/>
      <c r="X1985" s="84"/>
      <c r="Y1985" s="84"/>
      <c r="Z1985" s="84"/>
      <c r="AA1985" s="84"/>
      <c r="AB1985" s="84"/>
      <c r="AC1985" s="84"/>
    </row>
    <row r="1986" ht="15.75" customHeight="1">
      <c r="A1986" s="14" t="s">
        <v>17</v>
      </c>
      <c r="B1986" s="14">
        <v>2000.0</v>
      </c>
      <c r="C1986" s="14" t="s">
        <v>5700</v>
      </c>
      <c r="D1986" s="14" t="s">
        <v>5701</v>
      </c>
      <c r="E1986" s="150" t="str">
        <f t="shared" si="33"/>
        <v>http://dx.doi.org/10.1109/VISUAL.2000.885683</v>
      </c>
      <c r="F1986" s="14">
        <v>109.0</v>
      </c>
      <c r="G1986" s="14">
        <v>116.0</v>
      </c>
      <c r="H1986" s="151"/>
      <c r="I1986" s="14" t="s">
        <v>28</v>
      </c>
      <c r="J1986" s="14" t="s">
        <v>12716</v>
      </c>
      <c r="K1986" s="14" t="s">
        <v>39125</v>
      </c>
      <c r="L1986" s="152" t="s">
        <v>5704</v>
      </c>
      <c r="M1986" s="14" t="s">
        <v>39126</v>
      </c>
      <c r="N1986" s="54" t="s">
        <v>39125</v>
      </c>
      <c r="O1986" s="130" t="s">
        <v>5705</v>
      </c>
      <c r="P1986" s="153" t="s">
        <v>39127</v>
      </c>
      <c r="Q1986" s="14">
        <v>885683.0</v>
      </c>
      <c r="R1986" s="95"/>
      <c r="S1986" s="154" t="s">
        <v>39128</v>
      </c>
      <c r="T1986" s="84"/>
      <c r="U1986" s="84"/>
      <c r="V1986" s="84"/>
      <c r="W1986" s="84"/>
      <c r="X1986" s="84"/>
      <c r="Y1986" s="84"/>
      <c r="Z1986" s="84"/>
      <c r="AA1986" s="84"/>
      <c r="AB1986" s="84"/>
      <c r="AC1986" s="84"/>
    </row>
    <row r="1987" ht="15.75" customHeight="1">
      <c r="A1987" s="14" t="s">
        <v>17</v>
      </c>
      <c r="B1987" s="50">
        <v>2000.0</v>
      </c>
      <c r="C1987" s="14" t="s">
        <v>5812</v>
      </c>
      <c r="D1987" s="110" t="s">
        <v>5813</v>
      </c>
      <c r="E1987" s="194" t="s">
        <v>5814</v>
      </c>
      <c r="F1987" s="50">
        <v>251.0</v>
      </c>
      <c r="G1987" s="50">
        <v>258.0</v>
      </c>
      <c r="H1987" s="151"/>
      <c r="I1987" s="14" t="s">
        <v>28</v>
      </c>
      <c r="J1987" s="14" t="s">
        <v>39130</v>
      </c>
      <c r="K1987" s="14" t="s">
        <v>39131</v>
      </c>
      <c r="L1987" s="152" t="s">
        <v>753</v>
      </c>
      <c r="M1987" s="14"/>
      <c r="N1987" s="54" t="s">
        <v>39132</v>
      </c>
      <c r="O1987" s="130" t="s">
        <v>5816</v>
      </c>
      <c r="P1987" s="193" t="s">
        <v>39133</v>
      </c>
      <c r="Q1987" s="50">
        <v>885702.0</v>
      </c>
      <c r="R1987" s="95" t="s">
        <v>18275</v>
      </c>
      <c r="S1987" s="154" t="s">
        <v>39134</v>
      </c>
      <c r="T1987" s="84"/>
      <c r="U1987" s="84"/>
      <c r="V1987" s="84"/>
      <c r="W1987" s="84"/>
      <c r="X1987" s="84"/>
      <c r="Y1987" s="84"/>
      <c r="Z1987" s="84"/>
      <c r="AA1987" s="84"/>
      <c r="AB1987" s="84"/>
      <c r="AC1987" s="84"/>
    </row>
    <row r="1988" ht="15.75" customHeight="1">
      <c r="A1988" s="14" t="s">
        <v>17</v>
      </c>
      <c r="B1988" s="14">
        <v>2000.0</v>
      </c>
      <c r="C1988" s="14" t="s">
        <v>5990</v>
      </c>
      <c r="D1988" s="14" t="s">
        <v>5991</v>
      </c>
      <c r="E1988" s="150" t="str">
        <f t="shared" ref="E1988:E1990" si="34">"http://dx.doi.org/" &amp; D1988</f>
        <v>http://dx.doi.org/10.1109/VISUAL.2000.885731</v>
      </c>
      <c r="F1988" s="14">
        <v>457.0</v>
      </c>
      <c r="G1988" s="14">
        <v>460.0</v>
      </c>
      <c r="H1988" s="151"/>
      <c r="I1988" s="14" t="s">
        <v>28</v>
      </c>
      <c r="J1988" s="14" t="s">
        <v>13039</v>
      </c>
      <c r="K1988" s="14" t="s">
        <v>39135</v>
      </c>
      <c r="L1988" s="152" t="s">
        <v>5994</v>
      </c>
      <c r="M1988" s="14" t="s">
        <v>39136</v>
      </c>
      <c r="N1988" s="54" t="s">
        <v>39135</v>
      </c>
      <c r="O1988" s="130" t="s">
        <v>470</v>
      </c>
      <c r="P1988" s="16"/>
      <c r="Q1988" s="14">
        <v>885731.0</v>
      </c>
      <c r="R1988" s="95"/>
      <c r="S1988" s="154">
        <v>175771.0</v>
      </c>
      <c r="T1988" s="84"/>
      <c r="U1988" s="84"/>
      <c r="V1988" s="84"/>
      <c r="W1988" s="84"/>
      <c r="X1988" s="84"/>
      <c r="Y1988" s="84"/>
      <c r="Z1988" s="84"/>
      <c r="AA1988" s="84"/>
      <c r="AB1988" s="84"/>
      <c r="AC1988" s="84"/>
    </row>
    <row r="1989" ht="15.75" customHeight="1">
      <c r="A1989" s="14" t="s">
        <v>17</v>
      </c>
      <c r="B1989" s="14">
        <v>2000.0</v>
      </c>
      <c r="C1989" s="14" t="s">
        <v>6014</v>
      </c>
      <c r="D1989" s="14" t="s">
        <v>6015</v>
      </c>
      <c r="E1989" s="150" t="str">
        <f t="shared" si="34"/>
        <v>http://dx.doi.org/10.1109/VISUAL.2000.885734</v>
      </c>
      <c r="F1989" s="14">
        <v>469.0</v>
      </c>
      <c r="G1989" s="14">
        <v>472.0</v>
      </c>
      <c r="H1989" s="151"/>
      <c r="I1989" s="14" t="s">
        <v>28</v>
      </c>
      <c r="J1989" s="14" t="s">
        <v>13048</v>
      </c>
      <c r="K1989" s="14" t="s">
        <v>39137</v>
      </c>
      <c r="L1989" s="152" t="s">
        <v>6021</v>
      </c>
      <c r="M1989" s="14" t="s">
        <v>39138</v>
      </c>
      <c r="N1989" s="54" t="s">
        <v>39137</v>
      </c>
      <c r="O1989" s="130"/>
      <c r="P1989" s="199" t="s">
        <v>6022</v>
      </c>
      <c r="Q1989" s="14">
        <v>885734.0</v>
      </c>
      <c r="R1989" s="95"/>
      <c r="S1989" s="154"/>
      <c r="T1989" s="84"/>
      <c r="U1989" s="84"/>
      <c r="V1989" s="84"/>
      <c r="W1989" s="84"/>
      <c r="X1989" s="84"/>
      <c r="Y1989" s="84"/>
      <c r="Z1989" s="84"/>
      <c r="AA1989" s="84"/>
      <c r="AB1989" s="84"/>
      <c r="AC1989" s="84"/>
    </row>
    <row r="1990" ht="15.75" customHeight="1">
      <c r="A1990" s="14" t="s">
        <v>17</v>
      </c>
      <c r="B1990" s="14">
        <v>2000.0</v>
      </c>
      <c r="C1990" s="14" t="s">
        <v>6005</v>
      </c>
      <c r="D1990" s="14" t="s">
        <v>6006</v>
      </c>
      <c r="E1990" s="150" t="str">
        <f t="shared" si="34"/>
        <v>http://dx.doi.org/10.1109/VISUAL.2000.885733</v>
      </c>
      <c r="F1990" s="14">
        <v>465.0</v>
      </c>
      <c r="G1990" s="14">
        <v>468.0</v>
      </c>
      <c r="H1990" s="151"/>
      <c r="I1990" s="14" t="s">
        <v>28</v>
      </c>
      <c r="J1990" s="14" t="s">
        <v>13045</v>
      </c>
      <c r="K1990" s="14" t="s">
        <v>39139</v>
      </c>
      <c r="L1990" s="152" t="s">
        <v>6012</v>
      </c>
      <c r="M1990" s="14" t="s">
        <v>39140</v>
      </c>
      <c r="N1990" s="54" t="s">
        <v>39139</v>
      </c>
      <c r="O1990" s="130"/>
      <c r="P1990" s="199" t="s">
        <v>6013</v>
      </c>
      <c r="Q1990" s="14">
        <v>885733.0</v>
      </c>
      <c r="R1990" s="95"/>
      <c r="S1990" s="154"/>
      <c r="T1990" s="84"/>
      <c r="U1990" s="84"/>
      <c r="V1990" s="84"/>
      <c r="W1990" s="84"/>
      <c r="X1990" s="84"/>
      <c r="Y1990" s="84"/>
      <c r="Z1990" s="84"/>
      <c r="AA1990" s="84"/>
      <c r="AB1990" s="84"/>
      <c r="AC1990" s="84"/>
    </row>
    <row r="1991" ht="15.75" customHeight="1">
      <c r="A1991" s="14" t="s">
        <v>17</v>
      </c>
      <c r="B1991" s="50">
        <v>2000.0</v>
      </c>
      <c r="C1991" s="14" t="s">
        <v>5942</v>
      </c>
      <c r="D1991" s="54" t="s">
        <v>5943</v>
      </c>
      <c r="E1991" s="156" t="str">
        <f>HYPERLINK("http://doi.ieeecomputersociety.org/10.1109/VISUAL.2000.885723","http://doi.ieeecomputersociety.org/10.1109/VISUAL.2000.885723")</f>
        <v>http://doi.ieeecomputersociety.org/10.1109/VISUAL.2000.885723</v>
      </c>
      <c r="F1991" s="50">
        <v>415.0</v>
      </c>
      <c r="G1991" s="50">
        <v>422.0</v>
      </c>
      <c r="H1991" s="159"/>
      <c r="I1991" s="14" t="s">
        <v>28</v>
      </c>
      <c r="J1991" s="78" t="s">
        <v>39142</v>
      </c>
      <c r="K1991" s="201" t="s">
        <v>39143</v>
      </c>
      <c r="L1991" s="14" t="s">
        <v>5946</v>
      </c>
      <c r="M1991" s="14"/>
      <c r="N1991" s="54" t="s">
        <v>39143</v>
      </c>
      <c r="O1991" s="130" t="s">
        <v>5947</v>
      </c>
      <c r="P1991" s="193" t="s">
        <v>39144</v>
      </c>
      <c r="Q1991" s="50">
        <v>885723.0</v>
      </c>
      <c r="R1991" s="95"/>
      <c r="S1991" s="154" t="s">
        <v>39145</v>
      </c>
      <c r="T1991" s="84"/>
      <c r="U1991" s="84"/>
      <c r="V1991" s="84"/>
      <c r="W1991" s="84"/>
      <c r="X1991" s="84"/>
      <c r="Y1991" s="84"/>
      <c r="Z1991" s="84"/>
      <c r="AA1991" s="84"/>
      <c r="AB1991" s="84"/>
      <c r="AC1991" s="84"/>
    </row>
    <row r="1992" ht="15.75" customHeight="1">
      <c r="A1992" s="14" t="s">
        <v>17</v>
      </c>
      <c r="B1992" s="14">
        <v>2000.0</v>
      </c>
      <c r="C1992" s="14" t="s">
        <v>5825</v>
      </c>
      <c r="D1992" s="14" t="s">
        <v>5826</v>
      </c>
      <c r="E1992" s="150" t="str">
        <f t="shared" ref="E1992:E1996" si="35">"http://dx.doi.org/" &amp; D1992</f>
        <v>http://dx.doi.org/10.1109/VISUAL.2000.885704</v>
      </c>
      <c r="F1992" s="14">
        <v>267.0</v>
      </c>
      <c r="G1992" s="14">
        <v>273.0</v>
      </c>
      <c r="H1992" s="151"/>
      <c r="I1992" s="14" t="s">
        <v>28</v>
      </c>
      <c r="J1992" s="14" t="s">
        <v>12866</v>
      </c>
      <c r="K1992" s="14" t="s">
        <v>39146</v>
      </c>
      <c r="L1992" s="152" t="s">
        <v>5829</v>
      </c>
      <c r="M1992" s="14" t="s">
        <v>39147</v>
      </c>
      <c r="N1992" s="54" t="s">
        <v>39146</v>
      </c>
      <c r="O1992" s="130" t="s">
        <v>5830</v>
      </c>
      <c r="P1992" s="16"/>
      <c r="Q1992" s="14">
        <v>885704.0</v>
      </c>
      <c r="R1992" s="95"/>
      <c r="S1992" s="154" t="s">
        <v>39148</v>
      </c>
      <c r="T1992" s="84"/>
      <c r="U1992" s="84"/>
      <c r="V1992" s="84"/>
      <c r="W1992" s="84"/>
      <c r="X1992" s="84"/>
      <c r="Y1992" s="84"/>
      <c r="Z1992" s="84"/>
      <c r="AA1992" s="84"/>
      <c r="AB1992" s="84"/>
      <c r="AC1992" s="84"/>
    </row>
    <row r="1993" ht="15.75" customHeight="1">
      <c r="A1993" s="14" t="s">
        <v>17</v>
      </c>
      <c r="B1993" s="14">
        <v>2000.0</v>
      </c>
      <c r="C1993" s="14" t="s">
        <v>5961</v>
      </c>
      <c r="D1993" s="14" t="s">
        <v>5962</v>
      </c>
      <c r="E1993" s="150" t="str">
        <f t="shared" si="35"/>
        <v>http://dx.doi.org/10.1109/VISUAL.2000.885726</v>
      </c>
      <c r="F1993" s="14">
        <v>437.0</v>
      </c>
      <c r="G1993" s="14">
        <v>440.0</v>
      </c>
      <c r="H1993" s="151"/>
      <c r="I1993" s="14" t="s">
        <v>28</v>
      </c>
      <c r="J1993" s="14" t="s">
        <v>13008</v>
      </c>
      <c r="K1993" s="14" t="s">
        <v>39149</v>
      </c>
      <c r="L1993" s="152" t="s">
        <v>3540</v>
      </c>
      <c r="M1993" s="14" t="s">
        <v>39150</v>
      </c>
      <c r="N1993" s="54" t="s">
        <v>39149</v>
      </c>
      <c r="O1993" s="130" t="s">
        <v>5301</v>
      </c>
      <c r="P1993" s="199" t="s">
        <v>5965</v>
      </c>
      <c r="Q1993" s="14">
        <v>885726.0</v>
      </c>
      <c r="R1993" s="95"/>
      <c r="S1993" s="154">
        <v>809911.0</v>
      </c>
      <c r="T1993" s="84"/>
      <c r="U1993" s="84"/>
      <c r="V1993" s="84"/>
      <c r="W1993" s="84"/>
      <c r="X1993" s="84"/>
      <c r="Y1993" s="84"/>
      <c r="Z1993" s="84"/>
      <c r="AA1993" s="84"/>
      <c r="AB1993" s="84"/>
      <c r="AC1993" s="84"/>
    </row>
    <row r="1994" ht="15.75" customHeight="1">
      <c r="A1994" s="14" t="s">
        <v>17</v>
      </c>
      <c r="B1994" s="14">
        <v>2000.0</v>
      </c>
      <c r="C1994" s="14" t="s">
        <v>5995</v>
      </c>
      <c r="D1994" s="14" t="s">
        <v>5996</v>
      </c>
      <c r="E1994" s="150" t="str">
        <f t="shared" si="35"/>
        <v>http://dx.doi.org/10.1109/VISUAL.2000.885732</v>
      </c>
      <c r="F1994" s="14">
        <v>461.0</v>
      </c>
      <c r="G1994" s="14">
        <v>464.0</v>
      </c>
      <c r="H1994" s="151"/>
      <c r="I1994" s="14" t="s">
        <v>28</v>
      </c>
      <c r="J1994" s="14" t="s">
        <v>13041</v>
      </c>
      <c r="K1994" s="14" t="s">
        <v>39152</v>
      </c>
      <c r="L1994" s="152" t="s">
        <v>6002</v>
      </c>
      <c r="M1994" s="14" t="s">
        <v>39153</v>
      </c>
      <c r="N1994" s="54" t="s">
        <v>39154</v>
      </c>
      <c r="O1994" s="130" t="s">
        <v>6003</v>
      </c>
      <c r="P1994" s="199" t="s">
        <v>6004</v>
      </c>
      <c r="Q1994" s="14">
        <v>885732.0</v>
      </c>
      <c r="R1994" s="95"/>
      <c r="S1994" s="154" t="s">
        <v>39155</v>
      </c>
      <c r="T1994" s="84"/>
      <c r="U1994" s="84"/>
      <c r="V1994" s="84"/>
      <c r="W1994" s="84"/>
      <c r="X1994" s="84"/>
      <c r="Y1994" s="84"/>
      <c r="Z1994" s="84"/>
      <c r="AA1994" s="84"/>
      <c r="AB1994" s="84"/>
      <c r="AC1994" s="84"/>
    </row>
    <row r="1995" ht="15.75" customHeight="1">
      <c r="A1995" s="14" t="s">
        <v>17</v>
      </c>
      <c r="B1995" s="14">
        <v>2000.0</v>
      </c>
      <c r="C1995" s="14" t="s">
        <v>5949</v>
      </c>
      <c r="D1995" s="14" t="s">
        <v>5950</v>
      </c>
      <c r="E1995" s="150" t="str">
        <f t="shared" si="35"/>
        <v>http://dx.doi.org/10.1109/VISUAL.2000.885724</v>
      </c>
      <c r="F1995" s="14">
        <v>423.0</v>
      </c>
      <c r="G1995" s="14">
        <v>430.0</v>
      </c>
      <c r="H1995" s="151"/>
      <c r="I1995" s="14" t="s">
        <v>28</v>
      </c>
      <c r="J1995" s="14" t="s">
        <v>12995</v>
      </c>
      <c r="K1995" s="14" t="s">
        <v>39156</v>
      </c>
      <c r="L1995" s="152" t="s">
        <v>5953</v>
      </c>
      <c r="M1995" s="14" t="s">
        <v>39157</v>
      </c>
      <c r="N1995" s="54" t="s">
        <v>39159</v>
      </c>
      <c r="O1995" s="130" t="s">
        <v>5954</v>
      </c>
      <c r="P1995" s="16"/>
      <c r="Q1995" s="14">
        <v>885724.0</v>
      </c>
      <c r="R1995" s="95"/>
      <c r="S1995" s="154" t="s">
        <v>39160</v>
      </c>
      <c r="T1995" s="84"/>
      <c r="U1995" s="84"/>
      <c r="V1995" s="84"/>
      <c r="W1995" s="84"/>
      <c r="X1995" s="84"/>
      <c r="Y1995" s="84"/>
      <c r="Z1995" s="84"/>
      <c r="AA1995" s="84"/>
      <c r="AB1995" s="84"/>
      <c r="AC1995" s="84"/>
    </row>
    <row r="1996" ht="15.75" customHeight="1">
      <c r="A1996" s="14" t="s">
        <v>17</v>
      </c>
      <c r="B1996" s="14">
        <v>2000.0</v>
      </c>
      <c r="C1996" s="14" t="s">
        <v>6106</v>
      </c>
      <c r="D1996" s="14" t="s">
        <v>6107</v>
      </c>
      <c r="E1996" s="150" t="str">
        <f t="shared" si="35"/>
        <v>http://dx.doi.org/10.1109/VISUAL.2000.885745</v>
      </c>
      <c r="F1996" s="14">
        <v>513.0</v>
      </c>
      <c r="G1996" s="14">
        <v>516.0</v>
      </c>
      <c r="H1996" s="151"/>
      <c r="I1996" s="14" t="s">
        <v>28</v>
      </c>
      <c r="J1996" s="14" t="s">
        <v>13106</v>
      </c>
      <c r="K1996" s="14" t="s">
        <v>11091</v>
      </c>
      <c r="L1996" s="152" t="s">
        <v>1158</v>
      </c>
      <c r="M1996" s="14">
        <v>3.73721755E10</v>
      </c>
      <c r="N1996" s="54" t="s">
        <v>11091</v>
      </c>
      <c r="O1996" s="130" t="s">
        <v>6111</v>
      </c>
      <c r="P1996" s="199" t="s">
        <v>6112</v>
      </c>
      <c r="Q1996" s="14">
        <v>885745.0</v>
      </c>
      <c r="R1996" s="95"/>
      <c r="S1996" s="154" t="s">
        <v>39161</v>
      </c>
      <c r="T1996" s="84"/>
      <c r="U1996" s="84"/>
      <c r="V1996" s="84"/>
      <c r="W1996" s="84"/>
      <c r="X1996" s="84"/>
      <c r="Y1996" s="84"/>
      <c r="Z1996" s="84"/>
      <c r="AA1996" s="84"/>
      <c r="AB1996" s="84"/>
      <c r="AC1996" s="84"/>
    </row>
    <row r="1997" ht="15.75" customHeight="1">
      <c r="A1997" s="14" t="s">
        <v>17</v>
      </c>
      <c r="B1997" s="50">
        <v>2000.0</v>
      </c>
      <c r="C1997" s="112" t="s">
        <v>5882</v>
      </c>
      <c r="D1997" s="110" t="s">
        <v>5883</v>
      </c>
      <c r="E1997" s="197" t="s">
        <v>5884</v>
      </c>
      <c r="F1997" s="50">
        <v>335.0</v>
      </c>
      <c r="G1997" s="50">
        <v>342.0</v>
      </c>
      <c r="H1997" s="151"/>
      <c r="I1997" s="14" t="s">
        <v>28</v>
      </c>
      <c r="J1997" s="14" t="s">
        <v>39162</v>
      </c>
      <c r="K1997" s="14" t="s">
        <v>7385</v>
      </c>
      <c r="L1997" s="14" t="s">
        <v>5886</v>
      </c>
      <c r="M1997" s="14"/>
      <c r="N1997" s="54" t="s">
        <v>7385</v>
      </c>
      <c r="O1997" s="130" t="s">
        <v>5887</v>
      </c>
      <c r="P1997" s="54"/>
      <c r="Q1997" s="50">
        <v>885713.0</v>
      </c>
      <c r="R1997" s="95" t="s">
        <v>18275</v>
      </c>
      <c r="S1997" s="154" t="s">
        <v>39163</v>
      </c>
      <c r="T1997" s="84"/>
      <c r="U1997" s="84"/>
      <c r="V1997" s="84"/>
      <c r="W1997" s="84"/>
      <c r="X1997" s="84"/>
      <c r="Y1997" s="84"/>
      <c r="Z1997" s="84"/>
      <c r="AA1997" s="84"/>
      <c r="AB1997" s="84"/>
      <c r="AC1997" s="84"/>
    </row>
    <row r="1998" ht="15.75" customHeight="1">
      <c r="A1998" s="14" t="s">
        <v>17</v>
      </c>
      <c r="B1998" s="14">
        <v>2000.0</v>
      </c>
      <c r="C1998" s="14" t="s">
        <v>5844</v>
      </c>
      <c r="D1998" s="14" t="s">
        <v>5845</v>
      </c>
      <c r="E1998" s="150" t="str">
        <f t="shared" ref="E1998:E2006" si="36">"http://dx.doi.org/" &amp; D1998</f>
        <v>http://dx.doi.org/10.1109/VISUAL.2000.885707</v>
      </c>
      <c r="F1998" s="14">
        <v>291.0</v>
      </c>
      <c r="G1998" s="14">
        <v>296.0</v>
      </c>
      <c r="H1998" s="151"/>
      <c r="I1998" s="14" t="s">
        <v>28</v>
      </c>
      <c r="J1998" s="14" t="s">
        <v>12886</v>
      </c>
      <c r="K1998" s="14" t="s">
        <v>39164</v>
      </c>
      <c r="L1998" s="152" t="s">
        <v>5848</v>
      </c>
      <c r="M1998" s="14" t="s">
        <v>39165</v>
      </c>
      <c r="N1998" s="54" t="s">
        <v>39164</v>
      </c>
      <c r="O1998" s="130" t="s">
        <v>5849</v>
      </c>
      <c r="P1998" s="153" t="s">
        <v>5850</v>
      </c>
      <c r="Q1998" s="14">
        <v>885707.0</v>
      </c>
      <c r="R1998" s="95"/>
      <c r="S1998" s="154" t="s">
        <v>39166</v>
      </c>
      <c r="T1998" s="84"/>
      <c r="U1998" s="84"/>
      <c r="V1998" s="84"/>
      <c r="W1998" s="84"/>
      <c r="X1998" s="84"/>
      <c r="Y1998" s="84"/>
      <c r="Z1998" s="84"/>
      <c r="AA1998" s="84"/>
      <c r="AB1998" s="84"/>
      <c r="AC1998" s="84"/>
    </row>
    <row r="1999" ht="15.75" customHeight="1">
      <c r="A1999" s="14" t="s">
        <v>17</v>
      </c>
      <c r="B1999" s="14">
        <v>2000.0</v>
      </c>
      <c r="C1999" s="14" t="s">
        <v>5913</v>
      </c>
      <c r="D1999" s="14" t="s">
        <v>5914</v>
      </c>
      <c r="E1999" s="150" t="str">
        <f t="shared" si="36"/>
        <v>http://dx.doi.org/10.1109/VISUAL.2000.885718</v>
      </c>
      <c r="F1999" s="14">
        <v>373.0</v>
      </c>
      <c r="G1999" s="14">
        <v>380.0</v>
      </c>
      <c r="H1999" s="151"/>
      <c r="I1999" s="14" t="s">
        <v>28</v>
      </c>
      <c r="J1999" s="14" t="s">
        <v>39167</v>
      </c>
      <c r="K1999" s="14" t="s">
        <v>39168</v>
      </c>
      <c r="L1999" s="152" t="s">
        <v>5917</v>
      </c>
      <c r="M1999" s="14" t="s">
        <v>39169</v>
      </c>
      <c r="N1999" s="54" t="s">
        <v>39168</v>
      </c>
      <c r="O1999" s="130" t="s">
        <v>4148</v>
      </c>
      <c r="P1999" s="153" t="s">
        <v>5918</v>
      </c>
      <c r="Q1999" s="14">
        <v>885718.0</v>
      </c>
      <c r="R1999" s="95"/>
      <c r="S1999" s="154">
        <v>745286.0</v>
      </c>
      <c r="T1999" s="84"/>
      <c r="U1999" s="84"/>
      <c r="V1999" s="84"/>
      <c r="W1999" s="84"/>
      <c r="X1999" s="84"/>
      <c r="Y1999" s="84"/>
      <c r="Z1999" s="84"/>
      <c r="AA1999" s="84"/>
      <c r="AB1999" s="84"/>
      <c r="AC1999" s="84"/>
    </row>
    <row r="2000" ht="15.75" customHeight="1">
      <c r="A2000" s="14" t="s">
        <v>17</v>
      </c>
      <c r="B2000" s="14">
        <v>2000.0</v>
      </c>
      <c r="C2000" s="14" t="s">
        <v>5695</v>
      </c>
      <c r="D2000" s="14" t="s">
        <v>5696</v>
      </c>
      <c r="E2000" s="150" t="str">
        <f t="shared" si="36"/>
        <v>http://dx.doi.org/10.1109/VISUAL.2000.885682</v>
      </c>
      <c r="F2000" s="14">
        <v>101.0</v>
      </c>
      <c r="G2000" s="14">
        <v>108.0</v>
      </c>
      <c r="H2000" s="151"/>
      <c r="I2000" s="14" t="s">
        <v>28</v>
      </c>
      <c r="J2000" s="14" t="s">
        <v>12713</v>
      </c>
      <c r="K2000" s="14" t="s">
        <v>39170</v>
      </c>
      <c r="L2000" s="152" t="s">
        <v>753</v>
      </c>
      <c r="M2000" s="14" t="s">
        <v>39171</v>
      </c>
      <c r="N2000" s="54" t="s">
        <v>39170</v>
      </c>
      <c r="O2000" s="130" t="s">
        <v>4959</v>
      </c>
      <c r="P2000" s="153" t="s">
        <v>5699</v>
      </c>
      <c r="Q2000" s="14">
        <v>885682.0</v>
      </c>
      <c r="R2000" s="95"/>
      <c r="S2000" s="154">
        <v>809867.0</v>
      </c>
      <c r="T2000" s="84"/>
      <c r="U2000" s="84"/>
      <c r="V2000" s="84"/>
      <c r="W2000" s="84"/>
      <c r="X2000" s="84"/>
      <c r="Y2000" s="84"/>
      <c r="Z2000" s="84"/>
      <c r="AA2000" s="84"/>
      <c r="AB2000" s="84"/>
      <c r="AC2000" s="84"/>
    </row>
    <row r="2001" ht="15.75" customHeight="1">
      <c r="A2001" s="14" t="s">
        <v>17</v>
      </c>
      <c r="B2001" s="14">
        <v>2000.0</v>
      </c>
      <c r="C2001" s="14" t="s">
        <v>5776</v>
      </c>
      <c r="D2001" s="14" t="s">
        <v>5777</v>
      </c>
      <c r="E2001" s="150" t="str">
        <f t="shared" si="36"/>
        <v>http://dx.doi.org/10.1109/VISUAL.2000.885696</v>
      </c>
      <c r="F2001" s="14">
        <v>203.0</v>
      </c>
      <c r="G2001" s="14">
        <v>210.0</v>
      </c>
      <c r="H2001" s="151"/>
      <c r="I2001" s="14" t="s">
        <v>28</v>
      </c>
      <c r="J2001" s="14" t="s">
        <v>39172</v>
      </c>
      <c r="K2001" s="14" t="s">
        <v>39173</v>
      </c>
      <c r="L2001" s="152" t="s">
        <v>5780</v>
      </c>
      <c r="M2001" s="14" t="s">
        <v>39174</v>
      </c>
      <c r="N2001" s="54" t="s">
        <v>39173</v>
      </c>
      <c r="O2001" s="130" t="s">
        <v>3024</v>
      </c>
      <c r="P2001" s="153" t="s">
        <v>5781</v>
      </c>
      <c r="Q2001" s="14">
        <v>885696.0</v>
      </c>
      <c r="R2001" s="95"/>
      <c r="S2001" s="154">
        <v>568110.0</v>
      </c>
      <c r="T2001" s="84"/>
      <c r="U2001" s="84"/>
      <c r="V2001" s="84"/>
      <c r="W2001" s="84"/>
      <c r="X2001" s="84"/>
      <c r="Y2001" s="84"/>
      <c r="Z2001" s="84"/>
      <c r="AA2001" s="84"/>
      <c r="AB2001" s="84"/>
      <c r="AC2001" s="84"/>
    </row>
    <row r="2002" ht="15.75" customHeight="1">
      <c r="A2002" s="14" t="s">
        <v>17</v>
      </c>
      <c r="B2002" s="14">
        <v>2000.0</v>
      </c>
      <c r="C2002" s="14" t="s">
        <v>5919</v>
      </c>
      <c r="D2002" s="14" t="s">
        <v>5920</v>
      </c>
      <c r="E2002" s="150" t="str">
        <f t="shared" si="36"/>
        <v>http://dx.doi.org/10.1109/VISUAL.2000.885719</v>
      </c>
      <c r="F2002" s="14">
        <v>381.0</v>
      </c>
      <c r="G2002" s="14">
        <v>387.0</v>
      </c>
      <c r="H2002" s="151"/>
      <c r="I2002" s="14" t="s">
        <v>28</v>
      </c>
      <c r="J2002" s="14" t="s">
        <v>12954</v>
      </c>
      <c r="K2002" s="14" t="s">
        <v>39176</v>
      </c>
      <c r="L2002" s="152" t="s">
        <v>5923</v>
      </c>
      <c r="M2002" s="14" t="s">
        <v>39177</v>
      </c>
      <c r="N2002" s="54" t="s">
        <v>39176</v>
      </c>
      <c r="O2002" s="130"/>
      <c r="P2002" s="153" t="s">
        <v>5924</v>
      </c>
      <c r="Q2002" s="14">
        <v>885719.0</v>
      </c>
      <c r="R2002" s="95"/>
      <c r="S2002" s="154"/>
      <c r="T2002" s="84"/>
      <c r="U2002" s="84"/>
      <c r="V2002" s="84"/>
      <c r="W2002" s="84"/>
      <c r="X2002" s="84"/>
      <c r="Y2002" s="84"/>
      <c r="Z2002" s="84"/>
      <c r="AA2002" s="84"/>
      <c r="AB2002" s="84"/>
      <c r="AC2002" s="84"/>
    </row>
    <row r="2003" ht="15.75" customHeight="1">
      <c r="A2003" s="14" t="s">
        <v>17</v>
      </c>
      <c r="B2003" s="14">
        <v>2000.0</v>
      </c>
      <c r="C2003" s="14" t="s">
        <v>5676</v>
      </c>
      <c r="D2003" s="14" t="s">
        <v>5677</v>
      </c>
      <c r="E2003" s="150" t="str">
        <f t="shared" si="36"/>
        <v>http://dx.doi.org/10.1109/VISUAL.2000.885679</v>
      </c>
      <c r="F2003" s="14">
        <v>77.0</v>
      </c>
      <c r="G2003" s="14">
        <v>84.0</v>
      </c>
      <c r="H2003" s="151"/>
      <c r="I2003" s="14" t="s">
        <v>28</v>
      </c>
      <c r="J2003" s="14" t="s">
        <v>12687</v>
      </c>
      <c r="K2003" s="14" t="s">
        <v>39178</v>
      </c>
      <c r="L2003" s="152" t="s">
        <v>5680</v>
      </c>
      <c r="M2003" s="14" t="s">
        <v>39179</v>
      </c>
      <c r="N2003" s="54" t="s">
        <v>39178</v>
      </c>
      <c r="O2003" s="130" t="s">
        <v>5681</v>
      </c>
      <c r="P2003" s="153" t="s">
        <v>5682</v>
      </c>
      <c r="Q2003" s="14">
        <v>885679.0</v>
      </c>
      <c r="R2003" s="95"/>
      <c r="S2003" s="154" t="s">
        <v>39180</v>
      </c>
      <c r="T2003" s="84"/>
      <c r="U2003" s="84"/>
      <c r="V2003" s="84"/>
      <c r="W2003" s="84"/>
      <c r="X2003" s="84"/>
      <c r="Y2003" s="84"/>
      <c r="Z2003" s="84"/>
      <c r="AA2003" s="84"/>
      <c r="AB2003" s="84"/>
      <c r="AC2003" s="84"/>
    </row>
    <row r="2004" ht="15.75" customHeight="1">
      <c r="A2004" s="14" t="s">
        <v>17</v>
      </c>
      <c r="B2004" s="14">
        <v>2000.0</v>
      </c>
      <c r="C2004" s="14" t="s">
        <v>6088</v>
      </c>
      <c r="D2004" s="14" t="s">
        <v>6090</v>
      </c>
      <c r="E2004" s="150" t="str">
        <f t="shared" si="36"/>
        <v>http://dx.doi.org/10.1109/VISUAL.2000.885743</v>
      </c>
      <c r="F2004" s="14">
        <v>505.0</v>
      </c>
      <c r="G2004" s="14">
        <v>508.0</v>
      </c>
      <c r="H2004" s="151"/>
      <c r="I2004" s="14" t="s">
        <v>28</v>
      </c>
      <c r="J2004" s="14" t="s">
        <v>13065</v>
      </c>
      <c r="K2004" s="14" t="s">
        <v>39182</v>
      </c>
      <c r="L2004" s="152" t="s">
        <v>6092</v>
      </c>
      <c r="M2004" s="14" t="s">
        <v>39183</v>
      </c>
      <c r="N2004" s="54" t="s">
        <v>39182</v>
      </c>
      <c r="O2004" s="130" t="s">
        <v>6093</v>
      </c>
      <c r="P2004" s="202" t="s">
        <v>39184</v>
      </c>
      <c r="Q2004" s="14">
        <v>885743.0</v>
      </c>
      <c r="R2004" s="95"/>
      <c r="S2004" s="154" t="s">
        <v>39185</v>
      </c>
      <c r="T2004" s="84"/>
      <c r="U2004" s="84"/>
      <c r="V2004" s="84"/>
      <c r="W2004" s="84"/>
      <c r="X2004" s="84"/>
      <c r="Y2004" s="84"/>
      <c r="Z2004" s="84"/>
      <c r="AA2004" s="84"/>
      <c r="AB2004" s="84"/>
      <c r="AC2004" s="84"/>
    </row>
    <row r="2005" ht="15.75" customHeight="1">
      <c r="A2005" s="14" t="s">
        <v>17</v>
      </c>
      <c r="B2005" s="14">
        <v>2000.0</v>
      </c>
      <c r="C2005" s="14" t="s">
        <v>5857</v>
      </c>
      <c r="D2005" s="14" t="s">
        <v>5858</v>
      </c>
      <c r="E2005" s="150" t="str">
        <f t="shared" si="36"/>
        <v>http://dx.doi.org/10.1109/VISUAL.2000.885709</v>
      </c>
      <c r="F2005" s="14">
        <v>303.0</v>
      </c>
      <c r="G2005" s="14">
        <v>310.0</v>
      </c>
      <c r="H2005" s="151"/>
      <c r="I2005" s="14" t="s">
        <v>28</v>
      </c>
      <c r="J2005" s="14" t="s">
        <v>12895</v>
      </c>
      <c r="K2005" s="14" t="s">
        <v>39186</v>
      </c>
      <c r="L2005" s="152" t="s">
        <v>5861</v>
      </c>
      <c r="M2005" s="14" t="s">
        <v>39187</v>
      </c>
      <c r="N2005" s="54" t="s">
        <v>39186</v>
      </c>
      <c r="O2005" s="130" t="s">
        <v>79</v>
      </c>
      <c r="P2005" s="153" t="s">
        <v>5862</v>
      </c>
      <c r="Q2005" s="14">
        <v>885709.0</v>
      </c>
      <c r="R2005" s="95"/>
      <c r="S2005" s="154">
        <v>146368.0</v>
      </c>
      <c r="T2005" s="84"/>
      <c r="U2005" s="84"/>
      <c r="V2005" s="84"/>
      <c r="W2005" s="84"/>
      <c r="X2005" s="84"/>
      <c r="Y2005" s="84"/>
      <c r="Z2005" s="84"/>
      <c r="AA2005" s="84"/>
      <c r="AB2005" s="84"/>
      <c r="AC2005" s="84"/>
    </row>
    <row r="2006" ht="15.75" customHeight="1">
      <c r="A2006" s="14" t="s">
        <v>17</v>
      </c>
      <c r="B2006" s="14">
        <v>2000.0</v>
      </c>
      <c r="C2006" s="14" t="s">
        <v>5837</v>
      </c>
      <c r="D2006" s="14" t="s">
        <v>5838</v>
      </c>
      <c r="E2006" s="150" t="str">
        <f t="shared" si="36"/>
        <v>http://dx.doi.org/10.1109/VISUAL.2000.885706</v>
      </c>
      <c r="F2006" s="14">
        <v>283.0</v>
      </c>
      <c r="G2006" s="14">
        <v>289.0</v>
      </c>
      <c r="H2006" s="151"/>
      <c r="I2006" s="14" t="s">
        <v>28</v>
      </c>
      <c r="J2006" s="14" t="s">
        <v>12878</v>
      </c>
      <c r="K2006" s="14" t="s">
        <v>11394</v>
      </c>
      <c r="L2006" s="152" t="s">
        <v>5841</v>
      </c>
      <c r="M2006" s="14">
        <v>3.73375104E10</v>
      </c>
      <c r="N2006" s="54" t="s">
        <v>11394</v>
      </c>
      <c r="O2006" s="130" t="s">
        <v>5842</v>
      </c>
      <c r="P2006" s="153" t="s">
        <v>5843</v>
      </c>
      <c r="Q2006" s="14">
        <v>885706.0</v>
      </c>
      <c r="R2006" s="95"/>
      <c r="S2006" s="154" t="s">
        <v>39188</v>
      </c>
      <c r="T2006" s="84"/>
      <c r="U2006" s="84"/>
      <c r="V2006" s="84"/>
      <c r="W2006" s="84"/>
      <c r="X2006" s="84"/>
      <c r="Y2006" s="84"/>
      <c r="Z2006" s="84"/>
      <c r="AA2006" s="84"/>
      <c r="AB2006" s="84"/>
      <c r="AC2006" s="84"/>
    </row>
    <row r="2007" ht="15.75" customHeight="1">
      <c r="A2007" s="14" t="s">
        <v>17</v>
      </c>
      <c r="B2007" s="50">
        <v>2000.0</v>
      </c>
      <c r="C2007" s="14" t="s">
        <v>6095</v>
      </c>
      <c r="D2007" s="97" t="s">
        <v>6097</v>
      </c>
      <c r="E2007" s="194" t="s">
        <v>6098</v>
      </c>
      <c r="F2007" s="50">
        <v>509.0</v>
      </c>
      <c r="G2007" s="50">
        <v>512.0</v>
      </c>
      <c r="H2007" s="151"/>
      <c r="I2007" s="14" t="s">
        <v>28</v>
      </c>
      <c r="J2007" s="14" t="s">
        <v>39189</v>
      </c>
      <c r="K2007" s="14" t="s">
        <v>39190</v>
      </c>
      <c r="L2007" s="14" t="s">
        <v>6105</v>
      </c>
      <c r="M2007" s="14"/>
      <c r="N2007" s="54" t="s">
        <v>39191</v>
      </c>
      <c r="O2007" s="130" t="s">
        <v>2900</v>
      </c>
      <c r="P2007" s="16"/>
      <c r="Q2007" s="50">
        <v>885744.0</v>
      </c>
      <c r="R2007" s="95"/>
      <c r="S2007" s="154" t="s">
        <v>39192</v>
      </c>
      <c r="T2007" s="84"/>
      <c r="U2007" s="84"/>
      <c r="V2007" s="84"/>
      <c r="W2007" s="84"/>
      <c r="X2007" s="84"/>
      <c r="Y2007" s="84"/>
      <c r="Z2007" s="84"/>
      <c r="AA2007" s="84"/>
      <c r="AB2007" s="84"/>
      <c r="AC2007" s="84"/>
    </row>
    <row r="2008" ht="15.75" customHeight="1">
      <c r="A2008" s="14" t="s">
        <v>17</v>
      </c>
      <c r="B2008" s="14">
        <v>2000.0</v>
      </c>
      <c r="C2008" s="14" t="s">
        <v>5831</v>
      </c>
      <c r="D2008" s="14" t="s">
        <v>5832</v>
      </c>
      <c r="E2008" s="150" t="str">
        <f t="shared" ref="E2008:E2020" si="37">"http://dx.doi.org/" &amp; D2008</f>
        <v>http://dx.doi.org/10.1109/VISUAL.2000.885705</v>
      </c>
      <c r="F2008" s="14">
        <v>275.0</v>
      </c>
      <c r="G2008" s="14">
        <v>282.0</v>
      </c>
      <c r="H2008" s="151"/>
      <c r="I2008" s="14" t="s">
        <v>28</v>
      </c>
      <c r="J2008" s="14" t="s">
        <v>12875</v>
      </c>
      <c r="K2008" s="14" t="s">
        <v>39194</v>
      </c>
      <c r="L2008" s="152" t="s">
        <v>5835</v>
      </c>
      <c r="M2008" s="14" t="s">
        <v>39195</v>
      </c>
      <c r="N2008" s="54" t="s">
        <v>39194</v>
      </c>
      <c r="O2008" s="130" t="s">
        <v>5819</v>
      </c>
      <c r="P2008" s="153" t="s">
        <v>5836</v>
      </c>
      <c r="Q2008" s="14">
        <v>885705.0</v>
      </c>
      <c r="R2008" s="95"/>
      <c r="S2008" s="154">
        <v>885703.0</v>
      </c>
      <c r="T2008" s="84"/>
      <c r="U2008" s="84"/>
      <c r="V2008" s="84"/>
      <c r="W2008" s="84"/>
      <c r="X2008" s="84"/>
      <c r="Y2008" s="84"/>
      <c r="Z2008" s="84"/>
      <c r="AA2008" s="84"/>
      <c r="AB2008" s="84"/>
      <c r="AC2008" s="84"/>
    </row>
    <row r="2009" ht="15.75" customHeight="1">
      <c r="A2009" s="14" t="s">
        <v>17</v>
      </c>
      <c r="B2009" s="14">
        <v>2000.0</v>
      </c>
      <c r="C2009" s="14" t="s">
        <v>5718</v>
      </c>
      <c r="D2009" s="14" t="s">
        <v>5719</v>
      </c>
      <c r="E2009" s="150" t="str">
        <f t="shared" si="37"/>
        <v>http://dx.doi.org/10.1109/VISUAL.2000.885686</v>
      </c>
      <c r="F2009" s="14">
        <v>131.0</v>
      </c>
      <c r="G2009" s="14">
        <v>137.0</v>
      </c>
      <c r="H2009" s="151"/>
      <c r="I2009" s="14" t="s">
        <v>28</v>
      </c>
      <c r="J2009" s="14" t="s">
        <v>12735</v>
      </c>
      <c r="K2009" s="14" t="s">
        <v>39196</v>
      </c>
      <c r="L2009" s="152" t="s">
        <v>5722</v>
      </c>
      <c r="M2009" s="14" t="s">
        <v>39197</v>
      </c>
      <c r="N2009" s="54" t="s">
        <v>39198</v>
      </c>
      <c r="O2009" s="130" t="s">
        <v>5723</v>
      </c>
      <c r="P2009" s="153" t="s">
        <v>5724</v>
      </c>
      <c r="Q2009" s="14">
        <v>885686.0</v>
      </c>
      <c r="R2009" s="95"/>
      <c r="S2009" s="154" t="s">
        <v>39199</v>
      </c>
      <c r="T2009" s="84"/>
      <c r="U2009" s="84"/>
      <c r="V2009" s="84"/>
      <c r="W2009" s="84"/>
      <c r="X2009" s="84"/>
      <c r="Y2009" s="84"/>
      <c r="Z2009" s="84"/>
      <c r="AA2009" s="84"/>
      <c r="AB2009" s="84"/>
      <c r="AC2009" s="84"/>
    </row>
    <row r="2010" ht="15.75" customHeight="1">
      <c r="A2010" s="14" t="s">
        <v>17</v>
      </c>
      <c r="B2010" s="14">
        <v>2000.0</v>
      </c>
      <c r="C2010" s="14" t="s">
        <v>5801</v>
      </c>
      <c r="D2010" s="14" t="s">
        <v>5802</v>
      </c>
      <c r="E2010" s="150" t="str">
        <f t="shared" si="37"/>
        <v>http://dx.doi.org/10.1109/VISUAL.2000.885700</v>
      </c>
      <c r="F2010" s="14">
        <v>235.0</v>
      </c>
      <c r="G2010" s="14">
        <v>242.0</v>
      </c>
      <c r="H2010" s="151"/>
      <c r="I2010" s="14" t="s">
        <v>28</v>
      </c>
      <c r="J2010" s="14" t="s">
        <v>12832</v>
      </c>
      <c r="K2010" s="14" t="s">
        <v>39200</v>
      </c>
      <c r="L2010" s="152" t="s">
        <v>1001</v>
      </c>
      <c r="M2010" s="14" t="s">
        <v>39201</v>
      </c>
      <c r="N2010" s="54" t="s">
        <v>39202</v>
      </c>
      <c r="O2010" s="130" t="s">
        <v>4139</v>
      </c>
      <c r="P2010" s="153" t="s">
        <v>39203</v>
      </c>
      <c r="Q2010" s="14">
        <v>885700.0</v>
      </c>
      <c r="R2010" s="95"/>
      <c r="S2010" s="154">
        <v>745285.0</v>
      </c>
      <c r="T2010" s="84"/>
      <c r="U2010" s="84"/>
      <c r="V2010" s="84"/>
      <c r="W2010" s="84"/>
      <c r="X2010" s="84"/>
      <c r="Y2010" s="84"/>
      <c r="Z2010" s="84"/>
      <c r="AA2010" s="84"/>
      <c r="AB2010" s="84"/>
      <c r="AC2010" s="84"/>
    </row>
    <row r="2011" ht="15.75" customHeight="1">
      <c r="A2011" s="14" t="s">
        <v>17</v>
      </c>
      <c r="B2011" s="14">
        <v>2000.0</v>
      </c>
      <c r="C2011" s="14" t="s">
        <v>5683</v>
      </c>
      <c r="D2011" s="14" t="s">
        <v>5684</v>
      </c>
      <c r="E2011" s="150" t="str">
        <f t="shared" si="37"/>
        <v>http://dx.doi.org/10.1109/VISUAL.2000.885680</v>
      </c>
      <c r="F2011" s="14">
        <v>85.0</v>
      </c>
      <c r="G2011" s="14">
        <v>92.0</v>
      </c>
      <c r="H2011" s="151"/>
      <c r="I2011" s="14" t="s">
        <v>28</v>
      </c>
      <c r="J2011" s="14" t="s">
        <v>12690</v>
      </c>
      <c r="K2011" s="14" t="s">
        <v>39204</v>
      </c>
      <c r="L2011" s="152" t="s">
        <v>5687</v>
      </c>
      <c r="M2011" s="14" t="s">
        <v>39205</v>
      </c>
      <c r="N2011" s="54" t="s">
        <v>39204</v>
      </c>
      <c r="O2011" s="130" t="s">
        <v>5688</v>
      </c>
      <c r="P2011" s="153" t="s">
        <v>39206</v>
      </c>
      <c r="Q2011" s="14">
        <v>885680.0</v>
      </c>
      <c r="R2011" s="95"/>
      <c r="S2011" s="154" t="s">
        <v>39207</v>
      </c>
      <c r="T2011" s="84"/>
      <c r="U2011" s="84"/>
      <c r="V2011" s="84"/>
      <c r="W2011" s="84"/>
      <c r="X2011" s="84"/>
      <c r="Y2011" s="84"/>
      <c r="Z2011" s="84"/>
      <c r="AA2011" s="84"/>
      <c r="AB2011" s="84"/>
      <c r="AC2011" s="84"/>
    </row>
    <row r="2012" ht="15.75" customHeight="1">
      <c r="A2012" s="14" t="s">
        <v>17</v>
      </c>
      <c r="B2012" s="14">
        <v>2000.0</v>
      </c>
      <c r="C2012" s="14" t="s">
        <v>5725</v>
      </c>
      <c r="D2012" s="14" t="s">
        <v>5726</v>
      </c>
      <c r="E2012" s="150" t="str">
        <f t="shared" si="37"/>
        <v>http://dx.doi.org/10.1109/VISUAL.2000.885687</v>
      </c>
      <c r="F2012" s="14">
        <v>139.0</v>
      </c>
      <c r="G2012" s="14">
        <v>146.0</v>
      </c>
      <c r="H2012" s="151"/>
      <c r="I2012" s="14" t="s">
        <v>28</v>
      </c>
      <c r="J2012" s="14" t="s">
        <v>12738</v>
      </c>
      <c r="K2012" s="14" t="s">
        <v>39208</v>
      </c>
      <c r="L2012" s="152" t="s">
        <v>5729</v>
      </c>
      <c r="M2012" s="14" t="s">
        <v>39209</v>
      </c>
      <c r="N2012" s="54" t="s">
        <v>39208</v>
      </c>
      <c r="O2012" s="130" t="s">
        <v>3012</v>
      </c>
      <c r="P2012" s="153" t="s">
        <v>5730</v>
      </c>
      <c r="Q2012" s="14">
        <v>885687.0</v>
      </c>
      <c r="R2012" s="95"/>
      <c r="S2012" s="154">
        <v>568108.0</v>
      </c>
      <c r="T2012" s="84"/>
      <c r="U2012" s="84"/>
      <c r="V2012" s="84"/>
      <c r="W2012" s="84"/>
      <c r="X2012" s="84"/>
      <c r="Y2012" s="84"/>
      <c r="Z2012" s="84"/>
      <c r="AA2012" s="84"/>
      <c r="AB2012" s="84"/>
      <c r="AC2012" s="84"/>
    </row>
    <row r="2013" ht="15.75" customHeight="1">
      <c r="A2013" s="14" t="s">
        <v>17</v>
      </c>
      <c r="B2013" s="14">
        <v>2000.0</v>
      </c>
      <c r="C2013" s="14" t="s">
        <v>5690</v>
      </c>
      <c r="D2013" s="14" t="s">
        <v>5691</v>
      </c>
      <c r="E2013" s="150" t="str">
        <f t="shared" si="37"/>
        <v>http://dx.doi.org/10.1109/VISUAL.2000.885681</v>
      </c>
      <c r="F2013" s="14">
        <v>93.0</v>
      </c>
      <c r="G2013" s="14">
        <v>100.0</v>
      </c>
      <c r="H2013" s="151"/>
      <c r="I2013" s="14" t="s">
        <v>28</v>
      </c>
      <c r="J2013" s="14" t="s">
        <v>12704</v>
      </c>
      <c r="K2013" s="14" t="s">
        <v>39210</v>
      </c>
      <c r="L2013" s="152" t="s">
        <v>5694</v>
      </c>
      <c r="M2013" s="14" t="s">
        <v>39211</v>
      </c>
      <c r="N2013" s="54" t="s">
        <v>39210</v>
      </c>
      <c r="O2013" s="130" t="s">
        <v>3730</v>
      </c>
      <c r="P2013" s="16"/>
      <c r="Q2013" s="14">
        <v>885681.0</v>
      </c>
      <c r="R2013" s="95"/>
      <c r="S2013" s="154">
        <v>663907.0</v>
      </c>
      <c r="T2013" s="84"/>
      <c r="U2013" s="84"/>
      <c r="V2013" s="84"/>
      <c r="W2013" s="84"/>
      <c r="X2013" s="84"/>
      <c r="Y2013" s="84"/>
      <c r="Z2013" s="84"/>
      <c r="AA2013" s="84"/>
      <c r="AB2013" s="84"/>
      <c r="AC2013" s="84"/>
    </row>
    <row r="2014" ht="15.75" customHeight="1">
      <c r="A2014" s="14" t="s">
        <v>17</v>
      </c>
      <c r="B2014" s="14">
        <v>2000.0</v>
      </c>
      <c r="C2014" s="14" t="s">
        <v>5794</v>
      </c>
      <c r="D2014" s="14" t="s">
        <v>5795</v>
      </c>
      <c r="E2014" s="150" t="str">
        <f t="shared" si="37"/>
        <v>http://dx.doi.org/10.1109/VISUAL.2000.885699</v>
      </c>
      <c r="F2014" s="14">
        <v>227.0</v>
      </c>
      <c r="G2014" s="14">
        <v>234.0</v>
      </c>
      <c r="H2014" s="151"/>
      <c r="I2014" s="14" t="s">
        <v>28</v>
      </c>
      <c r="J2014" s="14" t="s">
        <v>12828</v>
      </c>
      <c r="K2014" s="14" t="s">
        <v>39212</v>
      </c>
      <c r="L2014" s="152" t="s">
        <v>5798</v>
      </c>
      <c r="M2014" s="14" t="s">
        <v>39213</v>
      </c>
      <c r="N2014" s="54" t="s">
        <v>39212</v>
      </c>
      <c r="O2014" s="130" t="s">
        <v>5799</v>
      </c>
      <c r="P2014" s="153" t="s">
        <v>5800</v>
      </c>
      <c r="Q2014" s="14">
        <v>885699.0</v>
      </c>
      <c r="R2014" s="95"/>
      <c r="S2014" s="154" t="s">
        <v>39214</v>
      </c>
      <c r="T2014" s="84"/>
      <c r="U2014" s="84"/>
      <c r="V2014" s="84"/>
      <c r="W2014" s="84"/>
      <c r="X2014" s="84"/>
      <c r="Y2014" s="84"/>
      <c r="Z2014" s="84"/>
      <c r="AA2014" s="84"/>
      <c r="AB2014" s="84"/>
      <c r="AC2014" s="84"/>
    </row>
    <row r="2015" ht="15.75" customHeight="1">
      <c r="A2015" s="14" t="s">
        <v>17</v>
      </c>
      <c r="B2015" s="14">
        <v>2000.0</v>
      </c>
      <c r="C2015" s="14" t="s">
        <v>5818</v>
      </c>
      <c r="D2015" s="14" t="s">
        <v>5819</v>
      </c>
      <c r="E2015" s="150" t="str">
        <f t="shared" si="37"/>
        <v>http://dx.doi.org/10.1109/VISUAL.2000.885703</v>
      </c>
      <c r="F2015" s="14">
        <v>259.0</v>
      </c>
      <c r="G2015" s="14">
        <v>266.0</v>
      </c>
      <c r="H2015" s="151"/>
      <c r="I2015" s="14" t="s">
        <v>28</v>
      </c>
      <c r="J2015" s="14" t="s">
        <v>12863</v>
      </c>
      <c r="K2015" s="14" t="s">
        <v>39215</v>
      </c>
      <c r="L2015" s="152" t="s">
        <v>5822</v>
      </c>
      <c r="M2015" s="14" t="s">
        <v>39216</v>
      </c>
      <c r="N2015" s="54" t="s">
        <v>39215</v>
      </c>
      <c r="O2015" s="130" t="s">
        <v>5823</v>
      </c>
      <c r="P2015" s="153" t="s">
        <v>5824</v>
      </c>
      <c r="Q2015" s="14">
        <v>885703.0</v>
      </c>
      <c r="R2015" s="95"/>
      <c r="S2015" s="154" t="s">
        <v>39217</v>
      </c>
      <c r="T2015" s="84"/>
      <c r="U2015" s="84"/>
      <c r="V2015" s="84"/>
      <c r="W2015" s="84"/>
      <c r="X2015" s="84"/>
      <c r="Y2015" s="84"/>
      <c r="Z2015" s="84"/>
      <c r="AA2015" s="84"/>
      <c r="AB2015" s="84"/>
      <c r="AC2015" s="84"/>
    </row>
    <row r="2016" ht="15.75" customHeight="1">
      <c r="A2016" s="14" t="s">
        <v>17</v>
      </c>
      <c r="B2016" s="14">
        <v>2000.0</v>
      </c>
      <c r="C2016" s="14" t="s">
        <v>5888</v>
      </c>
      <c r="D2016" s="14" t="s">
        <v>5889</v>
      </c>
      <c r="E2016" s="150" t="str">
        <f t="shared" si="37"/>
        <v>http://dx.doi.org/10.1109/VISUAL.2000.885714</v>
      </c>
      <c r="F2016" s="14">
        <v>343.0</v>
      </c>
      <c r="G2016" s="14">
        <v>350.0</v>
      </c>
      <c r="H2016" s="151"/>
      <c r="I2016" s="14" t="s">
        <v>28</v>
      </c>
      <c r="J2016" s="14" t="s">
        <v>12924</v>
      </c>
      <c r="K2016" s="14" t="s">
        <v>39218</v>
      </c>
      <c r="L2016" s="152" t="s">
        <v>5266</v>
      </c>
      <c r="M2016" s="14" t="s">
        <v>39219</v>
      </c>
      <c r="N2016" s="54" t="s">
        <v>39218</v>
      </c>
      <c r="O2016" s="130" t="s">
        <v>5892</v>
      </c>
      <c r="P2016" s="153" t="s">
        <v>5893</v>
      </c>
      <c r="Q2016" s="14">
        <v>885714.0</v>
      </c>
      <c r="R2016" s="95"/>
      <c r="S2016" s="154" t="s">
        <v>39221</v>
      </c>
      <c r="T2016" s="84"/>
      <c r="U2016" s="84"/>
      <c r="V2016" s="84"/>
      <c r="W2016" s="84"/>
      <c r="X2016" s="84"/>
      <c r="Y2016" s="84"/>
      <c r="Z2016" s="84"/>
      <c r="AA2016" s="84"/>
      <c r="AB2016" s="84"/>
      <c r="AC2016" s="84"/>
    </row>
    <row r="2017" ht="15.75" customHeight="1">
      <c r="A2017" s="14" t="s">
        <v>17</v>
      </c>
      <c r="B2017" s="14">
        <v>2000.0</v>
      </c>
      <c r="C2017" s="14" t="s">
        <v>5876</v>
      </c>
      <c r="D2017" s="14" t="s">
        <v>5877</v>
      </c>
      <c r="E2017" s="150" t="str">
        <f t="shared" si="37"/>
        <v>http://dx.doi.org/10.1109/VISUAL.2000.885712</v>
      </c>
      <c r="F2017" s="14">
        <v>327.0</v>
      </c>
      <c r="G2017" s="14">
        <v>333.0</v>
      </c>
      <c r="H2017" s="151"/>
      <c r="I2017" s="14" t="s">
        <v>28</v>
      </c>
      <c r="J2017" s="14" t="s">
        <v>12911</v>
      </c>
      <c r="K2017" s="14" t="s">
        <v>39222</v>
      </c>
      <c r="L2017" s="152" t="s">
        <v>5729</v>
      </c>
      <c r="M2017" s="14" t="s">
        <v>39223</v>
      </c>
      <c r="N2017" s="54" t="s">
        <v>39222</v>
      </c>
      <c r="O2017" s="130" t="s">
        <v>5880</v>
      </c>
      <c r="P2017" s="153" t="s">
        <v>5881</v>
      </c>
      <c r="Q2017" s="14">
        <v>885712.0</v>
      </c>
      <c r="R2017" s="95"/>
      <c r="S2017" s="154" t="s">
        <v>39224</v>
      </c>
      <c r="T2017" s="84"/>
      <c r="U2017" s="84"/>
      <c r="V2017" s="84"/>
      <c r="W2017" s="84"/>
      <c r="X2017" s="84"/>
      <c r="Y2017" s="84"/>
      <c r="Z2017" s="84"/>
      <c r="AA2017" s="84"/>
      <c r="AB2017" s="84"/>
      <c r="AC2017" s="84"/>
    </row>
    <row r="2018" ht="15.75" customHeight="1">
      <c r="A2018" s="14" t="s">
        <v>17</v>
      </c>
      <c r="B2018" s="14">
        <v>2000.0</v>
      </c>
      <c r="C2018" s="14" t="s">
        <v>5782</v>
      </c>
      <c r="D2018" s="14" t="s">
        <v>5783</v>
      </c>
      <c r="E2018" s="150" t="str">
        <f t="shared" si="37"/>
        <v>http://dx.doi.org/10.1109/VISUAL.2000.885697</v>
      </c>
      <c r="F2018" s="14">
        <v>211.0</v>
      </c>
      <c r="G2018" s="14">
        <v>218.0</v>
      </c>
      <c r="H2018" s="151"/>
      <c r="I2018" s="14" t="s">
        <v>28</v>
      </c>
      <c r="J2018" s="14" t="s">
        <v>12811</v>
      </c>
      <c r="K2018" s="14" t="s">
        <v>39225</v>
      </c>
      <c r="L2018" s="152" t="s">
        <v>5786</v>
      </c>
      <c r="M2018" s="14" t="s">
        <v>39226</v>
      </c>
      <c r="N2018" s="54" t="s">
        <v>39227</v>
      </c>
      <c r="O2018" s="130" t="s">
        <v>5787</v>
      </c>
      <c r="P2018" s="153" t="s">
        <v>5788</v>
      </c>
      <c r="Q2018" s="14">
        <v>885697.0</v>
      </c>
      <c r="R2018" s="95"/>
      <c r="S2018" s="154" t="s">
        <v>39228</v>
      </c>
      <c r="T2018" s="84"/>
      <c r="U2018" s="84"/>
      <c r="V2018" s="84"/>
      <c r="W2018" s="84"/>
      <c r="X2018" s="84"/>
      <c r="Y2018" s="84"/>
      <c r="Z2018" s="84"/>
      <c r="AA2018" s="84"/>
      <c r="AB2018" s="84"/>
      <c r="AC2018" s="84"/>
    </row>
    <row r="2019" ht="15.75" customHeight="1">
      <c r="A2019" s="14" t="s">
        <v>17</v>
      </c>
      <c r="B2019" s="14">
        <v>2000.0</v>
      </c>
      <c r="C2019" s="14" t="s">
        <v>5806</v>
      </c>
      <c r="D2019" s="14" t="s">
        <v>5807</v>
      </c>
      <c r="E2019" s="150" t="str">
        <f t="shared" si="37"/>
        <v>http://dx.doi.org/10.1109/VISUAL.2000.885701</v>
      </c>
      <c r="F2019" s="14">
        <v>243.0</v>
      </c>
      <c r="G2019" s="14">
        <v>250.0</v>
      </c>
      <c r="H2019" s="151"/>
      <c r="I2019" s="14" t="s">
        <v>28</v>
      </c>
      <c r="J2019" s="14" t="s">
        <v>12839</v>
      </c>
      <c r="K2019" s="14" t="s">
        <v>39229</v>
      </c>
      <c r="L2019" s="152" t="s">
        <v>5810</v>
      </c>
      <c r="M2019" s="14" t="s">
        <v>39230</v>
      </c>
      <c r="N2019" s="54" t="s">
        <v>39229</v>
      </c>
      <c r="O2019" s="130"/>
      <c r="P2019" s="153" t="s">
        <v>5811</v>
      </c>
      <c r="Q2019" s="14">
        <v>885701.0</v>
      </c>
      <c r="R2019" s="95"/>
      <c r="S2019" s="154"/>
      <c r="T2019" s="84"/>
      <c r="U2019" s="84"/>
      <c r="V2019" s="84"/>
      <c r="W2019" s="84"/>
      <c r="X2019" s="84"/>
      <c r="Y2019" s="84"/>
      <c r="Z2019" s="84"/>
      <c r="AA2019" s="84"/>
      <c r="AB2019" s="84"/>
      <c r="AC2019" s="84"/>
    </row>
    <row r="2020" ht="15.75" customHeight="1">
      <c r="A2020" s="14" t="s">
        <v>17</v>
      </c>
      <c r="B2020" s="14">
        <v>2000.0</v>
      </c>
      <c r="C2020" s="14" t="s">
        <v>6047</v>
      </c>
      <c r="D2020" s="14" t="s">
        <v>6048</v>
      </c>
      <c r="E2020" s="150" t="str">
        <f t="shared" si="37"/>
        <v>http://dx.doi.org/10.1109/VISUAL.2000.885738</v>
      </c>
      <c r="F2020" s="14">
        <v>485.0</v>
      </c>
      <c r="G2020" s="14">
        <v>488.0</v>
      </c>
      <c r="H2020" s="151"/>
      <c r="I2020" s="14" t="s">
        <v>28</v>
      </c>
      <c r="J2020" s="14" t="s">
        <v>13056</v>
      </c>
      <c r="K2020" s="14" t="s">
        <v>39231</v>
      </c>
      <c r="L2020" s="152" t="s">
        <v>6053</v>
      </c>
      <c r="M2020" s="14" t="s">
        <v>39232</v>
      </c>
      <c r="N2020" s="54" t="s">
        <v>39231</v>
      </c>
      <c r="O2020" s="130" t="s">
        <v>6054</v>
      </c>
      <c r="P2020" s="199" t="s">
        <v>6055</v>
      </c>
      <c r="Q2020" s="14">
        <v>885738.0</v>
      </c>
      <c r="R2020" s="95"/>
      <c r="S2020" s="154" t="s">
        <v>39233</v>
      </c>
      <c r="T2020" s="84"/>
      <c r="U2020" s="84"/>
      <c r="V2020" s="84"/>
      <c r="W2020" s="84"/>
      <c r="X2020" s="84"/>
      <c r="Y2020" s="84"/>
      <c r="Z2020" s="84"/>
      <c r="AA2020" s="84"/>
      <c r="AB2020" s="84"/>
      <c r="AC2020" s="84"/>
    </row>
    <row r="2021" ht="15.75" customHeight="1">
      <c r="A2021" s="14" t="s">
        <v>17</v>
      </c>
      <c r="B2021" s="50">
        <v>2000.0</v>
      </c>
      <c r="C2021" s="14" t="s">
        <v>5757</v>
      </c>
      <c r="D2021" s="110" t="s">
        <v>5758</v>
      </c>
      <c r="E2021" s="194" t="s">
        <v>5759</v>
      </c>
      <c r="F2021" s="50">
        <v>179.0</v>
      </c>
      <c r="G2021" s="50">
        <v>185.0</v>
      </c>
      <c r="H2021" s="151"/>
      <c r="I2021" s="14" t="s">
        <v>28</v>
      </c>
      <c r="J2021" s="14" t="s">
        <v>39235</v>
      </c>
      <c r="K2021" s="14" t="s">
        <v>39236</v>
      </c>
      <c r="L2021" s="95" t="s">
        <v>5761</v>
      </c>
      <c r="M2021" s="14"/>
      <c r="N2021" s="54" t="s">
        <v>39236</v>
      </c>
      <c r="O2021" s="130"/>
      <c r="P2021" s="193" t="s">
        <v>5762</v>
      </c>
      <c r="Q2021" s="50">
        <v>885692.0</v>
      </c>
      <c r="R2021" s="95" t="s">
        <v>18275</v>
      </c>
      <c r="S2021" s="154"/>
      <c r="T2021" s="84"/>
      <c r="U2021" s="84"/>
      <c r="V2021" s="84"/>
      <c r="W2021" s="84"/>
      <c r="X2021" s="84"/>
      <c r="Y2021" s="84"/>
      <c r="Z2021" s="84"/>
      <c r="AA2021" s="84"/>
      <c r="AB2021" s="84"/>
      <c r="AC2021" s="84"/>
    </row>
    <row r="2022" ht="15.75" customHeight="1">
      <c r="A2022" s="14" t="s">
        <v>17</v>
      </c>
      <c r="B2022" s="14">
        <v>2000.0</v>
      </c>
      <c r="C2022" s="14" t="s">
        <v>6034</v>
      </c>
      <c r="D2022" s="14" t="s">
        <v>6035</v>
      </c>
      <c r="E2022" s="150" t="str">
        <f t="shared" ref="E2022:E2061" si="38">"http://dx.doi.org/" &amp; D2022</f>
        <v>http://dx.doi.org/10.1109/VISUAL.2000.885736</v>
      </c>
      <c r="F2022" s="14">
        <v>477.0</v>
      </c>
      <c r="G2022" s="14">
        <v>480.0</v>
      </c>
      <c r="H2022" s="151"/>
      <c r="I2022" s="14" t="s">
        <v>28</v>
      </c>
      <c r="J2022" s="14" t="s">
        <v>13053</v>
      </c>
      <c r="K2022" s="14" t="s">
        <v>11091</v>
      </c>
      <c r="L2022" s="152" t="s">
        <v>1158</v>
      </c>
      <c r="M2022" s="14">
        <v>3.73721755E10</v>
      </c>
      <c r="N2022" s="54" t="s">
        <v>11091</v>
      </c>
      <c r="O2022" s="130" t="s">
        <v>6038</v>
      </c>
      <c r="P2022" s="199" t="s">
        <v>6039</v>
      </c>
      <c r="Q2022" s="14">
        <v>885736.0</v>
      </c>
      <c r="R2022" s="95"/>
      <c r="S2022" s="154" t="s">
        <v>39238</v>
      </c>
      <c r="T2022" s="84"/>
      <c r="U2022" s="84"/>
      <c r="V2022" s="84"/>
      <c r="W2022" s="84"/>
      <c r="X2022" s="84"/>
      <c r="Y2022" s="84"/>
      <c r="Z2022" s="84"/>
      <c r="AA2022" s="84"/>
      <c r="AB2022" s="84"/>
      <c r="AC2022" s="84"/>
    </row>
    <row r="2023" ht="15.75" customHeight="1">
      <c r="A2023" s="14" t="s">
        <v>17</v>
      </c>
      <c r="B2023" s="14">
        <v>2000.0</v>
      </c>
      <c r="C2023" s="14" t="s">
        <v>5851</v>
      </c>
      <c r="D2023" s="14" t="s">
        <v>5852</v>
      </c>
      <c r="E2023" s="150" t="str">
        <f t="shared" si="38"/>
        <v>http://dx.doi.org/10.1109/VISUAL.2000.885708</v>
      </c>
      <c r="F2023" s="14">
        <v>297.0</v>
      </c>
      <c r="G2023" s="14">
        <v>302.0</v>
      </c>
      <c r="H2023" s="151"/>
      <c r="I2023" s="14" t="s">
        <v>28</v>
      </c>
      <c r="J2023" s="14" t="s">
        <v>12888</v>
      </c>
      <c r="K2023" s="14" t="s">
        <v>8534</v>
      </c>
      <c r="L2023" s="152" t="s">
        <v>5855</v>
      </c>
      <c r="M2023" s="14">
        <v>3.74358782E10</v>
      </c>
      <c r="N2023" s="54" t="s">
        <v>8534</v>
      </c>
      <c r="O2023" s="130"/>
      <c r="P2023" s="153" t="s">
        <v>5856</v>
      </c>
      <c r="Q2023" s="14">
        <v>885708.0</v>
      </c>
      <c r="R2023" s="95"/>
      <c r="S2023" s="154"/>
      <c r="T2023" s="84"/>
      <c r="U2023" s="84"/>
      <c r="V2023" s="84"/>
      <c r="W2023" s="84"/>
      <c r="X2023" s="84"/>
      <c r="Y2023" s="84"/>
      <c r="Z2023" s="84"/>
      <c r="AA2023" s="84"/>
      <c r="AB2023" s="84"/>
      <c r="AC2023" s="84"/>
    </row>
    <row r="2024" ht="15.75" customHeight="1">
      <c r="A2024" s="14" t="s">
        <v>17</v>
      </c>
      <c r="B2024" s="14">
        <v>2000.0</v>
      </c>
      <c r="C2024" s="14" t="s">
        <v>6023</v>
      </c>
      <c r="D2024" s="14" t="s">
        <v>6024</v>
      </c>
      <c r="E2024" s="150" t="str">
        <f t="shared" si="38"/>
        <v>http://dx.doi.org/10.1109/VISUAL.2000.885735</v>
      </c>
      <c r="F2024" s="14">
        <v>473.0</v>
      </c>
      <c r="G2024" s="14">
        <v>476.0</v>
      </c>
      <c r="H2024" s="151"/>
      <c r="I2024" s="14" t="s">
        <v>28</v>
      </c>
      <c r="J2024" s="14" t="s">
        <v>13051</v>
      </c>
      <c r="K2024" s="14" t="s">
        <v>39240</v>
      </c>
      <c r="L2024" s="152" t="s">
        <v>6031</v>
      </c>
      <c r="M2024" s="14" t="s">
        <v>39241</v>
      </c>
      <c r="N2024" s="54" t="s">
        <v>39242</v>
      </c>
      <c r="O2024" s="130" t="s">
        <v>6032</v>
      </c>
      <c r="P2024" s="199" t="s">
        <v>6033</v>
      </c>
      <c r="Q2024" s="14">
        <v>885735.0</v>
      </c>
      <c r="R2024" s="95"/>
      <c r="S2024" s="154" t="s">
        <v>31598</v>
      </c>
      <c r="T2024" s="84"/>
      <c r="U2024" s="84"/>
      <c r="V2024" s="84"/>
      <c r="W2024" s="84"/>
      <c r="X2024" s="84"/>
      <c r="Y2024" s="84"/>
      <c r="Z2024" s="84"/>
      <c r="AA2024" s="84"/>
      <c r="AB2024" s="84"/>
      <c r="AC2024" s="84"/>
    </row>
    <row r="2025" ht="15.75" customHeight="1">
      <c r="A2025" s="14" t="s">
        <v>17</v>
      </c>
      <c r="B2025" s="14">
        <v>2000.0</v>
      </c>
      <c r="C2025" s="14" t="s">
        <v>6082</v>
      </c>
      <c r="D2025" s="14" t="s">
        <v>6083</v>
      </c>
      <c r="E2025" s="150" t="str">
        <f t="shared" si="38"/>
        <v>http://dx.doi.org/10.1109/VISUAL.2000.885742</v>
      </c>
      <c r="F2025" s="14">
        <v>501.0</v>
      </c>
      <c r="G2025" s="14">
        <v>504.0</v>
      </c>
      <c r="H2025" s="151"/>
      <c r="I2025" s="14" t="s">
        <v>28</v>
      </c>
      <c r="J2025" s="14" t="s">
        <v>13063</v>
      </c>
      <c r="K2025" s="14" t="s">
        <v>39243</v>
      </c>
      <c r="L2025" s="152" t="s">
        <v>4927</v>
      </c>
      <c r="M2025" s="14" t="s">
        <v>39244</v>
      </c>
      <c r="N2025" s="54" t="s">
        <v>39243</v>
      </c>
      <c r="O2025" s="130" t="s">
        <v>2916</v>
      </c>
      <c r="P2025" s="199" t="s">
        <v>6086</v>
      </c>
      <c r="Q2025" s="14">
        <v>885742.0</v>
      </c>
      <c r="R2025" s="95"/>
      <c r="S2025" s="154">
        <v>567777.0</v>
      </c>
      <c r="T2025" s="84"/>
      <c r="U2025" s="84"/>
      <c r="V2025" s="84"/>
      <c r="W2025" s="84"/>
      <c r="X2025" s="84"/>
      <c r="Y2025" s="84"/>
      <c r="Z2025" s="84"/>
      <c r="AA2025" s="84"/>
      <c r="AB2025" s="84"/>
      <c r="AC2025" s="84"/>
    </row>
    <row r="2026" ht="15.75" customHeight="1">
      <c r="A2026" s="14" t="s">
        <v>17</v>
      </c>
      <c r="B2026" s="14">
        <v>2000.0</v>
      </c>
      <c r="C2026" s="14" t="s">
        <v>5863</v>
      </c>
      <c r="D2026" s="14" t="s">
        <v>5864</v>
      </c>
      <c r="E2026" s="150" t="str">
        <f t="shared" si="38"/>
        <v>http://dx.doi.org/10.1109/VISUAL.2000.885710</v>
      </c>
      <c r="F2026" s="14">
        <v>311.0</v>
      </c>
      <c r="G2026" s="14">
        <v>318.0</v>
      </c>
      <c r="H2026" s="151"/>
      <c r="I2026" s="14" t="s">
        <v>28</v>
      </c>
      <c r="J2026" s="14" t="s">
        <v>12900</v>
      </c>
      <c r="K2026" s="14" t="s">
        <v>39245</v>
      </c>
      <c r="L2026" s="152" t="s">
        <v>5867</v>
      </c>
      <c r="M2026" s="14" t="s">
        <v>39246</v>
      </c>
      <c r="N2026" s="54" t="s">
        <v>39245</v>
      </c>
      <c r="O2026" s="130" t="s">
        <v>1107</v>
      </c>
      <c r="P2026" s="153" t="s">
        <v>5868</v>
      </c>
      <c r="Q2026" s="14">
        <v>885710.0</v>
      </c>
      <c r="R2026" s="95"/>
      <c r="S2026" s="154">
        <v>235196.0</v>
      </c>
      <c r="T2026" s="84"/>
      <c r="U2026" s="84"/>
      <c r="V2026" s="84"/>
      <c r="W2026" s="84"/>
      <c r="X2026" s="84"/>
      <c r="Y2026" s="84"/>
      <c r="Z2026" s="84"/>
      <c r="AA2026" s="84"/>
      <c r="AB2026" s="84"/>
      <c r="AC2026" s="84"/>
    </row>
    <row r="2027" ht="15.75" customHeight="1">
      <c r="A2027" s="14" t="s">
        <v>17</v>
      </c>
      <c r="B2027" s="14">
        <v>2000.0</v>
      </c>
      <c r="C2027" s="14" t="s">
        <v>6068</v>
      </c>
      <c r="D2027" s="14" t="s">
        <v>6069</v>
      </c>
      <c r="E2027" s="150" t="str">
        <f t="shared" si="38"/>
        <v>http://dx.doi.org/10.1109/VISUAL.2000.885740</v>
      </c>
      <c r="F2027" s="14">
        <v>493.0</v>
      </c>
      <c r="G2027" s="14">
        <v>496.0</v>
      </c>
      <c r="H2027" s="151"/>
      <c r="I2027" s="14" t="s">
        <v>28</v>
      </c>
      <c r="J2027" s="14" t="s">
        <v>13060</v>
      </c>
      <c r="K2027" s="14" t="s">
        <v>39248</v>
      </c>
      <c r="L2027" s="152" t="s">
        <v>5773</v>
      </c>
      <c r="M2027" s="14" t="s">
        <v>39249</v>
      </c>
      <c r="N2027" s="54" t="s">
        <v>39248</v>
      </c>
      <c r="O2027" s="130" t="s">
        <v>6072</v>
      </c>
      <c r="P2027" s="16"/>
      <c r="Q2027" s="14">
        <v>885740.0</v>
      </c>
      <c r="R2027" s="95"/>
      <c r="S2027" s="154" t="s">
        <v>39250</v>
      </c>
      <c r="T2027" s="84"/>
      <c r="U2027" s="84"/>
      <c r="V2027" s="84"/>
      <c r="W2027" s="84"/>
      <c r="X2027" s="84"/>
      <c r="Y2027" s="84"/>
      <c r="Z2027" s="84"/>
      <c r="AA2027" s="84"/>
      <c r="AB2027" s="84"/>
      <c r="AC2027" s="84"/>
    </row>
    <row r="2028" ht="15.75" customHeight="1">
      <c r="A2028" s="14" t="s">
        <v>17</v>
      </c>
      <c r="B2028" s="14">
        <v>2000.0</v>
      </c>
      <c r="C2028" s="14" t="s">
        <v>6075</v>
      </c>
      <c r="D2028" s="14" t="s">
        <v>6077</v>
      </c>
      <c r="E2028" s="150" t="str">
        <f t="shared" si="38"/>
        <v>http://dx.doi.org/10.1109/VISUAL.2000.885741</v>
      </c>
      <c r="F2028" s="14">
        <v>497.0</v>
      </c>
      <c r="G2028" s="14">
        <v>500.0</v>
      </c>
      <c r="H2028" s="151"/>
      <c r="I2028" s="14" t="s">
        <v>28</v>
      </c>
      <c r="J2028" s="14" t="s">
        <v>13062</v>
      </c>
      <c r="K2028" s="14" t="s">
        <v>39251</v>
      </c>
      <c r="L2028" s="152" t="s">
        <v>6080</v>
      </c>
      <c r="M2028" s="14" t="s">
        <v>39252</v>
      </c>
      <c r="N2028" s="54" t="s">
        <v>39253</v>
      </c>
      <c r="O2028" s="130"/>
      <c r="P2028" s="199" t="s">
        <v>6081</v>
      </c>
      <c r="Q2028" s="14">
        <v>885741.0</v>
      </c>
      <c r="R2028" s="95"/>
      <c r="S2028" s="154"/>
      <c r="T2028" s="84"/>
      <c r="U2028" s="84"/>
      <c r="V2028" s="84"/>
      <c r="W2028" s="84"/>
      <c r="X2028" s="84"/>
      <c r="Y2028" s="84"/>
      <c r="Z2028" s="84"/>
      <c r="AA2028" s="84"/>
      <c r="AB2028" s="84"/>
      <c r="AC2028" s="84"/>
    </row>
    <row r="2029" ht="15.75" customHeight="1">
      <c r="A2029" s="14" t="s">
        <v>17</v>
      </c>
      <c r="B2029" s="14">
        <v>2000.0</v>
      </c>
      <c r="C2029" s="14" t="s">
        <v>5769</v>
      </c>
      <c r="D2029" s="14" t="s">
        <v>5770</v>
      </c>
      <c r="E2029" s="150" t="str">
        <f t="shared" si="38"/>
        <v>http://dx.doi.org/10.1109/VISUAL.2000.885694</v>
      </c>
      <c r="F2029" s="14">
        <v>195.0</v>
      </c>
      <c r="G2029" s="14">
        <v>202.0</v>
      </c>
      <c r="H2029" s="151"/>
      <c r="I2029" s="14" t="s">
        <v>28</v>
      </c>
      <c r="J2029" s="14" t="s">
        <v>12800</v>
      </c>
      <c r="K2029" s="14" t="s">
        <v>39255</v>
      </c>
      <c r="L2029" s="152" t="s">
        <v>5773</v>
      </c>
      <c r="M2029" s="14" t="s">
        <v>39256</v>
      </c>
      <c r="N2029" s="54" t="s">
        <v>39257</v>
      </c>
      <c r="O2029" s="130" t="s">
        <v>5774</v>
      </c>
      <c r="P2029" s="153" t="s">
        <v>5775</v>
      </c>
      <c r="Q2029" s="14">
        <v>885694.0</v>
      </c>
      <c r="R2029" s="95"/>
      <c r="S2029" s="154" t="s">
        <v>39258</v>
      </c>
      <c r="T2029" s="84"/>
      <c r="U2029" s="84"/>
      <c r="V2029" s="84"/>
      <c r="W2029" s="84"/>
      <c r="X2029" s="84"/>
      <c r="Y2029" s="84"/>
      <c r="Z2029" s="84"/>
      <c r="AA2029" s="84"/>
      <c r="AB2029" s="84"/>
      <c r="AC2029" s="84"/>
    </row>
    <row r="2030" ht="15.75" customHeight="1">
      <c r="A2030" s="14" t="s">
        <v>17</v>
      </c>
      <c r="B2030" s="14">
        <v>2000.0</v>
      </c>
      <c r="C2030" s="14" t="s">
        <v>6056</v>
      </c>
      <c r="D2030" s="14" t="s">
        <v>6057</v>
      </c>
      <c r="E2030" s="150" t="str">
        <f t="shared" si="38"/>
        <v>http://dx.doi.org/10.1109/VISUAL.2000.885739</v>
      </c>
      <c r="F2030" s="14">
        <v>489.0</v>
      </c>
      <c r="G2030" s="14">
        <v>492.0</v>
      </c>
      <c r="H2030" s="151"/>
      <c r="I2030" s="14" t="s">
        <v>28</v>
      </c>
      <c r="J2030" s="14" t="s">
        <v>13058</v>
      </c>
      <c r="K2030" s="14" t="s">
        <v>39260</v>
      </c>
      <c r="L2030" s="152" t="s">
        <v>6063</v>
      </c>
      <c r="M2030" s="14" t="s">
        <v>39261</v>
      </c>
      <c r="N2030" s="54" t="s">
        <v>39262</v>
      </c>
      <c r="O2030" s="130" t="s">
        <v>6064</v>
      </c>
      <c r="P2030" s="199" t="s">
        <v>6065</v>
      </c>
      <c r="Q2030" s="14">
        <v>885739.0</v>
      </c>
      <c r="R2030" s="95"/>
      <c r="S2030" s="154" t="s">
        <v>39263</v>
      </c>
      <c r="T2030" s="84"/>
      <c r="U2030" s="84"/>
      <c r="V2030" s="84"/>
      <c r="W2030" s="84"/>
      <c r="X2030" s="84"/>
      <c r="Y2030" s="84"/>
      <c r="Z2030" s="84"/>
      <c r="AA2030" s="84"/>
      <c r="AB2030" s="84"/>
      <c r="AC2030" s="84"/>
    </row>
    <row r="2031" ht="15.75" customHeight="1">
      <c r="A2031" s="14" t="s">
        <v>2137</v>
      </c>
      <c r="B2031" s="14">
        <v>1999.0</v>
      </c>
      <c r="C2031" s="14" t="s">
        <v>4838</v>
      </c>
      <c r="D2031" s="14" t="s">
        <v>4839</v>
      </c>
      <c r="E2031" s="150" t="str">
        <f t="shared" si="38"/>
        <v>http://dx.doi.org/10.1109/INFVIS.1999.801861</v>
      </c>
      <c r="F2031" s="14">
        <v>79.0</v>
      </c>
      <c r="G2031" s="14" t="s">
        <v>4842</v>
      </c>
      <c r="H2031" s="151"/>
      <c r="I2031" s="14" t="s">
        <v>28</v>
      </c>
      <c r="J2031" s="14" t="s">
        <v>39264</v>
      </c>
      <c r="K2031" s="14" t="s">
        <v>39265</v>
      </c>
      <c r="L2031" s="152" t="s">
        <v>4846</v>
      </c>
      <c r="M2031" s="14" t="s">
        <v>39266</v>
      </c>
      <c r="N2031" s="54" t="s">
        <v>39265</v>
      </c>
      <c r="O2031" s="130" t="s">
        <v>3310</v>
      </c>
      <c r="P2031" s="203" t="s">
        <v>4847</v>
      </c>
      <c r="Q2031" s="14">
        <v>801861.0</v>
      </c>
      <c r="R2031" s="95"/>
      <c r="S2031" s="154">
        <v>636761.0</v>
      </c>
      <c r="T2031" s="84"/>
      <c r="U2031" s="84"/>
      <c r="V2031" s="84"/>
      <c r="W2031" s="84"/>
      <c r="X2031" s="84"/>
      <c r="Y2031" s="84"/>
      <c r="Z2031" s="84"/>
      <c r="AA2031" s="84"/>
      <c r="AB2031" s="84"/>
      <c r="AC2031" s="84"/>
    </row>
    <row r="2032" ht="15.75" customHeight="1">
      <c r="A2032" s="14" t="s">
        <v>2137</v>
      </c>
      <c r="B2032" s="14">
        <v>1999.0</v>
      </c>
      <c r="C2032" s="14" t="s">
        <v>4797</v>
      </c>
      <c r="D2032" s="14" t="s">
        <v>4798</v>
      </c>
      <c r="E2032" s="150" t="str">
        <f t="shared" si="38"/>
        <v>http://dx.doi.org/10.1109/INFVIS.1999.801857</v>
      </c>
      <c r="F2032" s="14">
        <v>53.0</v>
      </c>
      <c r="G2032" s="14" t="s">
        <v>4800</v>
      </c>
      <c r="H2032" s="151"/>
      <c r="I2032" s="14" t="s">
        <v>28</v>
      </c>
      <c r="J2032" s="14" t="s">
        <v>39272</v>
      </c>
      <c r="K2032" s="14" t="s">
        <v>39273</v>
      </c>
      <c r="L2032" s="152" t="s">
        <v>4802</v>
      </c>
      <c r="M2032" s="14" t="s">
        <v>39274</v>
      </c>
      <c r="N2032" s="54" t="s">
        <v>39273</v>
      </c>
      <c r="O2032" s="130" t="s">
        <v>4803</v>
      </c>
      <c r="P2032" s="205" t="s">
        <v>4805</v>
      </c>
      <c r="Q2032" s="14">
        <v>801857.0</v>
      </c>
      <c r="R2032" s="95"/>
      <c r="S2032" s="154" t="s">
        <v>39275</v>
      </c>
      <c r="T2032" s="84"/>
      <c r="U2032" s="84"/>
      <c r="V2032" s="84"/>
      <c r="W2032" s="84"/>
      <c r="X2032" s="84"/>
      <c r="Y2032" s="84"/>
      <c r="Z2032" s="84"/>
      <c r="AA2032" s="84"/>
      <c r="AB2032" s="84"/>
      <c r="AC2032" s="84"/>
    </row>
    <row r="2033" ht="15.75" customHeight="1">
      <c r="A2033" s="14" t="s">
        <v>2137</v>
      </c>
      <c r="B2033" s="14">
        <v>1999.0</v>
      </c>
      <c r="C2033" s="14" t="s">
        <v>4890</v>
      </c>
      <c r="D2033" s="14" t="s">
        <v>4891</v>
      </c>
      <c r="E2033" s="150" t="str">
        <f t="shared" si="38"/>
        <v>http://dx.doi.org/10.1109/INFVIS.1999.801867</v>
      </c>
      <c r="F2033" s="14">
        <v>124.0</v>
      </c>
      <c r="G2033" s="14" t="s">
        <v>4896</v>
      </c>
      <c r="H2033" s="151"/>
      <c r="I2033" s="14" t="s">
        <v>28</v>
      </c>
      <c r="J2033" s="14" t="s">
        <v>39276</v>
      </c>
      <c r="K2033" s="14" t="s">
        <v>39277</v>
      </c>
      <c r="L2033" s="152" t="s">
        <v>4898</v>
      </c>
      <c r="M2033" s="14" t="s">
        <v>39278</v>
      </c>
      <c r="N2033" s="54" t="s">
        <v>39277</v>
      </c>
      <c r="O2033" s="130" t="s">
        <v>4899</v>
      </c>
      <c r="P2033" s="16"/>
      <c r="Q2033" s="14">
        <v>801867.0</v>
      </c>
      <c r="R2033" s="95"/>
      <c r="S2033" s="154" t="s">
        <v>39279</v>
      </c>
      <c r="T2033" s="84"/>
      <c r="U2033" s="84"/>
      <c r="V2033" s="84"/>
      <c r="W2033" s="84"/>
      <c r="X2033" s="84"/>
      <c r="Y2033" s="84"/>
      <c r="Z2033" s="84"/>
      <c r="AA2033" s="84"/>
      <c r="AB2033" s="84"/>
      <c r="AC2033" s="84"/>
    </row>
    <row r="2034" ht="15.75" customHeight="1">
      <c r="A2034" s="14" t="s">
        <v>2137</v>
      </c>
      <c r="B2034" s="14">
        <v>1999.0</v>
      </c>
      <c r="C2034" s="14" t="s">
        <v>4854</v>
      </c>
      <c r="D2034" s="14" t="s">
        <v>4855</v>
      </c>
      <c r="E2034" s="150" t="str">
        <f t="shared" si="38"/>
        <v>http://dx.doi.org/10.1109/INFVIS.1999.801863</v>
      </c>
      <c r="F2034" s="14">
        <v>92.0</v>
      </c>
      <c r="G2034" s="14" t="s">
        <v>4860</v>
      </c>
      <c r="H2034" s="151"/>
      <c r="I2034" s="14" t="s">
        <v>28</v>
      </c>
      <c r="J2034" s="14" t="s">
        <v>39281</v>
      </c>
      <c r="K2034" s="14" t="s">
        <v>10090</v>
      </c>
      <c r="L2034" s="152" t="s">
        <v>4862</v>
      </c>
      <c r="M2034" s="14">
        <v>3.74428267E10</v>
      </c>
      <c r="N2034" s="54" t="s">
        <v>10090</v>
      </c>
      <c r="O2034" s="130" t="s">
        <v>4863</v>
      </c>
      <c r="P2034" s="206" t="s">
        <v>4864</v>
      </c>
      <c r="Q2034" s="14">
        <v>801863.0</v>
      </c>
      <c r="R2034" s="95"/>
      <c r="S2034" s="154" t="s">
        <v>39282</v>
      </c>
      <c r="T2034" s="84"/>
      <c r="U2034" s="84"/>
      <c r="V2034" s="84"/>
      <c r="W2034" s="84"/>
      <c r="X2034" s="84"/>
      <c r="Y2034" s="84"/>
      <c r="Z2034" s="84"/>
      <c r="AA2034" s="84"/>
      <c r="AB2034" s="84"/>
      <c r="AC2034" s="84"/>
    </row>
    <row r="2035" ht="15.75" customHeight="1">
      <c r="A2035" s="14" t="s">
        <v>2137</v>
      </c>
      <c r="B2035" s="14">
        <v>1999.0</v>
      </c>
      <c r="C2035" s="14" t="s">
        <v>4708</v>
      </c>
      <c r="D2035" s="14" t="s">
        <v>4709</v>
      </c>
      <c r="E2035" s="150" t="str">
        <f t="shared" si="38"/>
        <v>http://dx.doi.org/10.1109/INFVIS.1999.801851</v>
      </c>
      <c r="F2035" s="14">
        <v>4.0</v>
      </c>
      <c r="G2035" s="14" t="s">
        <v>4711</v>
      </c>
      <c r="H2035" s="151"/>
      <c r="I2035" s="14" t="s">
        <v>28</v>
      </c>
      <c r="J2035" s="14" t="s">
        <v>39283</v>
      </c>
      <c r="K2035" s="14" t="s">
        <v>39285</v>
      </c>
      <c r="L2035" s="152" t="s">
        <v>4713</v>
      </c>
      <c r="M2035" s="14" t="s">
        <v>39286</v>
      </c>
      <c r="N2035" s="54" t="s">
        <v>39285</v>
      </c>
      <c r="O2035" s="130"/>
      <c r="P2035" s="16"/>
      <c r="Q2035" s="14">
        <v>801851.0</v>
      </c>
      <c r="R2035" s="95"/>
      <c r="S2035" s="154"/>
      <c r="T2035" s="84"/>
      <c r="U2035" s="84"/>
      <c r="V2035" s="84"/>
      <c r="W2035" s="84"/>
      <c r="X2035" s="84"/>
      <c r="Y2035" s="84"/>
      <c r="Z2035" s="84"/>
      <c r="AA2035" s="84"/>
      <c r="AB2035" s="84"/>
      <c r="AC2035" s="84"/>
    </row>
    <row r="2036" ht="15.75" customHeight="1">
      <c r="A2036" s="14" t="s">
        <v>2137</v>
      </c>
      <c r="B2036" s="14">
        <v>1999.0</v>
      </c>
      <c r="C2036" s="14" t="s">
        <v>4910</v>
      </c>
      <c r="D2036" s="14" t="s">
        <v>4911</v>
      </c>
      <c r="E2036" s="150" t="str">
        <f t="shared" si="38"/>
        <v>http://dx.doi.org/10.1109/INFVIS.1999.801869</v>
      </c>
      <c r="F2036" s="14">
        <v>132.0</v>
      </c>
      <c r="G2036" s="14" t="s">
        <v>4913</v>
      </c>
      <c r="H2036" s="151"/>
      <c r="I2036" s="14" t="s">
        <v>28</v>
      </c>
      <c r="J2036" s="14" t="s">
        <v>39287</v>
      </c>
      <c r="K2036" s="14" t="s">
        <v>39288</v>
      </c>
      <c r="L2036" s="152" t="s">
        <v>4915</v>
      </c>
      <c r="M2036" s="14" t="s">
        <v>39289</v>
      </c>
      <c r="N2036" s="54" t="s">
        <v>39288</v>
      </c>
      <c r="O2036" s="130"/>
      <c r="P2036" s="16"/>
      <c r="Q2036" s="14">
        <v>801869.0</v>
      </c>
      <c r="R2036" s="95"/>
      <c r="S2036" s="154"/>
      <c r="T2036" s="84"/>
      <c r="U2036" s="84"/>
      <c r="V2036" s="84"/>
      <c r="W2036" s="84"/>
      <c r="X2036" s="84"/>
      <c r="Y2036" s="84"/>
      <c r="Z2036" s="84"/>
      <c r="AA2036" s="84"/>
      <c r="AB2036" s="84"/>
      <c r="AC2036" s="84"/>
    </row>
    <row r="2037" ht="15.75" customHeight="1">
      <c r="A2037" s="14" t="s">
        <v>2137</v>
      </c>
      <c r="B2037" s="14">
        <v>1999.0</v>
      </c>
      <c r="C2037" s="14" t="s">
        <v>4828</v>
      </c>
      <c r="D2037" s="14" t="s">
        <v>4829</v>
      </c>
      <c r="E2037" s="150" t="str">
        <f t="shared" si="38"/>
        <v>http://dx.doi.org/10.1109/INFVIS.1999.801860</v>
      </c>
      <c r="F2037" s="14">
        <v>73.0</v>
      </c>
      <c r="G2037" s="14" t="s">
        <v>4831</v>
      </c>
      <c r="H2037" s="151"/>
      <c r="I2037" s="14" t="s">
        <v>28</v>
      </c>
      <c r="J2037" s="14" t="s">
        <v>39290</v>
      </c>
      <c r="K2037" s="14" t="s">
        <v>39291</v>
      </c>
      <c r="L2037" s="152" t="s">
        <v>4713</v>
      </c>
      <c r="M2037" s="14" t="s">
        <v>39292</v>
      </c>
      <c r="N2037" s="54" t="s">
        <v>39291</v>
      </c>
      <c r="O2037" s="130" t="s">
        <v>809</v>
      </c>
      <c r="P2037" s="205" t="s">
        <v>4837</v>
      </c>
      <c r="Q2037" s="14">
        <v>801860.0</v>
      </c>
      <c r="R2037" s="95"/>
      <c r="S2037" s="154">
        <v>175815.0</v>
      </c>
      <c r="T2037" s="84"/>
      <c r="U2037" s="84"/>
      <c r="V2037" s="84"/>
      <c r="W2037" s="84"/>
      <c r="X2037" s="84"/>
      <c r="Y2037" s="84"/>
      <c r="Z2037" s="84"/>
      <c r="AA2037" s="84"/>
      <c r="AB2037" s="84"/>
      <c r="AC2037" s="84"/>
    </row>
    <row r="2038" ht="15.75" customHeight="1">
      <c r="A2038" s="14" t="s">
        <v>2137</v>
      </c>
      <c r="B2038" s="14">
        <v>1999.0</v>
      </c>
      <c r="C2038" s="14" t="s">
        <v>4771</v>
      </c>
      <c r="D2038" s="14" t="s">
        <v>4772</v>
      </c>
      <c r="E2038" s="150" t="str">
        <f t="shared" si="38"/>
        <v>http://dx.doi.org/10.1109/INFVIS.1999.801854</v>
      </c>
      <c r="F2038" s="14">
        <v>28.0</v>
      </c>
      <c r="G2038" s="14">
        <v>35.0</v>
      </c>
      <c r="H2038" s="151"/>
      <c r="I2038" s="14" t="s">
        <v>28</v>
      </c>
      <c r="J2038" s="14" t="s">
        <v>39293</v>
      </c>
      <c r="K2038" s="14" t="s">
        <v>39294</v>
      </c>
      <c r="L2038" s="152" t="s">
        <v>815</v>
      </c>
      <c r="M2038" s="14" t="s">
        <v>39295</v>
      </c>
      <c r="N2038" s="54" t="s">
        <v>39294</v>
      </c>
      <c r="O2038" s="130"/>
      <c r="P2038" s="153" t="s">
        <v>4778</v>
      </c>
      <c r="Q2038" s="14">
        <v>801854.0</v>
      </c>
      <c r="R2038" s="95"/>
      <c r="S2038" s="154"/>
      <c r="T2038" s="84"/>
      <c r="U2038" s="84"/>
      <c r="V2038" s="84"/>
      <c r="W2038" s="84"/>
      <c r="X2038" s="84"/>
      <c r="Y2038" s="84"/>
      <c r="Z2038" s="84"/>
      <c r="AA2038" s="84"/>
      <c r="AB2038" s="84"/>
      <c r="AC2038" s="84"/>
    </row>
    <row r="2039" ht="15.75" customHeight="1">
      <c r="A2039" s="14" t="s">
        <v>2137</v>
      </c>
      <c r="B2039" s="14">
        <v>1999.0</v>
      </c>
      <c r="C2039" s="14" t="s">
        <v>4787</v>
      </c>
      <c r="D2039" s="14" t="s">
        <v>4788</v>
      </c>
      <c r="E2039" s="150" t="str">
        <f t="shared" si="38"/>
        <v>http://dx.doi.org/10.1109/INFVIS.1999.801856</v>
      </c>
      <c r="F2039" s="14">
        <v>44.0</v>
      </c>
      <c r="G2039" s="14" t="s">
        <v>4790</v>
      </c>
      <c r="H2039" s="151"/>
      <c r="I2039" s="14" t="s">
        <v>28</v>
      </c>
      <c r="J2039" s="14" t="s">
        <v>39296</v>
      </c>
      <c r="K2039" s="14" t="s">
        <v>39297</v>
      </c>
      <c r="L2039" s="152" t="s">
        <v>4792</v>
      </c>
      <c r="M2039" s="14" t="s">
        <v>39298</v>
      </c>
      <c r="N2039" s="54" t="s">
        <v>39297</v>
      </c>
      <c r="O2039" s="130" t="s">
        <v>4793</v>
      </c>
      <c r="P2039" s="153" t="s">
        <v>4794</v>
      </c>
      <c r="Q2039" s="14">
        <v>801856.0</v>
      </c>
      <c r="R2039" s="95"/>
      <c r="S2039" s="154" t="s">
        <v>39299</v>
      </c>
      <c r="T2039" s="84"/>
      <c r="U2039" s="84"/>
      <c r="V2039" s="84"/>
      <c r="W2039" s="84"/>
      <c r="X2039" s="84"/>
      <c r="Y2039" s="84"/>
      <c r="Z2039" s="84"/>
      <c r="AA2039" s="84"/>
      <c r="AB2039" s="84"/>
      <c r="AC2039" s="84"/>
    </row>
    <row r="2040" ht="15.75" customHeight="1">
      <c r="A2040" s="14" t="s">
        <v>2137</v>
      </c>
      <c r="B2040" s="14">
        <v>1999.0</v>
      </c>
      <c r="C2040" s="14" t="s">
        <v>4820</v>
      </c>
      <c r="D2040" s="14" t="s">
        <v>4821</v>
      </c>
      <c r="E2040" s="150" t="str">
        <f t="shared" si="38"/>
        <v>http://dx.doi.org/10.1109/INFVIS.1999.801859</v>
      </c>
      <c r="F2040" s="14">
        <v>65.0</v>
      </c>
      <c r="G2040" s="14">
        <v>72.0</v>
      </c>
      <c r="H2040" s="151"/>
      <c r="I2040" s="14" t="s">
        <v>28</v>
      </c>
      <c r="J2040" s="14" t="s">
        <v>39300</v>
      </c>
      <c r="K2040" s="14" t="s">
        <v>39301</v>
      </c>
      <c r="L2040" s="152" t="s">
        <v>2451</v>
      </c>
      <c r="M2040" s="14" t="s">
        <v>39302</v>
      </c>
      <c r="N2040" s="54" t="s">
        <v>39301</v>
      </c>
      <c r="O2040" s="130" t="s">
        <v>4827</v>
      </c>
      <c r="P2040" s="16"/>
      <c r="Q2040" s="14">
        <v>801859.0</v>
      </c>
      <c r="R2040" s="95"/>
      <c r="S2040" s="154" t="s">
        <v>39303</v>
      </c>
      <c r="T2040" s="84"/>
      <c r="U2040" s="84"/>
      <c r="V2040" s="84"/>
      <c r="W2040" s="84"/>
      <c r="X2040" s="84"/>
      <c r="Y2040" s="84"/>
      <c r="Z2040" s="84"/>
      <c r="AA2040" s="84"/>
      <c r="AB2040" s="84"/>
      <c r="AC2040" s="84"/>
    </row>
    <row r="2041" ht="15.75" customHeight="1">
      <c r="A2041" s="14" t="s">
        <v>2137</v>
      </c>
      <c r="B2041" s="14">
        <v>1999.0</v>
      </c>
      <c r="C2041" s="14" t="s">
        <v>4848</v>
      </c>
      <c r="D2041" s="14" t="s">
        <v>4849</v>
      </c>
      <c r="E2041" s="150" t="str">
        <f t="shared" si="38"/>
        <v>http://dx.doi.org/10.1109/INFVIS.1999.801862</v>
      </c>
      <c r="F2041" s="14">
        <v>84.0</v>
      </c>
      <c r="G2041" s="14">
        <v>91.0</v>
      </c>
      <c r="H2041" s="151"/>
      <c r="I2041" s="14" t="s">
        <v>28</v>
      </c>
      <c r="J2041" s="14" t="s">
        <v>39304</v>
      </c>
      <c r="K2041" s="14" t="s">
        <v>39305</v>
      </c>
      <c r="L2041" s="152" t="s">
        <v>4852</v>
      </c>
      <c r="M2041" s="14" t="s">
        <v>39306</v>
      </c>
      <c r="N2041" s="54" t="s">
        <v>39305</v>
      </c>
      <c r="O2041" s="130" t="s">
        <v>39307</v>
      </c>
      <c r="P2041" s="153" t="s">
        <v>4853</v>
      </c>
      <c r="Q2041" s="14">
        <v>801862.0</v>
      </c>
      <c r="R2041" s="95"/>
      <c r="S2041" s="154" t="s">
        <v>39308</v>
      </c>
      <c r="T2041" s="84"/>
      <c r="U2041" s="84"/>
      <c r="V2041" s="84"/>
      <c r="W2041" s="84"/>
      <c r="X2041" s="84"/>
      <c r="Y2041" s="84"/>
      <c r="Z2041" s="84"/>
      <c r="AA2041" s="84"/>
      <c r="AB2041" s="84"/>
      <c r="AC2041" s="84"/>
    </row>
    <row r="2042" ht="15.75" customHeight="1">
      <c r="A2042" s="14" t="s">
        <v>2137</v>
      </c>
      <c r="B2042" s="14">
        <v>1999.0</v>
      </c>
      <c r="C2042" s="14" t="s">
        <v>4779</v>
      </c>
      <c r="D2042" s="14" t="s">
        <v>4780</v>
      </c>
      <c r="E2042" s="150" t="str">
        <f t="shared" si="38"/>
        <v>http://dx.doi.org/10.1109/INFVIS.1999.801855</v>
      </c>
      <c r="F2042" s="14">
        <v>36.0</v>
      </c>
      <c r="G2042" s="14" t="s">
        <v>4784</v>
      </c>
      <c r="H2042" s="151"/>
      <c r="I2042" s="14" t="s">
        <v>28</v>
      </c>
      <c r="J2042" s="14" t="s">
        <v>39309</v>
      </c>
      <c r="K2042" s="14" t="s">
        <v>39310</v>
      </c>
      <c r="L2042" s="152" t="s">
        <v>4786</v>
      </c>
      <c r="M2042" s="14" t="s">
        <v>39311</v>
      </c>
      <c r="N2042" s="54" t="s">
        <v>39310</v>
      </c>
      <c r="O2042" s="130"/>
      <c r="P2042" s="16"/>
      <c r="Q2042" s="14">
        <v>801855.0</v>
      </c>
      <c r="R2042" s="95"/>
      <c r="S2042" s="154"/>
      <c r="T2042" s="84"/>
      <c r="U2042" s="84"/>
      <c r="V2042" s="84"/>
      <c r="W2042" s="84"/>
      <c r="X2042" s="84"/>
      <c r="Y2042" s="84"/>
      <c r="Z2042" s="84"/>
      <c r="AA2042" s="84"/>
      <c r="AB2042" s="84"/>
      <c r="AC2042" s="84"/>
    </row>
    <row r="2043" ht="15.75" customHeight="1">
      <c r="A2043" s="14" t="s">
        <v>2137</v>
      </c>
      <c r="B2043" s="14">
        <v>1999.0</v>
      </c>
      <c r="C2043" s="14" t="s">
        <v>4809</v>
      </c>
      <c r="D2043" s="14" t="s">
        <v>4810</v>
      </c>
      <c r="E2043" s="150" t="str">
        <f t="shared" si="38"/>
        <v>http://dx.doi.org/10.1109/INFVIS.1999.801858</v>
      </c>
      <c r="F2043" s="14">
        <v>58.0</v>
      </c>
      <c r="G2043" s="14" t="s">
        <v>4812</v>
      </c>
      <c r="H2043" s="151"/>
      <c r="I2043" s="14" t="s">
        <v>28</v>
      </c>
      <c r="J2043" s="14" t="s">
        <v>39312</v>
      </c>
      <c r="K2043" s="14" t="s">
        <v>39313</v>
      </c>
      <c r="L2043" s="152" t="s">
        <v>4817</v>
      </c>
      <c r="M2043" s="14" t="s">
        <v>39314</v>
      </c>
      <c r="N2043" s="54" t="s">
        <v>39313</v>
      </c>
      <c r="O2043" s="130" t="s">
        <v>4818</v>
      </c>
      <c r="P2043" s="205" t="s">
        <v>4819</v>
      </c>
      <c r="Q2043" s="14">
        <v>801858.0</v>
      </c>
      <c r="R2043" s="95"/>
      <c r="S2043" s="154" t="s">
        <v>39315</v>
      </c>
      <c r="T2043" s="84"/>
      <c r="U2043" s="84"/>
      <c r="V2043" s="84"/>
      <c r="W2043" s="84"/>
      <c r="X2043" s="84"/>
      <c r="Y2043" s="84"/>
      <c r="Z2043" s="84"/>
      <c r="AA2043" s="84"/>
      <c r="AB2043" s="84"/>
      <c r="AC2043" s="84"/>
    </row>
    <row r="2044" ht="15.75" customHeight="1">
      <c r="A2044" s="14" t="s">
        <v>2137</v>
      </c>
      <c r="B2044" s="14">
        <v>1999.0</v>
      </c>
      <c r="C2044" s="14" t="s">
        <v>4762</v>
      </c>
      <c r="D2044" s="14" t="s">
        <v>4763</v>
      </c>
      <c r="E2044" s="150" t="str">
        <f t="shared" si="38"/>
        <v>http://dx.doi.org/10.1109/INFVIS.1999.801853</v>
      </c>
      <c r="F2044" s="14">
        <v>18.0</v>
      </c>
      <c r="G2044" s="14" t="s">
        <v>4767</v>
      </c>
      <c r="H2044" s="151"/>
      <c r="I2044" s="14" t="s">
        <v>28</v>
      </c>
      <c r="J2044" s="14" t="s">
        <v>39317</v>
      </c>
      <c r="K2044" s="14" t="s">
        <v>39318</v>
      </c>
      <c r="L2044" s="152" t="s">
        <v>3369</v>
      </c>
      <c r="M2044" s="14" t="s">
        <v>39319</v>
      </c>
      <c r="N2044" s="54" t="s">
        <v>39320</v>
      </c>
      <c r="O2044" s="130" t="s">
        <v>4769</v>
      </c>
      <c r="P2044" s="153" t="s">
        <v>4770</v>
      </c>
      <c r="Q2044" s="14">
        <v>801853.0</v>
      </c>
      <c r="R2044" s="95"/>
      <c r="S2044" s="154" t="s">
        <v>39321</v>
      </c>
      <c r="T2044" s="84"/>
      <c r="U2044" s="84"/>
      <c r="V2044" s="84"/>
      <c r="W2044" s="84"/>
      <c r="X2044" s="84"/>
      <c r="Y2044" s="84"/>
      <c r="Z2044" s="84"/>
      <c r="AA2044" s="84"/>
      <c r="AB2044" s="84"/>
      <c r="AC2044" s="84"/>
    </row>
    <row r="2045" ht="15.75" customHeight="1">
      <c r="A2045" s="14" t="s">
        <v>2137</v>
      </c>
      <c r="B2045" s="14">
        <v>1999.0</v>
      </c>
      <c r="C2045" s="14" t="s">
        <v>4874</v>
      </c>
      <c r="D2045" s="14" t="s">
        <v>4875</v>
      </c>
      <c r="E2045" s="150" t="str">
        <f t="shared" si="38"/>
        <v>http://dx.doi.org/10.1109/INFVIS.1999.801865</v>
      </c>
      <c r="F2045" s="14">
        <v>112.0</v>
      </c>
      <c r="G2045" s="14" t="s">
        <v>4877</v>
      </c>
      <c r="H2045" s="151"/>
      <c r="I2045" s="14" t="s">
        <v>28</v>
      </c>
      <c r="J2045" s="14" t="s">
        <v>39322</v>
      </c>
      <c r="K2045" s="14" t="s">
        <v>39323</v>
      </c>
      <c r="L2045" s="152" t="s">
        <v>4880</v>
      </c>
      <c r="M2045" s="14" t="s">
        <v>39324</v>
      </c>
      <c r="N2045" s="54" t="s">
        <v>39323</v>
      </c>
      <c r="O2045" s="130" t="s">
        <v>3421</v>
      </c>
      <c r="P2045" s="16"/>
      <c r="Q2045" s="14">
        <v>801865.0</v>
      </c>
      <c r="R2045" s="95"/>
      <c r="S2045" s="154">
        <v>636793.0</v>
      </c>
      <c r="T2045" s="84"/>
      <c r="U2045" s="84"/>
      <c r="V2045" s="84"/>
      <c r="W2045" s="84"/>
      <c r="X2045" s="84"/>
      <c r="Y2045" s="84"/>
      <c r="Z2045" s="84"/>
      <c r="AA2045" s="84"/>
      <c r="AB2045" s="84"/>
      <c r="AC2045" s="84"/>
    </row>
    <row r="2046" ht="15.75" customHeight="1">
      <c r="A2046" s="14" t="s">
        <v>2137</v>
      </c>
      <c r="B2046" s="14">
        <v>1999.0</v>
      </c>
      <c r="C2046" s="14" t="s">
        <v>4900</v>
      </c>
      <c r="D2046" s="14" t="s">
        <v>4901</v>
      </c>
      <c r="E2046" s="150" t="str">
        <f t="shared" si="38"/>
        <v>http://dx.doi.org/10.1109/INFVIS.1999.801868</v>
      </c>
      <c r="F2046" s="14">
        <v>128.0</v>
      </c>
      <c r="G2046" s="14">
        <v>131.0</v>
      </c>
      <c r="H2046" s="151"/>
      <c r="I2046" s="14" t="s">
        <v>28</v>
      </c>
      <c r="J2046" s="14" t="s">
        <v>39326</v>
      </c>
      <c r="K2046" s="14" t="s">
        <v>39327</v>
      </c>
      <c r="L2046" s="152" t="s">
        <v>4905</v>
      </c>
      <c r="M2046" s="14">
        <v>3.74341583E10</v>
      </c>
      <c r="N2046" s="54" t="s">
        <v>10230</v>
      </c>
      <c r="O2046" s="130" t="s">
        <v>4907</v>
      </c>
      <c r="P2046" s="206" t="s">
        <v>4909</v>
      </c>
      <c r="Q2046" s="14">
        <v>801868.0</v>
      </c>
      <c r="R2046" s="95"/>
      <c r="S2046" s="154" t="s">
        <v>39328</v>
      </c>
      <c r="T2046" s="84"/>
      <c r="U2046" s="84"/>
      <c r="V2046" s="84"/>
      <c r="W2046" s="84"/>
      <c r="X2046" s="84"/>
      <c r="Y2046" s="84"/>
      <c r="Z2046" s="84"/>
      <c r="AA2046" s="84"/>
      <c r="AB2046" s="84"/>
      <c r="AC2046" s="84"/>
    </row>
    <row r="2047" ht="15.75" customHeight="1">
      <c r="A2047" s="14" t="s">
        <v>2137</v>
      </c>
      <c r="B2047" s="14">
        <v>1999.0</v>
      </c>
      <c r="C2047" s="14" t="s">
        <v>4865</v>
      </c>
      <c r="D2047" s="14" t="s">
        <v>4866</v>
      </c>
      <c r="E2047" s="150" t="str">
        <f t="shared" si="38"/>
        <v>http://dx.doi.org/10.1109/INFVIS.1999.801864</v>
      </c>
      <c r="F2047" s="14">
        <v>100.0</v>
      </c>
      <c r="G2047" s="14" t="s">
        <v>4870</v>
      </c>
      <c r="H2047" s="151"/>
      <c r="I2047" s="14" t="s">
        <v>28</v>
      </c>
      <c r="J2047" s="14" t="s">
        <v>39329</v>
      </c>
      <c r="K2047" s="14" t="s">
        <v>39330</v>
      </c>
      <c r="L2047" s="152" t="s">
        <v>4872</v>
      </c>
      <c r="M2047" s="14" t="s">
        <v>39331</v>
      </c>
      <c r="N2047" s="54" t="s">
        <v>39330</v>
      </c>
      <c r="O2047" s="130"/>
      <c r="P2047" s="153" t="s">
        <v>4873</v>
      </c>
      <c r="Q2047" s="14">
        <v>801864.0</v>
      </c>
      <c r="R2047" s="95"/>
      <c r="S2047" s="154"/>
      <c r="T2047" s="84"/>
      <c r="U2047" s="84"/>
      <c r="V2047" s="84"/>
      <c r="W2047" s="84"/>
      <c r="X2047" s="84"/>
      <c r="Y2047" s="84"/>
      <c r="Z2047" s="84"/>
      <c r="AA2047" s="84"/>
      <c r="AB2047" s="84"/>
      <c r="AC2047" s="84"/>
    </row>
    <row r="2048" ht="15.75" customHeight="1">
      <c r="A2048" s="14" t="s">
        <v>2137</v>
      </c>
      <c r="B2048" s="14">
        <v>1999.0</v>
      </c>
      <c r="C2048" s="14" t="s">
        <v>4714</v>
      </c>
      <c r="D2048" s="14" t="s">
        <v>4715</v>
      </c>
      <c r="E2048" s="150" t="str">
        <f t="shared" si="38"/>
        <v>http://dx.doi.org/10.1109/INFVIS.1999.801852</v>
      </c>
      <c r="F2048" s="14">
        <v>10.0</v>
      </c>
      <c r="G2048" s="14" t="s">
        <v>4757</v>
      </c>
      <c r="H2048" s="151"/>
      <c r="I2048" s="14" t="s">
        <v>28</v>
      </c>
      <c r="J2048" s="14" t="s">
        <v>39332</v>
      </c>
      <c r="K2048" s="14" t="s">
        <v>39333</v>
      </c>
      <c r="L2048" s="152" t="s">
        <v>4760</v>
      </c>
      <c r="M2048" s="14" t="s">
        <v>39334</v>
      </c>
      <c r="N2048" s="54" t="s">
        <v>39333</v>
      </c>
      <c r="O2048" s="130"/>
      <c r="P2048" s="205" t="s">
        <v>4761</v>
      </c>
      <c r="Q2048" s="14">
        <v>801852.0</v>
      </c>
      <c r="R2048" s="95"/>
      <c r="S2048" s="154"/>
      <c r="T2048" s="84"/>
      <c r="U2048" s="84"/>
      <c r="V2048" s="84"/>
      <c r="W2048" s="84"/>
      <c r="X2048" s="84"/>
      <c r="Y2048" s="84"/>
      <c r="Z2048" s="84"/>
      <c r="AA2048" s="84"/>
      <c r="AB2048" s="84"/>
      <c r="AC2048" s="84"/>
    </row>
    <row r="2049" ht="15.75" customHeight="1">
      <c r="A2049" s="14" t="s">
        <v>2137</v>
      </c>
      <c r="B2049" s="14">
        <v>1999.0</v>
      </c>
      <c r="C2049" s="14" t="s">
        <v>4883</v>
      </c>
      <c r="D2049" s="14" t="s">
        <v>4884</v>
      </c>
      <c r="E2049" s="150" t="str">
        <f t="shared" si="38"/>
        <v>http://dx.doi.org/10.1109/INFVIS.1999.801866</v>
      </c>
      <c r="F2049" s="14">
        <v>120.0</v>
      </c>
      <c r="G2049" s="14" t="s">
        <v>4886</v>
      </c>
      <c r="H2049" s="151"/>
      <c r="I2049" s="14" t="s">
        <v>28</v>
      </c>
      <c r="J2049" s="14" t="s">
        <v>39335</v>
      </c>
      <c r="K2049" s="14" t="s">
        <v>39336</v>
      </c>
      <c r="L2049" s="152" t="s">
        <v>4888</v>
      </c>
      <c r="M2049" s="14" t="s">
        <v>39337</v>
      </c>
      <c r="N2049" s="54" t="s">
        <v>39336</v>
      </c>
      <c r="O2049" s="130" t="s">
        <v>4889</v>
      </c>
      <c r="P2049" s="16"/>
      <c r="Q2049" s="14">
        <v>801866.0</v>
      </c>
      <c r="R2049" s="95"/>
      <c r="S2049" s="154" t="s">
        <v>39338</v>
      </c>
      <c r="T2049" s="84"/>
      <c r="U2049" s="84"/>
      <c r="V2049" s="84"/>
      <c r="W2049" s="84"/>
      <c r="X2049" s="84"/>
      <c r="Y2049" s="84"/>
      <c r="Z2049" s="84"/>
      <c r="AA2049" s="84"/>
      <c r="AB2049" s="84"/>
      <c r="AC2049" s="84"/>
    </row>
    <row r="2050" ht="15.75" customHeight="1">
      <c r="A2050" s="14" t="s">
        <v>17</v>
      </c>
      <c r="B2050" s="14">
        <v>1999.0</v>
      </c>
      <c r="C2050" s="14" t="s">
        <v>5328</v>
      </c>
      <c r="D2050" s="14" t="s">
        <v>5329</v>
      </c>
      <c r="E2050" s="150" t="str">
        <f t="shared" si="38"/>
        <v>http://dx.doi.org/10.1109/VISUAL.1999.809915</v>
      </c>
      <c r="F2050" s="14">
        <v>401.0</v>
      </c>
      <c r="G2050" s="14">
        <v>550.0</v>
      </c>
      <c r="H2050" s="151"/>
      <c r="I2050" s="14" t="s">
        <v>28</v>
      </c>
      <c r="J2050" s="14" t="s">
        <v>12412</v>
      </c>
      <c r="K2050" s="14" t="s">
        <v>39339</v>
      </c>
      <c r="L2050" s="152" t="s">
        <v>5332</v>
      </c>
      <c r="M2050" s="14" t="s">
        <v>39340</v>
      </c>
      <c r="N2050" s="54" t="s">
        <v>39339</v>
      </c>
      <c r="O2050" s="130"/>
      <c r="P2050" s="16"/>
      <c r="Q2050" s="14">
        <v>809915.0</v>
      </c>
      <c r="R2050" s="95"/>
      <c r="S2050" s="154"/>
      <c r="T2050" s="84"/>
      <c r="U2050" s="84"/>
      <c r="V2050" s="84"/>
      <c r="W2050" s="84"/>
      <c r="X2050" s="84"/>
      <c r="Y2050" s="84"/>
      <c r="Z2050" s="84"/>
      <c r="AA2050" s="84"/>
      <c r="AB2050" s="84"/>
      <c r="AC2050" s="84"/>
    </row>
    <row r="2051" ht="15.75" customHeight="1">
      <c r="A2051" s="14" t="s">
        <v>17</v>
      </c>
      <c r="B2051" s="14">
        <v>1999.0</v>
      </c>
      <c r="C2051" s="14" t="s">
        <v>5109</v>
      </c>
      <c r="D2051" s="14" t="s">
        <v>5110</v>
      </c>
      <c r="E2051" s="150" t="str">
        <f t="shared" si="38"/>
        <v>http://dx.doi.org/10.1109/VISUAL.1999.809890</v>
      </c>
      <c r="F2051" s="14">
        <v>215.0</v>
      </c>
      <c r="G2051" s="14">
        <v>527.0</v>
      </c>
      <c r="H2051" s="151"/>
      <c r="I2051" s="14" t="s">
        <v>28</v>
      </c>
      <c r="J2051" s="14" t="s">
        <v>12291</v>
      </c>
      <c r="K2051" s="14" t="s">
        <v>39341</v>
      </c>
      <c r="L2051" s="152" t="s">
        <v>5115</v>
      </c>
      <c r="M2051" s="14" t="s">
        <v>39342</v>
      </c>
      <c r="N2051" s="54" t="s">
        <v>39341</v>
      </c>
      <c r="O2051" s="130"/>
      <c r="P2051" s="16"/>
      <c r="Q2051" s="14">
        <v>809890.0</v>
      </c>
      <c r="R2051" s="95"/>
      <c r="S2051" s="154"/>
      <c r="T2051" s="84"/>
      <c r="U2051" s="84"/>
      <c r="V2051" s="84"/>
      <c r="W2051" s="84"/>
      <c r="X2051" s="84"/>
      <c r="Y2051" s="84"/>
      <c r="Z2051" s="84"/>
      <c r="AA2051" s="84"/>
      <c r="AB2051" s="84"/>
      <c r="AC2051" s="84"/>
    </row>
    <row r="2052" ht="15.75" customHeight="1">
      <c r="A2052" s="14" t="s">
        <v>17</v>
      </c>
      <c r="B2052" s="14">
        <v>1999.0</v>
      </c>
      <c r="C2052" s="14" t="s">
        <v>5290</v>
      </c>
      <c r="D2052" s="14" t="s">
        <v>5291</v>
      </c>
      <c r="E2052" s="150" t="str">
        <f t="shared" si="38"/>
        <v>http://dx.doi.org/10.1109/VISUAL.1999.809910</v>
      </c>
      <c r="F2052" s="14">
        <v>371.0</v>
      </c>
      <c r="G2052" s="14">
        <v>545.0</v>
      </c>
      <c r="H2052" s="151"/>
      <c r="I2052" s="14" t="s">
        <v>28</v>
      </c>
      <c r="J2052" s="14" t="s">
        <v>12386</v>
      </c>
      <c r="K2052" s="14" t="s">
        <v>39344</v>
      </c>
      <c r="L2052" s="152" t="s">
        <v>5294</v>
      </c>
      <c r="M2052" s="14" t="s">
        <v>39345</v>
      </c>
      <c r="N2052" s="54" t="s">
        <v>39344</v>
      </c>
      <c r="O2052" s="130" t="s">
        <v>5295</v>
      </c>
      <c r="P2052" s="205" t="s">
        <v>5297</v>
      </c>
      <c r="Q2052" s="14">
        <v>809910.0</v>
      </c>
      <c r="R2052" s="95"/>
      <c r="S2052" s="154" t="s">
        <v>39346</v>
      </c>
      <c r="T2052" s="84"/>
      <c r="U2052" s="84"/>
      <c r="V2052" s="84"/>
      <c r="W2052" s="84"/>
      <c r="X2052" s="84"/>
      <c r="Y2052" s="84"/>
      <c r="Z2052" s="84"/>
      <c r="AA2052" s="84"/>
      <c r="AB2052" s="84"/>
      <c r="AC2052" s="84"/>
    </row>
    <row r="2053" ht="15.75" customHeight="1">
      <c r="A2053" s="14" t="s">
        <v>17</v>
      </c>
      <c r="B2053" s="14">
        <v>1999.0</v>
      </c>
      <c r="C2053" s="14" t="s">
        <v>5132</v>
      </c>
      <c r="D2053" s="14" t="s">
        <v>5133</v>
      </c>
      <c r="E2053" s="150" t="str">
        <f t="shared" si="38"/>
        <v>http://dx.doi.org/10.1109/VISUAL.1999.809893</v>
      </c>
      <c r="F2053" s="14">
        <v>241.0</v>
      </c>
      <c r="G2053" s="14">
        <v>529.0</v>
      </c>
      <c r="H2053" s="151"/>
      <c r="I2053" s="14" t="s">
        <v>28</v>
      </c>
      <c r="J2053" s="14" t="s">
        <v>12298</v>
      </c>
      <c r="K2053" s="14" t="s">
        <v>39347</v>
      </c>
      <c r="L2053" s="152" t="s">
        <v>855</v>
      </c>
      <c r="M2053" s="14" t="s">
        <v>39348</v>
      </c>
      <c r="N2053" s="54" t="s">
        <v>39347</v>
      </c>
      <c r="O2053" s="130" t="s">
        <v>5139</v>
      </c>
      <c r="P2053" s="205" t="s">
        <v>5140</v>
      </c>
      <c r="Q2053" s="14">
        <v>809893.0</v>
      </c>
      <c r="R2053" s="95"/>
      <c r="S2053" s="154" t="s">
        <v>39349</v>
      </c>
      <c r="T2053" s="84"/>
      <c r="U2053" s="84"/>
      <c r="V2053" s="84"/>
      <c r="W2053" s="84"/>
      <c r="X2053" s="84"/>
      <c r="Y2053" s="84"/>
      <c r="Z2053" s="84"/>
      <c r="AA2053" s="84"/>
      <c r="AB2053" s="84"/>
      <c r="AC2053" s="84"/>
    </row>
    <row r="2054" ht="15.75" customHeight="1">
      <c r="A2054" s="14" t="s">
        <v>17</v>
      </c>
      <c r="B2054" s="14">
        <v>1999.0</v>
      </c>
      <c r="C2054" s="14" t="s">
        <v>5116</v>
      </c>
      <c r="D2054" s="14" t="s">
        <v>5117</v>
      </c>
      <c r="E2054" s="150" t="str">
        <f t="shared" si="38"/>
        <v>http://dx.doi.org/10.1109/VISUAL.1999.809891</v>
      </c>
      <c r="F2054" s="14">
        <v>225.0</v>
      </c>
      <c r="G2054" s="14">
        <v>232.0</v>
      </c>
      <c r="H2054" s="151"/>
      <c r="I2054" s="14" t="s">
        <v>28</v>
      </c>
      <c r="J2054" s="14" t="s">
        <v>12293</v>
      </c>
      <c r="K2054" s="14" t="s">
        <v>39351</v>
      </c>
      <c r="L2054" s="152" t="s">
        <v>5120</v>
      </c>
      <c r="M2054" s="14" t="s">
        <v>39352</v>
      </c>
      <c r="N2054" s="54" t="s">
        <v>39353</v>
      </c>
      <c r="O2054" s="130" t="s">
        <v>5121</v>
      </c>
      <c r="P2054" s="16"/>
      <c r="Q2054" s="14">
        <v>809891.0</v>
      </c>
      <c r="R2054" s="95"/>
      <c r="S2054" s="154" t="s">
        <v>39354</v>
      </c>
      <c r="T2054" s="84"/>
      <c r="U2054" s="84"/>
      <c r="V2054" s="84"/>
      <c r="W2054" s="84"/>
      <c r="X2054" s="84"/>
      <c r="Y2054" s="84"/>
      <c r="Z2054" s="84"/>
      <c r="AA2054" s="84"/>
      <c r="AB2054" s="84"/>
      <c r="AC2054" s="84"/>
    </row>
    <row r="2055" ht="15.75" customHeight="1">
      <c r="A2055" s="14" t="s">
        <v>17</v>
      </c>
      <c r="B2055" s="14">
        <v>1999.0</v>
      </c>
      <c r="C2055" s="14" t="s">
        <v>5439</v>
      </c>
      <c r="D2055" s="14" t="s">
        <v>5440</v>
      </c>
      <c r="E2055" s="150" t="str">
        <f t="shared" si="38"/>
        <v>http://dx.doi.org/10.1109/VISUAL.1999.809934</v>
      </c>
      <c r="F2055" s="14">
        <v>471.0</v>
      </c>
      <c r="G2055" s="14">
        <v>564.0</v>
      </c>
      <c r="H2055" s="151"/>
      <c r="I2055" s="14" t="s">
        <v>28</v>
      </c>
      <c r="J2055" s="14" t="s">
        <v>12494</v>
      </c>
      <c r="K2055" s="14" t="s">
        <v>38044</v>
      </c>
      <c r="L2055" s="152" t="s">
        <v>5445</v>
      </c>
      <c r="M2055" s="14" t="s">
        <v>38045</v>
      </c>
      <c r="N2055" s="54" t="s">
        <v>38044</v>
      </c>
      <c r="O2055" s="130" t="s">
        <v>5446</v>
      </c>
      <c r="P2055" s="16"/>
      <c r="Q2055" s="14">
        <v>809934.0</v>
      </c>
      <c r="R2055" s="95"/>
      <c r="S2055" s="154" t="s">
        <v>39355</v>
      </c>
      <c r="T2055" s="84"/>
      <c r="U2055" s="84"/>
      <c r="V2055" s="84"/>
      <c r="W2055" s="84"/>
      <c r="X2055" s="84"/>
      <c r="Y2055" s="84"/>
      <c r="Z2055" s="84"/>
      <c r="AA2055" s="84"/>
      <c r="AB2055" s="84"/>
      <c r="AC2055" s="84"/>
    </row>
    <row r="2056" ht="15.75" customHeight="1">
      <c r="A2056" s="14" t="s">
        <v>17</v>
      </c>
      <c r="B2056" s="14">
        <v>1999.0</v>
      </c>
      <c r="C2056" s="14" t="s">
        <v>5411</v>
      </c>
      <c r="D2056" s="14" t="s">
        <v>5412</v>
      </c>
      <c r="E2056" s="150" t="str">
        <f t="shared" si="38"/>
        <v>http://dx.doi.org/10.1109/VISUAL.1999.809929</v>
      </c>
      <c r="F2056" s="14">
        <v>453.0</v>
      </c>
      <c r="G2056" s="14">
        <v>562.0</v>
      </c>
      <c r="H2056" s="151"/>
      <c r="I2056" s="14" t="s">
        <v>28</v>
      </c>
      <c r="J2056" s="14" t="s">
        <v>12485</v>
      </c>
      <c r="K2056" s="14" t="s">
        <v>39356</v>
      </c>
      <c r="L2056" s="152" t="s">
        <v>1001</v>
      </c>
      <c r="M2056" s="14" t="s">
        <v>39357</v>
      </c>
      <c r="N2056" s="54" t="s">
        <v>39358</v>
      </c>
      <c r="O2056" s="130" t="s">
        <v>2539</v>
      </c>
      <c r="P2056" s="16"/>
      <c r="Q2056" s="14">
        <v>809929.0</v>
      </c>
      <c r="R2056" s="95"/>
      <c r="S2056" s="154">
        <v>480821.0</v>
      </c>
      <c r="T2056" s="84"/>
      <c r="U2056" s="84"/>
      <c r="V2056" s="84"/>
      <c r="W2056" s="84"/>
      <c r="X2056" s="84"/>
      <c r="Y2056" s="84"/>
      <c r="Z2056" s="84"/>
      <c r="AA2056" s="84"/>
      <c r="AB2056" s="84"/>
      <c r="AC2056" s="84"/>
    </row>
    <row r="2057" ht="15.75" customHeight="1">
      <c r="A2057" s="14" t="s">
        <v>17</v>
      </c>
      <c r="B2057" s="14">
        <v>1999.0</v>
      </c>
      <c r="C2057" s="14" t="s">
        <v>5073</v>
      </c>
      <c r="D2057" s="14" t="s">
        <v>5074</v>
      </c>
      <c r="E2057" s="150" t="str">
        <f t="shared" si="38"/>
        <v>http://dx.doi.org/10.1109/VISUAL.1999.809885</v>
      </c>
      <c r="F2057" s="14">
        <v>175.0</v>
      </c>
      <c r="G2057" s="14">
        <v>523.0</v>
      </c>
      <c r="H2057" s="151"/>
      <c r="I2057" s="14" t="s">
        <v>28</v>
      </c>
      <c r="J2057" s="14" t="s">
        <v>12267</v>
      </c>
      <c r="K2057" s="14" t="s">
        <v>39359</v>
      </c>
      <c r="L2057" s="152" t="s">
        <v>5077</v>
      </c>
      <c r="M2057" s="14" t="s">
        <v>39360</v>
      </c>
      <c r="N2057" s="54" t="s">
        <v>39359</v>
      </c>
      <c r="O2057" s="130"/>
      <c r="P2057" s="205" t="s">
        <v>5078</v>
      </c>
      <c r="Q2057" s="14">
        <v>809885.0</v>
      </c>
      <c r="R2057" s="95"/>
      <c r="S2057" s="154"/>
      <c r="T2057" s="84"/>
      <c r="U2057" s="84"/>
      <c r="V2057" s="84"/>
      <c r="W2057" s="84"/>
      <c r="X2057" s="84"/>
      <c r="Y2057" s="84"/>
      <c r="Z2057" s="84"/>
      <c r="AA2057" s="84"/>
      <c r="AB2057" s="84"/>
      <c r="AC2057" s="84"/>
    </row>
    <row r="2058" ht="15.75" customHeight="1">
      <c r="A2058" s="14" t="s">
        <v>17</v>
      </c>
      <c r="B2058" s="14">
        <v>1999.0</v>
      </c>
      <c r="C2058" s="14" t="s">
        <v>5236</v>
      </c>
      <c r="D2058" s="14" t="s">
        <v>5237</v>
      </c>
      <c r="E2058" s="150" t="str">
        <f t="shared" si="38"/>
        <v>http://dx.doi.org/10.1109/VISUAL.1999.809904</v>
      </c>
      <c r="F2058" s="14">
        <v>325.0</v>
      </c>
      <c r="G2058" s="14">
        <v>539.0</v>
      </c>
      <c r="H2058" s="151"/>
      <c r="I2058" s="14" t="s">
        <v>28</v>
      </c>
      <c r="J2058" s="14" t="s">
        <v>12339</v>
      </c>
      <c r="K2058" s="14" t="s">
        <v>39361</v>
      </c>
      <c r="L2058" s="152" t="s">
        <v>5241</v>
      </c>
      <c r="M2058" s="14" t="s">
        <v>39362</v>
      </c>
      <c r="N2058" s="54" t="s">
        <v>39361</v>
      </c>
      <c r="O2058" s="130" t="s">
        <v>5244</v>
      </c>
      <c r="P2058" s="205" t="s">
        <v>5245</v>
      </c>
      <c r="Q2058" s="14">
        <v>809904.0</v>
      </c>
      <c r="R2058" s="95"/>
      <c r="S2058" s="154" t="s">
        <v>39364</v>
      </c>
      <c r="T2058" s="84"/>
      <c r="U2058" s="84"/>
      <c r="V2058" s="84"/>
      <c r="W2058" s="84"/>
      <c r="X2058" s="84"/>
      <c r="Y2058" s="84"/>
      <c r="Z2058" s="84"/>
      <c r="AA2058" s="84"/>
      <c r="AB2058" s="84"/>
      <c r="AC2058" s="84"/>
    </row>
    <row r="2059" ht="15.75" customHeight="1">
      <c r="A2059" s="14" t="s">
        <v>17</v>
      </c>
      <c r="B2059" s="14">
        <v>1999.0</v>
      </c>
      <c r="C2059" s="14" t="s">
        <v>5435</v>
      </c>
      <c r="D2059" s="14" t="s">
        <v>5436</v>
      </c>
      <c r="E2059" s="150" t="str">
        <f t="shared" si="38"/>
        <v>http://dx.doi.org/10.1109/VISUAL.1999.809932</v>
      </c>
      <c r="F2059" s="14">
        <v>467.0</v>
      </c>
      <c r="G2059" s="14">
        <v>563.0</v>
      </c>
      <c r="H2059" s="151"/>
      <c r="I2059" s="14" t="s">
        <v>28</v>
      </c>
      <c r="J2059" s="14" t="s">
        <v>12492</v>
      </c>
      <c r="K2059" s="14" t="s">
        <v>39365</v>
      </c>
      <c r="L2059" s="152" t="s">
        <v>2413</v>
      </c>
      <c r="M2059" s="14" t="s">
        <v>39366</v>
      </c>
      <c r="N2059" s="54" t="s">
        <v>39365</v>
      </c>
      <c r="O2059" s="130" t="s">
        <v>3037</v>
      </c>
      <c r="P2059" s="16"/>
      <c r="Q2059" s="14">
        <v>809932.0</v>
      </c>
      <c r="R2059" s="95"/>
      <c r="S2059" s="154">
        <v>568112.0</v>
      </c>
      <c r="T2059" s="84"/>
      <c r="U2059" s="84"/>
      <c r="V2059" s="84"/>
      <c r="W2059" s="84"/>
      <c r="X2059" s="84"/>
      <c r="Y2059" s="84"/>
      <c r="Z2059" s="84"/>
      <c r="AA2059" s="84"/>
      <c r="AB2059" s="84"/>
      <c r="AC2059" s="84"/>
    </row>
    <row r="2060" ht="15.75" customHeight="1">
      <c r="A2060" s="14" t="s">
        <v>17</v>
      </c>
      <c r="B2060" s="14">
        <v>1999.0</v>
      </c>
      <c r="C2060" s="14" t="s">
        <v>5467</v>
      </c>
      <c r="D2060" s="14" t="s">
        <v>5468</v>
      </c>
      <c r="E2060" s="150" t="str">
        <f t="shared" si="38"/>
        <v>http://dx.doi.org/10.1109/VISUAL.1999.809940</v>
      </c>
      <c r="F2060" s="14">
        <v>491.0</v>
      </c>
      <c r="G2060" s="14">
        <v>495.0</v>
      </c>
      <c r="H2060" s="159" t="s">
        <v>30659</v>
      </c>
      <c r="I2060" s="14" t="s">
        <v>21</v>
      </c>
      <c r="J2060" s="14"/>
      <c r="K2060" s="14" t="s">
        <v>8682</v>
      </c>
      <c r="L2060" s="152" t="s">
        <v>5471</v>
      </c>
      <c r="M2060" s="14">
        <v>3.73552954E10</v>
      </c>
      <c r="N2060" s="54" t="s">
        <v>8682</v>
      </c>
      <c r="O2060" s="130"/>
      <c r="P2060" s="16"/>
      <c r="Q2060" s="14">
        <v>809940.0</v>
      </c>
      <c r="R2060" s="95"/>
      <c r="S2060" s="154"/>
      <c r="T2060" s="84"/>
      <c r="U2060" s="84"/>
      <c r="V2060" s="84"/>
      <c r="W2060" s="84"/>
      <c r="X2060" s="84"/>
      <c r="Y2060" s="84"/>
      <c r="Z2060" s="84"/>
      <c r="AA2060" s="84"/>
      <c r="AB2060" s="84"/>
      <c r="AC2060" s="84"/>
    </row>
    <row r="2061" ht="15.75" customHeight="1">
      <c r="A2061" s="14" t="s">
        <v>17</v>
      </c>
      <c r="B2061" s="14">
        <v>1999.0</v>
      </c>
      <c r="C2061" s="14" t="s">
        <v>5170</v>
      </c>
      <c r="D2061" s="14" t="s">
        <v>5171</v>
      </c>
      <c r="E2061" s="150" t="str">
        <f t="shared" si="38"/>
        <v>http://dx.doi.org/10.1109/VISUAL.1999.809897</v>
      </c>
      <c r="F2061" s="14">
        <v>271.0</v>
      </c>
      <c r="G2061" s="14">
        <v>533.0</v>
      </c>
      <c r="H2061" s="151"/>
      <c r="I2061" s="14" t="s">
        <v>28</v>
      </c>
      <c r="J2061" s="14" t="s">
        <v>39367</v>
      </c>
      <c r="K2061" s="14" t="s">
        <v>39368</v>
      </c>
      <c r="L2061" s="152" t="s">
        <v>5181</v>
      </c>
      <c r="M2061" s="14" t="s">
        <v>39369</v>
      </c>
      <c r="N2061" s="54" t="s">
        <v>39368</v>
      </c>
      <c r="O2061" s="130" t="s">
        <v>5182</v>
      </c>
      <c r="P2061" s="205" t="s">
        <v>39370</v>
      </c>
      <c r="Q2061" s="14">
        <v>809897.0</v>
      </c>
      <c r="R2061" s="95"/>
      <c r="S2061" s="154" t="s">
        <v>39371</v>
      </c>
      <c r="T2061" s="84"/>
      <c r="U2061" s="84"/>
      <c r="V2061" s="84"/>
      <c r="W2061" s="84"/>
      <c r="X2061" s="84"/>
      <c r="Y2061" s="84"/>
      <c r="Z2061" s="84"/>
      <c r="AA2061" s="84"/>
      <c r="AB2061" s="84"/>
      <c r="AC2061" s="84"/>
    </row>
    <row r="2062" ht="15.75" customHeight="1">
      <c r="A2062" s="14" t="s">
        <v>17</v>
      </c>
      <c r="B2062" s="50">
        <v>1999.0</v>
      </c>
      <c r="C2062" s="14" t="s">
        <v>5270</v>
      </c>
      <c r="D2062" s="67" t="s">
        <v>5271</v>
      </c>
      <c r="E2062" s="194" t="str">
        <f>HYPERLINK("http://doi.ieeecomputersociety.org/10.1109/VISUAL.1999.809907","http://doi.ieeecomputersociety.org/10.1109/VISUAL.1999.809907")</f>
        <v>http://doi.ieeecomputersociety.org/10.1109/VISUAL.1999.809907</v>
      </c>
      <c r="F2062" s="50">
        <v>349.0</v>
      </c>
      <c r="G2062" s="54">
        <v>354.0</v>
      </c>
      <c r="H2062" s="151"/>
      <c r="I2062" s="14" t="s">
        <v>28</v>
      </c>
      <c r="J2062" s="54" t="s">
        <v>39373</v>
      </c>
      <c r="K2062" s="54" t="s">
        <v>38432</v>
      </c>
      <c r="L2062" s="162" t="s">
        <v>5275</v>
      </c>
      <c r="M2062" s="54"/>
      <c r="N2062" s="54" t="s">
        <v>38432</v>
      </c>
      <c r="O2062" s="130" t="s">
        <v>487</v>
      </c>
      <c r="P2062" s="153" t="s">
        <v>5276</v>
      </c>
      <c r="Q2062" s="54">
        <v>809907.0</v>
      </c>
      <c r="R2062" s="54" t="s">
        <v>18275</v>
      </c>
      <c r="S2062" s="78">
        <v>175773.0</v>
      </c>
      <c r="T2062" s="16"/>
      <c r="U2062" s="16"/>
      <c r="V2062" s="16"/>
      <c r="W2062" s="16"/>
      <c r="X2062" s="16"/>
      <c r="Y2062" s="16"/>
      <c r="Z2062" s="16"/>
      <c r="AA2062" s="16"/>
      <c r="AB2062" s="16"/>
      <c r="AC2062" s="16"/>
    </row>
    <row r="2063" ht="15.75" customHeight="1">
      <c r="A2063" s="14" t="s">
        <v>17</v>
      </c>
      <c r="B2063" s="14">
        <v>1999.0</v>
      </c>
      <c r="C2063" s="14" t="s">
        <v>4922</v>
      </c>
      <c r="D2063" s="14" t="s">
        <v>4923</v>
      </c>
      <c r="E2063" s="150" t="str">
        <f t="shared" ref="E2063:E2072" si="39">"http://dx.doi.org/" &amp; D2063</f>
        <v>http://dx.doi.org/10.1109/VISUAL.1999.809863</v>
      </c>
      <c r="F2063" s="14">
        <v>19.0</v>
      </c>
      <c r="G2063" s="14" t="s">
        <v>4925</v>
      </c>
      <c r="H2063" s="151"/>
      <c r="I2063" s="14" t="s">
        <v>28</v>
      </c>
      <c r="J2063" s="14" t="s">
        <v>12140</v>
      </c>
      <c r="K2063" s="14" t="s">
        <v>39374</v>
      </c>
      <c r="L2063" s="152" t="s">
        <v>4927</v>
      </c>
      <c r="M2063" s="14" t="s">
        <v>39376</v>
      </c>
      <c r="N2063" s="54" t="s">
        <v>39377</v>
      </c>
      <c r="O2063" s="130" t="s">
        <v>4928</v>
      </c>
      <c r="P2063" s="205" t="s">
        <v>4930</v>
      </c>
      <c r="Q2063" s="14">
        <v>809863.0</v>
      </c>
      <c r="R2063" s="95"/>
      <c r="S2063" s="154" t="s">
        <v>39378</v>
      </c>
      <c r="T2063" s="84"/>
      <c r="U2063" s="84"/>
      <c r="V2063" s="84"/>
      <c r="W2063" s="84"/>
      <c r="X2063" s="84"/>
      <c r="Y2063" s="84"/>
      <c r="Z2063" s="84"/>
      <c r="AA2063" s="84"/>
      <c r="AB2063" s="84"/>
      <c r="AC2063" s="84"/>
    </row>
    <row r="2064" ht="15.75" customHeight="1">
      <c r="A2064" s="14" t="s">
        <v>17</v>
      </c>
      <c r="B2064" s="14">
        <v>1999.0</v>
      </c>
      <c r="C2064" s="14" t="s">
        <v>5195</v>
      </c>
      <c r="D2064" s="14" t="s">
        <v>5197</v>
      </c>
      <c r="E2064" s="150" t="str">
        <f t="shared" si="39"/>
        <v>http://dx.doi.org/10.1109/VISUAL.1999.809899</v>
      </c>
      <c r="F2064" s="14">
        <v>285.0</v>
      </c>
      <c r="G2064" s="14">
        <v>535.0</v>
      </c>
      <c r="H2064" s="151"/>
      <c r="I2064" s="14" t="s">
        <v>28</v>
      </c>
      <c r="J2064" s="14" t="s">
        <v>12315</v>
      </c>
      <c r="K2064" s="14" t="s">
        <v>39379</v>
      </c>
      <c r="L2064" s="152" t="s">
        <v>3558</v>
      </c>
      <c r="M2064" s="14" t="s">
        <v>39380</v>
      </c>
      <c r="N2064" s="54" t="s">
        <v>39379</v>
      </c>
      <c r="O2064" s="130" t="s">
        <v>5203</v>
      </c>
      <c r="P2064" s="16"/>
      <c r="Q2064" s="14">
        <v>809899.0</v>
      </c>
      <c r="R2064" s="95"/>
      <c r="S2064" s="154" t="s">
        <v>39381</v>
      </c>
      <c r="T2064" s="84"/>
      <c r="U2064" s="84"/>
      <c r="V2064" s="84"/>
      <c r="W2064" s="84"/>
      <c r="X2064" s="84"/>
      <c r="Y2064" s="84"/>
      <c r="Z2064" s="84"/>
      <c r="AA2064" s="84"/>
      <c r="AB2064" s="84"/>
      <c r="AC2064" s="84"/>
    </row>
    <row r="2065" ht="15.75" customHeight="1">
      <c r="A2065" s="14" t="s">
        <v>17</v>
      </c>
      <c r="B2065" s="14">
        <v>1999.0</v>
      </c>
      <c r="C2065" s="14" t="s">
        <v>5357</v>
      </c>
      <c r="D2065" s="14" t="s">
        <v>5358</v>
      </c>
      <c r="E2065" s="150" t="str">
        <f t="shared" si="39"/>
        <v>http://dx.doi.org/10.1109/VISUAL.1999.809920</v>
      </c>
      <c r="F2065" s="14">
        <v>421.0</v>
      </c>
      <c r="G2065" s="14">
        <v>423.0</v>
      </c>
      <c r="H2065" s="151"/>
      <c r="I2065" s="14" t="s">
        <v>28</v>
      </c>
      <c r="J2065" s="14" t="s">
        <v>12440</v>
      </c>
      <c r="K2065" s="14" t="s">
        <v>39383</v>
      </c>
      <c r="L2065" s="152" t="s">
        <v>5361</v>
      </c>
      <c r="M2065" s="14" t="s">
        <v>39384</v>
      </c>
      <c r="N2065" s="54" t="s">
        <v>39383</v>
      </c>
      <c r="O2065" s="130"/>
      <c r="P2065" s="16"/>
      <c r="Q2065" s="14">
        <v>809920.0</v>
      </c>
      <c r="R2065" s="95"/>
      <c r="S2065" s="154"/>
      <c r="T2065" s="84"/>
      <c r="U2065" s="84"/>
      <c r="V2065" s="84"/>
      <c r="W2065" s="84"/>
      <c r="X2065" s="84"/>
      <c r="Y2065" s="84"/>
      <c r="Z2065" s="84"/>
      <c r="AA2065" s="84"/>
      <c r="AB2065" s="84"/>
      <c r="AC2065" s="84"/>
    </row>
    <row r="2066" ht="15.75" customHeight="1">
      <c r="A2066" s="14" t="s">
        <v>17</v>
      </c>
      <c r="B2066" s="14">
        <v>1999.0</v>
      </c>
      <c r="C2066" s="14" t="s">
        <v>5371</v>
      </c>
      <c r="D2066" s="14" t="s">
        <v>5372</v>
      </c>
      <c r="E2066" s="150" t="str">
        <f t="shared" si="39"/>
        <v>http://dx.doi.org/10.1109/VISUAL.1999.809922</v>
      </c>
      <c r="F2066" s="14">
        <v>429.0</v>
      </c>
      <c r="G2066" s="14">
        <v>556.0</v>
      </c>
      <c r="H2066" s="151"/>
      <c r="I2066" s="14" t="s">
        <v>28</v>
      </c>
      <c r="J2066" s="14" t="s">
        <v>12454</v>
      </c>
      <c r="K2066" s="14" t="s">
        <v>39385</v>
      </c>
      <c r="L2066" s="152" t="s">
        <v>5375</v>
      </c>
      <c r="M2066" s="14" t="s">
        <v>39386</v>
      </c>
      <c r="N2066" s="54" t="s">
        <v>39385</v>
      </c>
      <c r="O2066" s="130"/>
      <c r="P2066" s="16"/>
      <c r="Q2066" s="14">
        <v>809922.0</v>
      </c>
      <c r="R2066" s="95"/>
      <c r="S2066" s="154"/>
      <c r="T2066" s="84"/>
      <c r="U2066" s="84"/>
      <c r="V2066" s="84"/>
      <c r="W2066" s="84"/>
      <c r="X2066" s="84"/>
      <c r="Y2066" s="84"/>
      <c r="Z2066" s="84"/>
      <c r="AA2066" s="84"/>
      <c r="AB2066" s="84"/>
      <c r="AC2066" s="84"/>
    </row>
    <row r="2067" ht="15.75" customHeight="1">
      <c r="A2067" s="14" t="s">
        <v>17</v>
      </c>
      <c r="B2067" s="14">
        <v>1999.0</v>
      </c>
      <c r="C2067" s="14" t="s">
        <v>5427</v>
      </c>
      <c r="D2067" s="14" t="s">
        <v>5428</v>
      </c>
      <c r="E2067" s="150" t="str">
        <f t="shared" si="39"/>
        <v>http://dx.doi.org/10.1109/VISUAL.1999.809931</v>
      </c>
      <c r="F2067" s="14">
        <v>463.0</v>
      </c>
      <c r="G2067" s="14">
        <v>466.0</v>
      </c>
      <c r="H2067" s="151"/>
      <c r="I2067" s="14" t="s">
        <v>28</v>
      </c>
      <c r="J2067" s="14" t="s">
        <v>12490</v>
      </c>
      <c r="K2067" s="14" t="s">
        <v>39387</v>
      </c>
      <c r="L2067" s="152" t="s">
        <v>494</v>
      </c>
      <c r="M2067" s="14" t="s">
        <v>39388</v>
      </c>
      <c r="N2067" s="54" t="s">
        <v>39387</v>
      </c>
      <c r="O2067" s="130"/>
      <c r="P2067" s="16"/>
      <c r="Q2067" s="14">
        <v>809931.0</v>
      </c>
      <c r="R2067" s="95"/>
      <c r="S2067" s="154"/>
      <c r="T2067" s="84"/>
      <c r="U2067" s="84"/>
      <c r="V2067" s="84"/>
      <c r="W2067" s="84"/>
      <c r="X2067" s="84"/>
      <c r="Y2067" s="84"/>
      <c r="Z2067" s="84"/>
      <c r="AA2067" s="84"/>
      <c r="AB2067" s="84"/>
      <c r="AC2067" s="84"/>
    </row>
    <row r="2068" ht="15.75" customHeight="1">
      <c r="A2068" s="14" t="s">
        <v>17</v>
      </c>
      <c r="B2068" s="14">
        <v>1999.0</v>
      </c>
      <c r="C2068" s="14" t="s">
        <v>5337</v>
      </c>
      <c r="D2068" s="14" t="s">
        <v>5338</v>
      </c>
      <c r="E2068" s="150" t="str">
        <f t="shared" si="39"/>
        <v>http://dx.doi.org/10.1109/VISUAL.1999.809917</v>
      </c>
      <c r="F2068" s="14">
        <v>409.0</v>
      </c>
      <c r="G2068" s="14">
        <v>552.0</v>
      </c>
      <c r="H2068" s="151"/>
      <c r="I2068" s="14" t="s">
        <v>28</v>
      </c>
      <c r="J2068" s="14" t="s">
        <v>12423</v>
      </c>
      <c r="K2068" s="14" t="s">
        <v>39389</v>
      </c>
      <c r="L2068" s="152" t="s">
        <v>5343</v>
      </c>
      <c r="M2068" s="14" t="s">
        <v>39390</v>
      </c>
      <c r="N2068" s="54" t="s">
        <v>39389</v>
      </c>
      <c r="O2068" s="130" t="s">
        <v>5344</v>
      </c>
      <c r="P2068" s="16"/>
      <c r="Q2068" s="14">
        <v>809917.0</v>
      </c>
      <c r="R2068" s="95"/>
      <c r="S2068" s="154" t="s">
        <v>39391</v>
      </c>
      <c r="T2068" s="84"/>
      <c r="U2068" s="84"/>
      <c r="V2068" s="84"/>
      <c r="W2068" s="84"/>
      <c r="X2068" s="84"/>
      <c r="Y2068" s="84"/>
      <c r="Z2068" s="84"/>
      <c r="AA2068" s="84"/>
      <c r="AB2068" s="84"/>
      <c r="AC2068" s="84"/>
    </row>
    <row r="2069" ht="15.75" customHeight="1">
      <c r="A2069" s="14" t="s">
        <v>17</v>
      </c>
      <c r="B2069" s="14">
        <v>1999.0</v>
      </c>
      <c r="C2069" s="14" t="s">
        <v>5313</v>
      </c>
      <c r="D2069" s="14" t="s">
        <v>5314</v>
      </c>
      <c r="E2069" s="150" t="str">
        <f t="shared" si="39"/>
        <v>http://dx.doi.org/10.1109/VISUAL.1999.809913</v>
      </c>
      <c r="F2069" s="14">
        <v>393.0</v>
      </c>
      <c r="G2069" s="14">
        <v>548.0</v>
      </c>
      <c r="H2069" s="151"/>
      <c r="I2069" s="14" t="s">
        <v>28</v>
      </c>
      <c r="J2069" s="14" t="s">
        <v>12400</v>
      </c>
      <c r="K2069" s="14" t="s">
        <v>39392</v>
      </c>
      <c r="L2069" s="152" t="s">
        <v>5317</v>
      </c>
      <c r="M2069" s="14" t="s">
        <v>39393</v>
      </c>
      <c r="N2069" s="54" t="s">
        <v>39392</v>
      </c>
      <c r="O2069" s="130" t="s">
        <v>5318</v>
      </c>
      <c r="P2069" s="16"/>
      <c r="Q2069" s="14">
        <v>809913.0</v>
      </c>
      <c r="R2069" s="95"/>
      <c r="S2069" s="154" t="s">
        <v>39394</v>
      </c>
      <c r="T2069" s="84"/>
      <c r="U2069" s="84"/>
      <c r="V2069" s="84"/>
      <c r="W2069" s="84"/>
      <c r="X2069" s="84"/>
      <c r="Y2069" s="84"/>
      <c r="Z2069" s="84"/>
      <c r="AA2069" s="84"/>
      <c r="AB2069" s="84"/>
      <c r="AC2069" s="84"/>
    </row>
    <row r="2070" ht="15.75" customHeight="1">
      <c r="A2070" s="14" t="s">
        <v>17</v>
      </c>
      <c r="B2070" s="14">
        <v>1999.0</v>
      </c>
      <c r="C2070" s="14" t="s">
        <v>4974</v>
      </c>
      <c r="D2070" s="14" t="s">
        <v>4975</v>
      </c>
      <c r="E2070" s="150" t="str">
        <f t="shared" si="39"/>
        <v>http://dx.doi.org/10.1109/VISUAL.1999.809870</v>
      </c>
      <c r="F2070" s="14">
        <v>73.0</v>
      </c>
      <c r="G2070" s="14">
        <v>512.0</v>
      </c>
      <c r="H2070" s="151"/>
      <c r="I2070" s="14" t="s">
        <v>28</v>
      </c>
      <c r="J2070" s="14" t="s">
        <v>12183</v>
      </c>
      <c r="K2070" s="14" t="s">
        <v>39395</v>
      </c>
      <c r="L2070" s="152" t="s">
        <v>4978</v>
      </c>
      <c r="M2070" s="14" t="s">
        <v>39396</v>
      </c>
      <c r="N2070" s="54" t="s">
        <v>39397</v>
      </c>
      <c r="O2070" s="130" t="s">
        <v>4979</v>
      </c>
      <c r="P2070" s="205" t="s">
        <v>4980</v>
      </c>
      <c r="Q2070" s="14">
        <v>809870.0</v>
      </c>
      <c r="R2070" s="95"/>
      <c r="S2070" s="154" t="s">
        <v>39398</v>
      </c>
      <c r="T2070" s="95"/>
      <c r="U2070" s="95"/>
      <c r="V2070" s="95"/>
      <c r="W2070" s="95"/>
      <c r="X2070" s="95"/>
      <c r="Y2070" s="95"/>
      <c r="Z2070" s="95"/>
      <c r="AA2070" s="95"/>
      <c r="AB2070" s="95"/>
      <c r="AC2070" s="95"/>
    </row>
    <row r="2071" ht="15.75" customHeight="1">
      <c r="A2071" s="14" t="s">
        <v>17</v>
      </c>
      <c r="B2071" s="14">
        <v>1999.0</v>
      </c>
      <c r="C2071" s="54" t="s">
        <v>5100</v>
      </c>
      <c r="D2071" s="14" t="s">
        <v>5101</v>
      </c>
      <c r="E2071" s="150" t="str">
        <f t="shared" si="39"/>
        <v>http://dx.doi.org/10.1109/VISUAL.1999.809889</v>
      </c>
      <c r="F2071" s="14">
        <v>207.0</v>
      </c>
      <c r="G2071" s="14">
        <v>526.0</v>
      </c>
      <c r="H2071" s="151"/>
      <c r="I2071" s="14" t="s">
        <v>28</v>
      </c>
      <c r="J2071" s="14" t="s">
        <v>12287</v>
      </c>
      <c r="K2071" s="14" t="s">
        <v>39399</v>
      </c>
      <c r="L2071" s="152" t="s">
        <v>5107</v>
      </c>
      <c r="M2071" s="14" t="s">
        <v>39400</v>
      </c>
      <c r="N2071" s="54" t="s">
        <v>39399</v>
      </c>
      <c r="O2071" s="130"/>
      <c r="P2071" s="205" t="s">
        <v>5108</v>
      </c>
      <c r="Q2071" s="14">
        <v>809889.0</v>
      </c>
      <c r="R2071" s="95"/>
      <c r="S2071" s="154"/>
      <c r="T2071" s="84"/>
      <c r="U2071" s="84"/>
      <c r="V2071" s="84"/>
      <c r="W2071" s="84"/>
      <c r="X2071" s="84"/>
      <c r="Y2071" s="84"/>
      <c r="Z2071" s="84"/>
      <c r="AA2071" s="84"/>
      <c r="AB2071" s="84"/>
      <c r="AC2071" s="84"/>
    </row>
    <row r="2072" ht="15.75" customHeight="1">
      <c r="A2072" s="14" t="s">
        <v>17</v>
      </c>
      <c r="B2072" s="14">
        <v>1999.0</v>
      </c>
      <c r="C2072" s="14" t="s">
        <v>5065</v>
      </c>
      <c r="D2072" s="14" t="s">
        <v>5066</v>
      </c>
      <c r="E2072" s="150" t="str">
        <f t="shared" si="39"/>
        <v>http://dx.doi.org/10.1109/VISUAL.1999.809884</v>
      </c>
      <c r="F2072" s="14">
        <v>169.0</v>
      </c>
      <c r="G2072" s="14">
        <v>173.0</v>
      </c>
      <c r="H2072" s="151"/>
      <c r="I2072" s="14" t="s">
        <v>28</v>
      </c>
      <c r="J2072" s="14" t="s">
        <v>12257</v>
      </c>
      <c r="K2072" s="14" t="s">
        <v>39401</v>
      </c>
      <c r="L2072" s="152" t="s">
        <v>5071</v>
      </c>
      <c r="M2072" s="14" t="s">
        <v>39402</v>
      </c>
      <c r="N2072" s="54" t="s">
        <v>39401</v>
      </c>
      <c r="O2072" s="130" t="s">
        <v>5072</v>
      </c>
      <c r="P2072" s="16"/>
      <c r="Q2072" s="14">
        <v>809884.0</v>
      </c>
      <c r="R2072" s="95"/>
      <c r="S2072" s="154" t="s">
        <v>39403</v>
      </c>
      <c r="T2072" s="84"/>
      <c r="U2072" s="84"/>
      <c r="V2072" s="84"/>
      <c r="W2072" s="84"/>
      <c r="X2072" s="84"/>
      <c r="Y2072" s="84"/>
      <c r="Z2072" s="84"/>
      <c r="AA2072" s="84"/>
      <c r="AB2072" s="84"/>
      <c r="AC2072" s="84"/>
    </row>
    <row r="2073" ht="15.75" customHeight="1">
      <c r="A2073" s="14" t="s">
        <v>17</v>
      </c>
      <c r="B2073" s="50">
        <v>1999.0</v>
      </c>
      <c r="C2073" s="14" t="s">
        <v>5004</v>
      </c>
      <c r="D2073" s="97" t="s">
        <v>5005</v>
      </c>
      <c r="E2073" s="156" t="s">
        <v>4232</v>
      </c>
      <c r="F2073" s="50">
        <v>105.0</v>
      </c>
      <c r="G2073" s="54"/>
      <c r="H2073" s="151"/>
      <c r="I2073" s="14" t="s">
        <v>28</v>
      </c>
      <c r="J2073" s="54" t="s">
        <v>39404</v>
      </c>
      <c r="K2073" s="54" t="s">
        <v>39405</v>
      </c>
      <c r="L2073" s="162"/>
      <c r="M2073" s="54"/>
      <c r="N2073" s="54" t="s">
        <v>39406</v>
      </c>
      <c r="O2073" s="130" t="s">
        <v>5007</v>
      </c>
      <c r="P2073" s="16"/>
      <c r="Q2073" s="54">
        <v>809874.0</v>
      </c>
      <c r="R2073" s="14" t="s">
        <v>18275</v>
      </c>
      <c r="S2073" s="78" t="s">
        <v>39407</v>
      </c>
      <c r="T2073" s="16"/>
      <c r="U2073" s="16"/>
      <c r="V2073" s="16"/>
      <c r="W2073" s="16"/>
      <c r="X2073" s="16"/>
      <c r="Y2073" s="16"/>
      <c r="Z2073" s="16"/>
      <c r="AA2073" s="16"/>
      <c r="AB2073" s="16"/>
      <c r="AC2073" s="16"/>
    </row>
    <row r="2074" ht="15.75" customHeight="1">
      <c r="A2074" s="14" t="s">
        <v>17</v>
      </c>
      <c r="B2074" s="14">
        <v>1999.0</v>
      </c>
      <c r="C2074" s="14" t="s">
        <v>4990</v>
      </c>
      <c r="D2074" s="14" t="s">
        <v>4991</v>
      </c>
      <c r="E2074" s="150" t="str">
        <f t="shared" ref="E2074:E2091" si="40">"http://dx.doi.org/" &amp; D2074</f>
        <v>http://dx.doi.org/10.1109/VISUAL.1999.809872</v>
      </c>
      <c r="F2074" s="14">
        <v>89.0</v>
      </c>
      <c r="G2074" s="14">
        <v>514.0</v>
      </c>
      <c r="H2074" s="151"/>
      <c r="I2074" s="14" t="s">
        <v>28</v>
      </c>
      <c r="J2074" s="14" t="s">
        <v>12194</v>
      </c>
      <c r="K2074" s="14" t="s">
        <v>39408</v>
      </c>
      <c r="L2074" s="152" t="s">
        <v>753</v>
      </c>
      <c r="M2074" s="14" t="s">
        <v>39409</v>
      </c>
      <c r="N2074" s="54" t="s">
        <v>39408</v>
      </c>
      <c r="O2074" s="130"/>
      <c r="P2074" s="205" t="s">
        <v>4994</v>
      </c>
      <c r="Q2074" s="14">
        <v>809872.0</v>
      </c>
      <c r="R2074" s="95"/>
      <c r="S2074" s="154"/>
      <c r="T2074" s="84"/>
      <c r="U2074" s="84"/>
      <c r="V2074" s="84"/>
      <c r="W2074" s="84"/>
      <c r="X2074" s="84"/>
      <c r="Y2074" s="84"/>
      <c r="Z2074" s="84"/>
      <c r="AA2074" s="84"/>
      <c r="AB2074" s="84"/>
      <c r="AC2074" s="84"/>
    </row>
    <row r="2075" ht="15.75" customHeight="1">
      <c r="A2075" s="14" t="s">
        <v>17</v>
      </c>
      <c r="B2075" s="14">
        <v>1999.0</v>
      </c>
      <c r="C2075" s="14" t="s">
        <v>5390</v>
      </c>
      <c r="D2075" s="14" t="s">
        <v>5392</v>
      </c>
      <c r="E2075" s="150" t="str">
        <f t="shared" si="40"/>
        <v>http://dx.doi.org/10.1109/VISUAL.1999.809925</v>
      </c>
      <c r="F2075" s="14">
        <v>441.0</v>
      </c>
      <c r="G2075" s="14">
        <v>559.0</v>
      </c>
      <c r="H2075" s="151"/>
      <c r="I2075" s="14" t="s">
        <v>28</v>
      </c>
      <c r="J2075" s="14" t="s">
        <v>12477</v>
      </c>
      <c r="K2075" s="14" t="s">
        <v>39410</v>
      </c>
      <c r="L2075" s="152" t="s">
        <v>5396</v>
      </c>
      <c r="M2075" s="14" t="s">
        <v>39411</v>
      </c>
      <c r="N2075" s="54" t="s">
        <v>39410</v>
      </c>
      <c r="O2075" s="130"/>
      <c r="P2075" s="16"/>
      <c r="Q2075" s="14">
        <v>809925.0</v>
      </c>
      <c r="R2075" s="95"/>
      <c r="S2075" s="154"/>
      <c r="T2075" s="84"/>
      <c r="U2075" s="84"/>
      <c r="V2075" s="84"/>
      <c r="W2075" s="84"/>
      <c r="X2075" s="84"/>
      <c r="Y2075" s="84"/>
      <c r="Z2075" s="84"/>
      <c r="AA2075" s="84"/>
      <c r="AB2075" s="84"/>
      <c r="AC2075" s="84"/>
    </row>
    <row r="2076" ht="15.75" customHeight="1">
      <c r="A2076" s="14" t="s">
        <v>17</v>
      </c>
      <c r="B2076" s="14">
        <v>1999.0</v>
      </c>
      <c r="C2076" s="14" t="s">
        <v>4950</v>
      </c>
      <c r="D2076" s="14" t="s">
        <v>4951</v>
      </c>
      <c r="E2076" s="150" t="str">
        <f t="shared" si="40"/>
        <v>http://dx.doi.org/10.1109/VISUAL.1999.809866</v>
      </c>
      <c r="F2076" s="14">
        <v>43.0</v>
      </c>
      <c r="G2076" s="14">
        <v>508.0</v>
      </c>
      <c r="H2076" s="151"/>
      <c r="I2076" s="14" t="s">
        <v>28</v>
      </c>
      <c r="J2076" s="14" t="s">
        <v>12157</v>
      </c>
      <c r="K2076" s="14" t="s">
        <v>39313</v>
      </c>
      <c r="L2076" s="152" t="s">
        <v>4817</v>
      </c>
      <c r="M2076" s="14" t="s">
        <v>39314</v>
      </c>
      <c r="N2076" s="54" t="s">
        <v>39313</v>
      </c>
      <c r="O2076" s="130" t="s">
        <v>4956</v>
      </c>
      <c r="P2076" s="205" t="s">
        <v>4957</v>
      </c>
      <c r="Q2076" s="14">
        <v>809866.0</v>
      </c>
      <c r="R2076" s="95"/>
      <c r="S2076" s="154" t="s">
        <v>39412</v>
      </c>
      <c r="T2076" s="84"/>
      <c r="U2076" s="84"/>
      <c r="V2076" s="84"/>
      <c r="W2076" s="84"/>
      <c r="X2076" s="84"/>
      <c r="Y2076" s="84"/>
      <c r="Z2076" s="84"/>
      <c r="AA2076" s="84"/>
      <c r="AB2076" s="84"/>
      <c r="AC2076" s="84"/>
    </row>
    <row r="2077" ht="15.75" customHeight="1">
      <c r="A2077" s="14" t="s">
        <v>17</v>
      </c>
      <c r="B2077" s="14">
        <v>1999.0</v>
      </c>
      <c r="C2077" s="14" t="s">
        <v>5299</v>
      </c>
      <c r="D2077" s="14" t="s">
        <v>5301</v>
      </c>
      <c r="E2077" s="150" t="str">
        <f t="shared" si="40"/>
        <v>http://dx.doi.org/10.1109/VISUAL.1999.809911</v>
      </c>
      <c r="F2077" s="14">
        <v>379.0</v>
      </c>
      <c r="G2077" s="14">
        <v>546.0</v>
      </c>
      <c r="H2077" s="151"/>
      <c r="I2077" s="14" t="s">
        <v>28</v>
      </c>
      <c r="J2077" s="14" t="s">
        <v>39413</v>
      </c>
      <c r="K2077" s="14" t="s">
        <v>39414</v>
      </c>
      <c r="L2077" s="152" t="s">
        <v>753</v>
      </c>
      <c r="M2077" s="14" t="s">
        <v>39415</v>
      </c>
      <c r="N2077" s="54" t="s">
        <v>39414</v>
      </c>
      <c r="O2077" s="130" t="s">
        <v>5304</v>
      </c>
      <c r="P2077" s="205" t="s">
        <v>5305</v>
      </c>
      <c r="Q2077" s="14">
        <v>809911.0</v>
      </c>
      <c r="R2077" s="95"/>
      <c r="S2077" s="154" t="s">
        <v>39416</v>
      </c>
      <c r="T2077" s="84"/>
      <c r="U2077" s="84"/>
      <c r="V2077" s="84"/>
      <c r="W2077" s="84"/>
      <c r="X2077" s="84"/>
      <c r="Y2077" s="84"/>
      <c r="Z2077" s="84"/>
      <c r="AA2077" s="84"/>
      <c r="AB2077" s="84"/>
      <c r="AC2077" s="84"/>
    </row>
    <row r="2078" ht="15.75" customHeight="1">
      <c r="A2078" s="14" t="s">
        <v>17</v>
      </c>
      <c r="B2078" s="14">
        <v>1999.0</v>
      </c>
      <c r="C2078" s="14" t="s">
        <v>5079</v>
      </c>
      <c r="D2078" s="14" t="s">
        <v>5080</v>
      </c>
      <c r="E2078" s="150" t="str">
        <f t="shared" si="40"/>
        <v>http://dx.doi.org/10.1109/VISUAL.1999.809886</v>
      </c>
      <c r="F2078" s="14">
        <v>183.0</v>
      </c>
      <c r="G2078" s="14">
        <v>524.0</v>
      </c>
      <c r="H2078" s="151"/>
      <c r="I2078" s="14" t="s">
        <v>28</v>
      </c>
      <c r="J2078" s="14" t="s">
        <v>12270</v>
      </c>
      <c r="K2078" s="14" t="s">
        <v>39417</v>
      </c>
      <c r="L2078" s="152" t="s">
        <v>281</v>
      </c>
      <c r="M2078" s="14" t="s">
        <v>39418</v>
      </c>
      <c r="N2078" s="54" t="s">
        <v>39417</v>
      </c>
      <c r="O2078" s="130" t="s">
        <v>5086</v>
      </c>
      <c r="P2078" s="16"/>
      <c r="Q2078" s="14">
        <v>809886.0</v>
      </c>
      <c r="R2078" s="95"/>
      <c r="S2078" s="154" t="s">
        <v>39419</v>
      </c>
      <c r="T2078" s="84"/>
      <c r="U2078" s="84"/>
      <c r="V2078" s="84"/>
      <c r="W2078" s="84"/>
      <c r="X2078" s="84"/>
      <c r="Y2078" s="84"/>
      <c r="Z2078" s="84"/>
      <c r="AA2078" s="84"/>
      <c r="AB2078" s="84"/>
      <c r="AC2078" s="84"/>
    </row>
    <row r="2079" ht="15.75" customHeight="1">
      <c r="A2079" s="14" t="s">
        <v>17</v>
      </c>
      <c r="B2079" s="14">
        <v>1999.0</v>
      </c>
      <c r="C2079" s="14" t="s">
        <v>4981</v>
      </c>
      <c r="D2079" s="14" t="s">
        <v>4982</v>
      </c>
      <c r="E2079" s="150" t="str">
        <f t="shared" si="40"/>
        <v>http://dx.doi.org/10.1109/VISUAL.1999.809871</v>
      </c>
      <c r="F2079" s="14">
        <v>81.0</v>
      </c>
      <c r="G2079" s="14">
        <v>88.0</v>
      </c>
      <c r="H2079" s="151"/>
      <c r="I2079" s="14" t="s">
        <v>28</v>
      </c>
      <c r="J2079" s="14" t="s">
        <v>12193</v>
      </c>
      <c r="K2079" s="14" t="s">
        <v>4987</v>
      </c>
      <c r="L2079" s="152" t="s">
        <v>557</v>
      </c>
      <c r="M2079" s="14">
        <v>3.72758694E10</v>
      </c>
      <c r="N2079" s="54" t="s">
        <v>4987</v>
      </c>
      <c r="O2079" s="130" t="s">
        <v>4988</v>
      </c>
      <c r="P2079" s="205" t="s">
        <v>4989</v>
      </c>
      <c r="Q2079" s="14">
        <v>809871.0</v>
      </c>
      <c r="R2079" s="95"/>
      <c r="S2079" s="154" t="s">
        <v>39420</v>
      </c>
      <c r="T2079" s="84"/>
      <c r="U2079" s="84"/>
      <c r="V2079" s="84"/>
      <c r="W2079" s="84"/>
      <c r="X2079" s="84"/>
      <c r="Y2079" s="84"/>
      <c r="Z2079" s="84"/>
      <c r="AA2079" s="84"/>
      <c r="AB2079" s="84"/>
      <c r="AC2079" s="84"/>
    </row>
    <row r="2080" ht="15.75" customHeight="1">
      <c r="A2080" s="14" t="s">
        <v>17</v>
      </c>
      <c r="B2080" s="14">
        <v>1999.0</v>
      </c>
      <c r="C2080" s="14" t="s">
        <v>5216</v>
      </c>
      <c r="D2080" s="14" t="s">
        <v>5217</v>
      </c>
      <c r="E2080" s="150" t="str">
        <f t="shared" si="40"/>
        <v>http://dx.doi.org/10.1109/VISUAL.1999.809901</v>
      </c>
      <c r="F2080" s="14">
        <v>299.0</v>
      </c>
      <c r="G2080" s="14">
        <v>305.0</v>
      </c>
      <c r="H2080" s="151"/>
      <c r="I2080" s="14" t="s">
        <v>28</v>
      </c>
      <c r="J2080" s="14" t="s">
        <v>39421</v>
      </c>
      <c r="K2080" s="14" t="s">
        <v>39422</v>
      </c>
      <c r="L2080" s="152" t="s">
        <v>5220</v>
      </c>
      <c r="M2080" s="14" t="s">
        <v>39423</v>
      </c>
      <c r="N2080" s="54" t="s">
        <v>39424</v>
      </c>
      <c r="O2080" s="130" t="s">
        <v>5221</v>
      </c>
      <c r="P2080" s="205" t="s">
        <v>5222</v>
      </c>
      <c r="Q2080" s="14">
        <v>809901.0</v>
      </c>
      <c r="R2080" s="95"/>
      <c r="S2080" s="154" t="s">
        <v>39425</v>
      </c>
      <c r="T2080" s="84"/>
      <c r="U2080" s="84"/>
      <c r="V2080" s="84"/>
      <c r="W2080" s="84"/>
      <c r="X2080" s="84"/>
      <c r="Y2080" s="84"/>
      <c r="Z2080" s="84"/>
      <c r="AA2080" s="84"/>
      <c r="AB2080" s="84"/>
      <c r="AC2080" s="84"/>
    </row>
    <row r="2081" ht="15.75" customHeight="1">
      <c r="A2081" s="14" t="s">
        <v>17</v>
      </c>
      <c r="B2081" s="14">
        <v>1999.0</v>
      </c>
      <c r="C2081" s="14" t="s">
        <v>5306</v>
      </c>
      <c r="D2081" s="14" t="s">
        <v>5307</v>
      </c>
      <c r="E2081" s="150" t="str">
        <f t="shared" si="40"/>
        <v>http://dx.doi.org/10.1109/VISUAL.1999.809912</v>
      </c>
      <c r="F2081" s="14">
        <v>389.0</v>
      </c>
      <c r="G2081" s="14">
        <v>547.0</v>
      </c>
      <c r="H2081" s="151"/>
      <c r="I2081" s="14" t="s">
        <v>28</v>
      </c>
      <c r="J2081" s="14" t="s">
        <v>12397</v>
      </c>
      <c r="K2081" s="14" t="s">
        <v>39426</v>
      </c>
      <c r="L2081" s="152" t="s">
        <v>5311</v>
      </c>
      <c r="M2081" s="14" t="s">
        <v>39427</v>
      </c>
      <c r="N2081" s="54" t="s">
        <v>39426</v>
      </c>
      <c r="O2081" s="130" t="s">
        <v>5312</v>
      </c>
      <c r="P2081" s="16"/>
      <c r="Q2081" s="14">
        <v>809912.0</v>
      </c>
      <c r="R2081" s="95"/>
      <c r="S2081" s="154" t="s">
        <v>39428</v>
      </c>
      <c r="T2081" s="84"/>
      <c r="U2081" s="84"/>
      <c r="V2081" s="84"/>
      <c r="W2081" s="84"/>
      <c r="X2081" s="84"/>
      <c r="Y2081" s="84"/>
      <c r="Z2081" s="84"/>
      <c r="AA2081" s="84"/>
      <c r="AB2081" s="84"/>
      <c r="AC2081" s="84"/>
    </row>
    <row r="2082" ht="15.75" customHeight="1">
      <c r="A2082" s="14" t="s">
        <v>17</v>
      </c>
      <c r="B2082" s="14">
        <v>1999.0</v>
      </c>
      <c r="C2082" s="14" t="s">
        <v>5124</v>
      </c>
      <c r="D2082" s="14" t="s">
        <v>5126</v>
      </c>
      <c r="E2082" s="150" t="str">
        <f t="shared" si="40"/>
        <v>http://dx.doi.org/10.1109/VISUAL.1999.809892</v>
      </c>
      <c r="F2082" s="14">
        <v>233.0</v>
      </c>
      <c r="G2082" s="14">
        <v>528.0</v>
      </c>
      <c r="H2082" s="151"/>
      <c r="I2082" s="14" t="s">
        <v>28</v>
      </c>
      <c r="J2082" s="14" t="s">
        <v>12296</v>
      </c>
      <c r="K2082" s="14" t="s">
        <v>39429</v>
      </c>
      <c r="L2082" s="152" t="s">
        <v>5129</v>
      </c>
      <c r="M2082" s="14" t="s">
        <v>39430</v>
      </c>
      <c r="N2082" s="54" t="s">
        <v>39429</v>
      </c>
      <c r="O2082" s="130" t="s">
        <v>5130</v>
      </c>
      <c r="P2082" s="205" t="s">
        <v>5131</v>
      </c>
      <c r="Q2082" s="14">
        <v>809892.0</v>
      </c>
      <c r="R2082" s="95"/>
      <c r="S2082" s="154" t="s">
        <v>39431</v>
      </c>
      <c r="T2082" s="84"/>
      <c r="U2082" s="84"/>
      <c r="V2082" s="84"/>
      <c r="W2082" s="84"/>
      <c r="X2082" s="84"/>
      <c r="Y2082" s="84"/>
      <c r="Z2082" s="84"/>
      <c r="AA2082" s="84"/>
      <c r="AB2082" s="84"/>
      <c r="AC2082" s="84"/>
    </row>
    <row r="2083" ht="15.75" customHeight="1">
      <c r="A2083" s="14" t="s">
        <v>17</v>
      </c>
      <c r="B2083" s="14">
        <v>1999.0</v>
      </c>
      <c r="C2083" s="14" t="s">
        <v>5046</v>
      </c>
      <c r="D2083" s="14" t="s">
        <v>5047</v>
      </c>
      <c r="E2083" s="150" t="str">
        <f t="shared" si="40"/>
        <v>http://dx.doi.org/10.1109/VISUAL.1999.809882</v>
      </c>
      <c r="F2083" s="14">
        <v>155.0</v>
      </c>
      <c r="G2083" s="14">
        <v>521.0</v>
      </c>
      <c r="H2083" s="151"/>
      <c r="I2083" s="14" t="s">
        <v>28</v>
      </c>
      <c r="J2083" s="14" t="s">
        <v>12248</v>
      </c>
      <c r="K2083" s="14" t="s">
        <v>39432</v>
      </c>
      <c r="L2083" s="152" t="s">
        <v>5053</v>
      </c>
      <c r="M2083" s="14" t="s">
        <v>39433</v>
      </c>
      <c r="N2083" s="54" t="s">
        <v>39434</v>
      </c>
      <c r="O2083" s="130" t="s">
        <v>5054</v>
      </c>
      <c r="P2083" s="205" t="s">
        <v>5055</v>
      </c>
      <c r="Q2083" s="14">
        <v>809882.0</v>
      </c>
      <c r="R2083" s="95"/>
      <c r="S2083" s="154" t="s">
        <v>39435</v>
      </c>
      <c r="T2083" s="84"/>
      <c r="U2083" s="84"/>
      <c r="V2083" s="84"/>
      <c r="W2083" s="84"/>
      <c r="X2083" s="84"/>
      <c r="Y2083" s="84"/>
      <c r="Z2083" s="84"/>
      <c r="AA2083" s="84"/>
      <c r="AB2083" s="84"/>
      <c r="AC2083" s="84"/>
    </row>
    <row r="2084" ht="15.75" customHeight="1">
      <c r="A2084" s="14" t="s">
        <v>17</v>
      </c>
      <c r="B2084" s="14">
        <v>1999.0</v>
      </c>
      <c r="C2084" s="14" t="s">
        <v>5345</v>
      </c>
      <c r="D2084" s="14" t="s">
        <v>5346</v>
      </c>
      <c r="E2084" s="150" t="str">
        <f t="shared" si="40"/>
        <v>http://dx.doi.org/10.1109/VISUAL.1999.809918</v>
      </c>
      <c r="F2084" s="14">
        <v>413.0</v>
      </c>
      <c r="G2084" s="14">
        <v>553.0</v>
      </c>
      <c r="H2084" s="151"/>
      <c r="I2084" s="14" t="s">
        <v>28</v>
      </c>
      <c r="J2084" s="14" t="s">
        <v>39436</v>
      </c>
      <c r="K2084" s="14" t="s">
        <v>39437</v>
      </c>
      <c r="L2084" s="152" t="s">
        <v>5349</v>
      </c>
      <c r="M2084" s="14" t="s">
        <v>39438</v>
      </c>
      <c r="N2084" s="54" t="s">
        <v>39437</v>
      </c>
      <c r="O2084" s="130" t="s">
        <v>3751</v>
      </c>
      <c r="P2084" s="16"/>
      <c r="Q2084" s="14">
        <v>809918.0</v>
      </c>
      <c r="R2084" s="95"/>
      <c r="S2084" s="154">
        <v>663911.0</v>
      </c>
      <c r="T2084" s="84"/>
      <c r="U2084" s="84"/>
      <c r="V2084" s="84"/>
      <c r="W2084" s="84"/>
      <c r="X2084" s="84"/>
      <c r="Y2084" s="84"/>
      <c r="Z2084" s="84"/>
      <c r="AA2084" s="84"/>
      <c r="AB2084" s="84"/>
      <c r="AC2084" s="84"/>
    </row>
    <row r="2085" ht="15.75" customHeight="1">
      <c r="A2085" s="14" t="s">
        <v>17</v>
      </c>
      <c r="B2085" s="14">
        <v>1999.0</v>
      </c>
      <c r="C2085" s="14" t="s">
        <v>5038</v>
      </c>
      <c r="D2085" s="14" t="s">
        <v>5039</v>
      </c>
      <c r="E2085" s="150" t="str">
        <f t="shared" si="40"/>
        <v>http://dx.doi.org/10.1109/VISUAL.1999.809879</v>
      </c>
      <c r="F2085" s="14">
        <v>147.0</v>
      </c>
      <c r="G2085" s="14">
        <v>520.0</v>
      </c>
      <c r="H2085" s="151"/>
      <c r="I2085" s="14" t="s">
        <v>28</v>
      </c>
      <c r="J2085" s="14" t="s">
        <v>12245</v>
      </c>
      <c r="K2085" s="14" t="s">
        <v>39439</v>
      </c>
      <c r="L2085" s="152" t="s">
        <v>281</v>
      </c>
      <c r="M2085" s="14" t="s">
        <v>39440</v>
      </c>
      <c r="N2085" s="54" t="s">
        <v>39441</v>
      </c>
      <c r="O2085" s="130" t="s">
        <v>5044</v>
      </c>
      <c r="P2085" s="205" t="s">
        <v>5045</v>
      </c>
      <c r="Q2085" s="14">
        <v>809879.0</v>
      </c>
      <c r="R2085" s="95"/>
      <c r="S2085" s="154" t="s">
        <v>39442</v>
      </c>
      <c r="T2085" s="84"/>
      <c r="U2085" s="84"/>
      <c r="V2085" s="84"/>
      <c r="W2085" s="84"/>
      <c r="X2085" s="84"/>
      <c r="Y2085" s="84"/>
      <c r="Z2085" s="84"/>
      <c r="AA2085" s="84"/>
      <c r="AB2085" s="84"/>
      <c r="AC2085" s="84"/>
    </row>
    <row r="2086" ht="15.75" customHeight="1">
      <c r="A2086" s="14" t="s">
        <v>17</v>
      </c>
      <c r="B2086" s="14">
        <v>1999.0</v>
      </c>
      <c r="C2086" s="14" t="s">
        <v>5031</v>
      </c>
      <c r="D2086" s="14" t="s">
        <v>5032</v>
      </c>
      <c r="E2086" s="150" t="str">
        <f t="shared" si="40"/>
        <v>http://dx.doi.org/10.1109/VISUAL.1999.809878</v>
      </c>
      <c r="F2086" s="14">
        <v>139.0</v>
      </c>
      <c r="G2086" s="14">
        <v>519.0</v>
      </c>
      <c r="H2086" s="151"/>
      <c r="I2086" s="14" t="s">
        <v>28</v>
      </c>
      <c r="J2086" s="14" t="s">
        <v>12236</v>
      </c>
      <c r="K2086" s="14" t="s">
        <v>39443</v>
      </c>
      <c r="L2086" s="152" t="s">
        <v>5035</v>
      </c>
      <c r="M2086" s="14" t="s">
        <v>39444</v>
      </c>
      <c r="N2086" s="54" t="s">
        <v>39443</v>
      </c>
      <c r="O2086" s="130" t="s">
        <v>5036</v>
      </c>
      <c r="P2086" s="205" t="s">
        <v>5037</v>
      </c>
      <c r="Q2086" s="14">
        <v>809878.0</v>
      </c>
      <c r="R2086" s="95"/>
      <c r="S2086" s="154" t="s">
        <v>39445</v>
      </c>
      <c r="T2086" s="84"/>
      <c r="U2086" s="84"/>
      <c r="V2086" s="84"/>
      <c r="W2086" s="84"/>
      <c r="X2086" s="84"/>
      <c r="Y2086" s="84"/>
      <c r="Z2086" s="84"/>
      <c r="AA2086" s="84"/>
      <c r="AB2086" s="84"/>
      <c r="AC2086" s="84"/>
    </row>
    <row r="2087" ht="15.75" customHeight="1">
      <c r="A2087" s="14" t="s">
        <v>17</v>
      </c>
      <c r="B2087" s="14">
        <v>1999.0</v>
      </c>
      <c r="C2087" s="14" t="s">
        <v>4933</v>
      </c>
      <c r="D2087" s="14" t="s">
        <v>4934</v>
      </c>
      <c r="E2087" s="150" t="str">
        <f t="shared" si="40"/>
        <v>http://dx.doi.org/10.1109/VISUAL.1999.809864</v>
      </c>
      <c r="F2087" s="14">
        <v>27.0</v>
      </c>
      <c r="G2087" s="14">
        <v>506.0</v>
      </c>
      <c r="H2087" s="151"/>
      <c r="I2087" s="14" t="s">
        <v>28</v>
      </c>
      <c r="J2087" s="14" t="s">
        <v>12145</v>
      </c>
      <c r="K2087" s="14" t="s">
        <v>39446</v>
      </c>
      <c r="L2087" s="152" t="s">
        <v>4937</v>
      </c>
      <c r="M2087" s="14" t="s">
        <v>39447</v>
      </c>
      <c r="N2087" s="54" t="s">
        <v>39446</v>
      </c>
      <c r="O2087" s="130" t="s">
        <v>4938</v>
      </c>
      <c r="P2087" s="205" t="s">
        <v>4939</v>
      </c>
      <c r="Q2087" s="14">
        <v>809864.0</v>
      </c>
      <c r="R2087" s="95"/>
      <c r="S2087" s="154" t="s">
        <v>39448</v>
      </c>
      <c r="T2087" s="84"/>
      <c r="U2087" s="84"/>
      <c r="V2087" s="84"/>
      <c r="W2087" s="84"/>
      <c r="X2087" s="84"/>
      <c r="Y2087" s="84"/>
      <c r="Z2087" s="84"/>
      <c r="AA2087" s="84"/>
      <c r="AB2087" s="84"/>
      <c r="AC2087" s="84"/>
    </row>
    <row r="2088" ht="15.75" customHeight="1">
      <c r="A2088" s="14" t="s">
        <v>17</v>
      </c>
      <c r="B2088" s="14">
        <v>1999.0</v>
      </c>
      <c r="C2088" s="14" t="s">
        <v>5205</v>
      </c>
      <c r="D2088" s="14" t="s">
        <v>5206</v>
      </c>
      <c r="E2088" s="150" t="str">
        <f t="shared" si="40"/>
        <v>http://dx.doi.org/10.1109/VISUAL.1999.809900</v>
      </c>
      <c r="F2088" s="14">
        <v>291.0</v>
      </c>
      <c r="G2088" s="14">
        <v>536.0</v>
      </c>
      <c r="H2088" s="151"/>
      <c r="I2088" s="14" t="s">
        <v>28</v>
      </c>
      <c r="J2088" s="14" t="s">
        <v>12317</v>
      </c>
      <c r="K2088" s="14" t="s">
        <v>39449</v>
      </c>
      <c r="L2088" s="152" t="s">
        <v>5213</v>
      </c>
      <c r="M2088" s="14" t="s">
        <v>39450</v>
      </c>
      <c r="N2088" s="54" t="s">
        <v>39449</v>
      </c>
      <c r="O2088" s="130" t="s">
        <v>5214</v>
      </c>
      <c r="P2088" s="205" t="s">
        <v>5215</v>
      </c>
      <c r="Q2088" s="14">
        <v>809900.0</v>
      </c>
      <c r="R2088" s="95"/>
      <c r="S2088" s="154" t="s">
        <v>39451</v>
      </c>
      <c r="T2088" s="84"/>
      <c r="U2088" s="84"/>
      <c r="V2088" s="84"/>
      <c r="W2088" s="84"/>
      <c r="X2088" s="84"/>
      <c r="Y2088" s="84"/>
      <c r="Z2088" s="84"/>
      <c r="AA2088" s="84"/>
      <c r="AB2088" s="84"/>
      <c r="AC2088" s="84"/>
    </row>
    <row r="2089" ht="15.75" customHeight="1">
      <c r="A2089" s="14" t="s">
        <v>17</v>
      </c>
      <c r="B2089" s="14">
        <v>1999.0</v>
      </c>
      <c r="C2089" s="14" t="s">
        <v>5087</v>
      </c>
      <c r="D2089" s="14" t="s">
        <v>5088</v>
      </c>
      <c r="E2089" s="150" t="str">
        <f t="shared" si="40"/>
        <v>http://dx.doi.org/10.1109/VISUAL.1999.809887</v>
      </c>
      <c r="F2089" s="14">
        <v>191.0</v>
      </c>
      <c r="G2089" s="14">
        <v>525.0</v>
      </c>
      <c r="H2089" s="151"/>
      <c r="I2089" s="14" t="s">
        <v>28</v>
      </c>
      <c r="J2089" s="14" t="s">
        <v>12278</v>
      </c>
      <c r="K2089" s="14" t="s">
        <v>39452</v>
      </c>
      <c r="L2089" s="152" t="s">
        <v>66</v>
      </c>
      <c r="M2089" s="14" t="s">
        <v>39453</v>
      </c>
      <c r="N2089" s="54" t="s">
        <v>39452</v>
      </c>
      <c r="O2089" s="130" t="s">
        <v>3457</v>
      </c>
      <c r="P2089" s="205" t="s">
        <v>5092</v>
      </c>
      <c r="Q2089" s="14">
        <v>809887.0</v>
      </c>
      <c r="R2089" s="95"/>
      <c r="S2089" s="154">
        <v>663853.0</v>
      </c>
      <c r="T2089" s="84"/>
      <c r="U2089" s="84"/>
      <c r="V2089" s="84"/>
      <c r="W2089" s="84"/>
      <c r="X2089" s="84"/>
      <c r="Y2089" s="84"/>
      <c r="Z2089" s="84"/>
      <c r="AA2089" s="84"/>
      <c r="AB2089" s="84"/>
      <c r="AC2089" s="84"/>
    </row>
    <row r="2090" ht="15.75" customHeight="1">
      <c r="A2090" s="14" t="s">
        <v>17</v>
      </c>
      <c r="B2090" s="14">
        <v>1999.0</v>
      </c>
      <c r="C2090" s="14" t="s">
        <v>5056</v>
      </c>
      <c r="D2090" s="14" t="s">
        <v>5057</v>
      </c>
      <c r="E2090" s="150" t="str">
        <f t="shared" si="40"/>
        <v>http://dx.doi.org/10.1109/VISUAL.1999.809883</v>
      </c>
      <c r="F2090" s="14">
        <v>161.0</v>
      </c>
      <c r="G2090" s="14">
        <v>522.0</v>
      </c>
      <c r="H2090" s="151"/>
      <c r="I2090" s="14" t="s">
        <v>28</v>
      </c>
      <c r="J2090" s="14" t="s">
        <v>12255</v>
      </c>
      <c r="K2090" s="14" t="s">
        <v>39454</v>
      </c>
      <c r="L2090" s="152" t="s">
        <v>5063</v>
      </c>
      <c r="M2090" s="14" t="s">
        <v>39455</v>
      </c>
      <c r="N2090" s="54" t="s">
        <v>39454</v>
      </c>
      <c r="O2090" s="130"/>
      <c r="P2090" s="207" t="s">
        <v>5064</v>
      </c>
      <c r="Q2090" s="14">
        <v>809883.0</v>
      </c>
      <c r="R2090" s="95"/>
      <c r="S2090" s="154"/>
      <c r="T2090" s="84"/>
      <c r="U2090" s="84"/>
      <c r="V2090" s="84"/>
      <c r="W2090" s="84"/>
      <c r="X2090" s="84"/>
      <c r="Y2090" s="84"/>
      <c r="Z2090" s="84"/>
      <c r="AA2090" s="84"/>
      <c r="AB2090" s="84"/>
      <c r="AC2090" s="84"/>
    </row>
    <row r="2091" ht="15.75" customHeight="1">
      <c r="A2091" s="14" t="s">
        <v>17</v>
      </c>
      <c r="B2091" s="14">
        <v>1999.0</v>
      </c>
      <c r="C2091" s="14" t="s">
        <v>5094</v>
      </c>
      <c r="D2091" s="14" t="s">
        <v>5096</v>
      </c>
      <c r="E2091" s="150" t="str">
        <f t="shared" si="40"/>
        <v>http://dx.doi.org/10.1109/VISUAL.1999.809888</v>
      </c>
      <c r="F2091" s="14">
        <v>199.0</v>
      </c>
      <c r="G2091" s="14">
        <v>206.0</v>
      </c>
      <c r="H2091" s="151"/>
      <c r="I2091" s="14" t="s">
        <v>28</v>
      </c>
      <c r="J2091" s="14" t="s">
        <v>12280</v>
      </c>
      <c r="K2091" s="14" t="s">
        <v>7699</v>
      </c>
      <c r="L2091" s="152" t="s">
        <v>5099</v>
      </c>
      <c r="M2091" s="14">
        <v>3.74427012E10</v>
      </c>
      <c r="N2091" s="54" t="s">
        <v>7699</v>
      </c>
      <c r="O2091" s="130"/>
      <c r="P2091" s="16"/>
      <c r="Q2091" s="14">
        <v>809888.0</v>
      </c>
      <c r="R2091" s="95"/>
      <c r="S2091" s="154"/>
      <c r="T2091" s="84"/>
      <c r="U2091" s="84"/>
      <c r="V2091" s="84"/>
      <c r="W2091" s="84"/>
      <c r="X2091" s="84"/>
      <c r="Y2091" s="84"/>
      <c r="Z2091" s="84"/>
      <c r="AA2091" s="84"/>
      <c r="AB2091" s="84"/>
      <c r="AC2091" s="84"/>
    </row>
    <row r="2092" ht="15.75" customHeight="1">
      <c r="A2092" s="14" t="s">
        <v>17</v>
      </c>
      <c r="B2092" s="50">
        <v>1999.0</v>
      </c>
      <c r="C2092" s="14" t="s">
        <v>5277</v>
      </c>
      <c r="D2092" s="67" t="s">
        <v>5278</v>
      </c>
      <c r="E2092" s="194" t="str">
        <f>HYPERLINK("http://doi.ieeecomputersociety.org/10.1109/VISUAL.1999.809908","http://doi.ieeecomputersociety.org/10.1109/VISUAL.1999.809908")</f>
        <v>http://doi.ieeecomputersociety.org/10.1109/VISUAL.1999.809908</v>
      </c>
      <c r="F2092" s="50">
        <v>355.0</v>
      </c>
      <c r="G2092" s="54"/>
      <c r="H2092" s="151"/>
      <c r="I2092" s="14" t="s">
        <v>28</v>
      </c>
      <c r="J2092" s="54" t="s">
        <v>39456</v>
      </c>
      <c r="K2092" s="54" t="s">
        <v>39457</v>
      </c>
      <c r="L2092" s="162"/>
      <c r="M2092" s="14"/>
      <c r="N2092" s="54" t="s">
        <v>39458</v>
      </c>
      <c r="O2092" s="130"/>
      <c r="P2092" s="153" t="s">
        <v>5281</v>
      </c>
      <c r="Q2092" s="54">
        <v>809908.0</v>
      </c>
      <c r="R2092" s="54" t="s">
        <v>18275</v>
      </c>
      <c r="S2092" s="78"/>
      <c r="T2092" s="16"/>
      <c r="U2092" s="16"/>
      <c r="V2092" s="16"/>
      <c r="W2092" s="16"/>
      <c r="X2092" s="16"/>
      <c r="Y2092" s="16"/>
      <c r="Z2092" s="16"/>
      <c r="AA2092" s="16"/>
      <c r="AB2092" s="16"/>
      <c r="AC2092" s="16"/>
    </row>
    <row r="2093" ht="15.75" customHeight="1">
      <c r="A2093" s="14" t="s">
        <v>17</v>
      </c>
      <c r="B2093" s="14">
        <v>1999.0</v>
      </c>
      <c r="C2093" s="14" t="s">
        <v>4967</v>
      </c>
      <c r="D2093" s="14" t="s">
        <v>4968</v>
      </c>
      <c r="E2093" s="150" t="str">
        <f t="shared" ref="E2093:E2096" si="41">"http://dx.doi.org/" &amp; D2093</f>
        <v>http://dx.doi.org/10.1109/VISUAL.1999.809869</v>
      </c>
      <c r="F2093" s="14">
        <v>59.0</v>
      </c>
      <c r="G2093" s="14">
        <v>510.0</v>
      </c>
      <c r="H2093" s="151"/>
      <c r="I2093" s="14" t="s">
        <v>28</v>
      </c>
      <c r="J2093" s="14" t="s">
        <v>12174</v>
      </c>
      <c r="K2093" s="14" t="s">
        <v>8254</v>
      </c>
      <c r="L2093" s="152"/>
      <c r="M2093" s="14">
        <v>3.84700792E10</v>
      </c>
      <c r="N2093" s="54" t="s">
        <v>8254</v>
      </c>
      <c r="O2093" s="130" t="s">
        <v>4972</v>
      </c>
      <c r="P2093" s="208" t="s">
        <v>4973</v>
      </c>
      <c r="Q2093" s="14">
        <v>809869.0</v>
      </c>
      <c r="R2093" s="95"/>
      <c r="S2093" s="154" t="s">
        <v>39459</v>
      </c>
      <c r="T2093" s="95"/>
      <c r="U2093" s="95"/>
      <c r="V2093" s="95"/>
      <c r="W2093" s="95"/>
      <c r="X2093" s="95"/>
      <c r="Y2093" s="95"/>
      <c r="Z2093" s="95"/>
      <c r="AA2093" s="95"/>
      <c r="AB2093" s="95"/>
      <c r="AC2093" s="95"/>
    </row>
    <row r="2094" ht="15.75" customHeight="1">
      <c r="A2094" s="14" t="s">
        <v>17</v>
      </c>
      <c r="B2094" s="14">
        <v>1999.0</v>
      </c>
      <c r="C2094" s="14" t="s">
        <v>5186</v>
      </c>
      <c r="D2094" s="14" t="s">
        <v>5187</v>
      </c>
      <c r="E2094" s="150" t="str">
        <f t="shared" si="41"/>
        <v>http://dx.doi.org/10.1109/VISUAL.1999.809898</v>
      </c>
      <c r="F2094" s="14">
        <v>279.0</v>
      </c>
      <c r="G2094" s="14">
        <v>534.0</v>
      </c>
      <c r="H2094" s="151"/>
      <c r="I2094" s="14" t="s">
        <v>28</v>
      </c>
      <c r="J2094" s="14" t="s">
        <v>12309</v>
      </c>
      <c r="K2094" s="14" t="s">
        <v>6561</v>
      </c>
      <c r="L2094" s="152" t="s">
        <v>5190</v>
      </c>
      <c r="M2094" s="14">
        <v>3.73686091E10</v>
      </c>
      <c r="N2094" s="54" t="s">
        <v>6561</v>
      </c>
      <c r="O2094" s="130" t="s">
        <v>3555</v>
      </c>
      <c r="P2094" s="205" t="s">
        <v>5191</v>
      </c>
      <c r="Q2094" s="14">
        <v>809898.0</v>
      </c>
      <c r="R2094" s="95"/>
      <c r="S2094" s="154">
        <v>663871.0</v>
      </c>
      <c r="T2094" s="84"/>
      <c r="U2094" s="84"/>
      <c r="V2094" s="84"/>
      <c r="W2094" s="84"/>
      <c r="X2094" s="84"/>
      <c r="Y2094" s="84"/>
      <c r="Z2094" s="84"/>
      <c r="AA2094" s="84"/>
      <c r="AB2094" s="84"/>
      <c r="AC2094" s="84"/>
    </row>
    <row r="2095" ht="15.75" customHeight="1">
      <c r="A2095" s="14" t="s">
        <v>17</v>
      </c>
      <c r="B2095" s="14">
        <v>1999.0</v>
      </c>
      <c r="C2095" s="14" t="s">
        <v>5262</v>
      </c>
      <c r="D2095" s="14" t="s">
        <v>5263</v>
      </c>
      <c r="E2095" s="150" t="str">
        <f t="shared" si="41"/>
        <v>http://dx.doi.org/10.1109/VISUAL.1999.809906</v>
      </c>
      <c r="F2095" s="14">
        <v>341.0</v>
      </c>
      <c r="G2095" s="14">
        <v>541.0</v>
      </c>
      <c r="H2095" s="151"/>
      <c r="I2095" s="14" t="s">
        <v>28</v>
      </c>
      <c r="J2095" s="14" t="s">
        <v>12352</v>
      </c>
      <c r="K2095" s="14" t="s">
        <v>39050</v>
      </c>
      <c r="L2095" s="152" t="s">
        <v>5266</v>
      </c>
      <c r="M2095" s="14" t="s">
        <v>39051</v>
      </c>
      <c r="N2095" s="54" t="s">
        <v>39050</v>
      </c>
      <c r="O2095" s="130" t="s">
        <v>5267</v>
      </c>
      <c r="P2095" s="205" t="s">
        <v>5268</v>
      </c>
      <c r="Q2095" s="14">
        <v>809906.0</v>
      </c>
      <c r="R2095" s="95"/>
      <c r="S2095" s="154" t="s">
        <v>39460</v>
      </c>
      <c r="T2095" s="84"/>
      <c r="U2095" s="84"/>
      <c r="V2095" s="84"/>
      <c r="W2095" s="84"/>
      <c r="X2095" s="84"/>
      <c r="Y2095" s="84"/>
      <c r="Z2095" s="84"/>
      <c r="AA2095" s="84"/>
      <c r="AB2095" s="84"/>
      <c r="AC2095" s="84"/>
    </row>
    <row r="2096" ht="15.75" customHeight="1">
      <c r="A2096" s="14" t="s">
        <v>17</v>
      </c>
      <c r="B2096" s="14">
        <v>1999.0</v>
      </c>
      <c r="C2096" s="14" t="s">
        <v>5223</v>
      </c>
      <c r="D2096" s="14" t="s">
        <v>5224</v>
      </c>
      <c r="E2096" s="150" t="str">
        <f t="shared" si="41"/>
        <v>http://dx.doi.org/10.1109/VISUAL.1999.809902</v>
      </c>
      <c r="F2096" s="14">
        <v>307.0</v>
      </c>
      <c r="G2096" s="14">
        <v>537.0</v>
      </c>
      <c r="H2096" s="151"/>
      <c r="I2096" s="14" t="s">
        <v>28</v>
      </c>
      <c r="J2096" s="14" t="s">
        <v>12328</v>
      </c>
      <c r="K2096" s="14" t="s">
        <v>39461</v>
      </c>
      <c r="L2096" s="152" t="s">
        <v>4135</v>
      </c>
      <c r="M2096" s="14" t="s">
        <v>39462</v>
      </c>
      <c r="N2096" s="54" t="s">
        <v>39461</v>
      </c>
      <c r="O2096" s="130" t="s">
        <v>5229</v>
      </c>
      <c r="P2096" s="16"/>
      <c r="Q2096" s="14">
        <v>809902.0</v>
      </c>
      <c r="R2096" s="95"/>
      <c r="S2096" s="154" t="s">
        <v>39463</v>
      </c>
      <c r="T2096" s="84"/>
      <c r="U2096" s="84"/>
      <c r="V2096" s="84"/>
      <c r="W2096" s="84"/>
      <c r="X2096" s="84"/>
      <c r="Y2096" s="84"/>
      <c r="Z2096" s="84"/>
      <c r="AA2096" s="84"/>
      <c r="AB2096" s="84"/>
      <c r="AC2096" s="84"/>
    </row>
    <row r="2097" ht="15.75" customHeight="1">
      <c r="A2097" s="14" t="s">
        <v>17</v>
      </c>
      <c r="B2097" s="50">
        <v>1999.0</v>
      </c>
      <c r="C2097" s="14" t="s">
        <v>4916</v>
      </c>
      <c r="D2097" s="91" t="s">
        <v>4917</v>
      </c>
      <c r="E2097" s="197" t="s">
        <v>4918</v>
      </c>
      <c r="F2097" s="50">
        <v>67.0</v>
      </c>
      <c r="G2097" s="54">
        <v>72.0</v>
      </c>
      <c r="H2097" s="151"/>
      <c r="I2097" s="14" t="s">
        <v>28</v>
      </c>
      <c r="J2097" s="54" t="s">
        <v>39464</v>
      </c>
      <c r="K2097" s="54" t="s">
        <v>39465</v>
      </c>
      <c r="L2097" s="162"/>
      <c r="M2097" s="209"/>
      <c r="N2097" s="54" t="s">
        <v>39465</v>
      </c>
      <c r="O2097" s="130" t="s">
        <v>3112</v>
      </c>
      <c r="P2097" s="205" t="s">
        <v>4921</v>
      </c>
      <c r="Q2097" s="54">
        <v>809868.0</v>
      </c>
      <c r="R2097" s="54" t="s">
        <v>18275</v>
      </c>
      <c r="S2097" s="78">
        <v>568125.0</v>
      </c>
      <c r="T2097" s="93"/>
      <c r="U2097" s="93"/>
      <c r="V2097" s="93"/>
      <c r="W2097" s="93"/>
      <c r="X2097" s="93"/>
      <c r="Y2097" s="93"/>
      <c r="Z2097" s="93"/>
      <c r="AA2097" s="93"/>
      <c r="AB2097" s="93"/>
      <c r="AC2097" s="93"/>
    </row>
    <row r="2098" ht="15.75" customHeight="1">
      <c r="A2098" s="14" t="s">
        <v>17</v>
      </c>
      <c r="B2098" s="14">
        <v>1999.0</v>
      </c>
      <c r="C2098" s="14" t="s">
        <v>5384</v>
      </c>
      <c r="D2098" s="14" t="s">
        <v>5385</v>
      </c>
      <c r="E2098" s="150" t="str">
        <f t="shared" ref="E2098:E2104" si="42">"http://dx.doi.org/" &amp; D2098</f>
        <v>http://dx.doi.org/10.1109/VISUAL.1999.809924</v>
      </c>
      <c r="F2098" s="14">
        <v>437.0</v>
      </c>
      <c r="G2098" s="14">
        <v>558.0</v>
      </c>
      <c r="H2098" s="151"/>
      <c r="I2098" s="14" t="s">
        <v>28</v>
      </c>
      <c r="J2098" s="14" t="s">
        <v>12467</v>
      </c>
      <c r="K2098" s="14" t="s">
        <v>39466</v>
      </c>
      <c r="L2098" s="152" t="s">
        <v>5388</v>
      </c>
      <c r="M2098" s="14" t="s">
        <v>39467</v>
      </c>
      <c r="N2098" s="54" t="s">
        <v>39466</v>
      </c>
      <c r="O2098" s="130" t="s">
        <v>5389</v>
      </c>
      <c r="P2098" s="16"/>
      <c r="Q2098" s="14">
        <v>809924.0</v>
      </c>
      <c r="R2098" s="95"/>
      <c r="S2098" s="154" t="s">
        <v>39468</v>
      </c>
      <c r="T2098" s="84"/>
      <c r="U2098" s="84"/>
      <c r="V2098" s="84"/>
      <c r="W2098" s="84"/>
      <c r="X2098" s="84"/>
      <c r="Y2098" s="84"/>
      <c r="Z2098" s="84"/>
      <c r="AA2098" s="84"/>
      <c r="AB2098" s="84"/>
      <c r="AC2098" s="84"/>
    </row>
    <row r="2099" ht="15.75" customHeight="1">
      <c r="A2099" s="14" t="s">
        <v>17</v>
      </c>
      <c r="B2099" s="14">
        <v>1999.0</v>
      </c>
      <c r="C2099" s="14" t="s">
        <v>5008</v>
      </c>
      <c r="D2099" s="14" t="s">
        <v>5009</v>
      </c>
      <c r="E2099" s="150" t="str">
        <f t="shared" si="42"/>
        <v>http://dx.doi.org/10.1109/VISUAL.1999.809875</v>
      </c>
      <c r="F2099" s="14">
        <v>115.0</v>
      </c>
      <c r="G2099" s="14">
        <v>516.0</v>
      </c>
      <c r="H2099" s="151"/>
      <c r="I2099" s="14" t="s">
        <v>28</v>
      </c>
      <c r="J2099" s="14" t="s">
        <v>12219</v>
      </c>
      <c r="K2099" s="14" t="s">
        <v>39469</v>
      </c>
      <c r="L2099" s="152" t="s">
        <v>665</v>
      </c>
      <c r="M2099" s="14" t="s">
        <v>39470</v>
      </c>
      <c r="N2099" s="54" t="s">
        <v>39469</v>
      </c>
      <c r="O2099" s="130"/>
      <c r="P2099" s="205" t="s">
        <v>5012</v>
      </c>
      <c r="Q2099" s="14">
        <v>809875.0</v>
      </c>
      <c r="R2099" s="95"/>
      <c r="S2099" s="154"/>
      <c r="T2099" s="84"/>
      <c r="U2099" s="84"/>
      <c r="V2099" s="84"/>
      <c r="W2099" s="84"/>
      <c r="X2099" s="84"/>
      <c r="Y2099" s="84"/>
      <c r="Z2099" s="84"/>
      <c r="AA2099" s="84"/>
      <c r="AB2099" s="84"/>
      <c r="AC2099" s="84"/>
    </row>
    <row r="2100" ht="15.75" customHeight="1">
      <c r="A2100" s="14" t="s">
        <v>17</v>
      </c>
      <c r="B2100" s="14">
        <v>1999.0</v>
      </c>
      <c r="C2100" s="14" t="s">
        <v>4940</v>
      </c>
      <c r="D2100" s="14" t="s">
        <v>4941</v>
      </c>
      <c r="E2100" s="150" t="str">
        <f t="shared" si="42"/>
        <v>http://dx.doi.org/10.1109/VISUAL.1999.809865</v>
      </c>
      <c r="F2100" s="14">
        <v>35.0</v>
      </c>
      <c r="G2100" s="14">
        <v>507.0</v>
      </c>
      <c r="H2100" s="151"/>
      <c r="I2100" s="14" t="s">
        <v>28</v>
      </c>
      <c r="J2100" s="14" t="s">
        <v>12154</v>
      </c>
      <c r="K2100" s="14" t="s">
        <v>37737</v>
      </c>
      <c r="L2100" s="152" t="s">
        <v>4947</v>
      </c>
      <c r="M2100" s="14" t="s">
        <v>37738</v>
      </c>
      <c r="N2100" s="54" t="s">
        <v>37737</v>
      </c>
      <c r="O2100" s="130" t="s">
        <v>4948</v>
      </c>
      <c r="P2100" s="205" t="s">
        <v>4949</v>
      </c>
      <c r="Q2100" s="14">
        <v>809865.0</v>
      </c>
      <c r="R2100" s="95"/>
      <c r="S2100" s="154" t="s">
        <v>39471</v>
      </c>
      <c r="T2100" s="84"/>
      <c r="U2100" s="84"/>
      <c r="V2100" s="84"/>
      <c r="W2100" s="84"/>
      <c r="X2100" s="84"/>
      <c r="Y2100" s="84"/>
      <c r="Z2100" s="84"/>
      <c r="AA2100" s="84"/>
      <c r="AB2100" s="84"/>
      <c r="AC2100" s="84"/>
    </row>
    <row r="2101" ht="15.75" customHeight="1">
      <c r="A2101" s="14" t="s">
        <v>17</v>
      </c>
      <c r="B2101" s="14">
        <v>1999.0</v>
      </c>
      <c r="C2101" s="14" t="s">
        <v>5022</v>
      </c>
      <c r="D2101" s="14" t="s">
        <v>5023</v>
      </c>
      <c r="E2101" s="150" t="str">
        <f t="shared" si="42"/>
        <v>http://dx.doi.org/10.1109/VISUAL.1999.809877</v>
      </c>
      <c r="F2101" s="14">
        <v>131.0</v>
      </c>
      <c r="G2101" s="14">
        <v>518.0</v>
      </c>
      <c r="H2101" s="151"/>
      <c r="I2101" s="14" t="s">
        <v>28</v>
      </c>
      <c r="J2101" s="14" t="s">
        <v>12231</v>
      </c>
      <c r="K2101" s="14" t="s">
        <v>39472</v>
      </c>
      <c r="L2101" s="152" t="s">
        <v>5029</v>
      </c>
      <c r="M2101" s="14" t="s">
        <v>39473</v>
      </c>
      <c r="N2101" s="54" t="s">
        <v>39472</v>
      </c>
      <c r="O2101" s="130" t="s">
        <v>5030</v>
      </c>
      <c r="P2101" s="16"/>
      <c r="Q2101" s="14">
        <v>809877.0</v>
      </c>
      <c r="R2101" s="95"/>
      <c r="S2101" s="154" t="s">
        <v>39474</v>
      </c>
      <c r="T2101" s="84"/>
      <c r="U2101" s="84"/>
      <c r="V2101" s="84"/>
      <c r="W2101" s="84"/>
      <c r="X2101" s="84"/>
      <c r="Y2101" s="84"/>
      <c r="Z2101" s="84"/>
      <c r="AA2101" s="84"/>
      <c r="AB2101" s="84"/>
      <c r="AC2101" s="84"/>
    </row>
    <row r="2102" ht="15.75" customHeight="1">
      <c r="A2102" s="14" t="s">
        <v>17</v>
      </c>
      <c r="B2102" s="14">
        <v>1999.0</v>
      </c>
      <c r="C2102" s="14" t="s">
        <v>5230</v>
      </c>
      <c r="D2102" s="14" t="s">
        <v>5231</v>
      </c>
      <c r="E2102" s="150" t="str">
        <f t="shared" si="42"/>
        <v>http://dx.doi.org/10.1109/VISUAL.1999.809903</v>
      </c>
      <c r="F2102" s="14">
        <v>317.0</v>
      </c>
      <c r="G2102" s="14">
        <v>538.0</v>
      </c>
      <c r="H2102" s="151"/>
      <c r="I2102" s="14" t="s">
        <v>28</v>
      </c>
      <c r="J2102" s="14" t="s">
        <v>12335</v>
      </c>
      <c r="K2102" s="14" t="s">
        <v>39475</v>
      </c>
      <c r="L2102" s="152" t="s">
        <v>5233</v>
      </c>
      <c r="M2102" s="14" t="s">
        <v>39476</v>
      </c>
      <c r="N2102" s="54" t="s">
        <v>39475</v>
      </c>
      <c r="O2102" s="130" t="s">
        <v>5234</v>
      </c>
      <c r="P2102" s="205" t="s">
        <v>5235</v>
      </c>
      <c r="Q2102" s="14">
        <v>809903.0</v>
      </c>
      <c r="R2102" s="95"/>
      <c r="S2102" s="154" t="s">
        <v>39477</v>
      </c>
      <c r="T2102" s="84"/>
      <c r="U2102" s="84"/>
      <c r="V2102" s="84"/>
      <c r="W2102" s="84"/>
      <c r="X2102" s="84"/>
      <c r="Y2102" s="84"/>
      <c r="Z2102" s="84"/>
      <c r="AA2102" s="84"/>
      <c r="AB2102" s="84"/>
      <c r="AC2102" s="84"/>
    </row>
    <row r="2103" ht="15.75" customHeight="1">
      <c r="A2103" s="14" t="s">
        <v>17</v>
      </c>
      <c r="B2103" s="14">
        <v>1999.0</v>
      </c>
      <c r="C2103" s="14" t="s">
        <v>5282</v>
      </c>
      <c r="D2103" s="14" t="s">
        <v>5283</v>
      </c>
      <c r="E2103" s="150" t="str">
        <f t="shared" si="42"/>
        <v>http://dx.doi.org/10.1109/VISUAL.1999.809909</v>
      </c>
      <c r="F2103" s="14">
        <v>363.0</v>
      </c>
      <c r="G2103" s="14">
        <v>544.0</v>
      </c>
      <c r="H2103" s="151"/>
      <c r="I2103" s="14" t="s">
        <v>28</v>
      </c>
      <c r="J2103" s="14" t="s">
        <v>12376</v>
      </c>
      <c r="K2103" s="14" t="s">
        <v>39478</v>
      </c>
      <c r="L2103" s="152" t="s">
        <v>4524</v>
      </c>
      <c r="M2103" s="14" t="s">
        <v>39479</v>
      </c>
      <c r="N2103" s="54" t="s">
        <v>39478</v>
      </c>
      <c r="O2103" s="130" t="s">
        <v>5289</v>
      </c>
      <c r="P2103" s="16"/>
      <c r="Q2103" s="14">
        <v>809909.0</v>
      </c>
      <c r="R2103" s="95"/>
      <c r="S2103" s="154" t="s">
        <v>39480</v>
      </c>
      <c r="T2103" s="84"/>
      <c r="U2103" s="84"/>
      <c r="V2103" s="84"/>
      <c r="W2103" s="84"/>
      <c r="X2103" s="84"/>
      <c r="Y2103" s="84"/>
      <c r="Z2103" s="84"/>
      <c r="AA2103" s="84"/>
      <c r="AB2103" s="84"/>
      <c r="AC2103" s="84"/>
    </row>
    <row r="2104" ht="15.75" customHeight="1">
      <c r="A2104" s="14" t="s">
        <v>17</v>
      </c>
      <c r="B2104" s="14">
        <v>1999.0</v>
      </c>
      <c r="C2104" s="14" t="s">
        <v>4996</v>
      </c>
      <c r="D2104" s="14" t="s">
        <v>4997</v>
      </c>
      <c r="E2104" s="150" t="str">
        <f t="shared" si="42"/>
        <v>http://dx.doi.org/10.1109/VISUAL.1999.809873</v>
      </c>
      <c r="F2104" s="14">
        <v>97.0</v>
      </c>
      <c r="G2104" s="14">
        <v>515.0</v>
      </c>
      <c r="H2104" s="151"/>
      <c r="I2104" s="14" t="s">
        <v>28</v>
      </c>
      <c r="J2104" s="14" t="s">
        <v>12202</v>
      </c>
      <c r="K2104" s="14" t="s">
        <v>39481</v>
      </c>
      <c r="L2104" s="152" t="s">
        <v>3790</v>
      </c>
      <c r="M2104" s="14" t="s">
        <v>39482</v>
      </c>
      <c r="N2104" s="54" t="s">
        <v>39481</v>
      </c>
      <c r="O2104" s="130" t="s">
        <v>5002</v>
      </c>
      <c r="P2104" s="210" t="s">
        <v>5003</v>
      </c>
      <c r="Q2104" s="14">
        <v>809873.0</v>
      </c>
      <c r="R2104" s="95"/>
      <c r="S2104" s="154" t="s">
        <v>39483</v>
      </c>
      <c r="T2104" s="84"/>
      <c r="U2104" s="84"/>
      <c r="V2104" s="84"/>
      <c r="W2104" s="84"/>
      <c r="X2104" s="84"/>
      <c r="Y2104" s="84"/>
      <c r="Z2104" s="84"/>
      <c r="AA2104" s="84"/>
      <c r="AB2104" s="84"/>
      <c r="AC2104" s="84"/>
    </row>
    <row r="2105" ht="15.75" customHeight="1">
      <c r="A2105" s="14" t="s">
        <v>17</v>
      </c>
      <c r="B2105" s="50">
        <v>1999.0</v>
      </c>
      <c r="C2105" s="14" t="s">
        <v>5141</v>
      </c>
      <c r="D2105" s="14" t="s">
        <v>5142</v>
      </c>
      <c r="E2105" s="156" t="s">
        <v>5143</v>
      </c>
      <c r="F2105" s="50">
        <v>249.0</v>
      </c>
      <c r="G2105" s="54">
        <v>253.0</v>
      </c>
      <c r="H2105" s="151"/>
      <c r="I2105" s="14" t="s">
        <v>28</v>
      </c>
      <c r="J2105" s="54" t="s">
        <v>39484</v>
      </c>
      <c r="K2105" s="54" t="s">
        <v>39485</v>
      </c>
      <c r="L2105" s="162" t="s">
        <v>5149</v>
      </c>
      <c r="M2105" s="54"/>
      <c r="N2105" s="54" t="s">
        <v>39485</v>
      </c>
      <c r="O2105" s="130" t="s">
        <v>5150</v>
      </c>
      <c r="P2105" s="16"/>
      <c r="Q2105" s="54">
        <v>809894.0</v>
      </c>
      <c r="R2105" s="54" t="s">
        <v>18275</v>
      </c>
      <c r="S2105" s="78" t="s">
        <v>39486</v>
      </c>
      <c r="T2105" s="16"/>
      <c r="U2105" s="16"/>
      <c r="V2105" s="16"/>
      <c r="W2105" s="16"/>
      <c r="X2105" s="16"/>
      <c r="Y2105" s="16"/>
      <c r="Z2105" s="16"/>
      <c r="AA2105" s="16"/>
      <c r="AB2105" s="16"/>
      <c r="AC2105" s="16"/>
    </row>
    <row r="2106" ht="15.75" customHeight="1">
      <c r="A2106" s="14" t="s">
        <v>17</v>
      </c>
      <c r="B2106" s="50">
        <v>1999.0</v>
      </c>
      <c r="C2106" s="14" t="s">
        <v>4958</v>
      </c>
      <c r="D2106" s="67" t="s">
        <v>4959</v>
      </c>
      <c r="E2106" s="197" t="s">
        <v>4960</v>
      </c>
      <c r="F2106" s="50">
        <v>51.0</v>
      </c>
      <c r="G2106" s="54">
        <v>58.0</v>
      </c>
      <c r="H2106" s="151"/>
      <c r="I2106" s="14" t="s">
        <v>28</v>
      </c>
      <c r="J2106" s="54" t="s">
        <v>39487</v>
      </c>
      <c r="K2106" s="54" t="s">
        <v>39488</v>
      </c>
      <c r="L2106" s="162" t="s">
        <v>39489</v>
      </c>
      <c r="M2106" s="54"/>
      <c r="N2106" s="54" t="s">
        <v>39490</v>
      </c>
      <c r="O2106" s="130" t="s">
        <v>4966</v>
      </c>
      <c r="P2106" s="16"/>
      <c r="Q2106" s="54">
        <v>809867.0</v>
      </c>
      <c r="R2106" s="14" t="s">
        <v>18275</v>
      </c>
      <c r="S2106" s="78" t="s">
        <v>39491</v>
      </c>
      <c r="T2106" s="93"/>
      <c r="U2106" s="93"/>
      <c r="V2106" s="93"/>
      <c r="W2106" s="93"/>
      <c r="X2106" s="93"/>
      <c r="Y2106" s="93"/>
      <c r="Z2106" s="93"/>
      <c r="AA2106" s="93"/>
      <c r="AB2106" s="93"/>
      <c r="AC2106" s="93"/>
    </row>
    <row r="2107" ht="15.75" customHeight="1">
      <c r="A2107" s="14" t="s">
        <v>17</v>
      </c>
      <c r="B2107" s="14">
        <v>1999.0</v>
      </c>
      <c r="C2107" s="14" t="s">
        <v>5161</v>
      </c>
      <c r="D2107" s="14" t="s">
        <v>5162</v>
      </c>
      <c r="E2107" s="150" t="str">
        <f>"http://dx.doi.org/" &amp; D2107</f>
        <v>http://dx.doi.org/10.1109/VISUAL.1999.809896</v>
      </c>
      <c r="F2107" s="14">
        <v>263.0</v>
      </c>
      <c r="G2107" s="14">
        <v>532.0</v>
      </c>
      <c r="H2107" s="151"/>
      <c r="I2107" s="14" t="s">
        <v>28</v>
      </c>
      <c r="J2107" s="14" t="s">
        <v>12304</v>
      </c>
      <c r="K2107" s="14" t="s">
        <v>39492</v>
      </c>
      <c r="L2107" s="152" t="s">
        <v>5168</v>
      </c>
      <c r="M2107" s="14" t="s">
        <v>39493</v>
      </c>
      <c r="N2107" s="54" t="s">
        <v>39492</v>
      </c>
      <c r="O2107" s="130" t="s">
        <v>5169</v>
      </c>
      <c r="P2107" s="16"/>
      <c r="Q2107" s="14">
        <v>809896.0</v>
      </c>
      <c r="R2107" s="95"/>
      <c r="S2107" s="154" t="s">
        <v>39494</v>
      </c>
      <c r="T2107" s="84"/>
      <c r="U2107" s="84"/>
      <c r="V2107" s="84"/>
      <c r="W2107" s="84"/>
      <c r="X2107" s="84"/>
      <c r="Y2107" s="84"/>
      <c r="Z2107" s="84"/>
      <c r="AA2107" s="84"/>
      <c r="AB2107" s="84"/>
      <c r="AC2107" s="84"/>
    </row>
    <row r="2108" ht="15.75" customHeight="1">
      <c r="A2108" s="14" t="s">
        <v>17</v>
      </c>
      <c r="B2108" s="50">
        <v>1999.0</v>
      </c>
      <c r="C2108" s="14" t="s">
        <v>5014</v>
      </c>
      <c r="D2108" s="67" t="s">
        <v>5015</v>
      </c>
      <c r="E2108" s="197" t="s">
        <v>5016</v>
      </c>
      <c r="F2108" s="50">
        <v>123.0</v>
      </c>
      <c r="G2108" s="54">
        <v>130.0</v>
      </c>
      <c r="H2108" s="151"/>
      <c r="I2108" s="14" t="s">
        <v>28</v>
      </c>
      <c r="J2108" s="54" t="s">
        <v>12222</v>
      </c>
      <c r="K2108" s="54" t="s">
        <v>39495</v>
      </c>
      <c r="L2108" s="162" t="s">
        <v>5019</v>
      </c>
      <c r="M2108" s="209"/>
      <c r="N2108" s="54" t="s">
        <v>39495</v>
      </c>
      <c r="O2108" s="130" t="s">
        <v>5020</v>
      </c>
      <c r="P2108" s="205" t="s">
        <v>5021</v>
      </c>
      <c r="Q2108" s="54">
        <v>809876.0</v>
      </c>
      <c r="R2108" s="54" t="s">
        <v>18275</v>
      </c>
      <c r="S2108" s="78" t="s">
        <v>39101</v>
      </c>
      <c r="T2108" s="16"/>
      <c r="U2108" s="16"/>
      <c r="V2108" s="16"/>
      <c r="W2108" s="16"/>
      <c r="X2108" s="16"/>
      <c r="Y2108" s="16"/>
      <c r="Z2108" s="16"/>
      <c r="AA2108" s="16"/>
      <c r="AB2108" s="16"/>
      <c r="AC2108" s="16"/>
    </row>
    <row r="2109" ht="15.75" customHeight="1">
      <c r="A2109" s="14" t="s">
        <v>17</v>
      </c>
      <c r="B2109" s="14">
        <v>1999.0</v>
      </c>
      <c r="C2109" s="14" t="s">
        <v>5350</v>
      </c>
      <c r="D2109" s="14" t="s">
        <v>5352</v>
      </c>
      <c r="E2109" s="150" t="str">
        <f t="shared" ref="E2109:E2114" si="43">"http://dx.doi.org/" &amp; D2109</f>
        <v>http://dx.doi.org/10.1109/VISUAL.1999.809919</v>
      </c>
      <c r="F2109" s="14">
        <v>417.0</v>
      </c>
      <c r="G2109" s="14">
        <v>554.0</v>
      </c>
      <c r="H2109" s="151"/>
      <c r="I2109" s="14" t="s">
        <v>28</v>
      </c>
      <c r="J2109" s="14" t="s">
        <v>12436</v>
      </c>
      <c r="K2109" s="14" t="s">
        <v>39475</v>
      </c>
      <c r="L2109" s="152" t="s">
        <v>5233</v>
      </c>
      <c r="M2109" s="14" t="s">
        <v>39476</v>
      </c>
      <c r="N2109" s="54" t="s">
        <v>39475</v>
      </c>
      <c r="O2109" s="130" t="s">
        <v>5356</v>
      </c>
      <c r="P2109" s="16"/>
      <c r="Q2109" s="14">
        <v>809919.0</v>
      </c>
      <c r="R2109" s="95"/>
      <c r="S2109" s="154" t="s">
        <v>39496</v>
      </c>
      <c r="T2109" s="84"/>
      <c r="U2109" s="84"/>
      <c r="V2109" s="84"/>
      <c r="W2109" s="84"/>
      <c r="X2109" s="84"/>
      <c r="Y2109" s="84"/>
      <c r="Z2109" s="84"/>
      <c r="AA2109" s="84"/>
      <c r="AB2109" s="84"/>
      <c r="AC2109" s="84"/>
    </row>
    <row r="2110" ht="15.75" customHeight="1">
      <c r="A2110" s="14" t="s">
        <v>17</v>
      </c>
      <c r="B2110" s="14">
        <v>1999.0</v>
      </c>
      <c r="C2110" s="14" t="s">
        <v>5460</v>
      </c>
      <c r="D2110" s="14" t="s">
        <v>5461</v>
      </c>
      <c r="E2110" s="150" t="str">
        <f t="shared" si="43"/>
        <v>http://dx.doi.org/10.1109/VISUAL.1999.809939</v>
      </c>
      <c r="F2110" s="14">
        <v>485.0</v>
      </c>
      <c r="G2110" s="14">
        <v>490.0</v>
      </c>
      <c r="H2110" s="159" t="s">
        <v>30659</v>
      </c>
      <c r="I2110" s="14" t="s">
        <v>21</v>
      </c>
      <c r="J2110" s="14"/>
      <c r="K2110" s="14" t="s">
        <v>10905</v>
      </c>
      <c r="L2110" s="152" t="s">
        <v>5466</v>
      </c>
      <c r="M2110" s="14"/>
      <c r="N2110" s="54" t="s">
        <v>10905</v>
      </c>
      <c r="O2110" s="130"/>
      <c r="P2110" s="16"/>
      <c r="Q2110" s="14">
        <v>809939.0</v>
      </c>
      <c r="R2110" s="95"/>
      <c r="S2110" s="154"/>
      <c r="T2110" s="84"/>
      <c r="U2110" s="84"/>
      <c r="V2110" s="84"/>
      <c r="W2110" s="84"/>
      <c r="X2110" s="84"/>
      <c r="Y2110" s="84"/>
      <c r="Z2110" s="84"/>
      <c r="AA2110" s="84"/>
      <c r="AB2110" s="84"/>
      <c r="AC2110" s="84"/>
    </row>
    <row r="2111" ht="15.75" customHeight="1">
      <c r="A2111" s="14" t="s">
        <v>17</v>
      </c>
      <c r="B2111" s="14">
        <v>1999.0</v>
      </c>
      <c r="C2111" s="14" t="s">
        <v>5376</v>
      </c>
      <c r="D2111" s="14" t="s">
        <v>5377</v>
      </c>
      <c r="E2111" s="150" t="str">
        <f t="shared" si="43"/>
        <v>http://dx.doi.org/10.1109/VISUAL.1999.809923</v>
      </c>
      <c r="F2111" s="14">
        <v>433.0</v>
      </c>
      <c r="G2111" s="14">
        <v>557.0</v>
      </c>
      <c r="H2111" s="151"/>
      <c r="I2111" s="14" t="s">
        <v>28</v>
      </c>
      <c r="J2111" s="14" t="s">
        <v>39497</v>
      </c>
      <c r="K2111" s="14" t="s">
        <v>39498</v>
      </c>
      <c r="L2111" s="152" t="s">
        <v>5383</v>
      </c>
      <c r="M2111" s="14" t="s">
        <v>39499</v>
      </c>
      <c r="N2111" s="54" t="s">
        <v>39498</v>
      </c>
      <c r="O2111" s="130" t="s">
        <v>3359</v>
      </c>
      <c r="P2111" s="16"/>
      <c r="Q2111" s="14">
        <v>809923.0</v>
      </c>
      <c r="R2111" s="95"/>
      <c r="S2111" s="154">
        <v>636786.0</v>
      </c>
      <c r="T2111" s="84"/>
      <c r="U2111" s="84"/>
      <c r="V2111" s="84"/>
      <c r="W2111" s="84"/>
      <c r="X2111" s="84"/>
      <c r="Y2111" s="84"/>
      <c r="Z2111" s="84"/>
      <c r="AA2111" s="84"/>
      <c r="AB2111" s="84"/>
      <c r="AC2111" s="84"/>
    </row>
    <row r="2112" ht="15.75" customHeight="1">
      <c r="A2112" s="14" t="s">
        <v>17</v>
      </c>
      <c r="B2112" s="14">
        <v>1999.0</v>
      </c>
      <c r="C2112" s="14" t="s">
        <v>5333</v>
      </c>
      <c r="D2112" s="14" t="s">
        <v>5334</v>
      </c>
      <c r="E2112" s="150" t="str">
        <f t="shared" si="43"/>
        <v>http://dx.doi.org/10.1109/VISUAL.1999.809916</v>
      </c>
      <c r="F2112" s="14">
        <v>405.0</v>
      </c>
      <c r="G2112" s="14">
        <v>551.0</v>
      </c>
      <c r="H2112" s="151"/>
      <c r="I2112" s="14" t="s">
        <v>28</v>
      </c>
      <c r="J2112" s="14" t="s">
        <v>12417</v>
      </c>
      <c r="K2112" s="14" t="s">
        <v>39500</v>
      </c>
      <c r="L2112" s="152" t="s">
        <v>3182</v>
      </c>
      <c r="M2112" s="14" t="s">
        <v>39501</v>
      </c>
      <c r="N2112" s="54" t="s">
        <v>39500</v>
      </c>
      <c r="O2112" s="130" t="s">
        <v>3216</v>
      </c>
      <c r="P2112" s="16"/>
      <c r="Q2112" s="14">
        <v>809916.0</v>
      </c>
      <c r="R2112" s="95"/>
      <c r="S2112" s="154">
        <v>568145.0</v>
      </c>
      <c r="T2112" s="84"/>
      <c r="U2112" s="84"/>
      <c r="V2112" s="84"/>
      <c r="W2112" s="84"/>
      <c r="X2112" s="84"/>
      <c r="Y2112" s="84"/>
      <c r="Z2112" s="84"/>
      <c r="AA2112" s="84"/>
      <c r="AB2112" s="84"/>
      <c r="AC2112" s="84"/>
    </row>
    <row r="2113" ht="15.75" customHeight="1">
      <c r="A2113" s="14" t="s">
        <v>17</v>
      </c>
      <c r="B2113" s="14">
        <v>1999.0</v>
      </c>
      <c r="C2113" s="14" t="s">
        <v>5418</v>
      </c>
      <c r="D2113" s="14" t="s">
        <v>5419</v>
      </c>
      <c r="E2113" s="150" t="str">
        <f t="shared" si="43"/>
        <v>http://dx.doi.org/10.1109/VISUAL.1999.809930</v>
      </c>
      <c r="F2113" s="14">
        <v>457.0</v>
      </c>
      <c r="G2113" s="14">
        <v>461.0</v>
      </c>
      <c r="H2113" s="151"/>
      <c r="I2113" s="14" t="s">
        <v>28</v>
      </c>
      <c r="J2113" s="14" t="s">
        <v>39502</v>
      </c>
      <c r="K2113" s="14" t="s">
        <v>39503</v>
      </c>
      <c r="L2113" s="152" t="s">
        <v>5425</v>
      </c>
      <c r="M2113" s="14" t="s">
        <v>39504</v>
      </c>
      <c r="N2113" s="54" t="s">
        <v>39503</v>
      </c>
      <c r="O2113" s="130" t="s">
        <v>5426</v>
      </c>
      <c r="P2113" s="16"/>
      <c r="Q2113" s="14">
        <v>809930.0</v>
      </c>
      <c r="R2113" s="95"/>
      <c r="S2113" s="154" t="s">
        <v>39505</v>
      </c>
      <c r="T2113" s="84"/>
      <c r="U2113" s="84"/>
      <c r="V2113" s="84"/>
      <c r="W2113" s="84"/>
      <c r="X2113" s="84"/>
      <c r="Y2113" s="84"/>
      <c r="Z2113" s="84"/>
      <c r="AA2113" s="84"/>
      <c r="AB2113" s="84"/>
      <c r="AC2113" s="84"/>
    </row>
    <row r="2114" ht="15.75" customHeight="1">
      <c r="A2114" s="14" t="s">
        <v>17</v>
      </c>
      <c r="B2114" s="14">
        <v>1999.0</v>
      </c>
      <c r="C2114" s="54" t="s">
        <v>5246</v>
      </c>
      <c r="D2114" s="14" t="s">
        <v>5247</v>
      </c>
      <c r="E2114" s="150" t="str">
        <f t="shared" si="43"/>
        <v>http://dx.doi.org/10.1109/VISUAL.1999.809905</v>
      </c>
      <c r="F2114" s="14">
        <v>333.0</v>
      </c>
      <c r="G2114" s="14">
        <v>540.0</v>
      </c>
      <c r="H2114" s="151"/>
      <c r="I2114" s="14" t="s">
        <v>28</v>
      </c>
      <c r="J2114" s="14" t="s">
        <v>12349</v>
      </c>
      <c r="K2114" s="14" t="s">
        <v>39506</v>
      </c>
      <c r="L2114" s="152" t="s">
        <v>5261</v>
      </c>
      <c r="M2114" s="14" t="s">
        <v>39507</v>
      </c>
      <c r="N2114" s="54" t="s">
        <v>39506</v>
      </c>
      <c r="O2114" s="130" t="s">
        <v>4253</v>
      </c>
      <c r="P2114" s="16"/>
      <c r="Q2114" s="14">
        <v>809905.0</v>
      </c>
      <c r="R2114" s="95"/>
      <c r="S2114" s="154">
        <v>745294.0</v>
      </c>
      <c r="T2114" s="84"/>
      <c r="U2114" s="84"/>
      <c r="V2114" s="84"/>
      <c r="W2114" s="84"/>
      <c r="X2114" s="84"/>
      <c r="Y2114" s="84"/>
      <c r="Z2114" s="84"/>
      <c r="AA2114" s="84"/>
      <c r="AB2114" s="84"/>
      <c r="AC2114" s="84"/>
    </row>
    <row r="2115" ht="15.75" customHeight="1">
      <c r="A2115" s="14" t="s">
        <v>17</v>
      </c>
      <c r="B2115" s="50">
        <v>1999.0</v>
      </c>
      <c r="C2115" s="14" t="s">
        <v>5151</v>
      </c>
      <c r="D2115" s="67" t="s">
        <v>5152</v>
      </c>
      <c r="E2115" s="194" t="str">
        <f>HYPERLINK("http://doi.ieeecomputersociety.org/10.1109/VISUAL.1999.809895","http://doi.ieeecomputersociety.org/10.1109/VISUAL.1999.809895")</f>
        <v>http://doi.ieeecomputersociety.org/10.1109/VISUAL.1999.809895</v>
      </c>
      <c r="F2115" s="50">
        <v>255.0</v>
      </c>
      <c r="G2115" s="54">
        <v>261.0</v>
      </c>
      <c r="H2115" s="151"/>
      <c r="I2115" s="14" t="s">
        <v>28</v>
      </c>
      <c r="J2115" s="54" t="s">
        <v>12302</v>
      </c>
      <c r="K2115" s="54" t="s">
        <v>39508</v>
      </c>
      <c r="L2115" s="162" t="s">
        <v>5158</v>
      </c>
      <c r="M2115" s="209"/>
      <c r="N2115" s="54" t="s">
        <v>39508</v>
      </c>
      <c r="O2115" s="130" t="s">
        <v>5159</v>
      </c>
      <c r="P2115" s="205" t="s">
        <v>5160</v>
      </c>
      <c r="Q2115" s="54">
        <v>809895.0</v>
      </c>
      <c r="R2115" s="54" t="s">
        <v>18275</v>
      </c>
      <c r="S2115" s="78" t="s">
        <v>39509</v>
      </c>
      <c r="T2115" s="16"/>
      <c r="U2115" s="16"/>
      <c r="V2115" s="16"/>
      <c r="W2115" s="16"/>
      <c r="X2115" s="16"/>
      <c r="Y2115" s="16"/>
      <c r="Z2115" s="16"/>
      <c r="AA2115" s="16"/>
      <c r="AB2115" s="16"/>
      <c r="AC2115" s="16"/>
    </row>
    <row r="2116" ht="15.75" customHeight="1">
      <c r="A2116" s="14" t="s">
        <v>17</v>
      </c>
      <c r="B2116" s="50">
        <v>1999.0</v>
      </c>
      <c r="C2116" s="14" t="s">
        <v>5447</v>
      </c>
      <c r="D2116" s="67" t="s">
        <v>5448</v>
      </c>
      <c r="E2116" s="194" t="str">
        <f>HYPERLINK("http://doi.ieeecomputersociety.org/10.1109/VISUAL.1999.809936","http://doi.ieeecomputersociety.org/10.1109/VISUAL.1999.809936")</f>
        <v>http://doi.ieeecomputersociety.org/10.1109/VISUAL.1999.809936</v>
      </c>
      <c r="F2116" s="50">
        <v>475.0</v>
      </c>
      <c r="G2116" s="54">
        <v>478.0</v>
      </c>
      <c r="H2116" s="151"/>
      <c r="I2116" s="14" t="s">
        <v>28</v>
      </c>
      <c r="J2116" s="54" t="s">
        <v>12496</v>
      </c>
      <c r="K2116" s="54" t="s">
        <v>39510</v>
      </c>
      <c r="L2116" s="162" t="s">
        <v>5453</v>
      </c>
      <c r="M2116" s="54"/>
      <c r="N2116" s="54" t="s">
        <v>39511</v>
      </c>
      <c r="O2116" s="130" t="s">
        <v>5454</v>
      </c>
      <c r="P2116" s="16"/>
      <c r="Q2116" s="54">
        <v>809936.0</v>
      </c>
      <c r="R2116" s="54" t="s">
        <v>18275</v>
      </c>
      <c r="S2116" s="78" t="s">
        <v>39512</v>
      </c>
      <c r="T2116" s="16"/>
      <c r="U2116" s="16"/>
      <c r="V2116" s="16"/>
      <c r="W2116" s="16"/>
      <c r="X2116" s="16"/>
      <c r="Y2116" s="16"/>
      <c r="Z2116" s="16"/>
      <c r="AA2116" s="16"/>
      <c r="AB2116" s="16"/>
      <c r="AC2116" s="16"/>
    </row>
    <row r="2117" ht="15.75" customHeight="1">
      <c r="A2117" s="14" t="s">
        <v>17</v>
      </c>
      <c r="B2117" s="14">
        <v>1999.0</v>
      </c>
      <c r="C2117" s="14" t="s">
        <v>5406</v>
      </c>
      <c r="D2117" s="14" t="s">
        <v>5407</v>
      </c>
      <c r="E2117" s="150" t="str">
        <f t="shared" ref="E2117:E2121" si="44">"http://dx.doi.org/" &amp; D2117</f>
        <v>http://dx.doi.org/10.1109/VISUAL.1999.809927</v>
      </c>
      <c r="F2117" s="14">
        <v>449.0</v>
      </c>
      <c r="G2117" s="14">
        <v>561.0</v>
      </c>
      <c r="H2117" s="151"/>
      <c r="I2117" s="14" t="s">
        <v>28</v>
      </c>
      <c r="J2117" s="14" t="s">
        <v>12482</v>
      </c>
      <c r="K2117" s="14" t="s">
        <v>39513</v>
      </c>
      <c r="L2117" s="152" t="s">
        <v>5410</v>
      </c>
      <c r="M2117" s="14" t="s">
        <v>39514</v>
      </c>
      <c r="N2117" s="54" t="s">
        <v>39513</v>
      </c>
      <c r="O2117" s="130" t="s">
        <v>1512</v>
      </c>
      <c r="P2117" s="16"/>
      <c r="Q2117" s="14">
        <v>809927.0</v>
      </c>
      <c r="R2117" s="95"/>
      <c r="S2117" s="154">
        <v>398870.0</v>
      </c>
      <c r="T2117" s="84"/>
      <c r="U2117" s="84"/>
      <c r="V2117" s="84"/>
      <c r="W2117" s="84"/>
      <c r="X2117" s="84"/>
      <c r="Y2117" s="84"/>
      <c r="Z2117" s="84"/>
      <c r="AA2117" s="84"/>
      <c r="AB2117" s="84"/>
      <c r="AC2117" s="84"/>
    </row>
    <row r="2118" ht="15.75" customHeight="1">
      <c r="A2118" s="14" t="s">
        <v>17</v>
      </c>
      <c r="B2118" s="14">
        <v>1999.0</v>
      </c>
      <c r="C2118" s="14" t="s">
        <v>5362</v>
      </c>
      <c r="D2118" s="14" t="s">
        <v>5363</v>
      </c>
      <c r="E2118" s="150" t="str">
        <f t="shared" si="44"/>
        <v>http://dx.doi.org/10.1109/VISUAL.1999.809921</v>
      </c>
      <c r="F2118" s="14">
        <v>425.0</v>
      </c>
      <c r="G2118" s="14">
        <v>555.0</v>
      </c>
      <c r="H2118" s="151"/>
      <c r="I2118" s="14" t="s">
        <v>28</v>
      </c>
      <c r="J2118" s="14" t="s">
        <v>12446</v>
      </c>
      <c r="K2118" s="14" t="s">
        <v>39515</v>
      </c>
      <c r="L2118" s="152" t="s">
        <v>5369</v>
      </c>
      <c r="M2118" s="14" t="s">
        <v>39516</v>
      </c>
      <c r="N2118" s="54" t="s">
        <v>39515</v>
      </c>
      <c r="O2118" s="130" t="s">
        <v>5370</v>
      </c>
      <c r="P2118" s="16"/>
      <c r="Q2118" s="14">
        <v>809921.0</v>
      </c>
      <c r="R2118" s="95"/>
      <c r="S2118" s="154" t="s">
        <v>39517</v>
      </c>
      <c r="T2118" s="84"/>
      <c r="U2118" s="84"/>
      <c r="V2118" s="84"/>
      <c r="W2118" s="84"/>
      <c r="X2118" s="84"/>
      <c r="Y2118" s="84"/>
      <c r="Z2118" s="84"/>
      <c r="AA2118" s="84"/>
      <c r="AB2118" s="84"/>
      <c r="AC2118" s="84"/>
    </row>
    <row r="2119" ht="15.75" customHeight="1">
      <c r="A2119" s="14" t="s">
        <v>17</v>
      </c>
      <c r="B2119" s="14">
        <v>1999.0</v>
      </c>
      <c r="C2119" s="14" t="s">
        <v>5319</v>
      </c>
      <c r="D2119" s="14" t="s">
        <v>5320</v>
      </c>
      <c r="E2119" s="150" t="str">
        <f t="shared" si="44"/>
        <v>http://dx.doi.org/10.1109/VISUAL.1999.809914</v>
      </c>
      <c r="F2119" s="14">
        <v>397.0</v>
      </c>
      <c r="G2119" s="14">
        <v>549.0</v>
      </c>
      <c r="H2119" s="151"/>
      <c r="I2119" s="14" t="s">
        <v>28</v>
      </c>
      <c r="J2119" s="14" t="s">
        <v>12409</v>
      </c>
      <c r="K2119" s="14" t="s">
        <v>39518</v>
      </c>
      <c r="L2119" s="152" t="s">
        <v>2303</v>
      </c>
      <c r="M2119" s="14" t="s">
        <v>39519</v>
      </c>
      <c r="N2119" s="54" t="s">
        <v>39518</v>
      </c>
      <c r="O2119" s="130" t="s">
        <v>5325</v>
      </c>
      <c r="P2119" s="16"/>
      <c r="Q2119" s="14">
        <v>809914.0</v>
      </c>
      <c r="R2119" s="95"/>
      <c r="S2119" s="154" t="s">
        <v>39520</v>
      </c>
      <c r="T2119" s="84"/>
      <c r="U2119" s="84"/>
      <c r="V2119" s="84"/>
      <c r="W2119" s="84"/>
      <c r="X2119" s="84"/>
      <c r="Y2119" s="84"/>
      <c r="Z2119" s="84"/>
      <c r="AA2119" s="84"/>
      <c r="AB2119" s="84"/>
      <c r="AC2119" s="84"/>
    </row>
    <row r="2120" ht="15.75" customHeight="1">
      <c r="A2120" s="14" t="s">
        <v>17</v>
      </c>
      <c r="B2120" s="14">
        <v>1999.0</v>
      </c>
      <c r="C2120" s="14" t="s">
        <v>5400</v>
      </c>
      <c r="D2120" s="14" t="s">
        <v>5401</v>
      </c>
      <c r="E2120" s="150" t="str">
        <f t="shared" si="44"/>
        <v>http://dx.doi.org/10.1109/VISUAL.1999.809926</v>
      </c>
      <c r="F2120" s="14">
        <v>445.0</v>
      </c>
      <c r="G2120" s="14">
        <v>560.0</v>
      </c>
      <c r="H2120" s="151"/>
      <c r="I2120" s="14" t="s">
        <v>28</v>
      </c>
      <c r="J2120" s="14" t="s">
        <v>12480</v>
      </c>
      <c r="K2120" s="14" t="s">
        <v>39182</v>
      </c>
      <c r="L2120" s="152" t="s">
        <v>4665</v>
      </c>
      <c r="M2120" s="14" t="s">
        <v>39183</v>
      </c>
      <c r="N2120" s="54" t="s">
        <v>39182</v>
      </c>
      <c r="O2120" s="130" t="s">
        <v>4662</v>
      </c>
      <c r="P2120" s="16"/>
      <c r="Q2120" s="14">
        <v>809926.0</v>
      </c>
      <c r="R2120" s="95"/>
      <c r="S2120" s="154">
        <v>745348.0</v>
      </c>
      <c r="T2120" s="84"/>
      <c r="U2120" s="84"/>
      <c r="V2120" s="84"/>
      <c r="W2120" s="84"/>
      <c r="X2120" s="84"/>
      <c r="Y2120" s="84"/>
      <c r="Z2120" s="84"/>
      <c r="AA2120" s="84"/>
      <c r="AB2120" s="84"/>
      <c r="AC2120" s="84"/>
    </row>
    <row r="2121" ht="15.75" customHeight="1">
      <c r="A2121" s="14" t="s">
        <v>17</v>
      </c>
      <c r="B2121" s="14">
        <v>1999.0</v>
      </c>
      <c r="C2121" s="14" t="s">
        <v>5455</v>
      </c>
      <c r="D2121" s="14" t="s">
        <v>5456</v>
      </c>
      <c r="E2121" s="150" t="str">
        <f t="shared" si="44"/>
        <v>http://dx.doi.org/10.1109/VISUAL.1999.809938</v>
      </c>
      <c r="F2121" s="14">
        <v>481.0</v>
      </c>
      <c r="G2121" s="14">
        <v>483.0</v>
      </c>
      <c r="H2121" s="159" t="s">
        <v>30659</v>
      </c>
      <c r="I2121" s="14" t="s">
        <v>21</v>
      </c>
      <c r="J2121" s="14"/>
      <c r="K2121" s="14" t="s">
        <v>9891</v>
      </c>
      <c r="L2121" s="152" t="s">
        <v>5459</v>
      </c>
      <c r="M2121" s="14"/>
      <c r="N2121" s="54" t="s">
        <v>9891</v>
      </c>
      <c r="O2121" s="130"/>
      <c r="P2121" s="16"/>
      <c r="Q2121" s="14">
        <v>809938.0</v>
      </c>
      <c r="R2121" s="95"/>
      <c r="S2121" s="154"/>
      <c r="T2121" s="84"/>
      <c r="U2121" s="84"/>
      <c r="V2121" s="84"/>
      <c r="W2121" s="84"/>
      <c r="X2121" s="84"/>
      <c r="Y2121" s="84"/>
      <c r="Z2121" s="84"/>
      <c r="AA2121" s="84"/>
      <c r="AB2121" s="84"/>
      <c r="AC2121" s="84"/>
    </row>
    <row r="2122" ht="15.75" customHeight="1">
      <c r="A2122" s="14" t="s">
        <v>2137</v>
      </c>
      <c r="B2122" s="14">
        <v>1998.0</v>
      </c>
      <c r="C2122" s="14" t="s">
        <v>4002</v>
      </c>
      <c r="D2122" s="14" t="s">
        <v>4003</v>
      </c>
      <c r="E2122" s="150" t="s">
        <v>4004</v>
      </c>
      <c r="F2122" s="14">
        <v>71.0</v>
      </c>
      <c r="G2122" s="14" t="s">
        <v>4005</v>
      </c>
      <c r="H2122" s="151"/>
      <c r="I2122" s="14" t="s">
        <v>28</v>
      </c>
      <c r="J2122" s="14" t="s">
        <v>39521</v>
      </c>
      <c r="K2122" s="14" t="s">
        <v>39522</v>
      </c>
      <c r="L2122" s="152" t="s">
        <v>4007</v>
      </c>
      <c r="M2122" s="14" t="s">
        <v>39523</v>
      </c>
      <c r="N2122" s="54" t="s">
        <v>39522</v>
      </c>
      <c r="O2122" s="130" t="s">
        <v>3797</v>
      </c>
      <c r="P2122" s="16"/>
      <c r="Q2122" s="14">
        <v>729554.0</v>
      </c>
      <c r="R2122" s="95"/>
      <c r="S2122" s="154">
        <v>663920.0</v>
      </c>
      <c r="T2122" s="84"/>
      <c r="U2122" s="84"/>
      <c r="V2122" s="84"/>
      <c r="W2122" s="84"/>
      <c r="X2122" s="84"/>
      <c r="Y2122" s="84"/>
      <c r="Z2122" s="84"/>
      <c r="AA2122" s="84"/>
      <c r="AB2122" s="84"/>
      <c r="AC2122" s="84"/>
    </row>
    <row r="2123" ht="15.75" customHeight="1">
      <c r="A2123" s="14" t="s">
        <v>2137</v>
      </c>
      <c r="B2123" s="14">
        <v>1998.0</v>
      </c>
      <c r="C2123" s="14" t="s">
        <v>3897</v>
      </c>
      <c r="D2123" s="14" t="s">
        <v>3898</v>
      </c>
      <c r="E2123" s="150" t="s">
        <v>3899</v>
      </c>
      <c r="F2123" s="14">
        <v>26.0</v>
      </c>
      <c r="G2123" s="14" t="s">
        <v>3900</v>
      </c>
      <c r="H2123" s="151"/>
      <c r="I2123" s="14" t="s">
        <v>28</v>
      </c>
      <c r="J2123" s="14" t="s">
        <v>39524</v>
      </c>
      <c r="K2123" s="14" t="s">
        <v>11483</v>
      </c>
      <c r="L2123" s="152" t="s">
        <v>3901</v>
      </c>
      <c r="M2123" s="14">
        <v>3.78441961E10</v>
      </c>
      <c r="N2123" s="54" t="s">
        <v>11483</v>
      </c>
      <c r="O2123" s="130" t="s">
        <v>2765</v>
      </c>
      <c r="P2123" s="16"/>
      <c r="Q2123" s="14">
        <v>729557.0</v>
      </c>
      <c r="R2123" s="95"/>
      <c r="S2123" s="154">
        <v>559216.0</v>
      </c>
      <c r="T2123" s="84"/>
      <c r="U2123" s="84"/>
      <c r="V2123" s="84"/>
      <c r="W2123" s="84"/>
      <c r="X2123" s="84"/>
      <c r="Y2123" s="84"/>
      <c r="Z2123" s="84"/>
      <c r="AA2123" s="84"/>
      <c r="AB2123" s="84"/>
      <c r="AC2123" s="84"/>
    </row>
    <row r="2124" ht="15.75" customHeight="1">
      <c r="A2124" s="14" t="s">
        <v>2137</v>
      </c>
      <c r="B2124" s="14">
        <v>1998.0</v>
      </c>
      <c r="C2124" s="14" t="s">
        <v>3995</v>
      </c>
      <c r="D2124" s="14" t="s">
        <v>3996</v>
      </c>
      <c r="E2124" s="150" t="s">
        <v>3997</v>
      </c>
      <c r="F2124" s="14">
        <v>63.0</v>
      </c>
      <c r="G2124" s="14">
        <v>70.0</v>
      </c>
      <c r="H2124" s="151"/>
      <c r="I2124" s="14" t="s">
        <v>28</v>
      </c>
      <c r="J2124" s="14" t="s">
        <v>39525</v>
      </c>
      <c r="K2124" s="14" t="s">
        <v>39526</v>
      </c>
      <c r="L2124" s="152" t="s">
        <v>3999</v>
      </c>
      <c r="M2124" s="14" t="s">
        <v>39527</v>
      </c>
      <c r="N2124" s="54" t="s">
        <v>39528</v>
      </c>
      <c r="O2124" s="130" t="s">
        <v>4000</v>
      </c>
      <c r="P2124" s="153" t="s">
        <v>4001</v>
      </c>
      <c r="Q2124" s="14">
        <v>729560.0</v>
      </c>
      <c r="R2124" s="95"/>
      <c r="S2124" s="154" t="s">
        <v>39529</v>
      </c>
      <c r="T2124" s="84"/>
      <c r="U2124" s="84"/>
      <c r="V2124" s="84"/>
      <c r="W2124" s="84"/>
      <c r="X2124" s="84"/>
      <c r="Y2124" s="84"/>
      <c r="Z2124" s="84"/>
      <c r="AA2124" s="84"/>
      <c r="AB2124" s="84"/>
      <c r="AC2124" s="84"/>
    </row>
    <row r="2125" ht="15.75" customHeight="1">
      <c r="A2125" s="14" t="s">
        <v>2137</v>
      </c>
      <c r="B2125" s="14">
        <v>1998.0</v>
      </c>
      <c r="C2125" s="14" t="s">
        <v>4070</v>
      </c>
      <c r="D2125" s="14" t="s">
        <v>4071</v>
      </c>
      <c r="E2125" s="150" t="s">
        <v>4072</v>
      </c>
      <c r="F2125" s="14">
        <v>130.0</v>
      </c>
      <c r="G2125" s="14">
        <v>136.0</v>
      </c>
      <c r="H2125" s="151"/>
      <c r="I2125" s="14" t="s">
        <v>28</v>
      </c>
      <c r="J2125" s="14" t="s">
        <v>39530</v>
      </c>
      <c r="K2125" s="14" t="s">
        <v>4077</v>
      </c>
      <c r="L2125" s="152" t="s">
        <v>4078</v>
      </c>
      <c r="M2125" s="14">
        <v>3.73660206E10</v>
      </c>
      <c r="N2125" s="54" t="s">
        <v>4077</v>
      </c>
      <c r="O2125" s="130" t="s">
        <v>4079</v>
      </c>
      <c r="P2125" s="153" t="s">
        <v>4080</v>
      </c>
      <c r="Q2125" s="14">
        <v>729569.0</v>
      </c>
      <c r="R2125" s="95"/>
      <c r="S2125" s="154" t="s">
        <v>39531</v>
      </c>
      <c r="T2125" s="84"/>
      <c r="U2125" s="84"/>
      <c r="V2125" s="84"/>
      <c r="W2125" s="84"/>
      <c r="X2125" s="84"/>
      <c r="Y2125" s="84"/>
      <c r="Z2125" s="84"/>
      <c r="AA2125" s="84"/>
      <c r="AB2125" s="84"/>
      <c r="AC2125" s="84"/>
    </row>
    <row r="2126" ht="15.75" customHeight="1">
      <c r="A2126" s="14" t="s">
        <v>2137</v>
      </c>
      <c r="B2126" s="14">
        <v>1998.0</v>
      </c>
      <c r="C2126" s="14" t="s">
        <v>4042</v>
      </c>
      <c r="D2126" s="14" t="s">
        <v>4043</v>
      </c>
      <c r="E2126" s="150" t="s">
        <v>4044</v>
      </c>
      <c r="F2126" s="14">
        <v>106.0</v>
      </c>
      <c r="G2126" s="14" t="s">
        <v>4046</v>
      </c>
      <c r="H2126" s="151"/>
      <c r="I2126" s="14" t="s">
        <v>28</v>
      </c>
      <c r="J2126" s="14" t="s">
        <v>39532</v>
      </c>
      <c r="K2126" s="14" t="s">
        <v>39533</v>
      </c>
      <c r="L2126" s="152" t="s">
        <v>4048</v>
      </c>
      <c r="M2126" s="14" t="s">
        <v>39534</v>
      </c>
      <c r="N2126" s="54" t="s">
        <v>39533</v>
      </c>
      <c r="O2126" s="130" t="s">
        <v>4049</v>
      </c>
      <c r="P2126" s="211" t="s">
        <v>4050</v>
      </c>
      <c r="Q2126" s="14">
        <v>729562.0</v>
      </c>
      <c r="R2126" s="95"/>
      <c r="S2126" s="154" t="s">
        <v>39535</v>
      </c>
      <c r="T2126" s="84"/>
      <c r="U2126" s="84"/>
      <c r="V2126" s="84"/>
      <c r="W2126" s="84"/>
      <c r="X2126" s="84"/>
      <c r="Y2126" s="84"/>
      <c r="Z2126" s="84"/>
      <c r="AA2126" s="84"/>
      <c r="AB2126" s="84"/>
      <c r="AC2126" s="84"/>
    </row>
    <row r="2127" ht="15.75" customHeight="1">
      <c r="A2127" s="14" t="s">
        <v>2137</v>
      </c>
      <c r="B2127" s="14">
        <v>1998.0</v>
      </c>
      <c r="C2127" s="14" t="s">
        <v>3902</v>
      </c>
      <c r="D2127" s="14" t="s">
        <v>3903</v>
      </c>
      <c r="E2127" s="150" t="s">
        <v>3904</v>
      </c>
      <c r="F2127" s="14">
        <v>35.0</v>
      </c>
      <c r="G2127" s="14" t="s">
        <v>3905</v>
      </c>
      <c r="H2127" s="151"/>
      <c r="I2127" s="14" t="s">
        <v>28</v>
      </c>
      <c r="J2127" s="14" t="s">
        <v>39536</v>
      </c>
      <c r="K2127" s="14" t="s">
        <v>6933</v>
      </c>
      <c r="L2127" s="152" t="s">
        <v>3907</v>
      </c>
      <c r="M2127" s="14">
        <v>3.73435653E10</v>
      </c>
      <c r="N2127" s="54" t="s">
        <v>6933</v>
      </c>
      <c r="O2127" s="130" t="s">
        <v>3908</v>
      </c>
      <c r="P2127" s="16"/>
      <c r="Q2127" s="14">
        <v>729567.0</v>
      </c>
      <c r="R2127" s="95"/>
      <c r="S2127" s="154" t="s">
        <v>39537</v>
      </c>
      <c r="T2127" s="84"/>
      <c r="U2127" s="84"/>
      <c r="V2127" s="84"/>
      <c r="W2127" s="84"/>
      <c r="X2127" s="84"/>
      <c r="Y2127" s="84"/>
      <c r="Z2127" s="84"/>
      <c r="AA2127" s="84"/>
      <c r="AB2127" s="84"/>
      <c r="AC2127" s="84"/>
    </row>
    <row r="2128" ht="15.75" customHeight="1">
      <c r="A2128" s="14" t="s">
        <v>2137</v>
      </c>
      <c r="B2128" s="14">
        <v>1998.0</v>
      </c>
      <c r="C2128" s="14" t="s">
        <v>4016</v>
      </c>
      <c r="D2128" s="14" t="s">
        <v>4017</v>
      </c>
      <c r="E2128" s="150" t="s">
        <v>4018</v>
      </c>
      <c r="F2128" s="14">
        <v>87.0</v>
      </c>
      <c r="G2128" s="14" t="s">
        <v>4022</v>
      </c>
      <c r="H2128" s="151"/>
      <c r="I2128" s="14" t="s">
        <v>28</v>
      </c>
      <c r="J2128" s="14" t="s">
        <v>39538</v>
      </c>
      <c r="K2128" s="14" t="s">
        <v>39539</v>
      </c>
      <c r="L2128" s="152" t="s">
        <v>4024</v>
      </c>
      <c r="M2128" s="14" t="s">
        <v>39540</v>
      </c>
      <c r="N2128" s="54" t="s">
        <v>39541</v>
      </c>
      <c r="O2128" s="130" t="s">
        <v>4025</v>
      </c>
      <c r="P2128" s="16"/>
      <c r="Q2128" s="14">
        <v>729566.0</v>
      </c>
      <c r="R2128" s="95"/>
      <c r="S2128" s="154" t="s">
        <v>39542</v>
      </c>
      <c r="T2128" s="84"/>
      <c r="U2128" s="84"/>
      <c r="V2128" s="84"/>
      <c r="W2128" s="84"/>
      <c r="X2128" s="84"/>
      <c r="Y2128" s="84"/>
      <c r="Z2128" s="84"/>
      <c r="AA2128" s="84"/>
      <c r="AB2128" s="84"/>
      <c r="AC2128" s="84"/>
    </row>
    <row r="2129" ht="15.75" customHeight="1">
      <c r="A2129" s="14" t="s">
        <v>2137</v>
      </c>
      <c r="B2129" s="14">
        <v>1998.0</v>
      </c>
      <c r="C2129" s="14" t="s">
        <v>4008</v>
      </c>
      <c r="D2129" s="14" t="s">
        <v>4009</v>
      </c>
      <c r="E2129" s="150" t="s">
        <v>4010</v>
      </c>
      <c r="F2129" s="14">
        <v>79.0</v>
      </c>
      <c r="G2129" s="14" t="s">
        <v>4011</v>
      </c>
      <c r="H2129" s="151"/>
      <c r="I2129" s="14" t="s">
        <v>28</v>
      </c>
      <c r="J2129" s="14" t="s">
        <v>39543</v>
      </c>
      <c r="K2129" s="14" t="s">
        <v>39544</v>
      </c>
      <c r="L2129" s="152" t="s">
        <v>4013</v>
      </c>
      <c r="M2129" s="14" t="s">
        <v>39545</v>
      </c>
      <c r="N2129" s="54" t="s">
        <v>39546</v>
      </c>
      <c r="O2129" s="130" t="s">
        <v>4014</v>
      </c>
      <c r="P2129" s="153" t="s">
        <v>4015</v>
      </c>
      <c r="Q2129" s="14">
        <v>729561.0</v>
      </c>
      <c r="R2129" s="95"/>
      <c r="S2129" s="154" t="s">
        <v>39547</v>
      </c>
      <c r="T2129" s="84"/>
      <c r="U2129" s="84"/>
      <c r="V2129" s="84"/>
      <c r="W2129" s="84"/>
      <c r="X2129" s="84"/>
      <c r="Y2129" s="84"/>
      <c r="Z2129" s="84"/>
      <c r="AA2129" s="84"/>
      <c r="AB2129" s="84"/>
      <c r="AC2129" s="84"/>
    </row>
    <row r="2130" ht="15.75" customHeight="1">
      <c r="A2130" s="14" t="s">
        <v>2137</v>
      </c>
      <c r="B2130" s="14">
        <v>1998.0</v>
      </c>
      <c r="C2130" s="14" t="s">
        <v>4052</v>
      </c>
      <c r="D2130" s="14" t="s">
        <v>4053</v>
      </c>
      <c r="E2130" s="150" t="s">
        <v>4055</v>
      </c>
      <c r="F2130" s="14">
        <v>113.0</v>
      </c>
      <c r="G2130" s="14" t="s">
        <v>4057</v>
      </c>
      <c r="H2130" s="151"/>
      <c r="I2130" s="14" t="s">
        <v>28</v>
      </c>
      <c r="J2130" s="14" t="s">
        <v>39548</v>
      </c>
      <c r="K2130" s="14" t="s">
        <v>9264</v>
      </c>
      <c r="L2130" s="152" t="s">
        <v>4059</v>
      </c>
      <c r="M2130" s="14">
        <v>3.73577719E10</v>
      </c>
      <c r="N2130" s="54" t="s">
        <v>9264</v>
      </c>
      <c r="O2130" s="130"/>
      <c r="P2130" s="16"/>
      <c r="Q2130" s="14">
        <v>729556.0</v>
      </c>
      <c r="R2130" s="95"/>
      <c r="S2130" s="154"/>
      <c r="T2130" s="84"/>
      <c r="U2130" s="84"/>
      <c r="V2130" s="84"/>
      <c r="W2130" s="84"/>
      <c r="X2130" s="84"/>
      <c r="Y2130" s="84"/>
      <c r="Z2130" s="84"/>
      <c r="AA2130" s="84"/>
      <c r="AB2130" s="84"/>
      <c r="AC2130" s="84"/>
    </row>
    <row r="2131" ht="15.75" customHeight="1">
      <c r="A2131" s="14" t="s">
        <v>2137</v>
      </c>
      <c r="B2131" s="14">
        <v>1998.0</v>
      </c>
      <c r="C2131" s="14" t="s">
        <v>4081</v>
      </c>
      <c r="D2131" s="14" t="s">
        <v>4082</v>
      </c>
      <c r="E2131" s="150" t="s">
        <v>4084</v>
      </c>
      <c r="F2131" s="14">
        <v>137.0</v>
      </c>
      <c r="G2131" s="14" t="s">
        <v>4090</v>
      </c>
      <c r="H2131" s="151"/>
      <c r="I2131" s="14" t="s">
        <v>28</v>
      </c>
      <c r="J2131" s="14" t="s">
        <v>39549</v>
      </c>
      <c r="K2131" s="14" t="s">
        <v>39550</v>
      </c>
      <c r="L2131" s="152" t="s">
        <v>4092</v>
      </c>
      <c r="M2131" s="14" t="s">
        <v>39551</v>
      </c>
      <c r="N2131" s="54" t="s">
        <v>39552</v>
      </c>
      <c r="O2131" s="130" t="s">
        <v>4093</v>
      </c>
      <c r="P2131" s="153" t="s">
        <v>4094</v>
      </c>
      <c r="Q2131" s="14">
        <v>729555.0</v>
      </c>
      <c r="R2131" s="95"/>
      <c r="S2131" s="154" t="s">
        <v>39553</v>
      </c>
      <c r="T2131" s="84"/>
      <c r="U2131" s="84"/>
      <c r="V2131" s="84"/>
      <c r="W2131" s="84"/>
      <c r="X2131" s="84"/>
      <c r="Y2131" s="84"/>
      <c r="Z2131" s="84"/>
      <c r="AA2131" s="84"/>
      <c r="AB2131" s="84"/>
      <c r="AC2131" s="84"/>
    </row>
    <row r="2132" ht="15.75" customHeight="1">
      <c r="A2132" s="14" t="s">
        <v>2137</v>
      </c>
      <c r="B2132" s="14">
        <v>1998.0</v>
      </c>
      <c r="C2132" s="14" t="s">
        <v>3889</v>
      </c>
      <c r="D2132" s="14" t="s">
        <v>3890</v>
      </c>
      <c r="E2132" s="150" t="s">
        <v>3891</v>
      </c>
      <c r="F2132" s="14">
        <v>19.0</v>
      </c>
      <c r="G2132" s="14" t="s">
        <v>3892</v>
      </c>
      <c r="H2132" s="151"/>
      <c r="I2132" s="14" t="s">
        <v>28</v>
      </c>
      <c r="J2132" s="14" t="s">
        <v>39554</v>
      </c>
      <c r="K2132" s="14" t="s">
        <v>39555</v>
      </c>
      <c r="L2132" s="152" t="s">
        <v>3894</v>
      </c>
      <c r="M2132" s="14" t="s">
        <v>39556</v>
      </c>
      <c r="N2132" s="54" t="s">
        <v>39555</v>
      </c>
      <c r="O2132" s="130" t="s">
        <v>3895</v>
      </c>
      <c r="P2132" s="153" t="s">
        <v>3896</v>
      </c>
      <c r="Q2132" s="14">
        <v>729564.0</v>
      </c>
      <c r="R2132" s="95"/>
      <c r="S2132" s="154" t="s">
        <v>39557</v>
      </c>
      <c r="T2132" s="84"/>
      <c r="U2132" s="84"/>
      <c r="V2132" s="84"/>
      <c r="W2132" s="84"/>
      <c r="X2132" s="84"/>
      <c r="Y2132" s="84"/>
      <c r="Z2132" s="84"/>
      <c r="AA2132" s="84"/>
      <c r="AB2132" s="84"/>
      <c r="AC2132" s="84"/>
    </row>
    <row r="2133" ht="15.75" customHeight="1">
      <c r="A2133" s="14" t="s">
        <v>2137</v>
      </c>
      <c r="B2133" s="14">
        <v>1998.0</v>
      </c>
      <c r="C2133" s="14" t="s">
        <v>4026</v>
      </c>
      <c r="D2133" s="14" t="s">
        <v>4027</v>
      </c>
      <c r="E2133" s="150" t="s">
        <v>4028</v>
      </c>
      <c r="F2133" s="14">
        <v>97.0</v>
      </c>
      <c r="G2133" s="14">
        <v>101.0</v>
      </c>
      <c r="H2133" s="151"/>
      <c r="I2133" s="14" t="s">
        <v>28</v>
      </c>
      <c r="J2133" s="14" t="s">
        <v>39558</v>
      </c>
      <c r="K2133" s="14" t="s">
        <v>39559</v>
      </c>
      <c r="L2133" s="152" t="s">
        <v>4030</v>
      </c>
      <c r="M2133" s="14" t="s">
        <v>39560</v>
      </c>
      <c r="N2133" s="54" t="s">
        <v>39561</v>
      </c>
      <c r="O2133" s="130"/>
      <c r="P2133" s="16"/>
      <c r="Q2133" s="14">
        <v>729563.0</v>
      </c>
      <c r="R2133" s="95"/>
      <c r="S2133" s="154"/>
      <c r="T2133" s="84"/>
      <c r="U2133" s="84"/>
      <c r="V2133" s="84"/>
      <c r="W2133" s="84"/>
      <c r="X2133" s="84"/>
      <c r="Y2133" s="84"/>
      <c r="Z2133" s="84"/>
      <c r="AA2133" s="84"/>
      <c r="AB2133" s="84"/>
      <c r="AC2133" s="84"/>
    </row>
    <row r="2134" ht="15.75" customHeight="1">
      <c r="A2134" s="14" t="s">
        <v>2137</v>
      </c>
      <c r="B2134" s="14">
        <v>1998.0</v>
      </c>
      <c r="C2134" s="14" t="s">
        <v>3988</v>
      </c>
      <c r="D2134" s="14" t="s">
        <v>3989</v>
      </c>
      <c r="E2134" s="150" t="s">
        <v>3990</v>
      </c>
      <c r="F2134" s="14">
        <v>52.0</v>
      </c>
      <c r="G2134" s="14" t="s">
        <v>3991</v>
      </c>
      <c r="H2134" s="151"/>
      <c r="I2134" s="14" t="s">
        <v>28</v>
      </c>
      <c r="J2134" s="14" t="s">
        <v>39562</v>
      </c>
      <c r="K2134" s="14" t="s">
        <v>39563</v>
      </c>
      <c r="L2134" s="152" t="s">
        <v>3993</v>
      </c>
      <c r="M2134" s="14" t="s">
        <v>39564</v>
      </c>
      <c r="N2134" s="54" t="s">
        <v>39563</v>
      </c>
      <c r="O2134" s="130" t="s">
        <v>3994</v>
      </c>
      <c r="P2134" s="16"/>
      <c r="Q2134" s="14">
        <v>729568.0</v>
      </c>
      <c r="R2134" s="95"/>
      <c r="S2134" s="154" t="s">
        <v>39565</v>
      </c>
      <c r="T2134" s="84"/>
      <c r="U2134" s="84"/>
      <c r="V2134" s="84"/>
      <c r="W2134" s="84"/>
      <c r="X2134" s="84"/>
      <c r="Y2134" s="84"/>
      <c r="Z2134" s="84"/>
      <c r="AA2134" s="84"/>
      <c r="AB2134" s="84"/>
      <c r="AC2134" s="84"/>
    </row>
    <row r="2135" ht="15.75" customHeight="1">
      <c r="A2135" s="14" t="s">
        <v>2137</v>
      </c>
      <c r="B2135" s="14">
        <v>1998.0</v>
      </c>
      <c r="C2135" s="14" t="s">
        <v>3909</v>
      </c>
      <c r="D2135" s="14" t="s">
        <v>3910</v>
      </c>
      <c r="E2135" s="150" t="s">
        <v>3911</v>
      </c>
      <c r="F2135" s="14">
        <v>44.0</v>
      </c>
      <c r="G2135" s="14" t="s">
        <v>3985</v>
      </c>
      <c r="H2135" s="151"/>
      <c r="I2135" s="14" t="s">
        <v>28</v>
      </c>
      <c r="J2135" s="14" t="s">
        <v>39566</v>
      </c>
      <c r="K2135" s="14" t="s">
        <v>8652</v>
      </c>
      <c r="L2135" s="152" t="s">
        <v>358</v>
      </c>
      <c r="M2135" s="14">
        <v>3.73494183E10</v>
      </c>
      <c r="N2135" s="54" t="s">
        <v>8652</v>
      </c>
      <c r="O2135" s="130" t="s">
        <v>3987</v>
      </c>
      <c r="P2135" s="16"/>
      <c r="Q2135" s="14">
        <v>729558.0</v>
      </c>
      <c r="R2135" s="95"/>
      <c r="S2135" s="154" t="s">
        <v>39567</v>
      </c>
      <c r="T2135" s="84"/>
      <c r="U2135" s="84"/>
      <c r="V2135" s="84"/>
      <c r="W2135" s="84"/>
      <c r="X2135" s="84"/>
      <c r="Y2135" s="84"/>
      <c r="Z2135" s="84"/>
      <c r="AA2135" s="84"/>
      <c r="AB2135" s="84"/>
      <c r="AC2135" s="84"/>
    </row>
    <row r="2136" ht="15.75" customHeight="1">
      <c r="A2136" s="14" t="s">
        <v>2137</v>
      </c>
      <c r="B2136" s="14">
        <v>1998.0</v>
      </c>
      <c r="C2136" s="14" t="s">
        <v>4060</v>
      </c>
      <c r="D2136" s="14" t="s">
        <v>4061</v>
      </c>
      <c r="E2136" s="150" t="s">
        <v>4062</v>
      </c>
      <c r="F2136" s="14">
        <v>121.0</v>
      </c>
      <c r="G2136" s="14" t="s">
        <v>4065</v>
      </c>
      <c r="H2136" s="151"/>
      <c r="I2136" s="14" t="s">
        <v>28</v>
      </c>
      <c r="J2136" s="14" t="s">
        <v>39568</v>
      </c>
      <c r="K2136" s="14" t="s">
        <v>39569</v>
      </c>
      <c r="L2136" s="152" t="s">
        <v>4067</v>
      </c>
      <c r="M2136" s="14" t="s">
        <v>39570</v>
      </c>
      <c r="N2136" s="54" t="s">
        <v>39569</v>
      </c>
      <c r="O2136" s="130" t="s">
        <v>4068</v>
      </c>
      <c r="P2136" s="153" t="s">
        <v>4069</v>
      </c>
      <c r="Q2136" s="14">
        <v>729570.0</v>
      </c>
      <c r="R2136" s="95"/>
      <c r="S2136" s="154" t="s">
        <v>39571</v>
      </c>
      <c r="T2136" s="84"/>
      <c r="U2136" s="84"/>
      <c r="V2136" s="84"/>
      <c r="W2136" s="84"/>
      <c r="X2136" s="84"/>
      <c r="Y2136" s="84"/>
      <c r="Z2136" s="84"/>
      <c r="AA2136" s="84"/>
      <c r="AB2136" s="84"/>
      <c r="AC2136" s="84"/>
    </row>
    <row r="2137" ht="15.75" customHeight="1">
      <c r="A2137" s="14" t="s">
        <v>2137</v>
      </c>
      <c r="B2137" s="14">
        <v>1998.0</v>
      </c>
      <c r="C2137" s="14" t="s">
        <v>3885</v>
      </c>
      <c r="D2137" s="14" t="s">
        <v>3886</v>
      </c>
      <c r="E2137" s="150" t="s">
        <v>3887</v>
      </c>
      <c r="F2137" s="14">
        <v>11.0</v>
      </c>
      <c r="G2137" s="14">
        <v>18.0</v>
      </c>
      <c r="H2137" s="151"/>
      <c r="I2137" s="14" t="s">
        <v>28</v>
      </c>
      <c r="J2137" s="14" t="s">
        <v>39572</v>
      </c>
      <c r="K2137" s="14" t="s">
        <v>39573</v>
      </c>
      <c r="L2137" s="152" t="s">
        <v>2015</v>
      </c>
      <c r="M2137" s="14" t="s">
        <v>39574</v>
      </c>
      <c r="N2137" s="54" t="s">
        <v>39575</v>
      </c>
      <c r="O2137" s="130"/>
      <c r="P2137" s="16"/>
      <c r="Q2137" s="14">
        <v>729559.0</v>
      </c>
      <c r="R2137" s="95"/>
      <c r="S2137" s="154"/>
      <c r="T2137" s="84"/>
      <c r="U2137" s="84"/>
      <c r="V2137" s="84"/>
      <c r="W2137" s="84"/>
      <c r="X2137" s="84"/>
      <c r="Y2137" s="84"/>
      <c r="Z2137" s="84"/>
      <c r="AA2137" s="84"/>
      <c r="AB2137" s="84"/>
      <c r="AC2137" s="84"/>
    </row>
    <row r="2138" ht="15.75" customHeight="1">
      <c r="A2138" s="14" t="s">
        <v>2137</v>
      </c>
      <c r="B2138" s="14">
        <v>1998.0</v>
      </c>
      <c r="C2138" s="14" t="s">
        <v>4031</v>
      </c>
      <c r="D2138" s="14" t="s">
        <v>4032</v>
      </c>
      <c r="E2138" s="150" t="s">
        <v>4033</v>
      </c>
      <c r="F2138" s="14">
        <v>102.0</v>
      </c>
      <c r="G2138" s="14" t="s">
        <v>4040</v>
      </c>
      <c r="H2138" s="151"/>
      <c r="I2138" s="14" t="s">
        <v>28</v>
      </c>
      <c r="J2138" s="14" t="s">
        <v>39576</v>
      </c>
      <c r="K2138" s="14" t="s">
        <v>39577</v>
      </c>
      <c r="L2138" s="152" t="s">
        <v>4041</v>
      </c>
      <c r="M2138" s="14">
        <v>3.73630992E10</v>
      </c>
      <c r="N2138" s="54" t="s">
        <v>6410</v>
      </c>
      <c r="O2138" s="130" t="s">
        <v>226</v>
      </c>
      <c r="P2138" s="16"/>
      <c r="Q2138" s="14">
        <v>729553.0</v>
      </c>
      <c r="R2138" s="95"/>
      <c r="S2138" s="154">
        <v>146386.0</v>
      </c>
      <c r="T2138" s="84"/>
      <c r="U2138" s="84"/>
      <c r="V2138" s="84"/>
      <c r="W2138" s="84"/>
      <c r="X2138" s="84"/>
      <c r="Y2138" s="84"/>
      <c r="Z2138" s="84"/>
      <c r="AA2138" s="84"/>
      <c r="AB2138" s="84"/>
      <c r="AC2138" s="84"/>
    </row>
    <row r="2139" ht="15.75" customHeight="1">
      <c r="A2139" s="14" t="s">
        <v>2137</v>
      </c>
      <c r="B2139" s="14">
        <v>1998.0</v>
      </c>
      <c r="C2139" s="14" t="s">
        <v>3878</v>
      </c>
      <c r="D2139" s="14" t="s">
        <v>3879</v>
      </c>
      <c r="E2139" s="150" t="s">
        <v>3880</v>
      </c>
      <c r="F2139" s="14">
        <v>3.0</v>
      </c>
      <c r="G2139" s="14" t="s">
        <v>3881</v>
      </c>
      <c r="H2139" s="151"/>
      <c r="I2139" s="14" t="s">
        <v>28</v>
      </c>
      <c r="J2139" s="14" t="s">
        <v>39578</v>
      </c>
      <c r="K2139" s="14" t="s">
        <v>39579</v>
      </c>
      <c r="L2139" s="152" t="s">
        <v>3883</v>
      </c>
      <c r="M2139" s="14" t="s">
        <v>39580</v>
      </c>
      <c r="N2139" s="54" t="s">
        <v>39579</v>
      </c>
      <c r="O2139" s="130"/>
      <c r="P2139" s="153" t="s">
        <v>3884</v>
      </c>
      <c r="Q2139" s="14">
        <v>729565.0</v>
      </c>
      <c r="R2139" s="95"/>
      <c r="S2139" s="154"/>
      <c r="T2139" s="84"/>
      <c r="U2139" s="84"/>
      <c r="V2139" s="84"/>
      <c r="W2139" s="84"/>
      <c r="X2139" s="84"/>
      <c r="Y2139" s="84"/>
      <c r="Z2139" s="84"/>
      <c r="AA2139" s="84"/>
      <c r="AB2139" s="84"/>
      <c r="AC2139" s="84"/>
    </row>
    <row r="2140" ht="15.75" customHeight="1">
      <c r="A2140" s="14" t="s">
        <v>17</v>
      </c>
      <c r="B2140" s="14">
        <v>1998.0</v>
      </c>
      <c r="C2140" s="14" t="s">
        <v>4597</v>
      </c>
      <c r="D2140" s="14" t="s">
        <v>4598</v>
      </c>
      <c r="E2140" s="150" t="s">
        <v>4600</v>
      </c>
      <c r="F2140" s="14">
        <v>431.0</v>
      </c>
      <c r="G2140" s="14">
        <v>434.0</v>
      </c>
      <c r="H2140" s="151"/>
      <c r="I2140" s="14" t="s">
        <v>28</v>
      </c>
      <c r="J2140" s="14" t="s">
        <v>11117</v>
      </c>
      <c r="K2140" s="14" t="s">
        <v>39582</v>
      </c>
      <c r="L2140" s="152" t="s">
        <v>4603</v>
      </c>
      <c r="M2140" s="14" t="s">
        <v>39583</v>
      </c>
      <c r="N2140" s="54" t="s">
        <v>39582</v>
      </c>
      <c r="O2140" s="130"/>
      <c r="P2140" s="16"/>
      <c r="Q2140" s="14">
        <v>745336.0</v>
      </c>
      <c r="R2140" s="14"/>
      <c r="S2140" s="212"/>
      <c r="T2140" s="30"/>
      <c r="U2140" s="30"/>
      <c r="V2140" s="30"/>
      <c r="W2140" s="30"/>
      <c r="X2140" s="30"/>
      <c r="Y2140" s="30"/>
      <c r="Z2140" s="30"/>
      <c r="AA2140" s="30"/>
      <c r="AB2140" s="30"/>
      <c r="AC2140" s="30"/>
    </row>
    <row r="2141" ht="15.75" customHeight="1">
      <c r="A2141" s="14" t="s">
        <v>17</v>
      </c>
      <c r="B2141" s="14">
        <v>1998.0</v>
      </c>
      <c r="C2141" s="14" t="s">
        <v>4360</v>
      </c>
      <c r="D2141" s="14" t="s">
        <v>4361</v>
      </c>
      <c r="E2141" s="150" t="s">
        <v>4362</v>
      </c>
      <c r="F2141" s="14">
        <v>205.0</v>
      </c>
      <c r="G2141" s="14">
        <v>210.0</v>
      </c>
      <c r="H2141" s="151"/>
      <c r="I2141" s="14" t="s">
        <v>28</v>
      </c>
      <c r="J2141" s="14" t="s">
        <v>9462</v>
      </c>
      <c r="K2141" s="14" t="s">
        <v>8846</v>
      </c>
      <c r="L2141" s="152" t="s">
        <v>4364</v>
      </c>
      <c r="M2141" s="14">
        <v>3.73719208E10</v>
      </c>
      <c r="N2141" s="54" t="s">
        <v>8846</v>
      </c>
      <c r="O2141" s="130"/>
      <c r="P2141" s="153" t="s">
        <v>4365</v>
      </c>
      <c r="Q2141" s="14">
        <v>745304.0</v>
      </c>
      <c r="R2141" s="14"/>
      <c r="S2141" s="212"/>
      <c r="T2141" s="30"/>
      <c r="U2141" s="30"/>
      <c r="V2141" s="30"/>
      <c r="W2141" s="30"/>
      <c r="X2141" s="30"/>
      <c r="Y2141" s="30"/>
      <c r="Z2141" s="30"/>
      <c r="AA2141" s="30"/>
      <c r="AB2141" s="30"/>
      <c r="AC2141" s="30"/>
    </row>
    <row r="2142" ht="15.75" customHeight="1">
      <c r="A2142" s="14" t="s">
        <v>17</v>
      </c>
      <c r="B2142" s="14">
        <v>1998.0</v>
      </c>
      <c r="C2142" s="14" t="s">
        <v>4380</v>
      </c>
      <c r="D2142" s="14" t="s">
        <v>4382</v>
      </c>
      <c r="E2142" s="150" t="s">
        <v>4383</v>
      </c>
      <c r="F2142" s="14">
        <v>225.0</v>
      </c>
      <c r="G2142" s="14">
        <v>231.0</v>
      </c>
      <c r="H2142" s="151"/>
      <c r="I2142" s="14" t="s">
        <v>28</v>
      </c>
      <c r="J2142" s="14" t="s">
        <v>9626</v>
      </c>
      <c r="K2142" s="14" t="s">
        <v>39586</v>
      </c>
      <c r="L2142" s="152" t="s">
        <v>4386</v>
      </c>
      <c r="M2142" s="14" t="s">
        <v>39587</v>
      </c>
      <c r="N2142" s="54" t="s">
        <v>39588</v>
      </c>
      <c r="O2142" s="130" t="s">
        <v>4387</v>
      </c>
      <c r="P2142" s="16"/>
      <c r="Q2142" s="14">
        <v>745307.0</v>
      </c>
      <c r="R2142" s="14"/>
      <c r="S2142" s="212" t="s">
        <v>39589</v>
      </c>
      <c r="T2142" s="30"/>
      <c r="U2142" s="30"/>
      <c r="V2142" s="30"/>
      <c r="W2142" s="30"/>
      <c r="X2142" s="30"/>
      <c r="Y2142" s="30"/>
      <c r="Z2142" s="30"/>
      <c r="AA2142" s="30"/>
      <c r="AB2142" s="30"/>
      <c r="AC2142" s="30"/>
    </row>
    <row r="2143" ht="15.75" customHeight="1">
      <c r="A2143" s="14" t="s">
        <v>17</v>
      </c>
      <c r="B2143" s="14">
        <v>1998.0</v>
      </c>
      <c r="C2143" s="14" t="s">
        <v>4138</v>
      </c>
      <c r="D2143" s="14" t="s">
        <v>4139</v>
      </c>
      <c r="E2143" s="150" t="s">
        <v>4140</v>
      </c>
      <c r="F2143" s="14">
        <v>59.0</v>
      </c>
      <c r="G2143" s="14">
        <v>66.0</v>
      </c>
      <c r="H2143" s="151"/>
      <c r="I2143" s="14" t="s">
        <v>28</v>
      </c>
      <c r="J2143" s="14" t="s">
        <v>7517</v>
      </c>
      <c r="K2143" s="14" t="s">
        <v>39591</v>
      </c>
      <c r="L2143" s="152" t="s">
        <v>4145</v>
      </c>
      <c r="M2143" s="14" t="s">
        <v>39592</v>
      </c>
      <c r="N2143" s="54" t="s">
        <v>39591</v>
      </c>
      <c r="O2143" s="130" t="s">
        <v>1498</v>
      </c>
      <c r="P2143" s="153" t="s">
        <v>4146</v>
      </c>
      <c r="Q2143" s="14">
        <v>745285.0</v>
      </c>
      <c r="R2143" s="14"/>
      <c r="S2143" s="212">
        <v>398868.0</v>
      </c>
      <c r="T2143" s="30"/>
      <c r="U2143" s="30"/>
      <c r="V2143" s="30"/>
      <c r="W2143" s="30"/>
      <c r="X2143" s="30"/>
      <c r="Y2143" s="30"/>
      <c r="Z2143" s="30"/>
      <c r="AA2143" s="30"/>
      <c r="AB2143" s="30"/>
      <c r="AC2143" s="30"/>
    </row>
    <row r="2144" ht="15.75" customHeight="1">
      <c r="A2144" s="14" t="s">
        <v>17</v>
      </c>
      <c r="B2144" s="14">
        <v>1998.0</v>
      </c>
      <c r="C2144" s="14" t="s">
        <v>4266</v>
      </c>
      <c r="D2144" s="14" t="s">
        <v>4267</v>
      </c>
      <c r="E2144" s="150" t="s">
        <v>4268</v>
      </c>
      <c r="F2144" s="14">
        <v>143.0</v>
      </c>
      <c r="G2144" s="14">
        <v>150.0</v>
      </c>
      <c r="H2144" s="151"/>
      <c r="I2144" s="14" t="s">
        <v>28</v>
      </c>
      <c r="J2144" s="14" t="s">
        <v>9133</v>
      </c>
      <c r="K2144" s="14" t="s">
        <v>39593</v>
      </c>
      <c r="L2144" s="152" t="s">
        <v>4271</v>
      </c>
      <c r="M2144" s="14" t="s">
        <v>39594</v>
      </c>
      <c r="N2144" s="54" t="s">
        <v>39593</v>
      </c>
      <c r="O2144" s="130" t="s">
        <v>4272</v>
      </c>
      <c r="P2144" s="16"/>
      <c r="Q2144" s="14">
        <v>745296.0</v>
      </c>
      <c r="R2144" s="14"/>
      <c r="S2144" s="212" t="s">
        <v>39596</v>
      </c>
      <c r="T2144" s="30"/>
      <c r="U2144" s="30"/>
      <c r="V2144" s="30"/>
      <c r="W2144" s="30"/>
      <c r="X2144" s="30"/>
      <c r="Y2144" s="30"/>
      <c r="Z2144" s="30"/>
      <c r="AA2144" s="30"/>
      <c r="AB2144" s="30"/>
      <c r="AC2144" s="30"/>
    </row>
    <row r="2145" ht="15.75" customHeight="1">
      <c r="A2145" s="14" t="s">
        <v>17</v>
      </c>
      <c r="B2145" s="14">
        <v>1998.0</v>
      </c>
      <c r="C2145" s="14" t="s">
        <v>4420</v>
      </c>
      <c r="D2145" s="14" t="s">
        <v>4421</v>
      </c>
      <c r="E2145" s="150" t="s">
        <v>4423</v>
      </c>
      <c r="F2145" s="14">
        <v>271.0</v>
      </c>
      <c r="G2145" s="14">
        <v>278.0</v>
      </c>
      <c r="H2145" s="151"/>
      <c r="I2145" s="14" t="s">
        <v>28</v>
      </c>
      <c r="J2145" s="14" t="s">
        <v>9908</v>
      </c>
      <c r="K2145" s="14" t="s">
        <v>39597</v>
      </c>
      <c r="L2145" s="152" t="s">
        <v>1596</v>
      </c>
      <c r="M2145" s="14" t="s">
        <v>39598</v>
      </c>
      <c r="N2145" s="54" t="s">
        <v>39597</v>
      </c>
      <c r="O2145" s="130" t="s">
        <v>4427</v>
      </c>
      <c r="P2145" s="153" t="s">
        <v>4428</v>
      </c>
      <c r="Q2145" s="14">
        <v>745313.0</v>
      </c>
      <c r="R2145" s="14"/>
      <c r="S2145" s="212" t="s">
        <v>39599</v>
      </c>
      <c r="T2145" s="30"/>
      <c r="U2145" s="30"/>
      <c r="V2145" s="30"/>
      <c r="W2145" s="30"/>
      <c r="X2145" s="30"/>
      <c r="Y2145" s="30"/>
      <c r="Z2145" s="30"/>
      <c r="AA2145" s="30"/>
      <c r="AB2145" s="30"/>
      <c r="AC2145" s="30"/>
    </row>
    <row r="2146" ht="15.75" customHeight="1">
      <c r="A2146" s="14" t="s">
        <v>17</v>
      </c>
      <c r="B2146" s="14">
        <v>1998.0</v>
      </c>
      <c r="C2146" s="14" t="s">
        <v>4395</v>
      </c>
      <c r="D2146" s="14" t="s">
        <v>4396</v>
      </c>
      <c r="E2146" s="150" t="s">
        <v>4397</v>
      </c>
      <c r="F2146" s="14">
        <v>247.0</v>
      </c>
      <c r="G2146" s="14">
        <v>253.0</v>
      </c>
      <c r="H2146" s="151"/>
      <c r="I2146" s="14" t="s">
        <v>28</v>
      </c>
      <c r="J2146" s="14" t="s">
        <v>9745</v>
      </c>
      <c r="K2146" s="14" t="s">
        <v>39605</v>
      </c>
      <c r="L2146" s="152" t="s">
        <v>4402</v>
      </c>
      <c r="M2146" s="14" t="s">
        <v>39607</v>
      </c>
      <c r="N2146" s="54" t="s">
        <v>39605</v>
      </c>
      <c r="O2146" s="130" t="s">
        <v>4403</v>
      </c>
      <c r="P2146" s="153" t="s">
        <v>4404</v>
      </c>
      <c r="Q2146" s="14">
        <v>745310.0</v>
      </c>
      <c r="R2146" s="14"/>
      <c r="S2146" s="212" t="s">
        <v>39608</v>
      </c>
      <c r="T2146" s="30"/>
      <c r="U2146" s="30"/>
      <c r="V2146" s="30"/>
      <c r="W2146" s="30"/>
      <c r="X2146" s="30"/>
      <c r="Y2146" s="30"/>
      <c r="Z2146" s="30"/>
      <c r="AA2146" s="30"/>
      <c r="AB2146" s="30"/>
      <c r="AC2146" s="30"/>
    </row>
    <row r="2147" ht="15.75" customHeight="1">
      <c r="A2147" s="14" t="s">
        <v>17</v>
      </c>
      <c r="B2147" s="14">
        <v>1998.0</v>
      </c>
      <c r="C2147" s="14" t="s">
        <v>4656</v>
      </c>
      <c r="D2147" s="14" t="s">
        <v>4657</v>
      </c>
      <c r="E2147" s="150" t="s">
        <v>4658</v>
      </c>
      <c r="F2147" s="14">
        <v>475.0</v>
      </c>
      <c r="G2147" s="14">
        <v>478.0</v>
      </c>
      <c r="H2147" s="151"/>
      <c r="I2147" s="14" t="s">
        <v>28</v>
      </c>
      <c r="J2147" s="14" t="s">
        <v>11983</v>
      </c>
      <c r="K2147" s="14" t="s">
        <v>39610</v>
      </c>
      <c r="L2147" s="152" t="s">
        <v>4660</v>
      </c>
      <c r="M2147" s="14" t="s">
        <v>39611</v>
      </c>
      <c r="N2147" s="54" t="s">
        <v>39610</v>
      </c>
      <c r="O2147" s="130" t="s">
        <v>2565</v>
      </c>
      <c r="P2147" s="16"/>
      <c r="Q2147" s="14">
        <v>745347.0</v>
      </c>
      <c r="R2147" s="14"/>
      <c r="S2147" s="212">
        <v>485141.0</v>
      </c>
      <c r="T2147" s="30"/>
      <c r="U2147" s="30"/>
      <c r="V2147" s="30"/>
      <c r="W2147" s="30"/>
      <c r="X2147" s="30"/>
      <c r="Y2147" s="30"/>
      <c r="Z2147" s="30"/>
      <c r="AA2147" s="30"/>
      <c r="AB2147" s="30"/>
      <c r="AC2147" s="30"/>
    </row>
    <row r="2148" ht="15.75" customHeight="1">
      <c r="A2148" s="14" t="s">
        <v>17</v>
      </c>
      <c r="B2148" s="14">
        <v>1998.0</v>
      </c>
      <c r="C2148" s="14" t="s">
        <v>4697</v>
      </c>
      <c r="D2148" s="14" t="s">
        <v>4698</v>
      </c>
      <c r="E2148" s="150" t="s">
        <v>4699</v>
      </c>
      <c r="F2148" s="14">
        <v>507.0</v>
      </c>
      <c r="G2148" s="14">
        <v>509.0</v>
      </c>
      <c r="H2148" s="159" t="s">
        <v>30659</v>
      </c>
      <c r="I2148" s="14" t="s">
        <v>21</v>
      </c>
      <c r="J2148" s="14"/>
      <c r="K2148" s="14" t="s">
        <v>39613</v>
      </c>
      <c r="L2148" s="152" t="s">
        <v>4701</v>
      </c>
      <c r="M2148" s="14" t="s">
        <v>880</v>
      </c>
      <c r="N2148" s="54" t="s">
        <v>39614</v>
      </c>
      <c r="O2148" s="130"/>
      <c r="P2148" s="16"/>
      <c r="Q2148" s="14">
        <v>745355.0</v>
      </c>
      <c r="R2148" s="14"/>
      <c r="S2148" s="212"/>
      <c r="T2148" s="30"/>
      <c r="U2148" s="30"/>
      <c r="V2148" s="30"/>
      <c r="W2148" s="30"/>
      <c r="X2148" s="30"/>
      <c r="Y2148" s="30"/>
      <c r="Z2148" s="30"/>
      <c r="AA2148" s="30"/>
      <c r="AB2148" s="30"/>
      <c r="AC2148" s="30"/>
    </row>
    <row r="2149" ht="15.75" customHeight="1">
      <c r="A2149" s="14" t="s">
        <v>17</v>
      </c>
      <c r="B2149" s="14">
        <v>1998.0</v>
      </c>
      <c r="C2149" s="14" t="s">
        <v>4273</v>
      </c>
      <c r="D2149" s="14" t="s">
        <v>4274</v>
      </c>
      <c r="E2149" s="150" t="s">
        <v>4275</v>
      </c>
      <c r="F2149" s="14">
        <v>151.0</v>
      </c>
      <c r="G2149" s="14">
        <v>158.0</v>
      </c>
      <c r="H2149" s="151"/>
      <c r="I2149" s="14" t="s">
        <v>28</v>
      </c>
      <c r="J2149" s="14" t="s">
        <v>9178</v>
      </c>
      <c r="K2149" s="14" t="s">
        <v>39615</v>
      </c>
      <c r="L2149" s="152" t="s">
        <v>4277</v>
      </c>
      <c r="M2149" s="14">
        <v>3.73552954E10</v>
      </c>
      <c r="N2149" s="54" t="s">
        <v>8682</v>
      </c>
      <c r="O2149" s="130" t="s">
        <v>4278</v>
      </c>
      <c r="P2149" s="16"/>
      <c r="Q2149" s="14">
        <v>745297.0</v>
      </c>
      <c r="R2149" s="14"/>
      <c r="S2149" s="212" t="s">
        <v>39616</v>
      </c>
      <c r="T2149" s="30"/>
      <c r="U2149" s="30"/>
      <c r="V2149" s="30"/>
      <c r="W2149" s="30"/>
      <c r="X2149" s="30"/>
      <c r="Y2149" s="30"/>
      <c r="Z2149" s="30"/>
      <c r="AA2149" s="30"/>
      <c r="AB2149" s="30"/>
      <c r="AC2149" s="30"/>
    </row>
    <row r="2150" ht="15.75" customHeight="1">
      <c r="A2150" s="14" t="s">
        <v>17</v>
      </c>
      <c r="B2150" s="14">
        <v>1998.0</v>
      </c>
      <c r="C2150" s="14" t="s">
        <v>4641</v>
      </c>
      <c r="D2150" s="14" t="s">
        <v>4642</v>
      </c>
      <c r="E2150" s="150" t="s">
        <v>4643</v>
      </c>
      <c r="F2150" s="14">
        <v>463.0</v>
      </c>
      <c r="G2150" s="14">
        <v>466.0</v>
      </c>
      <c r="H2150" s="151"/>
      <c r="I2150" s="14" t="s">
        <v>28</v>
      </c>
      <c r="J2150" s="14" t="s">
        <v>11973</v>
      </c>
      <c r="K2150" s="14" t="s">
        <v>39617</v>
      </c>
      <c r="L2150" s="152" t="s">
        <v>3130</v>
      </c>
      <c r="M2150" s="14" t="s">
        <v>39618</v>
      </c>
      <c r="N2150" s="54" t="s">
        <v>39617</v>
      </c>
      <c r="O2150" s="130" t="s">
        <v>3127</v>
      </c>
      <c r="P2150" s="16"/>
      <c r="Q2150" s="14">
        <v>745344.0</v>
      </c>
      <c r="R2150" s="14"/>
      <c r="S2150" s="212">
        <v>568128.0</v>
      </c>
      <c r="T2150" s="30"/>
      <c r="U2150" s="30"/>
      <c r="V2150" s="30"/>
      <c r="W2150" s="30"/>
      <c r="X2150" s="30"/>
      <c r="Y2150" s="30"/>
      <c r="Z2150" s="30"/>
      <c r="AA2150" s="30"/>
      <c r="AB2150" s="30"/>
      <c r="AC2150" s="30"/>
    </row>
    <row r="2151" ht="15.75" customHeight="1">
      <c r="A2151" s="14" t="s">
        <v>17</v>
      </c>
      <c r="B2151" s="14">
        <v>1998.0</v>
      </c>
      <c r="C2151" s="14" t="s">
        <v>4235</v>
      </c>
      <c r="D2151" s="14" t="s">
        <v>4237</v>
      </c>
      <c r="E2151" s="150" t="s">
        <v>4238</v>
      </c>
      <c r="F2151" s="14">
        <v>111.0</v>
      </c>
      <c r="G2151" s="14">
        <v>118.0</v>
      </c>
      <c r="H2151" s="151"/>
      <c r="I2151" s="14" t="s">
        <v>28</v>
      </c>
      <c r="J2151" s="14" t="s">
        <v>7762</v>
      </c>
      <c r="K2151" s="14" t="s">
        <v>39622</v>
      </c>
      <c r="L2151" s="152" t="s">
        <v>4242</v>
      </c>
      <c r="M2151" s="14" t="s">
        <v>39623</v>
      </c>
      <c r="N2151" s="54" t="s">
        <v>39624</v>
      </c>
      <c r="O2151" s="130" t="s">
        <v>4243</v>
      </c>
      <c r="P2151" s="153" t="s">
        <v>4244</v>
      </c>
      <c r="Q2151" s="14">
        <v>745292.0</v>
      </c>
      <c r="R2151" s="14"/>
      <c r="S2151" s="212" t="s">
        <v>39625</v>
      </c>
      <c r="T2151" s="30"/>
      <c r="U2151" s="30"/>
      <c r="V2151" s="30"/>
      <c r="W2151" s="30"/>
      <c r="X2151" s="30"/>
      <c r="Y2151" s="30"/>
      <c r="Z2151" s="30"/>
      <c r="AA2151" s="30"/>
      <c r="AB2151" s="30"/>
      <c r="AC2151" s="30"/>
    </row>
    <row r="2152" ht="15.75" customHeight="1">
      <c r="A2152" s="14" t="s">
        <v>17</v>
      </c>
      <c r="B2152" s="14">
        <v>1998.0</v>
      </c>
      <c r="C2152" s="14" t="s">
        <v>4509</v>
      </c>
      <c r="D2152" s="14" t="s">
        <v>4510</v>
      </c>
      <c r="E2152" s="150" t="s">
        <v>4512</v>
      </c>
      <c r="F2152" s="14">
        <v>359.0</v>
      </c>
      <c r="G2152" s="14">
        <v>365.0</v>
      </c>
      <c r="H2152" s="151"/>
      <c r="I2152" s="14" t="s">
        <v>28</v>
      </c>
      <c r="J2152" s="14" t="s">
        <v>10537</v>
      </c>
      <c r="K2152" s="14" t="s">
        <v>38430</v>
      </c>
      <c r="L2152" s="152" t="s">
        <v>4515</v>
      </c>
      <c r="M2152" s="14" t="s">
        <v>38431</v>
      </c>
      <c r="N2152" s="54" t="s">
        <v>38432</v>
      </c>
      <c r="O2152" s="130" t="s">
        <v>4516</v>
      </c>
      <c r="P2152" s="153" t="s">
        <v>4517</v>
      </c>
      <c r="Q2152" s="14">
        <v>745324.0</v>
      </c>
      <c r="R2152" s="14"/>
      <c r="S2152" s="212" t="s">
        <v>39627</v>
      </c>
      <c r="T2152" s="30"/>
      <c r="U2152" s="30"/>
      <c r="V2152" s="30"/>
      <c r="W2152" s="30"/>
      <c r="X2152" s="30"/>
      <c r="Y2152" s="30"/>
      <c r="Z2152" s="30"/>
      <c r="AA2152" s="30"/>
      <c r="AB2152" s="30"/>
      <c r="AC2152" s="30"/>
    </row>
    <row r="2153" ht="15.75" customHeight="1">
      <c r="A2153" s="14" t="s">
        <v>17</v>
      </c>
      <c r="B2153" s="14">
        <v>1998.0</v>
      </c>
      <c r="C2153" s="14" t="s">
        <v>4666</v>
      </c>
      <c r="D2153" s="14" t="s">
        <v>4667</v>
      </c>
      <c r="E2153" s="150" t="s">
        <v>4668</v>
      </c>
      <c r="F2153" s="14">
        <v>483.0</v>
      </c>
      <c r="G2153" s="14">
        <v>486.0</v>
      </c>
      <c r="H2153" s="151"/>
      <c r="I2153" s="14" t="s">
        <v>28</v>
      </c>
      <c r="J2153" s="14" t="s">
        <v>11989</v>
      </c>
      <c r="K2153" s="14" t="s">
        <v>39628</v>
      </c>
      <c r="L2153" s="152" t="s">
        <v>4670</v>
      </c>
      <c r="M2153" s="14" t="s">
        <v>39629</v>
      </c>
      <c r="N2153" s="54" t="s">
        <v>39628</v>
      </c>
      <c r="O2153" s="130"/>
      <c r="P2153" s="16"/>
      <c r="Q2153" s="14">
        <v>745349.0</v>
      </c>
      <c r="R2153" s="14"/>
      <c r="S2153" s="212"/>
      <c r="T2153" s="30"/>
      <c r="U2153" s="30"/>
      <c r="V2153" s="30"/>
      <c r="W2153" s="30"/>
      <c r="X2153" s="30"/>
      <c r="Y2153" s="30"/>
      <c r="Z2153" s="30"/>
      <c r="AA2153" s="30"/>
      <c r="AB2153" s="30"/>
      <c r="AC2153" s="30"/>
    </row>
    <row r="2154" ht="15.75" customHeight="1">
      <c r="A2154" s="14" t="s">
        <v>17</v>
      </c>
      <c r="B2154" s="14">
        <v>1998.0</v>
      </c>
      <c r="C2154" s="14" t="s">
        <v>4525</v>
      </c>
      <c r="D2154" s="14" t="s">
        <v>4526</v>
      </c>
      <c r="E2154" s="150" t="s">
        <v>4527</v>
      </c>
      <c r="F2154" s="14">
        <v>375.0</v>
      </c>
      <c r="G2154" s="14">
        <v>382.0</v>
      </c>
      <c r="H2154" s="151"/>
      <c r="I2154" s="14" t="s">
        <v>28</v>
      </c>
      <c r="J2154" s="14" t="s">
        <v>10636</v>
      </c>
      <c r="K2154" s="14" t="s">
        <v>8053</v>
      </c>
      <c r="L2154" s="152" t="s">
        <v>4529</v>
      </c>
      <c r="M2154" s="14">
        <v>3.73334391E10</v>
      </c>
      <c r="N2154" s="54" t="s">
        <v>8053</v>
      </c>
      <c r="O2154" s="130" t="s">
        <v>4530</v>
      </c>
      <c r="P2154" s="153" t="s">
        <v>4531</v>
      </c>
      <c r="Q2154" s="14">
        <v>745326.0</v>
      </c>
      <c r="R2154" s="14"/>
      <c r="S2154" s="212" t="s">
        <v>39630</v>
      </c>
      <c r="T2154" s="30"/>
      <c r="U2154" s="30"/>
      <c r="V2154" s="30"/>
      <c r="W2154" s="30"/>
      <c r="X2154" s="30"/>
      <c r="Y2154" s="30"/>
      <c r="Z2154" s="30"/>
      <c r="AA2154" s="30"/>
      <c r="AB2154" s="30"/>
      <c r="AC2154" s="30"/>
    </row>
    <row r="2155" ht="15.75" customHeight="1">
      <c r="A2155" s="14" t="s">
        <v>17</v>
      </c>
      <c r="B2155" s="14">
        <v>1998.0</v>
      </c>
      <c r="C2155" s="14" t="s">
        <v>4352</v>
      </c>
      <c r="D2155" s="14" t="s">
        <v>4353</v>
      </c>
      <c r="E2155" s="150" t="s">
        <v>4354</v>
      </c>
      <c r="F2155" s="14">
        <v>197.0</v>
      </c>
      <c r="G2155" s="14">
        <v>204.0</v>
      </c>
      <c r="H2155" s="151"/>
      <c r="I2155" s="14" t="s">
        <v>28</v>
      </c>
      <c r="J2155" s="14" t="s">
        <v>9419</v>
      </c>
      <c r="K2155" s="14" t="s">
        <v>39632</v>
      </c>
      <c r="L2155" s="152" t="s">
        <v>178</v>
      </c>
      <c r="M2155" s="14" t="s">
        <v>39633</v>
      </c>
      <c r="N2155" s="54" t="s">
        <v>39634</v>
      </c>
      <c r="O2155" s="130"/>
      <c r="P2155" s="153" t="s">
        <v>4359</v>
      </c>
      <c r="Q2155" s="14">
        <v>745303.0</v>
      </c>
      <c r="R2155" s="14"/>
      <c r="S2155" s="212"/>
      <c r="T2155" s="30"/>
      <c r="U2155" s="30"/>
      <c r="V2155" s="30"/>
      <c r="W2155" s="30"/>
      <c r="X2155" s="30"/>
      <c r="Y2155" s="30"/>
      <c r="Z2155" s="30"/>
      <c r="AA2155" s="30"/>
      <c r="AB2155" s="30"/>
      <c r="AC2155" s="30"/>
    </row>
    <row r="2156" ht="15.75" customHeight="1">
      <c r="A2156" s="14" t="s">
        <v>17</v>
      </c>
      <c r="B2156" s="14">
        <v>1998.0</v>
      </c>
      <c r="C2156" s="14" t="s">
        <v>4105</v>
      </c>
      <c r="D2156" s="14" t="s">
        <v>4107</v>
      </c>
      <c r="E2156" s="150" t="s">
        <v>4108</v>
      </c>
      <c r="F2156" s="14">
        <v>27.0</v>
      </c>
      <c r="G2156" s="14">
        <v>33.0</v>
      </c>
      <c r="H2156" s="151"/>
      <c r="I2156" s="14" t="s">
        <v>28</v>
      </c>
      <c r="J2156" s="14" t="s">
        <v>39635</v>
      </c>
      <c r="K2156" s="14" t="s">
        <v>39636</v>
      </c>
      <c r="L2156" s="152" t="s">
        <v>4112</v>
      </c>
      <c r="M2156" s="14" t="s">
        <v>39637</v>
      </c>
      <c r="N2156" s="54" t="s">
        <v>39636</v>
      </c>
      <c r="O2156" s="130"/>
      <c r="P2156" s="153" t="s">
        <v>4113</v>
      </c>
      <c r="Q2156" s="14">
        <v>745281.0</v>
      </c>
      <c r="R2156" s="95"/>
      <c r="S2156" s="154"/>
      <c r="T2156" s="84"/>
      <c r="U2156" s="84"/>
      <c r="V2156" s="84"/>
      <c r="W2156" s="84"/>
      <c r="X2156" s="84"/>
      <c r="Y2156" s="84"/>
      <c r="Z2156" s="84"/>
      <c r="AA2156" s="84"/>
      <c r="AB2156" s="84"/>
      <c r="AC2156" s="84"/>
    </row>
    <row r="2157" ht="15.75" customHeight="1">
      <c r="A2157" s="14" t="s">
        <v>17</v>
      </c>
      <c r="B2157" s="14">
        <v>1998.0</v>
      </c>
      <c r="C2157" s="14" t="s">
        <v>4532</v>
      </c>
      <c r="D2157" s="14" t="s">
        <v>4534</v>
      </c>
      <c r="E2157" s="150" t="s">
        <v>4535</v>
      </c>
      <c r="F2157" s="14">
        <v>383.0</v>
      </c>
      <c r="G2157" s="14">
        <v>390.0</v>
      </c>
      <c r="H2157" s="151"/>
      <c r="I2157" s="14" t="s">
        <v>28</v>
      </c>
      <c r="J2157" s="14" t="s">
        <v>10678</v>
      </c>
      <c r="K2157" s="14" t="s">
        <v>39638</v>
      </c>
      <c r="L2157" s="152" t="s">
        <v>1001</v>
      </c>
      <c r="M2157" s="14" t="s">
        <v>39639</v>
      </c>
      <c r="N2157" s="54" t="s">
        <v>39640</v>
      </c>
      <c r="O2157" s="130" t="s">
        <v>4538</v>
      </c>
      <c r="P2157" s="153" t="s">
        <v>4539</v>
      </c>
      <c r="Q2157" s="14">
        <v>745327.0</v>
      </c>
      <c r="R2157" s="14"/>
      <c r="S2157" s="212" t="s">
        <v>39641</v>
      </c>
      <c r="T2157" s="30"/>
      <c r="U2157" s="30"/>
      <c r="V2157" s="30"/>
      <c r="W2157" s="30"/>
      <c r="X2157" s="30"/>
      <c r="Y2157" s="30"/>
      <c r="Z2157" s="30"/>
      <c r="AA2157" s="30"/>
      <c r="AB2157" s="30"/>
      <c r="AC2157" s="30"/>
    </row>
    <row r="2158" ht="15.75" customHeight="1">
      <c r="A2158" s="14" t="s">
        <v>17</v>
      </c>
      <c r="B2158" s="14">
        <v>1998.0</v>
      </c>
      <c r="C2158" s="14" t="s">
        <v>4571</v>
      </c>
      <c r="D2158" s="14" t="s">
        <v>4572</v>
      </c>
      <c r="E2158" s="150" t="s">
        <v>4573</v>
      </c>
      <c r="F2158" s="14">
        <v>415.0</v>
      </c>
      <c r="G2158" s="14">
        <v>418.0</v>
      </c>
      <c r="H2158" s="151"/>
      <c r="I2158" s="14" t="s">
        <v>28</v>
      </c>
      <c r="J2158" s="14" t="s">
        <v>10933</v>
      </c>
      <c r="K2158" s="14" t="s">
        <v>39642</v>
      </c>
      <c r="L2158" s="152" t="s">
        <v>4048</v>
      </c>
      <c r="M2158" s="14" t="s">
        <v>39643</v>
      </c>
      <c r="N2158" s="54" t="s">
        <v>39642</v>
      </c>
      <c r="O2158" s="130" t="s">
        <v>4577</v>
      </c>
      <c r="P2158" s="16"/>
      <c r="Q2158" s="14">
        <v>745332.0</v>
      </c>
      <c r="R2158" s="14"/>
      <c r="S2158" s="212" t="s">
        <v>39644</v>
      </c>
      <c r="T2158" s="30"/>
      <c r="U2158" s="30"/>
      <c r="V2158" s="30"/>
      <c r="W2158" s="30"/>
      <c r="X2158" s="30"/>
      <c r="Y2158" s="30"/>
      <c r="Z2158" s="30"/>
      <c r="AA2158" s="30"/>
      <c r="AB2158" s="30"/>
      <c r="AC2158" s="30"/>
    </row>
    <row r="2159" ht="15.75" customHeight="1">
      <c r="A2159" s="14" t="s">
        <v>17</v>
      </c>
      <c r="B2159" s="14">
        <v>1998.0</v>
      </c>
      <c r="C2159" s="14" t="s">
        <v>4566</v>
      </c>
      <c r="D2159" s="14" t="s">
        <v>4567</v>
      </c>
      <c r="E2159" s="150" t="s">
        <v>4568</v>
      </c>
      <c r="F2159" s="14">
        <v>411.0</v>
      </c>
      <c r="G2159" s="14">
        <v>414.0</v>
      </c>
      <c r="H2159" s="151"/>
      <c r="I2159" s="14" t="s">
        <v>28</v>
      </c>
      <c r="J2159" s="14" t="s">
        <v>10895</v>
      </c>
      <c r="K2159" s="14" t="s">
        <v>39645</v>
      </c>
      <c r="L2159" s="152" t="s">
        <v>477</v>
      </c>
      <c r="M2159" s="14" t="s">
        <v>39646</v>
      </c>
      <c r="N2159" s="54" t="s">
        <v>39645</v>
      </c>
      <c r="O2159" s="130" t="s">
        <v>4570</v>
      </c>
      <c r="P2159" s="16"/>
      <c r="Q2159" s="14">
        <v>745331.0</v>
      </c>
      <c r="R2159" s="14"/>
      <c r="S2159" s="212" t="s">
        <v>39647</v>
      </c>
      <c r="T2159" s="30"/>
      <c r="U2159" s="30"/>
      <c r="V2159" s="30"/>
      <c r="W2159" s="30"/>
      <c r="X2159" s="30"/>
      <c r="Y2159" s="30"/>
      <c r="Z2159" s="30"/>
      <c r="AA2159" s="30"/>
      <c r="AB2159" s="30"/>
      <c r="AC2159" s="30"/>
    </row>
    <row r="2160" ht="15.75" customHeight="1">
      <c r="A2160" s="14" t="s">
        <v>17</v>
      </c>
      <c r="B2160" s="14">
        <v>1998.0</v>
      </c>
      <c r="C2160" s="14" t="s">
        <v>4245</v>
      </c>
      <c r="D2160" s="14" t="s">
        <v>4246</v>
      </c>
      <c r="E2160" s="150" t="s">
        <v>4247</v>
      </c>
      <c r="F2160" s="14">
        <v>119.0</v>
      </c>
      <c r="G2160" s="14">
        <v>126.0</v>
      </c>
      <c r="H2160" s="151"/>
      <c r="I2160" s="14" t="s">
        <v>28</v>
      </c>
      <c r="J2160" s="14" t="s">
        <v>7796</v>
      </c>
      <c r="K2160" s="14" t="s">
        <v>39650</v>
      </c>
      <c r="L2160" s="152" t="s">
        <v>4249</v>
      </c>
      <c r="M2160" s="14" t="s">
        <v>39651</v>
      </c>
      <c r="N2160" s="54" t="s">
        <v>39652</v>
      </c>
      <c r="O2160" s="130" t="s">
        <v>4250</v>
      </c>
      <c r="P2160" s="153" t="s">
        <v>4251</v>
      </c>
      <c r="Q2160" s="14">
        <v>745293.0</v>
      </c>
      <c r="R2160" s="14"/>
      <c r="S2160" s="212" t="s">
        <v>39653</v>
      </c>
      <c r="T2160" s="30"/>
      <c r="U2160" s="30"/>
      <c r="V2160" s="30"/>
      <c r="W2160" s="30"/>
      <c r="X2160" s="30"/>
      <c r="Y2160" s="30"/>
      <c r="Z2160" s="30"/>
      <c r="AA2160" s="30"/>
      <c r="AB2160" s="30"/>
      <c r="AC2160" s="30"/>
    </row>
    <row r="2161" ht="15.75" customHeight="1">
      <c r="A2161" s="14" t="s">
        <v>17</v>
      </c>
      <c r="B2161" s="14">
        <v>1998.0</v>
      </c>
      <c r="C2161" s="14" t="s">
        <v>4123</v>
      </c>
      <c r="D2161" s="14" t="s">
        <v>4124</v>
      </c>
      <c r="E2161" s="150" t="s">
        <v>4125</v>
      </c>
      <c r="F2161" s="14">
        <v>43.0</v>
      </c>
      <c r="G2161" s="14">
        <v>50.0</v>
      </c>
      <c r="H2161" s="151"/>
      <c r="I2161" s="14" t="s">
        <v>28</v>
      </c>
      <c r="J2161" s="14" t="s">
        <v>7453</v>
      </c>
      <c r="K2161" s="14" t="s">
        <v>39654</v>
      </c>
      <c r="L2161" s="152" t="s">
        <v>4128</v>
      </c>
      <c r="M2161" s="14" t="s">
        <v>39655</v>
      </c>
      <c r="N2161" s="54" t="s">
        <v>39654</v>
      </c>
      <c r="O2161" s="130" t="s">
        <v>4129</v>
      </c>
      <c r="P2161" s="16"/>
      <c r="Q2161" s="14">
        <v>745283.0</v>
      </c>
      <c r="R2161" s="14"/>
      <c r="S2161" s="212" t="s">
        <v>39656</v>
      </c>
      <c r="T2161" s="30"/>
      <c r="U2161" s="30"/>
      <c r="V2161" s="30"/>
      <c r="W2161" s="30"/>
      <c r="X2161" s="30"/>
      <c r="Y2161" s="30"/>
      <c r="Z2161" s="30"/>
      <c r="AA2161" s="30"/>
      <c r="AB2161" s="30"/>
      <c r="AC2161" s="30"/>
    </row>
    <row r="2162" ht="15.75" customHeight="1">
      <c r="A2162" s="14" t="s">
        <v>17</v>
      </c>
      <c r="B2162" s="14">
        <v>1998.0</v>
      </c>
      <c r="C2162" s="14" t="s">
        <v>4366</v>
      </c>
      <c r="D2162" s="14" t="s">
        <v>4367</v>
      </c>
      <c r="E2162" s="150" t="s">
        <v>4368</v>
      </c>
      <c r="F2162" s="14">
        <v>211.0</v>
      </c>
      <c r="G2162" s="14">
        <v>215.0</v>
      </c>
      <c r="H2162" s="151"/>
      <c r="I2162" s="14" t="s">
        <v>28</v>
      </c>
      <c r="J2162" s="14" t="s">
        <v>9513</v>
      </c>
      <c r="K2162" s="14" t="s">
        <v>39657</v>
      </c>
      <c r="L2162" s="152" t="s">
        <v>4370</v>
      </c>
      <c r="M2162" s="14" t="s">
        <v>39658</v>
      </c>
      <c r="N2162" s="54" t="s">
        <v>39657</v>
      </c>
      <c r="O2162" s="130" t="s">
        <v>3707</v>
      </c>
      <c r="P2162" s="153" t="s">
        <v>4371</v>
      </c>
      <c r="Q2162" s="14">
        <v>745305.0</v>
      </c>
      <c r="R2162" s="14"/>
      <c r="S2162" s="212">
        <v>663903.0</v>
      </c>
      <c r="T2162" s="30"/>
      <c r="U2162" s="30"/>
      <c r="V2162" s="30"/>
      <c r="W2162" s="30"/>
      <c r="X2162" s="30"/>
      <c r="Y2162" s="30"/>
      <c r="Z2162" s="30"/>
      <c r="AA2162" s="30"/>
      <c r="AB2162" s="30"/>
      <c r="AC2162" s="30"/>
    </row>
    <row r="2163" ht="15.75" customHeight="1">
      <c r="A2163" s="14" t="s">
        <v>17</v>
      </c>
      <c r="B2163" s="14">
        <v>1998.0</v>
      </c>
      <c r="C2163" s="14" t="s">
        <v>4388</v>
      </c>
      <c r="D2163" s="14" t="s">
        <v>4390</v>
      </c>
      <c r="E2163" s="150" t="s">
        <v>4392</v>
      </c>
      <c r="F2163" s="14">
        <v>239.0</v>
      </c>
      <c r="G2163" s="14">
        <v>245.0</v>
      </c>
      <c r="H2163" s="151"/>
      <c r="I2163" s="14" t="s">
        <v>28</v>
      </c>
      <c r="J2163" s="14" t="s">
        <v>9689</v>
      </c>
      <c r="K2163" s="14" t="s">
        <v>39659</v>
      </c>
      <c r="L2163" s="152" t="s">
        <v>3612</v>
      </c>
      <c r="M2163" s="14" t="s">
        <v>39660</v>
      </c>
      <c r="N2163" s="54" t="s">
        <v>39659</v>
      </c>
      <c r="O2163" s="130" t="s">
        <v>4394</v>
      </c>
      <c r="P2163" s="16"/>
      <c r="Q2163" s="14">
        <v>745309.0</v>
      </c>
      <c r="R2163" s="14"/>
      <c r="S2163" s="212" t="s">
        <v>39661</v>
      </c>
      <c r="T2163" s="30"/>
      <c r="U2163" s="30"/>
      <c r="V2163" s="30"/>
      <c r="W2163" s="30"/>
      <c r="X2163" s="30"/>
      <c r="Y2163" s="30"/>
      <c r="Z2163" s="30"/>
      <c r="AA2163" s="30"/>
      <c r="AB2163" s="30"/>
      <c r="AC2163" s="30"/>
    </row>
    <row r="2164" ht="15.75" customHeight="1">
      <c r="A2164" s="14" t="s">
        <v>17</v>
      </c>
      <c r="B2164" s="14">
        <v>1998.0</v>
      </c>
      <c r="C2164" s="14" t="s">
        <v>4221</v>
      </c>
      <c r="D2164" s="14" t="s">
        <v>4222</v>
      </c>
      <c r="E2164" s="150" t="s">
        <v>4223</v>
      </c>
      <c r="F2164" s="14">
        <v>95.0</v>
      </c>
      <c r="G2164" s="14">
        <v>102.0</v>
      </c>
      <c r="H2164" s="151"/>
      <c r="I2164" s="14" t="s">
        <v>28</v>
      </c>
      <c r="J2164" s="14" t="s">
        <v>7655</v>
      </c>
      <c r="K2164" s="14" t="s">
        <v>39662</v>
      </c>
      <c r="L2164" s="152" t="s">
        <v>3652</v>
      </c>
      <c r="M2164" s="14" t="s">
        <v>39663</v>
      </c>
      <c r="N2164" s="54" t="s">
        <v>39662</v>
      </c>
      <c r="O2164" s="130" t="s">
        <v>4228</v>
      </c>
      <c r="P2164" s="153" t="s">
        <v>4229</v>
      </c>
      <c r="Q2164" s="14">
        <v>745290.0</v>
      </c>
      <c r="R2164" s="14"/>
      <c r="S2164" s="212" t="s">
        <v>39664</v>
      </c>
      <c r="T2164" s="30"/>
      <c r="U2164" s="30"/>
      <c r="V2164" s="30"/>
      <c r="W2164" s="30"/>
      <c r="X2164" s="30"/>
      <c r="Y2164" s="30"/>
      <c r="Z2164" s="30"/>
      <c r="AA2164" s="30"/>
      <c r="AB2164" s="30"/>
      <c r="AC2164" s="30"/>
    </row>
    <row r="2165" ht="15.75" customHeight="1">
      <c r="A2165" s="14" t="s">
        <v>17</v>
      </c>
      <c r="B2165" s="14">
        <v>1998.0</v>
      </c>
      <c r="C2165" s="14" t="s">
        <v>4429</v>
      </c>
      <c r="D2165" s="14" t="s">
        <v>4430</v>
      </c>
      <c r="E2165" s="150" t="s">
        <v>4431</v>
      </c>
      <c r="F2165" s="14">
        <v>279.0</v>
      </c>
      <c r="G2165" s="14">
        <v>286.0</v>
      </c>
      <c r="H2165" s="151"/>
      <c r="I2165" s="14" t="s">
        <v>28</v>
      </c>
      <c r="J2165" s="14" t="s">
        <v>9958</v>
      </c>
      <c r="K2165" s="14" t="s">
        <v>39665</v>
      </c>
      <c r="L2165" s="152" t="s">
        <v>4435</v>
      </c>
      <c r="M2165" s="14" t="s">
        <v>39666</v>
      </c>
      <c r="N2165" s="54" t="s">
        <v>39665</v>
      </c>
      <c r="O2165" s="130" t="s">
        <v>4436</v>
      </c>
      <c r="P2165" s="16"/>
      <c r="Q2165" s="14">
        <v>745314.0</v>
      </c>
      <c r="R2165" s="14"/>
      <c r="S2165" s="212" t="s">
        <v>39668</v>
      </c>
      <c r="T2165" s="30"/>
      <c r="U2165" s="30"/>
      <c r="V2165" s="30"/>
      <c r="W2165" s="30"/>
      <c r="X2165" s="30"/>
      <c r="Y2165" s="30"/>
      <c r="Z2165" s="30"/>
      <c r="AA2165" s="30"/>
      <c r="AB2165" s="30"/>
      <c r="AC2165" s="30"/>
    </row>
    <row r="2166" ht="15.75" customHeight="1">
      <c r="A2166" s="14" t="s">
        <v>17</v>
      </c>
      <c r="B2166" s="14">
        <v>1998.0</v>
      </c>
      <c r="C2166" s="14" t="s">
        <v>4230</v>
      </c>
      <c r="D2166" s="30" t="s">
        <v>4231</v>
      </c>
      <c r="E2166" s="77" t="s">
        <v>4232</v>
      </c>
      <c r="F2166" s="14">
        <v>103.0</v>
      </c>
      <c r="G2166" s="14">
        <v>109.0</v>
      </c>
      <c r="H2166" s="151"/>
      <c r="I2166" s="14" t="s">
        <v>28</v>
      </c>
      <c r="J2166" s="14" t="s">
        <v>39669</v>
      </c>
      <c r="K2166" s="14" t="s">
        <v>39670</v>
      </c>
      <c r="L2166" s="152" t="s">
        <v>3491</v>
      </c>
      <c r="M2166" s="14" t="s">
        <v>39672</v>
      </c>
      <c r="N2166" s="54" t="s">
        <v>39673</v>
      </c>
      <c r="O2166" s="130" t="s">
        <v>4234</v>
      </c>
      <c r="P2166" s="16"/>
      <c r="Q2166" s="14">
        <v>745291.0</v>
      </c>
      <c r="R2166" s="14"/>
      <c r="S2166" s="212" t="s">
        <v>39674</v>
      </c>
      <c r="T2166" s="30"/>
      <c r="U2166" s="30"/>
      <c r="V2166" s="30"/>
      <c r="W2166" s="30"/>
      <c r="X2166" s="30"/>
      <c r="Y2166" s="30"/>
      <c r="Z2166" s="30"/>
      <c r="AA2166" s="30"/>
      <c r="AB2166" s="30"/>
      <c r="AC2166" s="30"/>
    </row>
    <row r="2167" ht="15.75" customHeight="1">
      <c r="A2167" s="14" t="s">
        <v>17</v>
      </c>
      <c r="B2167" s="14">
        <v>1998.0</v>
      </c>
      <c r="C2167" s="14" t="s">
        <v>4213</v>
      </c>
      <c r="D2167" s="14" t="s">
        <v>4214</v>
      </c>
      <c r="E2167" s="150" t="s">
        <v>4215</v>
      </c>
      <c r="F2167" s="14">
        <v>87.0</v>
      </c>
      <c r="G2167" s="14">
        <v>94.0</v>
      </c>
      <c r="H2167" s="151"/>
      <c r="I2167" s="14" t="s">
        <v>28</v>
      </c>
      <c r="J2167" s="14" t="s">
        <v>7633</v>
      </c>
      <c r="K2167" s="14" t="s">
        <v>8150</v>
      </c>
      <c r="L2167" s="152" t="s">
        <v>1110</v>
      </c>
      <c r="M2167" s="14">
        <v>3.73733801E10</v>
      </c>
      <c r="N2167" s="54" t="s">
        <v>8150</v>
      </c>
      <c r="O2167" s="130" t="s">
        <v>4219</v>
      </c>
      <c r="P2167" s="153" t="s">
        <v>4220</v>
      </c>
      <c r="Q2167" s="14">
        <v>745289.0</v>
      </c>
      <c r="R2167" s="14"/>
      <c r="S2167" s="212" t="s">
        <v>39676</v>
      </c>
      <c r="T2167" s="30"/>
      <c r="U2167" s="30"/>
      <c r="V2167" s="30"/>
      <c r="W2167" s="30"/>
      <c r="X2167" s="30"/>
      <c r="Y2167" s="30"/>
      <c r="Z2167" s="30"/>
      <c r="AA2167" s="30"/>
      <c r="AB2167" s="30"/>
      <c r="AC2167" s="30"/>
    </row>
    <row r="2168" ht="15.75" customHeight="1">
      <c r="A2168" s="14" t="s">
        <v>17</v>
      </c>
      <c r="B2168" s="14">
        <v>1998.0</v>
      </c>
      <c r="C2168" s="14" t="s">
        <v>4489</v>
      </c>
      <c r="D2168" s="14" t="s">
        <v>4490</v>
      </c>
      <c r="E2168" s="150" t="s">
        <v>4491</v>
      </c>
      <c r="F2168" s="14">
        <v>335.0</v>
      </c>
      <c r="G2168" s="14">
        <v>341.0</v>
      </c>
      <c r="H2168" s="151"/>
      <c r="I2168" s="14" t="s">
        <v>28</v>
      </c>
      <c r="J2168" s="14" t="s">
        <v>10391</v>
      </c>
      <c r="K2168" s="14" t="s">
        <v>39678</v>
      </c>
      <c r="L2168" s="152" t="s">
        <v>3463</v>
      </c>
      <c r="M2168" s="14" t="s">
        <v>39679</v>
      </c>
      <c r="N2168" s="54" t="s">
        <v>39678</v>
      </c>
      <c r="O2168" s="130"/>
      <c r="P2168" s="16"/>
      <c r="Q2168" s="14">
        <v>745321.0</v>
      </c>
      <c r="R2168" s="14"/>
      <c r="S2168" s="212"/>
      <c r="T2168" s="30"/>
      <c r="U2168" s="30"/>
      <c r="V2168" s="30"/>
      <c r="W2168" s="30"/>
      <c r="X2168" s="30"/>
      <c r="Y2168" s="30"/>
      <c r="Z2168" s="30"/>
      <c r="AA2168" s="30"/>
      <c r="AB2168" s="30"/>
      <c r="AC2168" s="30"/>
    </row>
    <row r="2169" ht="15.75" customHeight="1">
      <c r="A2169" s="14" t="s">
        <v>17</v>
      </c>
      <c r="B2169" s="14">
        <v>1998.0</v>
      </c>
      <c r="C2169" s="14" t="s">
        <v>4405</v>
      </c>
      <c r="D2169" s="14" t="s">
        <v>4406</v>
      </c>
      <c r="E2169" s="150" t="s">
        <v>4407</v>
      </c>
      <c r="F2169" s="14">
        <v>255.0</v>
      </c>
      <c r="G2169" s="14">
        <v>262.0</v>
      </c>
      <c r="H2169" s="151"/>
      <c r="I2169" s="14" t="s">
        <v>28</v>
      </c>
      <c r="J2169" s="14" t="s">
        <v>9805</v>
      </c>
      <c r="K2169" s="14" t="s">
        <v>39680</v>
      </c>
      <c r="L2169" s="152" t="s">
        <v>4409</v>
      </c>
      <c r="M2169" s="14" t="s">
        <v>39681</v>
      </c>
      <c r="N2169" s="54" t="s">
        <v>39680</v>
      </c>
      <c r="O2169" s="130"/>
      <c r="P2169" s="153" t="s">
        <v>4411</v>
      </c>
      <c r="Q2169" s="14">
        <v>745311.0</v>
      </c>
      <c r="R2169" s="14"/>
      <c r="S2169" s="212"/>
      <c r="T2169" s="30"/>
      <c r="U2169" s="30"/>
      <c r="V2169" s="30"/>
      <c r="W2169" s="30"/>
      <c r="X2169" s="30"/>
      <c r="Y2169" s="30"/>
      <c r="Z2169" s="30"/>
      <c r="AA2169" s="30"/>
      <c r="AB2169" s="30"/>
      <c r="AC2169" s="30"/>
    </row>
    <row r="2170" ht="15.75" customHeight="1">
      <c r="A2170" s="14" t="s">
        <v>17</v>
      </c>
      <c r="B2170" s="14">
        <v>1998.0</v>
      </c>
      <c r="C2170" s="14" t="s">
        <v>4481</v>
      </c>
      <c r="D2170" s="14" t="s">
        <v>4482</v>
      </c>
      <c r="E2170" s="150" t="s">
        <v>4483</v>
      </c>
      <c r="F2170" s="14">
        <v>327.0</v>
      </c>
      <c r="G2170" s="14">
        <v>334.0</v>
      </c>
      <c r="H2170" s="151"/>
      <c r="I2170" s="14" t="s">
        <v>28</v>
      </c>
      <c r="J2170" s="14" t="s">
        <v>10347</v>
      </c>
      <c r="K2170" s="14" t="s">
        <v>39682</v>
      </c>
      <c r="L2170" s="152" t="s">
        <v>4487</v>
      </c>
      <c r="M2170" s="14" t="s">
        <v>39683</v>
      </c>
      <c r="N2170" s="54" t="s">
        <v>39682</v>
      </c>
      <c r="O2170" s="130" t="s">
        <v>3579</v>
      </c>
      <c r="P2170" s="153" t="s">
        <v>4488</v>
      </c>
      <c r="Q2170" s="14">
        <v>745320.0</v>
      </c>
      <c r="R2170" s="14"/>
      <c r="S2170" s="212">
        <v>663876.0</v>
      </c>
      <c r="T2170" s="30"/>
      <c r="U2170" s="30"/>
      <c r="V2170" s="30"/>
      <c r="W2170" s="30"/>
      <c r="X2170" s="30"/>
      <c r="Y2170" s="30"/>
      <c r="Z2170" s="30"/>
      <c r="AA2170" s="30"/>
      <c r="AB2170" s="30"/>
      <c r="AC2170" s="30"/>
    </row>
    <row r="2171" ht="15.75" customHeight="1">
      <c r="A2171" s="14" t="s">
        <v>17</v>
      </c>
      <c r="B2171" s="14">
        <v>1998.0</v>
      </c>
      <c r="C2171" s="14" t="s">
        <v>4471</v>
      </c>
      <c r="D2171" s="14" t="s">
        <v>4472</v>
      </c>
      <c r="E2171" s="150" t="s">
        <v>4473</v>
      </c>
      <c r="F2171" s="14">
        <v>319.0</v>
      </c>
      <c r="G2171" s="14">
        <v>326.0</v>
      </c>
      <c r="H2171" s="151"/>
      <c r="I2171" s="14" t="s">
        <v>28</v>
      </c>
      <c r="J2171" s="14" t="s">
        <v>10228</v>
      </c>
      <c r="K2171" s="14" t="s">
        <v>39685</v>
      </c>
      <c r="L2171" s="152" t="s">
        <v>4478</v>
      </c>
      <c r="M2171" s="14" t="s">
        <v>39686</v>
      </c>
      <c r="N2171" s="54" t="s">
        <v>39685</v>
      </c>
      <c r="O2171" s="130" t="s">
        <v>4479</v>
      </c>
      <c r="P2171" s="153" t="s">
        <v>39648</v>
      </c>
      <c r="Q2171" s="14">
        <v>745319.0</v>
      </c>
      <c r="R2171" s="14"/>
      <c r="S2171" s="212" t="s">
        <v>39687</v>
      </c>
      <c r="T2171" s="30"/>
      <c r="U2171" s="30"/>
      <c r="V2171" s="30"/>
      <c r="W2171" s="30"/>
      <c r="X2171" s="30"/>
      <c r="Y2171" s="30"/>
      <c r="Z2171" s="30"/>
      <c r="AA2171" s="30"/>
      <c r="AB2171" s="30"/>
      <c r="AC2171" s="30"/>
    </row>
    <row r="2172" ht="15.75" customHeight="1">
      <c r="A2172" s="14" t="s">
        <v>17</v>
      </c>
      <c r="B2172" s="14">
        <v>1998.0</v>
      </c>
      <c r="C2172" s="14" t="s">
        <v>4258</v>
      </c>
      <c r="D2172" s="14" t="s">
        <v>4259</v>
      </c>
      <c r="E2172" s="150" t="s">
        <v>4260</v>
      </c>
      <c r="F2172" s="14">
        <v>135.0</v>
      </c>
      <c r="G2172" s="14">
        <v>142.0</v>
      </c>
      <c r="H2172" s="151"/>
      <c r="I2172" s="14" t="s">
        <v>28</v>
      </c>
      <c r="J2172" s="14" t="s">
        <v>9090</v>
      </c>
      <c r="K2172" s="14" t="s">
        <v>39689</v>
      </c>
      <c r="L2172" s="152" t="s">
        <v>4262</v>
      </c>
      <c r="M2172" s="14" t="s">
        <v>39690</v>
      </c>
      <c r="N2172" s="54" t="s">
        <v>39689</v>
      </c>
      <c r="O2172" s="130" t="s">
        <v>4264</v>
      </c>
      <c r="P2172" s="153" t="s">
        <v>4265</v>
      </c>
      <c r="Q2172" s="14">
        <v>745295.0</v>
      </c>
      <c r="R2172" s="14"/>
      <c r="S2172" s="212" t="s">
        <v>39691</v>
      </c>
      <c r="T2172" s="30"/>
      <c r="U2172" s="30"/>
      <c r="V2172" s="30"/>
      <c r="W2172" s="30"/>
      <c r="X2172" s="30"/>
      <c r="Y2172" s="30"/>
      <c r="Z2172" s="30"/>
      <c r="AA2172" s="30"/>
      <c r="AB2172" s="30"/>
      <c r="AC2172" s="30"/>
    </row>
    <row r="2173" ht="15.75" customHeight="1">
      <c r="A2173" s="14" t="s">
        <v>17</v>
      </c>
      <c r="B2173" s="14">
        <v>1998.0</v>
      </c>
      <c r="C2173" s="14" t="s">
        <v>4630</v>
      </c>
      <c r="D2173" s="14" t="s">
        <v>4631</v>
      </c>
      <c r="E2173" s="150" t="s">
        <v>4632</v>
      </c>
      <c r="F2173" s="14">
        <v>455.0</v>
      </c>
      <c r="G2173" s="14">
        <v>458.0</v>
      </c>
      <c r="H2173" s="151"/>
      <c r="I2173" s="14" t="s">
        <v>28</v>
      </c>
      <c r="J2173" s="14" t="s">
        <v>11963</v>
      </c>
      <c r="K2173" s="14" t="s">
        <v>39692</v>
      </c>
      <c r="L2173" s="152" t="s">
        <v>4634</v>
      </c>
      <c r="M2173" s="14" t="s">
        <v>39693</v>
      </c>
      <c r="N2173" s="54" t="s">
        <v>39692</v>
      </c>
      <c r="O2173" s="130" t="s">
        <v>4635</v>
      </c>
      <c r="P2173" s="16"/>
      <c r="Q2173" s="14">
        <v>745342.0</v>
      </c>
      <c r="R2173" s="14"/>
      <c r="S2173" s="212" t="s">
        <v>39694</v>
      </c>
      <c r="T2173" s="30"/>
      <c r="U2173" s="30"/>
      <c r="V2173" s="30"/>
      <c r="W2173" s="30"/>
      <c r="X2173" s="30"/>
      <c r="Y2173" s="30"/>
      <c r="Z2173" s="30"/>
      <c r="AA2173" s="30"/>
      <c r="AB2173" s="30"/>
      <c r="AC2173" s="30"/>
    </row>
    <row r="2174" ht="15.75" customHeight="1">
      <c r="A2174" s="14" t="s">
        <v>17</v>
      </c>
      <c r="B2174" s="14">
        <v>1998.0</v>
      </c>
      <c r="C2174" s="14" t="s">
        <v>4444</v>
      </c>
      <c r="D2174" s="14" t="s">
        <v>4445</v>
      </c>
      <c r="E2174" s="150" t="s">
        <v>4446</v>
      </c>
      <c r="F2174" s="14">
        <v>297.0</v>
      </c>
      <c r="G2174" s="14">
        <v>304.0</v>
      </c>
      <c r="H2174" s="151"/>
      <c r="I2174" s="14" t="s">
        <v>28</v>
      </c>
      <c r="J2174" s="14" t="s">
        <v>10063</v>
      </c>
      <c r="K2174" s="14" t="s">
        <v>39696</v>
      </c>
      <c r="L2174" s="152" t="s">
        <v>3182</v>
      </c>
      <c r="M2174" s="14" t="s">
        <v>39697</v>
      </c>
      <c r="N2174" s="54" t="s">
        <v>39696</v>
      </c>
      <c r="O2174" s="130" t="s">
        <v>4451</v>
      </c>
      <c r="P2174" s="153" t="s">
        <v>4452</v>
      </c>
      <c r="Q2174" s="14">
        <v>745316.0</v>
      </c>
      <c r="R2174" s="14"/>
      <c r="S2174" s="212" t="s">
        <v>39698</v>
      </c>
      <c r="T2174" s="30"/>
      <c r="U2174" s="30"/>
      <c r="V2174" s="30"/>
      <c r="W2174" s="30"/>
      <c r="X2174" s="30"/>
      <c r="Y2174" s="30"/>
      <c r="Z2174" s="30"/>
      <c r="AA2174" s="30"/>
      <c r="AB2174" s="30"/>
      <c r="AC2174" s="30"/>
    </row>
    <row r="2175" ht="15.75" customHeight="1">
      <c r="A2175" s="14" t="s">
        <v>17</v>
      </c>
      <c r="B2175" s="14">
        <v>1998.0</v>
      </c>
      <c r="C2175" s="14" t="s">
        <v>4494</v>
      </c>
      <c r="D2175" s="14" t="s">
        <v>4495</v>
      </c>
      <c r="E2175" s="150" t="s">
        <v>4496</v>
      </c>
      <c r="F2175" s="14">
        <v>343.0</v>
      </c>
      <c r="G2175" s="14">
        <v>350.0</v>
      </c>
      <c r="H2175" s="151"/>
      <c r="I2175" s="14" t="s">
        <v>28</v>
      </c>
      <c r="J2175" s="14" t="s">
        <v>10450</v>
      </c>
      <c r="K2175" s="14" t="s">
        <v>39699</v>
      </c>
      <c r="L2175" s="152" t="s">
        <v>4501</v>
      </c>
      <c r="M2175" s="14" t="s">
        <v>39700</v>
      </c>
      <c r="N2175" s="54" t="s">
        <v>39701</v>
      </c>
      <c r="O2175" s="130"/>
      <c r="P2175" s="153" t="s">
        <v>4502</v>
      </c>
      <c r="Q2175" s="14">
        <v>745322.0</v>
      </c>
      <c r="R2175" s="14"/>
      <c r="S2175" s="212"/>
      <c r="T2175" s="30"/>
      <c r="U2175" s="30"/>
      <c r="V2175" s="30"/>
      <c r="W2175" s="30"/>
      <c r="X2175" s="30"/>
      <c r="Y2175" s="30"/>
      <c r="Z2175" s="30"/>
      <c r="AA2175" s="30"/>
      <c r="AB2175" s="30"/>
      <c r="AC2175" s="30"/>
    </row>
    <row r="2176" ht="15.75" customHeight="1">
      <c r="A2176" s="14" t="s">
        <v>17</v>
      </c>
      <c r="B2176" s="14">
        <v>1998.0</v>
      </c>
      <c r="C2176" s="14" t="s">
        <v>4288</v>
      </c>
      <c r="D2176" s="14" t="s">
        <v>4289</v>
      </c>
      <c r="E2176" s="150" t="s">
        <v>4290</v>
      </c>
      <c r="F2176" s="14">
        <v>167.0</v>
      </c>
      <c r="G2176" s="14">
        <v>174.0</v>
      </c>
      <c r="H2176" s="151"/>
      <c r="I2176" s="14" t="s">
        <v>28</v>
      </c>
      <c r="J2176" s="14" t="s">
        <v>9245</v>
      </c>
      <c r="K2176" s="14" t="s">
        <v>39703</v>
      </c>
      <c r="L2176" s="152" t="s">
        <v>494</v>
      </c>
      <c r="M2176" s="14" t="s">
        <v>39704</v>
      </c>
      <c r="N2176" s="54" t="s">
        <v>39703</v>
      </c>
      <c r="O2176" s="130" t="s">
        <v>4295</v>
      </c>
      <c r="P2176" s="153" t="s">
        <v>4296</v>
      </c>
      <c r="Q2176" s="14">
        <v>745299.0</v>
      </c>
      <c r="R2176" s="14"/>
      <c r="S2176" s="212" t="s">
        <v>39705</v>
      </c>
      <c r="T2176" s="30"/>
      <c r="U2176" s="30"/>
      <c r="V2176" s="30"/>
      <c r="W2176" s="30"/>
      <c r="X2176" s="30"/>
      <c r="Y2176" s="30"/>
      <c r="Z2176" s="30"/>
      <c r="AA2176" s="30"/>
      <c r="AB2176" s="30"/>
      <c r="AC2176" s="30"/>
    </row>
    <row r="2177" ht="15.75" customHeight="1">
      <c r="A2177" s="14" t="s">
        <v>17</v>
      </c>
      <c r="B2177" s="14">
        <v>1998.0</v>
      </c>
      <c r="C2177" s="14" t="s">
        <v>4702</v>
      </c>
      <c r="D2177" s="14" t="s">
        <v>4703</v>
      </c>
      <c r="E2177" s="150" t="s">
        <v>4704</v>
      </c>
      <c r="F2177" s="14">
        <v>233.0</v>
      </c>
      <c r="G2177" s="14">
        <v>238.0</v>
      </c>
      <c r="H2177" s="151"/>
      <c r="I2177" s="14" t="s">
        <v>28</v>
      </c>
      <c r="J2177" s="14" t="s">
        <v>12037</v>
      </c>
      <c r="K2177" s="14" t="s">
        <v>39706</v>
      </c>
      <c r="L2177" s="152" t="s">
        <v>4706</v>
      </c>
      <c r="M2177" s="14" t="s">
        <v>39707</v>
      </c>
      <c r="N2177" s="54" t="s">
        <v>39706</v>
      </c>
      <c r="O2177" s="130" t="s">
        <v>4707</v>
      </c>
      <c r="P2177" s="16"/>
      <c r="Q2177" s="14">
        <v>745713.0</v>
      </c>
      <c r="R2177" s="14"/>
      <c r="S2177" s="212" t="s">
        <v>39708</v>
      </c>
      <c r="T2177" s="30"/>
      <c r="U2177" s="30"/>
      <c r="V2177" s="30"/>
      <c r="W2177" s="30"/>
      <c r="X2177" s="30"/>
      <c r="Y2177" s="30"/>
      <c r="Z2177" s="30"/>
      <c r="AA2177" s="30"/>
      <c r="AB2177" s="30"/>
      <c r="AC2177" s="30"/>
    </row>
    <row r="2178" ht="15.75" customHeight="1">
      <c r="A2178" s="14" t="s">
        <v>17</v>
      </c>
      <c r="B2178" s="14">
        <v>1998.0</v>
      </c>
      <c r="C2178" s="14" t="s">
        <v>4604</v>
      </c>
      <c r="D2178" s="14" t="s">
        <v>4605</v>
      </c>
      <c r="E2178" s="150" t="s">
        <v>4606</v>
      </c>
      <c r="F2178" s="14">
        <v>435.0</v>
      </c>
      <c r="G2178" s="14">
        <v>438.0</v>
      </c>
      <c r="H2178" s="151"/>
      <c r="I2178" s="14" t="s">
        <v>28</v>
      </c>
      <c r="J2178" s="14" t="s">
        <v>11132</v>
      </c>
      <c r="K2178" s="14" t="s">
        <v>39709</v>
      </c>
      <c r="L2178" s="152" t="s">
        <v>4608</v>
      </c>
      <c r="M2178" s="14" t="s">
        <v>39710</v>
      </c>
      <c r="N2178" s="54" t="s">
        <v>39709</v>
      </c>
      <c r="O2178" s="130" t="s">
        <v>3770</v>
      </c>
      <c r="P2178" s="16"/>
      <c r="Q2178" s="14">
        <v>745337.0</v>
      </c>
      <c r="R2178" s="14"/>
      <c r="S2178" s="212">
        <v>663915.0</v>
      </c>
      <c r="T2178" s="30"/>
      <c r="U2178" s="30"/>
      <c r="V2178" s="30"/>
      <c r="W2178" s="30"/>
      <c r="X2178" s="30"/>
      <c r="Y2178" s="30"/>
      <c r="Z2178" s="30"/>
      <c r="AA2178" s="30"/>
      <c r="AB2178" s="30"/>
      <c r="AC2178" s="30"/>
    </row>
    <row r="2179" ht="15.75" customHeight="1">
      <c r="A2179" s="14" t="s">
        <v>17</v>
      </c>
      <c r="B2179" s="14">
        <v>1998.0</v>
      </c>
      <c r="C2179" s="14" t="s">
        <v>4540</v>
      </c>
      <c r="D2179" s="14" t="s">
        <v>4541</v>
      </c>
      <c r="E2179" s="150" t="s">
        <v>4542</v>
      </c>
      <c r="F2179" s="14">
        <v>391.0</v>
      </c>
      <c r="G2179" s="14">
        <v>396.0</v>
      </c>
      <c r="H2179" s="151"/>
      <c r="I2179" s="14" t="s">
        <v>28</v>
      </c>
      <c r="J2179" s="14" t="s">
        <v>10749</v>
      </c>
      <c r="K2179" s="14" t="s">
        <v>39713</v>
      </c>
      <c r="L2179" s="152" t="s">
        <v>4547</v>
      </c>
      <c r="M2179" s="14" t="s">
        <v>39714</v>
      </c>
      <c r="N2179" s="54" t="s">
        <v>39713</v>
      </c>
      <c r="O2179" s="130"/>
      <c r="P2179" s="153" t="s">
        <v>4548</v>
      </c>
      <c r="Q2179" s="14">
        <v>745328.0</v>
      </c>
      <c r="R2179" s="14"/>
      <c r="S2179" s="212"/>
      <c r="T2179" s="30"/>
      <c r="U2179" s="30"/>
      <c r="V2179" s="30"/>
      <c r="W2179" s="30"/>
      <c r="X2179" s="30"/>
      <c r="Y2179" s="30"/>
      <c r="Z2179" s="30"/>
      <c r="AA2179" s="30"/>
      <c r="AB2179" s="30"/>
      <c r="AC2179" s="30"/>
    </row>
    <row r="2180" ht="15.75" customHeight="1">
      <c r="A2180" s="14" t="s">
        <v>17</v>
      </c>
      <c r="B2180" s="14">
        <v>1998.0</v>
      </c>
      <c r="C2180" s="14" t="s">
        <v>4279</v>
      </c>
      <c r="D2180" s="14" t="s">
        <v>4280</v>
      </c>
      <c r="E2180" s="150" t="s">
        <v>4282</v>
      </c>
      <c r="F2180" s="14">
        <v>159.0</v>
      </c>
      <c r="G2180" s="14">
        <v>166.0</v>
      </c>
      <c r="H2180" s="151"/>
      <c r="I2180" s="14" t="s">
        <v>28</v>
      </c>
      <c r="J2180" s="14" t="s">
        <v>9214</v>
      </c>
      <c r="K2180" s="14" t="s">
        <v>39715</v>
      </c>
      <c r="L2180" s="152" t="s">
        <v>3754</v>
      </c>
      <c r="M2180" s="14">
        <v>3.73667415E10</v>
      </c>
      <c r="N2180" s="54" t="s">
        <v>4285</v>
      </c>
      <c r="O2180" s="130" t="s">
        <v>4286</v>
      </c>
      <c r="P2180" s="153" t="s">
        <v>4287</v>
      </c>
      <c r="Q2180" s="14">
        <v>745298.0</v>
      </c>
      <c r="R2180" s="14"/>
      <c r="S2180" s="212" t="s">
        <v>39717</v>
      </c>
      <c r="T2180" s="30"/>
      <c r="U2180" s="30"/>
      <c r="V2180" s="30"/>
      <c r="W2180" s="30"/>
      <c r="X2180" s="30"/>
      <c r="Y2180" s="30"/>
      <c r="Z2180" s="30"/>
      <c r="AA2180" s="30"/>
      <c r="AB2180" s="30"/>
      <c r="AC2180" s="30"/>
    </row>
    <row r="2181" ht="15.75" customHeight="1">
      <c r="A2181" s="14" t="s">
        <v>17</v>
      </c>
      <c r="B2181" s="14">
        <v>1998.0</v>
      </c>
      <c r="C2181" s="14" t="s">
        <v>4692</v>
      </c>
      <c r="D2181" s="14" t="s">
        <v>4693</v>
      </c>
      <c r="E2181" s="150" t="s">
        <v>4694</v>
      </c>
      <c r="F2181" s="14">
        <v>505.0</v>
      </c>
      <c r="G2181" s="14">
        <v>506.0</v>
      </c>
      <c r="H2181" s="159" t="s">
        <v>30659</v>
      </c>
      <c r="I2181" s="14" t="s">
        <v>21</v>
      </c>
      <c r="J2181" s="14"/>
      <c r="K2181" s="14" t="s">
        <v>39719</v>
      </c>
      <c r="L2181" s="152" t="s">
        <v>4696</v>
      </c>
      <c r="M2181" s="14" t="s">
        <v>494</v>
      </c>
      <c r="N2181" s="54" t="s">
        <v>39719</v>
      </c>
      <c r="O2181" s="130"/>
      <c r="P2181" s="16"/>
      <c r="Q2181" s="14">
        <v>745354.0</v>
      </c>
      <c r="R2181" s="14"/>
      <c r="S2181" s="212"/>
      <c r="T2181" s="30"/>
      <c r="U2181" s="30"/>
      <c r="V2181" s="30"/>
      <c r="W2181" s="30"/>
      <c r="X2181" s="30"/>
      <c r="Y2181" s="30"/>
      <c r="Z2181" s="30"/>
      <c r="AA2181" s="30"/>
      <c r="AB2181" s="30"/>
      <c r="AC2181" s="30"/>
    </row>
    <row r="2182" ht="15.75" customHeight="1">
      <c r="A2182" s="14" t="s">
        <v>17</v>
      </c>
      <c r="B2182" s="14">
        <v>1998.0</v>
      </c>
      <c r="C2182" s="14" t="s">
        <v>4095</v>
      </c>
      <c r="D2182" s="14" t="s">
        <v>4096</v>
      </c>
      <c r="E2182" s="150" t="s">
        <v>4097</v>
      </c>
      <c r="F2182" s="14">
        <v>19.0</v>
      </c>
      <c r="G2182" s="14">
        <v>26.0</v>
      </c>
      <c r="H2182" s="151"/>
      <c r="I2182" s="14" t="s">
        <v>28</v>
      </c>
      <c r="J2182" s="14" t="s">
        <v>7352</v>
      </c>
      <c r="K2182" s="14" t="s">
        <v>9758</v>
      </c>
      <c r="L2182" s="152" t="s">
        <v>4102</v>
      </c>
      <c r="M2182" s="14">
        <v>3.72821938E10</v>
      </c>
      <c r="N2182" s="54" t="s">
        <v>9758</v>
      </c>
      <c r="O2182" s="130" t="s">
        <v>4103</v>
      </c>
      <c r="P2182" s="153" t="s">
        <v>4104</v>
      </c>
      <c r="Q2182" s="14">
        <v>745280.0</v>
      </c>
      <c r="R2182" s="95"/>
      <c r="S2182" s="154" t="s">
        <v>39722</v>
      </c>
      <c r="T2182" s="84"/>
      <c r="U2182" s="84"/>
      <c r="V2182" s="84"/>
      <c r="W2182" s="84"/>
      <c r="X2182" s="84"/>
      <c r="Y2182" s="84"/>
      <c r="Z2182" s="84"/>
      <c r="AA2182" s="84"/>
      <c r="AB2182" s="84"/>
      <c r="AC2182" s="84"/>
    </row>
    <row r="2183" ht="15.75" customHeight="1">
      <c r="A2183" s="14" t="s">
        <v>17</v>
      </c>
      <c r="B2183" s="14">
        <v>1998.0</v>
      </c>
      <c r="C2183" s="14" t="s">
        <v>4160</v>
      </c>
      <c r="D2183" s="14" t="s">
        <v>4161</v>
      </c>
      <c r="E2183" s="150" t="s">
        <v>4163</v>
      </c>
      <c r="F2183" s="14">
        <v>73.0</v>
      </c>
      <c r="G2183" s="14">
        <v>77.0</v>
      </c>
      <c r="H2183" s="151"/>
      <c r="I2183" s="14" t="s">
        <v>28</v>
      </c>
      <c r="J2183" s="14" t="s">
        <v>7574</v>
      </c>
      <c r="K2183" s="14" t="s">
        <v>39723</v>
      </c>
      <c r="L2183" s="152" t="s">
        <v>4167</v>
      </c>
      <c r="M2183" s="14" t="s">
        <v>39724</v>
      </c>
      <c r="N2183" s="54" t="s">
        <v>39723</v>
      </c>
      <c r="O2183" s="130" t="s">
        <v>2859</v>
      </c>
      <c r="P2183" s="153" t="s">
        <v>4204</v>
      </c>
      <c r="Q2183" s="14">
        <v>745287.0</v>
      </c>
      <c r="R2183" s="14"/>
      <c r="S2183" s="212">
        <v>567602.0</v>
      </c>
      <c r="T2183" s="30"/>
      <c r="U2183" s="30"/>
      <c r="V2183" s="30"/>
      <c r="W2183" s="30"/>
      <c r="X2183" s="30"/>
      <c r="Y2183" s="30"/>
      <c r="Z2183" s="30"/>
      <c r="AA2183" s="30"/>
      <c r="AB2183" s="30"/>
      <c r="AC2183" s="30"/>
    </row>
    <row r="2184" ht="15.75" customHeight="1">
      <c r="A2184" s="14" t="s">
        <v>17</v>
      </c>
      <c r="B2184" s="14">
        <v>1998.0</v>
      </c>
      <c r="C2184" s="14" t="s">
        <v>4687</v>
      </c>
      <c r="D2184" s="14" t="s">
        <v>4688</v>
      </c>
      <c r="E2184" s="150" t="s">
        <v>4689</v>
      </c>
      <c r="F2184" s="14">
        <v>501.0</v>
      </c>
      <c r="G2184" s="14">
        <v>504.0</v>
      </c>
      <c r="H2184" s="159" t="s">
        <v>30659</v>
      </c>
      <c r="I2184" s="14" t="s">
        <v>21</v>
      </c>
      <c r="J2184" s="14"/>
      <c r="K2184" s="14" t="s">
        <v>39725</v>
      </c>
      <c r="L2184" s="152" t="s">
        <v>4691</v>
      </c>
      <c r="M2184" s="14" t="s">
        <v>880</v>
      </c>
      <c r="N2184" s="54" t="s">
        <v>39726</v>
      </c>
      <c r="O2184" s="130"/>
      <c r="P2184" s="16"/>
      <c r="Q2184" s="14">
        <v>745353.0</v>
      </c>
      <c r="R2184" s="14"/>
      <c r="S2184" s="212"/>
      <c r="T2184" s="30"/>
      <c r="U2184" s="30"/>
      <c r="V2184" s="30"/>
      <c r="W2184" s="30"/>
      <c r="X2184" s="30"/>
      <c r="Y2184" s="30"/>
      <c r="Z2184" s="30"/>
      <c r="AA2184" s="30"/>
      <c r="AB2184" s="30"/>
      <c r="AC2184" s="30"/>
    </row>
    <row r="2185" ht="15.75" customHeight="1">
      <c r="A2185" s="14" t="s">
        <v>17</v>
      </c>
      <c r="B2185" s="14">
        <v>1998.0</v>
      </c>
      <c r="C2185" s="14" t="s">
        <v>4503</v>
      </c>
      <c r="D2185" s="14" t="s">
        <v>4504</v>
      </c>
      <c r="E2185" s="150" t="s">
        <v>4505</v>
      </c>
      <c r="F2185" s="14">
        <v>351.0</v>
      </c>
      <c r="G2185" s="14">
        <v>358.0</v>
      </c>
      <c r="H2185" s="151"/>
      <c r="I2185" s="14" t="s">
        <v>28</v>
      </c>
      <c r="J2185" s="14" t="s">
        <v>39729</v>
      </c>
      <c r="K2185" s="14" t="s">
        <v>39730</v>
      </c>
      <c r="L2185" s="152" t="s">
        <v>4386</v>
      </c>
      <c r="M2185" s="14" t="s">
        <v>39731</v>
      </c>
      <c r="N2185" s="54" t="s">
        <v>39730</v>
      </c>
      <c r="O2185" s="130" t="s">
        <v>38</v>
      </c>
      <c r="P2185" s="153" t="s">
        <v>4507</v>
      </c>
      <c r="Q2185" s="14">
        <v>745323.0</v>
      </c>
      <c r="R2185" s="14"/>
      <c r="S2185" s="212">
        <v>146361.0</v>
      </c>
      <c r="T2185" s="30"/>
      <c r="U2185" s="30"/>
      <c r="V2185" s="30"/>
      <c r="W2185" s="30"/>
      <c r="X2185" s="30"/>
      <c r="Y2185" s="30"/>
      <c r="Z2185" s="30"/>
      <c r="AA2185" s="30"/>
      <c r="AB2185" s="30"/>
      <c r="AC2185" s="30"/>
    </row>
    <row r="2186" ht="15.75" customHeight="1">
      <c r="A2186" s="14" t="s">
        <v>17</v>
      </c>
      <c r="B2186" s="14">
        <v>1998.0</v>
      </c>
      <c r="C2186" s="14" t="s">
        <v>4650</v>
      </c>
      <c r="D2186" s="14" t="s">
        <v>4651</v>
      </c>
      <c r="E2186" s="150" t="s">
        <v>4652</v>
      </c>
      <c r="F2186" s="14">
        <v>471.0</v>
      </c>
      <c r="G2186" s="14">
        <v>474.0</v>
      </c>
      <c r="H2186" s="151"/>
      <c r="I2186" s="14" t="s">
        <v>28</v>
      </c>
      <c r="J2186" s="14" t="s">
        <v>11981</v>
      </c>
      <c r="K2186" s="14" t="s">
        <v>39733</v>
      </c>
      <c r="L2186" s="152" t="s">
        <v>4654</v>
      </c>
      <c r="M2186" s="14" t="s">
        <v>39734</v>
      </c>
      <c r="N2186" s="54" t="s">
        <v>39733</v>
      </c>
      <c r="O2186" s="130" t="s">
        <v>4655</v>
      </c>
      <c r="P2186" s="16"/>
      <c r="Q2186" s="14">
        <v>745346.0</v>
      </c>
      <c r="R2186" s="14"/>
      <c r="S2186" s="212" t="s">
        <v>39735</v>
      </c>
      <c r="T2186" s="30"/>
      <c r="U2186" s="30"/>
      <c r="V2186" s="30"/>
      <c r="W2186" s="30"/>
      <c r="X2186" s="30"/>
      <c r="Y2186" s="30"/>
      <c r="Z2186" s="30"/>
      <c r="AA2186" s="30"/>
      <c r="AB2186" s="30"/>
      <c r="AC2186" s="30"/>
    </row>
    <row r="2187" ht="15.75" customHeight="1">
      <c r="A2187" s="14" t="s">
        <v>17</v>
      </c>
      <c r="B2187" s="14">
        <v>1998.0</v>
      </c>
      <c r="C2187" s="14" t="s">
        <v>4636</v>
      </c>
      <c r="D2187" s="14" t="s">
        <v>4637</v>
      </c>
      <c r="E2187" s="150" t="s">
        <v>4638</v>
      </c>
      <c r="F2187" s="14">
        <v>459.0</v>
      </c>
      <c r="G2187" s="14">
        <v>462.0</v>
      </c>
      <c r="H2187" s="151"/>
      <c r="I2187" s="14" t="s">
        <v>28</v>
      </c>
      <c r="J2187" s="14" t="s">
        <v>11966</v>
      </c>
      <c r="K2187" s="14" t="s">
        <v>8113</v>
      </c>
      <c r="L2187" s="152" t="s">
        <v>4640</v>
      </c>
      <c r="M2187" s="14">
        <v>3.73467844E10</v>
      </c>
      <c r="N2187" s="54" t="s">
        <v>8113</v>
      </c>
      <c r="O2187" s="130"/>
      <c r="P2187" s="16"/>
      <c r="Q2187" s="14">
        <v>745343.0</v>
      </c>
      <c r="R2187" s="14"/>
      <c r="S2187" s="212"/>
      <c r="T2187" s="30"/>
      <c r="U2187" s="30"/>
      <c r="V2187" s="30"/>
      <c r="W2187" s="30"/>
      <c r="X2187" s="30"/>
      <c r="Y2187" s="30"/>
      <c r="Z2187" s="30"/>
      <c r="AA2187" s="30"/>
      <c r="AB2187" s="30"/>
      <c r="AC2187" s="30"/>
    </row>
    <row r="2188" ht="15.75" customHeight="1">
      <c r="A2188" s="14" t="s">
        <v>17</v>
      </c>
      <c r="B2188" s="14">
        <v>1998.0</v>
      </c>
      <c r="C2188" s="14" t="s">
        <v>4549</v>
      </c>
      <c r="D2188" s="14" t="s">
        <v>4550</v>
      </c>
      <c r="E2188" s="150" t="s">
        <v>4551</v>
      </c>
      <c r="F2188" s="14">
        <v>397.0</v>
      </c>
      <c r="G2188" s="14">
        <v>402.0</v>
      </c>
      <c r="H2188" s="151"/>
      <c r="I2188" s="14" t="s">
        <v>28</v>
      </c>
      <c r="J2188" s="14" t="s">
        <v>10805</v>
      </c>
      <c r="K2188" s="14" t="s">
        <v>39737</v>
      </c>
      <c r="L2188" s="152" t="s">
        <v>4555</v>
      </c>
      <c r="M2188" s="14" t="s">
        <v>39738</v>
      </c>
      <c r="N2188" s="54" t="s">
        <v>39739</v>
      </c>
      <c r="O2188" s="130" t="s">
        <v>4557</v>
      </c>
      <c r="P2188" s="153" t="s">
        <v>4558</v>
      </c>
      <c r="Q2188" s="14">
        <v>745329.0</v>
      </c>
      <c r="R2188" s="14"/>
      <c r="S2188" s="212" t="s">
        <v>39740</v>
      </c>
      <c r="T2188" s="30"/>
      <c r="U2188" s="30"/>
      <c r="V2188" s="30"/>
      <c r="W2188" s="30"/>
      <c r="X2188" s="30"/>
      <c r="Y2188" s="30"/>
      <c r="Z2188" s="30"/>
      <c r="AA2188" s="30"/>
      <c r="AB2188" s="30"/>
      <c r="AC2188" s="30"/>
    </row>
    <row r="2189" ht="15.75" customHeight="1">
      <c r="A2189" s="14" t="s">
        <v>17</v>
      </c>
      <c r="B2189" s="14">
        <v>1998.0</v>
      </c>
      <c r="C2189" s="14" t="s">
        <v>4453</v>
      </c>
      <c r="D2189" s="14" t="s">
        <v>4454</v>
      </c>
      <c r="E2189" s="150" t="s">
        <v>4455</v>
      </c>
      <c r="F2189" s="14">
        <v>305.0</v>
      </c>
      <c r="G2189" s="14">
        <v>312.0</v>
      </c>
      <c r="H2189" s="151"/>
      <c r="I2189" s="14" t="s">
        <v>28</v>
      </c>
      <c r="J2189" s="14" t="s">
        <v>10120</v>
      </c>
      <c r="K2189" s="14" t="s">
        <v>39741</v>
      </c>
      <c r="L2189" s="152" t="s">
        <v>4461</v>
      </c>
      <c r="M2189" s="14" t="s">
        <v>39742</v>
      </c>
      <c r="N2189" s="54" t="s">
        <v>39741</v>
      </c>
      <c r="O2189" s="130" t="s">
        <v>4462</v>
      </c>
      <c r="P2189" s="153" t="s">
        <v>4463</v>
      </c>
      <c r="Q2189" s="14">
        <v>745317.0</v>
      </c>
      <c r="R2189" s="14"/>
      <c r="S2189" s="212" t="s">
        <v>39743</v>
      </c>
      <c r="T2189" s="30"/>
      <c r="U2189" s="30"/>
      <c r="V2189" s="30"/>
      <c r="W2189" s="30"/>
      <c r="X2189" s="30"/>
      <c r="Y2189" s="30"/>
      <c r="Z2189" s="30"/>
      <c r="AA2189" s="30"/>
      <c r="AB2189" s="30"/>
      <c r="AC2189" s="30"/>
    </row>
    <row r="2190" ht="15.75" customHeight="1">
      <c r="A2190" s="14" t="s">
        <v>17</v>
      </c>
      <c r="B2190" s="14">
        <v>1998.0</v>
      </c>
      <c r="C2190" s="14" t="s">
        <v>4625</v>
      </c>
      <c r="D2190" s="14" t="s">
        <v>4626</v>
      </c>
      <c r="E2190" s="150" t="s">
        <v>4627</v>
      </c>
      <c r="F2190" s="14">
        <v>451.0</v>
      </c>
      <c r="G2190" s="14">
        <v>454.0</v>
      </c>
      <c r="H2190" s="151"/>
      <c r="I2190" s="14" t="s">
        <v>28</v>
      </c>
      <c r="J2190" s="14" t="s">
        <v>11295</v>
      </c>
      <c r="K2190" s="14" t="s">
        <v>39744</v>
      </c>
      <c r="L2190" s="152" t="s">
        <v>4629</v>
      </c>
      <c r="M2190" s="14" t="s">
        <v>39745</v>
      </c>
      <c r="N2190" s="54" t="s">
        <v>39744</v>
      </c>
      <c r="O2190" s="130" t="s">
        <v>3516</v>
      </c>
      <c r="P2190" s="16"/>
      <c r="Q2190" s="14">
        <v>745341.0</v>
      </c>
      <c r="R2190" s="14"/>
      <c r="S2190" s="212">
        <v>663862.0</v>
      </c>
      <c r="T2190" s="30"/>
      <c r="U2190" s="30"/>
      <c r="V2190" s="30"/>
      <c r="W2190" s="30"/>
      <c r="X2190" s="30"/>
      <c r="Y2190" s="30"/>
      <c r="Z2190" s="30"/>
      <c r="AA2190" s="30"/>
      <c r="AB2190" s="30"/>
      <c r="AC2190" s="30"/>
    </row>
    <row r="2191" ht="15.75" customHeight="1">
      <c r="A2191" s="14" t="s">
        <v>17</v>
      </c>
      <c r="B2191" s="14">
        <v>1998.0</v>
      </c>
      <c r="C2191" s="14" t="s">
        <v>4645</v>
      </c>
      <c r="D2191" s="14" t="s">
        <v>4646</v>
      </c>
      <c r="E2191" s="150" t="s">
        <v>4647</v>
      </c>
      <c r="F2191" s="14">
        <v>467.0</v>
      </c>
      <c r="G2191" s="14">
        <v>470.0</v>
      </c>
      <c r="H2191" s="151"/>
      <c r="I2191" s="14" t="s">
        <v>28</v>
      </c>
      <c r="J2191" s="14" t="s">
        <v>11978</v>
      </c>
      <c r="K2191" s="14" t="s">
        <v>39747</v>
      </c>
      <c r="L2191" s="152" t="s">
        <v>4649</v>
      </c>
      <c r="M2191" s="14" t="s">
        <v>39748</v>
      </c>
      <c r="N2191" s="54" t="s">
        <v>39747</v>
      </c>
      <c r="O2191" s="130"/>
      <c r="P2191" s="16"/>
      <c r="Q2191" s="14">
        <v>745345.0</v>
      </c>
      <c r="R2191" s="14"/>
      <c r="S2191" s="212"/>
      <c r="T2191" s="30"/>
      <c r="U2191" s="30"/>
      <c r="V2191" s="30"/>
      <c r="W2191" s="30"/>
      <c r="X2191" s="30"/>
      <c r="Y2191" s="30"/>
      <c r="Z2191" s="30"/>
      <c r="AA2191" s="30"/>
      <c r="AB2191" s="30"/>
      <c r="AC2191" s="30"/>
    </row>
    <row r="2192" ht="15.75" customHeight="1">
      <c r="A2192" s="14" t="s">
        <v>17</v>
      </c>
      <c r="B2192" s="14">
        <v>1998.0</v>
      </c>
      <c r="C2192" s="14" t="s">
        <v>4661</v>
      </c>
      <c r="D2192" s="14" t="s">
        <v>4662</v>
      </c>
      <c r="E2192" s="150" t="s">
        <v>4663</v>
      </c>
      <c r="F2192" s="14">
        <v>479.0</v>
      </c>
      <c r="G2192" s="14">
        <v>481.0</v>
      </c>
      <c r="H2192" s="151"/>
      <c r="I2192" s="14" t="s">
        <v>28</v>
      </c>
      <c r="J2192" s="14" t="s">
        <v>39749</v>
      </c>
      <c r="K2192" s="14" t="s">
        <v>39750</v>
      </c>
      <c r="L2192" s="152" t="s">
        <v>4665</v>
      </c>
      <c r="M2192" s="14" t="s">
        <v>39751</v>
      </c>
      <c r="N2192" s="54" t="s">
        <v>39750</v>
      </c>
      <c r="O2192" s="130"/>
      <c r="P2192" s="16"/>
      <c r="Q2192" s="14">
        <v>745348.0</v>
      </c>
      <c r="R2192" s="14"/>
      <c r="S2192" s="212"/>
      <c r="T2192" s="30"/>
      <c r="U2192" s="30"/>
      <c r="V2192" s="30"/>
      <c r="W2192" s="30"/>
      <c r="X2192" s="30"/>
      <c r="Y2192" s="30"/>
      <c r="Z2192" s="30"/>
      <c r="AA2192" s="30"/>
      <c r="AB2192" s="30"/>
      <c r="AC2192" s="30"/>
    </row>
    <row r="2193" ht="15.75" customHeight="1">
      <c r="A2193" s="14" t="s">
        <v>17</v>
      </c>
      <c r="B2193" s="14">
        <v>1998.0</v>
      </c>
      <c r="C2193" s="14" t="s">
        <v>4578</v>
      </c>
      <c r="D2193" s="14" t="s">
        <v>4579</v>
      </c>
      <c r="E2193" s="150" t="s">
        <v>4580</v>
      </c>
      <c r="F2193" s="14">
        <v>419.0</v>
      </c>
      <c r="G2193" s="14">
        <v>422.0</v>
      </c>
      <c r="H2193" s="151"/>
      <c r="I2193" s="14" t="s">
        <v>28</v>
      </c>
      <c r="J2193" s="14" t="s">
        <v>10976</v>
      </c>
      <c r="K2193" s="14" t="s">
        <v>39754</v>
      </c>
      <c r="L2193" s="152" t="s">
        <v>4584</v>
      </c>
      <c r="M2193" s="14" t="s">
        <v>39755</v>
      </c>
      <c r="N2193" s="54" t="s">
        <v>39754</v>
      </c>
      <c r="O2193" s="130" t="s">
        <v>4585</v>
      </c>
      <c r="P2193" s="16"/>
      <c r="Q2193" s="14">
        <v>745333.0</v>
      </c>
      <c r="R2193" s="14"/>
      <c r="S2193" s="212" t="s">
        <v>39756</v>
      </c>
      <c r="T2193" s="30"/>
      <c r="U2193" s="30"/>
      <c r="V2193" s="30"/>
      <c r="W2193" s="30"/>
      <c r="X2193" s="30"/>
      <c r="Y2193" s="30"/>
      <c r="Z2193" s="30"/>
      <c r="AA2193" s="30"/>
      <c r="AB2193" s="30"/>
      <c r="AC2193" s="30"/>
    </row>
    <row r="2194" ht="15.75" customHeight="1">
      <c r="A2194" s="14" t="s">
        <v>17</v>
      </c>
      <c r="B2194" s="14">
        <v>1998.0</v>
      </c>
      <c r="C2194" s="14" t="s">
        <v>4437</v>
      </c>
      <c r="D2194" s="14" t="s">
        <v>4438</v>
      </c>
      <c r="E2194" s="150" t="s">
        <v>4439</v>
      </c>
      <c r="F2194" s="14">
        <v>287.0</v>
      </c>
      <c r="G2194" s="14">
        <v>295.0</v>
      </c>
      <c r="H2194" s="151"/>
      <c r="I2194" s="14" t="s">
        <v>28</v>
      </c>
      <c r="J2194" s="14" t="s">
        <v>10009</v>
      </c>
      <c r="K2194" s="14" t="s">
        <v>39759</v>
      </c>
      <c r="L2194" s="152" t="s">
        <v>4441</v>
      </c>
      <c r="M2194" s="14" t="s">
        <v>39760</v>
      </c>
      <c r="N2194" s="54" t="s">
        <v>39759</v>
      </c>
      <c r="O2194" s="130" t="s">
        <v>4442</v>
      </c>
      <c r="P2194" s="153" t="s">
        <v>4443</v>
      </c>
      <c r="Q2194" s="14">
        <v>745315.0</v>
      </c>
      <c r="R2194" s="14"/>
      <c r="S2194" s="212" t="s">
        <v>39761</v>
      </c>
      <c r="T2194" s="30"/>
      <c r="U2194" s="30"/>
      <c r="V2194" s="30"/>
      <c r="W2194" s="30"/>
      <c r="X2194" s="30"/>
      <c r="Y2194" s="30"/>
      <c r="Z2194" s="30"/>
      <c r="AA2194" s="30"/>
      <c r="AB2194" s="30"/>
      <c r="AC2194" s="30"/>
    </row>
    <row r="2195" ht="15.75" customHeight="1">
      <c r="A2195" s="14" t="s">
        <v>17</v>
      </c>
      <c r="B2195" s="14">
        <v>1998.0</v>
      </c>
      <c r="C2195" s="14" t="s">
        <v>4414</v>
      </c>
      <c r="D2195" s="14" t="s">
        <v>4415</v>
      </c>
      <c r="E2195" s="150" t="s">
        <v>4416</v>
      </c>
      <c r="F2195" s="14">
        <v>263.0</v>
      </c>
      <c r="G2195" s="14">
        <v>269.0</v>
      </c>
      <c r="H2195" s="151"/>
      <c r="I2195" s="14" t="s">
        <v>28</v>
      </c>
      <c r="J2195" s="14" t="s">
        <v>9860</v>
      </c>
      <c r="K2195" s="14" t="s">
        <v>39763</v>
      </c>
      <c r="L2195" s="152" t="s">
        <v>4418</v>
      </c>
      <c r="M2195" s="14" t="s">
        <v>39764</v>
      </c>
      <c r="N2195" s="54" t="s">
        <v>39763</v>
      </c>
      <c r="O2195" s="130" t="s">
        <v>3736</v>
      </c>
      <c r="P2195" s="153" t="s">
        <v>4419</v>
      </c>
      <c r="Q2195" s="14">
        <v>745312.0</v>
      </c>
      <c r="R2195" s="14"/>
      <c r="S2195" s="212">
        <v>663908.0</v>
      </c>
      <c r="T2195" s="30"/>
      <c r="U2195" s="30"/>
      <c r="V2195" s="30"/>
      <c r="W2195" s="30"/>
      <c r="X2195" s="30"/>
      <c r="Y2195" s="30"/>
      <c r="Z2195" s="30"/>
      <c r="AA2195" s="30"/>
      <c r="AB2195" s="30"/>
      <c r="AC2195" s="30"/>
    </row>
    <row r="2196" ht="15.75" customHeight="1">
      <c r="A2196" s="14" t="s">
        <v>17</v>
      </c>
      <c r="B2196" s="14">
        <v>1998.0</v>
      </c>
      <c r="C2196" s="14" t="s">
        <v>4518</v>
      </c>
      <c r="D2196" s="14" t="s">
        <v>4519</v>
      </c>
      <c r="E2196" s="150" t="s">
        <v>4520</v>
      </c>
      <c r="F2196" s="14">
        <v>367.0</v>
      </c>
      <c r="G2196" s="14">
        <v>373.0</v>
      </c>
      <c r="H2196" s="151"/>
      <c r="I2196" s="14" t="s">
        <v>28</v>
      </c>
      <c r="J2196" s="14" t="s">
        <v>39767</v>
      </c>
      <c r="K2196" s="14" t="s">
        <v>39768</v>
      </c>
      <c r="L2196" s="152" t="s">
        <v>4524</v>
      </c>
      <c r="M2196" s="14" t="s">
        <v>39769</v>
      </c>
      <c r="N2196" s="54" t="s">
        <v>39768</v>
      </c>
      <c r="O2196" s="130"/>
      <c r="P2196" s="16"/>
      <c r="Q2196" s="14">
        <v>745325.0</v>
      </c>
      <c r="R2196" s="14"/>
      <c r="S2196" s="212"/>
      <c r="T2196" s="30"/>
      <c r="U2196" s="30"/>
      <c r="V2196" s="30"/>
      <c r="W2196" s="30"/>
      <c r="X2196" s="30"/>
      <c r="Y2196" s="30"/>
      <c r="Z2196" s="30"/>
      <c r="AA2196" s="30"/>
      <c r="AB2196" s="30"/>
      <c r="AC2196" s="30"/>
    </row>
    <row r="2197" ht="15.75" customHeight="1">
      <c r="A2197" s="14" t="s">
        <v>17</v>
      </c>
      <c r="B2197" s="14">
        <v>1998.0</v>
      </c>
      <c r="C2197" s="14" t="s">
        <v>4114</v>
      </c>
      <c r="D2197" s="14" t="s">
        <v>4115</v>
      </c>
      <c r="E2197" s="150" t="s">
        <v>4116</v>
      </c>
      <c r="F2197" s="14">
        <v>35.0</v>
      </c>
      <c r="G2197" s="14">
        <v>42.0</v>
      </c>
      <c r="H2197" s="151"/>
      <c r="I2197" s="14" t="s">
        <v>28</v>
      </c>
      <c r="J2197" s="14" t="s">
        <v>7419</v>
      </c>
      <c r="K2197" s="14" t="s">
        <v>8254</v>
      </c>
      <c r="L2197" s="152" t="s">
        <v>4121</v>
      </c>
      <c r="M2197" s="14">
        <v>3.73601112E10</v>
      </c>
      <c r="N2197" s="54" t="s">
        <v>8254</v>
      </c>
      <c r="O2197" s="130" t="s">
        <v>4122</v>
      </c>
      <c r="P2197" s="16"/>
      <c r="Q2197" s="14">
        <v>745282.0</v>
      </c>
      <c r="R2197" s="14"/>
      <c r="S2197" s="212" t="s">
        <v>39771</v>
      </c>
      <c r="T2197" s="30"/>
      <c r="U2197" s="30"/>
      <c r="V2197" s="30"/>
      <c r="W2197" s="30"/>
      <c r="X2197" s="30"/>
      <c r="Y2197" s="30"/>
      <c r="Z2197" s="30"/>
      <c r="AA2197" s="30"/>
      <c r="AB2197" s="30"/>
      <c r="AC2197" s="30"/>
    </row>
    <row r="2198" ht="15.75" customHeight="1">
      <c r="A2198" s="14" t="s">
        <v>17</v>
      </c>
      <c r="B2198" s="14">
        <v>1998.0</v>
      </c>
      <c r="C2198" s="14" t="s">
        <v>4616</v>
      </c>
      <c r="D2198" s="14" t="s">
        <v>4617</v>
      </c>
      <c r="E2198" s="150" t="s">
        <v>4618</v>
      </c>
      <c r="F2198" s="14">
        <v>443.0</v>
      </c>
      <c r="G2198" s="14">
        <v>446.0</v>
      </c>
      <c r="H2198" s="151"/>
      <c r="I2198" s="14" t="s">
        <v>28</v>
      </c>
      <c r="J2198" s="14" t="s">
        <v>11202</v>
      </c>
      <c r="K2198" s="14" t="s">
        <v>39773</v>
      </c>
      <c r="L2198" s="152" t="s">
        <v>2678</v>
      </c>
      <c r="M2198" s="14" t="s">
        <v>39774</v>
      </c>
      <c r="N2198" s="54" t="s">
        <v>39775</v>
      </c>
      <c r="O2198" s="130"/>
      <c r="P2198" s="16"/>
      <c r="Q2198" s="14">
        <v>745339.0</v>
      </c>
      <c r="R2198" s="14"/>
      <c r="S2198" s="212"/>
      <c r="T2198" s="30"/>
      <c r="U2198" s="30"/>
      <c r="V2198" s="30"/>
      <c r="W2198" s="30"/>
      <c r="X2198" s="30"/>
      <c r="Y2198" s="30"/>
      <c r="Z2198" s="30"/>
      <c r="AA2198" s="30"/>
      <c r="AB2198" s="30"/>
      <c r="AC2198" s="30"/>
    </row>
    <row r="2199" ht="15.75" customHeight="1">
      <c r="A2199" s="14" t="s">
        <v>17</v>
      </c>
      <c r="B2199" s="14">
        <v>1998.0</v>
      </c>
      <c r="C2199" s="14" t="s">
        <v>4147</v>
      </c>
      <c r="D2199" s="14" t="s">
        <v>4148</v>
      </c>
      <c r="E2199" s="150" t="s">
        <v>4149</v>
      </c>
      <c r="F2199" s="14">
        <v>67.0</v>
      </c>
      <c r="G2199" s="14">
        <v>72.0</v>
      </c>
      <c r="H2199" s="151"/>
      <c r="I2199" s="14" t="s">
        <v>28</v>
      </c>
      <c r="J2199" s="14" t="s">
        <v>39777</v>
      </c>
      <c r="K2199" s="14" t="s">
        <v>39778</v>
      </c>
      <c r="L2199" s="152" t="s">
        <v>4158</v>
      </c>
      <c r="M2199" s="14" t="s">
        <v>39779</v>
      </c>
      <c r="N2199" s="54" t="s">
        <v>39778</v>
      </c>
      <c r="O2199" s="130"/>
      <c r="P2199" s="16"/>
      <c r="Q2199" s="14">
        <v>745286.0</v>
      </c>
      <c r="R2199" s="14"/>
      <c r="S2199" s="212"/>
      <c r="T2199" s="30"/>
      <c r="U2199" s="30"/>
      <c r="V2199" s="30"/>
      <c r="W2199" s="30"/>
      <c r="X2199" s="30"/>
      <c r="Y2199" s="30"/>
      <c r="Z2199" s="30"/>
      <c r="AA2199" s="30"/>
      <c r="AB2199" s="30"/>
      <c r="AC2199" s="30"/>
    </row>
    <row r="2200" ht="15.75" customHeight="1">
      <c r="A2200" s="14" t="s">
        <v>17</v>
      </c>
      <c r="B2200" s="14">
        <v>1998.0</v>
      </c>
      <c r="C2200" s="14" t="s">
        <v>4559</v>
      </c>
      <c r="D2200" s="14" t="s">
        <v>4560</v>
      </c>
      <c r="E2200" s="150" t="s">
        <v>4561</v>
      </c>
      <c r="F2200" s="14">
        <v>405.0</v>
      </c>
      <c r="G2200" s="14">
        <v>409.0</v>
      </c>
      <c r="H2200" s="151"/>
      <c r="I2200" s="14" t="s">
        <v>28</v>
      </c>
      <c r="J2200" s="14" t="s">
        <v>10852</v>
      </c>
      <c r="K2200" s="14" t="s">
        <v>11091</v>
      </c>
      <c r="L2200" s="152" t="s">
        <v>1158</v>
      </c>
      <c r="M2200" s="14">
        <v>3.73721755E10</v>
      </c>
      <c r="N2200" s="54" t="s">
        <v>11091</v>
      </c>
      <c r="O2200" s="130" t="s">
        <v>4565</v>
      </c>
      <c r="P2200" s="16"/>
      <c r="Q2200" s="14">
        <v>745330.0</v>
      </c>
      <c r="R2200" s="14"/>
      <c r="S2200" s="212" t="s">
        <v>39780</v>
      </c>
      <c r="T2200" s="30"/>
      <c r="U2200" s="30"/>
      <c r="V2200" s="30"/>
      <c r="W2200" s="30"/>
      <c r="X2200" s="30"/>
      <c r="Y2200" s="30"/>
      <c r="Z2200" s="30"/>
      <c r="AA2200" s="30"/>
      <c r="AB2200" s="30"/>
      <c r="AC2200" s="30"/>
    </row>
    <row r="2201" ht="15.75" customHeight="1">
      <c r="A2201" s="14" t="s">
        <v>17</v>
      </c>
      <c r="B2201" s="14">
        <v>1998.0</v>
      </c>
      <c r="C2201" s="14" t="s">
        <v>4302</v>
      </c>
      <c r="D2201" s="14" t="s">
        <v>4303</v>
      </c>
      <c r="E2201" s="150" t="s">
        <v>4304</v>
      </c>
      <c r="F2201" s="14">
        <v>181.0</v>
      </c>
      <c r="G2201" s="14">
        <v>188.0</v>
      </c>
      <c r="H2201" s="151"/>
      <c r="I2201" s="14" t="s">
        <v>28</v>
      </c>
      <c r="J2201" s="14" t="s">
        <v>9306</v>
      </c>
      <c r="K2201" s="14" t="s">
        <v>39784</v>
      </c>
      <c r="L2201" s="152" t="s">
        <v>4341</v>
      </c>
      <c r="M2201" s="14" t="s">
        <v>39785</v>
      </c>
      <c r="N2201" s="54" t="s">
        <v>39784</v>
      </c>
      <c r="O2201" s="130" t="s">
        <v>4342</v>
      </c>
      <c r="P2201" s="153" t="s">
        <v>4343</v>
      </c>
      <c r="Q2201" s="14">
        <v>745301.0</v>
      </c>
      <c r="R2201" s="14"/>
      <c r="S2201" s="212" t="s">
        <v>39786</v>
      </c>
      <c r="T2201" s="30"/>
      <c r="U2201" s="30"/>
      <c r="V2201" s="30"/>
      <c r="W2201" s="30"/>
      <c r="X2201" s="30"/>
      <c r="Y2201" s="30"/>
      <c r="Z2201" s="30"/>
      <c r="AA2201" s="30"/>
      <c r="AB2201" s="30"/>
      <c r="AC2201" s="30"/>
    </row>
    <row r="2202" ht="15.75" customHeight="1">
      <c r="A2202" s="14" t="s">
        <v>17</v>
      </c>
      <c r="B2202" s="14">
        <v>1998.0</v>
      </c>
      <c r="C2202" s="14" t="s">
        <v>4671</v>
      </c>
      <c r="D2202" s="14" t="s">
        <v>4672</v>
      </c>
      <c r="E2202" s="150" t="s">
        <v>4673</v>
      </c>
      <c r="F2202" s="14">
        <v>487.0</v>
      </c>
      <c r="G2202" s="14">
        <v>490.0</v>
      </c>
      <c r="H2202" s="151"/>
      <c r="I2202" s="14" t="s">
        <v>28</v>
      </c>
      <c r="J2202" s="14" t="s">
        <v>39788</v>
      </c>
      <c r="K2202" s="14" t="s">
        <v>39789</v>
      </c>
      <c r="L2202" s="152" t="s">
        <v>4675</v>
      </c>
      <c r="M2202" s="14" t="s">
        <v>39790</v>
      </c>
      <c r="N2202" s="54" t="s">
        <v>39789</v>
      </c>
      <c r="O2202" s="130"/>
      <c r="P2202" s="16"/>
      <c r="Q2202" s="14">
        <v>745350.0</v>
      </c>
      <c r="R2202" s="14"/>
      <c r="S2202" s="212"/>
      <c r="T2202" s="30"/>
      <c r="U2202" s="30"/>
      <c r="V2202" s="30"/>
      <c r="W2202" s="30"/>
      <c r="X2202" s="30"/>
      <c r="Y2202" s="30"/>
      <c r="Z2202" s="30"/>
      <c r="AA2202" s="30"/>
      <c r="AB2202" s="30"/>
      <c r="AC2202" s="30"/>
    </row>
    <row r="2203" ht="15.75" customHeight="1">
      <c r="A2203" s="14" t="s">
        <v>17</v>
      </c>
      <c r="B2203" s="14">
        <v>1998.0</v>
      </c>
      <c r="C2203" s="14" t="s">
        <v>4344</v>
      </c>
      <c r="D2203" s="14" t="s">
        <v>4345</v>
      </c>
      <c r="E2203" s="150" t="s">
        <v>4346</v>
      </c>
      <c r="F2203" s="14">
        <v>189.0</v>
      </c>
      <c r="G2203" s="14">
        <v>196.0</v>
      </c>
      <c r="H2203" s="151"/>
      <c r="I2203" s="14" t="s">
        <v>28</v>
      </c>
      <c r="J2203" s="14" t="s">
        <v>39792</v>
      </c>
      <c r="K2203" s="14" t="s">
        <v>39793</v>
      </c>
      <c r="L2203" s="152" t="s">
        <v>4092</v>
      </c>
      <c r="M2203" s="14" t="s">
        <v>39794</v>
      </c>
      <c r="N2203" s="54" t="s">
        <v>39795</v>
      </c>
      <c r="O2203" s="130" t="s">
        <v>4350</v>
      </c>
      <c r="P2203" s="153" t="s">
        <v>4351</v>
      </c>
      <c r="Q2203" s="14">
        <v>745302.0</v>
      </c>
      <c r="R2203" s="14"/>
      <c r="S2203" s="212" t="s">
        <v>39796</v>
      </c>
      <c r="T2203" s="30"/>
      <c r="U2203" s="30"/>
      <c r="V2203" s="30"/>
      <c r="W2203" s="30"/>
      <c r="X2203" s="30"/>
      <c r="Y2203" s="30"/>
      <c r="Z2203" s="30"/>
      <c r="AA2203" s="30"/>
      <c r="AB2203" s="30"/>
      <c r="AC2203" s="30"/>
    </row>
    <row r="2204" ht="15.75" customHeight="1">
      <c r="A2204" s="14" t="s">
        <v>17</v>
      </c>
      <c r="B2204" s="14">
        <v>1998.0</v>
      </c>
      <c r="C2204" s="14" t="s">
        <v>4205</v>
      </c>
      <c r="D2204" s="14" t="s">
        <v>4206</v>
      </c>
      <c r="E2204" s="150" t="s">
        <v>4207</v>
      </c>
      <c r="F2204" s="14">
        <v>79.0</v>
      </c>
      <c r="G2204" s="14">
        <v>86.0</v>
      </c>
      <c r="H2204" s="151"/>
      <c r="I2204" s="14" t="s">
        <v>28</v>
      </c>
      <c r="J2204" s="14" t="s">
        <v>7606</v>
      </c>
      <c r="K2204" s="14" t="s">
        <v>39798</v>
      </c>
      <c r="L2204" s="152" t="s">
        <v>2977</v>
      </c>
      <c r="M2204" s="14" t="s">
        <v>39799</v>
      </c>
      <c r="N2204" s="54" t="s">
        <v>39798</v>
      </c>
      <c r="O2204" s="130" t="s">
        <v>4211</v>
      </c>
      <c r="P2204" s="153" t="s">
        <v>4212</v>
      </c>
      <c r="Q2204" s="14">
        <v>745288.0</v>
      </c>
      <c r="R2204" s="14"/>
      <c r="S2204" s="212" t="s">
        <v>39800</v>
      </c>
      <c r="T2204" s="30"/>
      <c r="U2204" s="30"/>
      <c r="V2204" s="30"/>
      <c r="W2204" s="30"/>
      <c r="X2204" s="30"/>
      <c r="Y2204" s="30"/>
      <c r="Z2204" s="30"/>
      <c r="AA2204" s="30"/>
      <c r="AB2204" s="30"/>
      <c r="AC2204" s="30"/>
    </row>
    <row r="2205" ht="15.75" customHeight="1">
      <c r="A2205" s="14" t="s">
        <v>17</v>
      </c>
      <c r="B2205" s="14">
        <v>1998.0</v>
      </c>
      <c r="C2205" s="14" t="s">
        <v>4297</v>
      </c>
      <c r="D2205" s="14" t="s">
        <v>4298</v>
      </c>
      <c r="E2205" s="150" t="s">
        <v>4299</v>
      </c>
      <c r="F2205" s="14">
        <v>175.0</v>
      </c>
      <c r="G2205" s="14">
        <v>180.0</v>
      </c>
      <c r="H2205" s="151"/>
      <c r="I2205" s="14" t="s">
        <v>28</v>
      </c>
      <c r="J2205" s="14" t="s">
        <v>9275</v>
      </c>
      <c r="K2205" s="14" t="s">
        <v>39801</v>
      </c>
      <c r="L2205" s="152" t="s">
        <v>1313</v>
      </c>
      <c r="M2205" s="14" t="s">
        <v>39802</v>
      </c>
      <c r="N2205" s="54" t="s">
        <v>39801</v>
      </c>
      <c r="O2205" s="130" t="s">
        <v>4301</v>
      </c>
      <c r="P2205" s="16"/>
      <c r="Q2205" s="14">
        <v>745300.0</v>
      </c>
      <c r="R2205" s="14"/>
      <c r="S2205" s="212" t="s">
        <v>39803</v>
      </c>
      <c r="T2205" s="30"/>
      <c r="U2205" s="30"/>
      <c r="V2205" s="30"/>
      <c r="W2205" s="30"/>
      <c r="X2205" s="30"/>
      <c r="Y2205" s="30"/>
      <c r="Z2205" s="30"/>
      <c r="AA2205" s="30"/>
      <c r="AB2205" s="30"/>
      <c r="AC2205" s="30"/>
    </row>
    <row r="2206" ht="15.75" customHeight="1">
      <c r="A2206" s="14" t="s">
        <v>17</v>
      </c>
      <c r="B2206" s="14">
        <v>1998.0</v>
      </c>
      <c r="C2206" s="14" t="s">
        <v>4586</v>
      </c>
      <c r="D2206" s="14" t="s">
        <v>4587</v>
      </c>
      <c r="E2206" s="150" t="s">
        <v>4588</v>
      </c>
      <c r="F2206" s="14">
        <v>423.0</v>
      </c>
      <c r="G2206" s="14">
        <v>426.0</v>
      </c>
      <c r="H2206" s="151"/>
      <c r="I2206" s="14" t="s">
        <v>28</v>
      </c>
      <c r="J2206" s="14" t="s">
        <v>11022</v>
      </c>
      <c r="K2206" s="14" t="s">
        <v>39804</v>
      </c>
      <c r="L2206" s="152" t="s">
        <v>2638</v>
      </c>
      <c r="M2206" s="14" t="s">
        <v>39805</v>
      </c>
      <c r="N2206" s="54" t="s">
        <v>39806</v>
      </c>
      <c r="O2206" s="130" t="s">
        <v>2755</v>
      </c>
      <c r="P2206" s="16"/>
      <c r="Q2206" s="14">
        <v>745334.0</v>
      </c>
      <c r="R2206" s="14"/>
      <c r="S2206" s="212">
        <v>559214.0</v>
      </c>
      <c r="T2206" s="30"/>
      <c r="U2206" s="30"/>
      <c r="V2206" s="30"/>
      <c r="W2206" s="30"/>
      <c r="X2206" s="30"/>
      <c r="Y2206" s="30"/>
      <c r="Z2206" s="30"/>
      <c r="AA2206" s="30"/>
      <c r="AB2206" s="30"/>
      <c r="AC2206" s="30"/>
    </row>
    <row r="2207" ht="15.75" customHeight="1">
      <c r="A2207" s="14" t="s">
        <v>17</v>
      </c>
      <c r="B2207" s="14">
        <v>1998.0</v>
      </c>
      <c r="C2207" s="14" t="s">
        <v>4676</v>
      </c>
      <c r="D2207" s="14" t="s">
        <v>4677</v>
      </c>
      <c r="E2207" s="150" t="s">
        <v>4678</v>
      </c>
      <c r="F2207" s="14">
        <v>491.0</v>
      </c>
      <c r="G2207" s="14">
        <v>494.0</v>
      </c>
      <c r="H2207" s="151"/>
      <c r="I2207" s="14" t="s">
        <v>28</v>
      </c>
      <c r="J2207" s="14" t="s">
        <v>12000</v>
      </c>
      <c r="K2207" s="14" t="s">
        <v>39808</v>
      </c>
      <c r="L2207" s="152" t="s">
        <v>4680</v>
      </c>
      <c r="M2207" s="14" t="s">
        <v>39809</v>
      </c>
      <c r="N2207" s="54" t="s">
        <v>39808</v>
      </c>
      <c r="O2207" s="130" t="s">
        <v>4681</v>
      </c>
      <c r="P2207" s="16"/>
      <c r="Q2207" s="14">
        <v>745351.0</v>
      </c>
      <c r="R2207" s="14"/>
      <c r="S2207" s="212" t="s">
        <v>39810</v>
      </c>
      <c r="T2207" s="30"/>
      <c r="U2207" s="30"/>
      <c r="V2207" s="30"/>
      <c r="W2207" s="30"/>
      <c r="X2207" s="30"/>
      <c r="Y2207" s="30"/>
      <c r="Z2207" s="30"/>
      <c r="AA2207" s="30"/>
      <c r="AB2207" s="30"/>
      <c r="AC2207" s="30"/>
    </row>
    <row r="2208" ht="15.75" customHeight="1">
      <c r="A2208" s="14" t="s">
        <v>17</v>
      </c>
      <c r="B2208" s="14">
        <v>1998.0</v>
      </c>
      <c r="C2208" s="14" t="s">
        <v>4592</v>
      </c>
      <c r="D2208" s="14" t="s">
        <v>4593</v>
      </c>
      <c r="E2208" s="150" t="s">
        <v>4594</v>
      </c>
      <c r="F2208" s="14">
        <v>427.0</v>
      </c>
      <c r="G2208" s="14">
        <v>430.0</v>
      </c>
      <c r="H2208" s="151"/>
      <c r="I2208" s="14" t="s">
        <v>28</v>
      </c>
      <c r="J2208" s="14" t="s">
        <v>11068</v>
      </c>
      <c r="K2208" s="14" t="s">
        <v>39812</v>
      </c>
      <c r="L2208" s="152" t="s">
        <v>4596</v>
      </c>
      <c r="M2208" s="14" t="s">
        <v>39813</v>
      </c>
      <c r="N2208" s="54" t="s">
        <v>39812</v>
      </c>
      <c r="O2208" s="130"/>
      <c r="P2208" s="16"/>
      <c r="Q2208" s="14">
        <v>745335.0</v>
      </c>
      <c r="R2208" s="14"/>
      <c r="S2208" s="212"/>
      <c r="T2208" s="30"/>
      <c r="U2208" s="30"/>
      <c r="V2208" s="30"/>
      <c r="W2208" s="30"/>
      <c r="X2208" s="30"/>
      <c r="Y2208" s="30"/>
      <c r="Z2208" s="30"/>
      <c r="AA2208" s="30"/>
      <c r="AB2208" s="30"/>
      <c r="AC2208" s="30"/>
    </row>
    <row r="2209" ht="15.75" customHeight="1">
      <c r="A2209" s="14" t="s">
        <v>17</v>
      </c>
      <c r="B2209" s="14">
        <v>1998.0</v>
      </c>
      <c r="C2209" s="14" t="s">
        <v>4130</v>
      </c>
      <c r="D2209" s="14" t="s">
        <v>4131</v>
      </c>
      <c r="E2209" s="150" t="s">
        <v>4132</v>
      </c>
      <c r="F2209" s="14">
        <v>51.0</v>
      </c>
      <c r="G2209" s="14">
        <v>58.0</v>
      </c>
      <c r="H2209" s="151"/>
      <c r="I2209" s="14" t="s">
        <v>28</v>
      </c>
      <c r="J2209" s="14" t="s">
        <v>7483</v>
      </c>
      <c r="K2209" s="14" t="s">
        <v>39815</v>
      </c>
      <c r="L2209" s="152" t="s">
        <v>4135</v>
      </c>
      <c r="M2209" s="14" t="s">
        <v>39816</v>
      </c>
      <c r="N2209" s="54" t="s">
        <v>39815</v>
      </c>
      <c r="O2209" s="130" t="s">
        <v>4136</v>
      </c>
      <c r="P2209" s="153" t="s">
        <v>4137</v>
      </c>
      <c r="Q2209" s="14">
        <v>745284.0</v>
      </c>
      <c r="R2209" s="14"/>
      <c r="S2209" s="212" t="s">
        <v>39817</v>
      </c>
      <c r="T2209" s="30"/>
      <c r="U2209" s="30"/>
      <c r="V2209" s="30"/>
      <c r="W2209" s="30"/>
      <c r="X2209" s="30"/>
      <c r="Y2209" s="30"/>
      <c r="Z2209" s="30"/>
      <c r="AA2209" s="30"/>
      <c r="AB2209" s="30"/>
      <c r="AC2209" s="30"/>
    </row>
    <row r="2210" ht="15.75" customHeight="1">
      <c r="A2210" s="14" t="s">
        <v>17</v>
      </c>
      <c r="B2210" s="14">
        <v>1998.0</v>
      </c>
      <c r="C2210" s="14" t="s">
        <v>4372</v>
      </c>
      <c r="D2210" s="14" t="s">
        <v>4373</v>
      </c>
      <c r="E2210" s="150" t="s">
        <v>4374</v>
      </c>
      <c r="F2210" s="14">
        <v>217.0</v>
      </c>
      <c r="G2210" s="14">
        <v>224.0</v>
      </c>
      <c r="H2210" s="151"/>
      <c r="I2210" s="14" t="s">
        <v>28</v>
      </c>
      <c r="J2210" s="14" t="s">
        <v>9571</v>
      </c>
      <c r="K2210" s="14" t="s">
        <v>39820</v>
      </c>
      <c r="L2210" s="152" t="s">
        <v>4376</v>
      </c>
      <c r="M2210" s="14" t="s">
        <v>39821</v>
      </c>
      <c r="N2210" s="54" t="s">
        <v>39820</v>
      </c>
      <c r="O2210" s="130" t="s">
        <v>3686</v>
      </c>
      <c r="P2210" s="153" t="s">
        <v>4377</v>
      </c>
      <c r="Q2210" s="14">
        <v>745306.0</v>
      </c>
      <c r="R2210" s="14"/>
      <c r="S2210" s="212">
        <v>663899.0</v>
      </c>
      <c r="T2210" s="30"/>
      <c r="U2210" s="30"/>
      <c r="V2210" s="30"/>
      <c r="W2210" s="30"/>
      <c r="X2210" s="30"/>
      <c r="Y2210" s="30"/>
      <c r="Z2210" s="30"/>
      <c r="AA2210" s="30"/>
      <c r="AB2210" s="30"/>
      <c r="AC2210" s="30"/>
    </row>
    <row r="2211" ht="15.75" customHeight="1">
      <c r="A2211" s="14" t="s">
        <v>17</v>
      </c>
      <c r="B2211" s="14">
        <v>1998.0</v>
      </c>
      <c r="C2211" s="14" t="s">
        <v>4252</v>
      </c>
      <c r="D2211" s="14" t="s">
        <v>4253</v>
      </c>
      <c r="E2211" s="150" t="s">
        <v>4254</v>
      </c>
      <c r="F2211" s="14">
        <v>127.0</v>
      </c>
      <c r="G2211" s="14">
        <v>134.0</v>
      </c>
      <c r="H2211" s="151"/>
      <c r="I2211" s="14" t="s">
        <v>28</v>
      </c>
      <c r="J2211" s="14" t="s">
        <v>9053</v>
      </c>
      <c r="K2211" s="14" t="s">
        <v>39822</v>
      </c>
      <c r="L2211" s="152" t="s">
        <v>4256</v>
      </c>
      <c r="M2211" s="14" t="s">
        <v>39823</v>
      </c>
      <c r="N2211" s="54" t="s">
        <v>39822</v>
      </c>
      <c r="O2211" s="130" t="s">
        <v>1135</v>
      </c>
      <c r="P2211" s="153" t="s">
        <v>4257</v>
      </c>
      <c r="Q2211" s="14">
        <v>745294.0</v>
      </c>
      <c r="R2211" s="14"/>
      <c r="S2211" s="212">
        <v>235201.0</v>
      </c>
      <c r="T2211" s="30"/>
      <c r="U2211" s="30"/>
      <c r="V2211" s="30"/>
      <c r="W2211" s="30"/>
      <c r="X2211" s="30"/>
      <c r="Y2211" s="30"/>
      <c r="Z2211" s="30"/>
      <c r="AA2211" s="30"/>
      <c r="AB2211" s="30"/>
      <c r="AC2211" s="30"/>
    </row>
    <row r="2212" ht="15.75" customHeight="1">
      <c r="A2212" s="14" t="s">
        <v>17</v>
      </c>
      <c r="B2212" s="14">
        <v>1998.0</v>
      </c>
      <c r="C2212" s="14" t="s">
        <v>4620</v>
      </c>
      <c r="D2212" s="14" t="s">
        <v>4621</v>
      </c>
      <c r="E2212" s="150" t="s">
        <v>4622</v>
      </c>
      <c r="F2212" s="14">
        <v>447.0</v>
      </c>
      <c r="G2212" s="14">
        <v>450.0</v>
      </c>
      <c r="H2212" s="151"/>
      <c r="I2212" s="14" t="s">
        <v>28</v>
      </c>
      <c r="J2212" s="14" t="s">
        <v>11247</v>
      </c>
      <c r="K2212" s="14" t="s">
        <v>9279</v>
      </c>
      <c r="L2212" s="152" t="s">
        <v>2525</v>
      </c>
      <c r="M2212" s="14">
        <v>3.72673878E10</v>
      </c>
      <c r="N2212" s="54" t="s">
        <v>9279</v>
      </c>
      <c r="O2212" s="130"/>
      <c r="P2212" s="16"/>
      <c r="Q2212" s="14">
        <v>745340.0</v>
      </c>
      <c r="R2212" s="14"/>
      <c r="S2212" s="212"/>
      <c r="T2212" s="30"/>
      <c r="U2212" s="30"/>
      <c r="V2212" s="30"/>
      <c r="W2212" s="30"/>
      <c r="X2212" s="30"/>
      <c r="Y2212" s="30"/>
      <c r="Z2212" s="30"/>
      <c r="AA2212" s="30"/>
      <c r="AB2212" s="30"/>
      <c r="AC2212" s="30"/>
    </row>
    <row r="2213" ht="15.75" customHeight="1">
      <c r="A2213" s="14" t="s">
        <v>17</v>
      </c>
      <c r="B2213" s="14">
        <v>1998.0</v>
      </c>
      <c r="C2213" s="14" t="s">
        <v>4609</v>
      </c>
      <c r="D2213" s="14" t="s">
        <v>4610</v>
      </c>
      <c r="E2213" s="150" t="s">
        <v>4611</v>
      </c>
      <c r="F2213" s="14">
        <v>439.0</v>
      </c>
      <c r="G2213" s="14">
        <v>442.0</v>
      </c>
      <c r="H2213" s="151"/>
      <c r="I2213" s="14" t="s">
        <v>28</v>
      </c>
      <c r="J2213" s="14" t="s">
        <v>11154</v>
      </c>
      <c r="K2213" s="14" t="s">
        <v>39827</v>
      </c>
      <c r="L2213" s="152" t="s">
        <v>4615</v>
      </c>
      <c r="M2213" s="14" t="s">
        <v>39828</v>
      </c>
      <c r="N2213" s="54" t="s">
        <v>39827</v>
      </c>
      <c r="O2213" s="130" t="s">
        <v>2900</v>
      </c>
      <c r="P2213" s="16"/>
      <c r="Q2213" s="14">
        <v>745338.0</v>
      </c>
      <c r="R2213" s="14"/>
      <c r="S2213" s="212" t="s">
        <v>39192</v>
      </c>
      <c r="T2213" s="30"/>
      <c r="U2213" s="30"/>
      <c r="V2213" s="30"/>
      <c r="W2213" s="30"/>
      <c r="X2213" s="30"/>
      <c r="Y2213" s="30"/>
      <c r="Z2213" s="30"/>
      <c r="AA2213" s="30"/>
      <c r="AB2213" s="30"/>
      <c r="AC2213" s="30"/>
    </row>
    <row r="2214" ht="15.75" customHeight="1">
      <c r="A2214" s="14" t="s">
        <v>17</v>
      </c>
      <c r="B2214" s="14">
        <v>1998.0</v>
      </c>
      <c r="C2214" s="14" t="s">
        <v>4464</v>
      </c>
      <c r="D2214" s="14" t="s">
        <v>4465</v>
      </c>
      <c r="E2214" s="150" t="s">
        <v>4466</v>
      </c>
      <c r="F2214" s="14">
        <v>313.0</v>
      </c>
      <c r="G2214" s="14">
        <v>317.0</v>
      </c>
      <c r="H2214" s="151"/>
      <c r="I2214" s="14" t="s">
        <v>28</v>
      </c>
      <c r="J2214" s="14" t="s">
        <v>10175</v>
      </c>
      <c r="K2214" s="14" t="s">
        <v>39830</v>
      </c>
      <c r="L2214" s="152" t="s">
        <v>3558</v>
      </c>
      <c r="M2214" s="14" t="s">
        <v>39831</v>
      </c>
      <c r="N2214" s="54" t="s">
        <v>39832</v>
      </c>
      <c r="O2214" s="130" t="s">
        <v>4470</v>
      </c>
      <c r="P2214" s="16"/>
      <c r="Q2214" s="14">
        <v>745318.0</v>
      </c>
      <c r="R2214" s="14"/>
      <c r="S2214" s="212" t="s">
        <v>39833</v>
      </c>
      <c r="T2214" s="30"/>
      <c r="U2214" s="30"/>
      <c r="V2214" s="30"/>
      <c r="W2214" s="30"/>
      <c r="X2214" s="30"/>
      <c r="Y2214" s="30"/>
      <c r="Z2214" s="30"/>
      <c r="AA2214" s="30"/>
      <c r="AB2214" s="30"/>
      <c r="AC2214" s="30"/>
    </row>
    <row r="2215" ht="15.75" customHeight="1">
      <c r="A2215" s="14" t="s">
        <v>17</v>
      </c>
      <c r="B2215" s="14">
        <v>1998.0</v>
      </c>
      <c r="C2215" s="14" t="s">
        <v>4682</v>
      </c>
      <c r="D2215" s="14" t="s">
        <v>4683</v>
      </c>
      <c r="E2215" s="150" t="s">
        <v>4684</v>
      </c>
      <c r="F2215" s="14">
        <v>497.0</v>
      </c>
      <c r="G2215" s="14">
        <v>499.0</v>
      </c>
      <c r="H2215" s="159" t="s">
        <v>30659</v>
      </c>
      <c r="I2215" s="14" t="s">
        <v>21</v>
      </c>
      <c r="J2215" s="14"/>
      <c r="K2215" s="14" t="s">
        <v>39836</v>
      </c>
      <c r="L2215" s="152" t="s">
        <v>4686</v>
      </c>
      <c r="M2215" s="14" t="s">
        <v>39837</v>
      </c>
      <c r="N2215" s="54" t="s">
        <v>39838</v>
      </c>
      <c r="O2215" s="130"/>
      <c r="P2215" s="16"/>
      <c r="Q2215" s="14">
        <v>745352.0</v>
      </c>
      <c r="R2215" s="14"/>
      <c r="S2215" s="212"/>
      <c r="T2215" s="30"/>
      <c r="U2215" s="30"/>
      <c r="V2215" s="30"/>
      <c r="W2215" s="30"/>
      <c r="X2215" s="30"/>
      <c r="Y2215" s="30"/>
      <c r="Z2215" s="30"/>
      <c r="AA2215" s="30"/>
      <c r="AB2215" s="30"/>
      <c r="AC2215" s="30"/>
    </row>
    <row r="2216" ht="15.75" customHeight="1">
      <c r="A2216" s="14" t="s">
        <v>2137</v>
      </c>
      <c r="B2216" s="14">
        <v>1997.0</v>
      </c>
      <c r="C2216" s="14" t="s">
        <v>3309</v>
      </c>
      <c r="D2216" s="14" t="s">
        <v>3310</v>
      </c>
      <c r="E2216" s="150" t="s">
        <v>3311</v>
      </c>
      <c r="F2216" s="14">
        <v>17.0</v>
      </c>
      <c r="G2216" s="14">
        <v>24.0</v>
      </c>
      <c r="H2216" s="151"/>
      <c r="I2216" s="14" t="s">
        <v>28</v>
      </c>
      <c r="J2216" s="14" t="s">
        <v>5091</v>
      </c>
      <c r="K2216" s="14" t="s">
        <v>39840</v>
      </c>
      <c r="L2216" s="152" t="s">
        <v>3325</v>
      </c>
      <c r="M2216" s="14"/>
      <c r="N2216" s="54" t="s">
        <v>39840</v>
      </c>
      <c r="O2216" s="130" t="s">
        <v>3326</v>
      </c>
      <c r="P2216" s="16"/>
      <c r="Q2216" s="14">
        <v>636761.0</v>
      </c>
      <c r="R2216" s="14"/>
      <c r="S2216" s="212" t="s">
        <v>39841</v>
      </c>
      <c r="T2216" s="30"/>
      <c r="U2216" s="30"/>
      <c r="V2216" s="30"/>
      <c r="W2216" s="30"/>
      <c r="X2216" s="30"/>
      <c r="Y2216" s="30"/>
      <c r="Z2216" s="30"/>
      <c r="AA2216" s="30"/>
      <c r="AB2216" s="30"/>
      <c r="AC2216" s="30"/>
    </row>
    <row r="2217" ht="15.75" customHeight="1">
      <c r="A2217" s="14" t="s">
        <v>2137</v>
      </c>
      <c r="B2217" s="14">
        <v>1997.0</v>
      </c>
      <c r="C2217" s="14" t="s">
        <v>3327</v>
      </c>
      <c r="D2217" s="14" t="s">
        <v>3328</v>
      </c>
      <c r="E2217" s="150" t="s">
        <v>3329</v>
      </c>
      <c r="F2217" s="14">
        <v>25.0</v>
      </c>
      <c r="G2217" s="14">
        <v>28.0</v>
      </c>
      <c r="H2217" s="151"/>
      <c r="I2217" s="14" t="s">
        <v>28</v>
      </c>
      <c r="J2217" s="14" t="s">
        <v>5103</v>
      </c>
      <c r="K2217" s="14" t="s">
        <v>39843</v>
      </c>
      <c r="L2217" s="152" t="s">
        <v>3334</v>
      </c>
      <c r="M2217" s="14"/>
      <c r="N2217" s="54" t="s">
        <v>39843</v>
      </c>
      <c r="O2217" s="130"/>
      <c r="P2217" s="16"/>
      <c r="Q2217" s="14">
        <v>636778.0</v>
      </c>
      <c r="R2217" s="14"/>
      <c r="S2217" s="212"/>
      <c r="T2217" s="30"/>
      <c r="U2217" s="30"/>
      <c r="V2217" s="30"/>
      <c r="W2217" s="30"/>
      <c r="X2217" s="30"/>
      <c r="Y2217" s="30"/>
      <c r="Z2217" s="30"/>
      <c r="AA2217" s="30"/>
      <c r="AB2217" s="30"/>
      <c r="AC2217" s="30"/>
    </row>
    <row r="2218" ht="15.75" customHeight="1">
      <c r="A2218" s="14" t="s">
        <v>2137</v>
      </c>
      <c r="B2218" s="14">
        <v>1997.0</v>
      </c>
      <c r="C2218" s="14" t="s">
        <v>3350</v>
      </c>
      <c r="D2218" s="14" t="s">
        <v>3351</v>
      </c>
      <c r="E2218" s="150" t="s">
        <v>3352</v>
      </c>
      <c r="F2218" s="14">
        <v>46.0</v>
      </c>
      <c r="G2218" s="14">
        <v>49.0</v>
      </c>
      <c r="H2218" s="151"/>
      <c r="I2218" s="14" t="s">
        <v>28</v>
      </c>
      <c r="J2218" s="14" t="s">
        <v>5135</v>
      </c>
      <c r="K2218" s="14" t="s">
        <v>10112</v>
      </c>
      <c r="L2218" s="152" t="s">
        <v>3357</v>
      </c>
      <c r="M2218" s="14"/>
      <c r="N2218" s="54" t="s">
        <v>10112</v>
      </c>
      <c r="O2218" s="130" t="s">
        <v>2728</v>
      </c>
      <c r="P2218" s="16"/>
      <c r="Q2218" s="14">
        <v>636785.0</v>
      </c>
      <c r="R2218" s="14"/>
      <c r="S2218" s="212">
        <v>559210.0</v>
      </c>
      <c r="T2218" s="30"/>
      <c r="U2218" s="30"/>
      <c r="V2218" s="30"/>
      <c r="W2218" s="30"/>
      <c r="X2218" s="30"/>
      <c r="Y2218" s="30"/>
      <c r="Z2218" s="30"/>
      <c r="AA2218" s="30"/>
      <c r="AB2218" s="30"/>
      <c r="AC2218" s="30"/>
    </row>
    <row r="2219" ht="15.75" customHeight="1">
      <c r="A2219" s="14" t="s">
        <v>2137</v>
      </c>
      <c r="B2219" s="14">
        <v>1997.0</v>
      </c>
      <c r="C2219" s="14" t="s">
        <v>3371</v>
      </c>
      <c r="D2219" s="14" t="s">
        <v>3372</v>
      </c>
      <c r="E2219" s="150" t="s">
        <v>3374</v>
      </c>
      <c r="F2219" s="14">
        <v>65.0</v>
      </c>
      <c r="G2219" s="14">
        <v>72.0</v>
      </c>
      <c r="H2219" s="151"/>
      <c r="I2219" s="14" t="s">
        <v>28</v>
      </c>
      <c r="J2219" s="14" t="s">
        <v>5154</v>
      </c>
      <c r="K2219" s="14" t="s">
        <v>39844</v>
      </c>
      <c r="L2219" s="152" t="s">
        <v>3379</v>
      </c>
      <c r="M2219" s="14"/>
      <c r="N2219" s="54" t="s">
        <v>39844</v>
      </c>
      <c r="O2219" s="130" t="s">
        <v>3380</v>
      </c>
      <c r="P2219" s="16"/>
      <c r="Q2219" s="14">
        <v>636788.0</v>
      </c>
      <c r="R2219" s="14"/>
      <c r="S2219" s="212" t="s">
        <v>39845</v>
      </c>
      <c r="T2219" s="30"/>
      <c r="U2219" s="30"/>
      <c r="V2219" s="30"/>
      <c r="W2219" s="30"/>
      <c r="X2219" s="30"/>
      <c r="Y2219" s="30"/>
      <c r="Z2219" s="30"/>
      <c r="AA2219" s="30"/>
      <c r="AB2219" s="30"/>
      <c r="AC2219" s="30"/>
    </row>
    <row r="2220" ht="15.75" customHeight="1">
      <c r="A2220" s="14" t="s">
        <v>2137</v>
      </c>
      <c r="B2220" s="14">
        <v>1997.0</v>
      </c>
      <c r="C2220" s="14" t="s">
        <v>3390</v>
      </c>
      <c r="D2220" s="14" t="s">
        <v>3391</v>
      </c>
      <c r="E2220" s="150" t="s">
        <v>3392</v>
      </c>
      <c r="F2220" s="14">
        <v>81.0</v>
      </c>
      <c r="G2220" s="14">
        <v>86.0</v>
      </c>
      <c r="H2220" s="151"/>
      <c r="I2220" s="14" t="s">
        <v>28</v>
      </c>
      <c r="J2220" s="14" t="s">
        <v>5173</v>
      </c>
      <c r="K2220" s="14" t="s">
        <v>39846</v>
      </c>
      <c r="L2220" s="152" t="s">
        <v>3397</v>
      </c>
      <c r="M2220" s="14"/>
      <c r="N2220" s="54" t="s">
        <v>39846</v>
      </c>
      <c r="O2220" s="130" t="s">
        <v>3398</v>
      </c>
      <c r="P2220" s="153" t="s">
        <v>3399</v>
      </c>
      <c r="Q2220" s="14">
        <v>636790.0</v>
      </c>
      <c r="R2220" s="14"/>
      <c r="S2220" s="212" t="s">
        <v>39847</v>
      </c>
      <c r="T2220" s="30"/>
      <c r="U2220" s="30"/>
      <c r="V2220" s="30"/>
      <c r="W2220" s="30"/>
      <c r="X2220" s="30"/>
      <c r="Y2220" s="30"/>
      <c r="Z2220" s="30"/>
      <c r="AA2220" s="30"/>
      <c r="AB2220" s="30"/>
      <c r="AC2220" s="30"/>
    </row>
    <row r="2221" ht="15.75" customHeight="1">
      <c r="A2221" s="14" t="s">
        <v>2137</v>
      </c>
      <c r="B2221" s="14">
        <v>1997.0</v>
      </c>
      <c r="C2221" s="14" t="s">
        <v>3381</v>
      </c>
      <c r="D2221" s="14" t="s">
        <v>3382</v>
      </c>
      <c r="E2221" s="150" t="s">
        <v>3384</v>
      </c>
      <c r="F2221" s="14">
        <v>73.0</v>
      </c>
      <c r="G2221" s="14">
        <v>80.0</v>
      </c>
      <c r="H2221" s="151"/>
      <c r="I2221" s="14" t="s">
        <v>28</v>
      </c>
      <c r="J2221" s="14" t="s">
        <v>5164</v>
      </c>
      <c r="K2221" s="14" t="s">
        <v>39848</v>
      </c>
      <c r="L2221" s="152" t="s">
        <v>3388</v>
      </c>
      <c r="M2221" s="14"/>
      <c r="N2221" s="54" t="s">
        <v>39848</v>
      </c>
      <c r="O2221" s="130" t="s">
        <v>3389</v>
      </c>
      <c r="P2221" s="16"/>
      <c r="Q2221" s="14">
        <v>636789.0</v>
      </c>
      <c r="R2221" s="14"/>
      <c r="S2221" s="212" t="s">
        <v>39849</v>
      </c>
      <c r="T2221" s="30"/>
      <c r="U2221" s="30"/>
      <c r="V2221" s="30"/>
      <c r="W2221" s="30"/>
      <c r="X2221" s="30"/>
      <c r="Y2221" s="30"/>
      <c r="Z2221" s="30"/>
      <c r="AA2221" s="30"/>
      <c r="AB2221" s="30"/>
      <c r="AC2221" s="30"/>
    </row>
    <row r="2222" ht="15.75" customHeight="1">
      <c r="A2222" s="14" t="s">
        <v>2137</v>
      </c>
      <c r="B2222" s="14">
        <v>1997.0</v>
      </c>
      <c r="C2222" s="14" t="s">
        <v>3292</v>
      </c>
      <c r="D2222" s="14" t="s">
        <v>3293</v>
      </c>
      <c r="E2222" s="150" t="s">
        <v>3294</v>
      </c>
      <c r="F2222" s="14">
        <v>2.0</v>
      </c>
      <c r="G2222" s="14">
        <v>10.0</v>
      </c>
      <c r="H2222" s="151"/>
      <c r="I2222" s="14" t="s">
        <v>28</v>
      </c>
      <c r="J2222" s="14" t="s">
        <v>5068</v>
      </c>
      <c r="K2222" s="14" t="s">
        <v>9549</v>
      </c>
      <c r="L2222" s="152" t="s">
        <v>3300</v>
      </c>
      <c r="M2222" s="14"/>
      <c r="N2222" s="54" t="s">
        <v>9549</v>
      </c>
      <c r="O2222" s="130" t="s">
        <v>3301</v>
      </c>
      <c r="P2222" s="16"/>
      <c r="Q2222" s="14">
        <v>636718.0</v>
      </c>
      <c r="R2222" s="14"/>
      <c r="S2222" s="212" t="s">
        <v>38712</v>
      </c>
      <c r="T2222" s="30"/>
      <c r="U2222" s="30"/>
      <c r="V2222" s="30"/>
      <c r="W2222" s="30"/>
      <c r="X2222" s="30"/>
      <c r="Y2222" s="30"/>
      <c r="Z2222" s="30"/>
      <c r="AA2222" s="30"/>
      <c r="AB2222" s="30"/>
      <c r="AC2222" s="30"/>
    </row>
    <row r="2223" ht="15.75" customHeight="1">
      <c r="A2223" s="14" t="s">
        <v>2137</v>
      </c>
      <c r="B2223" s="14">
        <v>1997.0</v>
      </c>
      <c r="C2223" s="14" t="s">
        <v>3362</v>
      </c>
      <c r="D2223" s="14" t="s">
        <v>3363</v>
      </c>
      <c r="E2223" s="150" t="s">
        <v>3364</v>
      </c>
      <c r="F2223" s="14">
        <v>59.0</v>
      </c>
      <c r="G2223" s="14">
        <v>63.0</v>
      </c>
      <c r="H2223" s="151"/>
      <c r="I2223" s="14" t="s">
        <v>28</v>
      </c>
      <c r="J2223" s="14" t="s">
        <v>5145</v>
      </c>
      <c r="K2223" s="14" t="s">
        <v>39852</v>
      </c>
      <c r="L2223" s="152" t="s">
        <v>3369</v>
      </c>
      <c r="M2223" s="14"/>
      <c r="N2223" s="54" t="s">
        <v>39852</v>
      </c>
      <c r="O2223" s="130"/>
      <c r="P2223" s="153" t="s">
        <v>3370</v>
      </c>
      <c r="Q2223" s="14">
        <v>636787.0</v>
      </c>
      <c r="R2223" s="14"/>
      <c r="S2223" s="212"/>
      <c r="T2223" s="30"/>
      <c r="U2223" s="30"/>
      <c r="V2223" s="30"/>
      <c r="W2223" s="30"/>
      <c r="X2223" s="30"/>
      <c r="Y2223" s="30"/>
      <c r="Z2223" s="30"/>
      <c r="AA2223" s="30"/>
      <c r="AB2223" s="30"/>
      <c r="AC2223" s="30"/>
    </row>
    <row r="2224" ht="15.75" customHeight="1">
      <c r="A2224" s="14" t="s">
        <v>2137</v>
      </c>
      <c r="B2224" s="14">
        <v>1997.0</v>
      </c>
      <c r="C2224" s="14" t="s">
        <v>3335</v>
      </c>
      <c r="D2224" s="14" t="s">
        <v>3336</v>
      </c>
      <c r="E2224" s="150" t="s">
        <v>3337</v>
      </c>
      <c r="F2224" s="14">
        <v>30.0</v>
      </c>
      <c r="G2224" s="14">
        <v>37.0</v>
      </c>
      <c r="H2224" s="151"/>
      <c r="I2224" s="14" t="s">
        <v>28</v>
      </c>
      <c r="J2224" s="14" t="s">
        <v>5112</v>
      </c>
      <c r="K2224" s="14" t="s">
        <v>39855</v>
      </c>
      <c r="L2224" s="152" t="s">
        <v>2751</v>
      </c>
      <c r="M2224" s="14"/>
      <c r="N2224" s="54" t="s">
        <v>39855</v>
      </c>
      <c r="O2224" s="130" t="s">
        <v>1541</v>
      </c>
      <c r="P2224" s="16"/>
      <c r="Q2224" s="14">
        <v>636782.0</v>
      </c>
      <c r="R2224" s="14"/>
      <c r="S2224" s="212">
        <v>398874.0</v>
      </c>
      <c r="T2224" s="30"/>
      <c r="U2224" s="30"/>
      <c r="V2224" s="30"/>
      <c r="W2224" s="30"/>
      <c r="X2224" s="30"/>
      <c r="Y2224" s="30"/>
      <c r="Z2224" s="30"/>
      <c r="AA2224" s="30"/>
      <c r="AB2224" s="30"/>
      <c r="AC2224" s="30"/>
    </row>
    <row r="2225" ht="15.75" customHeight="1">
      <c r="A2225" s="14" t="s">
        <v>2137</v>
      </c>
      <c r="B2225" s="14">
        <v>1997.0</v>
      </c>
      <c r="C2225" s="14" t="s">
        <v>3429</v>
      </c>
      <c r="D2225" s="14" t="s">
        <v>3430</v>
      </c>
      <c r="E2225" s="150" t="s">
        <v>3432</v>
      </c>
      <c r="F2225" s="14">
        <v>108.0</v>
      </c>
      <c r="G2225" s="14">
        <v>111.0</v>
      </c>
      <c r="H2225" s="159"/>
      <c r="I2225" s="14" t="s">
        <v>28</v>
      </c>
      <c r="J2225" s="14" t="s">
        <v>5192</v>
      </c>
      <c r="K2225" s="14" t="s">
        <v>6630</v>
      </c>
      <c r="L2225" s="152" t="s">
        <v>3436</v>
      </c>
      <c r="M2225" s="14"/>
      <c r="N2225" s="54" t="s">
        <v>6630</v>
      </c>
      <c r="O2225" s="130" t="s">
        <v>3438</v>
      </c>
      <c r="P2225" s="16"/>
      <c r="Q2225" s="14">
        <v>636794.0</v>
      </c>
      <c r="R2225" s="14"/>
      <c r="S2225" s="212" t="s">
        <v>39859</v>
      </c>
      <c r="T2225" s="30"/>
      <c r="U2225" s="30"/>
      <c r="V2225" s="30"/>
      <c r="W2225" s="30"/>
      <c r="X2225" s="30"/>
      <c r="Y2225" s="30"/>
      <c r="Z2225" s="30"/>
      <c r="AA2225" s="30"/>
      <c r="AB2225" s="30"/>
      <c r="AC2225" s="30"/>
    </row>
    <row r="2226" ht="15.75" customHeight="1">
      <c r="A2226" s="14" t="s">
        <v>2137</v>
      </c>
      <c r="B2226" s="14">
        <v>1997.0</v>
      </c>
      <c r="C2226" s="14" t="s">
        <v>3420</v>
      </c>
      <c r="D2226" s="14" t="s">
        <v>3421</v>
      </c>
      <c r="E2226" s="150" t="s">
        <v>3422</v>
      </c>
      <c r="F2226" s="14">
        <v>100.0</v>
      </c>
      <c r="G2226" s="14">
        <v>107.0</v>
      </c>
      <c r="H2226" s="151"/>
      <c r="I2226" s="14" t="s">
        <v>28</v>
      </c>
      <c r="J2226" s="14" t="s">
        <v>5180</v>
      </c>
      <c r="K2226" s="14" t="s">
        <v>8363</v>
      </c>
      <c r="L2226" s="152" t="s">
        <v>3427</v>
      </c>
      <c r="M2226" s="14"/>
      <c r="N2226" s="54" t="s">
        <v>8363</v>
      </c>
      <c r="O2226" s="130" t="s">
        <v>3428</v>
      </c>
      <c r="P2226" s="16"/>
      <c r="Q2226" s="14">
        <v>636793.0</v>
      </c>
      <c r="R2226" s="14"/>
      <c r="S2226" s="212" t="s">
        <v>39860</v>
      </c>
      <c r="T2226" s="30"/>
      <c r="U2226" s="30"/>
      <c r="V2226" s="30"/>
      <c r="W2226" s="30"/>
      <c r="X2226" s="30"/>
      <c r="Y2226" s="30"/>
      <c r="Z2226" s="30"/>
      <c r="AA2226" s="30"/>
      <c r="AB2226" s="30"/>
      <c r="AC2226" s="30"/>
    </row>
    <row r="2227" ht="15.75" customHeight="1">
      <c r="A2227" s="14" t="s">
        <v>2137</v>
      </c>
      <c r="B2227" s="14">
        <v>1997.0</v>
      </c>
      <c r="C2227" s="14" t="s">
        <v>3358</v>
      </c>
      <c r="D2227" s="14" t="s">
        <v>3359</v>
      </c>
      <c r="E2227" s="150" t="s">
        <v>3360</v>
      </c>
      <c r="F2227" s="14">
        <v>51.0</v>
      </c>
      <c r="G2227" s="14">
        <v>58.0</v>
      </c>
      <c r="H2227" s="151"/>
      <c r="I2227" s="14" t="s">
        <v>28</v>
      </c>
      <c r="J2227" s="14" t="s">
        <v>5144</v>
      </c>
      <c r="K2227" s="14" t="s">
        <v>39864</v>
      </c>
      <c r="L2227" s="152" t="s">
        <v>855</v>
      </c>
      <c r="M2227" s="14"/>
      <c r="N2227" s="54" t="s">
        <v>39864</v>
      </c>
      <c r="O2227" s="130" t="s">
        <v>2755</v>
      </c>
      <c r="P2227" s="153" t="s">
        <v>3361</v>
      </c>
      <c r="Q2227" s="14">
        <v>636786.0</v>
      </c>
      <c r="R2227" s="14"/>
      <c r="S2227" s="212">
        <v>559214.0</v>
      </c>
      <c r="T2227" s="30"/>
      <c r="U2227" s="30"/>
      <c r="V2227" s="30"/>
      <c r="W2227" s="30"/>
      <c r="X2227" s="30"/>
      <c r="Y2227" s="30"/>
      <c r="Z2227" s="30"/>
      <c r="AA2227" s="30"/>
      <c r="AB2227" s="30"/>
      <c r="AC2227" s="30"/>
    </row>
    <row r="2228" ht="15.75" customHeight="1">
      <c r="A2228" s="14" t="s">
        <v>2137</v>
      </c>
      <c r="B2228" s="14">
        <v>1997.0</v>
      </c>
      <c r="C2228" s="14" t="s">
        <v>3342</v>
      </c>
      <c r="D2228" s="14" t="s">
        <v>3343</v>
      </c>
      <c r="E2228" s="150" t="s">
        <v>3344</v>
      </c>
      <c r="F2228" s="14">
        <v>38.0</v>
      </c>
      <c r="G2228" s="14">
        <v>45.0</v>
      </c>
      <c r="H2228" s="151"/>
      <c r="I2228" s="14" t="s">
        <v>28</v>
      </c>
      <c r="J2228" s="14" t="s">
        <v>5122</v>
      </c>
      <c r="K2228" s="14" t="s">
        <v>39868</v>
      </c>
      <c r="L2228" s="152" t="s">
        <v>2638</v>
      </c>
      <c r="M2228" s="14"/>
      <c r="N2228" s="54" t="s">
        <v>39869</v>
      </c>
      <c r="O2228" s="130" t="s">
        <v>809</v>
      </c>
      <c r="P2228" s="153" t="s">
        <v>3349</v>
      </c>
      <c r="Q2228" s="14">
        <v>636784.0</v>
      </c>
      <c r="R2228" s="14"/>
      <c r="S2228" s="212">
        <v>175815.0</v>
      </c>
      <c r="T2228" s="30"/>
      <c r="U2228" s="30"/>
      <c r="V2228" s="30"/>
      <c r="W2228" s="30"/>
      <c r="X2228" s="30"/>
      <c r="Y2228" s="30"/>
      <c r="Z2228" s="30"/>
      <c r="AA2228" s="30"/>
      <c r="AB2228" s="30"/>
      <c r="AC2228" s="30"/>
    </row>
    <row r="2229" ht="15.75" customHeight="1">
      <c r="A2229" s="14" t="s">
        <v>2137</v>
      </c>
      <c r="B2229" s="14">
        <v>1997.0</v>
      </c>
      <c r="C2229" s="14" t="s">
        <v>3411</v>
      </c>
      <c r="D2229" s="14" t="s">
        <v>3412</v>
      </c>
      <c r="E2229" s="150" t="s">
        <v>3413</v>
      </c>
      <c r="F2229" s="14">
        <v>92.0</v>
      </c>
      <c r="G2229" s="14">
        <v>99.0</v>
      </c>
      <c r="H2229" s="151"/>
      <c r="I2229" s="14" t="s">
        <v>28</v>
      </c>
      <c r="J2229" s="14" t="s">
        <v>5177</v>
      </c>
      <c r="K2229" s="14" t="s">
        <v>39871</v>
      </c>
      <c r="L2229" s="152" t="s">
        <v>3369</v>
      </c>
      <c r="M2229" s="14"/>
      <c r="N2229" s="54" t="s">
        <v>39871</v>
      </c>
      <c r="O2229" s="130" t="s">
        <v>3418</v>
      </c>
      <c r="P2229" s="153" t="s">
        <v>3419</v>
      </c>
      <c r="Q2229" s="14">
        <v>636792.0</v>
      </c>
      <c r="R2229" s="14"/>
      <c r="S2229" s="212" t="s">
        <v>39872</v>
      </c>
      <c r="T2229" s="30"/>
      <c r="U2229" s="30"/>
      <c r="V2229" s="30"/>
      <c r="W2229" s="30"/>
      <c r="X2229" s="30"/>
      <c r="Y2229" s="30"/>
      <c r="Z2229" s="30"/>
      <c r="AA2229" s="30"/>
      <c r="AB2229" s="30"/>
      <c r="AC2229" s="30"/>
    </row>
    <row r="2230" ht="15.75" customHeight="1">
      <c r="A2230" s="14" t="s">
        <v>2137</v>
      </c>
      <c r="B2230" s="14">
        <v>1997.0</v>
      </c>
      <c r="C2230" s="14" t="s">
        <v>3302</v>
      </c>
      <c r="D2230" s="14" t="s">
        <v>3303</v>
      </c>
      <c r="E2230" s="150" t="s">
        <v>3304</v>
      </c>
      <c r="F2230" s="14">
        <v>11.0</v>
      </c>
      <c r="G2230" s="14">
        <v>16.0</v>
      </c>
      <c r="H2230" s="151"/>
      <c r="I2230" s="14" t="s">
        <v>28</v>
      </c>
      <c r="J2230" s="14" t="s">
        <v>5082</v>
      </c>
      <c r="K2230" s="14" t="s">
        <v>39875</v>
      </c>
      <c r="L2230" s="152" t="s">
        <v>3306</v>
      </c>
      <c r="M2230" s="14"/>
      <c r="N2230" s="54" t="s">
        <v>39876</v>
      </c>
      <c r="O2230" s="130" t="s">
        <v>3307</v>
      </c>
      <c r="P2230" s="153" t="s">
        <v>3308</v>
      </c>
      <c r="Q2230" s="14">
        <v>636759.0</v>
      </c>
      <c r="R2230" s="14"/>
      <c r="S2230" s="212" t="s">
        <v>39877</v>
      </c>
      <c r="T2230" s="30"/>
      <c r="U2230" s="30"/>
      <c r="V2230" s="30"/>
      <c r="W2230" s="30"/>
      <c r="X2230" s="30"/>
      <c r="Y2230" s="30"/>
      <c r="Z2230" s="30"/>
      <c r="AA2230" s="30"/>
      <c r="AB2230" s="30"/>
      <c r="AC2230" s="30"/>
    </row>
    <row r="2231" ht="15.75" customHeight="1">
      <c r="A2231" s="14" t="s">
        <v>2137</v>
      </c>
      <c r="B2231" s="14">
        <v>1997.0</v>
      </c>
      <c r="C2231" s="14" t="s">
        <v>3401</v>
      </c>
      <c r="D2231" s="14" t="s">
        <v>3402</v>
      </c>
      <c r="E2231" s="150" t="s">
        <v>3403</v>
      </c>
      <c r="F2231" s="14">
        <v>87.0</v>
      </c>
      <c r="G2231" s="14">
        <v>90.0</v>
      </c>
      <c r="H2231" s="151"/>
      <c r="I2231" s="14" t="s">
        <v>28</v>
      </c>
      <c r="J2231" s="14" t="s">
        <v>5175</v>
      </c>
      <c r="K2231" s="14" t="s">
        <v>39577</v>
      </c>
      <c r="L2231" s="152" t="s">
        <v>376</v>
      </c>
      <c r="M2231" s="14"/>
      <c r="N2231" s="54" t="s">
        <v>6410</v>
      </c>
      <c r="O2231" s="130" t="s">
        <v>3407</v>
      </c>
      <c r="P2231" s="153" t="s">
        <v>3409</v>
      </c>
      <c r="Q2231" s="14">
        <v>636791.0</v>
      </c>
      <c r="R2231" s="14"/>
      <c r="S2231" s="212" t="s">
        <v>39881</v>
      </c>
      <c r="T2231" s="30"/>
      <c r="U2231" s="30"/>
      <c r="V2231" s="30"/>
      <c r="W2231" s="30"/>
      <c r="X2231" s="30"/>
      <c r="Y2231" s="30"/>
      <c r="Z2231" s="30"/>
      <c r="AA2231" s="30"/>
      <c r="AB2231" s="30"/>
      <c r="AC2231" s="30"/>
    </row>
    <row r="2232" ht="15.75" customHeight="1">
      <c r="A2232" s="14" t="s">
        <v>17</v>
      </c>
      <c r="B2232" s="14">
        <v>1997.0</v>
      </c>
      <c r="C2232" s="14" t="s">
        <v>3441</v>
      </c>
      <c r="D2232" s="14" t="s">
        <v>3442</v>
      </c>
      <c r="E2232" s="150" t="s">
        <v>3443</v>
      </c>
      <c r="F2232" s="14">
        <v>19.0</v>
      </c>
      <c r="G2232" s="14">
        <v>26.0</v>
      </c>
      <c r="H2232" s="151"/>
      <c r="I2232" s="14" t="s">
        <v>28</v>
      </c>
      <c r="J2232" s="14" t="s">
        <v>5196</v>
      </c>
      <c r="K2232" s="14" t="s">
        <v>39884</v>
      </c>
      <c r="L2232" s="152" t="s">
        <v>2670</v>
      </c>
      <c r="M2232" s="14" t="s">
        <v>39885</v>
      </c>
      <c r="N2232" s="54" t="s">
        <v>39886</v>
      </c>
      <c r="O2232" s="130" t="s">
        <v>2052</v>
      </c>
      <c r="P2232" s="153" t="s">
        <v>3447</v>
      </c>
      <c r="Q2232" s="14">
        <v>663848.0</v>
      </c>
      <c r="R2232" s="14"/>
      <c r="S2232" s="212">
        <v>346331.0</v>
      </c>
      <c r="T2232" s="30"/>
      <c r="U2232" s="30"/>
      <c r="V2232" s="30"/>
      <c r="W2232" s="30"/>
      <c r="X2232" s="30"/>
      <c r="Y2232" s="30"/>
      <c r="Z2232" s="30"/>
      <c r="AA2232" s="30"/>
      <c r="AB2232" s="30"/>
      <c r="AC2232" s="30"/>
    </row>
    <row r="2233" ht="15.75" customHeight="1">
      <c r="A2233" s="14" t="s">
        <v>17</v>
      </c>
      <c r="B2233" s="14">
        <v>1997.0</v>
      </c>
      <c r="C2233" s="14" t="s">
        <v>3603</v>
      </c>
      <c r="D2233" s="14" t="s">
        <v>3604</v>
      </c>
      <c r="E2233" s="150" t="s">
        <v>3605</v>
      </c>
      <c r="F2233" s="14">
        <v>205.0</v>
      </c>
      <c r="G2233" s="14">
        <v>212.0</v>
      </c>
      <c r="H2233" s="151"/>
      <c r="I2233" s="14" t="s">
        <v>28</v>
      </c>
      <c r="J2233" s="14" t="s">
        <v>5442</v>
      </c>
      <c r="K2233" s="14" t="s">
        <v>10435</v>
      </c>
      <c r="L2233" s="152"/>
      <c r="M2233" s="14">
        <v>3.72827301E10</v>
      </c>
      <c r="N2233" s="54" t="s">
        <v>10435</v>
      </c>
      <c r="O2233" s="130" t="s">
        <v>3607</v>
      </c>
      <c r="P2233" s="16"/>
      <c r="Q2233" s="14">
        <v>663883.0</v>
      </c>
      <c r="R2233" s="14"/>
      <c r="S2233" s="212" t="s">
        <v>39888</v>
      </c>
      <c r="T2233" s="30"/>
      <c r="U2233" s="30"/>
      <c r="V2233" s="30"/>
      <c r="W2233" s="30"/>
      <c r="X2233" s="30"/>
      <c r="Y2233" s="30"/>
      <c r="Z2233" s="30"/>
      <c r="AA2233" s="30"/>
      <c r="AB2233" s="30"/>
      <c r="AC2233" s="30"/>
    </row>
    <row r="2234" ht="15.75" customHeight="1">
      <c r="A2234" s="14" t="s">
        <v>17</v>
      </c>
      <c r="B2234" s="14">
        <v>1997.0</v>
      </c>
      <c r="C2234" s="14" t="s">
        <v>3858</v>
      </c>
      <c r="D2234" s="14" t="s">
        <v>3859</v>
      </c>
      <c r="E2234" s="150" t="s">
        <v>3860</v>
      </c>
      <c r="F2234" s="14">
        <v>499.0</v>
      </c>
      <c r="G2234" s="14">
        <v>503.0</v>
      </c>
      <c r="H2234" s="151"/>
      <c r="I2234" s="14" t="s">
        <v>28</v>
      </c>
      <c r="J2234" s="14" t="s">
        <v>6581</v>
      </c>
      <c r="K2234" s="14" t="s">
        <v>39889</v>
      </c>
      <c r="L2234" s="152" t="s">
        <v>3862</v>
      </c>
      <c r="M2234" s="14" t="s">
        <v>39890</v>
      </c>
      <c r="N2234" s="54" t="s">
        <v>39891</v>
      </c>
      <c r="O2234" s="130"/>
      <c r="P2234" s="16"/>
      <c r="Q2234" s="14">
        <v>663931.0</v>
      </c>
      <c r="R2234" s="14"/>
      <c r="S2234" s="212"/>
      <c r="T2234" s="30"/>
      <c r="U2234" s="30"/>
      <c r="V2234" s="30"/>
      <c r="W2234" s="30"/>
      <c r="X2234" s="30"/>
      <c r="Y2234" s="30"/>
      <c r="Z2234" s="30"/>
      <c r="AA2234" s="30"/>
      <c r="AB2234" s="30"/>
      <c r="AC2234" s="30"/>
    </row>
    <row r="2235" ht="15.75" customHeight="1">
      <c r="A2235" s="14" t="s">
        <v>17</v>
      </c>
      <c r="B2235" s="14">
        <v>1997.0</v>
      </c>
      <c r="C2235" s="14" t="s">
        <v>3590</v>
      </c>
      <c r="D2235" s="14" t="s">
        <v>3591</v>
      </c>
      <c r="E2235" s="150" t="s">
        <v>3592</v>
      </c>
      <c r="F2235" s="14">
        <v>191.0</v>
      </c>
      <c r="G2235" s="14">
        <v>196.0</v>
      </c>
      <c r="H2235" s="151"/>
      <c r="I2235" s="14" t="s">
        <v>28</v>
      </c>
      <c r="J2235" s="14" t="s">
        <v>5421</v>
      </c>
      <c r="K2235" s="14" t="s">
        <v>39893</v>
      </c>
      <c r="L2235" s="152" t="s">
        <v>3594</v>
      </c>
      <c r="M2235" s="14" t="s">
        <v>39894</v>
      </c>
      <c r="N2235" s="54" t="s">
        <v>39893</v>
      </c>
      <c r="O2235" s="130" t="s">
        <v>174</v>
      </c>
      <c r="P2235" s="153" t="s">
        <v>3595</v>
      </c>
      <c r="Q2235" s="14">
        <v>663880.0</v>
      </c>
      <c r="R2235" s="14"/>
      <c r="S2235" s="212">
        <v>146377.0</v>
      </c>
      <c r="T2235" s="30"/>
      <c r="U2235" s="30"/>
      <c r="V2235" s="30"/>
      <c r="W2235" s="30"/>
      <c r="X2235" s="30"/>
      <c r="Y2235" s="30"/>
      <c r="Z2235" s="30"/>
      <c r="AA2235" s="30"/>
      <c r="AB2235" s="30"/>
      <c r="AC2235" s="30"/>
    </row>
    <row r="2236" ht="15.75" customHeight="1">
      <c r="A2236" s="14" t="s">
        <v>17</v>
      </c>
      <c r="B2236" s="14">
        <v>1997.0</v>
      </c>
      <c r="C2236" s="14" t="s">
        <v>3596</v>
      </c>
      <c r="D2236" s="14" t="s">
        <v>3597</v>
      </c>
      <c r="E2236" s="150" t="s">
        <v>3598</v>
      </c>
      <c r="F2236" s="14">
        <v>197.0</v>
      </c>
      <c r="G2236" s="14">
        <v>204.0</v>
      </c>
      <c r="H2236" s="151"/>
      <c r="I2236" s="14" t="s">
        <v>28</v>
      </c>
      <c r="J2236" s="14" t="s">
        <v>5430</v>
      </c>
      <c r="K2236" s="14" t="s">
        <v>39896</v>
      </c>
      <c r="L2236" s="152" t="s">
        <v>3600</v>
      </c>
      <c r="M2236" s="14" t="s">
        <v>39897</v>
      </c>
      <c r="N2236" s="54" t="s">
        <v>39896</v>
      </c>
      <c r="O2236" s="130" t="s">
        <v>3601</v>
      </c>
      <c r="P2236" s="153" t="s">
        <v>3602</v>
      </c>
      <c r="Q2236" s="14">
        <v>663882.0</v>
      </c>
      <c r="R2236" s="14"/>
      <c r="S2236" s="212" t="s">
        <v>39898</v>
      </c>
      <c r="T2236" s="30"/>
      <c r="U2236" s="30"/>
      <c r="V2236" s="30"/>
      <c r="W2236" s="30"/>
      <c r="X2236" s="30"/>
      <c r="Y2236" s="30"/>
      <c r="Z2236" s="30"/>
      <c r="AA2236" s="30"/>
      <c r="AB2236" s="30"/>
      <c r="AC2236" s="30"/>
    </row>
    <row r="2237" ht="15.75" customHeight="1">
      <c r="A2237" s="14" t="s">
        <v>17</v>
      </c>
      <c r="B2237" s="14">
        <v>1997.0</v>
      </c>
      <c r="C2237" s="14" t="s">
        <v>3780</v>
      </c>
      <c r="D2237" s="14" t="s">
        <v>3781</v>
      </c>
      <c r="E2237" s="150" t="s">
        <v>3782</v>
      </c>
      <c r="F2237" s="14">
        <v>443.0</v>
      </c>
      <c r="G2237" s="14">
        <v>446.0</v>
      </c>
      <c r="H2237" s="151"/>
      <c r="I2237" s="14" t="s">
        <v>28</v>
      </c>
      <c r="J2237" s="14" t="s">
        <v>6101</v>
      </c>
      <c r="K2237" s="14" t="s">
        <v>39899</v>
      </c>
      <c r="L2237" s="152" t="s">
        <v>3784</v>
      </c>
      <c r="M2237" s="14" t="s">
        <v>39901</v>
      </c>
      <c r="N2237" s="54" t="s">
        <v>39899</v>
      </c>
      <c r="O2237" s="130" t="s">
        <v>2274</v>
      </c>
      <c r="P2237" s="153" t="s">
        <v>3785</v>
      </c>
      <c r="Q2237" s="14">
        <v>663917.0</v>
      </c>
      <c r="R2237" s="14"/>
      <c r="S2237" s="212">
        <v>480790.0</v>
      </c>
      <c r="T2237" s="30"/>
      <c r="U2237" s="30"/>
      <c r="V2237" s="30"/>
      <c r="W2237" s="30"/>
      <c r="X2237" s="30"/>
      <c r="Y2237" s="30"/>
      <c r="Z2237" s="30"/>
      <c r="AA2237" s="30"/>
      <c r="AB2237" s="30"/>
      <c r="AC2237" s="30"/>
    </row>
    <row r="2238" ht="15.75" customHeight="1">
      <c r="A2238" s="14" t="s">
        <v>17</v>
      </c>
      <c r="B2238" s="14">
        <v>1997.0</v>
      </c>
      <c r="C2238" s="14" t="s">
        <v>3625</v>
      </c>
      <c r="D2238" s="14" t="s">
        <v>3626</v>
      </c>
      <c r="E2238" s="150" t="s">
        <v>3627</v>
      </c>
      <c r="F2238" s="14">
        <v>235.0</v>
      </c>
      <c r="G2238" s="14">
        <v>244.0</v>
      </c>
      <c r="H2238" s="151"/>
      <c r="I2238" s="14" t="s">
        <v>28</v>
      </c>
      <c r="J2238" s="14" t="s">
        <v>5483</v>
      </c>
      <c r="K2238" s="14" t="s">
        <v>39903</v>
      </c>
      <c r="L2238" s="152" t="s">
        <v>477</v>
      </c>
      <c r="M2238" s="14" t="s">
        <v>39904</v>
      </c>
      <c r="N2238" s="54" t="s">
        <v>39903</v>
      </c>
      <c r="O2238" s="130" t="s">
        <v>3629</v>
      </c>
      <c r="P2238" s="153" t="s">
        <v>3630</v>
      </c>
      <c r="Q2238" s="14">
        <v>663888.0</v>
      </c>
      <c r="R2238" s="14"/>
      <c r="S2238" s="212" t="s">
        <v>39906</v>
      </c>
      <c r="T2238" s="30"/>
      <c r="U2238" s="30"/>
      <c r="V2238" s="30"/>
      <c r="W2238" s="30"/>
      <c r="X2238" s="30"/>
      <c r="Y2238" s="30"/>
      <c r="Z2238" s="30"/>
      <c r="AA2238" s="30"/>
      <c r="AB2238" s="30"/>
      <c r="AC2238" s="30"/>
    </row>
    <row r="2239" ht="15.75" customHeight="1">
      <c r="A2239" s="14" t="s">
        <v>17</v>
      </c>
      <c r="B2239" s="14">
        <v>1997.0</v>
      </c>
      <c r="C2239" s="14" t="s">
        <v>3706</v>
      </c>
      <c r="D2239" s="14" t="s">
        <v>3707</v>
      </c>
      <c r="E2239" s="150" t="s">
        <v>3708</v>
      </c>
      <c r="F2239" s="14">
        <v>355.0</v>
      </c>
      <c r="G2239" s="14">
        <v>362.0</v>
      </c>
      <c r="H2239" s="151"/>
      <c r="I2239" s="14" t="s">
        <v>28</v>
      </c>
      <c r="J2239" s="14" t="s">
        <v>5631</v>
      </c>
      <c r="K2239" s="14" t="s">
        <v>39909</v>
      </c>
      <c r="L2239" s="152" t="s">
        <v>1596</v>
      </c>
      <c r="M2239" s="14" t="s">
        <v>39910</v>
      </c>
      <c r="N2239" s="54" t="s">
        <v>39911</v>
      </c>
      <c r="O2239" s="130" t="s">
        <v>2908</v>
      </c>
      <c r="P2239" s="153" t="s">
        <v>3710</v>
      </c>
      <c r="Q2239" s="14">
        <v>663903.0</v>
      </c>
      <c r="R2239" s="14"/>
      <c r="S2239" s="212" t="s">
        <v>39912</v>
      </c>
      <c r="T2239" s="30"/>
      <c r="U2239" s="30"/>
      <c r="V2239" s="30"/>
      <c r="W2239" s="30"/>
      <c r="X2239" s="30"/>
      <c r="Y2239" s="30"/>
      <c r="Z2239" s="30"/>
      <c r="AA2239" s="30"/>
      <c r="AB2239" s="30"/>
      <c r="AC2239" s="30"/>
    </row>
    <row r="2240" ht="15.75" customHeight="1">
      <c r="A2240" s="14" t="s">
        <v>17</v>
      </c>
      <c r="B2240" s="14">
        <v>1997.0</v>
      </c>
      <c r="C2240" s="14" t="s">
        <v>3476</v>
      </c>
      <c r="D2240" s="14" t="s">
        <v>3477</v>
      </c>
      <c r="E2240" s="150" t="s">
        <v>3479</v>
      </c>
      <c r="F2240" s="14">
        <v>51.0</v>
      </c>
      <c r="G2240" s="14">
        <v>57.0</v>
      </c>
      <c r="H2240" s="151"/>
      <c r="I2240" s="14" t="s">
        <v>28</v>
      </c>
      <c r="J2240" s="14" t="s">
        <v>5239</v>
      </c>
      <c r="K2240" s="14" t="s">
        <v>39914</v>
      </c>
      <c r="L2240" s="152" t="s">
        <v>3482</v>
      </c>
      <c r="M2240" s="14" t="s">
        <v>39915</v>
      </c>
      <c r="N2240" s="54" t="s">
        <v>39914</v>
      </c>
      <c r="O2240" s="130" t="s">
        <v>3483</v>
      </c>
      <c r="P2240" s="16"/>
      <c r="Q2240" s="14">
        <v>663856.0</v>
      </c>
      <c r="R2240" s="14"/>
      <c r="S2240" s="212" t="s">
        <v>39916</v>
      </c>
      <c r="T2240" s="30"/>
      <c r="U2240" s="30"/>
      <c r="V2240" s="30"/>
      <c r="W2240" s="30"/>
      <c r="X2240" s="30"/>
      <c r="Y2240" s="30"/>
      <c r="Z2240" s="30"/>
      <c r="AA2240" s="30"/>
      <c r="AB2240" s="30"/>
      <c r="AC2240" s="30"/>
    </row>
    <row r="2241" ht="15.75" customHeight="1">
      <c r="A2241" s="14" t="s">
        <v>17</v>
      </c>
      <c r="B2241" s="14">
        <v>1997.0</v>
      </c>
      <c r="C2241" s="14" t="s">
        <v>3765</v>
      </c>
      <c r="D2241" s="14" t="s">
        <v>3766</v>
      </c>
      <c r="E2241" s="150" t="s">
        <v>3767</v>
      </c>
      <c r="F2241" s="14">
        <v>429.0</v>
      </c>
      <c r="G2241" s="14">
        <v>432.0</v>
      </c>
      <c r="H2241" s="151"/>
      <c r="I2241" s="14" t="s">
        <v>28</v>
      </c>
      <c r="J2241" s="14" t="s">
        <v>6079</v>
      </c>
      <c r="K2241" s="14" t="s">
        <v>39919</v>
      </c>
      <c r="L2241" s="152" t="s">
        <v>2451</v>
      </c>
      <c r="M2241" s="14" t="s">
        <v>39920</v>
      </c>
      <c r="N2241" s="54" t="s">
        <v>39919</v>
      </c>
      <c r="O2241" s="130" t="s">
        <v>3768</v>
      </c>
      <c r="P2241" s="16"/>
      <c r="Q2241" s="14">
        <v>663914.0</v>
      </c>
      <c r="R2241" s="14"/>
      <c r="S2241" s="212" t="s">
        <v>39921</v>
      </c>
      <c r="T2241" s="30"/>
      <c r="U2241" s="30"/>
      <c r="V2241" s="30"/>
      <c r="W2241" s="30"/>
      <c r="X2241" s="30"/>
      <c r="Y2241" s="30"/>
      <c r="Z2241" s="30"/>
      <c r="AA2241" s="30"/>
      <c r="AB2241" s="30"/>
      <c r="AC2241" s="30"/>
    </row>
    <row r="2242" ht="15.75" customHeight="1">
      <c r="A2242" s="14" t="s">
        <v>17</v>
      </c>
      <c r="B2242" s="14">
        <v>1997.0</v>
      </c>
      <c r="C2242" s="14" t="s">
        <v>3527</v>
      </c>
      <c r="D2242" s="14" t="s">
        <v>3528</v>
      </c>
      <c r="E2242" s="150" t="s">
        <v>3529</v>
      </c>
      <c r="F2242" s="14">
        <v>103.0</v>
      </c>
      <c r="G2242" s="14">
        <v>110.0</v>
      </c>
      <c r="H2242" s="151"/>
      <c r="I2242" s="14" t="s">
        <v>28</v>
      </c>
      <c r="J2242" s="14" t="s">
        <v>5296</v>
      </c>
      <c r="K2242" s="14" t="s">
        <v>39924</v>
      </c>
      <c r="L2242" s="152" t="s">
        <v>3531</v>
      </c>
      <c r="M2242" s="14" t="s">
        <v>39925</v>
      </c>
      <c r="N2242" s="54" t="s">
        <v>39654</v>
      </c>
      <c r="O2242" s="130"/>
      <c r="P2242" s="16"/>
      <c r="Q2242" s="14">
        <v>663865.0</v>
      </c>
      <c r="R2242" s="14"/>
      <c r="S2242" s="212"/>
      <c r="T2242" s="30"/>
      <c r="U2242" s="30"/>
      <c r="V2242" s="30"/>
      <c r="W2242" s="30"/>
      <c r="X2242" s="30"/>
      <c r="Y2242" s="30"/>
      <c r="Z2242" s="30"/>
      <c r="AA2242" s="30"/>
      <c r="AB2242" s="30"/>
      <c r="AC2242" s="30"/>
    </row>
    <row r="2243" ht="15.75" customHeight="1">
      <c r="A2243" s="14" t="s">
        <v>17</v>
      </c>
      <c r="B2243" s="14">
        <v>1997.0</v>
      </c>
      <c r="C2243" s="14" t="s">
        <v>3842</v>
      </c>
      <c r="D2243" s="14" t="s">
        <v>3843</v>
      </c>
      <c r="E2243" s="150" t="s">
        <v>3844</v>
      </c>
      <c r="F2243" s="14">
        <v>487.0</v>
      </c>
      <c r="G2243" s="14">
        <v>490.0</v>
      </c>
      <c r="H2243" s="151"/>
      <c r="I2243" s="14" t="s">
        <v>28</v>
      </c>
      <c r="J2243" s="14" t="s">
        <v>6465</v>
      </c>
      <c r="K2243" s="14" t="s">
        <v>39927</v>
      </c>
      <c r="L2243" s="152" t="s">
        <v>3733</v>
      </c>
      <c r="M2243" s="14" t="s">
        <v>39928</v>
      </c>
      <c r="N2243" s="54" t="s">
        <v>39927</v>
      </c>
      <c r="O2243" s="130" t="s">
        <v>3846</v>
      </c>
      <c r="P2243" s="16"/>
      <c r="Q2243" s="14">
        <v>663928.0</v>
      </c>
      <c r="R2243" s="14"/>
      <c r="S2243" s="212" t="s">
        <v>39929</v>
      </c>
      <c r="T2243" s="30"/>
      <c r="U2243" s="30"/>
      <c r="V2243" s="30"/>
      <c r="W2243" s="30"/>
      <c r="X2243" s="30"/>
      <c r="Y2243" s="30"/>
      <c r="Z2243" s="30"/>
      <c r="AA2243" s="30"/>
      <c r="AB2243" s="30"/>
      <c r="AC2243" s="30"/>
    </row>
    <row r="2244" ht="15.75" customHeight="1">
      <c r="A2244" s="14" t="s">
        <v>17</v>
      </c>
      <c r="B2244" s="14">
        <v>1997.0</v>
      </c>
      <c r="C2244" s="14" t="s">
        <v>3808</v>
      </c>
      <c r="D2244" s="14" t="s">
        <v>3809</v>
      </c>
      <c r="E2244" s="150" t="s">
        <v>3810</v>
      </c>
      <c r="F2244" s="14">
        <v>463.0</v>
      </c>
      <c r="G2244" s="14">
        <v>466.0</v>
      </c>
      <c r="H2244" s="151"/>
      <c r="I2244" s="14" t="s">
        <v>28</v>
      </c>
      <c r="J2244" s="14" t="s">
        <v>6298</v>
      </c>
      <c r="K2244" s="14" t="s">
        <v>39930</v>
      </c>
      <c r="L2244" s="152" t="s">
        <v>144</v>
      </c>
      <c r="M2244" s="14" t="s">
        <v>39931</v>
      </c>
      <c r="N2244" s="54" t="s">
        <v>39930</v>
      </c>
      <c r="O2244" s="130"/>
      <c r="P2244" s="16"/>
      <c r="Q2244" s="14">
        <v>663922.0</v>
      </c>
      <c r="R2244" s="14"/>
      <c r="S2244" s="212"/>
      <c r="T2244" s="30"/>
      <c r="U2244" s="30"/>
      <c r="V2244" s="30"/>
      <c r="W2244" s="30"/>
      <c r="X2244" s="30"/>
      <c r="Y2244" s="30"/>
      <c r="Z2244" s="30"/>
      <c r="AA2244" s="30"/>
      <c r="AB2244" s="30"/>
      <c r="AC2244" s="30"/>
    </row>
    <row r="2245" ht="15.75" customHeight="1">
      <c r="A2245" s="14" t="s">
        <v>17</v>
      </c>
      <c r="B2245" s="14">
        <v>1997.0</v>
      </c>
      <c r="C2245" s="14" t="s">
        <v>3791</v>
      </c>
      <c r="D2245" s="14" t="s">
        <v>3792</v>
      </c>
      <c r="E2245" s="150" t="s">
        <v>3793</v>
      </c>
      <c r="F2245" s="14">
        <v>451.0</v>
      </c>
      <c r="G2245" s="14">
        <v>454.0</v>
      </c>
      <c r="H2245" s="151"/>
      <c r="I2245" s="14" t="s">
        <v>28</v>
      </c>
      <c r="J2245" s="14" t="s">
        <v>6116</v>
      </c>
      <c r="K2245" s="14" t="s">
        <v>39932</v>
      </c>
      <c r="L2245" s="152" t="s">
        <v>3795</v>
      </c>
      <c r="M2245" s="14" t="s">
        <v>39933</v>
      </c>
      <c r="N2245" s="54" t="s">
        <v>39932</v>
      </c>
      <c r="O2245" s="130" t="s">
        <v>1759</v>
      </c>
      <c r="P2245" s="16"/>
      <c r="Q2245" s="14">
        <v>663919.0</v>
      </c>
      <c r="R2245" s="14"/>
      <c r="S2245" s="212">
        <v>346291.0</v>
      </c>
      <c r="T2245" s="30"/>
      <c r="U2245" s="30"/>
      <c r="V2245" s="30"/>
      <c r="W2245" s="30"/>
      <c r="X2245" s="30"/>
      <c r="Y2245" s="30"/>
      <c r="Z2245" s="30"/>
      <c r="AA2245" s="30"/>
      <c r="AB2245" s="30"/>
      <c r="AC2245" s="30"/>
    </row>
    <row r="2246" ht="15.75" customHeight="1">
      <c r="A2246" s="14" t="s">
        <v>17</v>
      </c>
      <c r="B2246" s="14">
        <v>1997.0</v>
      </c>
      <c r="C2246" s="14" t="s">
        <v>3668</v>
      </c>
      <c r="D2246" s="14" t="s">
        <v>3669</v>
      </c>
      <c r="E2246" s="150" t="s">
        <v>3670</v>
      </c>
      <c r="F2246" s="14">
        <v>301.0</v>
      </c>
      <c r="G2246" s="14">
        <v>308.0</v>
      </c>
      <c r="H2246" s="151"/>
      <c r="I2246" s="14" t="s">
        <v>28</v>
      </c>
      <c r="J2246" s="14" t="s">
        <v>5562</v>
      </c>
      <c r="K2246" s="14" t="s">
        <v>8433</v>
      </c>
      <c r="L2246" s="152" t="s">
        <v>3672</v>
      </c>
      <c r="M2246" s="14"/>
      <c r="N2246" s="54" t="s">
        <v>8433</v>
      </c>
      <c r="O2246" s="130" t="s">
        <v>3673</v>
      </c>
      <c r="P2246" s="16"/>
      <c r="Q2246" s="14">
        <v>663896.0</v>
      </c>
      <c r="R2246" s="14"/>
      <c r="S2246" s="212" t="s">
        <v>39934</v>
      </c>
      <c r="T2246" s="30"/>
      <c r="U2246" s="30"/>
      <c r="V2246" s="30"/>
      <c r="W2246" s="30"/>
      <c r="X2246" s="30"/>
      <c r="Y2246" s="30"/>
      <c r="Z2246" s="30"/>
      <c r="AA2246" s="30"/>
      <c r="AB2246" s="30"/>
      <c r="AC2246" s="30"/>
    </row>
    <row r="2247" ht="15.75" customHeight="1">
      <c r="A2247" s="14" t="s">
        <v>17</v>
      </c>
      <c r="B2247" s="14">
        <v>1997.0</v>
      </c>
      <c r="C2247" s="14" t="s">
        <v>3802</v>
      </c>
      <c r="D2247" s="14" t="s">
        <v>3803</v>
      </c>
      <c r="E2247" s="150" t="s">
        <v>3804</v>
      </c>
      <c r="F2247" s="14">
        <v>459.0</v>
      </c>
      <c r="G2247" s="14">
        <v>462.0</v>
      </c>
      <c r="H2247" s="151"/>
      <c r="I2247" s="14" t="s">
        <v>28</v>
      </c>
      <c r="J2247" s="14" t="s">
        <v>6258</v>
      </c>
      <c r="K2247" s="14" t="s">
        <v>39935</v>
      </c>
      <c r="L2247" s="152" t="s">
        <v>3806</v>
      </c>
      <c r="M2247" s="14" t="s">
        <v>39936</v>
      </c>
      <c r="N2247" s="54" t="s">
        <v>39935</v>
      </c>
      <c r="O2247" s="130" t="s">
        <v>3127</v>
      </c>
      <c r="P2247" s="153" t="s">
        <v>3807</v>
      </c>
      <c r="Q2247" s="14">
        <v>663921.0</v>
      </c>
      <c r="R2247" s="14"/>
      <c r="S2247" s="212">
        <v>568128.0</v>
      </c>
      <c r="T2247" s="30"/>
      <c r="U2247" s="30"/>
      <c r="V2247" s="30"/>
      <c r="W2247" s="30"/>
      <c r="X2247" s="30"/>
      <c r="Y2247" s="30"/>
      <c r="Z2247" s="30"/>
      <c r="AA2247" s="30"/>
      <c r="AB2247" s="30"/>
      <c r="AC2247" s="30"/>
    </row>
    <row r="2248" ht="15.75" customHeight="1">
      <c r="A2248" s="14" t="s">
        <v>17</v>
      </c>
      <c r="B2248" s="14">
        <v>1997.0</v>
      </c>
      <c r="C2248" s="14" t="s">
        <v>3638</v>
      </c>
      <c r="D2248" s="14" t="s">
        <v>3639</v>
      </c>
      <c r="E2248" s="150" t="s">
        <v>3640</v>
      </c>
      <c r="F2248" s="14">
        <v>253.0</v>
      </c>
      <c r="G2248" s="14">
        <v>259.0</v>
      </c>
      <c r="H2248" s="151"/>
      <c r="I2248" s="14" t="s">
        <v>28</v>
      </c>
      <c r="J2248" s="14" t="s">
        <v>5502</v>
      </c>
      <c r="K2248" s="14" t="s">
        <v>39938</v>
      </c>
      <c r="L2248" s="152" t="s">
        <v>3642</v>
      </c>
      <c r="M2248" s="14" t="s">
        <v>39939</v>
      </c>
      <c r="N2248" s="54" t="s">
        <v>39938</v>
      </c>
      <c r="O2248" s="130" t="s">
        <v>2539</v>
      </c>
      <c r="P2248" s="16"/>
      <c r="Q2248" s="14">
        <v>663890.0</v>
      </c>
      <c r="R2248" s="14"/>
      <c r="S2248" s="212">
        <v>480821.0</v>
      </c>
      <c r="T2248" s="30"/>
      <c r="U2248" s="30"/>
      <c r="V2248" s="30"/>
      <c r="W2248" s="30"/>
      <c r="X2248" s="30"/>
      <c r="Y2248" s="30"/>
      <c r="Z2248" s="30"/>
      <c r="AA2248" s="30"/>
      <c r="AB2248" s="30"/>
      <c r="AC2248" s="30"/>
    </row>
    <row r="2249" ht="15.75" customHeight="1">
      <c r="A2249" s="14" t="s">
        <v>17</v>
      </c>
      <c r="B2249" s="14">
        <v>1997.0</v>
      </c>
      <c r="C2249" s="14" t="s">
        <v>3448</v>
      </c>
      <c r="D2249" s="14" t="s">
        <v>3449</v>
      </c>
      <c r="E2249" s="150" t="s">
        <v>3450</v>
      </c>
      <c r="F2249" s="14">
        <v>27.0</v>
      </c>
      <c r="G2249" s="14">
        <v>34.0</v>
      </c>
      <c r="H2249" s="151"/>
      <c r="I2249" s="14" t="s">
        <v>28</v>
      </c>
      <c r="J2249" s="14" t="s">
        <v>5202</v>
      </c>
      <c r="K2249" s="14" t="s">
        <v>39941</v>
      </c>
      <c r="L2249" s="152" t="s">
        <v>2266</v>
      </c>
      <c r="M2249" s="14" t="s">
        <v>39942</v>
      </c>
      <c r="N2249" s="54" t="s">
        <v>39941</v>
      </c>
      <c r="O2249" s="130" t="s">
        <v>3454</v>
      </c>
      <c r="P2249" s="153" t="s">
        <v>3455</v>
      </c>
      <c r="Q2249" s="14">
        <v>663851.0</v>
      </c>
      <c r="R2249" s="14"/>
      <c r="S2249" s="212" t="s">
        <v>39943</v>
      </c>
      <c r="T2249" s="30"/>
      <c r="U2249" s="30"/>
      <c r="V2249" s="30"/>
      <c r="W2249" s="30"/>
      <c r="X2249" s="30"/>
      <c r="Y2249" s="30"/>
      <c r="Z2249" s="30"/>
      <c r="AA2249" s="30"/>
      <c r="AB2249" s="30"/>
      <c r="AC2249" s="30"/>
    </row>
    <row r="2250" ht="15.75" customHeight="1">
      <c r="A2250" s="14" t="s">
        <v>17</v>
      </c>
      <c r="B2250" s="14">
        <v>1997.0</v>
      </c>
      <c r="C2250" s="14" t="s">
        <v>3620</v>
      </c>
      <c r="D2250" s="14" t="s">
        <v>3621</v>
      </c>
      <c r="E2250" s="150" t="s">
        <v>3622</v>
      </c>
      <c r="F2250" s="14">
        <v>229.0</v>
      </c>
      <c r="G2250" s="14">
        <v>233.0</v>
      </c>
      <c r="H2250" s="151"/>
      <c r="I2250" s="14" t="s">
        <v>28</v>
      </c>
      <c r="J2250" s="14" t="s">
        <v>5474</v>
      </c>
      <c r="K2250" s="14" t="s">
        <v>39945</v>
      </c>
      <c r="L2250" s="152" t="s">
        <v>3624</v>
      </c>
      <c r="M2250" s="14" t="s">
        <v>39946</v>
      </c>
      <c r="N2250" s="54" t="s">
        <v>39945</v>
      </c>
      <c r="O2250" s="130" t="s">
        <v>536</v>
      </c>
      <c r="P2250" s="16"/>
      <c r="Q2250" s="14">
        <v>663887.0</v>
      </c>
      <c r="R2250" s="14"/>
      <c r="S2250" s="212">
        <v>175782.0</v>
      </c>
      <c r="T2250" s="30"/>
      <c r="U2250" s="30"/>
      <c r="V2250" s="30"/>
      <c r="W2250" s="30"/>
      <c r="X2250" s="30"/>
      <c r="Y2250" s="30"/>
      <c r="Z2250" s="30"/>
      <c r="AA2250" s="30"/>
      <c r="AB2250" s="30"/>
      <c r="AC2250" s="30"/>
    </row>
    <row r="2251" ht="15.75" customHeight="1">
      <c r="A2251" s="14" t="s">
        <v>17</v>
      </c>
      <c r="B2251" s="14">
        <v>1997.0</v>
      </c>
      <c r="C2251" s="14" t="s">
        <v>3578</v>
      </c>
      <c r="D2251" s="14" t="s">
        <v>3579</v>
      </c>
      <c r="E2251" s="150" t="s">
        <v>3580</v>
      </c>
      <c r="F2251" s="14">
        <v>175.0</v>
      </c>
      <c r="G2251" s="14">
        <v>182.0</v>
      </c>
      <c r="H2251" s="151"/>
      <c r="I2251" s="14" t="s">
        <v>28</v>
      </c>
      <c r="J2251" s="14" t="s">
        <v>5404</v>
      </c>
      <c r="K2251" s="14" t="s">
        <v>39682</v>
      </c>
      <c r="L2251" s="152" t="s">
        <v>855</v>
      </c>
      <c r="M2251" s="14" t="s">
        <v>39683</v>
      </c>
      <c r="N2251" s="54" t="s">
        <v>39682</v>
      </c>
      <c r="O2251" s="130" t="s">
        <v>2387</v>
      </c>
      <c r="P2251" s="153" t="s">
        <v>3582</v>
      </c>
      <c r="Q2251" s="14">
        <v>663876.0</v>
      </c>
      <c r="R2251" s="14"/>
      <c r="S2251" s="212">
        <v>480804.0</v>
      </c>
      <c r="T2251" s="30"/>
      <c r="U2251" s="30"/>
      <c r="V2251" s="30"/>
      <c r="W2251" s="30"/>
      <c r="X2251" s="30"/>
      <c r="Y2251" s="30"/>
      <c r="Z2251" s="30"/>
      <c r="AA2251" s="30"/>
      <c r="AB2251" s="30"/>
      <c r="AC2251" s="30"/>
    </row>
    <row r="2252" ht="15.75" customHeight="1">
      <c r="A2252" s="14" t="s">
        <v>17</v>
      </c>
      <c r="B2252" s="14">
        <v>1997.0</v>
      </c>
      <c r="C2252" s="14" t="s">
        <v>6029</v>
      </c>
      <c r="D2252" s="14" t="s">
        <v>3742</v>
      </c>
      <c r="E2252" s="150" t="s">
        <v>3743</v>
      </c>
      <c r="F2252" s="14">
        <v>403.0</v>
      </c>
      <c r="G2252" s="14">
        <v>410.0</v>
      </c>
      <c r="H2252" s="151"/>
      <c r="I2252" s="14" t="s">
        <v>28</v>
      </c>
      <c r="J2252" s="14" t="s">
        <v>39949</v>
      </c>
      <c r="K2252" s="14" t="s">
        <v>39950</v>
      </c>
      <c r="L2252" s="152" t="s">
        <v>3119</v>
      </c>
      <c r="M2252" s="14" t="s">
        <v>39951</v>
      </c>
      <c r="N2252" s="54" t="s">
        <v>39950</v>
      </c>
      <c r="O2252" s="130"/>
      <c r="P2252" s="16"/>
      <c r="Q2252" s="14">
        <v>663909.0</v>
      </c>
      <c r="R2252" s="14"/>
      <c r="S2252" s="212"/>
      <c r="T2252" s="30"/>
      <c r="U2252" s="30"/>
      <c r="V2252" s="30"/>
      <c r="W2252" s="30"/>
      <c r="X2252" s="30"/>
      <c r="Y2252" s="30"/>
      <c r="Z2252" s="30"/>
      <c r="AA2252" s="30"/>
      <c r="AB2252" s="30"/>
      <c r="AC2252" s="30"/>
    </row>
    <row r="2253" ht="15.75" customHeight="1">
      <c r="A2253" s="14" t="s">
        <v>17</v>
      </c>
      <c r="B2253" s="14">
        <v>1997.0</v>
      </c>
      <c r="C2253" s="14" t="s">
        <v>3830</v>
      </c>
      <c r="D2253" s="14" t="s">
        <v>3831</v>
      </c>
      <c r="E2253" s="150" t="s">
        <v>3832</v>
      </c>
      <c r="F2253" s="14">
        <v>479.0</v>
      </c>
      <c r="G2253" s="14">
        <v>482.0</v>
      </c>
      <c r="H2253" s="151"/>
      <c r="I2253" s="14" t="s">
        <v>28</v>
      </c>
      <c r="J2253" s="14" t="s">
        <v>6411</v>
      </c>
      <c r="K2253" s="14" t="s">
        <v>39952</v>
      </c>
      <c r="L2253" s="152" t="s">
        <v>3834</v>
      </c>
      <c r="M2253" s="14" t="s">
        <v>39953</v>
      </c>
      <c r="N2253" s="54" t="s">
        <v>39952</v>
      </c>
      <c r="O2253" s="130" t="s">
        <v>3835</v>
      </c>
      <c r="P2253" s="16"/>
      <c r="Q2253" s="14">
        <v>663926.0</v>
      </c>
      <c r="R2253" s="14"/>
      <c r="S2253" s="212" t="s">
        <v>39954</v>
      </c>
      <c r="T2253" s="30"/>
      <c r="U2253" s="30"/>
      <c r="V2253" s="30"/>
      <c r="W2253" s="30"/>
      <c r="X2253" s="30"/>
      <c r="Y2253" s="30"/>
      <c r="Z2253" s="30"/>
      <c r="AA2253" s="30"/>
      <c r="AB2253" s="30"/>
      <c r="AC2253" s="30"/>
    </row>
    <row r="2254" ht="15.75" customHeight="1">
      <c r="A2254" s="14" t="s">
        <v>17</v>
      </c>
      <c r="B2254" s="14">
        <v>1997.0</v>
      </c>
      <c r="C2254" s="14" t="s">
        <v>3542</v>
      </c>
      <c r="D2254" s="14" t="s">
        <v>3543</v>
      </c>
      <c r="E2254" s="150" t="s">
        <v>3544</v>
      </c>
      <c r="F2254" s="14">
        <v>127.0</v>
      </c>
      <c r="G2254" s="14">
        <v>134.0</v>
      </c>
      <c r="H2254" s="151"/>
      <c r="I2254" s="14" t="s">
        <v>28</v>
      </c>
      <c r="J2254" s="14" t="s">
        <v>5340</v>
      </c>
      <c r="K2254" s="14" t="s">
        <v>39955</v>
      </c>
      <c r="L2254" s="152" t="s">
        <v>3546</v>
      </c>
      <c r="M2254" s="14" t="s">
        <v>39956</v>
      </c>
      <c r="N2254" s="54" t="s">
        <v>39955</v>
      </c>
      <c r="O2254" s="130" t="s">
        <v>3547</v>
      </c>
      <c r="P2254" s="16"/>
      <c r="Q2254" s="14">
        <v>663868.0</v>
      </c>
      <c r="R2254" s="14"/>
      <c r="S2254" s="212" t="s">
        <v>39957</v>
      </c>
      <c r="T2254" s="30"/>
      <c r="U2254" s="30"/>
      <c r="V2254" s="30"/>
      <c r="W2254" s="30"/>
      <c r="X2254" s="30"/>
      <c r="Y2254" s="30"/>
      <c r="Z2254" s="30"/>
      <c r="AA2254" s="30"/>
      <c r="AB2254" s="30"/>
      <c r="AC2254" s="30"/>
    </row>
    <row r="2255" ht="15.75" customHeight="1">
      <c r="A2255" s="14" t="s">
        <v>17</v>
      </c>
      <c r="B2255" s="14">
        <v>1997.0</v>
      </c>
      <c r="C2255" s="14" t="s">
        <v>3775</v>
      </c>
      <c r="D2255" s="14" t="s">
        <v>3776</v>
      </c>
      <c r="E2255" s="150" t="s">
        <v>3777</v>
      </c>
      <c r="F2255" s="14">
        <v>437.0</v>
      </c>
      <c r="G2255" s="14">
        <v>441.0</v>
      </c>
      <c r="H2255" s="151"/>
      <c r="I2255" s="14" t="s">
        <v>28</v>
      </c>
      <c r="J2255" s="14" t="s">
        <v>6096</v>
      </c>
      <c r="K2255" s="14" t="s">
        <v>39958</v>
      </c>
      <c r="L2255" s="152" t="s">
        <v>3779</v>
      </c>
      <c r="M2255" s="14" t="s">
        <v>39959</v>
      </c>
      <c r="N2255" s="54" t="s">
        <v>39958</v>
      </c>
      <c r="O2255" s="130" t="s">
        <v>2548</v>
      </c>
      <c r="P2255" s="16"/>
      <c r="Q2255" s="14">
        <v>663916.0</v>
      </c>
      <c r="R2255" s="14"/>
      <c r="S2255" s="212">
        <v>485139.0</v>
      </c>
      <c r="T2255" s="30"/>
      <c r="U2255" s="30"/>
      <c r="V2255" s="30"/>
      <c r="W2255" s="30"/>
      <c r="X2255" s="30"/>
      <c r="Y2255" s="30"/>
      <c r="Z2255" s="30"/>
      <c r="AA2255" s="30"/>
      <c r="AB2255" s="30"/>
      <c r="AC2255" s="30"/>
    </row>
    <row r="2256" ht="15.75" customHeight="1">
      <c r="A2256" s="14" t="s">
        <v>17</v>
      </c>
      <c r="B2256" s="14">
        <v>1997.0</v>
      </c>
      <c r="C2256" s="14" t="s">
        <v>3566</v>
      </c>
      <c r="D2256" s="14" t="s">
        <v>3567</v>
      </c>
      <c r="E2256" s="150" t="s">
        <v>3568</v>
      </c>
      <c r="F2256" s="14">
        <v>159.0</v>
      </c>
      <c r="G2256" s="14">
        <v>166.0</v>
      </c>
      <c r="H2256" s="151"/>
      <c r="I2256" s="14" t="s">
        <v>28</v>
      </c>
      <c r="J2256" s="14" t="s">
        <v>39960</v>
      </c>
      <c r="K2256" s="14" t="s">
        <v>10135</v>
      </c>
      <c r="L2256" s="152" t="s">
        <v>3569</v>
      </c>
      <c r="M2256" s="14"/>
      <c r="N2256" s="14" t="s">
        <v>10135</v>
      </c>
      <c r="O2256" s="130" t="s">
        <v>3570</v>
      </c>
      <c r="P2256" s="16"/>
      <c r="Q2256" s="14">
        <v>663874.0</v>
      </c>
      <c r="R2256" s="14"/>
      <c r="S2256" s="212" t="s">
        <v>39961</v>
      </c>
      <c r="T2256" s="30"/>
      <c r="U2256" s="30"/>
      <c r="V2256" s="30"/>
      <c r="W2256" s="30"/>
      <c r="X2256" s="30"/>
      <c r="Y2256" s="30"/>
      <c r="Z2256" s="30"/>
      <c r="AA2256" s="30"/>
      <c r="AB2256" s="30"/>
      <c r="AC2256" s="30"/>
    </row>
    <row r="2257" ht="15.75" customHeight="1">
      <c r="A2257" s="14" t="s">
        <v>17</v>
      </c>
      <c r="B2257" s="14">
        <v>1997.0</v>
      </c>
      <c r="C2257" s="14" t="s">
        <v>3716</v>
      </c>
      <c r="D2257" s="14" t="s">
        <v>3717</v>
      </c>
      <c r="E2257" s="150" t="s">
        <v>3718</v>
      </c>
      <c r="F2257" s="14">
        <v>371.0</v>
      </c>
      <c r="G2257" s="14">
        <v>377.0</v>
      </c>
      <c r="H2257" s="151"/>
      <c r="I2257" s="14" t="s">
        <v>28</v>
      </c>
      <c r="J2257" s="14" t="s">
        <v>5997</v>
      </c>
      <c r="K2257" s="14" t="s">
        <v>39962</v>
      </c>
      <c r="L2257" s="152" t="s">
        <v>3720</v>
      </c>
      <c r="M2257" s="14" t="s">
        <v>39963</v>
      </c>
      <c r="N2257" s="54" t="s">
        <v>39962</v>
      </c>
      <c r="O2257" s="130"/>
      <c r="P2257" s="153" t="s">
        <v>3721</v>
      </c>
      <c r="Q2257" s="14">
        <v>663905.0</v>
      </c>
      <c r="R2257" s="14"/>
      <c r="S2257" s="212"/>
      <c r="T2257" s="30"/>
      <c r="U2257" s="30"/>
      <c r="V2257" s="30"/>
      <c r="W2257" s="30"/>
      <c r="X2257" s="30"/>
      <c r="Y2257" s="30"/>
      <c r="Z2257" s="30"/>
      <c r="AA2257" s="30"/>
      <c r="AB2257" s="30"/>
      <c r="AC2257" s="30"/>
    </row>
    <row r="2258" ht="15.75" customHeight="1">
      <c r="A2258" s="14" t="s">
        <v>17</v>
      </c>
      <c r="B2258" s="14">
        <v>1997.0</v>
      </c>
      <c r="C2258" s="14" t="s">
        <v>3608</v>
      </c>
      <c r="D2258" s="14" t="s">
        <v>3609</v>
      </c>
      <c r="E2258" s="150" t="s">
        <v>3610</v>
      </c>
      <c r="F2258" s="14">
        <v>213.0</v>
      </c>
      <c r="G2258" s="14">
        <v>219.0</v>
      </c>
      <c r="H2258" s="151"/>
      <c r="I2258" s="14" t="s">
        <v>28</v>
      </c>
      <c r="J2258" s="14" t="s">
        <v>5450</v>
      </c>
      <c r="K2258" s="14" t="s">
        <v>39964</v>
      </c>
      <c r="L2258" s="152" t="s">
        <v>3612</v>
      </c>
      <c r="M2258" s="14" t="s">
        <v>39965</v>
      </c>
      <c r="N2258" s="54" t="s">
        <v>39966</v>
      </c>
      <c r="O2258" s="130" t="s">
        <v>3613</v>
      </c>
      <c r="P2258" s="153" t="s">
        <v>3614</v>
      </c>
      <c r="Q2258" s="14">
        <v>663885.0</v>
      </c>
      <c r="R2258" s="14"/>
      <c r="S2258" s="212" t="s">
        <v>39967</v>
      </c>
      <c r="T2258" s="30"/>
      <c r="U2258" s="30"/>
      <c r="V2258" s="30"/>
      <c r="W2258" s="30"/>
      <c r="X2258" s="30"/>
      <c r="Y2258" s="30"/>
      <c r="Z2258" s="30"/>
      <c r="AA2258" s="30"/>
      <c r="AB2258" s="30"/>
      <c r="AC2258" s="30"/>
    </row>
    <row r="2259" ht="15.75" customHeight="1">
      <c r="A2259" s="14" t="s">
        <v>17</v>
      </c>
      <c r="B2259" s="14">
        <v>1997.0</v>
      </c>
      <c r="C2259" s="14" t="s">
        <v>3659</v>
      </c>
      <c r="D2259" s="14" t="s">
        <v>3660</v>
      </c>
      <c r="E2259" s="150" t="s">
        <v>3661</v>
      </c>
      <c r="F2259" s="14">
        <v>285.0</v>
      </c>
      <c r="G2259" s="14">
        <v>292.0</v>
      </c>
      <c r="H2259" s="151"/>
      <c r="I2259" s="14" t="s">
        <v>28</v>
      </c>
      <c r="J2259" s="14" t="s">
        <v>5545</v>
      </c>
      <c r="K2259" s="14" t="s">
        <v>39968</v>
      </c>
      <c r="L2259" s="152" t="s">
        <v>2026</v>
      </c>
      <c r="M2259" s="14" t="s">
        <v>39969</v>
      </c>
      <c r="N2259" s="54" t="s">
        <v>39968</v>
      </c>
      <c r="O2259" s="130" t="s">
        <v>2313</v>
      </c>
      <c r="P2259" s="16"/>
      <c r="Q2259" s="14">
        <v>663894.0</v>
      </c>
      <c r="R2259" s="14"/>
      <c r="S2259" s="212">
        <v>480795.0</v>
      </c>
      <c r="T2259" s="30"/>
      <c r="U2259" s="30"/>
      <c r="V2259" s="30"/>
      <c r="W2259" s="30"/>
      <c r="X2259" s="30"/>
      <c r="Y2259" s="30"/>
      <c r="Z2259" s="30"/>
      <c r="AA2259" s="30"/>
      <c r="AB2259" s="30"/>
      <c r="AC2259" s="30"/>
    </row>
    <row r="2260" ht="15.75" customHeight="1">
      <c r="A2260" s="14" t="s">
        <v>17</v>
      </c>
      <c r="B2260" s="14">
        <v>1997.0</v>
      </c>
      <c r="C2260" s="14" t="s">
        <v>3750</v>
      </c>
      <c r="D2260" s="14" t="s">
        <v>3751</v>
      </c>
      <c r="E2260" s="150" t="s">
        <v>3752</v>
      </c>
      <c r="F2260" s="14">
        <v>417.0</v>
      </c>
      <c r="G2260" s="14">
        <v>420.0</v>
      </c>
      <c r="H2260" s="151"/>
      <c r="I2260" s="14" t="s">
        <v>28</v>
      </c>
      <c r="J2260" s="14" t="s">
        <v>6059</v>
      </c>
      <c r="K2260" s="14" t="s">
        <v>38447</v>
      </c>
      <c r="L2260" s="152" t="s">
        <v>3754</v>
      </c>
      <c r="M2260" s="14">
        <v>3.73722473E10</v>
      </c>
      <c r="N2260" s="54" t="s">
        <v>11160</v>
      </c>
      <c r="O2260" s="130"/>
      <c r="P2260" s="16"/>
      <c r="Q2260" s="14">
        <v>663911.0</v>
      </c>
      <c r="R2260" s="14"/>
      <c r="S2260" s="212"/>
      <c r="T2260" s="30"/>
      <c r="U2260" s="30"/>
      <c r="V2260" s="30"/>
      <c r="W2260" s="30"/>
      <c r="X2260" s="30"/>
      <c r="Y2260" s="30"/>
      <c r="Z2260" s="30"/>
      <c r="AA2260" s="30"/>
      <c r="AB2260" s="30"/>
      <c r="AC2260" s="30"/>
    </row>
    <row r="2261" ht="15.75" customHeight="1">
      <c r="A2261" s="14" t="s">
        <v>17</v>
      </c>
      <c r="B2261" s="14">
        <v>1997.0</v>
      </c>
      <c r="C2261" s="14" t="s">
        <v>3674</v>
      </c>
      <c r="D2261" s="14" t="s">
        <v>3675</v>
      </c>
      <c r="E2261" s="150" t="s">
        <v>3676</v>
      </c>
      <c r="F2261" s="14">
        <v>309.0</v>
      </c>
      <c r="G2261" s="14">
        <v>316.0</v>
      </c>
      <c r="H2261" s="151"/>
      <c r="I2261" s="14" t="s">
        <v>28</v>
      </c>
      <c r="J2261" s="14" t="s">
        <v>5571</v>
      </c>
      <c r="K2261" s="14" t="s">
        <v>39970</v>
      </c>
      <c r="L2261" s="152" t="s">
        <v>3678</v>
      </c>
      <c r="M2261" s="14" t="s">
        <v>39971</v>
      </c>
      <c r="N2261" s="54" t="s">
        <v>39970</v>
      </c>
      <c r="O2261" s="130" t="s">
        <v>3679</v>
      </c>
      <c r="P2261" s="16"/>
      <c r="Q2261" s="14">
        <v>663897.0</v>
      </c>
      <c r="R2261" s="14"/>
      <c r="S2261" s="212" t="s">
        <v>39972</v>
      </c>
      <c r="T2261" s="30"/>
      <c r="U2261" s="30"/>
      <c r="V2261" s="30"/>
      <c r="W2261" s="30"/>
      <c r="X2261" s="30"/>
      <c r="Y2261" s="30"/>
      <c r="Z2261" s="30"/>
      <c r="AA2261" s="30"/>
      <c r="AB2261" s="30"/>
      <c r="AC2261" s="30"/>
    </row>
    <row r="2262" ht="15.75" customHeight="1">
      <c r="A2262" s="14" t="s">
        <v>17</v>
      </c>
      <c r="B2262" s="14">
        <v>1997.0</v>
      </c>
      <c r="C2262" s="14" t="s">
        <v>3631</v>
      </c>
      <c r="D2262" s="14" t="s">
        <v>3632</v>
      </c>
      <c r="E2262" s="150" t="s">
        <v>3633</v>
      </c>
      <c r="F2262" s="14">
        <v>245.0</v>
      </c>
      <c r="G2262" s="14">
        <v>252.0</v>
      </c>
      <c r="H2262" s="151"/>
      <c r="I2262" s="14" t="s">
        <v>28</v>
      </c>
      <c r="J2262" s="14" t="s">
        <v>5490</v>
      </c>
      <c r="K2262" s="14" t="s">
        <v>39973</v>
      </c>
      <c r="L2262" s="152" t="s">
        <v>3635</v>
      </c>
      <c r="M2262" s="14" t="s">
        <v>39974</v>
      </c>
      <c r="N2262" s="54" t="s">
        <v>39973</v>
      </c>
      <c r="O2262" s="130" t="s">
        <v>3636</v>
      </c>
      <c r="P2262" s="153" t="s">
        <v>3637</v>
      </c>
      <c r="Q2262" s="14">
        <v>663889.0</v>
      </c>
      <c r="R2262" s="14"/>
      <c r="S2262" s="212" t="s">
        <v>39975</v>
      </c>
      <c r="T2262" s="30"/>
      <c r="U2262" s="30"/>
      <c r="V2262" s="30"/>
      <c r="W2262" s="30"/>
      <c r="X2262" s="30"/>
      <c r="Y2262" s="30"/>
      <c r="Z2262" s="30"/>
      <c r="AA2262" s="30"/>
      <c r="AB2262" s="30"/>
      <c r="AC2262" s="30"/>
    </row>
    <row r="2263" ht="15.75" customHeight="1">
      <c r="A2263" s="14" t="s">
        <v>17</v>
      </c>
      <c r="B2263" s="14">
        <v>1997.0</v>
      </c>
      <c r="C2263" s="14" t="s">
        <v>3554</v>
      </c>
      <c r="D2263" s="14" t="s">
        <v>3555</v>
      </c>
      <c r="E2263" s="150" t="s">
        <v>3556</v>
      </c>
      <c r="F2263" s="14">
        <v>143.0</v>
      </c>
      <c r="G2263" s="14">
        <v>149.0</v>
      </c>
      <c r="H2263" s="151"/>
      <c r="I2263" s="14" t="s">
        <v>28</v>
      </c>
      <c r="J2263" s="14" t="s">
        <v>5365</v>
      </c>
      <c r="K2263" s="14" t="s">
        <v>39830</v>
      </c>
      <c r="L2263" s="152" t="s">
        <v>3558</v>
      </c>
      <c r="M2263" s="14" t="s">
        <v>39831</v>
      </c>
      <c r="N2263" s="54" t="s">
        <v>39832</v>
      </c>
      <c r="O2263" s="130"/>
      <c r="P2263" s="16"/>
      <c r="Q2263" s="14">
        <v>663871.0</v>
      </c>
      <c r="R2263" s="14"/>
      <c r="S2263" s="212"/>
      <c r="T2263" s="30"/>
      <c r="U2263" s="30"/>
      <c r="V2263" s="30"/>
      <c r="W2263" s="30"/>
      <c r="X2263" s="30"/>
      <c r="Y2263" s="30"/>
      <c r="Z2263" s="30"/>
      <c r="AA2263" s="30"/>
      <c r="AB2263" s="30"/>
      <c r="AC2263" s="30"/>
    </row>
    <row r="2264" ht="15.75" customHeight="1">
      <c r="A2264" s="14" t="s">
        <v>17</v>
      </c>
      <c r="B2264" s="14">
        <v>1997.0</v>
      </c>
      <c r="C2264" s="14" t="s">
        <v>3663</v>
      </c>
      <c r="D2264" s="14" t="s">
        <v>3664</v>
      </c>
      <c r="E2264" s="150" t="s">
        <v>3665</v>
      </c>
      <c r="F2264" s="14">
        <v>293.0</v>
      </c>
      <c r="G2264" s="14">
        <v>300.0</v>
      </c>
      <c r="H2264" s="151"/>
      <c r="I2264" s="14" t="s">
        <v>28</v>
      </c>
      <c r="J2264" s="14" t="s">
        <v>5553</v>
      </c>
      <c r="K2264" s="14" t="s">
        <v>39980</v>
      </c>
      <c r="L2264" s="152" t="s">
        <v>178</v>
      </c>
      <c r="M2264" s="14" t="s">
        <v>39982</v>
      </c>
      <c r="N2264" s="54" t="s">
        <v>39983</v>
      </c>
      <c r="O2264" s="130" t="s">
        <v>3667</v>
      </c>
      <c r="P2264" s="16"/>
      <c r="Q2264" s="14">
        <v>663895.0</v>
      </c>
      <c r="R2264" s="14"/>
      <c r="S2264" s="212" t="s">
        <v>39984</v>
      </c>
      <c r="T2264" s="30"/>
      <c r="U2264" s="30"/>
      <c r="V2264" s="30"/>
      <c r="W2264" s="30"/>
      <c r="X2264" s="30"/>
      <c r="Y2264" s="30"/>
      <c r="Z2264" s="30"/>
      <c r="AA2264" s="30"/>
      <c r="AB2264" s="30"/>
      <c r="AC2264" s="30"/>
    </row>
    <row r="2265" ht="15.75" customHeight="1">
      <c r="A2265" s="14" t="s">
        <v>17</v>
      </c>
      <c r="B2265" s="14">
        <v>1997.0</v>
      </c>
      <c r="C2265" s="14" t="s">
        <v>3648</v>
      </c>
      <c r="D2265" s="14" t="s">
        <v>3649</v>
      </c>
      <c r="E2265" s="150" t="s">
        <v>3650</v>
      </c>
      <c r="F2265" s="14">
        <v>269.0</v>
      </c>
      <c r="G2265" s="14">
        <v>275.0</v>
      </c>
      <c r="H2265" s="151"/>
      <c r="I2265" s="14" t="s">
        <v>28</v>
      </c>
      <c r="J2265" s="14" t="s">
        <v>5527</v>
      </c>
      <c r="K2265" s="14" t="s">
        <v>39987</v>
      </c>
      <c r="L2265" s="152" t="s">
        <v>3652</v>
      </c>
      <c r="M2265" s="14" t="s">
        <v>39988</v>
      </c>
      <c r="N2265" s="54" t="s">
        <v>39987</v>
      </c>
      <c r="O2265" s="130"/>
      <c r="P2265" s="153" t="s">
        <v>3653</v>
      </c>
      <c r="Q2265" s="14">
        <v>663892.0</v>
      </c>
      <c r="R2265" s="14"/>
      <c r="S2265" s="212"/>
      <c r="T2265" s="30"/>
      <c r="U2265" s="30"/>
      <c r="V2265" s="30"/>
      <c r="W2265" s="30"/>
      <c r="X2265" s="30"/>
      <c r="Y2265" s="30"/>
      <c r="Z2265" s="30"/>
      <c r="AA2265" s="30"/>
      <c r="AB2265" s="30"/>
      <c r="AC2265" s="30"/>
    </row>
    <row r="2266" ht="15.75" customHeight="1">
      <c r="A2266" s="14" t="s">
        <v>17</v>
      </c>
      <c r="B2266" s="14">
        <v>1997.0</v>
      </c>
      <c r="C2266" s="14" t="s">
        <v>3868</v>
      </c>
      <c r="D2266" s="14" t="s">
        <v>3869</v>
      </c>
      <c r="E2266" s="150" t="s">
        <v>3870</v>
      </c>
      <c r="F2266" s="14">
        <v>511.0</v>
      </c>
      <c r="G2266" s="14">
        <v>513.0</v>
      </c>
      <c r="H2266" s="159" t="s">
        <v>30659</v>
      </c>
      <c r="I2266" s="14" t="s">
        <v>21</v>
      </c>
      <c r="J2266" s="14"/>
      <c r="K2266" s="14" t="s">
        <v>39990</v>
      </c>
      <c r="L2266" s="152" t="s">
        <v>3872</v>
      </c>
      <c r="M2266" s="14" t="s">
        <v>494</v>
      </c>
      <c r="N2266" s="54" t="s">
        <v>39991</v>
      </c>
      <c r="O2266" s="130"/>
      <c r="P2266" s="16"/>
      <c r="Q2266" s="14">
        <v>663933.0</v>
      </c>
      <c r="R2266" s="14"/>
      <c r="S2266" s="212"/>
      <c r="T2266" s="30"/>
      <c r="U2266" s="30"/>
      <c r="V2266" s="30"/>
      <c r="W2266" s="30"/>
      <c r="X2266" s="30"/>
      <c r="Y2266" s="30"/>
      <c r="Z2266" s="30"/>
      <c r="AA2266" s="30"/>
      <c r="AB2266" s="30"/>
      <c r="AC2266" s="30"/>
    </row>
    <row r="2267" ht="15.75" customHeight="1">
      <c r="A2267" s="14" t="s">
        <v>17</v>
      </c>
      <c r="B2267" s="14">
        <v>1997.0</v>
      </c>
      <c r="C2267" s="14" t="s">
        <v>3786</v>
      </c>
      <c r="D2267" s="14" t="s">
        <v>3787</v>
      </c>
      <c r="E2267" s="150" t="s">
        <v>3788</v>
      </c>
      <c r="F2267" s="14">
        <v>447.0</v>
      </c>
      <c r="G2267" s="14">
        <v>450.0</v>
      </c>
      <c r="H2267" s="151"/>
      <c r="I2267" s="14" t="s">
        <v>28</v>
      </c>
      <c r="J2267" s="14" t="s">
        <v>6109</v>
      </c>
      <c r="K2267" s="14" t="s">
        <v>39994</v>
      </c>
      <c r="L2267" s="152" t="s">
        <v>3790</v>
      </c>
      <c r="M2267" s="14" t="s">
        <v>39995</v>
      </c>
      <c r="N2267" s="54" t="s">
        <v>39994</v>
      </c>
      <c r="O2267" s="130"/>
      <c r="P2267" s="16"/>
      <c r="Q2267" s="14">
        <v>663918.0</v>
      </c>
      <c r="R2267" s="14"/>
      <c r="S2267" s="212"/>
      <c r="T2267" s="30"/>
      <c r="U2267" s="30"/>
      <c r="V2267" s="30"/>
      <c r="W2267" s="30"/>
      <c r="X2267" s="30"/>
      <c r="Y2267" s="30"/>
      <c r="Z2267" s="30"/>
      <c r="AA2267" s="30"/>
      <c r="AB2267" s="30"/>
      <c r="AC2267" s="30"/>
    </row>
    <row r="2268" ht="15.75" customHeight="1">
      <c r="A2268" s="14" t="s">
        <v>17</v>
      </c>
      <c r="B2268" s="14">
        <v>1997.0</v>
      </c>
      <c r="C2268" s="14" t="s">
        <v>3690</v>
      </c>
      <c r="D2268" s="14" t="s">
        <v>3691</v>
      </c>
      <c r="E2268" s="150" t="s">
        <v>3692</v>
      </c>
      <c r="F2268" s="14">
        <v>329.0</v>
      </c>
      <c r="G2268" s="14">
        <v>336.0</v>
      </c>
      <c r="H2268" s="151"/>
      <c r="I2268" s="14" t="s">
        <v>28</v>
      </c>
      <c r="J2268" s="14" t="s">
        <v>5607</v>
      </c>
      <c r="K2268" s="14" t="s">
        <v>39997</v>
      </c>
      <c r="L2268" s="152" t="s">
        <v>3694</v>
      </c>
      <c r="M2268" s="14" t="s">
        <v>39998</v>
      </c>
      <c r="N2268" s="54" t="s">
        <v>39997</v>
      </c>
      <c r="O2268" s="130" t="s">
        <v>1340</v>
      </c>
      <c r="P2268" s="153" t="s">
        <v>3695</v>
      </c>
      <c r="Q2268" s="14">
        <v>663900.0</v>
      </c>
      <c r="R2268" s="14"/>
      <c r="S2268" s="212">
        <v>398845.0</v>
      </c>
      <c r="T2268" s="30"/>
      <c r="U2268" s="30"/>
      <c r="V2268" s="30"/>
      <c r="W2268" s="30"/>
      <c r="X2268" s="30"/>
      <c r="Y2268" s="30"/>
      <c r="Z2268" s="30"/>
      <c r="AA2268" s="30"/>
      <c r="AB2268" s="30"/>
      <c r="AC2268" s="30"/>
    </row>
    <row r="2269" ht="15.75" customHeight="1">
      <c r="A2269" s="14" t="s">
        <v>17</v>
      </c>
      <c r="B2269" s="14">
        <v>1997.0</v>
      </c>
      <c r="C2269" s="14" t="s">
        <v>3836</v>
      </c>
      <c r="D2269" s="14" t="s">
        <v>3837</v>
      </c>
      <c r="E2269" s="150" t="s">
        <v>3838</v>
      </c>
      <c r="F2269" s="14">
        <v>483.0</v>
      </c>
      <c r="G2269" s="14">
        <v>486.0</v>
      </c>
      <c r="H2269" s="151"/>
      <c r="I2269" s="14" t="s">
        <v>28</v>
      </c>
      <c r="J2269" s="14" t="s">
        <v>6437</v>
      </c>
      <c r="K2269" s="14" t="s">
        <v>40000</v>
      </c>
      <c r="L2269" s="152" t="s">
        <v>3840</v>
      </c>
      <c r="M2269" s="14" t="s">
        <v>40001</v>
      </c>
      <c r="N2269" s="54" t="s">
        <v>40002</v>
      </c>
      <c r="O2269" s="130" t="s">
        <v>3841</v>
      </c>
      <c r="P2269" s="16"/>
      <c r="Q2269" s="14">
        <v>663927.0</v>
      </c>
      <c r="R2269" s="14"/>
      <c r="S2269" s="212" t="s">
        <v>40003</v>
      </c>
      <c r="T2269" s="30"/>
      <c r="U2269" s="30"/>
      <c r="V2269" s="30"/>
      <c r="W2269" s="30"/>
      <c r="X2269" s="30"/>
      <c r="Y2269" s="30"/>
      <c r="Z2269" s="30"/>
      <c r="AA2269" s="30"/>
      <c r="AB2269" s="30"/>
      <c r="AC2269" s="30"/>
    </row>
    <row r="2270" ht="15.75" customHeight="1">
      <c r="A2270" s="14" t="s">
        <v>17</v>
      </c>
      <c r="B2270" s="14">
        <v>1997.0</v>
      </c>
      <c r="C2270" s="14" t="s">
        <v>3769</v>
      </c>
      <c r="D2270" s="14" t="s">
        <v>3770</v>
      </c>
      <c r="E2270" s="150" t="s">
        <v>3771</v>
      </c>
      <c r="F2270" s="14">
        <v>433.0</v>
      </c>
      <c r="G2270" s="14">
        <v>436.0</v>
      </c>
      <c r="H2270" s="151"/>
      <c r="I2270" s="14" t="s">
        <v>28</v>
      </c>
      <c r="J2270" s="14" t="s">
        <v>6087</v>
      </c>
      <c r="K2270" s="14" t="s">
        <v>40007</v>
      </c>
      <c r="L2270" s="152" t="s">
        <v>3773</v>
      </c>
      <c r="M2270" s="14" t="s">
        <v>40008</v>
      </c>
      <c r="N2270" s="54" t="s">
        <v>40007</v>
      </c>
      <c r="O2270" s="130"/>
      <c r="P2270" s="153" t="s">
        <v>3774</v>
      </c>
      <c r="Q2270" s="14">
        <v>663915.0</v>
      </c>
      <c r="R2270" s="14"/>
      <c r="S2270" s="212"/>
      <c r="T2270" s="30"/>
      <c r="U2270" s="30"/>
      <c r="V2270" s="30"/>
      <c r="W2270" s="30"/>
      <c r="X2270" s="30"/>
      <c r="Y2270" s="30"/>
      <c r="Z2270" s="30"/>
      <c r="AA2270" s="30"/>
      <c r="AB2270" s="30"/>
      <c r="AC2270" s="30"/>
    </row>
    <row r="2271" ht="15.75" customHeight="1">
      <c r="A2271" s="14" t="s">
        <v>17</v>
      </c>
      <c r="B2271" s="14">
        <v>1997.0</v>
      </c>
      <c r="C2271" s="14" t="s">
        <v>3615</v>
      </c>
      <c r="D2271" s="14" t="s">
        <v>3616</v>
      </c>
      <c r="E2271" s="150" t="s">
        <v>3617</v>
      </c>
      <c r="F2271" s="14">
        <v>221.0</v>
      </c>
      <c r="G2271" s="14">
        <v>228.0</v>
      </c>
      <c r="H2271" s="151"/>
      <c r="I2271" s="14" t="s">
        <v>28</v>
      </c>
      <c r="J2271" s="14" t="s">
        <v>40012</v>
      </c>
      <c r="K2271" s="14" t="s">
        <v>40013</v>
      </c>
      <c r="L2271" s="152" t="s">
        <v>54</v>
      </c>
      <c r="M2271" s="14" t="s">
        <v>40014</v>
      </c>
      <c r="N2271" s="54" t="s">
        <v>40013</v>
      </c>
      <c r="O2271" s="130" t="s">
        <v>3619</v>
      </c>
      <c r="P2271" s="16"/>
      <c r="Q2271" s="14">
        <v>663886.0</v>
      </c>
      <c r="R2271" s="14"/>
      <c r="S2271" s="212" t="s">
        <v>40015</v>
      </c>
      <c r="T2271" s="30"/>
      <c r="U2271" s="30"/>
      <c r="V2271" s="30"/>
      <c r="W2271" s="30"/>
      <c r="X2271" s="30"/>
      <c r="Y2271" s="30"/>
      <c r="Z2271" s="30"/>
      <c r="AA2271" s="30"/>
      <c r="AB2271" s="30"/>
      <c r="AC2271" s="30"/>
    </row>
    <row r="2272" ht="15.75" customHeight="1">
      <c r="A2272" s="14" t="s">
        <v>17</v>
      </c>
      <c r="B2272" s="14">
        <v>1997.0</v>
      </c>
      <c r="C2272" s="14" t="s">
        <v>3853</v>
      </c>
      <c r="D2272" s="14" t="s">
        <v>3854</v>
      </c>
      <c r="E2272" s="150" t="s">
        <v>3855</v>
      </c>
      <c r="F2272" s="14">
        <v>495.0</v>
      </c>
      <c r="G2272" s="14">
        <v>498.0</v>
      </c>
      <c r="H2272" s="151"/>
      <c r="I2272" s="14" t="s">
        <v>28</v>
      </c>
      <c r="J2272" s="14" t="s">
        <v>6540</v>
      </c>
      <c r="K2272" s="14" t="s">
        <v>39475</v>
      </c>
      <c r="L2272" s="152" t="s">
        <v>3857</v>
      </c>
      <c r="M2272" s="14" t="s">
        <v>39476</v>
      </c>
      <c r="N2272" s="54" t="s">
        <v>39475</v>
      </c>
      <c r="O2272" s="130" t="s">
        <v>1579</v>
      </c>
      <c r="P2272" s="16"/>
      <c r="Q2272" s="14">
        <v>663930.0</v>
      </c>
      <c r="R2272" s="14"/>
      <c r="S2272" s="212">
        <v>398880.0</v>
      </c>
      <c r="T2272" s="30"/>
      <c r="U2272" s="30"/>
      <c r="V2272" s="30"/>
      <c r="W2272" s="30"/>
      <c r="X2272" s="30"/>
      <c r="Y2272" s="30"/>
      <c r="Z2272" s="30"/>
      <c r="AA2272" s="30"/>
      <c r="AB2272" s="30"/>
      <c r="AC2272" s="30"/>
    </row>
    <row r="2273" ht="15.75" customHeight="1">
      <c r="A2273" s="14" t="s">
        <v>17</v>
      </c>
      <c r="B2273" s="14">
        <v>1997.0</v>
      </c>
      <c r="C2273" s="14" t="s">
        <v>3696</v>
      </c>
      <c r="D2273" s="14" t="s">
        <v>3697</v>
      </c>
      <c r="E2273" s="150" t="s">
        <v>3698</v>
      </c>
      <c r="F2273" s="14">
        <v>337.0</v>
      </c>
      <c r="G2273" s="14">
        <v>346.0</v>
      </c>
      <c r="H2273" s="151"/>
      <c r="I2273" s="14" t="s">
        <v>28</v>
      </c>
      <c r="J2273" s="14" t="s">
        <v>5619</v>
      </c>
      <c r="K2273" s="14" t="s">
        <v>40018</v>
      </c>
      <c r="L2273" s="152" t="s">
        <v>2399</v>
      </c>
      <c r="M2273" s="14" t="s">
        <v>40019</v>
      </c>
      <c r="N2273" s="54" t="s">
        <v>40020</v>
      </c>
      <c r="O2273" s="130"/>
      <c r="P2273" s="153" t="s">
        <v>3700</v>
      </c>
      <c r="Q2273" s="14">
        <v>663901.0</v>
      </c>
      <c r="R2273" s="14"/>
      <c r="S2273" s="212"/>
      <c r="T2273" s="30"/>
      <c r="U2273" s="30"/>
      <c r="V2273" s="30"/>
      <c r="W2273" s="30"/>
      <c r="X2273" s="30"/>
      <c r="Y2273" s="30"/>
      <c r="Z2273" s="30"/>
      <c r="AA2273" s="30"/>
      <c r="AB2273" s="30"/>
      <c r="AC2273" s="30"/>
    </row>
    <row r="2274" ht="15.75" customHeight="1">
      <c r="A2274" s="14" t="s">
        <v>17</v>
      </c>
      <c r="B2274" s="14">
        <v>1997.0</v>
      </c>
      <c r="C2274" s="14" t="s">
        <v>3548</v>
      </c>
      <c r="D2274" s="14" t="s">
        <v>3549</v>
      </c>
      <c r="E2274" s="150" t="s">
        <v>3550</v>
      </c>
      <c r="F2274" s="14">
        <v>135.0</v>
      </c>
      <c r="G2274" s="14">
        <v>142.0</v>
      </c>
      <c r="H2274" s="151"/>
      <c r="I2274" s="14" t="s">
        <v>28</v>
      </c>
      <c r="J2274" s="14" t="s">
        <v>5351</v>
      </c>
      <c r="K2274" s="14" t="s">
        <v>40022</v>
      </c>
      <c r="L2274" s="152" t="s">
        <v>3552</v>
      </c>
      <c r="M2274" s="14" t="s">
        <v>40023</v>
      </c>
      <c r="N2274" s="54" t="s">
        <v>40022</v>
      </c>
      <c r="O2274" s="130" t="s">
        <v>3122</v>
      </c>
      <c r="P2274" s="153" t="s">
        <v>3553</v>
      </c>
      <c r="Q2274" s="14">
        <v>663869.0</v>
      </c>
      <c r="R2274" s="14"/>
      <c r="S2274" s="212">
        <v>568127.0</v>
      </c>
      <c r="T2274" s="30"/>
      <c r="U2274" s="30"/>
      <c r="V2274" s="30"/>
      <c r="W2274" s="30"/>
      <c r="X2274" s="30"/>
      <c r="Y2274" s="30"/>
      <c r="Z2274" s="30"/>
      <c r="AA2274" s="30"/>
      <c r="AB2274" s="30"/>
      <c r="AC2274" s="30"/>
    </row>
    <row r="2275" ht="15.75" customHeight="1">
      <c r="A2275" s="14" t="s">
        <v>17</v>
      </c>
      <c r="B2275" s="14">
        <v>1997.0</v>
      </c>
      <c r="C2275" s="14" t="s">
        <v>3532</v>
      </c>
      <c r="D2275" s="14" t="s">
        <v>3533</v>
      </c>
      <c r="E2275" s="150" t="s">
        <v>3534</v>
      </c>
      <c r="F2275" s="14">
        <v>111.0</v>
      </c>
      <c r="G2275" s="14">
        <v>118.0</v>
      </c>
      <c r="H2275" s="151"/>
      <c r="I2275" s="14" t="s">
        <v>28</v>
      </c>
      <c r="J2275" s="14" t="s">
        <v>5309</v>
      </c>
      <c r="K2275" s="14" t="s">
        <v>39919</v>
      </c>
      <c r="L2275" s="152" t="s">
        <v>2451</v>
      </c>
      <c r="M2275" s="14" t="s">
        <v>39920</v>
      </c>
      <c r="N2275" s="54" t="s">
        <v>39919</v>
      </c>
      <c r="O2275" s="130" t="s">
        <v>3535</v>
      </c>
      <c r="P2275" s="16"/>
      <c r="Q2275" s="14">
        <v>663866.0</v>
      </c>
      <c r="R2275" s="14"/>
      <c r="S2275" s="212" t="s">
        <v>40027</v>
      </c>
      <c r="T2275" s="30"/>
      <c r="U2275" s="30"/>
      <c r="V2275" s="30"/>
      <c r="W2275" s="30"/>
      <c r="X2275" s="30"/>
      <c r="Y2275" s="30"/>
      <c r="Z2275" s="30"/>
      <c r="AA2275" s="30"/>
      <c r="AB2275" s="30"/>
      <c r="AC2275" s="30"/>
    </row>
    <row r="2276" ht="15.75" customHeight="1">
      <c r="A2276" s="14" t="s">
        <v>17</v>
      </c>
      <c r="B2276" s="14">
        <v>1997.0</v>
      </c>
      <c r="C2276" s="14" t="s">
        <v>3701</v>
      </c>
      <c r="D2276" s="14" t="s">
        <v>3702</v>
      </c>
      <c r="E2276" s="150" t="s">
        <v>3703</v>
      </c>
      <c r="F2276" s="14">
        <v>347.0</v>
      </c>
      <c r="G2276" s="14">
        <v>354.0</v>
      </c>
      <c r="H2276" s="151"/>
      <c r="I2276" s="14" t="s">
        <v>28</v>
      </c>
      <c r="J2276" s="14" t="s">
        <v>5628</v>
      </c>
      <c r="K2276" s="14" t="s">
        <v>6917</v>
      </c>
      <c r="L2276" s="152" t="s">
        <v>3705</v>
      </c>
      <c r="M2276" s="14">
        <v>3.76092921E10</v>
      </c>
      <c r="N2276" s="54" t="s">
        <v>6917</v>
      </c>
      <c r="O2276" s="130" t="s">
        <v>3112</v>
      </c>
      <c r="P2276" s="16"/>
      <c r="Q2276" s="14">
        <v>663902.0</v>
      </c>
      <c r="R2276" s="14"/>
      <c r="S2276" s="212">
        <v>568125.0</v>
      </c>
      <c r="T2276" s="30"/>
      <c r="U2276" s="30"/>
      <c r="V2276" s="30"/>
      <c r="W2276" s="30"/>
      <c r="X2276" s="30"/>
      <c r="Y2276" s="30"/>
      <c r="Z2276" s="30"/>
      <c r="AA2276" s="30"/>
      <c r="AB2276" s="30"/>
      <c r="AC2276" s="30"/>
    </row>
    <row r="2277" ht="15.75" customHeight="1">
      <c r="A2277" s="14" t="s">
        <v>17</v>
      </c>
      <c r="B2277" s="14">
        <v>1997.0</v>
      </c>
      <c r="C2277" s="14" t="s">
        <v>3812</v>
      </c>
      <c r="D2277" s="14" t="s">
        <v>3813</v>
      </c>
      <c r="E2277" s="150" t="s">
        <v>3814</v>
      </c>
      <c r="F2277" s="14">
        <v>467.0</v>
      </c>
      <c r="G2277" s="14">
        <v>470.0</v>
      </c>
      <c r="H2277" s="151"/>
      <c r="I2277" s="14" t="s">
        <v>28</v>
      </c>
      <c r="J2277" s="14" t="s">
        <v>6330</v>
      </c>
      <c r="K2277" s="14" t="s">
        <v>40032</v>
      </c>
      <c r="L2277" s="152" t="s">
        <v>3816</v>
      </c>
      <c r="M2277" s="14" t="s">
        <v>40033</v>
      </c>
      <c r="N2277" s="54" t="s">
        <v>40034</v>
      </c>
      <c r="O2277" s="130"/>
      <c r="P2277" s="153" t="s">
        <v>3817</v>
      </c>
      <c r="Q2277" s="14">
        <v>663923.0</v>
      </c>
      <c r="R2277" s="14"/>
      <c r="S2277" s="212"/>
      <c r="T2277" s="30"/>
      <c r="U2277" s="30"/>
      <c r="V2277" s="30"/>
      <c r="W2277" s="30"/>
      <c r="X2277" s="30"/>
      <c r="Y2277" s="30"/>
      <c r="Z2277" s="30"/>
      <c r="AA2277" s="30"/>
      <c r="AB2277" s="30"/>
      <c r="AC2277" s="30"/>
    </row>
    <row r="2278" ht="15.75" customHeight="1">
      <c r="A2278" s="14" t="s">
        <v>17</v>
      </c>
      <c r="B2278" s="14">
        <v>1997.0</v>
      </c>
      <c r="C2278" s="14" t="s">
        <v>3873</v>
      </c>
      <c r="D2278" s="14" t="s">
        <v>3874</v>
      </c>
      <c r="E2278" s="150" t="s">
        <v>3875</v>
      </c>
      <c r="F2278" s="14">
        <v>515.0</v>
      </c>
      <c r="G2278" s="14">
        <v>517.0</v>
      </c>
      <c r="H2278" s="159" t="s">
        <v>30659</v>
      </c>
      <c r="I2278" s="14" t="s">
        <v>21</v>
      </c>
      <c r="J2278" s="14"/>
      <c r="K2278" s="14" t="s">
        <v>40035</v>
      </c>
      <c r="L2278" s="152" t="s">
        <v>3877</v>
      </c>
      <c r="M2278" s="14" t="s">
        <v>5349</v>
      </c>
      <c r="N2278" s="54" t="s">
        <v>40035</v>
      </c>
      <c r="O2278" s="130"/>
      <c r="P2278" s="16"/>
      <c r="Q2278" s="14">
        <v>663934.0</v>
      </c>
      <c r="R2278" s="14"/>
      <c r="S2278" s="212"/>
      <c r="T2278" s="30"/>
      <c r="U2278" s="30"/>
      <c r="V2278" s="30"/>
      <c r="W2278" s="30"/>
      <c r="X2278" s="30"/>
      <c r="Y2278" s="30"/>
      <c r="Z2278" s="30"/>
      <c r="AA2278" s="30"/>
      <c r="AB2278" s="30"/>
      <c r="AC2278" s="30"/>
    </row>
    <row r="2279" ht="15.75" customHeight="1">
      <c r="A2279" s="14" t="s">
        <v>17</v>
      </c>
      <c r="B2279" s="14">
        <v>1997.0</v>
      </c>
      <c r="C2279" s="14" t="s">
        <v>3499</v>
      </c>
      <c r="D2279" s="14" t="s">
        <v>3500</v>
      </c>
      <c r="E2279" s="150" t="s">
        <v>3501</v>
      </c>
      <c r="F2279" s="14">
        <v>75.0</v>
      </c>
      <c r="G2279" s="14">
        <v>80.0</v>
      </c>
      <c r="H2279" s="151"/>
      <c r="I2279" s="14" t="s">
        <v>28</v>
      </c>
      <c r="J2279" s="14" t="s">
        <v>5256</v>
      </c>
      <c r="K2279" s="14" t="s">
        <v>3503</v>
      </c>
      <c r="L2279" s="152" t="s">
        <v>3505</v>
      </c>
      <c r="M2279" s="14" t="s">
        <v>40036</v>
      </c>
      <c r="N2279" s="54" t="s">
        <v>3503</v>
      </c>
      <c r="O2279" s="130" t="s">
        <v>3506</v>
      </c>
      <c r="P2279" s="153" t="s">
        <v>3507</v>
      </c>
      <c r="Q2279" s="14">
        <v>663859.0</v>
      </c>
      <c r="R2279" s="14"/>
      <c r="S2279" s="212" t="s">
        <v>40037</v>
      </c>
      <c r="T2279" s="30"/>
      <c r="U2279" s="30"/>
      <c r="V2279" s="30"/>
      <c r="W2279" s="30"/>
      <c r="X2279" s="30"/>
      <c r="Y2279" s="30"/>
      <c r="Z2279" s="30"/>
      <c r="AA2279" s="30"/>
      <c r="AB2279" s="30"/>
      <c r="AC2279" s="30"/>
    </row>
    <row r="2280" ht="15.75" customHeight="1">
      <c r="A2280" s="14" t="s">
        <v>17</v>
      </c>
      <c r="B2280" s="14">
        <v>1997.0</v>
      </c>
      <c r="C2280" s="14" t="s">
        <v>3711</v>
      </c>
      <c r="D2280" s="14" t="s">
        <v>3712</v>
      </c>
      <c r="E2280" s="150" t="s">
        <v>3713</v>
      </c>
      <c r="F2280" s="14">
        <v>363.0</v>
      </c>
      <c r="G2280" s="14">
        <v>370.0</v>
      </c>
      <c r="H2280" s="151"/>
      <c r="I2280" s="14" t="s">
        <v>28</v>
      </c>
      <c r="J2280" s="14" t="s">
        <v>5633</v>
      </c>
      <c r="K2280" s="14" t="s">
        <v>40040</v>
      </c>
      <c r="L2280" s="152" t="s">
        <v>3715</v>
      </c>
      <c r="M2280" s="14" t="s">
        <v>40041</v>
      </c>
      <c r="N2280" s="54" t="s">
        <v>40040</v>
      </c>
      <c r="O2280" s="130"/>
      <c r="P2280" s="16"/>
      <c r="Q2280" s="14">
        <v>663904.0</v>
      </c>
      <c r="R2280" s="14"/>
      <c r="S2280" s="212"/>
      <c r="T2280" s="30"/>
      <c r="U2280" s="30"/>
      <c r="V2280" s="30"/>
      <c r="W2280" s="30"/>
      <c r="X2280" s="30"/>
      <c r="Y2280" s="30"/>
      <c r="Z2280" s="30"/>
      <c r="AA2280" s="30"/>
      <c r="AB2280" s="30"/>
      <c r="AC2280" s="30"/>
    </row>
    <row r="2281" ht="15.75" customHeight="1">
      <c r="A2281" s="14" t="s">
        <v>17</v>
      </c>
      <c r="B2281" s="14">
        <v>1997.0</v>
      </c>
      <c r="C2281" s="14" t="s">
        <v>3508</v>
      </c>
      <c r="D2281" s="14" t="s">
        <v>3509</v>
      </c>
      <c r="E2281" s="150" t="s">
        <v>3510</v>
      </c>
      <c r="F2281" s="14">
        <v>81.0</v>
      </c>
      <c r="G2281" s="14">
        <v>88.0</v>
      </c>
      <c r="H2281" s="151"/>
      <c r="I2281" s="14" t="s">
        <v>28</v>
      </c>
      <c r="J2281" s="14" t="s">
        <v>5258</v>
      </c>
      <c r="K2281" s="14" t="s">
        <v>40043</v>
      </c>
      <c r="L2281" s="152" t="s">
        <v>3512</v>
      </c>
      <c r="M2281" s="14" t="s">
        <v>40044</v>
      </c>
      <c r="N2281" s="54" t="s">
        <v>40045</v>
      </c>
      <c r="O2281" s="130" t="s">
        <v>3513</v>
      </c>
      <c r="P2281" s="153" t="s">
        <v>3514</v>
      </c>
      <c r="Q2281" s="14">
        <v>663860.0</v>
      </c>
      <c r="R2281" s="14"/>
      <c r="S2281" s="212" t="s">
        <v>40046</v>
      </c>
      <c r="T2281" s="30"/>
      <c r="U2281" s="30"/>
      <c r="V2281" s="30"/>
      <c r="W2281" s="30"/>
      <c r="X2281" s="30"/>
      <c r="Y2281" s="30"/>
      <c r="Z2281" s="30"/>
      <c r="AA2281" s="30"/>
      <c r="AB2281" s="30"/>
      <c r="AC2281" s="30"/>
    </row>
    <row r="2282" ht="15.75" customHeight="1">
      <c r="A2282" s="14" t="s">
        <v>17</v>
      </c>
      <c r="B2282" s="14">
        <v>1997.0</v>
      </c>
      <c r="C2282" s="14" t="s">
        <v>3735</v>
      </c>
      <c r="D2282" s="14" t="s">
        <v>3736</v>
      </c>
      <c r="E2282" s="150" t="s">
        <v>3737</v>
      </c>
      <c r="F2282" s="14">
        <v>395.0</v>
      </c>
      <c r="G2282" s="14">
        <v>402.0</v>
      </c>
      <c r="H2282" s="151"/>
      <c r="I2282" s="14" t="s">
        <v>28</v>
      </c>
      <c r="J2282" s="14" t="s">
        <v>6026</v>
      </c>
      <c r="K2282" s="14" t="s">
        <v>40047</v>
      </c>
      <c r="L2282" s="152" t="s">
        <v>3739</v>
      </c>
      <c r="M2282" s="14" t="s">
        <v>40048</v>
      </c>
      <c r="N2282" s="54" t="s">
        <v>40049</v>
      </c>
      <c r="O2282" s="130"/>
      <c r="P2282" s="153" t="s">
        <v>3740</v>
      </c>
      <c r="Q2282" s="14">
        <v>663908.0</v>
      </c>
      <c r="R2282" s="14"/>
      <c r="S2282" s="212"/>
      <c r="T2282" s="30"/>
      <c r="U2282" s="30"/>
      <c r="V2282" s="30"/>
      <c r="W2282" s="30"/>
      <c r="X2282" s="30"/>
      <c r="Y2282" s="30"/>
      <c r="Z2282" s="30"/>
      <c r="AA2282" s="30"/>
      <c r="AB2282" s="30"/>
      <c r="AC2282" s="30"/>
    </row>
    <row r="2283" ht="15.75" customHeight="1">
      <c r="A2283" s="14" t="s">
        <v>17</v>
      </c>
      <c r="B2283" s="14">
        <v>1997.0</v>
      </c>
      <c r="C2283" s="14" t="s">
        <v>3484</v>
      </c>
      <c r="D2283" s="14" t="s">
        <v>3485</v>
      </c>
      <c r="E2283" s="150" t="s">
        <v>3486</v>
      </c>
      <c r="F2283" s="14">
        <v>59.0</v>
      </c>
      <c r="G2283" s="14">
        <v>66.0</v>
      </c>
      <c r="H2283" s="151"/>
      <c r="I2283" s="14" t="s">
        <v>28</v>
      </c>
      <c r="J2283" s="14" t="s">
        <v>5249</v>
      </c>
      <c r="K2283" s="14" t="s">
        <v>40052</v>
      </c>
      <c r="L2283" s="152" t="s">
        <v>3491</v>
      </c>
      <c r="M2283" s="14" t="s">
        <v>40053</v>
      </c>
      <c r="N2283" s="54" t="s">
        <v>40054</v>
      </c>
      <c r="O2283" s="130" t="s">
        <v>1084</v>
      </c>
      <c r="P2283" s="16"/>
      <c r="Q2283" s="14">
        <v>663857.0</v>
      </c>
      <c r="R2283" s="14"/>
      <c r="S2283" s="212">
        <v>235193.0</v>
      </c>
      <c r="T2283" s="30"/>
      <c r="U2283" s="30"/>
      <c r="V2283" s="30"/>
      <c r="W2283" s="30"/>
      <c r="X2283" s="30"/>
      <c r="Y2283" s="30"/>
      <c r="Z2283" s="30"/>
      <c r="AA2283" s="30"/>
      <c r="AB2283" s="30"/>
      <c r="AC2283" s="30"/>
    </row>
    <row r="2284" ht="15.75" customHeight="1">
      <c r="A2284" s="14" t="s">
        <v>17</v>
      </c>
      <c r="B2284" s="14">
        <v>1997.0</v>
      </c>
      <c r="C2284" s="14" t="s">
        <v>3722</v>
      </c>
      <c r="D2284" s="14" t="s">
        <v>3723</v>
      </c>
      <c r="E2284" s="150" t="s">
        <v>3724</v>
      </c>
      <c r="F2284" s="14">
        <v>379.0</v>
      </c>
      <c r="G2284" s="14">
        <v>386.0</v>
      </c>
      <c r="H2284" s="151"/>
      <c r="I2284" s="14" t="s">
        <v>28</v>
      </c>
      <c r="J2284" s="14" t="s">
        <v>40055</v>
      </c>
      <c r="K2284" s="14" t="s">
        <v>40056</v>
      </c>
      <c r="L2284" s="152" t="s">
        <v>3726</v>
      </c>
      <c r="M2284" s="14" t="s">
        <v>40057</v>
      </c>
      <c r="N2284" s="54" t="s">
        <v>40058</v>
      </c>
      <c r="O2284" s="130" t="s">
        <v>3727</v>
      </c>
      <c r="P2284" s="153" t="s">
        <v>3728</v>
      </c>
      <c r="Q2284" s="14">
        <v>663906.0</v>
      </c>
      <c r="R2284" s="14"/>
      <c r="S2284" s="212" t="s">
        <v>40059</v>
      </c>
      <c r="T2284" s="30"/>
      <c r="U2284" s="30"/>
      <c r="V2284" s="30"/>
      <c r="W2284" s="30"/>
      <c r="X2284" s="30"/>
      <c r="Y2284" s="30"/>
      <c r="Z2284" s="30"/>
      <c r="AA2284" s="30"/>
      <c r="AB2284" s="30"/>
      <c r="AC2284" s="30"/>
    </row>
    <row r="2285" ht="15.75" customHeight="1">
      <c r="A2285" s="14" t="s">
        <v>17</v>
      </c>
      <c r="B2285" s="14">
        <v>1997.0</v>
      </c>
      <c r="C2285" s="14" t="s">
        <v>3755</v>
      </c>
      <c r="D2285" s="14" t="s">
        <v>3756</v>
      </c>
      <c r="E2285" s="150" t="s">
        <v>3757</v>
      </c>
      <c r="F2285" s="14">
        <v>421.0</v>
      </c>
      <c r="G2285" s="14">
        <v>424.0</v>
      </c>
      <c r="H2285" s="151"/>
      <c r="I2285" s="14" t="s">
        <v>28</v>
      </c>
      <c r="J2285" s="14" t="s">
        <v>6066</v>
      </c>
      <c r="K2285" s="14" t="s">
        <v>40060</v>
      </c>
      <c r="L2285" s="152" t="s">
        <v>178</v>
      </c>
      <c r="M2285" s="14" t="s">
        <v>40061</v>
      </c>
      <c r="N2285" s="54" t="s">
        <v>40060</v>
      </c>
      <c r="O2285" s="130" t="s">
        <v>3759</v>
      </c>
      <c r="P2285" s="16"/>
      <c r="Q2285" s="14">
        <v>663912.0</v>
      </c>
      <c r="R2285" s="14"/>
      <c r="S2285" s="212" t="s">
        <v>40062</v>
      </c>
      <c r="T2285" s="30"/>
      <c r="U2285" s="30"/>
      <c r="V2285" s="30"/>
      <c r="W2285" s="30"/>
      <c r="X2285" s="30"/>
      <c r="Y2285" s="30"/>
      <c r="Z2285" s="30"/>
      <c r="AA2285" s="30"/>
      <c r="AB2285" s="30"/>
      <c r="AC2285" s="30"/>
    </row>
    <row r="2286" ht="15.75" customHeight="1">
      <c r="A2286" s="14" t="s">
        <v>17</v>
      </c>
      <c r="B2286" s="14">
        <v>1997.0</v>
      </c>
      <c r="C2286" s="14" t="s">
        <v>3863</v>
      </c>
      <c r="D2286" s="14" t="s">
        <v>3864</v>
      </c>
      <c r="E2286" s="150" t="s">
        <v>3865</v>
      </c>
      <c r="F2286" s="14">
        <v>507.0</v>
      </c>
      <c r="G2286" s="14">
        <v>509.0</v>
      </c>
      <c r="H2286" s="159" t="s">
        <v>30659</v>
      </c>
      <c r="I2286" s="14" t="s">
        <v>21</v>
      </c>
      <c r="J2286" s="14"/>
      <c r="K2286" s="14" t="s">
        <v>40065</v>
      </c>
      <c r="L2286" s="152" t="s">
        <v>3867</v>
      </c>
      <c r="M2286" s="14" t="s">
        <v>880</v>
      </c>
      <c r="N2286" s="54" t="s">
        <v>40065</v>
      </c>
      <c r="O2286" s="130"/>
      <c r="P2286" s="16"/>
      <c r="Q2286" s="14">
        <v>663932.0</v>
      </c>
      <c r="R2286" s="14"/>
      <c r="S2286" s="212"/>
      <c r="T2286" s="30"/>
      <c r="U2286" s="30"/>
      <c r="V2286" s="30"/>
      <c r="W2286" s="30"/>
      <c r="X2286" s="30"/>
      <c r="Y2286" s="30"/>
      <c r="Z2286" s="30"/>
      <c r="AA2286" s="30"/>
      <c r="AB2286" s="30"/>
      <c r="AC2286" s="30"/>
    </row>
    <row r="2287" ht="15.75" customHeight="1">
      <c r="A2287" s="14" t="s">
        <v>17</v>
      </c>
      <c r="B2287" s="14">
        <v>1997.0</v>
      </c>
      <c r="C2287" s="14" t="s">
        <v>3571</v>
      </c>
      <c r="D2287" s="14" t="s">
        <v>3572</v>
      </c>
      <c r="E2287" s="150" t="s">
        <v>3573</v>
      </c>
      <c r="F2287" s="14">
        <v>167.0</v>
      </c>
      <c r="G2287" s="14">
        <v>173.0</v>
      </c>
      <c r="H2287" s="151"/>
      <c r="I2287" s="14" t="s">
        <v>28</v>
      </c>
      <c r="J2287" s="14" t="s">
        <v>5397</v>
      </c>
      <c r="K2287" s="14" t="s">
        <v>39815</v>
      </c>
      <c r="L2287" s="152" t="s">
        <v>3575</v>
      </c>
      <c r="M2287" s="14" t="s">
        <v>40068</v>
      </c>
      <c r="N2287" s="54" t="s">
        <v>39815</v>
      </c>
      <c r="O2287" s="130" t="s">
        <v>40070</v>
      </c>
      <c r="P2287" s="153" t="s">
        <v>3577</v>
      </c>
      <c r="Q2287" s="14">
        <v>663875.0</v>
      </c>
      <c r="R2287" s="14"/>
      <c r="S2287" s="212" t="s">
        <v>40071</v>
      </c>
      <c r="T2287" s="30"/>
      <c r="U2287" s="30"/>
      <c r="V2287" s="30"/>
      <c r="W2287" s="30"/>
      <c r="X2287" s="30"/>
      <c r="Y2287" s="30"/>
      <c r="Z2287" s="30"/>
      <c r="AA2287" s="30"/>
      <c r="AB2287" s="30"/>
      <c r="AC2287" s="30"/>
    </row>
    <row r="2288" ht="15.75" customHeight="1">
      <c r="A2288" s="14" t="s">
        <v>17</v>
      </c>
      <c r="B2288" s="14">
        <v>1997.0</v>
      </c>
      <c r="C2288" s="14" t="s">
        <v>3685</v>
      </c>
      <c r="D2288" s="14" t="s">
        <v>3686</v>
      </c>
      <c r="E2288" s="150" t="s">
        <v>3687</v>
      </c>
      <c r="F2288" s="14">
        <v>323.0</v>
      </c>
      <c r="G2288" s="14">
        <v>328.0</v>
      </c>
      <c r="H2288" s="151"/>
      <c r="I2288" s="14" t="s">
        <v>28</v>
      </c>
      <c r="J2288" s="14" t="s">
        <v>5599</v>
      </c>
      <c r="K2288" s="14" t="s">
        <v>40074</v>
      </c>
      <c r="L2288" s="152" t="s">
        <v>3689</v>
      </c>
      <c r="M2288" s="14" t="s">
        <v>40075</v>
      </c>
      <c r="N2288" s="54" t="s">
        <v>40074</v>
      </c>
      <c r="O2288" s="130" t="s">
        <v>1926</v>
      </c>
      <c r="P2288" s="16"/>
      <c r="Q2288" s="14">
        <v>663899.0</v>
      </c>
      <c r="R2288" s="14"/>
      <c r="S2288" s="212">
        <v>346313.0</v>
      </c>
      <c r="T2288" s="30"/>
      <c r="U2288" s="30"/>
      <c r="V2288" s="30"/>
      <c r="W2288" s="30"/>
      <c r="X2288" s="30"/>
      <c r="Y2288" s="30"/>
      <c r="Z2288" s="30"/>
      <c r="AA2288" s="30"/>
      <c r="AB2288" s="30"/>
      <c r="AC2288" s="30"/>
    </row>
    <row r="2289" ht="15.75" customHeight="1">
      <c r="A2289" s="14" t="s">
        <v>17</v>
      </c>
      <c r="B2289" s="14">
        <v>1997.0</v>
      </c>
      <c r="C2289" s="14" t="s">
        <v>3729</v>
      </c>
      <c r="D2289" s="14" t="s">
        <v>3730</v>
      </c>
      <c r="E2289" s="150" t="s">
        <v>3731</v>
      </c>
      <c r="F2289" s="14">
        <v>387.0</v>
      </c>
      <c r="G2289" s="14">
        <v>394.0</v>
      </c>
      <c r="H2289" s="151"/>
      <c r="I2289" s="14" t="s">
        <v>28</v>
      </c>
      <c r="J2289" s="14" t="s">
        <v>6017</v>
      </c>
      <c r="K2289" s="14" t="s">
        <v>40077</v>
      </c>
      <c r="L2289" s="152" t="s">
        <v>3733</v>
      </c>
      <c r="M2289" s="14" t="s">
        <v>40078</v>
      </c>
      <c r="N2289" s="54" t="s">
        <v>40077</v>
      </c>
      <c r="O2289" s="130" t="s">
        <v>3734</v>
      </c>
      <c r="P2289" s="16"/>
      <c r="Q2289" s="14">
        <v>663907.0</v>
      </c>
      <c r="R2289" s="14"/>
      <c r="S2289" s="212" t="s">
        <v>40079</v>
      </c>
      <c r="T2289" s="30"/>
      <c r="U2289" s="30"/>
      <c r="V2289" s="30"/>
      <c r="W2289" s="30"/>
      <c r="X2289" s="30"/>
      <c r="Y2289" s="30"/>
      <c r="Z2289" s="30"/>
      <c r="AA2289" s="30"/>
      <c r="AB2289" s="30"/>
      <c r="AC2289" s="30"/>
    </row>
    <row r="2290" ht="15.75" customHeight="1">
      <c r="A2290" s="14" t="s">
        <v>17</v>
      </c>
      <c r="B2290" s="14">
        <v>1997.0</v>
      </c>
      <c r="C2290" s="14" t="s">
        <v>3456</v>
      </c>
      <c r="D2290" s="14" t="s">
        <v>3457</v>
      </c>
      <c r="E2290" s="150" t="s">
        <v>3458</v>
      </c>
      <c r="F2290" s="14">
        <v>35.0</v>
      </c>
      <c r="G2290" s="14">
        <v>42.0</v>
      </c>
      <c r="H2290" s="151"/>
      <c r="I2290" s="14" t="s">
        <v>28</v>
      </c>
      <c r="J2290" s="14" t="s">
        <v>5208</v>
      </c>
      <c r="K2290" s="14" t="s">
        <v>40081</v>
      </c>
      <c r="L2290" s="152" t="s">
        <v>3463</v>
      </c>
      <c r="M2290" s="14" t="s">
        <v>40082</v>
      </c>
      <c r="N2290" s="54" t="s">
        <v>40081</v>
      </c>
      <c r="O2290" s="130" t="s">
        <v>3464</v>
      </c>
      <c r="P2290" s="16"/>
      <c r="Q2290" s="14">
        <v>663853.0</v>
      </c>
      <c r="R2290" s="14"/>
      <c r="S2290" s="212" t="s">
        <v>40083</v>
      </c>
      <c r="T2290" s="30"/>
      <c r="U2290" s="30"/>
      <c r="V2290" s="30"/>
      <c r="W2290" s="30"/>
      <c r="X2290" s="30"/>
      <c r="Y2290" s="30"/>
      <c r="Z2290" s="30"/>
      <c r="AA2290" s="30"/>
      <c r="AB2290" s="30"/>
      <c r="AC2290" s="30"/>
    </row>
    <row r="2291" ht="15.75" customHeight="1">
      <c r="A2291" s="14" t="s">
        <v>17</v>
      </c>
      <c r="B2291" s="14">
        <v>1997.0</v>
      </c>
      <c r="C2291" s="14" t="s">
        <v>3760</v>
      </c>
      <c r="D2291" s="14" t="s">
        <v>3761</v>
      </c>
      <c r="E2291" s="150" t="s">
        <v>3762</v>
      </c>
      <c r="F2291" s="14">
        <v>425.0</v>
      </c>
      <c r="G2291" s="14">
        <v>428.0</v>
      </c>
      <c r="H2291" s="151"/>
      <c r="I2291" s="14" t="s">
        <v>28</v>
      </c>
      <c r="J2291" s="14" t="s">
        <v>6073</v>
      </c>
      <c r="K2291" s="14" t="s">
        <v>7481</v>
      </c>
      <c r="L2291" s="152" t="s">
        <v>3764</v>
      </c>
      <c r="M2291" s="14">
        <v>3.72840616E10</v>
      </c>
      <c r="N2291" s="54" t="s">
        <v>7481</v>
      </c>
      <c r="O2291" s="130"/>
      <c r="P2291" s="16"/>
      <c r="Q2291" s="14">
        <v>663913.0</v>
      </c>
      <c r="R2291" s="14"/>
      <c r="S2291" s="212"/>
      <c r="T2291" s="30"/>
      <c r="U2291" s="30"/>
      <c r="V2291" s="30"/>
      <c r="W2291" s="30"/>
      <c r="X2291" s="30"/>
      <c r="Y2291" s="30"/>
      <c r="Z2291" s="30"/>
      <c r="AA2291" s="30"/>
      <c r="AB2291" s="30"/>
      <c r="AC2291" s="30"/>
    </row>
    <row r="2292" ht="15.75" customHeight="1">
      <c r="A2292" s="14" t="s">
        <v>17</v>
      </c>
      <c r="B2292" s="14">
        <v>1997.0</v>
      </c>
      <c r="C2292" s="14" t="s">
        <v>3583</v>
      </c>
      <c r="D2292" s="14" t="s">
        <v>3584</v>
      </c>
      <c r="E2292" s="150" t="s">
        <v>3585</v>
      </c>
      <c r="F2292" s="14">
        <v>183.0</v>
      </c>
      <c r="G2292" s="14">
        <v>189.0</v>
      </c>
      <c r="H2292" s="151"/>
      <c r="I2292" s="14" t="s">
        <v>28</v>
      </c>
      <c r="J2292" s="14" t="s">
        <v>5414</v>
      </c>
      <c r="K2292" s="14" t="s">
        <v>40086</v>
      </c>
      <c r="L2292" s="152" t="s">
        <v>3587</v>
      </c>
      <c r="M2292" s="14" t="s">
        <v>40087</v>
      </c>
      <c r="N2292" s="54" t="s">
        <v>40086</v>
      </c>
      <c r="O2292" s="130" t="s">
        <v>3588</v>
      </c>
      <c r="P2292" s="153" t="s">
        <v>3589</v>
      </c>
      <c r="Q2292" s="14">
        <v>663878.0</v>
      </c>
      <c r="R2292" s="14"/>
      <c r="S2292" s="212" t="s">
        <v>40088</v>
      </c>
      <c r="T2292" s="30"/>
      <c r="U2292" s="30"/>
      <c r="V2292" s="30"/>
      <c r="W2292" s="30"/>
      <c r="X2292" s="30"/>
      <c r="Y2292" s="30"/>
      <c r="Z2292" s="30"/>
      <c r="AA2292" s="30"/>
      <c r="AB2292" s="30"/>
      <c r="AC2292" s="30"/>
    </row>
    <row r="2293" ht="15.75" customHeight="1">
      <c r="A2293" s="14" t="s">
        <v>17</v>
      </c>
      <c r="B2293" s="14">
        <v>1997.0</v>
      </c>
      <c r="C2293" s="14" t="s">
        <v>3680</v>
      </c>
      <c r="D2293" s="14" t="s">
        <v>3681</v>
      </c>
      <c r="E2293" s="150" t="s">
        <v>3682</v>
      </c>
      <c r="F2293" s="14">
        <v>317.0</v>
      </c>
      <c r="G2293" s="14">
        <v>322.0</v>
      </c>
      <c r="H2293" s="151"/>
      <c r="I2293" s="14" t="s">
        <v>28</v>
      </c>
      <c r="J2293" s="14" t="s">
        <v>5586</v>
      </c>
      <c r="K2293" s="14" t="s">
        <v>40089</v>
      </c>
      <c r="L2293" s="152" t="s">
        <v>477</v>
      </c>
      <c r="M2293" s="14" t="s">
        <v>40090</v>
      </c>
      <c r="N2293" s="54" t="s">
        <v>40091</v>
      </c>
      <c r="O2293" s="130" t="s">
        <v>3684</v>
      </c>
      <c r="P2293" s="153" t="s">
        <v>3658</v>
      </c>
      <c r="Q2293" s="14">
        <v>663898.0</v>
      </c>
      <c r="R2293" s="14"/>
      <c r="S2293" s="212" t="s">
        <v>40093</v>
      </c>
      <c r="T2293" s="30"/>
      <c r="U2293" s="30"/>
      <c r="V2293" s="30"/>
      <c r="W2293" s="30"/>
      <c r="X2293" s="30"/>
      <c r="Y2293" s="30"/>
      <c r="Z2293" s="30"/>
      <c r="AA2293" s="30"/>
      <c r="AB2293" s="30"/>
      <c r="AC2293" s="30"/>
    </row>
    <row r="2294" ht="15.75" customHeight="1">
      <c r="A2294" s="14" t="s">
        <v>17</v>
      </c>
      <c r="B2294" s="14">
        <v>1997.0</v>
      </c>
      <c r="C2294" s="14" t="s">
        <v>3818</v>
      </c>
      <c r="D2294" s="14" t="s">
        <v>3819</v>
      </c>
      <c r="E2294" s="150" t="s">
        <v>3820</v>
      </c>
      <c r="F2294" s="14">
        <v>471.0</v>
      </c>
      <c r="G2294" s="14">
        <v>474.0</v>
      </c>
      <c r="H2294" s="151"/>
      <c r="I2294" s="14" t="s">
        <v>28</v>
      </c>
      <c r="J2294" s="14" t="s">
        <v>6355</v>
      </c>
      <c r="K2294" s="14" t="s">
        <v>9244</v>
      </c>
      <c r="L2294" s="152" t="s">
        <v>3822</v>
      </c>
      <c r="M2294" s="14">
        <v>3.76145841E10</v>
      </c>
      <c r="N2294" s="54" t="s">
        <v>9244</v>
      </c>
      <c r="O2294" s="130"/>
      <c r="P2294" s="153" t="s">
        <v>3823</v>
      </c>
      <c r="Q2294" s="14">
        <v>663924.0</v>
      </c>
      <c r="R2294" s="14"/>
      <c r="S2294" s="212"/>
      <c r="T2294" s="30"/>
      <c r="U2294" s="30"/>
      <c r="V2294" s="30"/>
      <c r="W2294" s="30"/>
      <c r="X2294" s="30"/>
      <c r="Y2294" s="30"/>
      <c r="Z2294" s="30"/>
      <c r="AA2294" s="30"/>
      <c r="AB2294" s="30"/>
      <c r="AC2294" s="30"/>
    </row>
    <row r="2295" ht="15.75" customHeight="1">
      <c r="A2295" s="14" t="s">
        <v>17</v>
      </c>
      <c r="B2295" s="14">
        <v>1997.0</v>
      </c>
      <c r="C2295" s="14" t="s">
        <v>3654</v>
      </c>
      <c r="D2295" s="14" t="s">
        <v>3655</v>
      </c>
      <c r="E2295" s="150" t="s">
        <v>3656</v>
      </c>
      <c r="F2295" s="14">
        <v>277.0</v>
      </c>
      <c r="G2295" s="14">
        <v>283.0</v>
      </c>
      <c r="H2295" s="151"/>
      <c r="I2295" s="14" t="s">
        <v>28</v>
      </c>
      <c r="J2295" s="14" t="s">
        <v>5538</v>
      </c>
      <c r="K2295" s="14" t="s">
        <v>40095</v>
      </c>
      <c r="L2295" s="152" t="s">
        <v>3379</v>
      </c>
      <c r="M2295" s="14" t="s">
        <v>40096</v>
      </c>
      <c r="N2295" s="54" t="s">
        <v>40095</v>
      </c>
      <c r="O2295" s="130"/>
      <c r="P2295" s="153" t="s">
        <v>3658</v>
      </c>
      <c r="Q2295" s="14">
        <v>663893.0</v>
      </c>
      <c r="R2295" s="14"/>
      <c r="S2295" s="212"/>
      <c r="T2295" s="30"/>
      <c r="U2295" s="30"/>
      <c r="V2295" s="30"/>
      <c r="W2295" s="30"/>
      <c r="X2295" s="30"/>
      <c r="Y2295" s="30"/>
      <c r="Z2295" s="30"/>
      <c r="AA2295" s="30"/>
      <c r="AB2295" s="30"/>
      <c r="AC2295" s="30"/>
    </row>
    <row r="2296" ht="15.75" customHeight="1">
      <c r="A2296" s="14" t="s">
        <v>17</v>
      </c>
      <c r="B2296" s="14">
        <v>1997.0</v>
      </c>
      <c r="C2296" s="14" t="s">
        <v>3796</v>
      </c>
      <c r="D2296" s="14" t="s">
        <v>3797</v>
      </c>
      <c r="E2296" s="150" t="s">
        <v>3798</v>
      </c>
      <c r="F2296" s="14">
        <v>455.0</v>
      </c>
      <c r="G2296" s="14">
        <v>458.0</v>
      </c>
      <c r="H2296" s="151"/>
      <c r="I2296" s="14" t="s">
        <v>28</v>
      </c>
      <c r="J2296" s="14" t="s">
        <v>6130</v>
      </c>
      <c r="K2296" s="14" t="s">
        <v>40098</v>
      </c>
      <c r="L2296" s="152" t="s">
        <v>3800</v>
      </c>
      <c r="M2296" s="14" t="s">
        <v>40100</v>
      </c>
      <c r="N2296" s="54" t="s">
        <v>40098</v>
      </c>
      <c r="O2296" s="130"/>
      <c r="P2296" s="153" t="s">
        <v>3801</v>
      </c>
      <c r="Q2296" s="14">
        <v>663920.0</v>
      </c>
      <c r="R2296" s="14"/>
      <c r="S2296" s="212"/>
      <c r="T2296" s="30"/>
      <c r="U2296" s="30"/>
      <c r="V2296" s="30"/>
      <c r="W2296" s="30"/>
      <c r="X2296" s="30"/>
      <c r="Y2296" s="30"/>
      <c r="Z2296" s="30"/>
      <c r="AA2296" s="30"/>
      <c r="AB2296" s="30"/>
      <c r="AC2296" s="30"/>
    </row>
    <row r="2297" ht="15.75" customHeight="1">
      <c r="A2297" s="14" t="s">
        <v>17</v>
      </c>
      <c r="B2297" s="14">
        <v>1997.0</v>
      </c>
      <c r="C2297" s="14" t="s">
        <v>3515</v>
      </c>
      <c r="D2297" s="14" t="s">
        <v>3516</v>
      </c>
      <c r="E2297" s="150" t="s">
        <v>3517</v>
      </c>
      <c r="F2297" s="14">
        <v>89.0</v>
      </c>
      <c r="G2297" s="14">
        <v>94.0</v>
      </c>
      <c r="H2297" s="151"/>
      <c r="I2297" s="14" t="s">
        <v>28</v>
      </c>
      <c r="J2297" s="14" t="s">
        <v>5269</v>
      </c>
      <c r="K2297" s="14" t="s">
        <v>40101</v>
      </c>
      <c r="L2297" s="152" t="s">
        <v>3519</v>
      </c>
      <c r="M2297" s="14" t="s">
        <v>40102</v>
      </c>
      <c r="N2297" s="54" t="s">
        <v>40101</v>
      </c>
      <c r="O2297" s="130" t="s">
        <v>800</v>
      </c>
      <c r="P2297" s="153" t="s">
        <v>3520</v>
      </c>
      <c r="Q2297" s="14">
        <v>663862.0</v>
      </c>
      <c r="R2297" s="14"/>
      <c r="S2297" s="212">
        <v>175814.0</v>
      </c>
      <c r="T2297" s="30"/>
      <c r="U2297" s="30"/>
      <c r="V2297" s="30"/>
      <c r="W2297" s="30"/>
      <c r="X2297" s="30"/>
      <c r="Y2297" s="30"/>
      <c r="Z2297" s="30"/>
      <c r="AA2297" s="30"/>
      <c r="AB2297" s="30"/>
      <c r="AC2297" s="30"/>
    </row>
    <row r="2298" ht="15.75" customHeight="1">
      <c r="A2298" s="14" t="s">
        <v>17</v>
      </c>
      <c r="B2298" s="14">
        <v>1997.0</v>
      </c>
      <c r="C2298" s="14" t="s">
        <v>3492</v>
      </c>
      <c r="D2298" s="14" t="s">
        <v>3493</v>
      </c>
      <c r="E2298" s="150" t="s">
        <v>3494</v>
      </c>
      <c r="F2298" s="14">
        <v>67.0</v>
      </c>
      <c r="G2298" s="14">
        <v>74.0</v>
      </c>
      <c r="H2298" s="151"/>
      <c r="I2298" s="14" t="s">
        <v>28</v>
      </c>
      <c r="J2298" s="14" t="s">
        <v>5252</v>
      </c>
      <c r="K2298" s="14" t="s">
        <v>40104</v>
      </c>
      <c r="L2298" s="152" t="s">
        <v>1943</v>
      </c>
      <c r="M2298" s="14" t="s">
        <v>40105</v>
      </c>
      <c r="N2298" s="54" t="s">
        <v>40104</v>
      </c>
      <c r="O2298" s="130"/>
      <c r="P2298" s="16"/>
      <c r="Q2298" s="14">
        <v>663858.0</v>
      </c>
      <c r="R2298" s="14"/>
      <c r="S2298" s="212"/>
      <c r="T2298" s="30"/>
      <c r="U2298" s="30"/>
      <c r="V2298" s="30"/>
      <c r="W2298" s="30"/>
      <c r="X2298" s="30"/>
      <c r="Y2298" s="30"/>
      <c r="Z2298" s="30"/>
      <c r="AA2298" s="30"/>
      <c r="AB2298" s="30"/>
      <c r="AC2298" s="30"/>
    </row>
    <row r="2299" ht="15.75" customHeight="1">
      <c r="A2299" s="14" t="s">
        <v>17</v>
      </c>
      <c r="B2299" s="14">
        <v>1997.0</v>
      </c>
      <c r="C2299" s="14" t="s">
        <v>3521</v>
      </c>
      <c r="D2299" s="14" t="s">
        <v>3522</v>
      </c>
      <c r="E2299" s="150" t="s">
        <v>3523</v>
      </c>
      <c r="F2299" s="14">
        <v>95.0</v>
      </c>
      <c r="G2299" s="14">
        <v>102.0</v>
      </c>
      <c r="H2299" s="151"/>
      <c r="I2299" s="14" t="s">
        <v>28</v>
      </c>
      <c r="J2299" s="14" t="s">
        <v>5284</v>
      </c>
      <c r="K2299" s="14" t="s">
        <v>40106</v>
      </c>
      <c r="L2299" s="152" t="s">
        <v>3525</v>
      </c>
      <c r="M2299" s="14" t="s">
        <v>40107</v>
      </c>
      <c r="N2299" s="54" t="s">
        <v>40106</v>
      </c>
      <c r="O2299" s="130" t="s">
        <v>2854</v>
      </c>
      <c r="P2299" s="153" t="s">
        <v>3526</v>
      </c>
      <c r="Q2299" s="14">
        <v>663863.0</v>
      </c>
      <c r="R2299" s="14"/>
      <c r="S2299" s="212">
        <v>567600.0</v>
      </c>
      <c r="T2299" s="30"/>
      <c r="U2299" s="30"/>
      <c r="V2299" s="30"/>
      <c r="W2299" s="30"/>
      <c r="X2299" s="30"/>
      <c r="Y2299" s="30"/>
      <c r="Z2299" s="30"/>
      <c r="AA2299" s="30"/>
      <c r="AB2299" s="30"/>
      <c r="AC2299" s="30"/>
    </row>
    <row r="2300" ht="15.75" customHeight="1">
      <c r="A2300" s="14" t="s">
        <v>17</v>
      </c>
      <c r="B2300" s="14">
        <v>1997.0</v>
      </c>
      <c r="C2300" s="14" t="s">
        <v>3824</v>
      </c>
      <c r="D2300" s="14" t="s">
        <v>3825</v>
      </c>
      <c r="E2300" s="150" t="s">
        <v>3826</v>
      </c>
      <c r="F2300" s="14">
        <v>475.0</v>
      </c>
      <c r="G2300" s="14">
        <v>478.0</v>
      </c>
      <c r="H2300" s="151"/>
      <c r="I2300" s="14" t="s">
        <v>28</v>
      </c>
      <c r="J2300" s="14" t="s">
        <v>6377</v>
      </c>
      <c r="K2300" s="14" t="s">
        <v>40108</v>
      </c>
      <c r="L2300" s="152" t="s">
        <v>3828</v>
      </c>
      <c r="M2300" s="14" t="s">
        <v>40109</v>
      </c>
      <c r="N2300" s="54" t="s">
        <v>40108</v>
      </c>
      <c r="O2300" s="130"/>
      <c r="P2300" s="153" t="s">
        <v>3829</v>
      </c>
      <c r="Q2300" s="14">
        <v>663925.0</v>
      </c>
      <c r="R2300" s="14"/>
      <c r="S2300" s="212"/>
      <c r="T2300" s="30"/>
      <c r="U2300" s="30"/>
      <c r="V2300" s="30"/>
      <c r="W2300" s="30"/>
      <c r="X2300" s="30"/>
      <c r="Y2300" s="30"/>
      <c r="Z2300" s="30"/>
      <c r="AA2300" s="30"/>
      <c r="AB2300" s="30"/>
      <c r="AC2300" s="30"/>
    </row>
    <row r="2301" ht="15.75" customHeight="1">
      <c r="A2301" s="14" t="s">
        <v>17</v>
      </c>
      <c r="B2301" s="14">
        <v>1997.0</v>
      </c>
      <c r="C2301" s="14" t="s">
        <v>3847</v>
      </c>
      <c r="D2301" s="14" t="s">
        <v>3848</v>
      </c>
      <c r="E2301" s="150" t="s">
        <v>3849</v>
      </c>
      <c r="F2301" s="14">
        <v>491.0</v>
      </c>
      <c r="G2301" s="14">
        <v>494.0</v>
      </c>
      <c r="H2301" s="151"/>
      <c r="I2301" s="14" t="s">
        <v>28</v>
      </c>
      <c r="J2301" s="14" t="s">
        <v>6494</v>
      </c>
      <c r="K2301" s="14" t="s">
        <v>9099</v>
      </c>
      <c r="L2301" s="152" t="s">
        <v>1138</v>
      </c>
      <c r="M2301" s="14">
        <v>3.76197188E10</v>
      </c>
      <c r="N2301" s="54" t="s">
        <v>9099</v>
      </c>
      <c r="O2301" s="130" t="s">
        <v>3851</v>
      </c>
      <c r="P2301" s="153" t="s">
        <v>3852</v>
      </c>
      <c r="Q2301" s="14">
        <v>663929.0</v>
      </c>
      <c r="R2301" s="14"/>
      <c r="S2301" s="212" t="s">
        <v>40114</v>
      </c>
      <c r="T2301" s="30"/>
      <c r="U2301" s="30"/>
      <c r="V2301" s="30"/>
      <c r="W2301" s="30"/>
      <c r="X2301" s="30"/>
      <c r="Y2301" s="30"/>
      <c r="Z2301" s="30"/>
      <c r="AA2301" s="30"/>
      <c r="AB2301" s="30"/>
      <c r="AC2301" s="30"/>
    </row>
    <row r="2302" ht="15.75" customHeight="1">
      <c r="A2302" s="14" t="s">
        <v>17</v>
      </c>
      <c r="B2302" s="14">
        <v>1997.0</v>
      </c>
      <c r="C2302" s="14" t="s">
        <v>3536</v>
      </c>
      <c r="D2302" s="14" t="s">
        <v>3537</v>
      </c>
      <c r="E2302" s="150" t="s">
        <v>3538</v>
      </c>
      <c r="F2302" s="14">
        <v>119.0</v>
      </c>
      <c r="G2302" s="14">
        <v>125.0</v>
      </c>
      <c r="H2302" s="151"/>
      <c r="I2302" s="14" t="s">
        <v>28</v>
      </c>
      <c r="J2302" s="14" t="s">
        <v>40115</v>
      </c>
      <c r="K2302" s="14" t="s">
        <v>40116</v>
      </c>
      <c r="L2302" s="152" t="s">
        <v>3540</v>
      </c>
      <c r="M2302" s="14" t="s">
        <v>40117</v>
      </c>
      <c r="N2302" s="54" t="s">
        <v>40116</v>
      </c>
      <c r="O2302" s="130" t="s">
        <v>3541</v>
      </c>
      <c r="P2302" s="16"/>
      <c r="Q2302" s="14">
        <v>663867.0</v>
      </c>
      <c r="R2302" s="14"/>
      <c r="S2302" s="212" t="s">
        <v>40118</v>
      </c>
      <c r="T2302" s="30"/>
      <c r="U2302" s="30"/>
      <c r="V2302" s="30"/>
      <c r="W2302" s="30"/>
      <c r="X2302" s="30"/>
      <c r="Y2302" s="30"/>
      <c r="Z2302" s="30"/>
      <c r="AA2302" s="30"/>
      <c r="AB2302" s="30"/>
      <c r="AC2302" s="30"/>
    </row>
    <row r="2303" ht="15.75" customHeight="1">
      <c r="A2303" s="14" t="s">
        <v>17</v>
      </c>
      <c r="B2303" s="14">
        <v>1997.0</v>
      </c>
      <c r="C2303" s="14" t="s">
        <v>3643</v>
      </c>
      <c r="D2303" s="14" t="s">
        <v>3644</v>
      </c>
      <c r="E2303" s="150" t="s">
        <v>3645</v>
      </c>
      <c r="F2303" s="14">
        <v>261.0</v>
      </c>
      <c r="G2303" s="14">
        <v>267.0</v>
      </c>
      <c r="H2303" s="151"/>
      <c r="I2303" s="14" t="s">
        <v>28</v>
      </c>
      <c r="J2303" s="14" t="s">
        <v>5511</v>
      </c>
      <c r="K2303" s="14" t="s">
        <v>40121</v>
      </c>
      <c r="L2303" s="152" t="s">
        <v>3647</v>
      </c>
      <c r="M2303" s="14" t="s">
        <v>40122</v>
      </c>
      <c r="N2303" s="54" t="s">
        <v>40121</v>
      </c>
      <c r="O2303" s="130" t="s">
        <v>38</v>
      </c>
      <c r="P2303" s="16"/>
      <c r="Q2303" s="14">
        <v>663891.0</v>
      </c>
      <c r="R2303" s="14"/>
      <c r="S2303" s="212">
        <v>146361.0</v>
      </c>
      <c r="T2303" s="30"/>
      <c r="U2303" s="30"/>
      <c r="V2303" s="30"/>
      <c r="W2303" s="30"/>
      <c r="X2303" s="30"/>
      <c r="Y2303" s="30"/>
      <c r="Z2303" s="30"/>
      <c r="AA2303" s="30"/>
      <c r="AB2303" s="30"/>
      <c r="AC2303" s="30"/>
    </row>
    <row r="2304" ht="15.75" customHeight="1">
      <c r="A2304" s="14" t="s">
        <v>17</v>
      </c>
      <c r="B2304" s="14">
        <v>1997.0</v>
      </c>
      <c r="C2304" s="14" t="s">
        <v>3465</v>
      </c>
      <c r="D2304" s="14" t="s">
        <v>3466</v>
      </c>
      <c r="E2304" s="150" t="s">
        <v>3468</v>
      </c>
      <c r="F2304" s="14">
        <v>43.0</v>
      </c>
      <c r="G2304" s="14">
        <v>50.0</v>
      </c>
      <c r="H2304" s="151"/>
      <c r="I2304" s="14" t="s">
        <v>28</v>
      </c>
      <c r="J2304" s="14" t="s">
        <v>5226</v>
      </c>
      <c r="K2304" s="14" t="s">
        <v>40128</v>
      </c>
      <c r="L2304" s="152" t="s">
        <v>3472</v>
      </c>
      <c r="M2304" s="14" t="s">
        <v>40129</v>
      </c>
      <c r="N2304" s="54" t="s">
        <v>40130</v>
      </c>
      <c r="O2304" s="130" t="s">
        <v>3473</v>
      </c>
      <c r="P2304" s="153" t="s">
        <v>3474</v>
      </c>
      <c r="Q2304" s="14">
        <v>663855.0</v>
      </c>
      <c r="R2304" s="14"/>
      <c r="S2304" s="212" t="s">
        <v>40131</v>
      </c>
      <c r="T2304" s="30"/>
      <c r="U2304" s="30"/>
      <c r="V2304" s="30"/>
      <c r="W2304" s="30"/>
      <c r="X2304" s="30"/>
      <c r="Y2304" s="30"/>
      <c r="Z2304" s="30"/>
      <c r="AA2304" s="30"/>
      <c r="AB2304" s="30"/>
      <c r="AC2304" s="30"/>
    </row>
    <row r="2305" ht="15.75" customHeight="1">
      <c r="A2305" s="14" t="s">
        <v>17</v>
      </c>
      <c r="B2305" s="14">
        <v>1997.0</v>
      </c>
      <c r="C2305" s="14" t="s">
        <v>3745</v>
      </c>
      <c r="D2305" s="14" t="s">
        <v>3746</v>
      </c>
      <c r="E2305" s="150" t="s">
        <v>3747</v>
      </c>
      <c r="F2305" s="14">
        <v>413.0</v>
      </c>
      <c r="G2305" s="14">
        <v>416.0</v>
      </c>
      <c r="H2305" s="151"/>
      <c r="I2305" s="14" t="s">
        <v>28</v>
      </c>
      <c r="J2305" s="14" t="s">
        <v>6050</v>
      </c>
      <c r="K2305" s="14" t="s">
        <v>40132</v>
      </c>
      <c r="L2305" s="152" t="s">
        <v>477</v>
      </c>
      <c r="M2305" s="14" t="s">
        <v>40133</v>
      </c>
      <c r="N2305" s="54" t="s">
        <v>40132</v>
      </c>
      <c r="O2305" s="130" t="s">
        <v>3749</v>
      </c>
      <c r="P2305" s="16"/>
      <c r="Q2305" s="14">
        <v>663910.0</v>
      </c>
      <c r="R2305" s="14"/>
      <c r="S2305" s="212" t="s">
        <v>40134</v>
      </c>
      <c r="T2305" s="30"/>
      <c r="U2305" s="30"/>
      <c r="V2305" s="30"/>
      <c r="W2305" s="30"/>
      <c r="X2305" s="30"/>
      <c r="Y2305" s="30"/>
      <c r="Z2305" s="30"/>
      <c r="AA2305" s="30"/>
      <c r="AB2305" s="30"/>
      <c r="AC2305" s="30"/>
    </row>
    <row r="2306" ht="15.75" customHeight="1">
      <c r="A2306" s="14" t="s">
        <v>17</v>
      </c>
      <c r="B2306" s="14">
        <v>1997.0</v>
      </c>
      <c r="C2306" s="14" t="s">
        <v>3559</v>
      </c>
      <c r="D2306" s="14" t="s">
        <v>3560</v>
      </c>
      <c r="E2306" s="150" t="s">
        <v>3561</v>
      </c>
      <c r="F2306" s="14">
        <v>151.0</v>
      </c>
      <c r="G2306" s="14">
        <v>158.0</v>
      </c>
      <c r="H2306" s="151"/>
      <c r="I2306" s="14" t="s">
        <v>28</v>
      </c>
      <c r="J2306" s="14" t="s">
        <v>5379</v>
      </c>
      <c r="K2306" s="14" t="s">
        <v>40136</v>
      </c>
      <c r="L2306" s="152" t="s">
        <v>3563</v>
      </c>
      <c r="M2306" s="14" t="s">
        <v>40137</v>
      </c>
      <c r="N2306" s="54" t="s">
        <v>40138</v>
      </c>
      <c r="O2306" s="130" t="s">
        <v>3564</v>
      </c>
      <c r="P2306" s="153" t="s">
        <v>3565</v>
      </c>
      <c r="Q2306" s="14">
        <v>663872.0</v>
      </c>
      <c r="R2306" s="14"/>
      <c r="S2306" s="212" t="s">
        <v>40139</v>
      </c>
      <c r="T2306" s="30"/>
      <c r="U2306" s="30"/>
      <c r="V2306" s="30"/>
      <c r="W2306" s="30"/>
      <c r="X2306" s="30"/>
      <c r="Y2306" s="30"/>
      <c r="Z2306" s="30"/>
      <c r="AA2306" s="30"/>
      <c r="AB2306" s="30"/>
      <c r="AC2306" s="30"/>
    </row>
    <row r="2307" ht="15.75" customHeight="1">
      <c r="A2307" s="14" t="s">
        <v>2137</v>
      </c>
      <c r="B2307" s="14">
        <v>1996.0</v>
      </c>
      <c r="C2307" s="14" t="s">
        <v>2799</v>
      </c>
      <c r="D2307" s="14" t="s">
        <v>2800</v>
      </c>
      <c r="E2307" s="150" t="s">
        <v>2801</v>
      </c>
      <c r="F2307" s="14">
        <v>72.0</v>
      </c>
      <c r="G2307" s="14" t="s">
        <v>2802</v>
      </c>
      <c r="H2307" s="159" t="s">
        <v>30659</v>
      </c>
      <c r="I2307" s="14" t="s">
        <v>21</v>
      </c>
      <c r="J2307" s="14" t="s">
        <v>40141</v>
      </c>
      <c r="K2307" s="14" t="s">
        <v>40142</v>
      </c>
      <c r="L2307" s="152" t="s">
        <v>2804</v>
      </c>
      <c r="M2307" s="14" t="s">
        <v>40143</v>
      </c>
      <c r="N2307" s="54" t="s">
        <v>40142</v>
      </c>
      <c r="O2307" s="130"/>
      <c r="P2307" s="16"/>
      <c r="Q2307" s="14">
        <v>559223.0</v>
      </c>
      <c r="R2307" s="14"/>
      <c r="S2307" s="212"/>
      <c r="T2307" s="30"/>
      <c r="U2307" s="30"/>
      <c r="V2307" s="30"/>
      <c r="W2307" s="30"/>
      <c r="X2307" s="30"/>
      <c r="Y2307" s="30"/>
      <c r="Z2307" s="30"/>
      <c r="AA2307" s="30"/>
      <c r="AB2307" s="30"/>
      <c r="AC2307" s="30"/>
    </row>
    <row r="2308" ht="15.75" customHeight="1">
      <c r="A2308" s="14" t="s">
        <v>2137</v>
      </c>
      <c r="B2308" s="14">
        <v>1996.0</v>
      </c>
      <c r="C2308" s="14" t="s">
        <v>2735</v>
      </c>
      <c r="D2308" s="14" t="s">
        <v>2736</v>
      </c>
      <c r="E2308" s="150" t="s">
        <v>2737</v>
      </c>
      <c r="F2308" s="14">
        <v>13.0</v>
      </c>
      <c r="G2308" s="14" t="s">
        <v>2738</v>
      </c>
      <c r="H2308" s="151"/>
      <c r="I2308" s="14" t="s">
        <v>28</v>
      </c>
      <c r="J2308" s="14" t="s">
        <v>40144</v>
      </c>
      <c r="K2308" s="14" t="s">
        <v>40145</v>
      </c>
      <c r="L2308" s="152" t="s">
        <v>1118</v>
      </c>
      <c r="M2308" s="14" t="s">
        <v>40146</v>
      </c>
      <c r="N2308" s="54" t="s">
        <v>40147</v>
      </c>
      <c r="O2308" s="130" t="s">
        <v>162</v>
      </c>
      <c r="P2308" s="16"/>
      <c r="Q2308" s="14">
        <v>559211.0</v>
      </c>
      <c r="R2308" s="14"/>
      <c r="S2308" s="212">
        <v>146375.0</v>
      </c>
      <c r="T2308" s="30"/>
      <c r="U2308" s="30"/>
      <c r="V2308" s="30"/>
      <c r="W2308" s="30"/>
      <c r="X2308" s="30"/>
      <c r="Y2308" s="30"/>
      <c r="Z2308" s="30"/>
      <c r="AA2308" s="30"/>
      <c r="AB2308" s="30"/>
      <c r="AC2308" s="30"/>
    </row>
    <row r="2309" ht="15.75" customHeight="1">
      <c r="A2309" s="14" t="s">
        <v>2137</v>
      </c>
      <c r="B2309" s="14">
        <v>1996.0</v>
      </c>
      <c r="C2309" s="14" t="s">
        <v>2830</v>
      </c>
      <c r="D2309" s="14" t="s">
        <v>2831</v>
      </c>
      <c r="E2309" s="150" t="s">
        <v>2832</v>
      </c>
      <c r="F2309" s="14">
        <v>100.0</v>
      </c>
      <c r="G2309" s="14" t="s">
        <v>2833</v>
      </c>
      <c r="H2309" s="151"/>
      <c r="I2309" s="14" t="s">
        <v>28</v>
      </c>
      <c r="J2309" s="14" t="s">
        <v>40148</v>
      </c>
      <c r="K2309" s="14" t="s">
        <v>40149</v>
      </c>
      <c r="L2309" s="152" t="s">
        <v>2835</v>
      </c>
      <c r="M2309" s="14" t="s">
        <v>40150</v>
      </c>
      <c r="N2309" s="54" t="s">
        <v>40149</v>
      </c>
      <c r="O2309" s="130"/>
      <c r="P2309" s="16"/>
      <c r="Q2309" s="14">
        <v>559228.0</v>
      </c>
      <c r="R2309" s="14"/>
      <c r="S2309" s="212"/>
      <c r="T2309" s="30"/>
      <c r="U2309" s="30"/>
      <c r="V2309" s="30"/>
      <c r="W2309" s="30"/>
      <c r="X2309" s="30"/>
      <c r="Y2309" s="30"/>
      <c r="Z2309" s="30"/>
      <c r="AA2309" s="30"/>
      <c r="AB2309" s="30"/>
      <c r="AC2309" s="30"/>
    </row>
    <row r="2310" ht="15.75" customHeight="1">
      <c r="A2310" s="14" t="s">
        <v>2137</v>
      </c>
      <c r="B2310" s="14">
        <v>1996.0</v>
      </c>
      <c r="C2310" s="14" t="s">
        <v>2758</v>
      </c>
      <c r="D2310" s="14" t="s">
        <v>2759</v>
      </c>
      <c r="E2310" s="150" t="s">
        <v>2760</v>
      </c>
      <c r="F2310" s="14">
        <v>46.0</v>
      </c>
      <c r="G2310" s="14" t="s">
        <v>2761</v>
      </c>
      <c r="H2310" s="151"/>
      <c r="I2310" s="14" t="s">
        <v>28</v>
      </c>
      <c r="J2310" s="14" t="s">
        <v>4216</v>
      </c>
      <c r="K2310" s="14" t="s">
        <v>40151</v>
      </c>
      <c r="L2310" s="152" t="s">
        <v>1802</v>
      </c>
      <c r="M2310" s="14" t="s">
        <v>494</v>
      </c>
      <c r="N2310" s="54" t="s">
        <v>40152</v>
      </c>
      <c r="O2310" s="130"/>
      <c r="P2310" s="153" t="s">
        <v>2763</v>
      </c>
      <c r="Q2310" s="14">
        <v>559215.0</v>
      </c>
      <c r="R2310" s="14"/>
      <c r="S2310" s="212"/>
      <c r="T2310" s="30"/>
      <c r="U2310" s="30"/>
      <c r="V2310" s="30"/>
      <c r="W2310" s="30"/>
      <c r="X2310" s="30"/>
      <c r="Y2310" s="30"/>
      <c r="Z2310" s="30"/>
      <c r="AA2310" s="30"/>
      <c r="AB2310" s="30"/>
      <c r="AC2310" s="30"/>
    </row>
    <row r="2311" ht="15.75" customHeight="1">
      <c r="A2311" s="14" t="s">
        <v>2137</v>
      </c>
      <c r="B2311" s="14">
        <v>1996.0</v>
      </c>
      <c r="C2311" s="14" t="s">
        <v>2805</v>
      </c>
      <c r="D2311" s="14" t="s">
        <v>2806</v>
      </c>
      <c r="E2311" s="150" t="s">
        <v>2807</v>
      </c>
      <c r="F2311" s="14">
        <v>74.0</v>
      </c>
      <c r="G2311" s="14" t="s">
        <v>2808</v>
      </c>
      <c r="H2311" s="159" t="s">
        <v>30659</v>
      </c>
      <c r="I2311" s="14" t="s">
        <v>21</v>
      </c>
      <c r="J2311" s="14" t="s">
        <v>40154</v>
      </c>
      <c r="K2311" s="14" t="s">
        <v>40155</v>
      </c>
      <c r="L2311" s="152" t="s">
        <v>2810</v>
      </c>
      <c r="M2311" s="14" t="s">
        <v>40156</v>
      </c>
      <c r="N2311" s="54" t="s">
        <v>40155</v>
      </c>
      <c r="O2311" s="130"/>
      <c r="P2311" s="16"/>
      <c r="Q2311" s="14">
        <v>559224.0</v>
      </c>
      <c r="R2311" s="14"/>
      <c r="S2311" s="212"/>
      <c r="T2311" s="30"/>
      <c r="U2311" s="30"/>
      <c r="V2311" s="30"/>
      <c r="W2311" s="30"/>
      <c r="X2311" s="30"/>
      <c r="Y2311" s="30"/>
      <c r="Z2311" s="30"/>
      <c r="AA2311" s="30"/>
      <c r="AB2311" s="30"/>
      <c r="AC2311" s="30"/>
    </row>
    <row r="2312" ht="15.75" customHeight="1">
      <c r="A2312" s="14" t="s">
        <v>2137</v>
      </c>
      <c r="B2312" s="14">
        <v>1996.0</v>
      </c>
      <c r="C2312" s="14" t="s">
        <v>2794</v>
      </c>
      <c r="D2312" s="14" t="s">
        <v>2795</v>
      </c>
      <c r="E2312" s="150" t="s">
        <v>2796</v>
      </c>
      <c r="F2312" s="14">
        <v>70.0</v>
      </c>
      <c r="G2312" s="14" t="s">
        <v>2797</v>
      </c>
      <c r="H2312" s="159" t="s">
        <v>30659</v>
      </c>
      <c r="I2312" s="14" t="s">
        <v>21</v>
      </c>
      <c r="J2312" s="14" t="s">
        <v>40158</v>
      </c>
      <c r="K2312" s="14" t="s">
        <v>40159</v>
      </c>
      <c r="L2312" s="152" t="s">
        <v>66</v>
      </c>
      <c r="M2312" s="14" t="s">
        <v>40160</v>
      </c>
      <c r="N2312" s="54" t="s">
        <v>40159</v>
      </c>
      <c r="O2312" s="130"/>
      <c r="P2312" s="16"/>
      <c r="Q2312" s="14">
        <v>559222.0</v>
      </c>
      <c r="R2312" s="14"/>
      <c r="S2312" s="212"/>
      <c r="T2312" s="30"/>
      <c r="U2312" s="30"/>
      <c r="V2312" s="30"/>
      <c r="W2312" s="30"/>
      <c r="X2312" s="30"/>
      <c r="Y2312" s="30"/>
      <c r="Z2312" s="30"/>
      <c r="AA2312" s="30"/>
      <c r="AB2312" s="30"/>
      <c r="AC2312" s="30"/>
    </row>
    <row r="2313" ht="15.75" customHeight="1">
      <c r="A2313" s="14" t="s">
        <v>2137</v>
      </c>
      <c r="B2313" s="14">
        <v>1996.0</v>
      </c>
      <c r="C2313" s="14" t="s">
        <v>2811</v>
      </c>
      <c r="D2313" s="14" t="s">
        <v>2812</v>
      </c>
      <c r="E2313" s="150" t="s">
        <v>2813</v>
      </c>
      <c r="F2313" s="14">
        <v>77.0</v>
      </c>
      <c r="G2313" s="14" t="s">
        <v>2814</v>
      </c>
      <c r="H2313" s="151"/>
      <c r="I2313" s="14" t="s">
        <v>28</v>
      </c>
      <c r="J2313" s="14" t="s">
        <v>40161</v>
      </c>
      <c r="K2313" s="14" t="s">
        <v>40162</v>
      </c>
      <c r="L2313" s="152" t="s">
        <v>2816</v>
      </c>
      <c r="M2313" s="14" t="s">
        <v>40163</v>
      </c>
      <c r="N2313" s="54" t="s">
        <v>40162</v>
      </c>
      <c r="O2313" s="130" t="s">
        <v>2817</v>
      </c>
      <c r="P2313" s="16"/>
      <c r="Q2313" s="14">
        <v>559225.0</v>
      </c>
      <c r="R2313" s="14"/>
      <c r="S2313" s="212" t="s">
        <v>40164</v>
      </c>
      <c r="T2313" s="30"/>
      <c r="U2313" s="30"/>
      <c r="V2313" s="30"/>
      <c r="W2313" s="30"/>
      <c r="X2313" s="30"/>
      <c r="Y2313" s="30"/>
      <c r="Z2313" s="30"/>
      <c r="AA2313" s="30"/>
      <c r="AB2313" s="30"/>
      <c r="AC2313" s="30"/>
    </row>
    <row r="2314" ht="15.75" customHeight="1">
      <c r="A2314" s="14" t="s">
        <v>2137</v>
      </c>
      <c r="B2314" s="14">
        <v>1996.0</v>
      </c>
      <c r="C2314" s="14" t="s">
        <v>2788</v>
      </c>
      <c r="D2314" s="14" t="s">
        <v>2789</v>
      </c>
      <c r="E2314" s="150" t="s">
        <v>2790</v>
      </c>
      <c r="F2314" s="14">
        <v>68.0</v>
      </c>
      <c r="G2314" s="14" t="s">
        <v>2791</v>
      </c>
      <c r="H2314" s="159" t="s">
        <v>30659</v>
      </c>
      <c r="I2314" s="14" t="s">
        <v>21</v>
      </c>
      <c r="J2314" s="14" t="s">
        <v>40167</v>
      </c>
      <c r="K2314" s="14" t="s">
        <v>40168</v>
      </c>
      <c r="L2314" s="152" t="s">
        <v>2793</v>
      </c>
      <c r="M2314" s="14" t="s">
        <v>40169</v>
      </c>
      <c r="N2314" s="54" t="s">
        <v>40168</v>
      </c>
      <c r="O2314" s="130"/>
      <c r="P2314" s="16"/>
      <c r="Q2314" s="14">
        <v>559221.0</v>
      </c>
      <c r="R2314" s="14"/>
      <c r="S2314" s="212"/>
      <c r="T2314" s="30"/>
      <c r="U2314" s="30"/>
      <c r="V2314" s="30"/>
      <c r="W2314" s="30"/>
      <c r="X2314" s="30"/>
      <c r="Y2314" s="30"/>
      <c r="Z2314" s="30"/>
      <c r="AA2314" s="30"/>
      <c r="AB2314" s="30"/>
      <c r="AC2314" s="30"/>
    </row>
    <row r="2315" ht="15.75" customHeight="1">
      <c r="A2315" s="14" t="s">
        <v>2137</v>
      </c>
      <c r="B2315" s="14">
        <v>1996.0</v>
      </c>
      <c r="C2315" s="14" t="s">
        <v>2782</v>
      </c>
      <c r="D2315" s="14" t="s">
        <v>2783</v>
      </c>
      <c r="E2315" s="150" t="s">
        <v>2784</v>
      </c>
      <c r="F2315" s="14">
        <v>66.0</v>
      </c>
      <c r="G2315" s="14" t="s">
        <v>2785</v>
      </c>
      <c r="H2315" s="159" t="s">
        <v>30659</v>
      </c>
      <c r="I2315" s="14" t="s">
        <v>21</v>
      </c>
      <c r="J2315" s="14" t="s">
        <v>40171</v>
      </c>
      <c r="K2315" s="14" t="s">
        <v>40172</v>
      </c>
      <c r="L2315" s="152" t="s">
        <v>2787</v>
      </c>
      <c r="M2315" s="14" t="s">
        <v>40173</v>
      </c>
      <c r="N2315" s="54" t="s">
        <v>40172</v>
      </c>
      <c r="O2315" s="130"/>
      <c r="P2315" s="16"/>
      <c r="Q2315" s="14">
        <v>559220.0</v>
      </c>
      <c r="R2315" s="14"/>
      <c r="S2315" s="212"/>
      <c r="T2315" s="30"/>
      <c r="U2315" s="30"/>
      <c r="V2315" s="30"/>
      <c r="W2315" s="30"/>
      <c r="X2315" s="30"/>
      <c r="Y2315" s="30"/>
      <c r="Z2315" s="30"/>
      <c r="AA2315" s="30"/>
      <c r="AB2315" s="30"/>
      <c r="AC2315" s="30"/>
    </row>
    <row r="2316" ht="15.75" customHeight="1">
      <c r="A2316" s="14" t="s">
        <v>2137</v>
      </c>
      <c r="B2316" s="14">
        <v>1996.0</v>
      </c>
      <c r="C2316" s="14" t="s">
        <v>2747</v>
      </c>
      <c r="D2316" s="14" t="s">
        <v>2748</v>
      </c>
      <c r="E2316" s="150" t="s">
        <v>2749</v>
      </c>
      <c r="F2316" s="14">
        <v>29.0</v>
      </c>
      <c r="G2316" s="14">
        <v>36.0</v>
      </c>
      <c r="H2316" s="151"/>
      <c r="I2316" s="14" t="s">
        <v>28</v>
      </c>
      <c r="J2316" s="14" t="s">
        <v>40175</v>
      </c>
      <c r="K2316" s="14" t="s">
        <v>40176</v>
      </c>
      <c r="L2316" s="152" t="s">
        <v>2751</v>
      </c>
      <c r="M2316" s="14" t="s">
        <v>40177</v>
      </c>
      <c r="N2316" s="54" t="s">
        <v>40176</v>
      </c>
      <c r="O2316" s="130" t="s">
        <v>2752</v>
      </c>
      <c r="P2316" s="153" t="s">
        <v>2753</v>
      </c>
      <c r="Q2316" s="14">
        <v>559213.0</v>
      </c>
      <c r="R2316" s="14"/>
      <c r="S2316" s="212" t="s">
        <v>40178</v>
      </c>
      <c r="T2316" s="30"/>
      <c r="U2316" s="30"/>
      <c r="V2316" s="30"/>
      <c r="W2316" s="30"/>
      <c r="X2316" s="30"/>
      <c r="Y2316" s="30"/>
      <c r="Z2316" s="30"/>
      <c r="AA2316" s="30"/>
      <c r="AB2316" s="30"/>
      <c r="AC2316" s="30"/>
    </row>
    <row r="2317" ht="15.75" customHeight="1">
      <c r="A2317" s="14" t="s">
        <v>2137</v>
      </c>
      <c r="B2317" s="14">
        <v>1996.0</v>
      </c>
      <c r="C2317" s="14" t="s">
        <v>2740</v>
      </c>
      <c r="D2317" s="14" t="s">
        <v>2741</v>
      </c>
      <c r="E2317" s="150" t="s">
        <v>2742</v>
      </c>
      <c r="F2317" s="14">
        <v>21.0</v>
      </c>
      <c r="G2317" s="14" t="s">
        <v>2743</v>
      </c>
      <c r="H2317" s="151"/>
      <c r="I2317" s="14" t="s">
        <v>28</v>
      </c>
      <c r="J2317" s="14" t="s">
        <v>40179</v>
      </c>
      <c r="K2317" s="14" t="s">
        <v>40180</v>
      </c>
      <c r="L2317" s="152" t="s">
        <v>2210</v>
      </c>
      <c r="M2317" s="14" t="s">
        <v>40181</v>
      </c>
      <c r="N2317" s="54" t="s">
        <v>40180</v>
      </c>
      <c r="O2317" s="130" t="s">
        <v>2745</v>
      </c>
      <c r="P2317" s="153" t="s">
        <v>2746</v>
      </c>
      <c r="Q2317" s="14">
        <v>559212.0</v>
      </c>
      <c r="R2317" s="14"/>
      <c r="S2317" s="212" t="s">
        <v>40182</v>
      </c>
      <c r="T2317" s="30"/>
      <c r="U2317" s="30"/>
      <c r="V2317" s="30"/>
      <c r="W2317" s="30"/>
      <c r="X2317" s="30"/>
      <c r="Y2317" s="30"/>
      <c r="Z2317" s="30"/>
      <c r="AA2317" s="30"/>
      <c r="AB2317" s="30"/>
      <c r="AC2317" s="30"/>
    </row>
    <row r="2318" ht="15.75" customHeight="1">
      <c r="A2318" s="14" t="s">
        <v>2137</v>
      </c>
      <c r="B2318" s="14">
        <v>1996.0</v>
      </c>
      <c r="C2318" s="14" t="s">
        <v>2764</v>
      </c>
      <c r="D2318" s="14" t="s">
        <v>2765</v>
      </c>
      <c r="E2318" s="150" t="s">
        <v>2766</v>
      </c>
      <c r="F2318" s="14">
        <v>54.0</v>
      </c>
      <c r="G2318" s="14" t="s">
        <v>2767</v>
      </c>
      <c r="H2318" s="151"/>
      <c r="I2318" s="14" t="s">
        <v>28</v>
      </c>
      <c r="J2318" s="14" t="s">
        <v>40184</v>
      </c>
      <c r="K2318" s="14" t="s">
        <v>11483</v>
      </c>
      <c r="L2318" s="152" t="s">
        <v>2769</v>
      </c>
      <c r="M2318" s="14">
        <v>3.7354829E10</v>
      </c>
      <c r="N2318" s="54" t="s">
        <v>11483</v>
      </c>
      <c r="O2318" s="130"/>
      <c r="P2318" s="16"/>
      <c r="Q2318" s="14">
        <v>559216.0</v>
      </c>
      <c r="R2318" s="14"/>
      <c r="S2318" s="212"/>
      <c r="T2318" s="30"/>
      <c r="U2318" s="30"/>
      <c r="V2318" s="30"/>
      <c r="W2318" s="30"/>
      <c r="X2318" s="30"/>
      <c r="Y2318" s="30"/>
      <c r="Z2318" s="30"/>
      <c r="AA2318" s="30"/>
      <c r="AB2318" s="30"/>
      <c r="AC2318" s="30"/>
    </row>
    <row r="2319" ht="15.75" customHeight="1">
      <c r="A2319" s="14" t="s">
        <v>2137</v>
      </c>
      <c r="B2319" s="14">
        <v>1996.0</v>
      </c>
      <c r="C2319" s="14" t="s">
        <v>2754</v>
      </c>
      <c r="D2319" s="14" t="s">
        <v>2755</v>
      </c>
      <c r="E2319" s="150" t="s">
        <v>2756</v>
      </c>
      <c r="F2319" s="14">
        <v>38.0</v>
      </c>
      <c r="G2319" s="14">
        <v>45.0</v>
      </c>
      <c r="H2319" s="151"/>
      <c r="I2319" s="14" t="s">
        <v>28</v>
      </c>
      <c r="J2319" s="14" t="s">
        <v>40185</v>
      </c>
      <c r="K2319" s="14" t="s">
        <v>39864</v>
      </c>
      <c r="L2319" s="152" t="s">
        <v>855</v>
      </c>
      <c r="M2319" s="14" t="s">
        <v>40186</v>
      </c>
      <c r="N2319" s="54" t="s">
        <v>39864</v>
      </c>
      <c r="O2319" s="130"/>
      <c r="P2319" s="16"/>
      <c r="Q2319" s="14">
        <v>559214.0</v>
      </c>
      <c r="R2319" s="14"/>
      <c r="S2319" s="212"/>
      <c r="T2319" s="30"/>
      <c r="U2319" s="30"/>
      <c r="V2319" s="30"/>
      <c r="W2319" s="30"/>
      <c r="X2319" s="30"/>
      <c r="Y2319" s="30"/>
      <c r="Z2319" s="30"/>
      <c r="AA2319" s="30"/>
      <c r="AB2319" s="30"/>
      <c r="AC2319" s="30"/>
    </row>
    <row r="2320" ht="15.75" customHeight="1">
      <c r="A2320" s="14" t="s">
        <v>2137</v>
      </c>
      <c r="B2320" s="14">
        <v>1996.0</v>
      </c>
      <c r="C2320" s="14" t="s">
        <v>2770</v>
      </c>
      <c r="D2320" s="14" t="s">
        <v>2771</v>
      </c>
      <c r="E2320" s="150" t="s">
        <v>2772</v>
      </c>
      <c r="F2320" s="14">
        <v>62.0</v>
      </c>
      <c r="G2320" s="14" t="s">
        <v>2773</v>
      </c>
      <c r="H2320" s="159" t="s">
        <v>30659</v>
      </c>
      <c r="I2320" s="14" t="s">
        <v>21</v>
      </c>
      <c r="J2320" s="14" t="s">
        <v>40188</v>
      </c>
      <c r="K2320" s="14" t="s">
        <v>40189</v>
      </c>
      <c r="L2320" s="152" t="s">
        <v>2775</v>
      </c>
      <c r="M2320" s="14" t="s">
        <v>40190</v>
      </c>
      <c r="N2320" s="54" t="s">
        <v>40189</v>
      </c>
      <c r="O2320" s="130"/>
      <c r="P2320" s="16"/>
      <c r="Q2320" s="14">
        <v>559218.0</v>
      </c>
      <c r="R2320" s="14"/>
      <c r="S2320" s="212"/>
      <c r="T2320" s="30"/>
      <c r="U2320" s="30"/>
      <c r="V2320" s="30"/>
      <c r="W2320" s="30"/>
      <c r="X2320" s="30"/>
      <c r="Y2320" s="30"/>
      <c r="Z2320" s="30"/>
      <c r="AA2320" s="30"/>
      <c r="AB2320" s="30"/>
      <c r="AC2320" s="30"/>
    </row>
    <row r="2321" ht="15.75" customHeight="1">
      <c r="A2321" s="14" t="s">
        <v>2137</v>
      </c>
      <c r="B2321" s="14">
        <v>1996.0</v>
      </c>
      <c r="C2321" s="14" t="s">
        <v>2727</v>
      </c>
      <c r="D2321" s="14" t="s">
        <v>2728</v>
      </c>
      <c r="E2321" s="150" t="s">
        <v>2729</v>
      </c>
      <c r="F2321" s="14">
        <v>3.0</v>
      </c>
      <c r="G2321" s="14" t="s">
        <v>2730</v>
      </c>
      <c r="H2321" s="151"/>
      <c r="I2321" s="14" t="s">
        <v>28</v>
      </c>
      <c r="J2321" s="14" t="s">
        <v>40191</v>
      </c>
      <c r="K2321" s="14" t="s">
        <v>40192</v>
      </c>
      <c r="L2321" s="152" t="s">
        <v>2732</v>
      </c>
      <c r="M2321" s="14" t="s">
        <v>40193</v>
      </c>
      <c r="N2321" s="54" t="s">
        <v>40192</v>
      </c>
      <c r="O2321" s="130" t="s">
        <v>2733</v>
      </c>
      <c r="P2321" s="153" t="s">
        <v>2734</v>
      </c>
      <c r="Q2321" s="14">
        <v>559210.0</v>
      </c>
      <c r="R2321" s="14"/>
      <c r="S2321" s="212" t="s">
        <v>40194</v>
      </c>
      <c r="T2321" s="30"/>
      <c r="U2321" s="30"/>
      <c r="V2321" s="30"/>
      <c r="W2321" s="30"/>
      <c r="X2321" s="30"/>
      <c r="Y2321" s="30"/>
      <c r="Z2321" s="30"/>
      <c r="AA2321" s="30"/>
      <c r="AB2321" s="30"/>
      <c r="AC2321" s="30"/>
    </row>
    <row r="2322" ht="15.75" customHeight="1">
      <c r="A2322" s="14" t="s">
        <v>2137</v>
      </c>
      <c r="B2322" s="14">
        <v>1996.0</v>
      </c>
      <c r="C2322" s="14" t="s">
        <v>2836</v>
      </c>
      <c r="D2322" s="14" t="s">
        <v>2837</v>
      </c>
      <c r="E2322" s="150" t="s">
        <v>2838</v>
      </c>
      <c r="F2322" s="14">
        <v>108.0</v>
      </c>
      <c r="G2322" s="14" t="s">
        <v>2839</v>
      </c>
      <c r="H2322" s="151"/>
      <c r="I2322" s="14" t="s">
        <v>28</v>
      </c>
      <c r="J2322" s="14" t="s">
        <v>40195</v>
      </c>
      <c r="K2322" s="14" t="s">
        <v>40196</v>
      </c>
      <c r="L2322" s="152" t="s">
        <v>2841</v>
      </c>
      <c r="M2322" s="14" t="s">
        <v>40197</v>
      </c>
      <c r="N2322" s="54" t="s">
        <v>40196</v>
      </c>
      <c r="O2322" s="130" t="s">
        <v>809</v>
      </c>
      <c r="P2322" s="16"/>
      <c r="Q2322" s="14">
        <v>559229.0</v>
      </c>
      <c r="R2322" s="14"/>
      <c r="S2322" s="212">
        <v>175815.0</v>
      </c>
      <c r="T2322" s="30"/>
      <c r="U2322" s="30"/>
      <c r="V2322" s="30"/>
      <c r="W2322" s="30"/>
      <c r="X2322" s="30"/>
      <c r="Y2322" s="30"/>
      <c r="Z2322" s="30"/>
      <c r="AA2322" s="30"/>
      <c r="AB2322" s="30"/>
      <c r="AC2322" s="30"/>
    </row>
    <row r="2323" ht="15.75" customHeight="1">
      <c r="A2323" s="14" t="s">
        <v>2137</v>
      </c>
      <c r="B2323" s="14">
        <v>1996.0</v>
      </c>
      <c r="C2323" s="14" t="s">
        <v>2818</v>
      </c>
      <c r="D2323" s="14" t="s">
        <v>2819</v>
      </c>
      <c r="E2323" s="150" t="s">
        <v>2820</v>
      </c>
      <c r="F2323" s="14">
        <v>85.0</v>
      </c>
      <c r="G2323" s="14" t="s">
        <v>2821</v>
      </c>
      <c r="H2323" s="151"/>
      <c r="I2323" s="14" t="s">
        <v>28</v>
      </c>
      <c r="J2323" s="14" t="s">
        <v>40200</v>
      </c>
      <c r="K2323" s="14" t="s">
        <v>40201</v>
      </c>
      <c r="L2323" s="152" t="s">
        <v>2823</v>
      </c>
      <c r="M2323" s="14" t="s">
        <v>40202</v>
      </c>
      <c r="N2323" s="54" t="s">
        <v>40201</v>
      </c>
      <c r="O2323" s="130" t="s">
        <v>2260</v>
      </c>
      <c r="P2323" s="16"/>
      <c r="Q2323" s="14">
        <v>559226.0</v>
      </c>
      <c r="R2323" s="14"/>
      <c r="S2323" s="212">
        <v>528697.0</v>
      </c>
      <c r="T2323" s="30"/>
      <c r="U2323" s="30"/>
      <c r="V2323" s="30"/>
      <c r="W2323" s="30"/>
      <c r="X2323" s="30"/>
      <c r="Y2323" s="30"/>
      <c r="Z2323" s="30"/>
      <c r="AA2323" s="30"/>
      <c r="AB2323" s="30"/>
      <c r="AC2323" s="30"/>
    </row>
    <row r="2324" ht="15.75" customHeight="1">
      <c r="A2324" s="14" t="s">
        <v>2137</v>
      </c>
      <c r="B2324" s="14">
        <v>1996.0</v>
      </c>
      <c r="C2324" s="14" t="s">
        <v>2776</v>
      </c>
      <c r="D2324" s="14" t="s">
        <v>2777</v>
      </c>
      <c r="E2324" s="150" t="s">
        <v>2778</v>
      </c>
      <c r="F2324" s="14">
        <v>64.0</v>
      </c>
      <c r="G2324" s="14" t="s">
        <v>2779</v>
      </c>
      <c r="H2324" s="159" t="s">
        <v>30659</v>
      </c>
      <c r="I2324" s="14" t="s">
        <v>21</v>
      </c>
      <c r="J2324" s="14" t="s">
        <v>40206</v>
      </c>
      <c r="K2324" s="14" t="s">
        <v>40207</v>
      </c>
      <c r="L2324" s="152" t="s">
        <v>2781</v>
      </c>
      <c r="M2324" s="14" t="s">
        <v>40209</v>
      </c>
      <c r="N2324" s="54" t="s">
        <v>40207</v>
      </c>
      <c r="O2324" s="130"/>
      <c r="P2324" s="16"/>
      <c r="Q2324" s="14">
        <v>559219.0</v>
      </c>
      <c r="R2324" s="14"/>
      <c r="S2324" s="212"/>
      <c r="T2324" s="30"/>
      <c r="U2324" s="30"/>
      <c r="V2324" s="30"/>
      <c r="W2324" s="30"/>
      <c r="X2324" s="30"/>
      <c r="Y2324" s="30"/>
      <c r="Z2324" s="30"/>
      <c r="AA2324" s="30"/>
      <c r="AB2324" s="30"/>
      <c r="AC2324" s="30"/>
    </row>
    <row r="2325" ht="15.75" customHeight="1">
      <c r="A2325" s="14" t="s">
        <v>2137</v>
      </c>
      <c r="B2325" s="14">
        <v>1996.0</v>
      </c>
      <c r="C2325" s="14" t="s">
        <v>2824</v>
      </c>
      <c r="D2325" s="14" t="s">
        <v>2825</v>
      </c>
      <c r="E2325" s="150" t="s">
        <v>2826</v>
      </c>
      <c r="F2325" s="14">
        <v>93.0</v>
      </c>
      <c r="G2325" s="14" t="s">
        <v>2827</v>
      </c>
      <c r="H2325" s="151"/>
      <c r="I2325" s="14" t="s">
        <v>28</v>
      </c>
      <c r="J2325" s="14" t="s">
        <v>40210</v>
      </c>
      <c r="K2325" s="14" t="s">
        <v>40211</v>
      </c>
      <c r="L2325" s="152" t="s">
        <v>2829</v>
      </c>
      <c r="M2325" s="14" t="s">
        <v>40213</v>
      </c>
      <c r="N2325" s="54" t="s">
        <v>40211</v>
      </c>
      <c r="O2325" s="130"/>
      <c r="P2325" s="16"/>
      <c r="Q2325" s="14">
        <v>559227.0</v>
      </c>
      <c r="R2325" s="14"/>
      <c r="S2325" s="212"/>
      <c r="T2325" s="30"/>
      <c r="U2325" s="30"/>
      <c r="V2325" s="30"/>
      <c r="W2325" s="30"/>
      <c r="X2325" s="30"/>
      <c r="Y2325" s="30"/>
      <c r="Z2325" s="30"/>
      <c r="AA2325" s="30"/>
      <c r="AB2325" s="30"/>
      <c r="AC2325" s="30"/>
    </row>
    <row r="2326" ht="15.75" customHeight="1">
      <c r="A2326" s="14" t="s">
        <v>17</v>
      </c>
      <c r="B2326" s="50">
        <v>1996.0</v>
      </c>
      <c r="C2326" s="14" t="s">
        <v>3202</v>
      </c>
      <c r="D2326" s="67" t="s">
        <v>3203</v>
      </c>
      <c r="E2326" s="197" t="s">
        <v>3204</v>
      </c>
      <c r="F2326" s="50">
        <v>405.0</v>
      </c>
      <c r="G2326" s="50">
        <v>407.0</v>
      </c>
      <c r="H2326" s="151"/>
      <c r="I2326" s="14" t="s">
        <v>28</v>
      </c>
      <c r="J2326" s="14" t="s">
        <v>40214</v>
      </c>
      <c r="K2326" s="78" t="s">
        <v>40215</v>
      </c>
      <c r="L2326" s="152" t="s">
        <v>3201</v>
      </c>
      <c r="M2326" s="14" t="s">
        <v>40216</v>
      </c>
      <c r="N2326" s="54" t="s">
        <v>40217</v>
      </c>
      <c r="O2326" s="130"/>
      <c r="P2326" s="54"/>
      <c r="Q2326" s="14">
        <v>568143.0</v>
      </c>
      <c r="R2326" s="14" t="s">
        <v>18275</v>
      </c>
      <c r="S2326" s="212"/>
      <c r="T2326" s="30"/>
      <c r="U2326" s="30"/>
      <c r="V2326" s="30"/>
      <c r="W2326" s="30"/>
      <c r="X2326" s="30"/>
      <c r="Y2326" s="30"/>
      <c r="Z2326" s="30"/>
      <c r="AA2326" s="30"/>
      <c r="AB2326" s="30"/>
      <c r="AC2326" s="30"/>
    </row>
    <row r="2327" ht="15.75" customHeight="1">
      <c r="A2327" s="14" t="s">
        <v>17</v>
      </c>
      <c r="B2327" s="14">
        <v>1996.0</v>
      </c>
      <c r="C2327" s="14" t="s">
        <v>2848</v>
      </c>
      <c r="D2327" s="14" t="s">
        <v>2849</v>
      </c>
      <c r="E2327" s="150" t="s">
        <v>2850</v>
      </c>
      <c r="F2327" s="14">
        <v>29.0</v>
      </c>
      <c r="G2327" s="14">
        <v>35.0</v>
      </c>
      <c r="H2327" s="151"/>
      <c r="I2327" s="14" t="s">
        <v>28</v>
      </c>
      <c r="J2327" s="14" t="s">
        <v>4331</v>
      </c>
      <c r="K2327" s="14" t="s">
        <v>40219</v>
      </c>
      <c r="L2327" s="152" t="s">
        <v>2852</v>
      </c>
      <c r="M2327" s="14" t="s">
        <v>40220</v>
      </c>
      <c r="N2327" s="54" t="s">
        <v>40219</v>
      </c>
      <c r="O2327" s="130"/>
      <c r="P2327" s="16"/>
      <c r="Q2327" s="14">
        <v>567598.0</v>
      </c>
      <c r="R2327" s="14"/>
      <c r="S2327" s="212"/>
      <c r="T2327" s="30"/>
      <c r="U2327" s="30"/>
      <c r="V2327" s="30"/>
      <c r="W2327" s="30"/>
      <c r="X2327" s="30"/>
      <c r="Y2327" s="30"/>
      <c r="Z2327" s="30"/>
      <c r="AA2327" s="30"/>
      <c r="AB2327" s="30"/>
      <c r="AC2327" s="30"/>
    </row>
    <row r="2328" ht="15.75" customHeight="1">
      <c r="A2328" s="14" t="s">
        <v>17</v>
      </c>
      <c r="B2328" s="14">
        <v>1996.0</v>
      </c>
      <c r="C2328" s="14" t="s">
        <v>3011</v>
      </c>
      <c r="D2328" s="14" t="s">
        <v>3012</v>
      </c>
      <c r="E2328" s="150" t="s">
        <v>3013</v>
      </c>
      <c r="F2328" s="14">
        <v>197.0</v>
      </c>
      <c r="G2328" s="14">
        <v>204.0</v>
      </c>
      <c r="H2328" s="151"/>
      <c r="I2328" s="14" t="s">
        <v>28</v>
      </c>
      <c r="J2328" s="14" t="s">
        <v>4562</v>
      </c>
      <c r="K2328" s="14" t="s">
        <v>40221</v>
      </c>
      <c r="L2328" s="152" t="s">
        <v>3015</v>
      </c>
      <c r="M2328" s="14" t="s">
        <v>40222</v>
      </c>
      <c r="N2328" s="54" t="s">
        <v>40223</v>
      </c>
      <c r="O2328" s="130" t="s">
        <v>2290</v>
      </c>
      <c r="P2328" s="16"/>
      <c r="Q2328" s="14">
        <v>568108.0</v>
      </c>
      <c r="R2328" s="14"/>
      <c r="S2328" s="212">
        <v>480792.0</v>
      </c>
      <c r="T2328" s="30"/>
      <c r="U2328" s="30"/>
      <c r="V2328" s="30"/>
      <c r="W2328" s="30"/>
      <c r="X2328" s="30"/>
      <c r="Y2328" s="30"/>
      <c r="Z2328" s="30"/>
      <c r="AA2328" s="30"/>
      <c r="AB2328" s="30"/>
      <c r="AC2328" s="30"/>
    </row>
    <row r="2329" ht="15.75" customHeight="1">
      <c r="A2329" s="14" t="s">
        <v>17</v>
      </c>
      <c r="B2329" s="14">
        <v>1996.0</v>
      </c>
      <c r="C2329" s="14" t="s">
        <v>2941</v>
      </c>
      <c r="D2329" s="14" t="s">
        <v>2942</v>
      </c>
      <c r="E2329" s="150" t="s">
        <v>2943</v>
      </c>
      <c r="F2329" s="14">
        <v>127.0</v>
      </c>
      <c r="G2329" s="14">
        <v>131.0</v>
      </c>
      <c r="H2329" s="151"/>
      <c r="I2329" s="14" t="s">
        <v>28</v>
      </c>
      <c r="J2329" s="14" t="s">
        <v>40225</v>
      </c>
      <c r="K2329" s="14" t="s">
        <v>6822</v>
      </c>
      <c r="L2329" s="152" t="s">
        <v>2945</v>
      </c>
      <c r="M2329" s="14">
        <v>3.72834874E10</v>
      </c>
      <c r="N2329" s="54" t="s">
        <v>6822</v>
      </c>
      <c r="O2329" s="130" t="s">
        <v>2946</v>
      </c>
      <c r="P2329" s="153" t="s">
        <v>2947</v>
      </c>
      <c r="Q2329" s="14">
        <v>567787.0</v>
      </c>
      <c r="R2329" s="14"/>
      <c r="S2329" s="212" t="s">
        <v>40226</v>
      </c>
      <c r="T2329" s="30"/>
      <c r="U2329" s="30"/>
      <c r="V2329" s="30"/>
      <c r="W2329" s="30"/>
      <c r="X2329" s="30"/>
      <c r="Y2329" s="30"/>
      <c r="Z2329" s="30"/>
      <c r="AA2329" s="30"/>
      <c r="AB2329" s="30"/>
      <c r="AC2329" s="30"/>
    </row>
    <row r="2330" ht="15.75" customHeight="1">
      <c r="A2330" s="14" t="s">
        <v>17</v>
      </c>
      <c r="B2330" s="14">
        <v>1996.0</v>
      </c>
      <c r="C2330" s="14" t="s">
        <v>3189</v>
      </c>
      <c r="D2330" s="14" t="s">
        <v>3190</v>
      </c>
      <c r="E2330" s="150" t="s">
        <v>3191</v>
      </c>
      <c r="F2330" s="14">
        <v>397.0</v>
      </c>
      <c r="G2330" s="14">
        <v>400.0</v>
      </c>
      <c r="H2330" s="151"/>
      <c r="I2330" s="14" t="s">
        <v>28</v>
      </c>
      <c r="J2330" s="14" t="s">
        <v>4893</v>
      </c>
      <c r="K2330" s="14" t="s">
        <v>40229</v>
      </c>
      <c r="L2330" s="152" t="s">
        <v>3196</v>
      </c>
      <c r="M2330" s="14" t="s">
        <v>40230</v>
      </c>
      <c r="N2330" s="54" t="s">
        <v>40229</v>
      </c>
      <c r="O2330" s="130"/>
      <c r="P2330" s="16"/>
      <c r="Q2330" s="14">
        <v>568141.0</v>
      </c>
      <c r="R2330" s="14"/>
      <c r="S2330" s="212"/>
      <c r="T2330" s="30"/>
      <c r="U2330" s="30"/>
      <c r="V2330" s="30"/>
      <c r="W2330" s="30"/>
      <c r="X2330" s="30"/>
      <c r="Y2330" s="30"/>
      <c r="Z2330" s="30"/>
      <c r="AA2330" s="30"/>
      <c r="AB2330" s="30"/>
      <c r="AC2330" s="30"/>
    </row>
    <row r="2331" ht="15.75" customHeight="1">
      <c r="A2331" s="14" t="s">
        <v>17</v>
      </c>
      <c r="B2331" s="14">
        <v>1996.0</v>
      </c>
      <c r="C2331" s="14" t="s">
        <v>3131</v>
      </c>
      <c r="D2331" s="14" t="s">
        <v>3132</v>
      </c>
      <c r="E2331" s="150" t="s">
        <v>3133</v>
      </c>
      <c r="F2331" s="14">
        <v>351.0</v>
      </c>
      <c r="G2331" s="14">
        <v>354.0</v>
      </c>
      <c r="H2331" s="151"/>
      <c r="I2331" s="14" t="s">
        <v>28</v>
      </c>
      <c r="J2331" s="14" t="s">
        <v>4774</v>
      </c>
      <c r="K2331" s="14" t="s">
        <v>40232</v>
      </c>
      <c r="L2331" s="152" t="s">
        <v>3135</v>
      </c>
      <c r="M2331" s="14" t="s">
        <v>40233</v>
      </c>
      <c r="N2331" s="54" t="s">
        <v>40232</v>
      </c>
      <c r="O2331" s="130" t="s">
        <v>3136</v>
      </c>
      <c r="P2331" s="16"/>
      <c r="Q2331" s="14">
        <v>568129.0</v>
      </c>
      <c r="R2331" s="14"/>
      <c r="S2331" s="212" t="s">
        <v>40234</v>
      </c>
      <c r="T2331" s="30"/>
      <c r="U2331" s="30"/>
      <c r="V2331" s="30"/>
      <c r="W2331" s="30"/>
      <c r="X2331" s="30"/>
      <c r="Y2331" s="30"/>
      <c r="Z2331" s="30"/>
      <c r="AA2331" s="30"/>
      <c r="AB2331" s="30"/>
      <c r="AC2331" s="30"/>
    </row>
    <row r="2332" ht="15.75" customHeight="1">
      <c r="A2332" s="14" t="s">
        <v>17</v>
      </c>
      <c r="B2332" s="14">
        <v>1996.0</v>
      </c>
      <c r="C2332" s="14" t="s">
        <v>3197</v>
      </c>
      <c r="D2332" s="14" t="s">
        <v>3198</v>
      </c>
      <c r="E2332" s="150" t="s">
        <v>3199</v>
      </c>
      <c r="F2332" s="14">
        <v>401.0</v>
      </c>
      <c r="G2332" s="14">
        <v>403.0</v>
      </c>
      <c r="H2332" s="151"/>
      <c r="I2332" s="14" t="s">
        <v>28</v>
      </c>
      <c r="J2332" s="14" t="s">
        <v>4903</v>
      </c>
      <c r="K2332" s="14" t="s">
        <v>40217</v>
      </c>
      <c r="L2332" s="152" t="s">
        <v>3201</v>
      </c>
      <c r="M2332" s="14" t="s">
        <v>40216</v>
      </c>
      <c r="N2332" s="54" t="s">
        <v>40217</v>
      </c>
      <c r="O2332" s="130"/>
      <c r="P2332" s="16"/>
      <c r="Q2332" s="14">
        <v>568142.0</v>
      </c>
      <c r="R2332" s="14"/>
      <c r="S2332" s="212"/>
      <c r="T2332" s="30"/>
      <c r="U2332" s="30"/>
      <c r="V2332" s="30"/>
      <c r="W2332" s="30"/>
      <c r="X2332" s="30"/>
      <c r="Y2332" s="30"/>
      <c r="Z2332" s="30"/>
      <c r="AA2332" s="30"/>
      <c r="AB2332" s="30"/>
      <c r="AC2332" s="30"/>
    </row>
    <row r="2333" ht="15.75" customHeight="1">
      <c r="A2333" s="14" t="s">
        <v>17</v>
      </c>
      <c r="B2333" s="14">
        <v>1996.0</v>
      </c>
      <c r="C2333" s="14" t="s">
        <v>2842</v>
      </c>
      <c r="D2333" s="14" t="s">
        <v>2843</v>
      </c>
      <c r="E2333" s="150" t="s">
        <v>2844</v>
      </c>
      <c r="F2333" s="14">
        <v>21.0</v>
      </c>
      <c r="G2333" s="14">
        <v>28.0</v>
      </c>
      <c r="H2333" s="151"/>
      <c r="I2333" s="14" t="s">
        <v>28</v>
      </c>
      <c r="J2333" s="14" t="s">
        <v>4328</v>
      </c>
      <c r="K2333" s="14" t="s">
        <v>40236</v>
      </c>
      <c r="L2333" s="152" t="s">
        <v>2846</v>
      </c>
      <c r="M2333" s="14" t="s">
        <v>40237</v>
      </c>
      <c r="N2333" s="54" t="s">
        <v>40236</v>
      </c>
      <c r="O2333" s="130"/>
      <c r="P2333" s="153" t="s">
        <v>2847</v>
      </c>
      <c r="Q2333" s="14">
        <v>567595.0</v>
      </c>
      <c r="R2333" s="14"/>
      <c r="S2333" s="212"/>
      <c r="T2333" s="30"/>
      <c r="U2333" s="30"/>
      <c r="V2333" s="30"/>
      <c r="W2333" s="30"/>
      <c r="X2333" s="30"/>
      <c r="Y2333" s="30"/>
      <c r="Z2333" s="30"/>
      <c r="AA2333" s="30"/>
      <c r="AB2333" s="30"/>
      <c r="AC2333" s="30"/>
    </row>
    <row r="2334" ht="15.75" customHeight="1">
      <c r="A2334" s="14" t="s">
        <v>17</v>
      </c>
      <c r="B2334" s="14">
        <v>1996.0</v>
      </c>
      <c r="C2334" s="14" t="s">
        <v>2858</v>
      </c>
      <c r="D2334" s="14" t="s">
        <v>2859</v>
      </c>
      <c r="E2334" s="150" t="s">
        <v>2860</v>
      </c>
      <c r="F2334" s="14">
        <v>43.0</v>
      </c>
      <c r="G2334" s="14">
        <v>48.0</v>
      </c>
      <c r="H2334" s="151"/>
      <c r="I2334" s="14" t="s">
        <v>28</v>
      </c>
      <c r="J2334" s="14" t="s">
        <v>4337</v>
      </c>
      <c r="K2334" s="14" t="s">
        <v>40240</v>
      </c>
      <c r="L2334" s="152" t="s">
        <v>2862</v>
      </c>
      <c r="M2334" s="14" t="s">
        <v>40241</v>
      </c>
      <c r="N2334" s="54" t="s">
        <v>40240</v>
      </c>
      <c r="O2334" s="130"/>
      <c r="P2334" s="16"/>
      <c r="Q2334" s="14">
        <v>567602.0</v>
      </c>
      <c r="R2334" s="14"/>
      <c r="S2334" s="212"/>
      <c r="T2334" s="30"/>
      <c r="U2334" s="30"/>
      <c r="V2334" s="30"/>
      <c r="W2334" s="30"/>
      <c r="X2334" s="30"/>
      <c r="Y2334" s="30"/>
      <c r="Z2334" s="30"/>
      <c r="AA2334" s="30"/>
      <c r="AB2334" s="30"/>
      <c r="AC2334" s="30"/>
    </row>
    <row r="2335" ht="15.75" customHeight="1">
      <c r="A2335" s="14" t="s">
        <v>17</v>
      </c>
      <c r="B2335" s="14">
        <v>1996.0</v>
      </c>
      <c r="C2335" s="14" t="s">
        <v>3287</v>
      </c>
      <c r="D2335" s="14" t="s">
        <v>3288</v>
      </c>
      <c r="E2335" s="150" t="s">
        <v>3289</v>
      </c>
      <c r="F2335" s="14">
        <v>441.0</v>
      </c>
      <c r="G2335" s="14">
        <v>443.0</v>
      </c>
      <c r="H2335" s="159" t="s">
        <v>30659</v>
      </c>
      <c r="I2335" s="14" t="s">
        <v>21</v>
      </c>
      <c r="J2335" s="14"/>
      <c r="K2335" s="14" t="s">
        <v>40244</v>
      </c>
      <c r="L2335" s="152" t="s">
        <v>3291</v>
      </c>
      <c r="M2335" s="14" t="s">
        <v>40245</v>
      </c>
      <c r="N2335" s="54" t="s">
        <v>40246</v>
      </c>
      <c r="O2335" s="130"/>
      <c r="P2335" s="16"/>
      <c r="Q2335" s="14">
        <v>569203.0</v>
      </c>
      <c r="R2335" s="14"/>
      <c r="S2335" s="212"/>
      <c r="T2335" s="30"/>
      <c r="U2335" s="30"/>
      <c r="V2335" s="30"/>
      <c r="W2335" s="30"/>
      <c r="X2335" s="30"/>
      <c r="Y2335" s="30"/>
      <c r="Z2335" s="30"/>
      <c r="AA2335" s="30"/>
      <c r="AB2335" s="30"/>
      <c r="AC2335" s="30"/>
    </row>
    <row r="2336" ht="15.75" customHeight="1">
      <c r="A2336" s="14" t="s">
        <v>17</v>
      </c>
      <c r="B2336" s="14">
        <v>1996.0</v>
      </c>
      <c r="C2336" s="14" t="s">
        <v>3207</v>
      </c>
      <c r="D2336" s="14" t="s">
        <v>3208</v>
      </c>
      <c r="E2336" s="150" t="s">
        <v>3209</v>
      </c>
      <c r="F2336" s="14">
        <v>409.0</v>
      </c>
      <c r="G2336" s="14">
        <v>412.0</v>
      </c>
      <c r="H2336" s="151"/>
      <c r="I2336" s="14" t="s">
        <v>28</v>
      </c>
      <c r="J2336" s="14" t="s">
        <v>4929</v>
      </c>
      <c r="K2336" s="14" t="s">
        <v>40248</v>
      </c>
      <c r="L2336" s="152" t="s">
        <v>3214</v>
      </c>
      <c r="M2336" s="14" t="s">
        <v>40249</v>
      </c>
      <c r="N2336" s="54" t="s">
        <v>40248</v>
      </c>
      <c r="O2336" s="130"/>
      <c r="P2336" s="16"/>
      <c r="Q2336" s="14">
        <v>568144.0</v>
      </c>
      <c r="R2336" s="14"/>
      <c r="S2336" s="212"/>
      <c r="T2336" s="30"/>
      <c r="U2336" s="30"/>
      <c r="V2336" s="30"/>
      <c r="W2336" s="30"/>
      <c r="X2336" s="30"/>
      <c r="Y2336" s="30"/>
      <c r="Z2336" s="30"/>
      <c r="AA2336" s="30"/>
      <c r="AB2336" s="30"/>
      <c r="AC2336" s="30"/>
    </row>
    <row r="2337" ht="15.75" customHeight="1">
      <c r="A2337" s="14" t="s">
        <v>17</v>
      </c>
      <c r="B2337" s="14">
        <v>1996.0</v>
      </c>
      <c r="C2337" s="14" t="s">
        <v>3236</v>
      </c>
      <c r="D2337" s="14" t="s">
        <v>3237</v>
      </c>
      <c r="E2337" s="150" t="s">
        <v>3238</v>
      </c>
      <c r="F2337" s="14">
        <v>425.0</v>
      </c>
      <c r="G2337" s="14">
        <v>428.0</v>
      </c>
      <c r="H2337" s="151"/>
      <c r="I2337" s="14" t="s">
        <v>28</v>
      </c>
      <c r="J2337" s="14" t="s">
        <v>4970</v>
      </c>
      <c r="K2337" s="14" t="s">
        <v>40251</v>
      </c>
      <c r="L2337" s="152" t="s">
        <v>3240</v>
      </c>
      <c r="M2337" s="14" t="s">
        <v>880</v>
      </c>
      <c r="N2337" s="54" t="s">
        <v>40252</v>
      </c>
      <c r="O2337" s="130"/>
      <c r="P2337" s="153" t="s">
        <v>3241</v>
      </c>
      <c r="Q2337" s="14">
        <v>568148.0</v>
      </c>
      <c r="R2337" s="14"/>
      <c r="S2337" s="212"/>
      <c r="T2337" s="30"/>
      <c r="U2337" s="30"/>
      <c r="V2337" s="30"/>
      <c r="W2337" s="30"/>
      <c r="X2337" s="30"/>
      <c r="Y2337" s="30"/>
      <c r="Z2337" s="30"/>
      <c r="AA2337" s="30"/>
      <c r="AB2337" s="30"/>
      <c r="AC2337" s="30"/>
    </row>
    <row r="2338" ht="15.75" customHeight="1">
      <c r="A2338" s="14" t="s">
        <v>17</v>
      </c>
      <c r="B2338" s="14">
        <v>1996.0</v>
      </c>
      <c r="C2338" s="14" t="s">
        <v>3161</v>
      </c>
      <c r="D2338" s="14" t="s">
        <v>3162</v>
      </c>
      <c r="E2338" s="150" t="s">
        <v>3163</v>
      </c>
      <c r="F2338" s="14">
        <v>375.0</v>
      </c>
      <c r="G2338" s="14">
        <v>379.0</v>
      </c>
      <c r="H2338" s="151"/>
      <c r="I2338" s="14" t="s">
        <v>28</v>
      </c>
      <c r="J2338" s="14" t="s">
        <v>4832</v>
      </c>
      <c r="K2338" s="14" t="s">
        <v>40253</v>
      </c>
      <c r="L2338" s="152" t="s">
        <v>1787</v>
      </c>
      <c r="M2338" s="14" t="s">
        <v>40254</v>
      </c>
      <c r="N2338" s="54" t="s">
        <v>40253</v>
      </c>
      <c r="O2338" s="130" t="s">
        <v>1323</v>
      </c>
      <c r="P2338" s="16"/>
      <c r="Q2338" s="14">
        <v>568136.0</v>
      </c>
      <c r="R2338" s="14"/>
      <c r="S2338" s="212">
        <v>235229.0</v>
      </c>
      <c r="T2338" s="30"/>
      <c r="U2338" s="30"/>
      <c r="V2338" s="30"/>
      <c r="W2338" s="30"/>
      <c r="X2338" s="30"/>
      <c r="Y2338" s="30"/>
      <c r="Z2338" s="30"/>
      <c r="AA2338" s="30"/>
      <c r="AB2338" s="30"/>
      <c r="AC2338" s="30"/>
    </row>
    <row r="2339" ht="15.75" customHeight="1">
      <c r="A2339" s="14" t="s">
        <v>17</v>
      </c>
      <c r="B2339" s="14">
        <v>1996.0</v>
      </c>
      <c r="C2339" s="14" t="s">
        <v>2891</v>
      </c>
      <c r="D2339" s="14" t="s">
        <v>2892</v>
      </c>
      <c r="E2339" s="150" t="s">
        <v>2895</v>
      </c>
      <c r="F2339" s="14">
        <v>87.0</v>
      </c>
      <c r="G2339" s="14">
        <v>92.0</v>
      </c>
      <c r="H2339" s="151"/>
      <c r="I2339" s="14" t="s">
        <v>28</v>
      </c>
      <c r="J2339" s="14" t="s">
        <v>4410</v>
      </c>
      <c r="K2339" s="14" t="s">
        <v>40258</v>
      </c>
      <c r="L2339" s="152" t="s">
        <v>2897</v>
      </c>
      <c r="M2339" s="14" t="s">
        <v>40259</v>
      </c>
      <c r="N2339" s="54" t="s">
        <v>40258</v>
      </c>
      <c r="O2339" s="130" t="s">
        <v>2204</v>
      </c>
      <c r="P2339" s="153" t="s">
        <v>2898</v>
      </c>
      <c r="Q2339" s="14">
        <v>567745.0</v>
      </c>
      <c r="R2339" s="14"/>
      <c r="S2339" s="212">
        <v>528689.0</v>
      </c>
      <c r="T2339" s="30"/>
      <c r="U2339" s="30"/>
      <c r="V2339" s="30"/>
      <c r="W2339" s="30"/>
      <c r="X2339" s="30"/>
      <c r="Y2339" s="30"/>
      <c r="Z2339" s="30"/>
      <c r="AA2339" s="30"/>
      <c r="AB2339" s="30"/>
      <c r="AC2339" s="30"/>
    </row>
    <row r="2340" ht="15.75" customHeight="1">
      <c r="A2340" s="14" t="s">
        <v>17</v>
      </c>
      <c r="B2340" s="14">
        <v>1996.0</v>
      </c>
      <c r="C2340" s="14" t="s">
        <v>3072</v>
      </c>
      <c r="D2340" s="14" t="s">
        <v>3073</v>
      </c>
      <c r="E2340" s="150" t="s">
        <v>3074</v>
      </c>
      <c r="F2340" s="14">
        <v>263.0</v>
      </c>
      <c r="G2340" s="14">
        <v>270.0</v>
      </c>
      <c r="H2340" s="151"/>
      <c r="I2340" s="14" t="s">
        <v>28</v>
      </c>
      <c r="J2340" s="14" t="s">
        <v>4724</v>
      </c>
      <c r="K2340" s="14" t="s">
        <v>40261</v>
      </c>
      <c r="L2340" s="152" t="s">
        <v>3076</v>
      </c>
      <c r="M2340" s="14">
        <v>3.8286411E10</v>
      </c>
      <c r="N2340" s="54" t="s">
        <v>8107</v>
      </c>
      <c r="O2340" s="130" t="s">
        <v>3077</v>
      </c>
      <c r="P2340" s="16"/>
      <c r="Q2340" s="14">
        <v>568118.0</v>
      </c>
      <c r="R2340" s="14"/>
      <c r="S2340" s="212" t="s">
        <v>40262</v>
      </c>
      <c r="T2340" s="30"/>
      <c r="U2340" s="30"/>
      <c r="V2340" s="30"/>
      <c r="W2340" s="30"/>
      <c r="X2340" s="30"/>
      <c r="Y2340" s="30"/>
      <c r="Z2340" s="30"/>
      <c r="AA2340" s="30"/>
      <c r="AB2340" s="30"/>
      <c r="AC2340" s="30"/>
    </row>
    <row r="2341" ht="15.75" customHeight="1">
      <c r="A2341" s="14" t="s">
        <v>17</v>
      </c>
      <c r="B2341" s="14">
        <v>1996.0</v>
      </c>
      <c r="C2341" s="14" t="s">
        <v>3150</v>
      </c>
      <c r="D2341" s="14" t="s">
        <v>3151</v>
      </c>
      <c r="E2341" s="150" t="s">
        <v>3152</v>
      </c>
      <c r="F2341" s="14">
        <v>367.0</v>
      </c>
      <c r="G2341" s="14">
        <v>370.0</v>
      </c>
      <c r="H2341" s="151"/>
      <c r="I2341" s="14" t="s">
        <v>28</v>
      </c>
      <c r="J2341" s="14" t="s">
        <v>4814</v>
      </c>
      <c r="K2341" s="14" t="s">
        <v>40264</v>
      </c>
      <c r="L2341" s="152" t="s">
        <v>3154</v>
      </c>
      <c r="M2341" s="14" t="s">
        <v>40265</v>
      </c>
      <c r="N2341" s="54" t="s">
        <v>40264</v>
      </c>
      <c r="O2341" s="130"/>
      <c r="P2341" s="153" t="s">
        <v>3155</v>
      </c>
      <c r="Q2341" s="14">
        <v>568134.0</v>
      </c>
      <c r="R2341" s="14"/>
      <c r="S2341" s="212"/>
      <c r="T2341" s="30"/>
      <c r="U2341" s="30"/>
      <c r="V2341" s="30"/>
      <c r="W2341" s="30"/>
      <c r="X2341" s="30"/>
      <c r="Y2341" s="30"/>
      <c r="Z2341" s="30"/>
      <c r="AA2341" s="30"/>
      <c r="AB2341" s="30"/>
      <c r="AC2341" s="30"/>
    </row>
    <row r="2342" ht="15.75" customHeight="1">
      <c r="A2342" s="14" t="s">
        <v>17</v>
      </c>
      <c r="B2342" s="14">
        <v>1996.0</v>
      </c>
      <c r="C2342" s="14" t="s">
        <v>2989</v>
      </c>
      <c r="D2342" s="14" t="s">
        <v>2990</v>
      </c>
      <c r="E2342" s="150" t="s">
        <v>2991</v>
      </c>
      <c r="F2342" s="14">
        <v>173.0</v>
      </c>
      <c r="G2342" s="14">
        <v>180.0</v>
      </c>
      <c r="H2342" s="151"/>
      <c r="I2342" s="14" t="s">
        <v>28</v>
      </c>
      <c r="J2342" s="14" t="s">
        <v>4533</v>
      </c>
      <c r="K2342" s="14" t="s">
        <v>34520</v>
      </c>
      <c r="L2342" s="152" t="s">
        <v>2841</v>
      </c>
      <c r="M2342" s="14" t="s">
        <v>34521</v>
      </c>
      <c r="N2342" s="54" t="s">
        <v>34520</v>
      </c>
      <c r="O2342" s="130" t="s">
        <v>2995</v>
      </c>
      <c r="P2342" s="16"/>
      <c r="Q2342" s="14">
        <v>568103.0</v>
      </c>
      <c r="R2342" s="14"/>
      <c r="S2342" s="212" t="s">
        <v>40268</v>
      </c>
      <c r="T2342" s="30"/>
      <c r="U2342" s="30"/>
      <c r="V2342" s="30"/>
      <c r="W2342" s="30"/>
      <c r="X2342" s="30"/>
      <c r="Y2342" s="30"/>
      <c r="Z2342" s="30"/>
      <c r="AA2342" s="30"/>
      <c r="AB2342" s="30"/>
      <c r="AC2342" s="30"/>
    </row>
    <row r="2343" ht="15.75" customHeight="1">
      <c r="A2343" s="14" t="s">
        <v>17</v>
      </c>
      <c r="B2343" s="14">
        <v>1996.0</v>
      </c>
      <c r="C2343" s="14" t="s">
        <v>2980</v>
      </c>
      <c r="D2343" s="14" t="s">
        <v>2981</v>
      </c>
      <c r="E2343" s="150" t="s">
        <v>2982</v>
      </c>
      <c r="F2343" s="14">
        <v>165.0</v>
      </c>
      <c r="G2343" s="14">
        <v>172.0</v>
      </c>
      <c r="H2343" s="151"/>
      <c r="I2343" s="14" t="s">
        <v>28</v>
      </c>
      <c r="J2343" s="14" t="s">
        <v>4521</v>
      </c>
      <c r="K2343" s="14" t="s">
        <v>40270</v>
      </c>
      <c r="L2343" s="152" t="s">
        <v>2987</v>
      </c>
      <c r="M2343" s="14" t="s">
        <v>40272</v>
      </c>
      <c r="N2343" s="54" t="s">
        <v>40270</v>
      </c>
      <c r="O2343" s="130" t="s">
        <v>2067</v>
      </c>
      <c r="P2343" s="153" t="s">
        <v>2988</v>
      </c>
      <c r="Q2343" s="14">
        <v>567812.0</v>
      </c>
      <c r="R2343" s="14"/>
      <c r="S2343" s="212">
        <v>346333.0</v>
      </c>
      <c r="T2343" s="30"/>
      <c r="U2343" s="30"/>
      <c r="V2343" s="30"/>
      <c r="W2343" s="30"/>
      <c r="X2343" s="30"/>
      <c r="Y2343" s="30"/>
      <c r="Z2343" s="30"/>
      <c r="AA2343" s="30"/>
      <c r="AB2343" s="30"/>
      <c r="AC2343" s="30"/>
    </row>
    <row r="2344" ht="15.75" customHeight="1">
      <c r="A2344" s="14" t="s">
        <v>17</v>
      </c>
      <c r="B2344" s="14">
        <v>1996.0</v>
      </c>
      <c r="C2344" s="14" t="s">
        <v>3184</v>
      </c>
      <c r="D2344" s="14" t="s">
        <v>3185</v>
      </c>
      <c r="E2344" s="150" t="s">
        <v>3186</v>
      </c>
      <c r="F2344" s="14">
        <v>393.0</v>
      </c>
      <c r="G2344" s="14">
        <v>396.0</v>
      </c>
      <c r="H2344" s="151"/>
      <c r="I2344" s="14" t="s">
        <v>28</v>
      </c>
      <c r="J2344" s="14" t="s">
        <v>4879</v>
      </c>
      <c r="K2344" s="14" t="s">
        <v>40282</v>
      </c>
      <c r="L2344" s="152" t="s">
        <v>2042</v>
      </c>
      <c r="M2344" s="14" t="s">
        <v>40283</v>
      </c>
      <c r="N2344" s="54" t="s">
        <v>40282</v>
      </c>
      <c r="O2344" s="130" t="s">
        <v>3188</v>
      </c>
      <c r="P2344" s="16"/>
      <c r="Q2344" s="14">
        <v>568140.0</v>
      </c>
      <c r="R2344" s="14"/>
      <c r="S2344" s="212" t="s">
        <v>40284</v>
      </c>
      <c r="T2344" s="30"/>
      <c r="U2344" s="30"/>
      <c r="V2344" s="30"/>
      <c r="W2344" s="30"/>
      <c r="X2344" s="30"/>
      <c r="Y2344" s="30"/>
      <c r="Z2344" s="30"/>
      <c r="AA2344" s="30"/>
      <c r="AB2344" s="30"/>
      <c r="AC2344" s="30"/>
    </row>
    <row r="2345" ht="15.75" customHeight="1">
      <c r="A2345" s="14" t="s">
        <v>17</v>
      </c>
      <c r="B2345" s="14">
        <v>1996.0</v>
      </c>
      <c r="C2345" s="14" t="s">
        <v>3228</v>
      </c>
      <c r="D2345" s="14" t="s">
        <v>3229</v>
      </c>
      <c r="E2345" s="150" t="s">
        <v>3230</v>
      </c>
      <c r="F2345" s="14">
        <v>421.0</v>
      </c>
      <c r="G2345" s="14">
        <v>424.0</v>
      </c>
      <c r="H2345" s="151"/>
      <c r="I2345" s="14" t="s">
        <v>28</v>
      </c>
      <c r="J2345" s="14" t="s">
        <v>4961</v>
      </c>
      <c r="K2345" s="14" t="s">
        <v>40286</v>
      </c>
      <c r="L2345" s="152" t="s">
        <v>3235</v>
      </c>
      <c r="M2345" s="14" t="s">
        <v>40287</v>
      </c>
      <c r="N2345" s="54" t="s">
        <v>40288</v>
      </c>
      <c r="O2345" s="130"/>
      <c r="P2345" s="16"/>
      <c r="Q2345" s="14">
        <v>568147.0</v>
      </c>
      <c r="R2345" s="14"/>
      <c r="S2345" s="212"/>
      <c r="T2345" s="30"/>
      <c r="U2345" s="30"/>
      <c r="V2345" s="30"/>
      <c r="W2345" s="30"/>
      <c r="X2345" s="30"/>
      <c r="Y2345" s="30"/>
      <c r="Z2345" s="30"/>
      <c r="AA2345" s="30"/>
      <c r="AB2345" s="30"/>
      <c r="AC2345" s="30"/>
    </row>
    <row r="2346" ht="15.75" customHeight="1">
      <c r="A2346" s="14" t="s">
        <v>17</v>
      </c>
      <c r="B2346" s="14">
        <v>1996.0</v>
      </c>
      <c r="C2346" s="14" t="s">
        <v>2879</v>
      </c>
      <c r="D2346" s="14" t="s">
        <v>2880</v>
      </c>
      <c r="E2346" s="150" t="s">
        <v>2881</v>
      </c>
      <c r="F2346" s="14">
        <v>73.0</v>
      </c>
      <c r="G2346" s="14">
        <v>80.0</v>
      </c>
      <c r="H2346" s="151"/>
      <c r="I2346" s="14" t="s">
        <v>28</v>
      </c>
      <c r="J2346" s="14" t="s">
        <v>4384</v>
      </c>
      <c r="K2346" s="14" t="s">
        <v>40289</v>
      </c>
      <c r="L2346" s="152" t="s">
        <v>2883</v>
      </c>
      <c r="M2346" s="14" t="s">
        <v>40290</v>
      </c>
      <c r="N2346" s="54" t="s">
        <v>40289</v>
      </c>
      <c r="O2346" s="130" t="s">
        <v>2067</v>
      </c>
      <c r="P2346" s="153" t="s">
        <v>2884</v>
      </c>
      <c r="Q2346" s="14">
        <v>567609.0</v>
      </c>
      <c r="R2346" s="14"/>
      <c r="S2346" s="212">
        <v>346333.0</v>
      </c>
      <c r="T2346" s="30"/>
      <c r="U2346" s="30"/>
      <c r="V2346" s="30"/>
      <c r="W2346" s="30"/>
      <c r="X2346" s="30"/>
      <c r="Y2346" s="30"/>
      <c r="Z2346" s="30"/>
      <c r="AA2346" s="30"/>
      <c r="AB2346" s="30"/>
      <c r="AC2346" s="30"/>
    </row>
    <row r="2347" ht="15.75" customHeight="1">
      <c r="A2347" s="14" t="s">
        <v>17</v>
      </c>
      <c r="B2347" s="14">
        <v>1996.0</v>
      </c>
      <c r="C2347" s="14" t="s">
        <v>3175</v>
      </c>
      <c r="D2347" s="14" t="s">
        <v>3176</v>
      </c>
      <c r="E2347" s="150" t="s">
        <v>3177</v>
      </c>
      <c r="F2347" s="14">
        <v>389.0</v>
      </c>
      <c r="G2347" s="14">
        <v>392.0</v>
      </c>
      <c r="H2347" s="151"/>
      <c r="I2347" s="14" t="s">
        <v>28</v>
      </c>
      <c r="J2347" s="14" t="s">
        <v>4868</v>
      </c>
      <c r="K2347" s="14" t="s">
        <v>39696</v>
      </c>
      <c r="L2347" s="152" t="s">
        <v>3182</v>
      </c>
      <c r="M2347" s="14" t="s">
        <v>39697</v>
      </c>
      <c r="N2347" s="54" t="s">
        <v>39696</v>
      </c>
      <c r="O2347" s="130" t="s">
        <v>2518</v>
      </c>
      <c r="P2347" s="153" t="s">
        <v>3183</v>
      </c>
      <c r="Q2347" s="14">
        <v>568139.0</v>
      </c>
      <c r="R2347" s="14"/>
      <c r="S2347" s="212">
        <v>480819.0</v>
      </c>
      <c r="T2347" s="30"/>
      <c r="U2347" s="30"/>
      <c r="V2347" s="30"/>
      <c r="W2347" s="30"/>
      <c r="X2347" s="30"/>
      <c r="Y2347" s="30"/>
      <c r="Z2347" s="30"/>
      <c r="AA2347" s="30"/>
      <c r="AB2347" s="30"/>
      <c r="AC2347" s="30"/>
    </row>
    <row r="2348" ht="15.75" customHeight="1">
      <c r="A2348" s="14" t="s">
        <v>17</v>
      </c>
      <c r="B2348" s="14">
        <v>1996.0</v>
      </c>
      <c r="C2348" s="14" t="s">
        <v>3115</v>
      </c>
      <c r="D2348" s="14" t="s">
        <v>3116</v>
      </c>
      <c r="E2348" s="150" t="s">
        <v>3117</v>
      </c>
      <c r="F2348" s="14">
        <v>327.0</v>
      </c>
      <c r="G2348" s="14">
        <v>334.0</v>
      </c>
      <c r="H2348" s="151"/>
      <c r="I2348" s="14" t="s">
        <v>28</v>
      </c>
      <c r="J2348" s="14" t="s">
        <v>4754</v>
      </c>
      <c r="K2348" s="14" t="s">
        <v>40293</v>
      </c>
      <c r="L2348" s="152" t="s">
        <v>3119</v>
      </c>
      <c r="M2348" s="14" t="s">
        <v>40294</v>
      </c>
      <c r="N2348" s="54" t="s">
        <v>40293</v>
      </c>
      <c r="O2348" s="130" t="s">
        <v>3120</v>
      </c>
      <c r="P2348" s="16"/>
      <c r="Q2348" s="14">
        <v>568126.0</v>
      </c>
      <c r="R2348" s="14"/>
      <c r="S2348" s="212" t="s">
        <v>40296</v>
      </c>
      <c r="T2348" s="30"/>
      <c r="U2348" s="30"/>
      <c r="V2348" s="30"/>
      <c r="W2348" s="30"/>
      <c r="X2348" s="30"/>
      <c r="Y2348" s="30"/>
      <c r="Z2348" s="30"/>
      <c r="AA2348" s="30"/>
      <c r="AB2348" s="30"/>
      <c r="AC2348" s="30"/>
    </row>
    <row r="2349" ht="15.75" customHeight="1">
      <c r="A2349" s="14" t="s">
        <v>17</v>
      </c>
      <c r="B2349" s="14">
        <v>1996.0</v>
      </c>
      <c r="C2349" s="14" t="s">
        <v>3156</v>
      </c>
      <c r="D2349" s="14" t="s">
        <v>3157</v>
      </c>
      <c r="E2349" s="150" t="s">
        <v>3158</v>
      </c>
      <c r="F2349" s="14">
        <v>371.0</v>
      </c>
      <c r="G2349" s="14">
        <v>374.0</v>
      </c>
      <c r="H2349" s="151"/>
      <c r="I2349" s="14" t="s">
        <v>28</v>
      </c>
      <c r="J2349" s="14" t="s">
        <v>4823</v>
      </c>
      <c r="K2349" s="14" t="s">
        <v>40297</v>
      </c>
      <c r="L2349" s="152" t="s">
        <v>3160</v>
      </c>
      <c r="M2349" s="14" t="s">
        <v>40298</v>
      </c>
      <c r="N2349" s="54" t="s">
        <v>40297</v>
      </c>
      <c r="O2349" s="130"/>
      <c r="P2349" s="16"/>
      <c r="Q2349" s="14">
        <v>568135.0</v>
      </c>
      <c r="R2349" s="14"/>
      <c r="S2349" s="212"/>
      <c r="T2349" s="30"/>
      <c r="U2349" s="30"/>
      <c r="V2349" s="30"/>
      <c r="W2349" s="30"/>
      <c r="X2349" s="30"/>
      <c r="Y2349" s="30"/>
      <c r="Z2349" s="30"/>
      <c r="AA2349" s="30"/>
      <c r="AB2349" s="30"/>
      <c r="AC2349" s="30"/>
    </row>
    <row r="2350" ht="15.75" customHeight="1">
      <c r="A2350" s="14" t="s">
        <v>17</v>
      </c>
      <c r="B2350" s="14">
        <v>1996.0</v>
      </c>
      <c r="C2350" s="14" t="s">
        <v>2873</v>
      </c>
      <c r="D2350" s="67" t="s">
        <v>2874</v>
      </c>
      <c r="E2350" s="194" t="str">
        <f>HYPERLINK("http://doi.ieeecomputersociety.org/10.1109/VISUAL.1996.567608","http://doi.ieeecomputersociety.org/10.1109/VISUAL.1996.567608")</f>
        <v>http://doi.ieeecomputersociety.org/10.1109/VISUAL.1996.567608</v>
      </c>
      <c r="F2350" s="50">
        <v>65.0</v>
      </c>
      <c r="G2350" s="50">
        <v>72.0</v>
      </c>
      <c r="H2350" s="151"/>
      <c r="I2350" s="14" t="s">
        <v>28</v>
      </c>
      <c r="J2350" s="14" t="s">
        <v>40300</v>
      </c>
      <c r="K2350" s="14" t="s">
        <v>40301</v>
      </c>
      <c r="L2350" s="152" t="s">
        <v>2877</v>
      </c>
      <c r="M2350" s="14"/>
      <c r="N2350" s="54" t="s">
        <v>40301</v>
      </c>
      <c r="O2350" s="130" t="s">
        <v>2878</v>
      </c>
      <c r="P2350" s="54"/>
      <c r="Q2350" s="54">
        <v>567608.0</v>
      </c>
      <c r="R2350" s="14" t="s">
        <v>18275</v>
      </c>
      <c r="S2350" s="212" t="s">
        <v>40302</v>
      </c>
      <c r="T2350" s="30"/>
      <c r="U2350" s="30"/>
      <c r="V2350" s="30"/>
      <c r="W2350" s="30"/>
      <c r="X2350" s="30"/>
      <c r="Y2350" s="30"/>
      <c r="Z2350" s="30"/>
      <c r="AA2350" s="30"/>
      <c r="AB2350" s="30"/>
      <c r="AC2350" s="30"/>
    </row>
    <row r="2351" ht="15.75" customHeight="1">
      <c r="A2351" s="14" t="s">
        <v>17</v>
      </c>
      <c r="B2351" s="14">
        <v>1996.0</v>
      </c>
      <c r="C2351" s="14" t="s">
        <v>2863</v>
      </c>
      <c r="D2351" s="14" t="s">
        <v>2864</v>
      </c>
      <c r="E2351" s="150" t="s">
        <v>2865</v>
      </c>
      <c r="F2351" s="14">
        <v>49.0</v>
      </c>
      <c r="G2351" s="14">
        <v>56.0</v>
      </c>
      <c r="H2351" s="151"/>
      <c r="I2351" s="14" t="s">
        <v>28</v>
      </c>
      <c r="J2351" s="14" t="s">
        <v>4347</v>
      </c>
      <c r="K2351" s="14" t="s">
        <v>39941</v>
      </c>
      <c r="L2351" s="152" t="s">
        <v>66</v>
      </c>
      <c r="M2351" s="14" t="s">
        <v>39942</v>
      </c>
      <c r="N2351" s="54" t="s">
        <v>39941</v>
      </c>
      <c r="O2351" s="130" t="s">
        <v>2115</v>
      </c>
      <c r="P2351" s="16"/>
      <c r="Q2351" s="14">
        <v>567603.0</v>
      </c>
      <c r="R2351" s="14"/>
      <c r="S2351" s="212">
        <v>346340.0</v>
      </c>
      <c r="T2351" s="30"/>
      <c r="U2351" s="30"/>
      <c r="V2351" s="30"/>
      <c r="W2351" s="30"/>
      <c r="X2351" s="30"/>
      <c r="Y2351" s="30"/>
      <c r="Z2351" s="30"/>
      <c r="AA2351" s="30"/>
      <c r="AB2351" s="30"/>
      <c r="AC2351" s="30"/>
    </row>
    <row r="2352" ht="15.75" customHeight="1">
      <c r="A2352" s="14" t="s">
        <v>17</v>
      </c>
      <c r="B2352" s="50">
        <v>1996.0</v>
      </c>
      <c r="C2352" s="14" t="s">
        <v>3050</v>
      </c>
      <c r="D2352" s="67" t="s">
        <v>3051</v>
      </c>
      <c r="E2352" s="194" t="str">
        <f>HYPERLINK("http://doi.ieeecomputersociety.org/10.1109/VISUAL.1996.568115","http://doi.ieeecomputersociety.org/10.1109/VISUAL.1996.568115")</f>
        <v>http://doi.ieeecomputersociety.org/10.1109/VISUAL.1996.568115</v>
      </c>
      <c r="F2352" s="50">
        <v>241.0</v>
      </c>
      <c r="G2352" s="50">
        <v>247.0</v>
      </c>
      <c r="H2352" s="151"/>
      <c r="I2352" s="14" t="s">
        <v>28</v>
      </c>
      <c r="J2352" s="14" t="s">
        <v>40304</v>
      </c>
      <c r="K2352" s="14" t="s">
        <v>40305</v>
      </c>
      <c r="L2352" s="152" t="s">
        <v>3057</v>
      </c>
      <c r="M2352" s="14"/>
      <c r="N2352" s="54" t="s">
        <v>40306</v>
      </c>
      <c r="O2352" s="130" t="s">
        <v>3058</v>
      </c>
      <c r="P2352" s="54"/>
      <c r="Q2352" s="54">
        <v>568115.0</v>
      </c>
      <c r="R2352" s="14" t="s">
        <v>18275</v>
      </c>
      <c r="S2352" s="212" t="s">
        <v>40307</v>
      </c>
      <c r="T2352" s="30"/>
      <c r="U2352" s="30"/>
      <c r="V2352" s="30"/>
      <c r="W2352" s="30"/>
      <c r="X2352" s="30"/>
      <c r="Y2352" s="30"/>
      <c r="Z2352" s="30"/>
      <c r="AA2352" s="30"/>
      <c r="AB2352" s="30"/>
      <c r="AC2352" s="30"/>
    </row>
    <row r="2353" ht="15.75" customHeight="1">
      <c r="A2353" s="14" t="s">
        <v>17</v>
      </c>
      <c r="B2353" s="14">
        <v>1996.0</v>
      </c>
      <c r="C2353" s="14" t="s">
        <v>2948</v>
      </c>
      <c r="D2353" s="14" t="s">
        <v>2949</v>
      </c>
      <c r="E2353" s="150" t="s">
        <v>2950</v>
      </c>
      <c r="F2353" s="14">
        <v>133.0</v>
      </c>
      <c r="G2353" s="14">
        <v>140.0</v>
      </c>
      <c r="H2353" s="151"/>
      <c r="I2353" s="14" t="s">
        <v>28</v>
      </c>
      <c r="J2353" s="14" t="s">
        <v>4484</v>
      </c>
      <c r="K2353" s="14" t="s">
        <v>40311</v>
      </c>
      <c r="L2353" s="152" t="s">
        <v>2956</v>
      </c>
      <c r="M2353" s="14" t="s">
        <v>40313</v>
      </c>
      <c r="N2353" s="54" t="s">
        <v>40311</v>
      </c>
      <c r="O2353" s="130" t="s">
        <v>2957</v>
      </c>
      <c r="P2353" s="153" t="s">
        <v>2958</v>
      </c>
      <c r="Q2353" s="14">
        <v>567796.0</v>
      </c>
      <c r="R2353" s="14"/>
      <c r="S2353" s="212" t="s">
        <v>40314</v>
      </c>
      <c r="T2353" s="30"/>
      <c r="U2353" s="30"/>
      <c r="V2353" s="30"/>
      <c r="W2353" s="30"/>
      <c r="X2353" s="30"/>
      <c r="Y2353" s="30"/>
      <c r="Z2353" s="30"/>
      <c r="AA2353" s="30"/>
      <c r="AB2353" s="30"/>
      <c r="AC2353" s="30"/>
    </row>
    <row r="2354" ht="15.75" customHeight="1">
      <c r="A2354" s="14" t="s">
        <v>17</v>
      </c>
      <c r="B2354" s="14">
        <v>1996.0</v>
      </c>
      <c r="C2354" s="14" t="s">
        <v>3165</v>
      </c>
      <c r="D2354" s="14" t="s">
        <v>3166</v>
      </c>
      <c r="E2354" s="150" t="s">
        <v>3167</v>
      </c>
      <c r="F2354" s="14">
        <v>381.0</v>
      </c>
      <c r="G2354" s="14">
        <v>384.0</v>
      </c>
      <c r="H2354" s="151"/>
      <c r="I2354" s="14" t="s">
        <v>28</v>
      </c>
      <c r="J2354" s="14" t="s">
        <v>4841</v>
      </c>
      <c r="K2354" s="14" t="s">
        <v>39593</v>
      </c>
      <c r="L2354" s="152" t="s">
        <v>3169</v>
      </c>
      <c r="M2354" s="14" t="s">
        <v>39594</v>
      </c>
      <c r="N2354" s="54" t="s">
        <v>39593</v>
      </c>
      <c r="O2354" s="130" t="s">
        <v>487</v>
      </c>
      <c r="P2354" s="16"/>
      <c r="Q2354" s="14">
        <v>568137.0</v>
      </c>
      <c r="R2354" s="14"/>
      <c r="S2354" s="212">
        <v>175773.0</v>
      </c>
      <c r="T2354" s="30"/>
      <c r="U2354" s="30"/>
      <c r="V2354" s="30"/>
      <c r="W2354" s="30"/>
      <c r="X2354" s="30"/>
      <c r="Y2354" s="30"/>
      <c r="Z2354" s="30"/>
      <c r="AA2354" s="30"/>
      <c r="AB2354" s="30"/>
      <c r="AC2354" s="30"/>
    </row>
    <row r="2355" ht="15.75" customHeight="1">
      <c r="A2355" s="14" t="s">
        <v>17</v>
      </c>
      <c r="B2355" s="50">
        <v>1996.0</v>
      </c>
      <c r="C2355" s="14" t="s">
        <v>3036</v>
      </c>
      <c r="D2355" s="16" t="s">
        <v>3037</v>
      </c>
      <c r="E2355" s="156" t="str">
        <f>HYPERLINK("http://dx.doi.org/10.1109/VISUAL.1996.568113","http://dx.doi.org/10.1109/VISUAL.1996.568113")</f>
        <v>http://dx.doi.org/10.1109/VISUAL.1996.568113</v>
      </c>
      <c r="F2355" s="50">
        <v>227.0</v>
      </c>
      <c r="G2355" s="50">
        <v>234.0</v>
      </c>
      <c r="H2355" s="151"/>
      <c r="I2355" s="14" t="s">
        <v>28</v>
      </c>
      <c r="J2355" s="14" t="s">
        <v>40318</v>
      </c>
      <c r="K2355" s="14" t="s">
        <v>40319</v>
      </c>
      <c r="L2355" s="162" t="s">
        <v>3042</v>
      </c>
      <c r="M2355" s="14"/>
      <c r="N2355" s="54" t="s">
        <v>40319</v>
      </c>
      <c r="O2355" s="130"/>
      <c r="P2355" s="54"/>
      <c r="Q2355" s="14">
        <v>568112.0</v>
      </c>
      <c r="R2355" s="14" t="s">
        <v>18275</v>
      </c>
      <c r="S2355" s="212"/>
      <c r="T2355" s="30"/>
      <c r="U2355" s="30"/>
      <c r="V2355" s="30"/>
      <c r="W2355" s="30"/>
      <c r="X2355" s="30"/>
      <c r="Y2355" s="30"/>
      <c r="Z2355" s="30"/>
      <c r="AA2355" s="30"/>
      <c r="AB2355" s="30"/>
      <c r="AC2355" s="30"/>
    </row>
    <row r="2356" ht="15.75" customHeight="1">
      <c r="A2356" s="14" t="s">
        <v>17</v>
      </c>
      <c r="B2356" s="14">
        <v>1996.0</v>
      </c>
      <c r="C2356" s="14" t="s">
        <v>2866</v>
      </c>
      <c r="D2356" s="14" t="s">
        <v>2867</v>
      </c>
      <c r="E2356" s="150" t="s">
        <v>2868</v>
      </c>
      <c r="F2356" s="14">
        <v>57.0</v>
      </c>
      <c r="G2356" s="14">
        <v>63.0</v>
      </c>
      <c r="H2356" s="151"/>
      <c r="I2356" s="14" t="s">
        <v>28</v>
      </c>
      <c r="J2356" s="14" t="s">
        <v>4355</v>
      </c>
      <c r="K2356" s="14" t="s">
        <v>40322</v>
      </c>
      <c r="L2356" s="152" t="s">
        <v>2870</v>
      </c>
      <c r="M2356" s="14" t="s">
        <v>40323</v>
      </c>
      <c r="N2356" s="54" t="s">
        <v>40322</v>
      </c>
      <c r="O2356" s="130" t="s">
        <v>2871</v>
      </c>
      <c r="P2356" s="153" t="s">
        <v>2872</v>
      </c>
      <c r="Q2356" s="14">
        <v>567606.0</v>
      </c>
      <c r="R2356" s="14"/>
      <c r="S2356" s="212" t="s">
        <v>40324</v>
      </c>
      <c r="T2356" s="30"/>
      <c r="U2356" s="30"/>
      <c r="V2356" s="30"/>
      <c r="W2356" s="30"/>
      <c r="X2356" s="30"/>
      <c r="Y2356" s="30"/>
      <c r="Z2356" s="30"/>
      <c r="AA2356" s="30"/>
      <c r="AB2356" s="30"/>
      <c r="AC2356" s="30"/>
    </row>
    <row r="2357" ht="15.75" customHeight="1">
      <c r="A2357" s="14" t="s">
        <v>17</v>
      </c>
      <c r="B2357" s="14">
        <v>1996.0</v>
      </c>
      <c r="C2357" s="14" t="s">
        <v>2964</v>
      </c>
      <c r="D2357" s="14" t="s">
        <v>2965</v>
      </c>
      <c r="E2357" s="150" t="s">
        <v>2966</v>
      </c>
      <c r="F2357" s="14">
        <v>149.0</v>
      </c>
      <c r="G2357" s="14">
        <v>156.0</v>
      </c>
      <c r="H2357" s="151"/>
      <c r="I2357" s="14" t="s">
        <v>28</v>
      </c>
      <c r="J2357" s="14" t="s">
        <v>4497</v>
      </c>
      <c r="K2357" s="14" t="s">
        <v>40325</v>
      </c>
      <c r="L2357" s="152" t="s">
        <v>2969</v>
      </c>
      <c r="M2357" s="14" t="s">
        <v>40326</v>
      </c>
      <c r="N2357" s="54" t="s">
        <v>40325</v>
      </c>
      <c r="O2357" s="130"/>
      <c r="P2357" s="153" t="s">
        <v>2970</v>
      </c>
      <c r="Q2357" s="14">
        <v>567804.0</v>
      </c>
      <c r="R2357" s="14"/>
      <c r="S2357" s="212"/>
      <c r="T2357" s="30"/>
      <c r="U2357" s="30"/>
      <c r="V2357" s="30"/>
      <c r="W2357" s="30"/>
      <c r="X2357" s="30"/>
      <c r="Y2357" s="30"/>
      <c r="Z2357" s="30"/>
      <c r="AA2357" s="30"/>
      <c r="AB2357" s="30"/>
      <c r="AC2357" s="30"/>
    </row>
    <row r="2358" ht="15.75" customHeight="1">
      <c r="A2358" s="14" t="s">
        <v>17</v>
      </c>
      <c r="B2358" s="14">
        <v>1996.0</v>
      </c>
      <c r="C2358" s="14" t="s">
        <v>3023</v>
      </c>
      <c r="D2358" s="14" t="s">
        <v>3024</v>
      </c>
      <c r="E2358" s="150" t="s">
        <v>3025</v>
      </c>
      <c r="F2358" s="14">
        <v>211.0</v>
      </c>
      <c r="G2358" s="14">
        <v>218.0</v>
      </c>
      <c r="H2358" s="151"/>
      <c r="I2358" s="14" t="s">
        <v>28</v>
      </c>
      <c r="J2358" s="14" t="s">
        <v>4581</v>
      </c>
      <c r="K2358" s="14" t="s">
        <v>40331</v>
      </c>
      <c r="L2358" s="152" t="s">
        <v>3026</v>
      </c>
      <c r="M2358" s="14" t="s">
        <v>40332</v>
      </c>
      <c r="N2358" s="54" t="s">
        <v>40331</v>
      </c>
      <c r="O2358" s="130" t="s">
        <v>3027</v>
      </c>
      <c r="P2358" s="16"/>
      <c r="Q2358" s="14">
        <v>568110.0</v>
      </c>
      <c r="R2358" s="14"/>
      <c r="S2358" s="212" t="s">
        <v>40334</v>
      </c>
      <c r="T2358" s="30"/>
      <c r="U2358" s="30"/>
      <c r="V2358" s="30"/>
      <c r="W2358" s="30"/>
      <c r="X2358" s="30"/>
      <c r="Y2358" s="30"/>
      <c r="Z2358" s="30"/>
      <c r="AA2358" s="30"/>
      <c r="AB2358" s="30"/>
      <c r="AC2358" s="30"/>
    </row>
    <row r="2359" ht="15.75" customHeight="1">
      <c r="A2359" s="14" t="s">
        <v>17</v>
      </c>
      <c r="B2359" s="14">
        <v>1996.0</v>
      </c>
      <c r="C2359" s="14" t="s">
        <v>3270</v>
      </c>
      <c r="D2359" s="14" t="s">
        <v>3271</v>
      </c>
      <c r="E2359" s="150" t="s">
        <v>3272</v>
      </c>
      <c r="F2359" s="14">
        <v>449.0</v>
      </c>
      <c r="G2359" s="14">
        <v>450.0</v>
      </c>
      <c r="H2359" s="159" t="s">
        <v>30659</v>
      </c>
      <c r="I2359" s="14" t="s">
        <v>21</v>
      </c>
      <c r="J2359" s="14"/>
      <c r="K2359" s="14" t="s">
        <v>40335</v>
      </c>
      <c r="L2359" s="152" t="s">
        <v>3278</v>
      </c>
      <c r="M2359" s="14" t="s">
        <v>40336</v>
      </c>
      <c r="N2359" s="54" t="s">
        <v>40337</v>
      </c>
      <c r="O2359" s="130"/>
      <c r="P2359" s="16"/>
      <c r="Q2359" s="14">
        <v>568163.0</v>
      </c>
      <c r="R2359" s="14"/>
      <c r="S2359" s="212"/>
      <c r="T2359" s="30"/>
      <c r="U2359" s="30"/>
      <c r="V2359" s="30"/>
      <c r="W2359" s="30"/>
      <c r="X2359" s="30"/>
      <c r="Y2359" s="30"/>
      <c r="Z2359" s="30"/>
      <c r="AA2359" s="30"/>
      <c r="AB2359" s="30"/>
      <c r="AC2359" s="30"/>
    </row>
    <row r="2360" ht="15.75" customHeight="1">
      <c r="A2360" s="14" t="s">
        <v>17</v>
      </c>
      <c r="B2360" s="14">
        <v>1996.0</v>
      </c>
      <c r="C2360" s="14" t="s">
        <v>3250</v>
      </c>
      <c r="D2360" s="67" t="s">
        <v>3251</v>
      </c>
      <c r="E2360" s="194" t="s">
        <v>3252</v>
      </c>
      <c r="F2360" s="14">
        <v>433.0</v>
      </c>
      <c r="G2360" s="14">
        <v>438.0</v>
      </c>
      <c r="H2360" s="151"/>
      <c r="I2360" s="14" t="s">
        <v>28</v>
      </c>
      <c r="J2360" s="14" t="s">
        <v>40339</v>
      </c>
      <c r="K2360" s="14" t="s">
        <v>40340</v>
      </c>
      <c r="L2360" s="152" t="s">
        <v>3257</v>
      </c>
      <c r="M2360" s="14"/>
      <c r="N2360" s="54" t="s">
        <v>40341</v>
      </c>
      <c r="O2360" s="130" t="s">
        <v>2587</v>
      </c>
      <c r="P2360" s="54"/>
      <c r="Q2360" s="14">
        <v>568150.0</v>
      </c>
      <c r="R2360" s="14" t="s">
        <v>18275</v>
      </c>
      <c r="S2360" s="212">
        <v>485143.0</v>
      </c>
      <c r="T2360" s="82"/>
      <c r="U2360" s="82"/>
      <c r="V2360" s="82"/>
      <c r="W2360" s="82"/>
      <c r="X2360" s="82"/>
      <c r="Y2360" s="82"/>
      <c r="Z2360" s="82"/>
      <c r="AA2360" s="82"/>
      <c r="AB2360" s="82"/>
      <c r="AC2360" s="82"/>
    </row>
    <row r="2361" ht="15.75" customHeight="1">
      <c r="A2361" s="14" t="s">
        <v>17</v>
      </c>
      <c r="B2361" s="14">
        <v>1996.0</v>
      </c>
      <c r="C2361" s="14" t="s">
        <v>2915</v>
      </c>
      <c r="D2361" s="14" t="s">
        <v>2916</v>
      </c>
      <c r="E2361" s="150" t="s">
        <v>2917</v>
      </c>
      <c r="F2361" s="14">
        <v>107.0</v>
      </c>
      <c r="G2361" s="14">
        <v>113.0</v>
      </c>
      <c r="H2361" s="151"/>
      <c r="I2361" s="14" t="s">
        <v>28</v>
      </c>
      <c r="J2361" s="14" t="s">
        <v>4447</v>
      </c>
      <c r="K2361" s="14" t="s">
        <v>40343</v>
      </c>
      <c r="L2361" s="152" t="s">
        <v>2919</v>
      </c>
      <c r="M2361" s="14" t="s">
        <v>40344</v>
      </c>
      <c r="N2361" s="54" t="s">
        <v>40343</v>
      </c>
      <c r="O2361" s="130" t="s">
        <v>2920</v>
      </c>
      <c r="P2361" s="16"/>
      <c r="Q2361" s="14">
        <v>567777.0</v>
      </c>
      <c r="R2361" s="14"/>
      <c r="S2361" s="212" t="s">
        <v>40345</v>
      </c>
      <c r="T2361" s="30"/>
      <c r="U2361" s="30"/>
      <c r="V2361" s="30"/>
      <c r="W2361" s="30"/>
      <c r="X2361" s="30"/>
      <c r="Y2361" s="30"/>
      <c r="Z2361" s="30"/>
      <c r="AA2361" s="30"/>
      <c r="AB2361" s="30"/>
      <c r="AC2361" s="30"/>
    </row>
    <row r="2362" ht="15.75" customHeight="1">
      <c r="A2362" s="14" t="s">
        <v>17</v>
      </c>
      <c r="B2362" s="14">
        <v>1996.0</v>
      </c>
      <c r="C2362" s="14" t="s">
        <v>3245</v>
      </c>
      <c r="D2362" s="14" t="s">
        <v>3246</v>
      </c>
      <c r="E2362" s="150" t="s">
        <v>3247</v>
      </c>
      <c r="F2362" s="14">
        <v>429.0</v>
      </c>
      <c r="G2362" s="14">
        <v>432.0</v>
      </c>
      <c r="H2362" s="151"/>
      <c r="I2362" s="14" t="s">
        <v>28</v>
      </c>
      <c r="J2362" s="14" t="s">
        <v>4984</v>
      </c>
      <c r="K2362" s="14" t="s">
        <v>40347</v>
      </c>
      <c r="L2362" s="152" t="s">
        <v>3249</v>
      </c>
      <c r="M2362" s="14" t="s">
        <v>40348</v>
      </c>
      <c r="N2362" s="54" t="s">
        <v>40349</v>
      </c>
      <c r="O2362" s="130"/>
      <c r="P2362" s="16"/>
      <c r="Q2362" s="14">
        <v>568149.0</v>
      </c>
      <c r="R2362" s="14"/>
      <c r="S2362" s="212"/>
      <c r="T2362" s="30"/>
      <c r="U2362" s="30"/>
      <c r="V2362" s="30"/>
      <c r="W2362" s="30"/>
      <c r="X2362" s="30"/>
      <c r="Y2362" s="30"/>
      <c r="Z2362" s="30"/>
      <c r="AA2362" s="30"/>
      <c r="AB2362" s="30"/>
      <c r="AC2362" s="30"/>
    </row>
    <row r="2363" ht="15.75" customHeight="1">
      <c r="A2363" s="14" t="s">
        <v>17</v>
      </c>
      <c r="B2363" s="14">
        <v>1996.0</v>
      </c>
      <c r="C2363" s="14" t="s">
        <v>3089</v>
      </c>
      <c r="D2363" s="14" t="s">
        <v>3090</v>
      </c>
      <c r="E2363" s="150" t="s">
        <v>3091</v>
      </c>
      <c r="F2363" s="14">
        <v>287.0</v>
      </c>
      <c r="G2363" s="14">
        <v>294.0</v>
      </c>
      <c r="H2363" s="151"/>
      <c r="I2363" s="14" t="s">
        <v>28</v>
      </c>
      <c r="J2363" s="14" t="s">
        <v>4733</v>
      </c>
      <c r="K2363" s="14" t="s">
        <v>40350</v>
      </c>
      <c r="L2363" s="152" t="s">
        <v>3093</v>
      </c>
      <c r="M2363" s="14" t="s">
        <v>40351</v>
      </c>
      <c r="N2363" s="54" t="s">
        <v>40352</v>
      </c>
      <c r="O2363" s="130" t="s">
        <v>3094</v>
      </c>
      <c r="P2363" s="16"/>
      <c r="Q2363" s="14">
        <v>568121.0</v>
      </c>
      <c r="R2363" s="14"/>
      <c r="S2363" s="212" t="s">
        <v>40353</v>
      </c>
      <c r="T2363" s="30"/>
      <c r="U2363" s="30"/>
      <c r="V2363" s="30"/>
      <c r="W2363" s="30"/>
      <c r="X2363" s="30"/>
      <c r="Y2363" s="30"/>
      <c r="Z2363" s="30"/>
      <c r="AA2363" s="30"/>
      <c r="AB2363" s="30"/>
      <c r="AC2363" s="30"/>
    </row>
    <row r="2364" ht="15.75" customHeight="1">
      <c r="A2364" s="14" t="s">
        <v>17</v>
      </c>
      <c r="B2364" s="14">
        <v>1996.0</v>
      </c>
      <c r="C2364" s="14" t="s">
        <v>3001</v>
      </c>
      <c r="D2364" s="14" t="s">
        <v>3002</v>
      </c>
      <c r="E2364" s="150" t="s">
        <v>3003</v>
      </c>
      <c r="F2364" s="14">
        <v>189.0</v>
      </c>
      <c r="G2364" s="14">
        <v>195.0</v>
      </c>
      <c r="H2364" s="151"/>
      <c r="I2364" s="14" t="s">
        <v>28</v>
      </c>
      <c r="J2364" s="14" t="s">
        <v>4552</v>
      </c>
      <c r="K2364" s="14" t="s">
        <v>40354</v>
      </c>
      <c r="L2364" s="152" t="s">
        <v>3008</v>
      </c>
      <c r="M2364" s="14" t="s">
        <v>40355</v>
      </c>
      <c r="N2364" s="54" t="s">
        <v>40354</v>
      </c>
      <c r="O2364" s="130" t="s">
        <v>3009</v>
      </c>
      <c r="P2364" s="153" t="s">
        <v>3010</v>
      </c>
      <c r="Q2364" s="14">
        <v>568105.0</v>
      </c>
      <c r="R2364" s="14"/>
      <c r="S2364" s="212" t="s">
        <v>40356</v>
      </c>
      <c r="T2364" s="30"/>
      <c r="U2364" s="30"/>
      <c r="V2364" s="30"/>
      <c r="W2364" s="30"/>
      <c r="X2364" s="30"/>
      <c r="Y2364" s="30"/>
      <c r="Z2364" s="30"/>
      <c r="AA2364" s="30"/>
      <c r="AB2364" s="30"/>
      <c r="AC2364" s="30"/>
    </row>
    <row r="2365" ht="15.75" customHeight="1">
      <c r="A2365" s="14" t="s">
        <v>17</v>
      </c>
      <c r="B2365" s="14">
        <v>1996.0</v>
      </c>
      <c r="C2365" s="14" t="s">
        <v>3279</v>
      </c>
      <c r="D2365" s="14" t="s">
        <v>3280</v>
      </c>
      <c r="E2365" s="150" t="s">
        <v>3281</v>
      </c>
      <c r="F2365" s="14">
        <v>451.0</v>
      </c>
      <c r="G2365" s="14">
        <v>453.0</v>
      </c>
      <c r="H2365" s="159" t="s">
        <v>30659</v>
      </c>
      <c r="I2365" s="14" t="s">
        <v>21</v>
      </c>
      <c r="J2365" s="14"/>
      <c r="K2365" s="14" t="s">
        <v>40358</v>
      </c>
      <c r="L2365" s="152" t="s">
        <v>3284</v>
      </c>
      <c r="M2365" s="14" t="s">
        <v>880</v>
      </c>
      <c r="N2365" s="54" t="s">
        <v>40359</v>
      </c>
      <c r="O2365" s="130"/>
      <c r="P2365" s="16"/>
      <c r="Q2365" s="14">
        <v>568165.0</v>
      </c>
      <c r="R2365" s="14"/>
      <c r="S2365" s="212"/>
      <c r="T2365" s="30"/>
      <c r="U2365" s="30"/>
      <c r="V2365" s="30"/>
      <c r="W2365" s="30"/>
      <c r="X2365" s="30"/>
      <c r="Y2365" s="30"/>
      <c r="Z2365" s="30"/>
      <c r="AA2365" s="30"/>
      <c r="AB2365" s="30"/>
      <c r="AC2365" s="30"/>
    </row>
    <row r="2366" ht="15.75" customHeight="1">
      <c r="A2366" s="14" t="s">
        <v>17</v>
      </c>
      <c r="B2366" s="14">
        <v>1996.0</v>
      </c>
      <c r="C2366" s="14" t="s">
        <v>3105</v>
      </c>
      <c r="D2366" s="14" t="s">
        <v>3106</v>
      </c>
      <c r="E2366" s="150" t="s">
        <v>3107</v>
      </c>
      <c r="F2366" s="14">
        <v>311.0</v>
      </c>
      <c r="G2366" s="14">
        <v>318.0</v>
      </c>
      <c r="H2366" s="151"/>
      <c r="I2366" s="14" t="s">
        <v>28</v>
      </c>
      <c r="J2366" s="14" t="s">
        <v>40360</v>
      </c>
      <c r="K2366" s="14" t="s">
        <v>40361</v>
      </c>
      <c r="L2366" s="152" t="s">
        <v>3109</v>
      </c>
      <c r="M2366" s="14" t="s">
        <v>40363</v>
      </c>
      <c r="N2366" s="54" t="s">
        <v>40361</v>
      </c>
      <c r="O2366" s="130" t="s">
        <v>1886</v>
      </c>
      <c r="P2366" s="153" t="s">
        <v>3110</v>
      </c>
      <c r="Q2366" s="14">
        <v>568124.0</v>
      </c>
      <c r="R2366" s="14"/>
      <c r="S2366" s="212">
        <v>346308.0</v>
      </c>
      <c r="T2366" s="30"/>
      <c r="U2366" s="30"/>
      <c r="V2366" s="30"/>
      <c r="W2366" s="30"/>
      <c r="X2366" s="30"/>
      <c r="Y2366" s="30"/>
      <c r="Z2366" s="30"/>
      <c r="AA2366" s="30"/>
      <c r="AB2366" s="30"/>
      <c r="AC2366" s="30"/>
    </row>
    <row r="2367" ht="15.75" customHeight="1">
      <c r="A2367" s="14" t="s">
        <v>17</v>
      </c>
      <c r="B2367" s="14">
        <v>1996.0</v>
      </c>
      <c r="C2367" s="14" t="s">
        <v>2928</v>
      </c>
      <c r="D2367" s="14" t="s">
        <v>2930</v>
      </c>
      <c r="E2367" s="150" t="s">
        <v>2931</v>
      </c>
      <c r="F2367" s="14">
        <v>121.0</v>
      </c>
      <c r="G2367" s="14">
        <v>126.0</v>
      </c>
      <c r="H2367" s="151"/>
      <c r="I2367" s="14" t="s">
        <v>28</v>
      </c>
      <c r="J2367" s="14" t="s">
        <v>4467</v>
      </c>
      <c r="K2367" s="14" t="s">
        <v>40365</v>
      </c>
      <c r="L2367" s="152" t="s">
        <v>2938</v>
      </c>
      <c r="M2367" s="14" t="s">
        <v>40366</v>
      </c>
      <c r="N2367" s="54" t="s">
        <v>40365</v>
      </c>
      <c r="O2367" s="130" t="s">
        <v>1926</v>
      </c>
      <c r="P2367" s="16"/>
      <c r="Q2367" s="14">
        <v>567784.0</v>
      </c>
      <c r="R2367" s="14"/>
      <c r="S2367" s="212">
        <v>346313.0</v>
      </c>
      <c r="T2367" s="30"/>
      <c r="U2367" s="30"/>
      <c r="V2367" s="30"/>
      <c r="W2367" s="30"/>
      <c r="X2367" s="30"/>
      <c r="Y2367" s="30"/>
      <c r="Z2367" s="30"/>
      <c r="AA2367" s="30"/>
      <c r="AB2367" s="30"/>
      <c r="AC2367" s="30"/>
    </row>
    <row r="2368" ht="15.75" customHeight="1">
      <c r="A2368" s="14" t="s">
        <v>17</v>
      </c>
      <c r="B2368" s="14">
        <v>1996.0</v>
      </c>
      <c r="C2368" s="14" t="s">
        <v>2959</v>
      </c>
      <c r="D2368" s="14" t="s">
        <v>2960</v>
      </c>
      <c r="E2368" s="150" t="s">
        <v>2961</v>
      </c>
      <c r="F2368" s="14">
        <v>141.0</v>
      </c>
      <c r="G2368" s="14">
        <v>148.0</v>
      </c>
      <c r="H2368" s="151"/>
      <c r="I2368" s="14" t="s">
        <v>28</v>
      </c>
      <c r="J2368" s="14" t="s">
        <v>4492</v>
      </c>
      <c r="K2368" s="14" t="s">
        <v>39919</v>
      </c>
      <c r="L2368" s="152" t="s">
        <v>2451</v>
      </c>
      <c r="M2368" s="14" t="s">
        <v>40368</v>
      </c>
      <c r="N2368" s="54" t="s">
        <v>39919</v>
      </c>
      <c r="O2368" s="130" t="s">
        <v>2962</v>
      </c>
      <c r="P2368" s="16"/>
      <c r="Q2368" s="14">
        <v>567800.0</v>
      </c>
      <c r="R2368" s="14"/>
      <c r="S2368" s="212" t="s">
        <v>40370</v>
      </c>
      <c r="T2368" s="30"/>
      <c r="U2368" s="30"/>
      <c r="V2368" s="30"/>
      <c r="W2368" s="30"/>
      <c r="X2368" s="30"/>
      <c r="Y2368" s="30"/>
      <c r="Z2368" s="30"/>
      <c r="AA2368" s="30"/>
      <c r="AB2368" s="30"/>
      <c r="AC2368" s="30"/>
    </row>
    <row r="2369" ht="15.75" customHeight="1">
      <c r="A2369" s="14" t="s">
        <v>17</v>
      </c>
      <c r="B2369" s="14">
        <v>1996.0</v>
      </c>
      <c r="C2369" s="14" t="s">
        <v>3121</v>
      </c>
      <c r="D2369" s="14" t="s">
        <v>3122</v>
      </c>
      <c r="E2369" s="150" t="s">
        <v>3123</v>
      </c>
      <c r="F2369" s="14">
        <v>335.0</v>
      </c>
      <c r="G2369" s="14">
        <v>342.0</v>
      </c>
      <c r="H2369" s="151"/>
      <c r="I2369" s="14" t="s">
        <v>28</v>
      </c>
      <c r="J2369" s="14" t="s">
        <v>4756</v>
      </c>
      <c r="K2369" s="14" t="s">
        <v>40372</v>
      </c>
      <c r="L2369" s="152" t="s">
        <v>3125</v>
      </c>
      <c r="M2369" s="14" t="s">
        <v>40373</v>
      </c>
      <c r="N2369" s="54" t="s">
        <v>40372</v>
      </c>
      <c r="O2369" s="130" t="s">
        <v>1886</v>
      </c>
      <c r="P2369" s="16"/>
      <c r="Q2369" s="14">
        <v>568127.0</v>
      </c>
      <c r="R2369" s="14"/>
      <c r="S2369" s="212">
        <v>346308.0</v>
      </c>
      <c r="T2369" s="30"/>
      <c r="U2369" s="30"/>
      <c r="V2369" s="30"/>
      <c r="W2369" s="30"/>
      <c r="X2369" s="30"/>
      <c r="Y2369" s="30"/>
      <c r="Z2369" s="30"/>
      <c r="AA2369" s="30"/>
      <c r="AB2369" s="30"/>
      <c r="AC2369" s="30"/>
    </row>
    <row r="2370" ht="15.75" customHeight="1">
      <c r="A2370" s="14" t="s">
        <v>17</v>
      </c>
      <c r="B2370" s="14">
        <v>1996.0</v>
      </c>
      <c r="C2370" s="14" t="s">
        <v>3029</v>
      </c>
      <c r="D2370" s="14" t="s">
        <v>3030</v>
      </c>
      <c r="E2370" s="150" t="s">
        <v>3032</v>
      </c>
      <c r="F2370" s="14">
        <v>219.0</v>
      </c>
      <c r="G2370" s="14">
        <v>225.0</v>
      </c>
      <c r="H2370" s="151"/>
      <c r="I2370" s="14" t="s">
        <v>28</v>
      </c>
      <c r="J2370" s="14" t="s">
        <v>4589</v>
      </c>
      <c r="K2370" s="14" t="s">
        <v>10135</v>
      </c>
      <c r="L2370" s="152" t="s">
        <v>3034</v>
      </c>
      <c r="M2370" s="14">
        <v>3.7282292E10</v>
      </c>
      <c r="N2370" s="54" t="s">
        <v>10135</v>
      </c>
      <c r="O2370" s="130" t="s">
        <v>3035</v>
      </c>
      <c r="P2370" s="16"/>
      <c r="Q2370" s="14">
        <v>568111.0</v>
      </c>
      <c r="R2370" s="14"/>
      <c r="S2370" s="212" t="s">
        <v>40375</v>
      </c>
      <c r="T2370" s="30"/>
      <c r="U2370" s="30"/>
      <c r="V2370" s="30"/>
      <c r="W2370" s="30"/>
      <c r="X2370" s="30"/>
      <c r="Y2370" s="30"/>
      <c r="Z2370" s="30"/>
      <c r="AA2370" s="30"/>
      <c r="AB2370" s="30"/>
      <c r="AC2370" s="30"/>
    </row>
    <row r="2371" ht="15.75" customHeight="1">
      <c r="A2371" s="14" t="s">
        <v>17</v>
      </c>
      <c r="B2371" s="14">
        <v>1996.0</v>
      </c>
      <c r="C2371" s="14" t="s">
        <v>3111</v>
      </c>
      <c r="D2371" s="14" t="s">
        <v>3112</v>
      </c>
      <c r="E2371" s="150" t="s">
        <v>3113</v>
      </c>
      <c r="F2371" s="14">
        <v>319.0</v>
      </c>
      <c r="G2371" s="14">
        <v>326.0</v>
      </c>
      <c r="H2371" s="151"/>
      <c r="I2371" s="14" t="s">
        <v>28</v>
      </c>
      <c r="J2371" s="14" t="s">
        <v>4750</v>
      </c>
      <c r="K2371" s="14" t="s">
        <v>40378</v>
      </c>
      <c r="L2371" s="152" t="s">
        <v>1337</v>
      </c>
      <c r="M2371" s="14" t="s">
        <v>40379</v>
      </c>
      <c r="N2371" s="54" t="s">
        <v>40378</v>
      </c>
      <c r="O2371" s="130"/>
      <c r="P2371" s="16"/>
      <c r="Q2371" s="14">
        <v>568125.0</v>
      </c>
      <c r="R2371" s="14"/>
      <c r="S2371" s="212"/>
      <c r="T2371" s="30"/>
      <c r="U2371" s="30"/>
      <c r="V2371" s="30"/>
      <c r="W2371" s="30"/>
      <c r="X2371" s="30"/>
      <c r="Y2371" s="30"/>
      <c r="Z2371" s="30"/>
      <c r="AA2371" s="30"/>
      <c r="AB2371" s="30"/>
      <c r="AC2371" s="30"/>
    </row>
    <row r="2372" ht="15.75" customHeight="1">
      <c r="A2372" s="14" t="s">
        <v>17</v>
      </c>
      <c r="B2372" s="14">
        <v>1996.0</v>
      </c>
      <c r="C2372" s="14" t="s">
        <v>2996</v>
      </c>
      <c r="D2372" s="14" t="s">
        <v>2997</v>
      </c>
      <c r="E2372" s="150" t="s">
        <v>2998</v>
      </c>
      <c r="F2372" s="14">
        <v>181.0</v>
      </c>
      <c r="G2372" s="14">
        <v>188.0</v>
      </c>
      <c r="H2372" s="151"/>
      <c r="I2372" s="14" t="s">
        <v>28</v>
      </c>
      <c r="J2372" s="14" t="s">
        <v>4543</v>
      </c>
      <c r="K2372" s="14" t="s">
        <v>40382</v>
      </c>
      <c r="L2372" s="152" t="s">
        <v>3000</v>
      </c>
      <c r="M2372" s="14" t="s">
        <v>40383</v>
      </c>
      <c r="N2372" s="54" t="s">
        <v>40382</v>
      </c>
      <c r="O2372" s="130" t="s">
        <v>2371</v>
      </c>
      <c r="P2372" s="16"/>
      <c r="Q2372" s="14">
        <v>568104.0</v>
      </c>
      <c r="R2372" s="14"/>
      <c r="S2372" s="212">
        <v>480802.0</v>
      </c>
      <c r="T2372" s="30"/>
      <c r="U2372" s="30"/>
      <c r="V2372" s="30"/>
      <c r="W2372" s="30"/>
      <c r="X2372" s="30"/>
      <c r="Y2372" s="30"/>
      <c r="Z2372" s="30"/>
      <c r="AA2372" s="30"/>
      <c r="AB2372" s="30"/>
      <c r="AC2372" s="30"/>
    </row>
    <row r="2373" ht="15.75" customHeight="1">
      <c r="A2373" s="14" t="s">
        <v>17</v>
      </c>
      <c r="B2373" s="14">
        <v>1996.0</v>
      </c>
      <c r="C2373" s="14" t="s">
        <v>2921</v>
      </c>
      <c r="D2373" s="14" t="s">
        <v>2922</v>
      </c>
      <c r="E2373" s="150" t="s">
        <v>2923</v>
      </c>
      <c r="F2373" s="14">
        <v>115.0</v>
      </c>
      <c r="G2373" s="14">
        <v>120.0</v>
      </c>
      <c r="H2373" s="151"/>
      <c r="I2373" s="14" t="s">
        <v>28</v>
      </c>
      <c r="J2373" s="14" t="s">
        <v>4456</v>
      </c>
      <c r="K2373" s="14" t="s">
        <v>7623</v>
      </c>
      <c r="L2373" s="152" t="s">
        <v>2925</v>
      </c>
      <c r="M2373" s="14">
        <v>3.78459786E10</v>
      </c>
      <c r="N2373" s="54" t="s">
        <v>7623</v>
      </c>
      <c r="O2373" s="130" t="s">
        <v>2926</v>
      </c>
      <c r="P2373" s="16"/>
      <c r="Q2373" s="14">
        <v>567780.0</v>
      </c>
      <c r="R2373" s="14"/>
      <c r="S2373" s="212" t="s">
        <v>40385</v>
      </c>
      <c r="T2373" s="30"/>
      <c r="U2373" s="30"/>
      <c r="V2373" s="30"/>
      <c r="W2373" s="30"/>
      <c r="X2373" s="30"/>
      <c r="Y2373" s="30"/>
      <c r="Z2373" s="30"/>
      <c r="AA2373" s="30"/>
      <c r="AB2373" s="30"/>
      <c r="AC2373" s="30"/>
    </row>
    <row r="2374" ht="15.75" customHeight="1">
      <c r="A2374" s="14" t="s">
        <v>17</v>
      </c>
      <c r="B2374" s="14">
        <v>1996.0</v>
      </c>
      <c r="C2374" s="14" t="s">
        <v>3265</v>
      </c>
      <c r="D2374" s="14" t="s">
        <v>3266</v>
      </c>
      <c r="E2374" s="150" t="s">
        <v>3267</v>
      </c>
      <c r="F2374" s="14">
        <v>445.0</v>
      </c>
      <c r="G2374" s="14">
        <v>447.0</v>
      </c>
      <c r="H2374" s="159" t="s">
        <v>30659</v>
      </c>
      <c r="I2374" s="14" t="s">
        <v>21</v>
      </c>
      <c r="J2374" s="14"/>
      <c r="K2374" s="14" t="s">
        <v>40386</v>
      </c>
      <c r="L2374" s="152" t="s">
        <v>3269</v>
      </c>
      <c r="M2374" s="14" t="s">
        <v>40387</v>
      </c>
      <c r="N2374" s="54" t="s">
        <v>40386</v>
      </c>
      <c r="O2374" s="130"/>
      <c r="P2374" s="16"/>
      <c r="Q2374" s="14">
        <v>568160.0</v>
      </c>
      <c r="R2374" s="14"/>
      <c r="S2374" s="212"/>
      <c r="T2374" s="30"/>
      <c r="U2374" s="30"/>
      <c r="V2374" s="30"/>
      <c r="W2374" s="30"/>
      <c r="X2374" s="30"/>
      <c r="Y2374" s="30"/>
      <c r="Z2374" s="30"/>
      <c r="AA2374" s="30"/>
      <c r="AB2374" s="30"/>
      <c r="AC2374" s="30"/>
    </row>
    <row r="2375" ht="15.75" customHeight="1">
      <c r="A2375" s="14" t="s">
        <v>17</v>
      </c>
      <c r="B2375" s="14">
        <v>1996.0</v>
      </c>
      <c r="C2375" s="14" t="s">
        <v>3043</v>
      </c>
      <c r="D2375" s="14" t="s">
        <v>3044</v>
      </c>
      <c r="E2375" s="150" t="s">
        <v>3045</v>
      </c>
      <c r="F2375" s="14">
        <v>235.0</v>
      </c>
      <c r="G2375" s="14">
        <v>240.0</v>
      </c>
      <c r="H2375" s="151"/>
      <c r="I2375" s="14" t="s">
        <v>28</v>
      </c>
      <c r="J2375" s="14" t="s">
        <v>4612</v>
      </c>
      <c r="K2375" s="14" t="s">
        <v>40389</v>
      </c>
      <c r="L2375" s="152" t="s">
        <v>3047</v>
      </c>
      <c r="M2375" s="14" t="s">
        <v>40390</v>
      </c>
      <c r="N2375" s="54" t="s">
        <v>40389</v>
      </c>
      <c r="O2375" s="130" t="s">
        <v>3048</v>
      </c>
      <c r="P2375" s="153" t="s">
        <v>3049</v>
      </c>
      <c r="Q2375" s="14">
        <v>568114.0</v>
      </c>
      <c r="R2375" s="14"/>
      <c r="S2375" s="212" t="s">
        <v>40391</v>
      </c>
      <c r="T2375" s="30"/>
      <c r="U2375" s="30"/>
      <c r="V2375" s="30"/>
      <c r="W2375" s="30"/>
      <c r="X2375" s="30"/>
      <c r="Y2375" s="30"/>
      <c r="Z2375" s="30"/>
      <c r="AA2375" s="30"/>
      <c r="AB2375" s="30"/>
      <c r="AC2375" s="30"/>
    </row>
    <row r="2376" ht="15.75" customHeight="1">
      <c r="A2376" s="14" t="s">
        <v>17</v>
      </c>
      <c r="B2376" s="14">
        <v>1996.0</v>
      </c>
      <c r="C2376" s="14" t="s">
        <v>3078</v>
      </c>
      <c r="D2376" s="14" t="s">
        <v>3079</v>
      </c>
      <c r="E2376" s="150" t="s">
        <v>3080</v>
      </c>
      <c r="F2376" s="14">
        <v>271.0</v>
      </c>
      <c r="G2376" s="14">
        <v>277.0</v>
      </c>
      <c r="H2376" s="151"/>
      <c r="I2376" s="14" t="s">
        <v>28</v>
      </c>
      <c r="J2376" s="14" t="s">
        <v>4727</v>
      </c>
      <c r="K2376" s="14" t="s">
        <v>40394</v>
      </c>
      <c r="L2376" s="152" t="s">
        <v>2525</v>
      </c>
      <c r="M2376" s="14">
        <v>3.72842739E10</v>
      </c>
      <c r="N2376" s="54" t="s">
        <v>7060</v>
      </c>
      <c r="O2376" s="130" t="s">
        <v>3082</v>
      </c>
      <c r="P2376" s="153" t="s">
        <v>3083</v>
      </c>
      <c r="Q2376" s="14">
        <v>568119.0</v>
      </c>
      <c r="R2376" s="14"/>
      <c r="S2376" s="212" t="s">
        <v>40395</v>
      </c>
      <c r="T2376" s="30"/>
      <c r="U2376" s="30"/>
      <c r="V2376" s="30"/>
      <c r="W2376" s="30"/>
      <c r="X2376" s="30"/>
      <c r="Y2376" s="30"/>
      <c r="Z2376" s="30"/>
      <c r="AA2376" s="30"/>
      <c r="AB2376" s="30"/>
      <c r="AC2376" s="30"/>
    </row>
    <row r="2377" ht="15.75" customHeight="1">
      <c r="A2377" s="14" t="s">
        <v>17</v>
      </c>
      <c r="B2377" s="14">
        <v>1996.0</v>
      </c>
      <c r="C2377" s="14" t="s">
        <v>3137</v>
      </c>
      <c r="D2377" s="14" t="s">
        <v>3138</v>
      </c>
      <c r="E2377" s="150" t="s">
        <v>3139</v>
      </c>
      <c r="F2377" s="14">
        <v>355.0</v>
      </c>
      <c r="G2377" s="14">
        <v>357.0</v>
      </c>
      <c r="H2377" s="151"/>
      <c r="I2377" s="14" t="s">
        <v>28</v>
      </c>
      <c r="J2377" s="14" t="s">
        <v>4782</v>
      </c>
      <c r="K2377" s="14" t="s">
        <v>10694</v>
      </c>
      <c r="L2377" s="152"/>
      <c r="M2377" s="14">
        <v>3.78604817E10</v>
      </c>
      <c r="N2377" s="54" t="s">
        <v>10694</v>
      </c>
      <c r="O2377" s="130"/>
      <c r="P2377" s="16"/>
      <c r="Q2377" s="14">
        <v>568130.0</v>
      </c>
      <c r="R2377" s="14"/>
      <c r="S2377" s="212"/>
      <c r="T2377" s="30"/>
      <c r="U2377" s="30"/>
      <c r="V2377" s="30"/>
      <c r="W2377" s="30"/>
      <c r="X2377" s="30"/>
      <c r="Y2377" s="30"/>
      <c r="Z2377" s="30"/>
      <c r="AA2377" s="30"/>
      <c r="AB2377" s="30"/>
      <c r="AC2377" s="30"/>
    </row>
    <row r="2378" ht="15.75" customHeight="1">
      <c r="A2378" s="14" t="s">
        <v>17</v>
      </c>
      <c r="B2378" s="14">
        <v>1996.0</v>
      </c>
      <c r="C2378" s="14" t="s">
        <v>3258</v>
      </c>
      <c r="D2378" s="14" t="s">
        <v>3259</v>
      </c>
      <c r="E2378" s="150" t="s">
        <v>3260</v>
      </c>
      <c r="F2378" s="14">
        <v>439.0</v>
      </c>
      <c r="G2378" s="14">
        <v>440.0</v>
      </c>
      <c r="H2378" s="159" t="s">
        <v>30659</v>
      </c>
      <c r="I2378" s="14" t="s">
        <v>21</v>
      </c>
      <c r="J2378" s="14"/>
      <c r="K2378" s="14" t="s">
        <v>40399</v>
      </c>
      <c r="L2378" s="152" t="s">
        <v>3264</v>
      </c>
      <c r="M2378" s="14" t="s">
        <v>860</v>
      </c>
      <c r="N2378" s="54" t="s">
        <v>40400</v>
      </c>
      <c r="O2378" s="130"/>
      <c r="P2378" s="16"/>
      <c r="Q2378" s="14">
        <v>568151.0</v>
      </c>
      <c r="R2378" s="14"/>
      <c r="S2378" s="212"/>
      <c r="T2378" s="30"/>
      <c r="U2378" s="30"/>
      <c r="V2378" s="30"/>
      <c r="W2378" s="30"/>
      <c r="X2378" s="30"/>
      <c r="Y2378" s="30"/>
      <c r="Z2378" s="30"/>
      <c r="AA2378" s="30"/>
      <c r="AB2378" s="30"/>
      <c r="AC2378" s="30"/>
    </row>
    <row r="2379" ht="15.75" customHeight="1">
      <c r="A2379" s="14" t="s">
        <v>17</v>
      </c>
      <c r="B2379" s="14">
        <v>1996.0</v>
      </c>
      <c r="C2379" s="14" t="s">
        <v>2853</v>
      </c>
      <c r="D2379" s="14" t="s">
        <v>2854</v>
      </c>
      <c r="E2379" s="150" t="s">
        <v>2855</v>
      </c>
      <c r="F2379" s="14">
        <v>37.0</v>
      </c>
      <c r="G2379" s="14">
        <v>42.0</v>
      </c>
      <c r="H2379" s="151"/>
      <c r="I2379" s="14" t="s">
        <v>28</v>
      </c>
      <c r="J2379" s="14" t="s">
        <v>4334</v>
      </c>
      <c r="K2379" s="14" t="s">
        <v>40401</v>
      </c>
      <c r="L2379" s="152" t="s">
        <v>2857</v>
      </c>
      <c r="M2379" s="14" t="s">
        <v>40402</v>
      </c>
      <c r="N2379" s="54" t="s">
        <v>40401</v>
      </c>
      <c r="O2379" s="130"/>
      <c r="P2379" s="16"/>
      <c r="Q2379" s="14">
        <v>567600.0</v>
      </c>
      <c r="R2379" s="14"/>
      <c r="S2379" s="212"/>
      <c r="T2379" s="30"/>
      <c r="U2379" s="30"/>
      <c r="V2379" s="30"/>
      <c r="W2379" s="30"/>
      <c r="X2379" s="30"/>
      <c r="Y2379" s="30"/>
      <c r="Z2379" s="30"/>
      <c r="AA2379" s="30"/>
      <c r="AB2379" s="30"/>
      <c r="AC2379" s="30"/>
    </row>
    <row r="2380" ht="15.75" customHeight="1">
      <c r="A2380" s="14" t="s">
        <v>17</v>
      </c>
      <c r="B2380" s="14">
        <v>1996.0</v>
      </c>
      <c r="C2380" s="14" t="s">
        <v>3215</v>
      </c>
      <c r="D2380" s="14" t="s">
        <v>3216</v>
      </c>
      <c r="E2380" s="150" t="s">
        <v>3217</v>
      </c>
      <c r="F2380" s="14">
        <v>413.0</v>
      </c>
      <c r="G2380" s="14">
        <v>416.0</v>
      </c>
      <c r="H2380" s="151"/>
      <c r="I2380" s="14" t="s">
        <v>28</v>
      </c>
      <c r="J2380" s="14" t="s">
        <v>4943</v>
      </c>
      <c r="K2380" s="14" t="s">
        <v>40405</v>
      </c>
      <c r="L2380" s="152" t="s">
        <v>3219</v>
      </c>
      <c r="M2380" s="14" t="s">
        <v>40406</v>
      </c>
      <c r="N2380" s="54" t="s">
        <v>40405</v>
      </c>
      <c r="O2380" s="130"/>
      <c r="P2380" s="16"/>
      <c r="Q2380" s="14">
        <v>568145.0</v>
      </c>
      <c r="R2380" s="14"/>
      <c r="S2380" s="212"/>
      <c r="T2380" s="30"/>
      <c r="U2380" s="30"/>
      <c r="V2380" s="30"/>
      <c r="W2380" s="30"/>
      <c r="X2380" s="30"/>
      <c r="Y2380" s="30"/>
      <c r="Z2380" s="30"/>
      <c r="AA2380" s="30"/>
      <c r="AB2380" s="30"/>
      <c r="AC2380" s="30"/>
    </row>
    <row r="2381" ht="15.75" customHeight="1">
      <c r="A2381" s="14" t="s">
        <v>17</v>
      </c>
      <c r="B2381" s="50">
        <v>1996.0</v>
      </c>
      <c r="C2381" s="14" t="s">
        <v>2899</v>
      </c>
      <c r="D2381" s="67" t="s">
        <v>2900</v>
      </c>
      <c r="E2381" s="194" t="s">
        <v>2901</v>
      </c>
      <c r="F2381" s="50">
        <v>93.0</v>
      </c>
      <c r="G2381" s="50">
        <v>100.0</v>
      </c>
      <c r="H2381" s="151"/>
      <c r="I2381" s="14" t="s">
        <v>28</v>
      </c>
      <c r="J2381" s="14" t="s">
        <v>40408</v>
      </c>
      <c r="K2381" s="14" t="s">
        <v>40409</v>
      </c>
      <c r="L2381" s="152"/>
      <c r="M2381" s="14"/>
      <c r="N2381" s="54" t="s">
        <v>40410</v>
      </c>
      <c r="O2381" s="130" t="s">
        <v>2905</v>
      </c>
      <c r="P2381" s="54"/>
      <c r="Q2381" s="14" t="s">
        <v>39192</v>
      </c>
      <c r="R2381" s="14" t="s">
        <v>18275</v>
      </c>
      <c r="S2381" s="212" t="s">
        <v>40411</v>
      </c>
      <c r="T2381" s="30"/>
      <c r="U2381" s="30"/>
      <c r="V2381" s="30"/>
      <c r="W2381" s="30"/>
      <c r="X2381" s="30"/>
      <c r="Y2381" s="30"/>
      <c r="Z2381" s="30"/>
      <c r="AA2381" s="30"/>
      <c r="AB2381" s="30"/>
      <c r="AC2381" s="30"/>
    </row>
    <row r="2382" ht="15.75" customHeight="1">
      <c r="A2382" s="14" t="s">
        <v>17</v>
      </c>
      <c r="B2382" s="50">
        <v>1996.0</v>
      </c>
      <c r="C2382" s="14" t="s">
        <v>3146</v>
      </c>
      <c r="D2382" s="67" t="s">
        <v>3147</v>
      </c>
      <c r="E2382" s="194" t="s">
        <v>3148</v>
      </c>
      <c r="F2382" s="50">
        <v>363.0</v>
      </c>
      <c r="G2382" s="50">
        <v>366.0</v>
      </c>
      <c r="H2382" s="151"/>
      <c r="I2382" s="14" t="s">
        <v>28</v>
      </c>
      <c r="J2382" s="14" t="s">
        <v>4804</v>
      </c>
      <c r="K2382" s="78" t="s">
        <v>40412</v>
      </c>
      <c r="L2382" s="152"/>
      <c r="M2382" s="54" t="s">
        <v>40413</v>
      </c>
      <c r="N2382" s="54" t="s">
        <v>40414</v>
      </c>
      <c r="O2382" s="130" t="s">
        <v>2115</v>
      </c>
      <c r="P2382" s="54"/>
      <c r="Q2382" s="14">
        <v>568133.0</v>
      </c>
      <c r="R2382" s="14" t="s">
        <v>18275</v>
      </c>
      <c r="S2382" s="212">
        <v>346340.0</v>
      </c>
      <c r="T2382" s="30"/>
      <c r="U2382" s="30"/>
      <c r="V2382" s="30"/>
      <c r="W2382" s="30"/>
      <c r="X2382" s="30"/>
      <c r="Y2382" s="30"/>
      <c r="Z2382" s="30"/>
      <c r="AA2382" s="30"/>
      <c r="AB2382" s="30"/>
      <c r="AC2382" s="30"/>
    </row>
    <row r="2383" ht="15.75" customHeight="1">
      <c r="A2383" s="14" t="s">
        <v>17</v>
      </c>
      <c r="B2383" s="14">
        <v>1996.0</v>
      </c>
      <c r="C2383" s="14" t="s">
        <v>3068</v>
      </c>
      <c r="D2383" s="14" t="s">
        <v>3069</v>
      </c>
      <c r="E2383" s="150" t="s">
        <v>3070</v>
      </c>
      <c r="F2383" s="14">
        <v>255.0</v>
      </c>
      <c r="G2383" s="14">
        <v>261.0</v>
      </c>
      <c r="H2383" s="151"/>
      <c r="I2383" s="14" t="s">
        <v>28</v>
      </c>
      <c r="J2383" s="14" t="s">
        <v>4722</v>
      </c>
      <c r="K2383" s="14" t="s">
        <v>40417</v>
      </c>
      <c r="L2383" s="152" t="s">
        <v>477</v>
      </c>
      <c r="M2383" s="14" t="s">
        <v>40418</v>
      </c>
      <c r="N2383" s="54" t="s">
        <v>40417</v>
      </c>
      <c r="O2383" s="130" t="s">
        <v>2606</v>
      </c>
      <c r="P2383" s="16"/>
      <c r="Q2383" s="14">
        <v>568117.0</v>
      </c>
      <c r="R2383" s="14"/>
      <c r="S2383" s="212">
        <v>485145.0</v>
      </c>
      <c r="T2383" s="30"/>
      <c r="U2383" s="30"/>
      <c r="V2383" s="30"/>
      <c r="W2383" s="30"/>
      <c r="X2383" s="30"/>
      <c r="Y2383" s="30"/>
      <c r="Z2383" s="30"/>
      <c r="AA2383" s="30"/>
      <c r="AB2383" s="30"/>
      <c r="AC2383" s="30"/>
    </row>
    <row r="2384" ht="15.75" customHeight="1">
      <c r="A2384" s="14" t="s">
        <v>17</v>
      </c>
      <c r="B2384" s="50">
        <v>1996.0</v>
      </c>
      <c r="C2384" s="78" t="s">
        <v>3095</v>
      </c>
      <c r="D2384" s="67" t="s">
        <v>3096</v>
      </c>
      <c r="E2384" s="194" t="s">
        <v>3097</v>
      </c>
      <c r="F2384" s="50">
        <v>295.0</v>
      </c>
      <c r="G2384" s="50">
        <v>302.0</v>
      </c>
      <c r="H2384" s="151"/>
      <c r="I2384" s="14" t="s">
        <v>28</v>
      </c>
      <c r="J2384" s="14" t="s">
        <v>40420</v>
      </c>
      <c r="K2384" s="14" t="s">
        <v>40421</v>
      </c>
      <c r="L2384" s="152" t="s">
        <v>3099</v>
      </c>
      <c r="M2384" s="14"/>
      <c r="N2384" s="54" t="s">
        <v>40421</v>
      </c>
      <c r="O2384" s="130"/>
      <c r="P2384" s="54"/>
      <c r="Q2384" s="14">
        <v>568122.0</v>
      </c>
      <c r="R2384" s="14" t="s">
        <v>18275</v>
      </c>
      <c r="S2384" s="212"/>
      <c r="T2384" s="30"/>
      <c r="U2384" s="30"/>
      <c r="V2384" s="30"/>
      <c r="W2384" s="30"/>
      <c r="X2384" s="30"/>
      <c r="Y2384" s="30"/>
      <c r="Z2384" s="30"/>
      <c r="AA2384" s="30"/>
      <c r="AB2384" s="30"/>
      <c r="AC2384" s="30"/>
    </row>
    <row r="2385" ht="15.75" customHeight="1">
      <c r="A2385" s="14" t="s">
        <v>17</v>
      </c>
      <c r="B2385" s="14">
        <v>1996.0</v>
      </c>
      <c r="C2385" s="14" t="s">
        <v>3016</v>
      </c>
      <c r="D2385" s="14" t="s">
        <v>3017</v>
      </c>
      <c r="E2385" s="150" t="s">
        <v>3018</v>
      </c>
      <c r="F2385" s="14">
        <v>205.0</v>
      </c>
      <c r="G2385" s="14">
        <v>210.0</v>
      </c>
      <c r="H2385" s="151"/>
      <c r="I2385" s="14" t="s">
        <v>28</v>
      </c>
      <c r="J2385" s="14" t="s">
        <v>4574</v>
      </c>
      <c r="K2385" s="14" t="s">
        <v>40424</v>
      </c>
      <c r="L2385" s="152" t="s">
        <v>3022</v>
      </c>
      <c r="M2385" s="14" t="s">
        <v>40425</v>
      </c>
      <c r="N2385" s="54" t="s">
        <v>40426</v>
      </c>
      <c r="O2385" s="130" t="s">
        <v>2565</v>
      </c>
      <c r="P2385" s="16"/>
      <c r="Q2385" s="14">
        <v>568109.0</v>
      </c>
      <c r="R2385" s="14"/>
      <c r="S2385" s="212">
        <v>485141.0</v>
      </c>
      <c r="T2385" s="30"/>
      <c r="U2385" s="30"/>
      <c r="V2385" s="30"/>
      <c r="W2385" s="30"/>
      <c r="X2385" s="30"/>
      <c r="Y2385" s="30"/>
      <c r="Z2385" s="30"/>
      <c r="AA2385" s="30"/>
      <c r="AB2385" s="30"/>
      <c r="AC2385" s="30"/>
    </row>
    <row r="2386" ht="15.75" customHeight="1">
      <c r="A2386" s="14" t="s">
        <v>17</v>
      </c>
      <c r="B2386" s="14">
        <v>1996.0</v>
      </c>
      <c r="C2386" s="14" t="s">
        <v>3059</v>
      </c>
      <c r="D2386" s="14" t="s">
        <v>3060</v>
      </c>
      <c r="E2386" s="150" t="s">
        <v>3061</v>
      </c>
      <c r="F2386" s="14">
        <v>249.0</v>
      </c>
      <c r="G2386" s="14">
        <v>254.0</v>
      </c>
      <c r="H2386" s="151"/>
      <c r="I2386" s="14" t="s">
        <v>28</v>
      </c>
      <c r="J2386" s="14" t="s">
        <v>4719</v>
      </c>
      <c r="K2386" s="14" t="s">
        <v>40430</v>
      </c>
      <c r="L2386" s="152" t="s">
        <v>3065</v>
      </c>
      <c r="M2386" s="14" t="s">
        <v>40431</v>
      </c>
      <c r="N2386" s="54" t="s">
        <v>40430</v>
      </c>
      <c r="O2386" s="130" t="s">
        <v>3066</v>
      </c>
      <c r="P2386" s="153" t="s">
        <v>3067</v>
      </c>
      <c r="Q2386" s="14">
        <v>568116.0</v>
      </c>
      <c r="R2386" s="14"/>
      <c r="S2386" s="212" t="s">
        <v>40432</v>
      </c>
      <c r="T2386" s="30"/>
      <c r="U2386" s="30"/>
      <c r="V2386" s="30"/>
      <c r="W2386" s="30"/>
      <c r="X2386" s="30"/>
      <c r="Y2386" s="30"/>
      <c r="Z2386" s="30"/>
      <c r="AA2386" s="30"/>
      <c r="AB2386" s="30"/>
      <c r="AC2386" s="30"/>
    </row>
    <row r="2387" ht="15.75" customHeight="1">
      <c r="A2387" s="14" t="s">
        <v>17</v>
      </c>
      <c r="B2387" s="50">
        <v>1996.0</v>
      </c>
      <c r="C2387" s="14" t="s">
        <v>3084</v>
      </c>
      <c r="D2387" s="67" t="s">
        <v>3085</v>
      </c>
      <c r="E2387" s="194" t="s">
        <v>3086</v>
      </c>
      <c r="F2387" s="50">
        <v>279.0</v>
      </c>
      <c r="G2387" s="50">
        <v>286.0</v>
      </c>
      <c r="H2387" s="151"/>
      <c r="I2387" s="14" t="s">
        <v>28</v>
      </c>
      <c r="J2387" s="14" t="s">
        <v>40436</v>
      </c>
      <c r="K2387" s="14" t="s">
        <v>40437</v>
      </c>
      <c r="L2387" s="162" t="s">
        <v>3088</v>
      </c>
      <c r="M2387" s="14"/>
      <c r="N2387" s="54" t="s">
        <v>40438</v>
      </c>
      <c r="O2387" s="130"/>
      <c r="P2387" s="54"/>
      <c r="Q2387" s="14">
        <v>568120.0</v>
      </c>
      <c r="R2387" s="14" t="s">
        <v>18275</v>
      </c>
      <c r="S2387" s="212"/>
      <c r="T2387" s="30"/>
      <c r="U2387" s="30"/>
      <c r="V2387" s="30"/>
      <c r="W2387" s="30"/>
      <c r="X2387" s="30"/>
      <c r="Y2387" s="30"/>
      <c r="Z2387" s="30"/>
      <c r="AA2387" s="30"/>
      <c r="AB2387" s="30"/>
      <c r="AC2387" s="30"/>
    </row>
    <row r="2388" ht="15.75" customHeight="1">
      <c r="A2388" s="14" t="s">
        <v>17</v>
      </c>
      <c r="B2388" s="14">
        <v>1996.0</v>
      </c>
      <c r="C2388" s="14" t="s">
        <v>3141</v>
      </c>
      <c r="D2388" s="14" t="s">
        <v>3142</v>
      </c>
      <c r="E2388" s="150" t="s">
        <v>3143</v>
      </c>
      <c r="F2388" s="14">
        <v>359.0</v>
      </c>
      <c r="G2388" s="14">
        <v>362.0</v>
      </c>
      <c r="H2388" s="151"/>
      <c r="I2388" s="14" t="s">
        <v>28</v>
      </c>
      <c r="J2388" s="14" t="s">
        <v>4795</v>
      </c>
      <c r="K2388" s="14" t="s">
        <v>40441</v>
      </c>
      <c r="L2388" s="152" t="s">
        <v>3145</v>
      </c>
      <c r="M2388" s="14" t="s">
        <v>40442</v>
      </c>
      <c r="N2388" s="54" t="s">
        <v>40441</v>
      </c>
      <c r="O2388" s="130"/>
      <c r="P2388" s="16"/>
      <c r="Q2388" s="14">
        <v>568132.0</v>
      </c>
      <c r="R2388" s="14"/>
      <c r="S2388" s="212"/>
      <c r="T2388" s="30"/>
      <c r="U2388" s="30"/>
      <c r="V2388" s="30"/>
      <c r="W2388" s="30"/>
      <c r="X2388" s="30"/>
      <c r="Y2388" s="30"/>
      <c r="Z2388" s="30"/>
      <c r="AA2388" s="30"/>
      <c r="AB2388" s="30"/>
      <c r="AC2388" s="30"/>
    </row>
    <row r="2389" ht="15.75" customHeight="1">
      <c r="A2389" s="14" t="s">
        <v>17</v>
      </c>
      <c r="B2389" s="14">
        <v>1996.0</v>
      </c>
      <c r="C2389" s="14" t="s">
        <v>3126</v>
      </c>
      <c r="D2389" s="14" t="s">
        <v>3127</v>
      </c>
      <c r="E2389" s="150" t="s">
        <v>3128</v>
      </c>
      <c r="F2389" s="14">
        <v>345.0</v>
      </c>
      <c r="G2389" s="14">
        <v>349.0</v>
      </c>
      <c r="H2389" s="151"/>
      <c r="I2389" s="14" t="s">
        <v>28</v>
      </c>
      <c r="J2389" s="14" t="s">
        <v>4765</v>
      </c>
      <c r="K2389" s="14" t="s">
        <v>40444</v>
      </c>
      <c r="L2389" s="152" t="s">
        <v>3130</v>
      </c>
      <c r="M2389" s="14" t="s">
        <v>40445</v>
      </c>
      <c r="N2389" s="54" t="s">
        <v>40446</v>
      </c>
      <c r="O2389" s="130" t="s">
        <v>470</v>
      </c>
      <c r="P2389" s="16"/>
      <c r="Q2389" s="14">
        <v>568128.0</v>
      </c>
      <c r="R2389" s="14"/>
      <c r="S2389" s="212">
        <v>175771.0</v>
      </c>
      <c r="T2389" s="30"/>
      <c r="U2389" s="30"/>
      <c r="V2389" s="30"/>
      <c r="W2389" s="30"/>
      <c r="X2389" s="30"/>
      <c r="Y2389" s="30"/>
      <c r="Z2389" s="30"/>
      <c r="AA2389" s="30"/>
      <c r="AB2389" s="30"/>
      <c r="AC2389" s="30"/>
    </row>
    <row r="2390" ht="15.75" customHeight="1">
      <c r="A2390" s="14" t="s">
        <v>17</v>
      </c>
      <c r="B2390" s="50">
        <v>1996.0</v>
      </c>
      <c r="C2390" s="14" t="s">
        <v>2907</v>
      </c>
      <c r="D2390" s="67" t="s">
        <v>2908</v>
      </c>
      <c r="E2390" s="194" t="s">
        <v>2909</v>
      </c>
      <c r="F2390" s="50">
        <v>101.0</v>
      </c>
      <c r="G2390" s="50">
        <v>106.0</v>
      </c>
      <c r="H2390" s="151"/>
      <c r="I2390" s="14" t="s">
        <v>28</v>
      </c>
      <c r="J2390" s="14" t="s">
        <v>40449</v>
      </c>
      <c r="K2390" s="14" t="s">
        <v>40450</v>
      </c>
      <c r="L2390" s="152" t="s">
        <v>2913</v>
      </c>
      <c r="M2390" s="14"/>
      <c r="N2390" s="54" t="s">
        <v>6198</v>
      </c>
      <c r="O2390" s="130"/>
      <c r="P2390" s="54"/>
      <c r="Q2390" s="14" t="s">
        <v>39912</v>
      </c>
      <c r="R2390" s="14" t="s">
        <v>18275</v>
      </c>
      <c r="S2390" s="212"/>
      <c r="T2390" s="30"/>
      <c r="U2390" s="30"/>
      <c r="V2390" s="30"/>
      <c r="W2390" s="30"/>
      <c r="X2390" s="30"/>
      <c r="Y2390" s="30"/>
      <c r="Z2390" s="30"/>
      <c r="AA2390" s="30"/>
      <c r="AB2390" s="30"/>
      <c r="AC2390" s="30"/>
    </row>
    <row r="2391" ht="15.75" customHeight="1">
      <c r="A2391" s="14" t="s">
        <v>17</v>
      </c>
      <c r="B2391" s="14">
        <v>1996.0</v>
      </c>
      <c r="C2391" s="14" t="s">
        <v>3220</v>
      </c>
      <c r="D2391" s="14" t="s">
        <v>3222</v>
      </c>
      <c r="E2391" s="150" t="s">
        <v>3223</v>
      </c>
      <c r="F2391" s="14">
        <v>417.0</v>
      </c>
      <c r="G2391" s="14">
        <v>420.0</v>
      </c>
      <c r="H2391" s="151"/>
      <c r="I2391" s="14" t="s">
        <v>28</v>
      </c>
      <c r="J2391" s="14" t="s">
        <v>4953</v>
      </c>
      <c r="K2391" s="14" t="s">
        <v>40452</v>
      </c>
      <c r="L2391" s="152" t="s">
        <v>3227</v>
      </c>
      <c r="M2391" s="14" t="s">
        <v>40453</v>
      </c>
      <c r="N2391" s="54" t="s">
        <v>40452</v>
      </c>
      <c r="O2391" s="130" t="s">
        <v>2565</v>
      </c>
      <c r="P2391" s="16"/>
      <c r="Q2391" s="14">
        <v>568146.0</v>
      </c>
      <c r="R2391" s="14"/>
      <c r="S2391" s="212">
        <v>485141.0</v>
      </c>
      <c r="T2391" s="30"/>
      <c r="U2391" s="30"/>
      <c r="V2391" s="30"/>
      <c r="W2391" s="30"/>
      <c r="X2391" s="30"/>
      <c r="Y2391" s="30"/>
      <c r="Z2391" s="30"/>
      <c r="AA2391" s="30"/>
      <c r="AB2391" s="30"/>
      <c r="AC2391" s="30"/>
    </row>
    <row r="2392" ht="15.75" customHeight="1">
      <c r="A2392" s="14" t="s">
        <v>17</v>
      </c>
      <c r="B2392" s="14">
        <v>1996.0</v>
      </c>
      <c r="C2392" s="14" t="s">
        <v>2885</v>
      </c>
      <c r="D2392" s="14" t="s">
        <v>2886</v>
      </c>
      <c r="E2392" s="150" t="s">
        <v>2887</v>
      </c>
      <c r="F2392" s="14">
        <v>81.0</v>
      </c>
      <c r="G2392" s="14">
        <v>86.0</v>
      </c>
      <c r="H2392" s="151"/>
      <c r="I2392" s="14" t="s">
        <v>28</v>
      </c>
      <c r="J2392" s="14" t="s">
        <v>4398</v>
      </c>
      <c r="K2392" s="14" t="s">
        <v>40455</v>
      </c>
      <c r="L2392" s="152" t="s">
        <v>2889</v>
      </c>
      <c r="M2392" s="14" t="s">
        <v>40456</v>
      </c>
      <c r="N2392" s="54" t="s">
        <v>40455</v>
      </c>
      <c r="O2392" s="130" t="s">
        <v>2130</v>
      </c>
      <c r="P2392" s="16"/>
      <c r="Q2392" s="14">
        <v>567610.0</v>
      </c>
      <c r="R2392" s="14"/>
      <c r="S2392" s="212">
        <v>346342.0</v>
      </c>
      <c r="T2392" s="30"/>
      <c r="U2392" s="30"/>
      <c r="V2392" s="30"/>
      <c r="W2392" s="30"/>
      <c r="X2392" s="30"/>
      <c r="Y2392" s="30"/>
      <c r="Z2392" s="30"/>
      <c r="AA2392" s="30"/>
      <c r="AB2392" s="30"/>
      <c r="AC2392" s="30"/>
    </row>
    <row r="2393" ht="15.75" customHeight="1">
      <c r="A2393" s="14" t="s">
        <v>17</v>
      </c>
      <c r="B2393" s="50">
        <v>1996.0</v>
      </c>
      <c r="C2393" s="14" t="s">
        <v>3100</v>
      </c>
      <c r="D2393" s="67" t="s">
        <v>3101</v>
      </c>
      <c r="E2393" s="194" t="str">
        <f>HYPERLINK("http://doi.ieeecomputersociety.org/10.1109/VISUAL.1996.568123","http://doi.ieeecomputersociety.org/10.1109/VISUAL.1996.568123")</f>
        <v>http://doi.ieeecomputersociety.org/10.1109/VISUAL.1996.568123</v>
      </c>
      <c r="F2393" s="50">
        <v>303.0</v>
      </c>
      <c r="G2393" s="50">
        <v>310.0</v>
      </c>
      <c r="H2393" s="151"/>
      <c r="I2393" s="14" t="s">
        <v>28</v>
      </c>
      <c r="J2393" s="14" t="s">
        <v>40457</v>
      </c>
      <c r="K2393" s="78" t="s">
        <v>40458</v>
      </c>
      <c r="L2393" s="162" t="s">
        <v>3104</v>
      </c>
      <c r="M2393" s="54"/>
      <c r="N2393" s="54" t="s">
        <v>40459</v>
      </c>
      <c r="O2393" s="130" t="s">
        <v>520</v>
      </c>
      <c r="P2393" s="54"/>
      <c r="Q2393" s="14">
        <v>568123.0</v>
      </c>
      <c r="R2393" s="14" t="s">
        <v>18275</v>
      </c>
      <c r="S2393" s="212">
        <v>175780.0</v>
      </c>
      <c r="T2393" s="30"/>
      <c r="U2393" s="30"/>
      <c r="V2393" s="30"/>
      <c r="W2393" s="30"/>
      <c r="X2393" s="30"/>
      <c r="Y2393" s="30"/>
      <c r="Z2393" s="30"/>
      <c r="AA2393" s="30"/>
      <c r="AB2393" s="30"/>
      <c r="AC2393" s="30"/>
    </row>
    <row r="2394" ht="15.75" customHeight="1">
      <c r="A2394" s="14" t="s">
        <v>17</v>
      </c>
      <c r="B2394" s="14">
        <v>1996.0</v>
      </c>
      <c r="C2394" s="14" t="s">
        <v>2971</v>
      </c>
      <c r="D2394" s="14" t="s">
        <v>2973</v>
      </c>
      <c r="E2394" s="150" t="s">
        <v>2974</v>
      </c>
      <c r="F2394" s="14">
        <v>157.0</v>
      </c>
      <c r="G2394" s="14">
        <v>164.0</v>
      </c>
      <c r="H2394" s="151"/>
      <c r="I2394" s="14" t="s">
        <v>28</v>
      </c>
      <c r="J2394" s="14" t="s">
        <v>4508</v>
      </c>
      <c r="K2394" s="14" t="s">
        <v>39798</v>
      </c>
      <c r="L2394" s="152" t="s">
        <v>2977</v>
      </c>
      <c r="M2394" s="14" t="s">
        <v>39799</v>
      </c>
      <c r="N2394" s="54" t="s">
        <v>39798</v>
      </c>
      <c r="O2394" s="130" t="s">
        <v>2978</v>
      </c>
      <c r="P2394" s="153" t="s">
        <v>2979</v>
      </c>
      <c r="Q2394" s="14">
        <v>567807.0</v>
      </c>
      <c r="R2394" s="14"/>
      <c r="S2394" s="212" t="s">
        <v>40460</v>
      </c>
      <c r="T2394" s="30"/>
      <c r="U2394" s="30"/>
      <c r="V2394" s="30"/>
      <c r="W2394" s="30"/>
      <c r="X2394" s="30"/>
      <c r="Y2394" s="30"/>
      <c r="Z2394" s="30"/>
      <c r="AA2394" s="30"/>
      <c r="AB2394" s="30"/>
      <c r="AC2394" s="30"/>
    </row>
    <row r="2395" ht="15.75" customHeight="1">
      <c r="A2395" s="14" t="s">
        <v>17</v>
      </c>
      <c r="B2395" s="14">
        <v>1996.0</v>
      </c>
      <c r="C2395" s="14" t="s">
        <v>3170</v>
      </c>
      <c r="D2395" s="14" t="s">
        <v>3171</v>
      </c>
      <c r="E2395" s="150" t="s">
        <v>3172</v>
      </c>
      <c r="F2395" s="14">
        <v>385.0</v>
      </c>
      <c r="G2395" s="14">
        <v>388.0</v>
      </c>
      <c r="H2395" s="151"/>
      <c r="I2395" s="14" t="s">
        <v>28</v>
      </c>
      <c r="J2395" s="14" t="s">
        <v>4857</v>
      </c>
      <c r="K2395" s="14" t="s">
        <v>40462</v>
      </c>
      <c r="L2395" s="152" t="s">
        <v>3174</v>
      </c>
      <c r="M2395" s="14" t="s">
        <v>40463</v>
      </c>
      <c r="N2395" s="54" t="s">
        <v>40464</v>
      </c>
      <c r="O2395" s="130" t="s">
        <v>2060</v>
      </c>
      <c r="P2395" s="16"/>
      <c r="Q2395" s="14">
        <v>568138.0</v>
      </c>
      <c r="R2395" s="14"/>
      <c r="S2395" s="212">
        <v>346332.0</v>
      </c>
      <c r="T2395" s="30"/>
      <c r="U2395" s="30"/>
      <c r="V2395" s="30"/>
      <c r="W2395" s="30"/>
      <c r="X2395" s="30"/>
      <c r="Y2395" s="30"/>
      <c r="Z2395" s="30"/>
      <c r="AA2395" s="30"/>
      <c r="AB2395" s="30"/>
      <c r="AC2395" s="30"/>
    </row>
    <row r="2396" ht="15.75" customHeight="1">
      <c r="A2396" s="14" t="s">
        <v>2137</v>
      </c>
      <c r="B2396" s="50">
        <v>1995.0</v>
      </c>
      <c r="C2396" s="14" t="s">
        <v>2259</v>
      </c>
      <c r="D2396" s="14" t="s">
        <v>2260</v>
      </c>
      <c r="E2396" s="156" t="str">
        <f>HYPERLINK("http://dx.doi.org/10.1109/INFVIS.1995.528697","http://dx.doi.org/10.1109/INFVIS.1995.528697")</f>
        <v>http://dx.doi.org/10.1109/INFVIS.1995.528697</v>
      </c>
      <c r="F2396" s="50">
        <v>129.0</v>
      </c>
      <c r="G2396" s="50">
        <v>131.0</v>
      </c>
      <c r="H2396" s="151"/>
      <c r="I2396" s="14" t="s">
        <v>28</v>
      </c>
      <c r="J2396" s="14" t="s">
        <v>3437</v>
      </c>
      <c r="K2396" s="14" t="s">
        <v>40465</v>
      </c>
      <c r="L2396" s="152" t="s">
        <v>2266</v>
      </c>
      <c r="M2396" s="14" t="s">
        <v>40466</v>
      </c>
      <c r="N2396" s="54" t="s">
        <v>40465</v>
      </c>
      <c r="O2396" s="130" t="s">
        <v>1512</v>
      </c>
      <c r="P2396" s="16"/>
      <c r="Q2396" s="50">
        <v>528697.0</v>
      </c>
      <c r="R2396" s="54"/>
      <c r="S2396" s="78">
        <v>398870.0</v>
      </c>
      <c r="T2396" s="16"/>
      <c r="U2396" s="16"/>
      <c r="V2396" s="16"/>
      <c r="W2396" s="16"/>
      <c r="X2396" s="16"/>
      <c r="Y2396" s="16"/>
      <c r="Z2396" s="16"/>
      <c r="AA2396" s="16"/>
      <c r="AB2396" s="16"/>
      <c r="AC2396" s="16"/>
    </row>
    <row r="2397" ht="15.75" customHeight="1">
      <c r="A2397" s="14" t="s">
        <v>2137</v>
      </c>
      <c r="B2397" s="50">
        <v>1995.0</v>
      </c>
      <c r="C2397" s="14" t="s">
        <v>2245</v>
      </c>
      <c r="D2397" s="14" t="s">
        <v>2246</v>
      </c>
      <c r="E2397" s="156" t="str">
        <f>HYPERLINK("http://dx.doi.org/10.1109/INFVIS.1995.528695","http://dx.doi.org/10.1109/INFVIS.1995.528695")</f>
        <v>http://dx.doi.org/10.1109/INFVIS.1995.528695</v>
      </c>
      <c r="F2397" s="50">
        <v>115.0</v>
      </c>
      <c r="G2397" s="50">
        <v>121.0</v>
      </c>
      <c r="H2397" s="151"/>
      <c r="I2397" s="14" t="s">
        <v>28</v>
      </c>
      <c r="J2397" s="14" t="s">
        <v>3423</v>
      </c>
      <c r="K2397" s="14" t="s">
        <v>40467</v>
      </c>
      <c r="L2397" s="152" t="s">
        <v>2251</v>
      </c>
      <c r="M2397" s="14" t="s">
        <v>40468</v>
      </c>
      <c r="N2397" s="54" t="s">
        <v>40467</v>
      </c>
      <c r="O2397" s="130"/>
      <c r="P2397" s="16"/>
      <c r="Q2397" s="50">
        <v>528695.0</v>
      </c>
      <c r="R2397" s="54"/>
      <c r="S2397" s="78"/>
      <c r="T2397" s="16"/>
      <c r="U2397" s="16"/>
      <c r="V2397" s="16"/>
      <c r="W2397" s="16"/>
      <c r="X2397" s="16"/>
      <c r="Y2397" s="16"/>
      <c r="Z2397" s="16"/>
      <c r="AA2397" s="16"/>
      <c r="AB2397" s="16"/>
      <c r="AC2397" s="16"/>
    </row>
    <row r="2398" ht="15.75" customHeight="1">
      <c r="A2398" s="14" t="s">
        <v>2137</v>
      </c>
      <c r="B2398" s="50">
        <v>1995.0</v>
      </c>
      <c r="C2398" s="14" t="s">
        <v>2233</v>
      </c>
      <c r="D2398" s="14" t="s">
        <v>2234</v>
      </c>
      <c r="E2398" s="156" t="str">
        <f>HYPERLINK("http://dx.doi.org/10.1109/INFVIS.1995.528693","http://dx.doi.org/10.1109/INFVIS.1995.528693")</f>
        <v>http://dx.doi.org/10.1109/INFVIS.1995.528693</v>
      </c>
      <c r="F2398" s="50">
        <v>105.0</v>
      </c>
      <c r="G2398" s="50">
        <v>111.0</v>
      </c>
      <c r="H2398" s="151"/>
      <c r="I2398" s="14" t="s">
        <v>28</v>
      </c>
      <c r="J2398" s="14" t="s">
        <v>3406</v>
      </c>
      <c r="K2398" s="14" t="s">
        <v>40469</v>
      </c>
      <c r="L2398" s="152" t="s">
        <v>2237</v>
      </c>
      <c r="M2398" s="14" t="s">
        <v>40470</v>
      </c>
      <c r="N2398" s="54" t="s">
        <v>40469</v>
      </c>
      <c r="O2398" s="130" t="s">
        <v>809</v>
      </c>
      <c r="P2398" s="16"/>
      <c r="Q2398" s="50">
        <v>528693.0</v>
      </c>
      <c r="R2398" s="54"/>
      <c r="S2398" s="78">
        <v>175815.0</v>
      </c>
      <c r="T2398" s="16"/>
      <c r="U2398" s="16"/>
      <c r="V2398" s="16"/>
      <c r="W2398" s="16"/>
      <c r="X2398" s="16"/>
      <c r="Y2398" s="16"/>
      <c r="Z2398" s="16"/>
      <c r="AA2398" s="16"/>
      <c r="AB2398" s="16"/>
      <c r="AC2398" s="16"/>
    </row>
    <row r="2399" ht="15.75" customHeight="1">
      <c r="A2399" s="14" t="s">
        <v>2137</v>
      </c>
      <c r="B2399" s="50">
        <v>1995.0</v>
      </c>
      <c r="C2399" s="14" t="s">
        <v>2252</v>
      </c>
      <c r="D2399" s="14" t="s">
        <v>2253</v>
      </c>
      <c r="E2399" s="156" t="str">
        <f>HYPERLINK("http://dx.doi.org/10.1109/INFVIS.1995.528696","http://dx.doi.org/10.1109/INFVIS.1995.528696")</f>
        <v>http://dx.doi.org/10.1109/INFVIS.1995.528696</v>
      </c>
      <c r="F2399" s="50">
        <v>122.0</v>
      </c>
      <c r="G2399" s="50">
        <v>128.0</v>
      </c>
      <c r="H2399" s="151"/>
      <c r="I2399" s="14" t="s">
        <v>28</v>
      </c>
      <c r="J2399" s="14" t="s">
        <v>3431</v>
      </c>
      <c r="K2399" s="14" t="s">
        <v>40471</v>
      </c>
      <c r="L2399" s="152" t="s">
        <v>2258</v>
      </c>
      <c r="M2399" s="14" t="s">
        <v>40472</v>
      </c>
      <c r="N2399" s="54" t="s">
        <v>40471</v>
      </c>
      <c r="O2399" s="130"/>
      <c r="P2399" s="16"/>
      <c r="Q2399" s="50">
        <v>528696.0</v>
      </c>
      <c r="R2399" s="54"/>
      <c r="S2399" s="78"/>
      <c r="T2399" s="16"/>
      <c r="U2399" s="16"/>
      <c r="V2399" s="16"/>
      <c r="W2399" s="16"/>
      <c r="X2399" s="16"/>
      <c r="Y2399" s="16"/>
      <c r="Z2399" s="16"/>
      <c r="AA2399" s="16"/>
      <c r="AB2399" s="16"/>
      <c r="AC2399" s="16"/>
    </row>
    <row r="2400" ht="15.75" customHeight="1">
      <c r="A2400" s="14" t="s">
        <v>2137</v>
      </c>
      <c r="B2400" s="50">
        <v>1995.0</v>
      </c>
      <c r="C2400" s="14" t="s">
        <v>2239</v>
      </c>
      <c r="D2400" s="14" t="s">
        <v>2240</v>
      </c>
      <c r="E2400" s="156" t="str">
        <f>HYPERLINK("http://dx.doi.org/10.1109/INFVIS.1995.528694","http://dx.doi.org/10.1109/INFVIS.1995.528694")</f>
        <v>http://dx.doi.org/10.1109/INFVIS.1995.528694</v>
      </c>
      <c r="F2400" s="50">
        <v>112.0</v>
      </c>
      <c r="G2400" s="50">
        <v>114.0</v>
      </c>
      <c r="H2400" s="151"/>
      <c r="I2400" s="14" t="s">
        <v>28</v>
      </c>
      <c r="J2400" s="14" t="s">
        <v>3414</v>
      </c>
      <c r="K2400" s="14" t="s">
        <v>10138</v>
      </c>
      <c r="L2400" s="152" t="s">
        <v>2244</v>
      </c>
      <c r="M2400" s="50">
        <v>3.72825697E10</v>
      </c>
      <c r="N2400" s="54" t="s">
        <v>10138</v>
      </c>
      <c r="O2400" s="130" t="s">
        <v>1541</v>
      </c>
      <c r="P2400" s="16"/>
      <c r="Q2400" s="50">
        <v>528694.0</v>
      </c>
      <c r="R2400" s="54"/>
      <c r="S2400" s="78">
        <v>398874.0</v>
      </c>
      <c r="T2400" s="16"/>
      <c r="U2400" s="16"/>
      <c r="V2400" s="16"/>
      <c r="W2400" s="16"/>
      <c r="X2400" s="16"/>
      <c r="Y2400" s="16"/>
      <c r="Z2400" s="16"/>
      <c r="AA2400" s="16"/>
      <c r="AB2400" s="16"/>
      <c r="AC2400" s="16"/>
    </row>
    <row r="2401" ht="15.75" customHeight="1">
      <c r="A2401" s="14" t="s">
        <v>2137</v>
      </c>
      <c r="B2401" s="50">
        <v>1995.0</v>
      </c>
      <c r="C2401" s="14" t="s">
        <v>2219</v>
      </c>
      <c r="D2401" s="14" t="s">
        <v>2220</v>
      </c>
      <c r="E2401" s="156" t="str">
        <f>HYPERLINK("http://dx.doi.org/10.1109/INFVIS.1995.528691","http://dx.doi.org/10.1109/INFVIS.1995.528691")</f>
        <v>http://dx.doi.org/10.1109/INFVIS.1995.528691</v>
      </c>
      <c r="F2401" s="50">
        <v>90.0</v>
      </c>
      <c r="G2401" s="50">
        <v>96.0</v>
      </c>
      <c r="H2401" s="151"/>
      <c r="I2401" s="14" t="s">
        <v>28</v>
      </c>
      <c r="J2401" s="14" t="s">
        <v>3393</v>
      </c>
      <c r="K2401" s="14" t="s">
        <v>40476</v>
      </c>
      <c r="L2401" s="152" t="s">
        <v>2223</v>
      </c>
      <c r="M2401" s="14" t="s">
        <v>40477</v>
      </c>
      <c r="N2401" s="54" t="s">
        <v>40476</v>
      </c>
      <c r="O2401" s="130"/>
      <c r="P2401" s="16"/>
      <c r="Q2401" s="50">
        <v>528691.0</v>
      </c>
      <c r="R2401" s="54"/>
      <c r="S2401" s="78"/>
      <c r="T2401" s="16"/>
      <c r="U2401" s="16"/>
      <c r="V2401" s="16"/>
      <c r="W2401" s="16"/>
      <c r="X2401" s="16"/>
      <c r="Y2401" s="16"/>
      <c r="Z2401" s="16"/>
      <c r="AA2401" s="16"/>
      <c r="AB2401" s="16"/>
      <c r="AC2401" s="16"/>
    </row>
    <row r="2402" ht="15.75" customHeight="1">
      <c r="A2402" s="14" t="s">
        <v>2137</v>
      </c>
      <c r="B2402" s="50">
        <v>1995.0</v>
      </c>
      <c r="C2402" s="14" t="s">
        <v>2224</v>
      </c>
      <c r="D2402" s="14" t="s">
        <v>2225</v>
      </c>
      <c r="E2402" s="156" t="str">
        <f>HYPERLINK("http://dx.doi.org/10.1109/INFVIS.1995.528692","http://dx.doi.org/10.1109/INFVIS.1995.528692")</f>
        <v>http://dx.doi.org/10.1109/INFVIS.1995.528692</v>
      </c>
      <c r="F2402" s="50">
        <v>97.0</v>
      </c>
      <c r="G2402" s="50">
        <v>104.0</v>
      </c>
      <c r="H2402" s="151"/>
      <c r="I2402" s="14" t="s">
        <v>28</v>
      </c>
      <c r="J2402" s="14" t="s">
        <v>3400</v>
      </c>
      <c r="K2402" s="14" t="s">
        <v>6236</v>
      </c>
      <c r="L2402" s="152" t="s">
        <v>2231</v>
      </c>
      <c r="M2402" s="50">
        <v>3.73401222E10</v>
      </c>
      <c r="N2402" s="54" t="s">
        <v>6236</v>
      </c>
      <c r="O2402" s="130" t="s">
        <v>2232</v>
      </c>
      <c r="P2402" s="16"/>
      <c r="Q2402" s="50">
        <v>528692.0</v>
      </c>
      <c r="R2402" s="54"/>
      <c r="S2402" s="78" t="s">
        <v>40481</v>
      </c>
      <c r="T2402" s="16"/>
      <c r="U2402" s="16"/>
      <c r="V2402" s="16"/>
      <c r="W2402" s="16"/>
      <c r="X2402" s="16"/>
      <c r="Y2402" s="16"/>
      <c r="Z2402" s="16"/>
      <c r="AA2402" s="16"/>
      <c r="AB2402" s="16"/>
      <c r="AC2402" s="16"/>
    </row>
    <row r="2403" ht="15.75" customHeight="1">
      <c r="A2403" s="14" t="s">
        <v>2137</v>
      </c>
      <c r="B2403" s="50">
        <v>1995.0</v>
      </c>
      <c r="C2403" s="14" t="s">
        <v>2197</v>
      </c>
      <c r="D2403" s="14" t="s">
        <v>2198</v>
      </c>
      <c r="E2403" s="156" t="str">
        <f>HYPERLINK("http://dx.doi.org/10.1109/INFVIS.1995.528688","http://dx.doi.org/10.1109/INFVIS.1995.528688")</f>
        <v>http://dx.doi.org/10.1109/INFVIS.1995.528688</v>
      </c>
      <c r="F2403" s="50">
        <v>66.0</v>
      </c>
      <c r="G2403" s="50">
        <v>73.0</v>
      </c>
      <c r="H2403" s="151"/>
      <c r="I2403" s="14" t="s">
        <v>28</v>
      </c>
      <c r="J2403" s="14" t="s">
        <v>3365</v>
      </c>
      <c r="K2403" s="14" t="s">
        <v>40482</v>
      </c>
      <c r="L2403" s="152" t="s">
        <v>2201</v>
      </c>
      <c r="M2403" s="14" t="s">
        <v>40483</v>
      </c>
      <c r="N2403" s="54" t="s">
        <v>40482</v>
      </c>
      <c r="O2403" s="130" t="s">
        <v>2202</v>
      </c>
      <c r="P2403" s="16"/>
      <c r="Q2403" s="50">
        <v>528688.0</v>
      </c>
      <c r="R2403" s="54"/>
      <c r="S2403" s="78" t="s">
        <v>40484</v>
      </c>
      <c r="T2403" s="16"/>
      <c r="U2403" s="16"/>
      <c r="V2403" s="16"/>
      <c r="W2403" s="16"/>
      <c r="X2403" s="16"/>
      <c r="Y2403" s="16"/>
      <c r="Z2403" s="16"/>
      <c r="AA2403" s="16"/>
      <c r="AB2403" s="16"/>
      <c r="AC2403" s="16"/>
    </row>
    <row r="2404" ht="15.75" customHeight="1">
      <c r="A2404" s="14" t="s">
        <v>2137</v>
      </c>
      <c r="B2404" s="50">
        <v>1995.0</v>
      </c>
      <c r="C2404" s="14" t="s">
        <v>2157</v>
      </c>
      <c r="D2404" s="14" t="s">
        <v>2158</v>
      </c>
      <c r="E2404" s="156" t="str">
        <f>HYPERLINK("http://dx.doi.org/10.1109/INFVIS.1995.528683","http://dx.doi.org/10.1109/INFVIS.1995.528683")</f>
        <v>http://dx.doi.org/10.1109/INFVIS.1995.528683</v>
      </c>
      <c r="F2404" s="50">
        <v>26.0</v>
      </c>
      <c r="G2404" s="50">
        <v>33.0</v>
      </c>
      <c r="H2404" s="151"/>
      <c r="I2404" s="14" t="s">
        <v>28</v>
      </c>
      <c r="J2404" s="14" t="s">
        <v>3320</v>
      </c>
      <c r="K2404" s="14" t="s">
        <v>40486</v>
      </c>
      <c r="L2404" s="152" t="s">
        <v>2161</v>
      </c>
      <c r="M2404" s="14" t="s">
        <v>40487</v>
      </c>
      <c r="N2404" s="54" t="s">
        <v>40486</v>
      </c>
      <c r="O2404" s="130"/>
      <c r="P2404" s="16"/>
      <c r="Q2404" s="50">
        <v>528683.0</v>
      </c>
      <c r="R2404" s="54"/>
      <c r="S2404" s="78"/>
      <c r="T2404" s="16"/>
      <c r="U2404" s="16"/>
      <c r="V2404" s="16"/>
      <c r="W2404" s="16"/>
      <c r="X2404" s="16"/>
      <c r="Y2404" s="16"/>
      <c r="Z2404" s="16"/>
      <c r="AA2404" s="16"/>
      <c r="AB2404" s="16"/>
      <c r="AC2404" s="16"/>
    </row>
    <row r="2405" ht="15.75" customHeight="1">
      <c r="A2405" s="14" t="s">
        <v>2137</v>
      </c>
      <c r="B2405" s="50">
        <v>1995.0</v>
      </c>
      <c r="C2405" s="14" t="s">
        <v>2152</v>
      </c>
      <c r="D2405" s="14" t="s">
        <v>2153</v>
      </c>
      <c r="E2405" s="156" t="str">
        <f>HYPERLINK("http://dx.doi.org/10.1109/INFVIS.1995.528682","http://dx.doi.org/10.1109/INFVIS.1995.528682")</f>
        <v>http://dx.doi.org/10.1109/INFVIS.1995.528682</v>
      </c>
      <c r="F2405" s="50">
        <v>19.0</v>
      </c>
      <c r="G2405" s="50">
        <v>25.0</v>
      </c>
      <c r="H2405" s="151"/>
      <c r="I2405" s="14" t="s">
        <v>28</v>
      </c>
      <c r="J2405" s="14" t="s">
        <v>40489</v>
      </c>
      <c r="K2405" s="14" t="s">
        <v>11555</v>
      </c>
      <c r="L2405" s="152" t="s">
        <v>2156</v>
      </c>
      <c r="M2405" s="50">
        <v>3.73496305E10</v>
      </c>
      <c r="N2405" s="54" t="s">
        <v>11555</v>
      </c>
      <c r="O2405" s="130"/>
      <c r="P2405" s="16"/>
      <c r="Q2405" s="50">
        <v>528682.0</v>
      </c>
      <c r="R2405" s="54"/>
      <c r="S2405" s="78"/>
      <c r="T2405" s="16"/>
      <c r="U2405" s="16"/>
      <c r="V2405" s="16"/>
      <c r="W2405" s="16"/>
      <c r="X2405" s="16"/>
      <c r="Y2405" s="16"/>
      <c r="Z2405" s="16"/>
      <c r="AA2405" s="16"/>
      <c r="AB2405" s="16"/>
      <c r="AC2405" s="16"/>
    </row>
    <row r="2406" ht="15.75" customHeight="1">
      <c r="A2406" s="14" t="s">
        <v>2137</v>
      </c>
      <c r="B2406" s="50">
        <v>1995.0</v>
      </c>
      <c r="C2406" s="14" t="s">
        <v>2211</v>
      </c>
      <c r="D2406" s="14" t="s">
        <v>2212</v>
      </c>
      <c r="E2406" s="156" t="str">
        <f>HYPERLINK("http://dx.doi.org/10.1109/INFVIS.1995.528690","http://dx.doi.org/10.1109/INFVIS.1995.528690")</f>
        <v>http://dx.doi.org/10.1109/INFVIS.1995.528690</v>
      </c>
      <c r="F2406" s="50">
        <v>82.0</v>
      </c>
      <c r="G2406" s="50">
        <v>88.0</v>
      </c>
      <c r="H2406" s="151"/>
      <c r="I2406" s="14" t="s">
        <v>28</v>
      </c>
      <c r="J2406" s="14" t="s">
        <v>3383</v>
      </c>
      <c r="K2406" s="14" t="s">
        <v>40490</v>
      </c>
      <c r="L2406" s="152" t="s">
        <v>2216</v>
      </c>
      <c r="M2406" s="14" t="s">
        <v>40491</v>
      </c>
      <c r="N2406" s="54" t="s">
        <v>40490</v>
      </c>
      <c r="O2406" s="130" t="s">
        <v>1858</v>
      </c>
      <c r="P2406" s="16"/>
      <c r="Q2406" s="50">
        <v>528690.0</v>
      </c>
      <c r="R2406" s="54"/>
      <c r="S2406" s="78">
        <v>346304.0</v>
      </c>
      <c r="T2406" s="16"/>
      <c r="U2406" s="16"/>
      <c r="V2406" s="16"/>
      <c r="W2406" s="16"/>
      <c r="X2406" s="16"/>
      <c r="Y2406" s="16"/>
      <c r="Z2406" s="16"/>
      <c r="AA2406" s="16"/>
      <c r="AB2406" s="16"/>
      <c r="AC2406" s="16"/>
    </row>
    <row r="2407" ht="15.75" customHeight="1">
      <c r="A2407" s="14" t="s">
        <v>2137</v>
      </c>
      <c r="B2407" s="50">
        <v>1995.0</v>
      </c>
      <c r="C2407" s="14" t="s">
        <v>2203</v>
      </c>
      <c r="D2407" s="14" t="s">
        <v>2204</v>
      </c>
      <c r="E2407" s="156" t="str">
        <f>HYPERLINK("http://dx.doi.org/10.1109/INFVIS.1995.528689","http://dx.doi.org/10.1109/INFVIS.1995.528689")</f>
        <v>http://dx.doi.org/10.1109/INFVIS.1995.528689</v>
      </c>
      <c r="F2407" s="50">
        <v>74.0</v>
      </c>
      <c r="G2407" s="50">
        <v>81.0</v>
      </c>
      <c r="H2407" s="151"/>
      <c r="I2407" s="14" t="s">
        <v>28</v>
      </c>
      <c r="J2407" s="14" t="s">
        <v>3373</v>
      </c>
      <c r="K2407" s="14" t="s">
        <v>40493</v>
      </c>
      <c r="L2407" s="152" t="s">
        <v>2210</v>
      </c>
      <c r="M2407" s="14" t="s">
        <v>40494</v>
      </c>
      <c r="N2407" s="54" t="s">
        <v>40493</v>
      </c>
      <c r="O2407" s="130"/>
      <c r="P2407" s="16"/>
      <c r="Q2407" s="50">
        <v>528689.0</v>
      </c>
      <c r="R2407" s="54"/>
      <c r="S2407" s="78"/>
      <c r="T2407" s="16"/>
      <c r="U2407" s="16"/>
      <c r="V2407" s="16"/>
      <c r="W2407" s="16"/>
      <c r="X2407" s="16"/>
      <c r="Y2407" s="16"/>
      <c r="Z2407" s="16"/>
      <c r="AA2407" s="16"/>
      <c r="AB2407" s="16"/>
      <c r="AC2407" s="16"/>
    </row>
    <row r="2408" ht="15.75" customHeight="1">
      <c r="A2408" s="14" t="s">
        <v>2137</v>
      </c>
      <c r="B2408" s="50">
        <v>1995.0</v>
      </c>
      <c r="C2408" s="14" t="s">
        <v>2162</v>
      </c>
      <c r="D2408" s="14" t="s">
        <v>2163</v>
      </c>
      <c r="E2408" s="156" t="str">
        <f>HYPERLINK("http://dx.doi.org/10.1109/INFVIS.1995.528684","http://dx.doi.org/10.1109/INFVIS.1995.528684")</f>
        <v>http://dx.doi.org/10.1109/INFVIS.1995.528684</v>
      </c>
      <c r="F2408" s="50">
        <v>36.0</v>
      </c>
      <c r="G2408" s="50">
        <v>42.0</v>
      </c>
      <c r="H2408" s="151"/>
      <c r="I2408" s="14" t="s">
        <v>28</v>
      </c>
      <c r="J2408" s="14" t="s">
        <v>3330</v>
      </c>
      <c r="K2408" s="14" t="s">
        <v>40495</v>
      </c>
      <c r="L2408" s="152" t="s">
        <v>2166</v>
      </c>
      <c r="M2408" s="14" t="s">
        <v>40496</v>
      </c>
      <c r="N2408" s="54" t="s">
        <v>40495</v>
      </c>
      <c r="O2408" s="130"/>
      <c r="P2408" s="205" t="s">
        <v>2167</v>
      </c>
      <c r="Q2408" s="50">
        <v>528684.0</v>
      </c>
      <c r="R2408" s="54"/>
      <c r="S2408" s="78"/>
      <c r="T2408" s="16"/>
      <c r="U2408" s="16"/>
      <c r="V2408" s="16"/>
      <c r="W2408" s="16"/>
      <c r="X2408" s="16"/>
      <c r="Y2408" s="16"/>
      <c r="Z2408" s="16"/>
      <c r="AA2408" s="16"/>
      <c r="AB2408" s="16"/>
      <c r="AC2408" s="16"/>
    </row>
    <row r="2409" ht="15.75" customHeight="1">
      <c r="A2409" s="14" t="s">
        <v>2137</v>
      </c>
      <c r="B2409" s="50">
        <v>1995.0</v>
      </c>
      <c r="C2409" s="14" t="s">
        <v>2168</v>
      </c>
      <c r="D2409" s="14" t="s">
        <v>2170</v>
      </c>
      <c r="E2409" s="156" t="str">
        <f>HYPERLINK("http://dx.doi.org/10.1109/INFVIS.1995.528685","http://dx.doi.org/10.1109/INFVIS.1995.528685")</f>
        <v>http://dx.doi.org/10.1109/INFVIS.1995.528685</v>
      </c>
      <c r="F2409" s="50">
        <v>43.0</v>
      </c>
      <c r="G2409" s="50">
        <v>50.0</v>
      </c>
      <c r="H2409" s="151"/>
      <c r="I2409" s="14" t="s">
        <v>28</v>
      </c>
      <c r="J2409" s="14" t="s">
        <v>3338</v>
      </c>
      <c r="K2409" s="14" t="s">
        <v>40498</v>
      </c>
      <c r="L2409" s="152" t="s">
        <v>2179</v>
      </c>
      <c r="M2409" s="14" t="s">
        <v>40499</v>
      </c>
      <c r="N2409" s="54" t="s">
        <v>40500</v>
      </c>
      <c r="O2409" s="130" t="s">
        <v>1988</v>
      </c>
      <c r="P2409" s="16"/>
      <c r="Q2409" s="50">
        <v>528685.0</v>
      </c>
      <c r="R2409" s="54"/>
      <c r="S2409" s="78">
        <v>346322.0</v>
      </c>
      <c r="T2409" s="16"/>
      <c r="U2409" s="16"/>
      <c r="V2409" s="16"/>
      <c r="W2409" s="16"/>
      <c r="X2409" s="16"/>
      <c r="Y2409" s="16"/>
      <c r="Z2409" s="16"/>
      <c r="AA2409" s="16"/>
      <c r="AB2409" s="16"/>
      <c r="AC2409" s="16"/>
    </row>
    <row r="2410" ht="15.75" customHeight="1">
      <c r="A2410" s="14" t="s">
        <v>2137</v>
      </c>
      <c r="B2410" s="50">
        <v>1995.0</v>
      </c>
      <c r="C2410" s="14" t="s">
        <v>2143</v>
      </c>
      <c r="D2410" s="14" t="s">
        <v>2144</v>
      </c>
      <c r="E2410" s="156" t="str">
        <f>HYPERLINK("http://dx.doi.org/10.1109/INFVIS.1995.528681","http://dx.doi.org/10.1109/INFVIS.1995.528681")</f>
        <v>http://dx.doi.org/10.1109/INFVIS.1995.528681</v>
      </c>
      <c r="F2410" s="50">
        <v>11.0</v>
      </c>
      <c r="G2410" s="50">
        <v>18.0</v>
      </c>
      <c r="H2410" s="151"/>
      <c r="I2410" s="14" t="s">
        <v>28</v>
      </c>
      <c r="J2410" s="14" t="s">
        <v>3315</v>
      </c>
      <c r="K2410" s="14" t="s">
        <v>40502</v>
      </c>
      <c r="L2410" s="152" t="s">
        <v>2150</v>
      </c>
      <c r="M2410" s="14" t="s">
        <v>40503</v>
      </c>
      <c r="N2410" s="54" t="s">
        <v>40502</v>
      </c>
      <c r="O2410" s="130" t="s">
        <v>2151</v>
      </c>
      <c r="P2410" s="16"/>
      <c r="Q2410" s="50">
        <v>528681.0</v>
      </c>
      <c r="R2410" s="54"/>
      <c r="S2410" s="78">
        <v>480815.0</v>
      </c>
      <c r="T2410" s="16"/>
      <c r="U2410" s="16"/>
      <c r="V2410" s="16"/>
      <c r="W2410" s="16"/>
      <c r="X2410" s="16"/>
      <c r="Y2410" s="16"/>
      <c r="Z2410" s="16"/>
      <c r="AA2410" s="16"/>
      <c r="AB2410" s="16"/>
      <c r="AC2410" s="16"/>
    </row>
    <row r="2411" ht="15.75" customHeight="1">
      <c r="A2411" s="14" t="s">
        <v>2137</v>
      </c>
      <c r="B2411" s="50">
        <v>1995.0</v>
      </c>
      <c r="C2411" s="14" t="s">
        <v>2138</v>
      </c>
      <c r="D2411" s="14" t="s">
        <v>2139</v>
      </c>
      <c r="E2411" s="156" t="str">
        <f>HYPERLINK("http://dx.doi.org/10.1109/INFVIS.1995.528680","http://dx.doi.org/10.1109/INFVIS.1995.528680")</f>
        <v>http://dx.doi.org/10.1109/INFVIS.1995.528680</v>
      </c>
      <c r="F2411" s="50">
        <v>4.0</v>
      </c>
      <c r="G2411" s="50">
        <v>10.0</v>
      </c>
      <c r="H2411" s="151"/>
      <c r="I2411" s="14" t="s">
        <v>28</v>
      </c>
      <c r="J2411" s="14" t="s">
        <v>3312</v>
      </c>
      <c r="K2411" s="14" t="s">
        <v>40504</v>
      </c>
      <c r="L2411" s="152" t="s">
        <v>2142</v>
      </c>
      <c r="M2411" s="14" t="s">
        <v>40505</v>
      </c>
      <c r="N2411" s="54" t="s">
        <v>40504</v>
      </c>
      <c r="O2411" s="130"/>
      <c r="P2411" s="16"/>
      <c r="Q2411" s="50">
        <v>528680.0</v>
      </c>
      <c r="R2411" s="54"/>
      <c r="S2411" s="78"/>
      <c r="T2411" s="16"/>
      <c r="U2411" s="16"/>
      <c r="V2411" s="16"/>
      <c r="W2411" s="16"/>
      <c r="X2411" s="16"/>
      <c r="Y2411" s="16"/>
      <c r="Z2411" s="16"/>
      <c r="AA2411" s="16"/>
      <c r="AB2411" s="16"/>
      <c r="AC2411" s="16"/>
    </row>
    <row r="2412" ht="15.75" customHeight="1">
      <c r="A2412" s="14" t="s">
        <v>2137</v>
      </c>
      <c r="B2412" s="50">
        <v>1995.0</v>
      </c>
      <c r="C2412" s="14" t="s">
        <v>2180</v>
      </c>
      <c r="D2412" s="14" t="s">
        <v>2181</v>
      </c>
      <c r="E2412" s="156" t="str">
        <f>HYPERLINK("http://dx.doi.org/10.1109/INFVIS.1995.528686","http://dx.doi.org/10.1109/INFVIS.1995.528686")</f>
        <v>http://dx.doi.org/10.1109/INFVIS.1995.528686</v>
      </c>
      <c r="F2412" s="50">
        <v>51.0</v>
      </c>
      <c r="G2412" s="50">
        <v>58.0</v>
      </c>
      <c r="H2412" s="151"/>
      <c r="I2412" s="14" t="s">
        <v>28</v>
      </c>
      <c r="J2412" s="14" t="s">
        <v>3345</v>
      </c>
      <c r="K2412" s="14" t="s">
        <v>40508</v>
      </c>
      <c r="L2412" s="152" t="s">
        <v>2187</v>
      </c>
      <c r="M2412" s="14" t="s">
        <v>40509</v>
      </c>
      <c r="N2412" s="54" t="s">
        <v>40510</v>
      </c>
      <c r="O2412" s="130" t="s">
        <v>1465</v>
      </c>
      <c r="P2412" s="16"/>
      <c r="Q2412" s="50">
        <v>528686.0</v>
      </c>
      <c r="R2412" s="54"/>
      <c r="S2412" s="78">
        <v>398863.0</v>
      </c>
      <c r="T2412" s="16"/>
      <c r="U2412" s="16"/>
      <c r="V2412" s="16"/>
      <c r="W2412" s="16"/>
      <c r="X2412" s="16"/>
      <c r="Y2412" s="16"/>
      <c r="Z2412" s="16"/>
      <c r="AA2412" s="16"/>
      <c r="AB2412" s="16"/>
      <c r="AC2412" s="16"/>
    </row>
    <row r="2413" ht="15.75" customHeight="1">
      <c r="A2413" s="14" t="s">
        <v>2137</v>
      </c>
      <c r="B2413" s="50">
        <v>1995.0</v>
      </c>
      <c r="C2413" s="14" t="s">
        <v>2188</v>
      </c>
      <c r="D2413" s="14" t="s">
        <v>2189</v>
      </c>
      <c r="E2413" s="156" t="str">
        <f>HYPERLINK("http://dx.doi.org/10.1109/INFVIS.1995.528687","http://dx.doi.org/10.1109/INFVIS.1995.528687")</f>
        <v>http://dx.doi.org/10.1109/INFVIS.1995.528687</v>
      </c>
      <c r="F2413" s="50">
        <v>59.0</v>
      </c>
      <c r="G2413" s="50">
        <v>64.0</v>
      </c>
      <c r="H2413" s="151"/>
      <c r="I2413" s="14" t="s">
        <v>28</v>
      </c>
      <c r="J2413" s="14" t="s">
        <v>40513</v>
      </c>
      <c r="K2413" s="14" t="s">
        <v>40514</v>
      </c>
      <c r="L2413" s="152" t="s">
        <v>2195</v>
      </c>
      <c r="M2413" s="14" t="s">
        <v>40515</v>
      </c>
      <c r="N2413" s="54" t="s">
        <v>40514</v>
      </c>
      <c r="O2413" s="130"/>
      <c r="P2413" s="208" t="s">
        <v>2196</v>
      </c>
      <c r="Q2413" s="50">
        <v>528687.0</v>
      </c>
      <c r="R2413" s="54"/>
      <c r="S2413" s="78"/>
      <c r="T2413" s="16"/>
      <c r="U2413" s="16"/>
      <c r="V2413" s="16"/>
      <c r="W2413" s="16"/>
      <c r="X2413" s="16"/>
      <c r="Y2413" s="16"/>
      <c r="Z2413" s="16"/>
      <c r="AA2413" s="16"/>
      <c r="AB2413" s="16"/>
      <c r="AC2413" s="16"/>
    </row>
    <row r="2414" ht="15.75" customHeight="1">
      <c r="A2414" s="14" t="s">
        <v>17</v>
      </c>
      <c r="B2414" s="50">
        <v>1995.0</v>
      </c>
      <c r="C2414" s="14" t="s">
        <v>2586</v>
      </c>
      <c r="D2414" s="14" t="s">
        <v>2587</v>
      </c>
      <c r="E2414" s="156" t="str">
        <f>HYPERLINK("http://dx.doi.org/10.1109/VISUAL.1995.485143","http://dx.doi.org/10.1109/VISUAL.1995.485143")</f>
        <v>http://dx.doi.org/10.1109/VISUAL.1995.485143</v>
      </c>
      <c r="F2414" s="50">
        <v>304.0</v>
      </c>
      <c r="G2414" s="14" t="s">
        <v>2592</v>
      </c>
      <c r="H2414" s="151"/>
      <c r="I2414" s="14" t="s">
        <v>28</v>
      </c>
      <c r="J2414" s="14" t="s">
        <v>40517</v>
      </c>
      <c r="K2414" s="14" t="s">
        <v>40518</v>
      </c>
      <c r="L2414" s="152" t="s">
        <v>2594</v>
      </c>
      <c r="M2414" s="14" t="s">
        <v>40520</v>
      </c>
      <c r="N2414" s="54" t="s">
        <v>40518</v>
      </c>
      <c r="O2414" s="130" t="s">
        <v>2595</v>
      </c>
      <c r="P2414" s="16"/>
      <c r="Q2414" s="50">
        <v>485143.0</v>
      </c>
      <c r="R2414" s="54"/>
      <c r="S2414" s="78" t="s">
        <v>40521</v>
      </c>
      <c r="T2414" s="16"/>
      <c r="U2414" s="16"/>
      <c r="V2414" s="16"/>
      <c r="W2414" s="16"/>
      <c r="X2414" s="16"/>
      <c r="Y2414" s="16"/>
      <c r="Z2414" s="16"/>
      <c r="AA2414" s="16"/>
      <c r="AB2414" s="16"/>
      <c r="AC2414" s="16"/>
    </row>
    <row r="2415" ht="15.75" customHeight="1">
      <c r="A2415" s="14" t="s">
        <v>17</v>
      </c>
      <c r="B2415" s="50">
        <v>1995.0</v>
      </c>
      <c r="C2415" s="14" t="s">
        <v>2289</v>
      </c>
      <c r="D2415" s="14" t="s">
        <v>2290</v>
      </c>
      <c r="E2415" s="156" t="str">
        <f>HYPERLINK("http://dx.doi.org/10.1109/VISUAL.1995.480792","http://dx.doi.org/10.1109/VISUAL.1995.480792")</f>
        <v>http://dx.doi.org/10.1109/VISUAL.1995.480792</v>
      </c>
      <c r="F2415" s="50">
        <v>27.0</v>
      </c>
      <c r="G2415" s="14" t="s">
        <v>2294</v>
      </c>
      <c r="H2415" s="151"/>
      <c r="I2415" s="14" t="s">
        <v>28</v>
      </c>
      <c r="J2415" s="14" t="s">
        <v>40522</v>
      </c>
      <c r="K2415" s="14" t="s">
        <v>40523</v>
      </c>
      <c r="L2415" s="152" t="s">
        <v>2296</v>
      </c>
      <c r="M2415" s="14" t="s">
        <v>40524</v>
      </c>
      <c r="N2415" s="54" t="s">
        <v>40525</v>
      </c>
      <c r="O2415" s="130" t="s">
        <v>2297</v>
      </c>
      <c r="P2415" s="16"/>
      <c r="Q2415" s="50">
        <v>480792.0</v>
      </c>
      <c r="R2415" s="54"/>
      <c r="S2415" s="78" t="s">
        <v>40526</v>
      </c>
      <c r="T2415" s="16"/>
      <c r="U2415" s="16"/>
      <c r="V2415" s="16"/>
      <c r="W2415" s="16"/>
      <c r="X2415" s="16"/>
      <c r="Y2415" s="16"/>
      <c r="Z2415" s="16"/>
      <c r="AA2415" s="16"/>
      <c r="AB2415" s="16"/>
      <c r="AC2415" s="16"/>
    </row>
    <row r="2416" ht="15.75" customHeight="1">
      <c r="A2416" s="14" t="s">
        <v>17</v>
      </c>
      <c r="B2416" s="50">
        <v>1995.0</v>
      </c>
      <c r="C2416" s="14" t="s">
        <v>2483</v>
      </c>
      <c r="D2416" s="14" t="s">
        <v>2484</v>
      </c>
      <c r="E2416" s="156" t="str">
        <f>HYPERLINK("http://dx.doi.org/10.1109/VISUAL.1995.480816","http://dx.doi.org/10.1109/VISUAL.1995.480816")</f>
        <v>http://dx.doi.org/10.1109/VISUAL.1995.480816</v>
      </c>
      <c r="F2416" s="50">
        <v>224.0</v>
      </c>
      <c r="G2416" s="14" t="s">
        <v>2487</v>
      </c>
      <c r="H2416" s="151"/>
      <c r="I2416" s="14" t="s">
        <v>28</v>
      </c>
      <c r="J2416" s="14" t="s">
        <v>40527</v>
      </c>
      <c r="K2416" s="14" t="s">
        <v>40529</v>
      </c>
      <c r="L2416" s="152" t="s">
        <v>2489</v>
      </c>
      <c r="M2416" s="14" t="s">
        <v>40530</v>
      </c>
      <c r="N2416" s="54" t="s">
        <v>40529</v>
      </c>
      <c r="O2416" s="130" t="s">
        <v>769</v>
      </c>
      <c r="P2416" s="16"/>
      <c r="Q2416" s="50">
        <v>480816.0</v>
      </c>
      <c r="R2416" s="54"/>
      <c r="S2416" s="78">
        <v>175809.0</v>
      </c>
      <c r="T2416" s="16"/>
      <c r="U2416" s="16"/>
      <c r="V2416" s="16"/>
      <c r="W2416" s="16"/>
      <c r="X2416" s="16"/>
      <c r="Y2416" s="16"/>
      <c r="Z2416" s="16"/>
      <c r="AA2416" s="16"/>
      <c r="AB2416" s="16"/>
      <c r="AC2416" s="16"/>
    </row>
    <row r="2417" ht="15.75" customHeight="1">
      <c r="A2417" s="14" t="s">
        <v>17</v>
      </c>
      <c r="B2417" s="50">
        <v>1995.0</v>
      </c>
      <c r="C2417" s="14" t="s">
        <v>2377</v>
      </c>
      <c r="D2417" s="14" t="s">
        <v>2378</v>
      </c>
      <c r="E2417" s="156" t="str">
        <f>HYPERLINK("http://dx.doi.org/10.1109/VISUAL.1995.480803","http://dx.doi.org/10.1109/VISUAL.1995.480803")</f>
        <v>http://dx.doi.org/10.1109/VISUAL.1995.480803</v>
      </c>
      <c r="F2417" s="50">
        <v>118.0</v>
      </c>
      <c r="G2417" s="14" t="s">
        <v>2382</v>
      </c>
      <c r="H2417" s="151"/>
      <c r="I2417" s="14" t="s">
        <v>28</v>
      </c>
      <c r="J2417" s="14" t="s">
        <v>40532</v>
      </c>
      <c r="K2417" s="14" t="s">
        <v>40533</v>
      </c>
      <c r="L2417" s="152" t="s">
        <v>144</v>
      </c>
      <c r="M2417" s="14" t="s">
        <v>40534</v>
      </c>
      <c r="N2417" s="54" t="s">
        <v>40533</v>
      </c>
      <c r="O2417" s="130" t="s">
        <v>2385</v>
      </c>
      <c r="P2417" s="16"/>
      <c r="Q2417" s="50">
        <v>480803.0</v>
      </c>
      <c r="R2417" s="54"/>
      <c r="S2417" s="78" t="s">
        <v>40535</v>
      </c>
      <c r="T2417" s="16"/>
      <c r="U2417" s="16"/>
      <c r="V2417" s="16"/>
      <c r="W2417" s="16"/>
      <c r="X2417" s="16"/>
      <c r="Y2417" s="16"/>
      <c r="Z2417" s="16"/>
      <c r="AA2417" s="16"/>
      <c r="AB2417" s="16"/>
      <c r="AC2417" s="16"/>
    </row>
    <row r="2418" ht="15.75" customHeight="1">
      <c r="A2418" s="14" t="s">
        <v>17</v>
      </c>
      <c r="B2418" s="50">
        <v>1995.0</v>
      </c>
      <c r="C2418" s="14" t="s">
        <v>2671</v>
      </c>
      <c r="D2418" s="14" t="s">
        <v>2672</v>
      </c>
      <c r="E2418" s="156" t="str">
        <f>HYPERLINK("http://dx.doi.org/10.1109/VISUAL.1995.485153","http://dx.doi.org/10.1109/VISUAL.1995.485153")</f>
        <v>http://dx.doi.org/10.1109/VISUAL.1995.485153</v>
      </c>
      <c r="F2418" s="50">
        <v>364.0</v>
      </c>
      <c r="G2418" s="14" t="s">
        <v>2676</v>
      </c>
      <c r="H2418" s="151"/>
      <c r="I2418" s="14" t="s">
        <v>28</v>
      </c>
      <c r="J2418" s="14" t="s">
        <v>40536</v>
      </c>
      <c r="K2418" s="14" t="s">
        <v>40537</v>
      </c>
      <c r="L2418" s="152" t="s">
        <v>2678</v>
      </c>
      <c r="M2418" s="14" t="s">
        <v>40538</v>
      </c>
      <c r="N2418" s="54" t="s">
        <v>40537</v>
      </c>
      <c r="O2418" s="130"/>
      <c r="P2418" s="16"/>
      <c r="Q2418" s="50">
        <v>485153.0</v>
      </c>
      <c r="R2418" s="54"/>
      <c r="S2418" s="78"/>
      <c r="T2418" s="16"/>
      <c r="U2418" s="16"/>
      <c r="V2418" s="16"/>
      <c r="W2418" s="16"/>
      <c r="X2418" s="16"/>
      <c r="Y2418" s="16"/>
      <c r="Z2418" s="16"/>
      <c r="AA2418" s="16"/>
      <c r="AB2418" s="16"/>
      <c r="AC2418" s="16"/>
    </row>
    <row r="2419" ht="15.75" customHeight="1">
      <c r="A2419" s="14" t="s">
        <v>17</v>
      </c>
      <c r="B2419" s="50">
        <v>1995.0</v>
      </c>
      <c r="C2419" s="14" t="s">
        <v>2362</v>
      </c>
      <c r="D2419" s="14" t="s">
        <v>2363</v>
      </c>
      <c r="E2419" s="156" t="str">
        <f>HYPERLINK("http://dx.doi.org/10.1109/VISUAL.1995.480801","http://dx.doi.org/10.1109/VISUAL.1995.480801")</f>
        <v>http://dx.doi.org/10.1109/VISUAL.1995.480801</v>
      </c>
      <c r="F2419" s="50">
        <v>101.0</v>
      </c>
      <c r="G2419" s="50">
        <v>108.0</v>
      </c>
      <c r="H2419" s="151"/>
      <c r="I2419" s="14" t="s">
        <v>28</v>
      </c>
      <c r="J2419" s="14" t="s">
        <v>40540</v>
      </c>
      <c r="K2419" s="14" t="s">
        <v>40541</v>
      </c>
      <c r="L2419" s="152" t="s">
        <v>2366</v>
      </c>
      <c r="M2419" s="14" t="s">
        <v>40542</v>
      </c>
      <c r="N2419" s="54" t="s">
        <v>40543</v>
      </c>
      <c r="O2419" s="130" t="s">
        <v>2367</v>
      </c>
      <c r="P2419" s="205" t="s">
        <v>2368</v>
      </c>
      <c r="Q2419" s="50">
        <v>480801.0</v>
      </c>
      <c r="R2419" s="54"/>
      <c r="S2419" s="78" t="s">
        <v>40544</v>
      </c>
      <c r="T2419" s="16"/>
      <c r="U2419" s="16"/>
      <c r="V2419" s="16"/>
      <c r="W2419" s="16"/>
      <c r="X2419" s="16"/>
      <c r="Y2419" s="16"/>
      <c r="Z2419" s="16"/>
      <c r="AA2419" s="16"/>
      <c r="AB2419" s="16"/>
      <c r="AC2419" s="16"/>
    </row>
    <row r="2420" ht="15.75" customHeight="1">
      <c r="A2420" s="14" t="s">
        <v>17</v>
      </c>
      <c r="B2420" s="50">
        <v>1995.0</v>
      </c>
      <c r="C2420" s="14" t="s">
        <v>2538</v>
      </c>
      <c r="D2420" s="14" t="s">
        <v>2539</v>
      </c>
      <c r="E2420" s="156" t="str">
        <f>HYPERLINK("http://dx.doi.org/10.1109/VISUAL.1995.480821","http://dx.doi.org/10.1109/VISUAL.1995.480821")</f>
        <v>http://dx.doi.org/10.1109/VISUAL.1995.480821</v>
      </c>
      <c r="F2420" s="50">
        <v>263.0</v>
      </c>
      <c r="G2420" s="14" t="s">
        <v>2544</v>
      </c>
      <c r="H2420" s="151"/>
      <c r="I2420" s="14" t="s">
        <v>28</v>
      </c>
      <c r="J2420" s="14" t="s">
        <v>40545</v>
      </c>
      <c r="K2420" s="14" t="s">
        <v>40546</v>
      </c>
      <c r="L2420" s="152" t="s">
        <v>665</v>
      </c>
      <c r="M2420" s="14" t="s">
        <v>40547</v>
      </c>
      <c r="N2420" s="54" t="s">
        <v>40548</v>
      </c>
      <c r="O2420" s="130" t="s">
        <v>2546</v>
      </c>
      <c r="P2420" s="16"/>
      <c r="Q2420" s="50">
        <v>480821.0</v>
      </c>
      <c r="R2420" s="54"/>
      <c r="S2420" s="78" t="s">
        <v>40549</v>
      </c>
      <c r="T2420" s="16"/>
      <c r="U2420" s="16"/>
      <c r="V2420" s="16"/>
      <c r="W2420" s="16"/>
      <c r="X2420" s="16"/>
      <c r="Y2420" s="16"/>
      <c r="Z2420" s="16"/>
      <c r="AA2420" s="16"/>
      <c r="AB2420" s="16"/>
      <c r="AC2420" s="16"/>
    </row>
    <row r="2421" ht="15.75" customHeight="1">
      <c r="A2421" s="14" t="s">
        <v>17</v>
      </c>
      <c r="B2421" s="50">
        <v>1995.0</v>
      </c>
      <c r="C2421" s="14" t="s">
        <v>2370</v>
      </c>
      <c r="D2421" s="14" t="s">
        <v>2371</v>
      </c>
      <c r="E2421" s="156" t="str">
        <f>HYPERLINK("http://dx.doi.org/10.1109/VISUAL.1995.480802","http://dx.doi.org/10.1109/VISUAL.1995.480802")</f>
        <v>http://dx.doi.org/10.1109/VISUAL.1995.480802</v>
      </c>
      <c r="F2421" s="50">
        <v>110.0</v>
      </c>
      <c r="G2421" s="50">
        <v>117.0</v>
      </c>
      <c r="H2421" s="151"/>
      <c r="I2421" s="14" t="s">
        <v>28</v>
      </c>
      <c r="J2421" s="14" t="s">
        <v>40552</v>
      </c>
      <c r="K2421" s="14" t="s">
        <v>40553</v>
      </c>
      <c r="L2421" s="152" t="s">
        <v>2376</v>
      </c>
      <c r="M2421" s="14" t="s">
        <v>40554</v>
      </c>
      <c r="N2421" s="54" t="s">
        <v>40553</v>
      </c>
      <c r="O2421" s="130"/>
      <c r="P2421" s="16"/>
      <c r="Q2421" s="50">
        <v>480802.0</v>
      </c>
      <c r="R2421" s="54"/>
      <c r="S2421" s="78"/>
      <c r="T2421" s="16"/>
      <c r="U2421" s="16"/>
      <c r="V2421" s="16"/>
      <c r="W2421" s="16"/>
      <c r="X2421" s="16"/>
      <c r="Y2421" s="16"/>
      <c r="Z2421" s="16"/>
      <c r="AA2421" s="16"/>
      <c r="AB2421" s="16"/>
      <c r="AC2421" s="16"/>
    </row>
    <row r="2422" ht="15.75" customHeight="1">
      <c r="A2422" s="14" t="s">
        <v>17</v>
      </c>
      <c r="B2422" s="50">
        <v>1995.0</v>
      </c>
      <c r="C2422" s="14" t="s">
        <v>2687</v>
      </c>
      <c r="D2422" s="14" t="s">
        <v>2688</v>
      </c>
      <c r="E2422" s="156" t="str">
        <f>HYPERLINK("http://dx.doi.org/10.1109/VISUAL.1995.485155","http://dx.doi.org/10.1109/VISUAL.1995.485155")</f>
        <v>http://dx.doi.org/10.1109/VISUAL.1995.485155</v>
      </c>
      <c r="F2422" s="50">
        <v>374.0</v>
      </c>
      <c r="G2422" s="14" t="s">
        <v>2690</v>
      </c>
      <c r="H2422" s="151"/>
      <c r="I2422" s="14" t="s">
        <v>28</v>
      </c>
      <c r="J2422" s="14" t="s">
        <v>40557</v>
      </c>
      <c r="K2422" s="14" t="s">
        <v>7817</v>
      </c>
      <c r="L2422" s="152" t="s">
        <v>2692</v>
      </c>
      <c r="M2422" s="50">
        <v>3.813856E10</v>
      </c>
      <c r="N2422" s="54" t="s">
        <v>7817</v>
      </c>
      <c r="O2422" s="130"/>
      <c r="P2422" s="16"/>
      <c r="Q2422" s="50">
        <v>485155.0</v>
      </c>
      <c r="R2422" s="54"/>
      <c r="S2422" s="78"/>
      <c r="T2422" s="16"/>
      <c r="U2422" s="16"/>
      <c r="V2422" s="16"/>
      <c r="W2422" s="16"/>
      <c r="X2422" s="16"/>
      <c r="Y2422" s="16"/>
      <c r="Z2422" s="16"/>
      <c r="AA2422" s="16"/>
      <c r="AB2422" s="16"/>
      <c r="AC2422" s="16"/>
    </row>
    <row r="2423" ht="15.75" customHeight="1">
      <c r="A2423" s="14" t="s">
        <v>17</v>
      </c>
      <c r="B2423" s="50">
        <v>1995.0</v>
      </c>
      <c r="C2423" s="14" t="s">
        <v>2443</v>
      </c>
      <c r="D2423" s="14" t="s">
        <v>2444</v>
      </c>
      <c r="E2423" s="156" t="str">
        <f>HYPERLINK("http://dx.doi.org/10.1109/VISUAL.1995.480811","http://dx.doi.org/10.1109/VISUAL.1995.480811")</f>
        <v>http://dx.doi.org/10.1109/VISUAL.1995.480811</v>
      </c>
      <c r="F2423" s="50">
        <v>184.0</v>
      </c>
      <c r="G2423" s="14" t="s">
        <v>2449</v>
      </c>
      <c r="H2423" s="151"/>
      <c r="I2423" s="14" t="s">
        <v>28</v>
      </c>
      <c r="J2423" s="14" t="s">
        <v>40559</v>
      </c>
      <c r="K2423" s="14" t="s">
        <v>39919</v>
      </c>
      <c r="L2423" s="152" t="s">
        <v>2451</v>
      </c>
      <c r="M2423" s="14" t="s">
        <v>40560</v>
      </c>
      <c r="N2423" s="54" t="s">
        <v>39919</v>
      </c>
      <c r="O2423" s="130" t="s">
        <v>2452</v>
      </c>
      <c r="P2423" s="16"/>
      <c r="Q2423" s="50">
        <v>480811.0</v>
      </c>
      <c r="R2423" s="54"/>
      <c r="S2423" s="78" t="s">
        <v>40561</v>
      </c>
      <c r="T2423" s="16"/>
      <c r="U2423" s="16"/>
      <c r="V2423" s="16"/>
      <c r="W2423" s="16"/>
      <c r="X2423" s="16"/>
      <c r="Y2423" s="16"/>
      <c r="Z2423" s="16"/>
      <c r="AA2423" s="16"/>
      <c r="AB2423" s="16"/>
      <c r="AC2423" s="16"/>
    </row>
    <row r="2424" ht="15.75" customHeight="1">
      <c r="A2424" s="14" t="s">
        <v>17</v>
      </c>
      <c r="B2424" s="50">
        <v>1995.0</v>
      </c>
      <c r="C2424" s="14" t="s">
        <v>2345</v>
      </c>
      <c r="D2424" s="14" t="s">
        <v>2346</v>
      </c>
      <c r="E2424" s="156" t="str">
        <f>HYPERLINK("http://dx.doi.org/10.1109/VISUAL.1995.480799","http://dx.doi.org/10.1109/VISUAL.1995.480799")</f>
        <v>http://dx.doi.org/10.1109/VISUAL.1995.480799</v>
      </c>
      <c r="F2424" s="50">
        <v>86.0</v>
      </c>
      <c r="G2424" s="14" t="s">
        <v>2351</v>
      </c>
      <c r="H2424" s="151"/>
      <c r="I2424" s="14" t="s">
        <v>28</v>
      </c>
      <c r="J2424" s="14" t="s">
        <v>40562</v>
      </c>
      <c r="K2424" s="14" t="s">
        <v>40563</v>
      </c>
      <c r="L2424" s="152" t="s">
        <v>2353</v>
      </c>
      <c r="M2424" s="14" t="s">
        <v>40564</v>
      </c>
      <c r="N2424" s="54" t="s">
        <v>40563</v>
      </c>
      <c r="O2424" s="130"/>
      <c r="P2424" s="205" t="s">
        <v>2354</v>
      </c>
      <c r="Q2424" s="50">
        <v>480799.0</v>
      </c>
      <c r="R2424" s="54"/>
      <c r="S2424" s="78"/>
      <c r="T2424" s="16"/>
      <c r="U2424" s="16"/>
      <c r="V2424" s="16"/>
      <c r="W2424" s="16"/>
      <c r="X2424" s="16"/>
      <c r="Y2424" s="16"/>
      <c r="Z2424" s="16"/>
      <c r="AA2424" s="16"/>
      <c r="AB2424" s="16"/>
      <c r="AC2424" s="16"/>
    </row>
    <row r="2425" ht="15.75" customHeight="1">
      <c r="A2425" s="14" t="s">
        <v>17</v>
      </c>
      <c r="B2425" s="50">
        <v>1995.0</v>
      </c>
      <c r="C2425" s="14" t="s">
        <v>2461</v>
      </c>
      <c r="D2425" s="14" t="s">
        <v>2462</v>
      </c>
      <c r="E2425" s="156" t="str">
        <f>HYPERLINK("http://dx.doi.org/10.1109/VISUAL.1995.480813","http://dx.doi.org/10.1109/VISUAL.1995.480813")</f>
        <v>http://dx.doi.org/10.1109/VISUAL.1995.480813</v>
      </c>
      <c r="F2425" s="50">
        <v>201.0</v>
      </c>
      <c r="G2425" s="14" t="s">
        <v>2464</v>
      </c>
      <c r="H2425" s="151"/>
      <c r="I2425" s="14" t="s">
        <v>28</v>
      </c>
      <c r="J2425" s="14" t="s">
        <v>40566</v>
      </c>
      <c r="K2425" s="14" t="s">
        <v>40568</v>
      </c>
      <c r="L2425" s="152" t="s">
        <v>753</v>
      </c>
      <c r="M2425" s="14" t="s">
        <v>40569</v>
      </c>
      <c r="N2425" s="54" t="s">
        <v>40570</v>
      </c>
      <c r="O2425" s="130" t="s">
        <v>2466</v>
      </c>
      <c r="P2425" s="16"/>
      <c r="Q2425" s="50">
        <v>480813.0</v>
      </c>
      <c r="R2425" s="54"/>
      <c r="S2425" s="78" t="s">
        <v>40571</v>
      </c>
      <c r="T2425" s="16"/>
      <c r="U2425" s="16"/>
      <c r="V2425" s="16"/>
      <c r="W2425" s="16"/>
      <c r="X2425" s="16"/>
      <c r="Y2425" s="16"/>
      <c r="Z2425" s="16"/>
      <c r="AA2425" s="16"/>
      <c r="AB2425" s="16"/>
      <c r="AC2425" s="16"/>
    </row>
    <row r="2426" ht="15.75" customHeight="1">
      <c r="A2426" s="14" t="s">
        <v>17</v>
      </c>
      <c r="B2426" s="50">
        <v>1995.0</v>
      </c>
      <c r="C2426" s="14" t="s">
        <v>2699</v>
      </c>
      <c r="D2426" s="14" t="s">
        <v>2700</v>
      </c>
      <c r="E2426" s="156" t="str">
        <f>HYPERLINK("http://dx.doi.org/10.1109/VISUAL.1995.485157","http://dx.doi.org/10.1109/VISUAL.1995.485157")</f>
        <v>http://dx.doi.org/10.1109/VISUAL.1995.485157</v>
      </c>
      <c r="F2426" s="50">
        <v>383.0</v>
      </c>
      <c r="G2426" s="14" t="s">
        <v>2702</v>
      </c>
      <c r="H2426" s="151"/>
      <c r="I2426" s="14" t="s">
        <v>28</v>
      </c>
      <c r="J2426" s="14" t="s">
        <v>40573</v>
      </c>
      <c r="K2426" s="14" t="s">
        <v>40574</v>
      </c>
      <c r="L2426" s="152" t="s">
        <v>2704</v>
      </c>
      <c r="M2426" s="14" t="s">
        <v>40575</v>
      </c>
      <c r="N2426" s="54" t="s">
        <v>40574</v>
      </c>
      <c r="O2426" s="130"/>
      <c r="P2426" s="16"/>
      <c r="Q2426" s="50">
        <v>485157.0</v>
      </c>
      <c r="R2426" s="54"/>
      <c r="S2426" s="78"/>
      <c r="T2426" s="16"/>
      <c r="U2426" s="16"/>
      <c r="V2426" s="16"/>
      <c r="W2426" s="16"/>
      <c r="X2426" s="16"/>
      <c r="Y2426" s="16"/>
      <c r="Z2426" s="16"/>
      <c r="AA2426" s="16"/>
      <c r="AB2426" s="16"/>
      <c r="AC2426" s="16"/>
    </row>
    <row r="2427" ht="15.75" customHeight="1">
      <c r="A2427" s="14" t="s">
        <v>17</v>
      </c>
      <c r="B2427" s="50">
        <v>1995.0</v>
      </c>
      <c r="C2427" s="14" t="s">
        <v>2722</v>
      </c>
      <c r="D2427" s="14" t="s">
        <v>2723</v>
      </c>
      <c r="E2427" s="156" t="str">
        <f>HYPERLINK("http://dx.doi.org/10.1109/VISUAL.1995.485171","http://dx.doi.org/10.1109/VISUAL.1995.485171")</f>
        <v>http://dx.doi.org/10.1109/VISUAL.1995.485171</v>
      </c>
      <c r="F2427" s="50">
        <v>400.0</v>
      </c>
      <c r="G2427" s="14" t="s">
        <v>2725</v>
      </c>
      <c r="H2427" s="151"/>
      <c r="I2427" s="14" t="s">
        <v>28</v>
      </c>
      <c r="J2427" s="14" t="s">
        <v>40578</v>
      </c>
      <c r="K2427" s="14" t="s">
        <v>40579</v>
      </c>
      <c r="L2427" s="152" t="s">
        <v>815</v>
      </c>
      <c r="M2427" s="14" t="s">
        <v>40580</v>
      </c>
      <c r="N2427" s="54" t="s">
        <v>40579</v>
      </c>
      <c r="O2427" s="130"/>
      <c r="P2427" s="16"/>
      <c r="Q2427" s="50">
        <v>485171.0</v>
      </c>
      <c r="R2427" s="54"/>
      <c r="S2427" s="78"/>
      <c r="T2427" s="16"/>
      <c r="U2427" s="16"/>
      <c r="V2427" s="16"/>
      <c r="W2427" s="16"/>
      <c r="X2427" s="16"/>
      <c r="Y2427" s="16"/>
      <c r="Z2427" s="16"/>
      <c r="AA2427" s="16"/>
      <c r="AB2427" s="16"/>
      <c r="AC2427" s="16"/>
    </row>
    <row r="2428" ht="15.75" customHeight="1">
      <c r="A2428" s="14" t="s">
        <v>17</v>
      </c>
      <c r="B2428" s="50">
        <v>1995.0</v>
      </c>
      <c r="C2428" s="14" t="s">
        <v>2426</v>
      </c>
      <c r="D2428" s="14" t="s">
        <v>2427</v>
      </c>
      <c r="E2428" s="156" t="str">
        <f>HYPERLINK("http://dx.doi.org/10.1109/VISUAL.1995.480809","http://dx.doi.org/10.1109/VISUAL.1995.480809")</f>
        <v>http://dx.doi.org/10.1109/VISUAL.1995.480809</v>
      </c>
      <c r="F2428" s="50">
        <v>168.0</v>
      </c>
      <c r="G2428" s="14" t="s">
        <v>2429</v>
      </c>
      <c r="H2428" s="151"/>
      <c r="I2428" s="14" t="s">
        <v>28</v>
      </c>
      <c r="J2428" s="14" t="s">
        <v>40583</v>
      </c>
      <c r="K2428" s="14" t="s">
        <v>11431</v>
      </c>
      <c r="L2428" s="152" t="s">
        <v>2431</v>
      </c>
      <c r="M2428" s="50">
        <v>3.7444424E10</v>
      </c>
      <c r="N2428" s="54" t="s">
        <v>11431</v>
      </c>
      <c r="O2428" s="130" t="s">
        <v>2432</v>
      </c>
      <c r="P2428" s="208" t="s">
        <v>2433</v>
      </c>
      <c r="Q2428" s="50">
        <v>480809.0</v>
      </c>
      <c r="R2428" s="54"/>
      <c r="S2428" s="78" t="s">
        <v>40585</v>
      </c>
      <c r="T2428" s="16"/>
      <c r="U2428" s="16"/>
      <c r="V2428" s="16"/>
      <c r="W2428" s="16"/>
      <c r="X2428" s="16"/>
      <c r="Y2428" s="16"/>
      <c r="Z2428" s="16"/>
      <c r="AA2428" s="16"/>
      <c r="AB2428" s="16"/>
      <c r="AC2428" s="16"/>
    </row>
    <row r="2429" ht="15.75" customHeight="1">
      <c r="A2429" s="14" t="s">
        <v>17</v>
      </c>
      <c r="B2429" s="50">
        <v>1995.0</v>
      </c>
      <c r="C2429" s="14" t="s">
        <v>2298</v>
      </c>
      <c r="D2429" s="14" t="s">
        <v>2299</v>
      </c>
      <c r="E2429" s="156" t="str">
        <f>HYPERLINK("http://dx.doi.org/10.1109/VISUAL.1995.480793","http://dx.doi.org/10.1109/VISUAL.1995.480793")</f>
        <v>http://dx.doi.org/10.1109/VISUAL.1995.480793</v>
      </c>
      <c r="F2429" s="50">
        <v>36.0</v>
      </c>
      <c r="G2429" s="14" t="s">
        <v>2301</v>
      </c>
      <c r="H2429" s="151"/>
      <c r="I2429" s="14" t="s">
        <v>28</v>
      </c>
      <c r="J2429" s="54" t="s">
        <v>40587</v>
      </c>
      <c r="K2429" s="14" t="s">
        <v>40588</v>
      </c>
      <c r="L2429" s="152" t="s">
        <v>2303</v>
      </c>
      <c r="M2429" s="14" t="s">
        <v>40589</v>
      </c>
      <c r="N2429" s="54" t="s">
        <v>40588</v>
      </c>
      <c r="O2429" s="130" t="s">
        <v>1565</v>
      </c>
      <c r="P2429" s="16"/>
      <c r="Q2429" s="50">
        <v>480793.0</v>
      </c>
      <c r="R2429" s="54"/>
      <c r="S2429" s="78">
        <v>398878.0</v>
      </c>
      <c r="T2429" s="16"/>
      <c r="U2429" s="16"/>
      <c r="V2429" s="16"/>
      <c r="W2429" s="16"/>
      <c r="X2429" s="16"/>
      <c r="Y2429" s="16"/>
      <c r="Z2429" s="16"/>
      <c r="AA2429" s="16"/>
      <c r="AB2429" s="16"/>
      <c r="AC2429" s="16"/>
    </row>
    <row r="2430" ht="15.75" customHeight="1">
      <c r="A2430" s="14" t="s">
        <v>17</v>
      </c>
      <c r="B2430" s="50">
        <v>1995.0</v>
      </c>
      <c r="C2430" s="14" t="s">
        <v>2453</v>
      </c>
      <c r="D2430" s="14" t="s">
        <v>2454</v>
      </c>
      <c r="E2430" s="156" t="str">
        <f>HYPERLINK("http://dx.doi.org/10.1109/VISUAL.1995.480812","http://dx.doi.org/10.1109/VISUAL.1995.480812")</f>
        <v>http://dx.doi.org/10.1109/VISUAL.1995.480812</v>
      </c>
      <c r="F2430" s="50">
        <v>192.0</v>
      </c>
      <c r="G2430" s="50">
        <v>199.0</v>
      </c>
      <c r="H2430" s="151"/>
      <c r="I2430" s="14" t="s">
        <v>28</v>
      </c>
      <c r="J2430" s="14" t="s">
        <v>40590</v>
      </c>
      <c r="K2430" s="14" t="s">
        <v>40591</v>
      </c>
      <c r="L2430" s="152" t="s">
        <v>2460</v>
      </c>
      <c r="M2430" s="14" t="s">
        <v>40592</v>
      </c>
      <c r="N2430" s="54" t="s">
        <v>40591</v>
      </c>
      <c r="O2430" s="130" t="s">
        <v>1340</v>
      </c>
      <c r="P2430" s="16"/>
      <c r="Q2430" s="50">
        <v>480812.0</v>
      </c>
      <c r="R2430" s="54"/>
      <c r="S2430" s="78">
        <v>398845.0</v>
      </c>
      <c r="T2430" s="16"/>
      <c r="U2430" s="16"/>
      <c r="V2430" s="16"/>
      <c r="W2430" s="16"/>
      <c r="X2430" s="16"/>
      <c r="Y2430" s="16"/>
      <c r="Z2430" s="16"/>
      <c r="AA2430" s="16"/>
      <c r="AB2430" s="16"/>
      <c r="AC2430" s="16"/>
    </row>
    <row r="2431" ht="15.75" customHeight="1">
      <c r="A2431" s="14" t="s">
        <v>17</v>
      </c>
      <c r="B2431" s="50">
        <v>1995.0</v>
      </c>
      <c r="C2431" s="14" t="s">
        <v>2490</v>
      </c>
      <c r="D2431" s="14" t="s">
        <v>2491</v>
      </c>
      <c r="E2431" s="156" t="str">
        <f>HYPERLINK("http://dx.doi.org/10.1109/VISUAL.1995.480817","http://dx.doi.org/10.1109/VISUAL.1995.480817")</f>
        <v>http://dx.doi.org/10.1109/VISUAL.1995.480817</v>
      </c>
      <c r="F2431" s="50">
        <v>233.0</v>
      </c>
      <c r="G2431" s="14" t="s">
        <v>2496</v>
      </c>
      <c r="H2431" s="151"/>
      <c r="I2431" s="14" t="s">
        <v>28</v>
      </c>
      <c r="J2431" s="14" t="s">
        <v>40594</v>
      </c>
      <c r="K2431" s="14" t="s">
        <v>40595</v>
      </c>
      <c r="L2431" s="152" t="s">
        <v>1372</v>
      </c>
      <c r="M2431" s="14" t="s">
        <v>40596</v>
      </c>
      <c r="N2431" s="54" t="s">
        <v>40597</v>
      </c>
      <c r="O2431" s="130" t="s">
        <v>2497</v>
      </c>
      <c r="P2431" s="16"/>
      <c r="Q2431" s="50">
        <v>480817.0</v>
      </c>
      <c r="R2431" s="54"/>
      <c r="S2431" s="78" t="s">
        <v>40598</v>
      </c>
      <c r="T2431" s="16"/>
      <c r="U2431" s="16"/>
      <c r="V2431" s="16"/>
      <c r="W2431" s="16"/>
      <c r="X2431" s="16"/>
      <c r="Y2431" s="16"/>
      <c r="Z2431" s="16"/>
      <c r="AA2431" s="16"/>
      <c r="AB2431" s="16"/>
      <c r="AC2431" s="16"/>
    </row>
    <row r="2432" ht="15.75" customHeight="1">
      <c r="A2432" s="14" t="s">
        <v>17</v>
      </c>
      <c r="B2432" s="50">
        <v>1995.0</v>
      </c>
      <c r="C2432" s="14" t="s">
        <v>2312</v>
      </c>
      <c r="D2432" s="14" t="s">
        <v>2313</v>
      </c>
      <c r="E2432" s="156" t="str">
        <f>HYPERLINK("http://dx.doi.org/10.1109/VISUAL.1995.480795","http://dx.doi.org/10.1109/VISUAL.1995.480795")</f>
        <v>http://dx.doi.org/10.1109/VISUAL.1995.480795</v>
      </c>
      <c r="F2432" s="50">
        <v>52.0</v>
      </c>
      <c r="G2432" s="14" t="s">
        <v>2318</v>
      </c>
      <c r="H2432" s="151"/>
      <c r="I2432" s="14" t="s">
        <v>28</v>
      </c>
      <c r="J2432" s="14" t="s">
        <v>40599</v>
      </c>
      <c r="K2432" s="14" t="s">
        <v>40331</v>
      </c>
      <c r="L2432" s="152" t="s">
        <v>2320</v>
      </c>
      <c r="M2432" s="14" t="s">
        <v>40332</v>
      </c>
      <c r="N2432" s="54" t="s">
        <v>40331</v>
      </c>
      <c r="O2432" s="130"/>
      <c r="P2432" s="16"/>
      <c r="Q2432" s="50">
        <v>480795.0</v>
      </c>
      <c r="R2432" s="54"/>
      <c r="S2432" s="78"/>
      <c r="T2432" s="16"/>
      <c r="U2432" s="16"/>
      <c r="V2432" s="16"/>
      <c r="W2432" s="16"/>
      <c r="X2432" s="16"/>
      <c r="Y2432" s="16"/>
      <c r="Z2432" s="16"/>
      <c r="AA2432" s="16"/>
      <c r="AB2432" s="16"/>
      <c r="AC2432" s="16"/>
    </row>
    <row r="2433" ht="15.75" customHeight="1">
      <c r="A2433" s="14" t="s">
        <v>17</v>
      </c>
      <c r="B2433" s="50">
        <v>1995.0</v>
      </c>
      <c r="C2433" s="14" t="s">
        <v>2596</v>
      </c>
      <c r="D2433" s="14" t="s">
        <v>2597</v>
      </c>
      <c r="E2433" s="156" t="str">
        <f>HYPERLINK("http://dx.doi.org/10.1109/VISUAL.1995.485144","http://dx.doi.org/10.1109/VISUAL.1995.485144")</f>
        <v>http://dx.doi.org/10.1109/VISUAL.1995.485144</v>
      </c>
      <c r="F2433" s="50">
        <v>313.0</v>
      </c>
      <c r="G2433" s="54"/>
      <c r="H2433" s="151"/>
      <c r="I2433" s="14" t="s">
        <v>28</v>
      </c>
      <c r="J2433" s="54" t="s">
        <v>40600</v>
      </c>
      <c r="K2433" s="14" t="s">
        <v>40601</v>
      </c>
      <c r="L2433" s="152" t="s">
        <v>494</v>
      </c>
      <c r="M2433" s="14" t="s">
        <v>40602</v>
      </c>
      <c r="N2433" s="54" t="s">
        <v>40601</v>
      </c>
      <c r="O2433" s="130" t="s">
        <v>2604</v>
      </c>
      <c r="P2433" s="16"/>
      <c r="Q2433" s="50">
        <v>485144.0</v>
      </c>
      <c r="R2433" s="54"/>
      <c r="S2433" s="78" t="s">
        <v>40603</v>
      </c>
      <c r="T2433" s="16"/>
      <c r="U2433" s="16"/>
      <c r="V2433" s="16"/>
      <c r="W2433" s="16"/>
      <c r="X2433" s="16"/>
      <c r="Y2433" s="16"/>
      <c r="Z2433" s="16"/>
      <c r="AA2433" s="16"/>
      <c r="AB2433" s="16"/>
      <c r="AC2433" s="16"/>
    </row>
    <row r="2434" ht="15.75" customHeight="1">
      <c r="A2434" s="14" t="s">
        <v>17</v>
      </c>
      <c r="B2434" s="50">
        <v>1995.0</v>
      </c>
      <c r="C2434" s="14" t="s">
        <v>2391</v>
      </c>
      <c r="D2434" s="14" t="s">
        <v>2392</v>
      </c>
      <c r="E2434" s="156" t="str">
        <f>HYPERLINK("http://dx.doi.org/10.1109/VISUAL.1995.480805","http://dx.doi.org/10.1109/VISUAL.1995.480805")</f>
        <v>http://dx.doi.org/10.1109/VISUAL.1995.480805</v>
      </c>
      <c r="F2434" s="50">
        <v>135.0</v>
      </c>
      <c r="G2434" s="14" t="s">
        <v>2397</v>
      </c>
      <c r="H2434" s="151"/>
      <c r="I2434" s="14" t="s">
        <v>28</v>
      </c>
      <c r="J2434" s="14" t="s">
        <v>40604</v>
      </c>
      <c r="K2434" s="14" t="s">
        <v>40605</v>
      </c>
      <c r="L2434" s="152" t="s">
        <v>2399</v>
      </c>
      <c r="M2434" s="14" t="s">
        <v>40606</v>
      </c>
      <c r="N2434" s="54" t="s">
        <v>40607</v>
      </c>
      <c r="O2434" s="130" t="s">
        <v>2067</v>
      </c>
      <c r="P2434" s="16"/>
      <c r="Q2434" s="50">
        <v>480805.0</v>
      </c>
      <c r="R2434" s="54"/>
      <c r="S2434" s="78">
        <v>346333.0</v>
      </c>
      <c r="T2434" s="16"/>
      <c r="U2434" s="16"/>
      <c r="V2434" s="16"/>
      <c r="W2434" s="16"/>
      <c r="X2434" s="16"/>
      <c r="Y2434" s="16"/>
      <c r="Z2434" s="16"/>
      <c r="AA2434" s="16"/>
      <c r="AB2434" s="16"/>
      <c r="AC2434" s="16"/>
    </row>
    <row r="2435" ht="15.75" customHeight="1">
      <c r="A2435" s="14" t="s">
        <v>17</v>
      </c>
      <c r="B2435" s="50">
        <v>1995.0</v>
      </c>
      <c r="C2435" s="14" t="s">
        <v>2419</v>
      </c>
      <c r="D2435" s="14" t="s">
        <v>2420</v>
      </c>
      <c r="E2435" s="156" t="str">
        <f>HYPERLINK("http://dx.doi.org/10.1109/VISUAL.1995.480808","http://dx.doi.org/10.1109/VISUAL.1995.480808")</f>
        <v>http://dx.doi.org/10.1109/VISUAL.1995.480808</v>
      </c>
      <c r="F2435" s="50">
        <v>159.0</v>
      </c>
      <c r="G2435" s="14" t="s">
        <v>2422</v>
      </c>
      <c r="H2435" s="151"/>
      <c r="I2435" s="14" t="s">
        <v>28</v>
      </c>
      <c r="J2435" s="14" t="s">
        <v>40609</v>
      </c>
      <c r="K2435" s="14" t="s">
        <v>3941</v>
      </c>
      <c r="L2435" s="152" t="s">
        <v>2424</v>
      </c>
      <c r="M2435" s="14" t="s">
        <v>40610</v>
      </c>
      <c r="N2435" s="54" t="s">
        <v>3941</v>
      </c>
      <c r="O2435" s="130" t="s">
        <v>2425</v>
      </c>
      <c r="P2435" s="16"/>
      <c r="Q2435" s="50">
        <v>480808.0</v>
      </c>
      <c r="R2435" s="54"/>
      <c r="S2435" s="78" t="s">
        <v>40611</v>
      </c>
      <c r="T2435" s="16"/>
      <c r="U2435" s="16"/>
      <c r="V2435" s="16"/>
      <c r="W2435" s="16"/>
      <c r="X2435" s="16"/>
      <c r="Y2435" s="16"/>
      <c r="Z2435" s="16"/>
      <c r="AA2435" s="16"/>
      <c r="AB2435" s="16"/>
      <c r="AC2435" s="16"/>
    </row>
    <row r="2436" ht="15.75" customHeight="1">
      <c r="A2436" s="14" t="s">
        <v>17</v>
      </c>
      <c r="B2436" s="50">
        <v>1995.0</v>
      </c>
      <c r="C2436" s="14" t="s">
        <v>2693</v>
      </c>
      <c r="D2436" s="14" t="s">
        <v>2694</v>
      </c>
      <c r="E2436" s="156" t="str">
        <f>HYPERLINK("http://dx.doi.org/10.1109/VISUAL.1995.485156","http://dx.doi.org/10.1109/VISUAL.1995.485156")</f>
        <v>http://dx.doi.org/10.1109/VISUAL.1995.485156</v>
      </c>
      <c r="F2436" s="50">
        <v>379.0</v>
      </c>
      <c r="G2436" s="14" t="s">
        <v>2696</v>
      </c>
      <c r="H2436" s="151"/>
      <c r="I2436" s="14" t="s">
        <v>28</v>
      </c>
      <c r="J2436" s="14" t="s">
        <v>40612</v>
      </c>
      <c r="K2436" s="14" t="s">
        <v>40613</v>
      </c>
      <c r="L2436" s="152" t="s">
        <v>2663</v>
      </c>
      <c r="M2436" s="14" t="s">
        <v>40614</v>
      </c>
      <c r="N2436" s="54" t="s">
        <v>40613</v>
      </c>
      <c r="O2436" s="130" t="s">
        <v>2698</v>
      </c>
      <c r="P2436" s="16"/>
      <c r="Q2436" s="50">
        <v>485156.0</v>
      </c>
      <c r="R2436" s="54"/>
      <c r="S2436" s="78" t="s">
        <v>40615</v>
      </c>
      <c r="T2436" s="16"/>
      <c r="U2436" s="16"/>
      <c r="V2436" s="16"/>
      <c r="W2436" s="16"/>
      <c r="X2436" s="16"/>
      <c r="Y2436" s="16"/>
      <c r="Z2436" s="16"/>
      <c r="AA2436" s="16"/>
      <c r="AB2436" s="16"/>
      <c r="AC2436" s="16"/>
    </row>
    <row r="2437" ht="15.75" customHeight="1">
      <c r="A2437" s="14" t="s">
        <v>17</v>
      </c>
      <c r="B2437" s="50">
        <v>1995.0</v>
      </c>
      <c r="C2437" s="14" t="s">
        <v>2547</v>
      </c>
      <c r="D2437" s="14" t="s">
        <v>2548</v>
      </c>
      <c r="E2437" s="156" t="str">
        <f>HYPERLINK("http://dx.doi.org/10.1109/VISUAL.1995.485139","http://dx.doi.org/10.1109/VISUAL.1995.485139")</f>
        <v>http://dx.doi.org/10.1109/VISUAL.1995.485139</v>
      </c>
      <c r="F2437" s="50">
        <v>271.0</v>
      </c>
      <c r="G2437" s="54"/>
      <c r="H2437" s="151"/>
      <c r="I2437" s="14" t="s">
        <v>28</v>
      </c>
      <c r="J2437" s="54" t="s">
        <v>40616</v>
      </c>
      <c r="K2437" s="14" t="s">
        <v>40617</v>
      </c>
      <c r="L2437" s="152" t="s">
        <v>178</v>
      </c>
      <c r="M2437" s="14" t="s">
        <v>40618</v>
      </c>
      <c r="N2437" s="54" t="s">
        <v>40617</v>
      </c>
      <c r="O2437" s="130" t="s">
        <v>2551</v>
      </c>
      <c r="P2437" s="16"/>
      <c r="Q2437" s="50">
        <v>485139.0</v>
      </c>
      <c r="R2437" s="54"/>
      <c r="S2437" s="78" t="s">
        <v>40619</v>
      </c>
      <c r="T2437" s="16"/>
      <c r="U2437" s="16"/>
      <c r="V2437" s="16"/>
      <c r="W2437" s="16"/>
      <c r="X2437" s="16"/>
      <c r="Y2437" s="16"/>
      <c r="Z2437" s="16"/>
      <c r="AA2437" s="16"/>
      <c r="AB2437" s="16"/>
      <c r="AC2437" s="16"/>
    </row>
    <row r="2438" ht="15.75" customHeight="1">
      <c r="A2438" s="14" t="s">
        <v>17</v>
      </c>
      <c r="B2438" s="50">
        <v>1995.0</v>
      </c>
      <c r="C2438" s="14" t="s">
        <v>2434</v>
      </c>
      <c r="D2438" s="14" t="s">
        <v>2435</v>
      </c>
      <c r="E2438" s="156" t="str">
        <f>HYPERLINK("http://dx.doi.org/10.1109/VISUAL.1995.480810","http://dx.doi.org/10.1109/VISUAL.1995.480810")</f>
        <v>http://dx.doi.org/10.1109/VISUAL.1995.480810</v>
      </c>
      <c r="F2438" s="50">
        <v>176.0</v>
      </c>
      <c r="G2438" s="14" t="s">
        <v>2439</v>
      </c>
      <c r="H2438" s="151"/>
      <c r="I2438" s="14" t="s">
        <v>28</v>
      </c>
      <c r="J2438" s="54" t="s">
        <v>40621</v>
      </c>
      <c r="K2438" s="14" t="s">
        <v>8776</v>
      </c>
      <c r="L2438" s="152" t="s">
        <v>2441</v>
      </c>
      <c r="M2438" s="50">
        <v>3.72969805E10</v>
      </c>
      <c r="N2438" s="54" t="s">
        <v>8776</v>
      </c>
      <c r="O2438" s="130" t="s">
        <v>2442</v>
      </c>
      <c r="P2438" s="16"/>
      <c r="Q2438" s="50">
        <v>480810.0</v>
      </c>
      <c r="R2438" s="54"/>
      <c r="S2438" s="78" t="s">
        <v>40622</v>
      </c>
      <c r="T2438" s="16"/>
      <c r="U2438" s="16"/>
      <c r="V2438" s="16"/>
      <c r="W2438" s="16"/>
      <c r="X2438" s="16"/>
      <c r="Y2438" s="16"/>
      <c r="Z2438" s="16"/>
      <c r="AA2438" s="16"/>
      <c r="AB2438" s="16"/>
      <c r="AC2438" s="16"/>
    </row>
    <row r="2439" ht="15.75" customHeight="1">
      <c r="A2439" s="14" t="s">
        <v>17</v>
      </c>
      <c r="B2439" s="50">
        <v>1995.0</v>
      </c>
      <c r="C2439" s="14" t="s">
        <v>2564</v>
      </c>
      <c r="D2439" s="14" t="s">
        <v>2565</v>
      </c>
      <c r="E2439" s="156" t="str">
        <f>HYPERLINK("http://dx.doi.org/10.1109/VISUAL.1995.485141","http://dx.doi.org/10.1109/VISUAL.1995.485141")</f>
        <v>http://dx.doi.org/10.1109/VISUAL.1995.485141</v>
      </c>
      <c r="F2439" s="50">
        <v>288.0</v>
      </c>
      <c r="G2439" s="14" t="s">
        <v>2573</v>
      </c>
      <c r="H2439" s="151"/>
      <c r="I2439" s="14" t="s">
        <v>28</v>
      </c>
      <c r="J2439" s="14" t="s">
        <v>40623</v>
      </c>
      <c r="K2439" s="14" t="s">
        <v>40624</v>
      </c>
      <c r="L2439" s="152" t="s">
        <v>2575</v>
      </c>
      <c r="M2439" s="14" t="s">
        <v>40625</v>
      </c>
      <c r="N2439" s="54" t="s">
        <v>40624</v>
      </c>
      <c r="O2439" s="130" t="s">
        <v>2576</v>
      </c>
      <c r="P2439" s="205" t="s">
        <v>2577</v>
      </c>
      <c r="Q2439" s="50">
        <v>485141.0</v>
      </c>
      <c r="R2439" s="54"/>
      <c r="S2439" s="78" t="s">
        <v>40626</v>
      </c>
      <c r="T2439" s="16"/>
      <c r="U2439" s="16"/>
      <c r="V2439" s="16"/>
      <c r="W2439" s="16"/>
      <c r="X2439" s="16"/>
      <c r="Y2439" s="16"/>
      <c r="Z2439" s="16"/>
      <c r="AA2439" s="16"/>
      <c r="AB2439" s="16"/>
      <c r="AC2439" s="16"/>
    </row>
    <row r="2440" ht="15.75" customHeight="1">
      <c r="A2440" s="14" t="s">
        <v>17</v>
      </c>
      <c r="B2440" s="50">
        <v>1995.0</v>
      </c>
      <c r="C2440" s="14" t="s">
        <v>2338</v>
      </c>
      <c r="D2440" s="14" t="s">
        <v>2340</v>
      </c>
      <c r="E2440" s="156" t="str">
        <f>HYPERLINK("http://dx.doi.org/10.1109/VISUAL.1995.480798","http://dx.doi.org/10.1109/VISUAL.1995.480798")</f>
        <v>http://dx.doi.org/10.1109/VISUAL.1995.480798</v>
      </c>
      <c r="F2440" s="50">
        <v>77.0</v>
      </c>
      <c r="G2440" s="14" t="s">
        <v>2342</v>
      </c>
      <c r="H2440" s="151"/>
      <c r="I2440" s="14" t="s">
        <v>28</v>
      </c>
      <c r="J2440" s="14" t="s">
        <v>40627</v>
      </c>
      <c r="K2440" s="14" t="s">
        <v>11510</v>
      </c>
      <c r="L2440" s="152" t="s">
        <v>2344</v>
      </c>
      <c r="M2440" s="50">
        <v>3.7351416E10</v>
      </c>
      <c r="N2440" s="54" t="s">
        <v>11510</v>
      </c>
      <c r="O2440" s="130"/>
      <c r="P2440" s="16"/>
      <c r="Q2440" s="50">
        <v>480798.0</v>
      </c>
      <c r="R2440" s="54"/>
      <c r="S2440" s="78"/>
      <c r="T2440" s="16"/>
      <c r="U2440" s="16"/>
      <c r="V2440" s="16"/>
      <c r="W2440" s="16"/>
      <c r="X2440" s="16"/>
      <c r="Y2440" s="16"/>
      <c r="Z2440" s="16"/>
      <c r="AA2440" s="16"/>
      <c r="AB2440" s="16"/>
      <c r="AC2440" s="16"/>
    </row>
    <row r="2441" ht="15.75" customHeight="1">
      <c r="A2441" s="14" t="s">
        <v>17</v>
      </c>
      <c r="B2441" s="50">
        <v>1995.0</v>
      </c>
      <c r="C2441" s="14" t="s">
        <v>2710</v>
      </c>
      <c r="D2441" s="14" t="s">
        <v>2711</v>
      </c>
      <c r="E2441" s="156" t="str">
        <f>HYPERLINK("http://dx.doi.org/10.1109/VISUAL.1995.485169","http://dx.doi.org/10.1109/VISUAL.1995.485169")</f>
        <v>http://dx.doi.org/10.1109/VISUAL.1995.485169</v>
      </c>
      <c r="F2441" s="50">
        <v>393.0</v>
      </c>
      <c r="G2441" s="14" t="s">
        <v>2713</v>
      </c>
      <c r="H2441" s="151"/>
      <c r="I2441" s="14" t="s">
        <v>28</v>
      </c>
      <c r="J2441" s="14" t="s">
        <v>40629</v>
      </c>
      <c r="K2441" s="14" t="s">
        <v>40630</v>
      </c>
      <c r="L2441" s="152" t="s">
        <v>2715</v>
      </c>
      <c r="M2441" s="14" t="s">
        <v>40631</v>
      </c>
      <c r="N2441" s="54" t="s">
        <v>40630</v>
      </c>
      <c r="O2441" s="130"/>
      <c r="P2441" s="16"/>
      <c r="Q2441" s="50">
        <v>485169.0</v>
      </c>
      <c r="R2441" s="54"/>
      <c r="S2441" s="78"/>
      <c r="T2441" s="16"/>
      <c r="U2441" s="16"/>
      <c r="V2441" s="16"/>
      <c r="W2441" s="16"/>
      <c r="X2441" s="16"/>
      <c r="Y2441" s="16"/>
      <c r="Z2441" s="16"/>
      <c r="AA2441" s="16"/>
      <c r="AB2441" s="16"/>
      <c r="AC2441" s="16"/>
    </row>
    <row r="2442" ht="15.75" customHeight="1">
      <c r="A2442" s="14" t="s">
        <v>17</v>
      </c>
      <c r="B2442" s="50">
        <v>1995.0</v>
      </c>
      <c r="C2442" s="14" t="s">
        <v>2273</v>
      </c>
      <c r="D2442" s="14" t="s">
        <v>2274</v>
      </c>
      <c r="E2442" s="156" t="str">
        <f>HYPERLINK("http://dx.doi.org/10.1109/VISUAL.1995.480790","http://dx.doi.org/10.1109/VISUAL.1995.480790")</f>
        <v>http://dx.doi.org/10.1109/VISUAL.1995.480790</v>
      </c>
      <c r="F2442" s="50">
        <v>11.0</v>
      </c>
      <c r="G2442" s="14" t="s">
        <v>2279</v>
      </c>
      <c r="H2442" s="151"/>
      <c r="I2442" s="14" t="s">
        <v>28</v>
      </c>
      <c r="J2442" s="14" t="s">
        <v>40632</v>
      </c>
      <c r="K2442" s="14" t="s">
        <v>40633</v>
      </c>
      <c r="L2442" s="152" t="s">
        <v>2281</v>
      </c>
      <c r="M2442" s="14" t="s">
        <v>40634</v>
      </c>
      <c r="N2442" s="54" t="s">
        <v>40633</v>
      </c>
      <c r="O2442" s="130"/>
      <c r="P2442" s="16"/>
      <c r="Q2442" s="50">
        <v>480790.0</v>
      </c>
      <c r="R2442" s="54"/>
      <c r="S2442" s="78"/>
      <c r="T2442" s="16"/>
      <c r="U2442" s="16"/>
      <c r="V2442" s="16"/>
      <c r="W2442" s="16"/>
      <c r="X2442" s="16"/>
      <c r="Y2442" s="16"/>
      <c r="Z2442" s="16"/>
      <c r="AA2442" s="16"/>
      <c r="AB2442" s="16"/>
      <c r="AC2442" s="16"/>
    </row>
    <row r="2443" ht="15.75" customHeight="1">
      <c r="A2443" s="14" t="s">
        <v>17</v>
      </c>
      <c r="B2443" s="50">
        <v>1995.0</v>
      </c>
      <c r="C2443" s="14" t="s">
        <v>2282</v>
      </c>
      <c r="D2443" s="14" t="s">
        <v>2283</v>
      </c>
      <c r="E2443" s="156" t="str">
        <f>HYPERLINK("http://dx.doi.org/10.1109/VISUAL.1995.480791","http://dx.doi.org/10.1109/VISUAL.1995.480791")</f>
        <v>http://dx.doi.org/10.1109/VISUAL.1995.480791</v>
      </c>
      <c r="F2443" s="50">
        <v>19.0</v>
      </c>
      <c r="G2443" s="14" t="s">
        <v>2285</v>
      </c>
      <c r="H2443" s="151"/>
      <c r="I2443" s="14" t="s">
        <v>28</v>
      </c>
      <c r="J2443" s="14" t="s">
        <v>40635</v>
      </c>
      <c r="K2443" s="14" t="s">
        <v>7077</v>
      </c>
      <c r="L2443" s="152" t="s">
        <v>2288</v>
      </c>
      <c r="M2443" s="50">
        <v>3.76643708E10</v>
      </c>
      <c r="N2443" s="54" t="s">
        <v>7077</v>
      </c>
      <c r="O2443" s="130"/>
      <c r="P2443" s="16"/>
      <c r="Q2443" s="50">
        <v>480791.0</v>
      </c>
      <c r="R2443" s="54"/>
      <c r="S2443" s="78"/>
      <c r="T2443" s="16"/>
      <c r="U2443" s="16"/>
      <c r="V2443" s="16"/>
      <c r="W2443" s="16"/>
      <c r="X2443" s="16"/>
      <c r="Y2443" s="16"/>
      <c r="Z2443" s="16"/>
      <c r="AA2443" s="16"/>
      <c r="AB2443" s="16"/>
      <c r="AC2443" s="16"/>
    </row>
    <row r="2444" ht="15.75" customHeight="1">
      <c r="A2444" s="14" t="s">
        <v>17</v>
      </c>
      <c r="B2444" s="50">
        <v>1995.0</v>
      </c>
      <c r="C2444" s="14" t="s">
        <v>2498</v>
      </c>
      <c r="D2444" s="14" t="s">
        <v>2499</v>
      </c>
      <c r="E2444" s="156" t="str">
        <f>HYPERLINK("http://dx.doi.org/10.1109/VISUAL.1995.480818","http://dx.doi.org/10.1109/VISUAL.1995.480818")</f>
        <v>http://dx.doi.org/10.1109/VISUAL.1995.480818</v>
      </c>
      <c r="F2444" s="50">
        <v>240.0</v>
      </c>
      <c r="G2444" s="14" t="s">
        <v>2514</v>
      </c>
      <c r="H2444" s="151"/>
      <c r="I2444" s="14" t="s">
        <v>28</v>
      </c>
      <c r="J2444" s="14" t="s">
        <v>40636</v>
      </c>
      <c r="K2444" s="14" t="s">
        <v>40637</v>
      </c>
      <c r="L2444" s="152" t="s">
        <v>753</v>
      </c>
      <c r="M2444" s="14" t="s">
        <v>40638</v>
      </c>
      <c r="N2444" s="54" t="s">
        <v>40637</v>
      </c>
      <c r="O2444" s="130" t="s">
        <v>2516</v>
      </c>
      <c r="P2444" s="16"/>
      <c r="Q2444" s="50">
        <v>480818.0</v>
      </c>
      <c r="R2444" s="54"/>
      <c r="S2444" s="78" t="s">
        <v>40639</v>
      </c>
      <c r="T2444" s="16"/>
      <c r="U2444" s="16"/>
      <c r="V2444" s="16"/>
      <c r="W2444" s="16"/>
      <c r="X2444" s="16"/>
      <c r="Y2444" s="16"/>
      <c r="Z2444" s="16"/>
      <c r="AA2444" s="16"/>
      <c r="AB2444" s="16"/>
      <c r="AC2444" s="16"/>
    </row>
    <row r="2445" ht="15.75" customHeight="1">
      <c r="A2445" s="14" t="s">
        <v>17</v>
      </c>
      <c r="B2445" s="50">
        <v>1995.0</v>
      </c>
      <c r="C2445" s="14" t="s">
        <v>2267</v>
      </c>
      <c r="D2445" s="14" t="s">
        <v>2268</v>
      </c>
      <c r="E2445" s="156" t="str">
        <f>HYPERLINK("http://dx.doi.org/10.1109/VISUAL.1995.480789","http://dx.doi.org/10.1109/VISUAL.1995.480789")</f>
        <v>http://dx.doi.org/10.1109/VISUAL.1995.480789</v>
      </c>
      <c r="F2445" s="50">
        <v>3.0</v>
      </c>
      <c r="G2445" s="14" t="s">
        <v>2270</v>
      </c>
      <c r="H2445" s="151"/>
      <c r="I2445" s="14" t="s">
        <v>28</v>
      </c>
      <c r="J2445" s="54" t="s">
        <v>40640</v>
      </c>
      <c r="K2445" s="14" t="s">
        <v>7947</v>
      </c>
      <c r="L2445" s="152" t="s">
        <v>2272</v>
      </c>
      <c r="M2445" s="50">
        <v>3.81473599E10</v>
      </c>
      <c r="N2445" s="54" t="s">
        <v>7947</v>
      </c>
      <c r="O2445" s="130"/>
      <c r="P2445" s="16"/>
      <c r="Q2445" s="50">
        <v>480789.0</v>
      </c>
      <c r="R2445" s="54"/>
      <c r="S2445" s="78"/>
      <c r="T2445" s="16"/>
      <c r="U2445" s="16"/>
      <c r="V2445" s="16"/>
      <c r="W2445" s="16"/>
      <c r="X2445" s="16"/>
      <c r="Y2445" s="16"/>
      <c r="Z2445" s="16"/>
      <c r="AA2445" s="16"/>
      <c r="AB2445" s="16"/>
      <c r="AC2445" s="16"/>
    </row>
    <row r="2446" ht="15.75" customHeight="1">
      <c r="A2446" s="14" t="s">
        <v>17</v>
      </c>
      <c r="B2446" s="50">
        <v>1995.0</v>
      </c>
      <c r="C2446" s="14" t="s">
        <v>2405</v>
      </c>
      <c r="D2446" s="14" t="s">
        <v>2406</v>
      </c>
      <c r="E2446" s="156" t="str">
        <f>HYPERLINK("http://dx.doi.org/10.1109/VISUAL.1995.480807","http://dx.doi.org/10.1109/VISUAL.1995.480807")</f>
        <v>http://dx.doi.org/10.1109/VISUAL.1995.480807</v>
      </c>
      <c r="F2446" s="50">
        <v>151.0</v>
      </c>
      <c r="G2446" s="14" t="s">
        <v>2411</v>
      </c>
      <c r="H2446" s="151"/>
      <c r="I2446" s="14" t="s">
        <v>28</v>
      </c>
      <c r="J2446" s="14" t="s">
        <v>40641</v>
      </c>
      <c r="K2446" s="14" t="s">
        <v>40642</v>
      </c>
      <c r="L2446" s="152" t="s">
        <v>2413</v>
      </c>
      <c r="M2446" s="14" t="s">
        <v>40643</v>
      </c>
      <c r="N2446" s="54" t="s">
        <v>40642</v>
      </c>
      <c r="O2446" s="130" t="s">
        <v>2414</v>
      </c>
      <c r="P2446" s="208" t="s">
        <v>2416</v>
      </c>
      <c r="Q2446" s="50">
        <v>480807.0</v>
      </c>
      <c r="R2446" s="54"/>
      <c r="S2446" s="78" t="s">
        <v>40644</v>
      </c>
      <c r="T2446" s="16"/>
      <c r="U2446" s="16"/>
      <c r="V2446" s="16"/>
      <c r="W2446" s="16"/>
      <c r="X2446" s="16"/>
      <c r="Y2446" s="16"/>
      <c r="Z2446" s="16"/>
      <c r="AA2446" s="16"/>
      <c r="AB2446" s="16"/>
      <c r="AC2446" s="16"/>
    </row>
    <row r="2447" ht="15.75" customHeight="1">
      <c r="A2447" s="14" t="s">
        <v>17</v>
      </c>
      <c r="B2447" s="50">
        <v>1995.0</v>
      </c>
      <c r="C2447" s="14" t="s">
        <v>2467</v>
      </c>
      <c r="D2447" s="14" t="s">
        <v>2468</v>
      </c>
      <c r="E2447" s="156" t="str">
        <f>HYPERLINK("http://dx.doi.org/10.1109/VISUAL.1995.480814","http://dx.doi.org/10.1109/VISUAL.1995.480814")</f>
        <v>http://dx.doi.org/10.1109/VISUAL.1995.480814</v>
      </c>
      <c r="F2447" s="50">
        <v>209.0</v>
      </c>
      <c r="G2447" s="14" t="s">
        <v>2473</v>
      </c>
      <c r="H2447" s="151"/>
      <c r="I2447" s="14" t="s">
        <v>28</v>
      </c>
      <c r="J2447" s="14" t="s">
        <v>40645</v>
      </c>
      <c r="K2447" s="14" t="s">
        <v>40646</v>
      </c>
      <c r="L2447" s="152" t="s">
        <v>2475</v>
      </c>
      <c r="M2447" s="14" t="s">
        <v>40647</v>
      </c>
      <c r="N2447" s="54" t="s">
        <v>40646</v>
      </c>
      <c r="O2447" s="130"/>
      <c r="P2447" s="16"/>
      <c r="Q2447" s="50">
        <v>480814.0</v>
      </c>
      <c r="R2447" s="54"/>
      <c r="S2447" s="78"/>
      <c r="T2447" s="16"/>
      <c r="U2447" s="16"/>
      <c r="V2447" s="16"/>
      <c r="W2447" s="16"/>
      <c r="X2447" s="16"/>
      <c r="Y2447" s="16"/>
      <c r="Z2447" s="16"/>
      <c r="AA2447" s="16"/>
      <c r="AB2447" s="16"/>
      <c r="AC2447" s="16"/>
    </row>
    <row r="2448" ht="15.75" customHeight="1">
      <c r="A2448" s="14" t="s">
        <v>17</v>
      </c>
      <c r="B2448" s="50">
        <v>1995.0</v>
      </c>
      <c r="C2448" s="14" t="s">
        <v>2679</v>
      </c>
      <c r="D2448" s="14" t="s">
        <v>2680</v>
      </c>
      <c r="E2448" s="156" t="str">
        <f>HYPERLINK("http://dx.doi.org/10.1109/VISUAL.1995.485154","http://dx.doi.org/10.1109/VISUAL.1995.485154")</f>
        <v>http://dx.doi.org/10.1109/VISUAL.1995.485154</v>
      </c>
      <c r="F2448" s="50">
        <v>368.0</v>
      </c>
      <c r="G2448" s="14" t="s">
        <v>2685</v>
      </c>
      <c r="H2448" s="151"/>
      <c r="I2448" s="14" t="s">
        <v>28</v>
      </c>
      <c r="J2448" s="14" t="s">
        <v>40649</v>
      </c>
      <c r="K2448" s="14" t="s">
        <v>9124</v>
      </c>
      <c r="L2448" s="152" t="s">
        <v>2686</v>
      </c>
      <c r="M2448" s="50">
        <v>3.73784272E10</v>
      </c>
      <c r="N2448" s="54" t="s">
        <v>9124</v>
      </c>
      <c r="O2448" s="130" t="s">
        <v>1161</v>
      </c>
      <c r="P2448" s="16"/>
      <c r="Q2448" s="50">
        <v>485154.0</v>
      </c>
      <c r="R2448" s="54"/>
      <c r="S2448" s="78">
        <v>235205.0</v>
      </c>
      <c r="T2448" s="16"/>
      <c r="U2448" s="16"/>
      <c r="V2448" s="16"/>
      <c r="W2448" s="16"/>
      <c r="X2448" s="16"/>
      <c r="Y2448" s="16"/>
      <c r="Z2448" s="16"/>
      <c r="AA2448" s="16"/>
      <c r="AB2448" s="16"/>
      <c r="AC2448" s="16"/>
    </row>
    <row r="2449" ht="15.75" customHeight="1">
      <c r="A2449" s="14" t="s">
        <v>17</v>
      </c>
      <c r="B2449" s="50">
        <v>1995.0</v>
      </c>
      <c r="C2449" s="14" t="s">
        <v>2327</v>
      </c>
      <c r="D2449" s="14" t="s">
        <v>2328</v>
      </c>
      <c r="E2449" s="156" t="str">
        <f>HYPERLINK("http://dx.doi.org/10.1109/VISUAL.1995.480797","http://dx.doi.org/10.1109/VISUAL.1995.480797")</f>
        <v>http://dx.doi.org/10.1109/VISUAL.1995.480797</v>
      </c>
      <c r="F2449" s="50">
        <v>69.0</v>
      </c>
      <c r="G2449" s="14" t="s">
        <v>2333</v>
      </c>
      <c r="H2449" s="151"/>
      <c r="I2449" s="14" t="s">
        <v>28</v>
      </c>
      <c r="J2449" s="14" t="s">
        <v>40650</v>
      </c>
      <c r="K2449" s="14" t="s">
        <v>2334</v>
      </c>
      <c r="L2449" s="152" t="s">
        <v>2335</v>
      </c>
      <c r="M2449" s="14" t="s">
        <v>40651</v>
      </c>
      <c r="N2449" s="54" t="s">
        <v>2334</v>
      </c>
      <c r="O2449" s="130" t="s">
        <v>174</v>
      </c>
      <c r="P2449" s="16"/>
      <c r="Q2449" s="50">
        <v>480797.0</v>
      </c>
      <c r="R2449" s="54"/>
      <c r="S2449" s="78">
        <v>146377.0</v>
      </c>
      <c r="T2449" s="16"/>
      <c r="U2449" s="16"/>
      <c r="V2449" s="16"/>
      <c r="W2449" s="16"/>
      <c r="X2449" s="16"/>
      <c r="Y2449" s="16"/>
      <c r="Z2449" s="16"/>
      <c r="AA2449" s="16"/>
      <c r="AB2449" s="16"/>
      <c r="AC2449" s="16"/>
    </row>
    <row r="2450" ht="15.75" customHeight="1">
      <c r="A2450" s="14" t="s">
        <v>17</v>
      </c>
      <c r="B2450" s="50">
        <v>1995.0</v>
      </c>
      <c r="C2450" s="14" t="s">
        <v>2605</v>
      </c>
      <c r="D2450" s="14" t="s">
        <v>2606</v>
      </c>
      <c r="E2450" s="156" t="str">
        <f>HYPERLINK("http://dx.doi.org/10.1109/VISUAL.1995.485145","http://dx.doi.org/10.1109/VISUAL.1995.485145")</f>
        <v>http://dx.doi.org/10.1109/VISUAL.1995.485145</v>
      </c>
      <c r="F2450" s="50">
        <v>321.0</v>
      </c>
      <c r="G2450" s="14" t="s">
        <v>2611</v>
      </c>
      <c r="H2450" s="151"/>
      <c r="I2450" s="14" t="s">
        <v>28</v>
      </c>
      <c r="J2450" s="14" t="s">
        <v>40653</v>
      </c>
      <c r="K2450" s="14" t="s">
        <v>40654</v>
      </c>
      <c r="L2450" s="152" t="s">
        <v>2613</v>
      </c>
      <c r="M2450" s="14" t="s">
        <v>40655</v>
      </c>
      <c r="N2450" s="54" t="s">
        <v>40656</v>
      </c>
      <c r="O2450" s="130" t="s">
        <v>2614</v>
      </c>
      <c r="P2450" s="16"/>
      <c r="Q2450" s="50">
        <v>485145.0</v>
      </c>
      <c r="R2450" s="54"/>
      <c r="S2450" s="78" t="s">
        <v>40657</v>
      </c>
      <c r="T2450" s="16"/>
      <c r="U2450" s="16"/>
      <c r="V2450" s="16"/>
      <c r="W2450" s="16"/>
      <c r="X2450" s="16"/>
      <c r="Y2450" s="16"/>
      <c r="Z2450" s="16"/>
      <c r="AA2450" s="16"/>
      <c r="AB2450" s="16"/>
      <c r="AC2450" s="16"/>
    </row>
    <row r="2451" ht="15.75" customHeight="1">
      <c r="A2451" s="14" t="s">
        <v>17</v>
      </c>
      <c r="B2451" s="50">
        <v>1995.0</v>
      </c>
      <c r="C2451" s="14" t="s">
        <v>2639</v>
      </c>
      <c r="D2451" s="14" t="s">
        <v>2640</v>
      </c>
      <c r="E2451" s="156" t="str">
        <f>HYPERLINK("http://dx.doi.org/10.1109/VISUAL.1995.485149","http://dx.doi.org/10.1109/VISUAL.1995.485149")</f>
        <v>http://dx.doi.org/10.1109/VISUAL.1995.485149</v>
      </c>
      <c r="F2451" s="50">
        <v>346.0</v>
      </c>
      <c r="G2451" s="50">
        <v>349.0</v>
      </c>
      <c r="H2451" s="151"/>
      <c r="I2451" s="14" t="s">
        <v>28</v>
      </c>
      <c r="J2451" s="14" t="s">
        <v>40658</v>
      </c>
      <c r="K2451" s="14" t="s">
        <v>9540</v>
      </c>
      <c r="L2451" s="152" t="s">
        <v>2646</v>
      </c>
      <c r="M2451" s="50">
        <v>3.81460599E10</v>
      </c>
      <c r="N2451" s="54" t="s">
        <v>9540</v>
      </c>
      <c r="O2451" s="130"/>
      <c r="P2451" s="16"/>
      <c r="Q2451" s="50">
        <v>485149.0</v>
      </c>
      <c r="R2451" s="54"/>
      <c r="S2451" s="78"/>
      <c r="T2451" s="16"/>
      <c r="U2451" s="16"/>
      <c r="V2451" s="16"/>
      <c r="W2451" s="16"/>
      <c r="X2451" s="16"/>
      <c r="Y2451" s="16"/>
      <c r="Z2451" s="16"/>
      <c r="AA2451" s="16"/>
      <c r="AB2451" s="16"/>
      <c r="AC2451" s="16"/>
    </row>
    <row r="2452" ht="15.75" customHeight="1">
      <c r="A2452" s="14" t="s">
        <v>17</v>
      </c>
      <c r="B2452" s="50">
        <v>1995.0</v>
      </c>
      <c r="C2452" s="14" t="s">
        <v>2624</v>
      </c>
      <c r="D2452" s="14" t="s">
        <v>2625</v>
      </c>
      <c r="E2452" s="156" t="str">
        <f>HYPERLINK("http://dx.doi.org/10.1109/VISUAL.1995.485147","http://dx.doi.org/10.1109/VISUAL.1995.485147")</f>
        <v>http://dx.doi.org/10.1109/VISUAL.1995.485147</v>
      </c>
      <c r="F2452" s="50">
        <v>338.0</v>
      </c>
      <c r="G2452" s="14" t="s">
        <v>2627</v>
      </c>
      <c r="H2452" s="151"/>
      <c r="I2452" s="14" t="s">
        <v>28</v>
      </c>
      <c r="J2452" s="14" t="s">
        <v>40659</v>
      </c>
      <c r="K2452" s="14" t="s">
        <v>40660</v>
      </c>
      <c r="L2452" s="152" t="s">
        <v>2629</v>
      </c>
      <c r="M2452" s="14" t="s">
        <v>40661</v>
      </c>
      <c r="N2452" s="54" t="s">
        <v>40660</v>
      </c>
      <c r="O2452" s="130" t="s">
        <v>1465</v>
      </c>
      <c r="P2452" s="16"/>
      <c r="Q2452" s="50">
        <v>485147.0</v>
      </c>
      <c r="R2452" s="54"/>
      <c r="S2452" s="78">
        <v>398863.0</v>
      </c>
      <c r="T2452" s="16"/>
      <c r="U2452" s="16"/>
      <c r="V2452" s="16"/>
      <c r="W2452" s="16"/>
      <c r="X2452" s="16"/>
      <c r="Y2452" s="16"/>
      <c r="Z2452" s="16"/>
      <c r="AA2452" s="16"/>
      <c r="AB2452" s="16"/>
      <c r="AC2452" s="16"/>
    </row>
    <row r="2453" ht="15.75" customHeight="1">
      <c r="A2453" s="14" t="s">
        <v>17</v>
      </c>
      <c r="B2453" s="50">
        <v>1995.0</v>
      </c>
      <c r="C2453" s="14" t="s">
        <v>2630</v>
      </c>
      <c r="D2453" s="14" t="s">
        <v>2631</v>
      </c>
      <c r="E2453" s="156" t="str">
        <f>HYPERLINK("http://dx.doi.org/10.1109/VISUAL.1995.485148","http://dx.doi.org/10.1109/VISUAL.1995.485148")</f>
        <v>http://dx.doi.org/10.1109/VISUAL.1995.485148</v>
      </c>
      <c r="F2453" s="50">
        <v>342.0</v>
      </c>
      <c r="G2453" s="14" t="s">
        <v>2636</v>
      </c>
      <c r="H2453" s="151"/>
      <c r="I2453" s="14" t="s">
        <v>28</v>
      </c>
      <c r="J2453" s="14" t="s">
        <v>40664</v>
      </c>
      <c r="K2453" s="14" t="s">
        <v>40665</v>
      </c>
      <c r="L2453" s="152" t="s">
        <v>2638</v>
      </c>
      <c r="M2453" s="14" t="s">
        <v>40666</v>
      </c>
      <c r="N2453" s="54" t="s">
        <v>40665</v>
      </c>
      <c r="O2453" s="130"/>
      <c r="P2453" s="16"/>
      <c r="Q2453" s="50">
        <v>485148.0</v>
      </c>
      <c r="R2453" s="54"/>
      <c r="S2453" s="78"/>
      <c r="T2453" s="16"/>
      <c r="U2453" s="16"/>
      <c r="V2453" s="16"/>
      <c r="W2453" s="16"/>
      <c r="X2453" s="16"/>
      <c r="Y2453" s="16"/>
      <c r="Z2453" s="16"/>
      <c r="AA2453" s="16"/>
      <c r="AB2453" s="16"/>
      <c r="AC2453" s="16"/>
    </row>
    <row r="2454" ht="15.75" customHeight="1">
      <c r="A2454" s="14" t="s">
        <v>17</v>
      </c>
      <c r="B2454" s="50">
        <v>1995.0</v>
      </c>
      <c r="C2454" s="14" t="s">
        <v>2553</v>
      </c>
      <c r="D2454" s="14" t="s">
        <v>2555</v>
      </c>
      <c r="E2454" s="156" t="str">
        <f>HYPERLINK("http://dx.doi.org/10.1109/VISUAL.1995.485140","http://dx.doi.org/10.1109/VISUAL.1995.485140")</f>
        <v>http://dx.doi.org/10.1109/VISUAL.1995.485140</v>
      </c>
      <c r="F2454" s="50">
        <v>279.0</v>
      </c>
      <c r="G2454" s="14" t="s">
        <v>2559</v>
      </c>
      <c r="H2454" s="151"/>
      <c r="I2454" s="14" t="s">
        <v>28</v>
      </c>
      <c r="J2454" s="14" t="s">
        <v>40668</v>
      </c>
      <c r="K2454" s="14" t="s">
        <v>40669</v>
      </c>
      <c r="L2454" s="152" t="s">
        <v>2561</v>
      </c>
      <c r="M2454" s="14" t="s">
        <v>40670</v>
      </c>
      <c r="N2454" s="54" t="s">
        <v>40669</v>
      </c>
      <c r="O2454" s="130" t="s">
        <v>2562</v>
      </c>
      <c r="P2454" s="208" t="s">
        <v>2563</v>
      </c>
      <c r="Q2454" s="50">
        <v>485140.0</v>
      </c>
      <c r="R2454" s="54"/>
      <c r="S2454" s="78" t="s">
        <v>40671</v>
      </c>
      <c r="T2454" s="16"/>
      <c r="U2454" s="16"/>
      <c r="V2454" s="16"/>
      <c r="W2454" s="16"/>
      <c r="X2454" s="16"/>
      <c r="Y2454" s="16"/>
      <c r="Z2454" s="16"/>
      <c r="AA2454" s="16"/>
      <c r="AB2454" s="16"/>
      <c r="AC2454" s="16"/>
    </row>
    <row r="2455" ht="15.75" customHeight="1">
      <c r="A2455" s="14" t="s">
        <v>17</v>
      </c>
      <c r="B2455" s="50">
        <v>1995.0</v>
      </c>
      <c r="C2455" s="14" t="s">
        <v>2386</v>
      </c>
      <c r="D2455" s="14" t="s">
        <v>2387</v>
      </c>
      <c r="E2455" s="156" t="str">
        <f>HYPERLINK("http://dx.doi.org/10.1109/VISUAL.1995.480804","http://dx.doi.org/10.1109/VISUAL.1995.480804")</f>
        <v>http://dx.doi.org/10.1109/VISUAL.1995.480804</v>
      </c>
      <c r="F2455" s="50">
        <v>126.0</v>
      </c>
      <c r="G2455" s="14" t="s">
        <v>2389</v>
      </c>
      <c r="H2455" s="151"/>
      <c r="I2455" s="14" t="s">
        <v>28</v>
      </c>
      <c r="J2455" s="14" t="s">
        <v>40673</v>
      </c>
      <c r="K2455" s="14" t="s">
        <v>40674</v>
      </c>
      <c r="L2455" s="152" t="s">
        <v>855</v>
      </c>
      <c r="M2455" s="14" t="s">
        <v>40675</v>
      </c>
      <c r="N2455" s="54" t="s">
        <v>40674</v>
      </c>
      <c r="O2455" s="130" t="s">
        <v>2390</v>
      </c>
      <c r="P2455" s="16"/>
      <c r="Q2455" s="50">
        <v>480804.0</v>
      </c>
      <c r="R2455" s="54"/>
      <c r="S2455" s="78" t="s">
        <v>40676</v>
      </c>
      <c r="T2455" s="16"/>
      <c r="U2455" s="16"/>
      <c r="V2455" s="16"/>
      <c r="W2455" s="16"/>
      <c r="X2455" s="16"/>
      <c r="Y2455" s="16"/>
      <c r="Z2455" s="16"/>
      <c r="AA2455" s="16"/>
      <c r="AB2455" s="16"/>
      <c r="AC2455" s="16"/>
    </row>
    <row r="2456" ht="15.75" customHeight="1">
      <c r="A2456" s="14" t="s">
        <v>17</v>
      </c>
      <c r="B2456" s="50">
        <v>1995.0</v>
      </c>
      <c r="C2456" s="14" t="s">
        <v>2321</v>
      </c>
      <c r="D2456" s="14" t="s">
        <v>2322</v>
      </c>
      <c r="E2456" s="156" t="str">
        <f>HYPERLINK("http://dx.doi.org/10.1109/VISUAL.1995.480796","http://dx.doi.org/10.1109/VISUAL.1995.480796")</f>
        <v>http://dx.doi.org/10.1109/VISUAL.1995.480796</v>
      </c>
      <c r="F2456" s="50">
        <v>61.0</v>
      </c>
      <c r="G2456" s="14" t="s">
        <v>2324</v>
      </c>
      <c r="H2456" s="151"/>
      <c r="I2456" s="14" t="s">
        <v>28</v>
      </c>
      <c r="J2456" s="14" t="s">
        <v>40678</v>
      </c>
      <c r="K2456" s="14" t="s">
        <v>40679</v>
      </c>
      <c r="L2456" s="152" t="s">
        <v>753</v>
      </c>
      <c r="M2456" s="14" t="s">
        <v>40680</v>
      </c>
      <c r="N2456" s="54" t="s">
        <v>40679</v>
      </c>
      <c r="O2456" s="130" t="s">
        <v>40681</v>
      </c>
      <c r="P2456" s="16"/>
      <c r="Q2456" s="50">
        <v>480796.0</v>
      </c>
      <c r="R2456" s="54"/>
      <c r="S2456" s="78" t="s">
        <v>40682</v>
      </c>
      <c r="T2456" s="16"/>
      <c r="U2456" s="16"/>
      <c r="V2456" s="16"/>
      <c r="W2456" s="16"/>
      <c r="X2456" s="16"/>
      <c r="Y2456" s="16"/>
      <c r="Z2456" s="16"/>
      <c r="AA2456" s="16"/>
      <c r="AB2456" s="16"/>
      <c r="AC2456" s="16"/>
    </row>
    <row r="2457" ht="15.75" customHeight="1">
      <c r="A2457" s="14" t="s">
        <v>17</v>
      </c>
      <c r="B2457" s="50">
        <v>1995.0</v>
      </c>
      <c r="C2457" s="14" t="s">
        <v>2476</v>
      </c>
      <c r="D2457" s="14" t="s">
        <v>2151</v>
      </c>
      <c r="E2457" s="156" t="str">
        <f>HYPERLINK("http://dx.doi.org/10.1109/VISUAL.1995.480815","http://dx.doi.org/10.1109/VISUAL.1995.480815")</f>
        <v>http://dx.doi.org/10.1109/VISUAL.1995.480815</v>
      </c>
      <c r="F2457" s="50">
        <v>217.0</v>
      </c>
      <c r="G2457" s="14" t="s">
        <v>2478</v>
      </c>
      <c r="H2457" s="151"/>
      <c r="I2457" s="14" t="s">
        <v>28</v>
      </c>
      <c r="J2457" s="14" t="s">
        <v>40685</v>
      </c>
      <c r="K2457" s="14" t="s">
        <v>40686</v>
      </c>
      <c r="L2457" s="152" t="s">
        <v>2480</v>
      </c>
      <c r="M2457" s="14" t="s">
        <v>40687</v>
      </c>
      <c r="N2457" s="54" t="s">
        <v>40686</v>
      </c>
      <c r="O2457" s="130" t="s">
        <v>2144</v>
      </c>
      <c r="P2457" s="16"/>
      <c r="Q2457" s="50">
        <v>480815.0</v>
      </c>
      <c r="R2457" s="54"/>
      <c r="S2457" s="78">
        <v>528681.0</v>
      </c>
      <c r="T2457" s="16"/>
      <c r="U2457" s="16"/>
      <c r="V2457" s="16"/>
      <c r="W2457" s="16"/>
      <c r="X2457" s="16"/>
      <c r="Y2457" s="16"/>
      <c r="Z2457" s="16"/>
      <c r="AA2457" s="16"/>
      <c r="AB2457" s="16"/>
      <c r="AC2457" s="16"/>
    </row>
    <row r="2458" ht="15.75" customHeight="1">
      <c r="A2458" s="14" t="s">
        <v>17</v>
      </c>
      <c r="B2458" s="50">
        <v>1995.0</v>
      </c>
      <c r="C2458" s="14" t="s">
        <v>2400</v>
      </c>
      <c r="D2458" s="14" t="s">
        <v>2401</v>
      </c>
      <c r="E2458" s="156" t="str">
        <f>HYPERLINK("http://dx.doi.org/10.1109/VISUAL.1995.480806","http://dx.doi.org/10.1109/VISUAL.1995.480806")</f>
        <v>http://dx.doi.org/10.1109/VISUAL.1995.480806</v>
      </c>
      <c r="F2458" s="50">
        <v>143.0</v>
      </c>
      <c r="G2458" s="14" t="s">
        <v>2403</v>
      </c>
      <c r="H2458" s="151"/>
      <c r="I2458" s="14" t="s">
        <v>28</v>
      </c>
      <c r="J2458" s="14" t="s">
        <v>40688</v>
      </c>
      <c r="K2458" s="14" t="s">
        <v>40689</v>
      </c>
      <c r="L2458" s="152" t="s">
        <v>281</v>
      </c>
      <c r="M2458" s="14" t="s">
        <v>40690</v>
      </c>
      <c r="N2458" s="54" t="s">
        <v>40689</v>
      </c>
      <c r="O2458" s="130" t="s">
        <v>520</v>
      </c>
      <c r="P2458" s="16"/>
      <c r="Q2458" s="50">
        <v>480806.0</v>
      </c>
      <c r="R2458" s="54"/>
      <c r="S2458" s="78">
        <v>175780.0</v>
      </c>
      <c r="T2458" s="16"/>
      <c r="U2458" s="16"/>
      <c r="V2458" s="16"/>
      <c r="W2458" s="16"/>
      <c r="X2458" s="16"/>
      <c r="Y2458" s="16"/>
      <c r="Z2458" s="16"/>
      <c r="AA2458" s="16"/>
      <c r="AB2458" s="16"/>
      <c r="AC2458" s="16"/>
    </row>
    <row r="2459" ht="15.75" customHeight="1">
      <c r="A2459" s="14" t="s">
        <v>17</v>
      </c>
      <c r="B2459" s="50">
        <v>1995.0</v>
      </c>
      <c r="C2459" s="14" t="s">
        <v>2527</v>
      </c>
      <c r="D2459" s="14" t="s">
        <v>2528</v>
      </c>
      <c r="E2459" s="156" t="str">
        <f>HYPERLINK("http://dx.doi.org/10.1109/VISUAL.1995.480820","http://dx.doi.org/10.1109/VISUAL.1995.480820")</f>
        <v>http://dx.doi.org/10.1109/VISUAL.1995.480820</v>
      </c>
      <c r="F2459" s="50">
        <v>254.0</v>
      </c>
      <c r="G2459" s="14" t="s">
        <v>2533</v>
      </c>
      <c r="H2459" s="151"/>
      <c r="I2459" s="14" t="s">
        <v>28</v>
      </c>
      <c r="J2459" s="14" t="s">
        <v>40692</v>
      </c>
      <c r="K2459" s="14" t="s">
        <v>40693</v>
      </c>
      <c r="L2459" s="152" t="s">
        <v>2535</v>
      </c>
      <c r="M2459" s="14" t="s">
        <v>40694</v>
      </c>
      <c r="N2459" s="54" t="s">
        <v>40695</v>
      </c>
      <c r="O2459" s="130"/>
      <c r="P2459" s="208" t="s">
        <v>2536</v>
      </c>
      <c r="Q2459" s="50">
        <v>480820.0</v>
      </c>
      <c r="R2459" s="54"/>
      <c r="S2459" s="78"/>
      <c r="T2459" s="16"/>
      <c r="U2459" s="16"/>
      <c r="V2459" s="16"/>
      <c r="W2459" s="16"/>
      <c r="X2459" s="16"/>
      <c r="Y2459" s="16"/>
      <c r="Z2459" s="16"/>
      <c r="AA2459" s="16"/>
      <c r="AB2459" s="16"/>
      <c r="AC2459" s="16"/>
    </row>
    <row r="2460" ht="15.75" customHeight="1">
      <c r="A2460" s="14" t="s">
        <v>17</v>
      </c>
      <c r="B2460" s="50">
        <v>1995.0</v>
      </c>
      <c r="C2460" s="14" t="s">
        <v>2705</v>
      </c>
      <c r="D2460" s="14" t="s">
        <v>2706</v>
      </c>
      <c r="E2460" s="156" t="str">
        <f>HYPERLINK("http://dx.doi.org/10.1109/VISUAL.1995.485158","http://dx.doi.org/10.1109/VISUAL.1995.485158")</f>
        <v>http://dx.doi.org/10.1109/VISUAL.1995.485158</v>
      </c>
      <c r="F2460" s="50">
        <v>388.0</v>
      </c>
      <c r="G2460" s="14" t="s">
        <v>2708</v>
      </c>
      <c r="H2460" s="151"/>
      <c r="I2460" s="14" t="s">
        <v>28</v>
      </c>
      <c r="J2460" s="14" t="s">
        <v>40696</v>
      </c>
      <c r="K2460" s="14" t="s">
        <v>40697</v>
      </c>
      <c r="L2460" s="152" t="s">
        <v>2303</v>
      </c>
      <c r="M2460" s="14" t="s">
        <v>40698</v>
      </c>
      <c r="N2460" s="54" t="s">
        <v>40697</v>
      </c>
      <c r="O2460" s="130"/>
      <c r="P2460" s="16"/>
      <c r="Q2460" s="50">
        <v>485158.0</v>
      </c>
      <c r="R2460" s="54"/>
      <c r="S2460" s="78"/>
      <c r="T2460" s="16"/>
      <c r="U2460" s="16"/>
      <c r="V2460" s="16"/>
      <c r="W2460" s="16"/>
      <c r="X2460" s="16"/>
      <c r="Y2460" s="16"/>
      <c r="Z2460" s="16"/>
      <c r="AA2460" s="16"/>
      <c r="AB2460" s="16"/>
      <c r="AC2460" s="16"/>
    </row>
    <row r="2461" ht="15.75" customHeight="1">
      <c r="A2461" s="14" t="s">
        <v>17</v>
      </c>
      <c r="B2461" s="50">
        <v>1995.0</v>
      </c>
      <c r="C2461" s="14" t="s">
        <v>2615</v>
      </c>
      <c r="D2461" s="14" t="s">
        <v>2616</v>
      </c>
      <c r="E2461" s="156" t="str">
        <f>HYPERLINK("http://dx.doi.org/10.1109/VISUAL.1995.485146","http://dx.doi.org/10.1109/VISUAL.1995.485146")</f>
        <v>http://dx.doi.org/10.1109/VISUAL.1995.485146</v>
      </c>
      <c r="F2461" s="50">
        <v>329.0</v>
      </c>
      <c r="G2461" s="14" t="s">
        <v>2618</v>
      </c>
      <c r="H2461" s="151"/>
      <c r="I2461" s="14" t="s">
        <v>28</v>
      </c>
      <c r="J2461" s="14" t="s">
        <v>40699</v>
      </c>
      <c r="K2461" s="14" t="s">
        <v>40700</v>
      </c>
      <c r="L2461" s="152" t="s">
        <v>1153</v>
      </c>
      <c r="M2461" s="14" t="s">
        <v>40701</v>
      </c>
      <c r="N2461" s="54" t="s">
        <v>40702</v>
      </c>
      <c r="O2461" s="130" t="s">
        <v>2621</v>
      </c>
      <c r="P2461" s="16"/>
      <c r="Q2461" s="50">
        <v>485146.0</v>
      </c>
      <c r="R2461" s="54"/>
      <c r="S2461" s="78" t="s">
        <v>40703</v>
      </c>
      <c r="T2461" s="16"/>
      <c r="U2461" s="16"/>
      <c r="V2461" s="16"/>
      <c r="W2461" s="16"/>
      <c r="X2461" s="16"/>
      <c r="Y2461" s="16"/>
      <c r="Z2461" s="16"/>
      <c r="AA2461" s="16"/>
      <c r="AB2461" s="16"/>
      <c r="AC2461" s="16"/>
    </row>
    <row r="2462" ht="15.75" customHeight="1">
      <c r="A2462" s="14" t="s">
        <v>17</v>
      </c>
      <c r="B2462" s="50">
        <v>1995.0</v>
      </c>
      <c r="C2462" s="14" t="s">
        <v>2517</v>
      </c>
      <c r="D2462" s="14" t="s">
        <v>2518</v>
      </c>
      <c r="E2462" s="156" t="str">
        <f>HYPERLINK("http://dx.doi.org/10.1109/VISUAL.1995.480819","http://dx.doi.org/10.1109/VISUAL.1995.480819")</f>
        <v>http://dx.doi.org/10.1109/VISUAL.1995.480819</v>
      </c>
      <c r="F2462" s="50">
        <v>248.0</v>
      </c>
      <c r="G2462" s="14" t="s">
        <v>2523</v>
      </c>
      <c r="H2462" s="151"/>
      <c r="I2462" s="14" t="s">
        <v>28</v>
      </c>
      <c r="J2462" s="14" t="s">
        <v>40705</v>
      </c>
      <c r="K2462" s="14" t="s">
        <v>7304</v>
      </c>
      <c r="L2462" s="152" t="s">
        <v>2525</v>
      </c>
      <c r="M2462" s="50">
        <v>3.81442231E10</v>
      </c>
      <c r="N2462" s="54" t="s">
        <v>7304</v>
      </c>
      <c r="O2462" s="130" t="s">
        <v>2526</v>
      </c>
      <c r="P2462" s="16"/>
      <c r="Q2462" s="50">
        <v>480819.0</v>
      </c>
      <c r="R2462" s="54"/>
      <c r="S2462" s="78" t="s">
        <v>40706</v>
      </c>
      <c r="T2462" s="16"/>
      <c r="U2462" s="16"/>
      <c r="V2462" s="16"/>
      <c r="W2462" s="16"/>
      <c r="X2462" s="16"/>
      <c r="Y2462" s="16"/>
      <c r="Z2462" s="16"/>
      <c r="AA2462" s="16"/>
      <c r="AB2462" s="16"/>
      <c r="AC2462" s="16"/>
    </row>
    <row r="2463" ht="15.75" customHeight="1">
      <c r="A2463" s="14" t="s">
        <v>17</v>
      </c>
      <c r="B2463" s="50">
        <v>1995.0</v>
      </c>
      <c r="C2463" s="14" t="s">
        <v>2355</v>
      </c>
      <c r="D2463" s="14" t="s">
        <v>2356</v>
      </c>
      <c r="E2463" s="156" t="str">
        <f>HYPERLINK("http://dx.doi.org/10.1109/VISUAL.1995.480800","http://dx.doi.org/10.1109/VISUAL.1995.480800")</f>
        <v>http://dx.doi.org/10.1109/VISUAL.1995.480800</v>
      </c>
      <c r="F2463" s="50">
        <v>94.0</v>
      </c>
      <c r="G2463" s="14" t="s">
        <v>2359</v>
      </c>
      <c r="H2463" s="151"/>
      <c r="I2463" s="14" t="s">
        <v>28</v>
      </c>
      <c r="J2463" s="14" t="s">
        <v>40708</v>
      </c>
      <c r="K2463" s="14" t="s">
        <v>40709</v>
      </c>
      <c r="L2463" s="152" t="s">
        <v>2361</v>
      </c>
      <c r="M2463" s="14" t="s">
        <v>40710</v>
      </c>
      <c r="N2463" s="54" t="s">
        <v>40709</v>
      </c>
      <c r="O2463" s="130"/>
      <c r="P2463" s="16"/>
      <c r="Q2463" s="50">
        <v>480800.0</v>
      </c>
      <c r="R2463" s="54"/>
      <c r="S2463" s="78"/>
      <c r="T2463" s="16"/>
      <c r="U2463" s="16"/>
      <c r="V2463" s="16"/>
      <c r="W2463" s="16"/>
      <c r="X2463" s="16"/>
      <c r="Y2463" s="16"/>
      <c r="Z2463" s="16"/>
      <c r="AA2463" s="16"/>
      <c r="AB2463" s="16"/>
      <c r="AC2463" s="16"/>
    </row>
    <row r="2464" ht="15.75" customHeight="1">
      <c r="A2464" s="14" t="s">
        <v>17</v>
      </c>
      <c r="B2464" s="50">
        <v>1995.0</v>
      </c>
      <c r="C2464" s="14" t="s">
        <v>2647</v>
      </c>
      <c r="D2464" s="14" t="s">
        <v>2648</v>
      </c>
      <c r="E2464" s="156" t="str">
        <f>HYPERLINK("http://dx.doi.org/10.1109/VISUAL.1995.485150","http://dx.doi.org/10.1109/VISUAL.1995.485150")</f>
        <v>http://dx.doi.org/10.1109/VISUAL.1995.485150</v>
      </c>
      <c r="F2464" s="50">
        <v>351.0</v>
      </c>
      <c r="G2464" s="14" t="s">
        <v>2653</v>
      </c>
      <c r="H2464" s="151"/>
      <c r="I2464" s="14" t="s">
        <v>28</v>
      </c>
      <c r="J2464" s="14" t="s">
        <v>40711</v>
      </c>
      <c r="K2464" s="14" t="s">
        <v>8684</v>
      </c>
      <c r="L2464" s="152" t="s">
        <v>2654</v>
      </c>
      <c r="M2464" s="50">
        <v>3.81522846E10</v>
      </c>
      <c r="N2464" s="54" t="s">
        <v>8684</v>
      </c>
      <c r="O2464" s="130"/>
      <c r="P2464" s="16"/>
      <c r="Q2464" s="50">
        <v>485150.0</v>
      </c>
      <c r="R2464" s="54"/>
      <c r="S2464" s="78"/>
      <c r="T2464" s="16"/>
      <c r="U2464" s="16"/>
      <c r="V2464" s="16"/>
      <c r="W2464" s="16"/>
      <c r="X2464" s="16"/>
      <c r="Y2464" s="16"/>
      <c r="Z2464" s="16"/>
      <c r="AA2464" s="16"/>
      <c r="AB2464" s="16"/>
      <c r="AC2464" s="16"/>
    </row>
    <row r="2465" ht="15.75" customHeight="1">
      <c r="A2465" s="14" t="s">
        <v>17</v>
      </c>
      <c r="B2465" s="50">
        <v>1995.0</v>
      </c>
      <c r="C2465" s="14" t="s">
        <v>2304</v>
      </c>
      <c r="D2465" s="14" t="s">
        <v>2305</v>
      </c>
      <c r="E2465" s="156" t="str">
        <f>HYPERLINK("http://dx.doi.org/10.1109/VISUAL.1995.480794","http://dx.doi.org/10.1109/VISUAL.1995.480794")</f>
        <v>http://dx.doi.org/10.1109/VISUAL.1995.480794</v>
      </c>
      <c r="F2465" s="50">
        <v>44.0</v>
      </c>
      <c r="G2465" s="14" t="s">
        <v>2309</v>
      </c>
      <c r="H2465" s="151"/>
      <c r="I2465" s="14" t="s">
        <v>28</v>
      </c>
      <c r="J2465" s="14" t="s">
        <v>40712</v>
      </c>
      <c r="K2465" s="14" t="s">
        <v>40713</v>
      </c>
      <c r="L2465" s="152" t="s">
        <v>2311</v>
      </c>
      <c r="M2465" s="14" t="s">
        <v>40714</v>
      </c>
      <c r="N2465" s="54" t="s">
        <v>40715</v>
      </c>
      <c r="O2465" s="130" t="s">
        <v>1599</v>
      </c>
      <c r="P2465" s="16"/>
      <c r="Q2465" s="50">
        <v>480794.0</v>
      </c>
      <c r="R2465" s="54"/>
      <c r="S2465" s="78">
        <v>398883.0</v>
      </c>
      <c r="T2465" s="16"/>
      <c r="U2465" s="16"/>
      <c r="V2465" s="16"/>
      <c r="W2465" s="16"/>
      <c r="X2465" s="16"/>
      <c r="Y2465" s="16"/>
      <c r="Z2465" s="16"/>
      <c r="AA2465" s="16"/>
      <c r="AB2465" s="16"/>
      <c r="AC2465" s="16"/>
    </row>
    <row r="2466" ht="15.75" customHeight="1">
      <c r="A2466" s="14" t="s">
        <v>17</v>
      </c>
      <c r="B2466" s="50">
        <v>1995.0</v>
      </c>
      <c r="C2466" s="14" t="s">
        <v>2655</v>
      </c>
      <c r="D2466" s="14" t="s">
        <v>2656</v>
      </c>
      <c r="E2466" s="156" t="str">
        <f>HYPERLINK("http://dx.doi.org/10.1109/VISUAL.1995.485151","http://dx.doi.org/10.1109/VISUAL.1995.485151")</f>
        <v>http://dx.doi.org/10.1109/VISUAL.1995.485151</v>
      </c>
      <c r="F2466" s="50">
        <v>355.0</v>
      </c>
      <c r="G2466" s="14" t="s">
        <v>2661</v>
      </c>
      <c r="H2466" s="151"/>
      <c r="I2466" s="14" t="s">
        <v>28</v>
      </c>
      <c r="J2466" s="14" t="s">
        <v>40716</v>
      </c>
      <c r="K2466" s="14" t="s">
        <v>40717</v>
      </c>
      <c r="L2466" s="152" t="s">
        <v>2663</v>
      </c>
      <c r="M2466" s="14" t="s">
        <v>40718</v>
      </c>
      <c r="N2466" s="54" t="s">
        <v>40717</v>
      </c>
      <c r="O2466" s="130" t="s">
        <v>1630</v>
      </c>
      <c r="P2466" s="16"/>
      <c r="Q2466" s="50">
        <v>485151.0</v>
      </c>
      <c r="R2466" s="54"/>
      <c r="S2466" s="78">
        <v>398894.0</v>
      </c>
      <c r="T2466" s="16"/>
      <c r="U2466" s="16"/>
      <c r="V2466" s="16"/>
      <c r="W2466" s="16"/>
      <c r="X2466" s="16"/>
      <c r="Y2466" s="16"/>
      <c r="Z2466" s="16"/>
      <c r="AA2466" s="16"/>
      <c r="AB2466" s="16"/>
      <c r="AC2466" s="16"/>
    </row>
    <row r="2467" ht="15.75" customHeight="1">
      <c r="A2467" s="14" t="s">
        <v>17</v>
      </c>
      <c r="B2467" s="50">
        <v>1995.0</v>
      </c>
      <c r="C2467" s="14" t="s">
        <v>2716</v>
      </c>
      <c r="D2467" s="14" t="s">
        <v>2717</v>
      </c>
      <c r="E2467" s="156" t="str">
        <f>HYPERLINK("http://dx.doi.org/10.1109/VISUAL.1995.485170","http://dx.doi.org/10.1109/VISUAL.1995.485170")</f>
        <v>http://dx.doi.org/10.1109/VISUAL.1995.485170</v>
      </c>
      <c r="F2467" s="50">
        <v>397.0</v>
      </c>
      <c r="G2467" s="14" t="s">
        <v>2719</v>
      </c>
      <c r="H2467" s="151"/>
      <c r="I2467" s="14" t="s">
        <v>28</v>
      </c>
      <c r="J2467" s="14" t="s">
        <v>40719</v>
      </c>
      <c r="K2467" s="14" t="s">
        <v>9717</v>
      </c>
      <c r="L2467" s="152" t="s">
        <v>2721</v>
      </c>
      <c r="M2467" s="50">
        <v>3.80535754E10</v>
      </c>
      <c r="N2467" s="54" t="s">
        <v>9717</v>
      </c>
      <c r="O2467" s="130"/>
      <c r="P2467" s="16"/>
      <c r="Q2467" s="50">
        <v>485170.0</v>
      </c>
      <c r="R2467" s="54"/>
      <c r="S2467" s="78"/>
      <c r="T2467" s="16"/>
      <c r="U2467" s="16"/>
      <c r="V2467" s="16"/>
      <c r="W2467" s="16"/>
      <c r="X2467" s="16"/>
      <c r="Y2467" s="16"/>
      <c r="Z2467" s="16"/>
      <c r="AA2467" s="16"/>
      <c r="AB2467" s="16"/>
      <c r="AC2467" s="16"/>
    </row>
    <row r="2468" ht="15.75" customHeight="1">
      <c r="A2468" s="14" t="s">
        <v>17</v>
      </c>
      <c r="B2468" s="50">
        <v>1995.0</v>
      </c>
      <c r="C2468" s="14" t="s">
        <v>2664</v>
      </c>
      <c r="D2468" s="14" t="s">
        <v>2665</v>
      </c>
      <c r="E2468" s="156" t="str">
        <f>HYPERLINK("http://dx.doi.org/10.1109/VISUAL.1995.485152","http://dx.doi.org/10.1109/VISUAL.1995.485152")</f>
        <v>http://dx.doi.org/10.1109/VISUAL.1995.485152</v>
      </c>
      <c r="F2468" s="50">
        <v>359.0</v>
      </c>
      <c r="G2468" s="14" t="s">
        <v>2668</v>
      </c>
      <c r="H2468" s="151"/>
      <c r="I2468" s="14" t="s">
        <v>28</v>
      </c>
      <c r="J2468" s="14" t="s">
        <v>40721</v>
      </c>
      <c r="K2468" s="14" t="s">
        <v>40722</v>
      </c>
      <c r="L2468" s="152" t="s">
        <v>2670</v>
      </c>
      <c r="M2468" s="14" t="s">
        <v>40724</v>
      </c>
      <c r="N2468" s="54" t="s">
        <v>40722</v>
      </c>
      <c r="O2468" s="130"/>
      <c r="P2468" s="16"/>
      <c r="Q2468" s="50">
        <v>485152.0</v>
      </c>
      <c r="R2468" s="54"/>
      <c r="S2468" s="78"/>
      <c r="T2468" s="16"/>
      <c r="U2468" s="16"/>
      <c r="V2468" s="16"/>
      <c r="W2468" s="16"/>
      <c r="X2468" s="16"/>
      <c r="Y2468" s="16"/>
      <c r="Z2468" s="16"/>
      <c r="AA2468" s="16"/>
      <c r="AB2468" s="16"/>
      <c r="AC2468" s="16"/>
    </row>
    <row r="2469" ht="15.75" customHeight="1">
      <c r="A2469" s="14" t="s">
        <v>17</v>
      </c>
      <c r="B2469" s="50">
        <v>1995.0</v>
      </c>
      <c r="C2469" s="14" t="s">
        <v>2578</v>
      </c>
      <c r="D2469" s="14" t="s">
        <v>2579</v>
      </c>
      <c r="E2469" s="156" t="str">
        <f>HYPERLINK("http://dx.doi.org/10.1109/VISUAL.1995.485142","http://dx.doi.org/10.1109/VISUAL.1995.485142")</f>
        <v>http://dx.doi.org/10.1109/VISUAL.1995.485142</v>
      </c>
      <c r="F2469" s="50">
        <v>296.0</v>
      </c>
      <c r="G2469" s="14" t="s">
        <v>2584</v>
      </c>
      <c r="H2469" s="151"/>
      <c r="I2469" s="14" t="s">
        <v>28</v>
      </c>
      <c r="J2469" s="14" t="s">
        <v>40696</v>
      </c>
      <c r="K2469" s="14" t="s">
        <v>40697</v>
      </c>
      <c r="L2469" s="152" t="s">
        <v>2303</v>
      </c>
      <c r="M2469" s="14" t="s">
        <v>40698</v>
      </c>
      <c r="N2469" s="54" t="s">
        <v>40697</v>
      </c>
      <c r="O2469" s="130" t="s">
        <v>1323</v>
      </c>
      <c r="P2469" s="16"/>
      <c r="Q2469" s="50">
        <v>485142.0</v>
      </c>
      <c r="R2469" s="54"/>
      <c r="S2469" s="78">
        <v>235229.0</v>
      </c>
      <c r="T2469" s="16"/>
      <c r="U2469" s="16"/>
      <c r="V2469" s="16"/>
      <c r="W2469" s="16"/>
      <c r="X2469" s="16"/>
      <c r="Y2469" s="16"/>
      <c r="Z2469" s="16"/>
      <c r="AA2469" s="16"/>
      <c r="AB2469" s="16"/>
      <c r="AC2469" s="16"/>
    </row>
    <row r="2470" ht="15.75" customHeight="1">
      <c r="A2470" s="14" t="s">
        <v>17</v>
      </c>
      <c r="B2470" s="14">
        <v>1994.0</v>
      </c>
      <c r="C2470" s="14" t="s">
        <v>2027</v>
      </c>
      <c r="D2470" s="14" t="s">
        <v>2028</v>
      </c>
      <c r="E2470" s="150" t="s">
        <v>2029</v>
      </c>
      <c r="F2470" s="14">
        <v>124.0</v>
      </c>
      <c r="G2470" s="14" t="s">
        <v>2033</v>
      </c>
      <c r="H2470" s="151"/>
      <c r="I2470" s="14" t="s">
        <v>28</v>
      </c>
      <c r="J2470" s="14" t="s">
        <v>40728</v>
      </c>
      <c r="K2470" s="14" t="s">
        <v>40729</v>
      </c>
      <c r="L2470" s="152" t="s">
        <v>2026</v>
      </c>
      <c r="M2470" s="14" t="s">
        <v>40730</v>
      </c>
      <c r="N2470" s="54" t="s">
        <v>40729</v>
      </c>
      <c r="O2470" s="130"/>
      <c r="P2470" s="54"/>
      <c r="Q2470" s="14">
        <v>346328.0</v>
      </c>
      <c r="R2470" s="14"/>
      <c r="S2470" s="212"/>
      <c r="T2470" s="47"/>
      <c r="U2470" s="47"/>
      <c r="V2470" s="47"/>
      <c r="W2470" s="47"/>
      <c r="X2470" s="47"/>
      <c r="Y2470" s="47"/>
      <c r="Z2470" s="47"/>
      <c r="AA2470" s="47"/>
      <c r="AB2470" s="47"/>
      <c r="AC2470" s="47"/>
    </row>
    <row r="2471" ht="15.75" customHeight="1">
      <c r="A2471" s="14" t="s">
        <v>17</v>
      </c>
      <c r="B2471" s="14">
        <v>1994.0</v>
      </c>
      <c r="C2471" s="14" t="s">
        <v>1817</v>
      </c>
      <c r="D2471" s="14" t="s">
        <v>1819</v>
      </c>
      <c r="E2471" s="150" t="s">
        <v>1820</v>
      </c>
      <c r="F2471" s="14">
        <v>345.0</v>
      </c>
      <c r="G2471" s="14">
        <v>348.0</v>
      </c>
      <c r="H2471" s="151"/>
      <c r="I2471" s="14" t="s">
        <v>28</v>
      </c>
      <c r="J2471" s="14" t="s">
        <v>40732</v>
      </c>
      <c r="K2471" s="14" t="s">
        <v>40733</v>
      </c>
      <c r="L2471" s="152" t="s">
        <v>1824</v>
      </c>
      <c r="M2471" s="14" t="s">
        <v>40734</v>
      </c>
      <c r="N2471" s="54" t="s">
        <v>40733</v>
      </c>
      <c r="O2471" s="130"/>
      <c r="P2471" s="54"/>
      <c r="Q2471" s="14">
        <v>346299.0</v>
      </c>
      <c r="R2471" s="14"/>
      <c r="S2471" s="212"/>
      <c r="T2471" s="47"/>
      <c r="U2471" s="47"/>
      <c r="V2471" s="47"/>
      <c r="W2471" s="47"/>
      <c r="X2471" s="47"/>
      <c r="Y2471" s="47"/>
      <c r="Z2471" s="47"/>
      <c r="AA2471" s="47"/>
      <c r="AB2471" s="47"/>
      <c r="AC2471" s="47"/>
    </row>
    <row r="2472" ht="15.75" customHeight="1">
      <c r="A2472" s="14" t="s">
        <v>17</v>
      </c>
      <c r="B2472" s="14">
        <v>1994.0</v>
      </c>
      <c r="C2472" s="14" t="s">
        <v>2123</v>
      </c>
      <c r="D2472" s="14" t="s">
        <v>2124</v>
      </c>
      <c r="E2472" s="150" t="s">
        <v>2125</v>
      </c>
      <c r="F2472" s="14">
        <v>21.0</v>
      </c>
      <c r="G2472" s="14" t="s">
        <v>2126</v>
      </c>
      <c r="H2472" s="151"/>
      <c r="I2472" s="14" t="s">
        <v>28</v>
      </c>
      <c r="J2472" s="14" t="s">
        <v>40736</v>
      </c>
      <c r="K2472" s="14" t="s">
        <v>40737</v>
      </c>
      <c r="L2472" s="152" t="s">
        <v>2128</v>
      </c>
      <c r="M2472" s="14" t="s">
        <v>40738</v>
      </c>
      <c r="N2472" s="54" t="s">
        <v>40737</v>
      </c>
      <c r="O2472" s="130"/>
      <c r="P2472" s="54"/>
      <c r="Q2472" s="14">
        <v>346341.0</v>
      </c>
      <c r="R2472" s="14"/>
      <c r="S2472" s="212"/>
      <c r="T2472" s="47"/>
      <c r="U2472" s="47"/>
      <c r="V2472" s="47"/>
      <c r="W2472" s="47"/>
      <c r="X2472" s="47"/>
      <c r="Y2472" s="47"/>
      <c r="Z2472" s="47"/>
      <c r="AA2472" s="47"/>
      <c r="AB2472" s="47"/>
      <c r="AC2472" s="47"/>
    </row>
    <row r="2473" ht="15.75" customHeight="1">
      <c r="A2473" s="14" t="s">
        <v>17</v>
      </c>
      <c r="B2473" s="14">
        <v>1994.0</v>
      </c>
      <c r="C2473" s="14" t="s">
        <v>1857</v>
      </c>
      <c r="D2473" s="14" t="s">
        <v>1858</v>
      </c>
      <c r="E2473" s="150" t="s">
        <v>1859</v>
      </c>
      <c r="F2473" s="14">
        <v>310.0</v>
      </c>
      <c r="G2473" s="14">
        <v>317.0</v>
      </c>
      <c r="H2473" s="151"/>
      <c r="I2473" s="14" t="s">
        <v>28</v>
      </c>
      <c r="J2473" s="14" t="s">
        <v>40740</v>
      </c>
      <c r="K2473" s="14" t="s">
        <v>40741</v>
      </c>
      <c r="L2473" s="152" t="s">
        <v>1860</v>
      </c>
      <c r="M2473" s="14" t="s">
        <v>40742</v>
      </c>
      <c r="N2473" s="54" t="s">
        <v>40743</v>
      </c>
      <c r="O2473" s="130" t="s">
        <v>1861</v>
      </c>
      <c r="P2473" s="54"/>
      <c r="Q2473" s="14">
        <v>346304.0</v>
      </c>
      <c r="R2473" s="14"/>
      <c r="S2473" s="212" t="s">
        <v>40744</v>
      </c>
      <c r="T2473" s="47"/>
      <c r="U2473" s="47"/>
      <c r="V2473" s="47"/>
      <c r="W2473" s="47"/>
      <c r="X2473" s="47"/>
      <c r="Y2473" s="47"/>
      <c r="Z2473" s="47"/>
      <c r="AA2473" s="47"/>
      <c r="AB2473" s="47"/>
      <c r="AC2473" s="47"/>
    </row>
    <row r="2474" ht="15.75" customHeight="1">
      <c r="A2474" s="14" t="s">
        <v>17</v>
      </c>
      <c r="B2474" s="14">
        <v>1994.0</v>
      </c>
      <c r="C2474" s="14" t="s">
        <v>1992</v>
      </c>
      <c r="D2474" s="14" t="s">
        <v>1993</v>
      </c>
      <c r="E2474" s="150" t="s">
        <v>1994</v>
      </c>
      <c r="F2474" s="14">
        <v>164.0</v>
      </c>
      <c r="G2474" s="14" t="s">
        <v>1997</v>
      </c>
      <c r="H2474" s="151"/>
      <c r="I2474" s="14" t="s">
        <v>28</v>
      </c>
      <c r="J2474" s="14" t="s">
        <v>40746</v>
      </c>
      <c r="K2474" s="14" t="s">
        <v>40747</v>
      </c>
      <c r="L2474" s="152" t="s">
        <v>1999</v>
      </c>
      <c r="M2474" s="14" t="s">
        <v>40748</v>
      </c>
      <c r="N2474" s="54" t="s">
        <v>40747</v>
      </c>
      <c r="O2474" s="130"/>
      <c r="P2474" s="54"/>
      <c r="Q2474" s="14">
        <v>346323.0</v>
      </c>
      <c r="R2474" s="14"/>
      <c r="S2474" s="212"/>
      <c r="T2474" s="47"/>
      <c r="U2474" s="47"/>
      <c r="V2474" s="47"/>
      <c r="W2474" s="47"/>
      <c r="X2474" s="47"/>
      <c r="Y2474" s="47"/>
      <c r="Z2474" s="47"/>
      <c r="AA2474" s="47"/>
      <c r="AB2474" s="47"/>
      <c r="AC2474" s="47"/>
    </row>
    <row r="2475" ht="15.75" customHeight="1">
      <c r="A2475" s="14" t="s">
        <v>17</v>
      </c>
      <c r="B2475" s="14">
        <v>1994.0</v>
      </c>
      <c r="C2475" s="14" t="s">
        <v>1891</v>
      </c>
      <c r="D2475" s="14" t="s">
        <v>1892</v>
      </c>
      <c r="E2475" s="150" t="s">
        <v>1893</v>
      </c>
      <c r="F2475" s="14">
        <v>273.0</v>
      </c>
      <c r="G2475" s="14" t="s">
        <v>1897</v>
      </c>
      <c r="H2475" s="151"/>
      <c r="I2475" s="14" t="s">
        <v>28</v>
      </c>
      <c r="J2475" s="14" t="s">
        <v>40750</v>
      </c>
      <c r="K2475" s="14" t="s">
        <v>40751</v>
      </c>
      <c r="L2475" s="152" t="s">
        <v>1899</v>
      </c>
      <c r="M2475" s="14" t="s">
        <v>40752</v>
      </c>
      <c r="N2475" s="54" t="s">
        <v>40751</v>
      </c>
      <c r="O2475" s="130" t="s">
        <v>1900</v>
      </c>
      <c r="P2475" s="54"/>
      <c r="Q2475" s="14">
        <v>346309.0</v>
      </c>
      <c r="R2475" s="14"/>
      <c r="S2475" s="212" t="s">
        <v>40753</v>
      </c>
      <c r="T2475" s="47"/>
      <c r="U2475" s="47"/>
      <c r="V2475" s="47"/>
      <c r="W2475" s="47"/>
      <c r="X2475" s="47"/>
      <c r="Y2475" s="47"/>
      <c r="Z2475" s="47"/>
      <c r="AA2475" s="47"/>
      <c r="AB2475" s="47"/>
      <c r="AC2475" s="47"/>
    </row>
    <row r="2476" ht="15.75" customHeight="1">
      <c r="A2476" s="14" t="s">
        <v>17</v>
      </c>
      <c r="B2476" s="14">
        <v>1994.0</v>
      </c>
      <c r="C2476" s="14" t="s">
        <v>2051</v>
      </c>
      <c r="D2476" s="14" t="s">
        <v>2052</v>
      </c>
      <c r="E2476" s="150" t="s">
        <v>2053</v>
      </c>
      <c r="F2476" s="14">
        <v>100.0</v>
      </c>
      <c r="G2476" s="14" t="s">
        <v>2057</v>
      </c>
      <c r="H2476" s="151"/>
      <c r="I2476" s="14" t="s">
        <v>28</v>
      </c>
      <c r="J2476" s="14" t="s">
        <v>40756</v>
      </c>
      <c r="K2476" s="14" t="s">
        <v>40757</v>
      </c>
      <c r="L2476" s="152" t="s">
        <v>1877</v>
      </c>
      <c r="M2476" s="14" t="s">
        <v>40758</v>
      </c>
      <c r="N2476" s="54" t="s">
        <v>40757</v>
      </c>
      <c r="O2476" s="130" t="s">
        <v>1379</v>
      </c>
      <c r="P2476" s="54"/>
      <c r="Q2476" s="14">
        <v>346331.0</v>
      </c>
      <c r="R2476" s="14"/>
      <c r="S2476" s="212">
        <v>398851.0</v>
      </c>
      <c r="T2476" s="47"/>
      <c r="U2476" s="47"/>
      <c r="V2476" s="47"/>
      <c r="W2476" s="47"/>
      <c r="X2476" s="47"/>
      <c r="Y2476" s="47"/>
      <c r="Z2476" s="47"/>
      <c r="AA2476" s="47"/>
      <c r="AB2476" s="47"/>
      <c r="AC2476" s="47"/>
    </row>
    <row r="2477" ht="15.75" customHeight="1">
      <c r="A2477" s="14" t="s">
        <v>17</v>
      </c>
      <c r="B2477" s="14">
        <v>1994.0</v>
      </c>
      <c r="C2477" s="14" t="s">
        <v>1847</v>
      </c>
      <c r="D2477" s="14" t="s">
        <v>1848</v>
      </c>
      <c r="E2477" s="150" t="s">
        <v>1849</v>
      </c>
      <c r="F2477" s="14">
        <v>318.0</v>
      </c>
      <c r="G2477" s="14" t="s">
        <v>1853</v>
      </c>
      <c r="H2477" s="151"/>
      <c r="I2477" s="14" t="s">
        <v>28</v>
      </c>
      <c r="J2477" s="14" t="s">
        <v>40760</v>
      </c>
      <c r="K2477" s="14" t="s">
        <v>40761</v>
      </c>
      <c r="L2477" s="152" t="s">
        <v>1855</v>
      </c>
      <c r="M2477" s="14" t="s">
        <v>40763</v>
      </c>
      <c r="N2477" s="54" t="s">
        <v>40761</v>
      </c>
      <c r="O2477" s="130" t="s">
        <v>1856</v>
      </c>
      <c r="P2477" s="54"/>
      <c r="Q2477" s="14">
        <v>346303.0</v>
      </c>
      <c r="R2477" s="14"/>
      <c r="S2477" s="212" t="s">
        <v>40764</v>
      </c>
      <c r="T2477" s="47"/>
      <c r="U2477" s="47"/>
      <c r="V2477" s="47"/>
      <c r="W2477" s="47"/>
      <c r="X2477" s="47"/>
      <c r="Y2477" s="47"/>
      <c r="Z2477" s="47"/>
      <c r="AA2477" s="47"/>
      <c r="AB2477" s="47"/>
      <c r="AC2477" s="47"/>
    </row>
    <row r="2478" ht="15.75" customHeight="1">
      <c r="A2478" s="14" t="s">
        <v>17</v>
      </c>
      <c r="B2478" s="14">
        <v>1994.0</v>
      </c>
      <c r="C2478" s="14" t="s">
        <v>1880</v>
      </c>
      <c r="D2478" s="14" t="s">
        <v>1881</v>
      </c>
      <c r="E2478" s="150" t="s">
        <v>1882</v>
      </c>
      <c r="F2478" s="14">
        <v>288.0</v>
      </c>
      <c r="G2478" s="14">
        <v>292.0</v>
      </c>
      <c r="H2478" s="151"/>
      <c r="I2478" s="14" t="s">
        <v>28</v>
      </c>
      <c r="J2478" s="14" t="s">
        <v>40765</v>
      </c>
      <c r="K2478" s="14" t="s">
        <v>9272</v>
      </c>
      <c r="L2478" s="152" t="s">
        <v>1884</v>
      </c>
      <c r="M2478" s="14">
        <v>3.76467402E10</v>
      </c>
      <c r="N2478" s="54" t="s">
        <v>9272</v>
      </c>
      <c r="O2478" s="130" t="s">
        <v>536</v>
      </c>
      <c r="P2478" s="54"/>
      <c r="Q2478" s="14">
        <v>346307.0</v>
      </c>
      <c r="R2478" s="14"/>
      <c r="S2478" s="212">
        <v>175782.0</v>
      </c>
      <c r="T2478" s="47"/>
      <c r="U2478" s="47"/>
      <c r="V2478" s="47"/>
      <c r="W2478" s="47"/>
      <c r="X2478" s="47"/>
      <c r="Y2478" s="47"/>
      <c r="Z2478" s="47"/>
      <c r="AA2478" s="47"/>
      <c r="AB2478" s="47"/>
      <c r="AC2478" s="47"/>
    </row>
    <row r="2479" ht="15.75" customHeight="1">
      <c r="A2479" s="14" t="s">
        <v>17</v>
      </c>
      <c r="B2479" s="14">
        <v>1994.0</v>
      </c>
      <c r="C2479" s="14" t="s">
        <v>1745</v>
      </c>
      <c r="D2479" s="14" t="s">
        <v>1746</v>
      </c>
      <c r="E2479" s="150" t="s">
        <v>1747</v>
      </c>
      <c r="F2479" s="14">
        <v>392.0</v>
      </c>
      <c r="G2479" s="14">
        <v>395.0</v>
      </c>
      <c r="H2479" s="159" t="s">
        <v>30659</v>
      </c>
      <c r="I2479" s="14" t="s">
        <v>21</v>
      </c>
      <c r="J2479" s="14" t="s">
        <v>40766</v>
      </c>
      <c r="K2479" s="14" t="s">
        <v>40767</v>
      </c>
      <c r="L2479" s="152" t="s">
        <v>1751</v>
      </c>
      <c r="M2479" s="14" t="s">
        <v>40768</v>
      </c>
      <c r="N2479" s="54" t="s">
        <v>40767</v>
      </c>
      <c r="O2479" s="130"/>
      <c r="P2479" s="54"/>
      <c r="Q2479" s="14">
        <v>346289.0</v>
      </c>
      <c r="R2479" s="14"/>
      <c r="S2479" s="212"/>
      <c r="T2479" s="47"/>
      <c r="U2479" s="47"/>
      <c r="V2479" s="47"/>
      <c r="W2479" s="47"/>
      <c r="X2479" s="47"/>
      <c r="Y2479" s="47"/>
      <c r="Z2479" s="47"/>
      <c r="AA2479" s="47"/>
      <c r="AB2479" s="47"/>
      <c r="AC2479" s="47"/>
    </row>
    <row r="2480" ht="15.75" customHeight="1">
      <c r="A2480" s="14" t="s">
        <v>17</v>
      </c>
      <c r="B2480" s="14">
        <v>1994.0</v>
      </c>
      <c r="C2480" s="14" t="s">
        <v>1981</v>
      </c>
      <c r="D2480" s="14" t="s">
        <v>1982</v>
      </c>
      <c r="E2480" s="150" t="s">
        <v>1983</v>
      </c>
      <c r="F2480" s="14">
        <v>180.0</v>
      </c>
      <c r="G2480" s="14" t="s">
        <v>1984</v>
      </c>
      <c r="H2480" s="151"/>
      <c r="I2480" s="14" t="s">
        <v>28</v>
      </c>
      <c r="J2480" s="14" t="s">
        <v>40770</v>
      </c>
      <c r="K2480" s="14" t="s">
        <v>40689</v>
      </c>
      <c r="L2480" s="152" t="s">
        <v>281</v>
      </c>
      <c r="M2480" s="14" t="s">
        <v>40690</v>
      </c>
      <c r="N2480" s="54" t="s">
        <v>40689</v>
      </c>
      <c r="O2480" s="130" t="s">
        <v>1986</v>
      </c>
      <c r="P2480" s="54"/>
      <c r="Q2480" s="14">
        <v>346321.0</v>
      </c>
      <c r="R2480" s="14"/>
      <c r="S2480" s="212" t="s">
        <v>40771</v>
      </c>
      <c r="T2480" s="47"/>
      <c r="U2480" s="47"/>
      <c r="V2480" s="47"/>
      <c r="W2480" s="47"/>
      <c r="X2480" s="47"/>
      <c r="Y2480" s="47"/>
      <c r="Z2480" s="47"/>
      <c r="AA2480" s="47"/>
      <c r="AB2480" s="47"/>
      <c r="AC2480" s="47"/>
    </row>
    <row r="2481" ht="15.75" customHeight="1">
      <c r="A2481" s="14" t="s">
        <v>17</v>
      </c>
      <c r="B2481" s="14">
        <v>1994.0</v>
      </c>
      <c r="C2481" s="14" t="s">
        <v>1885</v>
      </c>
      <c r="D2481" s="14" t="s">
        <v>1886</v>
      </c>
      <c r="E2481" s="150" t="s">
        <v>1887</v>
      </c>
      <c r="F2481" s="14">
        <v>281.0</v>
      </c>
      <c r="G2481" s="14" t="s">
        <v>1888</v>
      </c>
      <c r="H2481" s="151"/>
      <c r="I2481" s="14" t="s">
        <v>28</v>
      </c>
      <c r="J2481" s="14" t="s">
        <v>40772</v>
      </c>
      <c r="K2481" s="14" t="s">
        <v>40773</v>
      </c>
      <c r="L2481" s="152" t="s">
        <v>1890</v>
      </c>
      <c r="M2481" s="14" t="s">
        <v>40774</v>
      </c>
      <c r="N2481" s="54" t="s">
        <v>40773</v>
      </c>
      <c r="O2481" s="130" t="s">
        <v>1281</v>
      </c>
      <c r="P2481" s="54"/>
      <c r="Q2481" s="14">
        <v>346308.0</v>
      </c>
      <c r="R2481" s="14"/>
      <c r="S2481" s="212">
        <v>235223.0</v>
      </c>
      <c r="T2481" s="47"/>
      <c r="U2481" s="47"/>
      <c r="V2481" s="47"/>
      <c r="W2481" s="47"/>
      <c r="X2481" s="47"/>
      <c r="Y2481" s="47"/>
      <c r="Z2481" s="47"/>
      <c r="AA2481" s="47"/>
      <c r="AB2481" s="47"/>
      <c r="AC2481" s="47"/>
    </row>
    <row r="2482" ht="15.75" customHeight="1">
      <c r="A2482" s="14" t="s">
        <v>17</v>
      </c>
      <c r="B2482" s="14">
        <v>1994.0</v>
      </c>
      <c r="C2482" s="14" t="s">
        <v>1972</v>
      </c>
      <c r="D2482" s="14" t="s">
        <v>1973</v>
      </c>
      <c r="E2482" s="150" t="s">
        <v>1974</v>
      </c>
      <c r="F2482" s="14">
        <v>188.0</v>
      </c>
      <c r="G2482" s="14" t="s">
        <v>1976</v>
      </c>
      <c r="H2482" s="151"/>
      <c r="I2482" s="14" t="s">
        <v>28</v>
      </c>
      <c r="J2482" s="14" t="s">
        <v>40777</v>
      </c>
      <c r="K2482" s="14" t="s">
        <v>10745</v>
      </c>
      <c r="L2482" s="152" t="s">
        <v>1979</v>
      </c>
      <c r="M2482" s="14">
        <v>3.76592039E10</v>
      </c>
      <c r="N2482" s="54" t="s">
        <v>10745</v>
      </c>
      <c r="O2482" s="130" t="s">
        <v>1387</v>
      </c>
      <c r="P2482" s="54"/>
      <c r="Q2482" s="14">
        <v>346320.0</v>
      </c>
      <c r="R2482" s="14"/>
      <c r="S2482" s="212">
        <v>398852.0</v>
      </c>
      <c r="T2482" s="47"/>
      <c r="U2482" s="47"/>
      <c r="V2482" s="47"/>
      <c r="W2482" s="47"/>
      <c r="X2482" s="47"/>
      <c r="Y2482" s="47"/>
      <c r="Z2482" s="47"/>
      <c r="AA2482" s="47"/>
      <c r="AB2482" s="47"/>
      <c r="AC2482" s="47"/>
    </row>
    <row r="2483" ht="15.75" customHeight="1">
      <c r="A2483" s="14" t="s">
        <v>17</v>
      </c>
      <c r="B2483" s="14">
        <v>1994.0</v>
      </c>
      <c r="C2483" s="14" t="s">
        <v>2035</v>
      </c>
      <c r="D2483" s="14" t="s">
        <v>2036</v>
      </c>
      <c r="E2483" s="150" t="s">
        <v>2037</v>
      </c>
      <c r="F2483" s="14">
        <v>117.0</v>
      </c>
      <c r="G2483" s="14" t="s">
        <v>2040</v>
      </c>
      <c r="H2483" s="151"/>
      <c r="I2483" s="14" t="s">
        <v>28</v>
      </c>
      <c r="J2483" s="14" t="s">
        <v>40779</v>
      </c>
      <c r="K2483" s="14" t="s">
        <v>40780</v>
      </c>
      <c r="L2483" s="152" t="s">
        <v>2042</v>
      </c>
      <c r="M2483" s="14" t="s">
        <v>40781</v>
      </c>
      <c r="N2483" s="54" t="s">
        <v>40780</v>
      </c>
      <c r="O2483" s="130" t="s">
        <v>1294</v>
      </c>
      <c r="P2483" s="54"/>
      <c r="Q2483" s="14">
        <v>346329.0</v>
      </c>
      <c r="R2483" s="14"/>
      <c r="S2483" s="212">
        <v>235225.0</v>
      </c>
      <c r="T2483" s="47"/>
      <c r="U2483" s="47"/>
      <c r="V2483" s="47"/>
      <c r="W2483" s="47"/>
      <c r="X2483" s="47"/>
      <c r="Y2483" s="47"/>
      <c r="Z2483" s="47"/>
      <c r="AA2483" s="47"/>
      <c r="AB2483" s="47"/>
      <c r="AC2483" s="47"/>
    </row>
    <row r="2484" ht="15.75" customHeight="1">
      <c r="A2484" s="14" t="s">
        <v>17</v>
      </c>
      <c r="B2484" s="14">
        <v>1994.0</v>
      </c>
      <c r="C2484" s="14" t="s">
        <v>2007</v>
      </c>
      <c r="D2484" s="14" t="s">
        <v>2008</v>
      </c>
      <c r="E2484" s="150" t="s">
        <v>2009</v>
      </c>
      <c r="F2484" s="14">
        <v>149.0</v>
      </c>
      <c r="G2484" s="14" t="s">
        <v>2012</v>
      </c>
      <c r="H2484" s="151"/>
      <c r="I2484" s="14" t="s">
        <v>28</v>
      </c>
      <c r="J2484" s="14" t="s">
        <v>40783</v>
      </c>
      <c r="K2484" s="14" t="s">
        <v>40784</v>
      </c>
      <c r="L2484" s="152" t="s">
        <v>2015</v>
      </c>
      <c r="M2484" s="14" t="s">
        <v>40785</v>
      </c>
      <c r="N2484" s="54" t="s">
        <v>40786</v>
      </c>
      <c r="O2484" s="130"/>
      <c r="P2484" s="54"/>
      <c r="Q2484" s="14">
        <v>346325.0</v>
      </c>
      <c r="R2484" s="14"/>
      <c r="S2484" s="212"/>
      <c r="T2484" s="47"/>
      <c r="U2484" s="47"/>
      <c r="V2484" s="47"/>
      <c r="W2484" s="47"/>
      <c r="X2484" s="47"/>
      <c r="Y2484" s="47"/>
      <c r="Z2484" s="47"/>
      <c r="AA2484" s="47"/>
      <c r="AB2484" s="47"/>
      <c r="AC2484" s="47"/>
    </row>
    <row r="2485" ht="15.75" customHeight="1">
      <c r="A2485" s="14" t="s">
        <v>17</v>
      </c>
      <c r="B2485" s="14">
        <v>1994.0</v>
      </c>
      <c r="C2485" s="14" t="s">
        <v>2109</v>
      </c>
      <c r="D2485" s="14" t="s">
        <v>2110</v>
      </c>
      <c r="E2485" s="150" t="s">
        <v>2111</v>
      </c>
      <c r="F2485" s="14">
        <v>40.0</v>
      </c>
      <c r="G2485" s="14" t="s">
        <v>2112</v>
      </c>
      <c r="H2485" s="151"/>
      <c r="I2485" s="14" t="s">
        <v>28</v>
      </c>
      <c r="J2485" s="14" t="s">
        <v>40787</v>
      </c>
      <c r="K2485" s="14" t="s">
        <v>40788</v>
      </c>
      <c r="L2485" s="152" t="s">
        <v>2107</v>
      </c>
      <c r="M2485" s="14" t="s">
        <v>40789</v>
      </c>
      <c r="N2485" s="54" t="s">
        <v>40788</v>
      </c>
      <c r="O2485" s="130"/>
      <c r="P2485" s="54"/>
      <c r="Q2485" s="14">
        <v>346339.0</v>
      </c>
      <c r="R2485" s="14"/>
      <c r="S2485" s="212"/>
      <c r="T2485" s="47"/>
      <c r="U2485" s="47"/>
      <c r="V2485" s="47"/>
      <c r="W2485" s="47"/>
      <c r="X2485" s="47"/>
      <c r="Y2485" s="47"/>
      <c r="Z2485" s="47"/>
      <c r="AA2485" s="47"/>
      <c r="AB2485" s="47"/>
      <c r="AC2485" s="47"/>
    </row>
    <row r="2486" ht="15.75" customHeight="1">
      <c r="A2486" s="14" t="s">
        <v>17</v>
      </c>
      <c r="B2486" s="14">
        <v>1994.0</v>
      </c>
      <c r="C2486" s="14" t="s">
        <v>2129</v>
      </c>
      <c r="D2486" s="14" t="s">
        <v>2130</v>
      </c>
      <c r="E2486" s="150" t="s">
        <v>2131</v>
      </c>
      <c r="F2486" s="14">
        <v>13.0</v>
      </c>
      <c r="G2486" s="14">
        <v>20.0</v>
      </c>
      <c r="H2486" s="151"/>
      <c r="I2486" s="14" t="s">
        <v>28</v>
      </c>
      <c r="J2486" s="14" t="s">
        <v>40791</v>
      </c>
      <c r="K2486" s="14" t="s">
        <v>40793</v>
      </c>
      <c r="L2486" s="152" t="s">
        <v>2136</v>
      </c>
      <c r="M2486" s="14" t="s">
        <v>40794</v>
      </c>
      <c r="N2486" s="54" t="s">
        <v>40793</v>
      </c>
      <c r="O2486" s="130" t="s">
        <v>1334</v>
      </c>
      <c r="P2486" s="54"/>
      <c r="Q2486" s="14">
        <v>346342.0</v>
      </c>
      <c r="R2486" s="14"/>
      <c r="S2486" s="212">
        <v>235231.0</v>
      </c>
      <c r="T2486" s="47"/>
      <c r="U2486" s="47"/>
      <c r="V2486" s="47"/>
      <c r="W2486" s="47"/>
      <c r="X2486" s="47"/>
      <c r="Y2486" s="47"/>
      <c r="Z2486" s="47"/>
      <c r="AA2486" s="47"/>
      <c r="AB2486" s="47"/>
      <c r="AC2486" s="47"/>
    </row>
    <row r="2487" ht="15.75" customHeight="1">
      <c r="A2487" s="14" t="s">
        <v>17</v>
      </c>
      <c r="B2487" s="14">
        <v>1994.0</v>
      </c>
      <c r="C2487" s="14" t="s">
        <v>1797</v>
      </c>
      <c r="D2487" s="14" t="s">
        <v>1798</v>
      </c>
      <c r="E2487" s="150" t="s">
        <v>1799</v>
      </c>
      <c r="F2487" s="14">
        <v>359.0</v>
      </c>
      <c r="G2487" s="14" t="s">
        <v>1800</v>
      </c>
      <c r="H2487" s="151"/>
      <c r="I2487" s="14" t="s">
        <v>28</v>
      </c>
      <c r="J2487" s="14" t="s">
        <v>40798</v>
      </c>
      <c r="K2487" s="14" t="s">
        <v>40799</v>
      </c>
      <c r="L2487" s="152" t="s">
        <v>1802</v>
      </c>
      <c r="M2487" s="14" t="s">
        <v>40800</v>
      </c>
      <c r="N2487" s="54" t="s">
        <v>40799</v>
      </c>
      <c r="O2487" s="130" t="s">
        <v>1803</v>
      </c>
      <c r="P2487" s="54"/>
      <c r="Q2487" s="14">
        <v>346296.0</v>
      </c>
      <c r="R2487" s="14"/>
      <c r="S2487" s="212" t="s">
        <v>40801</v>
      </c>
      <c r="T2487" s="47"/>
      <c r="U2487" s="47"/>
      <c r="V2487" s="47"/>
      <c r="W2487" s="47"/>
      <c r="X2487" s="47"/>
      <c r="Y2487" s="47"/>
      <c r="Z2487" s="47"/>
      <c r="AA2487" s="47"/>
      <c r="AB2487" s="47"/>
      <c r="AC2487" s="47"/>
    </row>
    <row r="2488" ht="15.75" customHeight="1">
      <c r="A2488" s="14" t="s">
        <v>17</v>
      </c>
      <c r="B2488" s="14">
        <v>1994.0</v>
      </c>
      <c r="C2488" s="14" t="s">
        <v>2096</v>
      </c>
      <c r="D2488" s="14" t="s">
        <v>2097</v>
      </c>
      <c r="E2488" s="150" t="s">
        <v>2098</v>
      </c>
      <c r="F2488" s="14">
        <v>52.0</v>
      </c>
      <c r="G2488" s="14">
        <v>59.0</v>
      </c>
      <c r="H2488" s="151"/>
      <c r="I2488" s="14" t="s">
        <v>28</v>
      </c>
      <c r="J2488" s="14" t="s">
        <v>40802</v>
      </c>
      <c r="K2488" s="14" t="s">
        <v>40803</v>
      </c>
      <c r="L2488" s="152" t="s">
        <v>1449</v>
      </c>
      <c r="M2488" s="14" t="s">
        <v>40804</v>
      </c>
      <c r="N2488" s="54" t="s">
        <v>40803</v>
      </c>
      <c r="O2488" s="130"/>
      <c r="P2488" s="54"/>
      <c r="Q2488" s="14">
        <v>346337.0</v>
      </c>
      <c r="R2488" s="14"/>
      <c r="S2488" s="212"/>
      <c r="T2488" s="47"/>
      <c r="U2488" s="47"/>
      <c r="V2488" s="47"/>
      <c r="W2488" s="47"/>
      <c r="X2488" s="47"/>
      <c r="Y2488" s="47"/>
      <c r="Z2488" s="47"/>
      <c r="AA2488" s="47"/>
      <c r="AB2488" s="47"/>
      <c r="AC2488" s="47"/>
    </row>
    <row r="2489" ht="15.75" customHeight="1">
      <c r="A2489" s="14" t="s">
        <v>17</v>
      </c>
      <c r="B2489" s="14">
        <v>1994.0</v>
      </c>
      <c r="C2489" s="14" t="s">
        <v>2072</v>
      </c>
      <c r="D2489" s="14" t="s">
        <v>2073</v>
      </c>
      <c r="E2489" s="150" t="s">
        <v>2074</v>
      </c>
      <c r="F2489" s="14">
        <v>77.0</v>
      </c>
      <c r="G2489" s="14" t="s">
        <v>2075</v>
      </c>
      <c r="H2489" s="151"/>
      <c r="I2489" s="14" t="s">
        <v>28</v>
      </c>
      <c r="J2489" s="14" t="s">
        <v>40805</v>
      </c>
      <c r="K2489" s="14" t="s">
        <v>40806</v>
      </c>
      <c r="L2489" s="152" t="s">
        <v>2077</v>
      </c>
      <c r="M2489" s="14" t="s">
        <v>40807</v>
      </c>
      <c r="N2489" s="54" t="s">
        <v>40806</v>
      </c>
      <c r="O2489" s="130" t="s">
        <v>2078</v>
      </c>
      <c r="P2489" s="54"/>
      <c r="Q2489" s="14">
        <v>346334.0</v>
      </c>
      <c r="R2489" s="14"/>
      <c r="S2489" s="212" t="s">
        <v>40808</v>
      </c>
      <c r="T2489" s="47"/>
      <c r="U2489" s="47"/>
      <c r="V2489" s="47"/>
      <c r="W2489" s="47"/>
      <c r="X2489" s="47"/>
      <c r="Y2489" s="47"/>
      <c r="Z2489" s="47"/>
      <c r="AA2489" s="47"/>
      <c r="AB2489" s="47"/>
      <c r="AC2489" s="47"/>
    </row>
    <row r="2490" ht="15.75" customHeight="1">
      <c r="A2490" s="14" t="s">
        <v>17</v>
      </c>
      <c r="B2490" s="14">
        <v>1994.0</v>
      </c>
      <c r="C2490" s="14" t="s">
        <v>1863</v>
      </c>
      <c r="D2490" s="14" t="s">
        <v>1865</v>
      </c>
      <c r="E2490" s="150" t="s">
        <v>1866</v>
      </c>
      <c r="F2490" s="14">
        <v>302.0</v>
      </c>
      <c r="G2490" s="14" t="s">
        <v>1867</v>
      </c>
      <c r="H2490" s="151"/>
      <c r="I2490" s="14" t="s">
        <v>28</v>
      </c>
      <c r="J2490" s="14" t="s">
        <v>40810</v>
      </c>
      <c r="K2490" s="14" t="s">
        <v>40811</v>
      </c>
      <c r="L2490" s="152" t="s">
        <v>1869</v>
      </c>
      <c r="M2490" s="14" t="s">
        <v>40812</v>
      </c>
      <c r="N2490" s="54" t="s">
        <v>40811</v>
      </c>
      <c r="O2490" s="130" t="s">
        <v>1870</v>
      </c>
      <c r="P2490" s="54"/>
      <c r="Q2490" s="14">
        <v>346305.0</v>
      </c>
      <c r="R2490" s="14"/>
      <c r="S2490" s="212" t="s">
        <v>40813</v>
      </c>
      <c r="T2490" s="47"/>
      <c r="U2490" s="47"/>
      <c r="V2490" s="47"/>
      <c r="W2490" s="47"/>
      <c r="X2490" s="47"/>
      <c r="Y2490" s="47"/>
      <c r="Z2490" s="47"/>
      <c r="AA2490" s="47"/>
      <c r="AB2490" s="47"/>
      <c r="AC2490" s="47"/>
    </row>
    <row r="2491" ht="15.75" customHeight="1">
      <c r="A2491" s="14" t="s">
        <v>17</v>
      </c>
      <c r="B2491" s="14">
        <v>1994.0</v>
      </c>
      <c r="C2491" s="14" t="s">
        <v>1773</v>
      </c>
      <c r="D2491" s="14" t="s">
        <v>1774</v>
      </c>
      <c r="E2491" s="150" t="s">
        <v>1775</v>
      </c>
      <c r="F2491" s="14">
        <v>374.0</v>
      </c>
      <c r="G2491" s="14" t="s">
        <v>1779</v>
      </c>
      <c r="H2491" s="151"/>
      <c r="I2491" s="14" t="s">
        <v>28</v>
      </c>
      <c r="J2491" s="14" t="s">
        <v>40814</v>
      </c>
      <c r="K2491" s="14" t="s">
        <v>40815</v>
      </c>
      <c r="L2491" s="152" t="s">
        <v>1781</v>
      </c>
      <c r="M2491" s="14" t="s">
        <v>40816</v>
      </c>
      <c r="N2491" s="54" t="s">
        <v>40815</v>
      </c>
      <c r="O2491" s="130"/>
      <c r="P2491" s="54"/>
      <c r="Q2491" s="14">
        <v>346293.0</v>
      </c>
      <c r="R2491" s="14"/>
      <c r="S2491" s="212"/>
      <c r="T2491" s="47"/>
      <c r="U2491" s="47"/>
      <c r="V2491" s="47"/>
      <c r="W2491" s="47"/>
      <c r="X2491" s="47"/>
      <c r="Y2491" s="47"/>
      <c r="Z2491" s="47"/>
      <c r="AA2491" s="47"/>
      <c r="AB2491" s="47"/>
      <c r="AC2491" s="47"/>
    </row>
    <row r="2492" ht="15.75" customHeight="1">
      <c r="A2492" s="14" t="s">
        <v>17</v>
      </c>
      <c r="B2492" s="14">
        <v>1994.0</v>
      </c>
      <c r="C2492" s="14" t="s">
        <v>1871</v>
      </c>
      <c r="D2492" s="14" t="s">
        <v>1872</v>
      </c>
      <c r="E2492" s="150" t="s">
        <v>1873</v>
      </c>
      <c r="F2492" s="14">
        <v>293.0</v>
      </c>
      <c r="G2492" s="14" t="s">
        <v>1874</v>
      </c>
      <c r="H2492" s="151"/>
      <c r="I2492" s="14" t="s">
        <v>28</v>
      </c>
      <c r="J2492" s="14" t="s">
        <v>40817</v>
      </c>
      <c r="K2492" s="14" t="s">
        <v>40818</v>
      </c>
      <c r="L2492" s="152" t="s">
        <v>1877</v>
      </c>
      <c r="M2492" s="14" t="s">
        <v>40819</v>
      </c>
      <c r="N2492" s="54" t="s">
        <v>40818</v>
      </c>
      <c r="O2492" s="130"/>
      <c r="P2492" s="54"/>
      <c r="Q2492" s="14">
        <v>346306.0</v>
      </c>
      <c r="R2492" s="14"/>
      <c r="S2492" s="212"/>
      <c r="T2492" s="47"/>
      <c r="U2492" s="47"/>
      <c r="V2492" s="47"/>
      <c r="W2492" s="47"/>
      <c r="X2492" s="47"/>
      <c r="Y2492" s="47"/>
      <c r="Z2492" s="47"/>
      <c r="AA2492" s="47"/>
      <c r="AB2492" s="47"/>
      <c r="AC2492" s="47"/>
    </row>
    <row r="2493" ht="15.75" customHeight="1">
      <c r="A2493" s="14" t="s">
        <v>17</v>
      </c>
      <c r="B2493" s="14">
        <v>1994.0</v>
      </c>
      <c r="C2493" s="14" t="s">
        <v>1788</v>
      </c>
      <c r="D2493" s="14" t="s">
        <v>1789</v>
      </c>
      <c r="E2493" s="150" t="s">
        <v>1790</v>
      </c>
      <c r="F2493" s="14">
        <v>364.0</v>
      </c>
      <c r="G2493" s="14" t="s">
        <v>1794</v>
      </c>
      <c r="H2493" s="151"/>
      <c r="I2493" s="14" t="s">
        <v>28</v>
      </c>
      <c r="J2493" s="14" t="s">
        <v>40821</v>
      </c>
      <c r="K2493" s="14" t="s">
        <v>40822</v>
      </c>
      <c r="L2493" s="152" t="s">
        <v>1796</v>
      </c>
      <c r="M2493" s="14" t="s">
        <v>40823</v>
      </c>
      <c r="N2493" s="54" t="s">
        <v>40822</v>
      </c>
      <c r="O2493" s="130"/>
      <c r="P2493" s="54"/>
      <c r="Q2493" s="14">
        <v>346295.0</v>
      </c>
      <c r="R2493" s="14"/>
      <c r="S2493" s="212"/>
      <c r="T2493" s="47"/>
      <c r="U2493" s="47"/>
      <c r="V2493" s="47"/>
      <c r="W2493" s="47"/>
      <c r="X2493" s="47"/>
      <c r="Y2493" s="47"/>
      <c r="Z2493" s="47"/>
      <c r="AA2493" s="47"/>
      <c r="AB2493" s="47"/>
      <c r="AC2493" s="47"/>
    </row>
    <row r="2494" ht="15.75" customHeight="1">
      <c r="A2494" s="14" t="s">
        <v>17</v>
      </c>
      <c r="B2494" s="14">
        <v>1994.0</v>
      </c>
      <c r="C2494" s="14" t="s">
        <v>1967</v>
      </c>
      <c r="D2494" s="14" t="s">
        <v>1968</v>
      </c>
      <c r="E2494" s="150" t="s">
        <v>1969</v>
      </c>
      <c r="F2494" s="14">
        <v>196.0</v>
      </c>
      <c r="G2494" s="14">
        <v>203.0</v>
      </c>
      <c r="H2494" s="151"/>
      <c r="I2494" s="14" t="s">
        <v>28</v>
      </c>
      <c r="J2494" s="14" t="s">
        <v>40825</v>
      </c>
      <c r="K2494" s="14" t="s">
        <v>40826</v>
      </c>
      <c r="L2494" s="152" t="s">
        <v>66</v>
      </c>
      <c r="M2494" s="14" t="s">
        <v>40827</v>
      </c>
      <c r="N2494" s="54" t="s">
        <v>40828</v>
      </c>
      <c r="O2494" s="130" t="s">
        <v>1971</v>
      </c>
      <c r="P2494" s="54"/>
      <c r="Q2494" s="14">
        <v>346319.0</v>
      </c>
      <c r="R2494" s="14"/>
      <c r="S2494" s="212" t="s">
        <v>40829</v>
      </c>
      <c r="T2494" s="47"/>
      <c r="U2494" s="47"/>
      <c r="V2494" s="47"/>
      <c r="W2494" s="47"/>
      <c r="X2494" s="47"/>
      <c r="Y2494" s="47"/>
      <c r="Z2494" s="47"/>
      <c r="AA2494" s="47"/>
      <c r="AB2494" s="47"/>
      <c r="AC2494" s="47"/>
    </row>
    <row r="2495" ht="15.75" customHeight="1">
      <c r="A2495" s="14" t="s">
        <v>17</v>
      </c>
      <c r="B2495" s="14">
        <v>1994.0</v>
      </c>
      <c r="C2495" s="14" t="s">
        <v>2088</v>
      </c>
      <c r="D2495" s="14" t="s">
        <v>2089</v>
      </c>
      <c r="E2495" s="150" t="s">
        <v>2090</v>
      </c>
      <c r="F2495" s="14">
        <v>61.0</v>
      </c>
      <c r="G2495" s="14">
        <v>68.0</v>
      </c>
      <c r="H2495" s="151"/>
      <c r="I2495" s="14" t="s">
        <v>28</v>
      </c>
      <c r="J2495" s="14" t="s">
        <v>40830</v>
      </c>
      <c r="K2495" s="14" t="s">
        <v>40831</v>
      </c>
      <c r="L2495" s="152" t="s">
        <v>2094</v>
      </c>
      <c r="M2495" s="14" t="s">
        <v>40832</v>
      </c>
      <c r="N2495" s="54" t="s">
        <v>40831</v>
      </c>
      <c r="O2495" s="130"/>
      <c r="P2495" s="54"/>
      <c r="Q2495" s="14">
        <v>346336.0</v>
      </c>
      <c r="R2495" s="14"/>
      <c r="S2495" s="212"/>
      <c r="T2495" s="47"/>
      <c r="U2495" s="47"/>
      <c r="V2495" s="47"/>
      <c r="W2495" s="47"/>
      <c r="X2495" s="47"/>
      <c r="Y2495" s="47"/>
      <c r="Z2495" s="47"/>
      <c r="AA2495" s="47"/>
      <c r="AB2495" s="47"/>
      <c r="AC2495" s="47"/>
    </row>
    <row r="2496" ht="15.75" customHeight="1">
      <c r="A2496" s="14" t="s">
        <v>17</v>
      </c>
      <c r="B2496" s="14">
        <v>1994.0</v>
      </c>
      <c r="C2496" s="14" t="s">
        <v>2059</v>
      </c>
      <c r="D2496" s="14" t="s">
        <v>2060</v>
      </c>
      <c r="E2496" s="150" t="s">
        <v>2061</v>
      </c>
      <c r="F2496" s="14">
        <v>93.0</v>
      </c>
      <c r="G2496" s="14" t="s">
        <v>2062</v>
      </c>
      <c r="H2496" s="151"/>
      <c r="I2496" s="14" t="s">
        <v>28</v>
      </c>
      <c r="J2496" s="14" t="s">
        <v>40834</v>
      </c>
      <c r="K2496" s="14" t="s">
        <v>40835</v>
      </c>
      <c r="L2496" s="152" t="s">
        <v>2064</v>
      </c>
      <c r="M2496" s="14" t="s">
        <v>40836</v>
      </c>
      <c r="N2496" s="54" t="s">
        <v>40835</v>
      </c>
      <c r="O2496" s="130" t="s">
        <v>1340</v>
      </c>
      <c r="P2496" s="54"/>
      <c r="Q2496" s="14">
        <v>346332.0</v>
      </c>
      <c r="R2496" s="14"/>
      <c r="S2496" s="212">
        <v>398845.0</v>
      </c>
      <c r="T2496" s="47"/>
      <c r="U2496" s="47"/>
      <c r="V2496" s="47"/>
      <c r="W2496" s="47"/>
      <c r="X2496" s="47"/>
      <c r="Y2496" s="47"/>
      <c r="Z2496" s="47"/>
      <c r="AA2496" s="47"/>
      <c r="AB2496" s="47"/>
      <c r="AC2496" s="47"/>
    </row>
    <row r="2497" ht="15.75" customHeight="1">
      <c r="A2497" s="14" t="s">
        <v>17</v>
      </c>
      <c r="B2497" s="14">
        <v>1994.0</v>
      </c>
      <c r="C2497" s="14" t="s">
        <v>1952</v>
      </c>
      <c r="D2497" s="14" t="s">
        <v>1953</v>
      </c>
      <c r="E2497" s="150" t="s">
        <v>1954</v>
      </c>
      <c r="F2497" s="14">
        <v>212.0</v>
      </c>
      <c r="G2497" s="14" t="s">
        <v>1955</v>
      </c>
      <c r="H2497" s="151"/>
      <c r="I2497" s="14" t="s">
        <v>28</v>
      </c>
      <c r="J2497" s="14" t="s">
        <v>40837</v>
      </c>
      <c r="K2497" s="14" t="s">
        <v>40838</v>
      </c>
      <c r="L2497" s="152" t="s">
        <v>1957</v>
      </c>
      <c r="M2497" s="14" t="s">
        <v>40839</v>
      </c>
      <c r="N2497" s="54" t="s">
        <v>40838</v>
      </c>
      <c r="O2497" s="130"/>
      <c r="P2497" s="54"/>
      <c r="Q2497" s="14">
        <v>346317.0</v>
      </c>
      <c r="R2497" s="14"/>
      <c r="S2497" s="212"/>
      <c r="T2497" s="47"/>
      <c r="U2497" s="47"/>
      <c r="V2497" s="47"/>
      <c r="W2497" s="47"/>
      <c r="X2497" s="47"/>
      <c r="Y2497" s="47"/>
      <c r="Z2497" s="47"/>
      <c r="AA2497" s="47"/>
      <c r="AB2497" s="47"/>
      <c r="AC2497" s="47"/>
    </row>
    <row r="2498" ht="15.75" customHeight="1">
      <c r="A2498" s="14" t="s">
        <v>17</v>
      </c>
      <c r="B2498" s="14">
        <v>1994.0</v>
      </c>
      <c r="C2498" s="14" t="s">
        <v>1813</v>
      </c>
      <c r="D2498" s="14" t="s">
        <v>1814</v>
      </c>
      <c r="E2498" s="150" t="s">
        <v>1815</v>
      </c>
      <c r="F2498" s="14">
        <v>350.0</v>
      </c>
      <c r="G2498" s="14" t="s">
        <v>1816</v>
      </c>
      <c r="H2498" s="151"/>
      <c r="I2498" s="14" t="s">
        <v>28</v>
      </c>
      <c r="J2498" s="14" t="s">
        <v>40840</v>
      </c>
      <c r="K2498" s="14" t="s">
        <v>11091</v>
      </c>
      <c r="L2498" s="152" t="s">
        <v>1158</v>
      </c>
      <c r="M2498" s="14">
        <v>3.73721755E10</v>
      </c>
      <c r="N2498" s="54" t="s">
        <v>11091</v>
      </c>
      <c r="O2498" s="130" t="s">
        <v>1182</v>
      </c>
      <c r="P2498" s="54"/>
      <c r="Q2498" s="14">
        <v>346298.0</v>
      </c>
      <c r="R2498" s="14"/>
      <c r="S2498" s="212">
        <v>235219.0</v>
      </c>
      <c r="T2498" s="47"/>
      <c r="U2498" s="47"/>
      <c r="V2498" s="47"/>
      <c r="W2498" s="47"/>
      <c r="X2498" s="47"/>
      <c r="Y2498" s="47"/>
      <c r="Z2498" s="47"/>
      <c r="AA2498" s="47"/>
      <c r="AB2498" s="47"/>
      <c r="AC2498" s="47"/>
    </row>
    <row r="2499" ht="15.75" customHeight="1">
      <c r="A2499" s="14" t="s">
        <v>17</v>
      </c>
      <c r="B2499" s="14">
        <v>1994.0</v>
      </c>
      <c r="C2499" s="14" t="s">
        <v>1958</v>
      </c>
      <c r="D2499" s="14" t="s">
        <v>1959</v>
      </c>
      <c r="E2499" s="150" t="s">
        <v>1960</v>
      </c>
      <c r="F2499" s="14">
        <v>205.0</v>
      </c>
      <c r="G2499" s="14" t="s">
        <v>1964</v>
      </c>
      <c r="H2499" s="151"/>
      <c r="I2499" s="14" t="s">
        <v>28</v>
      </c>
      <c r="J2499" s="14" t="s">
        <v>40842</v>
      </c>
      <c r="K2499" s="14" t="s">
        <v>40843</v>
      </c>
      <c r="L2499" s="152" t="s">
        <v>1966</v>
      </c>
      <c r="M2499" s="14" t="s">
        <v>40844</v>
      </c>
      <c r="N2499" s="54" t="s">
        <v>40843</v>
      </c>
      <c r="O2499" s="130" t="s">
        <v>668</v>
      </c>
      <c r="P2499" s="54"/>
      <c r="Q2499" s="14">
        <v>346318.0</v>
      </c>
      <c r="R2499" s="14"/>
      <c r="S2499" s="212">
        <v>175794.0</v>
      </c>
      <c r="T2499" s="47"/>
      <c r="U2499" s="47"/>
      <c r="V2499" s="47"/>
      <c r="W2499" s="47"/>
      <c r="X2499" s="47"/>
      <c r="Y2499" s="47"/>
      <c r="Z2499" s="47"/>
      <c r="AA2499" s="47"/>
      <c r="AB2499" s="47"/>
      <c r="AC2499" s="47"/>
    </row>
    <row r="2500" ht="15.75" customHeight="1">
      <c r="A2500" s="14" t="s">
        <v>17</v>
      </c>
      <c r="B2500" s="14">
        <v>1994.0</v>
      </c>
      <c r="C2500" s="14" t="s">
        <v>1987</v>
      </c>
      <c r="D2500" s="14" t="s">
        <v>1988</v>
      </c>
      <c r="E2500" s="150" t="s">
        <v>1989</v>
      </c>
      <c r="F2500" s="14">
        <v>172.0</v>
      </c>
      <c r="G2500" s="14" t="s">
        <v>1990</v>
      </c>
      <c r="H2500" s="151"/>
      <c r="I2500" s="14" t="s">
        <v>28</v>
      </c>
      <c r="J2500" s="14" t="s">
        <v>40845</v>
      </c>
      <c r="K2500" s="14" t="s">
        <v>40846</v>
      </c>
      <c r="L2500" s="152" t="s">
        <v>144</v>
      </c>
      <c r="M2500" s="14" t="s">
        <v>40847</v>
      </c>
      <c r="N2500" s="54" t="s">
        <v>40846</v>
      </c>
      <c r="O2500" s="130"/>
      <c r="P2500" s="54"/>
      <c r="Q2500" s="14">
        <v>346322.0</v>
      </c>
      <c r="R2500" s="14"/>
      <c r="S2500" s="212"/>
      <c r="T2500" s="47"/>
      <c r="U2500" s="47"/>
      <c r="V2500" s="47"/>
      <c r="W2500" s="47"/>
      <c r="X2500" s="47"/>
      <c r="Y2500" s="47"/>
      <c r="Z2500" s="47"/>
      <c r="AA2500" s="47"/>
      <c r="AB2500" s="47"/>
      <c r="AC2500" s="47"/>
    </row>
    <row r="2501" ht="15.75" customHeight="1">
      <c r="A2501" s="14" t="s">
        <v>17</v>
      </c>
      <c r="B2501" s="14">
        <v>1994.0</v>
      </c>
      <c r="C2501" s="14" t="s">
        <v>1938</v>
      </c>
      <c r="D2501" s="14" t="s">
        <v>1939</v>
      </c>
      <c r="E2501" s="150" t="s">
        <v>1940</v>
      </c>
      <c r="F2501" s="14">
        <v>225.0</v>
      </c>
      <c r="G2501" s="14" t="s">
        <v>1941</v>
      </c>
      <c r="H2501" s="151"/>
      <c r="I2501" s="14" t="s">
        <v>28</v>
      </c>
      <c r="J2501" s="14" t="s">
        <v>40849</v>
      </c>
      <c r="K2501" s="14" t="s">
        <v>40850</v>
      </c>
      <c r="L2501" s="152" t="s">
        <v>1943</v>
      </c>
      <c r="M2501" s="14" t="s">
        <v>40851</v>
      </c>
      <c r="N2501" s="54" t="s">
        <v>40850</v>
      </c>
      <c r="O2501" s="130" t="s">
        <v>1944</v>
      </c>
      <c r="P2501" s="54"/>
      <c r="Q2501" s="14">
        <v>346315.0</v>
      </c>
      <c r="R2501" s="14"/>
      <c r="S2501" s="212" t="s">
        <v>40852</v>
      </c>
      <c r="T2501" s="47"/>
      <c r="U2501" s="47"/>
      <c r="V2501" s="47"/>
      <c r="W2501" s="47"/>
      <c r="X2501" s="47"/>
      <c r="Y2501" s="47"/>
      <c r="Z2501" s="47"/>
      <c r="AA2501" s="47"/>
      <c r="AB2501" s="47"/>
      <c r="AC2501" s="47"/>
    </row>
    <row r="2502" ht="15.75" customHeight="1">
      <c r="A2502" s="14" t="s">
        <v>17</v>
      </c>
      <c r="B2502" s="14">
        <v>1994.0</v>
      </c>
      <c r="C2502" s="14" t="s">
        <v>1901</v>
      </c>
      <c r="D2502" s="14" t="s">
        <v>1902</v>
      </c>
      <c r="E2502" s="150" t="s">
        <v>1903</v>
      </c>
      <c r="F2502" s="14">
        <v>265.0</v>
      </c>
      <c r="G2502" s="14" t="s">
        <v>1907</v>
      </c>
      <c r="H2502" s="151"/>
      <c r="I2502" s="14" t="s">
        <v>28</v>
      </c>
      <c r="J2502" s="14" t="s">
        <v>40853</v>
      </c>
      <c r="K2502" s="14" t="s">
        <v>40854</v>
      </c>
      <c r="L2502" s="152" t="s">
        <v>1909</v>
      </c>
      <c r="M2502" s="14" t="s">
        <v>40855</v>
      </c>
      <c r="N2502" s="54" t="s">
        <v>40854</v>
      </c>
      <c r="O2502" s="130" t="s">
        <v>1910</v>
      </c>
      <c r="P2502" s="193" t="s">
        <v>1911</v>
      </c>
      <c r="Q2502" s="14">
        <v>346310.0</v>
      </c>
      <c r="R2502" s="14"/>
      <c r="S2502" s="212" t="s">
        <v>40856</v>
      </c>
      <c r="T2502" s="47"/>
      <c r="U2502" s="47"/>
      <c r="V2502" s="47"/>
      <c r="W2502" s="47"/>
      <c r="X2502" s="47"/>
      <c r="Y2502" s="47"/>
      <c r="Z2502" s="47"/>
      <c r="AA2502" s="47"/>
      <c r="AB2502" s="47"/>
      <c r="AC2502" s="47"/>
    </row>
    <row r="2503" ht="15.75" customHeight="1">
      <c r="A2503" s="14" t="s">
        <v>17</v>
      </c>
      <c r="B2503" s="14">
        <v>1994.0</v>
      </c>
      <c r="C2503" s="14" t="s">
        <v>2016</v>
      </c>
      <c r="D2503" s="14" t="s">
        <v>2017</v>
      </c>
      <c r="E2503" s="150" t="s">
        <v>2018</v>
      </c>
      <c r="F2503" s="14">
        <v>140.0</v>
      </c>
      <c r="G2503" s="14" t="s">
        <v>2019</v>
      </c>
      <c r="H2503" s="151"/>
      <c r="I2503" s="14" t="s">
        <v>28</v>
      </c>
      <c r="J2503" s="14" t="s">
        <v>40857</v>
      </c>
      <c r="K2503" s="14" t="s">
        <v>40858</v>
      </c>
      <c r="L2503" s="152" t="s">
        <v>2020</v>
      </c>
      <c r="M2503" s="14" t="s">
        <v>40859</v>
      </c>
      <c r="N2503" s="54" t="s">
        <v>40860</v>
      </c>
      <c r="O2503" s="130" t="s">
        <v>487</v>
      </c>
      <c r="P2503" s="54"/>
      <c r="Q2503" s="14">
        <v>346326.0</v>
      </c>
      <c r="R2503" s="14"/>
      <c r="S2503" s="212">
        <v>175773.0</v>
      </c>
      <c r="T2503" s="47"/>
      <c r="U2503" s="47"/>
      <c r="V2503" s="47"/>
      <c r="W2503" s="47"/>
      <c r="X2503" s="47"/>
      <c r="Y2503" s="47"/>
      <c r="Z2503" s="47"/>
      <c r="AA2503" s="47"/>
      <c r="AB2503" s="47"/>
      <c r="AC2503" s="47"/>
    </row>
    <row r="2504" ht="15.75" customHeight="1">
      <c r="A2504" s="14" t="s">
        <v>17</v>
      </c>
      <c r="B2504" s="14">
        <v>1994.0</v>
      </c>
      <c r="C2504" s="14" t="s">
        <v>1833</v>
      </c>
      <c r="D2504" s="14" t="s">
        <v>1834</v>
      </c>
      <c r="E2504" s="150" t="s">
        <v>1836</v>
      </c>
      <c r="F2504" s="14">
        <v>337.0</v>
      </c>
      <c r="G2504" s="14" t="s">
        <v>1837</v>
      </c>
      <c r="H2504" s="151"/>
      <c r="I2504" s="14" t="s">
        <v>28</v>
      </c>
      <c r="J2504" s="14" t="s">
        <v>40862</v>
      </c>
      <c r="K2504" s="14" t="s">
        <v>40863</v>
      </c>
      <c r="L2504" s="152" t="s">
        <v>1839</v>
      </c>
      <c r="M2504" s="14" t="s">
        <v>40864</v>
      </c>
      <c r="N2504" s="54" t="s">
        <v>40863</v>
      </c>
      <c r="O2504" s="130"/>
      <c r="P2504" s="193" t="s">
        <v>1840</v>
      </c>
      <c r="Q2504" s="14">
        <v>346301.0</v>
      </c>
      <c r="R2504" s="14"/>
      <c r="S2504" s="212"/>
      <c r="T2504" s="47"/>
      <c r="U2504" s="47"/>
      <c r="V2504" s="47"/>
      <c r="W2504" s="47"/>
      <c r="X2504" s="47"/>
      <c r="Y2504" s="47"/>
      <c r="Z2504" s="47"/>
      <c r="AA2504" s="47"/>
      <c r="AB2504" s="47"/>
      <c r="AC2504" s="47"/>
    </row>
    <row r="2505" ht="15.75" customHeight="1">
      <c r="A2505" s="14" t="s">
        <v>17</v>
      </c>
      <c r="B2505" s="14">
        <v>1994.0</v>
      </c>
      <c r="C2505" s="14" t="s">
        <v>2080</v>
      </c>
      <c r="D2505" s="14" t="s">
        <v>2081</v>
      </c>
      <c r="E2505" s="150" t="s">
        <v>2082</v>
      </c>
      <c r="F2505" s="14">
        <v>69.0</v>
      </c>
      <c r="G2505" s="14" t="s">
        <v>2085</v>
      </c>
      <c r="H2505" s="151"/>
      <c r="I2505" s="14" t="s">
        <v>28</v>
      </c>
      <c r="J2505" s="14" t="s">
        <v>40866</v>
      </c>
      <c r="K2505" s="14" t="s">
        <v>40867</v>
      </c>
      <c r="L2505" s="152" t="s">
        <v>2087</v>
      </c>
      <c r="M2505" s="14" t="s">
        <v>40868</v>
      </c>
      <c r="N2505" s="54" t="s">
        <v>40867</v>
      </c>
      <c r="O2505" s="130"/>
      <c r="P2505" s="54"/>
      <c r="Q2505" s="14">
        <v>346335.0</v>
      </c>
      <c r="R2505" s="14"/>
      <c r="S2505" s="212"/>
      <c r="T2505" s="47"/>
      <c r="U2505" s="47"/>
      <c r="V2505" s="47"/>
      <c r="W2505" s="47"/>
      <c r="X2505" s="47"/>
      <c r="Y2505" s="47"/>
      <c r="Z2505" s="47"/>
      <c r="AA2505" s="47"/>
      <c r="AB2505" s="47"/>
      <c r="AC2505" s="47"/>
    </row>
    <row r="2506" ht="15.75" customHeight="1">
      <c r="A2506" s="14" t="s">
        <v>17</v>
      </c>
      <c r="B2506" s="14">
        <v>1994.0</v>
      </c>
      <c r="C2506" s="14" t="s">
        <v>1912</v>
      </c>
      <c r="D2506" s="14" t="s">
        <v>1913</v>
      </c>
      <c r="E2506" s="150" t="s">
        <v>1914</v>
      </c>
      <c r="F2506" s="14">
        <v>257.0</v>
      </c>
      <c r="G2506" s="14" t="s">
        <v>1915</v>
      </c>
      <c r="H2506" s="151"/>
      <c r="I2506" s="14" t="s">
        <v>28</v>
      </c>
      <c r="J2506" s="14" t="s">
        <v>40871</v>
      </c>
      <c r="K2506" s="14" t="s">
        <v>8922</v>
      </c>
      <c r="L2506" s="152" t="s">
        <v>1110</v>
      </c>
      <c r="M2506" s="14">
        <v>3.73569155E10</v>
      </c>
      <c r="N2506" s="54" t="s">
        <v>8922</v>
      </c>
      <c r="O2506" s="130" t="s">
        <v>1916</v>
      </c>
      <c r="P2506" s="54"/>
      <c r="Q2506" s="14">
        <v>346311.0</v>
      </c>
      <c r="R2506" s="14"/>
      <c r="S2506" s="212" t="s">
        <v>40872</v>
      </c>
      <c r="T2506" s="47"/>
      <c r="U2506" s="47"/>
      <c r="V2506" s="47"/>
      <c r="W2506" s="47"/>
      <c r="X2506" s="47"/>
      <c r="Y2506" s="47"/>
      <c r="Z2506" s="47"/>
      <c r="AA2506" s="47"/>
      <c r="AB2506" s="47"/>
      <c r="AC2506" s="47"/>
    </row>
    <row r="2507" ht="15.75" customHeight="1">
      <c r="A2507" s="14" t="s">
        <v>17</v>
      </c>
      <c r="B2507" s="14">
        <v>1994.0</v>
      </c>
      <c r="C2507" s="14" t="s">
        <v>1945</v>
      </c>
      <c r="D2507" s="14" t="s">
        <v>1946</v>
      </c>
      <c r="E2507" s="150" t="s">
        <v>1947</v>
      </c>
      <c r="F2507" s="14">
        <v>217.0</v>
      </c>
      <c r="G2507" s="14" t="s">
        <v>1948</v>
      </c>
      <c r="H2507" s="151"/>
      <c r="I2507" s="14" t="s">
        <v>28</v>
      </c>
      <c r="J2507" s="14" t="s">
        <v>40873</v>
      </c>
      <c r="K2507" s="14" t="s">
        <v>40874</v>
      </c>
      <c r="L2507" s="152" t="s">
        <v>1950</v>
      </c>
      <c r="M2507" s="14" t="s">
        <v>40875</v>
      </c>
      <c r="N2507" s="54" t="s">
        <v>40874</v>
      </c>
      <c r="O2507" s="130" t="s">
        <v>1951</v>
      </c>
      <c r="P2507" s="54"/>
      <c r="Q2507" s="14">
        <v>346316.0</v>
      </c>
      <c r="R2507" s="14"/>
      <c r="S2507" s="212" t="s">
        <v>40876</v>
      </c>
      <c r="T2507" s="47"/>
      <c r="U2507" s="47"/>
      <c r="V2507" s="47"/>
      <c r="W2507" s="47"/>
      <c r="X2507" s="47"/>
      <c r="Y2507" s="47"/>
      <c r="Z2507" s="47"/>
      <c r="AA2507" s="47"/>
      <c r="AB2507" s="47"/>
      <c r="AC2507" s="47"/>
    </row>
    <row r="2508" ht="15.75" customHeight="1">
      <c r="A2508" s="14" t="s">
        <v>17</v>
      </c>
      <c r="B2508" s="14">
        <v>1994.0</v>
      </c>
      <c r="C2508" s="14" t="s">
        <v>1720</v>
      </c>
      <c r="D2508" s="14" t="s">
        <v>1721</v>
      </c>
      <c r="E2508" s="150" t="s">
        <v>1722</v>
      </c>
      <c r="F2508" s="14">
        <v>414.0</v>
      </c>
      <c r="G2508" s="14">
        <v>418.0</v>
      </c>
      <c r="H2508" s="159" t="s">
        <v>30659</v>
      </c>
      <c r="I2508" s="14" t="s">
        <v>21</v>
      </c>
      <c r="J2508" s="14" t="s">
        <v>40878</v>
      </c>
      <c r="K2508" s="14" t="s">
        <v>40879</v>
      </c>
      <c r="L2508" s="152" t="s">
        <v>1724</v>
      </c>
      <c r="M2508" s="14" t="s">
        <v>40880</v>
      </c>
      <c r="N2508" s="54" t="s">
        <v>40881</v>
      </c>
      <c r="O2508" s="130"/>
      <c r="P2508" s="54"/>
      <c r="Q2508" s="14">
        <v>346285.0</v>
      </c>
      <c r="R2508" s="14"/>
      <c r="S2508" s="212"/>
      <c r="T2508" s="47"/>
      <c r="U2508" s="47"/>
      <c r="V2508" s="47"/>
      <c r="W2508" s="47"/>
      <c r="X2508" s="47"/>
      <c r="Y2508" s="47"/>
      <c r="Z2508" s="47"/>
      <c r="AA2508" s="47"/>
      <c r="AB2508" s="47"/>
      <c r="AC2508" s="47"/>
    </row>
    <row r="2509" ht="15.75" customHeight="1">
      <c r="A2509" s="14" t="s">
        <v>17</v>
      </c>
      <c r="B2509" s="14">
        <v>1994.0</v>
      </c>
      <c r="C2509" s="14" t="s">
        <v>2000</v>
      </c>
      <c r="D2509" s="14" t="s">
        <v>2001</v>
      </c>
      <c r="E2509" s="150" t="s">
        <v>2002</v>
      </c>
      <c r="F2509" s="14">
        <v>156.0</v>
      </c>
      <c r="G2509" s="14" t="s">
        <v>2004</v>
      </c>
      <c r="H2509" s="151"/>
      <c r="I2509" s="14" t="s">
        <v>28</v>
      </c>
      <c r="J2509" s="14" t="s">
        <v>40884</v>
      </c>
      <c r="K2509" s="14" t="s">
        <v>40885</v>
      </c>
      <c r="L2509" s="152" t="s">
        <v>855</v>
      </c>
      <c r="M2509" s="14" t="s">
        <v>40886</v>
      </c>
      <c r="N2509" s="54" t="s">
        <v>40885</v>
      </c>
      <c r="O2509" s="130" t="s">
        <v>2006</v>
      </c>
      <c r="P2509" s="54"/>
      <c r="Q2509" s="14">
        <v>346324.0</v>
      </c>
      <c r="R2509" s="14"/>
      <c r="S2509" s="212" t="s">
        <v>40887</v>
      </c>
      <c r="T2509" s="47"/>
      <c r="U2509" s="47"/>
      <c r="V2509" s="47"/>
      <c r="W2509" s="47"/>
      <c r="X2509" s="47"/>
      <c r="Y2509" s="47"/>
      <c r="Z2509" s="47"/>
      <c r="AA2509" s="47"/>
      <c r="AB2509" s="47"/>
      <c r="AC2509" s="47"/>
    </row>
    <row r="2510" ht="15.75" customHeight="1">
      <c r="A2510" s="14" t="s">
        <v>17</v>
      </c>
      <c r="B2510" s="14">
        <v>1994.0</v>
      </c>
      <c r="C2510" s="14" t="s">
        <v>1825</v>
      </c>
      <c r="D2510" s="14" t="s">
        <v>1826</v>
      </c>
      <c r="E2510" s="150" t="s">
        <v>1827</v>
      </c>
      <c r="F2510" s="14">
        <v>341.0</v>
      </c>
      <c r="G2510" s="14" t="s">
        <v>1828</v>
      </c>
      <c r="H2510" s="151"/>
      <c r="I2510" s="14" t="s">
        <v>28</v>
      </c>
      <c r="J2510" s="14" t="s">
        <v>40888</v>
      </c>
      <c r="K2510" s="14" t="s">
        <v>40889</v>
      </c>
      <c r="L2510" s="152" t="s">
        <v>1831</v>
      </c>
      <c r="M2510" s="14" t="s">
        <v>40890</v>
      </c>
      <c r="N2510" s="54" t="s">
        <v>40889</v>
      </c>
      <c r="O2510" s="130"/>
      <c r="P2510" s="54"/>
      <c r="Q2510" s="14">
        <v>346300.0</v>
      </c>
      <c r="R2510" s="14"/>
      <c r="S2510" s="212"/>
      <c r="T2510" s="47"/>
      <c r="U2510" s="47"/>
      <c r="V2510" s="47"/>
      <c r="W2510" s="47"/>
      <c r="X2510" s="47"/>
      <c r="Y2510" s="47"/>
      <c r="Z2510" s="47"/>
      <c r="AA2510" s="47"/>
      <c r="AB2510" s="47"/>
      <c r="AC2510" s="47"/>
    </row>
    <row r="2511" ht="15.75" customHeight="1">
      <c r="A2511" s="14" t="s">
        <v>17</v>
      </c>
      <c r="B2511" s="14">
        <v>1994.0</v>
      </c>
      <c r="C2511" s="14" t="s">
        <v>1711</v>
      </c>
      <c r="D2511" s="14" t="s">
        <v>1712</v>
      </c>
      <c r="E2511" s="150" t="s">
        <v>1713</v>
      </c>
      <c r="F2511" s="14">
        <v>400.0</v>
      </c>
      <c r="G2511" s="14">
        <v>403.0</v>
      </c>
      <c r="H2511" s="159" t="s">
        <v>30659</v>
      </c>
      <c r="I2511" s="14" t="s">
        <v>21</v>
      </c>
      <c r="J2511" s="14" t="s">
        <v>40891</v>
      </c>
      <c r="K2511" s="14" t="s">
        <v>40892</v>
      </c>
      <c r="L2511" s="152" t="s">
        <v>1719</v>
      </c>
      <c r="M2511" s="14" t="s">
        <v>40893</v>
      </c>
      <c r="N2511" s="54" t="s">
        <v>40892</v>
      </c>
      <c r="O2511" s="130"/>
      <c r="P2511" s="54"/>
      <c r="Q2511" s="14">
        <v>346284.0</v>
      </c>
      <c r="R2511" s="14"/>
      <c r="S2511" s="212"/>
      <c r="T2511" s="47"/>
      <c r="U2511" s="47"/>
      <c r="V2511" s="47"/>
      <c r="W2511" s="47"/>
      <c r="X2511" s="47"/>
      <c r="Y2511" s="47"/>
      <c r="Z2511" s="47"/>
      <c r="AA2511" s="47"/>
      <c r="AB2511" s="47"/>
      <c r="AC2511" s="47"/>
    </row>
    <row r="2512" ht="15.75" customHeight="1">
      <c r="A2512" s="14" t="s">
        <v>17</v>
      </c>
      <c r="B2512" s="14">
        <v>1994.0</v>
      </c>
      <c r="C2512" s="14" t="s">
        <v>1737</v>
      </c>
      <c r="D2512" s="14" t="s">
        <v>1738</v>
      </c>
      <c r="E2512" s="150" t="s">
        <v>1739</v>
      </c>
      <c r="F2512" s="14">
        <v>396.0</v>
      </c>
      <c r="G2512" s="14">
        <v>399.0</v>
      </c>
      <c r="H2512" s="159" t="s">
        <v>30659</v>
      </c>
      <c r="I2512" s="14" t="s">
        <v>21</v>
      </c>
      <c r="J2512" s="14" t="s">
        <v>40894</v>
      </c>
      <c r="K2512" s="14" t="s">
        <v>40895</v>
      </c>
      <c r="L2512" s="152" t="s">
        <v>1744</v>
      </c>
      <c r="M2512" s="14" t="s">
        <v>40896</v>
      </c>
      <c r="N2512" s="54" t="s">
        <v>40897</v>
      </c>
      <c r="O2512" s="130"/>
      <c r="P2512" s="54"/>
      <c r="Q2512" s="14">
        <v>346288.0</v>
      </c>
      <c r="R2512" s="14"/>
      <c r="S2512" s="212"/>
      <c r="T2512" s="47"/>
      <c r="U2512" s="47"/>
      <c r="V2512" s="47"/>
      <c r="W2512" s="47"/>
      <c r="X2512" s="47"/>
      <c r="Y2512" s="47"/>
      <c r="Z2512" s="47"/>
      <c r="AA2512" s="47"/>
      <c r="AB2512" s="47"/>
      <c r="AC2512" s="47"/>
    </row>
    <row r="2513" ht="15.75" customHeight="1">
      <c r="A2513" s="14" t="s">
        <v>17</v>
      </c>
      <c r="B2513" s="14">
        <v>1994.0</v>
      </c>
      <c r="C2513" s="14" t="s">
        <v>1782</v>
      </c>
      <c r="D2513" s="14" t="s">
        <v>1783</v>
      </c>
      <c r="E2513" s="150" t="s">
        <v>1784</v>
      </c>
      <c r="F2513" s="14">
        <v>369.0</v>
      </c>
      <c r="G2513" s="14" t="s">
        <v>1785</v>
      </c>
      <c r="H2513" s="151"/>
      <c r="I2513" s="14" t="s">
        <v>28</v>
      </c>
      <c r="J2513" s="14" t="s">
        <v>40898</v>
      </c>
      <c r="K2513" s="14" t="s">
        <v>40899</v>
      </c>
      <c r="L2513" s="152" t="s">
        <v>1787</v>
      </c>
      <c r="M2513" s="14" t="s">
        <v>40900</v>
      </c>
      <c r="N2513" s="54" t="s">
        <v>40899</v>
      </c>
      <c r="O2513" s="130" t="s">
        <v>1316</v>
      </c>
      <c r="P2513" s="54"/>
      <c r="Q2513" s="14">
        <v>346294.0</v>
      </c>
      <c r="R2513" s="14"/>
      <c r="S2513" s="212">
        <v>235228.0</v>
      </c>
      <c r="T2513" s="47"/>
      <c r="U2513" s="47"/>
      <c r="V2513" s="47"/>
      <c r="W2513" s="47"/>
      <c r="X2513" s="47"/>
      <c r="Y2513" s="47"/>
      <c r="Z2513" s="47"/>
      <c r="AA2513" s="47"/>
      <c r="AB2513" s="47"/>
      <c r="AC2513" s="47"/>
    </row>
    <row r="2514" ht="15.75" customHeight="1">
      <c r="A2514" s="14" t="s">
        <v>17</v>
      </c>
      <c r="B2514" s="14">
        <v>1994.0</v>
      </c>
      <c r="C2514" s="14" t="s">
        <v>1767</v>
      </c>
      <c r="D2514" s="14" t="s">
        <v>1768</v>
      </c>
      <c r="E2514" s="150" t="s">
        <v>1769</v>
      </c>
      <c r="F2514" s="14">
        <v>379.0</v>
      </c>
      <c r="G2514" s="14" t="s">
        <v>1770</v>
      </c>
      <c r="H2514" s="151"/>
      <c r="I2514" s="14" t="s">
        <v>28</v>
      </c>
      <c r="J2514" s="14" t="s">
        <v>40902</v>
      </c>
      <c r="K2514" s="14" t="s">
        <v>40903</v>
      </c>
      <c r="L2514" s="152" t="s">
        <v>1772</v>
      </c>
      <c r="M2514" s="14" t="s">
        <v>40904</v>
      </c>
      <c r="N2514" s="54" t="s">
        <v>40903</v>
      </c>
      <c r="O2514" s="130"/>
      <c r="P2514" s="54"/>
      <c r="Q2514" s="14">
        <v>346292.0</v>
      </c>
      <c r="R2514" s="14"/>
      <c r="S2514" s="212"/>
      <c r="T2514" s="47"/>
      <c r="U2514" s="47"/>
      <c r="V2514" s="47"/>
      <c r="W2514" s="47"/>
      <c r="X2514" s="47"/>
      <c r="Y2514" s="47"/>
      <c r="Z2514" s="47"/>
      <c r="AA2514" s="47"/>
      <c r="AB2514" s="47"/>
      <c r="AC2514" s="47"/>
    </row>
    <row r="2515" ht="15.75" customHeight="1">
      <c r="A2515" s="14" t="s">
        <v>17</v>
      </c>
      <c r="B2515" s="14">
        <v>1994.0</v>
      </c>
      <c r="C2515" s="14" t="s">
        <v>1804</v>
      </c>
      <c r="D2515" s="14" t="s">
        <v>1805</v>
      </c>
      <c r="E2515" s="150" t="s">
        <v>1806</v>
      </c>
      <c r="F2515" s="14">
        <v>355.0</v>
      </c>
      <c r="G2515" s="14" t="s">
        <v>1809</v>
      </c>
      <c r="H2515" s="151"/>
      <c r="I2515" s="14" t="s">
        <v>28</v>
      </c>
      <c r="J2515" s="14" t="s">
        <v>40906</v>
      </c>
      <c r="K2515" s="14" t="s">
        <v>40907</v>
      </c>
      <c r="L2515" s="152" t="s">
        <v>1811</v>
      </c>
      <c r="M2515" s="14" t="s">
        <v>40908</v>
      </c>
      <c r="N2515" s="54" t="s">
        <v>40909</v>
      </c>
      <c r="O2515" s="130" t="s">
        <v>1812</v>
      </c>
      <c r="P2515" s="54"/>
      <c r="Q2515" s="14">
        <v>346297.0</v>
      </c>
      <c r="R2515" s="14"/>
      <c r="S2515" s="212" t="s">
        <v>40910</v>
      </c>
      <c r="T2515" s="47"/>
      <c r="U2515" s="47"/>
      <c r="V2515" s="47"/>
      <c r="W2515" s="47"/>
      <c r="X2515" s="47"/>
      <c r="Y2515" s="47"/>
      <c r="Z2515" s="47"/>
      <c r="AA2515" s="47"/>
      <c r="AB2515" s="47"/>
      <c r="AC2515" s="47"/>
    </row>
    <row r="2516" ht="15.75" customHeight="1">
      <c r="A2516" s="14" t="s">
        <v>17</v>
      </c>
      <c r="B2516" s="14">
        <v>1994.0</v>
      </c>
      <c r="C2516" s="14" t="s">
        <v>1752</v>
      </c>
      <c r="D2516" s="14" t="s">
        <v>1753</v>
      </c>
      <c r="E2516" s="150" t="s">
        <v>1754</v>
      </c>
      <c r="F2516" s="14">
        <v>386.0</v>
      </c>
      <c r="G2516" s="14" t="s">
        <v>1755</v>
      </c>
      <c r="H2516" s="151"/>
      <c r="I2516" s="14" t="s">
        <v>28</v>
      </c>
      <c r="J2516" s="14" t="s">
        <v>40911</v>
      </c>
      <c r="K2516" s="14" t="s">
        <v>40912</v>
      </c>
      <c r="L2516" s="152" t="s">
        <v>1757</v>
      </c>
      <c r="M2516" s="14" t="s">
        <v>40913</v>
      </c>
      <c r="N2516" s="54" t="s">
        <v>40912</v>
      </c>
      <c r="O2516" s="130"/>
      <c r="P2516" s="54"/>
      <c r="Q2516" s="14">
        <v>346290.0</v>
      </c>
      <c r="R2516" s="14"/>
      <c r="S2516" s="212"/>
      <c r="T2516" s="47"/>
      <c r="U2516" s="47"/>
      <c r="V2516" s="47"/>
      <c r="W2516" s="47"/>
      <c r="X2516" s="47"/>
      <c r="Y2516" s="47"/>
      <c r="Z2516" s="47"/>
      <c r="AA2516" s="47"/>
      <c r="AB2516" s="47"/>
      <c r="AC2516" s="47"/>
    </row>
    <row r="2517" ht="15.75" customHeight="1">
      <c r="A2517" s="14" t="s">
        <v>17</v>
      </c>
      <c r="B2517" s="14">
        <v>1994.0</v>
      </c>
      <c r="C2517" s="14" t="s">
        <v>1917</v>
      </c>
      <c r="D2517" s="14" t="s">
        <v>1918</v>
      </c>
      <c r="E2517" s="150" t="s">
        <v>1919</v>
      </c>
      <c r="F2517" s="14">
        <v>248.0</v>
      </c>
      <c r="G2517" s="14" t="s">
        <v>1922</v>
      </c>
      <c r="H2517" s="151"/>
      <c r="I2517" s="14" t="s">
        <v>28</v>
      </c>
      <c r="J2517" s="14" t="s">
        <v>40914</v>
      </c>
      <c r="K2517" s="14" t="s">
        <v>40915</v>
      </c>
      <c r="L2517" s="152" t="s">
        <v>1153</v>
      </c>
      <c r="M2517" s="14" t="s">
        <v>40916</v>
      </c>
      <c r="N2517" s="54" t="s">
        <v>40915</v>
      </c>
      <c r="O2517" s="130" t="s">
        <v>1924</v>
      </c>
      <c r="P2517" s="54"/>
      <c r="Q2517" s="14">
        <v>346312.0</v>
      </c>
      <c r="R2517" s="14"/>
      <c r="S2517" s="212" t="s">
        <v>40917</v>
      </c>
      <c r="T2517" s="47"/>
      <c r="U2517" s="47"/>
      <c r="V2517" s="47"/>
      <c r="W2517" s="47"/>
      <c r="X2517" s="47"/>
      <c r="Y2517" s="47"/>
      <c r="Z2517" s="47"/>
      <c r="AA2517" s="47"/>
      <c r="AB2517" s="47"/>
      <c r="AC2517" s="47"/>
    </row>
    <row r="2518" ht="15.75" customHeight="1">
      <c r="A2518" s="14" t="s">
        <v>17</v>
      </c>
      <c r="B2518" s="14">
        <v>1994.0</v>
      </c>
      <c r="C2518" s="14" t="s">
        <v>1725</v>
      </c>
      <c r="D2518" s="14" t="s">
        <v>1726</v>
      </c>
      <c r="E2518" s="150" t="s">
        <v>1727</v>
      </c>
      <c r="F2518" s="14">
        <v>410.0</v>
      </c>
      <c r="G2518" s="14">
        <v>413.0</v>
      </c>
      <c r="H2518" s="159" t="s">
        <v>30659</v>
      </c>
      <c r="I2518" s="14" t="s">
        <v>21</v>
      </c>
      <c r="J2518" s="14" t="s">
        <v>40918</v>
      </c>
      <c r="K2518" s="14" t="s">
        <v>40919</v>
      </c>
      <c r="L2518" s="152" t="s">
        <v>1731</v>
      </c>
      <c r="M2518" s="14" t="s">
        <v>40920</v>
      </c>
      <c r="N2518" s="54" t="s">
        <v>40919</v>
      </c>
      <c r="O2518" s="130"/>
      <c r="P2518" s="54"/>
      <c r="Q2518" s="14">
        <v>346286.0</v>
      </c>
      <c r="R2518" s="14"/>
      <c r="S2518" s="212"/>
      <c r="T2518" s="47"/>
      <c r="U2518" s="47"/>
      <c r="V2518" s="47"/>
      <c r="W2518" s="47"/>
      <c r="X2518" s="47"/>
      <c r="Y2518" s="47"/>
      <c r="Z2518" s="47"/>
      <c r="AA2518" s="47"/>
      <c r="AB2518" s="47"/>
      <c r="AC2518" s="47"/>
    </row>
    <row r="2519" ht="15.75" customHeight="1">
      <c r="A2519" s="14" t="s">
        <v>17</v>
      </c>
      <c r="B2519" s="14">
        <v>1994.0</v>
      </c>
      <c r="C2519" s="14" t="s">
        <v>1925</v>
      </c>
      <c r="D2519" s="14" t="s">
        <v>1926</v>
      </c>
      <c r="E2519" s="150" t="s">
        <v>1927</v>
      </c>
      <c r="F2519" s="14">
        <v>240.0</v>
      </c>
      <c r="G2519" s="14" t="s">
        <v>1928</v>
      </c>
      <c r="H2519" s="151"/>
      <c r="I2519" s="14" t="s">
        <v>28</v>
      </c>
      <c r="J2519" s="14" t="s">
        <v>40921</v>
      </c>
      <c r="K2519" s="14" t="s">
        <v>7583</v>
      </c>
      <c r="L2519" s="152" t="s">
        <v>1930</v>
      </c>
      <c r="M2519" s="14">
        <v>3.76587729E10</v>
      </c>
      <c r="N2519" s="54" t="s">
        <v>7583</v>
      </c>
      <c r="O2519" s="130" t="s">
        <v>1931</v>
      </c>
      <c r="P2519" s="54"/>
      <c r="Q2519" s="14">
        <v>346313.0</v>
      </c>
      <c r="R2519" s="14"/>
      <c r="S2519" s="212" t="s">
        <v>40922</v>
      </c>
      <c r="T2519" s="47"/>
      <c r="U2519" s="47"/>
      <c r="V2519" s="47"/>
      <c r="W2519" s="47"/>
      <c r="X2519" s="47"/>
      <c r="Y2519" s="47"/>
      <c r="Z2519" s="47"/>
      <c r="AA2519" s="47"/>
      <c r="AB2519" s="47"/>
      <c r="AC2519" s="47"/>
    </row>
    <row r="2520" ht="15.75" customHeight="1">
      <c r="A2520" s="14" t="s">
        <v>17</v>
      </c>
      <c r="B2520" s="14">
        <v>1994.0</v>
      </c>
      <c r="C2520" s="14" t="s">
        <v>2043</v>
      </c>
      <c r="D2520" s="14" t="s">
        <v>2044</v>
      </c>
      <c r="E2520" s="150" t="s">
        <v>2045</v>
      </c>
      <c r="F2520" s="14">
        <v>108.0</v>
      </c>
      <c r="G2520" s="14" t="s">
        <v>2048</v>
      </c>
      <c r="H2520" s="151"/>
      <c r="I2520" s="14" t="s">
        <v>28</v>
      </c>
      <c r="J2520" s="14" t="s">
        <v>40925</v>
      </c>
      <c r="K2520" s="14" t="s">
        <v>40674</v>
      </c>
      <c r="L2520" s="152" t="s">
        <v>855</v>
      </c>
      <c r="M2520" s="14" t="s">
        <v>40675</v>
      </c>
      <c r="N2520" s="54" t="s">
        <v>40674</v>
      </c>
      <c r="O2520" s="130" t="s">
        <v>2050</v>
      </c>
      <c r="P2520" s="54"/>
      <c r="Q2520" s="14">
        <v>346330.0</v>
      </c>
      <c r="R2520" s="14"/>
      <c r="S2520" s="212" t="s">
        <v>40926</v>
      </c>
      <c r="T2520" s="47"/>
      <c r="U2520" s="47"/>
      <c r="V2520" s="47"/>
      <c r="W2520" s="47"/>
      <c r="X2520" s="47"/>
      <c r="Y2520" s="47"/>
      <c r="Z2520" s="47"/>
      <c r="AA2520" s="47"/>
      <c r="AB2520" s="47"/>
      <c r="AC2520" s="47"/>
    </row>
    <row r="2521" ht="15.75" customHeight="1">
      <c r="A2521" s="14" t="s">
        <v>17</v>
      </c>
      <c r="B2521" s="14">
        <v>1994.0</v>
      </c>
      <c r="C2521" s="14" t="s">
        <v>1732</v>
      </c>
      <c r="D2521" s="14" t="s">
        <v>1733</v>
      </c>
      <c r="E2521" s="150" t="s">
        <v>1734</v>
      </c>
      <c r="F2521" s="14">
        <v>404.0</v>
      </c>
      <c r="G2521" s="14">
        <v>409.0</v>
      </c>
      <c r="H2521" s="159" t="s">
        <v>30659</v>
      </c>
      <c r="I2521" s="14" t="s">
        <v>21</v>
      </c>
      <c r="J2521" s="14" t="s">
        <v>40929</v>
      </c>
      <c r="K2521" s="14" t="s">
        <v>40930</v>
      </c>
      <c r="L2521" s="152" t="s">
        <v>1736</v>
      </c>
      <c r="M2521" s="14" t="s">
        <v>40931</v>
      </c>
      <c r="N2521" s="54" t="s">
        <v>40930</v>
      </c>
      <c r="O2521" s="130"/>
      <c r="P2521" s="54"/>
      <c r="Q2521" s="14">
        <v>346287.0</v>
      </c>
      <c r="R2521" s="14"/>
      <c r="S2521" s="212"/>
      <c r="T2521" s="47"/>
      <c r="U2521" s="47"/>
      <c r="V2521" s="47"/>
      <c r="W2521" s="47"/>
      <c r="X2521" s="47"/>
      <c r="Y2521" s="47"/>
      <c r="Z2521" s="47"/>
      <c r="AA2521" s="47"/>
      <c r="AB2521" s="47"/>
      <c r="AC2521" s="47"/>
    </row>
    <row r="2522" ht="15.75" customHeight="1">
      <c r="A2522" s="14" t="s">
        <v>17</v>
      </c>
      <c r="B2522" s="14">
        <v>1994.0</v>
      </c>
      <c r="C2522" s="14" t="s">
        <v>2100</v>
      </c>
      <c r="D2522" s="14" t="s">
        <v>2101</v>
      </c>
      <c r="E2522" s="150" t="s">
        <v>2102</v>
      </c>
      <c r="F2522" s="14">
        <v>46.0</v>
      </c>
      <c r="G2522" s="14" t="s">
        <v>2105</v>
      </c>
      <c r="H2522" s="151"/>
      <c r="I2522" s="14" t="s">
        <v>28</v>
      </c>
      <c r="J2522" s="14" t="s">
        <v>40934</v>
      </c>
      <c r="K2522" s="14" t="s">
        <v>40935</v>
      </c>
      <c r="L2522" s="152" t="s">
        <v>2107</v>
      </c>
      <c r="M2522" s="14" t="s">
        <v>40936</v>
      </c>
      <c r="N2522" s="54" t="s">
        <v>40935</v>
      </c>
      <c r="O2522" s="130" t="s">
        <v>2108</v>
      </c>
      <c r="P2522" s="54"/>
      <c r="Q2522" s="14">
        <v>346338.0</v>
      </c>
      <c r="R2522" s="14"/>
      <c r="S2522" s="212" t="s">
        <v>40937</v>
      </c>
      <c r="T2522" s="47"/>
      <c r="U2522" s="47"/>
      <c r="V2522" s="47"/>
      <c r="W2522" s="47"/>
      <c r="X2522" s="47"/>
      <c r="Y2522" s="47"/>
      <c r="Z2522" s="47"/>
      <c r="AA2522" s="47"/>
      <c r="AB2522" s="47"/>
      <c r="AC2522" s="47"/>
    </row>
    <row r="2523" ht="15.75" customHeight="1">
      <c r="A2523" s="14" t="s">
        <v>17</v>
      </c>
      <c r="B2523" s="14">
        <v>1994.0</v>
      </c>
      <c r="C2523" s="14" t="s">
        <v>1932</v>
      </c>
      <c r="D2523" s="14" t="s">
        <v>1933</v>
      </c>
      <c r="E2523" s="150" t="s">
        <v>1934</v>
      </c>
      <c r="F2523" s="14">
        <v>232.0</v>
      </c>
      <c r="G2523" s="14" t="s">
        <v>1935</v>
      </c>
      <c r="H2523" s="151"/>
      <c r="I2523" s="14" t="s">
        <v>28</v>
      </c>
      <c r="J2523" s="14" t="s">
        <v>40938</v>
      </c>
      <c r="K2523" s="14" t="s">
        <v>40939</v>
      </c>
      <c r="L2523" s="152" t="s">
        <v>1937</v>
      </c>
      <c r="M2523" s="14" t="s">
        <v>40940</v>
      </c>
      <c r="N2523" s="54" t="s">
        <v>40939</v>
      </c>
      <c r="O2523" s="130"/>
      <c r="P2523" s="54"/>
      <c r="Q2523" s="14">
        <v>346314.0</v>
      </c>
      <c r="R2523" s="14"/>
      <c r="S2523" s="212"/>
      <c r="T2523" s="47"/>
      <c r="U2523" s="47"/>
      <c r="V2523" s="47"/>
      <c r="W2523" s="47"/>
      <c r="X2523" s="47"/>
      <c r="Y2523" s="47"/>
      <c r="Z2523" s="47"/>
      <c r="AA2523" s="47"/>
      <c r="AB2523" s="47"/>
      <c r="AC2523" s="47"/>
    </row>
    <row r="2524" ht="15.75" customHeight="1">
      <c r="A2524" s="14" t="s">
        <v>17</v>
      </c>
      <c r="B2524" s="14">
        <v>1994.0</v>
      </c>
      <c r="C2524" s="14" t="s">
        <v>1758</v>
      </c>
      <c r="D2524" s="14" t="s">
        <v>1759</v>
      </c>
      <c r="E2524" s="150" t="s">
        <v>1760</v>
      </c>
      <c r="F2524" s="14">
        <v>382.0</v>
      </c>
      <c r="G2524" s="14" t="s">
        <v>1764</v>
      </c>
      <c r="H2524" s="151"/>
      <c r="I2524" s="14" t="s">
        <v>28</v>
      </c>
      <c r="J2524" s="14" t="s">
        <v>40941</v>
      </c>
      <c r="K2524" s="14" t="s">
        <v>40942</v>
      </c>
      <c r="L2524" s="152" t="s">
        <v>1766</v>
      </c>
      <c r="M2524" s="14" t="s">
        <v>40943</v>
      </c>
      <c r="N2524" s="54" t="s">
        <v>40944</v>
      </c>
      <c r="O2524" s="130"/>
      <c r="P2524" s="54"/>
      <c r="Q2524" s="14">
        <v>346291.0</v>
      </c>
      <c r="R2524" s="14"/>
      <c r="S2524" s="212"/>
      <c r="T2524" s="47"/>
      <c r="U2524" s="47"/>
      <c r="V2524" s="47"/>
      <c r="W2524" s="47"/>
      <c r="X2524" s="47"/>
      <c r="Y2524" s="47"/>
      <c r="Z2524" s="47"/>
      <c r="AA2524" s="47"/>
      <c r="AB2524" s="47"/>
      <c r="AC2524" s="47"/>
    </row>
    <row r="2525" ht="15.75" customHeight="1">
      <c r="A2525" s="14" t="s">
        <v>17</v>
      </c>
      <c r="B2525" s="14">
        <v>1994.0</v>
      </c>
      <c r="C2525" s="14" t="s">
        <v>2114</v>
      </c>
      <c r="D2525" s="14" t="s">
        <v>2115</v>
      </c>
      <c r="E2525" s="150" t="s">
        <v>2116</v>
      </c>
      <c r="F2525" s="14">
        <v>31.0</v>
      </c>
      <c r="G2525" s="14" t="s">
        <v>2119</v>
      </c>
      <c r="H2525" s="151"/>
      <c r="I2525" s="14" t="s">
        <v>28</v>
      </c>
      <c r="J2525" s="14" t="s">
        <v>40945</v>
      </c>
      <c r="K2525" s="14" t="s">
        <v>40946</v>
      </c>
      <c r="L2525" s="152" t="s">
        <v>2121</v>
      </c>
      <c r="M2525" s="14" t="s">
        <v>40948</v>
      </c>
      <c r="N2525" s="54" t="s">
        <v>40949</v>
      </c>
      <c r="O2525" s="130" t="s">
        <v>2122</v>
      </c>
      <c r="P2525" s="54"/>
      <c r="Q2525" s="14">
        <v>346340.0</v>
      </c>
      <c r="R2525" s="14"/>
      <c r="S2525" s="212" t="s">
        <v>40950</v>
      </c>
      <c r="T2525" s="47"/>
      <c r="U2525" s="47"/>
      <c r="V2525" s="47"/>
      <c r="W2525" s="47"/>
      <c r="X2525" s="47"/>
      <c r="Y2525" s="47"/>
      <c r="Z2525" s="47"/>
      <c r="AA2525" s="47"/>
      <c r="AB2525" s="47"/>
      <c r="AC2525" s="47"/>
    </row>
    <row r="2526" ht="15.75" customHeight="1">
      <c r="A2526" s="14" t="s">
        <v>17</v>
      </c>
      <c r="B2526" s="14">
        <v>1994.0</v>
      </c>
      <c r="C2526" s="14" t="s">
        <v>2021</v>
      </c>
      <c r="D2526" s="14" t="s">
        <v>2022</v>
      </c>
      <c r="E2526" s="150" t="s">
        <v>2023</v>
      </c>
      <c r="F2526" s="14">
        <v>132.0</v>
      </c>
      <c r="G2526" s="14" t="s">
        <v>2024</v>
      </c>
      <c r="H2526" s="151"/>
      <c r="I2526" s="14" t="s">
        <v>28</v>
      </c>
      <c r="J2526" s="14" t="s">
        <v>40953</v>
      </c>
      <c r="K2526" s="14" t="s">
        <v>40954</v>
      </c>
      <c r="L2526" s="152" t="s">
        <v>2026</v>
      </c>
      <c r="M2526" s="14" t="s">
        <v>40955</v>
      </c>
      <c r="N2526" s="54" t="s">
        <v>40954</v>
      </c>
      <c r="O2526" s="130" t="s">
        <v>487</v>
      </c>
      <c r="P2526" s="54"/>
      <c r="Q2526" s="14">
        <v>346327.0</v>
      </c>
      <c r="R2526" s="14"/>
      <c r="S2526" s="212">
        <v>175773.0</v>
      </c>
      <c r="T2526" s="47"/>
      <c r="U2526" s="47"/>
      <c r="V2526" s="47"/>
      <c r="W2526" s="47"/>
      <c r="X2526" s="47"/>
      <c r="Y2526" s="47"/>
      <c r="Z2526" s="47"/>
      <c r="AA2526" s="47"/>
      <c r="AB2526" s="47"/>
      <c r="AC2526" s="47"/>
    </row>
    <row r="2527" ht="15.75" customHeight="1">
      <c r="A2527" s="14" t="s">
        <v>17</v>
      </c>
      <c r="B2527" s="14">
        <v>1994.0</v>
      </c>
      <c r="C2527" s="14" t="s">
        <v>2066</v>
      </c>
      <c r="D2527" s="14" t="s">
        <v>2067</v>
      </c>
      <c r="E2527" s="150" t="s">
        <v>2068</v>
      </c>
      <c r="F2527" s="14">
        <v>85.0</v>
      </c>
      <c r="G2527" s="14" t="s">
        <v>2070</v>
      </c>
      <c r="H2527" s="151"/>
      <c r="I2527" s="14" t="s">
        <v>28</v>
      </c>
      <c r="J2527" s="14" t="s">
        <v>40957</v>
      </c>
      <c r="K2527" s="14" t="s">
        <v>40958</v>
      </c>
      <c r="L2527" s="152" t="s">
        <v>753</v>
      </c>
      <c r="M2527" s="14" t="s">
        <v>40959</v>
      </c>
      <c r="N2527" s="54" t="s">
        <v>40958</v>
      </c>
      <c r="O2527" s="130" t="s">
        <v>1400</v>
      </c>
      <c r="P2527" s="54"/>
      <c r="Q2527" s="14">
        <v>346333.0</v>
      </c>
      <c r="R2527" s="14"/>
      <c r="S2527" s="212">
        <v>398854.0</v>
      </c>
      <c r="T2527" s="47"/>
      <c r="U2527" s="47"/>
      <c r="V2527" s="47"/>
      <c r="W2527" s="47"/>
      <c r="X2527" s="47"/>
      <c r="Y2527" s="47"/>
      <c r="Z2527" s="47"/>
      <c r="AA2527" s="47"/>
      <c r="AB2527" s="47"/>
      <c r="AC2527" s="47"/>
    </row>
    <row r="2528" ht="15.75" customHeight="1">
      <c r="A2528" s="14" t="s">
        <v>17</v>
      </c>
      <c r="B2528" s="14">
        <v>1994.0</v>
      </c>
      <c r="C2528" s="14" t="s">
        <v>1841</v>
      </c>
      <c r="D2528" s="14" t="s">
        <v>1842</v>
      </c>
      <c r="E2528" s="150" t="s">
        <v>1843</v>
      </c>
      <c r="F2528" s="14">
        <v>326.0</v>
      </c>
      <c r="G2528" s="14">
        <v>333.0</v>
      </c>
      <c r="H2528" s="151"/>
      <c r="I2528" s="14" t="s">
        <v>28</v>
      </c>
      <c r="J2528" s="14" t="s">
        <v>40960</v>
      </c>
      <c r="K2528" s="14" t="s">
        <v>11333</v>
      </c>
      <c r="L2528" s="152" t="s">
        <v>1845</v>
      </c>
      <c r="M2528" s="14">
        <v>3.72684417E10</v>
      </c>
      <c r="N2528" s="54" t="s">
        <v>11333</v>
      </c>
      <c r="O2528" s="130" t="s">
        <v>1846</v>
      </c>
      <c r="P2528" s="54"/>
      <c r="Q2528" s="14">
        <v>346302.0</v>
      </c>
      <c r="R2528" s="14"/>
      <c r="S2528" s="212" t="s">
        <v>40961</v>
      </c>
      <c r="T2528" s="47"/>
      <c r="U2528" s="47"/>
      <c r="V2528" s="47"/>
      <c r="W2528" s="47"/>
      <c r="X2528" s="47"/>
      <c r="Y2528" s="47"/>
      <c r="Z2528" s="47"/>
      <c r="AA2528" s="47"/>
      <c r="AB2528" s="47"/>
      <c r="AC2528" s="47"/>
    </row>
    <row r="2529" ht="15.75" customHeight="1">
      <c r="A2529" s="14" t="s">
        <v>17</v>
      </c>
      <c r="B2529" s="14">
        <v>1993.0</v>
      </c>
      <c r="C2529" s="14" t="s">
        <v>1692</v>
      </c>
      <c r="D2529" s="14" t="s">
        <v>1693</v>
      </c>
      <c r="E2529" s="150" t="s">
        <v>1694</v>
      </c>
      <c r="F2529" s="14">
        <v>416.0</v>
      </c>
      <c r="G2529" s="14">
        <v>419.0</v>
      </c>
      <c r="H2529" s="151"/>
      <c r="I2529" s="14" t="s">
        <v>28</v>
      </c>
      <c r="J2529" s="14" t="s">
        <v>40962</v>
      </c>
      <c r="K2529" s="14" t="s">
        <v>40963</v>
      </c>
      <c r="L2529" s="152" t="s">
        <v>1696</v>
      </c>
      <c r="M2529" s="14" t="s">
        <v>40964</v>
      </c>
      <c r="N2529" s="54" t="s">
        <v>40963</v>
      </c>
      <c r="O2529" s="130"/>
      <c r="P2529" s="16"/>
      <c r="Q2529" s="14">
        <v>398903.0</v>
      </c>
      <c r="R2529" s="14"/>
      <c r="S2529" s="212"/>
      <c r="T2529" s="45"/>
      <c r="U2529" s="45"/>
      <c r="V2529" s="45"/>
      <c r="W2529" s="45"/>
      <c r="X2529" s="45"/>
      <c r="Y2529" s="45"/>
      <c r="Z2529" s="45"/>
      <c r="AA2529" s="45"/>
      <c r="AB2529" s="45"/>
      <c r="AC2529" s="45"/>
    </row>
    <row r="2530" ht="15.75" customHeight="1">
      <c r="A2530" s="14" t="s">
        <v>17</v>
      </c>
      <c r="B2530" s="14">
        <v>1993.0</v>
      </c>
      <c r="C2530" s="14" t="s">
        <v>1674</v>
      </c>
      <c r="D2530" s="14" t="s">
        <v>1675</v>
      </c>
      <c r="E2530" s="150" t="s">
        <v>1676</v>
      </c>
      <c r="F2530" s="14">
        <v>397.0</v>
      </c>
      <c r="G2530" s="14">
        <v>401.0</v>
      </c>
      <c r="H2530" s="151"/>
      <c r="I2530" s="14" t="s">
        <v>28</v>
      </c>
      <c r="J2530" s="14" t="s">
        <v>40966</v>
      </c>
      <c r="K2530" s="14" t="s">
        <v>6859</v>
      </c>
      <c r="L2530" s="152" t="s">
        <v>1681</v>
      </c>
      <c r="M2530" s="14">
        <v>3.82406971E10</v>
      </c>
      <c r="N2530" s="54" t="s">
        <v>6859</v>
      </c>
      <c r="O2530" s="130"/>
      <c r="P2530" s="16"/>
      <c r="Q2530" s="14">
        <v>398900.0</v>
      </c>
      <c r="R2530" s="14"/>
      <c r="S2530" s="212"/>
      <c r="T2530" s="45"/>
      <c r="U2530" s="45"/>
      <c r="V2530" s="45"/>
      <c r="W2530" s="45"/>
      <c r="X2530" s="45"/>
      <c r="Y2530" s="45"/>
      <c r="Z2530" s="45"/>
      <c r="AA2530" s="45"/>
      <c r="AB2530" s="45"/>
      <c r="AC2530" s="45"/>
    </row>
    <row r="2531" ht="15.75" customHeight="1">
      <c r="A2531" s="14" t="s">
        <v>17</v>
      </c>
      <c r="B2531" s="14">
        <v>1993.0</v>
      </c>
      <c r="C2531" s="14" t="s">
        <v>1366</v>
      </c>
      <c r="D2531" s="14" t="s">
        <v>1367</v>
      </c>
      <c r="E2531" s="150" t="s">
        <v>1368</v>
      </c>
      <c r="F2531" s="14">
        <v>39.0</v>
      </c>
      <c r="G2531" s="14">
        <v>45.0</v>
      </c>
      <c r="H2531" s="151"/>
      <c r="I2531" s="14" t="s">
        <v>28</v>
      </c>
      <c r="J2531" s="14" t="s">
        <v>40967</v>
      </c>
      <c r="K2531" s="14" t="s">
        <v>40595</v>
      </c>
      <c r="L2531" s="152" t="s">
        <v>1372</v>
      </c>
      <c r="M2531" s="14" t="s">
        <v>40969</v>
      </c>
      <c r="N2531" s="54" t="s">
        <v>40597</v>
      </c>
      <c r="O2531" s="130" t="s">
        <v>1373</v>
      </c>
      <c r="P2531" s="16"/>
      <c r="Q2531" s="14">
        <v>398849.0</v>
      </c>
      <c r="R2531" s="14"/>
      <c r="S2531" s="212" t="s">
        <v>40970</v>
      </c>
      <c r="T2531" s="45"/>
      <c r="U2531" s="45"/>
      <c r="V2531" s="45"/>
      <c r="W2531" s="45"/>
      <c r="X2531" s="45"/>
      <c r="Y2531" s="45"/>
      <c r="Z2531" s="45"/>
      <c r="AA2531" s="45"/>
      <c r="AB2531" s="45"/>
      <c r="AC2531" s="45"/>
    </row>
    <row r="2532" ht="15.75" customHeight="1">
      <c r="A2532" s="14" t="s">
        <v>17</v>
      </c>
      <c r="B2532" s="14">
        <v>1993.0</v>
      </c>
      <c r="C2532" s="14" t="s">
        <v>1386</v>
      </c>
      <c r="D2532" s="14" t="s">
        <v>1387</v>
      </c>
      <c r="E2532" s="150" t="s">
        <v>1388</v>
      </c>
      <c r="F2532" s="14">
        <v>62.0</v>
      </c>
      <c r="G2532" s="14">
        <v>69.0</v>
      </c>
      <c r="H2532" s="151"/>
      <c r="I2532" s="14" t="s">
        <v>28</v>
      </c>
      <c r="J2532" s="14" t="s">
        <v>40972</v>
      </c>
      <c r="K2532" s="14" t="s">
        <v>40973</v>
      </c>
      <c r="L2532" s="152" t="s">
        <v>1390</v>
      </c>
      <c r="M2532" s="14" t="s">
        <v>40974</v>
      </c>
      <c r="N2532" s="54" t="s">
        <v>40973</v>
      </c>
      <c r="O2532" s="130" t="s">
        <v>1334</v>
      </c>
      <c r="P2532" s="16"/>
      <c r="Q2532" s="14">
        <v>398852.0</v>
      </c>
      <c r="R2532" s="14"/>
      <c r="S2532" s="212">
        <v>235231.0</v>
      </c>
      <c r="T2532" s="45"/>
      <c r="U2532" s="45"/>
      <c r="V2532" s="45"/>
      <c r="W2532" s="45"/>
      <c r="X2532" s="45"/>
      <c r="Y2532" s="45"/>
      <c r="Z2532" s="45"/>
      <c r="AA2532" s="45"/>
      <c r="AB2532" s="45"/>
      <c r="AC2532" s="45"/>
    </row>
    <row r="2533" ht="15.75" customHeight="1">
      <c r="A2533" s="14" t="s">
        <v>17</v>
      </c>
      <c r="B2533" s="14">
        <v>1993.0</v>
      </c>
      <c r="C2533" s="14" t="s">
        <v>1540</v>
      </c>
      <c r="D2533" s="14" t="s">
        <v>1541</v>
      </c>
      <c r="E2533" s="150" t="s">
        <v>1542</v>
      </c>
      <c r="F2533" s="14">
        <v>236.0</v>
      </c>
      <c r="G2533" s="14">
        <v>243.0</v>
      </c>
      <c r="H2533" s="151"/>
      <c r="I2533" s="14" t="s">
        <v>28</v>
      </c>
      <c r="J2533" s="14" t="s">
        <v>40975</v>
      </c>
      <c r="K2533" s="14" t="s">
        <v>40976</v>
      </c>
      <c r="L2533" s="152" t="s">
        <v>1530</v>
      </c>
      <c r="M2533" s="14" t="s">
        <v>40977</v>
      </c>
      <c r="N2533" s="54" t="s">
        <v>40976</v>
      </c>
      <c r="O2533" s="130" t="s">
        <v>1544</v>
      </c>
      <c r="P2533" s="16"/>
      <c r="Q2533" s="14">
        <v>398874.0</v>
      </c>
      <c r="R2533" s="14"/>
      <c r="S2533" s="212" t="s">
        <v>40978</v>
      </c>
      <c r="T2533" s="45"/>
      <c r="U2533" s="45"/>
      <c r="V2533" s="45"/>
      <c r="W2533" s="45"/>
      <c r="X2533" s="45"/>
      <c r="Y2533" s="45"/>
      <c r="Z2533" s="45"/>
      <c r="AA2533" s="45"/>
      <c r="AB2533" s="45"/>
      <c r="AC2533" s="45"/>
    </row>
    <row r="2534" ht="15.75" customHeight="1">
      <c r="A2534" s="14" t="s">
        <v>17</v>
      </c>
      <c r="B2534" s="14">
        <v>1993.0</v>
      </c>
      <c r="C2534" s="14" t="s">
        <v>1429</v>
      </c>
      <c r="D2534" s="14" t="s">
        <v>1430</v>
      </c>
      <c r="E2534" s="150" t="s">
        <v>1431</v>
      </c>
      <c r="F2534" s="14">
        <v>110.0</v>
      </c>
      <c r="G2534" s="14">
        <v>117.0</v>
      </c>
      <c r="H2534" s="151"/>
      <c r="I2534" s="14" t="s">
        <v>28</v>
      </c>
      <c r="J2534" s="14" t="s">
        <v>40979</v>
      </c>
      <c r="K2534" s="14" t="s">
        <v>8767</v>
      </c>
      <c r="L2534" s="152" t="s">
        <v>1385</v>
      </c>
      <c r="M2534" s="14">
        <v>3.8241976E10</v>
      </c>
      <c r="N2534" s="54" t="s">
        <v>8767</v>
      </c>
      <c r="O2534" s="130" t="s">
        <v>972</v>
      </c>
      <c r="P2534" s="16"/>
      <c r="Q2534" s="14">
        <v>398858.0</v>
      </c>
      <c r="R2534" s="14"/>
      <c r="S2534" s="212">
        <v>235215.0</v>
      </c>
      <c r="T2534" s="45"/>
      <c r="U2534" s="45"/>
      <c r="V2534" s="45"/>
      <c r="W2534" s="45"/>
      <c r="X2534" s="45"/>
      <c r="Y2534" s="45"/>
      <c r="Z2534" s="45"/>
      <c r="AA2534" s="45"/>
      <c r="AB2534" s="45"/>
      <c r="AC2534" s="45"/>
    </row>
    <row r="2535" ht="15.75" customHeight="1">
      <c r="A2535" s="14" t="s">
        <v>17</v>
      </c>
      <c r="B2535" s="14">
        <v>1993.0</v>
      </c>
      <c r="C2535" s="14" t="s">
        <v>1531</v>
      </c>
      <c r="D2535" s="14" t="s">
        <v>1532</v>
      </c>
      <c r="E2535" s="150" t="s">
        <v>1533</v>
      </c>
      <c r="F2535" s="14">
        <v>228.0</v>
      </c>
      <c r="G2535" s="14">
        <v>235.0</v>
      </c>
      <c r="H2535" s="151"/>
      <c r="I2535" s="14" t="s">
        <v>28</v>
      </c>
      <c r="J2535" s="14" t="s">
        <v>40980</v>
      </c>
      <c r="K2535" s="14" t="s">
        <v>10744</v>
      </c>
      <c r="L2535" s="152" t="s">
        <v>1538</v>
      </c>
      <c r="M2535" s="14">
        <v>3.73785337E10</v>
      </c>
      <c r="N2535" s="54" t="s">
        <v>10744</v>
      </c>
      <c r="O2535" s="130" t="s">
        <v>1539</v>
      </c>
      <c r="P2535" s="16"/>
      <c r="Q2535" s="14">
        <v>398873.0</v>
      </c>
      <c r="R2535" s="14"/>
      <c r="S2535" s="212" t="s">
        <v>40982</v>
      </c>
      <c r="T2535" s="45"/>
      <c r="U2535" s="45"/>
      <c r="V2535" s="45"/>
      <c r="W2535" s="45"/>
      <c r="X2535" s="45"/>
      <c r="Y2535" s="45"/>
      <c r="Z2535" s="45"/>
      <c r="AA2535" s="45"/>
      <c r="AB2535" s="45"/>
      <c r="AC2535" s="45"/>
    </row>
    <row r="2536" ht="15.75" customHeight="1">
      <c r="A2536" s="14" t="s">
        <v>17</v>
      </c>
      <c r="B2536" s="14">
        <v>1993.0</v>
      </c>
      <c r="C2536" s="14" t="s">
        <v>1413</v>
      </c>
      <c r="D2536" s="14" t="s">
        <v>1414</v>
      </c>
      <c r="E2536" s="150" t="s">
        <v>1416</v>
      </c>
      <c r="F2536" s="14">
        <v>94.0</v>
      </c>
      <c r="G2536" s="14">
        <v>101.0</v>
      </c>
      <c r="H2536" s="151"/>
      <c r="I2536" s="14" t="s">
        <v>28</v>
      </c>
      <c r="J2536" s="14" t="s">
        <v>40983</v>
      </c>
      <c r="K2536" s="14" t="s">
        <v>40984</v>
      </c>
      <c r="L2536" s="152" t="s">
        <v>1419</v>
      </c>
      <c r="M2536" s="14" t="s">
        <v>40985</v>
      </c>
      <c r="N2536" s="54" t="s">
        <v>40984</v>
      </c>
      <c r="O2536" s="130" t="s">
        <v>1420</v>
      </c>
      <c r="P2536" s="16"/>
      <c r="Q2536" s="14">
        <v>398856.0</v>
      </c>
      <c r="R2536" s="14"/>
      <c r="S2536" s="212" t="s">
        <v>40986</v>
      </c>
      <c r="T2536" s="45"/>
      <c r="U2536" s="45"/>
      <c r="V2536" s="45"/>
      <c r="W2536" s="45"/>
      <c r="X2536" s="45"/>
      <c r="Y2536" s="45"/>
      <c r="Z2536" s="45"/>
      <c r="AA2536" s="45"/>
      <c r="AB2536" s="45"/>
      <c r="AC2536" s="45"/>
    </row>
    <row r="2537" ht="15.75" customHeight="1">
      <c r="A2537" s="14" t="s">
        <v>17</v>
      </c>
      <c r="B2537" s="14">
        <v>1993.0</v>
      </c>
      <c r="C2537" s="14" t="s">
        <v>1550</v>
      </c>
      <c r="D2537" s="14" t="s">
        <v>1551</v>
      </c>
      <c r="E2537" s="150" t="s">
        <v>1552</v>
      </c>
      <c r="F2537" s="14">
        <v>253.0</v>
      </c>
      <c r="G2537" s="14">
        <v>260.0</v>
      </c>
      <c r="H2537" s="151"/>
      <c r="I2537" s="14" t="s">
        <v>28</v>
      </c>
      <c r="J2537" s="14" t="s">
        <v>40988</v>
      </c>
      <c r="K2537" s="14" t="s">
        <v>40989</v>
      </c>
      <c r="L2537" s="152" t="s">
        <v>1555</v>
      </c>
      <c r="M2537" s="14" t="s">
        <v>40990</v>
      </c>
      <c r="N2537" s="54" t="s">
        <v>40991</v>
      </c>
      <c r="O2537" s="130" t="s">
        <v>1556</v>
      </c>
      <c r="P2537" s="16"/>
      <c r="Q2537" s="14">
        <v>398876.0</v>
      </c>
      <c r="R2537" s="14"/>
      <c r="S2537" s="212" t="s">
        <v>40992</v>
      </c>
      <c r="T2537" s="45"/>
      <c r="U2537" s="45"/>
      <c r="V2537" s="45"/>
      <c r="W2537" s="45"/>
      <c r="X2537" s="45"/>
      <c r="Y2537" s="45"/>
      <c r="Z2537" s="45"/>
      <c r="AA2537" s="45"/>
      <c r="AB2537" s="45"/>
      <c r="AC2537" s="45"/>
    </row>
    <row r="2538" ht="15.75" customHeight="1">
      <c r="A2538" s="14" t="s">
        <v>17</v>
      </c>
      <c r="B2538" s="14">
        <v>1993.0</v>
      </c>
      <c r="C2538" s="14" t="s">
        <v>1598</v>
      </c>
      <c r="D2538" s="14" t="s">
        <v>1599</v>
      </c>
      <c r="E2538" s="150" t="s">
        <v>1600</v>
      </c>
      <c r="F2538" s="14">
        <v>308.0</v>
      </c>
      <c r="G2538" s="14">
        <v>315.0</v>
      </c>
      <c r="H2538" s="151"/>
      <c r="I2538" s="14" t="s">
        <v>28</v>
      </c>
      <c r="J2538" s="14" t="s">
        <v>40993</v>
      </c>
      <c r="K2538" s="14" t="s">
        <v>40994</v>
      </c>
      <c r="L2538" s="152" t="s">
        <v>1602</v>
      </c>
      <c r="M2538" s="14" t="s">
        <v>40995</v>
      </c>
      <c r="N2538" s="54" t="s">
        <v>40994</v>
      </c>
      <c r="O2538" s="130"/>
      <c r="P2538" s="16"/>
      <c r="Q2538" s="14">
        <v>398883.0</v>
      </c>
      <c r="R2538" s="14"/>
      <c r="S2538" s="212"/>
      <c r="T2538" s="45"/>
      <c r="U2538" s="45"/>
      <c r="V2538" s="45"/>
      <c r="W2538" s="45"/>
      <c r="X2538" s="45"/>
      <c r="Y2538" s="45"/>
      <c r="Z2538" s="45"/>
      <c r="AA2538" s="45"/>
      <c r="AB2538" s="45"/>
      <c r="AC2538" s="45"/>
    </row>
    <row r="2539" ht="15.75" customHeight="1">
      <c r="A2539" s="14" t="s">
        <v>17</v>
      </c>
      <c r="B2539" s="14">
        <v>1993.0</v>
      </c>
      <c r="C2539" s="14" t="s">
        <v>1571</v>
      </c>
      <c r="D2539" s="14" t="s">
        <v>1572</v>
      </c>
      <c r="E2539" s="150" t="s">
        <v>1573</v>
      </c>
      <c r="F2539" s="14">
        <v>275.0</v>
      </c>
      <c r="G2539" s="14">
        <v>282.0</v>
      </c>
      <c r="H2539" s="151"/>
      <c r="I2539" s="14" t="s">
        <v>28</v>
      </c>
      <c r="J2539" s="14" t="s">
        <v>40997</v>
      </c>
      <c r="K2539" s="14" t="s">
        <v>40998</v>
      </c>
      <c r="L2539" s="152" t="s">
        <v>1577</v>
      </c>
      <c r="M2539" s="14" t="s">
        <v>40999</v>
      </c>
      <c r="N2539" s="54" t="s">
        <v>40998</v>
      </c>
      <c r="O2539" s="130" t="s">
        <v>736</v>
      </c>
      <c r="P2539" s="16"/>
      <c r="Q2539" s="14">
        <v>398879.0</v>
      </c>
      <c r="R2539" s="14"/>
      <c r="S2539" s="212">
        <v>175804.0</v>
      </c>
      <c r="T2539" s="45"/>
      <c r="U2539" s="45"/>
      <c r="V2539" s="45"/>
      <c r="W2539" s="45"/>
      <c r="X2539" s="45"/>
      <c r="Y2539" s="45"/>
      <c r="Z2539" s="45"/>
      <c r="AA2539" s="45"/>
      <c r="AB2539" s="45"/>
      <c r="AC2539" s="45"/>
    </row>
    <row r="2540" ht="15.75" customHeight="1">
      <c r="A2540" s="14" t="s">
        <v>17</v>
      </c>
      <c r="B2540" s="14">
        <v>1993.0</v>
      </c>
      <c r="C2540" s="14" t="s">
        <v>1450</v>
      </c>
      <c r="D2540" s="14" t="s">
        <v>1452</v>
      </c>
      <c r="E2540" s="150" t="s">
        <v>1453</v>
      </c>
      <c r="F2540" s="14">
        <v>134.0</v>
      </c>
      <c r="G2540" s="14">
        <v>141.0</v>
      </c>
      <c r="H2540" s="151"/>
      <c r="I2540" s="14" t="s">
        <v>28</v>
      </c>
      <c r="J2540" s="14" t="s">
        <v>41001</v>
      </c>
      <c r="K2540" s="14" t="s">
        <v>41002</v>
      </c>
      <c r="L2540" s="152" t="s">
        <v>1456</v>
      </c>
      <c r="M2540" s="14" t="s">
        <v>41003</v>
      </c>
      <c r="N2540" s="54" t="s">
        <v>41002</v>
      </c>
      <c r="O2540" s="130"/>
      <c r="P2540" s="16"/>
      <c r="Q2540" s="14">
        <v>398861.0</v>
      </c>
      <c r="R2540" s="14"/>
      <c r="S2540" s="212"/>
      <c r="T2540" s="45"/>
      <c r="U2540" s="45"/>
      <c r="V2540" s="45"/>
      <c r="W2540" s="45"/>
      <c r="X2540" s="45"/>
      <c r="Y2540" s="45"/>
      <c r="Z2540" s="45"/>
      <c r="AA2540" s="45"/>
      <c r="AB2540" s="45"/>
      <c r="AC2540" s="45"/>
    </row>
    <row r="2541" ht="15.75" customHeight="1">
      <c r="A2541" s="14" t="s">
        <v>17</v>
      </c>
      <c r="B2541" s="14">
        <v>1993.0</v>
      </c>
      <c r="C2541" s="14" t="s">
        <v>1519</v>
      </c>
      <c r="D2541" s="14" t="s">
        <v>1520</v>
      </c>
      <c r="E2541" s="150" t="s">
        <v>1521</v>
      </c>
      <c r="F2541" s="14">
        <v>212.0</v>
      </c>
      <c r="G2541" s="14">
        <v>219.0</v>
      </c>
      <c r="H2541" s="151"/>
      <c r="I2541" s="14" t="s">
        <v>28</v>
      </c>
      <c r="J2541" s="14" t="s">
        <v>41004</v>
      </c>
      <c r="K2541" s="14" t="s">
        <v>41006</v>
      </c>
      <c r="L2541" s="152" t="s">
        <v>30</v>
      </c>
      <c r="M2541" s="14" t="s">
        <v>41007</v>
      </c>
      <c r="N2541" s="54" t="s">
        <v>41008</v>
      </c>
      <c r="O2541" s="130"/>
      <c r="P2541" s="16"/>
      <c r="Q2541" s="14">
        <v>398871.0</v>
      </c>
      <c r="R2541" s="14"/>
      <c r="S2541" s="212"/>
      <c r="T2541" s="45"/>
      <c r="U2541" s="45"/>
      <c r="V2541" s="45"/>
      <c r="W2541" s="45"/>
      <c r="X2541" s="45"/>
      <c r="Y2541" s="45"/>
      <c r="Z2541" s="45"/>
      <c r="AA2541" s="45"/>
      <c r="AB2541" s="45"/>
      <c r="AC2541" s="45"/>
    </row>
    <row r="2542" ht="15.75" customHeight="1">
      <c r="A2542" s="14" t="s">
        <v>17</v>
      </c>
      <c r="B2542" s="14">
        <v>1993.0</v>
      </c>
      <c r="C2542" s="14" t="s">
        <v>1478</v>
      </c>
      <c r="D2542" s="14" t="s">
        <v>1479</v>
      </c>
      <c r="E2542" s="150" t="s">
        <v>1480</v>
      </c>
      <c r="F2542" s="14">
        <v>166.0</v>
      </c>
      <c r="G2542" s="14">
        <v>173.0</v>
      </c>
      <c r="H2542" s="151"/>
      <c r="I2542" s="14" t="s">
        <v>28</v>
      </c>
      <c r="J2542" s="14" t="s">
        <v>41010</v>
      </c>
      <c r="K2542" s="14" t="s">
        <v>41011</v>
      </c>
      <c r="L2542" s="152" t="s">
        <v>1483</v>
      </c>
      <c r="M2542" s="14" t="s">
        <v>41012</v>
      </c>
      <c r="N2542" s="54" t="s">
        <v>41011</v>
      </c>
      <c r="O2542" s="130"/>
      <c r="P2542" s="16"/>
      <c r="Q2542" s="14">
        <v>398865.0</v>
      </c>
      <c r="R2542" s="14"/>
      <c r="S2542" s="212"/>
      <c r="T2542" s="45"/>
      <c r="U2542" s="45"/>
      <c r="V2542" s="45"/>
      <c r="W2542" s="45"/>
      <c r="X2542" s="45"/>
      <c r="Y2542" s="45"/>
      <c r="Z2542" s="45"/>
      <c r="AA2542" s="45"/>
      <c r="AB2542" s="45"/>
      <c r="AC2542" s="45"/>
    </row>
    <row r="2543" ht="15.75" customHeight="1">
      <c r="A2543" s="14" t="s">
        <v>17</v>
      </c>
      <c r="B2543" s="14">
        <v>1993.0</v>
      </c>
      <c r="C2543" s="14" t="s">
        <v>1687</v>
      </c>
      <c r="D2543" s="14" t="s">
        <v>1688</v>
      </c>
      <c r="E2543" s="150" t="s">
        <v>1689</v>
      </c>
      <c r="F2543" s="14">
        <v>410.0</v>
      </c>
      <c r="G2543" s="14">
        <v>415.0</v>
      </c>
      <c r="H2543" s="151"/>
      <c r="I2543" s="14" t="s">
        <v>28</v>
      </c>
      <c r="J2543" s="14" t="s">
        <v>41013</v>
      </c>
      <c r="K2543" s="14" t="s">
        <v>41014</v>
      </c>
      <c r="L2543" s="152" t="s">
        <v>1691</v>
      </c>
      <c r="M2543" s="14" t="s">
        <v>41015</v>
      </c>
      <c r="N2543" s="54" t="s">
        <v>41016</v>
      </c>
      <c r="O2543" s="130"/>
      <c r="P2543" s="16"/>
      <c r="Q2543" s="14">
        <v>398902.0</v>
      </c>
      <c r="R2543" s="14"/>
      <c r="S2543" s="212"/>
      <c r="T2543" s="45"/>
      <c r="U2543" s="45"/>
      <c r="V2543" s="45"/>
      <c r="W2543" s="45"/>
      <c r="X2543" s="45"/>
      <c r="Y2543" s="45"/>
      <c r="Z2543" s="45"/>
      <c r="AA2543" s="45"/>
      <c r="AB2543" s="45"/>
      <c r="AC2543" s="45"/>
    </row>
    <row r="2544" ht="15.75" customHeight="1">
      <c r="A2544" s="14" t="s">
        <v>17</v>
      </c>
      <c r="B2544" s="14">
        <v>1993.0</v>
      </c>
      <c r="C2544" s="14" t="s">
        <v>1652</v>
      </c>
      <c r="D2544" s="14" t="s">
        <v>1653</v>
      </c>
      <c r="E2544" s="150" t="s">
        <v>1654</v>
      </c>
      <c r="F2544" s="14">
        <v>382.0</v>
      </c>
      <c r="G2544" s="14">
        <v>385.0</v>
      </c>
      <c r="H2544" s="151"/>
      <c r="I2544" s="14" t="s">
        <v>28</v>
      </c>
      <c r="J2544" s="14" t="s">
        <v>41017</v>
      </c>
      <c r="K2544" s="14" t="s">
        <v>41018</v>
      </c>
      <c r="L2544" s="152" t="s">
        <v>1659</v>
      </c>
      <c r="M2544" s="14" t="s">
        <v>41019</v>
      </c>
      <c r="N2544" s="54" t="s">
        <v>41018</v>
      </c>
      <c r="O2544" s="130"/>
      <c r="P2544" s="16"/>
      <c r="Q2544" s="14">
        <v>398897.0</v>
      </c>
      <c r="R2544" s="14"/>
      <c r="S2544" s="212"/>
      <c r="T2544" s="45"/>
      <c r="U2544" s="45"/>
      <c r="V2544" s="45"/>
      <c r="W2544" s="45"/>
      <c r="X2544" s="45"/>
      <c r="Y2544" s="45"/>
      <c r="Z2544" s="45"/>
      <c r="AA2544" s="45"/>
      <c r="AB2544" s="45"/>
      <c r="AC2544" s="45"/>
    </row>
    <row r="2545" ht="15.75" customHeight="1">
      <c r="A2545" s="14" t="s">
        <v>17</v>
      </c>
      <c r="B2545" s="14">
        <v>1993.0</v>
      </c>
      <c r="C2545" s="14" t="s">
        <v>1591</v>
      </c>
      <c r="D2545" s="14" t="s">
        <v>1592</v>
      </c>
      <c r="E2545" s="150" t="s">
        <v>1593</v>
      </c>
      <c r="F2545" s="14">
        <v>300.0</v>
      </c>
      <c r="G2545" s="14">
        <v>307.0</v>
      </c>
      <c r="H2545" s="151"/>
      <c r="I2545" s="14" t="s">
        <v>28</v>
      </c>
      <c r="J2545" s="14" t="s">
        <v>41020</v>
      </c>
      <c r="K2545" s="14" t="s">
        <v>41021</v>
      </c>
      <c r="L2545" s="152" t="s">
        <v>1596</v>
      </c>
      <c r="M2545" s="14" t="s">
        <v>41022</v>
      </c>
      <c r="N2545" s="54" t="s">
        <v>41021</v>
      </c>
      <c r="O2545" s="130"/>
      <c r="P2545" s="16"/>
      <c r="Q2545" s="14">
        <v>398882.0</v>
      </c>
      <c r="R2545" s="14"/>
      <c r="S2545" s="212"/>
      <c r="T2545" s="45"/>
      <c r="U2545" s="45"/>
      <c r="V2545" s="45"/>
      <c r="W2545" s="45"/>
      <c r="X2545" s="45"/>
      <c r="Y2545" s="45"/>
      <c r="Z2545" s="45"/>
      <c r="AA2545" s="45"/>
      <c r="AB2545" s="45"/>
      <c r="AC2545" s="45"/>
    </row>
    <row r="2546" ht="15.75" customHeight="1">
      <c r="A2546" s="14" t="s">
        <v>17</v>
      </c>
      <c r="B2546" s="14">
        <v>1993.0</v>
      </c>
      <c r="C2546" s="14" t="s">
        <v>1339</v>
      </c>
      <c r="D2546" s="14" t="s">
        <v>1340</v>
      </c>
      <c r="E2546" s="150" t="s">
        <v>1341</v>
      </c>
      <c r="F2546" s="14">
        <v>11.0</v>
      </c>
      <c r="G2546" s="14">
        <v>18.0</v>
      </c>
      <c r="H2546" s="151"/>
      <c r="I2546" s="14" t="s">
        <v>28</v>
      </c>
      <c r="J2546" s="14" t="s">
        <v>41025</v>
      </c>
      <c r="K2546" s="14" t="s">
        <v>41026</v>
      </c>
      <c r="L2546" s="152" t="s">
        <v>1346</v>
      </c>
      <c r="M2546" s="14" t="s">
        <v>41027</v>
      </c>
      <c r="N2546" s="54" t="s">
        <v>41028</v>
      </c>
      <c r="O2546" s="130" t="s">
        <v>511</v>
      </c>
      <c r="P2546" s="16"/>
      <c r="Q2546" s="14">
        <v>398845.0</v>
      </c>
      <c r="R2546" s="14"/>
      <c r="S2546" s="212">
        <v>175778.0</v>
      </c>
      <c r="T2546" s="45"/>
      <c r="U2546" s="45"/>
      <c r="V2546" s="45"/>
      <c r="W2546" s="45"/>
      <c r="X2546" s="45"/>
      <c r="Y2546" s="45"/>
      <c r="Z2546" s="45"/>
      <c r="AA2546" s="45"/>
      <c r="AB2546" s="45"/>
      <c r="AC2546" s="45"/>
    </row>
    <row r="2547" ht="15.75" customHeight="1">
      <c r="A2547" s="14" t="s">
        <v>17</v>
      </c>
      <c r="B2547" s="14">
        <v>1993.0</v>
      </c>
      <c r="C2547" s="14" t="s">
        <v>1682</v>
      </c>
      <c r="D2547" s="14" t="s">
        <v>1683</v>
      </c>
      <c r="E2547" s="150" t="s">
        <v>1684</v>
      </c>
      <c r="F2547" s="14">
        <v>402.0</v>
      </c>
      <c r="G2547" s="14">
        <v>405.0</v>
      </c>
      <c r="H2547" s="151"/>
      <c r="I2547" s="14" t="s">
        <v>28</v>
      </c>
      <c r="J2547" s="14" t="s">
        <v>41029</v>
      </c>
      <c r="K2547" s="14" t="s">
        <v>41031</v>
      </c>
      <c r="L2547" s="152" t="s">
        <v>1686</v>
      </c>
      <c r="M2547" s="14" t="s">
        <v>41032</v>
      </c>
      <c r="N2547" s="54" t="s">
        <v>41033</v>
      </c>
      <c r="O2547" s="130"/>
      <c r="P2547" s="16"/>
      <c r="Q2547" s="14">
        <v>398901.0</v>
      </c>
      <c r="R2547" s="14"/>
      <c r="S2547" s="212"/>
      <c r="T2547" s="45"/>
      <c r="U2547" s="45"/>
      <c r="V2547" s="45"/>
      <c r="W2547" s="45"/>
      <c r="X2547" s="45"/>
      <c r="Y2547" s="45"/>
      <c r="Z2547" s="45"/>
      <c r="AA2547" s="45"/>
      <c r="AB2547" s="45"/>
      <c r="AC2547" s="45"/>
    </row>
    <row r="2548" ht="15.75" customHeight="1">
      <c r="A2548" s="14" t="s">
        <v>17</v>
      </c>
      <c r="B2548" s="14">
        <v>1993.0</v>
      </c>
      <c r="C2548" s="14" t="s">
        <v>1445</v>
      </c>
      <c r="D2548" s="14" t="s">
        <v>1446</v>
      </c>
      <c r="E2548" s="150" t="s">
        <v>1447</v>
      </c>
      <c r="F2548" s="14">
        <v>126.0</v>
      </c>
      <c r="G2548" s="14">
        <v>133.0</v>
      </c>
      <c r="H2548" s="151"/>
      <c r="I2548" s="14" t="s">
        <v>28</v>
      </c>
      <c r="J2548" s="14" t="s">
        <v>41035</v>
      </c>
      <c r="K2548" s="14" t="s">
        <v>41036</v>
      </c>
      <c r="L2548" s="152" t="s">
        <v>1449</v>
      </c>
      <c r="M2548" s="14" t="s">
        <v>41037</v>
      </c>
      <c r="N2548" s="54" t="s">
        <v>41036</v>
      </c>
      <c r="O2548" s="130" t="s">
        <v>1182</v>
      </c>
      <c r="P2548" s="16"/>
      <c r="Q2548" s="14">
        <v>398860.0</v>
      </c>
      <c r="R2548" s="14"/>
      <c r="S2548" s="212">
        <v>235219.0</v>
      </c>
      <c r="T2548" s="45"/>
      <c r="U2548" s="45"/>
      <c r="V2548" s="45"/>
      <c r="W2548" s="45"/>
      <c r="X2548" s="45"/>
      <c r="Y2548" s="45"/>
      <c r="Z2548" s="45"/>
      <c r="AA2548" s="45"/>
      <c r="AB2548" s="45"/>
      <c r="AC2548" s="45"/>
    </row>
    <row r="2549" ht="15.75" customHeight="1">
      <c r="A2549" s="14" t="s">
        <v>17</v>
      </c>
      <c r="B2549" s="14">
        <v>1993.0</v>
      </c>
      <c r="C2549" s="14" t="s">
        <v>1347</v>
      </c>
      <c r="D2549" s="14" t="s">
        <v>1348</v>
      </c>
      <c r="E2549" s="150" t="s">
        <v>1349</v>
      </c>
      <c r="F2549" s="14">
        <v>19.0</v>
      </c>
      <c r="G2549" s="14">
        <v>24.0</v>
      </c>
      <c r="H2549" s="151"/>
      <c r="I2549" s="14" t="s">
        <v>28</v>
      </c>
      <c r="J2549" s="14" t="s">
        <v>41039</v>
      </c>
      <c r="K2549" s="14" t="s">
        <v>41040</v>
      </c>
      <c r="L2549" s="152" t="s">
        <v>1351</v>
      </c>
      <c r="M2549" s="14" t="s">
        <v>41041</v>
      </c>
      <c r="N2549" s="54" t="s">
        <v>41040</v>
      </c>
      <c r="O2549" s="130" t="s">
        <v>1352</v>
      </c>
      <c r="P2549" s="16"/>
      <c r="Q2549" s="14">
        <v>398846.0</v>
      </c>
      <c r="R2549" s="14"/>
      <c r="S2549" s="212" t="s">
        <v>41042</v>
      </c>
      <c r="T2549" s="45"/>
      <c r="U2549" s="45"/>
      <c r="V2549" s="45"/>
      <c r="W2549" s="45"/>
      <c r="X2549" s="45"/>
      <c r="Y2549" s="45"/>
      <c r="Z2549" s="45"/>
      <c r="AA2549" s="45"/>
      <c r="AB2549" s="45"/>
      <c r="AC2549" s="45"/>
    </row>
    <row r="2550" ht="15.75" customHeight="1">
      <c r="A2550" s="14" t="s">
        <v>17</v>
      </c>
      <c r="B2550" s="14">
        <v>1993.0</v>
      </c>
      <c r="C2550" s="14" t="s">
        <v>1563</v>
      </c>
      <c r="D2550" s="14" t="s">
        <v>1565</v>
      </c>
      <c r="E2550" s="150" t="s">
        <v>1567</v>
      </c>
      <c r="F2550" s="14">
        <v>268.0</v>
      </c>
      <c r="G2550" s="14">
        <v>274.0</v>
      </c>
      <c r="H2550" s="151"/>
      <c r="I2550" s="14" t="s">
        <v>28</v>
      </c>
      <c r="J2550" s="14" t="s">
        <v>41045</v>
      </c>
      <c r="K2550" s="14" t="s">
        <v>9124</v>
      </c>
      <c r="L2550" s="152" t="s">
        <v>1569</v>
      </c>
      <c r="M2550" s="14">
        <v>3.73784272E10</v>
      </c>
      <c r="N2550" s="54" t="s">
        <v>9124</v>
      </c>
      <c r="O2550" s="130" t="s">
        <v>1570</v>
      </c>
      <c r="P2550" s="16"/>
      <c r="Q2550" s="14">
        <v>398878.0</v>
      </c>
      <c r="R2550" s="14"/>
      <c r="S2550" s="212" t="s">
        <v>41046</v>
      </c>
      <c r="T2550" s="45"/>
      <c r="U2550" s="45"/>
      <c r="V2550" s="45"/>
      <c r="W2550" s="45"/>
      <c r="X2550" s="45"/>
      <c r="Y2550" s="45"/>
      <c r="Z2550" s="45"/>
      <c r="AA2550" s="45"/>
      <c r="AB2550" s="45"/>
      <c r="AC2550" s="45"/>
    </row>
    <row r="2551" ht="15.75" customHeight="1">
      <c r="A2551" s="14" t="s">
        <v>17</v>
      </c>
      <c r="B2551" s="14">
        <v>1993.0</v>
      </c>
      <c r="C2551" s="14" t="s">
        <v>1497</v>
      </c>
      <c r="D2551" s="14" t="s">
        <v>1498</v>
      </c>
      <c r="E2551" s="150" t="s">
        <v>1499</v>
      </c>
      <c r="F2551" s="14">
        <v>189.0</v>
      </c>
      <c r="G2551" s="14">
        <v>195.0</v>
      </c>
      <c r="H2551" s="151"/>
      <c r="I2551" s="14" t="s">
        <v>28</v>
      </c>
      <c r="J2551" s="14" t="s">
        <v>41047</v>
      </c>
      <c r="K2551" s="14" t="s">
        <v>41048</v>
      </c>
      <c r="L2551" s="152" t="s">
        <v>1287</v>
      </c>
      <c r="M2551" s="14" t="s">
        <v>41049</v>
      </c>
      <c r="N2551" s="54" t="s">
        <v>41048</v>
      </c>
      <c r="O2551" s="130" t="s">
        <v>1281</v>
      </c>
      <c r="P2551" s="16"/>
      <c r="Q2551" s="14">
        <v>398868.0</v>
      </c>
      <c r="R2551" s="14"/>
      <c r="S2551" s="212">
        <v>235223.0</v>
      </c>
      <c r="T2551" s="45"/>
      <c r="U2551" s="45"/>
      <c r="V2551" s="45"/>
      <c r="W2551" s="45"/>
      <c r="X2551" s="45"/>
      <c r="Y2551" s="45"/>
      <c r="Z2551" s="45"/>
      <c r="AA2551" s="45"/>
      <c r="AB2551" s="45"/>
      <c r="AC2551" s="45"/>
    </row>
    <row r="2552" ht="15.75" customHeight="1">
      <c r="A2552" s="14" t="s">
        <v>17</v>
      </c>
      <c r="B2552" s="14">
        <v>1993.0</v>
      </c>
      <c r="C2552" s="14" t="s">
        <v>1421</v>
      </c>
      <c r="D2552" s="14" t="s">
        <v>1422</v>
      </c>
      <c r="E2552" s="150" t="s">
        <v>1423</v>
      </c>
      <c r="F2552" s="14">
        <v>102.0</v>
      </c>
      <c r="G2552" s="14">
        <v>109.0</v>
      </c>
      <c r="H2552" s="151"/>
      <c r="I2552" s="14" t="s">
        <v>28</v>
      </c>
      <c r="J2552" s="14" t="s">
        <v>41050</v>
      </c>
      <c r="K2552" s="14" t="s">
        <v>41052</v>
      </c>
      <c r="L2552" s="152" t="s">
        <v>1428</v>
      </c>
      <c r="M2552" s="14" t="s">
        <v>41053</v>
      </c>
      <c r="N2552" s="54" t="s">
        <v>41052</v>
      </c>
      <c r="O2552" s="130" t="s">
        <v>1159</v>
      </c>
      <c r="P2552" s="16"/>
      <c r="Q2552" s="14">
        <v>398857.0</v>
      </c>
      <c r="R2552" s="14"/>
      <c r="S2552" s="212" t="s">
        <v>41054</v>
      </c>
      <c r="T2552" s="45"/>
      <c r="U2552" s="45"/>
      <c r="V2552" s="45"/>
      <c r="W2552" s="45"/>
      <c r="X2552" s="45"/>
      <c r="Y2552" s="45"/>
      <c r="Z2552" s="45"/>
      <c r="AA2552" s="45"/>
      <c r="AB2552" s="45"/>
      <c r="AC2552" s="45"/>
    </row>
    <row r="2553" ht="15.75" customHeight="1">
      <c r="A2553" s="14" t="s">
        <v>17</v>
      </c>
      <c r="B2553" s="14">
        <v>1993.0</v>
      </c>
      <c r="C2553" s="14" t="s">
        <v>1436</v>
      </c>
      <c r="D2553" s="14" t="s">
        <v>1437</v>
      </c>
      <c r="E2553" s="150" t="s">
        <v>1438</v>
      </c>
      <c r="F2553" s="14">
        <v>119.0</v>
      </c>
      <c r="G2553" s="14">
        <v>125.0</v>
      </c>
      <c r="H2553" s="151"/>
      <c r="I2553" s="14" t="s">
        <v>28</v>
      </c>
      <c r="J2553" s="14" t="s">
        <v>41056</v>
      </c>
      <c r="K2553" s="14" t="s">
        <v>41057</v>
      </c>
      <c r="L2553" s="152" t="s">
        <v>1443</v>
      </c>
      <c r="M2553" s="14" t="s">
        <v>41058</v>
      </c>
      <c r="N2553" s="54" t="s">
        <v>41057</v>
      </c>
      <c r="O2553" s="130" t="s">
        <v>1444</v>
      </c>
      <c r="P2553" s="16"/>
      <c r="Q2553" s="14">
        <v>398859.0</v>
      </c>
      <c r="R2553" s="14"/>
      <c r="S2553" s="212" t="s">
        <v>41059</v>
      </c>
      <c r="T2553" s="45"/>
      <c r="U2553" s="45"/>
      <c r="V2553" s="45"/>
      <c r="W2553" s="45"/>
      <c r="X2553" s="45"/>
      <c r="Y2553" s="45"/>
      <c r="Z2553" s="45"/>
      <c r="AA2553" s="45"/>
      <c r="AB2553" s="45"/>
      <c r="AC2553" s="45"/>
    </row>
    <row r="2554" ht="15.75" customHeight="1">
      <c r="A2554" s="14" t="s">
        <v>17</v>
      </c>
      <c r="B2554" s="14">
        <v>1993.0</v>
      </c>
      <c r="C2554" s="14" t="s">
        <v>1545</v>
      </c>
      <c r="D2554" s="14" t="s">
        <v>1546</v>
      </c>
      <c r="E2554" s="150" t="s">
        <v>1547</v>
      </c>
      <c r="F2554" s="14">
        <v>245.0</v>
      </c>
      <c r="G2554" s="14">
        <v>252.0</v>
      </c>
      <c r="H2554" s="151"/>
      <c r="I2554" s="14" t="s">
        <v>28</v>
      </c>
      <c r="J2554" s="14" t="s">
        <v>41062</v>
      </c>
      <c r="K2554" s="14" t="s">
        <v>11200</v>
      </c>
      <c r="L2554" s="152" t="s">
        <v>1548</v>
      </c>
      <c r="M2554" s="14">
        <v>3.72672492E10</v>
      </c>
      <c r="N2554" s="54" t="s">
        <v>11200</v>
      </c>
      <c r="O2554" s="130" t="s">
        <v>1549</v>
      </c>
      <c r="P2554" s="16"/>
      <c r="Q2554" s="14">
        <v>398875.0</v>
      </c>
      <c r="R2554" s="14"/>
      <c r="S2554" s="212" t="s">
        <v>41064</v>
      </c>
      <c r="T2554" s="45"/>
      <c r="U2554" s="45"/>
      <c r="V2554" s="45"/>
      <c r="W2554" s="45"/>
      <c r="X2554" s="45"/>
      <c r="Y2554" s="45"/>
      <c r="Z2554" s="45"/>
      <c r="AA2554" s="45"/>
      <c r="AB2554" s="45"/>
      <c r="AC2554" s="45"/>
    </row>
    <row r="2555" ht="15.75" customHeight="1">
      <c r="A2555" s="14" t="s">
        <v>17</v>
      </c>
      <c r="B2555" s="14">
        <v>1993.0</v>
      </c>
      <c r="C2555" s="14" t="s">
        <v>1464</v>
      </c>
      <c r="D2555" s="14" t="s">
        <v>1465</v>
      </c>
      <c r="E2555" s="150" t="s">
        <v>1466</v>
      </c>
      <c r="F2555" s="14">
        <v>150.0</v>
      </c>
      <c r="G2555" s="14">
        <v>157.0</v>
      </c>
      <c r="H2555" s="151"/>
      <c r="I2555" s="14" t="s">
        <v>28</v>
      </c>
      <c r="J2555" s="14" t="s">
        <v>41065</v>
      </c>
      <c r="K2555" s="14" t="s">
        <v>10739</v>
      </c>
      <c r="L2555" s="152" t="s">
        <v>1468</v>
      </c>
      <c r="M2555" s="14">
        <v>3.72830177E10</v>
      </c>
      <c r="N2555" s="54" t="s">
        <v>10739</v>
      </c>
      <c r="O2555" s="130"/>
      <c r="P2555" s="153" t="s">
        <v>1469</v>
      </c>
      <c r="Q2555" s="14">
        <v>398863.0</v>
      </c>
      <c r="R2555" s="14"/>
      <c r="S2555" s="212"/>
      <c r="T2555" s="45"/>
      <c r="U2555" s="45"/>
      <c r="V2555" s="45"/>
      <c r="W2555" s="45"/>
      <c r="X2555" s="45"/>
      <c r="Y2555" s="45"/>
      <c r="Z2555" s="45"/>
      <c r="AA2555" s="45"/>
      <c r="AB2555" s="45"/>
      <c r="AC2555" s="45"/>
    </row>
    <row r="2556" ht="15.75" customHeight="1">
      <c r="A2556" s="14" t="s">
        <v>17</v>
      </c>
      <c r="B2556" s="14">
        <v>1993.0</v>
      </c>
      <c r="C2556" s="14" t="s">
        <v>1584</v>
      </c>
      <c r="D2556" s="14" t="s">
        <v>1585</v>
      </c>
      <c r="E2556" s="150" t="s">
        <v>1586</v>
      </c>
      <c r="F2556" s="14">
        <v>291.0</v>
      </c>
      <c r="G2556" s="14">
        <v>298.0</v>
      </c>
      <c r="H2556" s="151"/>
      <c r="I2556" s="14" t="s">
        <v>28</v>
      </c>
      <c r="J2556" s="14" t="s">
        <v>41067</v>
      </c>
      <c r="K2556" s="14" t="s">
        <v>41068</v>
      </c>
      <c r="L2556" s="152" t="s">
        <v>1590</v>
      </c>
      <c r="M2556" s="14" t="s">
        <v>41069</v>
      </c>
      <c r="N2556" s="54" t="s">
        <v>41068</v>
      </c>
      <c r="O2556" s="130"/>
      <c r="P2556" s="16"/>
      <c r="Q2556" s="14">
        <v>398881.0</v>
      </c>
      <c r="R2556" s="14"/>
      <c r="S2556" s="212"/>
      <c r="T2556" s="45"/>
      <c r="U2556" s="45"/>
      <c r="V2556" s="45"/>
      <c r="W2556" s="45"/>
      <c r="X2556" s="45"/>
      <c r="Y2556" s="45"/>
      <c r="Z2556" s="45"/>
      <c r="AA2556" s="45"/>
      <c r="AB2556" s="45"/>
      <c r="AC2556" s="45"/>
    </row>
    <row r="2557" ht="15.75" customHeight="1">
      <c r="A2557" s="14" t="s">
        <v>17</v>
      </c>
      <c r="B2557" s="14">
        <v>1993.0</v>
      </c>
      <c r="C2557" s="14" t="s">
        <v>1504</v>
      </c>
      <c r="D2557" s="14" t="s">
        <v>1505</v>
      </c>
      <c r="E2557" s="150" t="s">
        <v>1506</v>
      </c>
      <c r="F2557" s="14">
        <v>196.0</v>
      </c>
      <c r="G2557" s="14">
        <v>203.0</v>
      </c>
      <c r="H2557" s="151"/>
      <c r="I2557" s="14" t="s">
        <v>28</v>
      </c>
      <c r="J2557" s="14" t="s">
        <v>41070</v>
      </c>
      <c r="K2557" s="14" t="s">
        <v>41071</v>
      </c>
      <c r="L2557" s="152" t="s">
        <v>855</v>
      </c>
      <c r="M2557" s="14" t="s">
        <v>41072</v>
      </c>
      <c r="N2557" s="54" t="s">
        <v>41071</v>
      </c>
      <c r="O2557" s="130" t="s">
        <v>1510</v>
      </c>
      <c r="P2557" s="16"/>
      <c r="Q2557" s="14">
        <v>398869.0</v>
      </c>
      <c r="R2557" s="14"/>
      <c r="S2557" s="212" t="s">
        <v>41073</v>
      </c>
      <c r="T2557" s="45"/>
      <c r="U2557" s="45"/>
      <c r="V2557" s="45"/>
      <c r="W2557" s="45"/>
      <c r="X2557" s="45"/>
      <c r="Y2557" s="45"/>
      <c r="Z2557" s="45"/>
      <c r="AA2557" s="45"/>
      <c r="AB2557" s="45"/>
      <c r="AC2557" s="45"/>
    </row>
    <row r="2558" ht="15.75" customHeight="1">
      <c r="A2558" s="14" t="s">
        <v>17</v>
      </c>
      <c r="B2558" s="14">
        <v>1993.0</v>
      </c>
      <c r="C2558" s="14" t="s">
        <v>1611</v>
      </c>
      <c r="D2558" s="14" t="s">
        <v>1612</v>
      </c>
      <c r="E2558" s="150" t="s">
        <v>1613</v>
      </c>
      <c r="F2558" s="14">
        <v>324.0</v>
      </c>
      <c r="G2558" s="14">
        <v>331.0</v>
      </c>
      <c r="H2558" s="151"/>
      <c r="I2558" s="14" t="s">
        <v>28</v>
      </c>
      <c r="J2558" s="14" t="s">
        <v>41075</v>
      </c>
      <c r="K2558" s="14" t="s">
        <v>41076</v>
      </c>
      <c r="L2558" s="152" t="s">
        <v>1287</v>
      </c>
      <c r="M2558" s="14" t="s">
        <v>41077</v>
      </c>
      <c r="N2558" s="54" t="s">
        <v>41076</v>
      </c>
      <c r="O2558" s="130"/>
      <c r="P2558" s="16"/>
      <c r="Q2558" s="14">
        <v>398885.0</v>
      </c>
      <c r="R2558" s="14"/>
      <c r="S2558" s="212"/>
      <c r="T2558" s="45"/>
      <c r="U2558" s="45"/>
      <c r="V2558" s="45"/>
      <c r="W2558" s="45"/>
      <c r="X2558" s="45"/>
      <c r="Y2558" s="45"/>
      <c r="Z2558" s="45"/>
      <c r="AA2558" s="45"/>
      <c r="AB2558" s="45"/>
      <c r="AC2558" s="45"/>
    </row>
    <row r="2559" ht="15.75" customHeight="1">
      <c r="A2559" s="14" t="s">
        <v>17</v>
      </c>
      <c r="B2559" s="14">
        <v>1993.0</v>
      </c>
      <c r="C2559" s="14" t="s">
        <v>1511</v>
      </c>
      <c r="D2559" s="14" t="s">
        <v>1512</v>
      </c>
      <c r="E2559" s="150" t="s">
        <v>1513</v>
      </c>
      <c r="F2559" s="14">
        <v>204.0</v>
      </c>
      <c r="G2559" s="14">
        <v>210.0</v>
      </c>
      <c r="H2559" s="151"/>
      <c r="I2559" s="14" t="s">
        <v>28</v>
      </c>
      <c r="J2559" s="14" t="s">
        <v>41080</v>
      </c>
      <c r="K2559" s="14" t="s">
        <v>41081</v>
      </c>
      <c r="L2559" s="152" t="s">
        <v>1517</v>
      </c>
      <c r="M2559" s="14" t="s">
        <v>41082</v>
      </c>
      <c r="N2559" s="54" t="s">
        <v>41081</v>
      </c>
      <c r="O2559" s="130" t="s">
        <v>1518</v>
      </c>
      <c r="P2559" s="16"/>
      <c r="Q2559" s="14">
        <v>398870.0</v>
      </c>
      <c r="R2559" s="14"/>
      <c r="S2559" s="212" t="s">
        <v>41083</v>
      </c>
      <c r="T2559" s="45"/>
      <c r="U2559" s="45"/>
      <c r="V2559" s="45"/>
      <c r="W2559" s="45"/>
      <c r="X2559" s="45"/>
      <c r="Y2559" s="45"/>
      <c r="Z2559" s="45"/>
      <c r="AA2559" s="45"/>
      <c r="AB2559" s="45"/>
      <c r="AC2559" s="45"/>
    </row>
    <row r="2560" ht="15.75" customHeight="1">
      <c r="A2560" s="14" t="s">
        <v>17</v>
      </c>
      <c r="B2560" s="14">
        <v>1993.0</v>
      </c>
      <c r="C2560" s="14" t="s">
        <v>1660</v>
      </c>
      <c r="D2560" s="14" t="s">
        <v>1661</v>
      </c>
      <c r="E2560" s="150" t="s">
        <v>1662</v>
      </c>
      <c r="F2560" s="14">
        <v>386.0</v>
      </c>
      <c r="G2560" s="14">
        <v>390.0</v>
      </c>
      <c r="H2560" s="151"/>
      <c r="I2560" s="14" t="s">
        <v>28</v>
      </c>
      <c r="J2560" s="14" t="s">
        <v>41084</v>
      </c>
      <c r="K2560" s="14" t="s">
        <v>41086</v>
      </c>
      <c r="L2560" s="152" t="s">
        <v>1664</v>
      </c>
      <c r="M2560" s="14" t="s">
        <v>41087</v>
      </c>
      <c r="N2560" s="54" t="s">
        <v>41086</v>
      </c>
      <c r="O2560" s="130"/>
      <c r="P2560" s="16"/>
      <c r="Q2560" s="14">
        <v>398898.0</v>
      </c>
      <c r="R2560" s="14"/>
      <c r="S2560" s="212"/>
      <c r="T2560" s="45"/>
      <c r="U2560" s="45"/>
      <c r="V2560" s="45"/>
      <c r="W2560" s="45"/>
      <c r="X2560" s="45"/>
      <c r="Y2560" s="45"/>
      <c r="Z2560" s="45"/>
      <c r="AA2560" s="45"/>
      <c r="AB2560" s="45"/>
      <c r="AC2560" s="45"/>
    </row>
    <row r="2561" ht="15.75" customHeight="1">
      <c r="A2561" s="14" t="s">
        <v>17</v>
      </c>
      <c r="B2561" s="14">
        <v>1993.0</v>
      </c>
      <c r="C2561" s="14" t="s">
        <v>1378</v>
      </c>
      <c r="D2561" s="14" t="s">
        <v>1379</v>
      </c>
      <c r="E2561" s="150" t="s">
        <v>1380</v>
      </c>
      <c r="F2561" s="14">
        <v>54.0</v>
      </c>
      <c r="G2561" s="14">
        <v>61.0</v>
      </c>
      <c r="H2561" s="151"/>
      <c r="I2561" s="14" t="s">
        <v>28</v>
      </c>
      <c r="J2561" s="14" t="s">
        <v>41089</v>
      </c>
      <c r="K2561" s="14" t="s">
        <v>6780</v>
      </c>
      <c r="L2561" s="152" t="s">
        <v>1385</v>
      </c>
      <c r="M2561" s="14">
        <v>3.72705606E10</v>
      </c>
      <c r="N2561" s="54" t="s">
        <v>6780</v>
      </c>
      <c r="O2561" s="130"/>
      <c r="P2561" s="16"/>
      <c r="Q2561" s="14">
        <v>398851.0</v>
      </c>
      <c r="R2561" s="14"/>
      <c r="S2561" s="212"/>
      <c r="T2561" s="45"/>
      <c r="U2561" s="45"/>
      <c r="V2561" s="45"/>
      <c r="W2561" s="45"/>
      <c r="X2561" s="45"/>
      <c r="Y2561" s="45"/>
      <c r="Z2561" s="45"/>
      <c r="AA2561" s="45"/>
      <c r="AB2561" s="45"/>
      <c r="AC2561" s="45"/>
    </row>
    <row r="2562" ht="15.75" customHeight="1">
      <c r="A2562" s="14" t="s">
        <v>17</v>
      </c>
      <c r="B2562" s="14">
        <v>1993.0</v>
      </c>
      <c r="C2562" s="14" t="s">
        <v>1490</v>
      </c>
      <c r="D2562" s="14" t="s">
        <v>1492</v>
      </c>
      <c r="E2562" s="150" t="s">
        <v>1493</v>
      </c>
      <c r="F2562" s="14">
        <v>183.0</v>
      </c>
      <c r="G2562" s="14">
        <v>188.0</v>
      </c>
      <c r="H2562" s="151"/>
      <c r="I2562" s="14" t="s">
        <v>28</v>
      </c>
      <c r="J2562" s="14" t="s">
        <v>41090</v>
      </c>
      <c r="K2562" s="14" t="s">
        <v>41091</v>
      </c>
      <c r="L2562" s="152" t="s">
        <v>1496</v>
      </c>
      <c r="M2562" s="14" t="s">
        <v>41092</v>
      </c>
      <c r="N2562" s="54" t="s">
        <v>41091</v>
      </c>
      <c r="O2562" s="130"/>
      <c r="P2562" s="16"/>
      <c r="Q2562" s="14">
        <v>398867.0</v>
      </c>
      <c r="R2562" s="14"/>
      <c r="S2562" s="212"/>
      <c r="T2562" s="45"/>
      <c r="U2562" s="45"/>
      <c r="V2562" s="45"/>
      <c r="W2562" s="45"/>
      <c r="X2562" s="45"/>
      <c r="Y2562" s="45"/>
      <c r="Z2562" s="45"/>
      <c r="AA2562" s="45"/>
      <c r="AB2562" s="45"/>
      <c r="AC2562" s="45"/>
    </row>
    <row r="2563" ht="15.75" customHeight="1">
      <c r="A2563" s="14" t="s">
        <v>17</v>
      </c>
      <c r="B2563" s="14">
        <v>1993.0</v>
      </c>
      <c r="C2563" s="14" t="s">
        <v>1485</v>
      </c>
      <c r="D2563" s="14" t="s">
        <v>1486</v>
      </c>
      <c r="E2563" s="150" t="s">
        <v>1487</v>
      </c>
      <c r="F2563" s="14">
        <v>174.0</v>
      </c>
      <c r="G2563" s="14">
        <v>181.0</v>
      </c>
      <c r="H2563" s="151"/>
      <c r="I2563" s="14" t="s">
        <v>28</v>
      </c>
      <c r="J2563" s="14" t="s">
        <v>41093</v>
      </c>
      <c r="K2563" s="14" t="s">
        <v>41094</v>
      </c>
      <c r="L2563" s="152" t="s">
        <v>1489</v>
      </c>
      <c r="M2563" s="14" t="s">
        <v>41096</v>
      </c>
      <c r="N2563" s="54" t="s">
        <v>41094</v>
      </c>
      <c r="O2563" s="130"/>
      <c r="P2563" s="16"/>
      <c r="Q2563" s="14">
        <v>398866.0</v>
      </c>
      <c r="R2563" s="14"/>
      <c r="S2563" s="212"/>
      <c r="T2563" s="45"/>
      <c r="U2563" s="45"/>
      <c r="V2563" s="45"/>
      <c r="W2563" s="45"/>
      <c r="X2563" s="45"/>
      <c r="Y2563" s="45"/>
      <c r="Z2563" s="45"/>
      <c r="AA2563" s="45"/>
      <c r="AB2563" s="45"/>
      <c r="AC2563" s="45"/>
    </row>
    <row r="2564" ht="15.75" customHeight="1">
      <c r="A2564" s="14" t="s">
        <v>17</v>
      </c>
      <c r="B2564" s="14">
        <v>1993.0</v>
      </c>
      <c r="C2564" s="14" t="s">
        <v>1391</v>
      </c>
      <c r="D2564" s="14" t="s">
        <v>1392</v>
      </c>
      <c r="E2564" s="150" t="s">
        <v>1393</v>
      </c>
      <c r="F2564" s="14">
        <v>70.0</v>
      </c>
      <c r="G2564" s="14">
        <v>77.0</v>
      </c>
      <c r="H2564" s="151"/>
      <c r="I2564" s="14" t="s">
        <v>28</v>
      </c>
      <c r="J2564" s="14" t="s">
        <v>41098</v>
      </c>
      <c r="K2564" s="14" t="s">
        <v>41099</v>
      </c>
      <c r="L2564" s="152" t="s">
        <v>1397</v>
      </c>
      <c r="M2564" s="14" t="s">
        <v>41100</v>
      </c>
      <c r="N2564" s="54" t="s">
        <v>41099</v>
      </c>
      <c r="O2564" s="130" t="s">
        <v>1398</v>
      </c>
      <c r="P2564" s="16"/>
      <c r="Q2564" s="14">
        <v>398853.0</v>
      </c>
      <c r="R2564" s="14"/>
      <c r="S2564" s="212" t="s">
        <v>41101</v>
      </c>
      <c r="T2564" s="45"/>
      <c r="U2564" s="45"/>
      <c r="V2564" s="45"/>
      <c r="W2564" s="45"/>
      <c r="X2564" s="45"/>
      <c r="Y2564" s="45"/>
      <c r="Z2564" s="45"/>
      <c r="AA2564" s="45"/>
      <c r="AB2564" s="45"/>
      <c r="AC2564" s="45"/>
    </row>
    <row r="2565" ht="15.75" customHeight="1">
      <c r="A2565" s="14" t="s">
        <v>17</v>
      </c>
      <c r="B2565" s="14">
        <v>1993.0</v>
      </c>
      <c r="C2565" s="14" t="s">
        <v>1578</v>
      </c>
      <c r="D2565" s="14" t="s">
        <v>1579</v>
      </c>
      <c r="E2565" s="150" t="s">
        <v>1580</v>
      </c>
      <c r="F2565" s="14">
        <v>283.0</v>
      </c>
      <c r="G2565" s="14">
        <v>290.0</v>
      </c>
      <c r="H2565" s="151"/>
      <c r="I2565" s="14" t="s">
        <v>28</v>
      </c>
      <c r="J2565" s="14" t="s">
        <v>41103</v>
      </c>
      <c r="K2565" s="14" t="s">
        <v>41104</v>
      </c>
      <c r="L2565" s="152" t="s">
        <v>1582</v>
      </c>
      <c r="M2565" s="14" t="s">
        <v>41105</v>
      </c>
      <c r="N2565" s="54" t="s">
        <v>41104</v>
      </c>
      <c r="O2565" s="130" t="s">
        <v>1302</v>
      </c>
      <c r="P2565" s="16"/>
      <c r="Q2565" s="14">
        <v>398880.0</v>
      </c>
      <c r="R2565" s="14"/>
      <c r="S2565" s="212">
        <v>235226.0</v>
      </c>
      <c r="T2565" s="45"/>
      <c r="U2565" s="45"/>
      <c r="V2565" s="45"/>
      <c r="W2565" s="45"/>
      <c r="X2565" s="45"/>
      <c r="Y2565" s="45"/>
      <c r="Z2565" s="45"/>
      <c r="AA2565" s="45"/>
      <c r="AB2565" s="45"/>
      <c r="AC2565" s="45"/>
    </row>
    <row r="2566" ht="15.75" customHeight="1">
      <c r="A2566" s="14" t="s">
        <v>17</v>
      </c>
      <c r="B2566" s="14">
        <v>1993.0</v>
      </c>
      <c r="C2566" s="14" t="s">
        <v>1557</v>
      </c>
      <c r="D2566" s="14" t="s">
        <v>1558</v>
      </c>
      <c r="E2566" s="150" t="s">
        <v>1559</v>
      </c>
      <c r="F2566" s="14">
        <v>261.0</v>
      </c>
      <c r="G2566" s="14">
        <v>266.0</v>
      </c>
      <c r="H2566" s="151"/>
      <c r="I2566" s="14" t="s">
        <v>28</v>
      </c>
      <c r="J2566" s="14" t="s">
        <v>41106</v>
      </c>
      <c r="K2566" s="14" t="s">
        <v>41107</v>
      </c>
      <c r="L2566" s="152" t="s">
        <v>1561</v>
      </c>
      <c r="M2566" s="14" t="s">
        <v>41108</v>
      </c>
      <c r="N2566" s="54" t="s">
        <v>41109</v>
      </c>
      <c r="O2566" s="130"/>
      <c r="P2566" s="16"/>
      <c r="Q2566" s="14">
        <v>398877.0</v>
      </c>
      <c r="R2566" s="14"/>
      <c r="S2566" s="212"/>
      <c r="T2566" s="45"/>
      <c r="U2566" s="45"/>
      <c r="V2566" s="45"/>
      <c r="W2566" s="45"/>
      <c r="X2566" s="45"/>
      <c r="Y2566" s="45"/>
      <c r="Z2566" s="45"/>
      <c r="AA2566" s="45"/>
      <c r="AB2566" s="45"/>
      <c r="AC2566" s="45"/>
    </row>
    <row r="2567" ht="15.75" customHeight="1">
      <c r="A2567" s="14" t="s">
        <v>17</v>
      </c>
      <c r="B2567" s="14">
        <v>1993.0</v>
      </c>
      <c r="C2567" s="14" t="s">
        <v>1705</v>
      </c>
      <c r="D2567" s="14" t="s">
        <v>1706</v>
      </c>
      <c r="E2567" s="150" t="s">
        <v>1707</v>
      </c>
      <c r="F2567" s="14">
        <v>378.0</v>
      </c>
      <c r="G2567" s="14">
        <v>381.0</v>
      </c>
      <c r="H2567" s="151"/>
      <c r="I2567" s="14" t="s">
        <v>28</v>
      </c>
      <c r="J2567" s="14" t="s">
        <v>41111</v>
      </c>
      <c r="K2567" s="14" t="s">
        <v>41112</v>
      </c>
      <c r="L2567" s="152" t="s">
        <v>1709</v>
      </c>
      <c r="M2567" s="14" t="s">
        <v>41113</v>
      </c>
      <c r="N2567" s="54" t="s">
        <v>41112</v>
      </c>
      <c r="O2567" s="130" t="s">
        <v>1710</v>
      </c>
      <c r="P2567" s="16"/>
      <c r="Q2567" s="14">
        <v>398911.0</v>
      </c>
      <c r="R2567" s="14"/>
      <c r="S2567" s="212" t="s">
        <v>41114</v>
      </c>
      <c r="T2567" s="45"/>
      <c r="U2567" s="45"/>
      <c r="V2567" s="45"/>
      <c r="W2567" s="45"/>
      <c r="X2567" s="45"/>
      <c r="Y2567" s="45"/>
      <c r="Z2567" s="45"/>
      <c r="AA2567" s="45"/>
      <c r="AB2567" s="45"/>
      <c r="AC2567" s="45"/>
    </row>
    <row r="2568" ht="15.75" customHeight="1">
      <c r="A2568" s="14" t="s">
        <v>17</v>
      </c>
      <c r="B2568" s="14">
        <v>1993.0</v>
      </c>
      <c r="C2568" s="14" t="s">
        <v>1697</v>
      </c>
      <c r="D2568" s="14" t="s">
        <v>1698</v>
      </c>
      <c r="E2568" s="150" t="s">
        <v>1699</v>
      </c>
      <c r="F2568" s="14">
        <v>420.0</v>
      </c>
      <c r="G2568" s="14">
        <v>423.0</v>
      </c>
      <c r="H2568" s="151"/>
      <c r="I2568" s="14" t="s">
        <v>28</v>
      </c>
      <c r="J2568" s="14" t="s">
        <v>41117</v>
      </c>
      <c r="K2568" s="14" t="s">
        <v>41118</v>
      </c>
      <c r="L2568" s="152" t="s">
        <v>1704</v>
      </c>
      <c r="M2568" s="14" t="s">
        <v>41119</v>
      </c>
      <c r="N2568" s="54" t="s">
        <v>41118</v>
      </c>
      <c r="O2568" s="130"/>
      <c r="P2568" s="16"/>
      <c r="Q2568" s="14">
        <v>398904.0</v>
      </c>
      <c r="R2568" s="14"/>
      <c r="S2568" s="212"/>
      <c r="T2568" s="45"/>
      <c r="U2568" s="45"/>
      <c r="V2568" s="45"/>
      <c r="W2568" s="45"/>
      <c r="X2568" s="45"/>
      <c r="Y2568" s="45"/>
      <c r="Z2568" s="45"/>
      <c r="AA2568" s="45"/>
      <c r="AB2568" s="45"/>
      <c r="AC2568" s="45"/>
    </row>
    <row r="2569" ht="15.75" customHeight="1">
      <c r="A2569" s="14" t="s">
        <v>17</v>
      </c>
      <c r="B2569" s="14">
        <v>1993.0</v>
      </c>
      <c r="C2569" s="14" t="s">
        <v>1353</v>
      </c>
      <c r="D2569" s="14" t="s">
        <v>1354</v>
      </c>
      <c r="E2569" s="150" t="s">
        <v>1355</v>
      </c>
      <c r="F2569" s="14">
        <v>25.0</v>
      </c>
      <c r="G2569" s="14">
        <v>30.0</v>
      </c>
      <c r="H2569" s="151"/>
      <c r="I2569" s="14" t="s">
        <v>28</v>
      </c>
      <c r="J2569" s="14" t="s">
        <v>41122</v>
      </c>
      <c r="K2569" s="14" t="s">
        <v>41123</v>
      </c>
      <c r="L2569" s="152" t="s">
        <v>1357</v>
      </c>
      <c r="M2569" s="14" t="s">
        <v>41124</v>
      </c>
      <c r="N2569" s="54" t="s">
        <v>41123</v>
      </c>
      <c r="O2569" s="130"/>
      <c r="P2569" s="16"/>
      <c r="Q2569" s="14">
        <v>398847.0</v>
      </c>
      <c r="R2569" s="14"/>
      <c r="S2569" s="212"/>
      <c r="T2569" s="45"/>
      <c r="U2569" s="45"/>
      <c r="V2569" s="45"/>
      <c r="W2569" s="45"/>
      <c r="X2569" s="45"/>
      <c r="Y2569" s="45"/>
      <c r="Z2569" s="45"/>
      <c r="AA2569" s="45"/>
      <c r="AB2569" s="45"/>
      <c r="AC2569" s="45"/>
    </row>
    <row r="2570" ht="15.75" customHeight="1">
      <c r="A2570" s="14" t="s">
        <v>17</v>
      </c>
      <c r="B2570" s="14">
        <v>1993.0</v>
      </c>
      <c r="C2570" s="14" t="s">
        <v>1407</v>
      </c>
      <c r="D2570" s="14" t="s">
        <v>1408</v>
      </c>
      <c r="E2570" s="150" t="s">
        <v>1409</v>
      </c>
      <c r="F2570" s="14">
        <v>86.0</v>
      </c>
      <c r="G2570" s="14">
        <v>93.0</v>
      </c>
      <c r="H2570" s="151"/>
      <c r="I2570" s="14" t="s">
        <v>28</v>
      </c>
      <c r="J2570" s="14" t="s">
        <v>41127</v>
      </c>
      <c r="K2570" s="14" t="s">
        <v>41128</v>
      </c>
      <c r="L2570" s="152" t="s">
        <v>1411</v>
      </c>
      <c r="M2570" s="14" t="s">
        <v>41129</v>
      </c>
      <c r="N2570" s="54" t="s">
        <v>41128</v>
      </c>
      <c r="O2570" s="130"/>
      <c r="P2570" s="16"/>
      <c r="Q2570" s="14">
        <v>398855.0</v>
      </c>
      <c r="R2570" s="14"/>
      <c r="S2570" s="212"/>
      <c r="T2570" s="45"/>
      <c r="U2570" s="45"/>
      <c r="V2570" s="45"/>
      <c r="W2570" s="45"/>
      <c r="X2570" s="45"/>
      <c r="Y2570" s="45"/>
      <c r="Z2570" s="45"/>
      <c r="AA2570" s="45"/>
      <c r="AB2570" s="45"/>
      <c r="AC2570" s="45"/>
    </row>
    <row r="2571" ht="15.75" customHeight="1">
      <c r="A2571" s="14" t="s">
        <v>17</v>
      </c>
      <c r="B2571" s="14">
        <v>1993.0</v>
      </c>
      <c r="C2571" s="14" t="s">
        <v>1523</v>
      </c>
      <c r="D2571" s="14" t="s">
        <v>1524</v>
      </c>
      <c r="E2571" s="150" t="s">
        <v>1525</v>
      </c>
      <c r="F2571" s="14">
        <v>220.0</v>
      </c>
      <c r="G2571" s="14">
        <v>227.0</v>
      </c>
      <c r="H2571" s="151"/>
      <c r="I2571" s="14" t="s">
        <v>28</v>
      </c>
      <c r="J2571" s="14" t="s">
        <v>41130</v>
      </c>
      <c r="K2571" s="14" t="s">
        <v>41131</v>
      </c>
      <c r="L2571" s="152" t="s">
        <v>1530</v>
      </c>
      <c r="M2571" s="14" t="s">
        <v>41132</v>
      </c>
      <c r="N2571" s="54" t="s">
        <v>41131</v>
      </c>
      <c r="O2571" s="130" t="s">
        <v>157</v>
      </c>
      <c r="P2571" s="16"/>
      <c r="Q2571" s="14">
        <v>398872.0</v>
      </c>
      <c r="R2571" s="14"/>
      <c r="S2571" s="212">
        <v>146374.0</v>
      </c>
      <c r="T2571" s="45"/>
      <c r="U2571" s="45"/>
      <c r="V2571" s="45"/>
      <c r="W2571" s="45"/>
      <c r="X2571" s="45"/>
      <c r="Y2571" s="45"/>
      <c r="Z2571" s="45"/>
      <c r="AA2571" s="45"/>
      <c r="AB2571" s="45"/>
      <c r="AC2571" s="45"/>
    </row>
    <row r="2572" ht="15.75" customHeight="1">
      <c r="A2572" s="14" t="s">
        <v>17</v>
      </c>
      <c r="B2572" s="14">
        <v>1993.0</v>
      </c>
      <c r="C2572" s="14" t="s">
        <v>1639</v>
      </c>
      <c r="D2572" s="14" t="s">
        <v>1640</v>
      </c>
      <c r="E2572" s="150" t="s">
        <v>1641</v>
      </c>
      <c r="F2572" s="14">
        <v>374.0</v>
      </c>
      <c r="G2572" s="14">
        <v>377.0</v>
      </c>
      <c r="H2572" s="151"/>
      <c r="I2572" s="14" t="s">
        <v>28</v>
      </c>
      <c r="J2572" s="14" t="s">
        <v>41134</v>
      </c>
      <c r="K2572" s="14" t="s">
        <v>41135</v>
      </c>
      <c r="L2572" s="152" t="s">
        <v>1643</v>
      </c>
      <c r="M2572" s="14" t="s">
        <v>41136</v>
      </c>
      <c r="N2572" s="54" t="s">
        <v>41135</v>
      </c>
      <c r="O2572" s="130"/>
      <c r="P2572" s="16"/>
      <c r="Q2572" s="14">
        <v>398895.0</v>
      </c>
      <c r="R2572" s="14"/>
      <c r="S2572" s="212"/>
      <c r="T2572" s="45"/>
      <c r="U2572" s="45"/>
      <c r="V2572" s="45"/>
      <c r="W2572" s="45"/>
      <c r="X2572" s="45"/>
      <c r="Y2572" s="45"/>
      <c r="Z2572" s="45"/>
      <c r="AA2572" s="45"/>
      <c r="AB2572" s="45"/>
      <c r="AC2572" s="45"/>
    </row>
    <row r="2573" ht="15.75" customHeight="1">
      <c r="A2573" s="14" t="s">
        <v>17</v>
      </c>
      <c r="B2573" s="14">
        <v>1993.0</v>
      </c>
      <c r="C2573" s="14" t="s">
        <v>1628</v>
      </c>
      <c r="D2573" s="14" t="s">
        <v>1630</v>
      </c>
      <c r="E2573" s="150" t="s">
        <v>1631</v>
      </c>
      <c r="F2573" s="14">
        <v>370.0</v>
      </c>
      <c r="G2573" s="14">
        <v>373.0</v>
      </c>
      <c r="H2573" s="151"/>
      <c r="I2573" s="14" t="s">
        <v>28</v>
      </c>
      <c r="J2573" s="14" t="s">
        <v>41138</v>
      </c>
      <c r="K2573" s="14" t="s">
        <v>9751</v>
      </c>
      <c r="L2573" s="152" t="s">
        <v>1636</v>
      </c>
      <c r="M2573" s="14">
        <v>3.73720118E10</v>
      </c>
      <c r="N2573" s="54" t="s">
        <v>9751</v>
      </c>
      <c r="O2573" s="130"/>
      <c r="P2573" s="16"/>
      <c r="Q2573" s="14">
        <v>398894.0</v>
      </c>
      <c r="R2573" s="14"/>
      <c r="S2573" s="212"/>
      <c r="T2573" s="45"/>
      <c r="U2573" s="45"/>
      <c r="V2573" s="45"/>
      <c r="W2573" s="45"/>
      <c r="X2573" s="45"/>
      <c r="Y2573" s="45"/>
      <c r="Z2573" s="45"/>
      <c r="AA2573" s="45"/>
      <c r="AB2573" s="45"/>
      <c r="AC2573" s="45"/>
    </row>
    <row r="2574" ht="15.75" customHeight="1">
      <c r="A2574" s="14" t="s">
        <v>17</v>
      </c>
      <c r="B2574" s="14">
        <v>1993.0</v>
      </c>
      <c r="C2574" s="14" t="s">
        <v>1457</v>
      </c>
      <c r="D2574" s="14" t="s">
        <v>1458</v>
      </c>
      <c r="E2574" s="150" t="s">
        <v>1459</v>
      </c>
      <c r="F2574" s="14">
        <v>142.0</v>
      </c>
      <c r="G2574" s="14">
        <v>148.0</v>
      </c>
      <c r="H2574" s="151"/>
      <c r="I2574" s="14" t="s">
        <v>28</v>
      </c>
      <c r="J2574" s="14" t="s">
        <v>41140</v>
      </c>
      <c r="K2574" s="14" t="s">
        <v>41141</v>
      </c>
      <c r="L2574" s="152" t="s">
        <v>66</v>
      </c>
      <c r="M2574" s="14" t="s">
        <v>39942</v>
      </c>
      <c r="N2574" s="54" t="s">
        <v>39941</v>
      </c>
      <c r="O2574" s="130" t="s">
        <v>1334</v>
      </c>
      <c r="P2574" s="153" t="s">
        <v>1462</v>
      </c>
      <c r="Q2574" s="14">
        <v>398862.0</v>
      </c>
      <c r="R2574" s="14"/>
      <c r="S2574" s="212">
        <v>235231.0</v>
      </c>
      <c r="T2574" s="45"/>
      <c r="U2574" s="45"/>
      <c r="V2574" s="45"/>
      <c r="W2574" s="45"/>
      <c r="X2574" s="45"/>
      <c r="Y2574" s="45"/>
      <c r="Z2574" s="45"/>
      <c r="AA2574" s="45"/>
      <c r="AB2574" s="45"/>
      <c r="AC2574" s="45"/>
    </row>
    <row r="2575" ht="15.75" customHeight="1">
      <c r="A2575" s="14" t="s">
        <v>17</v>
      </c>
      <c r="B2575" s="14">
        <v>1993.0</v>
      </c>
      <c r="C2575" s="14" t="s">
        <v>1470</v>
      </c>
      <c r="D2575" s="14" t="s">
        <v>1471</v>
      </c>
      <c r="E2575" s="150" t="s">
        <v>1472</v>
      </c>
      <c r="F2575" s="14">
        <v>158.0</v>
      </c>
      <c r="G2575" s="14">
        <v>165.0</v>
      </c>
      <c r="H2575" s="151"/>
      <c r="I2575" s="14" t="s">
        <v>28</v>
      </c>
      <c r="J2575" s="14" t="s">
        <v>41142</v>
      </c>
      <c r="K2575" s="14" t="s">
        <v>41143</v>
      </c>
      <c r="L2575" s="152" t="s">
        <v>1476</v>
      </c>
      <c r="M2575" s="14" t="s">
        <v>41144</v>
      </c>
      <c r="N2575" s="54" t="s">
        <v>41143</v>
      </c>
      <c r="O2575" s="130" t="s">
        <v>1477</v>
      </c>
      <c r="P2575" s="16"/>
      <c r="Q2575" s="14">
        <v>398864.0</v>
      </c>
      <c r="R2575" s="14"/>
      <c r="S2575" s="212" t="s">
        <v>41145</v>
      </c>
      <c r="T2575" s="45"/>
      <c r="U2575" s="45"/>
      <c r="V2575" s="45"/>
      <c r="W2575" s="45"/>
      <c r="X2575" s="45"/>
      <c r="Y2575" s="45"/>
      <c r="Z2575" s="45"/>
      <c r="AA2575" s="45"/>
      <c r="AB2575" s="45"/>
      <c r="AC2575" s="45"/>
    </row>
    <row r="2576" ht="15.75" customHeight="1">
      <c r="A2576" s="14" t="s">
        <v>17</v>
      </c>
      <c r="B2576" s="14">
        <v>1993.0</v>
      </c>
      <c r="C2576" s="14" t="s">
        <v>1615</v>
      </c>
      <c r="D2576" s="14" t="s">
        <v>1616</v>
      </c>
      <c r="E2576" s="150" t="s">
        <v>1617</v>
      </c>
      <c r="F2576" s="14">
        <v>362.0</v>
      </c>
      <c r="G2576" s="14">
        <v>365.0</v>
      </c>
      <c r="H2576" s="151"/>
      <c r="I2576" s="14" t="s">
        <v>28</v>
      </c>
      <c r="J2576" s="14" t="s">
        <v>41147</v>
      </c>
      <c r="K2576" s="14" t="s">
        <v>41148</v>
      </c>
      <c r="L2576" s="152" t="s">
        <v>1622</v>
      </c>
      <c r="M2576" s="14" t="s">
        <v>41149</v>
      </c>
      <c r="N2576" s="54" t="s">
        <v>41148</v>
      </c>
      <c r="O2576" s="130"/>
      <c r="P2576" s="16"/>
      <c r="Q2576" s="14">
        <v>398892.0</v>
      </c>
      <c r="R2576" s="14"/>
      <c r="S2576" s="212"/>
      <c r="T2576" s="45"/>
      <c r="U2576" s="45"/>
      <c r="V2576" s="45"/>
      <c r="W2576" s="45"/>
      <c r="X2576" s="45"/>
      <c r="Y2576" s="45"/>
      <c r="Z2576" s="45"/>
      <c r="AA2576" s="45"/>
      <c r="AB2576" s="45"/>
      <c r="AC2576" s="45"/>
    </row>
    <row r="2577" ht="15.75" customHeight="1">
      <c r="A2577" s="14" t="s">
        <v>17</v>
      </c>
      <c r="B2577" s="14">
        <v>1993.0</v>
      </c>
      <c r="C2577" s="14" t="s">
        <v>1603</v>
      </c>
      <c r="D2577" s="14" t="s">
        <v>1604</v>
      </c>
      <c r="E2577" s="150" t="s">
        <v>1605</v>
      </c>
      <c r="F2577" s="14">
        <v>316.0</v>
      </c>
      <c r="G2577" s="14">
        <v>323.0</v>
      </c>
      <c r="H2577" s="151"/>
      <c r="I2577" s="14" t="s">
        <v>28</v>
      </c>
      <c r="J2577" s="14" t="s">
        <v>41150</v>
      </c>
      <c r="K2577" s="14" t="s">
        <v>6525</v>
      </c>
      <c r="L2577" s="152" t="s">
        <v>1610</v>
      </c>
      <c r="M2577" s="14">
        <v>3.82302758E10</v>
      </c>
      <c r="N2577" s="54" t="s">
        <v>6525</v>
      </c>
      <c r="O2577" s="130" t="s">
        <v>544</v>
      </c>
      <c r="P2577" s="16"/>
      <c r="Q2577" s="14">
        <v>398884.0</v>
      </c>
      <c r="R2577" s="14"/>
      <c r="S2577" s="212">
        <v>175784.0</v>
      </c>
      <c r="T2577" s="45"/>
      <c r="U2577" s="45"/>
      <c r="V2577" s="45"/>
      <c r="W2577" s="45"/>
      <c r="X2577" s="45"/>
      <c r="Y2577" s="45"/>
      <c r="Z2577" s="45"/>
      <c r="AA2577" s="45"/>
      <c r="AB2577" s="45"/>
      <c r="AC2577" s="45"/>
    </row>
    <row r="2578" ht="15.75" customHeight="1">
      <c r="A2578" s="14" t="s">
        <v>17</v>
      </c>
      <c r="B2578" s="14">
        <v>1993.0</v>
      </c>
      <c r="C2578" s="14" t="s">
        <v>1623</v>
      </c>
      <c r="D2578" s="14" t="s">
        <v>1624</v>
      </c>
      <c r="E2578" s="150" t="s">
        <v>1625</v>
      </c>
      <c r="F2578" s="14">
        <v>366.0</v>
      </c>
      <c r="G2578" s="14">
        <v>369.0</v>
      </c>
      <c r="H2578" s="151"/>
      <c r="I2578" s="14" t="s">
        <v>28</v>
      </c>
      <c r="J2578" s="14" t="s">
        <v>41151</v>
      </c>
      <c r="K2578" s="14" t="s">
        <v>41152</v>
      </c>
      <c r="L2578" s="152" t="s">
        <v>1627</v>
      </c>
      <c r="M2578" s="14" t="s">
        <v>41153</v>
      </c>
      <c r="N2578" s="54" t="s">
        <v>41152</v>
      </c>
      <c r="O2578" s="130"/>
      <c r="P2578" s="16"/>
      <c r="Q2578" s="14">
        <v>398893.0</v>
      </c>
      <c r="R2578" s="14"/>
      <c r="S2578" s="212"/>
      <c r="T2578" s="45"/>
      <c r="U2578" s="45"/>
      <c r="V2578" s="45"/>
      <c r="W2578" s="45"/>
      <c r="X2578" s="45"/>
      <c r="Y2578" s="45"/>
      <c r="Z2578" s="45"/>
      <c r="AA2578" s="45"/>
      <c r="AB2578" s="45"/>
      <c r="AC2578" s="45"/>
    </row>
    <row r="2579" ht="15.75" customHeight="1">
      <c r="A2579" s="14" t="s">
        <v>17</v>
      </c>
      <c r="B2579" s="14">
        <v>1993.0</v>
      </c>
      <c r="C2579" s="14" t="s">
        <v>1665</v>
      </c>
      <c r="D2579" s="14" t="s">
        <v>1666</v>
      </c>
      <c r="E2579" s="150" t="s">
        <v>1667</v>
      </c>
      <c r="F2579" s="14">
        <v>391.0</v>
      </c>
      <c r="G2579" s="14">
        <v>396.0</v>
      </c>
      <c r="H2579" s="151"/>
      <c r="I2579" s="14" t="s">
        <v>28</v>
      </c>
      <c r="J2579" s="14" t="s">
        <v>41156</v>
      </c>
      <c r="K2579" s="14" t="s">
        <v>11091</v>
      </c>
      <c r="L2579" s="152" t="s">
        <v>1673</v>
      </c>
      <c r="M2579" s="14">
        <v>3.73721755E10</v>
      </c>
      <c r="N2579" s="54" t="s">
        <v>11091</v>
      </c>
      <c r="O2579" s="130" t="s">
        <v>1182</v>
      </c>
      <c r="P2579" s="16"/>
      <c r="Q2579" s="14">
        <v>398899.0</v>
      </c>
      <c r="R2579" s="14"/>
      <c r="S2579" s="212">
        <v>235219.0</v>
      </c>
      <c r="T2579" s="45"/>
      <c r="U2579" s="45"/>
      <c r="V2579" s="45"/>
      <c r="W2579" s="45"/>
      <c r="X2579" s="45"/>
      <c r="Y2579" s="45"/>
      <c r="Z2579" s="45"/>
      <c r="AA2579" s="45"/>
      <c r="AB2579" s="45"/>
      <c r="AC2579" s="45"/>
    </row>
    <row r="2580" ht="15.75" customHeight="1">
      <c r="A2580" s="14" t="s">
        <v>17</v>
      </c>
      <c r="B2580" s="14">
        <v>1993.0</v>
      </c>
      <c r="C2580" s="14" t="s">
        <v>1358</v>
      </c>
      <c r="D2580" s="14" t="s">
        <v>1359</v>
      </c>
      <c r="E2580" s="150" t="s">
        <v>1360</v>
      </c>
      <c r="F2580" s="14">
        <v>32.0</v>
      </c>
      <c r="G2580" s="14">
        <v>38.0</v>
      </c>
      <c r="H2580" s="151"/>
      <c r="I2580" s="14" t="s">
        <v>28</v>
      </c>
      <c r="J2580" s="14" t="s">
        <v>41160</v>
      </c>
      <c r="K2580" s="14" t="s">
        <v>8922</v>
      </c>
      <c r="L2580" s="152" t="s">
        <v>1110</v>
      </c>
      <c r="M2580" s="14">
        <v>3.73569155E10</v>
      </c>
      <c r="N2580" s="54" t="s">
        <v>8922</v>
      </c>
      <c r="O2580" s="130" t="s">
        <v>1365</v>
      </c>
      <c r="P2580" s="16"/>
      <c r="Q2580" s="14">
        <v>398848.0</v>
      </c>
      <c r="R2580" s="14"/>
      <c r="S2580" s="212" t="s">
        <v>41161</v>
      </c>
      <c r="T2580" s="45"/>
      <c r="U2580" s="45"/>
      <c r="V2580" s="45"/>
      <c r="W2580" s="45"/>
      <c r="X2580" s="45"/>
      <c r="Y2580" s="45"/>
      <c r="Z2580" s="45"/>
      <c r="AA2580" s="45"/>
      <c r="AB2580" s="45"/>
      <c r="AC2580" s="45"/>
    </row>
    <row r="2581" ht="15.75" customHeight="1">
      <c r="A2581" s="14" t="s">
        <v>17</v>
      </c>
      <c r="B2581" s="14">
        <v>1993.0</v>
      </c>
      <c r="C2581" s="14" t="s">
        <v>1374</v>
      </c>
      <c r="D2581" s="14" t="s">
        <v>1375</v>
      </c>
      <c r="E2581" s="150" t="s">
        <v>1376</v>
      </c>
      <c r="F2581" s="14">
        <v>46.0</v>
      </c>
      <c r="G2581" s="14">
        <v>52.0</v>
      </c>
      <c r="H2581" s="151"/>
      <c r="I2581" s="14" t="s">
        <v>28</v>
      </c>
      <c r="J2581" s="14" t="s">
        <v>41162</v>
      </c>
      <c r="K2581" s="14" t="s">
        <v>41163</v>
      </c>
      <c r="L2581" s="152" t="s">
        <v>1372</v>
      </c>
      <c r="M2581" s="14" t="s">
        <v>41164</v>
      </c>
      <c r="N2581" s="54" t="s">
        <v>41163</v>
      </c>
      <c r="O2581" s="130"/>
      <c r="P2581" s="16"/>
      <c r="Q2581" s="14">
        <v>398850.0</v>
      </c>
      <c r="R2581" s="14"/>
      <c r="S2581" s="212"/>
      <c r="T2581" s="45"/>
      <c r="U2581" s="45"/>
      <c r="V2581" s="45"/>
      <c r="W2581" s="45"/>
      <c r="X2581" s="45"/>
      <c r="Y2581" s="45"/>
      <c r="Z2581" s="45"/>
      <c r="AA2581" s="45"/>
      <c r="AB2581" s="45"/>
      <c r="AC2581" s="45"/>
    </row>
    <row r="2582" ht="15.75" customHeight="1">
      <c r="A2582" s="14" t="s">
        <v>17</v>
      </c>
      <c r="B2582" s="14">
        <v>1993.0</v>
      </c>
      <c r="C2582" s="14" t="s">
        <v>1644</v>
      </c>
      <c r="D2582" s="14" t="s">
        <v>1645</v>
      </c>
      <c r="E2582" s="150" t="s">
        <v>1646</v>
      </c>
      <c r="F2582" s="14">
        <v>406.0</v>
      </c>
      <c r="G2582" s="14">
        <v>409.0</v>
      </c>
      <c r="H2582" s="151"/>
      <c r="I2582" s="14" t="s">
        <v>28</v>
      </c>
      <c r="J2582" s="14" t="s">
        <v>41167</v>
      </c>
      <c r="K2582" s="14" t="s">
        <v>41168</v>
      </c>
      <c r="L2582" s="152" t="s">
        <v>1651</v>
      </c>
      <c r="M2582" s="14" t="s">
        <v>41169</v>
      </c>
      <c r="N2582" s="54" t="s">
        <v>41168</v>
      </c>
      <c r="O2582" s="130" t="s">
        <v>470</v>
      </c>
      <c r="P2582" s="16"/>
      <c r="Q2582" s="14">
        <v>398896.0</v>
      </c>
      <c r="R2582" s="14"/>
      <c r="S2582" s="212">
        <v>175771.0</v>
      </c>
      <c r="T2582" s="45"/>
      <c r="U2582" s="45"/>
      <c r="V2582" s="45"/>
      <c r="W2582" s="45"/>
      <c r="X2582" s="45"/>
      <c r="Y2582" s="45"/>
      <c r="Z2582" s="45"/>
      <c r="AA2582" s="45"/>
      <c r="AB2582" s="45"/>
      <c r="AC2582" s="45"/>
    </row>
    <row r="2583" ht="15.75" customHeight="1">
      <c r="A2583" s="14" t="s">
        <v>17</v>
      </c>
      <c r="B2583" s="14">
        <v>1993.0</v>
      </c>
      <c r="C2583" s="14" t="s">
        <v>1399</v>
      </c>
      <c r="D2583" s="14" t="s">
        <v>1400</v>
      </c>
      <c r="E2583" s="150" t="s">
        <v>1401</v>
      </c>
      <c r="F2583" s="14">
        <v>78.0</v>
      </c>
      <c r="G2583" s="14">
        <v>84.0</v>
      </c>
      <c r="H2583" s="151"/>
      <c r="I2583" s="14" t="s">
        <v>28</v>
      </c>
      <c r="J2583" s="14" t="s">
        <v>41170</v>
      </c>
      <c r="K2583" s="14" t="s">
        <v>41171</v>
      </c>
      <c r="L2583" s="152" t="s">
        <v>66</v>
      </c>
      <c r="M2583" s="14" t="s">
        <v>41172</v>
      </c>
      <c r="N2583" s="54" t="s">
        <v>41173</v>
      </c>
      <c r="O2583" s="130" t="s">
        <v>1067</v>
      </c>
      <c r="P2583" s="153" t="s">
        <v>1406</v>
      </c>
      <c r="Q2583" s="14">
        <v>398854.0</v>
      </c>
      <c r="R2583" s="14"/>
      <c r="S2583" s="212">
        <v>235190.0</v>
      </c>
      <c r="T2583" s="45"/>
      <c r="U2583" s="45"/>
      <c r="V2583" s="45"/>
      <c r="W2583" s="45"/>
      <c r="X2583" s="45"/>
      <c r="Y2583" s="45"/>
      <c r="Z2583" s="45"/>
      <c r="AA2583" s="45"/>
      <c r="AB2583" s="45"/>
      <c r="AC2583" s="45"/>
    </row>
    <row r="2584" ht="15.75" customHeight="1">
      <c r="A2584" s="14" t="s">
        <v>17</v>
      </c>
      <c r="B2584" s="14">
        <v>1992.0</v>
      </c>
      <c r="C2584" s="14" t="s">
        <v>1293</v>
      </c>
      <c r="D2584" s="14" t="s">
        <v>1294</v>
      </c>
      <c r="E2584" s="150" t="s">
        <v>1295</v>
      </c>
      <c r="F2584" s="14">
        <v>62.0</v>
      </c>
      <c r="G2584" s="14">
        <v>68.0</v>
      </c>
      <c r="H2584" s="151"/>
      <c r="I2584" s="14" t="s">
        <v>28</v>
      </c>
      <c r="J2584" s="14" t="s">
        <v>41174</v>
      </c>
      <c r="K2584" s="14" t="s">
        <v>41175</v>
      </c>
      <c r="L2584" s="152" t="s">
        <v>1300</v>
      </c>
      <c r="M2584" s="14" t="s">
        <v>41176</v>
      </c>
      <c r="N2584" s="54" t="s">
        <v>41177</v>
      </c>
      <c r="O2584" s="130"/>
      <c r="P2584" s="16"/>
      <c r="Q2584" s="14">
        <v>235225.0</v>
      </c>
      <c r="R2584" s="14"/>
      <c r="S2584" s="212"/>
      <c r="T2584" s="30"/>
      <c r="U2584" s="30"/>
      <c r="V2584" s="30"/>
      <c r="W2584" s="30"/>
      <c r="X2584" s="30"/>
      <c r="Y2584" s="30"/>
      <c r="Z2584" s="30"/>
      <c r="AA2584" s="30"/>
      <c r="AB2584" s="30"/>
      <c r="AC2584" s="30"/>
    </row>
    <row r="2585" ht="15.75" customHeight="1">
      <c r="A2585" s="14" t="s">
        <v>17</v>
      </c>
      <c r="B2585" s="14">
        <v>1992.0</v>
      </c>
      <c r="C2585" s="14" t="s">
        <v>1147</v>
      </c>
      <c r="D2585" s="14" t="s">
        <v>1148</v>
      </c>
      <c r="E2585" s="150" t="s">
        <v>1149</v>
      </c>
      <c r="F2585" s="14">
        <v>235.0</v>
      </c>
      <c r="G2585" s="14">
        <v>242.0</v>
      </c>
      <c r="H2585" s="151"/>
      <c r="I2585" s="14" t="s">
        <v>28</v>
      </c>
      <c r="J2585" s="14" t="s">
        <v>41180</v>
      </c>
      <c r="K2585" s="14" t="s">
        <v>41181</v>
      </c>
      <c r="L2585" s="152" t="s">
        <v>1153</v>
      </c>
      <c r="M2585" s="14" t="s">
        <v>41182</v>
      </c>
      <c r="N2585" s="54" t="s">
        <v>41183</v>
      </c>
      <c r="O2585" s="130" t="s">
        <v>355</v>
      </c>
      <c r="P2585" s="16"/>
      <c r="Q2585" s="14">
        <v>235203.0</v>
      </c>
      <c r="R2585" s="14"/>
      <c r="S2585" s="212">
        <v>146399.0</v>
      </c>
      <c r="T2585" s="30"/>
      <c r="U2585" s="30"/>
      <c r="V2585" s="30"/>
      <c r="W2585" s="30"/>
      <c r="X2585" s="30"/>
      <c r="Y2585" s="30"/>
      <c r="Z2585" s="30"/>
      <c r="AA2585" s="30"/>
      <c r="AB2585" s="30"/>
      <c r="AC2585" s="30"/>
    </row>
    <row r="2586" ht="15.75" customHeight="1">
      <c r="A2586" s="14" t="s">
        <v>17</v>
      </c>
      <c r="B2586" s="14">
        <v>1992.0</v>
      </c>
      <c r="C2586" s="14" t="s">
        <v>1154</v>
      </c>
      <c r="D2586" s="14" t="s">
        <v>1155</v>
      </c>
      <c r="E2586" s="150" t="s">
        <v>1156</v>
      </c>
      <c r="F2586" s="14">
        <v>227.0</v>
      </c>
      <c r="G2586" s="14">
        <v>234.0</v>
      </c>
      <c r="H2586" s="151"/>
      <c r="I2586" s="14" t="s">
        <v>28</v>
      </c>
      <c r="J2586" s="14" t="s">
        <v>41185</v>
      </c>
      <c r="K2586" s="14" t="s">
        <v>9143</v>
      </c>
      <c r="L2586" s="152" t="s">
        <v>1158</v>
      </c>
      <c r="M2586" s="14">
        <v>3.73885932E10</v>
      </c>
      <c r="N2586" s="54" t="s">
        <v>9143</v>
      </c>
      <c r="O2586" s="130" t="s">
        <v>1159</v>
      </c>
      <c r="P2586" s="16"/>
      <c r="Q2586" s="14">
        <v>235204.0</v>
      </c>
      <c r="R2586" s="14"/>
      <c r="S2586" s="212" t="s">
        <v>41054</v>
      </c>
      <c r="T2586" s="30"/>
      <c r="U2586" s="30"/>
      <c r="V2586" s="30"/>
      <c r="W2586" s="30"/>
      <c r="X2586" s="30"/>
      <c r="Y2586" s="30"/>
      <c r="Z2586" s="30"/>
      <c r="AA2586" s="30"/>
      <c r="AB2586" s="30"/>
      <c r="AC2586" s="30"/>
    </row>
    <row r="2587" ht="15.75" customHeight="1">
      <c r="A2587" s="14" t="s">
        <v>17</v>
      </c>
      <c r="B2587" s="14">
        <v>1992.0</v>
      </c>
      <c r="C2587" s="14" t="s">
        <v>1066</v>
      </c>
      <c r="D2587" s="14" t="s">
        <v>1067</v>
      </c>
      <c r="E2587" s="150" t="s">
        <v>1068</v>
      </c>
      <c r="F2587" s="14">
        <v>340.0</v>
      </c>
      <c r="G2587" s="14">
        <v>348.0</v>
      </c>
      <c r="H2587" s="151"/>
      <c r="I2587" s="14" t="s">
        <v>28</v>
      </c>
      <c r="J2587" s="14" t="s">
        <v>41187</v>
      </c>
      <c r="K2587" s="14" t="s">
        <v>41188</v>
      </c>
      <c r="L2587" s="152" t="s">
        <v>1073</v>
      </c>
      <c r="M2587" s="14" t="s">
        <v>41189</v>
      </c>
      <c r="N2587" s="54" t="s">
        <v>41188</v>
      </c>
      <c r="O2587" s="130"/>
      <c r="P2587" s="16"/>
      <c r="Q2587" s="14">
        <v>235190.0</v>
      </c>
      <c r="R2587" s="14"/>
      <c r="S2587" s="212"/>
      <c r="T2587" s="30"/>
      <c r="U2587" s="30"/>
      <c r="V2587" s="30"/>
      <c r="W2587" s="30"/>
      <c r="X2587" s="30"/>
      <c r="Y2587" s="30"/>
      <c r="Z2587" s="30"/>
      <c r="AA2587" s="30"/>
      <c r="AB2587" s="30"/>
      <c r="AC2587" s="30"/>
    </row>
    <row r="2588" ht="15.75" customHeight="1">
      <c r="A2588" s="14" t="s">
        <v>17</v>
      </c>
      <c r="B2588" s="14">
        <v>1992.0</v>
      </c>
      <c r="C2588" s="14" t="s">
        <v>1254</v>
      </c>
      <c r="D2588" s="14" t="s">
        <v>1182</v>
      </c>
      <c r="E2588" s="150" t="s">
        <v>1255</v>
      </c>
      <c r="F2588" s="14">
        <v>107.0</v>
      </c>
      <c r="G2588" s="14">
        <v>114.0</v>
      </c>
      <c r="H2588" s="151"/>
      <c r="I2588" s="14" t="s">
        <v>28</v>
      </c>
      <c r="J2588" s="14" t="s">
        <v>41191</v>
      </c>
      <c r="K2588" s="14" t="s">
        <v>41192</v>
      </c>
      <c r="L2588" s="152" t="s">
        <v>1257</v>
      </c>
      <c r="M2588" s="14" t="s">
        <v>41193</v>
      </c>
      <c r="N2588" s="54" t="s">
        <v>41194</v>
      </c>
      <c r="O2588" s="130" t="s">
        <v>1258</v>
      </c>
      <c r="P2588" s="16"/>
      <c r="Q2588" s="14">
        <v>235219.0</v>
      </c>
      <c r="R2588" s="14"/>
      <c r="S2588" s="212" t="s">
        <v>41195</v>
      </c>
      <c r="T2588" s="30"/>
      <c r="U2588" s="30"/>
      <c r="V2588" s="30"/>
      <c r="W2588" s="30"/>
      <c r="X2588" s="30"/>
      <c r="Y2588" s="30"/>
      <c r="Z2588" s="30"/>
      <c r="AA2588" s="30"/>
      <c r="AB2588" s="30"/>
      <c r="AC2588" s="30"/>
    </row>
    <row r="2589" ht="15.75" customHeight="1">
      <c r="A2589" s="14" t="s">
        <v>17</v>
      </c>
      <c r="B2589" s="14">
        <v>1992.0</v>
      </c>
      <c r="C2589" s="14" t="s">
        <v>1233</v>
      </c>
      <c r="D2589" s="14" t="s">
        <v>1234</v>
      </c>
      <c r="E2589" s="150" t="s">
        <v>1235</v>
      </c>
      <c r="F2589" s="14">
        <v>132.0</v>
      </c>
      <c r="G2589" s="14">
        <v>138.0</v>
      </c>
      <c r="H2589" s="151"/>
      <c r="I2589" s="14" t="s">
        <v>28</v>
      </c>
      <c r="J2589" s="14" t="s">
        <v>41197</v>
      </c>
      <c r="K2589" s="14" t="s">
        <v>35791</v>
      </c>
      <c r="L2589" s="152" t="s">
        <v>1240</v>
      </c>
      <c r="M2589" s="14" t="s">
        <v>41198</v>
      </c>
      <c r="N2589" s="54" t="s">
        <v>35791</v>
      </c>
      <c r="O2589" s="130"/>
      <c r="P2589" s="153" t="s">
        <v>1241</v>
      </c>
      <c r="Q2589" s="14">
        <v>235216.0</v>
      </c>
      <c r="R2589" s="14"/>
      <c r="S2589" s="212"/>
      <c r="T2589" s="30"/>
      <c r="U2589" s="30"/>
      <c r="V2589" s="30"/>
      <c r="W2589" s="30"/>
      <c r="X2589" s="30"/>
      <c r="Y2589" s="30"/>
      <c r="Z2589" s="30"/>
      <c r="AA2589" s="30"/>
      <c r="AB2589" s="30"/>
      <c r="AC2589" s="30"/>
    </row>
    <row r="2590" ht="15.75" customHeight="1">
      <c r="A2590" s="14" t="s">
        <v>17</v>
      </c>
      <c r="B2590" s="14">
        <v>1992.0</v>
      </c>
      <c r="C2590" s="14" t="s">
        <v>1247</v>
      </c>
      <c r="D2590" s="14" t="s">
        <v>1248</v>
      </c>
      <c r="E2590" s="150" t="s">
        <v>1249</v>
      </c>
      <c r="F2590" s="14">
        <v>115.0</v>
      </c>
      <c r="G2590" s="14">
        <v>122.0</v>
      </c>
      <c r="H2590" s="151"/>
      <c r="I2590" s="14" t="s">
        <v>28</v>
      </c>
      <c r="J2590" s="14" t="s">
        <v>41199</v>
      </c>
      <c r="K2590" s="14" t="s">
        <v>41200</v>
      </c>
      <c r="L2590" s="152" t="s">
        <v>1253</v>
      </c>
      <c r="M2590" s="14" t="s">
        <v>41201</v>
      </c>
      <c r="N2590" s="54" t="s">
        <v>41200</v>
      </c>
      <c r="O2590" s="130"/>
      <c r="P2590" s="16"/>
      <c r="Q2590" s="14">
        <v>235218.0</v>
      </c>
      <c r="R2590" s="14"/>
      <c r="S2590" s="212"/>
      <c r="T2590" s="30"/>
      <c r="U2590" s="30"/>
      <c r="V2590" s="30"/>
      <c r="W2590" s="30"/>
      <c r="X2590" s="30"/>
      <c r="Y2590" s="30"/>
      <c r="Z2590" s="30"/>
      <c r="AA2590" s="30"/>
      <c r="AB2590" s="30"/>
      <c r="AC2590" s="30"/>
    </row>
    <row r="2591" ht="15.75" customHeight="1">
      <c r="A2591" s="14" t="s">
        <v>17</v>
      </c>
      <c r="B2591" s="14">
        <v>1992.0</v>
      </c>
      <c r="C2591" s="14" t="s">
        <v>1327</v>
      </c>
      <c r="D2591" s="14" t="s">
        <v>1328</v>
      </c>
      <c r="E2591" s="150" t="s">
        <v>1329</v>
      </c>
      <c r="F2591" s="14">
        <v>21.0</v>
      </c>
      <c r="G2591" s="14">
        <v>28.0</v>
      </c>
      <c r="H2591" s="151"/>
      <c r="I2591" s="14" t="s">
        <v>28</v>
      </c>
      <c r="J2591" s="14" t="s">
        <v>41202</v>
      </c>
      <c r="K2591" s="14" t="s">
        <v>9551</v>
      </c>
      <c r="L2591" s="152" t="s">
        <v>1332</v>
      </c>
      <c r="M2591" s="14">
        <v>3.73782398E10</v>
      </c>
      <c r="N2591" s="54" t="s">
        <v>9551</v>
      </c>
      <c r="O2591" s="130"/>
      <c r="P2591" s="16"/>
      <c r="Q2591" s="14">
        <v>235230.0</v>
      </c>
      <c r="R2591" s="14"/>
      <c r="S2591" s="212"/>
      <c r="T2591" s="30"/>
      <c r="U2591" s="30"/>
      <c r="V2591" s="30"/>
      <c r="W2591" s="30"/>
      <c r="X2591" s="30"/>
      <c r="Y2591" s="30"/>
      <c r="Z2591" s="30"/>
      <c r="AA2591" s="30"/>
      <c r="AB2591" s="30"/>
      <c r="AC2591" s="30"/>
    </row>
    <row r="2592" ht="15.75" customHeight="1">
      <c r="A2592" s="14" t="s">
        <v>17</v>
      </c>
      <c r="B2592" s="14">
        <v>1992.0</v>
      </c>
      <c r="C2592" s="14" t="s">
        <v>1111</v>
      </c>
      <c r="D2592" s="14" t="s">
        <v>1112</v>
      </c>
      <c r="E2592" s="150" t="s">
        <v>1113</v>
      </c>
      <c r="F2592" s="14">
        <v>283.0</v>
      </c>
      <c r="G2592" s="14">
        <v>290.0</v>
      </c>
      <c r="H2592" s="151"/>
      <c r="I2592" s="14" t="s">
        <v>28</v>
      </c>
      <c r="J2592" s="14" t="s">
        <v>41204</v>
      </c>
      <c r="K2592" s="14" t="s">
        <v>41205</v>
      </c>
      <c r="L2592" s="152" t="s">
        <v>1118</v>
      </c>
      <c r="M2592" s="14" t="s">
        <v>41206</v>
      </c>
      <c r="N2592" s="54" t="s">
        <v>41205</v>
      </c>
      <c r="O2592" s="130" t="s">
        <v>830</v>
      </c>
      <c r="P2592" s="16"/>
      <c r="Q2592" s="14">
        <v>235197.0</v>
      </c>
      <c r="R2592" s="14"/>
      <c r="S2592" s="212">
        <v>175819.0</v>
      </c>
      <c r="T2592" s="30"/>
      <c r="U2592" s="30"/>
      <c r="V2592" s="30"/>
      <c r="W2592" s="30"/>
      <c r="X2592" s="30"/>
      <c r="Y2592" s="30"/>
      <c r="Z2592" s="30"/>
      <c r="AA2592" s="30"/>
      <c r="AB2592" s="30"/>
      <c r="AC2592" s="30"/>
    </row>
    <row r="2593" ht="15.75" customHeight="1">
      <c r="A2593" s="14" t="s">
        <v>17</v>
      </c>
      <c r="B2593" s="14">
        <v>1992.0</v>
      </c>
      <c r="C2593" s="14" t="s">
        <v>958</v>
      </c>
      <c r="D2593" s="14" t="s">
        <v>959</v>
      </c>
      <c r="E2593" s="150" t="s">
        <v>960</v>
      </c>
      <c r="F2593" s="14">
        <v>436.0</v>
      </c>
      <c r="G2593" s="14">
        <v>440.0</v>
      </c>
      <c r="H2593" s="151"/>
      <c r="I2593" s="14" t="s">
        <v>28</v>
      </c>
      <c r="J2593" s="14" t="s">
        <v>41207</v>
      </c>
      <c r="K2593" s="14" t="s">
        <v>41208</v>
      </c>
      <c r="L2593" s="152" t="s">
        <v>965</v>
      </c>
      <c r="M2593" s="14" t="s">
        <v>41209</v>
      </c>
      <c r="N2593" s="54" t="s">
        <v>41208</v>
      </c>
      <c r="O2593" s="130" t="s">
        <v>966</v>
      </c>
      <c r="P2593" s="16"/>
      <c r="Q2593" s="14">
        <v>235174.0</v>
      </c>
      <c r="R2593" s="14"/>
      <c r="S2593" s="212" t="s">
        <v>41210</v>
      </c>
      <c r="T2593" s="30"/>
      <c r="U2593" s="30"/>
      <c r="V2593" s="30"/>
      <c r="W2593" s="30"/>
      <c r="X2593" s="30"/>
      <c r="Y2593" s="30"/>
      <c r="Z2593" s="30"/>
      <c r="AA2593" s="30"/>
      <c r="AB2593" s="30"/>
      <c r="AC2593" s="30"/>
    </row>
    <row r="2594" ht="15.75" customHeight="1">
      <c r="A2594" s="14" t="s">
        <v>17</v>
      </c>
      <c r="B2594" s="14">
        <v>1992.0</v>
      </c>
      <c r="C2594" s="14" t="s">
        <v>1134</v>
      </c>
      <c r="D2594" s="14" t="s">
        <v>1135</v>
      </c>
      <c r="E2594" s="150" t="s">
        <v>1136</v>
      </c>
      <c r="F2594" s="14">
        <v>252.0</v>
      </c>
      <c r="G2594" s="14">
        <v>259.0</v>
      </c>
      <c r="H2594" s="151"/>
      <c r="I2594" s="14" t="s">
        <v>28</v>
      </c>
      <c r="J2594" s="14" t="s">
        <v>41212</v>
      </c>
      <c r="K2594" s="14" t="s">
        <v>10135</v>
      </c>
      <c r="L2594" s="152" t="s">
        <v>1138</v>
      </c>
      <c r="M2594" s="14">
        <v>3.7282292E10</v>
      </c>
      <c r="N2594" s="54" t="s">
        <v>10135</v>
      </c>
      <c r="O2594" s="130" t="s">
        <v>208</v>
      </c>
      <c r="P2594" s="16"/>
      <c r="Q2594" s="14">
        <v>235201.0</v>
      </c>
      <c r="R2594" s="14"/>
      <c r="S2594" s="212">
        <v>146383.0</v>
      </c>
      <c r="T2594" s="30"/>
      <c r="U2594" s="30"/>
      <c r="V2594" s="30"/>
      <c r="W2594" s="30"/>
      <c r="X2594" s="30"/>
      <c r="Y2594" s="30"/>
      <c r="Z2594" s="30"/>
      <c r="AA2594" s="30"/>
      <c r="AB2594" s="30"/>
      <c r="AC2594" s="30"/>
    </row>
    <row r="2595" ht="15.75" customHeight="1">
      <c r="A2595" s="14" t="s">
        <v>17</v>
      </c>
      <c r="B2595" s="14">
        <v>1992.0</v>
      </c>
      <c r="C2595" s="14" t="s">
        <v>1204</v>
      </c>
      <c r="D2595" s="14" t="s">
        <v>1205</v>
      </c>
      <c r="E2595" s="150" t="s">
        <v>1206</v>
      </c>
      <c r="F2595" s="14">
        <v>171.0</v>
      </c>
      <c r="G2595" s="14">
        <v>178.0</v>
      </c>
      <c r="H2595" s="151"/>
      <c r="I2595" s="14" t="s">
        <v>28</v>
      </c>
      <c r="J2595" s="14" t="s">
        <v>41213</v>
      </c>
      <c r="K2595" s="14" t="s">
        <v>8323</v>
      </c>
      <c r="L2595" s="152" t="s">
        <v>1110</v>
      </c>
      <c r="M2595" s="14">
        <v>3.73784177E10</v>
      </c>
      <c r="N2595" s="54" t="s">
        <v>8323</v>
      </c>
      <c r="O2595" s="130" t="s">
        <v>1208</v>
      </c>
      <c r="P2595" s="16"/>
      <c r="Q2595" s="14">
        <v>235211.0</v>
      </c>
      <c r="R2595" s="14"/>
      <c r="S2595" s="212" t="s">
        <v>41214</v>
      </c>
      <c r="T2595" s="30"/>
      <c r="U2595" s="30"/>
      <c r="V2595" s="30"/>
      <c r="W2595" s="30"/>
      <c r="X2595" s="30"/>
      <c r="Y2595" s="30"/>
      <c r="Z2595" s="30"/>
      <c r="AA2595" s="30"/>
      <c r="AB2595" s="30"/>
      <c r="AC2595" s="30"/>
    </row>
    <row r="2596" ht="15.75" customHeight="1">
      <c r="A2596" s="14" t="s">
        <v>17</v>
      </c>
      <c r="B2596" s="14">
        <v>1992.0</v>
      </c>
      <c r="C2596" s="14" t="s">
        <v>1259</v>
      </c>
      <c r="D2596" s="14" t="s">
        <v>1260</v>
      </c>
      <c r="E2596" s="150" t="s">
        <v>1261</v>
      </c>
      <c r="F2596" s="14">
        <v>99.0</v>
      </c>
      <c r="G2596" s="14">
        <v>106.0</v>
      </c>
      <c r="H2596" s="151"/>
      <c r="I2596" s="14" t="s">
        <v>28</v>
      </c>
      <c r="J2596" s="14" t="s">
        <v>41216</v>
      </c>
      <c r="K2596" s="14" t="s">
        <v>41217</v>
      </c>
      <c r="L2596" s="152" t="s">
        <v>494</v>
      </c>
      <c r="M2596" s="14" t="s">
        <v>41218</v>
      </c>
      <c r="N2596" s="54" t="s">
        <v>41217</v>
      </c>
      <c r="O2596" s="130"/>
      <c r="P2596" s="16"/>
      <c r="Q2596" s="14">
        <v>235220.0</v>
      </c>
      <c r="R2596" s="14"/>
      <c r="S2596" s="212"/>
      <c r="T2596" s="30"/>
      <c r="U2596" s="30"/>
      <c r="V2596" s="30"/>
      <c r="W2596" s="30"/>
      <c r="X2596" s="30"/>
      <c r="Y2596" s="30"/>
      <c r="Z2596" s="30"/>
      <c r="AA2596" s="30"/>
      <c r="AB2596" s="30"/>
      <c r="AC2596" s="30"/>
    </row>
    <row r="2597" ht="15.75" customHeight="1">
      <c r="A2597" s="14" t="s">
        <v>17</v>
      </c>
      <c r="B2597" s="14">
        <v>1992.0</v>
      </c>
      <c r="C2597" s="14" t="s">
        <v>1229</v>
      </c>
      <c r="D2597" s="14" t="s">
        <v>972</v>
      </c>
      <c r="E2597" s="150" t="s">
        <v>1230</v>
      </c>
      <c r="F2597" s="14">
        <v>139.0</v>
      </c>
      <c r="G2597" s="14">
        <v>146.0</v>
      </c>
      <c r="H2597" s="151"/>
      <c r="I2597" s="14" t="s">
        <v>28</v>
      </c>
      <c r="J2597" s="14" t="s">
        <v>41220</v>
      </c>
      <c r="K2597" s="14" t="s">
        <v>40743</v>
      </c>
      <c r="L2597" s="152" t="s">
        <v>1232</v>
      </c>
      <c r="M2597" s="14" t="s">
        <v>40742</v>
      </c>
      <c r="N2597" s="54" t="s">
        <v>40743</v>
      </c>
      <c r="O2597" s="130"/>
      <c r="P2597" s="16"/>
      <c r="Q2597" s="14">
        <v>235215.0</v>
      </c>
      <c r="R2597" s="14"/>
      <c r="S2597" s="212"/>
      <c r="T2597" s="30"/>
      <c r="U2597" s="30"/>
      <c r="V2597" s="30"/>
      <c r="W2597" s="30"/>
      <c r="X2597" s="30"/>
      <c r="Y2597" s="30"/>
      <c r="Z2597" s="30"/>
      <c r="AA2597" s="30"/>
      <c r="AB2597" s="30"/>
      <c r="AC2597" s="30"/>
    </row>
    <row r="2598" ht="15.75" customHeight="1">
      <c r="A2598" s="14" t="s">
        <v>17</v>
      </c>
      <c r="B2598" s="14">
        <v>1992.0</v>
      </c>
      <c r="C2598" s="14" t="s">
        <v>1209</v>
      </c>
      <c r="D2598" s="14" t="s">
        <v>1210</v>
      </c>
      <c r="E2598" s="150" t="s">
        <v>1212</v>
      </c>
      <c r="F2598" s="14">
        <v>164.0</v>
      </c>
      <c r="G2598" s="14">
        <v>170.0</v>
      </c>
      <c r="H2598" s="151"/>
      <c r="I2598" s="14" t="s">
        <v>28</v>
      </c>
      <c r="J2598" s="14" t="s">
        <v>41222</v>
      </c>
      <c r="K2598" s="14" t="s">
        <v>41223</v>
      </c>
      <c r="L2598" s="152" t="s">
        <v>1216</v>
      </c>
      <c r="M2598" s="14" t="s">
        <v>41224</v>
      </c>
      <c r="N2598" s="54" t="s">
        <v>41225</v>
      </c>
      <c r="O2598" s="130"/>
      <c r="P2598" s="16"/>
      <c r="Q2598" s="14">
        <v>235212.0</v>
      </c>
      <c r="R2598" s="14"/>
      <c r="S2598" s="212"/>
      <c r="T2598" s="30"/>
      <c r="U2598" s="30"/>
      <c r="V2598" s="30"/>
      <c r="W2598" s="30"/>
      <c r="X2598" s="30"/>
      <c r="Y2598" s="30"/>
      <c r="Z2598" s="30"/>
      <c r="AA2598" s="30"/>
      <c r="AB2598" s="30"/>
      <c r="AC2598" s="30"/>
    </row>
    <row r="2599" ht="15.75" customHeight="1">
      <c r="A2599" s="14" t="s">
        <v>17</v>
      </c>
      <c r="B2599" s="14">
        <v>1992.0</v>
      </c>
      <c r="C2599" s="14" t="s">
        <v>1272</v>
      </c>
      <c r="D2599" s="14" t="s">
        <v>1273</v>
      </c>
      <c r="E2599" s="150" t="s">
        <v>1274</v>
      </c>
      <c r="F2599" s="14">
        <v>84.0</v>
      </c>
      <c r="G2599" s="14">
        <v>91.0</v>
      </c>
      <c r="H2599" s="151"/>
      <c r="I2599" s="14" t="s">
        <v>28</v>
      </c>
      <c r="J2599" s="14" t="s">
        <v>41226</v>
      </c>
      <c r="K2599" s="14" t="s">
        <v>41227</v>
      </c>
      <c r="L2599" s="152" t="s">
        <v>1278</v>
      </c>
      <c r="M2599" s="14" t="s">
        <v>41228</v>
      </c>
      <c r="N2599" s="54" t="s">
        <v>41227</v>
      </c>
      <c r="O2599" s="130" t="s">
        <v>1279</v>
      </c>
      <c r="P2599" s="16"/>
      <c r="Q2599" s="14">
        <v>235222.0</v>
      </c>
      <c r="R2599" s="14"/>
      <c r="S2599" s="212" t="s">
        <v>41229</v>
      </c>
      <c r="T2599" s="30"/>
      <c r="U2599" s="30"/>
      <c r="V2599" s="30"/>
      <c r="W2599" s="30"/>
      <c r="X2599" s="30"/>
      <c r="Y2599" s="30"/>
      <c r="Z2599" s="30"/>
      <c r="AA2599" s="30"/>
      <c r="AB2599" s="30"/>
      <c r="AC2599" s="30"/>
    </row>
    <row r="2600" ht="15.75" customHeight="1">
      <c r="A2600" s="14" t="s">
        <v>17</v>
      </c>
      <c r="B2600" s="14">
        <v>1992.0</v>
      </c>
      <c r="C2600" s="14" t="s">
        <v>1288</v>
      </c>
      <c r="D2600" s="14" t="s">
        <v>1289</v>
      </c>
      <c r="E2600" s="150" t="s">
        <v>1290</v>
      </c>
      <c r="F2600" s="14">
        <v>70.0</v>
      </c>
      <c r="G2600" s="14">
        <v>76.0</v>
      </c>
      <c r="H2600" s="151"/>
      <c r="I2600" s="14" t="s">
        <v>28</v>
      </c>
      <c r="J2600" s="14" t="s">
        <v>41230</v>
      </c>
      <c r="K2600" s="14" t="s">
        <v>41231</v>
      </c>
      <c r="L2600" s="152" t="s">
        <v>1292</v>
      </c>
      <c r="M2600" s="14" t="s">
        <v>41232</v>
      </c>
      <c r="N2600" s="54" t="s">
        <v>41231</v>
      </c>
      <c r="O2600" s="130"/>
      <c r="P2600" s="16"/>
      <c r="Q2600" s="14">
        <v>235224.0</v>
      </c>
      <c r="R2600" s="14"/>
      <c r="S2600" s="212"/>
      <c r="T2600" s="30"/>
      <c r="U2600" s="30"/>
      <c r="V2600" s="30"/>
      <c r="W2600" s="30"/>
      <c r="X2600" s="30"/>
      <c r="Y2600" s="30"/>
      <c r="Z2600" s="30"/>
      <c r="AA2600" s="30"/>
      <c r="AB2600" s="30"/>
      <c r="AC2600" s="30"/>
    </row>
    <row r="2601" ht="15.75" customHeight="1">
      <c r="A2601" s="14" t="s">
        <v>17</v>
      </c>
      <c r="B2601" s="14">
        <v>1992.0</v>
      </c>
      <c r="C2601" s="14" t="s">
        <v>1042</v>
      </c>
      <c r="D2601" s="14" t="s">
        <v>1043</v>
      </c>
      <c r="E2601" s="150" t="s">
        <v>1044</v>
      </c>
      <c r="F2601" s="14">
        <v>366.0</v>
      </c>
      <c r="G2601" s="14">
        <v>371.0</v>
      </c>
      <c r="H2601" s="159" t="s">
        <v>30659</v>
      </c>
      <c r="I2601" s="14" t="s">
        <v>21</v>
      </c>
      <c r="J2601" s="14" t="s">
        <v>41234</v>
      </c>
      <c r="K2601" s="14" t="s">
        <v>41235</v>
      </c>
      <c r="L2601" s="152" t="s">
        <v>1046</v>
      </c>
      <c r="M2601" s="14" t="s">
        <v>41236</v>
      </c>
      <c r="N2601" s="54" t="s">
        <v>41237</v>
      </c>
      <c r="O2601" s="130"/>
      <c r="P2601" s="16"/>
      <c r="Q2601" s="14">
        <v>235186.0</v>
      </c>
      <c r="R2601" s="14"/>
      <c r="S2601" s="212"/>
      <c r="T2601" s="30"/>
      <c r="U2601" s="30"/>
      <c r="V2601" s="30"/>
      <c r="W2601" s="30"/>
      <c r="X2601" s="30"/>
      <c r="Y2601" s="30"/>
      <c r="Z2601" s="30"/>
      <c r="AA2601" s="30"/>
      <c r="AB2601" s="30"/>
      <c r="AC2601" s="30"/>
    </row>
    <row r="2602" ht="15.75" customHeight="1">
      <c r="A2602" s="14" t="s">
        <v>17</v>
      </c>
      <c r="B2602" s="14">
        <v>1992.0</v>
      </c>
      <c r="C2602" s="14" t="s">
        <v>1242</v>
      </c>
      <c r="D2602" s="14" t="s">
        <v>1243</v>
      </c>
      <c r="E2602" s="150" t="s">
        <v>1244</v>
      </c>
      <c r="F2602" s="14">
        <v>124.0</v>
      </c>
      <c r="G2602" s="14">
        <v>131.0</v>
      </c>
      <c r="H2602" s="151"/>
      <c r="I2602" s="14" t="s">
        <v>28</v>
      </c>
      <c r="J2602" s="14" t="s">
        <v>41239</v>
      </c>
      <c r="K2602" s="14" t="s">
        <v>41240</v>
      </c>
      <c r="L2602" s="152" t="s">
        <v>815</v>
      </c>
      <c r="M2602" s="14" t="s">
        <v>41241</v>
      </c>
      <c r="N2602" s="54" t="s">
        <v>41240</v>
      </c>
      <c r="O2602" s="130" t="s">
        <v>1246</v>
      </c>
      <c r="P2602" s="16"/>
      <c r="Q2602" s="14">
        <v>235217.0</v>
      </c>
      <c r="R2602" s="14"/>
      <c r="S2602" s="212" t="s">
        <v>41243</v>
      </c>
      <c r="T2602" s="30"/>
      <c r="U2602" s="30"/>
      <c r="V2602" s="30"/>
      <c r="W2602" s="30"/>
      <c r="X2602" s="30"/>
      <c r="Y2602" s="30"/>
      <c r="Z2602" s="30"/>
      <c r="AA2602" s="30"/>
      <c r="AB2602" s="30"/>
      <c r="AC2602" s="30"/>
    </row>
    <row r="2603" ht="15.75" customHeight="1">
      <c r="A2603" s="14" t="s">
        <v>17</v>
      </c>
      <c r="B2603" s="14">
        <v>1992.0</v>
      </c>
      <c r="C2603" s="14" t="s">
        <v>1037</v>
      </c>
      <c r="D2603" s="14" t="s">
        <v>1038</v>
      </c>
      <c r="E2603" s="150" t="s">
        <v>1039</v>
      </c>
      <c r="F2603" s="14">
        <v>372.0</v>
      </c>
      <c r="G2603" s="14">
        <v>374.0</v>
      </c>
      <c r="H2603" s="159" t="s">
        <v>30659</v>
      </c>
      <c r="I2603" s="14" t="s">
        <v>21</v>
      </c>
      <c r="J2603" s="14" t="s">
        <v>41244</v>
      </c>
      <c r="K2603" s="14" t="s">
        <v>41245</v>
      </c>
      <c r="L2603" s="152" t="s">
        <v>1041</v>
      </c>
      <c r="M2603" s="14" t="s">
        <v>41246</v>
      </c>
      <c r="N2603" s="54" t="s">
        <v>41247</v>
      </c>
      <c r="O2603" s="130"/>
      <c r="P2603" s="16"/>
      <c r="Q2603" s="14">
        <v>235185.0</v>
      </c>
      <c r="R2603" s="14"/>
      <c r="S2603" s="212"/>
      <c r="T2603" s="30"/>
      <c r="U2603" s="30"/>
      <c r="V2603" s="30"/>
      <c r="W2603" s="30"/>
      <c r="X2603" s="30"/>
      <c r="Y2603" s="30"/>
      <c r="Z2603" s="30"/>
      <c r="AA2603" s="30"/>
      <c r="AB2603" s="30"/>
      <c r="AC2603" s="30"/>
    </row>
    <row r="2604" ht="15.75" customHeight="1">
      <c r="A2604" s="14" t="s">
        <v>17</v>
      </c>
      <c r="B2604" s="14">
        <v>1992.0</v>
      </c>
      <c r="C2604" s="14" t="s">
        <v>1315</v>
      </c>
      <c r="D2604" s="14" t="s">
        <v>1316</v>
      </c>
      <c r="E2604" s="150" t="s">
        <v>1317</v>
      </c>
      <c r="F2604" s="14">
        <v>37.0</v>
      </c>
      <c r="G2604" s="14">
        <v>44.0</v>
      </c>
      <c r="H2604" s="151"/>
      <c r="I2604" s="14" t="s">
        <v>28</v>
      </c>
      <c r="J2604" s="14" t="s">
        <v>41248</v>
      </c>
      <c r="K2604" s="14" t="s">
        <v>11478</v>
      </c>
      <c r="L2604" s="152" t="s">
        <v>1319</v>
      </c>
      <c r="M2604" s="14">
        <v>3.72780189E10</v>
      </c>
      <c r="N2604" s="54" t="s">
        <v>11478</v>
      </c>
      <c r="O2604" s="130" t="s">
        <v>825</v>
      </c>
      <c r="P2604" s="16"/>
      <c r="Q2604" s="14">
        <v>235228.0</v>
      </c>
      <c r="R2604" s="14"/>
      <c r="S2604" s="212">
        <v>175818.0</v>
      </c>
      <c r="T2604" s="30"/>
      <c r="U2604" s="30"/>
      <c r="V2604" s="30"/>
      <c r="W2604" s="30"/>
      <c r="X2604" s="30"/>
      <c r="Y2604" s="30"/>
      <c r="Z2604" s="30"/>
      <c r="AA2604" s="30"/>
      <c r="AB2604" s="30"/>
      <c r="AC2604" s="30"/>
    </row>
    <row r="2605" ht="15.75" customHeight="1">
      <c r="A2605" s="14" t="s">
        <v>17</v>
      </c>
      <c r="B2605" s="14">
        <v>1992.0</v>
      </c>
      <c r="C2605" s="14" t="s">
        <v>1058</v>
      </c>
      <c r="D2605" s="14" t="s">
        <v>1059</v>
      </c>
      <c r="E2605" s="150" t="s">
        <v>1061</v>
      </c>
      <c r="F2605" s="14">
        <v>349.0</v>
      </c>
      <c r="G2605" s="14">
        <v>355.0</v>
      </c>
      <c r="H2605" s="151"/>
      <c r="I2605" s="14" t="s">
        <v>28</v>
      </c>
      <c r="J2605" s="14" t="s">
        <v>41249</v>
      </c>
      <c r="K2605" s="14" t="s">
        <v>41250</v>
      </c>
      <c r="L2605" s="152" t="s">
        <v>1064</v>
      </c>
      <c r="M2605" s="14" t="s">
        <v>41251</v>
      </c>
      <c r="N2605" s="54" t="s">
        <v>41250</v>
      </c>
      <c r="O2605" s="130" t="s">
        <v>1065</v>
      </c>
      <c r="P2605" s="16"/>
      <c r="Q2605" s="14">
        <v>235189.0</v>
      </c>
      <c r="R2605" s="14"/>
      <c r="S2605" s="212" t="s">
        <v>41253</v>
      </c>
      <c r="T2605" s="30"/>
      <c r="U2605" s="30"/>
      <c r="V2605" s="30"/>
      <c r="W2605" s="30"/>
      <c r="X2605" s="30"/>
      <c r="Y2605" s="30"/>
      <c r="Z2605" s="30"/>
      <c r="AA2605" s="30"/>
      <c r="AB2605" s="30"/>
      <c r="AC2605" s="30"/>
    </row>
    <row r="2606" ht="15.75" customHeight="1">
      <c r="A2606" s="14" t="s">
        <v>17</v>
      </c>
      <c r="B2606" s="14">
        <v>1992.0</v>
      </c>
      <c r="C2606" s="14" t="s">
        <v>1321</v>
      </c>
      <c r="D2606" s="14" t="s">
        <v>1323</v>
      </c>
      <c r="E2606" s="150" t="s">
        <v>1324</v>
      </c>
      <c r="F2606" s="14">
        <v>29.0</v>
      </c>
      <c r="G2606" s="14">
        <v>36.0</v>
      </c>
      <c r="H2606" s="151"/>
      <c r="I2606" s="14" t="s">
        <v>28</v>
      </c>
      <c r="J2606" s="14" t="s">
        <v>41255</v>
      </c>
      <c r="K2606" s="14" t="s">
        <v>41256</v>
      </c>
      <c r="L2606" s="152" t="s">
        <v>1326</v>
      </c>
      <c r="M2606" s="14" t="s">
        <v>41257</v>
      </c>
      <c r="N2606" s="54" t="s">
        <v>41256</v>
      </c>
      <c r="O2606" s="130"/>
      <c r="P2606" s="16"/>
      <c r="Q2606" s="14">
        <v>235229.0</v>
      </c>
      <c r="R2606" s="14"/>
      <c r="S2606" s="212"/>
      <c r="T2606" s="30"/>
      <c r="U2606" s="30"/>
      <c r="V2606" s="30"/>
      <c r="W2606" s="30"/>
      <c r="X2606" s="30"/>
      <c r="Y2606" s="30"/>
      <c r="Z2606" s="30"/>
      <c r="AA2606" s="30"/>
      <c r="AB2606" s="30"/>
      <c r="AC2606" s="30"/>
    </row>
    <row r="2607" ht="15.75" customHeight="1">
      <c r="A2607" s="14" t="s">
        <v>17</v>
      </c>
      <c r="B2607" s="14">
        <v>1992.0</v>
      </c>
      <c r="C2607" s="14" t="s">
        <v>1191</v>
      </c>
      <c r="D2607" s="14" t="s">
        <v>1192</v>
      </c>
      <c r="E2607" s="150" t="s">
        <v>1193</v>
      </c>
      <c r="F2607" s="14">
        <v>186.0</v>
      </c>
      <c r="G2607" s="14">
        <v>193.0</v>
      </c>
      <c r="H2607" s="151"/>
      <c r="I2607" s="14" t="s">
        <v>28</v>
      </c>
      <c r="J2607" s="14" t="s">
        <v>41259</v>
      </c>
      <c r="K2607" s="14" t="s">
        <v>41260</v>
      </c>
      <c r="L2607" s="152" t="s">
        <v>1195</v>
      </c>
      <c r="M2607" s="14" t="s">
        <v>41261</v>
      </c>
      <c r="N2607" s="54" t="s">
        <v>41260</v>
      </c>
      <c r="O2607" s="130"/>
      <c r="P2607" s="16"/>
      <c r="Q2607" s="14">
        <v>235209.0</v>
      </c>
      <c r="R2607" s="14"/>
      <c r="S2607" s="212"/>
      <c r="T2607" s="30"/>
      <c r="U2607" s="30"/>
      <c r="V2607" s="30"/>
      <c r="W2607" s="30"/>
      <c r="X2607" s="30"/>
      <c r="Y2607" s="30"/>
      <c r="Z2607" s="30"/>
      <c r="AA2607" s="30"/>
      <c r="AB2607" s="30"/>
      <c r="AC2607" s="30"/>
    </row>
    <row r="2608" ht="15.75" customHeight="1">
      <c r="A2608" s="14" t="s">
        <v>17</v>
      </c>
      <c r="B2608" s="14">
        <v>1992.0</v>
      </c>
      <c r="C2608" s="14" t="s">
        <v>1280</v>
      </c>
      <c r="D2608" s="14" t="s">
        <v>1281</v>
      </c>
      <c r="E2608" s="150" t="s">
        <v>1282</v>
      </c>
      <c r="F2608" s="14">
        <v>77.0</v>
      </c>
      <c r="G2608" s="14">
        <v>83.0</v>
      </c>
      <c r="H2608" s="151"/>
      <c r="I2608" s="14" t="s">
        <v>28</v>
      </c>
      <c r="J2608" s="14" t="s">
        <v>41262</v>
      </c>
      <c r="K2608" s="14" t="s">
        <v>41263</v>
      </c>
      <c r="L2608" s="152" t="s">
        <v>1287</v>
      </c>
      <c r="M2608" s="14" t="s">
        <v>41265</v>
      </c>
      <c r="N2608" s="54" t="s">
        <v>41266</v>
      </c>
      <c r="O2608" s="130" t="s">
        <v>536</v>
      </c>
      <c r="P2608" s="16"/>
      <c r="Q2608" s="14">
        <v>235223.0</v>
      </c>
      <c r="R2608" s="14"/>
      <c r="S2608" s="212">
        <v>175782.0</v>
      </c>
      <c r="T2608" s="30"/>
      <c r="U2608" s="30"/>
      <c r="V2608" s="30"/>
      <c r="W2608" s="30"/>
      <c r="X2608" s="30"/>
      <c r="Y2608" s="30"/>
      <c r="Z2608" s="30"/>
      <c r="AA2608" s="30"/>
      <c r="AB2608" s="30"/>
      <c r="AC2608" s="30"/>
    </row>
    <row r="2609" ht="15.75" customHeight="1">
      <c r="A2609" s="14" t="s">
        <v>17</v>
      </c>
      <c r="B2609" s="14">
        <v>1992.0</v>
      </c>
      <c r="C2609" s="14" t="s">
        <v>1099</v>
      </c>
      <c r="D2609" s="14" t="s">
        <v>1100</v>
      </c>
      <c r="E2609" s="150" t="s">
        <v>1101</v>
      </c>
      <c r="F2609" s="14">
        <v>299.0</v>
      </c>
      <c r="G2609" s="14">
        <v>306.0</v>
      </c>
      <c r="H2609" s="151"/>
      <c r="I2609" s="14" t="s">
        <v>28</v>
      </c>
      <c r="J2609" s="14" t="s">
        <v>41268</v>
      </c>
      <c r="K2609" s="14" t="s">
        <v>39251</v>
      </c>
      <c r="L2609" s="152" t="s">
        <v>1105</v>
      </c>
      <c r="M2609" s="14" t="s">
        <v>39252</v>
      </c>
      <c r="N2609" s="54" t="s">
        <v>39253</v>
      </c>
      <c r="O2609" s="130" t="s">
        <v>800</v>
      </c>
      <c r="P2609" s="16"/>
      <c r="Q2609" s="14">
        <v>235195.0</v>
      </c>
      <c r="R2609" s="14"/>
      <c r="S2609" s="212">
        <v>175814.0</v>
      </c>
      <c r="T2609" s="30"/>
      <c r="U2609" s="30"/>
      <c r="V2609" s="30"/>
      <c r="W2609" s="30"/>
      <c r="X2609" s="30"/>
      <c r="Y2609" s="30"/>
      <c r="Z2609" s="30"/>
      <c r="AA2609" s="30"/>
      <c r="AB2609" s="30"/>
      <c r="AC2609" s="30"/>
    </row>
    <row r="2610" ht="15.75" customHeight="1">
      <c r="A2610" s="14" t="s">
        <v>17</v>
      </c>
      <c r="B2610" s="14">
        <v>1992.0</v>
      </c>
      <c r="C2610" s="14" t="s">
        <v>1017</v>
      </c>
      <c r="D2610" s="14" t="s">
        <v>1018</v>
      </c>
      <c r="E2610" s="150" t="s">
        <v>1019</v>
      </c>
      <c r="F2610" s="14">
        <v>384.0</v>
      </c>
      <c r="G2610" s="14">
        <v>388.0</v>
      </c>
      <c r="H2610" s="159" t="s">
        <v>30659</v>
      </c>
      <c r="I2610" s="14" t="s">
        <v>21</v>
      </c>
      <c r="J2610" s="14" t="s">
        <v>41269</v>
      </c>
      <c r="K2610" s="14" t="s">
        <v>41270</v>
      </c>
      <c r="L2610" s="152" t="s">
        <v>860</v>
      </c>
      <c r="M2610" s="14" t="s">
        <v>860</v>
      </c>
      <c r="N2610" s="54" t="s">
        <v>41271</v>
      </c>
      <c r="O2610" s="130"/>
      <c r="P2610" s="16"/>
      <c r="Q2610" s="14">
        <v>235182.0</v>
      </c>
      <c r="R2610" s="14"/>
      <c r="S2610" s="212"/>
      <c r="T2610" s="30"/>
      <c r="U2610" s="30"/>
      <c r="V2610" s="30"/>
      <c r="W2610" s="30"/>
      <c r="X2610" s="30"/>
      <c r="Y2610" s="30"/>
      <c r="Z2610" s="30"/>
      <c r="AA2610" s="30"/>
      <c r="AB2610" s="30"/>
      <c r="AC2610" s="30"/>
    </row>
    <row r="2611" ht="15.75" customHeight="1">
      <c r="A2611" s="14" t="s">
        <v>17</v>
      </c>
      <c r="B2611" s="14">
        <v>1992.0</v>
      </c>
      <c r="C2611" s="14" t="s">
        <v>1074</v>
      </c>
      <c r="D2611" s="14" t="s">
        <v>1075</v>
      </c>
      <c r="E2611" s="150" t="s">
        <v>1076</v>
      </c>
      <c r="F2611" s="14">
        <v>333.0</v>
      </c>
      <c r="G2611" s="14">
        <v>339.0</v>
      </c>
      <c r="H2611" s="151"/>
      <c r="I2611" s="14" t="s">
        <v>28</v>
      </c>
      <c r="J2611" s="14" t="s">
        <v>41272</v>
      </c>
      <c r="K2611" s="14" t="s">
        <v>41273</v>
      </c>
      <c r="L2611" s="152" t="s">
        <v>1077</v>
      </c>
      <c r="M2611" s="14" t="s">
        <v>41274</v>
      </c>
      <c r="N2611" s="54" t="s">
        <v>41275</v>
      </c>
      <c r="O2611" s="130"/>
      <c r="P2611" s="16"/>
      <c r="Q2611" s="14">
        <v>235191.0</v>
      </c>
      <c r="R2611" s="14"/>
      <c r="S2611" s="212"/>
      <c r="T2611" s="30"/>
      <c r="U2611" s="30"/>
      <c r="V2611" s="30"/>
      <c r="W2611" s="30"/>
      <c r="X2611" s="30"/>
      <c r="Y2611" s="30"/>
      <c r="Z2611" s="30"/>
      <c r="AA2611" s="30"/>
      <c r="AB2611" s="30"/>
      <c r="AC2611" s="30"/>
    </row>
    <row r="2612" ht="15.75" customHeight="1">
      <c r="A2612" s="14" t="s">
        <v>17</v>
      </c>
      <c r="B2612" s="14">
        <v>1992.0</v>
      </c>
      <c r="C2612" s="14" t="s">
        <v>1030</v>
      </c>
      <c r="D2612" s="14" t="s">
        <v>1031</v>
      </c>
      <c r="E2612" s="150" t="s">
        <v>1032</v>
      </c>
      <c r="F2612" s="14">
        <v>375.0</v>
      </c>
      <c r="G2612" s="14">
        <v>379.0</v>
      </c>
      <c r="H2612" s="159" t="s">
        <v>30659</v>
      </c>
      <c r="I2612" s="14" t="s">
        <v>21</v>
      </c>
      <c r="J2612" s="14" t="s">
        <v>41276</v>
      </c>
      <c r="K2612" s="14" t="s">
        <v>6641</v>
      </c>
      <c r="L2612" s="152"/>
      <c r="M2612" s="14"/>
      <c r="N2612" s="54" t="s">
        <v>6641</v>
      </c>
      <c r="O2612" s="130"/>
      <c r="P2612" s="16"/>
      <c r="Q2612" s="14">
        <v>235184.0</v>
      </c>
      <c r="R2612" s="14"/>
      <c r="S2612" s="212"/>
      <c r="T2612" s="30"/>
      <c r="U2612" s="30"/>
      <c r="V2612" s="30"/>
      <c r="W2612" s="30"/>
      <c r="X2612" s="30"/>
      <c r="Y2612" s="30"/>
      <c r="Z2612" s="30"/>
      <c r="AA2612" s="30"/>
      <c r="AB2612" s="30"/>
      <c r="AC2612" s="30"/>
    </row>
    <row r="2613" ht="15.75" customHeight="1">
      <c r="A2613" s="14" t="s">
        <v>17</v>
      </c>
      <c r="B2613" s="14">
        <v>1992.0</v>
      </c>
      <c r="C2613" s="14" t="s">
        <v>1301</v>
      </c>
      <c r="D2613" s="14" t="s">
        <v>1302</v>
      </c>
      <c r="E2613" s="150" t="s">
        <v>1303</v>
      </c>
      <c r="F2613" s="14">
        <v>54.0</v>
      </c>
      <c r="G2613" s="14">
        <v>61.0</v>
      </c>
      <c r="H2613" s="151"/>
      <c r="I2613" s="14" t="s">
        <v>28</v>
      </c>
      <c r="J2613" s="14" t="s">
        <v>41277</v>
      </c>
      <c r="K2613" s="14" t="s">
        <v>11200</v>
      </c>
      <c r="L2613" s="152" t="s">
        <v>1305</v>
      </c>
      <c r="M2613" s="14">
        <v>3.72672492E10</v>
      </c>
      <c r="N2613" s="54" t="s">
        <v>11200</v>
      </c>
      <c r="O2613" s="130" t="s">
        <v>25</v>
      </c>
      <c r="P2613" s="16"/>
      <c r="Q2613" s="14">
        <v>235226.0</v>
      </c>
      <c r="R2613" s="14"/>
      <c r="S2613" s="212">
        <v>146359.0</v>
      </c>
      <c r="T2613" s="30"/>
      <c r="U2613" s="30"/>
      <c r="V2613" s="30"/>
      <c r="W2613" s="30"/>
      <c r="X2613" s="30"/>
      <c r="Y2613" s="30"/>
      <c r="Z2613" s="30"/>
      <c r="AA2613" s="30"/>
      <c r="AB2613" s="30"/>
      <c r="AC2613" s="30"/>
    </row>
    <row r="2614" ht="15.75" customHeight="1">
      <c r="A2614" s="14" t="s">
        <v>17</v>
      </c>
      <c r="B2614" s="14">
        <v>1992.0</v>
      </c>
      <c r="C2614" s="14" t="s">
        <v>1222</v>
      </c>
      <c r="D2614" s="14" t="s">
        <v>1223</v>
      </c>
      <c r="E2614" s="150" t="s">
        <v>1224</v>
      </c>
      <c r="F2614" s="14">
        <v>147.0</v>
      </c>
      <c r="G2614" s="14">
        <v>154.0</v>
      </c>
      <c r="H2614" s="151"/>
      <c r="I2614" s="14" t="s">
        <v>28</v>
      </c>
      <c r="J2614" s="14" t="s">
        <v>41279</v>
      </c>
      <c r="K2614" s="14" t="s">
        <v>41280</v>
      </c>
      <c r="L2614" s="152" t="s">
        <v>1174</v>
      </c>
      <c r="M2614" s="14" t="s">
        <v>41281</v>
      </c>
      <c r="N2614" s="54" t="s">
        <v>41280</v>
      </c>
      <c r="O2614" s="130" t="s">
        <v>174</v>
      </c>
      <c r="P2614" s="16"/>
      <c r="Q2614" s="14">
        <v>235214.0</v>
      </c>
      <c r="R2614" s="14"/>
      <c r="S2614" s="212">
        <v>146377.0</v>
      </c>
      <c r="T2614" s="30"/>
      <c r="U2614" s="30"/>
      <c r="V2614" s="30"/>
      <c r="W2614" s="30"/>
      <c r="X2614" s="30"/>
      <c r="Y2614" s="30"/>
      <c r="Z2614" s="30"/>
      <c r="AA2614" s="30"/>
      <c r="AB2614" s="30"/>
      <c r="AC2614" s="30"/>
    </row>
    <row r="2615" ht="15.75" customHeight="1">
      <c r="A2615" s="14" t="s">
        <v>17</v>
      </c>
      <c r="B2615" s="14">
        <v>1992.0</v>
      </c>
      <c r="C2615" s="14" t="s">
        <v>1140</v>
      </c>
      <c r="D2615" s="14" t="s">
        <v>1142</v>
      </c>
      <c r="E2615" s="150" t="s">
        <v>1144</v>
      </c>
      <c r="F2615" s="14">
        <v>243.0</v>
      </c>
      <c r="G2615" s="14">
        <v>250.0</v>
      </c>
      <c r="H2615" s="151"/>
      <c r="I2615" s="14" t="s">
        <v>28</v>
      </c>
      <c r="J2615" s="14" t="s">
        <v>41282</v>
      </c>
      <c r="K2615" s="14" t="s">
        <v>41283</v>
      </c>
      <c r="L2615" s="152" t="s">
        <v>477</v>
      </c>
      <c r="M2615" s="14" t="s">
        <v>41284</v>
      </c>
      <c r="N2615" s="54" t="s">
        <v>41283</v>
      </c>
      <c r="O2615" s="130" t="s">
        <v>1146</v>
      </c>
      <c r="P2615" s="16"/>
      <c r="Q2615" s="14">
        <v>235202.0</v>
      </c>
      <c r="R2615" s="14"/>
      <c r="S2615" s="212" t="s">
        <v>41285</v>
      </c>
      <c r="T2615" s="30"/>
      <c r="U2615" s="30"/>
      <c r="V2615" s="30"/>
      <c r="W2615" s="30"/>
      <c r="X2615" s="30"/>
      <c r="Y2615" s="30"/>
      <c r="Z2615" s="30"/>
      <c r="AA2615" s="30"/>
      <c r="AB2615" s="30"/>
      <c r="AC2615" s="30"/>
    </row>
    <row r="2616" ht="15.75" customHeight="1">
      <c r="A2616" s="14" t="s">
        <v>17</v>
      </c>
      <c r="B2616" s="14">
        <v>1992.0</v>
      </c>
      <c r="C2616" s="14" t="s">
        <v>1129</v>
      </c>
      <c r="D2616" s="14" t="s">
        <v>1130</v>
      </c>
      <c r="E2616" s="150" t="s">
        <v>1131</v>
      </c>
      <c r="F2616" s="14">
        <v>260.0</v>
      </c>
      <c r="G2616" s="14">
        <v>267.0</v>
      </c>
      <c r="H2616" s="151"/>
      <c r="I2616" s="14" t="s">
        <v>28</v>
      </c>
      <c r="J2616" s="14" t="s">
        <v>41286</v>
      </c>
      <c r="K2616" s="14" t="s">
        <v>41287</v>
      </c>
      <c r="L2616" s="152" t="s">
        <v>1133</v>
      </c>
      <c r="M2616" s="14" t="s">
        <v>41288</v>
      </c>
      <c r="N2616" s="54" t="s">
        <v>41287</v>
      </c>
      <c r="O2616" s="130"/>
      <c r="P2616" s="16"/>
      <c r="Q2616" s="14">
        <v>235200.0</v>
      </c>
      <c r="R2616" s="14"/>
      <c r="S2616" s="212"/>
      <c r="T2616" s="30"/>
      <c r="U2616" s="30"/>
      <c r="V2616" s="30"/>
      <c r="W2616" s="30"/>
      <c r="X2616" s="30"/>
      <c r="Y2616" s="30"/>
      <c r="Z2616" s="30"/>
      <c r="AA2616" s="30"/>
      <c r="AB2616" s="30"/>
      <c r="AC2616" s="30"/>
    </row>
    <row r="2617" ht="15.75" customHeight="1">
      <c r="A2617" s="14" t="s">
        <v>17</v>
      </c>
      <c r="B2617" s="14">
        <v>1992.0</v>
      </c>
      <c r="C2617" s="14" t="s">
        <v>1047</v>
      </c>
      <c r="D2617" s="14" t="s">
        <v>1048</v>
      </c>
      <c r="E2617" s="150" t="s">
        <v>1049</v>
      </c>
      <c r="F2617" s="14">
        <v>362.0</v>
      </c>
      <c r="G2617" s="14">
        <v>365.0</v>
      </c>
      <c r="H2617" s="159" t="s">
        <v>30659</v>
      </c>
      <c r="I2617" s="14" t="s">
        <v>21</v>
      </c>
      <c r="J2617" s="14" t="s">
        <v>41289</v>
      </c>
      <c r="K2617" s="14" t="s">
        <v>41290</v>
      </c>
      <c r="L2617" s="152" t="s">
        <v>880</v>
      </c>
      <c r="M2617" s="14" t="s">
        <v>880</v>
      </c>
      <c r="N2617" s="54" t="s">
        <v>41290</v>
      </c>
      <c r="O2617" s="130"/>
      <c r="P2617" s="16"/>
      <c r="Q2617" s="14">
        <v>235187.0</v>
      </c>
      <c r="R2617" s="14"/>
      <c r="S2617" s="212"/>
      <c r="T2617" s="30"/>
      <c r="U2617" s="30"/>
      <c r="V2617" s="30"/>
      <c r="W2617" s="30"/>
      <c r="X2617" s="30"/>
      <c r="Y2617" s="30"/>
      <c r="Z2617" s="30"/>
      <c r="AA2617" s="30"/>
      <c r="AB2617" s="30"/>
      <c r="AC2617" s="30"/>
    </row>
    <row r="2618" ht="15.75" customHeight="1">
      <c r="A2618" s="14" t="s">
        <v>17</v>
      </c>
      <c r="B2618" s="14">
        <v>1992.0</v>
      </c>
      <c r="C2618" s="14" t="s">
        <v>980</v>
      </c>
      <c r="D2618" s="14" t="s">
        <v>981</v>
      </c>
      <c r="E2618" s="150" t="s">
        <v>982</v>
      </c>
      <c r="F2618" s="14">
        <v>419.0</v>
      </c>
      <c r="G2618" s="14">
        <v>423.0</v>
      </c>
      <c r="H2618" s="151"/>
      <c r="I2618" s="14" t="s">
        <v>28</v>
      </c>
      <c r="J2618" s="14" t="s">
        <v>41291</v>
      </c>
      <c r="K2618" s="14" t="s">
        <v>41292</v>
      </c>
      <c r="L2618" s="152" t="s">
        <v>807</v>
      </c>
      <c r="M2618" s="14" t="s">
        <v>41293</v>
      </c>
      <c r="N2618" s="54" t="s">
        <v>41292</v>
      </c>
      <c r="O2618" s="130" t="s">
        <v>760</v>
      </c>
      <c r="P2618" s="16"/>
      <c r="Q2618" s="14">
        <v>235177.0</v>
      </c>
      <c r="R2618" s="14"/>
      <c r="S2618" s="212">
        <v>175807.0</v>
      </c>
      <c r="T2618" s="30"/>
      <c r="U2618" s="30"/>
      <c r="V2618" s="30"/>
      <c r="W2618" s="30"/>
      <c r="X2618" s="30"/>
      <c r="Y2618" s="30"/>
      <c r="Z2618" s="30"/>
      <c r="AA2618" s="30"/>
      <c r="AB2618" s="30"/>
      <c r="AC2618" s="30"/>
    </row>
    <row r="2619" ht="15.75" customHeight="1">
      <c r="A2619" s="14" t="s">
        <v>17</v>
      </c>
      <c r="B2619" s="14">
        <v>1992.0</v>
      </c>
      <c r="C2619" s="14" t="s">
        <v>1177</v>
      </c>
      <c r="D2619" s="14" t="s">
        <v>1178</v>
      </c>
      <c r="E2619" s="150" t="s">
        <v>1179</v>
      </c>
      <c r="F2619" s="14">
        <v>202.0</v>
      </c>
      <c r="G2619" s="14">
        <v>209.0</v>
      </c>
      <c r="H2619" s="151"/>
      <c r="I2619" s="14" t="s">
        <v>28</v>
      </c>
      <c r="J2619" s="14" t="s">
        <v>41294</v>
      </c>
      <c r="K2619" s="14" t="s">
        <v>41295</v>
      </c>
      <c r="L2619" s="152" t="s">
        <v>1181</v>
      </c>
      <c r="M2619" s="14" t="s">
        <v>41296</v>
      </c>
      <c r="N2619" s="54" t="s">
        <v>41295</v>
      </c>
      <c r="O2619" s="130" t="s">
        <v>1182</v>
      </c>
      <c r="P2619" s="16"/>
      <c r="Q2619" s="14">
        <v>235207.0</v>
      </c>
      <c r="R2619" s="14"/>
      <c r="S2619" s="212">
        <v>235219.0</v>
      </c>
      <c r="T2619" s="30"/>
      <c r="U2619" s="30"/>
      <c r="V2619" s="30"/>
      <c r="W2619" s="30"/>
      <c r="X2619" s="30"/>
      <c r="Y2619" s="30"/>
      <c r="Z2619" s="30"/>
      <c r="AA2619" s="30"/>
      <c r="AB2619" s="30"/>
      <c r="AC2619" s="30"/>
    </row>
    <row r="2620" ht="15.75" customHeight="1">
      <c r="A2620" s="14" t="s">
        <v>17</v>
      </c>
      <c r="B2620" s="14">
        <v>1992.0</v>
      </c>
      <c r="C2620" s="14" t="s">
        <v>1333</v>
      </c>
      <c r="D2620" s="14" t="s">
        <v>1334</v>
      </c>
      <c r="E2620" s="150" t="s">
        <v>1335</v>
      </c>
      <c r="F2620" s="14">
        <v>13.0</v>
      </c>
      <c r="G2620" s="14">
        <v>20.0</v>
      </c>
      <c r="H2620" s="151"/>
      <c r="I2620" s="14" t="s">
        <v>28</v>
      </c>
      <c r="J2620" s="14" t="s">
        <v>41299</v>
      </c>
      <c r="K2620" s="14" t="s">
        <v>41300</v>
      </c>
      <c r="L2620" s="152" t="s">
        <v>1337</v>
      </c>
      <c r="M2620" s="14" t="s">
        <v>41301</v>
      </c>
      <c r="N2620" s="54" t="s">
        <v>41302</v>
      </c>
      <c r="O2620" s="130" t="s">
        <v>1338</v>
      </c>
      <c r="P2620" s="16"/>
      <c r="Q2620" s="14">
        <v>235231.0</v>
      </c>
      <c r="R2620" s="14"/>
      <c r="S2620" s="212" t="s">
        <v>41303</v>
      </c>
      <c r="T2620" s="30"/>
      <c r="U2620" s="30"/>
      <c r="V2620" s="30"/>
      <c r="W2620" s="30"/>
      <c r="X2620" s="30"/>
      <c r="Y2620" s="30"/>
      <c r="Z2620" s="30"/>
      <c r="AA2620" s="30"/>
      <c r="AB2620" s="30"/>
      <c r="AC2620" s="30"/>
    </row>
    <row r="2621" ht="15.75" customHeight="1">
      <c r="A2621" s="14" t="s">
        <v>17</v>
      </c>
      <c r="B2621" s="14">
        <v>1992.0</v>
      </c>
      <c r="C2621" s="14" t="s">
        <v>1306</v>
      </c>
      <c r="D2621" s="14" t="s">
        <v>1307</v>
      </c>
      <c r="E2621" s="150" t="s">
        <v>1308</v>
      </c>
      <c r="F2621" s="14">
        <v>46.0</v>
      </c>
      <c r="G2621" s="14">
        <v>53.0</v>
      </c>
      <c r="H2621" s="151"/>
      <c r="I2621" s="14" t="s">
        <v>28</v>
      </c>
      <c r="J2621" s="14" t="s">
        <v>41304</v>
      </c>
      <c r="K2621" s="14" t="s">
        <v>40991</v>
      </c>
      <c r="L2621" s="152" t="s">
        <v>1313</v>
      </c>
      <c r="M2621" s="14" t="s">
        <v>40990</v>
      </c>
      <c r="N2621" s="54" t="s">
        <v>40991</v>
      </c>
      <c r="O2621" s="130" t="s">
        <v>41305</v>
      </c>
      <c r="P2621" s="16"/>
      <c r="Q2621" s="14">
        <v>235227.0</v>
      </c>
      <c r="R2621" s="14"/>
      <c r="S2621" s="212" t="s">
        <v>41306</v>
      </c>
      <c r="T2621" s="30"/>
      <c r="U2621" s="30"/>
      <c r="V2621" s="30"/>
      <c r="W2621" s="30"/>
      <c r="X2621" s="30"/>
      <c r="Y2621" s="30"/>
      <c r="Z2621" s="30"/>
      <c r="AA2621" s="30"/>
      <c r="AB2621" s="30"/>
      <c r="AC2621" s="30"/>
    </row>
    <row r="2622" ht="15.75" customHeight="1">
      <c r="A2622" s="14" t="s">
        <v>17</v>
      </c>
      <c r="B2622" s="14">
        <v>1992.0</v>
      </c>
      <c r="C2622" s="14" t="s">
        <v>1106</v>
      </c>
      <c r="D2622" s="14" t="s">
        <v>1107</v>
      </c>
      <c r="E2622" s="150" t="s">
        <v>1108</v>
      </c>
      <c r="F2622" s="14">
        <v>291.0</v>
      </c>
      <c r="G2622" s="14">
        <v>298.0</v>
      </c>
      <c r="H2622" s="151"/>
      <c r="I2622" s="14" t="s">
        <v>28</v>
      </c>
      <c r="J2622" s="14" t="s">
        <v>41308</v>
      </c>
      <c r="K2622" s="14" t="s">
        <v>6698</v>
      </c>
      <c r="L2622" s="152" t="s">
        <v>1110</v>
      </c>
      <c r="M2622" s="14">
        <v>3.73888082E10</v>
      </c>
      <c r="N2622" s="54" t="s">
        <v>6698</v>
      </c>
      <c r="O2622" s="130" t="s">
        <v>470</v>
      </c>
      <c r="P2622" s="16"/>
      <c r="Q2622" s="14">
        <v>235196.0</v>
      </c>
      <c r="R2622" s="14"/>
      <c r="S2622" s="212">
        <v>175771.0</v>
      </c>
      <c r="T2622" s="30"/>
      <c r="U2622" s="30"/>
      <c r="V2622" s="30"/>
      <c r="W2622" s="30"/>
      <c r="X2622" s="30"/>
      <c r="Y2622" s="30"/>
      <c r="Z2622" s="30"/>
      <c r="AA2622" s="30"/>
      <c r="AB2622" s="30"/>
      <c r="AC2622" s="30"/>
    </row>
    <row r="2623" ht="15.75" customHeight="1">
      <c r="A2623" s="14" t="s">
        <v>17</v>
      </c>
      <c r="B2623" s="14">
        <v>1992.0</v>
      </c>
      <c r="C2623" s="14" t="s">
        <v>1160</v>
      </c>
      <c r="D2623" s="14" t="s">
        <v>1161</v>
      </c>
      <c r="E2623" s="150" t="s">
        <v>1162</v>
      </c>
      <c r="F2623" s="14">
        <v>219.0</v>
      </c>
      <c r="G2623" s="14">
        <v>226.0</v>
      </c>
      <c r="H2623" s="151"/>
      <c r="I2623" s="14" t="s">
        <v>28</v>
      </c>
      <c r="J2623" s="14" t="s">
        <v>41309</v>
      </c>
      <c r="K2623" s="14" t="s">
        <v>41310</v>
      </c>
      <c r="L2623" s="152" t="s">
        <v>1167</v>
      </c>
      <c r="M2623" s="14" t="s">
        <v>41311</v>
      </c>
      <c r="N2623" s="54" t="s">
        <v>41312</v>
      </c>
      <c r="O2623" s="130" t="s">
        <v>1168</v>
      </c>
      <c r="P2623" s="16"/>
      <c r="Q2623" s="14">
        <v>235205.0</v>
      </c>
      <c r="R2623" s="14"/>
      <c r="S2623" s="212" t="s">
        <v>41313</v>
      </c>
      <c r="T2623" s="30"/>
      <c r="U2623" s="30"/>
      <c r="V2623" s="30"/>
      <c r="W2623" s="30"/>
      <c r="X2623" s="30"/>
      <c r="Y2623" s="30"/>
      <c r="Z2623" s="30"/>
      <c r="AA2623" s="30"/>
      <c r="AB2623" s="30"/>
      <c r="AC2623" s="30"/>
    </row>
    <row r="2624" ht="15.75" customHeight="1">
      <c r="A2624" s="14" t="s">
        <v>17</v>
      </c>
      <c r="B2624" s="14">
        <v>1992.0</v>
      </c>
      <c r="C2624" s="14" t="s">
        <v>1183</v>
      </c>
      <c r="D2624" s="14" t="s">
        <v>1184</v>
      </c>
      <c r="E2624" s="150" t="s">
        <v>1185</v>
      </c>
      <c r="F2624" s="14">
        <v>194.0</v>
      </c>
      <c r="G2624" s="14">
        <v>201.0</v>
      </c>
      <c r="H2624" s="151"/>
      <c r="I2624" s="14" t="s">
        <v>28</v>
      </c>
      <c r="J2624" s="14" t="s">
        <v>41315</v>
      </c>
      <c r="K2624" s="14" t="s">
        <v>41316</v>
      </c>
      <c r="L2624" s="152" t="s">
        <v>1189</v>
      </c>
      <c r="M2624" s="14" t="s">
        <v>41317</v>
      </c>
      <c r="N2624" s="54" t="s">
        <v>41316</v>
      </c>
      <c r="O2624" s="130"/>
      <c r="P2624" s="153" t="s">
        <v>1190</v>
      </c>
      <c r="Q2624" s="14">
        <v>235208.0</v>
      </c>
      <c r="R2624" s="14"/>
      <c r="S2624" s="212"/>
      <c r="T2624" s="30"/>
      <c r="U2624" s="30"/>
      <c r="V2624" s="30"/>
      <c r="W2624" s="30"/>
      <c r="X2624" s="30"/>
      <c r="Y2624" s="30"/>
      <c r="Z2624" s="30"/>
      <c r="AA2624" s="30"/>
      <c r="AB2624" s="30"/>
      <c r="AC2624" s="30"/>
    </row>
    <row r="2625" ht="15.75" customHeight="1">
      <c r="A2625" s="14" t="s">
        <v>17</v>
      </c>
      <c r="B2625" s="14">
        <v>1992.0</v>
      </c>
      <c r="C2625" s="14" t="s">
        <v>1119</v>
      </c>
      <c r="D2625" s="14" t="s">
        <v>1120</v>
      </c>
      <c r="E2625" s="150" t="s">
        <v>1121</v>
      </c>
      <c r="F2625" s="14">
        <v>274.0</v>
      </c>
      <c r="G2625" s="14">
        <v>281.0</v>
      </c>
      <c r="H2625" s="151"/>
      <c r="I2625" s="14" t="s">
        <v>28</v>
      </c>
      <c r="J2625" s="14" t="s">
        <v>41318</v>
      </c>
      <c r="K2625" s="14" t="s">
        <v>9065</v>
      </c>
      <c r="L2625" s="152" t="s">
        <v>1123</v>
      </c>
      <c r="M2625" s="14">
        <v>3.73818944E10</v>
      </c>
      <c r="N2625" s="54" t="s">
        <v>9065</v>
      </c>
      <c r="O2625" s="130"/>
      <c r="P2625" s="16"/>
      <c r="Q2625" s="14">
        <v>235198.0</v>
      </c>
      <c r="R2625" s="14"/>
      <c r="S2625" s="212"/>
      <c r="T2625" s="30"/>
      <c r="U2625" s="30"/>
      <c r="V2625" s="30"/>
      <c r="W2625" s="30"/>
      <c r="X2625" s="30"/>
      <c r="Y2625" s="30"/>
      <c r="Z2625" s="30"/>
      <c r="AA2625" s="30"/>
      <c r="AB2625" s="30"/>
      <c r="AC2625" s="30"/>
    </row>
    <row r="2626" ht="15.75" customHeight="1">
      <c r="A2626" s="14" t="s">
        <v>17</v>
      </c>
      <c r="B2626" s="14">
        <v>1992.0</v>
      </c>
      <c r="C2626" s="14" t="s">
        <v>994</v>
      </c>
      <c r="D2626" s="14" t="s">
        <v>995</v>
      </c>
      <c r="E2626" s="150" t="s">
        <v>996</v>
      </c>
      <c r="F2626" s="14">
        <v>404.0</v>
      </c>
      <c r="G2626" s="14">
        <v>410.0</v>
      </c>
      <c r="H2626" s="151"/>
      <c r="I2626" s="14" t="s">
        <v>28</v>
      </c>
      <c r="J2626" s="14" t="s">
        <v>41320</v>
      </c>
      <c r="K2626" s="14" t="s">
        <v>41321</v>
      </c>
      <c r="L2626" s="152" t="s">
        <v>1001</v>
      </c>
      <c r="M2626" s="14" t="s">
        <v>41322</v>
      </c>
      <c r="N2626" s="54" t="s">
        <v>41321</v>
      </c>
      <c r="O2626" s="130"/>
      <c r="P2626" s="16"/>
      <c r="Q2626" s="14">
        <v>235179.0</v>
      </c>
      <c r="R2626" s="14"/>
      <c r="S2626" s="212"/>
      <c r="T2626" s="30"/>
      <c r="U2626" s="30"/>
      <c r="V2626" s="30"/>
      <c r="W2626" s="30"/>
      <c r="X2626" s="30"/>
      <c r="Y2626" s="30"/>
      <c r="Z2626" s="30"/>
      <c r="AA2626" s="30"/>
      <c r="AB2626" s="30"/>
      <c r="AC2626" s="30"/>
    </row>
    <row r="2627" ht="15.75" customHeight="1">
      <c r="A2627" s="14" t="s">
        <v>17</v>
      </c>
      <c r="B2627" s="14">
        <v>1992.0</v>
      </c>
      <c r="C2627" s="14" t="s">
        <v>1025</v>
      </c>
      <c r="D2627" s="14" t="s">
        <v>1026</v>
      </c>
      <c r="E2627" s="150" t="s">
        <v>1027</v>
      </c>
      <c r="F2627" s="14">
        <v>380.0</v>
      </c>
      <c r="G2627" s="14">
        <v>383.0</v>
      </c>
      <c r="H2627" s="159" t="s">
        <v>30659</v>
      </c>
      <c r="I2627" s="14" t="s">
        <v>21</v>
      </c>
      <c r="J2627" s="14" t="s">
        <v>41324</v>
      </c>
      <c r="K2627" s="14" t="s">
        <v>41325</v>
      </c>
      <c r="L2627" s="152" t="s">
        <v>1029</v>
      </c>
      <c r="M2627" s="14" t="s">
        <v>41326</v>
      </c>
      <c r="N2627" s="54" t="s">
        <v>41325</v>
      </c>
      <c r="O2627" s="130"/>
      <c r="P2627" s="16"/>
      <c r="Q2627" s="14">
        <v>235183.0</v>
      </c>
      <c r="R2627" s="14"/>
      <c r="S2627" s="212"/>
      <c r="T2627" s="30"/>
      <c r="U2627" s="30"/>
      <c r="V2627" s="30"/>
      <c r="W2627" s="30"/>
      <c r="X2627" s="30"/>
      <c r="Y2627" s="30"/>
      <c r="Z2627" s="30"/>
      <c r="AA2627" s="30"/>
      <c r="AB2627" s="30"/>
      <c r="AC2627" s="30"/>
    </row>
    <row r="2628" ht="15.75" customHeight="1">
      <c r="A2628" s="14" t="s">
        <v>17</v>
      </c>
      <c r="B2628" s="14">
        <v>1992.0</v>
      </c>
      <c r="C2628" s="14" t="s">
        <v>987</v>
      </c>
      <c r="D2628" s="14" t="s">
        <v>988</v>
      </c>
      <c r="E2628" s="150" t="s">
        <v>989</v>
      </c>
      <c r="F2628" s="14">
        <v>411.0</v>
      </c>
      <c r="G2628" s="14">
        <v>418.0</v>
      </c>
      <c r="H2628" s="151"/>
      <c r="I2628" s="14" t="s">
        <v>28</v>
      </c>
      <c r="J2628" s="14" t="s">
        <v>41328</v>
      </c>
      <c r="K2628" s="14" t="s">
        <v>41329</v>
      </c>
      <c r="L2628" s="152" t="s">
        <v>993</v>
      </c>
      <c r="M2628" s="14" t="s">
        <v>41330</v>
      </c>
      <c r="N2628" s="54" t="s">
        <v>41329</v>
      </c>
      <c r="O2628" s="130"/>
      <c r="P2628" s="16"/>
      <c r="Q2628" s="14">
        <v>235178.0</v>
      </c>
      <c r="R2628" s="14"/>
      <c r="S2628" s="212"/>
      <c r="T2628" s="30"/>
      <c r="U2628" s="30"/>
      <c r="V2628" s="30"/>
      <c r="W2628" s="30"/>
      <c r="X2628" s="30"/>
      <c r="Y2628" s="30"/>
      <c r="Z2628" s="30"/>
      <c r="AA2628" s="30"/>
      <c r="AB2628" s="30"/>
      <c r="AC2628" s="30"/>
    </row>
    <row r="2629" ht="15.75" customHeight="1">
      <c r="A2629" s="14" t="s">
        <v>17</v>
      </c>
      <c r="B2629" s="14">
        <v>1992.0</v>
      </c>
      <c r="C2629" s="14" t="s">
        <v>1124</v>
      </c>
      <c r="D2629" s="14" t="s">
        <v>1125</v>
      </c>
      <c r="E2629" s="150" t="s">
        <v>1126</v>
      </c>
      <c r="F2629" s="14">
        <v>268.0</v>
      </c>
      <c r="G2629" s="14">
        <v>273.0</v>
      </c>
      <c r="H2629" s="151"/>
      <c r="I2629" s="14" t="s">
        <v>28</v>
      </c>
      <c r="J2629" s="14" t="s">
        <v>41332</v>
      </c>
      <c r="K2629" s="14" t="s">
        <v>41333</v>
      </c>
      <c r="L2629" s="152" t="s">
        <v>713</v>
      </c>
      <c r="M2629" s="14">
        <v>3.73522003E10</v>
      </c>
      <c r="N2629" s="54" t="s">
        <v>7732</v>
      </c>
      <c r="O2629" s="130"/>
      <c r="P2629" s="16"/>
      <c r="Q2629" s="14">
        <v>235199.0</v>
      </c>
      <c r="R2629" s="14"/>
      <c r="S2629" s="212"/>
      <c r="T2629" s="30"/>
      <c r="U2629" s="30"/>
      <c r="V2629" s="30"/>
      <c r="W2629" s="30"/>
      <c r="X2629" s="30"/>
      <c r="Y2629" s="30"/>
      <c r="Z2629" s="30"/>
      <c r="AA2629" s="30"/>
      <c r="AB2629" s="30"/>
      <c r="AC2629" s="30"/>
    </row>
    <row r="2630" ht="15.75" customHeight="1">
      <c r="A2630" s="14" t="s">
        <v>17</v>
      </c>
      <c r="B2630" s="14">
        <v>1992.0</v>
      </c>
      <c r="C2630" s="14" t="s">
        <v>1078</v>
      </c>
      <c r="D2630" s="14" t="s">
        <v>1079</v>
      </c>
      <c r="E2630" s="150" t="s">
        <v>1080</v>
      </c>
      <c r="F2630" s="14">
        <v>324.0</v>
      </c>
      <c r="G2630" s="14">
        <v>331.0</v>
      </c>
      <c r="H2630" s="151"/>
      <c r="I2630" s="14" t="s">
        <v>28</v>
      </c>
      <c r="J2630" s="14" t="s">
        <v>41335</v>
      </c>
      <c r="K2630" s="14" t="s">
        <v>41336</v>
      </c>
      <c r="L2630" s="152" t="s">
        <v>789</v>
      </c>
      <c r="M2630" s="14" t="s">
        <v>41337</v>
      </c>
      <c r="N2630" s="54" t="s">
        <v>41336</v>
      </c>
      <c r="O2630" s="130"/>
      <c r="P2630" s="16"/>
      <c r="Q2630" s="14">
        <v>235192.0</v>
      </c>
      <c r="R2630" s="14"/>
      <c r="S2630" s="212"/>
      <c r="T2630" s="30"/>
      <c r="U2630" s="30"/>
      <c r="V2630" s="30"/>
      <c r="W2630" s="30"/>
      <c r="X2630" s="30"/>
      <c r="Y2630" s="30"/>
      <c r="Z2630" s="30"/>
      <c r="AA2630" s="30"/>
      <c r="AB2630" s="30"/>
      <c r="AC2630" s="30"/>
    </row>
    <row r="2631" ht="15.75" customHeight="1">
      <c r="A2631" s="14" t="s">
        <v>17</v>
      </c>
      <c r="B2631" s="14">
        <v>1992.0</v>
      </c>
      <c r="C2631" s="14" t="s">
        <v>1002</v>
      </c>
      <c r="D2631" s="14" t="s">
        <v>1003</v>
      </c>
      <c r="E2631" s="150" t="s">
        <v>1004</v>
      </c>
      <c r="F2631" s="14">
        <v>398.0</v>
      </c>
      <c r="G2631" s="14">
        <v>403.0</v>
      </c>
      <c r="H2631" s="151"/>
      <c r="I2631" s="14" t="s">
        <v>28</v>
      </c>
      <c r="J2631" s="14" t="s">
        <v>41339</v>
      </c>
      <c r="K2631" s="14" t="s">
        <v>9968</v>
      </c>
      <c r="L2631" s="152" t="s">
        <v>1009</v>
      </c>
      <c r="M2631" s="14">
        <v>3.7382629E10</v>
      </c>
      <c r="N2631" s="54" t="s">
        <v>9968</v>
      </c>
      <c r="O2631" s="130" t="s">
        <v>895</v>
      </c>
      <c r="P2631" s="16"/>
      <c r="Q2631" s="14">
        <v>235180.0</v>
      </c>
      <c r="R2631" s="14"/>
      <c r="S2631" s="212">
        <v>175830.0</v>
      </c>
      <c r="T2631" s="30"/>
      <c r="U2631" s="30"/>
      <c r="V2631" s="30"/>
      <c r="W2631" s="30"/>
      <c r="X2631" s="30"/>
      <c r="Y2631" s="30"/>
      <c r="Z2631" s="30"/>
      <c r="AA2631" s="30"/>
      <c r="AB2631" s="30"/>
      <c r="AC2631" s="30"/>
    </row>
    <row r="2632" ht="15.75" customHeight="1">
      <c r="A2632" s="14" t="s">
        <v>17</v>
      </c>
      <c r="B2632" s="14">
        <v>1992.0</v>
      </c>
      <c r="C2632" s="14" t="s">
        <v>1083</v>
      </c>
      <c r="D2632" s="14" t="s">
        <v>1084</v>
      </c>
      <c r="E2632" s="150" t="s">
        <v>1085</v>
      </c>
      <c r="F2632" s="14">
        <v>316.0</v>
      </c>
      <c r="G2632" s="14">
        <v>323.0</v>
      </c>
      <c r="H2632" s="151"/>
      <c r="I2632" s="14" t="s">
        <v>28</v>
      </c>
      <c r="J2632" s="14" t="s">
        <v>41340</v>
      </c>
      <c r="K2632" s="14" t="s">
        <v>40858</v>
      </c>
      <c r="L2632" s="152" t="s">
        <v>30</v>
      </c>
      <c r="M2632" s="14" t="s">
        <v>40859</v>
      </c>
      <c r="N2632" s="54" t="s">
        <v>40860</v>
      </c>
      <c r="O2632" s="130" t="s">
        <v>1090</v>
      </c>
      <c r="P2632" s="16"/>
      <c r="Q2632" s="14">
        <v>235193.0</v>
      </c>
      <c r="R2632" s="14"/>
      <c r="S2632" s="212" t="s">
        <v>41341</v>
      </c>
      <c r="T2632" s="30"/>
      <c r="U2632" s="30"/>
      <c r="V2632" s="30"/>
      <c r="W2632" s="30"/>
      <c r="X2632" s="30"/>
      <c r="Y2632" s="30"/>
      <c r="Z2632" s="30"/>
      <c r="AA2632" s="30"/>
      <c r="AB2632" s="30"/>
      <c r="AC2632" s="30"/>
    </row>
    <row r="2633" ht="15.75" customHeight="1">
      <c r="A2633" s="14" t="s">
        <v>17</v>
      </c>
      <c r="B2633" s="14">
        <v>1992.0</v>
      </c>
      <c r="C2633" s="14" t="s">
        <v>1217</v>
      </c>
      <c r="D2633" s="14" t="s">
        <v>1218</v>
      </c>
      <c r="E2633" s="150" t="s">
        <v>1219</v>
      </c>
      <c r="F2633" s="14">
        <v>156.0</v>
      </c>
      <c r="G2633" s="14">
        <v>163.0</v>
      </c>
      <c r="H2633" s="151"/>
      <c r="I2633" s="14" t="s">
        <v>28</v>
      </c>
      <c r="J2633" s="14" t="s">
        <v>41342</v>
      </c>
      <c r="K2633" s="14" t="s">
        <v>8838</v>
      </c>
      <c r="L2633" s="152" t="s">
        <v>1221</v>
      </c>
      <c r="M2633" s="14">
        <v>3.72843049E10</v>
      </c>
      <c r="N2633" s="54" t="s">
        <v>8838</v>
      </c>
      <c r="O2633" s="130" t="s">
        <v>470</v>
      </c>
      <c r="P2633" s="16"/>
      <c r="Q2633" s="14">
        <v>235213.0</v>
      </c>
      <c r="R2633" s="14"/>
      <c r="S2633" s="212">
        <v>175771.0</v>
      </c>
      <c r="T2633" s="30"/>
      <c r="U2633" s="30"/>
      <c r="V2633" s="30"/>
      <c r="W2633" s="30"/>
      <c r="X2633" s="30"/>
      <c r="Y2633" s="30"/>
      <c r="Z2633" s="30"/>
      <c r="AA2633" s="30"/>
      <c r="AB2633" s="30"/>
      <c r="AC2633" s="30"/>
    </row>
    <row r="2634" ht="15.75" customHeight="1">
      <c r="A2634" s="14" t="s">
        <v>17</v>
      </c>
      <c r="B2634" s="14">
        <v>1992.0</v>
      </c>
      <c r="C2634" s="14" t="s">
        <v>967</v>
      </c>
      <c r="D2634" s="14" t="s">
        <v>968</v>
      </c>
      <c r="E2634" s="150" t="s">
        <v>969</v>
      </c>
      <c r="F2634" s="14">
        <v>428.0</v>
      </c>
      <c r="G2634" s="14">
        <v>435.0</v>
      </c>
      <c r="H2634" s="151"/>
      <c r="I2634" s="14" t="s">
        <v>28</v>
      </c>
      <c r="J2634" s="14" t="s">
        <v>41344</v>
      </c>
      <c r="K2634" s="14" t="s">
        <v>41345</v>
      </c>
      <c r="L2634" s="152" t="s">
        <v>971</v>
      </c>
      <c r="M2634" s="14" t="s">
        <v>971</v>
      </c>
      <c r="N2634" s="54" t="s">
        <v>41346</v>
      </c>
      <c r="O2634" s="130" t="s">
        <v>972</v>
      </c>
      <c r="P2634" s="16"/>
      <c r="Q2634" s="14">
        <v>235175.0</v>
      </c>
      <c r="R2634" s="14"/>
      <c r="S2634" s="212">
        <v>235215.0</v>
      </c>
      <c r="T2634" s="30"/>
      <c r="U2634" s="30"/>
      <c r="V2634" s="30"/>
      <c r="W2634" s="30"/>
      <c r="X2634" s="30"/>
      <c r="Y2634" s="30"/>
      <c r="Z2634" s="30"/>
      <c r="AA2634" s="30"/>
      <c r="AB2634" s="30"/>
      <c r="AC2634" s="30"/>
    </row>
    <row r="2635" ht="15.75" customHeight="1">
      <c r="A2635" s="14" t="s">
        <v>17</v>
      </c>
      <c r="B2635" s="14">
        <v>1992.0</v>
      </c>
      <c r="C2635" s="14" t="s">
        <v>953</v>
      </c>
      <c r="D2635" s="14" t="s">
        <v>954</v>
      </c>
      <c r="E2635" s="150" t="s">
        <v>955</v>
      </c>
      <c r="F2635" s="14">
        <v>441.0</v>
      </c>
      <c r="G2635" s="14">
        <v>445.0</v>
      </c>
      <c r="H2635" s="151"/>
      <c r="I2635" s="14" t="s">
        <v>28</v>
      </c>
      <c r="J2635" s="14" t="s">
        <v>41347</v>
      </c>
      <c r="K2635" s="14" t="s">
        <v>41348</v>
      </c>
      <c r="L2635" s="152" t="s">
        <v>957</v>
      </c>
      <c r="M2635" s="14" t="s">
        <v>41349</v>
      </c>
      <c r="N2635" s="54" t="s">
        <v>41350</v>
      </c>
      <c r="O2635" s="130"/>
      <c r="P2635" s="16"/>
      <c r="Q2635" s="14">
        <v>235173.0</v>
      </c>
      <c r="R2635" s="14"/>
      <c r="S2635" s="212"/>
      <c r="T2635" s="30"/>
      <c r="U2635" s="30"/>
      <c r="V2635" s="30"/>
      <c r="W2635" s="30"/>
      <c r="X2635" s="30"/>
      <c r="Y2635" s="30"/>
      <c r="Z2635" s="30"/>
      <c r="AA2635" s="30"/>
      <c r="AB2635" s="30"/>
      <c r="AC2635" s="30"/>
    </row>
    <row r="2636" ht="15.75" customHeight="1">
      <c r="A2636" s="14" t="s">
        <v>17</v>
      </c>
      <c r="B2636" s="14">
        <v>1992.0</v>
      </c>
      <c r="C2636" s="14" t="s">
        <v>1169</v>
      </c>
      <c r="D2636" s="14" t="s">
        <v>1170</v>
      </c>
      <c r="E2636" s="150" t="s">
        <v>1171</v>
      </c>
      <c r="F2636" s="14">
        <v>210.0</v>
      </c>
      <c r="G2636" s="14">
        <v>217.0</v>
      </c>
      <c r="H2636" s="151"/>
      <c r="I2636" s="14" t="s">
        <v>28</v>
      </c>
      <c r="J2636" s="14" t="s">
        <v>41352</v>
      </c>
      <c r="K2636" s="14" t="s">
        <v>41353</v>
      </c>
      <c r="L2636" s="152" t="s">
        <v>1174</v>
      </c>
      <c r="M2636" s="14" t="s">
        <v>41354</v>
      </c>
      <c r="N2636" s="54" t="s">
        <v>41353</v>
      </c>
      <c r="O2636" s="130"/>
      <c r="P2636" s="16"/>
      <c r="Q2636" s="14">
        <v>235206.0</v>
      </c>
      <c r="R2636" s="14"/>
      <c r="S2636" s="212"/>
      <c r="T2636" s="30"/>
      <c r="U2636" s="30"/>
      <c r="V2636" s="30"/>
      <c r="W2636" s="30"/>
      <c r="X2636" s="30"/>
      <c r="Y2636" s="30"/>
      <c r="Z2636" s="30"/>
      <c r="AA2636" s="30"/>
      <c r="AB2636" s="30"/>
      <c r="AC2636" s="30"/>
    </row>
    <row r="2637" ht="15.75" customHeight="1">
      <c r="A2637" s="14" t="s">
        <v>17</v>
      </c>
      <c r="B2637" s="14">
        <v>1992.0</v>
      </c>
      <c r="C2637" s="14" t="s">
        <v>1053</v>
      </c>
      <c r="D2637" s="14" t="s">
        <v>1054</v>
      </c>
      <c r="E2637" s="150" t="s">
        <v>1055</v>
      </c>
      <c r="F2637" s="14">
        <v>356.0</v>
      </c>
      <c r="G2637" s="14">
        <v>360.0</v>
      </c>
      <c r="H2637" s="151"/>
      <c r="I2637" s="14" t="s">
        <v>28</v>
      </c>
      <c r="J2637" s="14" t="s">
        <v>41355</v>
      </c>
      <c r="K2637" s="14" t="s">
        <v>7433</v>
      </c>
      <c r="L2637" s="152" t="s">
        <v>1057</v>
      </c>
      <c r="M2637" s="14">
        <v>3.73890583E10</v>
      </c>
      <c r="N2637" s="54" t="s">
        <v>7433</v>
      </c>
      <c r="O2637" s="130"/>
      <c r="P2637" s="16"/>
      <c r="Q2637" s="14">
        <v>235188.0</v>
      </c>
      <c r="R2637" s="14"/>
      <c r="S2637" s="212"/>
      <c r="T2637" s="30"/>
      <c r="U2637" s="30"/>
      <c r="V2637" s="30"/>
      <c r="W2637" s="30"/>
      <c r="X2637" s="30"/>
      <c r="Y2637" s="30"/>
      <c r="Z2637" s="30"/>
      <c r="AA2637" s="30"/>
      <c r="AB2637" s="30"/>
      <c r="AC2637" s="30"/>
    </row>
    <row r="2638" ht="15.75" customHeight="1">
      <c r="A2638" s="14" t="s">
        <v>17</v>
      </c>
      <c r="B2638" s="14">
        <v>1992.0</v>
      </c>
      <c r="C2638" s="14" t="s">
        <v>973</v>
      </c>
      <c r="D2638" s="14" t="s">
        <v>975</v>
      </c>
      <c r="E2638" s="150" t="s">
        <v>976</v>
      </c>
      <c r="F2638" s="14">
        <v>424.0</v>
      </c>
      <c r="G2638" s="14">
        <v>427.0</v>
      </c>
      <c r="H2638" s="151"/>
      <c r="I2638" s="14" t="s">
        <v>28</v>
      </c>
      <c r="J2638" s="14" t="s">
        <v>41356</v>
      </c>
      <c r="K2638" s="14" t="s">
        <v>41357</v>
      </c>
      <c r="L2638" s="152" t="s">
        <v>979</v>
      </c>
      <c r="M2638" s="14" t="s">
        <v>41358</v>
      </c>
      <c r="N2638" s="54" t="s">
        <v>41357</v>
      </c>
      <c r="O2638" s="130"/>
      <c r="P2638" s="16"/>
      <c r="Q2638" s="14">
        <v>235176.0</v>
      </c>
      <c r="R2638" s="14"/>
      <c r="S2638" s="212"/>
      <c r="T2638" s="30"/>
      <c r="U2638" s="30"/>
      <c r="V2638" s="30"/>
      <c r="W2638" s="30"/>
      <c r="X2638" s="30"/>
      <c r="Y2638" s="30"/>
      <c r="Z2638" s="30"/>
      <c r="AA2638" s="30"/>
      <c r="AB2638" s="30"/>
      <c r="AC2638" s="30"/>
    </row>
    <row r="2639" ht="15.75" customHeight="1">
      <c r="A2639" s="14" t="s">
        <v>17</v>
      </c>
      <c r="B2639" s="14">
        <v>1992.0</v>
      </c>
      <c r="C2639" s="14" t="s">
        <v>1010</v>
      </c>
      <c r="D2639" s="14" t="s">
        <v>1011</v>
      </c>
      <c r="E2639" s="150" t="s">
        <v>1012</v>
      </c>
      <c r="F2639" s="14">
        <v>390.0</v>
      </c>
      <c r="G2639" s="14">
        <v>397.0</v>
      </c>
      <c r="H2639" s="151"/>
      <c r="I2639" s="14" t="s">
        <v>28</v>
      </c>
      <c r="J2639" s="14" t="s">
        <v>41360</v>
      </c>
      <c r="K2639" s="14" t="s">
        <v>41361</v>
      </c>
      <c r="L2639" s="152" t="s">
        <v>1015</v>
      </c>
      <c r="M2639" s="14" t="s">
        <v>41362</v>
      </c>
      <c r="N2639" s="54" t="s">
        <v>41361</v>
      </c>
      <c r="O2639" s="130"/>
      <c r="P2639" s="16"/>
      <c r="Q2639" s="14">
        <v>235181.0</v>
      </c>
      <c r="R2639" s="14"/>
      <c r="S2639" s="212"/>
      <c r="T2639" s="30"/>
      <c r="U2639" s="30"/>
      <c r="V2639" s="30"/>
      <c r="W2639" s="30"/>
      <c r="X2639" s="30"/>
      <c r="Y2639" s="30"/>
      <c r="Z2639" s="30"/>
      <c r="AA2639" s="30"/>
      <c r="AB2639" s="30"/>
      <c r="AC2639" s="30"/>
    </row>
    <row r="2640" ht="15.75" customHeight="1">
      <c r="A2640" s="14" t="s">
        <v>17</v>
      </c>
      <c r="B2640" s="14">
        <v>1992.0</v>
      </c>
      <c r="C2640" s="14" t="s">
        <v>1196</v>
      </c>
      <c r="D2640" s="14" t="s">
        <v>1197</v>
      </c>
      <c r="E2640" s="150" t="s">
        <v>1199</v>
      </c>
      <c r="F2640" s="14">
        <v>179.0</v>
      </c>
      <c r="G2640" s="14">
        <v>184.0</v>
      </c>
      <c r="H2640" s="151"/>
      <c r="I2640" s="14" t="s">
        <v>28</v>
      </c>
      <c r="J2640" s="14" t="s">
        <v>41363</v>
      </c>
      <c r="K2640" s="14" t="s">
        <v>41364</v>
      </c>
      <c r="L2640" s="152" t="s">
        <v>1153</v>
      </c>
      <c r="M2640" s="14" t="s">
        <v>41365</v>
      </c>
      <c r="N2640" s="54" t="s">
        <v>41364</v>
      </c>
      <c r="O2640" s="130" t="s">
        <v>487</v>
      </c>
      <c r="P2640" s="153" t="s">
        <v>1203</v>
      </c>
      <c r="Q2640" s="14">
        <v>235210.0</v>
      </c>
      <c r="R2640" s="14"/>
      <c r="S2640" s="212">
        <v>175773.0</v>
      </c>
      <c r="T2640" s="30"/>
      <c r="U2640" s="30"/>
      <c r="V2640" s="30"/>
      <c r="W2640" s="30"/>
      <c r="X2640" s="30"/>
      <c r="Y2640" s="30"/>
      <c r="Z2640" s="30"/>
      <c r="AA2640" s="30"/>
      <c r="AB2640" s="30"/>
      <c r="AC2640" s="30"/>
    </row>
    <row r="2641" ht="15.75" customHeight="1">
      <c r="A2641" s="14" t="s">
        <v>17</v>
      </c>
      <c r="B2641" s="14">
        <v>1992.0</v>
      </c>
      <c r="C2641" s="14" t="s">
        <v>1266</v>
      </c>
      <c r="D2641" s="14" t="s">
        <v>1267</v>
      </c>
      <c r="E2641" s="150" t="s">
        <v>1268</v>
      </c>
      <c r="F2641" s="14">
        <v>93.0</v>
      </c>
      <c r="G2641" s="14">
        <v>98.0</v>
      </c>
      <c r="H2641" s="151"/>
      <c r="I2641" s="14" t="s">
        <v>28</v>
      </c>
      <c r="J2641" s="14" t="s">
        <v>41367</v>
      </c>
      <c r="K2641" s="14" t="s">
        <v>7400</v>
      </c>
      <c r="L2641" s="152" t="s">
        <v>1270</v>
      </c>
      <c r="M2641" s="14">
        <v>3.73894995E10</v>
      </c>
      <c r="N2641" s="54" t="s">
        <v>7400</v>
      </c>
      <c r="O2641" s="130" t="s">
        <v>1271</v>
      </c>
      <c r="P2641" s="16"/>
      <c r="Q2641" s="14">
        <v>235221.0</v>
      </c>
      <c r="R2641" s="14"/>
      <c r="S2641" s="212" t="s">
        <v>41368</v>
      </c>
      <c r="T2641" s="30"/>
      <c r="U2641" s="30"/>
      <c r="V2641" s="30"/>
      <c r="W2641" s="30"/>
      <c r="X2641" s="30"/>
      <c r="Y2641" s="30"/>
      <c r="Z2641" s="30"/>
      <c r="AA2641" s="30"/>
      <c r="AB2641" s="30"/>
      <c r="AC2641" s="30"/>
    </row>
    <row r="2642" ht="15.75" customHeight="1">
      <c r="A2642" s="14" t="s">
        <v>17</v>
      </c>
      <c r="B2642" s="14">
        <v>1992.0</v>
      </c>
      <c r="C2642" s="14" t="s">
        <v>1094</v>
      </c>
      <c r="D2642" s="14" t="s">
        <v>1095</v>
      </c>
      <c r="E2642" s="150" t="s">
        <v>1096</v>
      </c>
      <c r="F2642" s="14">
        <v>308.0</v>
      </c>
      <c r="G2642" s="14">
        <v>315.0</v>
      </c>
      <c r="H2642" s="151"/>
      <c r="I2642" s="14" t="s">
        <v>28</v>
      </c>
      <c r="J2642" s="14" t="s">
        <v>41371</v>
      </c>
      <c r="K2642" s="14" t="s">
        <v>41372</v>
      </c>
      <c r="L2642" s="152" t="s">
        <v>1098</v>
      </c>
      <c r="M2642" s="14" t="s">
        <v>41373</v>
      </c>
      <c r="N2642" s="54" t="s">
        <v>41372</v>
      </c>
      <c r="O2642" s="130"/>
      <c r="P2642" s="16"/>
      <c r="Q2642" s="14">
        <v>235194.0</v>
      </c>
      <c r="R2642" s="14"/>
      <c r="S2642" s="212"/>
      <c r="T2642" s="30"/>
      <c r="U2642" s="30"/>
      <c r="V2642" s="30"/>
      <c r="W2642" s="30"/>
      <c r="X2642" s="30"/>
      <c r="Y2642" s="30"/>
      <c r="Z2642" s="30"/>
      <c r="AA2642" s="30"/>
      <c r="AB2642" s="30"/>
      <c r="AC2642" s="30"/>
    </row>
    <row r="2643" ht="15.75" customHeight="1">
      <c r="A2643" s="14" t="s">
        <v>17</v>
      </c>
      <c r="B2643" s="14">
        <v>1991.0</v>
      </c>
      <c r="C2643" s="14" t="s">
        <v>824</v>
      </c>
      <c r="D2643" s="14" t="s">
        <v>825</v>
      </c>
      <c r="E2643" s="150" t="s">
        <v>826</v>
      </c>
      <c r="F2643" s="14">
        <v>298.0</v>
      </c>
      <c r="G2643" s="14">
        <v>305.0</v>
      </c>
      <c r="H2643" s="151"/>
      <c r="I2643" s="14" t="s">
        <v>28</v>
      </c>
      <c r="J2643" s="14" t="s">
        <v>41375</v>
      </c>
      <c r="K2643" s="14" t="s">
        <v>41376</v>
      </c>
      <c r="L2643" s="152" t="s">
        <v>828</v>
      </c>
      <c r="M2643" s="14" t="s">
        <v>41377</v>
      </c>
      <c r="N2643" s="54" t="s">
        <v>41378</v>
      </c>
      <c r="O2643" s="130"/>
      <c r="P2643" s="16"/>
      <c r="Q2643" s="14">
        <v>175818.0</v>
      </c>
      <c r="R2643" s="14"/>
      <c r="S2643" s="212"/>
      <c r="T2643" s="30"/>
      <c r="U2643" s="30"/>
      <c r="V2643" s="30"/>
      <c r="W2643" s="30"/>
      <c r="X2643" s="30"/>
      <c r="Y2643" s="30"/>
      <c r="Z2643" s="30"/>
      <c r="AA2643" s="30"/>
      <c r="AB2643" s="30"/>
      <c r="AC2643" s="30"/>
    </row>
    <row r="2644" ht="15.75" customHeight="1">
      <c r="A2644" s="14" t="s">
        <v>17</v>
      </c>
      <c r="B2644" s="14">
        <v>1991.0</v>
      </c>
      <c r="C2644" s="14" t="s">
        <v>750</v>
      </c>
      <c r="D2644" s="14" t="s">
        <v>751</v>
      </c>
      <c r="E2644" s="150" t="s">
        <v>752</v>
      </c>
      <c r="F2644" s="14">
        <v>232.0</v>
      </c>
      <c r="G2644" s="14" t="s">
        <v>754</v>
      </c>
      <c r="H2644" s="151"/>
      <c r="I2644" s="14" t="s">
        <v>28</v>
      </c>
      <c r="J2644" s="14" t="s">
        <v>41381</v>
      </c>
      <c r="K2644" s="14" t="s">
        <v>41382</v>
      </c>
      <c r="L2644" s="152" t="s">
        <v>762</v>
      </c>
      <c r="M2644" s="14" t="s">
        <v>41383</v>
      </c>
      <c r="N2644" s="54" t="s">
        <v>41382</v>
      </c>
      <c r="O2644" s="130"/>
      <c r="P2644" s="16"/>
      <c r="Q2644" s="14">
        <v>175806.0</v>
      </c>
      <c r="R2644" s="14"/>
      <c r="S2644" s="212"/>
      <c r="T2644" s="30"/>
      <c r="U2644" s="30"/>
      <c r="V2644" s="30"/>
      <c r="W2644" s="30"/>
      <c r="X2644" s="30"/>
      <c r="Y2644" s="30"/>
      <c r="Z2644" s="30"/>
      <c r="AA2644" s="30"/>
      <c r="AB2644" s="30"/>
      <c r="AC2644" s="30"/>
    </row>
    <row r="2645" ht="15.75" customHeight="1">
      <c r="A2645" s="14" t="s">
        <v>17</v>
      </c>
      <c r="B2645" s="14">
        <v>1991.0</v>
      </c>
      <c r="C2645" s="14" t="s">
        <v>785</v>
      </c>
      <c r="D2645" s="14" t="s">
        <v>786</v>
      </c>
      <c r="E2645" s="150" t="s">
        <v>787</v>
      </c>
      <c r="F2645" s="14">
        <v>262.0</v>
      </c>
      <c r="G2645" s="14">
        <v>267.0</v>
      </c>
      <c r="H2645" s="151"/>
      <c r="I2645" s="14" t="s">
        <v>28</v>
      </c>
      <c r="J2645" s="14" t="s">
        <v>41384</v>
      </c>
      <c r="K2645" s="14" t="s">
        <v>41385</v>
      </c>
      <c r="L2645" s="152" t="s">
        <v>789</v>
      </c>
      <c r="M2645" s="14" t="s">
        <v>41386</v>
      </c>
      <c r="N2645" s="54" t="s">
        <v>41387</v>
      </c>
      <c r="O2645" s="130"/>
      <c r="P2645" s="16"/>
      <c r="Q2645" s="14">
        <v>175811.0</v>
      </c>
      <c r="R2645" s="14"/>
      <c r="S2645" s="212"/>
      <c r="T2645" s="30"/>
      <c r="U2645" s="30"/>
      <c r="V2645" s="30"/>
      <c r="W2645" s="30"/>
      <c r="X2645" s="30"/>
      <c r="Y2645" s="30"/>
      <c r="Z2645" s="30"/>
      <c r="AA2645" s="30"/>
      <c r="AB2645" s="30"/>
      <c r="AC2645" s="30"/>
    </row>
    <row r="2646" ht="15.75" customHeight="1">
      <c r="A2646" s="14" t="s">
        <v>17</v>
      </c>
      <c r="B2646" s="14">
        <v>1991.0</v>
      </c>
      <c r="C2646" s="14" t="s">
        <v>486</v>
      </c>
      <c r="D2646" s="14" t="s">
        <v>487</v>
      </c>
      <c r="E2646" s="150" t="s">
        <v>488</v>
      </c>
      <c r="F2646" s="14">
        <v>33.0</v>
      </c>
      <c r="G2646" s="14" t="s">
        <v>490</v>
      </c>
      <c r="H2646" s="151"/>
      <c r="I2646" s="14" t="s">
        <v>28</v>
      </c>
      <c r="J2646" s="14" t="s">
        <v>41389</v>
      </c>
      <c r="K2646" s="14" t="s">
        <v>41390</v>
      </c>
      <c r="L2646" s="152" t="s">
        <v>494</v>
      </c>
      <c r="M2646" s="14" t="s">
        <v>41391</v>
      </c>
      <c r="N2646" s="54" t="s">
        <v>41390</v>
      </c>
      <c r="O2646" s="130" t="s">
        <v>495</v>
      </c>
      <c r="P2646" s="16"/>
      <c r="Q2646" s="14">
        <v>175773.0</v>
      </c>
      <c r="R2646" s="14"/>
      <c r="S2646" s="212" t="s">
        <v>41392</v>
      </c>
      <c r="T2646" s="30"/>
      <c r="U2646" s="30"/>
      <c r="V2646" s="30"/>
      <c r="W2646" s="30"/>
      <c r="X2646" s="30"/>
      <c r="Y2646" s="30"/>
      <c r="Z2646" s="30"/>
      <c r="AA2646" s="30"/>
      <c r="AB2646" s="30"/>
      <c r="AC2646" s="30"/>
    </row>
    <row r="2647" ht="15.75" customHeight="1">
      <c r="A2647" s="14" t="s">
        <v>17</v>
      </c>
      <c r="B2647" s="14">
        <v>1991.0</v>
      </c>
      <c r="C2647" s="14" t="s">
        <v>510</v>
      </c>
      <c r="D2647" s="14" t="s">
        <v>511</v>
      </c>
      <c r="E2647" s="150" t="s">
        <v>512</v>
      </c>
      <c r="F2647" s="14">
        <v>58.0</v>
      </c>
      <c r="G2647" s="14" t="s">
        <v>516</v>
      </c>
      <c r="H2647" s="151"/>
      <c r="I2647" s="14" t="s">
        <v>28</v>
      </c>
      <c r="J2647" s="14" t="s">
        <v>41393</v>
      </c>
      <c r="K2647" s="14" t="s">
        <v>41394</v>
      </c>
      <c r="L2647" s="152" t="s">
        <v>518</v>
      </c>
      <c r="M2647" s="14" t="s">
        <v>41395</v>
      </c>
      <c r="N2647" s="54" t="s">
        <v>41396</v>
      </c>
      <c r="O2647" s="130"/>
      <c r="P2647" s="16"/>
      <c r="Q2647" s="14">
        <v>175778.0</v>
      </c>
      <c r="R2647" s="14"/>
      <c r="S2647" s="212"/>
      <c r="T2647" s="30"/>
      <c r="U2647" s="30"/>
      <c r="V2647" s="30"/>
      <c r="W2647" s="30"/>
      <c r="X2647" s="30"/>
      <c r="Y2647" s="30"/>
      <c r="Z2647" s="30"/>
      <c r="AA2647" s="30"/>
      <c r="AB2647" s="30"/>
      <c r="AC2647" s="30"/>
    </row>
    <row r="2648" ht="15.75" customHeight="1">
      <c r="A2648" s="14" t="s">
        <v>17</v>
      </c>
      <c r="B2648" s="14">
        <v>1991.0</v>
      </c>
      <c r="C2648" s="14" t="s">
        <v>542</v>
      </c>
      <c r="D2648" s="14" t="s">
        <v>544</v>
      </c>
      <c r="E2648" s="150" t="s">
        <v>546</v>
      </c>
      <c r="F2648" s="14">
        <v>94.0</v>
      </c>
      <c r="G2648" s="14" t="s">
        <v>547</v>
      </c>
      <c r="H2648" s="151"/>
      <c r="I2648" s="14" t="s">
        <v>28</v>
      </c>
      <c r="J2648" s="14" t="s">
        <v>41397</v>
      </c>
      <c r="K2648" s="14" t="s">
        <v>41399</v>
      </c>
      <c r="L2648" s="152" t="s">
        <v>549</v>
      </c>
      <c r="M2648" s="14" t="s">
        <v>41400</v>
      </c>
      <c r="N2648" s="54" t="s">
        <v>41399</v>
      </c>
      <c r="O2648" s="130"/>
      <c r="P2648" s="16"/>
      <c r="Q2648" s="14">
        <v>175784.0</v>
      </c>
      <c r="R2648" s="14"/>
      <c r="S2648" s="212"/>
      <c r="T2648" s="30"/>
      <c r="U2648" s="30"/>
      <c r="V2648" s="30"/>
      <c r="W2648" s="30"/>
      <c r="X2648" s="30"/>
      <c r="Y2648" s="30"/>
      <c r="Z2648" s="30"/>
      <c r="AA2648" s="30"/>
      <c r="AB2648" s="30"/>
      <c r="AC2648" s="30"/>
    </row>
    <row r="2649" ht="15.75" customHeight="1">
      <c r="A2649" s="14" t="s">
        <v>17</v>
      </c>
      <c r="B2649" s="14">
        <v>1991.0</v>
      </c>
      <c r="C2649" s="14" t="s">
        <v>914</v>
      </c>
      <c r="D2649" s="14" t="s">
        <v>915</v>
      </c>
      <c r="E2649" s="150" t="s">
        <v>916</v>
      </c>
      <c r="F2649" s="14">
        <v>372.0</v>
      </c>
      <c r="G2649" s="14" t="s">
        <v>917</v>
      </c>
      <c r="H2649" s="151"/>
      <c r="I2649" s="14" t="s">
        <v>28</v>
      </c>
      <c r="J2649" s="14" t="s">
        <v>41402</v>
      </c>
      <c r="K2649" s="14" t="s">
        <v>8983</v>
      </c>
      <c r="L2649" s="152" t="s">
        <v>918</v>
      </c>
      <c r="M2649" s="14">
        <v>3.75630841E10</v>
      </c>
      <c r="N2649" s="54" t="s">
        <v>8983</v>
      </c>
      <c r="O2649" s="130"/>
      <c r="P2649" s="16"/>
      <c r="Q2649" s="14">
        <v>175833.0</v>
      </c>
      <c r="R2649" s="14"/>
      <c r="S2649" s="212"/>
      <c r="T2649" s="30"/>
      <c r="U2649" s="30"/>
      <c r="V2649" s="30"/>
      <c r="W2649" s="30"/>
      <c r="X2649" s="30"/>
      <c r="Y2649" s="30"/>
      <c r="Z2649" s="30"/>
      <c r="AA2649" s="30"/>
      <c r="AB2649" s="30"/>
      <c r="AC2649" s="30"/>
    </row>
    <row r="2650" ht="15.75" customHeight="1">
      <c r="A2650" s="14" t="s">
        <v>17</v>
      </c>
      <c r="B2650" s="14">
        <v>1991.0</v>
      </c>
      <c r="C2650" s="14" t="s">
        <v>856</v>
      </c>
      <c r="D2650" s="14" t="s">
        <v>857</v>
      </c>
      <c r="E2650" s="150" t="s">
        <v>858</v>
      </c>
      <c r="F2650" s="14">
        <v>330.0</v>
      </c>
      <c r="G2650" s="14">
        <v>335.0</v>
      </c>
      <c r="H2650" s="159" t="s">
        <v>30659</v>
      </c>
      <c r="I2650" s="14" t="s">
        <v>21</v>
      </c>
      <c r="J2650" s="14" t="s">
        <v>41403</v>
      </c>
      <c r="K2650" s="14" t="s">
        <v>41404</v>
      </c>
      <c r="L2650" s="152" t="s">
        <v>860</v>
      </c>
      <c r="M2650" s="14" t="s">
        <v>41405</v>
      </c>
      <c r="N2650" s="54" t="s">
        <v>41406</v>
      </c>
      <c r="O2650" s="130"/>
      <c r="P2650" s="16"/>
      <c r="Q2650" s="14">
        <v>175823.0</v>
      </c>
      <c r="R2650" s="14"/>
      <c r="S2650" s="212"/>
      <c r="T2650" s="30"/>
      <c r="U2650" s="30"/>
      <c r="V2650" s="30"/>
      <c r="W2650" s="30"/>
      <c r="X2650" s="30"/>
      <c r="Y2650" s="30"/>
      <c r="Z2650" s="30"/>
      <c r="AA2650" s="30"/>
      <c r="AB2650" s="30"/>
      <c r="AC2650" s="30"/>
    </row>
    <row r="2651" ht="15.75" customHeight="1">
      <c r="A2651" s="14" t="s">
        <v>17</v>
      </c>
      <c r="B2651" s="14">
        <v>1991.0</v>
      </c>
      <c r="C2651" s="14" t="s">
        <v>676</v>
      </c>
      <c r="D2651" s="14" t="s">
        <v>677</v>
      </c>
      <c r="E2651" s="150" t="s">
        <v>678</v>
      </c>
      <c r="F2651" s="14">
        <v>164.0</v>
      </c>
      <c r="G2651" s="14" t="s">
        <v>680</v>
      </c>
      <c r="H2651" s="151"/>
      <c r="I2651" s="14" t="s">
        <v>28</v>
      </c>
      <c r="J2651" s="14" t="s">
        <v>41409</v>
      </c>
      <c r="K2651" s="14" t="s">
        <v>9019</v>
      </c>
      <c r="L2651" s="152" t="s">
        <v>697</v>
      </c>
      <c r="M2651" s="14"/>
      <c r="N2651" s="54" t="s">
        <v>9019</v>
      </c>
      <c r="O2651" s="130"/>
      <c r="P2651" s="16"/>
      <c r="Q2651" s="14">
        <v>175795.0</v>
      </c>
      <c r="R2651" s="14"/>
      <c r="S2651" s="212"/>
      <c r="T2651" s="30"/>
      <c r="U2651" s="30"/>
      <c r="V2651" s="30"/>
      <c r="W2651" s="30"/>
      <c r="X2651" s="30"/>
      <c r="Y2651" s="30"/>
      <c r="Z2651" s="30"/>
      <c r="AA2651" s="30"/>
      <c r="AB2651" s="30"/>
      <c r="AC2651" s="30"/>
    </row>
    <row r="2652" ht="15.75" customHeight="1">
      <c r="A2652" s="14" t="s">
        <v>17</v>
      </c>
      <c r="B2652" s="14">
        <v>1991.0</v>
      </c>
      <c r="C2652" s="14" t="s">
        <v>861</v>
      </c>
      <c r="D2652" s="14" t="s">
        <v>862</v>
      </c>
      <c r="E2652" s="150" t="s">
        <v>863</v>
      </c>
      <c r="F2652" s="14">
        <v>336.0</v>
      </c>
      <c r="G2652" s="14">
        <v>339.0</v>
      </c>
      <c r="H2652" s="159" t="s">
        <v>30659</v>
      </c>
      <c r="I2652" s="14" t="s">
        <v>21</v>
      </c>
      <c r="J2652" s="14" t="s">
        <v>41411</v>
      </c>
      <c r="K2652" s="14" t="s">
        <v>41412</v>
      </c>
      <c r="L2652" s="152" t="s">
        <v>867</v>
      </c>
      <c r="M2652" s="14" t="s">
        <v>41413</v>
      </c>
      <c r="N2652" s="54" t="s">
        <v>41412</v>
      </c>
      <c r="O2652" s="130"/>
      <c r="P2652" s="16"/>
      <c r="Q2652" s="14">
        <v>175824.0</v>
      </c>
      <c r="R2652" s="14"/>
      <c r="S2652" s="212"/>
      <c r="T2652" s="30"/>
      <c r="U2652" s="30"/>
      <c r="V2652" s="30"/>
      <c r="W2652" s="30"/>
      <c r="X2652" s="30"/>
      <c r="Y2652" s="30"/>
      <c r="Z2652" s="30"/>
      <c r="AA2652" s="30"/>
      <c r="AB2652" s="30"/>
      <c r="AC2652" s="30"/>
    </row>
    <row r="2653" ht="15.75" customHeight="1">
      <c r="A2653" s="14" t="s">
        <v>17</v>
      </c>
      <c r="B2653" s="14">
        <v>1991.0</v>
      </c>
      <c r="C2653" s="14" t="s">
        <v>550</v>
      </c>
      <c r="D2653" s="14" t="s">
        <v>551</v>
      </c>
      <c r="E2653" s="150" t="s">
        <v>552</v>
      </c>
      <c r="F2653" s="14">
        <v>102.0</v>
      </c>
      <c r="G2653" s="14">
        <v>108.0</v>
      </c>
      <c r="H2653" s="151"/>
      <c r="I2653" s="14" t="s">
        <v>28</v>
      </c>
      <c r="J2653" s="14" t="s">
        <v>41415</v>
      </c>
      <c r="K2653" s="14" t="s">
        <v>9279</v>
      </c>
      <c r="L2653" s="152" t="s">
        <v>557</v>
      </c>
      <c r="M2653" s="14">
        <v>3.72673878E10</v>
      </c>
      <c r="N2653" s="54" t="s">
        <v>9279</v>
      </c>
      <c r="O2653" s="130"/>
      <c r="P2653" s="16"/>
      <c r="Q2653" s="14">
        <v>175785.0</v>
      </c>
      <c r="R2653" s="14"/>
      <c r="S2653" s="212"/>
      <c r="T2653" s="30"/>
      <c r="U2653" s="30"/>
      <c r="V2653" s="30"/>
      <c r="W2653" s="30"/>
      <c r="X2653" s="30"/>
      <c r="Y2653" s="30"/>
      <c r="Z2653" s="30"/>
      <c r="AA2653" s="30"/>
      <c r="AB2653" s="30"/>
      <c r="AC2653" s="30"/>
    </row>
    <row r="2654" ht="15.75" customHeight="1">
      <c r="A2654" s="14" t="s">
        <v>17</v>
      </c>
      <c r="B2654" s="14">
        <v>1991.0</v>
      </c>
      <c r="C2654" s="14" t="s">
        <v>829</v>
      </c>
      <c r="D2654" s="14" t="s">
        <v>830</v>
      </c>
      <c r="E2654" s="150" t="s">
        <v>831</v>
      </c>
      <c r="F2654" s="14">
        <v>306.0</v>
      </c>
      <c r="G2654" s="14" t="s">
        <v>835</v>
      </c>
      <c r="H2654" s="151"/>
      <c r="I2654" s="14" t="s">
        <v>28</v>
      </c>
      <c r="J2654" s="14" t="s">
        <v>41417</v>
      </c>
      <c r="K2654" s="14" t="s">
        <v>41418</v>
      </c>
      <c r="L2654" s="152" t="s">
        <v>837</v>
      </c>
      <c r="M2654" s="14" t="s">
        <v>41419</v>
      </c>
      <c r="N2654" s="54" t="s">
        <v>41420</v>
      </c>
      <c r="O2654" s="130"/>
      <c r="P2654" s="153" t="s">
        <v>838</v>
      </c>
      <c r="Q2654" s="14">
        <v>175819.0</v>
      </c>
      <c r="R2654" s="14"/>
      <c r="S2654" s="212"/>
      <c r="T2654" s="30"/>
      <c r="U2654" s="30"/>
      <c r="V2654" s="30"/>
      <c r="W2654" s="30"/>
      <c r="X2654" s="30"/>
      <c r="Y2654" s="30"/>
      <c r="Z2654" s="30"/>
      <c r="AA2654" s="30"/>
      <c r="AB2654" s="30"/>
      <c r="AC2654" s="30"/>
    </row>
    <row r="2655" ht="15.75" customHeight="1">
      <c r="A2655" s="14" t="s">
        <v>17</v>
      </c>
      <c r="B2655" s="14">
        <v>1991.0</v>
      </c>
      <c r="C2655" s="14" t="s">
        <v>839</v>
      </c>
      <c r="D2655" s="14" t="s">
        <v>840</v>
      </c>
      <c r="E2655" s="150" t="s">
        <v>841</v>
      </c>
      <c r="F2655" s="14">
        <v>314.0</v>
      </c>
      <c r="G2655" s="14" t="s">
        <v>845</v>
      </c>
      <c r="H2655" s="151"/>
      <c r="I2655" s="14" t="s">
        <v>28</v>
      </c>
      <c r="J2655" s="14" t="s">
        <v>41423</v>
      </c>
      <c r="K2655" s="14" t="s">
        <v>41424</v>
      </c>
      <c r="L2655" s="152" t="s">
        <v>178</v>
      </c>
      <c r="M2655" s="14" t="s">
        <v>41425</v>
      </c>
      <c r="N2655" s="54" t="s">
        <v>41424</v>
      </c>
      <c r="O2655" s="130"/>
      <c r="P2655" s="16"/>
      <c r="Q2655" s="14">
        <v>175820.0</v>
      </c>
      <c r="R2655" s="14"/>
      <c r="S2655" s="212"/>
      <c r="T2655" s="30"/>
      <c r="U2655" s="30"/>
      <c r="V2655" s="30"/>
      <c r="W2655" s="30"/>
      <c r="X2655" s="30"/>
      <c r="Y2655" s="30"/>
      <c r="Z2655" s="30"/>
      <c r="AA2655" s="30"/>
      <c r="AB2655" s="30"/>
      <c r="AC2655" s="30"/>
    </row>
    <row r="2656" ht="15.75" customHeight="1">
      <c r="A2656" s="14" t="s">
        <v>17</v>
      </c>
      <c r="B2656" s="14">
        <v>1991.0</v>
      </c>
      <c r="C2656" s="14" t="s">
        <v>926</v>
      </c>
      <c r="D2656" s="14" t="s">
        <v>927</v>
      </c>
      <c r="E2656" s="150" t="s">
        <v>928</v>
      </c>
      <c r="F2656" s="14">
        <v>383.0</v>
      </c>
      <c r="G2656" s="14">
        <v>386.0</v>
      </c>
      <c r="H2656" s="151"/>
      <c r="I2656" s="14" t="s">
        <v>28</v>
      </c>
      <c r="J2656" s="14" t="s">
        <v>41427</v>
      </c>
      <c r="K2656" s="14" t="s">
        <v>10666</v>
      </c>
      <c r="L2656" s="152"/>
      <c r="M2656" s="14">
        <v>3.82219274E10</v>
      </c>
      <c r="N2656" s="54" t="s">
        <v>10666</v>
      </c>
      <c r="O2656" s="130"/>
      <c r="P2656" s="16"/>
      <c r="Q2656" s="14">
        <v>175835.0</v>
      </c>
      <c r="R2656" s="14"/>
      <c r="S2656" s="212"/>
      <c r="T2656" s="30"/>
      <c r="U2656" s="30"/>
      <c r="V2656" s="30"/>
      <c r="W2656" s="30"/>
      <c r="X2656" s="30"/>
      <c r="Y2656" s="30"/>
      <c r="Z2656" s="30"/>
      <c r="AA2656" s="30"/>
      <c r="AB2656" s="30"/>
      <c r="AC2656" s="30"/>
    </row>
    <row r="2657" ht="15.75" customHeight="1">
      <c r="A2657" s="14" t="s">
        <v>17</v>
      </c>
      <c r="B2657" s="14">
        <v>1991.0</v>
      </c>
      <c r="C2657" s="14" t="s">
        <v>919</v>
      </c>
      <c r="D2657" s="14" t="s">
        <v>920</v>
      </c>
      <c r="E2657" s="150" t="s">
        <v>921</v>
      </c>
      <c r="F2657" s="14">
        <v>379.0</v>
      </c>
      <c r="G2657" s="14">
        <v>382.0</v>
      </c>
      <c r="H2657" s="151"/>
      <c r="I2657" s="14" t="s">
        <v>28</v>
      </c>
      <c r="J2657" s="14" t="s">
        <v>41428</v>
      </c>
      <c r="K2657" s="14" t="s">
        <v>41429</v>
      </c>
      <c r="L2657" s="152" t="s">
        <v>925</v>
      </c>
      <c r="M2657" s="14" t="s">
        <v>41431</v>
      </c>
      <c r="N2657" s="54" t="s">
        <v>41429</v>
      </c>
      <c r="O2657" s="130"/>
      <c r="P2657" s="16"/>
      <c r="Q2657" s="14">
        <v>175834.0</v>
      </c>
      <c r="R2657" s="14"/>
      <c r="S2657" s="212"/>
      <c r="T2657" s="30"/>
      <c r="U2657" s="30"/>
      <c r="V2657" s="30"/>
      <c r="W2657" s="30"/>
      <c r="X2657" s="30"/>
      <c r="Y2657" s="30"/>
      <c r="Z2657" s="30"/>
      <c r="AA2657" s="30"/>
      <c r="AB2657" s="30"/>
      <c r="AC2657" s="30"/>
    </row>
    <row r="2658" ht="15.75" customHeight="1">
      <c r="A2658" s="14" t="s">
        <v>17</v>
      </c>
      <c r="B2658" s="14">
        <v>1991.0</v>
      </c>
      <c r="C2658" s="14" t="s">
        <v>702</v>
      </c>
      <c r="D2658" s="14" t="s">
        <v>703</v>
      </c>
      <c r="E2658" s="150" t="s">
        <v>704</v>
      </c>
      <c r="F2658" s="14">
        <v>188.0</v>
      </c>
      <c r="G2658" s="14" t="s">
        <v>706</v>
      </c>
      <c r="H2658" s="151"/>
      <c r="I2658" s="14" t="s">
        <v>28</v>
      </c>
      <c r="J2658" s="14" t="s">
        <v>41433</v>
      </c>
      <c r="K2658" s="14" t="s">
        <v>41333</v>
      </c>
      <c r="L2658" s="152" t="s">
        <v>713</v>
      </c>
      <c r="M2658" s="14">
        <v>3.73522003E10</v>
      </c>
      <c r="N2658" s="54" t="s">
        <v>7732</v>
      </c>
      <c r="O2658" s="130"/>
      <c r="P2658" s="16"/>
      <c r="Q2658" s="14">
        <v>175799.0</v>
      </c>
      <c r="R2658" s="14"/>
      <c r="S2658" s="212"/>
      <c r="T2658" s="30"/>
      <c r="U2658" s="30"/>
      <c r="V2658" s="30"/>
      <c r="W2658" s="30"/>
      <c r="X2658" s="30"/>
      <c r="Y2658" s="30"/>
      <c r="Z2658" s="30"/>
      <c r="AA2658" s="30"/>
      <c r="AB2658" s="30"/>
      <c r="AC2658" s="30"/>
    </row>
    <row r="2659" ht="15.75" customHeight="1">
      <c r="A2659" s="14" t="s">
        <v>17</v>
      </c>
      <c r="B2659" s="14">
        <v>1991.0</v>
      </c>
      <c r="C2659" s="14" t="s">
        <v>930</v>
      </c>
      <c r="D2659" s="14" t="s">
        <v>931</v>
      </c>
      <c r="E2659" s="150" t="s">
        <v>932</v>
      </c>
      <c r="F2659" s="14">
        <v>387.0</v>
      </c>
      <c r="G2659" s="14">
        <v>391.0</v>
      </c>
      <c r="H2659" s="151"/>
      <c r="I2659" s="14" t="s">
        <v>28</v>
      </c>
      <c r="J2659" s="14" t="s">
        <v>41435</v>
      </c>
      <c r="K2659" s="14" t="s">
        <v>41436</v>
      </c>
      <c r="L2659" s="152" t="s">
        <v>936</v>
      </c>
      <c r="M2659" s="14">
        <v>3.73877022E10</v>
      </c>
      <c r="N2659" s="54" t="s">
        <v>10387</v>
      </c>
      <c r="O2659" s="130"/>
      <c r="P2659" s="16"/>
      <c r="Q2659" s="14">
        <v>175836.0</v>
      </c>
      <c r="R2659" s="14"/>
      <c r="S2659" s="212"/>
      <c r="T2659" s="30"/>
      <c r="U2659" s="30"/>
      <c r="V2659" s="30"/>
      <c r="W2659" s="30"/>
      <c r="X2659" s="30"/>
      <c r="Y2659" s="30"/>
      <c r="Z2659" s="30"/>
      <c r="AA2659" s="30"/>
      <c r="AB2659" s="30"/>
      <c r="AC2659" s="30"/>
    </row>
    <row r="2660" ht="15.75" customHeight="1">
      <c r="A2660" s="14" t="s">
        <v>17</v>
      </c>
      <c r="B2660" s="14">
        <v>1991.0</v>
      </c>
      <c r="C2660" s="14" t="s">
        <v>501</v>
      </c>
      <c r="D2660" s="14" t="s">
        <v>502</v>
      </c>
      <c r="E2660" s="150" t="s">
        <v>503</v>
      </c>
      <c r="F2660" s="14">
        <v>50.0</v>
      </c>
      <c r="G2660" s="14" t="s">
        <v>507</v>
      </c>
      <c r="H2660" s="151"/>
      <c r="I2660" s="14" t="s">
        <v>28</v>
      </c>
      <c r="J2660" s="14" t="s">
        <v>41437</v>
      </c>
      <c r="K2660" s="14" t="s">
        <v>41438</v>
      </c>
      <c r="L2660" s="152" t="s">
        <v>509</v>
      </c>
      <c r="M2660" s="14" t="s">
        <v>41439</v>
      </c>
      <c r="N2660" s="54" t="s">
        <v>41438</v>
      </c>
      <c r="O2660" s="130"/>
      <c r="P2660" s="16"/>
      <c r="Q2660" s="14">
        <v>175777.0</v>
      </c>
      <c r="R2660" s="14"/>
      <c r="S2660" s="212"/>
      <c r="T2660" s="30"/>
      <c r="U2660" s="30"/>
      <c r="V2660" s="30"/>
      <c r="W2660" s="30"/>
      <c r="X2660" s="30"/>
      <c r="Y2660" s="30"/>
      <c r="Z2660" s="30"/>
      <c r="AA2660" s="30"/>
      <c r="AB2660" s="30"/>
      <c r="AC2660" s="30"/>
    </row>
    <row r="2661" ht="15.75" customHeight="1">
      <c r="A2661" s="14" t="s">
        <v>17</v>
      </c>
      <c r="B2661" s="14">
        <v>1991.0</v>
      </c>
      <c r="C2661" s="14" t="s">
        <v>566</v>
      </c>
      <c r="D2661" s="14" t="s">
        <v>567</v>
      </c>
      <c r="E2661" s="150" t="s">
        <v>568</v>
      </c>
      <c r="F2661" s="14">
        <v>116.0</v>
      </c>
      <c r="G2661" s="14" t="s">
        <v>569</v>
      </c>
      <c r="H2661" s="151"/>
      <c r="I2661" s="14" t="s">
        <v>28</v>
      </c>
      <c r="J2661" s="14" t="s">
        <v>41440</v>
      </c>
      <c r="K2661" s="14" t="s">
        <v>41441</v>
      </c>
      <c r="L2661" s="152" t="s">
        <v>573</v>
      </c>
      <c r="M2661" s="14" t="s">
        <v>41442</v>
      </c>
      <c r="N2661" s="54" t="s">
        <v>41441</v>
      </c>
      <c r="O2661" s="130"/>
      <c r="P2661" s="16"/>
      <c r="Q2661" s="14">
        <v>175787.0</v>
      </c>
      <c r="R2661" s="14"/>
      <c r="S2661" s="212"/>
      <c r="T2661" s="30"/>
      <c r="U2661" s="30"/>
      <c r="V2661" s="30"/>
      <c r="W2661" s="30"/>
      <c r="X2661" s="30"/>
      <c r="Y2661" s="30"/>
      <c r="Z2661" s="30"/>
      <c r="AA2661" s="30"/>
      <c r="AB2661" s="30"/>
      <c r="AC2661" s="30"/>
    </row>
    <row r="2662" ht="15.75" customHeight="1">
      <c r="A2662" s="14" t="s">
        <v>17</v>
      </c>
      <c r="B2662" s="14">
        <v>1991.0</v>
      </c>
      <c r="C2662" s="14" t="s">
        <v>651</v>
      </c>
      <c r="D2662" s="14" t="s">
        <v>652</v>
      </c>
      <c r="E2662" s="150" t="s">
        <v>653</v>
      </c>
      <c r="F2662" s="14">
        <v>140.0</v>
      </c>
      <c r="G2662" s="14">
        <v>147.0</v>
      </c>
      <c r="H2662" s="151"/>
      <c r="I2662" s="14" t="s">
        <v>28</v>
      </c>
      <c r="J2662" s="14" t="s">
        <v>41444</v>
      </c>
      <c r="K2662" s="14" t="s">
        <v>7488</v>
      </c>
      <c r="L2662" s="152" t="s">
        <v>670</v>
      </c>
      <c r="M2662" s="14">
        <v>3.82218814E10</v>
      </c>
      <c r="N2662" s="54" t="s">
        <v>7488</v>
      </c>
      <c r="O2662" s="130"/>
      <c r="P2662" s="16"/>
      <c r="Q2662" s="14">
        <v>175791.0</v>
      </c>
      <c r="R2662" s="14"/>
      <c r="S2662" s="212"/>
      <c r="T2662" s="30"/>
      <c r="U2662" s="30"/>
      <c r="V2662" s="30"/>
      <c r="W2662" s="30"/>
      <c r="X2662" s="30"/>
      <c r="Y2662" s="30"/>
      <c r="Z2662" s="30"/>
      <c r="AA2662" s="30"/>
      <c r="AB2662" s="30"/>
      <c r="AC2662" s="30"/>
    </row>
    <row r="2663" ht="15.75" customHeight="1">
      <c r="A2663" s="14" t="s">
        <v>17</v>
      </c>
      <c r="B2663" s="14">
        <v>1991.0</v>
      </c>
      <c r="C2663" s="14" t="s">
        <v>816</v>
      </c>
      <c r="D2663" s="14" t="s">
        <v>817</v>
      </c>
      <c r="E2663" s="150" t="s">
        <v>818</v>
      </c>
      <c r="F2663" s="14">
        <v>292.0</v>
      </c>
      <c r="G2663" s="14">
        <v>296.0</v>
      </c>
      <c r="H2663" s="151"/>
      <c r="I2663" s="14" t="s">
        <v>28</v>
      </c>
      <c r="J2663" s="14" t="s">
        <v>41446</v>
      </c>
      <c r="K2663" s="14" t="s">
        <v>41447</v>
      </c>
      <c r="L2663" s="152" t="s">
        <v>821</v>
      </c>
      <c r="M2663" s="14">
        <v>3.73459242E10</v>
      </c>
      <c r="N2663" s="54" t="s">
        <v>7898</v>
      </c>
      <c r="O2663" s="130"/>
      <c r="P2663" s="16"/>
      <c r="Q2663" s="14">
        <v>175816.0</v>
      </c>
      <c r="R2663" s="14"/>
      <c r="S2663" s="212"/>
      <c r="T2663" s="30"/>
      <c r="U2663" s="30"/>
      <c r="V2663" s="30"/>
      <c r="W2663" s="30"/>
      <c r="X2663" s="30"/>
      <c r="Y2663" s="30"/>
      <c r="Z2663" s="30"/>
      <c r="AA2663" s="30"/>
      <c r="AB2663" s="30"/>
      <c r="AC2663" s="30"/>
    </row>
    <row r="2664" ht="15.75" customHeight="1">
      <c r="A2664" s="14" t="s">
        <v>17</v>
      </c>
      <c r="B2664" s="14">
        <v>1991.0</v>
      </c>
      <c r="C2664" s="14" t="s">
        <v>876</v>
      </c>
      <c r="D2664" s="14" t="s">
        <v>877</v>
      </c>
      <c r="E2664" s="150" t="s">
        <v>878</v>
      </c>
      <c r="F2664" s="14">
        <v>345.0</v>
      </c>
      <c r="G2664" s="14">
        <v>347.0</v>
      </c>
      <c r="H2664" s="159" t="s">
        <v>30659</v>
      </c>
      <c r="I2664" s="14" t="s">
        <v>21</v>
      </c>
      <c r="J2664" s="14" t="s">
        <v>41449</v>
      </c>
      <c r="K2664" s="14" t="s">
        <v>41450</v>
      </c>
      <c r="L2664" s="152" t="s">
        <v>880</v>
      </c>
      <c r="M2664" s="14" t="s">
        <v>880</v>
      </c>
      <c r="N2664" s="54" t="s">
        <v>41451</v>
      </c>
      <c r="O2664" s="130"/>
      <c r="P2664" s="16"/>
      <c r="Q2664" s="14">
        <v>175826.0</v>
      </c>
      <c r="R2664" s="14"/>
      <c r="S2664" s="212"/>
      <c r="T2664" s="30"/>
      <c r="U2664" s="30"/>
      <c r="V2664" s="30"/>
      <c r="W2664" s="30"/>
      <c r="X2664" s="30"/>
      <c r="Y2664" s="30"/>
      <c r="Z2664" s="30"/>
      <c r="AA2664" s="30"/>
      <c r="AB2664" s="30"/>
      <c r="AC2664" s="30"/>
    </row>
    <row r="2665" ht="15.75" customHeight="1">
      <c r="A2665" s="14" t="s">
        <v>17</v>
      </c>
      <c r="B2665" s="14">
        <v>1991.0</v>
      </c>
      <c r="C2665" s="14" t="s">
        <v>799</v>
      </c>
      <c r="D2665" s="14" t="s">
        <v>800</v>
      </c>
      <c r="E2665" s="150" t="s">
        <v>801</v>
      </c>
      <c r="F2665" s="14">
        <v>276.0</v>
      </c>
      <c r="G2665" s="14">
        <v>283.0</v>
      </c>
      <c r="H2665" s="151"/>
      <c r="I2665" s="14" t="s">
        <v>28</v>
      </c>
      <c r="J2665" s="14" t="s">
        <v>41454</v>
      </c>
      <c r="K2665" s="14" t="s">
        <v>41455</v>
      </c>
      <c r="L2665" s="152" t="s">
        <v>807</v>
      </c>
      <c r="M2665" s="14" t="s">
        <v>41456</v>
      </c>
      <c r="N2665" s="54" t="s">
        <v>41457</v>
      </c>
      <c r="O2665" s="130" t="s">
        <v>760</v>
      </c>
      <c r="P2665" s="16"/>
      <c r="Q2665" s="14">
        <v>175814.0</v>
      </c>
      <c r="R2665" s="14"/>
      <c r="S2665" s="212">
        <v>175807.0</v>
      </c>
      <c r="T2665" s="30"/>
      <c r="U2665" s="30"/>
      <c r="V2665" s="30"/>
      <c r="W2665" s="30"/>
      <c r="X2665" s="30"/>
      <c r="Y2665" s="30"/>
      <c r="Z2665" s="30"/>
      <c r="AA2665" s="30"/>
      <c r="AB2665" s="30"/>
      <c r="AC2665" s="30"/>
    </row>
    <row r="2666" ht="15.75" customHeight="1">
      <c r="A2666" s="14" t="s">
        <v>17</v>
      </c>
      <c r="B2666" s="14">
        <v>1991.0</v>
      </c>
      <c r="C2666" s="14" t="s">
        <v>718</v>
      </c>
      <c r="D2666" s="14" t="s">
        <v>719</v>
      </c>
      <c r="E2666" s="150" t="s">
        <v>720</v>
      </c>
      <c r="F2666" s="14">
        <v>202.0</v>
      </c>
      <c r="G2666" s="14" t="s">
        <v>722</v>
      </c>
      <c r="H2666" s="151"/>
      <c r="I2666" s="14" t="s">
        <v>28</v>
      </c>
      <c r="J2666" s="14" t="s">
        <v>41459</v>
      </c>
      <c r="K2666" s="14" t="s">
        <v>41460</v>
      </c>
      <c r="L2666" s="152" t="s">
        <v>730</v>
      </c>
      <c r="M2666" s="14" t="s">
        <v>41461</v>
      </c>
      <c r="N2666" s="54" t="s">
        <v>41460</v>
      </c>
      <c r="O2666" s="130"/>
      <c r="P2666" s="16"/>
      <c r="Q2666" s="14">
        <v>175801.0</v>
      </c>
      <c r="R2666" s="14"/>
      <c r="S2666" s="212"/>
      <c r="T2666" s="30"/>
      <c r="U2666" s="30"/>
      <c r="V2666" s="30"/>
      <c r="W2666" s="30"/>
      <c r="X2666" s="30"/>
      <c r="Y2666" s="30"/>
      <c r="Z2666" s="30"/>
      <c r="AA2666" s="30"/>
      <c r="AB2666" s="30"/>
      <c r="AC2666" s="30"/>
    </row>
    <row r="2667" ht="15.75" customHeight="1">
      <c r="A2667" s="14" t="s">
        <v>17</v>
      </c>
      <c r="B2667" s="14">
        <v>1991.0</v>
      </c>
      <c r="C2667" s="14" t="s">
        <v>790</v>
      </c>
      <c r="D2667" s="14" t="s">
        <v>791</v>
      </c>
      <c r="E2667" s="150" t="s">
        <v>793</v>
      </c>
      <c r="F2667" s="14">
        <v>268.0</v>
      </c>
      <c r="G2667" s="14" t="s">
        <v>796</v>
      </c>
      <c r="H2667" s="151"/>
      <c r="I2667" s="14" t="s">
        <v>28</v>
      </c>
      <c r="J2667" s="14" t="s">
        <v>41463</v>
      </c>
      <c r="K2667" s="14" t="s">
        <v>41464</v>
      </c>
      <c r="L2667" s="152" t="s">
        <v>798</v>
      </c>
      <c r="M2667" s="14" t="s">
        <v>41465</v>
      </c>
      <c r="N2667" s="54" t="s">
        <v>41464</v>
      </c>
      <c r="O2667" s="130"/>
      <c r="P2667" s="16"/>
      <c r="Q2667" s="14">
        <v>175812.0</v>
      </c>
      <c r="R2667" s="14"/>
      <c r="S2667" s="212"/>
      <c r="T2667" s="30"/>
      <c r="U2667" s="30"/>
      <c r="V2667" s="30"/>
      <c r="W2667" s="30"/>
      <c r="X2667" s="30"/>
      <c r="Y2667" s="30"/>
      <c r="Z2667" s="30"/>
      <c r="AA2667" s="30"/>
      <c r="AB2667" s="30"/>
      <c r="AC2667" s="30"/>
    </row>
    <row r="2668" ht="15.75" customHeight="1">
      <c r="A2668" s="14" t="s">
        <v>17</v>
      </c>
      <c r="B2668" s="14">
        <v>1991.0</v>
      </c>
      <c r="C2668" s="14" t="s">
        <v>768</v>
      </c>
      <c r="D2668" s="14" t="s">
        <v>769</v>
      </c>
      <c r="E2668" s="150" t="s">
        <v>770</v>
      </c>
      <c r="F2668" s="14">
        <v>248.0</v>
      </c>
      <c r="G2668" s="14">
        <v>254.0</v>
      </c>
      <c r="H2668" s="151"/>
      <c r="I2668" s="14" t="s">
        <v>28</v>
      </c>
      <c r="J2668" s="14" t="s">
        <v>41466</v>
      </c>
      <c r="K2668" s="14" t="s">
        <v>41468</v>
      </c>
      <c r="L2668" s="152" t="s">
        <v>776</v>
      </c>
      <c r="M2668" s="14" t="s">
        <v>41469</v>
      </c>
      <c r="N2668" s="54" t="s">
        <v>41468</v>
      </c>
      <c r="O2668" s="130"/>
      <c r="P2668" s="16"/>
      <c r="Q2668" s="14">
        <v>175809.0</v>
      </c>
      <c r="R2668" s="14"/>
      <c r="S2668" s="212"/>
      <c r="T2668" s="30"/>
      <c r="U2668" s="30"/>
      <c r="V2668" s="30"/>
      <c r="W2668" s="30"/>
      <c r="X2668" s="30"/>
      <c r="Y2668" s="30"/>
      <c r="Z2668" s="30"/>
      <c r="AA2668" s="30"/>
      <c r="AB2668" s="30"/>
      <c r="AC2668" s="30"/>
    </row>
    <row r="2669" ht="15.75" customHeight="1">
      <c r="A2669" s="14" t="s">
        <v>17</v>
      </c>
      <c r="B2669" s="14">
        <v>1991.0</v>
      </c>
      <c r="C2669" s="14" t="s">
        <v>667</v>
      </c>
      <c r="D2669" s="14" t="s">
        <v>668</v>
      </c>
      <c r="E2669" s="150" t="s">
        <v>669</v>
      </c>
      <c r="F2669" s="14">
        <v>156.0</v>
      </c>
      <c r="G2669" s="14" t="s">
        <v>671</v>
      </c>
      <c r="H2669" s="151"/>
      <c r="I2669" s="14" t="s">
        <v>28</v>
      </c>
      <c r="J2669" s="14" t="s">
        <v>41471</v>
      </c>
      <c r="K2669" s="14" t="s">
        <v>41472</v>
      </c>
      <c r="L2669" s="152" t="s">
        <v>688</v>
      </c>
      <c r="M2669" s="14" t="s">
        <v>41473</v>
      </c>
      <c r="N2669" s="54" t="s">
        <v>41472</v>
      </c>
      <c r="O2669" s="130"/>
      <c r="P2669" s="16"/>
      <c r="Q2669" s="14">
        <v>175794.0</v>
      </c>
      <c r="R2669" s="14"/>
      <c r="S2669" s="212"/>
      <c r="T2669" s="30"/>
      <c r="U2669" s="30"/>
      <c r="V2669" s="30"/>
      <c r="W2669" s="30"/>
      <c r="X2669" s="30"/>
      <c r="Y2669" s="30"/>
      <c r="Z2669" s="30"/>
      <c r="AA2669" s="30"/>
      <c r="AB2669" s="30"/>
      <c r="AC2669" s="30"/>
    </row>
    <row r="2670" ht="15.75" customHeight="1">
      <c r="A2670" s="14" t="s">
        <v>17</v>
      </c>
      <c r="B2670" s="14">
        <v>1991.0</v>
      </c>
      <c r="C2670" s="14" t="s">
        <v>735</v>
      </c>
      <c r="D2670" s="14" t="s">
        <v>736</v>
      </c>
      <c r="E2670" s="150" t="s">
        <v>737</v>
      </c>
      <c r="F2670" s="14">
        <v>218.0</v>
      </c>
      <c r="G2670" s="14" t="s">
        <v>740</v>
      </c>
      <c r="H2670" s="151"/>
      <c r="I2670" s="14" t="s">
        <v>28</v>
      </c>
      <c r="J2670" s="14" t="s">
        <v>41474</v>
      </c>
      <c r="K2670" s="14" t="s">
        <v>41475</v>
      </c>
      <c r="L2670" s="152" t="s">
        <v>54</v>
      </c>
      <c r="M2670" s="14" t="s">
        <v>41476</v>
      </c>
      <c r="N2670" s="54" t="s">
        <v>41475</v>
      </c>
      <c r="O2670" s="130" t="s">
        <v>742</v>
      </c>
      <c r="P2670" s="16"/>
      <c r="Q2670" s="14">
        <v>175804.0</v>
      </c>
      <c r="R2670" s="14"/>
      <c r="S2670" s="212" t="s">
        <v>41477</v>
      </c>
      <c r="T2670" s="30"/>
      <c r="U2670" s="30"/>
      <c r="V2670" s="30"/>
      <c r="W2670" s="30"/>
      <c r="X2670" s="30"/>
      <c r="Y2670" s="30"/>
      <c r="Z2670" s="30"/>
      <c r="AA2670" s="30"/>
      <c r="AB2670" s="30"/>
      <c r="AC2670" s="30"/>
    </row>
    <row r="2671" ht="15.75" customHeight="1">
      <c r="A2671" s="14" t="s">
        <v>17</v>
      </c>
      <c r="B2671" s="14">
        <v>1991.0</v>
      </c>
      <c r="C2671" s="14" t="s">
        <v>908</v>
      </c>
      <c r="D2671" s="14" t="s">
        <v>909</v>
      </c>
      <c r="E2671" s="150" t="s">
        <v>910</v>
      </c>
      <c r="F2671" s="14">
        <v>368.0</v>
      </c>
      <c r="G2671" s="14">
        <v>371.0</v>
      </c>
      <c r="H2671" s="151"/>
      <c r="I2671" s="14" t="s">
        <v>28</v>
      </c>
      <c r="J2671" s="14" t="s">
        <v>41478</v>
      </c>
      <c r="K2671" s="14" t="s">
        <v>7272</v>
      </c>
      <c r="L2671" s="152" t="s">
        <v>913</v>
      </c>
      <c r="M2671" s="14">
        <v>3.74281757E10</v>
      </c>
      <c r="N2671" s="54" t="s">
        <v>7272</v>
      </c>
      <c r="O2671" s="130"/>
      <c r="P2671" s="16"/>
      <c r="Q2671" s="14">
        <v>175832.0</v>
      </c>
      <c r="R2671" s="14"/>
      <c r="S2671" s="212"/>
      <c r="T2671" s="30"/>
      <c r="U2671" s="30"/>
      <c r="V2671" s="30"/>
      <c r="W2671" s="30"/>
      <c r="X2671" s="30"/>
      <c r="Y2671" s="30"/>
      <c r="Z2671" s="30"/>
      <c r="AA2671" s="30"/>
      <c r="AB2671" s="30"/>
      <c r="AC2671" s="30"/>
    </row>
    <row r="2672" ht="15.75" customHeight="1">
      <c r="A2672" s="14" t="s">
        <v>17</v>
      </c>
      <c r="B2672" s="14">
        <v>1991.0</v>
      </c>
      <c r="C2672" s="14" t="s">
        <v>881</v>
      </c>
      <c r="D2672" s="14" t="s">
        <v>883</v>
      </c>
      <c r="E2672" s="150" t="s">
        <v>884</v>
      </c>
      <c r="F2672" s="14">
        <v>348.0</v>
      </c>
      <c r="G2672" s="14">
        <v>353.0</v>
      </c>
      <c r="H2672" s="159" t="s">
        <v>30659</v>
      </c>
      <c r="I2672" s="14" t="s">
        <v>21</v>
      </c>
      <c r="J2672" s="14" t="s">
        <v>41479</v>
      </c>
      <c r="K2672" s="14" t="s">
        <v>41480</v>
      </c>
      <c r="L2672" s="152" t="s">
        <v>860</v>
      </c>
      <c r="M2672" s="14" t="s">
        <v>860</v>
      </c>
      <c r="N2672" s="54" t="s">
        <v>41480</v>
      </c>
      <c r="O2672" s="130"/>
      <c r="P2672" s="16"/>
      <c r="Q2672" s="14">
        <v>175827.0</v>
      </c>
      <c r="R2672" s="14"/>
      <c r="S2672" s="212"/>
      <c r="T2672" s="30"/>
      <c r="U2672" s="30"/>
      <c r="V2672" s="30"/>
      <c r="W2672" s="30"/>
      <c r="X2672" s="30"/>
      <c r="Y2672" s="30"/>
      <c r="Z2672" s="30"/>
      <c r="AA2672" s="30"/>
      <c r="AB2672" s="30"/>
      <c r="AC2672" s="30"/>
    </row>
    <row r="2673" ht="15.75" customHeight="1">
      <c r="A2673" s="14" t="s">
        <v>17</v>
      </c>
      <c r="B2673" s="14">
        <v>1991.0</v>
      </c>
      <c r="C2673" s="14" t="s">
        <v>759</v>
      </c>
      <c r="D2673" s="14" t="s">
        <v>760</v>
      </c>
      <c r="E2673" s="150" t="s">
        <v>761</v>
      </c>
      <c r="F2673" s="14">
        <v>239.0</v>
      </c>
      <c r="G2673" s="14">
        <v>245.0</v>
      </c>
      <c r="H2673" s="151"/>
      <c r="I2673" s="14" t="s">
        <v>28</v>
      </c>
      <c r="J2673" s="14" t="s">
        <v>41481</v>
      </c>
      <c r="K2673" s="14" t="s">
        <v>41482</v>
      </c>
      <c r="L2673" s="152" t="s">
        <v>771</v>
      </c>
      <c r="M2673" s="14" t="s">
        <v>41483</v>
      </c>
      <c r="N2673" s="54" t="s">
        <v>41484</v>
      </c>
      <c r="O2673" s="130" t="s">
        <v>767</v>
      </c>
      <c r="P2673" s="16"/>
      <c r="Q2673" s="14">
        <v>175807.0</v>
      </c>
      <c r="R2673" s="14"/>
      <c r="S2673" s="212" t="s">
        <v>41485</v>
      </c>
      <c r="T2673" s="30"/>
      <c r="U2673" s="30"/>
      <c r="V2673" s="30"/>
      <c r="W2673" s="30"/>
      <c r="X2673" s="30"/>
      <c r="Y2673" s="30"/>
      <c r="Z2673" s="30"/>
      <c r="AA2673" s="30"/>
      <c r="AB2673" s="30"/>
      <c r="AC2673" s="30"/>
    </row>
    <row r="2674" ht="15.75" customHeight="1">
      <c r="A2674" s="14" t="s">
        <v>17</v>
      </c>
      <c r="B2674" s="14">
        <v>1991.0</v>
      </c>
      <c r="C2674" s="14" t="s">
        <v>743</v>
      </c>
      <c r="D2674" s="14" t="s">
        <v>744</v>
      </c>
      <c r="E2674" s="150" t="s">
        <v>745</v>
      </c>
      <c r="F2674" s="14">
        <v>226.0</v>
      </c>
      <c r="G2674" s="14" t="s">
        <v>746</v>
      </c>
      <c r="H2674" s="151"/>
      <c r="I2674" s="14" t="s">
        <v>28</v>
      </c>
      <c r="J2674" s="14" t="s">
        <v>41486</v>
      </c>
      <c r="K2674" s="14" t="s">
        <v>41487</v>
      </c>
      <c r="L2674" s="152" t="s">
        <v>753</v>
      </c>
      <c r="M2674" s="14" t="s">
        <v>41488</v>
      </c>
      <c r="N2674" s="54" t="s">
        <v>41487</v>
      </c>
      <c r="O2674" s="130"/>
      <c r="P2674" s="16"/>
      <c r="Q2674" s="14">
        <v>175805.0</v>
      </c>
      <c r="R2674" s="14"/>
      <c r="S2674" s="212"/>
      <c r="T2674" s="30"/>
      <c r="U2674" s="30"/>
      <c r="V2674" s="30"/>
      <c r="W2674" s="30"/>
      <c r="X2674" s="30"/>
      <c r="Y2674" s="30"/>
      <c r="Z2674" s="30"/>
      <c r="AA2674" s="30"/>
      <c r="AB2674" s="30"/>
      <c r="AC2674" s="30"/>
    </row>
    <row r="2675" ht="15.75" customHeight="1">
      <c r="A2675" s="14" t="s">
        <v>17</v>
      </c>
      <c r="B2675" s="14">
        <v>1991.0</v>
      </c>
      <c r="C2675" s="14" t="s">
        <v>868</v>
      </c>
      <c r="D2675" s="14" t="s">
        <v>869</v>
      </c>
      <c r="E2675" s="150" t="s">
        <v>870</v>
      </c>
      <c r="F2675" s="14">
        <v>340.0</v>
      </c>
      <c r="G2675" s="14">
        <v>344.0</v>
      </c>
      <c r="H2675" s="159" t="s">
        <v>30659</v>
      </c>
      <c r="I2675" s="14" t="s">
        <v>21</v>
      </c>
      <c r="J2675" s="14" t="s">
        <v>41489</v>
      </c>
      <c r="K2675" s="14" t="s">
        <v>41490</v>
      </c>
      <c r="L2675" s="152" t="s">
        <v>875</v>
      </c>
      <c r="M2675" s="14" t="s">
        <v>880</v>
      </c>
      <c r="N2675" s="54" t="s">
        <v>41490</v>
      </c>
      <c r="O2675" s="130"/>
      <c r="P2675" s="16"/>
      <c r="Q2675" s="14">
        <v>175825.0</v>
      </c>
      <c r="R2675" s="14"/>
      <c r="S2675" s="212"/>
      <c r="T2675" s="30"/>
      <c r="U2675" s="30"/>
      <c r="V2675" s="30"/>
      <c r="W2675" s="30"/>
      <c r="X2675" s="30"/>
      <c r="Y2675" s="30"/>
      <c r="Z2675" s="30"/>
      <c r="AA2675" s="30"/>
      <c r="AB2675" s="30"/>
      <c r="AC2675" s="30"/>
    </row>
    <row r="2676" ht="15.75" customHeight="1">
      <c r="A2676" s="14" t="s">
        <v>17</v>
      </c>
      <c r="B2676" s="14">
        <v>1991.0</v>
      </c>
      <c r="C2676" s="14" t="s">
        <v>777</v>
      </c>
      <c r="D2676" s="14" t="s">
        <v>778</v>
      </c>
      <c r="E2676" s="150" t="s">
        <v>779</v>
      </c>
      <c r="F2676" s="14">
        <v>255.0</v>
      </c>
      <c r="G2676" s="14">
        <v>261.0</v>
      </c>
      <c r="H2676" s="151"/>
      <c r="I2676" s="14" t="s">
        <v>28</v>
      </c>
      <c r="J2676" s="14" t="s">
        <v>41491</v>
      </c>
      <c r="K2676" s="14" t="s">
        <v>41492</v>
      </c>
      <c r="L2676" s="152" t="s">
        <v>781</v>
      </c>
      <c r="M2676" s="14" t="s">
        <v>41493</v>
      </c>
      <c r="N2676" s="54" t="s">
        <v>41492</v>
      </c>
      <c r="O2676" s="130"/>
      <c r="P2676" s="16"/>
      <c r="Q2676" s="14">
        <v>175810.0</v>
      </c>
      <c r="R2676" s="14"/>
      <c r="S2676" s="212"/>
      <c r="T2676" s="30"/>
      <c r="U2676" s="30"/>
      <c r="V2676" s="30"/>
      <c r="W2676" s="30"/>
      <c r="X2676" s="30"/>
      <c r="Y2676" s="30"/>
      <c r="Z2676" s="30"/>
      <c r="AA2676" s="30"/>
      <c r="AB2676" s="30"/>
      <c r="AC2676" s="30"/>
    </row>
    <row r="2677" ht="15.75" customHeight="1">
      <c r="A2677" s="14" t="s">
        <v>17</v>
      </c>
      <c r="B2677" s="14">
        <v>1991.0</v>
      </c>
      <c r="C2677" s="14" t="s">
        <v>455</v>
      </c>
      <c r="D2677" s="14" t="s">
        <v>456</v>
      </c>
      <c r="E2677" s="150" t="s">
        <v>457</v>
      </c>
      <c r="F2677" s="14">
        <v>2.0</v>
      </c>
      <c r="G2677" s="14"/>
      <c r="H2677" s="159" t="s">
        <v>30659</v>
      </c>
      <c r="I2677" s="14" t="s">
        <v>21</v>
      </c>
      <c r="J2677" s="14" t="s">
        <v>41494</v>
      </c>
      <c r="K2677" s="14" t="s">
        <v>10669</v>
      </c>
      <c r="L2677" s="152" t="s">
        <v>459</v>
      </c>
      <c r="M2677" s="14">
        <v>3.72995671E10</v>
      </c>
      <c r="N2677" s="54" t="s">
        <v>10669</v>
      </c>
      <c r="O2677" s="130"/>
      <c r="P2677" s="16"/>
      <c r="Q2677" s="14">
        <v>175767.0</v>
      </c>
      <c r="R2677" s="14"/>
      <c r="S2677" s="212"/>
      <c r="T2677" s="30"/>
      <c r="U2677" s="30"/>
      <c r="V2677" s="30"/>
      <c r="W2677" s="30"/>
      <c r="X2677" s="30"/>
      <c r="Y2677" s="30"/>
      <c r="Z2677" s="30"/>
      <c r="AA2677" s="30"/>
      <c r="AB2677" s="30"/>
      <c r="AC2677" s="30"/>
    </row>
    <row r="2678" ht="15.75" customHeight="1">
      <c r="A2678" s="14" t="s">
        <v>17</v>
      </c>
      <c r="B2678" s="14">
        <v>1991.0</v>
      </c>
      <c r="C2678" s="14" t="s">
        <v>659</v>
      </c>
      <c r="D2678" s="14" t="s">
        <v>660</v>
      </c>
      <c r="E2678" s="150" t="s">
        <v>661</v>
      </c>
      <c r="F2678" s="14">
        <v>148.0</v>
      </c>
      <c r="G2678" s="14">
        <v>153.0</v>
      </c>
      <c r="H2678" s="151"/>
      <c r="I2678" s="14" t="s">
        <v>28</v>
      </c>
      <c r="J2678" s="14" t="s">
        <v>41495</v>
      </c>
      <c r="K2678" s="14" t="s">
        <v>41496</v>
      </c>
      <c r="L2678" s="152" t="s">
        <v>679</v>
      </c>
      <c r="M2678" s="14" t="s">
        <v>41497</v>
      </c>
      <c r="N2678" s="54" t="s">
        <v>41496</v>
      </c>
      <c r="O2678" s="130"/>
      <c r="P2678" s="16"/>
      <c r="Q2678" s="14">
        <v>175792.0</v>
      </c>
      <c r="R2678" s="14"/>
      <c r="S2678" s="212"/>
      <c r="T2678" s="30"/>
      <c r="U2678" s="30"/>
      <c r="V2678" s="30"/>
      <c r="W2678" s="30"/>
      <c r="X2678" s="30"/>
      <c r="Y2678" s="30"/>
      <c r="Z2678" s="30"/>
      <c r="AA2678" s="30"/>
      <c r="AB2678" s="30"/>
      <c r="AC2678" s="30"/>
    </row>
    <row r="2679" ht="15.75" customHeight="1">
      <c r="A2679" s="14" t="s">
        <v>17</v>
      </c>
      <c r="B2679" s="14">
        <v>1991.0</v>
      </c>
      <c r="C2679" s="14" t="s">
        <v>519</v>
      </c>
      <c r="D2679" s="14" t="s">
        <v>520</v>
      </c>
      <c r="E2679" s="150" t="s">
        <v>521</v>
      </c>
      <c r="F2679" s="14">
        <v>68.0</v>
      </c>
      <c r="G2679" s="14" t="s">
        <v>522</v>
      </c>
      <c r="H2679" s="151"/>
      <c r="I2679" s="14" t="s">
        <v>28</v>
      </c>
      <c r="J2679" s="14" t="s">
        <v>41498</v>
      </c>
      <c r="K2679" s="14" t="s">
        <v>7666</v>
      </c>
      <c r="L2679" s="152" t="s">
        <v>526</v>
      </c>
      <c r="M2679" s="14">
        <v>3.81798688E10</v>
      </c>
      <c r="N2679" s="54" t="s">
        <v>7666</v>
      </c>
      <c r="O2679" s="130" t="s">
        <v>247</v>
      </c>
      <c r="P2679" s="16"/>
      <c r="Q2679" s="14">
        <v>175780.0</v>
      </c>
      <c r="R2679" s="14"/>
      <c r="S2679" s="212">
        <v>146390.0</v>
      </c>
      <c r="T2679" s="30"/>
      <c r="U2679" s="30"/>
      <c r="V2679" s="30"/>
      <c r="W2679" s="30"/>
      <c r="X2679" s="30"/>
      <c r="Y2679" s="30"/>
      <c r="Z2679" s="30"/>
      <c r="AA2679" s="30"/>
      <c r="AB2679" s="30"/>
      <c r="AC2679" s="30"/>
    </row>
    <row r="2680" ht="15.75" customHeight="1">
      <c r="A2680" s="14" t="s">
        <v>17</v>
      </c>
      <c r="B2680" s="14">
        <v>1991.0</v>
      </c>
      <c r="C2680" s="14" t="s">
        <v>535</v>
      </c>
      <c r="D2680" s="14" t="s">
        <v>536</v>
      </c>
      <c r="E2680" s="150" t="s">
        <v>538</v>
      </c>
      <c r="F2680" s="14">
        <v>83.0</v>
      </c>
      <c r="G2680" s="14" t="s">
        <v>540</v>
      </c>
      <c r="H2680" s="151"/>
      <c r="I2680" s="14" t="s">
        <v>28</v>
      </c>
      <c r="J2680" s="14" t="s">
        <v>41499</v>
      </c>
      <c r="K2680" s="14" t="s">
        <v>41500</v>
      </c>
      <c r="L2680" s="152" t="s">
        <v>54</v>
      </c>
      <c r="M2680" s="14" t="s">
        <v>41501</v>
      </c>
      <c r="N2680" s="54" t="s">
        <v>41500</v>
      </c>
      <c r="O2680" s="130" t="s">
        <v>50</v>
      </c>
      <c r="P2680" s="16"/>
      <c r="Q2680" s="14">
        <v>175782.0</v>
      </c>
      <c r="R2680" s="14"/>
      <c r="S2680" s="212">
        <v>146363.0</v>
      </c>
      <c r="T2680" s="30"/>
      <c r="U2680" s="30"/>
      <c r="V2680" s="30"/>
      <c r="W2680" s="30"/>
      <c r="X2680" s="30"/>
      <c r="Y2680" s="30"/>
      <c r="Z2680" s="30"/>
      <c r="AA2680" s="30"/>
      <c r="AB2680" s="30"/>
      <c r="AC2680" s="30"/>
    </row>
    <row r="2681" ht="15.75" customHeight="1">
      <c r="A2681" s="14" t="s">
        <v>17</v>
      </c>
      <c r="B2681" s="14">
        <v>1991.0</v>
      </c>
      <c r="C2681" s="14" t="s">
        <v>558</v>
      </c>
      <c r="D2681" s="14" t="s">
        <v>559</v>
      </c>
      <c r="E2681" s="150" t="s">
        <v>560</v>
      </c>
      <c r="F2681" s="14">
        <v>109.0</v>
      </c>
      <c r="G2681" s="14" t="s">
        <v>564</v>
      </c>
      <c r="H2681" s="151"/>
      <c r="I2681" s="14" t="s">
        <v>28</v>
      </c>
      <c r="J2681" s="14" t="s">
        <v>41502</v>
      </c>
      <c r="K2681" s="14" t="s">
        <v>41503</v>
      </c>
      <c r="L2681" s="152" t="s">
        <v>144</v>
      </c>
      <c r="M2681" s="14" t="s">
        <v>41504</v>
      </c>
      <c r="N2681" s="54" t="s">
        <v>41505</v>
      </c>
      <c r="O2681" s="130"/>
      <c r="P2681" s="16"/>
      <c r="Q2681" s="14">
        <v>175786.0</v>
      </c>
      <c r="R2681" s="14"/>
      <c r="S2681" s="212"/>
      <c r="T2681" s="30"/>
      <c r="U2681" s="30"/>
      <c r="V2681" s="30"/>
      <c r="W2681" s="30"/>
      <c r="X2681" s="30"/>
      <c r="Y2681" s="30"/>
      <c r="Z2681" s="30"/>
      <c r="AA2681" s="30"/>
      <c r="AB2681" s="30"/>
      <c r="AC2681" s="30"/>
    </row>
    <row r="2682" ht="15.75" customHeight="1">
      <c r="A2682" s="14" t="s">
        <v>17</v>
      </c>
      <c r="B2682" s="14">
        <v>1991.0</v>
      </c>
      <c r="C2682" s="14" t="s">
        <v>643</v>
      </c>
      <c r="D2682" s="14" t="s">
        <v>644</v>
      </c>
      <c r="E2682" s="150" t="s">
        <v>645</v>
      </c>
      <c r="F2682" s="14">
        <v>133.0</v>
      </c>
      <c r="G2682" s="14" t="s">
        <v>646</v>
      </c>
      <c r="H2682" s="151"/>
      <c r="I2682" s="14" t="s">
        <v>28</v>
      </c>
      <c r="J2682" s="14" t="s">
        <v>41506</v>
      </c>
      <c r="K2682" s="14" t="s">
        <v>41507</v>
      </c>
      <c r="L2682" s="152" t="s">
        <v>665</v>
      </c>
      <c r="M2682" s="14" t="s">
        <v>41508</v>
      </c>
      <c r="N2682" s="54" t="s">
        <v>41507</v>
      </c>
      <c r="O2682" s="130" t="s">
        <v>650</v>
      </c>
      <c r="P2682" s="16"/>
      <c r="Q2682" s="14">
        <v>175790.0</v>
      </c>
      <c r="R2682" s="14"/>
      <c r="S2682" s="212" t="s">
        <v>41509</v>
      </c>
      <c r="T2682" s="30"/>
      <c r="U2682" s="30"/>
      <c r="V2682" s="30"/>
      <c r="W2682" s="30"/>
      <c r="X2682" s="30"/>
      <c r="Y2682" s="30"/>
      <c r="Z2682" s="30"/>
      <c r="AA2682" s="30"/>
      <c r="AB2682" s="30"/>
      <c r="AC2682" s="30"/>
    </row>
    <row r="2683" ht="15.75" customHeight="1">
      <c r="A2683" s="14" t="s">
        <v>17</v>
      </c>
      <c r="B2683" s="14">
        <v>1991.0</v>
      </c>
      <c r="C2683" s="14" t="s">
        <v>575</v>
      </c>
      <c r="D2683" s="14" t="s">
        <v>576</v>
      </c>
      <c r="E2683" s="150" t="s">
        <v>577</v>
      </c>
      <c r="F2683" s="14">
        <v>126.0</v>
      </c>
      <c r="G2683" s="14" t="s">
        <v>638</v>
      </c>
      <c r="H2683" s="151"/>
      <c r="I2683" s="14" t="s">
        <v>28</v>
      </c>
      <c r="J2683" s="14" t="s">
        <v>41511</v>
      </c>
      <c r="K2683" s="14" t="s">
        <v>41512</v>
      </c>
      <c r="L2683" s="152" t="s">
        <v>658</v>
      </c>
      <c r="M2683" s="14" t="s">
        <v>41513</v>
      </c>
      <c r="N2683" s="54" t="s">
        <v>41514</v>
      </c>
      <c r="O2683" s="130"/>
      <c r="P2683" s="16"/>
      <c r="Q2683" s="14">
        <v>175789.0</v>
      </c>
      <c r="R2683" s="14"/>
      <c r="S2683" s="212"/>
      <c r="T2683" s="30"/>
      <c r="U2683" s="30"/>
      <c r="V2683" s="30"/>
      <c r="W2683" s="30"/>
      <c r="X2683" s="30"/>
      <c r="Y2683" s="30"/>
      <c r="Z2683" s="30"/>
      <c r="AA2683" s="30"/>
      <c r="AB2683" s="30"/>
      <c r="AC2683" s="30"/>
    </row>
    <row r="2684" ht="15.75" customHeight="1">
      <c r="A2684" s="14" t="s">
        <v>17</v>
      </c>
      <c r="B2684" s="14">
        <v>1991.0</v>
      </c>
      <c r="C2684" s="14" t="s">
        <v>469</v>
      </c>
      <c r="D2684" s="14" t="s">
        <v>470</v>
      </c>
      <c r="E2684" s="150" t="s">
        <v>471</v>
      </c>
      <c r="F2684" s="14">
        <v>17.0</v>
      </c>
      <c r="G2684" s="14" t="s">
        <v>475</v>
      </c>
      <c r="H2684" s="151"/>
      <c r="I2684" s="14" t="s">
        <v>28</v>
      </c>
      <c r="J2684" s="14" t="s">
        <v>41516</v>
      </c>
      <c r="K2684" s="14" t="s">
        <v>41517</v>
      </c>
      <c r="L2684" s="152" t="s">
        <v>477</v>
      </c>
      <c r="M2684" s="14" t="s">
        <v>41518</v>
      </c>
      <c r="N2684" s="54" t="s">
        <v>41517</v>
      </c>
      <c r="O2684" s="130"/>
      <c r="P2684" s="16"/>
      <c r="Q2684" s="14">
        <v>175771.0</v>
      </c>
      <c r="R2684" s="14"/>
      <c r="S2684" s="212"/>
      <c r="T2684" s="30"/>
      <c r="U2684" s="30"/>
      <c r="V2684" s="30"/>
      <c r="W2684" s="30"/>
      <c r="X2684" s="30"/>
      <c r="Y2684" s="30"/>
      <c r="Z2684" s="30"/>
      <c r="AA2684" s="30"/>
      <c r="AB2684" s="30"/>
      <c r="AC2684" s="30"/>
    </row>
    <row r="2685" ht="15.75" customHeight="1">
      <c r="A2685" s="14" t="s">
        <v>17</v>
      </c>
      <c r="B2685" s="14">
        <v>1991.0</v>
      </c>
      <c r="C2685" s="14" t="s">
        <v>694</v>
      </c>
      <c r="D2685" s="14" t="s">
        <v>695</v>
      </c>
      <c r="E2685" s="150" t="s">
        <v>696</v>
      </c>
      <c r="F2685" s="14">
        <v>179.0</v>
      </c>
      <c r="G2685" s="14">
        <v>186.0</v>
      </c>
      <c r="H2685" s="151"/>
      <c r="I2685" s="14" t="s">
        <v>28</v>
      </c>
      <c r="J2685" s="14" t="s">
        <v>41519</v>
      </c>
      <c r="K2685" s="14" t="s">
        <v>41520</v>
      </c>
      <c r="L2685" s="152" t="s">
        <v>709</v>
      </c>
      <c r="M2685" s="14" t="s">
        <v>41521</v>
      </c>
      <c r="N2685" s="54" t="s">
        <v>41520</v>
      </c>
      <c r="O2685" s="130"/>
      <c r="P2685" s="16"/>
      <c r="Q2685" s="14">
        <v>175797.0</v>
      </c>
      <c r="R2685" s="14"/>
      <c r="S2685" s="212"/>
      <c r="T2685" s="30"/>
      <c r="U2685" s="30"/>
      <c r="V2685" s="30"/>
      <c r="W2685" s="30"/>
      <c r="X2685" s="30"/>
      <c r="Y2685" s="30"/>
      <c r="Z2685" s="30"/>
      <c r="AA2685" s="30"/>
      <c r="AB2685" s="30"/>
      <c r="AC2685" s="30"/>
    </row>
    <row r="2686" ht="15.75" customHeight="1">
      <c r="A2686" s="14" t="s">
        <v>17</v>
      </c>
      <c r="B2686" s="14">
        <v>1991.0</v>
      </c>
      <c r="C2686" s="14" t="s">
        <v>710</v>
      </c>
      <c r="D2686" s="14" t="s">
        <v>711</v>
      </c>
      <c r="E2686" s="150" t="s">
        <v>712</v>
      </c>
      <c r="F2686" s="14">
        <v>194.0</v>
      </c>
      <c r="G2686" s="14">
        <v>201.0</v>
      </c>
      <c r="H2686" s="151"/>
      <c r="I2686" s="14" t="s">
        <v>28</v>
      </c>
      <c r="J2686" s="14" t="s">
        <v>41522</v>
      </c>
      <c r="K2686" s="14" t="s">
        <v>41523</v>
      </c>
      <c r="L2686" s="152" t="s">
        <v>721</v>
      </c>
      <c r="M2686" s="14" t="s">
        <v>41524</v>
      </c>
      <c r="N2686" s="54" t="s">
        <v>41523</v>
      </c>
      <c r="O2686" s="130"/>
      <c r="P2686" s="16"/>
      <c r="Q2686" s="14">
        <v>175800.0</v>
      </c>
      <c r="R2686" s="14"/>
      <c r="S2686" s="212"/>
      <c r="T2686" s="30"/>
      <c r="U2686" s="30"/>
      <c r="V2686" s="30"/>
      <c r="W2686" s="30"/>
      <c r="X2686" s="30"/>
      <c r="Y2686" s="30"/>
      <c r="Z2686" s="30"/>
      <c r="AA2686" s="30"/>
      <c r="AB2686" s="30"/>
      <c r="AC2686" s="30"/>
    </row>
    <row r="2687" ht="15.75" customHeight="1">
      <c r="A2687" s="14" t="s">
        <v>17</v>
      </c>
      <c r="B2687" s="14">
        <v>1991.0</v>
      </c>
      <c r="C2687" s="14" t="s">
        <v>808</v>
      </c>
      <c r="D2687" s="14" t="s">
        <v>809</v>
      </c>
      <c r="E2687" s="150" t="s">
        <v>810</v>
      </c>
      <c r="F2687" s="14">
        <v>284.0</v>
      </c>
      <c r="G2687" s="14">
        <v>291.0</v>
      </c>
      <c r="H2687" s="151"/>
      <c r="I2687" s="14" t="s">
        <v>28</v>
      </c>
      <c r="J2687" s="14" t="s">
        <v>41525</v>
      </c>
      <c r="K2687" s="14" t="s">
        <v>41526</v>
      </c>
      <c r="L2687" s="152" t="s">
        <v>815</v>
      </c>
      <c r="M2687" s="14" t="s">
        <v>41527</v>
      </c>
      <c r="N2687" s="54" t="s">
        <v>41526</v>
      </c>
      <c r="O2687" s="130"/>
      <c r="P2687" s="16"/>
      <c r="Q2687" s="14">
        <v>175815.0</v>
      </c>
      <c r="R2687" s="14"/>
      <c r="S2687" s="212"/>
      <c r="T2687" s="30"/>
      <c r="U2687" s="30"/>
      <c r="V2687" s="30"/>
      <c r="W2687" s="30"/>
      <c r="X2687" s="30"/>
      <c r="Y2687" s="30"/>
      <c r="Z2687" s="30"/>
      <c r="AA2687" s="30"/>
      <c r="AB2687" s="30"/>
      <c r="AC2687" s="30"/>
    </row>
    <row r="2688" ht="15.75" customHeight="1">
      <c r="A2688" s="14" t="s">
        <v>17</v>
      </c>
      <c r="B2688" s="14">
        <v>1991.0</v>
      </c>
      <c r="C2688" s="14" t="s">
        <v>496</v>
      </c>
      <c r="D2688" s="14" t="s">
        <v>497</v>
      </c>
      <c r="E2688" s="150" t="s">
        <v>498</v>
      </c>
      <c r="F2688" s="14">
        <v>42.0</v>
      </c>
      <c r="G2688" s="14">
        <v>49.0</v>
      </c>
      <c r="H2688" s="151"/>
      <c r="I2688" s="14" t="s">
        <v>28</v>
      </c>
      <c r="J2688" s="14" t="s">
        <v>41528</v>
      </c>
      <c r="K2688" s="14" t="s">
        <v>41529</v>
      </c>
      <c r="L2688" s="152" t="s">
        <v>500</v>
      </c>
      <c r="M2688" s="14" t="s">
        <v>41530</v>
      </c>
      <c r="N2688" s="54" t="s">
        <v>41531</v>
      </c>
      <c r="O2688" s="130"/>
      <c r="P2688" s="16"/>
      <c r="Q2688" s="14">
        <v>175776.0</v>
      </c>
      <c r="R2688" s="14"/>
      <c r="S2688" s="212"/>
      <c r="T2688" s="30"/>
      <c r="U2688" s="30"/>
      <c r="V2688" s="30"/>
      <c r="W2688" s="30"/>
      <c r="X2688" s="30"/>
      <c r="Y2688" s="30"/>
      <c r="Z2688" s="30"/>
      <c r="AA2688" s="30"/>
      <c r="AB2688" s="30"/>
      <c r="AC2688" s="30"/>
    </row>
    <row r="2689" ht="15.75" customHeight="1">
      <c r="A2689" s="14" t="s">
        <v>17</v>
      </c>
      <c r="B2689" s="14">
        <v>1991.0</v>
      </c>
      <c r="C2689" s="14" t="s">
        <v>894</v>
      </c>
      <c r="D2689" s="14" t="s">
        <v>895</v>
      </c>
      <c r="E2689" s="150" t="s">
        <v>896</v>
      </c>
      <c r="F2689" s="14">
        <v>360.0</v>
      </c>
      <c r="G2689" s="14" t="s">
        <v>898</v>
      </c>
      <c r="H2689" s="151"/>
      <c r="I2689" s="14" t="s">
        <v>28</v>
      </c>
      <c r="J2689" s="14" t="s">
        <v>41532</v>
      </c>
      <c r="K2689" s="14" t="s">
        <v>10803</v>
      </c>
      <c r="L2689" s="152" t="s">
        <v>149</v>
      </c>
      <c r="M2689" s="14">
        <v>3.82245612E10</v>
      </c>
      <c r="N2689" s="54" t="s">
        <v>10803</v>
      </c>
      <c r="O2689" s="130"/>
      <c r="P2689" s="16"/>
      <c r="Q2689" s="14">
        <v>175830.0</v>
      </c>
      <c r="R2689" s="14"/>
      <c r="S2689" s="212"/>
      <c r="T2689" s="30"/>
      <c r="U2689" s="30"/>
      <c r="V2689" s="30"/>
      <c r="W2689" s="30"/>
      <c r="X2689" s="30"/>
      <c r="Y2689" s="30"/>
      <c r="Z2689" s="30"/>
      <c r="AA2689" s="30"/>
      <c r="AB2689" s="30"/>
      <c r="AC2689" s="30"/>
    </row>
    <row r="2690" ht="15.75" customHeight="1">
      <c r="A2690" s="14" t="s">
        <v>17</v>
      </c>
      <c r="B2690" s="14">
        <v>1991.0</v>
      </c>
      <c r="C2690" s="14" t="s">
        <v>685</v>
      </c>
      <c r="D2690" s="14" t="s">
        <v>686</v>
      </c>
      <c r="E2690" s="150" t="s">
        <v>687</v>
      </c>
      <c r="F2690" s="14">
        <v>171.0</v>
      </c>
      <c r="G2690" s="14" t="s">
        <v>689</v>
      </c>
      <c r="H2690" s="151"/>
      <c r="I2690" s="14" t="s">
        <v>28</v>
      </c>
      <c r="J2690" s="14" t="s">
        <v>41533</v>
      </c>
      <c r="K2690" s="14" t="s">
        <v>41534</v>
      </c>
      <c r="L2690" s="152" t="s">
        <v>705</v>
      </c>
      <c r="M2690" s="14" t="s">
        <v>41535</v>
      </c>
      <c r="N2690" s="54" t="s">
        <v>41534</v>
      </c>
      <c r="O2690" s="130"/>
      <c r="P2690" s="16"/>
      <c r="Q2690" s="14">
        <v>175796.0</v>
      </c>
      <c r="R2690" s="14"/>
      <c r="S2690" s="212"/>
      <c r="T2690" s="30"/>
      <c r="U2690" s="30"/>
      <c r="V2690" s="30"/>
      <c r="W2690" s="30"/>
      <c r="X2690" s="30"/>
      <c r="Y2690" s="30"/>
      <c r="Z2690" s="30"/>
      <c r="AA2690" s="30"/>
      <c r="AB2690" s="30"/>
      <c r="AC2690" s="30"/>
    </row>
    <row r="2691" ht="15.75" customHeight="1">
      <c r="A2691" s="14" t="s">
        <v>17</v>
      </c>
      <c r="B2691" s="14">
        <v>1991.0</v>
      </c>
      <c r="C2691" s="14" t="s">
        <v>937</v>
      </c>
      <c r="D2691" s="14" t="s">
        <v>938</v>
      </c>
      <c r="E2691" s="150" t="s">
        <v>939</v>
      </c>
      <c r="F2691" s="14">
        <v>392.0</v>
      </c>
      <c r="G2691" s="14" t="s">
        <v>942</v>
      </c>
      <c r="H2691" s="151"/>
      <c r="I2691" s="14" t="s">
        <v>28</v>
      </c>
      <c r="J2691" s="14" t="s">
        <v>41536</v>
      </c>
      <c r="K2691" s="14" t="s">
        <v>41537</v>
      </c>
      <c r="L2691" s="152" t="s">
        <v>944</v>
      </c>
      <c r="M2691" s="14" t="s">
        <v>41538</v>
      </c>
      <c r="N2691" s="54" t="s">
        <v>41537</v>
      </c>
      <c r="O2691" s="130"/>
      <c r="P2691" s="16"/>
      <c r="Q2691" s="14">
        <v>175837.0</v>
      </c>
      <c r="R2691" s="14"/>
      <c r="S2691" s="212"/>
      <c r="T2691" s="30"/>
      <c r="U2691" s="30"/>
      <c r="V2691" s="30"/>
      <c r="W2691" s="30"/>
      <c r="X2691" s="30"/>
      <c r="Y2691" s="30"/>
      <c r="Z2691" s="30"/>
      <c r="AA2691" s="30"/>
      <c r="AB2691" s="30"/>
      <c r="AC2691" s="30"/>
    </row>
    <row r="2692" ht="15.75" customHeight="1">
      <c r="A2692" s="14" t="s">
        <v>17</v>
      </c>
      <c r="B2692" s="14">
        <v>1991.0</v>
      </c>
      <c r="C2692" s="14" t="s">
        <v>528</v>
      </c>
      <c r="D2692" s="14" t="s">
        <v>529</v>
      </c>
      <c r="E2692" s="150" t="s">
        <v>530</v>
      </c>
      <c r="F2692" s="14">
        <v>76.0</v>
      </c>
      <c r="G2692" s="14" t="s">
        <v>531</v>
      </c>
      <c r="H2692" s="151"/>
      <c r="I2692" s="14" t="s">
        <v>28</v>
      </c>
      <c r="J2692" s="14" t="s">
        <v>41539</v>
      </c>
      <c r="K2692" s="14" t="s">
        <v>41540</v>
      </c>
      <c r="L2692" s="152" t="s">
        <v>533</v>
      </c>
      <c r="M2692" s="14" t="s">
        <v>41541</v>
      </c>
      <c r="N2692" s="54" t="s">
        <v>41542</v>
      </c>
      <c r="O2692" s="130" t="s">
        <v>369</v>
      </c>
      <c r="P2692" s="16"/>
      <c r="Q2692" s="14">
        <v>175781.0</v>
      </c>
      <c r="R2692" s="14"/>
      <c r="S2692" s="212">
        <v>146401.0</v>
      </c>
      <c r="T2692" s="30"/>
      <c r="U2692" s="30"/>
      <c r="V2692" s="30"/>
      <c r="W2692" s="30"/>
      <c r="X2692" s="30"/>
      <c r="Y2692" s="30"/>
      <c r="Z2692" s="30"/>
      <c r="AA2692" s="30"/>
      <c r="AB2692" s="30"/>
      <c r="AC2692" s="30"/>
    </row>
    <row r="2693" ht="15.75" customHeight="1">
      <c r="A2693" s="14" t="s">
        <v>17</v>
      </c>
      <c r="B2693" s="14">
        <v>1991.0</v>
      </c>
      <c r="C2693" s="14" t="s">
        <v>727</v>
      </c>
      <c r="D2693" s="14" t="s">
        <v>728</v>
      </c>
      <c r="E2693" s="150" t="s">
        <v>729</v>
      </c>
      <c r="F2693" s="14">
        <v>210.0</v>
      </c>
      <c r="G2693" s="14">
        <v>215.0</v>
      </c>
      <c r="H2693" s="151"/>
      <c r="I2693" s="14" t="s">
        <v>28</v>
      </c>
      <c r="J2693" s="14" t="s">
        <v>41543</v>
      </c>
      <c r="K2693" s="14" t="s">
        <v>41544</v>
      </c>
      <c r="L2693" s="152" t="s">
        <v>739</v>
      </c>
      <c r="M2693" s="14" t="s">
        <v>41545</v>
      </c>
      <c r="N2693" s="54" t="s">
        <v>41544</v>
      </c>
      <c r="O2693" s="130"/>
      <c r="P2693" s="16"/>
      <c r="Q2693" s="14">
        <v>175802.0</v>
      </c>
      <c r="R2693" s="14"/>
      <c r="S2693" s="212"/>
      <c r="T2693" s="30"/>
      <c r="U2693" s="30"/>
      <c r="V2693" s="30"/>
      <c r="W2693" s="30"/>
      <c r="X2693" s="30"/>
      <c r="Y2693" s="30"/>
      <c r="Z2693" s="30"/>
      <c r="AA2693" s="30"/>
      <c r="AB2693" s="30"/>
      <c r="AC2693" s="30"/>
    </row>
    <row r="2694" ht="15.75" customHeight="1">
      <c r="A2694" s="14" t="s">
        <v>17</v>
      </c>
      <c r="B2694" s="14">
        <v>1991.0</v>
      </c>
      <c r="C2694" s="14" t="s">
        <v>461</v>
      </c>
      <c r="D2694" s="14" t="s">
        <v>463</v>
      </c>
      <c r="E2694" s="150" t="s">
        <v>465</v>
      </c>
      <c r="F2694" s="14">
        <v>12.0</v>
      </c>
      <c r="G2694" s="14" t="s">
        <v>466</v>
      </c>
      <c r="H2694" s="151"/>
      <c r="I2694" s="14" t="s">
        <v>28</v>
      </c>
      <c r="J2694" s="14" t="s">
        <v>41546</v>
      </c>
      <c r="K2694" s="14" t="s">
        <v>41547</v>
      </c>
      <c r="L2694" s="152" t="s">
        <v>468</v>
      </c>
      <c r="M2694" s="14" t="s">
        <v>41548</v>
      </c>
      <c r="N2694" s="54" t="s">
        <v>41547</v>
      </c>
      <c r="O2694" s="130"/>
      <c r="P2694" s="16"/>
      <c r="Q2694" s="14">
        <v>175770.0</v>
      </c>
      <c r="R2694" s="14"/>
      <c r="S2694" s="212"/>
      <c r="T2694" s="30"/>
      <c r="U2694" s="30"/>
      <c r="V2694" s="30"/>
      <c r="W2694" s="30"/>
      <c r="X2694" s="30"/>
      <c r="Y2694" s="30"/>
      <c r="Z2694" s="30"/>
      <c r="AA2694" s="30"/>
      <c r="AB2694" s="30"/>
      <c r="AC2694" s="30"/>
    </row>
    <row r="2695" ht="15.75" customHeight="1">
      <c r="A2695" s="14" t="s">
        <v>17</v>
      </c>
      <c r="B2695" s="14">
        <v>1991.0</v>
      </c>
      <c r="C2695" s="14" t="s">
        <v>902</v>
      </c>
      <c r="D2695" s="14" t="s">
        <v>903</v>
      </c>
      <c r="E2695" s="150" t="s">
        <v>904</v>
      </c>
      <c r="F2695" s="14">
        <v>364.0</v>
      </c>
      <c r="G2695" s="14" t="s">
        <v>905</v>
      </c>
      <c r="H2695" s="151"/>
      <c r="I2695" s="14" t="s">
        <v>28</v>
      </c>
      <c r="J2695" s="14" t="s">
        <v>41549</v>
      </c>
      <c r="K2695" s="14" t="s">
        <v>41550</v>
      </c>
      <c r="L2695" s="152" t="s">
        <v>907</v>
      </c>
      <c r="M2695" s="14" t="s">
        <v>41551</v>
      </c>
      <c r="N2695" s="54" t="s">
        <v>41552</v>
      </c>
      <c r="O2695" s="130"/>
      <c r="P2695" s="16"/>
      <c r="Q2695" s="14">
        <v>175831.0</v>
      </c>
      <c r="R2695" s="14"/>
      <c r="S2695" s="212"/>
      <c r="T2695" s="30"/>
      <c r="U2695" s="30"/>
      <c r="V2695" s="30"/>
      <c r="W2695" s="30"/>
      <c r="X2695" s="30"/>
      <c r="Y2695" s="30"/>
      <c r="Z2695" s="30"/>
      <c r="AA2695" s="30"/>
      <c r="AB2695" s="30"/>
      <c r="AC2695" s="30"/>
    </row>
    <row r="2696" ht="15.75" customHeight="1">
      <c r="A2696" s="14" t="s">
        <v>17</v>
      </c>
      <c r="B2696" s="14">
        <v>1991.0</v>
      </c>
      <c r="C2696" s="14" t="s">
        <v>945</v>
      </c>
      <c r="D2696" s="14" t="s">
        <v>946</v>
      </c>
      <c r="E2696" s="150" t="s">
        <v>947</v>
      </c>
      <c r="F2696" s="14">
        <v>398.0</v>
      </c>
      <c r="G2696" s="14">
        <v>404.0</v>
      </c>
      <c r="H2696" s="151"/>
      <c r="I2696" s="14" t="s">
        <v>28</v>
      </c>
      <c r="J2696" s="14" t="s">
        <v>41553</v>
      </c>
      <c r="K2696" s="14" t="s">
        <v>41554</v>
      </c>
      <c r="L2696" s="152" t="s">
        <v>952</v>
      </c>
      <c r="M2696" s="14" t="s">
        <v>41555</v>
      </c>
      <c r="N2696" s="54" t="s">
        <v>41554</v>
      </c>
      <c r="O2696" s="130"/>
      <c r="P2696" s="16"/>
      <c r="Q2696" s="14">
        <v>175838.0</v>
      </c>
      <c r="R2696" s="14"/>
      <c r="S2696" s="212"/>
      <c r="T2696" s="30"/>
      <c r="U2696" s="30"/>
      <c r="V2696" s="30"/>
      <c r="W2696" s="30"/>
      <c r="X2696" s="30"/>
      <c r="Y2696" s="30"/>
      <c r="Z2696" s="30"/>
      <c r="AA2696" s="30"/>
      <c r="AB2696" s="30"/>
      <c r="AC2696" s="30"/>
    </row>
    <row r="2697" ht="15.75" customHeight="1">
      <c r="A2697" s="14" t="s">
        <v>17</v>
      </c>
      <c r="B2697" s="14">
        <v>1991.0</v>
      </c>
      <c r="C2697" s="14" t="s">
        <v>847</v>
      </c>
      <c r="D2697" s="14" t="s">
        <v>848</v>
      </c>
      <c r="E2697" s="150" t="s">
        <v>849</v>
      </c>
      <c r="F2697" s="14">
        <v>321.0</v>
      </c>
      <c r="G2697" s="14" t="s">
        <v>853</v>
      </c>
      <c r="H2697" s="151"/>
      <c r="I2697" s="14" t="s">
        <v>28</v>
      </c>
      <c r="J2697" s="14" t="s">
        <v>41556</v>
      </c>
      <c r="K2697" s="14" t="s">
        <v>41227</v>
      </c>
      <c r="L2697" s="152" t="s">
        <v>855</v>
      </c>
      <c r="M2697" s="14" t="s">
        <v>41228</v>
      </c>
      <c r="N2697" s="54" t="s">
        <v>41227</v>
      </c>
      <c r="O2697" s="130" t="s">
        <v>91</v>
      </c>
      <c r="P2697" s="16"/>
      <c r="Q2697" s="14">
        <v>175821.0</v>
      </c>
      <c r="R2697" s="14"/>
      <c r="S2697" s="212">
        <v>146370.0</v>
      </c>
      <c r="T2697" s="30"/>
      <c r="U2697" s="30"/>
      <c r="V2697" s="30"/>
      <c r="W2697" s="30"/>
      <c r="X2697" s="30"/>
      <c r="Y2697" s="30"/>
      <c r="Z2697" s="30"/>
      <c r="AA2697" s="30"/>
      <c r="AB2697" s="30"/>
      <c r="AC2697" s="30"/>
    </row>
    <row r="2698" ht="15.75" customHeight="1">
      <c r="A2698" s="14" t="s">
        <v>17</v>
      </c>
      <c r="B2698" s="14">
        <v>1991.0</v>
      </c>
      <c r="C2698" s="14" t="s">
        <v>478</v>
      </c>
      <c r="D2698" s="14" t="s">
        <v>479</v>
      </c>
      <c r="E2698" s="150" t="s">
        <v>480</v>
      </c>
      <c r="F2698" s="14">
        <v>25.0</v>
      </c>
      <c r="G2698" s="14">
        <v>32.0</v>
      </c>
      <c r="H2698" s="151"/>
      <c r="I2698" s="14" t="s">
        <v>28</v>
      </c>
      <c r="J2698" s="14" t="s">
        <v>41557</v>
      </c>
      <c r="K2698" s="14" t="s">
        <v>41558</v>
      </c>
      <c r="L2698" s="152" t="s">
        <v>485</v>
      </c>
      <c r="M2698" s="14" t="s">
        <v>41559</v>
      </c>
      <c r="N2698" s="54" t="s">
        <v>41558</v>
      </c>
      <c r="O2698" s="130"/>
      <c r="P2698" s="16"/>
      <c r="Q2698" s="14">
        <v>175772.0</v>
      </c>
      <c r="R2698" s="14"/>
      <c r="S2698" s="212"/>
      <c r="T2698" s="30"/>
      <c r="U2698" s="30"/>
      <c r="V2698" s="30"/>
      <c r="W2698" s="30"/>
      <c r="X2698" s="30"/>
      <c r="Y2698" s="30"/>
      <c r="Z2698" s="30"/>
      <c r="AA2698" s="30"/>
      <c r="AB2698" s="30"/>
      <c r="AC2698" s="30"/>
    </row>
    <row r="2699" ht="15.75" customHeight="1">
      <c r="A2699" s="14" t="s">
        <v>17</v>
      </c>
      <c r="B2699" s="14">
        <v>1991.0</v>
      </c>
      <c r="C2699" s="14" t="s">
        <v>887</v>
      </c>
      <c r="D2699" s="14" t="s">
        <v>888</v>
      </c>
      <c r="E2699" s="150" t="s">
        <v>889</v>
      </c>
      <c r="F2699" s="14">
        <v>354.0</v>
      </c>
      <c r="G2699" s="14">
        <v>357.0</v>
      </c>
      <c r="H2699" s="159" t="s">
        <v>30659</v>
      </c>
      <c r="I2699" s="14" t="s">
        <v>21</v>
      </c>
      <c r="J2699" s="14" t="s">
        <v>41560</v>
      </c>
      <c r="K2699" s="14" t="s">
        <v>41561</v>
      </c>
      <c r="L2699" s="152" t="s">
        <v>860</v>
      </c>
      <c r="M2699" s="14" t="s">
        <v>860</v>
      </c>
      <c r="N2699" s="54" t="s">
        <v>41561</v>
      </c>
      <c r="O2699" s="130"/>
      <c r="P2699" s="16"/>
      <c r="Q2699" s="14">
        <v>175828.0</v>
      </c>
      <c r="R2699" s="14"/>
      <c r="S2699" s="212"/>
      <c r="T2699" s="30"/>
      <c r="U2699" s="30"/>
      <c r="V2699" s="30"/>
      <c r="W2699" s="30"/>
      <c r="X2699" s="30"/>
      <c r="Y2699" s="30"/>
      <c r="Z2699" s="30"/>
      <c r="AA2699" s="30"/>
      <c r="AB2699" s="30"/>
      <c r="AC2699" s="30"/>
    </row>
    <row r="2700" ht="15.75" customHeight="1">
      <c r="A2700" s="14" t="s">
        <v>17</v>
      </c>
      <c r="B2700" s="14">
        <v>1990.0</v>
      </c>
      <c r="C2700" s="14" t="s">
        <v>448</v>
      </c>
      <c r="D2700" s="14" t="s">
        <v>449</v>
      </c>
      <c r="E2700" s="150" t="s">
        <v>450</v>
      </c>
      <c r="F2700" s="14">
        <v>449.0</v>
      </c>
      <c r="G2700" s="14">
        <v>456.0</v>
      </c>
      <c r="H2700" s="151"/>
      <c r="I2700" s="14" t="s">
        <v>28</v>
      </c>
      <c r="J2700" s="14" t="s">
        <v>41562</v>
      </c>
      <c r="K2700" s="14" t="s">
        <v>41563</v>
      </c>
      <c r="L2700" s="152" t="s">
        <v>251</v>
      </c>
      <c r="M2700" s="14" t="s">
        <v>41564</v>
      </c>
      <c r="N2700" s="54" t="s">
        <v>41563</v>
      </c>
      <c r="O2700" s="130"/>
      <c r="P2700" s="16"/>
      <c r="Q2700" s="14">
        <v>146419.0</v>
      </c>
      <c r="R2700" s="14"/>
      <c r="S2700" s="212"/>
      <c r="T2700" s="30"/>
      <c r="U2700" s="30"/>
      <c r="V2700" s="30"/>
      <c r="W2700" s="30"/>
      <c r="X2700" s="30"/>
      <c r="Y2700" s="30"/>
      <c r="Z2700" s="30"/>
      <c r="AA2700" s="30"/>
      <c r="AB2700" s="30"/>
      <c r="AC2700" s="30"/>
    </row>
    <row r="2701" ht="15.75" customHeight="1">
      <c r="A2701" s="14" t="s">
        <v>17</v>
      </c>
      <c r="B2701" s="14">
        <v>1990.0</v>
      </c>
      <c r="C2701" s="14" t="s">
        <v>219</v>
      </c>
      <c r="D2701" s="14" t="s">
        <v>220</v>
      </c>
      <c r="E2701" s="150" t="s">
        <v>221</v>
      </c>
      <c r="F2701" s="14">
        <v>219.0</v>
      </c>
      <c r="G2701" s="14" t="s">
        <v>222</v>
      </c>
      <c r="H2701" s="151"/>
      <c r="I2701" s="14" t="s">
        <v>28</v>
      </c>
      <c r="J2701" s="14" t="s">
        <v>41565</v>
      </c>
      <c r="K2701" s="14" t="s">
        <v>41566</v>
      </c>
      <c r="L2701" s="152" t="s">
        <v>224</v>
      </c>
      <c r="M2701" s="14" t="s">
        <v>41567</v>
      </c>
      <c r="N2701" s="54" t="s">
        <v>41566</v>
      </c>
      <c r="O2701" s="130"/>
      <c r="P2701" s="16"/>
      <c r="Q2701" s="14">
        <v>146385.0</v>
      </c>
      <c r="R2701" s="14"/>
      <c r="S2701" s="212"/>
      <c r="T2701" s="30"/>
      <c r="U2701" s="30"/>
      <c r="V2701" s="30"/>
      <c r="W2701" s="30"/>
      <c r="X2701" s="30"/>
      <c r="Y2701" s="30"/>
      <c r="Z2701" s="30"/>
      <c r="AA2701" s="30"/>
      <c r="AB2701" s="30"/>
      <c r="AC2701" s="30"/>
    </row>
    <row r="2702" ht="15.75" customHeight="1">
      <c r="A2702" s="14" t="s">
        <v>17</v>
      </c>
      <c r="B2702" s="14">
        <v>1990.0</v>
      </c>
      <c r="C2702" s="14" t="s">
        <v>145</v>
      </c>
      <c r="D2702" s="14" t="s">
        <v>146</v>
      </c>
      <c r="E2702" s="150" t="s">
        <v>147</v>
      </c>
      <c r="F2702" s="14">
        <v>114.0</v>
      </c>
      <c r="G2702" s="14">
        <v>123.0</v>
      </c>
      <c r="H2702" s="151"/>
      <c r="I2702" s="14" t="s">
        <v>28</v>
      </c>
      <c r="J2702" s="14" t="s">
        <v>41568</v>
      </c>
      <c r="K2702" s="14" t="s">
        <v>10188</v>
      </c>
      <c r="L2702" s="152" t="s">
        <v>149</v>
      </c>
      <c r="M2702" s="14">
        <v>3.82673228E10</v>
      </c>
      <c r="N2702" s="54" t="s">
        <v>10188</v>
      </c>
      <c r="O2702" s="130"/>
      <c r="P2702" s="16"/>
      <c r="Q2702" s="14">
        <v>146372.0</v>
      </c>
      <c r="R2702" s="14"/>
      <c r="S2702" s="212"/>
      <c r="T2702" s="30"/>
      <c r="U2702" s="30"/>
      <c r="V2702" s="30"/>
      <c r="W2702" s="30"/>
      <c r="X2702" s="30"/>
      <c r="Y2702" s="30"/>
      <c r="Z2702" s="30"/>
      <c r="AA2702" s="30"/>
      <c r="AB2702" s="30"/>
      <c r="AC2702" s="30"/>
    </row>
    <row r="2703" ht="15.75" customHeight="1">
      <c r="A2703" s="14" t="s">
        <v>17</v>
      </c>
      <c r="B2703" s="14">
        <v>1990.0</v>
      </c>
      <c r="C2703" s="14" t="s">
        <v>264</v>
      </c>
      <c r="D2703" s="14" t="s">
        <v>265</v>
      </c>
      <c r="E2703" s="150" t="s">
        <v>266</v>
      </c>
      <c r="F2703" s="14">
        <v>289.0</v>
      </c>
      <c r="G2703" s="14" t="s">
        <v>267</v>
      </c>
      <c r="H2703" s="151"/>
      <c r="I2703" s="14" t="s">
        <v>28</v>
      </c>
      <c r="J2703" s="14" t="s">
        <v>41569</v>
      </c>
      <c r="K2703" s="14" t="s">
        <v>41570</v>
      </c>
      <c r="L2703" s="152" t="s">
        <v>269</v>
      </c>
      <c r="M2703" s="14" t="s">
        <v>41571</v>
      </c>
      <c r="N2703" s="54" t="s">
        <v>41570</v>
      </c>
      <c r="O2703" s="130"/>
      <c r="P2703" s="16"/>
      <c r="Q2703" s="14">
        <v>146393.0</v>
      </c>
      <c r="R2703" s="14"/>
      <c r="S2703" s="212"/>
      <c r="T2703" s="30"/>
      <c r="U2703" s="30"/>
      <c r="V2703" s="30"/>
      <c r="W2703" s="30"/>
      <c r="X2703" s="30"/>
      <c r="Y2703" s="30"/>
      <c r="Z2703" s="30"/>
      <c r="AA2703" s="30"/>
      <c r="AB2703" s="30"/>
      <c r="AC2703" s="30"/>
    </row>
    <row r="2704" ht="15.75" customHeight="1">
      <c r="A2704" s="14" t="s">
        <v>17</v>
      </c>
      <c r="B2704" s="14">
        <v>1990.0</v>
      </c>
      <c r="C2704" s="14" t="s">
        <v>161</v>
      </c>
      <c r="D2704" s="14" t="s">
        <v>162</v>
      </c>
      <c r="E2704" s="150" t="s">
        <v>163</v>
      </c>
      <c r="F2704" s="14">
        <v>139.0</v>
      </c>
      <c r="G2704" s="14" t="s">
        <v>164</v>
      </c>
      <c r="H2704" s="151"/>
      <c r="I2704" s="14" t="s">
        <v>28</v>
      </c>
      <c r="J2704" s="14" t="s">
        <v>41572</v>
      </c>
      <c r="K2704" s="14" t="s">
        <v>41573</v>
      </c>
      <c r="L2704" s="152" t="s">
        <v>166</v>
      </c>
      <c r="M2704" s="14" t="s">
        <v>41574</v>
      </c>
      <c r="N2704" s="54" t="s">
        <v>41573</v>
      </c>
      <c r="O2704" s="130"/>
      <c r="P2704" s="16"/>
      <c r="Q2704" s="14">
        <v>146375.0</v>
      </c>
      <c r="R2704" s="14"/>
      <c r="S2704" s="212"/>
      <c r="T2704" s="30"/>
      <c r="U2704" s="30"/>
      <c r="V2704" s="30"/>
      <c r="W2704" s="30"/>
      <c r="X2704" s="30"/>
      <c r="Y2704" s="30"/>
      <c r="Z2704" s="30"/>
      <c r="AA2704" s="30"/>
      <c r="AB2704" s="30"/>
      <c r="AC2704" s="30"/>
    </row>
    <row r="2705" ht="15.75" customHeight="1">
      <c r="A2705" s="14" t="s">
        <v>17</v>
      </c>
      <c r="B2705" s="14">
        <v>1990.0</v>
      </c>
      <c r="C2705" s="14" t="s">
        <v>43</v>
      </c>
      <c r="D2705" s="14" t="s">
        <v>44</v>
      </c>
      <c r="E2705" s="150" t="s">
        <v>45</v>
      </c>
      <c r="F2705" s="14">
        <v>36.0</v>
      </c>
      <c r="G2705" s="14" t="s">
        <v>46</v>
      </c>
      <c r="H2705" s="151"/>
      <c r="I2705" s="14" t="s">
        <v>28</v>
      </c>
      <c r="J2705" s="14" t="s">
        <v>41575</v>
      </c>
      <c r="K2705" s="14" t="s">
        <v>9491</v>
      </c>
      <c r="L2705" s="152" t="s">
        <v>48</v>
      </c>
      <c r="M2705" s="14">
        <v>3.82226388E10</v>
      </c>
      <c r="N2705" s="54" t="s">
        <v>9491</v>
      </c>
      <c r="O2705" s="130"/>
      <c r="P2705" s="16"/>
      <c r="Q2705" s="14">
        <v>146362.0</v>
      </c>
      <c r="R2705" s="14"/>
      <c r="S2705" s="212"/>
      <c r="T2705" s="30"/>
      <c r="U2705" s="30"/>
      <c r="V2705" s="30"/>
      <c r="W2705" s="30"/>
      <c r="X2705" s="30"/>
      <c r="Y2705" s="30"/>
      <c r="Z2705" s="30"/>
      <c r="AA2705" s="30"/>
      <c r="AB2705" s="30"/>
      <c r="AC2705" s="30"/>
    </row>
    <row r="2706" ht="15.75" customHeight="1">
      <c r="A2706" s="14" t="s">
        <v>17</v>
      </c>
      <c r="B2706" s="14">
        <v>1990.0</v>
      </c>
      <c r="C2706" s="14" t="s">
        <v>41576</v>
      </c>
      <c r="D2706" s="14" t="s">
        <v>347</v>
      </c>
      <c r="E2706" s="150" t="s">
        <v>348</v>
      </c>
      <c r="F2706" s="14">
        <v>329.0</v>
      </c>
      <c r="G2706" s="14">
        <v>337.0</v>
      </c>
      <c r="H2706" s="151"/>
      <c r="I2706" s="14" t="s">
        <v>28</v>
      </c>
      <c r="J2706" s="14" t="s">
        <v>41577</v>
      </c>
      <c r="K2706" s="14" t="s">
        <v>41578</v>
      </c>
      <c r="L2706" s="152" t="s">
        <v>350</v>
      </c>
      <c r="M2706" s="14" t="s">
        <v>41579</v>
      </c>
      <c r="N2706" s="54" t="s">
        <v>41578</v>
      </c>
      <c r="O2706" s="130"/>
      <c r="P2706" s="16"/>
      <c r="Q2706" s="14">
        <v>146398.0</v>
      </c>
      <c r="R2706" s="14"/>
      <c r="S2706" s="212"/>
      <c r="T2706" s="30"/>
      <c r="U2706" s="30"/>
      <c r="V2706" s="30"/>
      <c r="W2706" s="30"/>
      <c r="X2706" s="30"/>
      <c r="Y2706" s="30"/>
      <c r="Z2706" s="30"/>
      <c r="AA2706" s="30"/>
      <c r="AB2706" s="30"/>
      <c r="AC2706" s="30"/>
    </row>
    <row r="2707" ht="15.75" customHeight="1">
      <c r="A2707" s="14" t="s">
        <v>17</v>
      </c>
      <c r="B2707" s="14">
        <v>1990.0</v>
      </c>
      <c r="C2707" s="14" t="s">
        <v>201</v>
      </c>
      <c r="D2707" s="14" t="s">
        <v>202</v>
      </c>
      <c r="E2707" s="150" t="s">
        <v>203</v>
      </c>
      <c r="F2707" s="14">
        <v>194.0</v>
      </c>
      <c r="G2707" s="14" t="s">
        <v>204</v>
      </c>
      <c r="H2707" s="151"/>
      <c r="I2707" s="14" t="s">
        <v>28</v>
      </c>
      <c r="J2707" s="14" t="s">
        <v>41580</v>
      </c>
      <c r="K2707" s="14" t="s">
        <v>41581</v>
      </c>
      <c r="L2707" s="152" t="s">
        <v>206</v>
      </c>
      <c r="M2707" s="14" t="s">
        <v>41582</v>
      </c>
      <c r="N2707" s="54" t="s">
        <v>41581</v>
      </c>
      <c r="O2707" s="130"/>
      <c r="P2707" s="16"/>
      <c r="Q2707" s="14">
        <v>146382.0</v>
      </c>
      <c r="R2707" s="14"/>
      <c r="S2707" s="212"/>
      <c r="T2707" s="30"/>
      <c r="U2707" s="30"/>
      <c r="V2707" s="30"/>
      <c r="W2707" s="30"/>
      <c r="X2707" s="30"/>
      <c r="Y2707" s="30"/>
      <c r="Z2707" s="30"/>
      <c r="AA2707" s="30"/>
      <c r="AB2707" s="30"/>
      <c r="AC2707" s="30"/>
    </row>
    <row r="2708" ht="15.75" customHeight="1">
      <c r="A2708" s="14" t="s">
        <v>17</v>
      </c>
      <c r="B2708" s="14">
        <v>1990.0</v>
      </c>
      <c r="C2708" s="14" t="s">
        <v>368</v>
      </c>
      <c r="D2708" s="14" t="s">
        <v>369</v>
      </c>
      <c r="E2708" s="150" t="s">
        <v>371</v>
      </c>
      <c r="F2708" s="14">
        <v>353.0</v>
      </c>
      <c r="G2708" s="14" t="s">
        <v>374</v>
      </c>
      <c r="H2708" s="151"/>
      <c r="I2708" s="14" t="s">
        <v>28</v>
      </c>
      <c r="J2708" s="14" t="s">
        <v>41584</v>
      </c>
      <c r="K2708" s="14" t="s">
        <v>10193</v>
      </c>
      <c r="L2708" s="152" t="s">
        <v>376</v>
      </c>
      <c r="M2708" s="14">
        <v>3.7372689E10</v>
      </c>
      <c r="N2708" s="54" t="s">
        <v>10193</v>
      </c>
      <c r="O2708" s="130"/>
      <c r="P2708" s="16"/>
      <c r="Q2708" s="14">
        <v>146401.0</v>
      </c>
      <c r="R2708" s="14"/>
      <c r="S2708" s="212"/>
      <c r="T2708" s="30"/>
      <c r="U2708" s="30"/>
      <c r="V2708" s="30"/>
      <c r="W2708" s="30"/>
      <c r="X2708" s="30"/>
      <c r="Y2708" s="30"/>
      <c r="Z2708" s="30"/>
      <c r="AA2708" s="30"/>
      <c r="AB2708" s="30"/>
      <c r="AC2708" s="30"/>
    </row>
    <row r="2709" ht="15.75" customHeight="1">
      <c r="A2709" s="14" t="s">
        <v>17</v>
      </c>
      <c r="B2709" s="14">
        <v>1990.0</v>
      </c>
      <c r="C2709" s="14" t="s">
        <v>354</v>
      </c>
      <c r="D2709" s="14" t="s">
        <v>355</v>
      </c>
      <c r="E2709" s="150" t="s">
        <v>356</v>
      </c>
      <c r="F2709" s="14">
        <v>338.0</v>
      </c>
      <c r="G2709" s="14">
        <v>341.0</v>
      </c>
      <c r="H2709" s="151"/>
      <c r="I2709" s="14" t="s">
        <v>28</v>
      </c>
      <c r="J2709" s="14" t="s">
        <v>41585</v>
      </c>
      <c r="K2709" s="14" t="s">
        <v>9897</v>
      </c>
      <c r="L2709" s="152" t="s">
        <v>358</v>
      </c>
      <c r="M2709" s="14">
        <v>3.78391719E10</v>
      </c>
      <c r="N2709" s="54" t="s">
        <v>9897</v>
      </c>
      <c r="O2709" s="130"/>
      <c r="P2709" s="16"/>
      <c r="Q2709" s="14">
        <v>146399.0</v>
      </c>
      <c r="R2709" s="14"/>
      <c r="S2709" s="212"/>
      <c r="T2709" s="30"/>
      <c r="U2709" s="30"/>
      <c r="V2709" s="30"/>
      <c r="W2709" s="30"/>
      <c r="X2709" s="30"/>
      <c r="Y2709" s="30"/>
      <c r="Z2709" s="30"/>
      <c r="AA2709" s="30"/>
      <c r="AB2709" s="30"/>
      <c r="AC2709" s="30"/>
    </row>
    <row r="2710" ht="15.75" customHeight="1">
      <c r="A2710" s="14" t="s">
        <v>17</v>
      </c>
      <c r="B2710" s="14">
        <v>1990.0</v>
      </c>
      <c r="C2710" s="14" t="s">
        <v>67</v>
      </c>
      <c r="D2710" s="14" t="s">
        <v>68</v>
      </c>
      <c r="E2710" s="150" t="s">
        <v>69</v>
      </c>
      <c r="F2710" s="14">
        <v>67.0</v>
      </c>
      <c r="G2710" s="14">
        <v>73.0</v>
      </c>
      <c r="H2710" s="151"/>
      <c r="I2710" s="14" t="s">
        <v>28</v>
      </c>
      <c r="J2710" s="14" t="s">
        <v>41586</v>
      </c>
      <c r="K2710" s="14" t="s">
        <v>9187</v>
      </c>
      <c r="L2710" s="152" t="s">
        <v>71</v>
      </c>
      <c r="M2710" s="14">
        <v>3.82240817E10</v>
      </c>
      <c r="N2710" s="54" t="s">
        <v>9187</v>
      </c>
      <c r="O2710" s="130"/>
      <c r="P2710" s="16"/>
      <c r="Q2710" s="14">
        <v>146366.0</v>
      </c>
      <c r="R2710" s="14"/>
      <c r="S2710" s="212"/>
      <c r="T2710" s="30"/>
      <c r="U2710" s="30"/>
      <c r="V2710" s="30"/>
      <c r="W2710" s="30"/>
      <c r="X2710" s="30"/>
      <c r="Y2710" s="30"/>
      <c r="Z2710" s="30"/>
      <c r="AA2710" s="30"/>
      <c r="AB2710" s="30"/>
      <c r="AC2710" s="30"/>
    </row>
    <row r="2711" ht="15.75" customHeight="1">
      <c r="A2711" s="14" t="s">
        <v>17</v>
      </c>
      <c r="B2711" s="14">
        <v>1990.0</v>
      </c>
      <c r="C2711" s="14" t="s">
        <v>173</v>
      </c>
      <c r="D2711" s="14" t="s">
        <v>174</v>
      </c>
      <c r="E2711" s="150" t="s">
        <v>175</v>
      </c>
      <c r="F2711" s="14">
        <v>150.0</v>
      </c>
      <c r="G2711" s="14" t="s">
        <v>176</v>
      </c>
      <c r="H2711" s="151"/>
      <c r="I2711" s="14" t="s">
        <v>28</v>
      </c>
      <c r="J2711" s="14" t="s">
        <v>41587</v>
      </c>
      <c r="K2711" s="14" t="s">
        <v>41588</v>
      </c>
      <c r="L2711" s="152" t="s">
        <v>178</v>
      </c>
      <c r="M2711" s="14" t="s">
        <v>41589</v>
      </c>
      <c r="N2711" s="54" t="s">
        <v>41588</v>
      </c>
      <c r="O2711" s="130"/>
      <c r="P2711" s="16"/>
      <c r="Q2711" s="14">
        <v>146377.0</v>
      </c>
      <c r="R2711" s="14"/>
      <c r="S2711" s="212"/>
      <c r="T2711" s="30"/>
      <c r="U2711" s="30"/>
      <c r="V2711" s="30"/>
      <c r="W2711" s="30"/>
      <c r="X2711" s="30"/>
      <c r="Y2711" s="30"/>
      <c r="Z2711" s="30"/>
      <c r="AA2711" s="30"/>
      <c r="AB2711" s="30"/>
      <c r="AC2711" s="30"/>
    </row>
    <row r="2712" ht="15.75" customHeight="1">
      <c r="A2712" s="14" t="s">
        <v>17</v>
      </c>
      <c r="B2712" s="14">
        <v>1990.0</v>
      </c>
      <c r="C2712" s="14" t="s">
        <v>276</v>
      </c>
      <c r="D2712" s="14" t="s">
        <v>277</v>
      </c>
      <c r="E2712" s="150" t="s">
        <v>278</v>
      </c>
      <c r="F2712" s="14">
        <v>307.0</v>
      </c>
      <c r="G2712" s="14" t="s">
        <v>279</v>
      </c>
      <c r="H2712" s="151"/>
      <c r="I2712" s="14" t="s">
        <v>28</v>
      </c>
      <c r="J2712" s="14" t="s">
        <v>41590</v>
      </c>
      <c r="K2712" s="14" t="s">
        <v>41591</v>
      </c>
      <c r="L2712" s="152" t="s">
        <v>281</v>
      </c>
      <c r="M2712" s="14" t="s">
        <v>41592</v>
      </c>
      <c r="N2712" s="54" t="s">
        <v>41591</v>
      </c>
      <c r="O2712" s="130"/>
      <c r="P2712" s="16"/>
      <c r="Q2712" s="14">
        <v>146395.0</v>
      </c>
      <c r="R2712" s="14"/>
      <c r="S2712" s="212"/>
      <c r="T2712" s="30"/>
      <c r="U2712" s="30"/>
      <c r="V2712" s="30"/>
      <c r="W2712" s="30"/>
      <c r="X2712" s="30"/>
      <c r="Y2712" s="30"/>
      <c r="Z2712" s="30"/>
      <c r="AA2712" s="30"/>
      <c r="AB2712" s="30"/>
      <c r="AC2712" s="30"/>
    </row>
    <row r="2713" ht="15.75" customHeight="1">
      <c r="A2713" s="14" t="s">
        <v>17</v>
      </c>
      <c r="B2713" s="14">
        <v>1990.0</v>
      </c>
      <c r="C2713" s="14" t="s">
        <v>414</v>
      </c>
      <c r="D2713" s="14" t="s">
        <v>415</v>
      </c>
      <c r="E2713" s="150" t="s">
        <v>416</v>
      </c>
      <c r="F2713" s="14">
        <v>430.0</v>
      </c>
      <c r="G2713" s="14">
        <v>434.0</v>
      </c>
      <c r="H2713" s="151"/>
      <c r="I2713" s="14" t="s">
        <v>28</v>
      </c>
      <c r="J2713" s="14" t="s">
        <v>41593</v>
      </c>
      <c r="K2713" s="14" t="s">
        <v>41594</v>
      </c>
      <c r="L2713" s="152" t="s">
        <v>421</v>
      </c>
      <c r="M2713" s="14" t="s">
        <v>41595</v>
      </c>
      <c r="N2713" s="54" t="s">
        <v>41594</v>
      </c>
      <c r="O2713" s="130"/>
      <c r="P2713" s="16"/>
      <c r="Q2713" s="14">
        <v>146415.0</v>
      </c>
      <c r="R2713" s="14"/>
      <c r="S2713" s="212"/>
      <c r="T2713" s="30"/>
      <c r="U2713" s="30"/>
      <c r="V2713" s="30"/>
      <c r="W2713" s="30"/>
      <c r="X2713" s="30"/>
      <c r="Y2713" s="30"/>
      <c r="Z2713" s="30"/>
      <c r="AA2713" s="30"/>
      <c r="AB2713" s="30"/>
      <c r="AC2713" s="30"/>
    </row>
    <row r="2714" ht="15.75" customHeight="1">
      <c r="A2714" s="14" t="s">
        <v>17</v>
      </c>
      <c r="B2714" s="14">
        <v>1990.0</v>
      </c>
      <c r="C2714" s="14" t="s">
        <v>156</v>
      </c>
      <c r="D2714" s="14" t="s">
        <v>157</v>
      </c>
      <c r="E2714" s="150" t="s">
        <v>158</v>
      </c>
      <c r="F2714" s="14">
        <v>131.0</v>
      </c>
      <c r="G2714" s="14">
        <v>138.0</v>
      </c>
      <c r="H2714" s="151"/>
      <c r="I2714" s="14" t="s">
        <v>28</v>
      </c>
      <c r="J2714" s="14" t="s">
        <v>41596</v>
      </c>
      <c r="K2714" s="14" t="s">
        <v>41597</v>
      </c>
      <c r="L2714" s="152" t="s">
        <v>160</v>
      </c>
      <c r="M2714" s="14" t="s">
        <v>41598</v>
      </c>
      <c r="N2714" s="54" t="s">
        <v>41597</v>
      </c>
      <c r="O2714" s="130"/>
      <c r="P2714" s="16"/>
      <c r="Q2714" s="14">
        <v>146374.0</v>
      </c>
      <c r="R2714" s="14"/>
      <c r="S2714" s="212"/>
      <c r="T2714" s="30"/>
      <c r="U2714" s="30"/>
      <c r="V2714" s="30"/>
      <c r="W2714" s="30"/>
      <c r="X2714" s="30"/>
      <c r="Y2714" s="30"/>
      <c r="Z2714" s="30"/>
      <c r="AA2714" s="30"/>
      <c r="AB2714" s="30"/>
      <c r="AC2714" s="30"/>
    </row>
    <row r="2715" ht="15.75" customHeight="1">
      <c r="A2715" s="14" t="s">
        <v>17</v>
      </c>
      <c r="B2715" s="14">
        <v>1990.0</v>
      </c>
      <c r="C2715" s="14" t="s">
        <v>287</v>
      </c>
      <c r="D2715" s="14" t="s">
        <v>288</v>
      </c>
      <c r="E2715" s="150" t="s">
        <v>289</v>
      </c>
      <c r="F2715" s="14">
        <v>323.0</v>
      </c>
      <c r="G2715" s="14" t="s">
        <v>343</v>
      </c>
      <c r="H2715" s="151"/>
      <c r="I2715" s="14" t="s">
        <v>28</v>
      </c>
      <c r="J2715" s="14" t="s">
        <v>41600</v>
      </c>
      <c r="K2715" s="14" t="s">
        <v>41601</v>
      </c>
      <c r="L2715" s="152" t="s">
        <v>345</v>
      </c>
      <c r="M2715" s="14" t="s">
        <v>41602</v>
      </c>
      <c r="N2715" s="54" t="s">
        <v>41601</v>
      </c>
      <c r="O2715" s="130"/>
      <c r="P2715" s="16"/>
      <c r="Q2715" s="14">
        <v>146397.0</v>
      </c>
      <c r="R2715" s="14"/>
      <c r="S2715" s="212"/>
      <c r="T2715" s="30"/>
      <c r="U2715" s="30"/>
      <c r="V2715" s="30"/>
      <c r="W2715" s="30"/>
      <c r="X2715" s="30"/>
      <c r="Y2715" s="30"/>
      <c r="Z2715" s="30"/>
      <c r="AA2715" s="30"/>
      <c r="AB2715" s="30"/>
      <c r="AC2715" s="30"/>
    </row>
    <row r="2716" ht="15.75" customHeight="1">
      <c r="A2716" s="14" t="s">
        <v>17</v>
      </c>
      <c r="B2716" s="14">
        <v>1990.0</v>
      </c>
      <c r="C2716" s="14" t="s">
        <v>56</v>
      </c>
      <c r="D2716" s="14" t="s">
        <v>57</v>
      </c>
      <c r="E2716" s="150" t="s">
        <v>58</v>
      </c>
      <c r="F2716" s="14">
        <v>51.0</v>
      </c>
      <c r="G2716" s="14" t="s">
        <v>59</v>
      </c>
      <c r="H2716" s="151"/>
      <c r="I2716" s="14" t="s">
        <v>28</v>
      </c>
      <c r="J2716" s="14" t="s">
        <v>41603</v>
      </c>
      <c r="K2716" s="14" t="s">
        <v>11624</v>
      </c>
      <c r="L2716" s="152" t="s">
        <v>61</v>
      </c>
      <c r="M2716" s="14">
        <v>3.73320391E10</v>
      </c>
      <c r="N2716" s="54" t="s">
        <v>11624</v>
      </c>
      <c r="O2716" s="130"/>
      <c r="P2716" s="16"/>
      <c r="Q2716" s="14">
        <v>146364.0</v>
      </c>
      <c r="R2716" s="14"/>
      <c r="S2716" s="212"/>
      <c r="T2716" s="30"/>
      <c r="U2716" s="30"/>
      <c r="V2716" s="30"/>
      <c r="W2716" s="30"/>
      <c r="X2716" s="30"/>
      <c r="Y2716" s="30"/>
      <c r="Z2716" s="30"/>
      <c r="AA2716" s="30"/>
      <c r="AB2716" s="30"/>
      <c r="AC2716" s="30"/>
    </row>
    <row r="2717" ht="15.75" customHeight="1">
      <c r="A2717" s="14" t="s">
        <v>17</v>
      </c>
      <c r="B2717" s="14">
        <v>1990.0</v>
      </c>
      <c r="C2717" s="14" t="s">
        <v>84</v>
      </c>
      <c r="D2717" s="14" t="s">
        <v>85</v>
      </c>
      <c r="E2717" s="150" t="s">
        <v>86</v>
      </c>
      <c r="F2717" s="14">
        <v>93.0</v>
      </c>
      <c r="G2717" s="14" t="s">
        <v>87</v>
      </c>
      <c r="H2717" s="151"/>
      <c r="I2717" s="14" t="s">
        <v>28</v>
      </c>
      <c r="J2717" s="14" t="s">
        <v>41604</v>
      </c>
      <c r="K2717" s="14" t="s">
        <v>41605</v>
      </c>
      <c r="L2717" s="152" t="s">
        <v>89</v>
      </c>
      <c r="M2717" s="14" t="s">
        <v>41606</v>
      </c>
      <c r="N2717" s="54" t="s">
        <v>41605</v>
      </c>
      <c r="O2717" s="130"/>
      <c r="P2717" s="16"/>
      <c r="Q2717" s="14">
        <v>146369.0</v>
      </c>
      <c r="R2717" s="14"/>
      <c r="S2717" s="212"/>
      <c r="T2717" s="30"/>
      <c r="U2717" s="30"/>
      <c r="V2717" s="30"/>
      <c r="W2717" s="30"/>
      <c r="X2717" s="30"/>
      <c r="Y2717" s="30"/>
      <c r="Z2717" s="30"/>
      <c r="AA2717" s="30"/>
      <c r="AB2717" s="30"/>
      <c r="AC2717" s="30"/>
    </row>
    <row r="2718" ht="15.75" customHeight="1">
      <c r="A2718" s="14" t="s">
        <v>17</v>
      </c>
      <c r="B2718" s="14">
        <v>1990.0</v>
      </c>
      <c r="C2718" s="14" t="s">
        <v>225</v>
      </c>
      <c r="D2718" s="14" t="s">
        <v>226</v>
      </c>
      <c r="E2718" s="150" t="s">
        <v>227</v>
      </c>
      <c r="F2718" s="14">
        <v>230.0</v>
      </c>
      <c r="G2718" s="14">
        <v>237.0</v>
      </c>
      <c r="H2718" s="151"/>
      <c r="I2718" s="14" t="s">
        <v>28</v>
      </c>
      <c r="J2718" s="14" t="s">
        <v>41607</v>
      </c>
      <c r="K2718" s="14" t="s">
        <v>41608</v>
      </c>
      <c r="L2718" s="152" t="s">
        <v>229</v>
      </c>
      <c r="M2718" s="14" t="s">
        <v>41609</v>
      </c>
      <c r="N2718" s="54" t="s">
        <v>41608</v>
      </c>
      <c r="O2718" s="130"/>
      <c r="P2718" s="16"/>
      <c r="Q2718" s="14">
        <v>146386.0</v>
      </c>
      <c r="R2718" s="14"/>
      <c r="S2718" s="212"/>
      <c r="T2718" s="30"/>
      <c r="U2718" s="30"/>
      <c r="V2718" s="30"/>
      <c r="W2718" s="30"/>
      <c r="X2718" s="30"/>
      <c r="Y2718" s="30"/>
      <c r="Z2718" s="30"/>
      <c r="AA2718" s="30"/>
      <c r="AB2718" s="30"/>
      <c r="AC2718" s="30"/>
    </row>
    <row r="2719" ht="15.75" customHeight="1">
      <c r="A2719" s="14" t="s">
        <v>17</v>
      </c>
      <c r="B2719" s="14">
        <v>1990.0</v>
      </c>
      <c r="C2719" s="14" t="s">
        <v>72</v>
      </c>
      <c r="D2719" s="14" t="s">
        <v>73</v>
      </c>
      <c r="E2719" s="150" t="s">
        <v>74</v>
      </c>
      <c r="F2719" s="14">
        <v>74.0</v>
      </c>
      <c r="G2719" s="14" t="s">
        <v>75</v>
      </c>
      <c r="H2719" s="151"/>
      <c r="I2719" s="14" t="s">
        <v>28</v>
      </c>
      <c r="J2719" s="14" t="s">
        <v>41610</v>
      </c>
      <c r="K2719" s="14" t="s">
        <v>41611</v>
      </c>
      <c r="L2719" s="152" t="s">
        <v>77</v>
      </c>
      <c r="M2719" s="14" t="s">
        <v>41612</v>
      </c>
      <c r="N2719" s="54" t="s">
        <v>41613</v>
      </c>
      <c r="O2719" s="130"/>
      <c r="P2719" s="16"/>
      <c r="Q2719" s="14">
        <v>146367.0</v>
      </c>
      <c r="R2719" s="14"/>
      <c r="S2719" s="212"/>
      <c r="T2719" s="30"/>
      <c r="U2719" s="30"/>
      <c r="V2719" s="30"/>
      <c r="W2719" s="30"/>
      <c r="X2719" s="30"/>
      <c r="Y2719" s="30"/>
      <c r="Z2719" s="30"/>
      <c r="AA2719" s="30"/>
      <c r="AB2719" s="30"/>
      <c r="AC2719" s="30"/>
    </row>
    <row r="2720" ht="15.75" customHeight="1">
      <c r="A2720" s="14" t="s">
        <v>17</v>
      </c>
      <c r="B2720" s="14">
        <v>1990.0</v>
      </c>
      <c r="C2720" s="14" t="s">
        <v>31</v>
      </c>
      <c r="D2720" s="14" t="s">
        <v>32</v>
      </c>
      <c r="E2720" s="150" t="s">
        <v>33</v>
      </c>
      <c r="F2720" s="14">
        <v>14.0</v>
      </c>
      <c r="G2720" s="14" t="s">
        <v>34</v>
      </c>
      <c r="H2720" s="151"/>
      <c r="I2720" s="14" t="s">
        <v>28</v>
      </c>
      <c r="J2720" s="14" t="s">
        <v>41615</v>
      </c>
      <c r="K2720" s="14" t="s">
        <v>41616</v>
      </c>
      <c r="L2720" s="152" t="s">
        <v>36</v>
      </c>
      <c r="M2720" s="14" t="s">
        <v>41617</v>
      </c>
      <c r="N2720" s="54" t="s">
        <v>41616</v>
      </c>
      <c r="O2720" s="130"/>
      <c r="P2720" s="16"/>
      <c r="Q2720" s="14">
        <v>146360.0</v>
      </c>
      <c r="R2720" s="14"/>
      <c r="S2720" s="212"/>
      <c r="T2720" s="30"/>
      <c r="U2720" s="30"/>
      <c r="V2720" s="30"/>
      <c r="W2720" s="30"/>
      <c r="X2720" s="30"/>
      <c r="Y2720" s="30"/>
      <c r="Z2720" s="30"/>
      <c r="AA2720" s="30"/>
      <c r="AB2720" s="30"/>
      <c r="AC2720" s="30"/>
    </row>
    <row r="2721" ht="15.75" customHeight="1">
      <c r="A2721" s="14" t="s">
        <v>17</v>
      </c>
      <c r="B2721" s="14">
        <v>1990.0</v>
      </c>
      <c r="C2721" s="14" t="s">
        <v>185</v>
      </c>
      <c r="D2721" s="14" t="s">
        <v>186</v>
      </c>
      <c r="E2721" s="150" t="s">
        <v>187</v>
      </c>
      <c r="F2721" s="14">
        <v>168.0</v>
      </c>
      <c r="G2721" s="14">
        <v>175.0</v>
      </c>
      <c r="H2721" s="151"/>
      <c r="I2721" s="14" t="s">
        <v>28</v>
      </c>
      <c r="J2721" s="14" t="s">
        <v>41618</v>
      </c>
      <c r="K2721" s="14" t="s">
        <v>41275</v>
      </c>
      <c r="L2721" s="152" t="s">
        <v>189</v>
      </c>
      <c r="M2721" s="14" t="s">
        <v>41274</v>
      </c>
      <c r="N2721" s="54" t="s">
        <v>41275</v>
      </c>
      <c r="O2721" s="130"/>
      <c r="P2721" s="16"/>
      <c r="Q2721" s="14">
        <v>146379.0</v>
      </c>
      <c r="R2721" s="14"/>
      <c r="S2721" s="212"/>
      <c r="T2721" s="30"/>
      <c r="U2721" s="30"/>
      <c r="V2721" s="30"/>
      <c r="W2721" s="30"/>
      <c r="X2721" s="30"/>
      <c r="Y2721" s="30"/>
      <c r="Z2721" s="30"/>
      <c r="AA2721" s="30"/>
      <c r="AB2721" s="30"/>
      <c r="AC2721" s="30"/>
    </row>
    <row r="2722" ht="15.75" customHeight="1">
      <c r="A2722" s="14" t="s">
        <v>17</v>
      </c>
      <c r="B2722" s="14">
        <v>1990.0</v>
      </c>
      <c r="C2722" s="14" t="s">
        <v>422</v>
      </c>
      <c r="D2722" s="14" t="s">
        <v>423</v>
      </c>
      <c r="E2722" s="150" t="s">
        <v>424</v>
      </c>
      <c r="F2722" s="14">
        <v>435.0</v>
      </c>
      <c r="G2722" s="14" t="s">
        <v>428</v>
      </c>
      <c r="H2722" s="151"/>
      <c r="I2722" s="14" t="s">
        <v>28</v>
      </c>
      <c r="J2722" s="14" t="s">
        <v>41619</v>
      </c>
      <c r="K2722" s="14" t="s">
        <v>8983</v>
      </c>
      <c r="L2722" s="152"/>
      <c r="M2722" s="14">
        <v>3.75630841E10</v>
      </c>
      <c r="N2722" s="54" t="s">
        <v>8983</v>
      </c>
      <c r="O2722" s="130"/>
      <c r="P2722" s="16"/>
      <c r="Q2722" s="14">
        <v>146416.0</v>
      </c>
      <c r="R2722" s="14"/>
      <c r="S2722" s="212"/>
      <c r="T2722" s="30"/>
      <c r="U2722" s="30"/>
      <c r="V2722" s="30"/>
      <c r="W2722" s="30"/>
      <c r="X2722" s="30"/>
      <c r="Y2722" s="30"/>
      <c r="Z2722" s="30"/>
      <c r="AA2722" s="30"/>
      <c r="AB2722" s="30"/>
      <c r="AC2722" s="30"/>
    </row>
    <row r="2723" ht="15.75" customHeight="1">
      <c r="A2723" s="14" t="s">
        <v>17</v>
      </c>
      <c r="B2723" s="14">
        <v>1990.0</v>
      </c>
      <c r="C2723" s="14" t="s">
        <v>213</v>
      </c>
      <c r="D2723" s="14" t="s">
        <v>214</v>
      </c>
      <c r="E2723" s="150" t="s">
        <v>215</v>
      </c>
      <c r="F2723" s="14">
        <v>209.0</v>
      </c>
      <c r="G2723" s="14" t="s">
        <v>216</v>
      </c>
      <c r="H2723" s="151"/>
      <c r="I2723" s="14" t="s">
        <v>28</v>
      </c>
      <c r="J2723" s="14" t="s">
        <v>41620</v>
      </c>
      <c r="K2723" s="14" t="s">
        <v>41621</v>
      </c>
      <c r="L2723" s="152" t="s">
        <v>218</v>
      </c>
      <c r="M2723" s="14" t="s">
        <v>41622</v>
      </c>
      <c r="N2723" s="54" t="s">
        <v>41621</v>
      </c>
      <c r="O2723" s="130"/>
      <c r="P2723" s="16"/>
      <c r="Q2723" s="14">
        <v>146384.0</v>
      </c>
      <c r="R2723" s="14"/>
      <c r="S2723" s="212"/>
      <c r="T2723" s="30"/>
      <c r="U2723" s="30"/>
      <c r="V2723" s="30"/>
      <c r="W2723" s="30"/>
      <c r="X2723" s="30"/>
      <c r="Y2723" s="30"/>
      <c r="Z2723" s="30"/>
      <c r="AA2723" s="30"/>
      <c r="AB2723" s="30"/>
      <c r="AC2723" s="30"/>
    </row>
    <row r="2724" ht="15.75" customHeight="1">
      <c r="A2724" s="14" t="s">
        <v>17</v>
      </c>
      <c r="B2724" s="14">
        <v>1990.0</v>
      </c>
      <c r="C2724" s="14" t="s">
        <v>18</v>
      </c>
      <c r="D2724" s="16" t="s">
        <v>19</v>
      </c>
      <c r="E2724" s="172" t="s">
        <v>20</v>
      </c>
      <c r="F2724" s="14">
        <v>457.0</v>
      </c>
      <c r="G2724" s="14">
        <v>457.0</v>
      </c>
      <c r="H2724" s="151" t="s">
        <v>30659</v>
      </c>
      <c r="I2724" s="14" t="s">
        <v>21</v>
      </c>
      <c r="J2724" s="14"/>
      <c r="K2724" s="14" t="s">
        <v>41623</v>
      </c>
      <c r="L2724" s="152" t="s">
        <v>23</v>
      </c>
      <c r="M2724" s="14"/>
      <c r="N2724" s="54" t="s">
        <v>7049</v>
      </c>
      <c r="O2724" s="130"/>
      <c r="P2724" s="54"/>
      <c r="Q2724" s="14">
        <v>-1.0</v>
      </c>
      <c r="R2724" s="14" t="s">
        <v>18275</v>
      </c>
      <c r="S2724" s="212"/>
      <c r="T2724" s="25"/>
      <c r="U2724" s="25"/>
      <c r="V2724" s="25"/>
      <c r="W2724" s="25"/>
      <c r="X2724" s="25"/>
      <c r="Y2724" s="25"/>
      <c r="Z2724" s="25"/>
      <c r="AA2724" s="25"/>
      <c r="AB2724" s="25"/>
      <c r="AC2724" s="25"/>
    </row>
    <row r="2725" ht="15.75" customHeight="1">
      <c r="A2725" s="14" t="s">
        <v>17</v>
      </c>
      <c r="B2725" s="14">
        <v>1990.0</v>
      </c>
      <c r="C2725" s="14" t="s">
        <v>62</v>
      </c>
      <c r="D2725" s="14" t="s">
        <v>63</v>
      </c>
      <c r="E2725" s="150" t="s">
        <v>64</v>
      </c>
      <c r="F2725" s="14">
        <v>59.0</v>
      </c>
      <c r="G2725" s="14">
        <v>66.0</v>
      </c>
      <c r="H2725" s="151"/>
      <c r="I2725" s="14" t="s">
        <v>28</v>
      </c>
      <c r="J2725" s="14" t="s">
        <v>41624</v>
      </c>
      <c r="K2725" s="14" t="s">
        <v>41625</v>
      </c>
      <c r="L2725" s="152" t="s">
        <v>66</v>
      </c>
      <c r="M2725" s="14" t="s">
        <v>41626</v>
      </c>
      <c r="N2725" s="54" t="s">
        <v>41625</v>
      </c>
      <c r="O2725" s="130"/>
      <c r="P2725" s="16"/>
      <c r="Q2725" s="14">
        <v>146365.0</v>
      </c>
      <c r="R2725" s="14"/>
      <c r="S2725" s="212"/>
      <c r="T2725" s="30"/>
      <c r="U2725" s="30"/>
      <c r="V2725" s="30"/>
      <c r="W2725" s="30"/>
      <c r="X2725" s="30"/>
      <c r="Y2725" s="30"/>
      <c r="Z2725" s="30"/>
      <c r="AA2725" s="30"/>
      <c r="AB2725" s="30"/>
      <c r="AC2725" s="30"/>
    </row>
    <row r="2726" ht="15.75" customHeight="1">
      <c r="A2726" s="14" t="s">
        <v>17</v>
      </c>
      <c r="B2726" s="14">
        <v>1990.0</v>
      </c>
      <c r="C2726" s="14" t="s">
        <v>195</v>
      </c>
      <c r="D2726" s="14" t="s">
        <v>196</v>
      </c>
      <c r="E2726" s="150" t="s">
        <v>197</v>
      </c>
      <c r="F2726" s="14">
        <v>187.0</v>
      </c>
      <c r="G2726" s="14" t="s">
        <v>198</v>
      </c>
      <c r="H2726" s="151"/>
      <c r="I2726" s="14" t="s">
        <v>28</v>
      </c>
      <c r="J2726" s="14" t="s">
        <v>41627</v>
      </c>
      <c r="K2726" s="14" t="s">
        <v>41628</v>
      </c>
      <c r="L2726" s="152" t="s">
        <v>200</v>
      </c>
      <c r="M2726" s="14" t="s">
        <v>41629</v>
      </c>
      <c r="N2726" s="54" t="s">
        <v>41628</v>
      </c>
      <c r="O2726" s="130"/>
      <c r="P2726" s="16"/>
      <c r="Q2726" s="14">
        <v>146381.0</v>
      </c>
      <c r="R2726" s="14"/>
      <c r="S2726" s="212"/>
      <c r="T2726" s="30"/>
      <c r="U2726" s="30"/>
      <c r="V2726" s="30"/>
      <c r="W2726" s="30"/>
      <c r="X2726" s="30"/>
      <c r="Y2726" s="30"/>
      <c r="Z2726" s="30"/>
      <c r="AA2726" s="30"/>
      <c r="AB2726" s="30"/>
      <c r="AC2726" s="30"/>
    </row>
    <row r="2727" ht="15.75" customHeight="1">
      <c r="A2727" s="14" t="s">
        <v>17</v>
      </c>
      <c r="B2727" s="14">
        <v>1990.0</v>
      </c>
      <c r="C2727" s="14" t="s">
        <v>150</v>
      </c>
      <c r="D2727" s="14" t="s">
        <v>151</v>
      </c>
      <c r="E2727" s="150" t="s">
        <v>152</v>
      </c>
      <c r="F2727" s="14">
        <v>124.0</v>
      </c>
      <c r="G2727" s="14" t="s">
        <v>153</v>
      </c>
      <c r="H2727" s="151"/>
      <c r="I2727" s="14" t="s">
        <v>28</v>
      </c>
      <c r="J2727" s="14" t="s">
        <v>41630</v>
      </c>
      <c r="K2727" s="14" t="s">
        <v>8684</v>
      </c>
      <c r="L2727" s="152" t="s">
        <v>155</v>
      </c>
      <c r="M2727" s="14">
        <v>3.82225442E10</v>
      </c>
      <c r="N2727" s="54" t="s">
        <v>8684</v>
      </c>
      <c r="O2727" s="130"/>
      <c r="P2727" s="16"/>
      <c r="Q2727" s="14">
        <v>146373.0</v>
      </c>
      <c r="R2727" s="14"/>
      <c r="S2727" s="212"/>
      <c r="T2727" s="30"/>
      <c r="U2727" s="30"/>
      <c r="V2727" s="30"/>
      <c r="W2727" s="30"/>
      <c r="X2727" s="30"/>
      <c r="Y2727" s="30"/>
      <c r="Z2727" s="30"/>
      <c r="AA2727" s="30"/>
      <c r="AB2727" s="30"/>
      <c r="AC2727" s="30"/>
    </row>
    <row r="2728" ht="15.75" customHeight="1">
      <c r="A2728" s="14" t="s">
        <v>17</v>
      </c>
      <c r="B2728" s="14">
        <v>1990.0</v>
      </c>
      <c r="C2728" s="14" t="s">
        <v>377</v>
      </c>
      <c r="D2728" s="14" t="s">
        <v>378</v>
      </c>
      <c r="E2728" s="150" t="s">
        <v>379</v>
      </c>
      <c r="F2728" s="14">
        <v>361.0</v>
      </c>
      <c r="G2728" s="14">
        <v>378.0</v>
      </c>
      <c r="H2728" s="151"/>
      <c r="I2728" s="14" t="s">
        <v>28</v>
      </c>
      <c r="J2728" s="14" t="s">
        <v>41631</v>
      </c>
      <c r="K2728" s="14" t="s">
        <v>41632</v>
      </c>
      <c r="L2728" s="152" t="s">
        <v>384</v>
      </c>
      <c r="M2728" s="14" t="s">
        <v>41633</v>
      </c>
      <c r="N2728" s="54" t="s">
        <v>41632</v>
      </c>
      <c r="O2728" s="130"/>
      <c r="P2728" s="16"/>
      <c r="Q2728" s="14">
        <v>146402.0</v>
      </c>
      <c r="R2728" s="14"/>
      <c r="S2728" s="212"/>
      <c r="T2728" s="30"/>
      <c r="U2728" s="30"/>
      <c r="V2728" s="30"/>
      <c r="W2728" s="30"/>
      <c r="X2728" s="30"/>
      <c r="Y2728" s="30"/>
      <c r="Z2728" s="30"/>
      <c r="AA2728" s="30"/>
      <c r="AB2728" s="30"/>
      <c r="AC2728" s="30"/>
    </row>
    <row r="2729" ht="15.75" customHeight="1">
      <c r="A2729" s="14" t="s">
        <v>17</v>
      </c>
      <c r="B2729" s="14">
        <v>1990.0</v>
      </c>
      <c r="C2729" s="14" t="s">
        <v>439</v>
      </c>
      <c r="D2729" s="14" t="s">
        <v>440</v>
      </c>
      <c r="E2729" s="150" t="s">
        <v>441</v>
      </c>
      <c r="F2729" s="14">
        <v>443.0</v>
      </c>
      <c r="G2729" s="14" t="s">
        <v>445</v>
      </c>
      <c r="H2729" s="151"/>
      <c r="I2729" s="14" t="s">
        <v>28</v>
      </c>
      <c r="J2729" s="14" t="s">
        <v>41634</v>
      </c>
      <c r="K2729" s="14" t="s">
        <v>41635</v>
      </c>
      <c r="L2729" s="152" t="s">
        <v>447</v>
      </c>
      <c r="M2729" s="14" t="s">
        <v>41636</v>
      </c>
      <c r="N2729" s="54" t="s">
        <v>41635</v>
      </c>
      <c r="O2729" s="130"/>
      <c r="P2729" s="16"/>
      <c r="Q2729" s="14">
        <v>146418.0</v>
      </c>
      <c r="R2729" s="14"/>
      <c r="S2729" s="212"/>
      <c r="T2729" s="30"/>
      <c r="U2729" s="30"/>
      <c r="V2729" s="30"/>
      <c r="W2729" s="30"/>
      <c r="X2729" s="30"/>
      <c r="Y2729" s="30"/>
      <c r="Z2729" s="30"/>
      <c r="AA2729" s="30"/>
      <c r="AB2729" s="30"/>
      <c r="AC2729" s="30"/>
    </row>
    <row r="2730" ht="15.75" customHeight="1">
      <c r="A2730" s="14" t="s">
        <v>17</v>
      </c>
      <c r="B2730" s="14">
        <v>1990.0</v>
      </c>
      <c r="C2730" s="14" t="s">
        <v>246</v>
      </c>
      <c r="D2730" s="14" t="s">
        <v>247</v>
      </c>
      <c r="E2730" s="150" t="s">
        <v>248</v>
      </c>
      <c r="F2730" s="14">
        <v>263.0</v>
      </c>
      <c r="G2730" s="14" t="s">
        <v>249</v>
      </c>
      <c r="H2730" s="151"/>
      <c r="I2730" s="14" t="s">
        <v>28</v>
      </c>
      <c r="J2730" s="14" t="s">
        <v>41638</v>
      </c>
      <c r="K2730" s="14" t="s">
        <v>41639</v>
      </c>
      <c r="L2730" s="152" t="s">
        <v>251</v>
      </c>
      <c r="M2730" s="14" t="s">
        <v>41640</v>
      </c>
      <c r="N2730" s="54" t="s">
        <v>41639</v>
      </c>
      <c r="O2730" s="130"/>
      <c r="P2730" s="16"/>
      <c r="Q2730" s="14">
        <v>146390.0</v>
      </c>
      <c r="R2730" s="14"/>
      <c r="S2730" s="212"/>
      <c r="T2730" s="30"/>
      <c r="U2730" s="30"/>
      <c r="V2730" s="30"/>
      <c r="W2730" s="30"/>
      <c r="X2730" s="30"/>
      <c r="Y2730" s="30"/>
      <c r="Z2730" s="30"/>
      <c r="AA2730" s="30"/>
      <c r="AB2730" s="30"/>
      <c r="AC2730" s="30"/>
    </row>
    <row r="2731" ht="15.75" customHeight="1">
      <c r="A2731" s="14" t="s">
        <v>17</v>
      </c>
      <c r="B2731" s="14">
        <v>1990.0</v>
      </c>
      <c r="C2731" s="14" t="s">
        <v>430</v>
      </c>
      <c r="D2731" s="14" t="s">
        <v>431</v>
      </c>
      <c r="E2731" s="150" t="s">
        <v>432</v>
      </c>
      <c r="F2731" s="14">
        <v>440.0</v>
      </c>
      <c r="G2731" s="14">
        <v>442.0</v>
      </c>
      <c r="H2731" s="151"/>
      <c r="I2731" s="14" t="s">
        <v>28</v>
      </c>
      <c r="J2731" s="14" t="s">
        <v>41642</v>
      </c>
      <c r="K2731" s="14" t="s">
        <v>41643</v>
      </c>
      <c r="L2731" s="152" t="s">
        <v>437</v>
      </c>
      <c r="M2731" s="14">
        <v>3.82225051E10</v>
      </c>
      <c r="N2731" s="54" t="s">
        <v>9983</v>
      </c>
      <c r="O2731" s="130"/>
      <c r="P2731" s="16"/>
      <c r="Q2731" s="14">
        <v>146417.0</v>
      </c>
      <c r="R2731" s="14"/>
      <c r="S2731" s="212"/>
      <c r="T2731" s="30"/>
      <c r="U2731" s="30"/>
      <c r="V2731" s="30"/>
      <c r="W2731" s="30"/>
      <c r="X2731" s="30"/>
      <c r="Y2731" s="30"/>
      <c r="Z2731" s="30"/>
      <c r="AA2731" s="30"/>
      <c r="AB2731" s="30"/>
      <c r="AC2731" s="30"/>
    </row>
    <row r="2732" ht="15.75" customHeight="1">
      <c r="A2732" s="14" t="s">
        <v>17</v>
      </c>
      <c r="B2732" s="14">
        <v>1990.0</v>
      </c>
      <c r="C2732" s="14" t="s">
        <v>190</v>
      </c>
      <c r="D2732" s="14" t="s">
        <v>191</v>
      </c>
      <c r="E2732" s="150" t="s">
        <v>192</v>
      </c>
      <c r="F2732" s="14">
        <v>176.0</v>
      </c>
      <c r="G2732" s="14">
        <v>186.0</v>
      </c>
      <c r="H2732" s="151"/>
      <c r="I2732" s="14" t="s">
        <v>28</v>
      </c>
      <c r="J2732" s="14" t="s">
        <v>41644</v>
      </c>
      <c r="K2732" s="14" t="s">
        <v>7972</v>
      </c>
      <c r="L2732" s="152" t="s">
        <v>194</v>
      </c>
      <c r="M2732" s="14"/>
      <c r="N2732" s="54" t="s">
        <v>7972</v>
      </c>
      <c r="O2732" s="130"/>
      <c r="P2732" s="16"/>
      <c r="Q2732" s="14">
        <v>146380.0</v>
      </c>
      <c r="R2732" s="14"/>
      <c r="S2732" s="212"/>
      <c r="T2732" s="30"/>
      <c r="U2732" s="30"/>
      <c r="V2732" s="30"/>
      <c r="W2732" s="30"/>
      <c r="X2732" s="30"/>
      <c r="Y2732" s="30"/>
      <c r="Z2732" s="30"/>
      <c r="AA2732" s="30"/>
      <c r="AB2732" s="30"/>
      <c r="AC2732" s="30"/>
    </row>
    <row r="2733" ht="15.75" customHeight="1">
      <c r="A2733" s="14" t="s">
        <v>17</v>
      </c>
      <c r="B2733" s="14">
        <v>1990.0</v>
      </c>
      <c r="C2733" s="14" t="s">
        <v>282</v>
      </c>
      <c r="D2733" s="14" t="s">
        <v>283</v>
      </c>
      <c r="E2733" s="150" t="s">
        <v>284</v>
      </c>
      <c r="F2733" s="14">
        <v>315.0</v>
      </c>
      <c r="G2733" s="14">
        <v>322.0</v>
      </c>
      <c r="H2733" s="151"/>
      <c r="I2733" s="14" t="s">
        <v>28</v>
      </c>
      <c r="J2733" s="14" t="s">
        <v>41645</v>
      </c>
      <c r="K2733" s="14" t="s">
        <v>11266</v>
      </c>
      <c r="L2733" s="152" t="s">
        <v>286</v>
      </c>
      <c r="M2733" s="14">
        <v>3.7355358E10</v>
      </c>
      <c r="N2733" s="54" t="s">
        <v>11266</v>
      </c>
      <c r="O2733" s="130"/>
      <c r="P2733" s="16"/>
      <c r="Q2733" s="14">
        <v>146396.0</v>
      </c>
      <c r="R2733" s="14"/>
      <c r="S2733" s="212"/>
      <c r="T2733" s="30"/>
      <c r="U2733" s="30"/>
      <c r="V2733" s="30"/>
      <c r="W2733" s="30"/>
      <c r="X2733" s="30"/>
      <c r="Y2733" s="30"/>
      <c r="Z2733" s="30"/>
      <c r="AA2733" s="30"/>
      <c r="AB2733" s="30"/>
      <c r="AC2733" s="30"/>
    </row>
    <row r="2734" ht="15.75" customHeight="1">
      <c r="A2734" s="14" t="s">
        <v>17</v>
      </c>
      <c r="B2734" s="14">
        <v>1990.0</v>
      </c>
      <c r="C2734" s="14" t="s">
        <v>230</v>
      </c>
      <c r="D2734" s="14" t="s">
        <v>231</v>
      </c>
      <c r="E2734" s="150" t="s">
        <v>232</v>
      </c>
      <c r="F2734" s="14">
        <v>238.0</v>
      </c>
      <c r="G2734" s="14" t="s">
        <v>233</v>
      </c>
      <c r="H2734" s="151"/>
      <c r="I2734" s="14" t="s">
        <v>28</v>
      </c>
      <c r="J2734" s="14" t="s">
        <v>41646</v>
      </c>
      <c r="K2734" s="14" t="s">
        <v>6414</v>
      </c>
      <c r="L2734" s="152" t="s">
        <v>235</v>
      </c>
      <c r="M2734" s="14"/>
      <c r="N2734" s="54" t="s">
        <v>6414</v>
      </c>
      <c r="O2734" s="130"/>
      <c r="P2734" s="16"/>
      <c r="Q2734" s="14">
        <v>146387.0</v>
      </c>
      <c r="R2734" s="14"/>
      <c r="S2734" s="212"/>
      <c r="T2734" s="30"/>
      <c r="U2734" s="30"/>
      <c r="V2734" s="30"/>
      <c r="W2734" s="30"/>
      <c r="X2734" s="30"/>
      <c r="Y2734" s="30"/>
      <c r="Z2734" s="30"/>
      <c r="AA2734" s="30"/>
      <c r="AB2734" s="30"/>
      <c r="AC2734" s="30"/>
    </row>
    <row r="2735" ht="15.75" customHeight="1">
      <c r="A2735" s="14" t="s">
        <v>17</v>
      </c>
      <c r="B2735" s="14">
        <v>1990.0</v>
      </c>
      <c r="C2735" s="14" t="s">
        <v>207</v>
      </c>
      <c r="D2735" s="14" t="s">
        <v>208</v>
      </c>
      <c r="E2735" s="150" t="s">
        <v>209</v>
      </c>
      <c r="F2735" s="14">
        <v>202.0</v>
      </c>
      <c r="G2735" s="14" t="s">
        <v>210</v>
      </c>
      <c r="H2735" s="151"/>
      <c r="I2735" s="14" t="s">
        <v>28</v>
      </c>
      <c r="J2735" s="14" t="s">
        <v>41648</v>
      </c>
      <c r="K2735" s="14" t="s">
        <v>6509</v>
      </c>
      <c r="L2735" s="152" t="s">
        <v>212</v>
      </c>
      <c r="M2735" s="14">
        <v>3.72715254E10</v>
      </c>
      <c r="N2735" s="54" t="s">
        <v>6509</v>
      </c>
      <c r="O2735" s="130"/>
      <c r="P2735" s="16"/>
      <c r="Q2735" s="14">
        <v>146383.0</v>
      </c>
      <c r="R2735" s="14"/>
      <c r="S2735" s="212"/>
      <c r="T2735" s="30"/>
      <c r="U2735" s="30"/>
      <c r="V2735" s="30"/>
      <c r="W2735" s="30"/>
      <c r="X2735" s="30"/>
      <c r="Y2735" s="30"/>
      <c r="Z2735" s="30"/>
      <c r="AA2735" s="30"/>
      <c r="AB2735" s="30"/>
      <c r="AC2735" s="30"/>
    </row>
    <row r="2736" ht="15.75" customHeight="1">
      <c r="A2736" s="14" t="s">
        <v>17</v>
      </c>
      <c r="B2736" s="14">
        <v>1990.0</v>
      </c>
      <c r="C2736" s="14" t="s">
        <v>270</v>
      </c>
      <c r="D2736" s="14" t="s">
        <v>271</v>
      </c>
      <c r="E2736" s="150" t="s">
        <v>272</v>
      </c>
      <c r="F2736" s="14">
        <v>298.0</v>
      </c>
      <c r="G2736" s="14" t="s">
        <v>273</v>
      </c>
      <c r="H2736" s="151"/>
      <c r="I2736" s="14" t="s">
        <v>28</v>
      </c>
      <c r="J2736" s="14" t="s">
        <v>41650</v>
      </c>
      <c r="K2736" s="14" t="s">
        <v>41651</v>
      </c>
      <c r="L2736" s="152" t="s">
        <v>275</v>
      </c>
      <c r="M2736" s="14" t="s">
        <v>41652</v>
      </c>
      <c r="N2736" s="54" t="s">
        <v>41651</v>
      </c>
      <c r="O2736" s="130"/>
      <c r="P2736" s="16"/>
      <c r="Q2736" s="14">
        <v>146394.0</v>
      </c>
      <c r="R2736" s="14"/>
      <c r="S2736" s="212"/>
      <c r="T2736" s="30"/>
      <c r="U2736" s="30"/>
      <c r="V2736" s="30"/>
      <c r="W2736" s="30"/>
      <c r="X2736" s="30"/>
      <c r="Y2736" s="30"/>
      <c r="Z2736" s="30"/>
      <c r="AA2736" s="30"/>
      <c r="AB2736" s="30"/>
      <c r="AC2736" s="30"/>
    </row>
    <row r="2737" ht="15.75" customHeight="1">
      <c r="A2737" s="14" t="s">
        <v>17</v>
      </c>
      <c r="B2737" s="14">
        <v>1990.0</v>
      </c>
      <c r="C2737" s="14" t="s">
        <v>24</v>
      </c>
      <c r="D2737" s="14" t="s">
        <v>25</v>
      </c>
      <c r="E2737" s="150" t="s">
        <v>26</v>
      </c>
      <c r="F2737" s="14">
        <v>6.0</v>
      </c>
      <c r="G2737" s="14" t="s">
        <v>27</v>
      </c>
      <c r="H2737" s="151"/>
      <c r="I2737" s="14" t="s">
        <v>28</v>
      </c>
      <c r="J2737" s="14" t="s">
        <v>41653</v>
      </c>
      <c r="K2737" s="14" t="s">
        <v>41654</v>
      </c>
      <c r="L2737" s="152" t="s">
        <v>30</v>
      </c>
      <c r="M2737" s="14" t="s">
        <v>41655</v>
      </c>
      <c r="N2737" s="54" t="s">
        <v>41656</v>
      </c>
      <c r="O2737" s="130"/>
      <c r="P2737" s="16"/>
      <c r="Q2737" s="14">
        <v>146359.0</v>
      </c>
      <c r="R2737" s="14"/>
      <c r="S2737" s="212"/>
      <c r="T2737" s="30"/>
      <c r="U2737" s="30"/>
      <c r="V2737" s="30"/>
      <c r="W2737" s="30"/>
      <c r="X2737" s="30"/>
      <c r="Y2737" s="30"/>
      <c r="Z2737" s="30"/>
      <c r="AA2737" s="30"/>
      <c r="AB2737" s="30"/>
      <c r="AC2737" s="30"/>
    </row>
    <row r="2738" ht="15.75" customHeight="1">
      <c r="A2738" s="14" t="s">
        <v>17</v>
      </c>
      <c r="B2738" s="14">
        <v>1990.0</v>
      </c>
      <c r="C2738" s="14" t="s">
        <v>49</v>
      </c>
      <c r="D2738" s="14" t="s">
        <v>50</v>
      </c>
      <c r="E2738" s="150" t="s">
        <v>51</v>
      </c>
      <c r="F2738" s="14">
        <v>45.0</v>
      </c>
      <c r="G2738" s="14" t="s">
        <v>52</v>
      </c>
      <c r="H2738" s="151"/>
      <c r="I2738" s="14" t="s">
        <v>28</v>
      </c>
      <c r="J2738" s="14" t="s">
        <v>41657</v>
      </c>
      <c r="K2738" s="14" t="s">
        <v>41500</v>
      </c>
      <c r="L2738" s="152" t="s">
        <v>54</v>
      </c>
      <c r="M2738" s="14" t="s">
        <v>41501</v>
      </c>
      <c r="N2738" s="54" t="s">
        <v>41500</v>
      </c>
      <c r="O2738" s="130" t="s">
        <v>55</v>
      </c>
      <c r="P2738" s="16"/>
      <c r="Q2738" s="14">
        <v>146363.0</v>
      </c>
      <c r="R2738" s="14"/>
      <c r="S2738" s="212">
        <v>146388.0</v>
      </c>
      <c r="T2738" s="30"/>
      <c r="U2738" s="30"/>
      <c r="V2738" s="30"/>
      <c r="W2738" s="30"/>
      <c r="X2738" s="30"/>
      <c r="Y2738" s="30"/>
      <c r="Z2738" s="30"/>
      <c r="AA2738" s="30"/>
      <c r="AB2738" s="30"/>
      <c r="AC2738" s="30"/>
    </row>
    <row r="2739" ht="15.75" customHeight="1">
      <c r="A2739" s="14" t="s">
        <v>17</v>
      </c>
      <c r="B2739" s="14">
        <v>1990.0</v>
      </c>
      <c r="C2739" s="14" t="s">
        <v>359</v>
      </c>
      <c r="D2739" s="14" t="s">
        <v>361</v>
      </c>
      <c r="E2739" s="150" t="s">
        <v>362</v>
      </c>
      <c r="F2739" s="14">
        <v>342.0</v>
      </c>
      <c r="G2739" s="14" t="s">
        <v>365</v>
      </c>
      <c r="H2739" s="151"/>
      <c r="I2739" s="14" t="s">
        <v>28</v>
      </c>
      <c r="J2739" s="14" t="s">
        <v>41658</v>
      </c>
      <c r="K2739" s="14" t="s">
        <v>8945</v>
      </c>
      <c r="L2739" s="152" t="s">
        <v>367</v>
      </c>
      <c r="M2739" s="14">
        <v>3.82255318E10</v>
      </c>
      <c r="N2739" s="54" t="s">
        <v>8945</v>
      </c>
      <c r="O2739" s="130"/>
      <c r="P2739" s="16"/>
      <c r="Q2739" s="14">
        <v>146400.0</v>
      </c>
      <c r="R2739" s="14"/>
      <c r="S2739" s="212"/>
      <c r="T2739" s="30"/>
      <c r="U2739" s="30"/>
      <c r="V2739" s="30"/>
      <c r="W2739" s="30"/>
      <c r="X2739" s="30"/>
      <c r="Y2739" s="30"/>
      <c r="Z2739" s="30"/>
      <c r="AA2739" s="30"/>
      <c r="AB2739" s="30"/>
      <c r="AC2739" s="30"/>
    </row>
    <row r="2740" ht="15.75" customHeight="1">
      <c r="A2740" s="14" t="s">
        <v>17</v>
      </c>
      <c r="B2740" s="14">
        <v>1990.0</v>
      </c>
      <c r="C2740" s="14" t="s">
        <v>41659</v>
      </c>
      <c r="D2740" s="14" t="s">
        <v>91</v>
      </c>
      <c r="E2740" s="150" t="s">
        <v>92</v>
      </c>
      <c r="F2740" s="14">
        <v>97.0</v>
      </c>
      <c r="G2740" s="14" t="s">
        <v>93</v>
      </c>
      <c r="H2740" s="151"/>
      <c r="I2740" s="14" t="s">
        <v>28</v>
      </c>
      <c r="J2740" s="14" t="s">
        <v>41660</v>
      </c>
      <c r="K2740" s="14" t="s">
        <v>41661</v>
      </c>
      <c r="L2740" s="152" t="s">
        <v>95</v>
      </c>
      <c r="M2740" s="14" t="s">
        <v>41662</v>
      </c>
      <c r="N2740" s="54" t="s">
        <v>41661</v>
      </c>
      <c r="O2740" s="130"/>
      <c r="P2740" s="16"/>
      <c r="Q2740" s="14">
        <v>146370.0</v>
      </c>
      <c r="R2740" s="14"/>
      <c r="S2740" s="212"/>
      <c r="T2740" s="30"/>
      <c r="U2740" s="30"/>
      <c r="V2740" s="30"/>
      <c r="W2740" s="30"/>
      <c r="X2740" s="30"/>
      <c r="Y2740" s="30"/>
      <c r="Z2740" s="30"/>
      <c r="AA2740" s="30"/>
      <c r="AB2740" s="30"/>
      <c r="AC2740" s="30"/>
    </row>
    <row r="2741" ht="15.75" customHeight="1">
      <c r="A2741" s="14" t="s">
        <v>17</v>
      </c>
      <c r="B2741" s="14">
        <v>1990.0</v>
      </c>
      <c r="C2741" s="14" t="s">
        <v>252</v>
      </c>
      <c r="D2741" s="14" t="s">
        <v>253</v>
      </c>
      <c r="E2741" s="150" t="s">
        <v>254</v>
      </c>
      <c r="F2741" s="14">
        <v>273.0</v>
      </c>
      <c r="G2741" s="14" t="s">
        <v>255</v>
      </c>
      <c r="H2741" s="151"/>
      <c r="I2741" s="14" t="s">
        <v>28</v>
      </c>
      <c r="J2741" s="14" t="s">
        <v>41663</v>
      </c>
      <c r="K2741" s="14" t="s">
        <v>8865</v>
      </c>
      <c r="L2741" s="152" t="s">
        <v>257</v>
      </c>
      <c r="M2741" s="14">
        <v>3.73821951E10</v>
      </c>
      <c r="N2741" s="54" t="s">
        <v>8865</v>
      </c>
      <c r="O2741" s="130"/>
      <c r="P2741" s="16"/>
      <c r="Q2741" s="14">
        <v>146391.0</v>
      </c>
      <c r="R2741" s="14"/>
      <c r="S2741" s="212"/>
      <c r="T2741" s="30"/>
      <c r="U2741" s="30"/>
      <c r="V2741" s="30"/>
      <c r="W2741" s="30"/>
      <c r="X2741" s="30"/>
      <c r="Y2741" s="30"/>
      <c r="Z2741" s="30"/>
      <c r="AA2741" s="30"/>
      <c r="AB2741" s="30"/>
      <c r="AC2741" s="30"/>
    </row>
    <row r="2742" ht="15.75" customHeight="1">
      <c r="A2742" s="14" t="s">
        <v>17</v>
      </c>
      <c r="B2742" s="14">
        <v>1990.0</v>
      </c>
      <c r="C2742" s="14" t="s">
        <v>37</v>
      </c>
      <c r="D2742" s="14" t="s">
        <v>38</v>
      </c>
      <c r="E2742" s="150" t="s">
        <v>39</v>
      </c>
      <c r="F2742" s="14">
        <v>28.0</v>
      </c>
      <c r="G2742" s="14" t="s">
        <v>40</v>
      </c>
      <c r="H2742" s="151"/>
      <c r="I2742" s="14" t="s">
        <v>28</v>
      </c>
      <c r="J2742" s="14" t="s">
        <v>41664</v>
      </c>
      <c r="K2742" s="14" t="s">
        <v>41665</v>
      </c>
      <c r="L2742" s="152" t="s">
        <v>42</v>
      </c>
      <c r="M2742" s="14" t="s">
        <v>41666</v>
      </c>
      <c r="N2742" s="54" t="s">
        <v>41665</v>
      </c>
      <c r="O2742" s="130"/>
      <c r="P2742" s="16"/>
      <c r="Q2742" s="14">
        <v>146361.0</v>
      </c>
      <c r="R2742" s="14"/>
      <c r="S2742" s="212"/>
      <c r="T2742" s="30"/>
      <c r="U2742" s="30"/>
      <c r="V2742" s="30"/>
      <c r="W2742" s="30"/>
      <c r="X2742" s="30"/>
      <c r="Y2742" s="30"/>
      <c r="Z2742" s="30"/>
      <c r="AA2742" s="30"/>
      <c r="AB2742" s="30"/>
      <c r="AC2742" s="30"/>
    </row>
    <row r="2743" ht="15.75" customHeight="1">
      <c r="A2743" s="14" t="s">
        <v>17</v>
      </c>
      <c r="B2743" s="14">
        <v>1990.0</v>
      </c>
      <c r="C2743" s="14" t="s">
        <v>167</v>
      </c>
      <c r="D2743" s="14" t="s">
        <v>168</v>
      </c>
      <c r="E2743" s="150" t="s">
        <v>169</v>
      </c>
      <c r="F2743" s="14">
        <v>144.0</v>
      </c>
      <c r="G2743" s="14" t="s">
        <v>170</v>
      </c>
      <c r="H2743" s="151"/>
      <c r="I2743" s="14" t="s">
        <v>28</v>
      </c>
      <c r="J2743" s="14" t="s">
        <v>41667</v>
      </c>
      <c r="K2743" s="14" t="s">
        <v>41333</v>
      </c>
      <c r="L2743" s="152" t="s">
        <v>172</v>
      </c>
      <c r="M2743" s="14">
        <v>3.73522003E10</v>
      </c>
      <c r="N2743" s="54" t="s">
        <v>7732</v>
      </c>
      <c r="O2743" s="130"/>
      <c r="P2743" s="16"/>
      <c r="Q2743" s="14">
        <v>146376.0</v>
      </c>
      <c r="R2743" s="14"/>
      <c r="S2743" s="212"/>
      <c r="T2743" s="30"/>
      <c r="U2743" s="30"/>
      <c r="V2743" s="30"/>
      <c r="W2743" s="30"/>
      <c r="X2743" s="30"/>
      <c r="Y2743" s="30"/>
      <c r="Z2743" s="30"/>
      <c r="AA2743" s="30"/>
      <c r="AB2743" s="30"/>
      <c r="AC2743" s="30"/>
    </row>
    <row r="2744" ht="15.75" customHeight="1">
      <c r="A2744" s="14" t="s">
        <v>17</v>
      </c>
      <c r="B2744" s="14">
        <v>1990.0</v>
      </c>
      <c r="C2744" s="14" t="s">
        <v>393</v>
      </c>
      <c r="D2744" s="14" t="s">
        <v>394</v>
      </c>
      <c r="E2744" s="150" t="s">
        <v>395</v>
      </c>
      <c r="F2744" s="14">
        <v>422.0</v>
      </c>
      <c r="G2744" s="14" t="s">
        <v>399</v>
      </c>
      <c r="H2744" s="151"/>
      <c r="I2744" s="14" t="s">
        <v>28</v>
      </c>
      <c r="J2744" s="14" t="s">
        <v>41668</v>
      </c>
      <c r="K2744" s="14" t="s">
        <v>7368</v>
      </c>
      <c r="L2744" s="152" t="s">
        <v>401</v>
      </c>
      <c r="M2744" s="14">
        <v>3.82249111E10</v>
      </c>
      <c r="N2744" s="54" t="s">
        <v>7368</v>
      </c>
      <c r="O2744" s="130"/>
      <c r="P2744" s="16"/>
      <c r="Q2744" s="14">
        <v>146412.0</v>
      </c>
      <c r="R2744" s="14"/>
      <c r="S2744" s="212"/>
      <c r="T2744" s="30"/>
      <c r="U2744" s="30"/>
      <c r="V2744" s="30"/>
      <c r="W2744" s="30"/>
      <c r="X2744" s="30"/>
      <c r="Y2744" s="30"/>
      <c r="Z2744" s="30"/>
      <c r="AA2744" s="30"/>
      <c r="AB2744" s="30"/>
      <c r="AC2744" s="30"/>
    </row>
    <row r="2745" ht="15.75" customHeight="1">
      <c r="A2745" s="14" t="s">
        <v>17</v>
      </c>
      <c r="B2745" s="14">
        <v>1990.0</v>
      </c>
      <c r="C2745" s="14" t="s">
        <v>409</v>
      </c>
      <c r="D2745" s="14" t="s">
        <v>410</v>
      </c>
      <c r="E2745" s="150" t="s">
        <v>411</v>
      </c>
      <c r="F2745" s="14">
        <v>429.0</v>
      </c>
      <c r="G2745" s="14"/>
      <c r="H2745" s="151"/>
      <c r="I2745" s="14" t="s">
        <v>28</v>
      </c>
      <c r="J2745" s="14" t="s">
        <v>41669</v>
      </c>
      <c r="K2745" s="14" t="s">
        <v>8159</v>
      </c>
      <c r="L2745" s="152" t="s">
        <v>413</v>
      </c>
      <c r="M2745" s="14">
        <v>3.82249013E10</v>
      </c>
      <c r="N2745" s="54" t="s">
        <v>8159</v>
      </c>
      <c r="O2745" s="130"/>
      <c r="P2745" s="16"/>
      <c r="Q2745" s="14">
        <v>146414.0</v>
      </c>
      <c r="R2745" s="14"/>
      <c r="S2745" s="212"/>
      <c r="T2745" s="30"/>
      <c r="U2745" s="30"/>
      <c r="V2745" s="30"/>
      <c r="W2745" s="30"/>
      <c r="X2745" s="30"/>
      <c r="Y2745" s="30"/>
      <c r="Z2745" s="30"/>
      <c r="AA2745" s="30"/>
      <c r="AB2745" s="30"/>
      <c r="AC2745" s="30"/>
    </row>
    <row r="2746" ht="15.75" customHeight="1">
      <c r="A2746" s="14" t="s">
        <v>17</v>
      </c>
      <c r="B2746" s="14">
        <v>1990.0</v>
      </c>
      <c r="C2746" s="14" t="s">
        <v>385</v>
      </c>
      <c r="D2746" s="14" t="s">
        <v>386</v>
      </c>
      <c r="E2746" s="150" t="s">
        <v>387</v>
      </c>
      <c r="F2746" s="14">
        <v>379.0</v>
      </c>
      <c r="G2746" s="14">
        <v>386.0</v>
      </c>
      <c r="H2746" s="151"/>
      <c r="I2746" s="14" t="s">
        <v>28</v>
      </c>
      <c r="J2746" s="14" t="s">
        <v>41670</v>
      </c>
      <c r="K2746" s="14" t="s">
        <v>8941</v>
      </c>
      <c r="L2746" s="152" t="s">
        <v>392</v>
      </c>
      <c r="M2746" s="14">
        <v>3.82219985E10</v>
      </c>
      <c r="N2746" s="54" t="s">
        <v>8941</v>
      </c>
      <c r="O2746" s="130"/>
      <c r="P2746" s="16"/>
      <c r="Q2746" s="14">
        <v>146403.0</v>
      </c>
      <c r="R2746" s="14"/>
      <c r="S2746" s="212"/>
      <c r="T2746" s="30"/>
      <c r="U2746" s="30"/>
      <c r="V2746" s="30"/>
      <c r="W2746" s="30"/>
      <c r="X2746" s="30"/>
      <c r="Y2746" s="30"/>
      <c r="Z2746" s="30"/>
      <c r="AA2746" s="30"/>
      <c r="AB2746" s="30"/>
      <c r="AC2746" s="30"/>
    </row>
    <row r="2747" ht="15.75" customHeight="1">
      <c r="A2747" s="14" t="s">
        <v>17</v>
      </c>
      <c r="B2747" s="14">
        <v>1990.0</v>
      </c>
      <c r="C2747" s="14" t="s">
        <v>236</v>
      </c>
      <c r="D2747" s="14" t="s">
        <v>55</v>
      </c>
      <c r="E2747" s="150" t="s">
        <v>237</v>
      </c>
      <c r="F2747" s="14">
        <v>247.0</v>
      </c>
      <c r="G2747" s="14" t="s">
        <v>238</v>
      </c>
      <c r="H2747" s="151"/>
      <c r="I2747" s="14" t="s">
        <v>28</v>
      </c>
      <c r="J2747" s="14" t="s">
        <v>41671</v>
      </c>
      <c r="K2747" s="14" t="s">
        <v>41475</v>
      </c>
      <c r="L2747" s="152" t="s">
        <v>54</v>
      </c>
      <c r="M2747" s="14" t="s">
        <v>41476</v>
      </c>
      <c r="N2747" s="54" t="s">
        <v>41475</v>
      </c>
      <c r="O2747" s="130" t="s">
        <v>3303</v>
      </c>
      <c r="P2747" s="16"/>
      <c r="Q2747" s="14">
        <v>146388.0</v>
      </c>
      <c r="R2747" s="14"/>
      <c r="S2747" s="212">
        <v>636759.0</v>
      </c>
      <c r="T2747" s="30"/>
      <c r="U2747" s="30"/>
      <c r="V2747" s="30"/>
      <c r="W2747" s="30"/>
      <c r="X2747" s="30"/>
      <c r="Y2747" s="30"/>
      <c r="Z2747" s="30"/>
      <c r="AA2747" s="30"/>
      <c r="AB2747" s="30"/>
      <c r="AC2747" s="30"/>
    </row>
    <row r="2748" ht="15.75" customHeight="1">
      <c r="A2748" s="14" t="s">
        <v>17</v>
      </c>
      <c r="B2748" s="14">
        <v>1990.0</v>
      </c>
      <c r="C2748" s="14" t="s">
        <v>258</v>
      </c>
      <c r="D2748" s="14" t="s">
        <v>259</v>
      </c>
      <c r="E2748" s="150" t="s">
        <v>260</v>
      </c>
      <c r="F2748" s="14">
        <v>281.0</v>
      </c>
      <c r="G2748" s="14" t="s">
        <v>261</v>
      </c>
      <c r="H2748" s="151"/>
      <c r="I2748" s="14" t="s">
        <v>28</v>
      </c>
      <c r="J2748" s="14" t="s">
        <v>41672</v>
      </c>
      <c r="K2748" s="14" t="s">
        <v>41673</v>
      </c>
      <c r="L2748" s="152" t="s">
        <v>263</v>
      </c>
      <c r="M2748" s="14" t="s">
        <v>41674</v>
      </c>
      <c r="N2748" s="54" t="s">
        <v>41673</v>
      </c>
      <c r="O2748" s="130"/>
      <c r="P2748" s="16"/>
      <c r="Q2748" s="14">
        <v>146392.0</v>
      </c>
      <c r="R2748" s="14"/>
      <c r="S2748" s="212"/>
      <c r="T2748" s="30"/>
      <c r="U2748" s="30"/>
      <c r="V2748" s="30"/>
      <c r="W2748" s="30"/>
      <c r="X2748" s="30"/>
      <c r="Y2748" s="30"/>
      <c r="Z2748" s="30"/>
      <c r="AA2748" s="30"/>
      <c r="AB2748" s="30"/>
      <c r="AC2748" s="30"/>
    </row>
    <row r="2749" ht="15.75" customHeight="1">
      <c r="A2749" s="14" t="s">
        <v>17</v>
      </c>
      <c r="B2749" s="14">
        <v>1990.0</v>
      </c>
      <c r="C2749" s="14" t="s">
        <v>240</v>
      </c>
      <c r="D2749" s="14" t="s">
        <v>241</v>
      </c>
      <c r="E2749" s="150" t="s">
        <v>242</v>
      </c>
      <c r="F2749" s="14">
        <v>255.0</v>
      </c>
      <c r="G2749" s="14" t="s">
        <v>243</v>
      </c>
      <c r="H2749" s="151"/>
      <c r="I2749" s="14" t="s">
        <v>28</v>
      </c>
      <c r="J2749" s="14" t="s">
        <v>41675</v>
      </c>
      <c r="K2749" s="14" t="s">
        <v>41676</v>
      </c>
      <c r="L2749" s="152" t="s">
        <v>245</v>
      </c>
      <c r="M2749" s="14" t="s">
        <v>41677</v>
      </c>
      <c r="N2749" s="54" t="s">
        <v>41676</v>
      </c>
      <c r="O2749" s="130"/>
      <c r="P2749" s="16"/>
      <c r="Q2749" s="14">
        <v>146389.0</v>
      </c>
      <c r="R2749" s="14"/>
      <c r="S2749" s="212"/>
      <c r="T2749" s="30"/>
      <c r="U2749" s="30"/>
      <c r="V2749" s="30"/>
      <c r="W2749" s="30"/>
      <c r="X2749" s="30"/>
      <c r="Y2749" s="30"/>
      <c r="Z2749" s="30"/>
      <c r="AA2749" s="30"/>
      <c r="AB2749" s="30"/>
      <c r="AC2749" s="30"/>
    </row>
    <row r="2750" ht="15.75" customHeight="1">
      <c r="A2750" s="14" t="s">
        <v>17</v>
      </c>
      <c r="B2750" s="14">
        <v>1990.0</v>
      </c>
      <c r="C2750" s="14" t="s">
        <v>96</v>
      </c>
      <c r="D2750" s="14" t="s">
        <v>97</v>
      </c>
      <c r="E2750" s="150" t="s">
        <v>98</v>
      </c>
      <c r="F2750" s="14">
        <v>107.0</v>
      </c>
      <c r="G2750" s="14">
        <v>113.0</v>
      </c>
      <c r="H2750" s="151"/>
      <c r="I2750" s="14" t="s">
        <v>28</v>
      </c>
      <c r="J2750" s="14" t="s">
        <v>41678</v>
      </c>
      <c r="K2750" s="14" t="s">
        <v>41679</v>
      </c>
      <c r="L2750" s="152" t="s">
        <v>144</v>
      </c>
      <c r="M2750" s="14" t="s">
        <v>41680</v>
      </c>
      <c r="N2750" s="54" t="s">
        <v>41679</v>
      </c>
      <c r="O2750" s="130"/>
      <c r="P2750" s="16"/>
      <c r="Q2750" s="14">
        <v>146371.0</v>
      </c>
      <c r="R2750" s="14"/>
      <c r="S2750" s="212"/>
      <c r="T2750" s="30"/>
      <c r="U2750" s="30"/>
      <c r="V2750" s="30"/>
      <c r="W2750" s="30"/>
      <c r="X2750" s="30"/>
      <c r="Y2750" s="30"/>
      <c r="Z2750" s="30"/>
      <c r="AA2750" s="30"/>
      <c r="AB2750" s="30"/>
      <c r="AC2750" s="30"/>
    </row>
    <row r="2751" ht="15.75" customHeight="1">
      <c r="A2751" s="14" t="s">
        <v>17</v>
      </c>
      <c r="B2751" s="14">
        <v>1990.0</v>
      </c>
      <c r="C2751" s="14" t="s">
        <v>402</v>
      </c>
      <c r="D2751" s="14" t="s">
        <v>403</v>
      </c>
      <c r="E2751" s="150" t="s">
        <v>404</v>
      </c>
      <c r="F2751" s="14">
        <v>424.0</v>
      </c>
      <c r="G2751" s="14">
        <v>428.0</v>
      </c>
      <c r="H2751" s="151"/>
      <c r="I2751" s="14" t="s">
        <v>28</v>
      </c>
      <c r="J2751" s="14" t="s">
        <v>41681</v>
      </c>
      <c r="K2751" s="14" t="s">
        <v>41682</v>
      </c>
      <c r="L2751" s="152" t="s">
        <v>408</v>
      </c>
      <c r="M2751" s="14" t="s">
        <v>41683</v>
      </c>
      <c r="N2751" s="54" t="s">
        <v>41684</v>
      </c>
      <c r="O2751" s="130"/>
      <c r="P2751" s="16"/>
      <c r="Q2751" s="14">
        <v>146413.0</v>
      </c>
      <c r="R2751" s="14"/>
      <c r="S2751" s="212"/>
      <c r="T2751" s="30"/>
      <c r="U2751" s="30"/>
      <c r="V2751" s="30"/>
      <c r="W2751" s="30"/>
      <c r="X2751" s="30"/>
      <c r="Y2751" s="30"/>
      <c r="Z2751" s="30"/>
      <c r="AA2751" s="30"/>
      <c r="AB2751" s="30"/>
      <c r="AC2751" s="30"/>
    </row>
    <row r="2752" ht="15.75" customHeight="1">
      <c r="A2752" s="14" t="s">
        <v>17</v>
      </c>
      <c r="B2752" s="14">
        <v>1990.0</v>
      </c>
      <c r="C2752" s="14" t="s">
        <v>179</v>
      </c>
      <c r="D2752" s="14" t="s">
        <v>180</v>
      </c>
      <c r="E2752" s="150" t="s">
        <v>181</v>
      </c>
      <c r="F2752" s="14">
        <v>160.0</v>
      </c>
      <c r="G2752" s="14" t="s">
        <v>182</v>
      </c>
      <c r="H2752" s="151"/>
      <c r="I2752" s="14" t="s">
        <v>28</v>
      </c>
      <c r="J2752" s="14" t="s">
        <v>41685</v>
      </c>
      <c r="K2752" s="14" t="s">
        <v>41686</v>
      </c>
      <c r="L2752" s="152" t="s">
        <v>184</v>
      </c>
      <c r="M2752" s="14" t="s">
        <v>41687</v>
      </c>
      <c r="N2752" s="54" t="s">
        <v>41686</v>
      </c>
      <c r="O2752" s="130"/>
      <c r="P2752" s="16"/>
      <c r="Q2752" s="14">
        <v>146378.0</v>
      </c>
      <c r="R2752" s="14"/>
      <c r="S2752" s="212"/>
      <c r="T2752" s="30"/>
      <c r="U2752" s="30"/>
      <c r="V2752" s="30"/>
      <c r="W2752" s="30"/>
      <c r="X2752" s="30"/>
      <c r="Y2752" s="30"/>
      <c r="Z2752" s="30"/>
      <c r="AA2752" s="30"/>
      <c r="AB2752" s="30"/>
      <c r="AC2752" s="30"/>
    </row>
    <row r="2753" ht="15.75" customHeight="1">
      <c r="A2753" s="14" t="s">
        <v>17</v>
      </c>
      <c r="B2753" s="14">
        <v>1990.0</v>
      </c>
      <c r="C2753" s="14" t="s">
        <v>78</v>
      </c>
      <c r="D2753" s="14" t="s">
        <v>79</v>
      </c>
      <c r="E2753" s="150" t="s">
        <v>80</v>
      </c>
      <c r="F2753" s="14">
        <v>83.0</v>
      </c>
      <c r="G2753" s="14" t="s">
        <v>81</v>
      </c>
      <c r="H2753" s="151"/>
      <c r="I2753" s="14" t="s">
        <v>28</v>
      </c>
      <c r="J2753" s="14" t="s">
        <v>41688</v>
      </c>
      <c r="K2753" s="14" t="s">
        <v>41689</v>
      </c>
      <c r="L2753" s="152" t="s">
        <v>83</v>
      </c>
      <c r="M2753" s="14" t="s">
        <v>41690</v>
      </c>
      <c r="N2753" s="54" t="s">
        <v>41689</v>
      </c>
      <c r="O2753" s="130"/>
      <c r="P2753" s="16"/>
      <c r="Q2753" s="14">
        <v>146368.0</v>
      </c>
      <c r="R2753" s="14"/>
      <c r="S2753" s="212"/>
      <c r="T2753" s="30"/>
      <c r="U2753" s="30"/>
      <c r="V2753" s="30"/>
      <c r="W2753" s="30"/>
      <c r="X2753" s="30"/>
      <c r="Y2753" s="30"/>
      <c r="Z2753" s="30"/>
      <c r="AA2753" s="30"/>
      <c r="AB2753" s="30"/>
      <c r="AC2753" s="30"/>
    </row>
    <row r="2754" ht="15.75" customHeight="1">
      <c r="A2754" s="14"/>
      <c r="B2754" s="14"/>
      <c r="C2754" s="14"/>
      <c r="D2754" s="14"/>
      <c r="E2754" s="14"/>
      <c r="F2754" s="14"/>
      <c r="G2754" s="14"/>
      <c r="H2754" s="151"/>
      <c r="I2754" s="14"/>
      <c r="J2754" s="14"/>
      <c r="K2754" s="14"/>
      <c r="L2754" s="152"/>
      <c r="M2754" s="14"/>
      <c r="N2754" s="14"/>
      <c r="O2754" s="84"/>
      <c r="P2754" s="16"/>
      <c r="Q2754" s="14"/>
      <c r="R2754" s="95"/>
      <c r="S2754" s="154"/>
      <c r="T2754" s="84"/>
      <c r="U2754" s="84"/>
      <c r="V2754" s="84"/>
      <c r="W2754" s="84"/>
      <c r="X2754" s="84"/>
      <c r="Y2754" s="84"/>
      <c r="Z2754" s="84"/>
      <c r="AA2754" s="84"/>
      <c r="AB2754" s="84"/>
      <c r="AC2754" s="84"/>
    </row>
  </sheetData>
  <hyperlinks>
    <hyperlink r:id="rId2" ref="E2"/>
    <hyperlink r:id="rId3" ref="E3"/>
    <hyperlink r:id="rId4" ref="E4"/>
    <hyperlink r:id="rId5" ref="E5"/>
    <hyperlink r:id="rId6" ref="E6"/>
    <hyperlink r:id="rId7" ref="E7"/>
    <hyperlink r:id="rId8" ref="E8"/>
    <hyperlink r:id="rId9" ref="E9"/>
    <hyperlink r:id="rId10" ref="E10"/>
    <hyperlink r:id="rId11" ref="E11"/>
    <hyperlink r:id="rId12" ref="E12"/>
    <hyperlink r:id="rId13" ref="E13"/>
    <hyperlink r:id="rId14" ref="E14"/>
    <hyperlink r:id="rId15" ref="E15"/>
    <hyperlink r:id="rId16" ref="E16"/>
    <hyperlink r:id="rId17" ref="E17"/>
    <hyperlink r:id="rId18" ref="E18"/>
    <hyperlink r:id="rId19" ref="E19"/>
    <hyperlink r:id="rId20" ref="E20"/>
    <hyperlink r:id="rId21" ref="E21"/>
    <hyperlink r:id="rId22" ref="E22"/>
    <hyperlink r:id="rId23" ref="E23"/>
    <hyperlink r:id="rId24" ref="E24"/>
    <hyperlink r:id="rId25" ref="E25"/>
    <hyperlink r:id="rId26" ref="E26"/>
    <hyperlink r:id="rId27" ref="E27"/>
    <hyperlink r:id="rId28" ref="E28"/>
    <hyperlink r:id="rId29" ref="E29"/>
    <hyperlink r:id="rId30" ref="E30"/>
    <hyperlink r:id="rId31" ref="E31"/>
    <hyperlink r:id="rId32" ref="E32"/>
    <hyperlink r:id="rId33" ref="E33"/>
    <hyperlink r:id="rId34" ref="E34"/>
    <hyperlink r:id="rId35" ref="E35"/>
    <hyperlink r:id="rId36" ref="E36"/>
    <hyperlink r:id="rId37" ref="E37"/>
    <hyperlink r:id="rId38" ref="E38"/>
    <hyperlink r:id="rId39" ref="E39"/>
    <hyperlink r:id="rId40" ref="E40"/>
    <hyperlink r:id="rId41" ref="E41"/>
    <hyperlink r:id="rId42" ref="E42"/>
    <hyperlink r:id="rId43" ref="E43"/>
    <hyperlink r:id="rId44" ref="E44"/>
    <hyperlink r:id="rId45" ref="E45"/>
    <hyperlink r:id="rId46" ref="E46"/>
    <hyperlink r:id="rId47" ref="E47"/>
    <hyperlink r:id="rId48" ref="E48"/>
    <hyperlink r:id="rId49" ref="E49"/>
    <hyperlink r:id="rId50" ref="E50"/>
    <hyperlink r:id="rId51" ref="E51"/>
    <hyperlink r:id="rId52" ref="E52"/>
    <hyperlink r:id="rId53" ref="E53"/>
    <hyperlink r:id="rId54" ref="E54"/>
    <hyperlink r:id="rId55" ref="E55"/>
    <hyperlink r:id="rId56" ref="E56"/>
    <hyperlink r:id="rId57" ref="E57"/>
    <hyperlink r:id="rId58" ref="E58"/>
    <hyperlink r:id="rId59" ref="E59"/>
    <hyperlink r:id="rId60" ref="E60"/>
    <hyperlink r:id="rId61" ref="E61"/>
    <hyperlink r:id="rId62" ref="E62"/>
    <hyperlink r:id="rId63" ref="E63"/>
    <hyperlink r:id="rId64" ref="E64"/>
    <hyperlink r:id="rId65" ref="E65"/>
    <hyperlink r:id="rId66" ref="E66"/>
    <hyperlink r:id="rId67" ref="E67"/>
    <hyperlink r:id="rId68" ref="E68"/>
    <hyperlink r:id="rId69" ref="E69"/>
    <hyperlink r:id="rId70" ref="E70"/>
    <hyperlink r:id="rId71" ref="E71"/>
    <hyperlink r:id="rId72" ref="E72"/>
    <hyperlink r:id="rId73" ref="E73"/>
    <hyperlink r:id="rId74" ref="E74"/>
    <hyperlink r:id="rId75" ref="E75"/>
    <hyperlink r:id="rId76" ref="E76"/>
    <hyperlink r:id="rId77" ref="E77"/>
    <hyperlink r:id="rId78" ref="E78"/>
    <hyperlink r:id="rId79" ref="E79"/>
    <hyperlink r:id="rId80" ref="E80"/>
    <hyperlink r:id="rId81" ref="E81"/>
    <hyperlink r:id="rId82" ref="E82"/>
    <hyperlink r:id="rId83" ref="E83"/>
    <hyperlink r:id="rId84" ref="E84"/>
    <hyperlink r:id="rId85" ref="E85"/>
    <hyperlink r:id="rId86" ref="E86"/>
    <hyperlink r:id="rId87" ref="E87"/>
    <hyperlink r:id="rId88" ref="E88"/>
    <hyperlink r:id="rId89" ref="E89"/>
    <hyperlink r:id="rId90" ref="E90"/>
    <hyperlink r:id="rId91" ref="E91"/>
    <hyperlink r:id="rId92" ref="E92"/>
    <hyperlink r:id="rId93" ref="E93"/>
    <hyperlink r:id="rId94" ref="E94"/>
    <hyperlink r:id="rId95" ref="E95"/>
    <hyperlink r:id="rId96" ref="E96"/>
    <hyperlink r:id="rId97" ref="E97"/>
    <hyperlink r:id="rId98" ref="E98"/>
    <hyperlink r:id="rId99" ref="E99"/>
    <hyperlink r:id="rId100" ref="E100"/>
    <hyperlink r:id="rId101" ref="E101"/>
    <hyperlink r:id="rId102" ref="E102"/>
    <hyperlink r:id="rId103" ref="E103"/>
    <hyperlink r:id="rId104" ref="E104"/>
    <hyperlink r:id="rId105" ref="E105"/>
    <hyperlink r:id="rId106" ref="E106"/>
    <hyperlink r:id="rId107" ref="E107"/>
    <hyperlink r:id="rId108" ref="E108"/>
    <hyperlink r:id="rId109" ref="E109"/>
    <hyperlink r:id="rId110" ref="E110"/>
    <hyperlink r:id="rId111" ref="E111"/>
    <hyperlink r:id="rId112" ref="E112"/>
    <hyperlink r:id="rId113" ref="E113"/>
    <hyperlink r:id="rId114" ref="E114"/>
    <hyperlink r:id="rId115" ref="E115"/>
    <hyperlink r:id="rId116" ref="E116"/>
    <hyperlink r:id="rId117" ref="E117"/>
    <hyperlink r:id="rId118" ref="E118"/>
    <hyperlink r:id="rId119" ref="E119"/>
    <hyperlink r:id="rId120" ref="E120"/>
    <hyperlink r:id="rId121" ref="E121"/>
    <hyperlink r:id="rId122" ref="E122"/>
    <hyperlink r:id="rId123" ref="E123"/>
    <hyperlink r:id="rId124" ref="E124"/>
    <hyperlink r:id="rId125" ref="E125"/>
    <hyperlink r:id="rId126" ref="E126"/>
    <hyperlink r:id="rId127" ref="E127"/>
    <hyperlink r:id="rId128" ref="E128"/>
    <hyperlink r:id="rId129" ref="E129"/>
    <hyperlink r:id="rId130" ref="E130"/>
    <hyperlink r:id="rId131" ref="E131"/>
    <hyperlink r:id="rId132" ref="E132"/>
    <hyperlink r:id="rId133" ref="E133"/>
    <hyperlink r:id="rId134" ref="E134"/>
    <hyperlink r:id="rId135" ref="E135"/>
    <hyperlink r:id="rId136" ref="E136"/>
    <hyperlink r:id="rId137" ref="E137"/>
    <hyperlink r:id="rId138" ref="E138"/>
    <hyperlink r:id="rId139" ref="E139"/>
    <hyperlink r:id="rId140" ref="E140"/>
    <hyperlink r:id="rId141" ref="E141"/>
    <hyperlink r:id="rId142" ref="E142"/>
    <hyperlink r:id="rId143" ref="E143"/>
    <hyperlink r:id="rId144" ref="E144"/>
    <hyperlink r:id="rId145" ref="E145"/>
    <hyperlink r:id="rId146" ref="E146"/>
    <hyperlink r:id="rId147" ref="E147"/>
    <hyperlink r:id="rId148" ref="E148"/>
    <hyperlink r:id="rId149" ref="E149"/>
    <hyperlink r:id="rId150" ref="E150"/>
    <hyperlink r:id="rId151" ref="E151"/>
    <hyperlink r:id="rId152" ref="E152"/>
    <hyperlink r:id="rId153" ref="E153"/>
    <hyperlink r:id="rId154" ref="E154"/>
    <hyperlink r:id="rId155" ref="E155"/>
    <hyperlink r:id="rId156" ref="E156"/>
    <hyperlink r:id="rId157" ref="E157"/>
    <hyperlink r:id="rId158" ref="E158"/>
    <hyperlink r:id="rId159" ref="E159"/>
    <hyperlink r:id="rId160" ref="E160"/>
    <hyperlink r:id="rId161" ref="E161"/>
    <hyperlink r:id="rId162" ref="E162"/>
    <hyperlink r:id="rId163" ref="E163"/>
    <hyperlink r:id="rId164" ref="E164"/>
    <hyperlink r:id="rId165" ref="E165"/>
    <hyperlink r:id="rId166" ref="E166"/>
    <hyperlink r:id="rId167" ref="E167"/>
    <hyperlink r:id="rId168" ref="E168"/>
    <hyperlink r:id="rId169" ref="E169"/>
    <hyperlink r:id="rId170" ref="E170"/>
    <hyperlink r:id="rId171" ref="E171"/>
    <hyperlink r:id="rId172" ref="E172"/>
    <hyperlink r:id="rId173" ref="E173"/>
    <hyperlink r:id="rId174" ref="E174"/>
    <hyperlink r:id="rId175" ref="E175"/>
    <hyperlink r:id="rId176" ref="E176"/>
    <hyperlink r:id="rId177" ref="E177"/>
    <hyperlink r:id="rId178" ref="E178"/>
    <hyperlink r:id="rId179" ref="E179"/>
    <hyperlink r:id="rId180" ref="E180"/>
    <hyperlink r:id="rId181" ref="E181"/>
    <hyperlink r:id="rId182" ref="E182"/>
    <hyperlink r:id="rId183" ref="E183"/>
    <hyperlink r:id="rId184" ref="E184"/>
    <hyperlink r:id="rId185" ref="E185"/>
    <hyperlink r:id="rId186" ref="E186"/>
    <hyperlink r:id="rId187" ref="E187"/>
    <hyperlink r:id="rId188" ref="E188"/>
    <hyperlink r:id="rId189" ref="E189"/>
    <hyperlink r:id="rId190" ref="E190"/>
    <hyperlink r:id="rId191" ref="E191"/>
    <hyperlink r:id="rId192" ref="E192"/>
    <hyperlink r:id="rId193" ref="E193"/>
    <hyperlink r:id="rId194" ref="E194"/>
    <hyperlink r:id="rId195" ref="E195"/>
    <hyperlink r:id="rId196" ref="E196"/>
    <hyperlink r:id="rId197" ref="E197"/>
    <hyperlink r:id="rId198" ref="E198"/>
    <hyperlink r:id="rId199" ref="E199"/>
    <hyperlink r:id="rId200" ref="E200"/>
    <hyperlink r:id="rId201" ref="E201"/>
    <hyperlink r:id="rId202" ref="E202"/>
    <hyperlink r:id="rId203" ref="E203"/>
    <hyperlink r:id="rId204" ref="E204"/>
    <hyperlink r:id="rId205" ref="E205"/>
    <hyperlink r:id="rId206" ref="E206"/>
    <hyperlink r:id="rId207" ref="E207"/>
    <hyperlink r:id="rId208" ref="E208"/>
    <hyperlink r:id="rId209" ref="E209"/>
    <hyperlink r:id="rId210" ref="E210"/>
    <hyperlink r:id="rId211" ref="E211"/>
    <hyperlink r:id="rId212" ref="E212"/>
    <hyperlink r:id="rId213" ref="E213"/>
    <hyperlink r:id="rId214" ref="E214"/>
    <hyperlink r:id="rId215" ref="E215"/>
    <hyperlink r:id="rId216" ref="E216"/>
    <hyperlink r:id="rId217" ref="E217"/>
    <hyperlink r:id="rId218" ref="E218"/>
    <hyperlink r:id="rId219" ref="E219"/>
    <hyperlink r:id="rId220" ref="E220"/>
    <hyperlink r:id="rId221" ref="E221"/>
    <hyperlink r:id="rId222" ref="E222"/>
    <hyperlink r:id="rId223" ref="E223"/>
    <hyperlink r:id="rId224" ref="E224"/>
    <hyperlink r:id="rId225" ref="E225"/>
    <hyperlink r:id="rId226" ref="E226"/>
    <hyperlink r:id="rId227" ref="E227"/>
    <hyperlink r:id="rId228" ref="E228"/>
    <hyperlink r:id="rId229" ref="E229"/>
    <hyperlink r:id="rId230" ref="E230"/>
    <hyperlink r:id="rId231" ref="E231"/>
    <hyperlink r:id="rId232" ref="E232"/>
    <hyperlink r:id="rId233" ref="E233"/>
    <hyperlink r:id="rId234" ref="E234"/>
    <hyperlink r:id="rId235" ref="E235"/>
    <hyperlink r:id="rId236" ref="E236"/>
    <hyperlink r:id="rId237" ref="E237"/>
    <hyperlink r:id="rId238" ref="E238"/>
    <hyperlink r:id="rId239" ref="E239"/>
    <hyperlink r:id="rId240" ref="E240"/>
    <hyperlink r:id="rId241" ref="E241"/>
    <hyperlink r:id="rId242" ref="E242"/>
    <hyperlink r:id="rId243" ref="E243"/>
    <hyperlink r:id="rId244" ref="E244"/>
    <hyperlink r:id="rId245" ref="E245"/>
    <hyperlink r:id="rId246" ref="E246"/>
    <hyperlink r:id="rId247" ref="E247"/>
    <hyperlink r:id="rId248" ref="E248"/>
    <hyperlink r:id="rId249" ref="E249"/>
    <hyperlink r:id="rId250" ref="E250"/>
    <hyperlink r:id="rId251" ref="E251"/>
    <hyperlink r:id="rId252" ref="E252"/>
    <hyperlink r:id="rId253" ref="E253"/>
    <hyperlink r:id="rId254" ref="E254"/>
    <hyperlink r:id="rId255" ref="E255"/>
    <hyperlink r:id="rId256" ref="E256"/>
    <hyperlink r:id="rId257" ref="E257"/>
    <hyperlink r:id="rId258" ref="E258"/>
    <hyperlink r:id="rId259" ref="E259"/>
    <hyperlink r:id="rId260" ref="E260"/>
    <hyperlink r:id="rId261" ref="E261"/>
    <hyperlink r:id="rId262" ref="E262"/>
    <hyperlink r:id="rId263" ref="E263"/>
    <hyperlink r:id="rId264" ref="E264"/>
    <hyperlink r:id="rId265" ref="E265"/>
    <hyperlink r:id="rId266" ref="E266"/>
    <hyperlink r:id="rId267" ref="E267"/>
    <hyperlink r:id="rId268" ref="E268"/>
    <hyperlink r:id="rId269" ref="E269"/>
    <hyperlink r:id="rId270" ref="E270"/>
    <hyperlink r:id="rId271" ref="E271"/>
    <hyperlink r:id="rId272" ref="E272"/>
    <hyperlink r:id="rId273" ref="E273"/>
    <hyperlink r:id="rId274" ref="E274"/>
    <hyperlink r:id="rId275" ref="E275"/>
    <hyperlink r:id="rId276" ref="E276"/>
    <hyperlink r:id="rId277" ref="E277"/>
    <hyperlink r:id="rId278" ref="E278"/>
    <hyperlink r:id="rId279" ref="E279"/>
    <hyperlink r:id="rId280" ref="E280"/>
    <hyperlink r:id="rId281" ref="E281"/>
    <hyperlink r:id="rId282" ref="E282"/>
    <hyperlink r:id="rId283" ref="E283"/>
    <hyperlink r:id="rId284" ref="E284"/>
    <hyperlink r:id="rId285" ref="E285"/>
    <hyperlink r:id="rId286" ref="E286"/>
    <hyperlink r:id="rId287" ref="E287"/>
    <hyperlink r:id="rId288" ref="E288"/>
    <hyperlink r:id="rId289" ref="E289"/>
    <hyperlink r:id="rId290" ref="E290"/>
    <hyperlink r:id="rId291" ref="E291"/>
    <hyperlink r:id="rId292" ref="E292"/>
    <hyperlink r:id="rId293" ref="E293"/>
    <hyperlink r:id="rId294" ref="E294"/>
    <hyperlink r:id="rId295" ref="E579"/>
    <hyperlink r:id="rId296" ref="E583"/>
    <hyperlink r:id="rId297" ref="E585"/>
    <hyperlink r:id="rId298" ref="E590"/>
    <hyperlink r:id="rId299" ref="E591"/>
    <hyperlink r:id="rId300" ref="E594"/>
    <hyperlink r:id="rId301" ref="E595"/>
    <hyperlink r:id="rId302" ref="E598"/>
    <hyperlink r:id="rId303" ref="E600"/>
    <hyperlink r:id="rId304" ref="E602"/>
    <hyperlink r:id="rId305" ref="E605"/>
    <hyperlink r:id="rId306" ref="E606"/>
    <hyperlink r:id="rId307" ref="E607"/>
    <hyperlink r:id="rId308" ref="E608"/>
    <hyperlink r:id="rId309" ref="E615"/>
    <hyperlink r:id="rId310" ref="E617"/>
    <hyperlink r:id="rId311" ref="E621"/>
    <hyperlink r:id="rId312" ref="E630"/>
    <hyperlink r:id="rId313" ref="E633"/>
    <hyperlink r:id="rId314" ref="E1626"/>
    <hyperlink r:id="rId315" ref="E1634"/>
    <hyperlink r:id="rId316" ref="E1642"/>
    <hyperlink r:id="rId317" ref="E1648"/>
    <hyperlink r:id="rId318" ref="E1653"/>
    <hyperlink r:id="rId319" ref="E1874"/>
    <hyperlink r:id="rId320" ref="E1892"/>
    <hyperlink r:id="rId321" ref="E1893"/>
    <hyperlink r:id="rId322" ref="E1894"/>
    <hyperlink r:id="rId323" ref="E1898"/>
    <hyperlink r:id="rId324" ref="E1904"/>
    <hyperlink r:id="rId325" ref="E1910"/>
    <hyperlink r:id="rId326" ref="E1913"/>
    <hyperlink r:id="rId327" ref="E1922"/>
    <hyperlink r:id="rId328" ref="E1930"/>
    <hyperlink r:id="rId329" ref="E1933"/>
    <hyperlink r:id="rId330" ref="E1935"/>
    <hyperlink r:id="rId331" ref="E1955"/>
    <hyperlink r:id="rId332" ref="E1960"/>
    <hyperlink r:id="rId333" ref="E1971"/>
    <hyperlink r:id="rId334" ref="E1987"/>
    <hyperlink r:id="rId335" ref="E2007"/>
    <hyperlink r:id="rId336" ref="E2021"/>
    <hyperlink r:id="rId337" ref="E2073"/>
    <hyperlink r:id="rId338" ref="E2105"/>
    <hyperlink r:id="rId339" ref="E2122"/>
    <hyperlink r:id="rId340" ref="E2123"/>
    <hyperlink r:id="rId341" ref="E2124"/>
    <hyperlink r:id="rId342" ref="E2125"/>
    <hyperlink r:id="rId343" ref="E2126"/>
    <hyperlink r:id="rId344" ref="E2127"/>
    <hyperlink r:id="rId345" ref="E2128"/>
    <hyperlink r:id="rId346" ref="E2129"/>
    <hyperlink r:id="rId347" ref="E2130"/>
    <hyperlink r:id="rId348" ref="E2131"/>
    <hyperlink r:id="rId349" ref="E2132"/>
    <hyperlink r:id="rId350" ref="E2133"/>
    <hyperlink r:id="rId351" ref="E2134"/>
    <hyperlink r:id="rId352" ref="E2135"/>
    <hyperlink r:id="rId353" ref="E2136"/>
    <hyperlink r:id="rId354" ref="E2137"/>
    <hyperlink r:id="rId355" ref="E2138"/>
    <hyperlink r:id="rId356" ref="E2139"/>
    <hyperlink r:id="rId357" ref="E2140"/>
    <hyperlink r:id="rId358" ref="E2141"/>
    <hyperlink r:id="rId359" ref="E2142"/>
    <hyperlink r:id="rId360" ref="E2143"/>
    <hyperlink r:id="rId361" ref="E2144"/>
    <hyperlink r:id="rId362" ref="E2145"/>
    <hyperlink r:id="rId363" ref="E2146"/>
    <hyperlink r:id="rId364" ref="E2147"/>
    <hyperlink r:id="rId365" ref="E2148"/>
    <hyperlink r:id="rId366" ref="E2149"/>
    <hyperlink r:id="rId367" ref="E2150"/>
    <hyperlink r:id="rId368" ref="E2151"/>
    <hyperlink r:id="rId369" ref="E2152"/>
    <hyperlink r:id="rId370" ref="E2153"/>
    <hyperlink r:id="rId371" ref="E2154"/>
    <hyperlink r:id="rId372" ref="E2155"/>
    <hyperlink r:id="rId373" ref="E2156"/>
    <hyperlink r:id="rId374" ref="E2157"/>
    <hyperlink r:id="rId375" ref="E2158"/>
    <hyperlink r:id="rId376" ref="E2159"/>
    <hyperlink r:id="rId377" ref="E2160"/>
    <hyperlink r:id="rId378" ref="E2161"/>
    <hyperlink r:id="rId379" ref="E2162"/>
    <hyperlink r:id="rId380" ref="E2163"/>
    <hyperlink r:id="rId381" ref="E2164"/>
    <hyperlink r:id="rId382" ref="E2165"/>
    <hyperlink r:id="rId383" ref="E2166"/>
    <hyperlink r:id="rId384" ref="E2167"/>
    <hyperlink r:id="rId385" ref="E2168"/>
    <hyperlink r:id="rId386" ref="E2169"/>
    <hyperlink r:id="rId387" ref="E2170"/>
    <hyperlink r:id="rId388" ref="E2171"/>
    <hyperlink r:id="rId389" ref="E2172"/>
    <hyperlink r:id="rId390" ref="E2173"/>
    <hyperlink r:id="rId391" ref="E2174"/>
    <hyperlink r:id="rId392" ref="E2175"/>
    <hyperlink r:id="rId393" ref="E2176"/>
    <hyperlink r:id="rId394" ref="E2177"/>
    <hyperlink r:id="rId395" ref="E2178"/>
    <hyperlink r:id="rId396" ref="E2179"/>
    <hyperlink r:id="rId397" ref="E2180"/>
    <hyperlink r:id="rId398" ref="E2181"/>
    <hyperlink r:id="rId399" ref="E2182"/>
    <hyperlink r:id="rId400" ref="E2183"/>
    <hyperlink r:id="rId401" ref="E2184"/>
    <hyperlink r:id="rId402" ref="E2185"/>
    <hyperlink r:id="rId403" ref="E2186"/>
    <hyperlink r:id="rId404" ref="E2187"/>
    <hyperlink r:id="rId405" ref="E2188"/>
    <hyperlink r:id="rId406" ref="E2189"/>
    <hyperlink r:id="rId407" ref="E2190"/>
    <hyperlink r:id="rId408" ref="E2191"/>
    <hyperlink r:id="rId409" ref="E2192"/>
    <hyperlink r:id="rId410" ref="E2193"/>
    <hyperlink r:id="rId411" ref="E2194"/>
    <hyperlink r:id="rId412" ref="E2195"/>
    <hyperlink r:id="rId413" ref="E2196"/>
    <hyperlink r:id="rId414" ref="E2197"/>
    <hyperlink r:id="rId415" ref="E2198"/>
    <hyperlink r:id="rId416" ref="E2199"/>
    <hyperlink r:id="rId417" ref="E2200"/>
    <hyperlink r:id="rId418" ref="E2201"/>
    <hyperlink r:id="rId419" ref="E2202"/>
    <hyperlink r:id="rId420" ref="E2203"/>
    <hyperlink r:id="rId421" ref="E2204"/>
    <hyperlink r:id="rId422" ref="E2205"/>
    <hyperlink r:id="rId423" ref="E2206"/>
    <hyperlink r:id="rId424" ref="E2207"/>
    <hyperlink r:id="rId425" ref="E2208"/>
    <hyperlink r:id="rId426" ref="E2209"/>
    <hyperlink r:id="rId427" ref="E2210"/>
    <hyperlink r:id="rId428" ref="E2211"/>
    <hyperlink r:id="rId429" ref="E2212"/>
    <hyperlink r:id="rId430" ref="E2213"/>
    <hyperlink r:id="rId431" ref="E2214"/>
    <hyperlink r:id="rId432" ref="E2215"/>
    <hyperlink r:id="rId433" ref="E2216"/>
    <hyperlink r:id="rId434" ref="E2217"/>
    <hyperlink r:id="rId435" ref="E2218"/>
    <hyperlink r:id="rId436" ref="E2219"/>
    <hyperlink r:id="rId437" ref="E2220"/>
    <hyperlink r:id="rId438" ref="E2221"/>
    <hyperlink r:id="rId439" ref="E2222"/>
    <hyperlink r:id="rId440" ref="E2223"/>
    <hyperlink r:id="rId441" ref="E2224"/>
    <hyperlink r:id="rId442" ref="E2225"/>
    <hyperlink r:id="rId443" ref="E2226"/>
    <hyperlink r:id="rId444" ref="E2227"/>
    <hyperlink r:id="rId445" ref="E2228"/>
    <hyperlink r:id="rId446" ref="E2229"/>
    <hyperlink r:id="rId447" ref="E2230"/>
    <hyperlink r:id="rId448" ref="E2231"/>
    <hyperlink r:id="rId449" ref="E2232"/>
    <hyperlink r:id="rId450" ref="E2233"/>
    <hyperlink r:id="rId451" ref="E2234"/>
    <hyperlink r:id="rId452" ref="E2235"/>
    <hyperlink r:id="rId453" ref="E2236"/>
    <hyperlink r:id="rId454" ref="E2237"/>
    <hyperlink r:id="rId455" ref="E2238"/>
    <hyperlink r:id="rId456" ref="E2239"/>
    <hyperlink r:id="rId457" ref="E2240"/>
    <hyperlink r:id="rId458" ref="E2241"/>
    <hyperlink r:id="rId459" ref="E2242"/>
    <hyperlink r:id="rId460" ref="E2243"/>
    <hyperlink r:id="rId461" ref="E2244"/>
    <hyperlink r:id="rId462" ref="E2245"/>
    <hyperlink r:id="rId463" ref="E2246"/>
    <hyperlink r:id="rId464" ref="E2247"/>
    <hyperlink r:id="rId465" ref="E2248"/>
    <hyperlink r:id="rId466" ref="E2249"/>
    <hyperlink r:id="rId467" ref="E2250"/>
    <hyperlink r:id="rId468" ref="E2251"/>
    <hyperlink r:id="rId469" ref="E2252"/>
    <hyperlink r:id="rId470" ref="E2253"/>
    <hyperlink r:id="rId471" ref="E2254"/>
    <hyperlink r:id="rId472" ref="E2255"/>
    <hyperlink r:id="rId473" ref="E2256"/>
    <hyperlink r:id="rId474" ref="E2257"/>
    <hyperlink r:id="rId475" ref="E2258"/>
    <hyperlink r:id="rId476" ref="E2259"/>
    <hyperlink r:id="rId477" ref="E2260"/>
    <hyperlink r:id="rId478" ref="E2261"/>
    <hyperlink r:id="rId479" ref="E2262"/>
    <hyperlink r:id="rId480" ref="E2263"/>
    <hyperlink r:id="rId481" ref="E2264"/>
    <hyperlink r:id="rId482" ref="E2265"/>
    <hyperlink r:id="rId483" ref="E2266"/>
    <hyperlink r:id="rId484" ref="E2267"/>
    <hyperlink r:id="rId485" ref="E2268"/>
    <hyperlink r:id="rId486" ref="E2269"/>
    <hyperlink r:id="rId487" ref="E2270"/>
    <hyperlink r:id="rId488" ref="E2271"/>
    <hyperlink r:id="rId489" ref="E2272"/>
    <hyperlink r:id="rId490" ref="E2273"/>
    <hyperlink r:id="rId491" ref="E2274"/>
    <hyperlink r:id="rId492" ref="E2275"/>
    <hyperlink r:id="rId493" ref="E2276"/>
    <hyperlink r:id="rId494" ref="E2277"/>
    <hyperlink r:id="rId495" ref="E2278"/>
    <hyperlink r:id="rId496" ref="E2279"/>
    <hyperlink r:id="rId497" ref="E2280"/>
    <hyperlink r:id="rId498" ref="E2281"/>
    <hyperlink r:id="rId499" ref="E2282"/>
    <hyperlink r:id="rId500" ref="E2283"/>
    <hyperlink r:id="rId501" ref="E2284"/>
    <hyperlink r:id="rId502" ref="E2285"/>
    <hyperlink r:id="rId503" ref="E2286"/>
    <hyperlink r:id="rId504" ref="E2287"/>
    <hyperlink r:id="rId505" ref="E2288"/>
    <hyperlink r:id="rId506" ref="E2289"/>
    <hyperlink r:id="rId507" ref="E2290"/>
    <hyperlink r:id="rId508" ref="E2291"/>
    <hyperlink r:id="rId509" ref="E2292"/>
    <hyperlink r:id="rId510" ref="E2293"/>
    <hyperlink r:id="rId511" ref="E2294"/>
    <hyperlink r:id="rId512" ref="E2295"/>
    <hyperlink r:id="rId513" ref="E2296"/>
    <hyperlink r:id="rId514" ref="E2297"/>
    <hyperlink r:id="rId515" ref="E2298"/>
    <hyperlink r:id="rId516" ref="E2299"/>
    <hyperlink r:id="rId517" ref="E2300"/>
    <hyperlink r:id="rId518" ref="E2301"/>
    <hyperlink r:id="rId519" ref="E2302"/>
    <hyperlink r:id="rId520" ref="E2303"/>
    <hyperlink r:id="rId521" ref="E2304"/>
    <hyperlink r:id="rId522" ref="E2305"/>
    <hyperlink r:id="rId523" ref="E2306"/>
    <hyperlink r:id="rId524" ref="E2307"/>
    <hyperlink r:id="rId525" ref="E2308"/>
    <hyperlink r:id="rId526" ref="E2309"/>
    <hyperlink r:id="rId527" ref="E2310"/>
    <hyperlink r:id="rId528" ref="E2311"/>
    <hyperlink r:id="rId529" ref="E2312"/>
    <hyperlink r:id="rId530" ref="E2313"/>
    <hyperlink r:id="rId531" ref="E2314"/>
    <hyperlink r:id="rId532" ref="E2315"/>
    <hyperlink r:id="rId533" ref="E2316"/>
    <hyperlink r:id="rId534" ref="E2317"/>
    <hyperlink r:id="rId535" ref="E2318"/>
    <hyperlink r:id="rId536" ref="E2319"/>
    <hyperlink r:id="rId537" ref="E2320"/>
    <hyperlink r:id="rId538" ref="E2321"/>
    <hyperlink r:id="rId539" ref="E2322"/>
    <hyperlink r:id="rId540" ref="E2323"/>
    <hyperlink r:id="rId541" ref="E2324"/>
    <hyperlink r:id="rId542" ref="E2325"/>
    <hyperlink r:id="rId543" ref="E2327"/>
    <hyperlink r:id="rId544" ref="E2328"/>
    <hyperlink r:id="rId545" ref="E2329"/>
    <hyperlink r:id="rId546" ref="E2330"/>
    <hyperlink r:id="rId547" ref="E2331"/>
    <hyperlink r:id="rId548" ref="E2332"/>
    <hyperlink r:id="rId549" ref="E2333"/>
    <hyperlink r:id="rId550" ref="E2334"/>
    <hyperlink r:id="rId551" ref="E2335"/>
    <hyperlink r:id="rId552" ref="E2336"/>
    <hyperlink r:id="rId553" ref="E2337"/>
    <hyperlink r:id="rId554" ref="E2338"/>
    <hyperlink r:id="rId555" ref="E2339"/>
    <hyperlink r:id="rId556" ref="E2340"/>
    <hyperlink r:id="rId557" ref="E2341"/>
    <hyperlink r:id="rId558" ref="E2342"/>
    <hyperlink r:id="rId559" ref="E2343"/>
    <hyperlink r:id="rId560" ref="E2344"/>
    <hyperlink r:id="rId561" ref="E2345"/>
    <hyperlink r:id="rId562" ref="E2346"/>
    <hyperlink r:id="rId563" ref="E2347"/>
    <hyperlink r:id="rId564" ref="E2348"/>
    <hyperlink r:id="rId565" ref="E2349"/>
    <hyperlink r:id="rId566" ref="E2351"/>
    <hyperlink r:id="rId567" ref="E2353"/>
    <hyperlink r:id="rId568" ref="E2354"/>
    <hyperlink r:id="rId569" ref="E2356"/>
    <hyperlink r:id="rId570" ref="E2357"/>
    <hyperlink r:id="rId571" ref="E2358"/>
    <hyperlink r:id="rId572" ref="E2359"/>
    <hyperlink r:id="rId573" ref="E2360"/>
    <hyperlink r:id="rId574" ref="E2361"/>
    <hyperlink r:id="rId575" ref="E2362"/>
    <hyperlink r:id="rId576" ref="E2363"/>
    <hyperlink r:id="rId577" ref="E2364"/>
    <hyperlink r:id="rId578" ref="E2365"/>
    <hyperlink r:id="rId579" ref="E2366"/>
    <hyperlink r:id="rId580" ref="E2367"/>
    <hyperlink r:id="rId581" ref="E2368"/>
    <hyperlink r:id="rId582" ref="E2369"/>
    <hyperlink r:id="rId583" ref="E2370"/>
    <hyperlink r:id="rId584" ref="E2371"/>
    <hyperlink r:id="rId585" ref="E2372"/>
    <hyperlink r:id="rId586" ref="E2373"/>
    <hyperlink r:id="rId587" ref="E2374"/>
    <hyperlink r:id="rId588" ref="E2375"/>
    <hyperlink r:id="rId589" ref="E2376"/>
    <hyperlink r:id="rId590" ref="E2377"/>
    <hyperlink r:id="rId591" ref="E2378"/>
    <hyperlink r:id="rId592" ref="E2379"/>
    <hyperlink r:id="rId593" ref="E2380"/>
    <hyperlink r:id="rId594" ref="E2381"/>
    <hyperlink r:id="rId595" ref="E2382"/>
    <hyperlink r:id="rId596" ref="E2383"/>
    <hyperlink r:id="rId597" ref="E2384"/>
    <hyperlink r:id="rId598" ref="E2385"/>
    <hyperlink r:id="rId599" ref="E2386"/>
    <hyperlink r:id="rId600" ref="E2387"/>
    <hyperlink r:id="rId601" ref="E2388"/>
    <hyperlink r:id="rId602" ref="E2389"/>
    <hyperlink r:id="rId603" ref="E2390"/>
    <hyperlink r:id="rId604" ref="E2391"/>
    <hyperlink r:id="rId605" ref="E2392"/>
    <hyperlink r:id="rId606" ref="E2394"/>
    <hyperlink r:id="rId607" ref="E2395"/>
    <hyperlink r:id="rId608" ref="E2470"/>
    <hyperlink r:id="rId609" ref="E2471"/>
    <hyperlink r:id="rId610" ref="E2472"/>
    <hyperlink r:id="rId611" ref="E2473"/>
    <hyperlink r:id="rId612" ref="E2474"/>
    <hyperlink r:id="rId613" ref="E2475"/>
    <hyperlink r:id="rId614" ref="E2476"/>
    <hyperlink r:id="rId615" ref="E2477"/>
    <hyperlink r:id="rId616" ref="E2478"/>
    <hyperlink r:id="rId617" ref="E2479"/>
    <hyperlink r:id="rId618" ref="E2480"/>
    <hyperlink r:id="rId619" ref="E2481"/>
    <hyperlink r:id="rId620" ref="E2482"/>
    <hyperlink r:id="rId621" ref="E2483"/>
    <hyperlink r:id="rId622" ref="E2484"/>
    <hyperlink r:id="rId623" ref="E2485"/>
    <hyperlink r:id="rId624" ref="E2486"/>
    <hyperlink r:id="rId625" ref="E2487"/>
    <hyperlink r:id="rId626" ref="E2488"/>
    <hyperlink r:id="rId627" ref="E2489"/>
    <hyperlink r:id="rId628" ref="E2490"/>
    <hyperlink r:id="rId629" ref="E2491"/>
    <hyperlink r:id="rId630" ref="E2492"/>
    <hyperlink r:id="rId631" ref="E2493"/>
    <hyperlink r:id="rId632" ref="E2494"/>
    <hyperlink r:id="rId633" ref="E2495"/>
    <hyperlink r:id="rId634" ref="E2496"/>
    <hyperlink r:id="rId635" ref="E2497"/>
    <hyperlink r:id="rId636" ref="E2498"/>
    <hyperlink r:id="rId637" ref="E2499"/>
    <hyperlink r:id="rId638" ref="E2500"/>
    <hyperlink r:id="rId639" ref="E2501"/>
    <hyperlink r:id="rId640" ref="E2502"/>
    <hyperlink r:id="rId641" ref="E2503"/>
    <hyperlink r:id="rId642" ref="E2504"/>
    <hyperlink r:id="rId643" ref="E2505"/>
    <hyperlink r:id="rId644" ref="E2506"/>
    <hyperlink r:id="rId645" ref="E2507"/>
    <hyperlink r:id="rId646" ref="E2508"/>
    <hyperlink r:id="rId647" ref="E2509"/>
    <hyperlink r:id="rId648" ref="E2510"/>
    <hyperlink r:id="rId649" ref="E2511"/>
    <hyperlink r:id="rId650" ref="E2512"/>
    <hyperlink r:id="rId651" ref="E2513"/>
    <hyperlink r:id="rId652" ref="E2514"/>
    <hyperlink r:id="rId653" ref="E2515"/>
    <hyperlink r:id="rId654" ref="E2516"/>
    <hyperlink r:id="rId655" ref="E2517"/>
    <hyperlink r:id="rId656" ref="E2518"/>
    <hyperlink r:id="rId657" ref="E2519"/>
    <hyperlink r:id="rId658" ref="E2520"/>
    <hyperlink r:id="rId659" ref="E2521"/>
    <hyperlink r:id="rId660" ref="E2522"/>
    <hyperlink r:id="rId661" ref="E2523"/>
    <hyperlink r:id="rId662" ref="E2524"/>
    <hyperlink r:id="rId663" ref="E2525"/>
    <hyperlink r:id="rId664" ref="E2526"/>
    <hyperlink r:id="rId665" ref="E2527"/>
    <hyperlink r:id="rId666" ref="E2528"/>
    <hyperlink r:id="rId667" ref="E2529"/>
    <hyperlink r:id="rId668" ref="E2530"/>
    <hyperlink r:id="rId669" ref="E2531"/>
    <hyperlink r:id="rId670" ref="E2532"/>
    <hyperlink r:id="rId671" ref="E2533"/>
    <hyperlink r:id="rId672" ref="E2534"/>
    <hyperlink r:id="rId673" ref="E2535"/>
    <hyperlink r:id="rId674" ref="E2536"/>
    <hyperlink r:id="rId675" ref="E2537"/>
    <hyperlink r:id="rId676" ref="E2538"/>
    <hyperlink r:id="rId677" ref="E2539"/>
    <hyperlink r:id="rId678" ref="E2540"/>
    <hyperlink r:id="rId679" ref="E2541"/>
    <hyperlink r:id="rId680" ref="E2542"/>
    <hyperlink r:id="rId681" ref="E2543"/>
    <hyperlink r:id="rId682" ref="E2544"/>
    <hyperlink r:id="rId683" ref="E2545"/>
    <hyperlink r:id="rId684" ref="E2546"/>
    <hyperlink r:id="rId685" ref="E2547"/>
    <hyperlink r:id="rId686" ref="E2548"/>
    <hyperlink r:id="rId687" ref="E2549"/>
    <hyperlink r:id="rId688" ref="E2550"/>
    <hyperlink r:id="rId689" ref="E2551"/>
    <hyperlink r:id="rId690" ref="E2552"/>
    <hyperlink r:id="rId691" ref="E2553"/>
    <hyperlink r:id="rId692" ref="E2554"/>
    <hyperlink r:id="rId693" ref="E2555"/>
    <hyperlink r:id="rId694" ref="E2556"/>
    <hyperlink r:id="rId695" ref="E2557"/>
    <hyperlink r:id="rId696" ref="E2558"/>
    <hyperlink r:id="rId697" ref="E2559"/>
    <hyperlink r:id="rId698" ref="E2560"/>
    <hyperlink r:id="rId699" ref="E2561"/>
    <hyperlink r:id="rId700" ref="E2562"/>
    <hyperlink r:id="rId701" ref="E2563"/>
    <hyperlink r:id="rId702" ref="E2564"/>
    <hyperlink r:id="rId703" ref="E2565"/>
    <hyperlink r:id="rId704" ref="E2566"/>
    <hyperlink r:id="rId705" ref="E2567"/>
    <hyperlink r:id="rId706" ref="E2568"/>
    <hyperlink r:id="rId707" ref="E2569"/>
    <hyperlink r:id="rId708" ref="E2570"/>
    <hyperlink r:id="rId709" ref="E2571"/>
    <hyperlink r:id="rId710" ref="E2572"/>
    <hyperlink r:id="rId711" ref="E2573"/>
    <hyperlink r:id="rId712" ref="E2574"/>
    <hyperlink r:id="rId713" ref="E2575"/>
    <hyperlink r:id="rId714" ref="E2576"/>
    <hyperlink r:id="rId715" ref="E2577"/>
    <hyperlink r:id="rId716" ref="E2578"/>
    <hyperlink r:id="rId717" ref="E2579"/>
    <hyperlink r:id="rId718" ref="E2580"/>
    <hyperlink r:id="rId719" ref="E2581"/>
    <hyperlink r:id="rId720" ref="E2582"/>
    <hyperlink r:id="rId721" ref="E2583"/>
    <hyperlink r:id="rId722" ref="E2584"/>
    <hyperlink r:id="rId723" ref="E2585"/>
    <hyperlink r:id="rId724" ref="E2586"/>
    <hyperlink r:id="rId725" ref="E2587"/>
    <hyperlink r:id="rId726" ref="E2588"/>
    <hyperlink r:id="rId727" ref="E2589"/>
    <hyperlink r:id="rId728" ref="E2590"/>
    <hyperlink r:id="rId729" ref="E2591"/>
    <hyperlink r:id="rId730" ref="E2592"/>
    <hyperlink r:id="rId731" ref="E2593"/>
    <hyperlink r:id="rId732" ref="E2594"/>
    <hyperlink r:id="rId733" ref="E2595"/>
    <hyperlink r:id="rId734" ref="E2596"/>
    <hyperlink r:id="rId735" ref="E2597"/>
    <hyperlink r:id="rId736" ref="E2598"/>
    <hyperlink r:id="rId737" ref="E2599"/>
    <hyperlink r:id="rId738" ref="E2600"/>
    <hyperlink r:id="rId739" ref="E2601"/>
    <hyperlink r:id="rId740" ref="E2602"/>
    <hyperlink r:id="rId741" ref="E2603"/>
    <hyperlink r:id="rId742" ref="E2604"/>
    <hyperlink r:id="rId743" ref="E2605"/>
    <hyperlink r:id="rId744" ref="E2606"/>
    <hyperlink r:id="rId745" ref="E2607"/>
    <hyperlink r:id="rId746" ref="E2608"/>
    <hyperlink r:id="rId747" ref="E2609"/>
    <hyperlink r:id="rId748" ref="E2610"/>
    <hyperlink r:id="rId749" ref="E2611"/>
    <hyperlink r:id="rId750" ref="E2612"/>
    <hyperlink r:id="rId751" ref="E2613"/>
    <hyperlink r:id="rId752" ref="E2614"/>
    <hyperlink r:id="rId753" ref="E2615"/>
    <hyperlink r:id="rId754" ref="E2616"/>
    <hyperlink r:id="rId755" ref="E2617"/>
    <hyperlink r:id="rId756" ref="E2618"/>
    <hyperlink r:id="rId757" ref="E2619"/>
    <hyperlink r:id="rId758" ref="E2620"/>
    <hyperlink r:id="rId759" ref="E2621"/>
    <hyperlink r:id="rId760" ref="E2622"/>
    <hyperlink r:id="rId761" ref="E2623"/>
    <hyperlink r:id="rId762" ref="E2624"/>
    <hyperlink r:id="rId763" ref="E2625"/>
    <hyperlink r:id="rId764" ref="E2626"/>
    <hyperlink r:id="rId765" ref="E2627"/>
    <hyperlink r:id="rId766" ref="E2628"/>
    <hyperlink r:id="rId767" ref="E2629"/>
    <hyperlink r:id="rId768" ref="E2630"/>
    <hyperlink r:id="rId769" ref="E2631"/>
    <hyperlink r:id="rId770" ref="E2632"/>
    <hyperlink r:id="rId771" ref="E2633"/>
    <hyperlink r:id="rId772" ref="E2634"/>
    <hyperlink r:id="rId773" ref="E2635"/>
    <hyperlink r:id="rId774" ref="E2636"/>
    <hyperlink r:id="rId775" ref="E2637"/>
    <hyperlink r:id="rId776" ref="E2638"/>
    <hyperlink r:id="rId777" ref="E2639"/>
    <hyperlink r:id="rId778" ref="E2640"/>
    <hyperlink r:id="rId779" ref="E2641"/>
    <hyperlink r:id="rId780" ref="E2642"/>
    <hyperlink r:id="rId781" ref="E2643"/>
    <hyperlink r:id="rId782" ref="E2644"/>
    <hyperlink r:id="rId783" ref="E2645"/>
    <hyperlink r:id="rId784" ref="E2646"/>
    <hyperlink r:id="rId785" ref="E2647"/>
    <hyperlink r:id="rId786" ref="E2648"/>
    <hyperlink r:id="rId787" ref="E2649"/>
    <hyperlink r:id="rId788" ref="E2650"/>
    <hyperlink r:id="rId789" ref="E2651"/>
    <hyperlink r:id="rId790" ref="E2652"/>
    <hyperlink r:id="rId791" ref="E2653"/>
    <hyperlink r:id="rId792" ref="E2654"/>
    <hyperlink r:id="rId793" ref="E2655"/>
    <hyperlink r:id="rId794" ref="E2656"/>
    <hyperlink r:id="rId795" ref="E2657"/>
    <hyperlink r:id="rId796" ref="E2658"/>
    <hyperlink r:id="rId797" ref="E2659"/>
    <hyperlink r:id="rId798" ref="E2660"/>
    <hyperlink r:id="rId799" ref="E2661"/>
    <hyperlink r:id="rId800" ref="E2662"/>
    <hyperlink r:id="rId801" ref="E2663"/>
    <hyperlink r:id="rId802" ref="E2664"/>
    <hyperlink r:id="rId803" ref="E2665"/>
    <hyperlink r:id="rId804" ref="E2666"/>
    <hyperlink r:id="rId805" ref="E2667"/>
    <hyperlink r:id="rId806" ref="E2668"/>
    <hyperlink r:id="rId807" ref="E2669"/>
    <hyperlink r:id="rId808" ref="E2670"/>
    <hyperlink r:id="rId809" ref="E2671"/>
    <hyperlink r:id="rId810" ref="E2672"/>
    <hyperlink r:id="rId811" ref="E2673"/>
    <hyperlink r:id="rId812" ref="E2674"/>
    <hyperlink r:id="rId813" ref="E2675"/>
    <hyperlink r:id="rId814" ref="E2676"/>
    <hyperlink r:id="rId815" ref="E2677"/>
    <hyperlink r:id="rId816" ref="E2678"/>
    <hyperlink r:id="rId817" ref="E2679"/>
    <hyperlink r:id="rId818" ref="E2680"/>
    <hyperlink r:id="rId819" ref="E2681"/>
    <hyperlink r:id="rId820" ref="E2682"/>
    <hyperlink r:id="rId821" ref="E2683"/>
    <hyperlink r:id="rId822" ref="E2684"/>
    <hyperlink r:id="rId823" ref="E2685"/>
    <hyperlink r:id="rId824" ref="E2686"/>
    <hyperlink r:id="rId825" ref="E2687"/>
    <hyperlink r:id="rId826" ref="E2688"/>
    <hyperlink r:id="rId827" ref="E2689"/>
    <hyperlink r:id="rId828" ref="E2690"/>
    <hyperlink r:id="rId829" ref="E2691"/>
    <hyperlink r:id="rId830" ref="E2692"/>
    <hyperlink r:id="rId831" ref="E2693"/>
    <hyperlink r:id="rId832" ref="E2694"/>
    <hyperlink r:id="rId833" ref="E2695"/>
    <hyperlink r:id="rId834" ref="E2696"/>
    <hyperlink r:id="rId835" ref="E2697"/>
    <hyperlink r:id="rId836" ref="E2698"/>
    <hyperlink r:id="rId837" ref="E2699"/>
    <hyperlink r:id="rId838" ref="E2700"/>
    <hyperlink r:id="rId839" ref="E2701"/>
    <hyperlink r:id="rId840" ref="E2702"/>
    <hyperlink r:id="rId841" ref="E2703"/>
    <hyperlink r:id="rId842" ref="E2704"/>
    <hyperlink r:id="rId843" ref="E2705"/>
    <hyperlink r:id="rId844" ref="E2706"/>
    <hyperlink r:id="rId845" ref="E2707"/>
    <hyperlink r:id="rId846" ref="E2708"/>
    <hyperlink r:id="rId847" ref="E2709"/>
    <hyperlink r:id="rId848" ref="E2710"/>
    <hyperlink r:id="rId849" ref="E2711"/>
    <hyperlink r:id="rId850" ref="E2712"/>
    <hyperlink r:id="rId851" ref="E2713"/>
    <hyperlink r:id="rId852" ref="E2714"/>
    <hyperlink r:id="rId853" ref="E2715"/>
    <hyperlink r:id="rId854" ref="E2716"/>
    <hyperlink r:id="rId855" ref="E2717"/>
    <hyperlink r:id="rId856" ref="E2718"/>
    <hyperlink r:id="rId857" ref="E2719"/>
    <hyperlink r:id="rId858" ref="E2720"/>
    <hyperlink r:id="rId859" ref="E2721"/>
    <hyperlink r:id="rId860" ref="E2722"/>
    <hyperlink r:id="rId861" ref="E2723"/>
    <hyperlink r:id="rId862" ref="E2724"/>
    <hyperlink r:id="rId863" ref="E2725"/>
    <hyperlink r:id="rId864" ref="E2726"/>
    <hyperlink r:id="rId865" ref="E2727"/>
    <hyperlink r:id="rId866" ref="E2728"/>
    <hyperlink r:id="rId867" ref="E2729"/>
    <hyperlink r:id="rId868" ref="E2730"/>
    <hyperlink r:id="rId869" ref="E2731"/>
    <hyperlink r:id="rId870" ref="E2732"/>
    <hyperlink r:id="rId871" ref="E2733"/>
    <hyperlink r:id="rId872" ref="E2734"/>
    <hyperlink r:id="rId873" ref="E2735"/>
    <hyperlink r:id="rId874" ref="E2736"/>
    <hyperlink r:id="rId875" ref="E2737"/>
    <hyperlink r:id="rId876" ref="E2738"/>
    <hyperlink r:id="rId877" ref="E2739"/>
    <hyperlink r:id="rId878" ref="E2740"/>
    <hyperlink r:id="rId879" ref="E2741"/>
    <hyperlink r:id="rId880" ref="E2742"/>
    <hyperlink r:id="rId881" ref="E2743"/>
    <hyperlink r:id="rId882" ref="E2744"/>
    <hyperlink r:id="rId883" ref="E2745"/>
    <hyperlink r:id="rId884" ref="E2746"/>
    <hyperlink r:id="rId885" ref="E2747"/>
    <hyperlink r:id="rId886" ref="E2748"/>
    <hyperlink r:id="rId887" ref="E2749"/>
    <hyperlink r:id="rId888" ref="E2750"/>
    <hyperlink r:id="rId889" ref="E2751"/>
    <hyperlink r:id="rId890" ref="E2752"/>
    <hyperlink r:id="rId891" ref="E2753"/>
  </hyperlinks>
  <drawing r:id="rId892"/>
  <legacyDrawing r:id="rId89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0"/>
    <col customWidth="1" min="2" max="2" width="10.57"/>
    <col customWidth="1" min="3" max="3" width="16.29"/>
    <col customWidth="1" min="4" max="4" width="39.86"/>
    <col customWidth="1" min="5" max="5" width="16.43"/>
    <col customWidth="1" min="6" max="6" width="6.29"/>
    <col customWidth="1" min="7" max="7" width="6.86"/>
    <col customWidth="1" min="8" max="8" width="14.57"/>
    <col customWidth="1" min="9" max="9" width="52.57"/>
    <col customWidth="1" min="10" max="11" width="28.43"/>
    <col customWidth="1" min="12" max="12" width="29.14"/>
    <col customWidth="1" min="13" max="13" width="23.0"/>
    <col customWidth="1" min="14" max="24" width="14.43"/>
  </cols>
  <sheetData>
    <row r="1" ht="31.5" customHeight="1">
      <c r="A1" s="3" t="s">
        <v>0</v>
      </c>
      <c r="B1" s="3" t="s">
        <v>1</v>
      </c>
      <c r="C1" s="3" t="s">
        <v>28252</v>
      </c>
      <c r="D1" s="3" t="s">
        <v>28253</v>
      </c>
      <c r="E1" s="3" t="s">
        <v>4</v>
      </c>
      <c r="F1" s="3" t="s">
        <v>28254</v>
      </c>
      <c r="G1" s="3" t="s">
        <v>28255</v>
      </c>
      <c r="H1" s="3" t="s">
        <v>28267</v>
      </c>
      <c r="I1" s="168" t="s">
        <v>8</v>
      </c>
      <c r="J1" s="169" t="s">
        <v>28269</v>
      </c>
      <c r="K1" s="135" t="s">
        <v>34638</v>
      </c>
      <c r="L1" s="170" t="s">
        <v>28277</v>
      </c>
      <c r="M1" s="171" t="s">
        <v>28283</v>
      </c>
      <c r="N1" s="13" t="s">
        <v>34639</v>
      </c>
      <c r="O1" s="13"/>
      <c r="P1" s="13"/>
      <c r="Q1" s="13"/>
      <c r="R1" s="13"/>
      <c r="S1" s="13"/>
      <c r="T1" s="13"/>
      <c r="U1" s="13"/>
      <c r="V1" s="13"/>
      <c r="W1" s="13"/>
      <c r="X1" s="13"/>
    </row>
    <row r="2" ht="15.75" customHeight="1">
      <c r="A2" s="14" t="s">
        <v>17</v>
      </c>
      <c r="B2" s="14">
        <v>1990.0</v>
      </c>
      <c r="C2" s="14" t="s">
        <v>18</v>
      </c>
      <c r="D2" s="16" t="s">
        <v>19</v>
      </c>
      <c r="E2" s="172" t="s">
        <v>20</v>
      </c>
      <c r="F2" s="14">
        <v>457.0</v>
      </c>
      <c r="G2" s="14">
        <v>457.0</v>
      </c>
      <c r="H2" s="14" t="s">
        <v>21</v>
      </c>
      <c r="I2" s="14"/>
      <c r="J2" s="130" t="s">
        <v>22</v>
      </c>
      <c r="K2" s="152" t="s">
        <v>23</v>
      </c>
      <c r="L2" s="20"/>
      <c r="M2" s="54"/>
      <c r="N2" s="152" t="s">
        <v>23</v>
      </c>
      <c r="O2" s="25"/>
      <c r="P2" s="25"/>
      <c r="Q2" s="25"/>
      <c r="R2" s="25"/>
      <c r="S2" s="25"/>
      <c r="T2" s="25"/>
      <c r="U2" s="25"/>
      <c r="V2" s="25"/>
      <c r="W2" s="25"/>
      <c r="X2" s="25"/>
    </row>
    <row r="3" ht="15.75" customHeight="1">
      <c r="A3" s="14" t="s">
        <v>17</v>
      </c>
      <c r="B3" s="14">
        <v>1990.0</v>
      </c>
      <c r="C3" s="14" t="s">
        <v>24</v>
      </c>
      <c r="D3" s="14" t="s">
        <v>25</v>
      </c>
      <c r="E3" s="150" t="s">
        <v>26</v>
      </c>
      <c r="F3" s="14">
        <v>6.0</v>
      </c>
      <c r="G3" s="14" t="s">
        <v>27</v>
      </c>
      <c r="H3" s="14" t="s">
        <v>28</v>
      </c>
      <c r="I3" s="14"/>
      <c r="J3" s="130" t="s">
        <v>29</v>
      </c>
      <c r="K3" s="152" t="s">
        <v>30</v>
      </c>
      <c r="L3" s="20"/>
      <c r="M3" s="16"/>
      <c r="N3" s="130" t="s">
        <v>34645</v>
      </c>
      <c r="O3" s="30"/>
      <c r="P3" s="30"/>
      <c r="Q3" s="30"/>
      <c r="R3" s="30"/>
      <c r="S3" s="30"/>
      <c r="T3" s="30"/>
      <c r="U3" s="30"/>
      <c r="V3" s="30"/>
      <c r="W3" s="30"/>
      <c r="X3" s="30"/>
    </row>
    <row r="4" ht="15.75" customHeight="1">
      <c r="A4" s="14" t="s">
        <v>17</v>
      </c>
      <c r="B4" s="14">
        <v>1990.0</v>
      </c>
      <c r="C4" s="14" t="s">
        <v>31</v>
      </c>
      <c r="D4" s="14" t="s">
        <v>32</v>
      </c>
      <c r="E4" s="150" t="s">
        <v>33</v>
      </c>
      <c r="F4" s="14">
        <v>14.0</v>
      </c>
      <c r="G4" s="14" t="s">
        <v>34</v>
      </c>
      <c r="H4" s="14" t="s">
        <v>28</v>
      </c>
      <c r="I4" s="14"/>
      <c r="J4" s="130" t="s">
        <v>35</v>
      </c>
      <c r="K4" s="152" t="s">
        <v>36</v>
      </c>
      <c r="L4" s="20"/>
      <c r="M4" s="16"/>
      <c r="N4" s="130" t="s">
        <v>34648</v>
      </c>
      <c r="O4" s="30"/>
      <c r="P4" s="30"/>
      <c r="Q4" s="30"/>
      <c r="R4" s="30"/>
      <c r="S4" s="30"/>
      <c r="T4" s="30"/>
      <c r="U4" s="30"/>
      <c r="V4" s="30"/>
      <c r="W4" s="30"/>
      <c r="X4" s="30"/>
    </row>
    <row r="5" ht="15.75" customHeight="1">
      <c r="A5" s="14" t="s">
        <v>17</v>
      </c>
      <c r="B5" s="14">
        <v>1990.0</v>
      </c>
      <c r="C5" s="14" t="s">
        <v>37</v>
      </c>
      <c r="D5" s="14" t="s">
        <v>38</v>
      </c>
      <c r="E5" s="150" t="s">
        <v>39</v>
      </c>
      <c r="F5" s="14">
        <v>28.0</v>
      </c>
      <c r="G5" s="14" t="s">
        <v>40</v>
      </c>
      <c r="H5" s="14" t="s">
        <v>28</v>
      </c>
      <c r="I5" s="14"/>
      <c r="J5" s="130" t="s">
        <v>41</v>
      </c>
      <c r="K5" s="152" t="s">
        <v>42</v>
      </c>
      <c r="L5" s="20"/>
      <c r="M5" s="16"/>
      <c r="N5" s="130" t="s">
        <v>34650</v>
      </c>
      <c r="O5" s="30"/>
      <c r="P5" s="30"/>
      <c r="Q5" s="30"/>
      <c r="R5" s="30"/>
      <c r="S5" s="30"/>
      <c r="T5" s="30"/>
      <c r="U5" s="30"/>
      <c r="V5" s="30"/>
      <c r="W5" s="30"/>
      <c r="X5" s="30"/>
    </row>
    <row r="6" ht="15.75" customHeight="1">
      <c r="A6" s="14" t="s">
        <v>17</v>
      </c>
      <c r="B6" s="14">
        <v>1990.0</v>
      </c>
      <c r="C6" s="14" t="s">
        <v>43</v>
      </c>
      <c r="D6" s="14" t="s">
        <v>44</v>
      </c>
      <c r="E6" s="150" t="s">
        <v>45</v>
      </c>
      <c r="F6" s="14">
        <v>36.0</v>
      </c>
      <c r="G6" s="14" t="s">
        <v>46</v>
      </c>
      <c r="H6" s="14" t="s">
        <v>28</v>
      </c>
      <c r="I6" s="14"/>
      <c r="J6" s="130" t="s">
        <v>47</v>
      </c>
      <c r="K6" s="152" t="s">
        <v>48</v>
      </c>
      <c r="L6" s="20"/>
      <c r="M6" s="16"/>
      <c r="N6" s="152" t="s">
        <v>48</v>
      </c>
      <c r="O6" s="30"/>
      <c r="P6" s="30"/>
      <c r="Q6" s="30"/>
      <c r="R6" s="30"/>
      <c r="S6" s="30"/>
      <c r="T6" s="30"/>
      <c r="U6" s="30"/>
      <c r="V6" s="30"/>
      <c r="W6" s="30"/>
      <c r="X6" s="30"/>
    </row>
    <row r="7" ht="15.75" customHeight="1">
      <c r="A7" s="14" t="s">
        <v>17</v>
      </c>
      <c r="B7" s="14">
        <v>1990.0</v>
      </c>
      <c r="C7" s="14" t="s">
        <v>49</v>
      </c>
      <c r="D7" s="14" t="s">
        <v>50</v>
      </c>
      <c r="E7" s="150" t="s">
        <v>51</v>
      </c>
      <c r="F7" s="14">
        <v>45.0</v>
      </c>
      <c r="G7" s="14" t="s">
        <v>52</v>
      </c>
      <c r="H7" s="14" t="s">
        <v>28</v>
      </c>
      <c r="I7" s="14"/>
      <c r="J7" s="130" t="s">
        <v>53</v>
      </c>
      <c r="K7" s="152" t="s">
        <v>54</v>
      </c>
      <c r="L7" s="20" t="s">
        <v>55</v>
      </c>
      <c r="M7" s="16"/>
      <c r="N7" s="130" t="s">
        <v>34662</v>
      </c>
      <c r="O7" s="30"/>
      <c r="P7" s="30"/>
      <c r="Q7" s="30"/>
      <c r="R7" s="30"/>
      <c r="S7" s="30"/>
      <c r="T7" s="30"/>
      <c r="U7" s="30"/>
      <c r="V7" s="30"/>
      <c r="W7" s="30"/>
      <c r="X7" s="30"/>
    </row>
    <row r="8" ht="15.75" customHeight="1">
      <c r="A8" s="14" t="s">
        <v>17</v>
      </c>
      <c r="B8" s="14">
        <v>1990.0</v>
      </c>
      <c r="C8" s="14" t="s">
        <v>56</v>
      </c>
      <c r="D8" s="14" t="s">
        <v>57</v>
      </c>
      <c r="E8" s="150" t="s">
        <v>58</v>
      </c>
      <c r="F8" s="14">
        <v>51.0</v>
      </c>
      <c r="G8" s="14" t="s">
        <v>59</v>
      </c>
      <c r="H8" s="14" t="s">
        <v>28</v>
      </c>
      <c r="I8" s="14"/>
      <c r="J8" s="130" t="s">
        <v>60</v>
      </c>
      <c r="K8" s="152" t="s">
        <v>61</v>
      </c>
      <c r="L8" s="20"/>
      <c r="M8" s="16"/>
      <c r="N8" s="130" t="s">
        <v>34669</v>
      </c>
      <c r="O8" s="30"/>
      <c r="P8" s="30"/>
      <c r="Q8" s="30"/>
      <c r="R8" s="30"/>
      <c r="S8" s="30"/>
      <c r="T8" s="30"/>
      <c r="U8" s="30"/>
      <c r="V8" s="30"/>
      <c r="W8" s="30"/>
      <c r="X8" s="30"/>
    </row>
    <row r="9" ht="15.75" customHeight="1">
      <c r="A9" s="14" t="s">
        <v>17</v>
      </c>
      <c r="B9" s="14">
        <v>1990.0</v>
      </c>
      <c r="C9" s="14" t="s">
        <v>62</v>
      </c>
      <c r="D9" s="14" t="s">
        <v>63</v>
      </c>
      <c r="E9" s="150" t="s">
        <v>64</v>
      </c>
      <c r="F9" s="14">
        <v>59.0</v>
      </c>
      <c r="G9" s="14">
        <v>66.0</v>
      </c>
      <c r="H9" s="14" t="s">
        <v>28</v>
      </c>
      <c r="I9" s="14"/>
      <c r="J9" s="130" t="s">
        <v>65</v>
      </c>
      <c r="K9" s="152" t="s">
        <v>66</v>
      </c>
      <c r="L9" s="20"/>
      <c r="M9" s="16"/>
      <c r="N9" s="130" t="s">
        <v>34682</v>
      </c>
      <c r="O9" s="30"/>
      <c r="P9" s="30"/>
      <c r="Q9" s="30"/>
      <c r="R9" s="30"/>
      <c r="S9" s="30"/>
      <c r="T9" s="30"/>
      <c r="U9" s="30"/>
      <c r="V9" s="30"/>
      <c r="W9" s="30"/>
      <c r="X9" s="30"/>
    </row>
    <row r="10" ht="15.75" customHeight="1">
      <c r="A10" s="14" t="s">
        <v>17</v>
      </c>
      <c r="B10" s="14">
        <v>1990.0</v>
      </c>
      <c r="C10" s="14" t="s">
        <v>67</v>
      </c>
      <c r="D10" s="14" t="s">
        <v>68</v>
      </c>
      <c r="E10" s="150" t="s">
        <v>69</v>
      </c>
      <c r="F10" s="14">
        <v>67.0</v>
      </c>
      <c r="G10" s="14">
        <v>73.0</v>
      </c>
      <c r="H10" s="14" t="s">
        <v>28</v>
      </c>
      <c r="I10" s="14"/>
      <c r="J10" s="130" t="s">
        <v>70</v>
      </c>
      <c r="K10" s="152" t="s">
        <v>71</v>
      </c>
      <c r="L10" s="20"/>
      <c r="M10" s="16"/>
      <c r="N10" s="130" t="s">
        <v>34692</v>
      </c>
      <c r="O10" s="30"/>
      <c r="P10" s="30"/>
      <c r="Q10" s="30"/>
      <c r="R10" s="30"/>
      <c r="S10" s="30"/>
      <c r="T10" s="30"/>
      <c r="U10" s="30"/>
      <c r="V10" s="30"/>
      <c r="W10" s="30"/>
      <c r="X10" s="30"/>
    </row>
    <row r="11" ht="15.75" customHeight="1">
      <c r="A11" s="14" t="s">
        <v>17</v>
      </c>
      <c r="B11" s="14">
        <v>1990.0</v>
      </c>
      <c r="C11" s="14" t="s">
        <v>72</v>
      </c>
      <c r="D11" s="14" t="s">
        <v>73</v>
      </c>
      <c r="E11" s="150" t="s">
        <v>74</v>
      </c>
      <c r="F11" s="14">
        <v>74.0</v>
      </c>
      <c r="G11" s="14" t="s">
        <v>75</v>
      </c>
      <c r="H11" s="14" t="s">
        <v>28</v>
      </c>
      <c r="I11" s="14"/>
      <c r="J11" s="130" t="s">
        <v>76</v>
      </c>
      <c r="K11" s="152" t="s">
        <v>77</v>
      </c>
      <c r="L11" s="20"/>
      <c r="M11" s="16"/>
      <c r="N11" s="130" t="s">
        <v>34701</v>
      </c>
      <c r="O11" s="30"/>
      <c r="P11" s="30"/>
      <c r="Q11" s="30"/>
      <c r="R11" s="30"/>
      <c r="S11" s="30"/>
      <c r="T11" s="30"/>
      <c r="U11" s="30"/>
      <c r="V11" s="30"/>
      <c r="W11" s="30"/>
      <c r="X11" s="30"/>
    </row>
    <row r="12" ht="15.75" customHeight="1">
      <c r="A12" s="14" t="s">
        <v>17</v>
      </c>
      <c r="B12" s="14">
        <v>1990.0</v>
      </c>
      <c r="C12" s="14" t="s">
        <v>78</v>
      </c>
      <c r="D12" s="14" t="s">
        <v>79</v>
      </c>
      <c r="E12" s="150" t="s">
        <v>80</v>
      </c>
      <c r="F12" s="14">
        <v>83.0</v>
      </c>
      <c r="G12" s="14" t="s">
        <v>81</v>
      </c>
      <c r="H12" s="14" t="s">
        <v>28</v>
      </c>
      <c r="I12" s="14"/>
      <c r="J12" s="130" t="s">
        <v>82</v>
      </c>
      <c r="K12" s="152" t="s">
        <v>83</v>
      </c>
      <c r="L12" s="20"/>
      <c r="M12" s="16"/>
      <c r="N12" s="130" t="s">
        <v>34712</v>
      </c>
      <c r="O12" s="30"/>
      <c r="P12" s="30"/>
      <c r="Q12" s="30"/>
      <c r="R12" s="30"/>
      <c r="S12" s="30"/>
      <c r="T12" s="30"/>
      <c r="U12" s="30"/>
      <c r="V12" s="30"/>
      <c r="W12" s="30"/>
      <c r="X12" s="30"/>
    </row>
    <row r="13" ht="15.75" customHeight="1">
      <c r="A13" s="14" t="s">
        <v>17</v>
      </c>
      <c r="B13" s="14">
        <v>1990.0</v>
      </c>
      <c r="C13" s="14" t="s">
        <v>84</v>
      </c>
      <c r="D13" s="14" t="s">
        <v>85</v>
      </c>
      <c r="E13" s="150" t="s">
        <v>86</v>
      </c>
      <c r="F13" s="14">
        <v>93.0</v>
      </c>
      <c r="G13" s="14" t="s">
        <v>87</v>
      </c>
      <c r="H13" s="14" t="s">
        <v>28</v>
      </c>
      <c r="I13" s="14"/>
      <c r="J13" s="130" t="s">
        <v>88</v>
      </c>
      <c r="K13" s="152" t="s">
        <v>89</v>
      </c>
      <c r="L13" s="20"/>
      <c r="M13" s="16"/>
      <c r="N13" s="130" t="s">
        <v>34723</v>
      </c>
      <c r="O13" s="30"/>
      <c r="P13" s="30"/>
      <c r="Q13" s="30"/>
      <c r="R13" s="30"/>
      <c r="S13" s="30"/>
      <c r="T13" s="30"/>
      <c r="U13" s="30"/>
      <c r="V13" s="30"/>
      <c r="W13" s="30"/>
      <c r="X13" s="30"/>
    </row>
    <row r="14" ht="15.75" customHeight="1">
      <c r="A14" s="14" t="s">
        <v>17</v>
      </c>
      <c r="B14" s="14">
        <v>1990.0</v>
      </c>
      <c r="C14" s="42" t="s">
        <v>90</v>
      </c>
      <c r="D14" s="14" t="s">
        <v>91</v>
      </c>
      <c r="E14" s="150" t="s">
        <v>92</v>
      </c>
      <c r="F14" s="14">
        <v>97.0</v>
      </c>
      <c r="G14" s="14" t="s">
        <v>93</v>
      </c>
      <c r="H14" s="14" t="s">
        <v>28</v>
      </c>
      <c r="I14" s="14"/>
      <c r="J14" s="130" t="s">
        <v>94</v>
      </c>
      <c r="K14" s="152" t="s">
        <v>95</v>
      </c>
      <c r="L14" s="20"/>
      <c r="M14" s="16"/>
      <c r="N14" s="130" t="s">
        <v>34730</v>
      </c>
      <c r="O14" s="30"/>
      <c r="P14" s="30"/>
      <c r="Q14" s="30"/>
      <c r="R14" s="30"/>
      <c r="S14" s="30"/>
      <c r="T14" s="30"/>
      <c r="U14" s="30"/>
      <c r="V14" s="30"/>
      <c r="W14" s="30"/>
      <c r="X14" s="30"/>
    </row>
    <row r="15" ht="15.75" customHeight="1">
      <c r="A15" s="14" t="s">
        <v>17</v>
      </c>
      <c r="B15" s="14">
        <v>1990.0</v>
      </c>
      <c r="C15" s="14" t="s">
        <v>96</v>
      </c>
      <c r="D15" s="14" t="s">
        <v>97</v>
      </c>
      <c r="E15" s="150" t="s">
        <v>98</v>
      </c>
      <c r="F15" s="14">
        <v>107.0</v>
      </c>
      <c r="G15" s="14">
        <v>113.0</v>
      </c>
      <c r="H15" s="14" t="s">
        <v>28</v>
      </c>
      <c r="I15" s="14"/>
      <c r="J15" s="130" t="s">
        <v>143</v>
      </c>
      <c r="K15" s="152" t="s">
        <v>144</v>
      </c>
      <c r="L15" s="20"/>
      <c r="M15" s="16"/>
      <c r="N15" s="130" t="s">
        <v>34735</v>
      </c>
      <c r="O15" s="30"/>
      <c r="P15" s="30"/>
      <c r="Q15" s="30"/>
      <c r="R15" s="30"/>
      <c r="S15" s="30"/>
      <c r="T15" s="30"/>
      <c r="U15" s="30"/>
      <c r="V15" s="30"/>
      <c r="W15" s="30"/>
      <c r="X15" s="30"/>
    </row>
    <row r="16" ht="15.75" customHeight="1">
      <c r="A16" s="14" t="s">
        <v>17</v>
      </c>
      <c r="B16" s="14">
        <v>1990.0</v>
      </c>
      <c r="C16" s="14" t="s">
        <v>145</v>
      </c>
      <c r="D16" s="14" t="s">
        <v>146</v>
      </c>
      <c r="E16" s="150" t="s">
        <v>147</v>
      </c>
      <c r="F16" s="14">
        <v>114.0</v>
      </c>
      <c r="G16" s="14">
        <v>123.0</v>
      </c>
      <c r="H16" s="14" t="s">
        <v>28</v>
      </c>
      <c r="I16" s="14"/>
      <c r="J16" s="130" t="s">
        <v>148</v>
      </c>
      <c r="K16" s="152" t="s">
        <v>149</v>
      </c>
      <c r="L16" s="20"/>
      <c r="M16" s="16"/>
      <c r="N16" s="152" t="s">
        <v>149</v>
      </c>
      <c r="O16" s="30"/>
      <c r="P16" s="30"/>
      <c r="Q16" s="30"/>
      <c r="R16" s="30"/>
      <c r="S16" s="30"/>
      <c r="T16" s="30"/>
      <c r="U16" s="30"/>
      <c r="V16" s="30"/>
      <c r="W16" s="30"/>
      <c r="X16" s="30"/>
    </row>
    <row r="17" ht="15.75" customHeight="1">
      <c r="A17" s="14" t="s">
        <v>17</v>
      </c>
      <c r="B17" s="14">
        <v>1990.0</v>
      </c>
      <c r="C17" s="14" t="s">
        <v>150</v>
      </c>
      <c r="D17" s="14" t="s">
        <v>151</v>
      </c>
      <c r="E17" s="150" t="s">
        <v>152</v>
      </c>
      <c r="F17" s="14">
        <v>124.0</v>
      </c>
      <c r="G17" s="14" t="s">
        <v>153</v>
      </c>
      <c r="H17" s="14" t="s">
        <v>28</v>
      </c>
      <c r="I17" s="14"/>
      <c r="J17" s="130" t="s">
        <v>154</v>
      </c>
      <c r="K17" s="152" t="s">
        <v>155</v>
      </c>
      <c r="L17" s="20"/>
      <c r="M17" s="16"/>
      <c r="N17" s="152" t="s">
        <v>155</v>
      </c>
      <c r="O17" s="30"/>
      <c r="P17" s="30"/>
      <c r="Q17" s="30"/>
      <c r="R17" s="30"/>
      <c r="S17" s="30"/>
      <c r="T17" s="30"/>
      <c r="U17" s="30"/>
      <c r="V17" s="30"/>
      <c r="W17" s="30"/>
      <c r="X17" s="30"/>
    </row>
    <row r="18" ht="15.75" customHeight="1">
      <c r="A18" s="14" t="s">
        <v>17</v>
      </c>
      <c r="B18" s="14">
        <v>1990.0</v>
      </c>
      <c r="C18" s="14" t="s">
        <v>156</v>
      </c>
      <c r="D18" s="14" t="s">
        <v>157</v>
      </c>
      <c r="E18" s="150" t="s">
        <v>158</v>
      </c>
      <c r="F18" s="14">
        <v>131.0</v>
      </c>
      <c r="G18" s="14">
        <v>138.0</v>
      </c>
      <c r="H18" s="14" t="s">
        <v>28</v>
      </c>
      <c r="I18" s="14"/>
      <c r="J18" s="130" t="s">
        <v>159</v>
      </c>
      <c r="K18" s="152" t="s">
        <v>160</v>
      </c>
      <c r="L18" s="20"/>
      <c r="M18" s="16"/>
      <c r="N18" s="152" t="s">
        <v>160</v>
      </c>
      <c r="O18" s="30"/>
      <c r="P18" s="30"/>
      <c r="Q18" s="30"/>
      <c r="R18" s="30"/>
      <c r="S18" s="30"/>
      <c r="T18" s="30"/>
      <c r="U18" s="30"/>
      <c r="V18" s="30"/>
      <c r="W18" s="30"/>
      <c r="X18" s="30"/>
    </row>
    <row r="19" ht="15.75" customHeight="1">
      <c r="A19" s="14" t="s">
        <v>17</v>
      </c>
      <c r="B19" s="14">
        <v>1990.0</v>
      </c>
      <c r="C19" s="14" t="s">
        <v>161</v>
      </c>
      <c r="D19" s="14" t="s">
        <v>162</v>
      </c>
      <c r="E19" s="150" t="s">
        <v>163</v>
      </c>
      <c r="F19" s="14">
        <v>139.0</v>
      </c>
      <c r="G19" s="14" t="s">
        <v>164</v>
      </c>
      <c r="H19" s="14" t="s">
        <v>28</v>
      </c>
      <c r="I19" s="14"/>
      <c r="J19" s="130" t="s">
        <v>165</v>
      </c>
      <c r="K19" s="152" t="s">
        <v>166</v>
      </c>
      <c r="L19" s="20"/>
      <c r="M19" s="16"/>
      <c r="N19" s="130" t="s">
        <v>34768</v>
      </c>
      <c r="O19" s="30"/>
      <c r="P19" s="30"/>
      <c r="Q19" s="30"/>
      <c r="R19" s="30"/>
      <c r="S19" s="30"/>
      <c r="T19" s="30"/>
      <c r="U19" s="30"/>
      <c r="V19" s="30"/>
      <c r="W19" s="30"/>
      <c r="X19" s="30"/>
    </row>
    <row r="20" ht="15.75" customHeight="1">
      <c r="A20" s="14" t="s">
        <v>17</v>
      </c>
      <c r="B20" s="14">
        <v>1990.0</v>
      </c>
      <c r="C20" s="14" t="s">
        <v>167</v>
      </c>
      <c r="D20" s="14" t="s">
        <v>168</v>
      </c>
      <c r="E20" s="150" t="s">
        <v>169</v>
      </c>
      <c r="F20" s="14">
        <v>144.0</v>
      </c>
      <c r="G20" s="14" t="s">
        <v>170</v>
      </c>
      <c r="H20" s="14" t="s">
        <v>28</v>
      </c>
      <c r="I20" s="14"/>
      <c r="J20" s="130" t="s">
        <v>171</v>
      </c>
      <c r="K20" s="152" t="s">
        <v>172</v>
      </c>
      <c r="L20" s="20"/>
      <c r="M20" s="16"/>
      <c r="N20" s="130" t="s">
        <v>5060</v>
      </c>
      <c r="O20" s="30"/>
      <c r="P20" s="30"/>
      <c r="Q20" s="30"/>
      <c r="R20" s="30"/>
      <c r="S20" s="30"/>
      <c r="T20" s="30"/>
      <c r="U20" s="30"/>
      <c r="V20" s="30"/>
      <c r="W20" s="30"/>
      <c r="X20" s="30"/>
    </row>
    <row r="21" ht="15.75" customHeight="1">
      <c r="A21" s="14" t="s">
        <v>17</v>
      </c>
      <c r="B21" s="14">
        <v>1990.0</v>
      </c>
      <c r="C21" s="14" t="s">
        <v>173</v>
      </c>
      <c r="D21" s="14" t="s">
        <v>174</v>
      </c>
      <c r="E21" s="150" t="s">
        <v>175</v>
      </c>
      <c r="F21" s="14">
        <v>150.0</v>
      </c>
      <c r="G21" s="14" t="s">
        <v>176</v>
      </c>
      <c r="H21" s="14" t="s">
        <v>28</v>
      </c>
      <c r="I21" s="14"/>
      <c r="J21" s="130" t="s">
        <v>177</v>
      </c>
      <c r="K21" s="152" t="s">
        <v>178</v>
      </c>
      <c r="L21" s="20"/>
      <c r="M21" s="16"/>
      <c r="N21" s="130" t="s">
        <v>34785</v>
      </c>
      <c r="O21" s="30"/>
      <c r="P21" s="30"/>
      <c r="Q21" s="30"/>
      <c r="R21" s="30"/>
      <c r="S21" s="30"/>
      <c r="T21" s="30"/>
      <c r="U21" s="30"/>
      <c r="V21" s="30"/>
      <c r="W21" s="30"/>
      <c r="X21" s="30"/>
    </row>
    <row r="22" ht="15.75" customHeight="1">
      <c r="A22" s="14" t="s">
        <v>17</v>
      </c>
      <c r="B22" s="14">
        <v>1990.0</v>
      </c>
      <c r="C22" s="14" t="s">
        <v>179</v>
      </c>
      <c r="D22" s="14" t="s">
        <v>180</v>
      </c>
      <c r="E22" s="150" t="s">
        <v>181</v>
      </c>
      <c r="F22" s="14">
        <v>160.0</v>
      </c>
      <c r="G22" s="14" t="s">
        <v>182</v>
      </c>
      <c r="H22" s="14" t="s">
        <v>28</v>
      </c>
      <c r="I22" s="14"/>
      <c r="J22" s="130" t="s">
        <v>183</v>
      </c>
      <c r="K22" s="152" t="s">
        <v>184</v>
      </c>
      <c r="L22" s="20"/>
      <c r="M22" s="16"/>
      <c r="N22" s="152" t="s">
        <v>184</v>
      </c>
      <c r="O22" s="30"/>
      <c r="P22" s="30"/>
      <c r="Q22" s="30"/>
      <c r="R22" s="30"/>
      <c r="S22" s="30"/>
      <c r="T22" s="30"/>
      <c r="U22" s="30"/>
      <c r="V22" s="30"/>
      <c r="W22" s="30"/>
      <c r="X22" s="30"/>
    </row>
    <row r="23" ht="15.75" customHeight="1">
      <c r="A23" s="14" t="s">
        <v>17</v>
      </c>
      <c r="B23" s="14">
        <v>1990.0</v>
      </c>
      <c r="C23" s="14" t="s">
        <v>185</v>
      </c>
      <c r="D23" s="14" t="s">
        <v>186</v>
      </c>
      <c r="E23" s="150" t="s">
        <v>187</v>
      </c>
      <c r="F23" s="14">
        <v>168.0</v>
      </c>
      <c r="G23" s="14">
        <v>175.0</v>
      </c>
      <c r="H23" s="14" t="s">
        <v>28</v>
      </c>
      <c r="I23" s="14"/>
      <c r="J23" s="130" t="s">
        <v>188</v>
      </c>
      <c r="K23" s="152" t="s">
        <v>189</v>
      </c>
      <c r="L23" s="20"/>
      <c r="M23" s="16"/>
      <c r="N23" s="130" t="s">
        <v>34794</v>
      </c>
      <c r="O23" s="30"/>
      <c r="P23" s="30"/>
      <c r="Q23" s="30"/>
      <c r="R23" s="30"/>
      <c r="S23" s="30"/>
      <c r="T23" s="30"/>
      <c r="U23" s="30"/>
      <c r="V23" s="30"/>
      <c r="W23" s="30"/>
      <c r="X23" s="30"/>
    </row>
    <row r="24" ht="15.75" customHeight="1">
      <c r="A24" s="14" t="s">
        <v>17</v>
      </c>
      <c r="B24" s="14">
        <v>1990.0</v>
      </c>
      <c r="C24" s="14" t="s">
        <v>190</v>
      </c>
      <c r="D24" s="14" t="s">
        <v>191</v>
      </c>
      <c r="E24" s="150" t="s">
        <v>192</v>
      </c>
      <c r="F24" s="14">
        <v>176.0</v>
      </c>
      <c r="G24" s="14">
        <v>186.0</v>
      </c>
      <c r="H24" s="14" t="s">
        <v>28</v>
      </c>
      <c r="I24" s="14"/>
      <c r="J24" s="130" t="s">
        <v>193</v>
      </c>
      <c r="K24" s="152" t="s">
        <v>194</v>
      </c>
      <c r="L24" s="20"/>
      <c r="M24" s="16"/>
      <c r="N24" s="130" t="s">
        <v>34802</v>
      </c>
      <c r="O24" s="30"/>
      <c r="P24" s="30"/>
      <c r="Q24" s="30"/>
      <c r="R24" s="30"/>
      <c r="S24" s="30"/>
      <c r="T24" s="30"/>
      <c r="U24" s="30"/>
      <c r="V24" s="30"/>
      <c r="W24" s="30"/>
      <c r="X24" s="30"/>
    </row>
    <row r="25" ht="15.75" customHeight="1">
      <c r="A25" s="14" t="s">
        <v>17</v>
      </c>
      <c r="B25" s="14">
        <v>1990.0</v>
      </c>
      <c r="C25" s="14" t="s">
        <v>195</v>
      </c>
      <c r="D25" s="14" t="s">
        <v>196</v>
      </c>
      <c r="E25" s="150" t="s">
        <v>197</v>
      </c>
      <c r="F25" s="14">
        <v>187.0</v>
      </c>
      <c r="G25" s="14" t="s">
        <v>198</v>
      </c>
      <c r="H25" s="14" t="s">
        <v>28</v>
      </c>
      <c r="I25" s="14"/>
      <c r="J25" s="130" t="s">
        <v>199</v>
      </c>
      <c r="K25" s="152" t="s">
        <v>200</v>
      </c>
      <c r="L25" s="20"/>
      <c r="M25" s="16"/>
      <c r="N25" s="130" t="s">
        <v>34807</v>
      </c>
      <c r="O25" s="30"/>
      <c r="P25" s="30"/>
      <c r="Q25" s="30"/>
      <c r="R25" s="30"/>
      <c r="S25" s="30"/>
      <c r="T25" s="30"/>
      <c r="U25" s="30"/>
      <c r="V25" s="30"/>
      <c r="W25" s="30"/>
      <c r="X25" s="30"/>
    </row>
    <row r="26" ht="15.75" customHeight="1">
      <c r="A26" s="14" t="s">
        <v>17</v>
      </c>
      <c r="B26" s="14">
        <v>1990.0</v>
      </c>
      <c r="C26" s="14" t="s">
        <v>201</v>
      </c>
      <c r="D26" s="14" t="s">
        <v>202</v>
      </c>
      <c r="E26" s="150" t="s">
        <v>203</v>
      </c>
      <c r="F26" s="14">
        <v>194.0</v>
      </c>
      <c r="G26" s="14" t="s">
        <v>204</v>
      </c>
      <c r="H26" s="14" t="s">
        <v>28</v>
      </c>
      <c r="I26" s="14"/>
      <c r="J26" s="130" t="s">
        <v>205</v>
      </c>
      <c r="K26" s="152" t="s">
        <v>206</v>
      </c>
      <c r="L26" s="20"/>
      <c r="M26" s="16"/>
      <c r="N26" s="130" t="s">
        <v>34817</v>
      </c>
      <c r="O26" s="30"/>
      <c r="P26" s="30"/>
      <c r="Q26" s="30"/>
      <c r="R26" s="30"/>
      <c r="S26" s="30"/>
      <c r="T26" s="30"/>
      <c r="U26" s="30"/>
      <c r="V26" s="30"/>
      <c r="W26" s="30"/>
      <c r="X26" s="30"/>
    </row>
    <row r="27" ht="15.75" customHeight="1">
      <c r="A27" s="14" t="s">
        <v>17</v>
      </c>
      <c r="B27" s="14">
        <v>1990.0</v>
      </c>
      <c r="C27" s="14" t="s">
        <v>207</v>
      </c>
      <c r="D27" s="14" t="s">
        <v>208</v>
      </c>
      <c r="E27" s="150" t="s">
        <v>209</v>
      </c>
      <c r="F27" s="14">
        <v>202.0</v>
      </c>
      <c r="G27" s="14" t="s">
        <v>210</v>
      </c>
      <c r="H27" s="14" t="s">
        <v>28</v>
      </c>
      <c r="I27" s="14"/>
      <c r="J27" s="130" t="s">
        <v>6509</v>
      </c>
      <c r="K27" s="152" t="s">
        <v>212</v>
      </c>
      <c r="L27" s="20"/>
      <c r="M27" s="16"/>
      <c r="N27" s="130" t="s">
        <v>34692</v>
      </c>
      <c r="O27" s="30"/>
      <c r="P27" s="30"/>
      <c r="Q27" s="30"/>
      <c r="R27" s="30"/>
      <c r="S27" s="30"/>
      <c r="T27" s="30"/>
      <c r="U27" s="30"/>
      <c r="V27" s="30"/>
      <c r="W27" s="30"/>
      <c r="X27" s="30"/>
    </row>
    <row r="28" ht="15.75" customHeight="1">
      <c r="A28" s="14" t="s">
        <v>17</v>
      </c>
      <c r="B28" s="14">
        <v>1990.0</v>
      </c>
      <c r="C28" s="14" t="s">
        <v>213</v>
      </c>
      <c r="D28" s="14" t="s">
        <v>214</v>
      </c>
      <c r="E28" s="150" t="s">
        <v>215</v>
      </c>
      <c r="F28" s="14">
        <v>209.0</v>
      </c>
      <c r="G28" s="14" t="s">
        <v>216</v>
      </c>
      <c r="H28" s="14" t="s">
        <v>28</v>
      </c>
      <c r="I28" s="14"/>
      <c r="J28" s="130" t="s">
        <v>217</v>
      </c>
      <c r="K28" s="152" t="s">
        <v>218</v>
      </c>
      <c r="L28" s="20"/>
      <c r="M28" s="16"/>
      <c r="N28" s="152" t="s">
        <v>218</v>
      </c>
      <c r="O28" s="30"/>
      <c r="P28" s="30"/>
      <c r="Q28" s="30"/>
      <c r="R28" s="30"/>
      <c r="S28" s="30"/>
      <c r="T28" s="30"/>
      <c r="U28" s="30"/>
      <c r="V28" s="30"/>
      <c r="W28" s="30"/>
      <c r="X28" s="30"/>
    </row>
    <row r="29" ht="15.75" customHeight="1">
      <c r="A29" s="14" t="s">
        <v>17</v>
      </c>
      <c r="B29" s="14">
        <v>1990.0</v>
      </c>
      <c r="C29" s="14" t="s">
        <v>219</v>
      </c>
      <c r="D29" s="14" t="s">
        <v>220</v>
      </c>
      <c r="E29" s="150" t="s">
        <v>221</v>
      </c>
      <c r="F29" s="14">
        <v>219.0</v>
      </c>
      <c r="G29" s="14" t="s">
        <v>222</v>
      </c>
      <c r="H29" s="14" t="s">
        <v>28</v>
      </c>
      <c r="I29" s="14"/>
      <c r="J29" s="130" t="s">
        <v>223</v>
      </c>
      <c r="K29" s="152" t="s">
        <v>224</v>
      </c>
      <c r="L29" s="20"/>
      <c r="M29" s="16"/>
      <c r="N29" s="130" t="s">
        <v>34829</v>
      </c>
      <c r="O29" s="30"/>
      <c r="P29" s="30"/>
      <c r="Q29" s="30"/>
      <c r="R29" s="30"/>
      <c r="S29" s="30"/>
      <c r="T29" s="30"/>
      <c r="U29" s="30"/>
      <c r="V29" s="30"/>
      <c r="W29" s="30"/>
      <c r="X29" s="30"/>
    </row>
    <row r="30" ht="15.75" customHeight="1">
      <c r="A30" s="14" t="s">
        <v>17</v>
      </c>
      <c r="B30" s="14">
        <v>1990.0</v>
      </c>
      <c r="C30" s="14" t="s">
        <v>225</v>
      </c>
      <c r="D30" s="14" t="s">
        <v>226</v>
      </c>
      <c r="E30" s="150" t="s">
        <v>227</v>
      </c>
      <c r="F30" s="14">
        <v>230.0</v>
      </c>
      <c r="G30" s="14">
        <v>237.0</v>
      </c>
      <c r="H30" s="14" t="s">
        <v>28</v>
      </c>
      <c r="I30" s="14"/>
      <c r="J30" s="130" t="s">
        <v>228</v>
      </c>
      <c r="K30" s="152" t="s">
        <v>229</v>
      </c>
      <c r="L30" s="20"/>
      <c r="M30" s="16"/>
      <c r="N30" s="152" t="s">
        <v>229</v>
      </c>
      <c r="O30" s="30"/>
      <c r="P30" s="30"/>
      <c r="Q30" s="30"/>
      <c r="R30" s="30"/>
      <c r="S30" s="30"/>
      <c r="T30" s="30"/>
      <c r="U30" s="30"/>
      <c r="V30" s="30"/>
      <c r="W30" s="30"/>
      <c r="X30" s="30"/>
    </row>
    <row r="31" ht="15.75" customHeight="1">
      <c r="A31" s="14" t="s">
        <v>17</v>
      </c>
      <c r="B31" s="14">
        <v>1990.0</v>
      </c>
      <c r="C31" s="14" t="s">
        <v>230</v>
      </c>
      <c r="D31" s="14" t="s">
        <v>231</v>
      </c>
      <c r="E31" s="150" t="s">
        <v>232</v>
      </c>
      <c r="F31" s="14">
        <v>238.0</v>
      </c>
      <c r="G31" s="14" t="s">
        <v>233</v>
      </c>
      <c r="H31" s="14" t="s">
        <v>28</v>
      </c>
      <c r="I31" s="14"/>
      <c r="J31" s="130" t="s">
        <v>234</v>
      </c>
      <c r="K31" s="152" t="s">
        <v>235</v>
      </c>
      <c r="L31" s="20"/>
      <c r="M31" s="16"/>
      <c r="N31" s="130" t="s">
        <v>34830</v>
      </c>
      <c r="O31" s="30"/>
      <c r="P31" s="30"/>
      <c r="Q31" s="30"/>
      <c r="R31" s="30"/>
      <c r="S31" s="30"/>
      <c r="T31" s="30"/>
      <c r="U31" s="30"/>
      <c r="V31" s="30"/>
      <c r="W31" s="30"/>
      <c r="X31" s="30"/>
    </row>
    <row r="32" ht="15.75" customHeight="1">
      <c r="A32" s="14" t="s">
        <v>17</v>
      </c>
      <c r="B32" s="14">
        <v>1990.0</v>
      </c>
      <c r="C32" s="14" t="s">
        <v>236</v>
      </c>
      <c r="D32" s="14" t="s">
        <v>55</v>
      </c>
      <c r="E32" s="150" t="s">
        <v>237</v>
      </c>
      <c r="F32" s="14">
        <v>247.0</v>
      </c>
      <c r="G32" s="14" t="s">
        <v>238</v>
      </c>
      <c r="H32" s="14" t="s">
        <v>28</v>
      </c>
      <c r="I32" s="14"/>
      <c r="J32" s="130" t="s">
        <v>239</v>
      </c>
      <c r="K32" s="152" t="s">
        <v>54</v>
      </c>
      <c r="L32" s="20"/>
      <c r="M32" s="16"/>
      <c r="N32" s="130" t="s">
        <v>34662</v>
      </c>
      <c r="O32" s="30"/>
      <c r="P32" s="30"/>
      <c r="Q32" s="30"/>
      <c r="R32" s="30"/>
      <c r="S32" s="30"/>
      <c r="T32" s="30"/>
      <c r="U32" s="30"/>
      <c r="V32" s="30"/>
      <c r="W32" s="30"/>
      <c r="X32" s="30"/>
    </row>
    <row r="33" ht="15.75" customHeight="1">
      <c r="A33" s="14" t="s">
        <v>17</v>
      </c>
      <c r="B33" s="14">
        <v>1990.0</v>
      </c>
      <c r="C33" s="14" t="s">
        <v>240</v>
      </c>
      <c r="D33" s="14" t="s">
        <v>241</v>
      </c>
      <c r="E33" s="150" t="s">
        <v>242</v>
      </c>
      <c r="F33" s="14">
        <v>255.0</v>
      </c>
      <c r="G33" s="14" t="s">
        <v>243</v>
      </c>
      <c r="H33" s="14" t="s">
        <v>28</v>
      </c>
      <c r="I33" s="14"/>
      <c r="J33" s="130" t="s">
        <v>244</v>
      </c>
      <c r="K33" s="152" t="s">
        <v>245</v>
      </c>
      <c r="L33" s="20"/>
      <c r="M33" s="16"/>
      <c r="N33" s="130" t="s">
        <v>34831</v>
      </c>
      <c r="O33" s="30"/>
      <c r="P33" s="30"/>
      <c r="Q33" s="30"/>
      <c r="R33" s="30"/>
      <c r="S33" s="30"/>
      <c r="T33" s="30"/>
      <c r="U33" s="30"/>
      <c r="V33" s="30"/>
      <c r="W33" s="30"/>
      <c r="X33" s="30"/>
    </row>
    <row r="34" ht="15.75" customHeight="1">
      <c r="A34" s="14" t="s">
        <v>17</v>
      </c>
      <c r="B34" s="14">
        <v>1990.0</v>
      </c>
      <c r="C34" s="14" t="s">
        <v>246</v>
      </c>
      <c r="D34" s="14" t="s">
        <v>247</v>
      </c>
      <c r="E34" s="150" t="s">
        <v>248</v>
      </c>
      <c r="F34" s="14">
        <v>263.0</v>
      </c>
      <c r="G34" s="14" t="s">
        <v>249</v>
      </c>
      <c r="H34" s="14" t="s">
        <v>28</v>
      </c>
      <c r="I34" s="14"/>
      <c r="J34" s="130" t="s">
        <v>250</v>
      </c>
      <c r="K34" s="152" t="s">
        <v>251</v>
      </c>
      <c r="L34" s="20"/>
      <c r="M34" s="16"/>
      <c r="N34" s="152" t="s">
        <v>251</v>
      </c>
      <c r="O34" s="30"/>
      <c r="P34" s="30"/>
      <c r="Q34" s="30"/>
      <c r="R34" s="30"/>
      <c r="S34" s="30"/>
      <c r="T34" s="30"/>
      <c r="U34" s="30"/>
      <c r="V34" s="30"/>
      <c r="W34" s="30"/>
      <c r="X34" s="30"/>
    </row>
    <row r="35" ht="15.75" customHeight="1">
      <c r="A35" s="14" t="s">
        <v>17</v>
      </c>
      <c r="B35" s="14">
        <v>1990.0</v>
      </c>
      <c r="C35" s="14" t="s">
        <v>252</v>
      </c>
      <c r="D35" s="14" t="s">
        <v>253</v>
      </c>
      <c r="E35" s="150" t="s">
        <v>254</v>
      </c>
      <c r="F35" s="14">
        <v>273.0</v>
      </c>
      <c r="G35" s="14" t="s">
        <v>255</v>
      </c>
      <c r="H35" s="14" t="s">
        <v>28</v>
      </c>
      <c r="I35" s="14"/>
      <c r="J35" s="130" t="s">
        <v>435</v>
      </c>
      <c r="K35" s="152" t="s">
        <v>257</v>
      </c>
      <c r="L35" s="20"/>
      <c r="M35" s="16"/>
      <c r="N35" s="152" t="s">
        <v>257</v>
      </c>
      <c r="O35" s="30"/>
      <c r="P35" s="30"/>
      <c r="Q35" s="30"/>
      <c r="R35" s="30"/>
      <c r="S35" s="30"/>
      <c r="T35" s="30"/>
      <c r="U35" s="30"/>
      <c r="V35" s="30"/>
      <c r="W35" s="30"/>
      <c r="X35" s="30"/>
    </row>
    <row r="36" ht="15.75" customHeight="1">
      <c r="A36" s="14" t="s">
        <v>17</v>
      </c>
      <c r="B36" s="14">
        <v>1990.0</v>
      </c>
      <c r="C36" s="14" t="s">
        <v>258</v>
      </c>
      <c r="D36" s="14" t="s">
        <v>259</v>
      </c>
      <c r="E36" s="150" t="s">
        <v>260</v>
      </c>
      <c r="F36" s="14">
        <v>281.0</v>
      </c>
      <c r="G36" s="14" t="s">
        <v>261</v>
      </c>
      <c r="H36" s="14" t="s">
        <v>28</v>
      </c>
      <c r="I36" s="14"/>
      <c r="J36" s="130" t="s">
        <v>262</v>
      </c>
      <c r="K36" s="152" t="s">
        <v>263</v>
      </c>
      <c r="L36" s="20"/>
      <c r="M36" s="16"/>
      <c r="N36" s="130" t="s">
        <v>34845</v>
      </c>
      <c r="O36" s="30"/>
      <c r="P36" s="30"/>
      <c r="Q36" s="30"/>
      <c r="R36" s="30"/>
      <c r="S36" s="30"/>
      <c r="T36" s="30"/>
      <c r="U36" s="30"/>
      <c r="V36" s="30"/>
      <c r="W36" s="30"/>
      <c r="X36" s="30"/>
    </row>
    <row r="37" ht="15.75" customHeight="1">
      <c r="A37" s="14" t="s">
        <v>17</v>
      </c>
      <c r="B37" s="14">
        <v>1990.0</v>
      </c>
      <c r="C37" s="14" t="s">
        <v>264</v>
      </c>
      <c r="D37" s="14" t="s">
        <v>265</v>
      </c>
      <c r="E37" s="150" t="s">
        <v>266</v>
      </c>
      <c r="F37" s="14">
        <v>289.0</v>
      </c>
      <c r="G37" s="14" t="s">
        <v>267</v>
      </c>
      <c r="H37" s="14" t="s">
        <v>28</v>
      </c>
      <c r="I37" s="14"/>
      <c r="J37" s="130" t="s">
        <v>268</v>
      </c>
      <c r="K37" s="152" t="s">
        <v>269</v>
      </c>
      <c r="L37" s="20"/>
      <c r="M37" s="16"/>
      <c r="N37" s="130" t="s">
        <v>34849</v>
      </c>
      <c r="O37" s="30"/>
      <c r="P37" s="30"/>
      <c r="Q37" s="30"/>
      <c r="R37" s="30"/>
      <c r="S37" s="30"/>
      <c r="T37" s="30"/>
      <c r="U37" s="30"/>
      <c r="V37" s="30"/>
      <c r="W37" s="30"/>
      <c r="X37" s="30"/>
    </row>
    <row r="38" ht="15.75" customHeight="1">
      <c r="A38" s="14" t="s">
        <v>17</v>
      </c>
      <c r="B38" s="14">
        <v>1990.0</v>
      </c>
      <c r="C38" s="14" t="s">
        <v>270</v>
      </c>
      <c r="D38" s="14" t="s">
        <v>271</v>
      </c>
      <c r="E38" s="150" t="s">
        <v>272</v>
      </c>
      <c r="F38" s="14">
        <v>298.0</v>
      </c>
      <c r="G38" s="14" t="s">
        <v>273</v>
      </c>
      <c r="H38" s="14" t="s">
        <v>28</v>
      </c>
      <c r="I38" s="14"/>
      <c r="J38" s="130" t="s">
        <v>274</v>
      </c>
      <c r="K38" s="152" t="s">
        <v>275</v>
      </c>
      <c r="L38" s="20"/>
      <c r="M38" s="16"/>
      <c r="N38" s="130" t="s">
        <v>34870</v>
      </c>
      <c r="O38" s="30"/>
      <c r="P38" s="30"/>
      <c r="Q38" s="30"/>
      <c r="R38" s="30"/>
      <c r="S38" s="30"/>
      <c r="T38" s="30"/>
      <c r="U38" s="30"/>
      <c r="V38" s="30"/>
      <c r="W38" s="30"/>
      <c r="X38" s="30"/>
    </row>
    <row r="39" ht="15.75" customHeight="1">
      <c r="A39" s="14" t="s">
        <v>17</v>
      </c>
      <c r="B39" s="14">
        <v>1990.0</v>
      </c>
      <c r="C39" s="14" t="s">
        <v>276</v>
      </c>
      <c r="D39" s="14" t="s">
        <v>277</v>
      </c>
      <c r="E39" s="150" t="s">
        <v>278</v>
      </c>
      <c r="F39" s="14">
        <v>307.0</v>
      </c>
      <c r="G39" s="14" t="s">
        <v>279</v>
      </c>
      <c r="H39" s="14" t="s">
        <v>28</v>
      </c>
      <c r="I39" s="14"/>
      <c r="J39" s="130" t="s">
        <v>280</v>
      </c>
      <c r="K39" s="152" t="s">
        <v>281</v>
      </c>
      <c r="L39" s="20"/>
      <c r="M39" s="16"/>
      <c r="N39" s="130" t="s">
        <v>34872</v>
      </c>
      <c r="O39" s="30"/>
      <c r="P39" s="30"/>
      <c r="Q39" s="30"/>
      <c r="R39" s="30"/>
      <c r="S39" s="30"/>
      <c r="T39" s="30"/>
      <c r="U39" s="30"/>
      <c r="V39" s="30"/>
      <c r="W39" s="30"/>
      <c r="X39" s="30"/>
    </row>
    <row r="40" ht="15.75" customHeight="1">
      <c r="A40" s="14" t="s">
        <v>17</v>
      </c>
      <c r="B40" s="14">
        <v>1990.0</v>
      </c>
      <c r="C40" s="14" t="s">
        <v>282</v>
      </c>
      <c r="D40" s="14" t="s">
        <v>283</v>
      </c>
      <c r="E40" s="150" t="s">
        <v>284</v>
      </c>
      <c r="F40" s="14">
        <v>315.0</v>
      </c>
      <c r="G40" s="14">
        <v>322.0</v>
      </c>
      <c r="H40" s="14" t="s">
        <v>28</v>
      </c>
      <c r="I40" s="14"/>
      <c r="J40" s="130" t="s">
        <v>285</v>
      </c>
      <c r="K40" s="152" t="s">
        <v>286</v>
      </c>
      <c r="L40" s="20"/>
      <c r="M40" s="16"/>
      <c r="N40" s="130" t="s">
        <v>34875</v>
      </c>
      <c r="O40" s="30"/>
      <c r="P40" s="30"/>
      <c r="Q40" s="30"/>
      <c r="R40" s="30"/>
      <c r="S40" s="30"/>
      <c r="T40" s="30"/>
      <c r="U40" s="30"/>
      <c r="V40" s="30"/>
      <c r="W40" s="30"/>
      <c r="X40" s="30"/>
    </row>
    <row r="41" ht="15.75" customHeight="1">
      <c r="A41" s="14" t="s">
        <v>17</v>
      </c>
      <c r="B41" s="14">
        <v>1990.0</v>
      </c>
      <c r="C41" s="14" t="s">
        <v>287</v>
      </c>
      <c r="D41" s="14" t="s">
        <v>288</v>
      </c>
      <c r="E41" s="150" t="s">
        <v>289</v>
      </c>
      <c r="F41" s="14">
        <v>323.0</v>
      </c>
      <c r="G41" s="14" t="s">
        <v>343</v>
      </c>
      <c r="H41" s="14" t="s">
        <v>28</v>
      </c>
      <c r="I41" s="14"/>
      <c r="J41" s="130" t="s">
        <v>344</v>
      </c>
      <c r="K41" s="152" t="s">
        <v>345</v>
      </c>
      <c r="L41" s="20"/>
      <c r="M41" s="16"/>
      <c r="N41" s="130" t="s">
        <v>34879</v>
      </c>
      <c r="O41" s="30"/>
      <c r="P41" s="30"/>
      <c r="Q41" s="30"/>
      <c r="R41" s="30"/>
      <c r="S41" s="30"/>
      <c r="T41" s="30"/>
      <c r="U41" s="30"/>
      <c r="V41" s="30"/>
      <c r="W41" s="30"/>
      <c r="X41" s="30"/>
    </row>
    <row r="42" ht="15.75" customHeight="1">
      <c r="A42" s="14" t="s">
        <v>17</v>
      </c>
      <c r="B42" s="14">
        <v>1990.0</v>
      </c>
      <c r="C42" s="42" t="s">
        <v>346</v>
      </c>
      <c r="D42" s="14" t="s">
        <v>347</v>
      </c>
      <c r="E42" s="150" t="s">
        <v>348</v>
      </c>
      <c r="F42" s="14">
        <v>329.0</v>
      </c>
      <c r="G42" s="14">
        <v>337.0</v>
      </c>
      <c r="H42" s="14" t="s">
        <v>28</v>
      </c>
      <c r="I42" s="14"/>
      <c r="J42" s="130" t="s">
        <v>349</v>
      </c>
      <c r="K42" s="152" t="s">
        <v>350</v>
      </c>
      <c r="L42" s="20"/>
      <c r="M42" s="16"/>
      <c r="N42" s="130" t="s">
        <v>34887</v>
      </c>
      <c r="O42" s="30"/>
      <c r="P42" s="30"/>
      <c r="Q42" s="30"/>
      <c r="R42" s="30"/>
      <c r="S42" s="30"/>
      <c r="T42" s="30"/>
      <c r="U42" s="30"/>
      <c r="V42" s="30"/>
      <c r="W42" s="30"/>
      <c r="X42" s="30"/>
    </row>
    <row r="43" ht="15.75" customHeight="1">
      <c r="A43" s="14" t="s">
        <v>17</v>
      </c>
      <c r="B43" s="14">
        <v>1990.0</v>
      </c>
      <c r="C43" s="14" t="s">
        <v>354</v>
      </c>
      <c r="D43" s="14" t="s">
        <v>355</v>
      </c>
      <c r="E43" s="150" t="s">
        <v>356</v>
      </c>
      <c r="F43" s="14">
        <v>338.0</v>
      </c>
      <c r="G43" s="14">
        <v>341.0</v>
      </c>
      <c r="H43" s="14" t="s">
        <v>28</v>
      </c>
      <c r="I43" s="14"/>
      <c r="J43" s="130" t="s">
        <v>357</v>
      </c>
      <c r="K43" s="152" t="s">
        <v>358</v>
      </c>
      <c r="L43" s="20"/>
      <c r="M43" s="16"/>
      <c r="N43" s="152" t="s">
        <v>358</v>
      </c>
      <c r="O43" s="30"/>
      <c r="P43" s="30"/>
      <c r="Q43" s="30"/>
      <c r="R43" s="30"/>
      <c r="S43" s="30"/>
      <c r="T43" s="30"/>
      <c r="U43" s="30"/>
      <c r="V43" s="30"/>
      <c r="W43" s="30"/>
      <c r="X43" s="30"/>
    </row>
    <row r="44" ht="15.75" customHeight="1">
      <c r="A44" s="14" t="s">
        <v>17</v>
      </c>
      <c r="B44" s="14">
        <v>1990.0</v>
      </c>
      <c r="C44" s="14" t="s">
        <v>359</v>
      </c>
      <c r="D44" s="14" t="s">
        <v>361</v>
      </c>
      <c r="E44" s="150" t="s">
        <v>362</v>
      </c>
      <c r="F44" s="14">
        <v>342.0</v>
      </c>
      <c r="G44" s="14" t="s">
        <v>365</v>
      </c>
      <c r="H44" s="14" t="s">
        <v>28</v>
      </c>
      <c r="I44" s="14"/>
      <c r="J44" s="130" t="s">
        <v>366</v>
      </c>
      <c r="K44" s="152" t="s">
        <v>367</v>
      </c>
      <c r="L44" s="20"/>
      <c r="M44" s="16"/>
      <c r="N44" s="130" t="s">
        <v>15554</v>
      </c>
      <c r="O44" s="30"/>
      <c r="P44" s="30"/>
      <c r="Q44" s="30"/>
      <c r="R44" s="30"/>
      <c r="S44" s="30"/>
      <c r="T44" s="30"/>
      <c r="U44" s="30"/>
      <c r="V44" s="30"/>
      <c r="W44" s="30"/>
      <c r="X44" s="30"/>
    </row>
    <row r="45" ht="15.75" customHeight="1">
      <c r="A45" s="14" t="s">
        <v>17</v>
      </c>
      <c r="B45" s="14">
        <v>1990.0</v>
      </c>
      <c r="C45" s="14" t="s">
        <v>368</v>
      </c>
      <c r="D45" s="14" t="s">
        <v>369</v>
      </c>
      <c r="E45" s="150" t="s">
        <v>371</v>
      </c>
      <c r="F45" s="14">
        <v>353.0</v>
      </c>
      <c r="G45" s="14" t="s">
        <v>374</v>
      </c>
      <c r="H45" s="14" t="s">
        <v>28</v>
      </c>
      <c r="I45" s="14"/>
      <c r="J45" s="130" t="s">
        <v>375</v>
      </c>
      <c r="K45" s="152" t="s">
        <v>376</v>
      </c>
      <c r="L45" s="20"/>
      <c r="M45" s="16"/>
      <c r="N45" s="152" t="s">
        <v>376</v>
      </c>
      <c r="O45" s="30"/>
      <c r="P45" s="30"/>
      <c r="Q45" s="30"/>
      <c r="R45" s="30"/>
      <c r="S45" s="30"/>
      <c r="T45" s="30"/>
      <c r="U45" s="30"/>
      <c r="V45" s="30"/>
      <c r="W45" s="30"/>
      <c r="X45" s="30"/>
    </row>
    <row r="46" ht="15.75" customHeight="1">
      <c r="A46" s="14" t="s">
        <v>17</v>
      </c>
      <c r="B46" s="14">
        <v>1990.0</v>
      </c>
      <c r="C46" s="14" t="s">
        <v>377</v>
      </c>
      <c r="D46" s="14" t="s">
        <v>378</v>
      </c>
      <c r="E46" s="150" t="s">
        <v>379</v>
      </c>
      <c r="F46" s="14">
        <v>361.0</v>
      </c>
      <c r="G46" s="14">
        <v>378.0</v>
      </c>
      <c r="H46" s="14" t="s">
        <v>28</v>
      </c>
      <c r="I46" s="14"/>
      <c r="J46" s="130" t="s">
        <v>383</v>
      </c>
      <c r="K46" s="152" t="s">
        <v>384</v>
      </c>
      <c r="L46" s="20"/>
      <c r="M46" s="16"/>
      <c r="N46" s="130" t="s">
        <v>34908</v>
      </c>
      <c r="O46" s="30"/>
      <c r="P46" s="30"/>
      <c r="Q46" s="30"/>
      <c r="R46" s="30"/>
      <c r="S46" s="30"/>
      <c r="T46" s="30"/>
      <c r="U46" s="30"/>
      <c r="V46" s="30"/>
      <c r="W46" s="30"/>
      <c r="X46" s="30"/>
    </row>
    <row r="47" ht="15.75" customHeight="1">
      <c r="A47" s="14" t="s">
        <v>17</v>
      </c>
      <c r="B47" s="14">
        <v>1990.0</v>
      </c>
      <c r="C47" s="14" t="s">
        <v>385</v>
      </c>
      <c r="D47" s="14" t="s">
        <v>386</v>
      </c>
      <c r="E47" s="150" t="s">
        <v>387</v>
      </c>
      <c r="F47" s="14">
        <v>379.0</v>
      </c>
      <c r="G47" s="14">
        <v>386.0</v>
      </c>
      <c r="H47" s="14" t="s">
        <v>28</v>
      </c>
      <c r="I47" s="14"/>
      <c r="J47" s="130" t="s">
        <v>391</v>
      </c>
      <c r="K47" s="152" t="s">
        <v>392</v>
      </c>
      <c r="L47" s="20"/>
      <c r="M47" s="16"/>
      <c r="N47" s="130" t="s">
        <v>34912</v>
      </c>
      <c r="O47" s="30"/>
      <c r="P47" s="30"/>
      <c r="Q47" s="30"/>
      <c r="R47" s="30"/>
      <c r="S47" s="30"/>
      <c r="T47" s="30"/>
      <c r="U47" s="30"/>
      <c r="V47" s="30"/>
      <c r="W47" s="30"/>
      <c r="X47" s="30"/>
    </row>
    <row r="48" ht="15.75" customHeight="1">
      <c r="A48" s="14" t="s">
        <v>17</v>
      </c>
      <c r="B48" s="14">
        <v>1990.0</v>
      </c>
      <c r="C48" s="14" t="s">
        <v>393</v>
      </c>
      <c r="D48" s="14" t="s">
        <v>394</v>
      </c>
      <c r="E48" s="150" t="s">
        <v>395</v>
      </c>
      <c r="F48" s="14">
        <v>422.0</v>
      </c>
      <c r="G48" s="14" t="s">
        <v>399</v>
      </c>
      <c r="H48" s="14" t="s">
        <v>28</v>
      </c>
      <c r="I48" s="14"/>
      <c r="J48" s="130" t="s">
        <v>400</v>
      </c>
      <c r="K48" s="152" t="s">
        <v>401</v>
      </c>
      <c r="L48" s="20"/>
      <c r="M48" s="16"/>
      <c r="N48" s="130" t="s">
        <v>34917</v>
      </c>
      <c r="O48" s="30"/>
      <c r="P48" s="30"/>
      <c r="Q48" s="30"/>
      <c r="R48" s="30"/>
      <c r="S48" s="30"/>
      <c r="T48" s="30"/>
      <c r="U48" s="30"/>
      <c r="V48" s="30"/>
      <c r="W48" s="30"/>
      <c r="X48" s="30"/>
    </row>
    <row r="49" ht="15.75" customHeight="1">
      <c r="A49" s="14" t="s">
        <v>17</v>
      </c>
      <c r="B49" s="14">
        <v>1990.0</v>
      </c>
      <c r="C49" s="14" t="s">
        <v>402</v>
      </c>
      <c r="D49" s="14" t="s">
        <v>403</v>
      </c>
      <c r="E49" s="150" t="s">
        <v>404</v>
      </c>
      <c r="F49" s="14">
        <v>424.0</v>
      </c>
      <c r="G49" s="14">
        <v>428.0</v>
      </c>
      <c r="H49" s="14" t="s">
        <v>28</v>
      </c>
      <c r="I49" s="14"/>
      <c r="J49" s="130" t="s">
        <v>406</v>
      </c>
      <c r="K49" s="152" t="s">
        <v>408</v>
      </c>
      <c r="L49" s="20"/>
      <c r="M49" s="16"/>
      <c r="N49" s="130" t="s">
        <v>34921</v>
      </c>
      <c r="O49" s="30"/>
      <c r="P49" s="30"/>
      <c r="Q49" s="30"/>
      <c r="R49" s="30"/>
      <c r="S49" s="30"/>
      <c r="T49" s="30"/>
      <c r="U49" s="30"/>
      <c r="V49" s="30"/>
      <c r="W49" s="30"/>
      <c r="X49" s="30"/>
    </row>
    <row r="50" ht="15.75" customHeight="1">
      <c r="A50" s="14" t="s">
        <v>17</v>
      </c>
      <c r="B50" s="14">
        <v>1990.0</v>
      </c>
      <c r="C50" s="14" t="s">
        <v>409</v>
      </c>
      <c r="D50" s="14" t="s">
        <v>410</v>
      </c>
      <c r="E50" s="150" t="s">
        <v>411</v>
      </c>
      <c r="F50" s="14">
        <v>429.0</v>
      </c>
      <c r="G50" s="14"/>
      <c r="H50" s="14" t="s">
        <v>28</v>
      </c>
      <c r="I50" s="14"/>
      <c r="J50" s="130" t="s">
        <v>412</v>
      </c>
      <c r="K50" s="152" t="s">
        <v>413</v>
      </c>
      <c r="L50" s="20"/>
      <c r="M50" s="16"/>
      <c r="N50" s="152" t="s">
        <v>413</v>
      </c>
      <c r="O50" s="30"/>
      <c r="P50" s="30"/>
      <c r="Q50" s="30"/>
      <c r="R50" s="30"/>
      <c r="S50" s="30"/>
      <c r="T50" s="30"/>
      <c r="U50" s="30"/>
      <c r="V50" s="30"/>
      <c r="W50" s="30"/>
      <c r="X50" s="30"/>
    </row>
    <row r="51" ht="15.75" customHeight="1">
      <c r="A51" s="14" t="s">
        <v>17</v>
      </c>
      <c r="B51" s="14">
        <v>1990.0</v>
      </c>
      <c r="C51" s="14" t="s">
        <v>414</v>
      </c>
      <c r="D51" s="14" t="s">
        <v>415</v>
      </c>
      <c r="E51" s="150" t="s">
        <v>416</v>
      </c>
      <c r="F51" s="14">
        <v>430.0</v>
      </c>
      <c r="G51" s="14">
        <v>434.0</v>
      </c>
      <c r="H51" s="14" t="s">
        <v>28</v>
      </c>
      <c r="I51" s="14"/>
      <c r="J51" s="130" t="s">
        <v>420</v>
      </c>
      <c r="K51" s="152" t="s">
        <v>421</v>
      </c>
      <c r="L51" s="20"/>
      <c r="M51" s="16"/>
      <c r="N51" s="130" t="s">
        <v>34935</v>
      </c>
      <c r="O51" s="30"/>
      <c r="P51" s="30"/>
      <c r="Q51" s="30"/>
      <c r="R51" s="30"/>
      <c r="S51" s="30"/>
      <c r="T51" s="30"/>
      <c r="U51" s="30"/>
      <c r="V51" s="30"/>
      <c r="W51" s="30"/>
      <c r="X51" s="30"/>
    </row>
    <row r="52" ht="15.75" customHeight="1">
      <c r="A52" s="14" t="s">
        <v>17</v>
      </c>
      <c r="B52" s="14">
        <v>1990.0</v>
      </c>
      <c r="C52" s="14" t="s">
        <v>422</v>
      </c>
      <c r="D52" s="14" t="s">
        <v>423</v>
      </c>
      <c r="E52" s="150" t="s">
        <v>424</v>
      </c>
      <c r="F52" s="14">
        <v>435.0</v>
      </c>
      <c r="G52" s="14" t="s">
        <v>428</v>
      </c>
      <c r="H52" s="14" t="s">
        <v>28</v>
      </c>
      <c r="I52" s="14"/>
      <c r="J52" s="130" t="s">
        <v>429</v>
      </c>
      <c r="K52" s="152"/>
      <c r="L52" s="20"/>
      <c r="M52" s="16"/>
      <c r="N52" s="130"/>
      <c r="O52" s="30"/>
      <c r="P52" s="30"/>
      <c r="Q52" s="30"/>
      <c r="R52" s="30"/>
      <c r="S52" s="30"/>
      <c r="T52" s="30"/>
      <c r="U52" s="30"/>
      <c r="V52" s="30"/>
      <c r="W52" s="30"/>
      <c r="X52" s="30"/>
    </row>
    <row r="53" ht="15.75" customHeight="1">
      <c r="A53" s="14" t="s">
        <v>17</v>
      </c>
      <c r="B53" s="14">
        <v>1990.0</v>
      </c>
      <c r="C53" s="14" t="s">
        <v>430</v>
      </c>
      <c r="D53" s="14" t="s">
        <v>431</v>
      </c>
      <c r="E53" s="150" t="s">
        <v>432</v>
      </c>
      <c r="F53" s="14">
        <v>440.0</v>
      </c>
      <c r="G53" s="14">
        <v>442.0</v>
      </c>
      <c r="H53" s="14" t="s">
        <v>28</v>
      </c>
      <c r="I53" s="14"/>
      <c r="J53" s="130" t="s">
        <v>434</v>
      </c>
      <c r="K53" s="152" t="s">
        <v>437</v>
      </c>
      <c r="L53" s="20"/>
      <c r="M53" s="16"/>
      <c r="N53" s="130" t="s">
        <v>34944</v>
      </c>
      <c r="O53" s="30"/>
      <c r="P53" s="30"/>
      <c r="Q53" s="30"/>
      <c r="R53" s="30"/>
      <c r="S53" s="30"/>
      <c r="T53" s="30"/>
      <c r="U53" s="30"/>
      <c r="V53" s="30"/>
      <c r="W53" s="30"/>
      <c r="X53" s="30"/>
    </row>
    <row r="54" ht="15.75" customHeight="1">
      <c r="A54" s="14" t="s">
        <v>17</v>
      </c>
      <c r="B54" s="14">
        <v>1990.0</v>
      </c>
      <c r="C54" s="14" t="s">
        <v>439</v>
      </c>
      <c r="D54" s="14" t="s">
        <v>440</v>
      </c>
      <c r="E54" s="150" t="s">
        <v>441</v>
      </c>
      <c r="F54" s="14">
        <v>443.0</v>
      </c>
      <c r="G54" s="14" t="s">
        <v>445</v>
      </c>
      <c r="H54" s="14" t="s">
        <v>28</v>
      </c>
      <c r="I54" s="14"/>
      <c r="J54" s="130" t="s">
        <v>446</v>
      </c>
      <c r="K54" s="152" t="s">
        <v>447</v>
      </c>
      <c r="L54" s="20"/>
      <c r="M54" s="16"/>
      <c r="N54" s="130" t="s">
        <v>34951</v>
      </c>
      <c r="O54" s="30"/>
      <c r="P54" s="30"/>
      <c r="Q54" s="30"/>
      <c r="R54" s="30"/>
      <c r="S54" s="30"/>
      <c r="T54" s="30"/>
      <c r="U54" s="30"/>
      <c r="V54" s="30"/>
      <c r="W54" s="30"/>
      <c r="X54" s="30"/>
    </row>
    <row r="55" ht="15.75" customHeight="1">
      <c r="A55" s="14" t="s">
        <v>17</v>
      </c>
      <c r="B55" s="14">
        <v>1990.0</v>
      </c>
      <c r="C55" s="14" t="s">
        <v>448</v>
      </c>
      <c r="D55" s="14" t="s">
        <v>449</v>
      </c>
      <c r="E55" s="150" t="s">
        <v>450</v>
      </c>
      <c r="F55" s="14">
        <v>449.0</v>
      </c>
      <c r="G55" s="14">
        <v>456.0</v>
      </c>
      <c r="H55" s="14" t="s">
        <v>28</v>
      </c>
      <c r="I55" s="14"/>
      <c r="J55" s="130" t="s">
        <v>454</v>
      </c>
      <c r="K55" s="152" t="s">
        <v>251</v>
      </c>
      <c r="L55" s="20"/>
      <c r="M55" s="16"/>
      <c r="N55" s="130" t="s">
        <v>34961</v>
      </c>
      <c r="O55" s="30"/>
      <c r="P55" s="30"/>
      <c r="Q55" s="30"/>
      <c r="R55" s="30"/>
      <c r="S55" s="30"/>
      <c r="T55" s="30"/>
      <c r="U55" s="30"/>
      <c r="V55" s="30"/>
      <c r="W55" s="30"/>
      <c r="X55" s="30"/>
    </row>
    <row r="56" ht="15.75" customHeight="1">
      <c r="A56" s="14" t="s">
        <v>17</v>
      </c>
      <c r="B56" s="14">
        <v>1991.0</v>
      </c>
      <c r="C56" s="14" t="s">
        <v>455</v>
      </c>
      <c r="D56" s="14" t="s">
        <v>456</v>
      </c>
      <c r="E56" s="150" t="s">
        <v>457</v>
      </c>
      <c r="F56" s="14">
        <v>2.0</v>
      </c>
      <c r="G56" s="14"/>
      <c r="H56" s="14" t="s">
        <v>21</v>
      </c>
      <c r="I56" s="14"/>
      <c r="J56" s="30" t="s">
        <v>458</v>
      </c>
      <c r="K56" s="152" t="s">
        <v>459</v>
      </c>
      <c r="L56" s="20"/>
      <c r="M56" s="16"/>
      <c r="N56" s="152" t="s">
        <v>459</v>
      </c>
      <c r="O56" s="30"/>
      <c r="P56" s="30"/>
      <c r="Q56" s="30"/>
      <c r="R56" s="30"/>
      <c r="S56" s="30"/>
      <c r="T56" s="30"/>
      <c r="U56" s="30"/>
      <c r="V56" s="30"/>
      <c r="W56" s="30"/>
      <c r="X56" s="30"/>
    </row>
    <row r="57" ht="15.75" customHeight="1">
      <c r="A57" s="14" t="s">
        <v>17</v>
      </c>
      <c r="B57" s="14">
        <v>1991.0</v>
      </c>
      <c r="C57" s="14" t="s">
        <v>461</v>
      </c>
      <c r="D57" s="14" t="s">
        <v>463</v>
      </c>
      <c r="E57" s="150" t="s">
        <v>465</v>
      </c>
      <c r="F57" s="14">
        <v>12.0</v>
      </c>
      <c r="G57" s="14" t="s">
        <v>466</v>
      </c>
      <c r="H57" s="14" t="s">
        <v>28</v>
      </c>
      <c r="I57" s="14"/>
      <c r="J57" s="130" t="s">
        <v>467</v>
      </c>
      <c r="K57" s="152" t="s">
        <v>468</v>
      </c>
      <c r="L57" s="20"/>
      <c r="M57" s="16"/>
      <c r="N57" s="130" t="s">
        <v>34970</v>
      </c>
      <c r="O57" s="30"/>
      <c r="P57" s="30"/>
      <c r="Q57" s="30"/>
      <c r="R57" s="30"/>
      <c r="S57" s="30"/>
      <c r="T57" s="30"/>
      <c r="U57" s="30"/>
      <c r="V57" s="30"/>
      <c r="W57" s="30"/>
      <c r="X57" s="30"/>
    </row>
    <row r="58" ht="15.75" customHeight="1">
      <c r="A58" s="14" t="s">
        <v>17</v>
      </c>
      <c r="B58" s="14">
        <v>1991.0</v>
      </c>
      <c r="C58" s="14" t="s">
        <v>469</v>
      </c>
      <c r="D58" s="14" t="s">
        <v>470</v>
      </c>
      <c r="E58" s="150" t="s">
        <v>471</v>
      </c>
      <c r="F58" s="14">
        <v>17.0</v>
      </c>
      <c r="G58" s="14" t="s">
        <v>475</v>
      </c>
      <c r="H58" s="14" t="s">
        <v>28</v>
      </c>
      <c r="I58" s="14"/>
      <c r="J58" s="130" t="s">
        <v>476</v>
      </c>
      <c r="K58" s="152" t="s">
        <v>477</v>
      </c>
      <c r="L58" s="20"/>
      <c r="M58" s="16"/>
      <c r="N58" s="152" t="s">
        <v>477</v>
      </c>
      <c r="O58" s="30"/>
      <c r="P58" s="30"/>
      <c r="Q58" s="30"/>
      <c r="R58" s="30"/>
      <c r="S58" s="30"/>
      <c r="T58" s="30"/>
      <c r="U58" s="30"/>
      <c r="V58" s="30"/>
      <c r="W58" s="30"/>
      <c r="X58" s="30"/>
    </row>
    <row r="59" ht="15.75" customHeight="1">
      <c r="A59" s="14" t="s">
        <v>17</v>
      </c>
      <c r="B59" s="14">
        <v>1991.0</v>
      </c>
      <c r="C59" s="14" t="s">
        <v>478</v>
      </c>
      <c r="D59" s="14" t="s">
        <v>479</v>
      </c>
      <c r="E59" s="150" t="s">
        <v>480</v>
      </c>
      <c r="F59" s="14">
        <v>25.0</v>
      </c>
      <c r="G59" s="14">
        <v>32.0</v>
      </c>
      <c r="H59" s="14" t="s">
        <v>28</v>
      </c>
      <c r="I59" s="14"/>
      <c r="J59" s="130" t="s">
        <v>484</v>
      </c>
      <c r="K59" s="152" t="s">
        <v>485</v>
      </c>
      <c r="L59" s="20"/>
      <c r="M59" s="16"/>
      <c r="N59" s="130" t="s">
        <v>34998</v>
      </c>
      <c r="O59" s="30"/>
      <c r="P59" s="30"/>
      <c r="Q59" s="30"/>
      <c r="R59" s="30"/>
      <c r="S59" s="30"/>
      <c r="T59" s="30"/>
      <c r="U59" s="30"/>
      <c r="V59" s="30"/>
      <c r="W59" s="30"/>
      <c r="X59" s="30"/>
    </row>
    <row r="60" ht="15.75" customHeight="1">
      <c r="A60" s="14" t="s">
        <v>17</v>
      </c>
      <c r="B60" s="14">
        <v>1991.0</v>
      </c>
      <c r="C60" s="14" t="s">
        <v>486</v>
      </c>
      <c r="D60" s="14" t="s">
        <v>487</v>
      </c>
      <c r="E60" s="150" t="s">
        <v>488</v>
      </c>
      <c r="F60" s="14">
        <v>33.0</v>
      </c>
      <c r="G60" s="14" t="s">
        <v>490</v>
      </c>
      <c r="H60" s="14" t="s">
        <v>28</v>
      </c>
      <c r="I60" s="14"/>
      <c r="J60" s="130" t="s">
        <v>492</v>
      </c>
      <c r="K60" s="152" t="s">
        <v>494</v>
      </c>
      <c r="L60" s="20" t="s">
        <v>495</v>
      </c>
      <c r="M60" s="16"/>
      <c r="N60" s="130" t="s">
        <v>35004</v>
      </c>
      <c r="O60" s="30"/>
      <c r="P60" s="30"/>
      <c r="Q60" s="30"/>
      <c r="R60" s="30"/>
      <c r="S60" s="30"/>
      <c r="T60" s="30"/>
      <c r="U60" s="30"/>
      <c r="V60" s="30"/>
      <c r="W60" s="30"/>
      <c r="X60" s="30"/>
    </row>
    <row r="61" ht="15.75" customHeight="1">
      <c r="A61" s="14" t="s">
        <v>17</v>
      </c>
      <c r="B61" s="14">
        <v>1991.0</v>
      </c>
      <c r="C61" s="14" t="s">
        <v>496</v>
      </c>
      <c r="D61" s="14" t="s">
        <v>497</v>
      </c>
      <c r="E61" s="150" t="s">
        <v>498</v>
      </c>
      <c r="F61" s="14">
        <v>42.0</v>
      </c>
      <c r="G61" s="14">
        <v>49.0</v>
      </c>
      <c r="H61" s="14" t="s">
        <v>28</v>
      </c>
      <c r="I61" s="14"/>
      <c r="J61" s="130" t="s">
        <v>499</v>
      </c>
      <c r="K61" s="152" t="s">
        <v>500</v>
      </c>
      <c r="L61" s="20"/>
      <c r="M61" s="16"/>
      <c r="N61" s="130" t="s">
        <v>35012</v>
      </c>
      <c r="O61" s="30"/>
      <c r="P61" s="30"/>
      <c r="Q61" s="30"/>
      <c r="R61" s="30"/>
      <c r="S61" s="30"/>
      <c r="T61" s="30"/>
      <c r="U61" s="30"/>
      <c r="V61" s="30"/>
      <c r="W61" s="30"/>
      <c r="X61" s="30"/>
    </row>
    <row r="62" ht="15.75" customHeight="1">
      <c r="A62" s="14" t="s">
        <v>17</v>
      </c>
      <c r="B62" s="14">
        <v>1991.0</v>
      </c>
      <c r="C62" s="14" t="s">
        <v>501</v>
      </c>
      <c r="D62" s="14" t="s">
        <v>502</v>
      </c>
      <c r="E62" s="150" t="s">
        <v>503</v>
      </c>
      <c r="F62" s="14">
        <v>50.0</v>
      </c>
      <c r="G62" s="14" t="s">
        <v>507</v>
      </c>
      <c r="H62" s="14" t="s">
        <v>28</v>
      </c>
      <c r="I62" s="14"/>
      <c r="J62" s="130" t="s">
        <v>613</v>
      </c>
      <c r="K62" s="152" t="s">
        <v>509</v>
      </c>
      <c r="L62" s="20"/>
      <c r="M62" s="16"/>
      <c r="N62" s="130" t="s">
        <v>35020</v>
      </c>
      <c r="O62" s="30"/>
      <c r="P62" s="30"/>
      <c r="Q62" s="30"/>
      <c r="R62" s="30"/>
      <c r="S62" s="30"/>
      <c r="T62" s="30"/>
      <c r="U62" s="30"/>
      <c r="V62" s="30"/>
      <c r="W62" s="30"/>
      <c r="X62" s="30"/>
    </row>
    <row r="63" ht="15.75" customHeight="1">
      <c r="A63" s="14" t="s">
        <v>17</v>
      </c>
      <c r="B63" s="14">
        <v>1991.0</v>
      </c>
      <c r="C63" s="14" t="s">
        <v>510</v>
      </c>
      <c r="D63" s="14" t="s">
        <v>511</v>
      </c>
      <c r="E63" s="150" t="s">
        <v>512</v>
      </c>
      <c r="F63" s="14">
        <v>58.0</v>
      </c>
      <c r="G63" s="14" t="s">
        <v>516</v>
      </c>
      <c r="H63" s="14" t="s">
        <v>28</v>
      </c>
      <c r="I63" s="14"/>
      <c r="J63" s="130" t="s">
        <v>517</v>
      </c>
      <c r="K63" s="152" t="s">
        <v>518</v>
      </c>
      <c r="L63" s="20"/>
      <c r="M63" s="16"/>
      <c r="N63" s="130" t="s">
        <v>35027</v>
      </c>
      <c r="O63" s="30"/>
      <c r="P63" s="30"/>
      <c r="Q63" s="30"/>
      <c r="R63" s="30"/>
      <c r="S63" s="30"/>
      <c r="T63" s="30"/>
      <c r="U63" s="30"/>
      <c r="V63" s="30"/>
      <c r="W63" s="30"/>
      <c r="X63" s="30"/>
    </row>
    <row r="64" ht="15.75" customHeight="1">
      <c r="A64" s="14" t="s">
        <v>17</v>
      </c>
      <c r="B64" s="14">
        <v>1991.0</v>
      </c>
      <c r="C64" s="14" t="s">
        <v>519</v>
      </c>
      <c r="D64" s="14" t="s">
        <v>520</v>
      </c>
      <c r="E64" s="150" t="s">
        <v>521</v>
      </c>
      <c r="F64" s="14">
        <v>68.0</v>
      </c>
      <c r="G64" s="14" t="s">
        <v>522</v>
      </c>
      <c r="H64" s="14" t="s">
        <v>28</v>
      </c>
      <c r="I64" s="14"/>
      <c r="J64" s="130" t="s">
        <v>524</v>
      </c>
      <c r="K64" s="152" t="s">
        <v>526</v>
      </c>
      <c r="L64" s="20" t="s">
        <v>247</v>
      </c>
      <c r="M64" s="16"/>
      <c r="N64" s="130" t="s">
        <v>35034</v>
      </c>
      <c r="O64" s="30"/>
      <c r="P64" s="30"/>
      <c r="Q64" s="30"/>
      <c r="R64" s="30"/>
      <c r="S64" s="30"/>
      <c r="T64" s="30"/>
      <c r="U64" s="30"/>
      <c r="V64" s="30"/>
      <c r="W64" s="30"/>
      <c r="X64" s="30"/>
    </row>
    <row r="65" ht="15.75" customHeight="1">
      <c r="A65" s="14" t="s">
        <v>17</v>
      </c>
      <c r="B65" s="14">
        <v>1991.0</v>
      </c>
      <c r="C65" s="14" t="s">
        <v>528</v>
      </c>
      <c r="D65" s="14" t="s">
        <v>529</v>
      </c>
      <c r="E65" s="150" t="s">
        <v>530</v>
      </c>
      <c r="F65" s="14">
        <v>76.0</v>
      </c>
      <c r="G65" s="14" t="s">
        <v>531</v>
      </c>
      <c r="H65" s="14" t="s">
        <v>28</v>
      </c>
      <c r="I65" s="14"/>
      <c r="J65" s="130" t="s">
        <v>532</v>
      </c>
      <c r="K65" s="152" t="s">
        <v>533</v>
      </c>
      <c r="L65" s="20" t="s">
        <v>369</v>
      </c>
      <c r="M65" s="16"/>
      <c r="N65" s="130" t="s">
        <v>35043</v>
      </c>
      <c r="O65" s="30"/>
      <c r="P65" s="30"/>
      <c r="Q65" s="30"/>
      <c r="R65" s="30"/>
      <c r="S65" s="30"/>
      <c r="T65" s="30"/>
      <c r="U65" s="30"/>
      <c r="V65" s="30"/>
      <c r="W65" s="30"/>
      <c r="X65" s="30"/>
    </row>
    <row r="66" ht="15.75" customHeight="1">
      <c r="A66" s="14" t="s">
        <v>17</v>
      </c>
      <c r="B66" s="14">
        <v>1991.0</v>
      </c>
      <c r="C66" s="14" t="s">
        <v>535</v>
      </c>
      <c r="D66" s="14" t="s">
        <v>536</v>
      </c>
      <c r="E66" s="150" t="s">
        <v>538</v>
      </c>
      <c r="F66" s="14">
        <v>83.0</v>
      </c>
      <c r="G66" s="14" t="s">
        <v>540</v>
      </c>
      <c r="H66" s="14" t="s">
        <v>28</v>
      </c>
      <c r="I66" s="14"/>
      <c r="J66" s="130" t="s">
        <v>53</v>
      </c>
      <c r="K66" s="152" t="s">
        <v>54</v>
      </c>
      <c r="L66" s="20" t="s">
        <v>50</v>
      </c>
      <c r="M66" s="16"/>
      <c r="N66" s="130" t="s">
        <v>34662</v>
      </c>
      <c r="O66" s="30"/>
      <c r="P66" s="30"/>
      <c r="Q66" s="30"/>
      <c r="R66" s="30"/>
      <c r="S66" s="30"/>
      <c r="T66" s="30"/>
      <c r="U66" s="30"/>
      <c r="V66" s="30"/>
      <c r="W66" s="30"/>
      <c r="X66" s="30"/>
    </row>
    <row r="67" ht="15.75" customHeight="1">
      <c r="A67" s="14" t="s">
        <v>17</v>
      </c>
      <c r="B67" s="14">
        <v>1991.0</v>
      </c>
      <c r="C67" s="14" t="s">
        <v>542</v>
      </c>
      <c r="D67" s="14" t="s">
        <v>544</v>
      </c>
      <c r="E67" s="150" t="s">
        <v>546</v>
      </c>
      <c r="F67" s="14">
        <v>94.0</v>
      </c>
      <c r="G67" s="14" t="s">
        <v>547</v>
      </c>
      <c r="H67" s="14" t="s">
        <v>28</v>
      </c>
      <c r="I67" s="14"/>
      <c r="J67" s="130" t="s">
        <v>548</v>
      </c>
      <c r="K67" s="152" t="s">
        <v>549</v>
      </c>
      <c r="L67" s="20"/>
      <c r="M67" s="16"/>
      <c r="N67" s="130" t="s">
        <v>35055</v>
      </c>
      <c r="O67" s="30"/>
      <c r="P67" s="30"/>
      <c r="Q67" s="30"/>
      <c r="R67" s="30"/>
      <c r="S67" s="30"/>
      <c r="T67" s="30"/>
      <c r="U67" s="30"/>
      <c r="V67" s="30"/>
      <c r="W67" s="30"/>
      <c r="X67" s="30"/>
    </row>
    <row r="68" ht="15.75" customHeight="1">
      <c r="A68" s="14" t="s">
        <v>17</v>
      </c>
      <c r="B68" s="14">
        <v>1991.0</v>
      </c>
      <c r="C68" s="14" t="s">
        <v>550</v>
      </c>
      <c r="D68" s="14" t="s">
        <v>551</v>
      </c>
      <c r="E68" s="150" t="s">
        <v>552</v>
      </c>
      <c r="F68" s="14">
        <v>102.0</v>
      </c>
      <c r="G68" s="14">
        <v>108.0</v>
      </c>
      <c r="H68" s="14" t="s">
        <v>28</v>
      </c>
      <c r="I68" s="14"/>
      <c r="J68" s="130" t="s">
        <v>556</v>
      </c>
      <c r="K68" s="152" t="s">
        <v>557</v>
      </c>
      <c r="L68" s="20"/>
      <c r="M68" s="16"/>
      <c r="N68" s="130" t="s">
        <v>13140</v>
      </c>
      <c r="O68" s="30"/>
      <c r="P68" s="30"/>
      <c r="Q68" s="30"/>
      <c r="R68" s="30"/>
      <c r="S68" s="30"/>
      <c r="T68" s="30"/>
      <c r="U68" s="30"/>
      <c r="V68" s="30"/>
      <c r="W68" s="30"/>
      <c r="X68" s="30"/>
    </row>
    <row r="69" ht="15.75" customHeight="1">
      <c r="A69" s="14" t="s">
        <v>17</v>
      </c>
      <c r="B69" s="14">
        <v>1991.0</v>
      </c>
      <c r="C69" s="14" t="s">
        <v>558</v>
      </c>
      <c r="D69" s="14" t="s">
        <v>559</v>
      </c>
      <c r="E69" s="150" t="s">
        <v>560</v>
      </c>
      <c r="F69" s="14">
        <v>109.0</v>
      </c>
      <c r="G69" s="14" t="s">
        <v>564</v>
      </c>
      <c r="H69" s="14" t="s">
        <v>28</v>
      </c>
      <c r="I69" s="14"/>
      <c r="J69" s="130" t="s">
        <v>565</v>
      </c>
      <c r="K69" s="152" t="s">
        <v>144</v>
      </c>
      <c r="L69" s="20"/>
      <c r="M69" s="16"/>
      <c r="N69" s="130" t="s">
        <v>35066</v>
      </c>
      <c r="O69" s="30"/>
      <c r="P69" s="30"/>
      <c r="Q69" s="30"/>
      <c r="R69" s="30"/>
      <c r="S69" s="30"/>
      <c r="T69" s="30"/>
      <c r="U69" s="30"/>
      <c r="V69" s="30"/>
      <c r="W69" s="30"/>
      <c r="X69" s="30"/>
    </row>
    <row r="70" ht="15.75" customHeight="1">
      <c r="A70" s="14" t="s">
        <v>17</v>
      </c>
      <c r="B70" s="14">
        <v>1991.0</v>
      </c>
      <c r="C70" s="14" t="s">
        <v>566</v>
      </c>
      <c r="D70" s="14" t="s">
        <v>567</v>
      </c>
      <c r="E70" s="150" t="s">
        <v>568</v>
      </c>
      <c r="F70" s="14">
        <v>116.0</v>
      </c>
      <c r="G70" s="14" t="s">
        <v>569</v>
      </c>
      <c r="H70" s="14" t="s">
        <v>28</v>
      </c>
      <c r="I70" s="14"/>
      <c r="J70" s="130" t="s">
        <v>35073</v>
      </c>
      <c r="K70" s="152" t="s">
        <v>573</v>
      </c>
      <c r="L70" s="20"/>
      <c r="M70" s="16"/>
      <c r="N70" s="130" t="s">
        <v>35074</v>
      </c>
      <c r="O70" s="30"/>
      <c r="P70" s="30"/>
      <c r="Q70" s="30"/>
      <c r="R70" s="30"/>
      <c r="S70" s="30"/>
      <c r="T70" s="30"/>
      <c r="U70" s="30"/>
      <c r="V70" s="30"/>
      <c r="W70" s="30"/>
      <c r="X70" s="30"/>
    </row>
    <row r="71" ht="15.75" customHeight="1">
      <c r="A71" s="14" t="s">
        <v>17</v>
      </c>
      <c r="B71" s="14">
        <v>1991.0</v>
      </c>
      <c r="C71" s="14" t="s">
        <v>575</v>
      </c>
      <c r="D71" s="14" t="s">
        <v>576</v>
      </c>
      <c r="E71" s="150" t="s">
        <v>577</v>
      </c>
      <c r="F71" s="14">
        <v>126.0</v>
      </c>
      <c r="G71" s="14" t="s">
        <v>638</v>
      </c>
      <c r="H71" s="14" t="s">
        <v>28</v>
      </c>
      <c r="I71" s="14"/>
      <c r="J71" s="130" t="s">
        <v>640</v>
      </c>
      <c r="K71" s="152" t="s">
        <v>658</v>
      </c>
      <c r="L71" s="20"/>
      <c r="M71" s="16"/>
      <c r="N71" s="152" t="s">
        <v>658</v>
      </c>
      <c r="O71" s="30"/>
      <c r="P71" s="30"/>
      <c r="Q71" s="30"/>
      <c r="R71" s="30"/>
      <c r="S71" s="30"/>
      <c r="T71" s="30"/>
      <c r="U71" s="30"/>
      <c r="V71" s="30"/>
      <c r="W71" s="30"/>
      <c r="X71" s="30"/>
    </row>
    <row r="72" ht="15.75" customHeight="1">
      <c r="A72" s="14" t="s">
        <v>17</v>
      </c>
      <c r="B72" s="14">
        <v>1991.0</v>
      </c>
      <c r="C72" s="14" t="s">
        <v>643</v>
      </c>
      <c r="D72" s="14" t="s">
        <v>644</v>
      </c>
      <c r="E72" s="150" t="s">
        <v>645</v>
      </c>
      <c r="F72" s="14">
        <v>133.0</v>
      </c>
      <c r="G72" s="14" t="s">
        <v>646</v>
      </c>
      <c r="H72" s="14" t="s">
        <v>28</v>
      </c>
      <c r="I72" s="14"/>
      <c r="J72" s="130" t="s">
        <v>648</v>
      </c>
      <c r="K72" s="152" t="s">
        <v>665</v>
      </c>
      <c r="L72" s="20" t="s">
        <v>650</v>
      </c>
      <c r="M72" s="16"/>
      <c r="N72" s="130" t="s">
        <v>35084</v>
      </c>
      <c r="O72" s="30"/>
      <c r="P72" s="30"/>
      <c r="Q72" s="30"/>
      <c r="R72" s="30"/>
      <c r="S72" s="30"/>
      <c r="T72" s="30"/>
      <c r="U72" s="30"/>
      <c r="V72" s="30"/>
      <c r="W72" s="30"/>
      <c r="X72" s="30"/>
    </row>
    <row r="73" ht="15.75" customHeight="1">
      <c r="A73" s="14" t="s">
        <v>17</v>
      </c>
      <c r="B73" s="14">
        <v>1991.0</v>
      </c>
      <c r="C73" s="14" t="s">
        <v>651</v>
      </c>
      <c r="D73" s="14" t="s">
        <v>652</v>
      </c>
      <c r="E73" s="150" t="s">
        <v>653</v>
      </c>
      <c r="F73" s="14">
        <v>140.0</v>
      </c>
      <c r="G73" s="14">
        <v>147.0</v>
      </c>
      <c r="H73" s="14" t="s">
        <v>28</v>
      </c>
      <c r="I73" s="14"/>
      <c r="J73" s="130" t="s">
        <v>655</v>
      </c>
      <c r="K73" s="152" t="s">
        <v>670</v>
      </c>
      <c r="L73" s="20"/>
      <c r="M73" s="16"/>
      <c r="N73" s="130" t="s">
        <v>35088</v>
      </c>
      <c r="O73" s="30"/>
      <c r="P73" s="30"/>
      <c r="Q73" s="30"/>
      <c r="R73" s="30"/>
      <c r="S73" s="30"/>
      <c r="T73" s="30"/>
      <c r="U73" s="30"/>
      <c r="V73" s="30"/>
      <c r="W73" s="30"/>
      <c r="X73" s="30"/>
    </row>
    <row r="74" ht="15.75" customHeight="1">
      <c r="A74" s="14" t="s">
        <v>17</v>
      </c>
      <c r="B74" s="14">
        <v>1991.0</v>
      </c>
      <c r="C74" s="14" t="s">
        <v>659</v>
      </c>
      <c r="D74" s="14" t="s">
        <v>660</v>
      </c>
      <c r="E74" s="150" t="s">
        <v>661</v>
      </c>
      <c r="F74" s="14">
        <v>148.0</v>
      </c>
      <c r="G74" s="14">
        <v>153.0</v>
      </c>
      <c r="H74" s="14" t="s">
        <v>28</v>
      </c>
      <c r="I74" s="14"/>
      <c r="J74" s="130" t="s">
        <v>663</v>
      </c>
      <c r="K74" s="152" t="s">
        <v>679</v>
      </c>
      <c r="L74" s="20"/>
      <c r="M74" s="16"/>
      <c r="N74" s="130" t="s">
        <v>35096</v>
      </c>
      <c r="O74" s="30"/>
      <c r="P74" s="30"/>
      <c r="Q74" s="30"/>
      <c r="R74" s="30"/>
      <c r="S74" s="30"/>
      <c r="T74" s="30"/>
      <c r="U74" s="30"/>
      <c r="V74" s="30"/>
      <c r="W74" s="30"/>
      <c r="X74" s="30"/>
    </row>
    <row r="75" ht="15.75" customHeight="1">
      <c r="A75" s="14" t="s">
        <v>17</v>
      </c>
      <c r="B75" s="14">
        <v>1991.0</v>
      </c>
      <c r="C75" s="14" t="s">
        <v>667</v>
      </c>
      <c r="D75" s="14" t="s">
        <v>668</v>
      </c>
      <c r="E75" s="150" t="s">
        <v>669</v>
      </c>
      <c r="F75" s="14">
        <v>156.0</v>
      </c>
      <c r="G75" s="14" t="s">
        <v>671</v>
      </c>
      <c r="H75" s="14" t="s">
        <v>28</v>
      </c>
      <c r="I75" s="14"/>
      <c r="J75" s="130" t="s">
        <v>673</v>
      </c>
      <c r="K75" s="152" t="s">
        <v>688</v>
      </c>
      <c r="L75" s="20"/>
      <c r="M75" s="16"/>
      <c r="N75" s="130" t="s">
        <v>35104</v>
      </c>
      <c r="O75" s="30"/>
      <c r="P75" s="30"/>
      <c r="Q75" s="30"/>
      <c r="R75" s="30"/>
      <c r="S75" s="30"/>
      <c r="T75" s="30"/>
      <c r="U75" s="30"/>
      <c r="V75" s="30"/>
      <c r="W75" s="30"/>
      <c r="X75" s="30"/>
    </row>
    <row r="76" ht="15.75" customHeight="1">
      <c r="A76" s="14" t="s">
        <v>17</v>
      </c>
      <c r="B76" s="14">
        <v>1991.0</v>
      </c>
      <c r="C76" s="14" t="s">
        <v>676</v>
      </c>
      <c r="D76" s="14" t="s">
        <v>677</v>
      </c>
      <c r="E76" s="150" t="s">
        <v>678</v>
      </c>
      <c r="F76" s="14">
        <v>164.0</v>
      </c>
      <c r="G76" s="14" t="s">
        <v>680</v>
      </c>
      <c r="H76" s="14" t="s">
        <v>28</v>
      </c>
      <c r="I76" s="14"/>
      <c r="J76" s="130" t="s">
        <v>682</v>
      </c>
      <c r="K76" s="152" t="s">
        <v>697</v>
      </c>
      <c r="L76" s="20"/>
      <c r="M76" s="16"/>
      <c r="N76" s="130" t="s">
        <v>35110</v>
      </c>
      <c r="O76" s="30"/>
      <c r="P76" s="30"/>
      <c r="Q76" s="30"/>
      <c r="R76" s="30"/>
      <c r="S76" s="30"/>
      <c r="T76" s="30"/>
      <c r="U76" s="30"/>
      <c r="V76" s="30"/>
      <c r="W76" s="30"/>
      <c r="X76" s="30"/>
    </row>
    <row r="77" ht="15.75" customHeight="1">
      <c r="A77" s="14" t="s">
        <v>17</v>
      </c>
      <c r="B77" s="14">
        <v>1991.0</v>
      </c>
      <c r="C77" s="14" t="s">
        <v>685</v>
      </c>
      <c r="D77" s="14" t="s">
        <v>686</v>
      </c>
      <c r="E77" s="150" t="s">
        <v>687</v>
      </c>
      <c r="F77" s="14">
        <v>171.0</v>
      </c>
      <c r="G77" s="14" t="s">
        <v>689</v>
      </c>
      <c r="H77" s="14" t="s">
        <v>28</v>
      </c>
      <c r="I77" s="14"/>
      <c r="J77" s="130" t="s">
        <v>691</v>
      </c>
      <c r="K77" s="152" t="s">
        <v>705</v>
      </c>
      <c r="L77" s="20"/>
      <c r="M77" s="16"/>
      <c r="N77" s="152" t="s">
        <v>705</v>
      </c>
      <c r="O77" s="30"/>
      <c r="P77" s="30"/>
      <c r="Q77" s="30"/>
      <c r="R77" s="30"/>
      <c r="S77" s="30"/>
      <c r="T77" s="30"/>
      <c r="U77" s="30"/>
      <c r="V77" s="30"/>
      <c r="W77" s="30"/>
      <c r="X77" s="30"/>
    </row>
    <row r="78" ht="15.75" customHeight="1">
      <c r="A78" s="14" t="s">
        <v>17</v>
      </c>
      <c r="B78" s="14">
        <v>1991.0</v>
      </c>
      <c r="C78" s="14" t="s">
        <v>694</v>
      </c>
      <c r="D78" s="14" t="s">
        <v>695</v>
      </c>
      <c r="E78" s="150" t="s">
        <v>696</v>
      </c>
      <c r="F78" s="14">
        <v>179.0</v>
      </c>
      <c r="G78" s="14">
        <v>186.0</v>
      </c>
      <c r="H78" s="14" t="s">
        <v>28</v>
      </c>
      <c r="I78" s="14"/>
      <c r="J78" s="130" t="s">
        <v>699</v>
      </c>
      <c r="K78" s="152" t="s">
        <v>709</v>
      </c>
      <c r="L78" s="20"/>
      <c r="M78" s="16"/>
      <c r="N78" s="130" t="s">
        <v>35118</v>
      </c>
      <c r="O78" s="30"/>
      <c r="P78" s="30"/>
      <c r="Q78" s="30"/>
      <c r="R78" s="30"/>
      <c r="S78" s="30"/>
      <c r="T78" s="30"/>
      <c r="U78" s="30"/>
      <c r="V78" s="30"/>
      <c r="W78" s="30"/>
      <c r="X78" s="30"/>
    </row>
    <row r="79" ht="15.75" customHeight="1">
      <c r="A79" s="14" t="s">
        <v>17</v>
      </c>
      <c r="B79" s="14">
        <v>1991.0</v>
      </c>
      <c r="C79" s="14" t="s">
        <v>702</v>
      </c>
      <c r="D79" s="14" t="s">
        <v>703</v>
      </c>
      <c r="E79" s="150" t="s">
        <v>704</v>
      </c>
      <c r="F79" s="14">
        <v>188.0</v>
      </c>
      <c r="G79" s="14" t="s">
        <v>706</v>
      </c>
      <c r="H79" s="14" t="s">
        <v>28</v>
      </c>
      <c r="I79" s="14"/>
      <c r="J79" s="130" t="s">
        <v>171</v>
      </c>
      <c r="K79" s="152" t="s">
        <v>713</v>
      </c>
      <c r="L79" s="20"/>
      <c r="M79" s="16"/>
      <c r="N79" s="130" t="s">
        <v>35123</v>
      </c>
      <c r="O79" s="30"/>
      <c r="P79" s="30"/>
      <c r="Q79" s="30"/>
      <c r="R79" s="30"/>
      <c r="S79" s="30"/>
      <c r="T79" s="30"/>
      <c r="U79" s="30"/>
      <c r="V79" s="30"/>
      <c r="W79" s="30"/>
      <c r="X79" s="30"/>
    </row>
    <row r="80" ht="15.75" customHeight="1">
      <c r="A80" s="14" t="s">
        <v>17</v>
      </c>
      <c r="B80" s="14">
        <v>1991.0</v>
      </c>
      <c r="C80" s="14" t="s">
        <v>710</v>
      </c>
      <c r="D80" s="14" t="s">
        <v>711</v>
      </c>
      <c r="E80" s="150" t="s">
        <v>712</v>
      </c>
      <c r="F80" s="14">
        <v>194.0</v>
      </c>
      <c r="G80" s="14">
        <v>201.0</v>
      </c>
      <c r="H80" s="14" t="s">
        <v>28</v>
      </c>
      <c r="I80" s="14"/>
      <c r="J80" s="130" t="s">
        <v>715</v>
      </c>
      <c r="K80" s="152" t="s">
        <v>721</v>
      </c>
      <c r="L80" s="20"/>
      <c r="M80" s="16"/>
      <c r="N80" s="130" t="s">
        <v>35127</v>
      </c>
      <c r="O80" s="30"/>
      <c r="P80" s="30"/>
      <c r="Q80" s="30"/>
      <c r="R80" s="30"/>
      <c r="S80" s="30"/>
      <c r="T80" s="30"/>
      <c r="U80" s="30"/>
      <c r="V80" s="30"/>
      <c r="W80" s="30"/>
      <c r="X80" s="30"/>
    </row>
    <row r="81" ht="15.75" customHeight="1">
      <c r="A81" s="14" t="s">
        <v>17</v>
      </c>
      <c r="B81" s="14">
        <v>1991.0</v>
      </c>
      <c r="C81" s="14" t="s">
        <v>718</v>
      </c>
      <c r="D81" s="14" t="s">
        <v>719</v>
      </c>
      <c r="E81" s="150" t="s">
        <v>720</v>
      </c>
      <c r="F81" s="14">
        <v>202.0</v>
      </c>
      <c r="G81" s="14" t="s">
        <v>722</v>
      </c>
      <c r="H81" s="14" t="s">
        <v>28</v>
      </c>
      <c r="I81" s="14"/>
      <c r="J81" s="130" t="s">
        <v>724</v>
      </c>
      <c r="K81" s="152" t="s">
        <v>730</v>
      </c>
      <c r="L81" s="20"/>
      <c r="M81" s="16"/>
      <c r="N81" s="130" t="s">
        <v>35134</v>
      </c>
      <c r="O81" s="30"/>
      <c r="P81" s="30"/>
      <c r="Q81" s="30"/>
      <c r="R81" s="30"/>
      <c r="S81" s="30"/>
      <c r="T81" s="30"/>
      <c r="U81" s="30"/>
      <c r="V81" s="30"/>
      <c r="W81" s="30"/>
      <c r="X81" s="30"/>
    </row>
    <row r="82" ht="15.75" customHeight="1">
      <c r="A82" s="14" t="s">
        <v>17</v>
      </c>
      <c r="B82" s="14">
        <v>1991.0</v>
      </c>
      <c r="C82" s="14" t="s">
        <v>727</v>
      </c>
      <c r="D82" s="14" t="s">
        <v>728</v>
      </c>
      <c r="E82" s="150" t="s">
        <v>729</v>
      </c>
      <c r="F82" s="14">
        <v>210.0</v>
      </c>
      <c r="G82" s="14">
        <v>215.0</v>
      </c>
      <c r="H82" s="14" t="s">
        <v>28</v>
      </c>
      <c r="I82" s="14"/>
      <c r="J82" s="130" t="s">
        <v>732</v>
      </c>
      <c r="K82" s="152" t="s">
        <v>739</v>
      </c>
      <c r="L82" s="20"/>
      <c r="M82" s="16"/>
      <c r="N82" s="152" t="s">
        <v>739</v>
      </c>
      <c r="O82" s="30"/>
      <c r="P82" s="30"/>
      <c r="Q82" s="30"/>
      <c r="R82" s="30"/>
      <c r="S82" s="30"/>
      <c r="T82" s="30"/>
      <c r="U82" s="30"/>
      <c r="V82" s="30"/>
      <c r="W82" s="30"/>
      <c r="X82" s="30"/>
    </row>
    <row r="83" ht="15.75" customHeight="1">
      <c r="A83" s="14" t="s">
        <v>17</v>
      </c>
      <c r="B83" s="14">
        <v>1991.0</v>
      </c>
      <c r="C83" s="14" t="s">
        <v>735</v>
      </c>
      <c r="D83" s="14" t="s">
        <v>736</v>
      </c>
      <c r="E83" s="150" t="s">
        <v>737</v>
      </c>
      <c r="F83" s="14">
        <v>218.0</v>
      </c>
      <c r="G83" s="14" t="s">
        <v>740</v>
      </c>
      <c r="H83" s="14" t="s">
        <v>28</v>
      </c>
      <c r="I83" s="14"/>
      <c r="J83" s="130" t="s">
        <v>239</v>
      </c>
      <c r="K83" s="152" t="s">
        <v>54</v>
      </c>
      <c r="L83" s="20" t="s">
        <v>742</v>
      </c>
      <c r="M83" s="16"/>
      <c r="N83" s="130" t="s">
        <v>34875</v>
      </c>
      <c r="O83" s="30"/>
      <c r="P83" s="30"/>
      <c r="Q83" s="30"/>
      <c r="R83" s="30"/>
      <c r="S83" s="30"/>
      <c r="T83" s="30"/>
      <c r="U83" s="30"/>
      <c r="V83" s="30"/>
      <c r="W83" s="30"/>
      <c r="X83" s="30"/>
    </row>
    <row r="84" ht="15.75" customHeight="1">
      <c r="A84" s="14" t="s">
        <v>17</v>
      </c>
      <c r="B84" s="14">
        <v>1991.0</v>
      </c>
      <c r="C84" s="14" t="s">
        <v>743</v>
      </c>
      <c r="D84" s="14" t="s">
        <v>744</v>
      </c>
      <c r="E84" s="150" t="s">
        <v>745</v>
      </c>
      <c r="F84" s="14">
        <v>226.0</v>
      </c>
      <c r="G84" s="14" t="s">
        <v>746</v>
      </c>
      <c r="H84" s="14" t="s">
        <v>28</v>
      </c>
      <c r="I84" s="14"/>
      <c r="J84" s="130" t="s">
        <v>748</v>
      </c>
      <c r="K84" s="152" t="s">
        <v>753</v>
      </c>
      <c r="L84" s="20"/>
      <c r="M84" s="16"/>
      <c r="N84" s="130" t="s">
        <v>35151</v>
      </c>
      <c r="O84" s="30"/>
      <c r="P84" s="30"/>
      <c r="Q84" s="30"/>
      <c r="R84" s="30"/>
      <c r="S84" s="30"/>
      <c r="T84" s="30"/>
      <c r="U84" s="30"/>
      <c r="V84" s="30"/>
      <c r="W84" s="30"/>
      <c r="X84" s="30"/>
    </row>
    <row r="85" ht="15.75" customHeight="1">
      <c r="A85" s="14" t="s">
        <v>17</v>
      </c>
      <c r="B85" s="14">
        <v>1991.0</v>
      </c>
      <c r="C85" s="14" t="s">
        <v>750</v>
      </c>
      <c r="D85" s="14" t="s">
        <v>751</v>
      </c>
      <c r="E85" s="150" t="s">
        <v>752</v>
      </c>
      <c r="F85" s="14">
        <v>232.0</v>
      </c>
      <c r="G85" s="14" t="s">
        <v>754</v>
      </c>
      <c r="H85" s="14" t="s">
        <v>28</v>
      </c>
      <c r="I85" s="14"/>
      <c r="J85" s="130" t="s">
        <v>756</v>
      </c>
      <c r="K85" s="152" t="s">
        <v>762</v>
      </c>
      <c r="L85" s="20"/>
      <c r="M85" s="16"/>
      <c r="N85" s="130" t="s">
        <v>35154</v>
      </c>
      <c r="O85" s="30"/>
      <c r="P85" s="30"/>
      <c r="Q85" s="30"/>
      <c r="R85" s="30"/>
      <c r="S85" s="30"/>
      <c r="T85" s="30"/>
      <c r="U85" s="30"/>
      <c r="V85" s="30"/>
      <c r="W85" s="30"/>
      <c r="X85" s="30"/>
    </row>
    <row r="86" ht="15.75" customHeight="1">
      <c r="A86" s="14" t="s">
        <v>17</v>
      </c>
      <c r="B86" s="14">
        <v>1991.0</v>
      </c>
      <c r="C86" s="14" t="s">
        <v>759</v>
      </c>
      <c r="D86" s="14" t="s">
        <v>760</v>
      </c>
      <c r="E86" s="150" t="s">
        <v>761</v>
      </c>
      <c r="F86" s="14">
        <v>239.0</v>
      </c>
      <c r="G86" s="14">
        <v>245.0</v>
      </c>
      <c r="H86" s="14" t="s">
        <v>28</v>
      </c>
      <c r="I86" s="14"/>
      <c r="J86" s="130" t="s">
        <v>764</v>
      </c>
      <c r="K86" s="152" t="s">
        <v>771</v>
      </c>
      <c r="L86" s="20" t="s">
        <v>767</v>
      </c>
      <c r="M86" s="16"/>
      <c r="N86" s="152" t="s">
        <v>771</v>
      </c>
      <c r="O86" s="30"/>
      <c r="P86" s="30"/>
      <c r="Q86" s="30"/>
      <c r="R86" s="30"/>
      <c r="S86" s="30"/>
      <c r="T86" s="30"/>
      <c r="U86" s="30"/>
      <c r="V86" s="30"/>
      <c r="W86" s="30"/>
      <c r="X86" s="30"/>
    </row>
    <row r="87" ht="15.75" customHeight="1">
      <c r="A87" s="14" t="s">
        <v>17</v>
      </c>
      <c r="B87" s="14">
        <v>1991.0</v>
      </c>
      <c r="C87" s="14" t="s">
        <v>768</v>
      </c>
      <c r="D87" s="14" t="s">
        <v>769</v>
      </c>
      <c r="E87" s="150" t="s">
        <v>770</v>
      </c>
      <c r="F87" s="14">
        <v>248.0</v>
      </c>
      <c r="G87" s="14">
        <v>254.0</v>
      </c>
      <c r="H87" s="14" t="s">
        <v>28</v>
      </c>
      <c r="I87" s="14"/>
      <c r="J87" s="130" t="s">
        <v>773</v>
      </c>
      <c r="K87" s="152" t="s">
        <v>776</v>
      </c>
      <c r="L87" s="20"/>
      <c r="M87" s="16"/>
      <c r="N87" s="130" t="s">
        <v>35160</v>
      </c>
      <c r="O87" s="30"/>
      <c r="P87" s="30"/>
      <c r="Q87" s="30"/>
      <c r="R87" s="30"/>
      <c r="S87" s="30"/>
      <c r="T87" s="30"/>
      <c r="U87" s="30"/>
      <c r="V87" s="30"/>
      <c r="W87" s="30"/>
      <c r="X87" s="30"/>
    </row>
    <row r="88" ht="15.75" customHeight="1">
      <c r="A88" s="14" t="s">
        <v>17</v>
      </c>
      <c r="B88" s="14">
        <v>1991.0</v>
      </c>
      <c r="C88" s="14" t="s">
        <v>777</v>
      </c>
      <c r="D88" s="14" t="s">
        <v>778</v>
      </c>
      <c r="E88" s="150" t="s">
        <v>779</v>
      </c>
      <c r="F88" s="14">
        <v>255.0</v>
      </c>
      <c r="G88" s="14">
        <v>261.0</v>
      </c>
      <c r="H88" s="14" t="s">
        <v>28</v>
      </c>
      <c r="I88" s="14"/>
      <c r="J88" s="130" t="s">
        <v>780</v>
      </c>
      <c r="K88" s="152" t="s">
        <v>781</v>
      </c>
      <c r="L88" s="20"/>
      <c r="M88" s="16"/>
      <c r="N88" s="130" t="s">
        <v>35167</v>
      </c>
      <c r="O88" s="30"/>
      <c r="P88" s="30"/>
      <c r="Q88" s="30"/>
      <c r="R88" s="30"/>
      <c r="S88" s="30"/>
      <c r="T88" s="30"/>
      <c r="U88" s="30"/>
      <c r="V88" s="30"/>
      <c r="W88" s="30"/>
      <c r="X88" s="30"/>
    </row>
    <row r="89" ht="15.75" customHeight="1">
      <c r="A89" s="14" t="s">
        <v>17</v>
      </c>
      <c r="B89" s="14">
        <v>1991.0</v>
      </c>
      <c r="C89" s="14" t="s">
        <v>785</v>
      </c>
      <c r="D89" s="14" t="s">
        <v>786</v>
      </c>
      <c r="E89" s="150" t="s">
        <v>787</v>
      </c>
      <c r="F89" s="14">
        <v>262.0</v>
      </c>
      <c r="G89" s="14">
        <v>267.0</v>
      </c>
      <c r="H89" s="14" t="s">
        <v>28</v>
      </c>
      <c r="I89" s="14"/>
      <c r="J89" s="130" t="s">
        <v>788</v>
      </c>
      <c r="K89" s="152" t="s">
        <v>789</v>
      </c>
      <c r="L89" s="20"/>
      <c r="M89" s="16"/>
      <c r="N89" s="130" t="s">
        <v>35171</v>
      </c>
      <c r="O89" s="30"/>
      <c r="P89" s="30"/>
      <c r="Q89" s="30"/>
      <c r="R89" s="30"/>
      <c r="S89" s="30"/>
      <c r="T89" s="30"/>
      <c r="U89" s="30"/>
      <c r="V89" s="30"/>
      <c r="W89" s="30"/>
      <c r="X89" s="30"/>
    </row>
    <row r="90" ht="15.75" customHeight="1">
      <c r="A90" s="14" t="s">
        <v>17</v>
      </c>
      <c r="B90" s="14">
        <v>1991.0</v>
      </c>
      <c r="C90" s="14" t="s">
        <v>790</v>
      </c>
      <c r="D90" s="14" t="s">
        <v>791</v>
      </c>
      <c r="E90" s="150" t="s">
        <v>793</v>
      </c>
      <c r="F90" s="14">
        <v>268.0</v>
      </c>
      <c r="G90" s="14" t="s">
        <v>796</v>
      </c>
      <c r="H90" s="14" t="s">
        <v>28</v>
      </c>
      <c r="I90" s="14"/>
      <c r="J90" s="130" t="s">
        <v>803</v>
      </c>
      <c r="K90" s="152" t="s">
        <v>798</v>
      </c>
      <c r="L90" s="20"/>
      <c r="M90" s="16"/>
      <c r="N90" s="130" t="s">
        <v>35176</v>
      </c>
      <c r="O90" s="30"/>
      <c r="P90" s="30"/>
      <c r="Q90" s="30"/>
      <c r="R90" s="30"/>
      <c r="S90" s="30"/>
      <c r="T90" s="30"/>
      <c r="U90" s="30"/>
      <c r="V90" s="30"/>
      <c r="W90" s="30"/>
      <c r="X90" s="30"/>
    </row>
    <row r="91" ht="15.75" customHeight="1">
      <c r="A91" s="14" t="s">
        <v>17</v>
      </c>
      <c r="B91" s="14">
        <v>1991.0</v>
      </c>
      <c r="C91" s="14" t="s">
        <v>799</v>
      </c>
      <c r="D91" s="14" t="s">
        <v>800</v>
      </c>
      <c r="E91" s="150" t="s">
        <v>801</v>
      </c>
      <c r="F91" s="14">
        <v>276.0</v>
      </c>
      <c r="G91" s="14">
        <v>283.0</v>
      </c>
      <c r="H91" s="14" t="s">
        <v>28</v>
      </c>
      <c r="I91" s="14"/>
      <c r="J91" s="130" t="s">
        <v>806</v>
      </c>
      <c r="K91" s="152" t="s">
        <v>807</v>
      </c>
      <c r="L91" s="20" t="s">
        <v>760</v>
      </c>
      <c r="M91" s="16"/>
      <c r="N91" s="152" t="s">
        <v>807</v>
      </c>
      <c r="O91" s="30"/>
      <c r="P91" s="30"/>
      <c r="Q91" s="30"/>
      <c r="R91" s="30"/>
      <c r="S91" s="30"/>
      <c r="T91" s="30"/>
      <c r="U91" s="30"/>
      <c r="V91" s="30"/>
      <c r="W91" s="30"/>
      <c r="X91" s="30"/>
    </row>
    <row r="92" ht="15.75" customHeight="1">
      <c r="A92" s="14" t="s">
        <v>17</v>
      </c>
      <c r="B92" s="14">
        <v>1991.0</v>
      </c>
      <c r="C92" s="14" t="s">
        <v>808</v>
      </c>
      <c r="D92" s="14" t="s">
        <v>809</v>
      </c>
      <c r="E92" s="150" t="s">
        <v>810</v>
      </c>
      <c r="F92" s="14">
        <v>284.0</v>
      </c>
      <c r="G92" s="14">
        <v>291.0</v>
      </c>
      <c r="H92" s="14" t="s">
        <v>28</v>
      </c>
      <c r="I92" s="14"/>
      <c r="J92" s="130" t="s">
        <v>814</v>
      </c>
      <c r="K92" s="152" t="s">
        <v>815</v>
      </c>
      <c r="L92" s="20"/>
      <c r="M92" s="16"/>
      <c r="N92" s="130" t="s">
        <v>35189</v>
      </c>
      <c r="O92" s="30"/>
      <c r="P92" s="30"/>
      <c r="Q92" s="30"/>
      <c r="R92" s="30"/>
      <c r="S92" s="30"/>
      <c r="T92" s="30"/>
      <c r="U92" s="30"/>
      <c r="V92" s="30"/>
      <c r="W92" s="30"/>
      <c r="X92" s="30"/>
    </row>
    <row r="93" ht="15.75" customHeight="1">
      <c r="A93" s="14" t="s">
        <v>17</v>
      </c>
      <c r="B93" s="14">
        <v>1991.0</v>
      </c>
      <c r="C93" s="14" t="s">
        <v>816</v>
      </c>
      <c r="D93" s="14" t="s">
        <v>817</v>
      </c>
      <c r="E93" s="150" t="s">
        <v>818</v>
      </c>
      <c r="F93" s="14">
        <v>292.0</v>
      </c>
      <c r="G93" s="14">
        <v>296.0</v>
      </c>
      <c r="H93" s="14" t="s">
        <v>28</v>
      </c>
      <c r="I93" s="14"/>
      <c r="J93" s="130" t="s">
        <v>820</v>
      </c>
      <c r="K93" s="152" t="s">
        <v>821</v>
      </c>
      <c r="L93" s="20"/>
      <c r="M93" s="16"/>
      <c r="N93" s="130" t="s">
        <v>35195</v>
      </c>
      <c r="O93" s="30"/>
      <c r="P93" s="30"/>
      <c r="Q93" s="30"/>
      <c r="R93" s="30"/>
      <c r="S93" s="30"/>
      <c r="T93" s="30"/>
      <c r="U93" s="30"/>
      <c r="V93" s="30"/>
      <c r="W93" s="30"/>
      <c r="X93" s="30"/>
    </row>
    <row r="94" ht="15.75" customHeight="1">
      <c r="A94" s="14" t="s">
        <v>17</v>
      </c>
      <c r="B94" s="14">
        <v>1991.0</v>
      </c>
      <c r="C94" s="14" t="s">
        <v>824</v>
      </c>
      <c r="D94" s="14" t="s">
        <v>825</v>
      </c>
      <c r="E94" s="150" t="s">
        <v>826</v>
      </c>
      <c r="F94" s="14">
        <v>298.0</v>
      </c>
      <c r="G94" s="14">
        <v>305.0</v>
      </c>
      <c r="H94" s="14" t="s">
        <v>28</v>
      </c>
      <c r="I94" s="14"/>
      <c r="J94" s="130" t="s">
        <v>827</v>
      </c>
      <c r="K94" s="152" t="s">
        <v>828</v>
      </c>
      <c r="L94" s="20"/>
      <c r="M94" s="16"/>
      <c r="N94" s="152" t="s">
        <v>828</v>
      </c>
      <c r="O94" s="30"/>
      <c r="P94" s="30"/>
      <c r="Q94" s="30"/>
      <c r="R94" s="30"/>
      <c r="S94" s="30"/>
      <c r="T94" s="30"/>
      <c r="U94" s="30"/>
      <c r="V94" s="30"/>
      <c r="W94" s="30"/>
      <c r="X94" s="30"/>
    </row>
    <row r="95" ht="15.75" customHeight="1">
      <c r="A95" s="14" t="s">
        <v>17</v>
      </c>
      <c r="B95" s="14">
        <v>1991.0</v>
      </c>
      <c r="C95" s="14" t="s">
        <v>829</v>
      </c>
      <c r="D95" s="14" t="s">
        <v>830</v>
      </c>
      <c r="E95" s="150" t="s">
        <v>831</v>
      </c>
      <c r="F95" s="14">
        <v>306.0</v>
      </c>
      <c r="G95" s="14" t="s">
        <v>835</v>
      </c>
      <c r="H95" s="14" t="s">
        <v>28</v>
      </c>
      <c r="I95" s="14"/>
      <c r="J95" s="130" t="s">
        <v>836</v>
      </c>
      <c r="K95" s="152" t="s">
        <v>837</v>
      </c>
      <c r="L95" s="20"/>
      <c r="M95" s="174" t="s">
        <v>838</v>
      </c>
      <c r="N95" s="130" t="s">
        <v>35209</v>
      </c>
      <c r="O95" s="30"/>
      <c r="P95" s="30"/>
      <c r="Q95" s="30"/>
      <c r="R95" s="30"/>
      <c r="S95" s="30"/>
      <c r="T95" s="30"/>
      <c r="U95" s="30"/>
      <c r="V95" s="30"/>
      <c r="W95" s="30"/>
      <c r="X95" s="30"/>
    </row>
    <row r="96" ht="15.75" customHeight="1">
      <c r="A96" s="14" t="s">
        <v>17</v>
      </c>
      <c r="B96" s="14">
        <v>1991.0</v>
      </c>
      <c r="C96" s="14" t="s">
        <v>839</v>
      </c>
      <c r="D96" s="14" t="s">
        <v>840</v>
      </c>
      <c r="E96" s="150" t="s">
        <v>841</v>
      </c>
      <c r="F96" s="14">
        <v>314.0</v>
      </c>
      <c r="G96" s="14" t="s">
        <v>845</v>
      </c>
      <c r="H96" s="14" t="s">
        <v>28</v>
      </c>
      <c r="I96" s="14"/>
      <c r="J96" s="130" t="s">
        <v>846</v>
      </c>
      <c r="K96" s="152" t="s">
        <v>178</v>
      </c>
      <c r="L96" s="20"/>
      <c r="M96" s="16"/>
      <c r="N96" s="130"/>
      <c r="O96" s="30"/>
      <c r="P96" s="30"/>
      <c r="Q96" s="30"/>
      <c r="R96" s="30"/>
      <c r="S96" s="30"/>
      <c r="T96" s="30"/>
      <c r="U96" s="30"/>
      <c r="V96" s="30"/>
      <c r="W96" s="30"/>
      <c r="X96" s="30"/>
    </row>
    <row r="97" ht="15.75" customHeight="1">
      <c r="A97" s="14" t="s">
        <v>17</v>
      </c>
      <c r="B97" s="14">
        <v>1991.0</v>
      </c>
      <c r="C97" s="14" t="s">
        <v>847</v>
      </c>
      <c r="D97" s="14" t="s">
        <v>848</v>
      </c>
      <c r="E97" s="150" t="s">
        <v>849</v>
      </c>
      <c r="F97" s="14">
        <v>321.0</v>
      </c>
      <c r="G97" s="14" t="s">
        <v>853</v>
      </c>
      <c r="H97" s="14" t="s">
        <v>28</v>
      </c>
      <c r="I97" s="14"/>
      <c r="J97" s="130" t="s">
        <v>854</v>
      </c>
      <c r="K97" s="152" t="s">
        <v>855</v>
      </c>
      <c r="L97" s="20" t="s">
        <v>91</v>
      </c>
      <c r="M97" s="16"/>
      <c r="N97" s="130" t="s">
        <v>35345</v>
      </c>
      <c r="O97" s="30"/>
      <c r="P97" s="30"/>
      <c r="Q97" s="30"/>
      <c r="R97" s="30"/>
      <c r="S97" s="30"/>
      <c r="T97" s="30"/>
      <c r="U97" s="30"/>
      <c r="V97" s="30"/>
      <c r="W97" s="30"/>
      <c r="X97" s="30"/>
    </row>
    <row r="98" ht="15.75" customHeight="1">
      <c r="A98" s="14" t="s">
        <v>17</v>
      </c>
      <c r="B98" s="14">
        <v>1991.0</v>
      </c>
      <c r="C98" s="14" t="s">
        <v>856</v>
      </c>
      <c r="D98" s="14" t="s">
        <v>857</v>
      </c>
      <c r="E98" s="150" t="s">
        <v>858</v>
      </c>
      <c r="F98" s="14">
        <v>330.0</v>
      </c>
      <c r="G98" s="14">
        <v>335.0</v>
      </c>
      <c r="H98" s="14" t="s">
        <v>21</v>
      </c>
      <c r="I98" s="14"/>
      <c r="J98" s="16" t="s">
        <v>859</v>
      </c>
      <c r="K98" s="152" t="s">
        <v>860</v>
      </c>
      <c r="L98" s="20"/>
      <c r="M98" s="16"/>
      <c r="N98" s="130"/>
      <c r="O98" s="30"/>
      <c r="P98" s="30"/>
      <c r="Q98" s="30"/>
      <c r="R98" s="30"/>
      <c r="S98" s="30"/>
      <c r="T98" s="30"/>
      <c r="U98" s="30"/>
      <c r="V98" s="30"/>
      <c r="W98" s="30"/>
      <c r="X98" s="30"/>
    </row>
    <row r="99" ht="15.75" customHeight="1">
      <c r="A99" s="14" t="s">
        <v>17</v>
      </c>
      <c r="B99" s="14">
        <v>1991.0</v>
      </c>
      <c r="C99" s="14" t="s">
        <v>861</v>
      </c>
      <c r="D99" s="14" t="s">
        <v>862</v>
      </c>
      <c r="E99" s="150" t="s">
        <v>863</v>
      </c>
      <c r="F99" s="14">
        <v>336.0</v>
      </c>
      <c r="G99" s="14">
        <v>339.0</v>
      </c>
      <c r="H99" s="14" t="s">
        <v>21</v>
      </c>
      <c r="I99" s="14"/>
      <c r="J99" s="16" t="s">
        <v>866</v>
      </c>
      <c r="K99" s="152" t="s">
        <v>867</v>
      </c>
      <c r="L99" s="20"/>
      <c r="M99" s="16"/>
      <c r="N99" s="152" t="s">
        <v>867</v>
      </c>
      <c r="O99" s="30"/>
      <c r="P99" s="30"/>
      <c r="Q99" s="30"/>
      <c r="R99" s="30"/>
      <c r="S99" s="30"/>
      <c r="T99" s="30"/>
      <c r="U99" s="30"/>
      <c r="V99" s="30"/>
      <c r="W99" s="30"/>
      <c r="X99" s="30"/>
    </row>
    <row r="100" ht="15.75" customHeight="1">
      <c r="A100" s="14" t="s">
        <v>17</v>
      </c>
      <c r="B100" s="14">
        <v>1991.0</v>
      </c>
      <c r="C100" s="14" t="s">
        <v>868</v>
      </c>
      <c r="D100" s="14" t="s">
        <v>869</v>
      </c>
      <c r="E100" s="150" t="s">
        <v>870</v>
      </c>
      <c r="F100" s="14">
        <v>340.0</v>
      </c>
      <c r="G100" s="14">
        <v>344.0</v>
      </c>
      <c r="H100" s="14" t="s">
        <v>21</v>
      </c>
      <c r="I100" s="14"/>
      <c r="J100" s="16" t="s">
        <v>874</v>
      </c>
      <c r="K100" s="152" t="s">
        <v>875</v>
      </c>
      <c r="L100" s="20"/>
      <c r="M100" s="16"/>
      <c r="N100" s="152" t="s">
        <v>875</v>
      </c>
      <c r="O100" s="30"/>
      <c r="P100" s="30"/>
      <c r="Q100" s="30"/>
      <c r="R100" s="30"/>
      <c r="S100" s="30"/>
      <c r="T100" s="30"/>
      <c r="U100" s="30"/>
      <c r="V100" s="30"/>
      <c r="W100" s="30"/>
      <c r="X100" s="30"/>
    </row>
    <row r="101" ht="15.75" customHeight="1">
      <c r="A101" s="14" t="s">
        <v>17</v>
      </c>
      <c r="B101" s="14">
        <v>1991.0</v>
      </c>
      <c r="C101" s="14" t="s">
        <v>876</v>
      </c>
      <c r="D101" s="14" t="s">
        <v>877</v>
      </c>
      <c r="E101" s="150" t="s">
        <v>878</v>
      </c>
      <c r="F101" s="14">
        <v>345.0</v>
      </c>
      <c r="G101" s="14">
        <v>347.0</v>
      </c>
      <c r="H101" s="14" t="s">
        <v>21</v>
      </c>
      <c r="I101" s="14"/>
      <c r="J101" s="16" t="s">
        <v>879</v>
      </c>
      <c r="K101" s="152" t="s">
        <v>880</v>
      </c>
      <c r="L101" s="20"/>
      <c r="M101" s="16"/>
      <c r="N101" s="130"/>
      <c r="O101" s="30"/>
      <c r="P101" s="30"/>
      <c r="Q101" s="30"/>
      <c r="R101" s="30"/>
      <c r="S101" s="30"/>
      <c r="T101" s="30"/>
      <c r="U101" s="30"/>
      <c r="V101" s="30"/>
      <c r="W101" s="30"/>
      <c r="X101" s="30"/>
    </row>
    <row r="102" ht="15.75" customHeight="1">
      <c r="A102" s="14" t="s">
        <v>17</v>
      </c>
      <c r="B102" s="14">
        <v>1991.0</v>
      </c>
      <c r="C102" s="14" t="s">
        <v>881</v>
      </c>
      <c r="D102" s="14" t="s">
        <v>883</v>
      </c>
      <c r="E102" s="150" t="s">
        <v>884</v>
      </c>
      <c r="F102" s="14">
        <v>348.0</v>
      </c>
      <c r="G102" s="14">
        <v>353.0</v>
      </c>
      <c r="H102" s="14" t="s">
        <v>21</v>
      </c>
      <c r="I102" s="14"/>
      <c r="J102" s="16" t="s">
        <v>886</v>
      </c>
      <c r="K102" s="152" t="s">
        <v>860</v>
      </c>
      <c r="L102" s="20"/>
      <c r="M102" s="16"/>
      <c r="N102" s="130"/>
      <c r="O102" s="30"/>
      <c r="P102" s="30"/>
      <c r="Q102" s="30"/>
      <c r="R102" s="30"/>
      <c r="S102" s="30"/>
      <c r="T102" s="30"/>
      <c r="U102" s="30"/>
      <c r="V102" s="30"/>
      <c r="W102" s="30"/>
      <c r="X102" s="30"/>
    </row>
    <row r="103" ht="15.75" customHeight="1">
      <c r="A103" s="14" t="s">
        <v>17</v>
      </c>
      <c r="B103" s="14">
        <v>1991.0</v>
      </c>
      <c r="C103" s="14" t="s">
        <v>887</v>
      </c>
      <c r="D103" s="14" t="s">
        <v>888</v>
      </c>
      <c r="E103" s="150" t="s">
        <v>889</v>
      </c>
      <c r="F103" s="14">
        <v>354.0</v>
      </c>
      <c r="G103" s="14">
        <v>357.0</v>
      </c>
      <c r="H103" s="14" t="s">
        <v>21</v>
      </c>
      <c r="I103" s="14"/>
      <c r="J103" s="16" t="s">
        <v>893</v>
      </c>
      <c r="K103" s="152" t="s">
        <v>860</v>
      </c>
      <c r="L103" s="20"/>
      <c r="M103" s="16"/>
      <c r="N103" s="130"/>
      <c r="O103" s="30"/>
      <c r="P103" s="30"/>
      <c r="Q103" s="30"/>
      <c r="R103" s="30"/>
      <c r="S103" s="30"/>
      <c r="T103" s="30"/>
      <c r="U103" s="30"/>
      <c r="V103" s="30"/>
      <c r="W103" s="30"/>
      <c r="X103" s="30"/>
    </row>
    <row r="104" ht="15.75" customHeight="1">
      <c r="A104" s="14" t="s">
        <v>17</v>
      </c>
      <c r="B104" s="14">
        <v>1991.0</v>
      </c>
      <c r="C104" s="14" t="s">
        <v>894</v>
      </c>
      <c r="D104" s="14" t="s">
        <v>895</v>
      </c>
      <c r="E104" s="150" t="s">
        <v>896</v>
      </c>
      <c r="F104" s="14">
        <v>360.0</v>
      </c>
      <c r="G104" s="14" t="s">
        <v>898</v>
      </c>
      <c r="H104" s="14" t="s">
        <v>28</v>
      </c>
      <c r="I104" s="14"/>
      <c r="J104" s="130" t="s">
        <v>899</v>
      </c>
      <c r="K104" s="152" t="s">
        <v>149</v>
      </c>
      <c r="L104" s="20"/>
      <c r="M104" s="16"/>
      <c r="N104" s="130" t="s">
        <v>35496</v>
      </c>
      <c r="O104" s="30"/>
      <c r="P104" s="30"/>
      <c r="Q104" s="30"/>
      <c r="R104" s="30"/>
      <c r="S104" s="30"/>
      <c r="T104" s="30"/>
      <c r="U104" s="30"/>
      <c r="V104" s="30"/>
      <c r="W104" s="30"/>
      <c r="X104" s="30"/>
    </row>
    <row r="105" ht="15.75" customHeight="1">
      <c r="A105" s="14" t="s">
        <v>17</v>
      </c>
      <c r="B105" s="14">
        <v>1991.0</v>
      </c>
      <c r="C105" s="14" t="s">
        <v>902</v>
      </c>
      <c r="D105" s="14" t="s">
        <v>903</v>
      </c>
      <c r="E105" s="150" t="s">
        <v>904</v>
      </c>
      <c r="F105" s="14">
        <v>364.0</v>
      </c>
      <c r="G105" s="14" t="s">
        <v>905</v>
      </c>
      <c r="H105" s="14" t="s">
        <v>28</v>
      </c>
      <c r="I105" s="14"/>
      <c r="J105" s="130" t="s">
        <v>906</v>
      </c>
      <c r="K105" s="152" t="s">
        <v>907</v>
      </c>
      <c r="L105" s="20"/>
      <c r="M105" s="16"/>
      <c r="N105" s="130" t="s">
        <v>35503</v>
      </c>
      <c r="O105" s="30"/>
      <c r="P105" s="30"/>
      <c r="Q105" s="30"/>
      <c r="R105" s="30"/>
      <c r="S105" s="30"/>
      <c r="T105" s="30"/>
      <c r="U105" s="30"/>
      <c r="V105" s="30"/>
      <c r="W105" s="30"/>
      <c r="X105" s="30"/>
    </row>
    <row r="106" ht="15.75" customHeight="1">
      <c r="A106" s="14" t="s">
        <v>17</v>
      </c>
      <c r="B106" s="14">
        <v>1991.0</v>
      </c>
      <c r="C106" s="14" t="s">
        <v>908</v>
      </c>
      <c r="D106" s="14" t="s">
        <v>909</v>
      </c>
      <c r="E106" s="150" t="s">
        <v>910</v>
      </c>
      <c r="F106" s="14">
        <v>368.0</v>
      </c>
      <c r="G106" s="14">
        <v>371.0</v>
      </c>
      <c r="H106" s="14" t="s">
        <v>28</v>
      </c>
      <c r="I106" s="14"/>
      <c r="J106" s="130" t="s">
        <v>912</v>
      </c>
      <c r="K106" s="152" t="s">
        <v>913</v>
      </c>
      <c r="L106" s="20"/>
      <c r="M106" s="16"/>
      <c r="N106" s="130" t="s">
        <v>35507</v>
      </c>
      <c r="O106" s="30"/>
      <c r="P106" s="30"/>
      <c r="Q106" s="30"/>
      <c r="R106" s="30"/>
      <c r="S106" s="30"/>
      <c r="T106" s="30"/>
      <c r="U106" s="30"/>
      <c r="V106" s="30"/>
      <c r="W106" s="30"/>
      <c r="X106" s="30"/>
    </row>
    <row r="107" ht="15.75" customHeight="1">
      <c r="A107" s="14" t="s">
        <v>17</v>
      </c>
      <c r="B107" s="14">
        <v>1991.0</v>
      </c>
      <c r="C107" s="14" t="s">
        <v>914</v>
      </c>
      <c r="D107" s="14" t="s">
        <v>915</v>
      </c>
      <c r="E107" s="150" t="s">
        <v>916</v>
      </c>
      <c r="F107" s="14">
        <v>372.0</v>
      </c>
      <c r="G107" s="14" t="s">
        <v>917</v>
      </c>
      <c r="H107" s="14" t="s">
        <v>28</v>
      </c>
      <c r="I107" s="14"/>
      <c r="J107" s="130" t="s">
        <v>429</v>
      </c>
      <c r="K107" s="152" t="s">
        <v>918</v>
      </c>
      <c r="L107" s="20"/>
      <c r="M107" s="16"/>
      <c r="N107" s="130" t="s">
        <v>35514</v>
      </c>
      <c r="O107" s="30"/>
      <c r="P107" s="30"/>
      <c r="Q107" s="30"/>
      <c r="R107" s="30"/>
      <c r="S107" s="30"/>
      <c r="T107" s="30"/>
      <c r="U107" s="30"/>
      <c r="V107" s="30"/>
      <c r="W107" s="30"/>
      <c r="X107" s="30"/>
    </row>
    <row r="108" ht="15.75" customHeight="1">
      <c r="A108" s="14" t="s">
        <v>17</v>
      </c>
      <c r="B108" s="14">
        <v>1991.0</v>
      </c>
      <c r="C108" s="14" t="s">
        <v>919</v>
      </c>
      <c r="D108" s="14" t="s">
        <v>920</v>
      </c>
      <c r="E108" s="150" t="s">
        <v>921</v>
      </c>
      <c r="F108" s="14">
        <v>379.0</v>
      </c>
      <c r="G108" s="14">
        <v>382.0</v>
      </c>
      <c r="H108" s="14" t="s">
        <v>28</v>
      </c>
      <c r="I108" s="14"/>
      <c r="J108" s="130" t="s">
        <v>924</v>
      </c>
      <c r="K108" s="152" t="s">
        <v>925</v>
      </c>
      <c r="L108" s="20"/>
      <c r="M108" s="16"/>
      <c r="N108" s="130" t="s">
        <v>35519</v>
      </c>
      <c r="O108" s="30"/>
      <c r="P108" s="30"/>
      <c r="Q108" s="30"/>
      <c r="R108" s="30"/>
      <c r="S108" s="30"/>
      <c r="T108" s="30"/>
      <c r="U108" s="30"/>
      <c r="V108" s="30"/>
      <c r="W108" s="30"/>
      <c r="X108" s="30"/>
    </row>
    <row r="109" ht="15.75" customHeight="1">
      <c r="A109" s="14" t="s">
        <v>17</v>
      </c>
      <c r="B109" s="14">
        <v>1991.0</v>
      </c>
      <c r="C109" s="14" t="s">
        <v>926</v>
      </c>
      <c r="D109" s="14" t="s">
        <v>927</v>
      </c>
      <c r="E109" s="150" t="s">
        <v>928</v>
      </c>
      <c r="F109" s="14">
        <v>383.0</v>
      </c>
      <c r="G109" s="14">
        <v>386.0</v>
      </c>
      <c r="H109" s="14" t="s">
        <v>28</v>
      </c>
      <c r="I109" s="14"/>
      <c r="J109" s="130" t="s">
        <v>929</v>
      </c>
      <c r="K109" s="152"/>
      <c r="L109" s="20"/>
      <c r="M109" s="16"/>
      <c r="N109" s="130" t="s">
        <v>35527</v>
      </c>
      <c r="O109" s="30"/>
      <c r="P109" s="30"/>
      <c r="Q109" s="30"/>
      <c r="R109" s="30"/>
      <c r="S109" s="30"/>
      <c r="T109" s="30"/>
      <c r="U109" s="30"/>
      <c r="V109" s="30"/>
      <c r="W109" s="30"/>
      <c r="X109" s="30"/>
    </row>
    <row r="110" ht="15.75" customHeight="1">
      <c r="A110" s="14" t="s">
        <v>17</v>
      </c>
      <c r="B110" s="14">
        <v>1991.0</v>
      </c>
      <c r="C110" s="14" t="s">
        <v>930</v>
      </c>
      <c r="D110" s="14" t="s">
        <v>931</v>
      </c>
      <c r="E110" s="150" t="s">
        <v>932</v>
      </c>
      <c r="F110" s="14">
        <v>387.0</v>
      </c>
      <c r="G110" s="14">
        <v>391.0</v>
      </c>
      <c r="H110" s="14" t="s">
        <v>28</v>
      </c>
      <c r="I110" s="14"/>
      <c r="J110" s="130" t="s">
        <v>935</v>
      </c>
      <c r="K110" s="152" t="s">
        <v>936</v>
      </c>
      <c r="L110" s="20"/>
      <c r="M110" s="16"/>
      <c r="N110" s="152" t="s">
        <v>936</v>
      </c>
      <c r="O110" s="30"/>
      <c r="P110" s="30"/>
      <c r="Q110" s="30"/>
      <c r="R110" s="30"/>
      <c r="S110" s="30"/>
      <c r="T110" s="30"/>
      <c r="U110" s="30"/>
      <c r="V110" s="30"/>
      <c r="W110" s="30"/>
      <c r="X110" s="30"/>
    </row>
    <row r="111" ht="15.75" customHeight="1">
      <c r="A111" s="14" t="s">
        <v>17</v>
      </c>
      <c r="B111" s="14">
        <v>1991.0</v>
      </c>
      <c r="C111" s="14" t="s">
        <v>937</v>
      </c>
      <c r="D111" s="14" t="s">
        <v>938</v>
      </c>
      <c r="E111" s="150" t="s">
        <v>939</v>
      </c>
      <c r="F111" s="14">
        <v>392.0</v>
      </c>
      <c r="G111" s="14" t="s">
        <v>942</v>
      </c>
      <c r="H111" s="14" t="s">
        <v>28</v>
      </c>
      <c r="I111" s="14"/>
      <c r="J111" s="130" t="s">
        <v>943</v>
      </c>
      <c r="K111" s="152" t="s">
        <v>944</v>
      </c>
      <c r="L111" s="20"/>
      <c r="M111" s="16"/>
      <c r="N111" s="130" t="s">
        <v>35540</v>
      </c>
      <c r="O111" s="30"/>
      <c r="P111" s="30"/>
      <c r="Q111" s="30"/>
      <c r="R111" s="30"/>
      <c r="S111" s="30"/>
      <c r="T111" s="30"/>
      <c r="U111" s="30"/>
      <c r="V111" s="30"/>
      <c r="W111" s="30"/>
      <c r="X111" s="30"/>
    </row>
    <row r="112" ht="15.75" customHeight="1">
      <c r="A112" s="14" t="s">
        <v>17</v>
      </c>
      <c r="B112" s="14">
        <v>1991.0</v>
      </c>
      <c r="C112" s="14" t="s">
        <v>945</v>
      </c>
      <c r="D112" s="14" t="s">
        <v>946</v>
      </c>
      <c r="E112" s="150" t="s">
        <v>947</v>
      </c>
      <c r="F112" s="14">
        <v>398.0</v>
      </c>
      <c r="G112" s="14">
        <v>404.0</v>
      </c>
      <c r="H112" s="14" t="s">
        <v>28</v>
      </c>
      <c r="I112" s="14"/>
      <c r="J112" s="130" t="s">
        <v>951</v>
      </c>
      <c r="K112" s="152" t="s">
        <v>952</v>
      </c>
      <c r="L112" s="20"/>
      <c r="M112" s="16"/>
      <c r="N112" s="152" t="s">
        <v>952</v>
      </c>
      <c r="O112" s="30"/>
      <c r="P112" s="30"/>
      <c r="Q112" s="30"/>
      <c r="R112" s="30"/>
      <c r="S112" s="30"/>
      <c r="T112" s="30"/>
      <c r="U112" s="30"/>
      <c r="V112" s="30"/>
      <c r="W112" s="30"/>
      <c r="X112" s="30"/>
    </row>
    <row r="113" ht="15.75" customHeight="1">
      <c r="A113" s="14" t="s">
        <v>17</v>
      </c>
      <c r="B113" s="14">
        <v>1992.0</v>
      </c>
      <c r="C113" s="14" t="s">
        <v>953</v>
      </c>
      <c r="D113" s="14" t="s">
        <v>954</v>
      </c>
      <c r="E113" s="150" t="s">
        <v>955</v>
      </c>
      <c r="F113" s="14">
        <v>441.0</v>
      </c>
      <c r="G113" s="14">
        <v>445.0</v>
      </c>
      <c r="H113" s="14" t="s">
        <v>28</v>
      </c>
      <c r="I113" s="14"/>
      <c r="J113" s="130" t="s">
        <v>956</v>
      </c>
      <c r="K113" s="152" t="s">
        <v>957</v>
      </c>
      <c r="L113" s="20"/>
      <c r="M113" s="16"/>
      <c r="N113" s="152" t="s">
        <v>957</v>
      </c>
      <c r="O113" s="30"/>
      <c r="P113" s="30"/>
      <c r="Q113" s="30"/>
      <c r="R113" s="30"/>
      <c r="S113" s="30"/>
      <c r="T113" s="30"/>
      <c r="U113" s="30"/>
      <c r="V113" s="30"/>
      <c r="W113" s="30"/>
      <c r="X113" s="30"/>
    </row>
    <row r="114" ht="15.75" customHeight="1">
      <c r="A114" s="14" t="s">
        <v>17</v>
      </c>
      <c r="B114" s="14">
        <v>1992.0</v>
      </c>
      <c r="C114" s="14" t="s">
        <v>958</v>
      </c>
      <c r="D114" s="14" t="s">
        <v>959</v>
      </c>
      <c r="E114" s="150" t="s">
        <v>960</v>
      </c>
      <c r="F114" s="14">
        <v>436.0</v>
      </c>
      <c r="G114" s="14">
        <v>440.0</v>
      </c>
      <c r="H114" s="14" t="s">
        <v>28</v>
      </c>
      <c r="I114" s="14"/>
      <c r="J114" s="130" t="s">
        <v>964</v>
      </c>
      <c r="K114" s="152" t="s">
        <v>965</v>
      </c>
      <c r="L114" s="20" t="s">
        <v>966</v>
      </c>
      <c r="M114" s="16"/>
      <c r="N114" s="130" t="s">
        <v>35556</v>
      </c>
      <c r="O114" s="30"/>
      <c r="P114" s="30"/>
      <c r="Q114" s="30"/>
      <c r="R114" s="30"/>
      <c r="S114" s="30"/>
      <c r="T114" s="30"/>
      <c r="U114" s="30"/>
      <c r="V114" s="30"/>
      <c r="W114" s="30"/>
      <c r="X114" s="30"/>
    </row>
    <row r="115" ht="15.75" customHeight="1">
      <c r="A115" s="14" t="s">
        <v>17</v>
      </c>
      <c r="B115" s="14">
        <v>1992.0</v>
      </c>
      <c r="C115" s="14" t="s">
        <v>967</v>
      </c>
      <c r="D115" s="14" t="s">
        <v>968</v>
      </c>
      <c r="E115" s="150" t="s">
        <v>969</v>
      </c>
      <c r="F115" s="14">
        <v>428.0</v>
      </c>
      <c r="G115" s="14">
        <v>435.0</v>
      </c>
      <c r="H115" s="14" t="s">
        <v>28</v>
      </c>
      <c r="I115" s="14"/>
      <c r="J115" s="130" t="s">
        <v>970</v>
      </c>
      <c r="K115" s="152" t="s">
        <v>971</v>
      </c>
      <c r="L115" s="20" t="s">
        <v>972</v>
      </c>
      <c r="M115" s="16"/>
      <c r="N115" s="130" t="s">
        <v>35563</v>
      </c>
      <c r="O115" s="30"/>
      <c r="P115" s="30"/>
      <c r="Q115" s="30"/>
      <c r="R115" s="30"/>
      <c r="S115" s="30"/>
      <c r="T115" s="30"/>
      <c r="U115" s="30"/>
      <c r="V115" s="30"/>
      <c r="W115" s="30"/>
      <c r="X115" s="30"/>
    </row>
    <row r="116" ht="15.75" customHeight="1">
      <c r="A116" s="14" t="s">
        <v>17</v>
      </c>
      <c r="B116" s="14">
        <v>1992.0</v>
      </c>
      <c r="C116" s="14" t="s">
        <v>973</v>
      </c>
      <c r="D116" s="14" t="s">
        <v>975</v>
      </c>
      <c r="E116" s="150" t="s">
        <v>976</v>
      </c>
      <c r="F116" s="14">
        <v>424.0</v>
      </c>
      <c r="G116" s="14">
        <v>427.0</v>
      </c>
      <c r="H116" s="14" t="s">
        <v>28</v>
      </c>
      <c r="I116" s="14"/>
      <c r="J116" s="130" t="s">
        <v>978</v>
      </c>
      <c r="K116" s="152" t="s">
        <v>979</v>
      </c>
      <c r="L116" s="20"/>
      <c r="M116" s="16"/>
      <c r="N116" s="152" t="s">
        <v>979</v>
      </c>
      <c r="O116" s="30"/>
      <c r="P116" s="30"/>
      <c r="Q116" s="30"/>
      <c r="R116" s="30"/>
      <c r="S116" s="30"/>
      <c r="T116" s="30"/>
      <c r="U116" s="30"/>
      <c r="V116" s="30"/>
      <c r="W116" s="30"/>
      <c r="X116" s="30"/>
    </row>
    <row r="117" ht="15.75" customHeight="1">
      <c r="A117" s="14" t="s">
        <v>17</v>
      </c>
      <c r="B117" s="14">
        <v>1992.0</v>
      </c>
      <c r="C117" s="14" t="s">
        <v>980</v>
      </c>
      <c r="D117" s="14" t="s">
        <v>981</v>
      </c>
      <c r="E117" s="150" t="s">
        <v>982</v>
      </c>
      <c r="F117" s="14">
        <v>419.0</v>
      </c>
      <c r="G117" s="14">
        <v>423.0</v>
      </c>
      <c r="H117" s="14" t="s">
        <v>28</v>
      </c>
      <c r="I117" s="14"/>
      <c r="J117" s="130" t="s">
        <v>986</v>
      </c>
      <c r="K117" s="152" t="s">
        <v>807</v>
      </c>
      <c r="L117" s="20" t="s">
        <v>760</v>
      </c>
      <c r="M117" s="16"/>
      <c r="N117" s="152" t="s">
        <v>807</v>
      </c>
      <c r="O117" s="30"/>
      <c r="P117" s="30"/>
      <c r="Q117" s="30"/>
      <c r="R117" s="30"/>
      <c r="S117" s="30"/>
      <c r="T117" s="30"/>
      <c r="U117" s="30"/>
      <c r="V117" s="30"/>
      <c r="W117" s="30"/>
      <c r="X117" s="30"/>
    </row>
    <row r="118" ht="15.75" customHeight="1">
      <c r="A118" s="14" t="s">
        <v>17</v>
      </c>
      <c r="B118" s="14">
        <v>1992.0</v>
      </c>
      <c r="C118" s="14" t="s">
        <v>987</v>
      </c>
      <c r="D118" s="14" t="s">
        <v>988</v>
      </c>
      <c r="E118" s="150" t="s">
        <v>989</v>
      </c>
      <c r="F118" s="14">
        <v>411.0</v>
      </c>
      <c r="G118" s="14">
        <v>418.0</v>
      </c>
      <c r="H118" s="14" t="s">
        <v>28</v>
      </c>
      <c r="I118" s="14"/>
      <c r="J118" s="130" t="s">
        <v>992</v>
      </c>
      <c r="K118" s="152" t="s">
        <v>993</v>
      </c>
      <c r="L118" s="20"/>
      <c r="M118" s="16"/>
      <c r="N118" s="130" t="s">
        <v>35575</v>
      </c>
      <c r="O118" s="30"/>
      <c r="P118" s="30"/>
      <c r="Q118" s="30"/>
      <c r="R118" s="30"/>
      <c r="S118" s="30"/>
      <c r="T118" s="30"/>
      <c r="U118" s="30"/>
      <c r="V118" s="30"/>
      <c r="W118" s="30"/>
      <c r="X118" s="30"/>
    </row>
    <row r="119" ht="15.75" customHeight="1">
      <c r="A119" s="14" t="s">
        <v>17</v>
      </c>
      <c r="B119" s="14">
        <v>1992.0</v>
      </c>
      <c r="C119" s="14" t="s">
        <v>994</v>
      </c>
      <c r="D119" s="14" t="s">
        <v>995</v>
      </c>
      <c r="E119" s="150" t="s">
        <v>996</v>
      </c>
      <c r="F119" s="14">
        <v>404.0</v>
      </c>
      <c r="G119" s="14">
        <v>410.0</v>
      </c>
      <c r="H119" s="14" t="s">
        <v>28</v>
      </c>
      <c r="I119" s="14"/>
      <c r="J119" s="130" t="s">
        <v>1000</v>
      </c>
      <c r="K119" s="152" t="s">
        <v>1001</v>
      </c>
      <c r="L119" s="20"/>
      <c r="M119" s="16"/>
      <c r="N119" s="130" t="s">
        <v>35581</v>
      </c>
      <c r="O119" s="30"/>
      <c r="P119" s="30"/>
      <c r="Q119" s="30"/>
      <c r="R119" s="30"/>
      <c r="S119" s="30"/>
      <c r="T119" s="30"/>
      <c r="U119" s="30"/>
      <c r="V119" s="30"/>
      <c r="W119" s="30"/>
      <c r="X119" s="30"/>
    </row>
    <row r="120" ht="15.75" customHeight="1">
      <c r="A120" s="14" t="s">
        <v>17</v>
      </c>
      <c r="B120" s="14">
        <v>1992.0</v>
      </c>
      <c r="C120" s="14" t="s">
        <v>1002</v>
      </c>
      <c r="D120" s="14" t="s">
        <v>1003</v>
      </c>
      <c r="E120" s="150" t="s">
        <v>1004</v>
      </c>
      <c r="F120" s="14">
        <v>398.0</v>
      </c>
      <c r="G120" s="14">
        <v>403.0</v>
      </c>
      <c r="H120" s="14" t="s">
        <v>28</v>
      </c>
      <c r="I120" s="14"/>
      <c r="J120" s="130" t="s">
        <v>1008</v>
      </c>
      <c r="K120" s="152" t="s">
        <v>1009</v>
      </c>
      <c r="L120" s="20" t="s">
        <v>895</v>
      </c>
      <c r="M120" s="16"/>
      <c r="N120" s="130" t="s">
        <v>35585</v>
      </c>
      <c r="O120" s="30"/>
      <c r="P120" s="30"/>
      <c r="Q120" s="30"/>
      <c r="R120" s="30"/>
      <c r="S120" s="30"/>
      <c r="T120" s="30"/>
      <c r="U120" s="30"/>
      <c r="V120" s="30"/>
      <c r="W120" s="30"/>
      <c r="X120" s="30"/>
    </row>
    <row r="121" ht="15.75" customHeight="1">
      <c r="A121" s="14" t="s">
        <v>17</v>
      </c>
      <c r="B121" s="14">
        <v>1992.0</v>
      </c>
      <c r="C121" s="14" t="s">
        <v>1010</v>
      </c>
      <c r="D121" s="14" t="s">
        <v>1011</v>
      </c>
      <c r="E121" s="150" t="s">
        <v>1012</v>
      </c>
      <c r="F121" s="14">
        <v>390.0</v>
      </c>
      <c r="G121" s="14">
        <v>397.0</v>
      </c>
      <c r="H121" s="14" t="s">
        <v>28</v>
      </c>
      <c r="I121" s="14"/>
      <c r="J121" s="130" t="s">
        <v>1014</v>
      </c>
      <c r="K121" s="152" t="s">
        <v>1015</v>
      </c>
      <c r="L121" s="20"/>
      <c r="M121" s="16"/>
      <c r="N121" s="130" t="s">
        <v>35591</v>
      </c>
      <c r="O121" s="30"/>
      <c r="P121" s="30"/>
      <c r="Q121" s="30"/>
      <c r="R121" s="30"/>
      <c r="S121" s="30"/>
      <c r="T121" s="30"/>
      <c r="U121" s="30"/>
      <c r="V121" s="30"/>
      <c r="W121" s="30"/>
      <c r="X121" s="30"/>
    </row>
    <row r="122" ht="15.75" customHeight="1">
      <c r="A122" s="14" t="s">
        <v>17</v>
      </c>
      <c r="B122" s="14">
        <v>1992.0</v>
      </c>
      <c r="C122" s="14" t="s">
        <v>1017</v>
      </c>
      <c r="D122" s="14" t="s">
        <v>1018</v>
      </c>
      <c r="E122" s="150" t="s">
        <v>1019</v>
      </c>
      <c r="F122" s="14">
        <v>384.0</v>
      </c>
      <c r="G122" s="14">
        <v>388.0</v>
      </c>
      <c r="H122" s="14" t="s">
        <v>21</v>
      </c>
      <c r="I122" s="14"/>
      <c r="J122" s="16" t="s">
        <v>1024</v>
      </c>
      <c r="K122" s="152" t="s">
        <v>860</v>
      </c>
      <c r="L122" s="20"/>
      <c r="M122" s="16"/>
      <c r="N122" s="130"/>
      <c r="O122" s="30"/>
      <c r="P122" s="30"/>
      <c r="Q122" s="30"/>
      <c r="R122" s="30"/>
      <c r="S122" s="30"/>
      <c r="T122" s="30"/>
      <c r="U122" s="30"/>
      <c r="V122" s="30"/>
      <c r="W122" s="30"/>
      <c r="X122" s="30"/>
    </row>
    <row r="123" ht="15.75" customHeight="1">
      <c r="A123" s="14" t="s">
        <v>17</v>
      </c>
      <c r="B123" s="14">
        <v>1992.0</v>
      </c>
      <c r="C123" s="14" t="s">
        <v>1025</v>
      </c>
      <c r="D123" s="14" t="s">
        <v>1026</v>
      </c>
      <c r="E123" s="150" t="s">
        <v>1027</v>
      </c>
      <c r="F123" s="14">
        <v>380.0</v>
      </c>
      <c r="G123" s="14">
        <v>383.0</v>
      </c>
      <c r="H123" s="14" t="s">
        <v>21</v>
      </c>
      <c r="I123" s="14"/>
      <c r="J123" s="16" t="s">
        <v>1028</v>
      </c>
      <c r="K123" s="152" t="s">
        <v>1029</v>
      </c>
      <c r="L123" s="20"/>
      <c r="M123" s="16"/>
      <c r="N123" s="152" t="s">
        <v>1029</v>
      </c>
      <c r="O123" s="30"/>
      <c r="P123" s="30"/>
      <c r="Q123" s="30"/>
      <c r="R123" s="30"/>
      <c r="S123" s="30"/>
      <c r="T123" s="30"/>
      <c r="U123" s="30"/>
      <c r="V123" s="30"/>
      <c r="W123" s="30"/>
      <c r="X123" s="30"/>
    </row>
    <row r="124" ht="15.75" customHeight="1">
      <c r="A124" s="14" t="s">
        <v>17</v>
      </c>
      <c r="B124" s="14">
        <v>1992.0</v>
      </c>
      <c r="C124" s="14" t="s">
        <v>1030</v>
      </c>
      <c r="D124" s="14" t="s">
        <v>1031</v>
      </c>
      <c r="E124" s="150" t="s">
        <v>1032</v>
      </c>
      <c r="F124" s="14">
        <v>375.0</v>
      </c>
      <c r="G124" s="14">
        <v>379.0</v>
      </c>
      <c r="H124" s="14" t="s">
        <v>21</v>
      </c>
      <c r="I124" s="14"/>
      <c r="J124" s="54" t="s">
        <v>1036</v>
      </c>
      <c r="K124" s="152"/>
      <c r="L124" s="20"/>
      <c r="M124" s="16"/>
      <c r="N124" s="152"/>
      <c r="O124" s="30"/>
      <c r="P124" s="30"/>
      <c r="Q124" s="30"/>
      <c r="R124" s="30"/>
      <c r="S124" s="30"/>
      <c r="T124" s="30"/>
      <c r="U124" s="30"/>
      <c r="V124" s="30"/>
      <c r="W124" s="30"/>
      <c r="X124" s="30"/>
    </row>
    <row r="125" ht="15.75" customHeight="1">
      <c r="A125" s="14" t="s">
        <v>17</v>
      </c>
      <c r="B125" s="14">
        <v>1992.0</v>
      </c>
      <c r="C125" s="14" t="s">
        <v>1037</v>
      </c>
      <c r="D125" s="14" t="s">
        <v>1038</v>
      </c>
      <c r="E125" s="150" t="s">
        <v>1039</v>
      </c>
      <c r="F125" s="14">
        <v>372.0</v>
      </c>
      <c r="G125" s="14">
        <v>374.0</v>
      </c>
      <c r="H125" s="14" t="s">
        <v>21</v>
      </c>
      <c r="I125" s="14"/>
      <c r="J125" s="16" t="s">
        <v>1040</v>
      </c>
      <c r="K125" s="152" t="s">
        <v>1041</v>
      </c>
      <c r="L125" s="20"/>
      <c r="M125" s="16"/>
      <c r="N125" s="152" t="s">
        <v>1041</v>
      </c>
      <c r="O125" s="30"/>
      <c r="P125" s="30"/>
      <c r="Q125" s="30"/>
      <c r="R125" s="30"/>
      <c r="S125" s="30"/>
      <c r="T125" s="30"/>
      <c r="U125" s="30"/>
      <c r="V125" s="30"/>
      <c r="W125" s="30"/>
      <c r="X125" s="30"/>
    </row>
    <row r="126" ht="15.75" customHeight="1">
      <c r="A126" s="14" t="s">
        <v>17</v>
      </c>
      <c r="B126" s="14">
        <v>1992.0</v>
      </c>
      <c r="C126" s="14" t="s">
        <v>1042</v>
      </c>
      <c r="D126" s="14" t="s">
        <v>1043</v>
      </c>
      <c r="E126" s="150" t="s">
        <v>1044</v>
      </c>
      <c r="F126" s="14">
        <v>366.0</v>
      </c>
      <c r="G126" s="14">
        <v>371.0</v>
      </c>
      <c r="H126" s="14" t="s">
        <v>21</v>
      </c>
      <c r="I126" s="14"/>
      <c r="J126" s="16" t="s">
        <v>1045</v>
      </c>
      <c r="K126" s="152" t="s">
        <v>1046</v>
      </c>
      <c r="L126" s="20"/>
      <c r="M126" s="16"/>
      <c r="N126" s="152" t="s">
        <v>1046</v>
      </c>
      <c r="O126" s="30"/>
      <c r="P126" s="30"/>
      <c r="Q126" s="30"/>
      <c r="R126" s="30"/>
      <c r="S126" s="30"/>
      <c r="T126" s="30"/>
      <c r="U126" s="30"/>
      <c r="V126" s="30"/>
      <c r="W126" s="30"/>
      <c r="X126" s="30"/>
    </row>
    <row r="127" ht="15.75" customHeight="1">
      <c r="A127" s="14" t="s">
        <v>17</v>
      </c>
      <c r="B127" s="14">
        <v>1992.0</v>
      </c>
      <c r="C127" s="14" t="s">
        <v>1047</v>
      </c>
      <c r="D127" s="14" t="s">
        <v>1048</v>
      </c>
      <c r="E127" s="150" t="s">
        <v>1049</v>
      </c>
      <c r="F127" s="14">
        <v>362.0</v>
      </c>
      <c r="G127" s="14">
        <v>365.0</v>
      </c>
      <c r="H127" s="14" t="s">
        <v>21</v>
      </c>
      <c r="I127" s="14"/>
      <c r="J127" s="16" t="s">
        <v>1052</v>
      </c>
      <c r="K127" s="152" t="s">
        <v>880</v>
      </c>
      <c r="L127" s="20"/>
      <c r="M127" s="16"/>
      <c r="N127" s="130"/>
      <c r="O127" s="30"/>
      <c r="P127" s="30"/>
      <c r="Q127" s="30"/>
      <c r="R127" s="30"/>
      <c r="S127" s="30"/>
      <c r="T127" s="30"/>
      <c r="U127" s="30"/>
      <c r="V127" s="30"/>
      <c r="W127" s="30"/>
      <c r="X127" s="30"/>
    </row>
    <row r="128" ht="15.75" customHeight="1">
      <c r="A128" s="14" t="s">
        <v>17</v>
      </c>
      <c r="B128" s="14">
        <v>1992.0</v>
      </c>
      <c r="C128" s="14" t="s">
        <v>1053</v>
      </c>
      <c r="D128" s="14" t="s">
        <v>1054</v>
      </c>
      <c r="E128" s="150" t="s">
        <v>1055</v>
      </c>
      <c r="F128" s="14">
        <v>356.0</v>
      </c>
      <c r="G128" s="14">
        <v>360.0</v>
      </c>
      <c r="H128" s="14" t="s">
        <v>28</v>
      </c>
      <c r="I128" s="14"/>
      <c r="J128" s="130" t="s">
        <v>1056</v>
      </c>
      <c r="K128" s="152" t="s">
        <v>1057</v>
      </c>
      <c r="L128" s="20"/>
      <c r="M128" s="16"/>
      <c r="N128" s="130" t="s">
        <v>14003</v>
      </c>
      <c r="O128" s="30"/>
      <c r="P128" s="30"/>
      <c r="Q128" s="30"/>
      <c r="R128" s="30"/>
      <c r="S128" s="30"/>
      <c r="T128" s="30"/>
      <c r="U128" s="30"/>
      <c r="V128" s="30"/>
      <c r="W128" s="30"/>
      <c r="X128" s="30"/>
    </row>
    <row r="129" ht="15.75" customHeight="1">
      <c r="A129" s="14" t="s">
        <v>17</v>
      </c>
      <c r="B129" s="14">
        <v>1992.0</v>
      </c>
      <c r="C129" s="14" t="s">
        <v>1058</v>
      </c>
      <c r="D129" s="14" t="s">
        <v>1059</v>
      </c>
      <c r="E129" s="150" t="s">
        <v>1061</v>
      </c>
      <c r="F129" s="14">
        <v>349.0</v>
      </c>
      <c r="G129" s="14">
        <v>355.0</v>
      </c>
      <c r="H129" s="14" t="s">
        <v>28</v>
      </c>
      <c r="I129" s="14"/>
      <c r="J129" s="130" t="s">
        <v>35617</v>
      </c>
      <c r="K129" s="152" t="s">
        <v>1064</v>
      </c>
      <c r="L129" s="20" t="s">
        <v>1065</v>
      </c>
      <c r="M129" s="16"/>
      <c r="N129" s="130" t="s">
        <v>35618</v>
      </c>
      <c r="O129" s="30"/>
      <c r="P129" s="30"/>
      <c r="Q129" s="30"/>
      <c r="R129" s="30"/>
      <c r="S129" s="30"/>
      <c r="T129" s="30"/>
      <c r="U129" s="30"/>
      <c r="V129" s="30"/>
      <c r="W129" s="30"/>
      <c r="X129" s="30"/>
    </row>
    <row r="130" ht="15.75" customHeight="1">
      <c r="A130" s="14" t="s">
        <v>17</v>
      </c>
      <c r="B130" s="14">
        <v>1992.0</v>
      </c>
      <c r="C130" s="14" t="s">
        <v>1066</v>
      </c>
      <c r="D130" s="14" t="s">
        <v>1067</v>
      </c>
      <c r="E130" s="150" t="s">
        <v>1068</v>
      </c>
      <c r="F130" s="14">
        <v>340.0</v>
      </c>
      <c r="G130" s="14">
        <v>348.0</v>
      </c>
      <c r="H130" s="14" t="s">
        <v>28</v>
      </c>
      <c r="I130" s="14"/>
      <c r="J130" s="130" t="s">
        <v>1072</v>
      </c>
      <c r="K130" s="152" t="s">
        <v>1073</v>
      </c>
      <c r="L130" s="20"/>
      <c r="M130" s="16"/>
      <c r="N130" s="130" t="s">
        <v>35622</v>
      </c>
      <c r="O130" s="30"/>
      <c r="P130" s="30"/>
      <c r="Q130" s="30"/>
      <c r="R130" s="30"/>
      <c r="S130" s="30"/>
      <c r="T130" s="30"/>
      <c r="U130" s="30"/>
      <c r="V130" s="30"/>
      <c r="W130" s="30"/>
      <c r="X130" s="30"/>
    </row>
    <row r="131" ht="15.75" customHeight="1">
      <c r="A131" s="14" t="s">
        <v>17</v>
      </c>
      <c r="B131" s="14">
        <v>1992.0</v>
      </c>
      <c r="C131" s="14" t="s">
        <v>1074</v>
      </c>
      <c r="D131" s="14" t="s">
        <v>1075</v>
      </c>
      <c r="E131" s="150" t="s">
        <v>1076</v>
      </c>
      <c r="F131" s="14">
        <v>333.0</v>
      </c>
      <c r="G131" s="14">
        <v>339.0</v>
      </c>
      <c r="H131" s="14" t="s">
        <v>28</v>
      </c>
      <c r="I131" s="14"/>
      <c r="J131" s="130" t="s">
        <v>188</v>
      </c>
      <c r="K131" s="152" t="s">
        <v>1077</v>
      </c>
      <c r="L131" s="20"/>
      <c r="M131" s="16"/>
      <c r="N131" s="152" t="s">
        <v>1077</v>
      </c>
      <c r="O131" s="30"/>
      <c r="P131" s="30"/>
      <c r="Q131" s="30"/>
      <c r="R131" s="30"/>
      <c r="S131" s="30"/>
      <c r="T131" s="30"/>
      <c r="U131" s="30"/>
      <c r="V131" s="30"/>
      <c r="W131" s="30"/>
      <c r="X131" s="30"/>
    </row>
    <row r="132" ht="15.75" customHeight="1">
      <c r="A132" s="14" t="s">
        <v>17</v>
      </c>
      <c r="B132" s="14">
        <v>1992.0</v>
      </c>
      <c r="C132" s="14" t="s">
        <v>1078</v>
      </c>
      <c r="D132" s="14" t="s">
        <v>1079</v>
      </c>
      <c r="E132" s="150" t="s">
        <v>1080</v>
      </c>
      <c r="F132" s="14">
        <v>324.0</v>
      </c>
      <c r="G132" s="14">
        <v>331.0</v>
      </c>
      <c r="H132" s="14" t="s">
        <v>28</v>
      </c>
      <c r="I132" s="14"/>
      <c r="J132" s="130" t="s">
        <v>1081</v>
      </c>
      <c r="K132" s="152" t="s">
        <v>789</v>
      </c>
      <c r="L132" s="20"/>
      <c r="M132" s="16"/>
      <c r="N132" s="130" t="s">
        <v>35633</v>
      </c>
      <c r="O132" s="30"/>
      <c r="P132" s="30"/>
      <c r="Q132" s="30"/>
      <c r="R132" s="30"/>
      <c r="S132" s="30"/>
      <c r="T132" s="30"/>
      <c r="U132" s="30"/>
      <c r="V132" s="30"/>
      <c r="W132" s="30"/>
      <c r="X132" s="30"/>
    </row>
    <row r="133" ht="15.75" customHeight="1">
      <c r="A133" s="14" t="s">
        <v>17</v>
      </c>
      <c r="B133" s="14">
        <v>1992.0</v>
      </c>
      <c r="C133" s="14" t="s">
        <v>1083</v>
      </c>
      <c r="D133" s="14" t="s">
        <v>1084</v>
      </c>
      <c r="E133" s="150" t="s">
        <v>1085</v>
      </c>
      <c r="F133" s="14">
        <v>316.0</v>
      </c>
      <c r="G133" s="14">
        <v>323.0</v>
      </c>
      <c r="H133" s="14" t="s">
        <v>28</v>
      </c>
      <c r="I133" s="14"/>
      <c r="J133" s="130" t="s">
        <v>1088</v>
      </c>
      <c r="K133" s="152" t="s">
        <v>30</v>
      </c>
      <c r="L133" s="20" t="s">
        <v>1090</v>
      </c>
      <c r="M133" s="16"/>
      <c r="N133" s="130" t="s">
        <v>35636</v>
      </c>
      <c r="O133" s="30"/>
      <c r="P133" s="30"/>
      <c r="Q133" s="30"/>
      <c r="R133" s="30"/>
      <c r="S133" s="30"/>
      <c r="T133" s="30"/>
      <c r="U133" s="30"/>
      <c r="V133" s="30"/>
      <c r="W133" s="30"/>
      <c r="X133" s="30"/>
    </row>
    <row r="134" ht="15.75" customHeight="1">
      <c r="A134" s="14" t="s">
        <v>17</v>
      </c>
      <c r="B134" s="14">
        <v>1992.0</v>
      </c>
      <c r="C134" s="14" t="s">
        <v>1094</v>
      </c>
      <c r="D134" s="14" t="s">
        <v>1095</v>
      </c>
      <c r="E134" s="150" t="s">
        <v>1096</v>
      </c>
      <c r="F134" s="14">
        <v>308.0</v>
      </c>
      <c r="G134" s="14">
        <v>315.0</v>
      </c>
      <c r="H134" s="14" t="s">
        <v>28</v>
      </c>
      <c r="I134" s="14"/>
      <c r="J134" s="130" t="s">
        <v>1097</v>
      </c>
      <c r="K134" s="152" t="s">
        <v>1098</v>
      </c>
      <c r="L134" s="20"/>
      <c r="M134" s="16"/>
      <c r="N134" s="130" t="s">
        <v>35642</v>
      </c>
      <c r="O134" s="30"/>
      <c r="P134" s="30"/>
      <c r="Q134" s="30"/>
      <c r="R134" s="30"/>
      <c r="S134" s="30"/>
      <c r="T134" s="30"/>
      <c r="U134" s="30"/>
      <c r="V134" s="30"/>
      <c r="W134" s="30"/>
      <c r="X134" s="30"/>
    </row>
    <row r="135" ht="15.75" customHeight="1">
      <c r="A135" s="14" t="s">
        <v>17</v>
      </c>
      <c r="B135" s="14">
        <v>1992.0</v>
      </c>
      <c r="C135" s="14" t="s">
        <v>1099</v>
      </c>
      <c r="D135" s="14" t="s">
        <v>1100</v>
      </c>
      <c r="E135" s="150" t="s">
        <v>1101</v>
      </c>
      <c r="F135" s="14">
        <v>299.0</v>
      </c>
      <c r="G135" s="14">
        <v>306.0</v>
      </c>
      <c r="H135" s="14" t="s">
        <v>28</v>
      </c>
      <c r="I135" s="14"/>
      <c r="J135" s="130" t="s">
        <v>1104</v>
      </c>
      <c r="K135" s="152" t="s">
        <v>1105</v>
      </c>
      <c r="L135" s="20" t="s">
        <v>800</v>
      </c>
      <c r="M135" s="16"/>
      <c r="N135" s="152" t="s">
        <v>1105</v>
      </c>
      <c r="O135" s="30"/>
      <c r="P135" s="30"/>
      <c r="Q135" s="30"/>
      <c r="R135" s="30"/>
      <c r="S135" s="30"/>
      <c r="T135" s="30"/>
      <c r="U135" s="30"/>
      <c r="V135" s="30"/>
      <c r="W135" s="30"/>
      <c r="X135" s="30"/>
    </row>
    <row r="136" ht="15.75" customHeight="1">
      <c r="A136" s="14" t="s">
        <v>17</v>
      </c>
      <c r="B136" s="14">
        <v>1992.0</v>
      </c>
      <c r="C136" s="14" t="s">
        <v>1106</v>
      </c>
      <c r="D136" s="14" t="s">
        <v>1107</v>
      </c>
      <c r="E136" s="150" t="s">
        <v>1108</v>
      </c>
      <c r="F136" s="14">
        <v>291.0</v>
      </c>
      <c r="G136" s="14">
        <v>298.0</v>
      </c>
      <c r="H136" s="14" t="s">
        <v>28</v>
      </c>
      <c r="I136" s="14"/>
      <c r="J136" s="130" t="s">
        <v>1109</v>
      </c>
      <c r="K136" s="152" t="s">
        <v>1110</v>
      </c>
      <c r="L136" s="20" t="s">
        <v>470</v>
      </c>
      <c r="M136" s="16"/>
      <c r="N136" s="152" t="s">
        <v>1110</v>
      </c>
      <c r="O136" s="30"/>
      <c r="P136" s="30"/>
      <c r="Q136" s="30"/>
      <c r="R136" s="30"/>
      <c r="S136" s="30"/>
      <c r="T136" s="30"/>
      <c r="U136" s="30"/>
      <c r="V136" s="30"/>
      <c r="W136" s="30"/>
      <c r="X136" s="30"/>
    </row>
    <row r="137" ht="15.75" customHeight="1">
      <c r="A137" s="14" t="s">
        <v>17</v>
      </c>
      <c r="B137" s="14">
        <v>1992.0</v>
      </c>
      <c r="C137" s="14" t="s">
        <v>1111</v>
      </c>
      <c r="D137" s="14" t="s">
        <v>1112</v>
      </c>
      <c r="E137" s="150" t="s">
        <v>1113</v>
      </c>
      <c r="F137" s="14">
        <v>283.0</v>
      </c>
      <c r="G137" s="14">
        <v>290.0</v>
      </c>
      <c r="H137" s="14" t="s">
        <v>28</v>
      </c>
      <c r="I137" s="14"/>
      <c r="J137" s="130" t="s">
        <v>1117</v>
      </c>
      <c r="K137" s="152" t="s">
        <v>1118</v>
      </c>
      <c r="L137" s="20" t="s">
        <v>830</v>
      </c>
      <c r="M137" s="16"/>
      <c r="N137" s="130" t="s">
        <v>35653</v>
      </c>
      <c r="O137" s="30"/>
      <c r="P137" s="30"/>
      <c r="Q137" s="30"/>
      <c r="R137" s="30"/>
      <c r="S137" s="30"/>
      <c r="T137" s="30"/>
      <c r="U137" s="30"/>
      <c r="V137" s="30"/>
      <c r="W137" s="30"/>
      <c r="X137" s="30"/>
    </row>
    <row r="138" ht="15.75" customHeight="1">
      <c r="A138" s="14" t="s">
        <v>17</v>
      </c>
      <c r="B138" s="14">
        <v>1992.0</v>
      </c>
      <c r="C138" s="14" t="s">
        <v>1119</v>
      </c>
      <c r="D138" s="14" t="s">
        <v>1120</v>
      </c>
      <c r="E138" s="150" t="s">
        <v>1121</v>
      </c>
      <c r="F138" s="14">
        <v>274.0</v>
      </c>
      <c r="G138" s="14">
        <v>281.0</v>
      </c>
      <c r="H138" s="14" t="s">
        <v>28</v>
      </c>
      <c r="I138" s="14"/>
      <c r="J138" s="130" t="s">
        <v>1122</v>
      </c>
      <c r="K138" s="152" t="s">
        <v>1123</v>
      </c>
      <c r="L138" s="20"/>
      <c r="M138" s="16"/>
      <c r="N138" s="130" t="s">
        <v>35660</v>
      </c>
      <c r="O138" s="30"/>
      <c r="P138" s="30"/>
      <c r="Q138" s="30"/>
      <c r="R138" s="30"/>
      <c r="S138" s="30"/>
      <c r="T138" s="30"/>
      <c r="U138" s="30"/>
      <c r="V138" s="30"/>
      <c r="W138" s="30"/>
      <c r="X138" s="30"/>
    </row>
    <row r="139" ht="15.75" customHeight="1">
      <c r="A139" s="14" t="s">
        <v>17</v>
      </c>
      <c r="B139" s="14">
        <v>1992.0</v>
      </c>
      <c r="C139" s="14" t="s">
        <v>1124</v>
      </c>
      <c r="D139" s="14" t="s">
        <v>1125</v>
      </c>
      <c r="E139" s="150" t="s">
        <v>1126</v>
      </c>
      <c r="F139" s="14">
        <v>268.0</v>
      </c>
      <c r="G139" s="14">
        <v>273.0</v>
      </c>
      <c r="H139" s="14" t="s">
        <v>28</v>
      </c>
      <c r="I139" s="14"/>
      <c r="J139" s="130" t="s">
        <v>171</v>
      </c>
      <c r="K139" s="152" t="s">
        <v>713</v>
      </c>
      <c r="L139" s="20"/>
      <c r="M139" s="16"/>
      <c r="N139" s="130" t="s">
        <v>5060</v>
      </c>
      <c r="O139" s="30"/>
      <c r="P139" s="30"/>
      <c r="Q139" s="30"/>
      <c r="R139" s="30"/>
      <c r="S139" s="30"/>
      <c r="T139" s="30"/>
      <c r="U139" s="30"/>
      <c r="V139" s="30"/>
      <c r="W139" s="30"/>
      <c r="X139" s="30"/>
    </row>
    <row r="140" ht="15.75" customHeight="1">
      <c r="A140" s="14" t="s">
        <v>17</v>
      </c>
      <c r="B140" s="14">
        <v>1992.0</v>
      </c>
      <c r="C140" s="14" t="s">
        <v>1129</v>
      </c>
      <c r="D140" s="14" t="s">
        <v>1130</v>
      </c>
      <c r="E140" s="150" t="s">
        <v>1131</v>
      </c>
      <c r="F140" s="14">
        <v>260.0</v>
      </c>
      <c r="G140" s="14">
        <v>267.0</v>
      </c>
      <c r="H140" s="14" t="s">
        <v>28</v>
      </c>
      <c r="I140" s="14"/>
      <c r="J140" s="130" t="s">
        <v>1132</v>
      </c>
      <c r="K140" s="152" t="s">
        <v>1133</v>
      </c>
      <c r="L140" s="20"/>
      <c r="M140" s="16"/>
      <c r="N140" s="130" t="s">
        <v>35675</v>
      </c>
      <c r="O140" s="30"/>
      <c r="P140" s="30"/>
      <c r="Q140" s="30"/>
      <c r="R140" s="30"/>
      <c r="S140" s="30"/>
      <c r="T140" s="30"/>
      <c r="U140" s="30"/>
      <c r="V140" s="30"/>
      <c r="W140" s="30"/>
      <c r="X140" s="30"/>
    </row>
    <row r="141" ht="15.75" customHeight="1">
      <c r="A141" s="14" t="s">
        <v>17</v>
      </c>
      <c r="B141" s="14">
        <v>1992.0</v>
      </c>
      <c r="C141" s="14" t="s">
        <v>1134</v>
      </c>
      <c r="D141" s="14" t="s">
        <v>1135</v>
      </c>
      <c r="E141" s="150" t="s">
        <v>1136</v>
      </c>
      <c r="F141" s="14">
        <v>252.0</v>
      </c>
      <c r="G141" s="14">
        <v>259.0</v>
      </c>
      <c r="H141" s="14" t="s">
        <v>28</v>
      </c>
      <c r="I141" s="14"/>
      <c r="J141" s="130" t="s">
        <v>1137</v>
      </c>
      <c r="K141" s="152" t="s">
        <v>1138</v>
      </c>
      <c r="L141" s="20" t="s">
        <v>208</v>
      </c>
      <c r="M141" s="16"/>
      <c r="N141" s="130" t="s">
        <v>35684</v>
      </c>
      <c r="O141" s="30"/>
      <c r="P141" s="30"/>
      <c r="Q141" s="30"/>
      <c r="R141" s="30"/>
      <c r="S141" s="30"/>
      <c r="T141" s="30"/>
      <c r="U141" s="30"/>
      <c r="V141" s="30"/>
      <c r="W141" s="30"/>
      <c r="X141" s="30"/>
    </row>
    <row r="142" ht="15.75" customHeight="1">
      <c r="A142" s="14" t="s">
        <v>17</v>
      </c>
      <c r="B142" s="14">
        <v>1992.0</v>
      </c>
      <c r="C142" s="14" t="s">
        <v>1140</v>
      </c>
      <c r="D142" s="14" t="s">
        <v>1142</v>
      </c>
      <c r="E142" s="150" t="s">
        <v>1144</v>
      </c>
      <c r="F142" s="14">
        <v>243.0</v>
      </c>
      <c r="G142" s="14">
        <v>250.0</v>
      </c>
      <c r="H142" s="14" t="s">
        <v>28</v>
      </c>
      <c r="I142" s="14"/>
      <c r="J142" s="130" t="s">
        <v>1145</v>
      </c>
      <c r="K142" s="152" t="s">
        <v>477</v>
      </c>
      <c r="L142" s="20" t="s">
        <v>1146</v>
      </c>
      <c r="M142" s="16"/>
      <c r="N142" s="152" t="s">
        <v>477</v>
      </c>
      <c r="O142" s="30"/>
      <c r="P142" s="30"/>
      <c r="Q142" s="30"/>
      <c r="R142" s="30"/>
      <c r="S142" s="30"/>
      <c r="T142" s="30"/>
      <c r="U142" s="30"/>
      <c r="V142" s="30"/>
      <c r="W142" s="30"/>
      <c r="X142" s="30"/>
    </row>
    <row r="143" ht="15.75" customHeight="1">
      <c r="A143" s="14" t="s">
        <v>17</v>
      </c>
      <c r="B143" s="14">
        <v>1992.0</v>
      </c>
      <c r="C143" s="14" t="s">
        <v>1147</v>
      </c>
      <c r="D143" s="14" t="s">
        <v>1148</v>
      </c>
      <c r="E143" s="150" t="s">
        <v>1149</v>
      </c>
      <c r="F143" s="14">
        <v>235.0</v>
      </c>
      <c r="G143" s="14">
        <v>242.0</v>
      </c>
      <c r="H143" s="14" t="s">
        <v>28</v>
      </c>
      <c r="I143" s="14"/>
      <c r="J143" s="130" t="s">
        <v>1152</v>
      </c>
      <c r="K143" s="152" t="s">
        <v>1153</v>
      </c>
      <c r="L143" s="20" t="s">
        <v>355</v>
      </c>
      <c r="M143" s="16"/>
      <c r="N143" s="130" t="s">
        <v>35694</v>
      </c>
      <c r="O143" s="30"/>
      <c r="P143" s="30"/>
      <c r="Q143" s="30"/>
      <c r="R143" s="30"/>
      <c r="S143" s="30"/>
      <c r="T143" s="30"/>
      <c r="U143" s="30"/>
      <c r="V143" s="30"/>
      <c r="W143" s="30"/>
      <c r="X143" s="30"/>
    </row>
    <row r="144" ht="15.75" customHeight="1">
      <c r="A144" s="14" t="s">
        <v>17</v>
      </c>
      <c r="B144" s="14">
        <v>1992.0</v>
      </c>
      <c r="C144" s="14" t="s">
        <v>1154</v>
      </c>
      <c r="D144" s="14" t="s">
        <v>1155</v>
      </c>
      <c r="E144" s="150" t="s">
        <v>1156</v>
      </c>
      <c r="F144" s="14">
        <v>227.0</v>
      </c>
      <c r="G144" s="14">
        <v>234.0</v>
      </c>
      <c r="H144" s="14" t="s">
        <v>28</v>
      </c>
      <c r="I144" s="14"/>
      <c r="J144" s="130" t="s">
        <v>1157</v>
      </c>
      <c r="K144" s="152" t="s">
        <v>1158</v>
      </c>
      <c r="L144" s="20" t="s">
        <v>1159</v>
      </c>
      <c r="M144" s="16"/>
      <c r="N144" s="130" t="s">
        <v>35721</v>
      </c>
      <c r="O144" s="30"/>
      <c r="P144" s="30"/>
      <c r="Q144" s="30"/>
      <c r="R144" s="30"/>
      <c r="S144" s="30"/>
      <c r="T144" s="30"/>
      <c r="U144" s="30"/>
      <c r="V144" s="30"/>
      <c r="W144" s="30"/>
      <c r="X144" s="30"/>
    </row>
    <row r="145" ht="15.75" customHeight="1">
      <c r="A145" s="14" t="s">
        <v>17</v>
      </c>
      <c r="B145" s="14">
        <v>1992.0</v>
      </c>
      <c r="C145" s="14" t="s">
        <v>1160</v>
      </c>
      <c r="D145" s="14" t="s">
        <v>1161</v>
      </c>
      <c r="E145" s="150" t="s">
        <v>1162</v>
      </c>
      <c r="F145" s="14">
        <v>219.0</v>
      </c>
      <c r="G145" s="14">
        <v>226.0</v>
      </c>
      <c r="H145" s="14" t="s">
        <v>28</v>
      </c>
      <c r="I145" s="14"/>
      <c r="J145" s="130" t="s">
        <v>1166</v>
      </c>
      <c r="K145" s="152" t="s">
        <v>1167</v>
      </c>
      <c r="L145" s="20" t="s">
        <v>1168</v>
      </c>
      <c r="M145" s="16"/>
      <c r="N145" s="152" t="s">
        <v>1167</v>
      </c>
      <c r="O145" s="30"/>
      <c r="P145" s="30"/>
      <c r="Q145" s="30"/>
      <c r="R145" s="30"/>
      <c r="S145" s="30"/>
      <c r="T145" s="30"/>
      <c r="U145" s="30"/>
      <c r="V145" s="30"/>
      <c r="W145" s="30"/>
      <c r="X145" s="30"/>
    </row>
    <row r="146" ht="15.75" customHeight="1">
      <c r="A146" s="14" t="s">
        <v>17</v>
      </c>
      <c r="B146" s="14">
        <v>1992.0</v>
      </c>
      <c r="C146" s="14" t="s">
        <v>1169</v>
      </c>
      <c r="D146" s="14" t="s">
        <v>1170</v>
      </c>
      <c r="E146" s="150" t="s">
        <v>1171</v>
      </c>
      <c r="F146" s="14">
        <v>210.0</v>
      </c>
      <c r="G146" s="14">
        <v>217.0</v>
      </c>
      <c r="H146" s="14" t="s">
        <v>28</v>
      </c>
      <c r="I146" s="14"/>
      <c r="J146" s="130" t="s">
        <v>1173</v>
      </c>
      <c r="K146" s="152" t="s">
        <v>1174</v>
      </c>
      <c r="L146" s="20"/>
      <c r="M146" s="16"/>
      <c r="N146" s="152" t="s">
        <v>1174</v>
      </c>
      <c r="O146" s="30"/>
      <c r="P146" s="30"/>
      <c r="Q146" s="30"/>
      <c r="R146" s="30"/>
      <c r="S146" s="30"/>
      <c r="T146" s="30"/>
      <c r="U146" s="30"/>
      <c r="V146" s="30"/>
      <c r="W146" s="30"/>
      <c r="X146" s="30"/>
    </row>
    <row r="147" ht="15.75" customHeight="1">
      <c r="A147" s="14" t="s">
        <v>17</v>
      </c>
      <c r="B147" s="14">
        <v>1992.0</v>
      </c>
      <c r="C147" s="14" t="s">
        <v>1177</v>
      </c>
      <c r="D147" s="14" t="s">
        <v>1178</v>
      </c>
      <c r="E147" s="150" t="s">
        <v>1179</v>
      </c>
      <c r="F147" s="14">
        <v>202.0</v>
      </c>
      <c r="G147" s="14">
        <v>209.0</v>
      </c>
      <c r="H147" s="14" t="s">
        <v>28</v>
      </c>
      <c r="I147" s="14"/>
      <c r="J147" s="130" t="s">
        <v>1180</v>
      </c>
      <c r="K147" s="152" t="s">
        <v>1181</v>
      </c>
      <c r="L147" s="20" t="s">
        <v>1182</v>
      </c>
      <c r="M147" s="16"/>
      <c r="N147" s="130" t="s">
        <v>35735</v>
      </c>
      <c r="O147" s="30"/>
      <c r="P147" s="30"/>
      <c r="Q147" s="30"/>
      <c r="R147" s="30"/>
      <c r="S147" s="30"/>
      <c r="T147" s="30"/>
      <c r="U147" s="30"/>
      <c r="V147" s="30"/>
      <c r="W147" s="30"/>
      <c r="X147" s="30"/>
    </row>
    <row r="148" ht="15.75" customHeight="1">
      <c r="A148" s="14" t="s">
        <v>17</v>
      </c>
      <c r="B148" s="14">
        <v>1992.0</v>
      </c>
      <c r="C148" s="14" t="s">
        <v>1183</v>
      </c>
      <c r="D148" s="14" t="s">
        <v>1184</v>
      </c>
      <c r="E148" s="150" t="s">
        <v>1185</v>
      </c>
      <c r="F148" s="14">
        <v>194.0</v>
      </c>
      <c r="G148" s="14">
        <v>201.0</v>
      </c>
      <c r="H148" s="14" t="s">
        <v>28</v>
      </c>
      <c r="I148" s="14"/>
      <c r="J148" s="130" t="s">
        <v>1188</v>
      </c>
      <c r="K148" s="152" t="s">
        <v>1189</v>
      </c>
      <c r="L148" s="20"/>
      <c r="M148" s="174" t="s">
        <v>1190</v>
      </c>
      <c r="N148" s="130" t="s">
        <v>35742</v>
      </c>
      <c r="O148" s="30"/>
      <c r="P148" s="30"/>
      <c r="Q148" s="30"/>
      <c r="R148" s="30"/>
      <c r="S148" s="30"/>
      <c r="T148" s="30"/>
      <c r="U148" s="30"/>
      <c r="V148" s="30"/>
      <c r="W148" s="30"/>
      <c r="X148" s="30"/>
    </row>
    <row r="149" ht="15.75" customHeight="1">
      <c r="A149" s="14" t="s">
        <v>17</v>
      </c>
      <c r="B149" s="14">
        <v>1992.0</v>
      </c>
      <c r="C149" s="14" t="s">
        <v>1191</v>
      </c>
      <c r="D149" s="14" t="s">
        <v>1192</v>
      </c>
      <c r="E149" s="150" t="s">
        <v>1193</v>
      </c>
      <c r="F149" s="14">
        <v>186.0</v>
      </c>
      <c r="G149" s="14">
        <v>193.0</v>
      </c>
      <c r="H149" s="14" t="s">
        <v>28</v>
      </c>
      <c r="I149" s="14"/>
      <c r="J149" s="130" t="s">
        <v>1194</v>
      </c>
      <c r="K149" s="152" t="s">
        <v>1195</v>
      </c>
      <c r="L149" s="20"/>
      <c r="M149" s="16"/>
      <c r="N149" s="130" t="s">
        <v>35750</v>
      </c>
      <c r="O149" s="30"/>
      <c r="P149" s="30"/>
      <c r="Q149" s="30"/>
      <c r="R149" s="30"/>
      <c r="S149" s="30"/>
      <c r="T149" s="30"/>
      <c r="U149" s="30"/>
      <c r="V149" s="30"/>
      <c r="W149" s="30"/>
      <c r="X149" s="30"/>
    </row>
    <row r="150" ht="15.75" customHeight="1">
      <c r="A150" s="14" t="s">
        <v>17</v>
      </c>
      <c r="B150" s="14">
        <v>1992.0</v>
      </c>
      <c r="C150" s="14" t="s">
        <v>1196</v>
      </c>
      <c r="D150" s="14" t="s">
        <v>1197</v>
      </c>
      <c r="E150" s="150" t="s">
        <v>1199</v>
      </c>
      <c r="F150" s="14">
        <v>179.0</v>
      </c>
      <c r="G150" s="14">
        <v>184.0</v>
      </c>
      <c r="H150" s="14" t="s">
        <v>28</v>
      </c>
      <c r="I150" s="14"/>
      <c r="J150" s="130" t="s">
        <v>1202</v>
      </c>
      <c r="K150" s="152" t="s">
        <v>1153</v>
      </c>
      <c r="L150" s="20" t="s">
        <v>487</v>
      </c>
      <c r="M150" s="174" t="s">
        <v>1203</v>
      </c>
      <c r="N150" s="130" t="s">
        <v>35756</v>
      </c>
      <c r="O150" s="30"/>
      <c r="P150" s="30"/>
      <c r="Q150" s="30"/>
      <c r="R150" s="30"/>
      <c r="S150" s="30"/>
      <c r="T150" s="30"/>
      <c r="U150" s="30"/>
      <c r="V150" s="30"/>
      <c r="W150" s="30"/>
      <c r="X150" s="30"/>
    </row>
    <row r="151" ht="15.75" customHeight="1">
      <c r="A151" s="14" t="s">
        <v>17</v>
      </c>
      <c r="B151" s="14">
        <v>1992.0</v>
      </c>
      <c r="C151" s="14" t="s">
        <v>1204</v>
      </c>
      <c r="D151" s="14" t="s">
        <v>1205</v>
      </c>
      <c r="E151" s="150" t="s">
        <v>1206</v>
      </c>
      <c r="F151" s="14">
        <v>171.0</v>
      </c>
      <c r="G151" s="14">
        <v>178.0</v>
      </c>
      <c r="H151" s="14" t="s">
        <v>28</v>
      </c>
      <c r="I151" s="14"/>
      <c r="J151" s="130" t="s">
        <v>1207</v>
      </c>
      <c r="K151" s="152" t="s">
        <v>1110</v>
      </c>
      <c r="L151" s="20" t="s">
        <v>1208</v>
      </c>
      <c r="M151" s="16"/>
      <c r="N151" s="152" t="s">
        <v>1110</v>
      </c>
      <c r="O151" s="30"/>
      <c r="P151" s="30"/>
      <c r="Q151" s="30"/>
      <c r="R151" s="30"/>
      <c r="S151" s="30"/>
      <c r="T151" s="30"/>
      <c r="U151" s="30"/>
      <c r="V151" s="30"/>
      <c r="W151" s="30"/>
      <c r="X151" s="30"/>
    </row>
    <row r="152" ht="15.75" customHeight="1">
      <c r="A152" s="14" t="s">
        <v>17</v>
      </c>
      <c r="B152" s="14">
        <v>1992.0</v>
      </c>
      <c r="C152" s="14" t="s">
        <v>1209</v>
      </c>
      <c r="D152" s="14" t="s">
        <v>1210</v>
      </c>
      <c r="E152" s="150" t="s">
        <v>1212</v>
      </c>
      <c r="F152" s="14">
        <v>164.0</v>
      </c>
      <c r="G152" s="14">
        <v>170.0</v>
      </c>
      <c r="H152" s="14" t="s">
        <v>28</v>
      </c>
      <c r="I152" s="14"/>
      <c r="J152" s="130" t="s">
        <v>1215</v>
      </c>
      <c r="K152" s="152" t="s">
        <v>1216</v>
      </c>
      <c r="L152" s="20"/>
      <c r="M152" s="16"/>
      <c r="N152" s="130" t="s">
        <v>35765</v>
      </c>
      <c r="O152" s="30"/>
      <c r="P152" s="30"/>
      <c r="Q152" s="30"/>
      <c r="R152" s="30"/>
      <c r="S152" s="30"/>
      <c r="T152" s="30"/>
      <c r="U152" s="30"/>
      <c r="V152" s="30"/>
      <c r="W152" s="30"/>
      <c r="X152" s="30"/>
    </row>
    <row r="153" ht="15.75" customHeight="1">
      <c r="A153" s="14" t="s">
        <v>17</v>
      </c>
      <c r="B153" s="14">
        <v>1992.0</v>
      </c>
      <c r="C153" s="14" t="s">
        <v>1217</v>
      </c>
      <c r="D153" s="14" t="s">
        <v>1218</v>
      </c>
      <c r="E153" s="150" t="s">
        <v>1219</v>
      </c>
      <c r="F153" s="14">
        <v>156.0</v>
      </c>
      <c r="G153" s="14">
        <v>163.0</v>
      </c>
      <c r="H153" s="14" t="s">
        <v>28</v>
      </c>
      <c r="I153" s="14"/>
      <c r="J153" s="130" t="s">
        <v>1220</v>
      </c>
      <c r="K153" s="152" t="s">
        <v>1221</v>
      </c>
      <c r="L153" s="20" t="s">
        <v>470</v>
      </c>
      <c r="M153" s="16"/>
      <c r="N153" s="130" t="s">
        <v>35774</v>
      </c>
      <c r="O153" s="30"/>
      <c r="P153" s="30"/>
      <c r="Q153" s="30"/>
      <c r="R153" s="30"/>
      <c r="S153" s="30"/>
      <c r="T153" s="30"/>
      <c r="U153" s="30"/>
      <c r="V153" s="30"/>
      <c r="W153" s="30"/>
      <c r="X153" s="30"/>
    </row>
    <row r="154" ht="15.75" customHeight="1">
      <c r="A154" s="14" t="s">
        <v>17</v>
      </c>
      <c r="B154" s="14">
        <v>1992.0</v>
      </c>
      <c r="C154" s="14" t="s">
        <v>1222</v>
      </c>
      <c r="D154" s="14" t="s">
        <v>1223</v>
      </c>
      <c r="E154" s="150" t="s">
        <v>1224</v>
      </c>
      <c r="F154" s="14">
        <v>147.0</v>
      </c>
      <c r="G154" s="14">
        <v>154.0</v>
      </c>
      <c r="H154" s="14" t="s">
        <v>28</v>
      </c>
      <c r="I154" s="14"/>
      <c r="J154" s="130" t="s">
        <v>1225</v>
      </c>
      <c r="K154" s="152" t="s">
        <v>1174</v>
      </c>
      <c r="L154" s="20" t="s">
        <v>174</v>
      </c>
      <c r="M154" s="16"/>
      <c r="N154" s="130" t="s">
        <v>35779</v>
      </c>
      <c r="O154" s="30"/>
      <c r="P154" s="30"/>
      <c r="Q154" s="30"/>
      <c r="R154" s="30"/>
      <c r="S154" s="30"/>
      <c r="T154" s="30"/>
      <c r="U154" s="30"/>
      <c r="V154" s="30"/>
      <c r="W154" s="30"/>
      <c r="X154" s="30"/>
    </row>
    <row r="155" ht="15.75" customHeight="1">
      <c r="A155" s="14" t="s">
        <v>17</v>
      </c>
      <c r="B155" s="14">
        <v>1992.0</v>
      </c>
      <c r="C155" s="14" t="s">
        <v>1229</v>
      </c>
      <c r="D155" s="14" t="s">
        <v>972</v>
      </c>
      <c r="E155" s="150" t="s">
        <v>1230</v>
      </c>
      <c r="F155" s="14">
        <v>139.0</v>
      </c>
      <c r="G155" s="14">
        <v>146.0</v>
      </c>
      <c r="H155" s="14" t="s">
        <v>28</v>
      </c>
      <c r="I155" s="14"/>
      <c r="J155" s="130" t="s">
        <v>1231</v>
      </c>
      <c r="K155" s="152" t="s">
        <v>1232</v>
      </c>
      <c r="L155" s="20"/>
      <c r="M155" s="16"/>
      <c r="N155" s="130" t="s">
        <v>35784</v>
      </c>
      <c r="O155" s="30"/>
      <c r="P155" s="30"/>
      <c r="Q155" s="30"/>
      <c r="R155" s="30"/>
      <c r="S155" s="30"/>
      <c r="T155" s="30"/>
      <c r="U155" s="30"/>
      <c r="V155" s="30"/>
      <c r="W155" s="30"/>
      <c r="X155" s="30"/>
    </row>
    <row r="156" ht="15.75" customHeight="1">
      <c r="A156" s="14" t="s">
        <v>17</v>
      </c>
      <c r="B156" s="14">
        <v>1992.0</v>
      </c>
      <c r="C156" s="14" t="s">
        <v>1233</v>
      </c>
      <c r="D156" s="14" t="s">
        <v>1234</v>
      </c>
      <c r="E156" s="150" t="s">
        <v>1235</v>
      </c>
      <c r="F156" s="14">
        <v>132.0</v>
      </c>
      <c r="G156" s="14">
        <v>138.0</v>
      </c>
      <c r="H156" s="14" t="s">
        <v>28</v>
      </c>
      <c r="I156" s="14"/>
      <c r="J156" s="54" t="s">
        <v>35791</v>
      </c>
      <c r="K156" s="152" t="s">
        <v>1240</v>
      </c>
      <c r="L156" s="20"/>
      <c r="M156" s="174" t="s">
        <v>1241</v>
      </c>
      <c r="N156" s="130" t="s">
        <v>35792</v>
      </c>
      <c r="O156" s="30"/>
      <c r="P156" s="30"/>
      <c r="Q156" s="30"/>
      <c r="R156" s="30"/>
      <c r="S156" s="30"/>
      <c r="T156" s="30"/>
      <c r="U156" s="30"/>
      <c r="V156" s="30"/>
      <c r="W156" s="30"/>
      <c r="X156" s="30"/>
    </row>
    <row r="157" ht="15.75" customHeight="1">
      <c r="A157" s="14" t="s">
        <v>17</v>
      </c>
      <c r="B157" s="14">
        <v>1992.0</v>
      </c>
      <c r="C157" s="14" t="s">
        <v>1242</v>
      </c>
      <c r="D157" s="14" t="s">
        <v>1243</v>
      </c>
      <c r="E157" s="150" t="s">
        <v>1244</v>
      </c>
      <c r="F157" s="14">
        <v>124.0</v>
      </c>
      <c r="G157" s="14">
        <v>131.0</v>
      </c>
      <c r="H157" s="14" t="s">
        <v>28</v>
      </c>
      <c r="I157" s="14"/>
      <c r="J157" s="130" t="s">
        <v>1245</v>
      </c>
      <c r="K157" s="152" t="s">
        <v>815</v>
      </c>
      <c r="L157" s="20" t="s">
        <v>1246</v>
      </c>
      <c r="M157" s="16"/>
      <c r="N157" s="130" t="s">
        <v>35797</v>
      </c>
      <c r="O157" s="30"/>
      <c r="P157" s="30"/>
      <c r="Q157" s="30"/>
      <c r="R157" s="30"/>
      <c r="S157" s="30"/>
      <c r="T157" s="30"/>
      <c r="U157" s="30"/>
      <c r="V157" s="30"/>
      <c r="W157" s="30"/>
      <c r="X157" s="30"/>
    </row>
    <row r="158" ht="15.75" customHeight="1">
      <c r="A158" s="14" t="s">
        <v>17</v>
      </c>
      <c r="B158" s="14">
        <v>1992.0</v>
      </c>
      <c r="C158" s="14" t="s">
        <v>1247</v>
      </c>
      <c r="D158" s="14" t="s">
        <v>1248</v>
      </c>
      <c r="E158" s="150" t="s">
        <v>1249</v>
      </c>
      <c r="F158" s="14">
        <v>115.0</v>
      </c>
      <c r="G158" s="14">
        <v>122.0</v>
      </c>
      <c r="H158" s="14" t="s">
        <v>28</v>
      </c>
      <c r="I158" s="14"/>
      <c r="J158" s="130" t="s">
        <v>1527</v>
      </c>
      <c r="K158" s="152" t="s">
        <v>1253</v>
      </c>
      <c r="L158" s="20"/>
      <c r="M158" s="16"/>
      <c r="N158" s="130" t="s">
        <v>35798</v>
      </c>
      <c r="O158" s="30"/>
      <c r="P158" s="30"/>
      <c r="Q158" s="30"/>
      <c r="R158" s="30"/>
      <c r="S158" s="30"/>
      <c r="T158" s="30"/>
      <c r="U158" s="30"/>
      <c r="V158" s="30"/>
      <c r="W158" s="30"/>
      <c r="X158" s="30"/>
    </row>
    <row r="159" ht="15.75" customHeight="1">
      <c r="A159" s="14" t="s">
        <v>17</v>
      </c>
      <c r="B159" s="14">
        <v>1992.0</v>
      </c>
      <c r="C159" s="14" t="s">
        <v>1254</v>
      </c>
      <c r="D159" s="14" t="s">
        <v>1182</v>
      </c>
      <c r="E159" s="150" t="s">
        <v>1255</v>
      </c>
      <c r="F159" s="14">
        <v>107.0</v>
      </c>
      <c r="G159" s="14">
        <v>114.0</v>
      </c>
      <c r="H159" s="14" t="s">
        <v>28</v>
      </c>
      <c r="I159" s="14"/>
      <c r="J159" s="130" t="s">
        <v>1256</v>
      </c>
      <c r="K159" s="152" t="s">
        <v>1257</v>
      </c>
      <c r="L159" s="20" t="s">
        <v>1258</v>
      </c>
      <c r="M159" s="16"/>
      <c r="N159" s="130" t="s">
        <v>35799</v>
      </c>
      <c r="O159" s="30"/>
      <c r="P159" s="30"/>
      <c r="Q159" s="30"/>
      <c r="R159" s="30"/>
      <c r="S159" s="30"/>
      <c r="T159" s="30"/>
      <c r="U159" s="30"/>
      <c r="V159" s="30"/>
      <c r="W159" s="30"/>
      <c r="X159" s="30"/>
    </row>
    <row r="160" ht="15.75" customHeight="1">
      <c r="A160" s="14" t="s">
        <v>17</v>
      </c>
      <c r="B160" s="14">
        <v>1992.0</v>
      </c>
      <c r="C160" s="14" t="s">
        <v>1259</v>
      </c>
      <c r="D160" s="14" t="s">
        <v>1260</v>
      </c>
      <c r="E160" s="150" t="s">
        <v>1261</v>
      </c>
      <c r="F160" s="14">
        <v>99.0</v>
      </c>
      <c r="G160" s="14">
        <v>106.0</v>
      </c>
      <c r="H160" s="14" t="s">
        <v>28</v>
      </c>
      <c r="I160" s="14"/>
      <c r="J160" s="130" t="s">
        <v>1265</v>
      </c>
      <c r="K160" s="152" t="s">
        <v>494</v>
      </c>
      <c r="L160" s="20"/>
      <c r="M160" s="16"/>
      <c r="N160" s="130"/>
      <c r="O160" s="30"/>
      <c r="P160" s="30"/>
      <c r="Q160" s="30"/>
      <c r="R160" s="30"/>
      <c r="S160" s="30"/>
      <c r="T160" s="30"/>
      <c r="U160" s="30"/>
      <c r="V160" s="30"/>
      <c r="W160" s="30"/>
      <c r="X160" s="30"/>
    </row>
    <row r="161" ht="15.75" customHeight="1">
      <c r="A161" s="14" t="s">
        <v>17</v>
      </c>
      <c r="B161" s="14">
        <v>1992.0</v>
      </c>
      <c r="C161" s="14" t="s">
        <v>1266</v>
      </c>
      <c r="D161" s="14" t="s">
        <v>1267</v>
      </c>
      <c r="E161" s="150" t="s">
        <v>1268</v>
      </c>
      <c r="F161" s="14">
        <v>93.0</v>
      </c>
      <c r="G161" s="14">
        <v>98.0</v>
      </c>
      <c r="H161" s="14" t="s">
        <v>28</v>
      </c>
      <c r="I161" s="14"/>
      <c r="J161" s="130" t="s">
        <v>1269</v>
      </c>
      <c r="K161" s="152" t="s">
        <v>1270</v>
      </c>
      <c r="L161" s="20" t="s">
        <v>1271</v>
      </c>
      <c r="M161" s="16"/>
      <c r="N161" s="152" t="s">
        <v>1270</v>
      </c>
      <c r="O161" s="30"/>
      <c r="P161" s="30"/>
      <c r="Q161" s="30"/>
      <c r="R161" s="30"/>
      <c r="S161" s="30"/>
      <c r="T161" s="30"/>
      <c r="U161" s="30"/>
      <c r="V161" s="30"/>
      <c r="W161" s="30"/>
      <c r="X161" s="30"/>
    </row>
    <row r="162" ht="15.75" customHeight="1">
      <c r="A162" s="14" t="s">
        <v>17</v>
      </c>
      <c r="B162" s="14">
        <v>1992.0</v>
      </c>
      <c r="C162" s="14" t="s">
        <v>1272</v>
      </c>
      <c r="D162" s="14" t="s">
        <v>1273</v>
      </c>
      <c r="E162" s="150" t="s">
        <v>1274</v>
      </c>
      <c r="F162" s="14">
        <v>84.0</v>
      </c>
      <c r="G162" s="14">
        <v>91.0</v>
      </c>
      <c r="H162" s="14" t="s">
        <v>28</v>
      </c>
      <c r="I162" s="14"/>
      <c r="J162" s="130" t="s">
        <v>854</v>
      </c>
      <c r="K162" s="152" t="s">
        <v>1278</v>
      </c>
      <c r="L162" s="20" t="s">
        <v>1279</v>
      </c>
      <c r="M162" s="16"/>
      <c r="N162" s="130" t="s">
        <v>35807</v>
      </c>
      <c r="O162" s="30"/>
      <c r="P162" s="30"/>
      <c r="Q162" s="30"/>
      <c r="R162" s="30"/>
      <c r="S162" s="30"/>
      <c r="T162" s="30"/>
      <c r="U162" s="30"/>
      <c r="V162" s="30"/>
      <c r="W162" s="30"/>
      <c r="X162" s="30"/>
    </row>
    <row r="163" ht="15.75" customHeight="1">
      <c r="A163" s="14" t="s">
        <v>17</v>
      </c>
      <c r="B163" s="14">
        <v>1992.0</v>
      </c>
      <c r="C163" s="14" t="s">
        <v>1280</v>
      </c>
      <c r="D163" s="14" t="s">
        <v>1281</v>
      </c>
      <c r="E163" s="150" t="s">
        <v>1282</v>
      </c>
      <c r="F163" s="14">
        <v>77.0</v>
      </c>
      <c r="G163" s="14">
        <v>83.0</v>
      </c>
      <c r="H163" s="14" t="s">
        <v>28</v>
      </c>
      <c r="I163" s="14"/>
      <c r="J163" s="130" t="s">
        <v>1286</v>
      </c>
      <c r="K163" s="152" t="s">
        <v>1287</v>
      </c>
      <c r="L163" s="20" t="s">
        <v>536</v>
      </c>
      <c r="M163" s="16"/>
      <c r="N163" s="152" t="s">
        <v>1287</v>
      </c>
      <c r="O163" s="30"/>
      <c r="P163" s="30"/>
      <c r="Q163" s="30"/>
      <c r="R163" s="30"/>
      <c r="S163" s="30"/>
      <c r="T163" s="30"/>
      <c r="U163" s="30"/>
      <c r="V163" s="30"/>
      <c r="W163" s="30"/>
      <c r="X163" s="30"/>
    </row>
    <row r="164" ht="15.75" customHeight="1">
      <c r="A164" s="14" t="s">
        <v>17</v>
      </c>
      <c r="B164" s="14">
        <v>1992.0</v>
      </c>
      <c r="C164" s="14" t="s">
        <v>1288</v>
      </c>
      <c r="D164" s="14" t="s">
        <v>1289</v>
      </c>
      <c r="E164" s="150" t="s">
        <v>1290</v>
      </c>
      <c r="F164" s="14">
        <v>70.0</v>
      </c>
      <c r="G164" s="14">
        <v>76.0</v>
      </c>
      <c r="H164" s="14" t="s">
        <v>28</v>
      </c>
      <c r="I164" s="14"/>
      <c r="J164" s="130" t="s">
        <v>1291</v>
      </c>
      <c r="K164" s="152" t="s">
        <v>1292</v>
      </c>
      <c r="L164" s="20"/>
      <c r="M164" s="16"/>
      <c r="N164" s="152" t="s">
        <v>1292</v>
      </c>
      <c r="O164" s="30"/>
      <c r="P164" s="30"/>
      <c r="Q164" s="30"/>
      <c r="R164" s="30"/>
      <c r="S164" s="30"/>
      <c r="T164" s="30"/>
      <c r="U164" s="30"/>
      <c r="V164" s="30"/>
      <c r="W164" s="30"/>
      <c r="X164" s="30"/>
    </row>
    <row r="165" ht="15.75" customHeight="1">
      <c r="A165" s="14" t="s">
        <v>17</v>
      </c>
      <c r="B165" s="14">
        <v>1992.0</v>
      </c>
      <c r="C165" s="14" t="s">
        <v>1293</v>
      </c>
      <c r="D165" s="14" t="s">
        <v>1294</v>
      </c>
      <c r="E165" s="150" t="s">
        <v>1295</v>
      </c>
      <c r="F165" s="14">
        <v>62.0</v>
      </c>
      <c r="G165" s="14">
        <v>68.0</v>
      </c>
      <c r="H165" s="14" t="s">
        <v>28</v>
      </c>
      <c r="I165" s="14"/>
      <c r="J165" s="130" t="s">
        <v>1299</v>
      </c>
      <c r="K165" s="152" t="s">
        <v>1300</v>
      </c>
      <c r="L165" s="20"/>
      <c r="M165" s="16"/>
      <c r="N165" s="130" t="s">
        <v>35813</v>
      </c>
      <c r="O165" s="30"/>
      <c r="P165" s="30"/>
      <c r="Q165" s="30"/>
      <c r="R165" s="30"/>
      <c r="S165" s="30"/>
      <c r="T165" s="30"/>
      <c r="U165" s="30"/>
      <c r="V165" s="30"/>
      <c r="W165" s="30"/>
      <c r="X165" s="30"/>
    </row>
    <row r="166" ht="15.75" customHeight="1">
      <c r="A166" s="14" t="s">
        <v>17</v>
      </c>
      <c r="B166" s="14">
        <v>1992.0</v>
      </c>
      <c r="C166" s="14" t="s">
        <v>1301</v>
      </c>
      <c r="D166" s="14" t="s">
        <v>1302</v>
      </c>
      <c r="E166" s="150" t="s">
        <v>1303</v>
      </c>
      <c r="F166" s="14">
        <v>54.0</v>
      </c>
      <c r="G166" s="14">
        <v>61.0</v>
      </c>
      <c r="H166" s="14" t="s">
        <v>28</v>
      </c>
      <c r="I166" s="14"/>
      <c r="J166" s="130" t="s">
        <v>1304</v>
      </c>
      <c r="K166" s="152" t="s">
        <v>1305</v>
      </c>
      <c r="L166" s="20" t="s">
        <v>25</v>
      </c>
      <c r="M166" s="16"/>
      <c r="N166" s="152" t="s">
        <v>1305</v>
      </c>
      <c r="O166" s="30"/>
      <c r="P166" s="30"/>
      <c r="Q166" s="30"/>
      <c r="R166" s="30"/>
      <c r="S166" s="30"/>
      <c r="T166" s="30"/>
      <c r="U166" s="30"/>
      <c r="V166" s="30"/>
      <c r="W166" s="30"/>
      <c r="X166" s="30"/>
    </row>
    <row r="167" ht="15.75" customHeight="1">
      <c r="A167" s="14" t="s">
        <v>17</v>
      </c>
      <c r="B167" s="14">
        <v>1992.0</v>
      </c>
      <c r="C167" s="14" t="s">
        <v>1306</v>
      </c>
      <c r="D167" s="14" t="s">
        <v>1307</v>
      </c>
      <c r="E167" s="150" t="s">
        <v>1308</v>
      </c>
      <c r="F167" s="14">
        <v>46.0</v>
      </c>
      <c r="G167" s="14">
        <v>53.0</v>
      </c>
      <c r="H167" s="14" t="s">
        <v>28</v>
      </c>
      <c r="I167" s="14"/>
      <c r="J167" s="130" t="s">
        <v>1312</v>
      </c>
      <c r="K167" s="152" t="s">
        <v>1313</v>
      </c>
      <c r="L167" s="20" t="s">
        <v>1314</v>
      </c>
      <c r="M167" s="16"/>
      <c r="N167" s="130" t="s">
        <v>35822</v>
      </c>
      <c r="O167" s="30"/>
      <c r="P167" s="30"/>
      <c r="Q167" s="30"/>
      <c r="R167" s="30"/>
      <c r="S167" s="30"/>
      <c r="T167" s="30"/>
      <c r="U167" s="30"/>
      <c r="V167" s="30"/>
      <c r="W167" s="30"/>
      <c r="X167" s="30"/>
    </row>
    <row r="168" ht="15.75" customHeight="1">
      <c r="A168" s="14" t="s">
        <v>17</v>
      </c>
      <c r="B168" s="14">
        <v>1992.0</v>
      </c>
      <c r="C168" s="14" t="s">
        <v>1315</v>
      </c>
      <c r="D168" s="14" t="s">
        <v>1316</v>
      </c>
      <c r="E168" s="150" t="s">
        <v>1317</v>
      </c>
      <c r="F168" s="14">
        <v>37.0</v>
      </c>
      <c r="G168" s="14">
        <v>44.0</v>
      </c>
      <c r="H168" s="14" t="s">
        <v>28</v>
      </c>
      <c r="I168" s="14"/>
      <c r="J168" s="130" t="s">
        <v>1318</v>
      </c>
      <c r="K168" s="152" t="s">
        <v>1319</v>
      </c>
      <c r="L168" s="20" t="s">
        <v>825</v>
      </c>
      <c r="M168" s="16"/>
      <c r="N168" s="130" t="s">
        <v>35826</v>
      </c>
      <c r="O168" s="30"/>
      <c r="P168" s="30"/>
      <c r="Q168" s="30"/>
      <c r="R168" s="30"/>
      <c r="S168" s="30"/>
      <c r="T168" s="30"/>
      <c r="U168" s="30"/>
      <c r="V168" s="30"/>
      <c r="W168" s="30"/>
      <c r="X168" s="30"/>
    </row>
    <row r="169" ht="15.75" customHeight="1">
      <c r="A169" s="14" t="s">
        <v>17</v>
      </c>
      <c r="B169" s="14">
        <v>1992.0</v>
      </c>
      <c r="C169" s="14" t="s">
        <v>1321</v>
      </c>
      <c r="D169" s="14" t="s">
        <v>1323</v>
      </c>
      <c r="E169" s="150" t="s">
        <v>1324</v>
      </c>
      <c r="F169" s="14">
        <v>29.0</v>
      </c>
      <c r="G169" s="14">
        <v>36.0</v>
      </c>
      <c r="H169" s="14" t="s">
        <v>28</v>
      </c>
      <c r="I169" s="14"/>
      <c r="J169" s="130" t="s">
        <v>1325</v>
      </c>
      <c r="K169" s="152" t="s">
        <v>1326</v>
      </c>
      <c r="L169" s="20"/>
      <c r="M169" s="16"/>
      <c r="N169" s="130" t="s">
        <v>35837</v>
      </c>
      <c r="O169" s="30"/>
      <c r="P169" s="30"/>
      <c r="Q169" s="30"/>
      <c r="R169" s="30"/>
      <c r="S169" s="30"/>
      <c r="T169" s="30"/>
      <c r="U169" s="30"/>
      <c r="V169" s="30"/>
      <c r="W169" s="30"/>
      <c r="X169" s="30"/>
    </row>
    <row r="170" ht="15.75" customHeight="1">
      <c r="A170" s="14" t="s">
        <v>17</v>
      </c>
      <c r="B170" s="14">
        <v>1992.0</v>
      </c>
      <c r="C170" s="14" t="s">
        <v>1327</v>
      </c>
      <c r="D170" s="14" t="s">
        <v>1328</v>
      </c>
      <c r="E170" s="150" t="s">
        <v>1329</v>
      </c>
      <c r="F170" s="14">
        <v>21.0</v>
      </c>
      <c r="G170" s="14">
        <v>28.0</v>
      </c>
      <c r="H170" s="14" t="s">
        <v>28</v>
      </c>
      <c r="I170" s="14"/>
      <c r="J170" s="130" t="s">
        <v>1331</v>
      </c>
      <c r="K170" s="152" t="s">
        <v>1332</v>
      </c>
      <c r="L170" s="20"/>
      <c r="M170" s="16"/>
      <c r="N170" s="152" t="s">
        <v>1332</v>
      </c>
      <c r="O170" s="30"/>
      <c r="P170" s="30"/>
      <c r="Q170" s="30"/>
      <c r="R170" s="30"/>
      <c r="S170" s="30"/>
      <c r="T170" s="30"/>
      <c r="U170" s="30"/>
      <c r="V170" s="30"/>
      <c r="W170" s="30"/>
      <c r="X170" s="30"/>
    </row>
    <row r="171" ht="15.75" customHeight="1">
      <c r="A171" s="14" t="s">
        <v>17</v>
      </c>
      <c r="B171" s="14">
        <v>1992.0</v>
      </c>
      <c r="C171" s="14" t="s">
        <v>1333</v>
      </c>
      <c r="D171" s="14" t="s">
        <v>1334</v>
      </c>
      <c r="E171" s="150" t="s">
        <v>1335</v>
      </c>
      <c r="F171" s="14">
        <v>13.0</v>
      </c>
      <c r="G171" s="14">
        <v>20.0</v>
      </c>
      <c r="H171" s="14" t="s">
        <v>28</v>
      </c>
      <c r="I171" s="14"/>
      <c r="J171" s="130" t="s">
        <v>1336</v>
      </c>
      <c r="K171" s="152" t="s">
        <v>1337</v>
      </c>
      <c r="L171" s="20" t="s">
        <v>1338</v>
      </c>
      <c r="M171" s="16"/>
      <c r="N171" s="130" t="s">
        <v>35151</v>
      </c>
      <c r="O171" s="30"/>
      <c r="P171" s="30"/>
      <c r="Q171" s="30"/>
      <c r="R171" s="30"/>
      <c r="S171" s="30"/>
      <c r="T171" s="30"/>
      <c r="U171" s="30"/>
      <c r="V171" s="30"/>
      <c r="W171" s="30"/>
      <c r="X171" s="30"/>
    </row>
    <row r="172" ht="15.75" customHeight="1">
      <c r="A172" s="14" t="s">
        <v>17</v>
      </c>
      <c r="B172" s="14">
        <v>1993.0</v>
      </c>
      <c r="C172" s="14" t="s">
        <v>1339</v>
      </c>
      <c r="D172" s="14" t="s">
        <v>1340</v>
      </c>
      <c r="E172" s="150" t="s">
        <v>1341</v>
      </c>
      <c r="F172" s="14">
        <v>11.0</v>
      </c>
      <c r="G172" s="14">
        <v>18.0</v>
      </c>
      <c r="H172" s="14" t="s">
        <v>28</v>
      </c>
      <c r="I172" s="14"/>
      <c r="J172" s="130" t="s">
        <v>1345</v>
      </c>
      <c r="K172" s="152" t="s">
        <v>1346</v>
      </c>
      <c r="L172" s="20" t="s">
        <v>511</v>
      </c>
      <c r="M172" s="16"/>
      <c r="N172" s="130" t="s">
        <v>34645</v>
      </c>
      <c r="O172" s="45"/>
      <c r="P172" s="45"/>
      <c r="Q172" s="45"/>
      <c r="R172" s="45"/>
      <c r="S172" s="45"/>
      <c r="T172" s="45"/>
      <c r="U172" s="45"/>
      <c r="V172" s="45"/>
      <c r="W172" s="45"/>
      <c r="X172" s="45"/>
    </row>
    <row r="173" ht="15.75" customHeight="1">
      <c r="A173" s="14" t="s">
        <v>17</v>
      </c>
      <c r="B173" s="14">
        <v>1993.0</v>
      </c>
      <c r="C173" s="14" t="s">
        <v>1347</v>
      </c>
      <c r="D173" s="14" t="s">
        <v>1348</v>
      </c>
      <c r="E173" s="150" t="s">
        <v>1349</v>
      </c>
      <c r="F173" s="14">
        <v>19.0</v>
      </c>
      <c r="G173" s="14">
        <v>24.0</v>
      </c>
      <c r="H173" s="14" t="s">
        <v>28</v>
      </c>
      <c r="I173" s="14"/>
      <c r="J173" s="130" t="s">
        <v>1350</v>
      </c>
      <c r="K173" s="152" t="s">
        <v>1351</v>
      </c>
      <c r="L173" s="20" t="s">
        <v>1352</v>
      </c>
      <c r="M173" s="16"/>
      <c r="N173" s="130" t="s">
        <v>35868</v>
      </c>
      <c r="O173" s="45"/>
      <c r="P173" s="45"/>
      <c r="Q173" s="45"/>
      <c r="R173" s="45"/>
      <c r="S173" s="45"/>
      <c r="T173" s="45"/>
      <c r="U173" s="45"/>
      <c r="V173" s="45"/>
      <c r="W173" s="45"/>
      <c r="X173" s="45"/>
    </row>
    <row r="174" ht="15.75" customHeight="1">
      <c r="A174" s="14" t="s">
        <v>17</v>
      </c>
      <c r="B174" s="14">
        <v>1993.0</v>
      </c>
      <c r="C174" s="14" t="s">
        <v>1353</v>
      </c>
      <c r="D174" s="14" t="s">
        <v>1354</v>
      </c>
      <c r="E174" s="150" t="s">
        <v>1355</v>
      </c>
      <c r="F174" s="14">
        <v>25.0</v>
      </c>
      <c r="G174" s="14">
        <v>30.0</v>
      </c>
      <c r="H174" s="14" t="s">
        <v>28</v>
      </c>
      <c r="I174" s="14"/>
      <c r="J174" s="130" t="s">
        <v>35877</v>
      </c>
      <c r="K174" s="152" t="s">
        <v>1357</v>
      </c>
      <c r="L174" s="20"/>
      <c r="M174" s="16"/>
      <c r="N174" s="152" t="s">
        <v>1357</v>
      </c>
      <c r="O174" s="45"/>
      <c r="P174" s="45"/>
      <c r="Q174" s="45"/>
      <c r="R174" s="45"/>
      <c r="S174" s="45"/>
      <c r="T174" s="45"/>
      <c r="U174" s="45"/>
      <c r="V174" s="45"/>
      <c r="W174" s="45"/>
      <c r="X174" s="45"/>
    </row>
    <row r="175" ht="15.75" customHeight="1">
      <c r="A175" s="14" t="s">
        <v>17</v>
      </c>
      <c r="B175" s="14">
        <v>1993.0</v>
      </c>
      <c r="C175" s="14" t="s">
        <v>1358</v>
      </c>
      <c r="D175" s="14" t="s">
        <v>1359</v>
      </c>
      <c r="E175" s="150" t="s">
        <v>1360</v>
      </c>
      <c r="F175" s="14">
        <v>32.0</v>
      </c>
      <c r="G175" s="14">
        <v>38.0</v>
      </c>
      <c r="H175" s="14" t="s">
        <v>28</v>
      </c>
      <c r="I175" s="14"/>
      <c r="J175" s="130" t="s">
        <v>1364</v>
      </c>
      <c r="K175" s="152" t="s">
        <v>1110</v>
      </c>
      <c r="L175" s="20" t="s">
        <v>1365</v>
      </c>
      <c r="M175" s="16"/>
      <c r="N175" s="152" t="s">
        <v>1110</v>
      </c>
      <c r="O175" s="45"/>
      <c r="P175" s="45"/>
      <c r="Q175" s="45"/>
      <c r="R175" s="45"/>
      <c r="S175" s="45"/>
      <c r="T175" s="45"/>
      <c r="U175" s="45"/>
      <c r="V175" s="45"/>
      <c r="W175" s="45"/>
      <c r="X175" s="45"/>
    </row>
    <row r="176" ht="15.75" customHeight="1">
      <c r="A176" s="14" t="s">
        <v>17</v>
      </c>
      <c r="B176" s="14">
        <v>1993.0</v>
      </c>
      <c r="C176" s="14" t="s">
        <v>1366</v>
      </c>
      <c r="D176" s="14" t="s">
        <v>1367</v>
      </c>
      <c r="E176" s="150" t="s">
        <v>1368</v>
      </c>
      <c r="F176" s="14">
        <v>39.0</v>
      </c>
      <c r="G176" s="14">
        <v>45.0</v>
      </c>
      <c r="H176" s="14" t="s">
        <v>28</v>
      </c>
      <c r="I176" s="14"/>
      <c r="J176" s="130" t="s">
        <v>1371</v>
      </c>
      <c r="K176" s="152" t="s">
        <v>1372</v>
      </c>
      <c r="L176" s="20" t="s">
        <v>1373</v>
      </c>
      <c r="M176" s="16"/>
      <c r="N176" s="130" t="s">
        <v>35901</v>
      </c>
      <c r="O176" s="45"/>
      <c r="P176" s="45"/>
      <c r="Q176" s="45"/>
      <c r="R176" s="45"/>
      <c r="S176" s="45"/>
      <c r="T176" s="45"/>
      <c r="U176" s="45"/>
      <c r="V176" s="45"/>
      <c r="W176" s="45"/>
      <c r="X176" s="45"/>
    </row>
    <row r="177" ht="15.75" customHeight="1">
      <c r="A177" s="14" t="s">
        <v>17</v>
      </c>
      <c r="B177" s="14">
        <v>1993.0</v>
      </c>
      <c r="C177" s="14" t="s">
        <v>1374</v>
      </c>
      <c r="D177" s="14" t="s">
        <v>1375</v>
      </c>
      <c r="E177" s="150" t="s">
        <v>1376</v>
      </c>
      <c r="F177" s="14">
        <v>46.0</v>
      </c>
      <c r="G177" s="14">
        <v>52.0</v>
      </c>
      <c r="H177" s="14" t="s">
        <v>28</v>
      </c>
      <c r="I177" s="14"/>
      <c r="J177" s="130" t="s">
        <v>1377</v>
      </c>
      <c r="K177" s="152" t="s">
        <v>1372</v>
      </c>
      <c r="L177" s="20"/>
      <c r="M177" s="16"/>
      <c r="N177" s="130" t="s">
        <v>35910</v>
      </c>
      <c r="O177" s="45"/>
      <c r="P177" s="45"/>
      <c r="Q177" s="45"/>
      <c r="R177" s="45"/>
      <c r="S177" s="45"/>
      <c r="T177" s="45"/>
      <c r="U177" s="45"/>
      <c r="V177" s="45"/>
      <c r="W177" s="45"/>
      <c r="X177" s="45"/>
    </row>
    <row r="178" ht="15.75" customHeight="1">
      <c r="A178" s="14" t="s">
        <v>17</v>
      </c>
      <c r="B178" s="14">
        <v>1993.0</v>
      </c>
      <c r="C178" s="14" t="s">
        <v>1378</v>
      </c>
      <c r="D178" s="14" t="s">
        <v>1379</v>
      </c>
      <c r="E178" s="150" t="s">
        <v>1380</v>
      </c>
      <c r="F178" s="14">
        <v>54.0</v>
      </c>
      <c r="G178" s="14">
        <v>61.0</v>
      </c>
      <c r="H178" s="14" t="s">
        <v>28</v>
      </c>
      <c r="I178" s="14"/>
      <c r="J178" s="130" t="s">
        <v>1384</v>
      </c>
      <c r="K178" s="152" t="s">
        <v>1385</v>
      </c>
      <c r="L178" s="20"/>
      <c r="M178" s="16"/>
      <c r="N178" s="130" t="s">
        <v>35922</v>
      </c>
      <c r="O178" s="45"/>
      <c r="P178" s="45"/>
      <c r="Q178" s="45"/>
      <c r="R178" s="45"/>
      <c r="S178" s="45"/>
      <c r="T178" s="45"/>
      <c r="U178" s="45"/>
      <c r="V178" s="45"/>
      <c r="W178" s="45"/>
      <c r="X178" s="45"/>
    </row>
    <row r="179" ht="15.75" customHeight="1">
      <c r="A179" s="14" t="s">
        <v>17</v>
      </c>
      <c r="B179" s="14">
        <v>1993.0</v>
      </c>
      <c r="C179" s="14" t="s">
        <v>1386</v>
      </c>
      <c r="D179" s="14" t="s">
        <v>1387</v>
      </c>
      <c r="E179" s="150" t="s">
        <v>1388</v>
      </c>
      <c r="F179" s="14">
        <v>62.0</v>
      </c>
      <c r="G179" s="14">
        <v>69.0</v>
      </c>
      <c r="H179" s="14" t="s">
        <v>28</v>
      </c>
      <c r="I179" s="14"/>
      <c r="J179" s="130" t="s">
        <v>1389</v>
      </c>
      <c r="K179" s="152" t="s">
        <v>1390</v>
      </c>
      <c r="L179" s="20" t="s">
        <v>1334</v>
      </c>
      <c r="M179" s="16"/>
      <c r="N179" s="130" t="s">
        <v>34817</v>
      </c>
      <c r="O179" s="45"/>
      <c r="P179" s="45"/>
      <c r="Q179" s="45"/>
      <c r="R179" s="45"/>
      <c r="S179" s="45"/>
      <c r="T179" s="45"/>
      <c r="U179" s="45"/>
      <c r="V179" s="45"/>
      <c r="W179" s="45"/>
      <c r="X179" s="45"/>
    </row>
    <row r="180" ht="15.75" customHeight="1">
      <c r="A180" s="14" t="s">
        <v>17</v>
      </c>
      <c r="B180" s="14">
        <v>1993.0</v>
      </c>
      <c r="C180" s="14" t="s">
        <v>1391</v>
      </c>
      <c r="D180" s="14" t="s">
        <v>1392</v>
      </c>
      <c r="E180" s="150" t="s">
        <v>1393</v>
      </c>
      <c r="F180" s="14">
        <v>70.0</v>
      </c>
      <c r="G180" s="14">
        <v>77.0</v>
      </c>
      <c r="H180" s="14" t="s">
        <v>28</v>
      </c>
      <c r="I180" s="14"/>
      <c r="J180" s="130" t="s">
        <v>1396</v>
      </c>
      <c r="K180" s="152" t="s">
        <v>1397</v>
      </c>
      <c r="L180" s="20" t="s">
        <v>1398</v>
      </c>
      <c r="M180" s="16"/>
      <c r="N180" s="130" t="s">
        <v>35935</v>
      </c>
      <c r="O180" s="45"/>
      <c r="P180" s="45"/>
      <c r="Q180" s="45"/>
      <c r="R180" s="45"/>
      <c r="S180" s="45"/>
      <c r="T180" s="45"/>
      <c r="U180" s="45"/>
      <c r="V180" s="45"/>
      <c r="W180" s="45"/>
      <c r="X180" s="45"/>
    </row>
    <row r="181" ht="15.75" customHeight="1">
      <c r="A181" s="14" t="s">
        <v>17</v>
      </c>
      <c r="B181" s="14">
        <v>1993.0</v>
      </c>
      <c r="C181" s="14" t="s">
        <v>1399</v>
      </c>
      <c r="D181" s="14" t="s">
        <v>1400</v>
      </c>
      <c r="E181" s="150" t="s">
        <v>1401</v>
      </c>
      <c r="F181" s="14">
        <v>78.0</v>
      </c>
      <c r="G181" s="14">
        <v>84.0</v>
      </c>
      <c r="H181" s="14" t="s">
        <v>28</v>
      </c>
      <c r="I181" s="14"/>
      <c r="J181" s="130" t="s">
        <v>1403</v>
      </c>
      <c r="K181" s="152" t="s">
        <v>66</v>
      </c>
      <c r="L181" s="20" t="s">
        <v>1067</v>
      </c>
      <c r="M181" s="174" t="s">
        <v>1406</v>
      </c>
      <c r="N181" s="130" t="s">
        <v>34682</v>
      </c>
      <c r="O181" s="45"/>
      <c r="P181" s="45"/>
      <c r="Q181" s="45"/>
      <c r="R181" s="45"/>
      <c r="S181" s="45"/>
      <c r="T181" s="45"/>
      <c r="U181" s="45"/>
      <c r="V181" s="45"/>
      <c r="W181" s="45"/>
      <c r="X181" s="45"/>
    </row>
    <row r="182" ht="15.75" customHeight="1">
      <c r="A182" s="14" t="s">
        <v>17</v>
      </c>
      <c r="B182" s="14">
        <v>1993.0</v>
      </c>
      <c r="C182" s="14" t="s">
        <v>1407</v>
      </c>
      <c r="D182" s="14" t="s">
        <v>1408</v>
      </c>
      <c r="E182" s="150" t="s">
        <v>1409</v>
      </c>
      <c r="F182" s="14">
        <v>86.0</v>
      </c>
      <c r="G182" s="14">
        <v>93.0</v>
      </c>
      <c r="H182" s="14" t="s">
        <v>28</v>
      </c>
      <c r="I182" s="14"/>
      <c r="J182" s="130" t="s">
        <v>1410</v>
      </c>
      <c r="K182" s="152" t="s">
        <v>1411</v>
      </c>
      <c r="L182" s="20"/>
      <c r="M182" s="16"/>
      <c r="N182" s="130" t="s">
        <v>35960</v>
      </c>
      <c r="O182" s="45"/>
      <c r="P182" s="45"/>
      <c r="Q182" s="45"/>
      <c r="R182" s="45"/>
      <c r="S182" s="45"/>
      <c r="T182" s="45"/>
      <c r="U182" s="45"/>
      <c r="V182" s="45"/>
      <c r="W182" s="45"/>
      <c r="X182" s="45"/>
    </row>
    <row r="183" ht="15.75" customHeight="1">
      <c r="A183" s="14" t="s">
        <v>17</v>
      </c>
      <c r="B183" s="14">
        <v>1993.0</v>
      </c>
      <c r="C183" s="14" t="s">
        <v>1413</v>
      </c>
      <c r="D183" s="14" t="s">
        <v>1414</v>
      </c>
      <c r="E183" s="150" t="s">
        <v>1416</v>
      </c>
      <c r="F183" s="14">
        <v>94.0</v>
      </c>
      <c r="G183" s="14">
        <v>101.0</v>
      </c>
      <c r="H183" s="14" t="s">
        <v>28</v>
      </c>
      <c r="I183" s="14"/>
      <c r="J183" s="130" t="s">
        <v>1418</v>
      </c>
      <c r="K183" s="152" t="s">
        <v>1419</v>
      </c>
      <c r="L183" s="20" t="s">
        <v>1420</v>
      </c>
      <c r="M183" s="16"/>
      <c r="N183" s="152" t="s">
        <v>1419</v>
      </c>
      <c r="O183" s="45"/>
      <c r="P183" s="45"/>
      <c r="Q183" s="45"/>
      <c r="R183" s="45"/>
      <c r="S183" s="45"/>
      <c r="T183" s="45"/>
      <c r="U183" s="45"/>
      <c r="V183" s="45"/>
      <c r="W183" s="45"/>
      <c r="X183" s="45"/>
    </row>
    <row r="184" ht="15.75" customHeight="1">
      <c r="A184" s="14" t="s">
        <v>17</v>
      </c>
      <c r="B184" s="14">
        <v>1993.0</v>
      </c>
      <c r="C184" s="14" t="s">
        <v>1421</v>
      </c>
      <c r="D184" s="14" t="s">
        <v>1422</v>
      </c>
      <c r="E184" s="150" t="s">
        <v>1423</v>
      </c>
      <c r="F184" s="14">
        <v>102.0</v>
      </c>
      <c r="G184" s="14">
        <v>109.0</v>
      </c>
      <c r="H184" s="14" t="s">
        <v>28</v>
      </c>
      <c r="I184" s="14"/>
      <c r="J184" s="130" t="s">
        <v>1427</v>
      </c>
      <c r="K184" s="152" t="s">
        <v>1428</v>
      </c>
      <c r="L184" s="20" t="s">
        <v>1159</v>
      </c>
      <c r="M184" s="16"/>
      <c r="N184" s="130" t="s">
        <v>35980</v>
      </c>
      <c r="O184" s="45"/>
      <c r="P184" s="45"/>
      <c r="Q184" s="45"/>
      <c r="R184" s="45"/>
      <c r="S184" s="45"/>
      <c r="T184" s="45"/>
      <c r="U184" s="45"/>
      <c r="V184" s="45"/>
      <c r="W184" s="45"/>
      <c r="X184" s="45"/>
    </row>
    <row r="185" ht="15.75" customHeight="1">
      <c r="A185" s="14" t="s">
        <v>17</v>
      </c>
      <c r="B185" s="14">
        <v>1993.0</v>
      </c>
      <c r="C185" s="14" t="s">
        <v>1429</v>
      </c>
      <c r="D185" s="14" t="s">
        <v>1430</v>
      </c>
      <c r="E185" s="150" t="s">
        <v>1431</v>
      </c>
      <c r="F185" s="14">
        <v>110.0</v>
      </c>
      <c r="G185" s="14">
        <v>117.0</v>
      </c>
      <c r="H185" s="14" t="s">
        <v>28</v>
      </c>
      <c r="I185" s="14"/>
      <c r="J185" s="130" t="s">
        <v>1435</v>
      </c>
      <c r="K185" s="152" t="s">
        <v>1385</v>
      </c>
      <c r="L185" s="20" t="s">
        <v>972</v>
      </c>
      <c r="M185" s="16"/>
      <c r="N185" s="130" t="s">
        <v>35922</v>
      </c>
      <c r="O185" s="45"/>
      <c r="P185" s="45"/>
      <c r="Q185" s="45"/>
      <c r="R185" s="45"/>
      <c r="S185" s="45"/>
      <c r="T185" s="45"/>
      <c r="U185" s="45"/>
      <c r="V185" s="45"/>
      <c r="W185" s="45"/>
      <c r="X185" s="45"/>
    </row>
    <row r="186" ht="15.75" customHeight="1">
      <c r="A186" s="14" t="s">
        <v>17</v>
      </c>
      <c r="B186" s="14">
        <v>1993.0</v>
      </c>
      <c r="C186" s="14" t="s">
        <v>1436</v>
      </c>
      <c r="D186" s="14" t="s">
        <v>1437</v>
      </c>
      <c r="E186" s="150" t="s">
        <v>1438</v>
      </c>
      <c r="F186" s="14">
        <v>119.0</v>
      </c>
      <c r="G186" s="14">
        <v>125.0</v>
      </c>
      <c r="H186" s="14" t="s">
        <v>28</v>
      </c>
      <c r="I186" s="14"/>
      <c r="J186" s="130" t="s">
        <v>1442</v>
      </c>
      <c r="K186" s="152" t="s">
        <v>1443</v>
      </c>
      <c r="L186" s="20" t="s">
        <v>1444</v>
      </c>
      <c r="M186" s="16"/>
      <c r="N186" s="152" t="s">
        <v>1443</v>
      </c>
      <c r="O186" s="45"/>
      <c r="P186" s="45"/>
      <c r="Q186" s="45"/>
      <c r="R186" s="45"/>
      <c r="S186" s="45"/>
      <c r="T186" s="45"/>
      <c r="U186" s="45"/>
      <c r="V186" s="45"/>
      <c r="W186" s="45"/>
      <c r="X186" s="45"/>
    </row>
    <row r="187" ht="15.75" customHeight="1">
      <c r="A187" s="14" t="s">
        <v>17</v>
      </c>
      <c r="B187" s="14">
        <v>1993.0</v>
      </c>
      <c r="C187" s="14" t="s">
        <v>1445</v>
      </c>
      <c r="D187" s="14" t="s">
        <v>1446</v>
      </c>
      <c r="E187" s="150" t="s">
        <v>1447</v>
      </c>
      <c r="F187" s="14">
        <v>126.0</v>
      </c>
      <c r="G187" s="14">
        <v>133.0</v>
      </c>
      <c r="H187" s="14" t="s">
        <v>28</v>
      </c>
      <c r="I187" s="14"/>
      <c r="J187" s="130" t="s">
        <v>1448</v>
      </c>
      <c r="K187" s="152" t="s">
        <v>1449</v>
      </c>
      <c r="L187" s="20" t="s">
        <v>1182</v>
      </c>
      <c r="M187" s="16"/>
      <c r="N187" s="130" t="s">
        <v>36014</v>
      </c>
      <c r="O187" s="45"/>
      <c r="P187" s="45"/>
      <c r="Q187" s="45"/>
      <c r="R187" s="45"/>
      <c r="S187" s="45"/>
      <c r="T187" s="45"/>
      <c r="U187" s="45"/>
      <c r="V187" s="45"/>
      <c r="W187" s="45"/>
      <c r="X187" s="45"/>
    </row>
    <row r="188" ht="15.75" customHeight="1">
      <c r="A188" s="14" t="s">
        <v>17</v>
      </c>
      <c r="B188" s="14">
        <v>1993.0</v>
      </c>
      <c r="C188" s="14" t="s">
        <v>1450</v>
      </c>
      <c r="D188" s="14" t="s">
        <v>1452</v>
      </c>
      <c r="E188" s="150" t="s">
        <v>1453</v>
      </c>
      <c r="F188" s="14">
        <v>134.0</v>
      </c>
      <c r="G188" s="14">
        <v>141.0</v>
      </c>
      <c r="H188" s="14" t="s">
        <v>28</v>
      </c>
      <c r="I188" s="14"/>
      <c r="J188" s="130" t="s">
        <v>1455</v>
      </c>
      <c r="K188" s="152" t="s">
        <v>1456</v>
      </c>
      <c r="L188" s="20"/>
      <c r="M188" s="16"/>
      <c r="N188" s="130" t="s">
        <v>36025</v>
      </c>
      <c r="O188" s="45"/>
      <c r="P188" s="45"/>
      <c r="Q188" s="45"/>
      <c r="R188" s="45"/>
      <c r="S188" s="45"/>
      <c r="T188" s="45"/>
      <c r="U188" s="45"/>
      <c r="V188" s="45"/>
      <c r="W188" s="45"/>
      <c r="X188" s="45"/>
    </row>
    <row r="189" ht="15.75" customHeight="1">
      <c r="A189" s="14" t="s">
        <v>17</v>
      </c>
      <c r="B189" s="14">
        <v>1993.0</v>
      </c>
      <c r="C189" s="14" t="s">
        <v>1457</v>
      </c>
      <c r="D189" s="14" t="s">
        <v>1458</v>
      </c>
      <c r="E189" s="150" t="s">
        <v>1459</v>
      </c>
      <c r="F189" s="14">
        <v>142.0</v>
      </c>
      <c r="G189" s="14">
        <v>148.0</v>
      </c>
      <c r="H189" s="14" t="s">
        <v>28</v>
      </c>
      <c r="I189" s="14"/>
      <c r="J189" s="130" t="s">
        <v>1460</v>
      </c>
      <c r="K189" s="152" t="s">
        <v>66</v>
      </c>
      <c r="L189" s="20" t="s">
        <v>1334</v>
      </c>
      <c r="M189" s="174" t="s">
        <v>1462</v>
      </c>
      <c r="N189" s="130" t="s">
        <v>34682</v>
      </c>
      <c r="O189" s="45"/>
      <c r="P189" s="45"/>
      <c r="Q189" s="45"/>
      <c r="R189" s="45"/>
      <c r="S189" s="45"/>
      <c r="T189" s="45"/>
      <c r="U189" s="45"/>
      <c r="V189" s="45"/>
      <c r="W189" s="45"/>
      <c r="X189" s="45"/>
    </row>
    <row r="190" ht="15.75" customHeight="1">
      <c r="A190" s="14" t="s">
        <v>17</v>
      </c>
      <c r="B190" s="14">
        <v>1993.0</v>
      </c>
      <c r="C190" s="14" t="s">
        <v>1464</v>
      </c>
      <c r="D190" s="14" t="s">
        <v>1465</v>
      </c>
      <c r="E190" s="150" t="s">
        <v>1466</v>
      </c>
      <c r="F190" s="14">
        <v>150.0</v>
      </c>
      <c r="G190" s="14">
        <v>157.0</v>
      </c>
      <c r="H190" s="14" t="s">
        <v>28</v>
      </c>
      <c r="I190" s="14"/>
      <c r="J190" s="130" t="s">
        <v>1467</v>
      </c>
      <c r="K190" s="152" t="s">
        <v>1468</v>
      </c>
      <c r="L190" s="20"/>
      <c r="M190" s="174" t="s">
        <v>1469</v>
      </c>
      <c r="N190" s="152" t="s">
        <v>1468</v>
      </c>
      <c r="O190" s="45"/>
      <c r="P190" s="45"/>
      <c r="Q190" s="45"/>
      <c r="R190" s="45"/>
      <c r="S190" s="45"/>
      <c r="T190" s="45"/>
      <c r="U190" s="45"/>
      <c r="V190" s="45"/>
      <c r="W190" s="45"/>
      <c r="X190" s="45"/>
    </row>
    <row r="191" ht="15.75" customHeight="1">
      <c r="A191" s="14" t="s">
        <v>17</v>
      </c>
      <c r="B191" s="14">
        <v>1993.0</v>
      </c>
      <c r="C191" s="14" t="s">
        <v>1470</v>
      </c>
      <c r="D191" s="14" t="s">
        <v>1471</v>
      </c>
      <c r="E191" s="150" t="s">
        <v>1472</v>
      </c>
      <c r="F191" s="14">
        <v>158.0</v>
      </c>
      <c r="G191" s="14">
        <v>165.0</v>
      </c>
      <c r="H191" s="14" t="s">
        <v>28</v>
      </c>
      <c r="I191" s="14"/>
      <c r="J191" s="130" t="s">
        <v>1475</v>
      </c>
      <c r="K191" s="152" t="s">
        <v>1476</v>
      </c>
      <c r="L191" s="20" t="s">
        <v>1477</v>
      </c>
      <c r="M191" s="16"/>
      <c r="N191" s="130" t="s">
        <v>36051</v>
      </c>
      <c r="O191" s="45"/>
      <c r="P191" s="45"/>
      <c r="Q191" s="45"/>
      <c r="R191" s="45"/>
      <c r="S191" s="45"/>
      <c r="T191" s="45"/>
      <c r="U191" s="45"/>
      <c r="V191" s="45"/>
      <c r="W191" s="45"/>
      <c r="X191" s="45"/>
    </row>
    <row r="192" ht="15.75" customHeight="1">
      <c r="A192" s="14" t="s">
        <v>17</v>
      </c>
      <c r="B192" s="14">
        <v>1993.0</v>
      </c>
      <c r="C192" s="14" t="s">
        <v>1478</v>
      </c>
      <c r="D192" s="14" t="s">
        <v>1479</v>
      </c>
      <c r="E192" s="150" t="s">
        <v>1480</v>
      </c>
      <c r="F192" s="14">
        <v>166.0</v>
      </c>
      <c r="G192" s="14">
        <v>173.0</v>
      </c>
      <c r="H192" s="14" t="s">
        <v>28</v>
      </c>
      <c r="I192" s="14"/>
      <c r="J192" s="130" t="s">
        <v>1482</v>
      </c>
      <c r="K192" s="152" t="s">
        <v>1483</v>
      </c>
      <c r="L192" s="20"/>
      <c r="M192" s="16"/>
      <c r="N192" s="130" t="s">
        <v>36131</v>
      </c>
      <c r="O192" s="45"/>
      <c r="P192" s="45"/>
      <c r="Q192" s="45"/>
      <c r="R192" s="45"/>
      <c r="S192" s="45"/>
      <c r="T192" s="45"/>
      <c r="U192" s="45"/>
      <c r="V192" s="45"/>
      <c r="W192" s="45"/>
      <c r="X192" s="45"/>
    </row>
    <row r="193" ht="15.75" customHeight="1">
      <c r="A193" s="14" t="s">
        <v>17</v>
      </c>
      <c r="B193" s="14">
        <v>1993.0</v>
      </c>
      <c r="C193" s="14" t="s">
        <v>1485</v>
      </c>
      <c r="D193" s="14" t="s">
        <v>1486</v>
      </c>
      <c r="E193" s="150" t="s">
        <v>1487</v>
      </c>
      <c r="F193" s="14">
        <v>174.0</v>
      </c>
      <c r="G193" s="14">
        <v>181.0</v>
      </c>
      <c r="H193" s="14" t="s">
        <v>28</v>
      </c>
      <c r="I193" s="14"/>
      <c r="J193" s="130" t="s">
        <v>1488</v>
      </c>
      <c r="K193" s="152" t="s">
        <v>1489</v>
      </c>
      <c r="L193" s="20"/>
      <c r="M193" s="16"/>
      <c r="N193" s="130" t="s">
        <v>36139</v>
      </c>
      <c r="O193" s="45"/>
      <c r="P193" s="45"/>
      <c r="Q193" s="45"/>
      <c r="R193" s="45"/>
      <c r="S193" s="45"/>
      <c r="T193" s="45"/>
      <c r="U193" s="45"/>
      <c r="V193" s="45"/>
      <c r="W193" s="45"/>
      <c r="X193" s="45"/>
    </row>
    <row r="194" ht="15.75" customHeight="1">
      <c r="A194" s="14" t="s">
        <v>17</v>
      </c>
      <c r="B194" s="14">
        <v>1993.0</v>
      </c>
      <c r="C194" s="14" t="s">
        <v>1490</v>
      </c>
      <c r="D194" s="14" t="s">
        <v>1492</v>
      </c>
      <c r="E194" s="150" t="s">
        <v>1493</v>
      </c>
      <c r="F194" s="14">
        <v>183.0</v>
      </c>
      <c r="G194" s="14">
        <v>188.0</v>
      </c>
      <c r="H194" s="14" t="s">
        <v>28</v>
      </c>
      <c r="I194" s="14"/>
      <c r="J194" s="130" t="s">
        <v>1495</v>
      </c>
      <c r="K194" s="152" t="s">
        <v>1496</v>
      </c>
      <c r="L194" s="20"/>
      <c r="M194" s="16"/>
      <c r="N194" s="152" t="s">
        <v>1496</v>
      </c>
      <c r="O194" s="45"/>
      <c r="P194" s="45"/>
      <c r="Q194" s="45"/>
      <c r="R194" s="45"/>
      <c r="S194" s="45"/>
      <c r="T194" s="45"/>
      <c r="U194" s="45"/>
      <c r="V194" s="45"/>
      <c r="W194" s="45"/>
      <c r="X194" s="45"/>
    </row>
    <row r="195" ht="15.75" customHeight="1">
      <c r="A195" s="14" t="s">
        <v>17</v>
      </c>
      <c r="B195" s="14">
        <v>1993.0</v>
      </c>
      <c r="C195" s="14" t="s">
        <v>1497</v>
      </c>
      <c r="D195" s="14" t="s">
        <v>1498</v>
      </c>
      <c r="E195" s="150" t="s">
        <v>1499</v>
      </c>
      <c r="F195" s="14">
        <v>189.0</v>
      </c>
      <c r="G195" s="14">
        <v>195.0</v>
      </c>
      <c r="H195" s="14" t="s">
        <v>28</v>
      </c>
      <c r="I195" s="14"/>
      <c r="J195" s="130" t="s">
        <v>1503</v>
      </c>
      <c r="K195" s="152" t="s">
        <v>1287</v>
      </c>
      <c r="L195" s="20" t="s">
        <v>1281</v>
      </c>
      <c r="M195" s="16"/>
      <c r="N195" s="152" t="s">
        <v>1287</v>
      </c>
      <c r="O195" s="45"/>
      <c r="P195" s="45"/>
      <c r="Q195" s="45"/>
      <c r="R195" s="45"/>
      <c r="S195" s="45"/>
      <c r="T195" s="45"/>
      <c r="U195" s="45"/>
      <c r="V195" s="45"/>
      <c r="W195" s="45"/>
      <c r="X195" s="45"/>
    </row>
    <row r="196" ht="15.75" customHeight="1">
      <c r="A196" s="14" t="s">
        <v>17</v>
      </c>
      <c r="B196" s="14">
        <v>1993.0</v>
      </c>
      <c r="C196" s="14" t="s">
        <v>1504</v>
      </c>
      <c r="D196" s="14" t="s">
        <v>1505</v>
      </c>
      <c r="E196" s="150" t="s">
        <v>1506</v>
      </c>
      <c r="F196" s="14">
        <v>196.0</v>
      </c>
      <c r="G196" s="14">
        <v>203.0</v>
      </c>
      <c r="H196" s="14" t="s">
        <v>28</v>
      </c>
      <c r="I196" s="14"/>
      <c r="J196" s="130" t="s">
        <v>1509</v>
      </c>
      <c r="K196" s="152" t="s">
        <v>855</v>
      </c>
      <c r="L196" s="20" t="s">
        <v>1510</v>
      </c>
      <c r="M196" s="16"/>
      <c r="N196" s="130" t="s">
        <v>35345</v>
      </c>
      <c r="O196" s="45"/>
      <c r="P196" s="45"/>
      <c r="Q196" s="45"/>
      <c r="R196" s="45"/>
      <c r="S196" s="45"/>
      <c r="T196" s="45"/>
      <c r="U196" s="45"/>
      <c r="V196" s="45"/>
      <c r="W196" s="45"/>
      <c r="X196" s="45"/>
    </row>
    <row r="197" ht="15.75" customHeight="1">
      <c r="A197" s="14" t="s">
        <v>17</v>
      </c>
      <c r="B197" s="14">
        <v>1993.0</v>
      </c>
      <c r="C197" s="14" t="s">
        <v>1511</v>
      </c>
      <c r="D197" s="14" t="s">
        <v>1512</v>
      </c>
      <c r="E197" s="150" t="s">
        <v>1513</v>
      </c>
      <c r="F197" s="14">
        <v>204.0</v>
      </c>
      <c r="G197" s="14">
        <v>210.0</v>
      </c>
      <c r="H197" s="14" t="s">
        <v>28</v>
      </c>
      <c r="I197" s="14"/>
      <c r="J197" s="130" t="s">
        <v>1516</v>
      </c>
      <c r="K197" s="152" t="s">
        <v>1517</v>
      </c>
      <c r="L197" s="20" t="s">
        <v>1518</v>
      </c>
      <c r="M197" s="16"/>
      <c r="N197" s="152" t="s">
        <v>1517</v>
      </c>
      <c r="O197" s="45"/>
      <c r="P197" s="45"/>
      <c r="Q197" s="45"/>
      <c r="R197" s="45"/>
      <c r="S197" s="45"/>
      <c r="T197" s="45"/>
      <c r="U197" s="45"/>
      <c r="V197" s="45"/>
      <c r="W197" s="45"/>
      <c r="X197" s="45"/>
    </row>
    <row r="198" ht="15.75" customHeight="1">
      <c r="A198" s="14" t="s">
        <v>17</v>
      </c>
      <c r="B198" s="14">
        <v>1993.0</v>
      </c>
      <c r="C198" s="14" t="s">
        <v>1519</v>
      </c>
      <c r="D198" s="14" t="s">
        <v>1520</v>
      </c>
      <c r="E198" s="150" t="s">
        <v>1521</v>
      </c>
      <c r="F198" s="14">
        <v>212.0</v>
      </c>
      <c r="G198" s="14">
        <v>219.0</v>
      </c>
      <c r="H198" s="14" t="s">
        <v>28</v>
      </c>
      <c r="I198" s="14"/>
      <c r="J198" s="130" t="s">
        <v>1522</v>
      </c>
      <c r="K198" s="152" t="s">
        <v>30</v>
      </c>
      <c r="L198" s="20"/>
      <c r="M198" s="16"/>
      <c r="N198" s="130" t="s">
        <v>35636</v>
      </c>
      <c r="O198" s="45"/>
      <c r="P198" s="45"/>
      <c r="Q198" s="45"/>
      <c r="R198" s="45"/>
      <c r="S198" s="45"/>
      <c r="T198" s="45"/>
      <c r="U198" s="45"/>
      <c r="V198" s="45"/>
      <c r="W198" s="45"/>
      <c r="X198" s="45"/>
    </row>
    <row r="199" ht="15.75" customHeight="1">
      <c r="A199" s="14" t="s">
        <v>17</v>
      </c>
      <c r="B199" s="14">
        <v>1993.0</v>
      </c>
      <c r="C199" s="14" t="s">
        <v>1523</v>
      </c>
      <c r="D199" s="14" t="s">
        <v>1524</v>
      </c>
      <c r="E199" s="150" t="s">
        <v>1525</v>
      </c>
      <c r="F199" s="14">
        <v>220.0</v>
      </c>
      <c r="G199" s="14">
        <v>227.0</v>
      </c>
      <c r="H199" s="14" t="s">
        <v>28</v>
      </c>
      <c r="I199" s="14"/>
      <c r="J199" s="130" t="s">
        <v>1529</v>
      </c>
      <c r="K199" s="152" t="s">
        <v>1530</v>
      </c>
      <c r="L199" s="20" t="s">
        <v>157</v>
      </c>
      <c r="M199" s="16"/>
      <c r="N199" s="130" t="s">
        <v>36173</v>
      </c>
      <c r="O199" s="45"/>
      <c r="P199" s="45"/>
      <c r="Q199" s="45"/>
      <c r="R199" s="45"/>
      <c r="S199" s="45"/>
      <c r="T199" s="45"/>
      <c r="U199" s="45"/>
      <c r="V199" s="45"/>
      <c r="W199" s="45"/>
      <c r="X199" s="45"/>
    </row>
    <row r="200" ht="15.75" customHeight="1">
      <c r="A200" s="14" t="s">
        <v>17</v>
      </c>
      <c r="B200" s="14">
        <v>1993.0</v>
      </c>
      <c r="C200" s="14" t="s">
        <v>1531</v>
      </c>
      <c r="D200" s="14" t="s">
        <v>1532</v>
      </c>
      <c r="E200" s="150" t="s">
        <v>1533</v>
      </c>
      <c r="F200" s="14">
        <v>228.0</v>
      </c>
      <c r="G200" s="14">
        <v>235.0</v>
      </c>
      <c r="H200" s="14" t="s">
        <v>28</v>
      </c>
      <c r="I200" s="14"/>
      <c r="J200" s="130" t="s">
        <v>1537</v>
      </c>
      <c r="K200" s="152" t="s">
        <v>1538</v>
      </c>
      <c r="L200" s="20" t="s">
        <v>1539</v>
      </c>
      <c r="M200" s="16"/>
      <c r="N200" s="130" t="s">
        <v>36179</v>
      </c>
      <c r="O200" s="45"/>
      <c r="P200" s="45"/>
      <c r="Q200" s="45"/>
      <c r="R200" s="45"/>
      <c r="S200" s="45"/>
      <c r="T200" s="45"/>
      <c r="U200" s="45"/>
      <c r="V200" s="45"/>
      <c r="W200" s="45"/>
      <c r="X200" s="45"/>
    </row>
    <row r="201" ht="15.75" customHeight="1">
      <c r="A201" s="14" t="s">
        <v>17</v>
      </c>
      <c r="B201" s="14">
        <v>1993.0</v>
      </c>
      <c r="C201" s="14" t="s">
        <v>1540</v>
      </c>
      <c r="D201" s="14" t="s">
        <v>1541</v>
      </c>
      <c r="E201" s="150" t="s">
        <v>1542</v>
      </c>
      <c r="F201" s="14">
        <v>236.0</v>
      </c>
      <c r="G201" s="14">
        <v>243.0</v>
      </c>
      <c r="H201" s="14" t="s">
        <v>28</v>
      </c>
      <c r="I201" s="14"/>
      <c r="J201" s="130" t="s">
        <v>1543</v>
      </c>
      <c r="K201" s="152" t="s">
        <v>1530</v>
      </c>
      <c r="L201" s="20" t="s">
        <v>1544</v>
      </c>
      <c r="M201" s="16"/>
      <c r="N201" s="152" t="s">
        <v>1530</v>
      </c>
      <c r="O201" s="45"/>
      <c r="P201" s="45"/>
      <c r="Q201" s="45"/>
      <c r="R201" s="45"/>
      <c r="S201" s="45"/>
      <c r="T201" s="45"/>
      <c r="U201" s="45"/>
      <c r="V201" s="45"/>
      <c r="W201" s="45"/>
      <c r="X201" s="45"/>
    </row>
    <row r="202" ht="15.75" customHeight="1">
      <c r="A202" s="14" t="s">
        <v>17</v>
      </c>
      <c r="B202" s="14">
        <v>1993.0</v>
      </c>
      <c r="C202" s="14" t="s">
        <v>1545</v>
      </c>
      <c r="D202" s="14" t="s">
        <v>1546</v>
      </c>
      <c r="E202" s="150" t="s">
        <v>1547</v>
      </c>
      <c r="F202" s="14">
        <v>245.0</v>
      </c>
      <c r="G202" s="14">
        <v>252.0</v>
      </c>
      <c r="H202" s="14" t="s">
        <v>28</v>
      </c>
      <c r="I202" s="14"/>
      <c r="J202" s="130" t="s">
        <v>1304</v>
      </c>
      <c r="K202" s="152" t="s">
        <v>1548</v>
      </c>
      <c r="L202" s="20" t="s">
        <v>1549</v>
      </c>
      <c r="M202" s="16"/>
      <c r="N202" s="152" t="s">
        <v>1548</v>
      </c>
      <c r="O202" s="45"/>
      <c r="P202" s="45"/>
      <c r="Q202" s="45"/>
      <c r="R202" s="45"/>
      <c r="S202" s="45"/>
      <c r="T202" s="45"/>
      <c r="U202" s="45"/>
      <c r="V202" s="45"/>
      <c r="W202" s="45"/>
      <c r="X202" s="45"/>
    </row>
    <row r="203" ht="15.75" customHeight="1">
      <c r="A203" s="14" t="s">
        <v>17</v>
      </c>
      <c r="B203" s="14">
        <v>1993.0</v>
      </c>
      <c r="C203" s="14" t="s">
        <v>1550</v>
      </c>
      <c r="D203" s="14" t="s">
        <v>1551</v>
      </c>
      <c r="E203" s="150" t="s">
        <v>1552</v>
      </c>
      <c r="F203" s="14">
        <v>253.0</v>
      </c>
      <c r="G203" s="14">
        <v>260.0</v>
      </c>
      <c r="H203" s="14" t="s">
        <v>28</v>
      </c>
      <c r="I203" s="14"/>
      <c r="J203" s="130" t="s">
        <v>1312</v>
      </c>
      <c r="K203" s="152" t="s">
        <v>1555</v>
      </c>
      <c r="L203" s="20" t="s">
        <v>1556</v>
      </c>
      <c r="M203" s="16"/>
      <c r="N203" s="130" t="s">
        <v>36202</v>
      </c>
      <c r="O203" s="45"/>
      <c r="P203" s="45"/>
      <c r="Q203" s="45"/>
      <c r="R203" s="45"/>
      <c r="S203" s="45"/>
      <c r="T203" s="45"/>
      <c r="U203" s="45"/>
      <c r="V203" s="45"/>
      <c r="W203" s="45"/>
      <c r="X203" s="45"/>
    </row>
    <row r="204" ht="15.75" customHeight="1">
      <c r="A204" s="14" t="s">
        <v>17</v>
      </c>
      <c r="B204" s="14">
        <v>1993.0</v>
      </c>
      <c r="C204" s="14" t="s">
        <v>1557</v>
      </c>
      <c r="D204" s="14" t="s">
        <v>1558</v>
      </c>
      <c r="E204" s="150" t="s">
        <v>1559</v>
      </c>
      <c r="F204" s="14">
        <v>261.0</v>
      </c>
      <c r="G204" s="14">
        <v>266.0</v>
      </c>
      <c r="H204" s="14" t="s">
        <v>28</v>
      </c>
      <c r="I204" s="14"/>
      <c r="J204" s="130" t="s">
        <v>1560</v>
      </c>
      <c r="K204" s="152" t="s">
        <v>1561</v>
      </c>
      <c r="L204" s="20"/>
      <c r="M204" s="16"/>
      <c r="N204" s="130" t="s">
        <v>36210</v>
      </c>
      <c r="O204" s="45"/>
      <c r="P204" s="45"/>
      <c r="Q204" s="45"/>
      <c r="R204" s="45"/>
      <c r="S204" s="45"/>
      <c r="T204" s="45"/>
      <c r="U204" s="45"/>
      <c r="V204" s="45"/>
      <c r="W204" s="45"/>
      <c r="X204" s="45"/>
    </row>
    <row r="205" ht="15.75" customHeight="1">
      <c r="A205" s="14" t="s">
        <v>17</v>
      </c>
      <c r="B205" s="14">
        <v>1993.0</v>
      </c>
      <c r="C205" s="14" t="s">
        <v>1563</v>
      </c>
      <c r="D205" s="14" t="s">
        <v>1565</v>
      </c>
      <c r="E205" s="150" t="s">
        <v>1567</v>
      </c>
      <c r="F205" s="14">
        <v>268.0</v>
      </c>
      <c r="G205" s="14">
        <v>274.0</v>
      </c>
      <c r="H205" s="14" t="s">
        <v>28</v>
      </c>
      <c r="I205" s="14"/>
      <c r="J205" s="130" t="s">
        <v>1568</v>
      </c>
      <c r="K205" s="152" t="s">
        <v>1569</v>
      </c>
      <c r="L205" s="20" t="s">
        <v>1570</v>
      </c>
      <c r="M205" s="16"/>
      <c r="N205" s="130" t="s">
        <v>36217</v>
      </c>
      <c r="O205" s="45"/>
      <c r="P205" s="45"/>
      <c r="Q205" s="45"/>
      <c r="R205" s="45"/>
      <c r="S205" s="45"/>
      <c r="T205" s="45"/>
      <c r="U205" s="45"/>
      <c r="V205" s="45"/>
      <c r="W205" s="45"/>
      <c r="X205" s="45"/>
    </row>
    <row r="206" ht="15.75" customHeight="1">
      <c r="A206" s="14" t="s">
        <v>17</v>
      </c>
      <c r="B206" s="14">
        <v>1993.0</v>
      </c>
      <c r="C206" s="14" t="s">
        <v>1571</v>
      </c>
      <c r="D206" s="14" t="s">
        <v>1572</v>
      </c>
      <c r="E206" s="150" t="s">
        <v>1573</v>
      </c>
      <c r="F206" s="14">
        <v>275.0</v>
      </c>
      <c r="G206" s="14">
        <v>282.0</v>
      </c>
      <c r="H206" s="14" t="s">
        <v>28</v>
      </c>
      <c r="I206" s="14"/>
      <c r="J206" s="130" t="s">
        <v>1576</v>
      </c>
      <c r="K206" s="152" t="s">
        <v>1577</v>
      </c>
      <c r="L206" s="20" t="s">
        <v>736</v>
      </c>
      <c r="M206" s="16"/>
      <c r="N206" s="130" t="s">
        <v>36225</v>
      </c>
      <c r="O206" s="45"/>
      <c r="P206" s="45"/>
      <c r="Q206" s="45"/>
      <c r="R206" s="45"/>
      <c r="S206" s="45"/>
      <c r="T206" s="45"/>
      <c r="U206" s="45"/>
      <c r="V206" s="45"/>
      <c r="W206" s="45"/>
      <c r="X206" s="45"/>
    </row>
    <row r="207" ht="15.75" customHeight="1">
      <c r="A207" s="14" t="s">
        <v>17</v>
      </c>
      <c r="B207" s="14">
        <v>1993.0</v>
      </c>
      <c r="C207" s="14" t="s">
        <v>1578</v>
      </c>
      <c r="D207" s="14" t="s">
        <v>1579</v>
      </c>
      <c r="E207" s="150" t="s">
        <v>1580</v>
      </c>
      <c r="F207" s="14">
        <v>283.0</v>
      </c>
      <c r="G207" s="14">
        <v>290.0</v>
      </c>
      <c r="H207" s="14" t="s">
        <v>28</v>
      </c>
      <c r="I207" s="14"/>
      <c r="J207" s="130" t="s">
        <v>1581</v>
      </c>
      <c r="K207" s="152" t="s">
        <v>1582</v>
      </c>
      <c r="L207" s="20" t="s">
        <v>1302</v>
      </c>
      <c r="M207" s="16"/>
      <c r="N207" s="130" t="s">
        <v>36234</v>
      </c>
      <c r="O207" s="45"/>
      <c r="P207" s="45"/>
      <c r="Q207" s="45"/>
      <c r="R207" s="45"/>
      <c r="S207" s="45"/>
      <c r="T207" s="45"/>
      <c r="U207" s="45"/>
      <c r="V207" s="45"/>
      <c r="W207" s="45"/>
      <c r="X207" s="45"/>
    </row>
    <row r="208" ht="15.75" customHeight="1">
      <c r="A208" s="14" t="s">
        <v>17</v>
      </c>
      <c r="B208" s="14">
        <v>1993.0</v>
      </c>
      <c r="C208" s="14" t="s">
        <v>1584</v>
      </c>
      <c r="D208" s="14" t="s">
        <v>1585</v>
      </c>
      <c r="E208" s="150" t="s">
        <v>1586</v>
      </c>
      <c r="F208" s="14">
        <v>291.0</v>
      </c>
      <c r="G208" s="14">
        <v>298.0</v>
      </c>
      <c r="H208" s="14" t="s">
        <v>28</v>
      </c>
      <c r="I208" s="14"/>
      <c r="J208" s="130" t="s">
        <v>1589</v>
      </c>
      <c r="K208" s="152" t="s">
        <v>1590</v>
      </c>
      <c r="L208" s="20"/>
      <c r="M208" s="16"/>
      <c r="N208" s="130" t="s">
        <v>36242</v>
      </c>
      <c r="O208" s="45"/>
      <c r="P208" s="45"/>
      <c r="Q208" s="45"/>
      <c r="R208" s="45"/>
      <c r="S208" s="45"/>
      <c r="T208" s="45"/>
      <c r="U208" s="45"/>
      <c r="V208" s="45"/>
      <c r="W208" s="45"/>
      <c r="X208" s="45"/>
    </row>
    <row r="209" ht="15.75" customHeight="1">
      <c r="A209" s="14" t="s">
        <v>17</v>
      </c>
      <c r="B209" s="14">
        <v>1993.0</v>
      </c>
      <c r="C209" s="14" t="s">
        <v>1591</v>
      </c>
      <c r="D209" s="14" t="s">
        <v>1592</v>
      </c>
      <c r="E209" s="150" t="s">
        <v>1593</v>
      </c>
      <c r="F209" s="14">
        <v>300.0</v>
      </c>
      <c r="G209" s="14">
        <v>307.0</v>
      </c>
      <c r="H209" s="14" t="s">
        <v>28</v>
      </c>
      <c r="I209" s="14"/>
      <c r="J209" s="130" t="s">
        <v>1595</v>
      </c>
      <c r="K209" s="152" t="s">
        <v>1596</v>
      </c>
      <c r="L209" s="20"/>
      <c r="M209" s="16"/>
      <c r="N209" s="130" t="s">
        <v>36248</v>
      </c>
      <c r="O209" s="45"/>
      <c r="P209" s="45"/>
      <c r="Q209" s="45"/>
      <c r="R209" s="45"/>
      <c r="S209" s="45"/>
      <c r="T209" s="45"/>
      <c r="U209" s="45"/>
      <c r="V209" s="45"/>
      <c r="W209" s="45"/>
      <c r="X209" s="45"/>
    </row>
    <row r="210" ht="15.75" customHeight="1">
      <c r="A210" s="14" t="s">
        <v>17</v>
      </c>
      <c r="B210" s="14">
        <v>1993.0</v>
      </c>
      <c r="C210" s="14" t="s">
        <v>1598</v>
      </c>
      <c r="D210" s="14" t="s">
        <v>1599</v>
      </c>
      <c r="E210" s="150" t="s">
        <v>1600</v>
      </c>
      <c r="F210" s="14">
        <v>308.0</v>
      </c>
      <c r="G210" s="14">
        <v>315.0</v>
      </c>
      <c r="H210" s="14" t="s">
        <v>28</v>
      </c>
      <c r="I210" s="14"/>
      <c r="J210" s="130" t="s">
        <v>1601</v>
      </c>
      <c r="K210" s="152" t="s">
        <v>1602</v>
      </c>
      <c r="L210" s="20"/>
      <c r="M210" s="16"/>
      <c r="N210" s="130" t="s">
        <v>36257</v>
      </c>
      <c r="O210" s="45"/>
      <c r="P210" s="45"/>
      <c r="Q210" s="45"/>
      <c r="R210" s="45"/>
      <c r="S210" s="45"/>
      <c r="T210" s="45"/>
      <c r="U210" s="45"/>
      <c r="V210" s="45"/>
      <c r="W210" s="45"/>
      <c r="X210" s="45"/>
    </row>
    <row r="211" ht="15.75" customHeight="1">
      <c r="A211" s="14" t="s">
        <v>17</v>
      </c>
      <c r="B211" s="14">
        <v>1993.0</v>
      </c>
      <c r="C211" s="14" t="s">
        <v>1603</v>
      </c>
      <c r="D211" s="14" t="s">
        <v>1604</v>
      </c>
      <c r="E211" s="150" t="s">
        <v>1605</v>
      </c>
      <c r="F211" s="14">
        <v>316.0</v>
      </c>
      <c r="G211" s="14">
        <v>323.0</v>
      </c>
      <c r="H211" s="14" t="s">
        <v>28</v>
      </c>
      <c r="I211" s="14"/>
      <c r="J211" s="130" t="s">
        <v>1609</v>
      </c>
      <c r="K211" s="152" t="s">
        <v>1610</v>
      </c>
      <c r="L211" s="20" t="s">
        <v>544</v>
      </c>
      <c r="M211" s="16"/>
      <c r="N211" s="130" t="s">
        <v>36265</v>
      </c>
      <c r="O211" s="45"/>
      <c r="P211" s="45"/>
      <c r="Q211" s="45"/>
      <c r="R211" s="45"/>
      <c r="S211" s="45"/>
      <c r="T211" s="45"/>
      <c r="U211" s="45"/>
      <c r="V211" s="45"/>
      <c r="W211" s="45"/>
      <c r="X211" s="45"/>
    </row>
    <row r="212" ht="15.75" customHeight="1">
      <c r="A212" s="14" t="s">
        <v>17</v>
      </c>
      <c r="B212" s="14">
        <v>1993.0</v>
      </c>
      <c r="C212" s="14" t="s">
        <v>1611</v>
      </c>
      <c r="D212" s="14" t="s">
        <v>1612</v>
      </c>
      <c r="E212" s="150" t="s">
        <v>1613</v>
      </c>
      <c r="F212" s="14">
        <v>324.0</v>
      </c>
      <c r="G212" s="14">
        <v>331.0</v>
      </c>
      <c r="H212" s="14" t="s">
        <v>28</v>
      </c>
      <c r="I212" s="14"/>
      <c r="J212" s="130" t="s">
        <v>1614</v>
      </c>
      <c r="K212" s="152" t="s">
        <v>1287</v>
      </c>
      <c r="L212" s="20"/>
      <c r="M212" s="16"/>
      <c r="N212" s="152" t="s">
        <v>1287</v>
      </c>
      <c r="O212" s="45"/>
      <c r="P212" s="45"/>
      <c r="Q212" s="45"/>
      <c r="R212" s="45"/>
      <c r="S212" s="45"/>
      <c r="T212" s="45"/>
      <c r="U212" s="45"/>
      <c r="V212" s="45"/>
      <c r="W212" s="45"/>
      <c r="X212" s="45"/>
    </row>
    <row r="213" ht="15.75" customHeight="1">
      <c r="A213" s="14" t="s">
        <v>17</v>
      </c>
      <c r="B213" s="14">
        <v>1993.0</v>
      </c>
      <c r="C213" s="14" t="s">
        <v>1615</v>
      </c>
      <c r="D213" s="14" t="s">
        <v>1616</v>
      </c>
      <c r="E213" s="150" t="s">
        <v>1617</v>
      </c>
      <c r="F213" s="14">
        <v>362.0</v>
      </c>
      <c r="G213" s="14">
        <v>365.0</v>
      </c>
      <c r="H213" s="14" t="s">
        <v>28</v>
      </c>
      <c r="I213" s="14"/>
      <c r="J213" s="130" t="s">
        <v>1621</v>
      </c>
      <c r="K213" s="152" t="s">
        <v>1622</v>
      </c>
      <c r="L213" s="20"/>
      <c r="M213" s="16"/>
      <c r="N213" s="152" t="s">
        <v>1622</v>
      </c>
      <c r="O213" s="45"/>
      <c r="P213" s="45"/>
      <c r="Q213" s="45"/>
      <c r="R213" s="45"/>
      <c r="S213" s="45"/>
      <c r="T213" s="45"/>
      <c r="U213" s="45"/>
      <c r="V213" s="45"/>
      <c r="W213" s="45"/>
      <c r="X213" s="45"/>
    </row>
    <row r="214" ht="15.75" customHeight="1">
      <c r="A214" s="14" t="s">
        <v>17</v>
      </c>
      <c r="B214" s="14">
        <v>1993.0</v>
      </c>
      <c r="C214" s="14" t="s">
        <v>1623</v>
      </c>
      <c r="D214" s="14" t="s">
        <v>1624</v>
      </c>
      <c r="E214" s="150" t="s">
        <v>1625</v>
      </c>
      <c r="F214" s="14">
        <v>366.0</v>
      </c>
      <c r="G214" s="14">
        <v>369.0</v>
      </c>
      <c r="H214" s="14" t="s">
        <v>28</v>
      </c>
      <c r="I214" s="14"/>
      <c r="J214" s="130" t="s">
        <v>1626</v>
      </c>
      <c r="K214" s="152" t="s">
        <v>1627</v>
      </c>
      <c r="L214" s="20"/>
      <c r="M214" s="16"/>
      <c r="N214" s="130" t="s">
        <v>36291</v>
      </c>
      <c r="O214" s="45"/>
      <c r="P214" s="45"/>
      <c r="Q214" s="45"/>
      <c r="R214" s="45"/>
      <c r="S214" s="45"/>
      <c r="T214" s="45"/>
      <c r="U214" s="45"/>
      <c r="V214" s="45"/>
      <c r="W214" s="45"/>
      <c r="X214" s="45"/>
    </row>
    <row r="215" ht="15.75" customHeight="1">
      <c r="A215" s="14" t="s">
        <v>17</v>
      </c>
      <c r="B215" s="14">
        <v>1993.0</v>
      </c>
      <c r="C215" s="14" t="s">
        <v>1628</v>
      </c>
      <c r="D215" s="14" t="s">
        <v>1630</v>
      </c>
      <c r="E215" s="150" t="s">
        <v>1631</v>
      </c>
      <c r="F215" s="14">
        <v>370.0</v>
      </c>
      <c r="G215" s="14">
        <v>373.0</v>
      </c>
      <c r="H215" s="14" t="s">
        <v>28</v>
      </c>
      <c r="I215" s="14"/>
      <c r="J215" s="130" t="s">
        <v>1634</v>
      </c>
      <c r="K215" s="152" t="s">
        <v>1636</v>
      </c>
      <c r="L215" s="20"/>
      <c r="M215" s="16"/>
      <c r="N215" s="130" t="s">
        <v>36297</v>
      </c>
      <c r="O215" s="45"/>
      <c r="P215" s="45"/>
      <c r="Q215" s="45"/>
      <c r="R215" s="45"/>
      <c r="S215" s="45"/>
      <c r="T215" s="45"/>
      <c r="U215" s="45"/>
      <c r="V215" s="45"/>
      <c r="W215" s="45"/>
      <c r="X215" s="45"/>
    </row>
    <row r="216" ht="15.75" customHeight="1">
      <c r="A216" s="14" t="s">
        <v>17</v>
      </c>
      <c r="B216" s="14">
        <v>1993.0</v>
      </c>
      <c r="C216" s="14" t="s">
        <v>1639</v>
      </c>
      <c r="D216" s="14" t="s">
        <v>1640</v>
      </c>
      <c r="E216" s="150" t="s">
        <v>1641</v>
      </c>
      <c r="F216" s="14">
        <v>374.0</v>
      </c>
      <c r="G216" s="14">
        <v>377.0</v>
      </c>
      <c r="H216" s="14" t="s">
        <v>28</v>
      </c>
      <c r="I216" s="14"/>
      <c r="J216" s="130" t="s">
        <v>1642</v>
      </c>
      <c r="K216" s="152" t="s">
        <v>1643</v>
      </c>
      <c r="L216" s="20"/>
      <c r="M216" s="16"/>
      <c r="N216" s="130" t="s">
        <v>36302</v>
      </c>
      <c r="O216" s="45"/>
      <c r="P216" s="45"/>
      <c r="Q216" s="45"/>
      <c r="R216" s="45"/>
      <c r="S216" s="45"/>
      <c r="T216" s="45"/>
      <c r="U216" s="45"/>
      <c r="V216" s="45"/>
      <c r="W216" s="45"/>
      <c r="X216" s="45"/>
    </row>
    <row r="217" ht="15.75" customHeight="1">
      <c r="A217" s="14" t="s">
        <v>17</v>
      </c>
      <c r="B217" s="14">
        <v>1993.0</v>
      </c>
      <c r="C217" s="14" t="s">
        <v>1644</v>
      </c>
      <c r="D217" s="14" t="s">
        <v>1645</v>
      </c>
      <c r="E217" s="150" t="s">
        <v>1646</v>
      </c>
      <c r="F217" s="14">
        <v>406.0</v>
      </c>
      <c r="G217" s="14">
        <v>409.0</v>
      </c>
      <c r="H217" s="14" t="s">
        <v>28</v>
      </c>
      <c r="I217" s="14"/>
      <c r="J217" s="130" t="s">
        <v>1650</v>
      </c>
      <c r="K217" s="152" t="s">
        <v>1651</v>
      </c>
      <c r="L217" s="20" t="s">
        <v>470</v>
      </c>
      <c r="M217" s="16"/>
      <c r="N217" s="130" t="s">
        <v>36313</v>
      </c>
      <c r="O217" s="45"/>
      <c r="P217" s="45"/>
      <c r="Q217" s="45"/>
      <c r="R217" s="45"/>
      <c r="S217" s="45"/>
      <c r="T217" s="45"/>
      <c r="U217" s="45"/>
      <c r="V217" s="45"/>
      <c r="W217" s="45"/>
      <c r="X217" s="45"/>
    </row>
    <row r="218" ht="15.75" customHeight="1">
      <c r="A218" s="14" t="s">
        <v>17</v>
      </c>
      <c r="B218" s="14">
        <v>1993.0</v>
      </c>
      <c r="C218" s="14" t="s">
        <v>1652</v>
      </c>
      <c r="D218" s="14" t="s">
        <v>1653</v>
      </c>
      <c r="E218" s="150" t="s">
        <v>1654</v>
      </c>
      <c r="F218" s="14">
        <v>382.0</v>
      </c>
      <c r="G218" s="14">
        <v>385.0</v>
      </c>
      <c r="H218" s="14" t="s">
        <v>28</v>
      </c>
      <c r="I218" s="14"/>
      <c r="J218" s="130" t="s">
        <v>1658</v>
      </c>
      <c r="K218" s="152" t="s">
        <v>1659</v>
      </c>
      <c r="L218" s="20"/>
      <c r="M218" s="16"/>
      <c r="N218" s="152" t="s">
        <v>1659</v>
      </c>
      <c r="O218" s="45"/>
      <c r="P218" s="45"/>
      <c r="Q218" s="45"/>
      <c r="R218" s="45"/>
      <c r="S218" s="45"/>
      <c r="T218" s="45"/>
      <c r="U218" s="45"/>
      <c r="V218" s="45"/>
      <c r="W218" s="45"/>
      <c r="X218" s="45"/>
    </row>
    <row r="219" ht="15.75" customHeight="1">
      <c r="A219" s="14" t="s">
        <v>17</v>
      </c>
      <c r="B219" s="14">
        <v>1993.0</v>
      </c>
      <c r="C219" s="14" t="s">
        <v>1660</v>
      </c>
      <c r="D219" s="14" t="s">
        <v>1661</v>
      </c>
      <c r="E219" s="150" t="s">
        <v>1662</v>
      </c>
      <c r="F219" s="14">
        <v>386.0</v>
      </c>
      <c r="G219" s="14">
        <v>390.0</v>
      </c>
      <c r="H219" s="14" t="s">
        <v>28</v>
      </c>
      <c r="I219" s="14"/>
      <c r="J219" s="130" t="s">
        <v>1663</v>
      </c>
      <c r="K219" s="152" t="s">
        <v>1664</v>
      </c>
      <c r="L219" s="20"/>
      <c r="M219" s="16"/>
      <c r="N219" s="130" t="s">
        <v>36326</v>
      </c>
      <c r="O219" s="45"/>
      <c r="P219" s="45"/>
      <c r="Q219" s="45"/>
      <c r="R219" s="45"/>
      <c r="S219" s="45"/>
      <c r="T219" s="45"/>
      <c r="U219" s="45"/>
      <c r="V219" s="45"/>
      <c r="W219" s="45"/>
      <c r="X219" s="45"/>
    </row>
    <row r="220" ht="15.75" customHeight="1">
      <c r="A220" s="14" t="s">
        <v>17</v>
      </c>
      <c r="B220" s="14">
        <v>1993.0</v>
      </c>
      <c r="C220" s="14" t="s">
        <v>1665</v>
      </c>
      <c r="D220" s="14" t="s">
        <v>1666</v>
      </c>
      <c r="E220" s="150" t="s">
        <v>1667</v>
      </c>
      <c r="F220" s="14">
        <v>391.0</v>
      </c>
      <c r="G220" s="14">
        <v>396.0</v>
      </c>
      <c r="H220" s="14" t="s">
        <v>28</v>
      </c>
      <c r="I220" s="14"/>
      <c r="J220" s="130" t="s">
        <v>1672</v>
      </c>
      <c r="K220" s="152" t="s">
        <v>1673</v>
      </c>
      <c r="L220" s="20" t="s">
        <v>1182</v>
      </c>
      <c r="M220" s="16"/>
      <c r="N220" s="130" t="s">
        <v>36328</v>
      </c>
      <c r="O220" s="45"/>
      <c r="P220" s="45"/>
      <c r="Q220" s="45"/>
      <c r="R220" s="45"/>
      <c r="S220" s="45"/>
      <c r="T220" s="45"/>
      <c r="U220" s="45"/>
      <c r="V220" s="45"/>
      <c r="W220" s="45"/>
      <c r="X220" s="45"/>
    </row>
    <row r="221" ht="15.75" customHeight="1">
      <c r="A221" s="14" t="s">
        <v>17</v>
      </c>
      <c r="B221" s="14">
        <v>1993.0</v>
      </c>
      <c r="C221" s="14" t="s">
        <v>1674</v>
      </c>
      <c r="D221" s="14" t="s">
        <v>1675</v>
      </c>
      <c r="E221" s="150" t="s">
        <v>1676</v>
      </c>
      <c r="F221" s="14">
        <v>397.0</v>
      </c>
      <c r="G221" s="14">
        <v>401.0</v>
      </c>
      <c r="H221" s="14" t="s">
        <v>28</v>
      </c>
      <c r="I221" s="14"/>
      <c r="J221" s="130" t="s">
        <v>1680</v>
      </c>
      <c r="K221" s="152" t="s">
        <v>1681</v>
      </c>
      <c r="L221" s="20"/>
      <c r="M221" s="16"/>
      <c r="N221" s="130" t="s">
        <v>36329</v>
      </c>
      <c r="O221" s="45"/>
      <c r="P221" s="45"/>
      <c r="Q221" s="45"/>
      <c r="R221" s="45"/>
      <c r="S221" s="45"/>
      <c r="T221" s="45"/>
      <c r="U221" s="45"/>
      <c r="V221" s="45"/>
      <c r="W221" s="45"/>
      <c r="X221" s="45"/>
    </row>
    <row r="222" ht="15.75" customHeight="1">
      <c r="A222" s="14" t="s">
        <v>17</v>
      </c>
      <c r="B222" s="14">
        <v>1993.0</v>
      </c>
      <c r="C222" s="14" t="s">
        <v>1682</v>
      </c>
      <c r="D222" s="14" t="s">
        <v>1683</v>
      </c>
      <c r="E222" s="150" t="s">
        <v>1684</v>
      </c>
      <c r="F222" s="14">
        <v>402.0</v>
      </c>
      <c r="G222" s="14">
        <v>405.0</v>
      </c>
      <c r="H222" s="14" t="s">
        <v>28</v>
      </c>
      <c r="I222" s="14"/>
      <c r="J222" s="130" t="s">
        <v>1685</v>
      </c>
      <c r="K222" s="152" t="s">
        <v>1686</v>
      </c>
      <c r="L222" s="20"/>
      <c r="M222" s="16"/>
      <c r="N222" s="130" t="s">
        <v>36332</v>
      </c>
      <c r="O222" s="45"/>
      <c r="P222" s="45"/>
      <c r="Q222" s="45"/>
      <c r="R222" s="45"/>
      <c r="S222" s="45"/>
      <c r="T222" s="45"/>
      <c r="U222" s="45"/>
      <c r="V222" s="45"/>
      <c r="W222" s="45"/>
      <c r="X222" s="45"/>
    </row>
    <row r="223" ht="15.75" customHeight="1">
      <c r="A223" s="14" t="s">
        <v>17</v>
      </c>
      <c r="B223" s="14">
        <v>1993.0</v>
      </c>
      <c r="C223" s="14" t="s">
        <v>1687</v>
      </c>
      <c r="D223" s="14" t="s">
        <v>1688</v>
      </c>
      <c r="E223" s="150" t="s">
        <v>1689</v>
      </c>
      <c r="F223" s="14">
        <v>410.0</v>
      </c>
      <c r="G223" s="14">
        <v>415.0</v>
      </c>
      <c r="H223" s="14" t="s">
        <v>28</v>
      </c>
      <c r="I223" s="14"/>
      <c r="J223" s="130" t="s">
        <v>36333</v>
      </c>
      <c r="K223" s="152" t="s">
        <v>1691</v>
      </c>
      <c r="L223" s="20"/>
      <c r="M223" s="16"/>
      <c r="N223" s="130" t="s">
        <v>36334</v>
      </c>
      <c r="O223" s="45"/>
      <c r="P223" s="45"/>
      <c r="Q223" s="45"/>
      <c r="R223" s="45"/>
      <c r="S223" s="45"/>
      <c r="T223" s="45"/>
      <c r="U223" s="45"/>
      <c r="V223" s="45"/>
      <c r="W223" s="45"/>
      <c r="X223" s="45"/>
    </row>
    <row r="224" ht="15.75" customHeight="1">
      <c r="A224" s="14" t="s">
        <v>17</v>
      </c>
      <c r="B224" s="14">
        <v>1993.0</v>
      </c>
      <c r="C224" s="14" t="s">
        <v>1692</v>
      </c>
      <c r="D224" s="14" t="s">
        <v>1693</v>
      </c>
      <c r="E224" s="150" t="s">
        <v>1694</v>
      </c>
      <c r="F224" s="14">
        <v>416.0</v>
      </c>
      <c r="G224" s="14">
        <v>419.0</v>
      </c>
      <c r="H224" s="14" t="s">
        <v>28</v>
      </c>
      <c r="I224" s="14"/>
      <c r="J224" s="130" t="s">
        <v>1695</v>
      </c>
      <c r="K224" s="152" t="s">
        <v>1696</v>
      </c>
      <c r="L224" s="20"/>
      <c r="M224" s="16"/>
      <c r="N224" s="152" t="s">
        <v>1696</v>
      </c>
      <c r="O224" s="45"/>
      <c r="P224" s="45"/>
      <c r="Q224" s="45"/>
      <c r="R224" s="45"/>
      <c r="S224" s="45"/>
      <c r="T224" s="45"/>
      <c r="U224" s="45"/>
      <c r="V224" s="45"/>
      <c r="W224" s="45"/>
      <c r="X224" s="45"/>
    </row>
    <row r="225" ht="15.75" customHeight="1">
      <c r="A225" s="14" t="s">
        <v>17</v>
      </c>
      <c r="B225" s="14">
        <v>1993.0</v>
      </c>
      <c r="C225" s="14" t="s">
        <v>1697</v>
      </c>
      <c r="D225" s="14" t="s">
        <v>1698</v>
      </c>
      <c r="E225" s="150" t="s">
        <v>1699</v>
      </c>
      <c r="F225" s="14">
        <v>420.0</v>
      </c>
      <c r="G225" s="14">
        <v>423.0</v>
      </c>
      <c r="H225" s="14" t="s">
        <v>28</v>
      </c>
      <c r="I225" s="14"/>
      <c r="J225" s="130" t="s">
        <v>1703</v>
      </c>
      <c r="K225" s="152" t="s">
        <v>1704</v>
      </c>
      <c r="L225" s="20"/>
      <c r="M225" s="16"/>
      <c r="N225" s="130" t="s">
        <v>36346</v>
      </c>
      <c r="O225" s="45"/>
      <c r="P225" s="45"/>
      <c r="Q225" s="45"/>
      <c r="R225" s="45"/>
      <c r="S225" s="45"/>
      <c r="T225" s="45"/>
      <c r="U225" s="45"/>
      <c r="V225" s="45"/>
      <c r="W225" s="45"/>
      <c r="X225" s="45"/>
    </row>
    <row r="226" ht="15.75" customHeight="1">
      <c r="A226" s="14" t="s">
        <v>17</v>
      </c>
      <c r="B226" s="14">
        <v>1993.0</v>
      </c>
      <c r="C226" s="14" t="s">
        <v>1705</v>
      </c>
      <c r="D226" s="14" t="s">
        <v>1706</v>
      </c>
      <c r="E226" s="150" t="s">
        <v>1707</v>
      </c>
      <c r="F226" s="14">
        <v>378.0</v>
      </c>
      <c r="G226" s="14">
        <v>381.0</v>
      </c>
      <c r="H226" s="14" t="s">
        <v>28</v>
      </c>
      <c r="I226" s="14"/>
      <c r="J226" s="130" t="s">
        <v>1708</v>
      </c>
      <c r="K226" s="152" t="s">
        <v>1709</v>
      </c>
      <c r="L226" s="20" t="s">
        <v>1710</v>
      </c>
      <c r="M226" s="16"/>
      <c r="N226" s="130" t="s">
        <v>36354</v>
      </c>
      <c r="O226" s="45"/>
      <c r="P226" s="45"/>
      <c r="Q226" s="45"/>
      <c r="R226" s="45"/>
      <c r="S226" s="45"/>
      <c r="T226" s="45"/>
      <c r="U226" s="45"/>
      <c r="V226" s="45"/>
      <c r="W226" s="45"/>
      <c r="X226" s="45"/>
    </row>
    <row r="227" ht="15.75" customHeight="1">
      <c r="A227" s="14" t="s">
        <v>17</v>
      </c>
      <c r="B227" s="14">
        <v>1994.0</v>
      </c>
      <c r="C227" s="14" t="s">
        <v>1711</v>
      </c>
      <c r="D227" s="14" t="s">
        <v>1712</v>
      </c>
      <c r="E227" s="150" t="s">
        <v>1713</v>
      </c>
      <c r="F227" s="14">
        <v>400.0</v>
      </c>
      <c r="G227" s="14">
        <v>403.0</v>
      </c>
      <c r="H227" s="14" t="s">
        <v>21</v>
      </c>
      <c r="I227" s="14"/>
      <c r="J227" s="130" t="s">
        <v>1718</v>
      </c>
      <c r="K227" s="152" t="s">
        <v>1719</v>
      </c>
      <c r="L227" s="20"/>
      <c r="M227" s="54"/>
      <c r="N227" s="152" t="s">
        <v>1719</v>
      </c>
      <c r="O227" s="47"/>
      <c r="P227" s="47"/>
      <c r="Q227" s="47"/>
      <c r="R227" s="47"/>
      <c r="S227" s="47"/>
      <c r="T227" s="47"/>
      <c r="U227" s="47"/>
      <c r="V227" s="47"/>
      <c r="W227" s="47"/>
      <c r="X227" s="47"/>
    </row>
    <row r="228" ht="15.75" customHeight="1">
      <c r="A228" s="14" t="s">
        <v>17</v>
      </c>
      <c r="B228" s="14">
        <v>1994.0</v>
      </c>
      <c r="C228" s="14" t="s">
        <v>1720</v>
      </c>
      <c r="D228" s="14" t="s">
        <v>1721</v>
      </c>
      <c r="E228" s="150" t="s">
        <v>1722</v>
      </c>
      <c r="F228" s="14">
        <v>414.0</v>
      </c>
      <c r="G228" s="14">
        <v>418.0</v>
      </c>
      <c r="H228" s="14" t="s">
        <v>21</v>
      </c>
      <c r="I228" s="14"/>
      <c r="J228" s="130" t="s">
        <v>1723</v>
      </c>
      <c r="K228" s="152" t="s">
        <v>1724</v>
      </c>
      <c r="L228" s="20"/>
      <c r="M228" s="54"/>
      <c r="N228" s="152" t="s">
        <v>1724</v>
      </c>
      <c r="O228" s="47"/>
      <c r="P228" s="47"/>
      <c r="Q228" s="47"/>
      <c r="R228" s="47"/>
      <c r="S228" s="47"/>
      <c r="T228" s="47"/>
      <c r="U228" s="47"/>
      <c r="V228" s="47"/>
      <c r="W228" s="47"/>
      <c r="X228" s="47"/>
    </row>
    <row r="229" ht="15.75" customHeight="1">
      <c r="A229" s="14" t="s">
        <v>17</v>
      </c>
      <c r="B229" s="14">
        <v>1994.0</v>
      </c>
      <c r="C229" s="14" t="s">
        <v>1725</v>
      </c>
      <c r="D229" s="14" t="s">
        <v>1726</v>
      </c>
      <c r="E229" s="150" t="s">
        <v>1727</v>
      </c>
      <c r="F229" s="14">
        <v>410.0</v>
      </c>
      <c r="G229" s="14">
        <v>413.0</v>
      </c>
      <c r="H229" s="14" t="s">
        <v>21</v>
      </c>
      <c r="I229" s="14"/>
      <c r="J229" s="130" t="s">
        <v>1730</v>
      </c>
      <c r="K229" s="152" t="s">
        <v>1731</v>
      </c>
      <c r="L229" s="20"/>
      <c r="M229" s="54"/>
      <c r="N229" s="152" t="s">
        <v>1731</v>
      </c>
      <c r="O229" s="47"/>
      <c r="P229" s="47"/>
      <c r="Q229" s="47"/>
      <c r="R229" s="47"/>
      <c r="S229" s="47"/>
      <c r="T229" s="47"/>
      <c r="U229" s="47"/>
      <c r="V229" s="47"/>
      <c r="W229" s="47"/>
      <c r="X229" s="47"/>
    </row>
    <row r="230" ht="15.75" customHeight="1">
      <c r="A230" s="14" t="s">
        <v>17</v>
      </c>
      <c r="B230" s="14">
        <v>1994.0</v>
      </c>
      <c r="C230" s="14" t="s">
        <v>1732</v>
      </c>
      <c r="D230" s="14" t="s">
        <v>1733</v>
      </c>
      <c r="E230" s="150" t="s">
        <v>1734</v>
      </c>
      <c r="F230" s="14">
        <v>404.0</v>
      </c>
      <c r="G230" s="14">
        <v>409.0</v>
      </c>
      <c r="H230" s="14" t="s">
        <v>21</v>
      </c>
      <c r="I230" s="14"/>
      <c r="J230" s="130" t="s">
        <v>1735</v>
      </c>
      <c r="K230" s="152" t="s">
        <v>1736</v>
      </c>
      <c r="L230" s="20"/>
      <c r="M230" s="54"/>
      <c r="N230" s="152" t="s">
        <v>1736</v>
      </c>
      <c r="O230" s="47"/>
      <c r="P230" s="47"/>
      <c r="Q230" s="47"/>
      <c r="R230" s="47"/>
      <c r="S230" s="47"/>
      <c r="T230" s="47"/>
      <c r="U230" s="47"/>
      <c r="V230" s="47"/>
      <c r="W230" s="47"/>
      <c r="X230" s="47"/>
    </row>
    <row r="231" ht="15.75" customHeight="1">
      <c r="A231" s="14" t="s">
        <v>17</v>
      </c>
      <c r="B231" s="14">
        <v>1994.0</v>
      </c>
      <c r="C231" s="14" t="s">
        <v>1737</v>
      </c>
      <c r="D231" s="14" t="s">
        <v>1738</v>
      </c>
      <c r="E231" s="150" t="s">
        <v>1739</v>
      </c>
      <c r="F231" s="14">
        <v>396.0</v>
      </c>
      <c r="G231" s="14">
        <v>399.0</v>
      </c>
      <c r="H231" s="14" t="s">
        <v>21</v>
      </c>
      <c r="I231" s="14"/>
      <c r="J231" s="130" t="s">
        <v>1743</v>
      </c>
      <c r="K231" s="152" t="s">
        <v>1744</v>
      </c>
      <c r="L231" s="20"/>
      <c r="M231" s="54"/>
      <c r="N231" s="152" t="s">
        <v>1744</v>
      </c>
      <c r="O231" s="47"/>
      <c r="P231" s="47"/>
      <c r="Q231" s="47"/>
      <c r="R231" s="47"/>
      <c r="S231" s="47"/>
      <c r="T231" s="47"/>
      <c r="U231" s="47"/>
      <c r="V231" s="47"/>
      <c r="W231" s="47"/>
      <c r="X231" s="47"/>
    </row>
    <row r="232" ht="15.75" customHeight="1">
      <c r="A232" s="14" t="s">
        <v>17</v>
      </c>
      <c r="B232" s="14">
        <v>1994.0</v>
      </c>
      <c r="C232" s="14" t="s">
        <v>1745</v>
      </c>
      <c r="D232" s="14" t="s">
        <v>1746</v>
      </c>
      <c r="E232" s="150" t="s">
        <v>1747</v>
      </c>
      <c r="F232" s="14">
        <v>392.0</v>
      </c>
      <c r="G232" s="14">
        <v>395.0</v>
      </c>
      <c r="H232" s="14" t="s">
        <v>21</v>
      </c>
      <c r="I232" s="14"/>
      <c r="J232" s="130" t="s">
        <v>1750</v>
      </c>
      <c r="K232" s="152" t="s">
        <v>1751</v>
      </c>
      <c r="L232" s="20"/>
      <c r="M232" s="54"/>
      <c r="N232" s="152" t="s">
        <v>1751</v>
      </c>
      <c r="O232" s="47"/>
      <c r="P232" s="47"/>
      <c r="Q232" s="47"/>
      <c r="R232" s="47"/>
      <c r="S232" s="47"/>
      <c r="T232" s="47"/>
      <c r="U232" s="47"/>
      <c r="V232" s="47"/>
      <c r="W232" s="47"/>
      <c r="X232" s="47"/>
    </row>
    <row r="233" ht="15.75" customHeight="1">
      <c r="A233" s="14" t="s">
        <v>17</v>
      </c>
      <c r="B233" s="14">
        <v>1994.0</v>
      </c>
      <c r="C233" s="14" t="s">
        <v>1752</v>
      </c>
      <c r="D233" s="14" t="s">
        <v>1753</v>
      </c>
      <c r="E233" s="150" t="s">
        <v>1754</v>
      </c>
      <c r="F233" s="14">
        <v>386.0</v>
      </c>
      <c r="G233" s="14" t="s">
        <v>1755</v>
      </c>
      <c r="H233" s="14" t="s">
        <v>28</v>
      </c>
      <c r="I233" s="14"/>
      <c r="J233" s="130" t="s">
        <v>1756</v>
      </c>
      <c r="K233" s="152" t="s">
        <v>1757</v>
      </c>
      <c r="L233" s="20"/>
      <c r="M233" s="54"/>
      <c r="N233" s="152" t="s">
        <v>1757</v>
      </c>
      <c r="O233" s="47"/>
      <c r="P233" s="47"/>
      <c r="Q233" s="47"/>
      <c r="R233" s="47"/>
      <c r="S233" s="47"/>
      <c r="T233" s="47"/>
      <c r="U233" s="47"/>
      <c r="V233" s="47"/>
      <c r="W233" s="47"/>
      <c r="X233" s="47"/>
    </row>
    <row r="234" ht="15.75" customHeight="1">
      <c r="A234" s="14" t="s">
        <v>17</v>
      </c>
      <c r="B234" s="14">
        <v>1994.0</v>
      </c>
      <c r="C234" s="14" t="s">
        <v>1758</v>
      </c>
      <c r="D234" s="14" t="s">
        <v>1759</v>
      </c>
      <c r="E234" s="150" t="s">
        <v>1760</v>
      </c>
      <c r="F234" s="14">
        <v>382.0</v>
      </c>
      <c r="G234" s="14" t="s">
        <v>1764</v>
      </c>
      <c r="H234" s="14" t="s">
        <v>28</v>
      </c>
      <c r="I234" s="14"/>
      <c r="J234" s="130" t="s">
        <v>1765</v>
      </c>
      <c r="K234" s="152" t="s">
        <v>1766</v>
      </c>
      <c r="L234" s="20"/>
      <c r="M234" s="54"/>
      <c r="N234" s="130" t="s">
        <v>36411</v>
      </c>
      <c r="O234" s="47"/>
      <c r="P234" s="47"/>
      <c r="Q234" s="47"/>
      <c r="R234" s="47"/>
      <c r="S234" s="47"/>
      <c r="T234" s="47"/>
      <c r="U234" s="47"/>
      <c r="V234" s="47"/>
      <c r="W234" s="47"/>
      <c r="X234" s="47"/>
    </row>
    <row r="235" ht="15.75" customHeight="1">
      <c r="A235" s="14" t="s">
        <v>17</v>
      </c>
      <c r="B235" s="14">
        <v>1994.0</v>
      </c>
      <c r="C235" s="14" t="s">
        <v>1767</v>
      </c>
      <c r="D235" s="14" t="s">
        <v>1768</v>
      </c>
      <c r="E235" s="150" t="s">
        <v>1769</v>
      </c>
      <c r="F235" s="14">
        <v>379.0</v>
      </c>
      <c r="G235" s="14" t="s">
        <v>1770</v>
      </c>
      <c r="H235" s="14" t="s">
        <v>28</v>
      </c>
      <c r="I235" s="14"/>
      <c r="J235" s="130" t="s">
        <v>1771</v>
      </c>
      <c r="K235" s="152" t="s">
        <v>1772</v>
      </c>
      <c r="L235" s="20"/>
      <c r="M235" s="54"/>
      <c r="N235" s="130" t="s">
        <v>36412</v>
      </c>
      <c r="O235" s="47"/>
      <c r="P235" s="47"/>
      <c r="Q235" s="47"/>
      <c r="R235" s="47"/>
      <c r="S235" s="47"/>
      <c r="T235" s="47"/>
      <c r="U235" s="47"/>
      <c r="V235" s="47"/>
      <c r="W235" s="47"/>
      <c r="X235" s="47"/>
    </row>
    <row r="236" ht="15.75" customHeight="1">
      <c r="A236" s="14" t="s">
        <v>17</v>
      </c>
      <c r="B236" s="14">
        <v>1994.0</v>
      </c>
      <c r="C236" s="14" t="s">
        <v>1773</v>
      </c>
      <c r="D236" s="14" t="s">
        <v>1774</v>
      </c>
      <c r="E236" s="150" t="s">
        <v>1775</v>
      </c>
      <c r="F236" s="14">
        <v>374.0</v>
      </c>
      <c r="G236" s="14" t="s">
        <v>1779</v>
      </c>
      <c r="H236" s="14" t="s">
        <v>28</v>
      </c>
      <c r="I236" s="14"/>
      <c r="J236" s="130" t="s">
        <v>1780</v>
      </c>
      <c r="K236" s="152" t="s">
        <v>1781</v>
      </c>
      <c r="L236" s="20"/>
      <c r="M236" s="54"/>
      <c r="N236" s="152" t="s">
        <v>1781</v>
      </c>
      <c r="O236" s="47"/>
      <c r="P236" s="47"/>
      <c r="Q236" s="47"/>
      <c r="R236" s="47"/>
      <c r="S236" s="47"/>
      <c r="T236" s="47"/>
      <c r="U236" s="47"/>
      <c r="V236" s="47"/>
      <c r="W236" s="47"/>
      <c r="X236" s="47"/>
    </row>
    <row r="237" ht="15.75" customHeight="1">
      <c r="A237" s="14" t="s">
        <v>17</v>
      </c>
      <c r="B237" s="14">
        <v>1994.0</v>
      </c>
      <c r="C237" s="14" t="s">
        <v>1782</v>
      </c>
      <c r="D237" s="14" t="s">
        <v>1783</v>
      </c>
      <c r="E237" s="150" t="s">
        <v>1784</v>
      </c>
      <c r="F237" s="14">
        <v>369.0</v>
      </c>
      <c r="G237" s="14" t="s">
        <v>1785</v>
      </c>
      <c r="H237" s="14" t="s">
        <v>28</v>
      </c>
      <c r="I237" s="14"/>
      <c r="J237" s="130" t="s">
        <v>1786</v>
      </c>
      <c r="K237" s="152" t="s">
        <v>1787</v>
      </c>
      <c r="L237" s="20" t="s">
        <v>1316</v>
      </c>
      <c r="M237" s="54"/>
      <c r="N237" s="152" t="s">
        <v>1787</v>
      </c>
      <c r="O237" s="47"/>
      <c r="P237" s="47"/>
      <c r="Q237" s="47"/>
      <c r="R237" s="47"/>
      <c r="S237" s="47"/>
      <c r="T237" s="47"/>
      <c r="U237" s="47"/>
      <c r="V237" s="47"/>
      <c r="W237" s="47"/>
      <c r="X237" s="47"/>
    </row>
    <row r="238" ht="15.75" customHeight="1">
      <c r="A238" s="14" t="s">
        <v>17</v>
      </c>
      <c r="B238" s="14">
        <v>1994.0</v>
      </c>
      <c r="C238" s="14" t="s">
        <v>1788</v>
      </c>
      <c r="D238" s="14" t="s">
        <v>1789</v>
      </c>
      <c r="E238" s="150" t="s">
        <v>1790</v>
      </c>
      <c r="F238" s="14">
        <v>364.0</v>
      </c>
      <c r="G238" s="14" t="s">
        <v>1794</v>
      </c>
      <c r="H238" s="14" t="s">
        <v>28</v>
      </c>
      <c r="I238" s="14"/>
      <c r="J238" s="130" t="s">
        <v>1795</v>
      </c>
      <c r="K238" s="152" t="s">
        <v>1796</v>
      </c>
      <c r="L238" s="20"/>
      <c r="M238" s="54"/>
      <c r="N238" s="130" t="s">
        <v>36489</v>
      </c>
      <c r="O238" s="47"/>
      <c r="P238" s="47"/>
      <c r="Q238" s="47"/>
      <c r="R238" s="47"/>
      <c r="S238" s="47"/>
      <c r="T238" s="47"/>
      <c r="U238" s="47"/>
      <c r="V238" s="47"/>
      <c r="W238" s="47"/>
      <c r="X238" s="47"/>
    </row>
    <row r="239" ht="15.75" customHeight="1">
      <c r="A239" s="14" t="s">
        <v>17</v>
      </c>
      <c r="B239" s="14">
        <v>1994.0</v>
      </c>
      <c r="C239" s="14" t="s">
        <v>1797</v>
      </c>
      <c r="D239" s="14" t="s">
        <v>1798</v>
      </c>
      <c r="E239" s="150" t="s">
        <v>1799</v>
      </c>
      <c r="F239" s="14">
        <v>359.0</v>
      </c>
      <c r="G239" s="14" t="s">
        <v>1800</v>
      </c>
      <c r="H239" s="14" t="s">
        <v>28</v>
      </c>
      <c r="I239" s="14"/>
      <c r="J239" s="130" t="s">
        <v>1801</v>
      </c>
      <c r="K239" s="152" t="s">
        <v>1802</v>
      </c>
      <c r="L239" s="20" t="s">
        <v>1803</v>
      </c>
      <c r="M239" s="54"/>
      <c r="N239" s="130" t="s">
        <v>36498</v>
      </c>
      <c r="O239" s="47"/>
      <c r="P239" s="47"/>
      <c r="Q239" s="47"/>
      <c r="R239" s="47"/>
      <c r="S239" s="47"/>
      <c r="T239" s="47"/>
      <c r="U239" s="47"/>
      <c r="V239" s="47"/>
      <c r="W239" s="47"/>
      <c r="X239" s="47"/>
    </row>
    <row r="240" ht="15.75" customHeight="1">
      <c r="A240" s="14" t="s">
        <v>17</v>
      </c>
      <c r="B240" s="14">
        <v>1994.0</v>
      </c>
      <c r="C240" s="14" t="s">
        <v>1804</v>
      </c>
      <c r="D240" s="14" t="s">
        <v>1805</v>
      </c>
      <c r="E240" s="150" t="s">
        <v>1806</v>
      </c>
      <c r="F240" s="14">
        <v>355.0</v>
      </c>
      <c r="G240" s="14" t="s">
        <v>1809</v>
      </c>
      <c r="H240" s="14" t="s">
        <v>28</v>
      </c>
      <c r="I240" s="14"/>
      <c r="J240" s="130" t="s">
        <v>1810</v>
      </c>
      <c r="K240" s="152" t="s">
        <v>1811</v>
      </c>
      <c r="L240" s="20" t="s">
        <v>1812</v>
      </c>
      <c r="M240" s="54"/>
      <c r="N240" s="130" t="s">
        <v>36508</v>
      </c>
      <c r="O240" s="47"/>
      <c r="P240" s="47"/>
      <c r="Q240" s="47"/>
      <c r="R240" s="47"/>
      <c r="S240" s="47"/>
      <c r="T240" s="47"/>
      <c r="U240" s="47"/>
      <c r="V240" s="47"/>
      <c r="W240" s="47"/>
      <c r="X240" s="47"/>
    </row>
    <row r="241" ht="15.75" customHeight="1">
      <c r="A241" s="14" t="s">
        <v>17</v>
      </c>
      <c r="B241" s="14">
        <v>1994.0</v>
      </c>
      <c r="C241" s="14" t="s">
        <v>1813</v>
      </c>
      <c r="D241" s="14" t="s">
        <v>1814</v>
      </c>
      <c r="E241" s="150" t="s">
        <v>1815</v>
      </c>
      <c r="F241" s="14">
        <v>350.0</v>
      </c>
      <c r="G241" s="14" t="s">
        <v>1816</v>
      </c>
      <c r="H241" s="14" t="s">
        <v>28</v>
      </c>
      <c r="I241" s="14"/>
      <c r="J241" s="130" t="s">
        <v>1672</v>
      </c>
      <c r="K241" s="152" t="s">
        <v>1158</v>
      </c>
      <c r="L241" s="20" t="s">
        <v>1182</v>
      </c>
      <c r="M241" s="54"/>
      <c r="N241" s="130" t="s">
        <v>36328</v>
      </c>
      <c r="O241" s="47"/>
      <c r="P241" s="47"/>
      <c r="Q241" s="47"/>
      <c r="R241" s="47"/>
      <c r="S241" s="47"/>
      <c r="T241" s="47"/>
      <c r="U241" s="47"/>
      <c r="V241" s="47"/>
      <c r="W241" s="47"/>
      <c r="X241" s="47"/>
    </row>
    <row r="242" ht="15.75" customHeight="1">
      <c r="A242" s="14" t="s">
        <v>17</v>
      </c>
      <c r="B242" s="14">
        <v>1994.0</v>
      </c>
      <c r="C242" s="14" t="s">
        <v>1817</v>
      </c>
      <c r="D242" s="14" t="s">
        <v>1819</v>
      </c>
      <c r="E242" s="150" t="s">
        <v>1820</v>
      </c>
      <c r="F242" s="14">
        <v>345.0</v>
      </c>
      <c r="G242" s="14">
        <v>348.0</v>
      </c>
      <c r="H242" s="14" t="s">
        <v>28</v>
      </c>
      <c r="I242" s="14"/>
      <c r="J242" s="130" t="s">
        <v>2554</v>
      </c>
      <c r="K242" s="152" t="s">
        <v>1824</v>
      </c>
      <c r="L242" s="20"/>
      <c r="M242" s="54"/>
      <c r="N242" s="130" t="s">
        <v>36527</v>
      </c>
      <c r="O242" s="47"/>
      <c r="P242" s="47"/>
      <c r="Q242" s="47"/>
      <c r="R242" s="47"/>
      <c r="S242" s="47"/>
      <c r="T242" s="47"/>
      <c r="U242" s="47"/>
      <c r="V242" s="47"/>
      <c r="W242" s="47"/>
      <c r="X242" s="47"/>
    </row>
    <row r="243" ht="15.75" customHeight="1">
      <c r="A243" s="14" t="s">
        <v>17</v>
      </c>
      <c r="B243" s="14">
        <v>1994.0</v>
      </c>
      <c r="C243" s="14" t="s">
        <v>1825</v>
      </c>
      <c r="D243" s="14" t="s">
        <v>1826</v>
      </c>
      <c r="E243" s="150" t="s">
        <v>1827</v>
      </c>
      <c r="F243" s="14">
        <v>341.0</v>
      </c>
      <c r="G243" s="14" t="s">
        <v>1828</v>
      </c>
      <c r="H243" s="14" t="s">
        <v>28</v>
      </c>
      <c r="I243" s="14"/>
      <c r="J243" s="130" t="s">
        <v>1829</v>
      </c>
      <c r="K243" s="152" t="s">
        <v>1831</v>
      </c>
      <c r="L243" s="20"/>
      <c r="M243" s="54"/>
      <c r="N243" s="130" t="s">
        <v>36536</v>
      </c>
      <c r="O243" s="47"/>
      <c r="P243" s="47"/>
      <c r="Q243" s="47"/>
      <c r="R243" s="47"/>
      <c r="S243" s="47"/>
      <c r="T243" s="47"/>
      <c r="U243" s="47"/>
      <c r="V243" s="47"/>
      <c r="W243" s="47"/>
      <c r="X243" s="47"/>
    </row>
    <row r="244" ht="15.75" customHeight="1">
      <c r="A244" s="14" t="s">
        <v>17</v>
      </c>
      <c r="B244" s="14">
        <v>1994.0</v>
      </c>
      <c r="C244" s="14" t="s">
        <v>1833</v>
      </c>
      <c r="D244" s="14" t="s">
        <v>1834</v>
      </c>
      <c r="E244" s="150" t="s">
        <v>1836</v>
      </c>
      <c r="F244" s="14">
        <v>337.0</v>
      </c>
      <c r="G244" s="14" t="s">
        <v>1837</v>
      </c>
      <c r="H244" s="14" t="s">
        <v>28</v>
      </c>
      <c r="I244" s="14"/>
      <c r="J244" s="130" t="s">
        <v>1838</v>
      </c>
      <c r="K244" s="152" t="s">
        <v>1839</v>
      </c>
      <c r="L244" s="20"/>
      <c r="M244" s="121" t="s">
        <v>1840</v>
      </c>
      <c r="N244" s="152" t="s">
        <v>1839</v>
      </c>
      <c r="O244" s="47"/>
      <c r="P244" s="47"/>
      <c r="Q244" s="47"/>
      <c r="R244" s="47"/>
      <c r="S244" s="47"/>
      <c r="T244" s="47"/>
      <c r="U244" s="47"/>
      <c r="V244" s="47"/>
      <c r="W244" s="47"/>
      <c r="X244" s="47"/>
    </row>
    <row r="245" ht="15.75" customHeight="1">
      <c r="A245" s="14" t="s">
        <v>17</v>
      </c>
      <c r="B245" s="14">
        <v>1994.0</v>
      </c>
      <c r="C245" s="14" t="s">
        <v>1841</v>
      </c>
      <c r="D245" s="14" t="s">
        <v>1842</v>
      </c>
      <c r="E245" s="150" t="s">
        <v>1843</v>
      </c>
      <c r="F245" s="14">
        <v>326.0</v>
      </c>
      <c r="G245" s="14">
        <v>333.0</v>
      </c>
      <c r="H245" s="14" t="s">
        <v>28</v>
      </c>
      <c r="I245" s="14"/>
      <c r="J245" s="130" t="s">
        <v>1844</v>
      </c>
      <c r="K245" s="152" t="s">
        <v>1845</v>
      </c>
      <c r="L245" s="20" t="s">
        <v>1846</v>
      </c>
      <c r="M245" s="54"/>
      <c r="N245" s="152" t="s">
        <v>1845</v>
      </c>
      <c r="O245" s="47"/>
      <c r="P245" s="47"/>
      <c r="Q245" s="47"/>
      <c r="R245" s="47"/>
      <c r="S245" s="47"/>
      <c r="T245" s="47"/>
      <c r="U245" s="47"/>
      <c r="V245" s="47"/>
      <c r="W245" s="47"/>
      <c r="X245" s="47"/>
    </row>
    <row r="246" ht="15.75" customHeight="1">
      <c r="A246" s="14" t="s">
        <v>17</v>
      </c>
      <c r="B246" s="14">
        <v>1994.0</v>
      </c>
      <c r="C246" s="14" t="s">
        <v>1847</v>
      </c>
      <c r="D246" s="14" t="s">
        <v>1848</v>
      </c>
      <c r="E246" s="150" t="s">
        <v>1849</v>
      </c>
      <c r="F246" s="14">
        <v>318.0</v>
      </c>
      <c r="G246" s="14" t="s">
        <v>1853</v>
      </c>
      <c r="H246" s="14" t="s">
        <v>28</v>
      </c>
      <c r="I246" s="14"/>
      <c r="J246" s="130" t="s">
        <v>1854</v>
      </c>
      <c r="K246" s="152" t="s">
        <v>1855</v>
      </c>
      <c r="L246" s="20" t="s">
        <v>1856</v>
      </c>
      <c r="M246" s="54"/>
      <c r="N246" s="130" t="s">
        <v>36556</v>
      </c>
      <c r="O246" s="47"/>
      <c r="P246" s="47"/>
      <c r="Q246" s="47"/>
      <c r="R246" s="47"/>
      <c r="S246" s="47"/>
      <c r="T246" s="47"/>
      <c r="U246" s="47"/>
      <c r="V246" s="47"/>
      <c r="W246" s="47"/>
      <c r="X246" s="47"/>
    </row>
    <row r="247" ht="15.75" customHeight="1">
      <c r="A247" s="14" t="s">
        <v>17</v>
      </c>
      <c r="B247" s="14">
        <v>1994.0</v>
      </c>
      <c r="C247" s="14" t="s">
        <v>1857</v>
      </c>
      <c r="D247" s="14" t="s">
        <v>1858</v>
      </c>
      <c r="E247" s="150" t="s">
        <v>1859</v>
      </c>
      <c r="F247" s="14">
        <v>310.0</v>
      </c>
      <c r="G247" s="14">
        <v>317.0</v>
      </c>
      <c r="H247" s="14" t="s">
        <v>28</v>
      </c>
      <c r="I247" s="14"/>
      <c r="J247" s="130" t="s">
        <v>1231</v>
      </c>
      <c r="K247" s="152" t="s">
        <v>1860</v>
      </c>
      <c r="L247" s="20" t="s">
        <v>1861</v>
      </c>
      <c r="M247" s="54"/>
      <c r="N247" s="130" t="s">
        <v>36561</v>
      </c>
      <c r="O247" s="47"/>
      <c r="P247" s="47"/>
      <c r="Q247" s="47"/>
      <c r="R247" s="47"/>
      <c r="S247" s="47"/>
      <c r="T247" s="47"/>
      <c r="U247" s="47"/>
      <c r="V247" s="47"/>
      <c r="W247" s="47"/>
      <c r="X247" s="47"/>
    </row>
    <row r="248" ht="15.75" customHeight="1">
      <c r="A248" s="14" t="s">
        <v>17</v>
      </c>
      <c r="B248" s="14">
        <v>1994.0</v>
      </c>
      <c r="C248" s="14" t="s">
        <v>1863</v>
      </c>
      <c r="D248" s="14" t="s">
        <v>1865</v>
      </c>
      <c r="E248" s="150" t="s">
        <v>1866</v>
      </c>
      <c r="F248" s="14">
        <v>302.0</v>
      </c>
      <c r="G248" s="14" t="s">
        <v>1867</v>
      </c>
      <c r="H248" s="14" t="s">
        <v>28</v>
      </c>
      <c r="I248" s="14"/>
      <c r="J248" s="130" t="s">
        <v>1868</v>
      </c>
      <c r="K248" s="152" t="s">
        <v>1869</v>
      </c>
      <c r="L248" s="20" t="s">
        <v>1870</v>
      </c>
      <c r="M248" s="54"/>
      <c r="N248" s="130" t="s">
        <v>35935</v>
      </c>
      <c r="O248" s="47"/>
      <c r="P248" s="47"/>
      <c r="Q248" s="47"/>
      <c r="R248" s="47"/>
      <c r="S248" s="47"/>
      <c r="T248" s="47"/>
      <c r="U248" s="47"/>
      <c r="V248" s="47"/>
      <c r="W248" s="47"/>
      <c r="X248" s="47"/>
    </row>
    <row r="249" ht="15.75" customHeight="1">
      <c r="A249" s="14" t="s">
        <v>17</v>
      </c>
      <c r="B249" s="14">
        <v>1994.0</v>
      </c>
      <c r="C249" s="14" t="s">
        <v>1871</v>
      </c>
      <c r="D249" s="14" t="s">
        <v>1872</v>
      </c>
      <c r="E249" s="150" t="s">
        <v>1873</v>
      </c>
      <c r="F249" s="14">
        <v>293.0</v>
      </c>
      <c r="G249" s="14" t="s">
        <v>1874</v>
      </c>
      <c r="H249" s="14" t="s">
        <v>28</v>
      </c>
      <c r="I249" s="14"/>
      <c r="J249" s="130" t="s">
        <v>1876</v>
      </c>
      <c r="K249" s="152" t="s">
        <v>1877</v>
      </c>
      <c r="L249" s="20"/>
      <c r="M249" s="54"/>
      <c r="N249" s="152" t="s">
        <v>1877</v>
      </c>
      <c r="O249" s="47"/>
      <c r="P249" s="47"/>
      <c r="Q249" s="47"/>
      <c r="R249" s="47"/>
      <c r="S249" s="47"/>
      <c r="T249" s="47"/>
      <c r="U249" s="47"/>
      <c r="V249" s="47"/>
      <c r="W249" s="47"/>
      <c r="X249" s="47"/>
    </row>
    <row r="250" ht="15.75" customHeight="1">
      <c r="A250" s="14" t="s">
        <v>17</v>
      </c>
      <c r="B250" s="14">
        <v>1994.0</v>
      </c>
      <c r="C250" s="14" t="s">
        <v>1880</v>
      </c>
      <c r="D250" s="14" t="s">
        <v>1881</v>
      </c>
      <c r="E250" s="150" t="s">
        <v>1882</v>
      </c>
      <c r="F250" s="14">
        <v>288.0</v>
      </c>
      <c r="G250" s="14">
        <v>292.0</v>
      </c>
      <c r="H250" s="14" t="s">
        <v>28</v>
      </c>
      <c r="I250" s="14"/>
      <c r="J250" s="130" t="s">
        <v>1883</v>
      </c>
      <c r="K250" s="152" t="s">
        <v>1884</v>
      </c>
      <c r="L250" s="20" t="s">
        <v>536</v>
      </c>
      <c r="M250" s="54"/>
      <c r="N250" s="152" t="s">
        <v>1884</v>
      </c>
      <c r="O250" s="47"/>
      <c r="P250" s="47"/>
      <c r="Q250" s="47"/>
      <c r="R250" s="47"/>
      <c r="S250" s="47"/>
      <c r="T250" s="47"/>
      <c r="U250" s="47"/>
      <c r="V250" s="47"/>
      <c r="W250" s="47"/>
      <c r="X250" s="47"/>
    </row>
    <row r="251" ht="15.75" customHeight="1">
      <c r="A251" s="14" t="s">
        <v>17</v>
      </c>
      <c r="B251" s="14">
        <v>1994.0</v>
      </c>
      <c r="C251" s="14" t="s">
        <v>1885</v>
      </c>
      <c r="D251" s="14" t="s">
        <v>1886</v>
      </c>
      <c r="E251" s="150" t="s">
        <v>1887</v>
      </c>
      <c r="F251" s="14">
        <v>281.0</v>
      </c>
      <c r="G251" s="14" t="s">
        <v>1888</v>
      </c>
      <c r="H251" s="14" t="s">
        <v>28</v>
      </c>
      <c r="I251" s="14"/>
      <c r="J251" s="130" t="s">
        <v>1889</v>
      </c>
      <c r="K251" s="152" t="s">
        <v>1890</v>
      </c>
      <c r="L251" s="20" t="s">
        <v>1281</v>
      </c>
      <c r="M251" s="54"/>
      <c r="N251" s="130" t="s">
        <v>36591</v>
      </c>
      <c r="O251" s="47"/>
      <c r="P251" s="47"/>
      <c r="Q251" s="47"/>
      <c r="R251" s="47"/>
      <c r="S251" s="47"/>
      <c r="T251" s="47"/>
      <c r="U251" s="47"/>
      <c r="V251" s="47"/>
      <c r="W251" s="47"/>
      <c r="X251" s="47"/>
    </row>
    <row r="252" ht="15.75" customHeight="1">
      <c r="A252" s="14" t="s">
        <v>17</v>
      </c>
      <c r="B252" s="14">
        <v>1994.0</v>
      </c>
      <c r="C252" s="14" t="s">
        <v>1891</v>
      </c>
      <c r="D252" s="14" t="s">
        <v>1892</v>
      </c>
      <c r="E252" s="150" t="s">
        <v>1893</v>
      </c>
      <c r="F252" s="14">
        <v>273.0</v>
      </c>
      <c r="G252" s="14" t="s">
        <v>1897</v>
      </c>
      <c r="H252" s="14" t="s">
        <v>28</v>
      </c>
      <c r="I252" s="14"/>
      <c r="J252" s="130" t="s">
        <v>1898</v>
      </c>
      <c r="K252" s="152" t="s">
        <v>1899</v>
      </c>
      <c r="L252" s="20" t="s">
        <v>1900</v>
      </c>
      <c r="M252" s="54"/>
      <c r="N252" s="130" t="s">
        <v>36596</v>
      </c>
      <c r="O252" s="47"/>
      <c r="P252" s="47"/>
      <c r="Q252" s="47"/>
      <c r="R252" s="47"/>
      <c r="S252" s="47"/>
      <c r="T252" s="47"/>
      <c r="U252" s="47"/>
      <c r="V252" s="47"/>
      <c r="W252" s="47"/>
      <c r="X252" s="47"/>
    </row>
    <row r="253" ht="15.75" customHeight="1">
      <c r="A253" s="14" t="s">
        <v>17</v>
      </c>
      <c r="B253" s="14">
        <v>1994.0</v>
      </c>
      <c r="C253" s="14" t="s">
        <v>1901</v>
      </c>
      <c r="D253" s="14" t="s">
        <v>1902</v>
      </c>
      <c r="E253" s="150" t="s">
        <v>1903</v>
      </c>
      <c r="F253" s="14">
        <v>265.0</v>
      </c>
      <c r="G253" s="14" t="s">
        <v>1907</v>
      </c>
      <c r="H253" s="14" t="s">
        <v>28</v>
      </c>
      <c r="I253" s="14"/>
      <c r="J253" s="130" t="s">
        <v>1908</v>
      </c>
      <c r="K253" s="152" t="s">
        <v>1909</v>
      </c>
      <c r="L253" s="20" t="s">
        <v>1910</v>
      </c>
      <c r="M253" s="121" t="s">
        <v>1911</v>
      </c>
      <c r="N253" s="130" t="s">
        <v>36603</v>
      </c>
      <c r="O253" s="47"/>
      <c r="P253" s="47"/>
      <c r="Q253" s="47"/>
      <c r="R253" s="47"/>
      <c r="S253" s="47"/>
      <c r="T253" s="47"/>
      <c r="U253" s="47"/>
      <c r="V253" s="47"/>
      <c r="W253" s="47"/>
      <c r="X253" s="47"/>
    </row>
    <row r="254" ht="15.75" customHeight="1">
      <c r="A254" s="14" t="s">
        <v>17</v>
      </c>
      <c r="B254" s="14">
        <v>1994.0</v>
      </c>
      <c r="C254" s="14" t="s">
        <v>1912</v>
      </c>
      <c r="D254" s="14" t="s">
        <v>1913</v>
      </c>
      <c r="E254" s="150" t="s">
        <v>1914</v>
      </c>
      <c r="F254" s="14">
        <v>257.0</v>
      </c>
      <c r="G254" s="14" t="s">
        <v>1915</v>
      </c>
      <c r="H254" s="14" t="s">
        <v>28</v>
      </c>
      <c r="I254" s="14"/>
      <c r="J254" s="130" t="s">
        <v>1364</v>
      </c>
      <c r="K254" s="152" t="s">
        <v>1110</v>
      </c>
      <c r="L254" s="20" t="s">
        <v>1916</v>
      </c>
      <c r="M254" s="54"/>
      <c r="N254" s="130" t="s">
        <v>36609</v>
      </c>
      <c r="O254" s="47"/>
      <c r="P254" s="47"/>
      <c r="Q254" s="47"/>
      <c r="R254" s="47"/>
      <c r="S254" s="47"/>
      <c r="T254" s="47"/>
      <c r="U254" s="47"/>
      <c r="V254" s="47"/>
      <c r="W254" s="47"/>
      <c r="X254" s="47"/>
    </row>
    <row r="255" ht="15.75" customHeight="1">
      <c r="A255" s="14" t="s">
        <v>17</v>
      </c>
      <c r="B255" s="14">
        <v>1994.0</v>
      </c>
      <c r="C255" s="14" t="s">
        <v>1917</v>
      </c>
      <c r="D255" s="14" t="s">
        <v>1918</v>
      </c>
      <c r="E255" s="150" t="s">
        <v>1919</v>
      </c>
      <c r="F255" s="14">
        <v>248.0</v>
      </c>
      <c r="G255" s="14" t="s">
        <v>1922</v>
      </c>
      <c r="H255" s="14" t="s">
        <v>28</v>
      </c>
      <c r="I255" s="14"/>
      <c r="J255" s="130" t="s">
        <v>1923</v>
      </c>
      <c r="K255" s="152" t="s">
        <v>1153</v>
      </c>
      <c r="L255" s="20" t="s">
        <v>1924</v>
      </c>
      <c r="M255" s="54"/>
      <c r="N255" s="130" t="s">
        <v>35868</v>
      </c>
      <c r="O255" s="47"/>
      <c r="P255" s="47"/>
      <c r="Q255" s="47"/>
      <c r="R255" s="47"/>
      <c r="S255" s="47"/>
      <c r="T255" s="47"/>
      <c r="U255" s="47"/>
      <c r="V255" s="47"/>
      <c r="W255" s="47"/>
      <c r="X255" s="47"/>
    </row>
    <row r="256" ht="15.75" customHeight="1">
      <c r="A256" s="14" t="s">
        <v>17</v>
      </c>
      <c r="B256" s="14">
        <v>1994.0</v>
      </c>
      <c r="C256" s="14" t="s">
        <v>1925</v>
      </c>
      <c r="D256" s="14" t="s">
        <v>1926</v>
      </c>
      <c r="E256" s="150" t="s">
        <v>1927</v>
      </c>
      <c r="F256" s="14">
        <v>240.0</v>
      </c>
      <c r="G256" s="14" t="s">
        <v>1928</v>
      </c>
      <c r="H256" s="14" t="s">
        <v>28</v>
      </c>
      <c r="I256" s="14"/>
      <c r="J256" s="130" t="s">
        <v>1929</v>
      </c>
      <c r="K256" s="152" t="s">
        <v>1930</v>
      </c>
      <c r="L256" s="20" t="s">
        <v>1931</v>
      </c>
      <c r="M256" s="54"/>
      <c r="N256" s="130" t="s">
        <v>36609</v>
      </c>
      <c r="O256" s="47"/>
      <c r="P256" s="47"/>
      <c r="Q256" s="47"/>
      <c r="R256" s="47"/>
      <c r="S256" s="47"/>
      <c r="T256" s="47"/>
      <c r="U256" s="47"/>
      <c r="V256" s="47"/>
      <c r="W256" s="47"/>
      <c r="X256" s="47"/>
    </row>
    <row r="257" ht="15.75" customHeight="1">
      <c r="A257" s="14" t="s">
        <v>17</v>
      </c>
      <c r="B257" s="14">
        <v>1994.0</v>
      </c>
      <c r="C257" s="14" t="s">
        <v>1932</v>
      </c>
      <c r="D257" s="14" t="s">
        <v>1933</v>
      </c>
      <c r="E257" s="150" t="s">
        <v>1934</v>
      </c>
      <c r="F257" s="14">
        <v>232.0</v>
      </c>
      <c r="G257" s="14" t="s">
        <v>1935</v>
      </c>
      <c r="H257" s="14" t="s">
        <v>28</v>
      </c>
      <c r="I257" s="14"/>
      <c r="J257" s="130" t="s">
        <v>1936</v>
      </c>
      <c r="K257" s="152" t="s">
        <v>1937</v>
      </c>
      <c r="L257" s="20"/>
      <c r="M257" s="54"/>
      <c r="N257" s="130" t="s">
        <v>36633</v>
      </c>
      <c r="O257" s="47"/>
      <c r="P257" s="47"/>
      <c r="Q257" s="47"/>
      <c r="R257" s="47"/>
      <c r="S257" s="47"/>
      <c r="T257" s="47"/>
      <c r="U257" s="47"/>
      <c r="V257" s="47"/>
      <c r="W257" s="47"/>
      <c r="X257" s="47"/>
    </row>
    <row r="258" ht="15.75" customHeight="1">
      <c r="A258" s="14" t="s">
        <v>17</v>
      </c>
      <c r="B258" s="14">
        <v>1994.0</v>
      </c>
      <c r="C258" s="14" t="s">
        <v>1938</v>
      </c>
      <c r="D258" s="14" t="s">
        <v>1939</v>
      </c>
      <c r="E258" s="150" t="s">
        <v>1940</v>
      </c>
      <c r="F258" s="14">
        <v>225.0</v>
      </c>
      <c r="G258" s="14" t="s">
        <v>1941</v>
      </c>
      <c r="H258" s="14" t="s">
        <v>28</v>
      </c>
      <c r="I258" s="14"/>
      <c r="J258" s="130" t="s">
        <v>1942</v>
      </c>
      <c r="K258" s="152" t="s">
        <v>1943</v>
      </c>
      <c r="L258" s="20" t="s">
        <v>1944</v>
      </c>
      <c r="M258" s="54"/>
      <c r="N258" s="152" t="s">
        <v>1943</v>
      </c>
      <c r="O258" s="47"/>
      <c r="P258" s="47"/>
      <c r="Q258" s="47"/>
      <c r="R258" s="47"/>
      <c r="S258" s="47"/>
      <c r="T258" s="47"/>
      <c r="U258" s="47"/>
      <c r="V258" s="47"/>
      <c r="W258" s="47"/>
      <c r="X258" s="47"/>
    </row>
    <row r="259" ht="15.75" customHeight="1">
      <c r="A259" s="14" t="s">
        <v>17</v>
      </c>
      <c r="B259" s="14">
        <v>1994.0</v>
      </c>
      <c r="C259" s="14" t="s">
        <v>1945</v>
      </c>
      <c r="D259" s="14" t="s">
        <v>1946</v>
      </c>
      <c r="E259" s="150" t="s">
        <v>1947</v>
      </c>
      <c r="F259" s="14">
        <v>217.0</v>
      </c>
      <c r="G259" s="14" t="s">
        <v>1948</v>
      </c>
      <c r="H259" s="14" t="s">
        <v>28</v>
      </c>
      <c r="I259" s="14"/>
      <c r="J259" s="130" t="s">
        <v>1949</v>
      </c>
      <c r="K259" s="152" t="s">
        <v>1950</v>
      </c>
      <c r="L259" s="20" t="s">
        <v>1951</v>
      </c>
      <c r="M259" s="54"/>
      <c r="N259" s="130" t="s">
        <v>36709</v>
      </c>
      <c r="O259" s="47"/>
      <c r="P259" s="47"/>
      <c r="Q259" s="47"/>
      <c r="R259" s="47"/>
      <c r="S259" s="47"/>
      <c r="T259" s="47"/>
      <c r="U259" s="47"/>
      <c r="V259" s="47"/>
      <c r="W259" s="47"/>
      <c r="X259" s="47"/>
    </row>
    <row r="260" ht="15.75" customHeight="1">
      <c r="A260" s="14" t="s">
        <v>17</v>
      </c>
      <c r="B260" s="14">
        <v>1994.0</v>
      </c>
      <c r="C260" s="14" t="s">
        <v>1952</v>
      </c>
      <c r="D260" s="14" t="s">
        <v>1953</v>
      </c>
      <c r="E260" s="150" t="s">
        <v>1954</v>
      </c>
      <c r="F260" s="14">
        <v>212.0</v>
      </c>
      <c r="G260" s="14" t="s">
        <v>1955</v>
      </c>
      <c r="H260" s="14" t="s">
        <v>28</v>
      </c>
      <c r="I260" s="14"/>
      <c r="J260" s="130" t="s">
        <v>1956</v>
      </c>
      <c r="K260" s="152" t="s">
        <v>1957</v>
      </c>
      <c r="L260" s="20"/>
      <c r="M260" s="54"/>
      <c r="N260" s="130" t="s">
        <v>36721</v>
      </c>
      <c r="O260" s="47"/>
      <c r="P260" s="47"/>
      <c r="Q260" s="47"/>
      <c r="R260" s="47"/>
      <c r="S260" s="47"/>
      <c r="T260" s="47"/>
      <c r="U260" s="47"/>
      <c r="V260" s="47"/>
      <c r="W260" s="47"/>
      <c r="X260" s="47"/>
    </row>
    <row r="261" ht="15.75" customHeight="1">
      <c r="A261" s="14" t="s">
        <v>17</v>
      </c>
      <c r="B261" s="14">
        <v>1994.0</v>
      </c>
      <c r="C261" s="14" t="s">
        <v>1958</v>
      </c>
      <c r="D261" s="14" t="s">
        <v>1959</v>
      </c>
      <c r="E261" s="150" t="s">
        <v>1960</v>
      </c>
      <c r="F261" s="14">
        <v>205.0</v>
      </c>
      <c r="G261" s="14" t="s">
        <v>1964</v>
      </c>
      <c r="H261" s="14" t="s">
        <v>28</v>
      </c>
      <c r="I261" s="14"/>
      <c r="J261" s="130" t="s">
        <v>36726</v>
      </c>
      <c r="K261" s="152" t="s">
        <v>1966</v>
      </c>
      <c r="L261" s="20" t="s">
        <v>668</v>
      </c>
      <c r="M261" s="54"/>
      <c r="N261" s="130" t="s">
        <v>36728</v>
      </c>
      <c r="O261" s="47"/>
      <c r="P261" s="47"/>
      <c r="Q261" s="47"/>
      <c r="R261" s="47"/>
      <c r="S261" s="47"/>
      <c r="T261" s="47"/>
      <c r="U261" s="47"/>
      <c r="V261" s="47"/>
      <c r="W261" s="47"/>
      <c r="X261" s="47"/>
    </row>
    <row r="262" ht="15.75" customHeight="1">
      <c r="A262" s="14" t="s">
        <v>17</v>
      </c>
      <c r="B262" s="14">
        <v>1994.0</v>
      </c>
      <c r="C262" s="14" t="s">
        <v>1967</v>
      </c>
      <c r="D262" s="14" t="s">
        <v>1968</v>
      </c>
      <c r="E262" s="150" t="s">
        <v>1969</v>
      </c>
      <c r="F262" s="14">
        <v>196.0</v>
      </c>
      <c r="G262" s="14">
        <v>203.0</v>
      </c>
      <c r="H262" s="14" t="s">
        <v>28</v>
      </c>
      <c r="I262" s="14"/>
      <c r="J262" s="130" t="s">
        <v>2939</v>
      </c>
      <c r="K262" s="152" t="s">
        <v>66</v>
      </c>
      <c r="L262" s="20" t="s">
        <v>1971</v>
      </c>
      <c r="M262" s="54"/>
      <c r="N262" s="130" t="s">
        <v>34682</v>
      </c>
      <c r="O262" s="47"/>
      <c r="P262" s="47"/>
      <c r="Q262" s="47"/>
      <c r="R262" s="47"/>
      <c r="S262" s="47"/>
      <c r="T262" s="47"/>
      <c r="U262" s="47"/>
      <c r="V262" s="47"/>
      <c r="W262" s="47"/>
      <c r="X262" s="47"/>
    </row>
    <row r="263" ht="15.75" customHeight="1">
      <c r="A263" s="14" t="s">
        <v>17</v>
      </c>
      <c r="B263" s="14">
        <v>1994.0</v>
      </c>
      <c r="C263" s="14" t="s">
        <v>1972</v>
      </c>
      <c r="D263" s="14" t="s">
        <v>1973</v>
      </c>
      <c r="E263" s="150" t="s">
        <v>1974</v>
      </c>
      <c r="F263" s="14">
        <v>188.0</v>
      </c>
      <c r="G263" s="14" t="s">
        <v>1976</v>
      </c>
      <c r="H263" s="14" t="s">
        <v>28</v>
      </c>
      <c r="I263" s="14"/>
      <c r="J263" s="130" t="s">
        <v>2952</v>
      </c>
      <c r="K263" s="152" t="s">
        <v>1979</v>
      </c>
      <c r="L263" s="20" t="s">
        <v>1387</v>
      </c>
      <c r="M263" s="54"/>
      <c r="N263" s="130" t="s">
        <v>36744</v>
      </c>
      <c r="O263" s="47"/>
      <c r="P263" s="47"/>
      <c r="Q263" s="47"/>
      <c r="R263" s="47"/>
      <c r="S263" s="47"/>
      <c r="T263" s="47"/>
      <c r="U263" s="47"/>
      <c r="V263" s="47"/>
      <c r="W263" s="47"/>
      <c r="X263" s="47"/>
    </row>
    <row r="264" ht="15.75" customHeight="1">
      <c r="A264" s="14" t="s">
        <v>17</v>
      </c>
      <c r="B264" s="14">
        <v>1994.0</v>
      </c>
      <c r="C264" s="14" t="s">
        <v>1981</v>
      </c>
      <c r="D264" s="14" t="s">
        <v>1982</v>
      </c>
      <c r="E264" s="150" t="s">
        <v>1983</v>
      </c>
      <c r="F264" s="14">
        <v>180.0</v>
      </c>
      <c r="G264" s="14" t="s">
        <v>1984</v>
      </c>
      <c r="H264" s="14" t="s">
        <v>28</v>
      </c>
      <c r="I264" s="14"/>
      <c r="J264" s="130" t="s">
        <v>1985</v>
      </c>
      <c r="K264" s="152" t="s">
        <v>281</v>
      </c>
      <c r="L264" s="20" t="s">
        <v>1986</v>
      </c>
      <c r="M264" s="54"/>
      <c r="N264" s="130" t="s">
        <v>34872</v>
      </c>
      <c r="O264" s="47"/>
      <c r="P264" s="47"/>
      <c r="Q264" s="47"/>
      <c r="R264" s="47"/>
      <c r="S264" s="47"/>
      <c r="T264" s="47"/>
      <c r="U264" s="47"/>
      <c r="V264" s="47"/>
      <c r="W264" s="47"/>
      <c r="X264" s="47"/>
    </row>
    <row r="265" ht="15.75" customHeight="1">
      <c r="A265" s="14" t="s">
        <v>17</v>
      </c>
      <c r="B265" s="14">
        <v>1994.0</v>
      </c>
      <c r="C265" s="14" t="s">
        <v>1987</v>
      </c>
      <c r="D265" s="14" t="s">
        <v>1988</v>
      </c>
      <c r="E265" s="150" t="s">
        <v>1989</v>
      </c>
      <c r="F265" s="14">
        <v>172.0</v>
      </c>
      <c r="G265" s="14" t="s">
        <v>1990</v>
      </c>
      <c r="H265" s="14" t="s">
        <v>28</v>
      </c>
      <c r="I265" s="14"/>
      <c r="J265" s="130" t="s">
        <v>1991</v>
      </c>
      <c r="K265" s="152" t="s">
        <v>144</v>
      </c>
      <c r="L265" s="20"/>
      <c r="M265" s="54"/>
      <c r="N265" s="130" t="s">
        <v>36807</v>
      </c>
      <c r="O265" s="47"/>
      <c r="P265" s="47"/>
      <c r="Q265" s="47"/>
      <c r="R265" s="47"/>
      <c r="S265" s="47"/>
      <c r="T265" s="47"/>
      <c r="U265" s="47"/>
      <c r="V265" s="47"/>
      <c r="W265" s="47"/>
      <c r="X265" s="47"/>
    </row>
    <row r="266" ht="15.75" customHeight="1">
      <c r="A266" s="14" t="s">
        <v>17</v>
      </c>
      <c r="B266" s="14">
        <v>1994.0</v>
      </c>
      <c r="C266" s="14" t="s">
        <v>1992</v>
      </c>
      <c r="D266" s="14" t="s">
        <v>1993</v>
      </c>
      <c r="E266" s="150" t="s">
        <v>1994</v>
      </c>
      <c r="F266" s="14">
        <v>164.0</v>
      </c>
      <c r="G266" s="14" t="s">
        <v>1997</v>
      </c>
      <c r="H266" s="14" t="s">
        <v>28</v>
      </c>
      <c r="I266" s="14"/>
      <c r="J266" s="130" t="s">
        <v>1998</v>
      </c>
      <c r="K266" s="152" t="s">
        <v>1999</v>
      </c>
      <c r="L266" s="20"/>
      <c r="M266" s="54"/>
      <c r="N266" s="152" t="s">
        <v>1999</v>
      </c>
      <c r="O266" s="47"/>
      <c r="P266" s="47"/>
      <c r="Q266" s="47"/>
      <c r="R266" s="47"/>
      <c r="S266" s="47"/>
      <c r="T266" s="47"/>
      <c r="U266" s="47"/>
      <c r="V266" s="47"/>
      <c r="W266" s="47"/>
      <c r="X266" s="47"/>
    </row>
    <row r="267" ht="15.75" customHeight="1">
      <c r="A267" s="14" t="s">
        <v>17</v>
      </c>
      <c r="B267" s="14">
        <v>1994.0</v>
      </c>
      <c r="C267" s="14" t="s">
        <v>2000</v>
      </c>
      <c r="D267" s="14" t="s">
        <v>2001</v>
      </c>
      <c r="E267" s="150" t="s">
        <v>2002</v>
      </c>
      <c r="F267" s="14">
        <v>156.0</v>
      </c>
      <c r="G267" s="14" t="s">
        <v>2004</v>
      </c>
      <c r="H267" s="14" t="s">
        <v>28</v>
      </c>
      <c r="I267" s="14"/>
      <c r="J267" s="130" t="s">
        <v>2005</v>
      </c>
      <c r="K267" s="152" t="s">
        <v>855</v>
      </c>
      <c r="L267" s="20" t="s">
        <v>2006</v>
      </c>
      <c r="M267" s="54"/>
      <c r="N267" s="130" t="s">
        <v>35345</v>
      </c>
      <c r="O267" s="47"/>
      <c r="P267" s="47"/>
      <c r="Q267" s="47"/>
      <c r="R267" s="47"/>
      <c r="S267" s="47"/>
      <c r="T267" s="47"/>
      <c r="U267" s="47"/>
      <c r="V267" s="47"/>
      <c r="W267" s="47"/>
      <c r="X267" s="47"/>
    </row>
    <row r="268" ht="15.75" customHeight="1">
      <c r="A268" s="14" t="s">
        <v>17</v>
      </c>
      <c r="B268" s="14">
        <v>1994.0</v>
      </c>
      <c r="C268" s="14" t="s">
        <v>2007</v>
      </c>
      <c r="D268" s="14" t="s">
        <v>2008</v>
      </c>
      <c r="E268" s="150" t="s">
        <v>2009</v>
      </c>
      <c r="F268" s="14">
        <v>149.0</v>
      </c>
      <c r="G268" s="14" t="s">
        <v>2012</v>
      </c>
      <c r="H268" s="14" t="s">
        <v>28</v>
      </c>
      <c r="I268" s="14"/>
      <c r="J268" s="130" t="s">
        <v>2014</v>
      </c>
      <c r="K268" s="152" t="s">
        <v>2015</v>
      </c>
      <c r="L268" s="20"/>
      <c r="M268" s="54"/>
      <c r="N268" s="130" t="s">
        <v>36821</v>
      </c>
      <c r="O268" s="47"/>
      <c r="P268" s="47"/>
      <c r="Q268" s="47"/>
      <c r="R268" s="47"/>
      <c r="S268" s="47"/>
      <c r="T268" s="47"/>
      <c r="U268" s="47"/>
      <c r="V268" s="47"/>
      <c r="W268" s="47"/>
      <c r="X268" s="47"/>
    </row>
    <row r="269" ht="15.75" customHeight="1">
      <c r="A269" s="14" t="s">
        <v>17</v>
      </c>
      <c r="B269" s="14">
        <v>1994.0</v>
      </c>
      <c r="C269" s="14" t="s">
        <v>2016</v>
      </c>
      <c r="D269" s="14" t="s">
        <v>2017</v>
      </c>
      <c r="E269" s="150" t="s">
        <v>2018</v>
      </c>
      <c r="F269" s="14">
        <v>140.0</v>
      </c>
      <c r="G269" s="14" t="s">
        <v>2019</v>
      </c>
      <c r="H269" s="14" t="s">
        <v>28</v>
      </c>
      <c r="I269" s="14"/>
      <c r="J269" s="130" t="s">
        <v>1088</v>
      </c>
      <c r="K269" s="152" t="s">
        <v>2020</v>
      </c>
      <c r="L269" s="20" t="s">
        <v>487</v>
      </c>
      <c r="M269" s="54"/>
      <c r="N269" s="152" t="s">
        <v>2020</v>
      </c>
      <c r="O269" s="47"/>
      <c r="P269" s="47"/>
      <c r="Q269" s="47"/>
      <c r="R269" s="47"/>
      <c r="S269" s="47"/>
      <c r="T269" s="47"/>
      <c r="U269" s="47"/>
      <c r="V269" s="47"/>
      <c r="W269" s="47"/>
      <c r="X269" s="47"/>
    </row>
    <row r="270" ht="15.75" customHeight="1">
      <c r="A270" s="14" t="s">
        <v>17</v>
      </c>
      <c r="B270" s="14">
        <v>1994.0</v>
      </c>
      <c r="C270" s="14" t="s">
        <v>2021</v>
      </c>
      <c r="D270" s="14" t="s">
        <v>2022</v>
      </c>
      <c r="E270" s="150" t="s">
        <v>2023</v>
      </c>
      <c r="F270" s="14">
        <v>132.0</v>
      </c>
      <c r="G270" s="14" t="s">
        <v>2024</v>
      </c>
      <c r="H270" s="14" t="s">
        <v>28</v>
      </c>
      <c r="I270" s="14"/>
      <c r="J270" s="130" t="s">
        <v>2025</v>
      </c>
      <c r="K270" s="152" t="s">
        <v>2026</v>
      </c>
      <c r="L270" s="20" t="s">
        <v>487</v>
      </c>
      <c r="M270" s="54"/>
      <c r="N270" s="152" t="s">
        <v>2026</v>
      </c>
      <c r="O270" s="47"/>
      <c r="P270" s="47"/>
      <c r="Q270" s="47"/>
      <c r="R270" s="47"/>
      <c r="S270" s="47"/>
      <c r="T270" s="47"/>
      <c r="U270" s="47"/>
      <c r="V270" s="47"/>
      <c r="W270" s="47"/>
      <c r="X270" s="47"/>
    </row>
    <row r="271" ht="15.75" customHeight="1">
      <c r="A271" s="14" t="s">
        <v>17</v>
      </c>
      <c r="B271" s="14">
        <v>1994.0</v>
      </c>
      <c r="C271" s="14" t="s">
        <v>2027</v>
      </c>
      <c r="D271" s="14" t="s">
        <v>2028</v>
      </c>
      <c r="E271" s="150" t="s">
        <v>2029</v>
      </c>
      <c r="F271" s="14">
        <v>124.0</v>
      </c>
      <c r="G271" s="14" t="s">
        <v>2033</v>
      </c>
      <c r="H271" s="14" t="s">
        <v>28</v>
      </c>
      <c r="I271" s="14"/>
      <c r="J271" s="130" t="s">
        <v>2034</v>
      </c>
      <c r="K271" s="152" t="s">
        <v>2026</v>
      </c>
      <c r="L271" s="20"/>
      <c r="M271" s="54"/>
      <c r="N271" s="152" t="s">
        <v>2026</v>
      </c>
      <c r="O271" s="47"/>
      <c r="P271" s="47"/>
      <c r="Q271" s="47"/>
      <c r="R271" s="47"/>
      <c r="S271" s="47"/>
      <c r="T271" s="47"/>
      <c r="U271" s="47"/>
      <c r="V271" s="47"/>
      <c r="W271" s="47"/>
      <c r="X271" s="47"/>
    </row>
    <row r="272" ht="15.75" customHeight="1">
      <c r="A272" s="14" t="s">
        <v>17</v>
      </c>
      <c r="B272" s="14">
        <v>1994.0</v>
      </c>
      <c r="C272" s="14" t="s">
        <v>2035</v>
      </c>
      <c r="D272" s="14" t="s">
        <v>2036</v>
      </c>
      <c r="E272" s="150" t="s">
        <v>2037</v>
      </c>
      <c r="F272" s="14">
        <v>117.0</v>
      </c>
      <c r="G272" s="14" t="s">
        <v>2040</v>
      </c>
      <c r="H272" s="14" t="s">
        <v>28</v>
      </c>
      <c r="I272" s="14"/>
      <c r="J272" s="130" t="s">
        <v>2041</v>
      </c>
      <c r="K272" s="152" t="s">
        <v>2042</v>
      </c>
      <c r="L272" s="20" t="s">
        <v>1294</v>
      </c>
      <c r="M272" s="54"/>
      <c r="N272" s="152" t="s">
        <v>2042</v>
      </c>
      <c r="O272" s="47"/>
      <c r="P272" s="47"/>
      <c r="Q272" s="47"/>
      <c r="R272" s="47"/>
      <c r="S272" s="47"/>
      <c r="T272" s="47"/>
      <c r="U272" s="47"/>
      <c r="V272" s="47"/>
      <c r="W272" s="47"/>
      <c r="X272" s="47"/>
    </row>
    <row r="273" ht="15.75" customHeight="1">
      <c r="A273" s="14" t="s">
        <v>17</v>
      </c>
      <c r="B273" s="14">
        <v>1994.0</v>
      </c>
      <c r="C273" s="14" t="s">
        <v>2043</v>
      </c>
      <c r="D273" s="14" t="s">
        <v>2044</v>
      </c>
      <c r="E273" s="150" t="s">
        <v>2045</v>
      </c>
      <c r="F273" s="14">
        <v>108.0</v>
      </c>
      <c r="G273" s="14" t="s">
        <v>2048</v>
      </c>
      <c r="H273" s="14" t="s">
        <v>28</v>
      </c>
      <c r="I273" s="14"/>
      <c r="J273" s="130" t="s">
        <v>2049</v>
      </c>
      <c r="K273" s="152" t="s">
        <v>855</v>
      </c>
      <c r="L273" s="20" t="s">
        <v>2050</v>
      </c>
      <c r="M273" s="54"/>
      <c r="N273" s="130" t="s">
        <v>35345</v>
      </c>
      <c r="O273" s="47"/>
      <c r="P273" s="47"/>
      <c r="Q273" s="47"/>
      <c r="R273" s="47"/>
      <c r="S273" s="47"/>
      <c r="T273" s="47"/>
      <c r="U273" s="47"/>
      <c r="V273" s="47"/>
      <c r="W273" s="47"/>
      <c r="X273" s="47"/>
    </row>
    <row r="274" ht="15.75" customHeight="1">
      <c r="A274" s="14" t="s">
        <v>17</v>
      </c>
      <c r="B274" s="14">
        <v>1994.0</v>
      </c>
      <c r="C274" s="14" t="s">
        <v>2051</v>
      </c>
      <c r="D274" s="14" t="s">
        <v>2052</v>
      </c>
      <c r="E274" s="150" t="s">
        <v>2053</v>
      </c>
      <c r="F274" s="14">
        <v>100.0</v>
      </c>
      <c r="G274" s="14" t="s">
        <v>2057</v>
      </c>
      <c r="H274" s="14" t="s">
        <v>28</v>
      </c>
      <c r="I274" s="14"/>
      <c r="J274" s="130" t="s">
        <v>2058</v>
      </c>
      <c r="K274" s="152" t="s">
        <v>1877</v>
      </c>
      <c r="L274" s="20" t="s">
        <v>1379</v>
      </c>
      <c r="M274" s="54"/>
      <c r="N274" s="130" t="s">
        <v>37351</v>
      </c>
      <c r="O274" s="47"/>
      <c r="P274" s="47"/>
      <c r="Q274" s="47"/>
      <c r="R274" s="47"/>
      <c r="S274" s="47"/>
      <c r="T274" s="47"/>
      <c r="U274" s="47"/>
      <c r="V274" s="47"/>
      <c r="W274" s="47"/>
      <c r="X274" s="47"/>
    </row>
    <row r="275" ht="15.75" customHeight="1">
      <c r="A275" s="14" t="s">
        <v>17</v>
      </c>
      <c r="B275" s="14">
        <v>1994.0</v>
      </c>
      <c r="C275" s="14" t="s">
        <v>2059</v>
      </c>
      <c r="D275" s="14" t="s">
        <v>2060</v>
      </c>
      <c r="E275" s="150" t="s">
        <v>2061</v>
      </c>
      <c r="F275" s="14">
        <v>93.0</v>
      </c>
      <c r="G275" s="14" t="s">
        <v>2062</v>
      </c>
      <c r="H275" s="14" t="s">
        <v>28</v>
      </c>
      <c r="I275" s="14"/>
      <c r="J275" s="130" t="s">
        <v>2063</v>
      </c>
      <c r="K275" s="152" t="s">
        <v>2064</v>
      </c>
      <c r="L275" s="20" t="s">
        <v>1340</v>
      </c>
      <c r="M275" s="54"/>
      <c r="N275" s="130" t="s">
        <v>37360</v>
      </c>
      <c r="O275" s="47"/>
      <c r="P275" s="47"/>
      <c r="Q275" s="47"/>
      <c r="R275" s="47"/>
      <c r="S275" s="47"/>
      <c r="T275" s="47"/>
      <c r="U275" s="47"/>
      <c r="V275" s="47"/>
      <c r="W275" s="47"/>
      <c r="X275" s="47"/>
    </row>
    <row r="276" ht="15.75" customHeight="1">
      <c r="A276" s="14" t="s">
        <v>17</v>
      </c>
      <c r="B276" s="14">
        <v>1994.0</v>
      </c>
      <c r="C276" s="14" t="s">
        <v>2066</v>
      </c>
      <c r="D276" s="14" t="s">
        <v>2067</v>
      </c>
      <c r="E276" s="150" t="s">
        <v>2068</v>
      </c>
      <c r="F276" s="14">
        <v>85.0</v>
      </c>
      <c r="G276" s="14" t="s">
        <v>2070</v>
      </c>
      <c r="H276" s="14" t="s">
        <v>28</v>
      </c>
      <c r="I276" s="14"/>
      <c r="J276" s="130" t="s">
        <v>2071</v>
      </c>
      <c r="K276" s="152" t="s">
        <v>753</v>
      </c>
      <c r="L276" s="20" t="s">
        <v>1400</v>
      </c>
      <c r="M276" s="54"/>
      <c r="N276" s="130" t="s">
        <v>37367</v>
      </c>
      <c r="O276" s="47"/>
      <c r="P276" s="47"/>
      <c r="Q276" s="47"/>
      <c r="R276" s="47"/>
      <c r="S276" s="47"/>
      <c r="T276" s="47"/>
      <c r="U276" s="47"/>
      <c r="V276" s="47"/>
      <c r="W276" s="47"/>
      <c r="X276" s="47"/>
    </row>
    <row r="277" ht="15.75" customHeight="1">
      <c r="A277" s="14" t="s">
        <v>17</v>
      </c>
      <c r="B277" s="14">
        <v>1994.0</v>
      </c>
      <c r="C277" s="14" t="s">
        <v>2072</v>
      </c>
      <c r="D277" s="14" t="s">
        <v>2073</v>
      </c>
      <c r="E277" s="150" t="s">
        <v>2074</v>
      </c>
      <c r="F277" s="14">
        <v>77.0</v>
      </c>
      <c r="G277" s="14" t="s">
        <v>2075</v>
      </c>
      <c r="H277" s="14" t="s">
        <v>28</v>
      </c>
      <c r="I277" s="14"/>
      <c r="J277" s="130" t="s">
        <v>2076</v>
      </c>
      <c r="K277" s="152" t="s">
        <v>2077</v>
      </c>
      <c r="L277" s="20" t="s">
        <v>2078</v>
      </c>
      <c r="M277" s="54"/>
      <c r="N277" s="152" t="s">
        <v>2077</v>
      </c>
      <c r="O277" s="47"/>
      <c r="P277" s="47"/>
      <c r="Q277" s="47"/>
      <c r="R277" s="47"/>
      <c r="S277" s="47"/>
      <c r="T277" s="47"/>
      <c r="U277" s="47"/>
      <c r="V277" s="47"/>
      <c r="W277" s="47"/>
      <c r="X277" s="47"/>
    </row>
    <row r="278" ht="15.75" customHeight="1">
      <c r="A278" s="14" t="s">
        <v>17</v>
      </c>
      <c r="B278" s="14">
        <v>1994.0</v>
      </c>
      <c r="C278" s="14" t="s">
        <v>2080</v>
      </c>
      <c r="D278" s="14" t="s">
        <v>2081</v>
      </c>
      <c r="E278" s="150" t="s">
        <v>2082</v>
      </c>
      <c r="F278" s="14">
        <v>69.0</v>
      </c>
      <c r="G278" s="14" t="s">
        <v>2085</v>
      </c>
      <c r="H278" s="14" t="s">
        <v>28</v>
      </c>
      <c r="I278" s="14"/>
      <c r="J278" s="130" t="s">
        <v>2086</v>
      </c>
      <c r="K278" s="152" t="s">
        <v>2087</v>
      </c>
      <c r="L278" s="20"/>
      <c r="M278" s="54"/>
      <c r="N278" s="130" t="s">
        <v>37422</v>
      </c>
      <c r="O278" s="47"/>
      <c r="P278" s="47"/>
      <c r="Q278" s="47"/>
      <c r="R278" s="47"/>
      <c r="S278" s="47"/>
      <c r="T278" s="47"/>
      <c r="U278" s="47"/>
      <c r="V278" s="47"/>
      <c r="W278" s="47"/>
      <c r="X278" s="47"/>
    </row>
    <row r="279" ht="15.75" customHeight="1">
      <c r="A279" s="14" t="s">
        <v>17</v>
      </c>
      <c r="B279" s="14">
        <v>1994.0</v>
      </c>
      <c r="C279" s="14" t="s">
        <v>2088</v>
      </c>
      <c r="D279" s="14" t="s">
        <v>2089</v>
      </c>
      <c r="E279" s="150" t="s">
        <v>2090</v>
      </c>
      <c r="F279" s="14">
        <v>61.0</v>
      </c>
      <c r="G279" s="14">
        <v>68.0</v>
      </c>
      <c r="H279" s="14" t="s">
        <v>28</v>
      </c>
      <c r="I279" s="14"/>
      <c r="J279" s="130" t="s">
        <v>2092</v>
      </c>
      <c r="K279" s="152" t="s">
        <v>2094</v>
      </c>
      <c r="L279" s="20"/>
      <c r="M279" s="54"/>
      <c r="N279" s="130" t="s">
        <v>37431</v>
      </c>
      <c r="O279" s="47"/>
      <c r="P279" s="47"/>
      <c r="Q279" s="47"/>
      <c r="R279" s="47"/>
      <c r="S279" s="47"/>
      <c r="T279" s="47"/>
      <c r="U279" s="47"/>
      <c r="V279" s="47"/>
      <c r="W279" s="47"/>
      <c r="X279" s="47"/>
    </row>
    <row r="280" ht="15.75" customHeight="1">
      <c r="A280" s="14" t="s">
        <v>17</v>
      </c>
      <c r="B280" s="14">
        <v>1994.0</v>
      </c>
      <c r="C280" s="14" t="s">
        <v>2096</v>
      </c>
      <c r="D280" s="14" t="s">
        <v>2097</v>
      </c>
      <c r="E280" s="150" t="s">
        <v>2098</v>
      </c>
      <c r="F280" s="14">
        <v>52.0</v>
      </c>
      <c r="G280" s="14">
        <v>59.0</v>
      </c>
      <c r="H280" s="14" t="s">
        <v>28</v>
      </c>
      <c r="I280" s="14"/>
      <c r="J280" s="130" t="s">
        <v>2099</v>
      </c>
      <c r="K280" s="152" t="s">
        <v>1449</v>
      </c>
      <c r="L280" s="20"/>
      <c r="M280" s="54"/>
      <c r="N280" s="152" t="s">
        <v>1449</v>
      </c>
      <c r="O280" s="47"/>
      <c r="P280" s="47"/>
      <c r="Q280" s="47"/>
      <c r="R280" s="47"/>
      <c r="S280" s="47"/>
      <c r="T280" s="47"/>
      <c r="U280" s="47"/>
      <c r="V280" s="47"/>
      <c r="W280" s="47"/>
      <c r="X280" s="47"/>
    </row>
    <row r="281" ht="15.75" customHeight="1">
      <c r="A281" s="14" t="s">
        <v>17</v>
      </c>
      <c r="B281" s="14">
        <v>1994.0</v>
      </c>
      <c r="C281" s="14" t="s">
        <v>2100</v>
      </c>
      <c r="D281" s="14" t="s">
        <v>2101</v>
      </c>
      <c r="E281" s="150" t="s">
        <v>2102</v>
      </c>
      <c r="F281" s="14">
        <v>46.0</v>
      </c>
      <c r="G281" s="14" t="s">
        <v>2105</v>
      </c>
      <c r="H281" s="14" t="s">
        <v>28</v>
      </c>
      <c r="I281" s="14"/>
      <c r="J281" s="130" t="s">
        <v>2106</v>
      </c>
      <c r="K281" s="152" t="s">
        <v>2107</v>
      </c>
      <c r="L281" s="20" t="s">
        <v>2108</v>
      </c>
      <c r="M281" s="54"/>
      <c r="N281" s="152" t="s">
        <v>2107</v>
      </c>
      <c r="O281" s="47"/>
      <c r="P281" s="47"/>
      <c r="Q281" s="47"/>
      <c r="R281" s="47"/>
      <c r="S281" s="47"/>
      <c r="T281" s="47"/>
      <c r="U281" s="47"/>
      <c r="V281" s="47"/>
      <c r="W281" s="47"/>
      <c r="X281" s="47"/>
    </row>
    <row r="282" ht="15.75" customHeight="1">
      <c r="A282" s="14" t="s">
        <v>17</v>
      </c>
      <c r="B282" s="14">
        <v>1994.0</v>
      </c>
      <c r="C282" s="14" t="s">
        <v>2109</v>
      </c>
      <c r="D282" s="14" t="s">
        <v>2110</v>
      </c>
      <c r="E282" s="150" t="s">
        <v>2111</v>
      </c>
      <c r="F282" s="14">
        <v>40.0</v>
      </c>
      <c r="G282" s="14" t="s">
        <v>2112</v>
      </c>
      <c r="H282" s="14" t="s">
        <v>28</v>
      </c>
      <c r="I282" s="14"/>
      <c r="J282" s="130" t="s">
        <v>2113</v>
      </c>
      <c r="K282" s="152" t="s">
        <v>2107</v>
      </c>
      <c r="L282" s="20"/>
      <c r="M282" s="54"/>
      <c r="N282" s="152" t="s">
        <v>2107</v>
      </c>
      <c r="O282" s="47"/>
      <c r="P282" s="47"/>
      <c r="Q282" s="47"/>
      <c r="R282" s="47"/>
      <c r="S282" s="47"/>
      <c r="T282" s="47"/>
      <c r="U282" s="47"/>
      <c r="V282" s="47"/>
      <c r="W282" s="47"/>
      <c r="X282" s="47"/>
    </row>
    <row r="283" ht="15.75" customHeight="1">
      <c r="A283" s="14" t="s">
        <v>17</v>
      </c>
      <c r="B283" s="14">
        <v>1994.0</v>
      </c>
      <c r="C283" s="14" t="s">
        <v>2114</v>
      </c>
      <c r="D283" s="14" t="s">
        <v>2115</v>
      </c>
      <c r="E283" s="150" t="s">
        <v>2116</v>
      </c>
      <c r="F283" s="14">
        <v>31.0</v>
      </c>
      <c r="G283" s="14" t="s">
        <v>2119</v>
      </c>
      <c r="H283" s="14" t="s">
        <v>28</v>
      </c>
      <c r="I283" s="14"/>
      <c r="J283" s="130" t="s">
        <v>3274</v>
      </c>
      <c r="K283" s="152" t="s">
        <v>2121</v>
      </c>
      <c r="L283" s="20" t="s">
        <v>2122</v>
      </c>
      <c r="M283" s="54"/>
      <c r="N283" s="130" t="s">
        <v>37521</v>
      </c>
      <c r="O283" s="47"/>
      <c r="P283" s="47"/>
      <c r="Q283" s="47"/>
      <c r="R283" s="47"/>
      <c r="S283" s="47"/>
      <c r="T283" s="47"/>
      <c r="U283" s="47"/>
      <c r="V283" s="47"/>
      <c r="W283" s="47"/>
      <c r="X283" s="47"/>
    </row>
    <row r="284" ht="15.75" customHeight="1">
      <c r="A284" s="14" t="s">
        <v>17</v>
      </c>
      <c r="B284" s="14">
        <v>1994.0</v>
      </c>
      <c r="C284" s="14" t="s">
        <v>2123</v>
      </c>
      <c r="D284" s="14" t="s">
        <v>2124</v>
      </c>
      <c r="E284" s="150" t="s">
        <v>2125</v>
      </c>
      <c r="F284" s="14">
        <v>21.0</v>
      </c>
      <c r="G284" s="14" t="s">
        <v>2126</v>
      </c>
      <c r="H284" s="14" t="s">
        <v>28</v>
      </c>
      <c r="I284" s="14"/>
      <c r="J284" s="130" t="s">
        <v>2127</v>
      </c>
      <c r="K284" s="152" t="s">
        <v>2128</v>
      </c>
      <c r="L284" s="20"/>
      <c r="M284" s="54"/>
      <c r="N284" s="152" t="s">
        <v>2128</v>
      </c>
      <c r="O284" s="47"/>
      <c r="P284" s="47"/>
      <c r="Q284" s="47"/>
      <c r="R284" s="47"/>
      <c r="S284" s="47"/>
      <c r="T284" s="47"/>
      <c r="U284" s="47"/>
      <c r="V284" s="47"/>
      <c r="W284" s="47"/>
      <c r="X284" s="47"/>
    </row>
    <row r="285" ht="15.75" customHeight="1">
      <c r="A285" s="14" t="s">
        <v>17</v>
      </c>
      <c r="B285" s="14">
        <v>1994.0</v>
      </c>
      <c r="C285" s="14" t="s">
        <v>2129</v>
      </c>
      <c r="D285" s="14" t="s">
        <v>2130</v>
      </c>
      <c r="E285" s="150" t="s">
        <v>2131</v>
      </c>
      <c r="F285" s="14">
        <v>13.0</v>
      </c>
      <c r="G285" s="14">
        <v>20.0</v>
      </c>
      <c r="H285" s="14" t="s">
        <v>28</v>
      </c>
      <c r="I285" s="14"/>
      <c r="J285" s="130" t="s">
        <v>2135</v>
      </c>
      <c r="K285" s="152" t="s">
        <v>2136</v>
      </c>
      <c r="L285" s="20" t="s">
        <v>1334</v>
      </c>
      <c r="M285" s="54"/>
      <c r="N285" s="130" t="s">
        <v>37593</v>
      </c>
      <c r="O285" s="47"/>
      <c r="P285" s="47"/>
      <c r="Q285" s="47"/>
      <c r="R285" s="47"/>
      <c r="S285" s="47"/>
      <c r="T285" s="47"/>
      <c r="U285" s="47"/>
      <c r="V285" s="47"/>
      <c r="W285" s="47"/>
      <c r="X285" s="47"/>
    </row>
    <row r="286" ht="15.75" customHeight="1">
      <c r="A286" s="14" t="s">
        <v>2137</v>
      </c>
      <c r="B286" s="50">
        <v>1995.0</v>
      </c>
      <c r="C286" s="14" t="s">
        <v>2138</v>
      </c>
      <c r="D286" s="14" t="s">
        <v>2139</v>
      </c>
      <c r="E286" s="156" t="str">
        <f>HYPERLINK("http://dx.doi.org/10.1109/INFVIS.1995.528680","http://dx.doi.org/10.1109/INFVIS.1995.528680")</f>
        <v>http://dx.doi.org/10.1109/INFVIS.1995.528680</v>
      </c>
      <c r="F286" s="50">
        <v>4.0</v>
      </c>
      <c r="G286" s="50">
        <v>10.0</v>
      </c>
      <c r="H286" s="14" t="s">
        <v>28</v>
      </c>
      <c r="I286" s="14"/>
      <c r="J286" s="130" t="s">
        <v>2141</v>
      </c>
      <c r="K286" s="152" t="s">
        <v>2142</v>
      </c>
      <c r="L286" s="20"/>
      <c r="M286" s="16"/>
      <c r="N286" s="130" t="s">
        <v>37661</v>
      </c>
      <c r="O286" s="16"/>
      <c r="P286" s="16"/>
      <c r="Q286" s="16"/>
      <c r="R286" s="16"/>
      <c r="S286" s="16"/>
      <c r="T286" s="16"/>
      <c r="U286" s="16"/>
      <c r="V286" s="16"/>
      <c r="W286" s="16"/>
      <c r="X286" s="16"/>
    </row>
    <row r="287" ht="15.75" customHeight="1">
      <c r="A287" s="14" t="s">
        <v>2137</v>
      </c>
      <c r="B287" s="50">
        <v>1995.0</v>
      </c>
      <c r="C287" s="14" t="s">
        <v>2143</v>
      </c>
      <c r="D287" s="14" t="s">
        <v>2144</v>
      </c>
      <c r="E287" s="156" t="str">
        <f>HYPERLINK("http://dx.doi.org/10.1109/INFVIS.1995.528681","http://dx.doi.org/10.1109/INFVIS.1995.528681")</f>
        <v>http://dx.doi.org/10.1109/INFVIS.1995.528681</v>
      </c>
      <c r="F287" s="50">
        <v>11.0</v>
      </c>
      <c r="G287" s="50">
        <v>18.0</v>
      </c>
      <c r="H287" s="14" t="s">
        <v>28</v>
      </c>
      <c r="I287" s="14"/>
      <c r="J287" s="130" t="s">
        <v>2148</v>
      </c>
      <c r="K287" s="152" t="s">
        <v>2150</v>
      </c>
      <c r="L287" s="20" t="s">
        <v>2151</v>
      </c>
      <c r="M287" s="16"/>
      <c r="N287" s="130" t="s">
        <v>37668</v>
      </c>
      <c r="O287" s="16"/>
      <c r="P287" s="16"/>
      <c r="Q287" s="16"/>
      <c r="R287" s="16"/>
      <c r="S287" s="16"/>
      <c r="T287" s="16"/>
      <c r="U287" s="16"/>
      <c r="V287" s="16"/>
      <c r="W287" s="16"/>
      <c r="X287" s="16"/>
    </row>
    <row r="288" ht="15.75" customHeight="1">
      <c r="A288" s="14" t="s">
        <v>2137</v>
      </c>
      <c r="B288" s="50">
        <v>1995.0</v>
      </c>
      <c r="C288" s="14" t="s">
        <v>2152</v>
      </c>
      <c r="D288" s="14" t="s">
        <v>2153</v>
      </c>
      <c r="E288" s="156" t="str">
        <f>HYPERLINK("http://dx.doi.org/10.1109/INFVIS.1995.528682","http://dx.doi.org/10.1109/INFVIS.1995.528682")</f>
        <v>http://dx.doi.org/10.1109/INFVIS.1995.528682</v>
      </c>
      <c r="F288" s="50">
        <v>19.0</v>
      </c>
      <c r="G288" s="50">
        <v>25.0</v>
      </c>
      <c r="H288" s="14" t="s">
        <v>28</v>
      </c>
      <c r="I288" s="14"/>
      <c r="J288" s="130" t="s">
        <v>2155</v>
      </c>
      <c r="K288" s="152" t="s">
        <v>2156</v>
      </c>
      <c r="L288" s="20"/>
      <c r="M288" s="16"/>
      <c r="N288" s="130" t="s">
        <v>37672</v>
      </c>
      <c r="O288" s="16"/>
      <c r="P288" s="16"/>
      <c r="Q288" s="16"/>
      <c r="R288" s="16"/>
      <c r="S288" s="16"/>
      <c r="T288" s="16"/>
      <c r="U288" s="16"/>
      <c r="V288" s="16"/>
      <c r="W288" s="16"/>
      <c r="X288" s="16"/>
    </row>
    <row r="289" ht="15.75" customHeight="1">
      <c r="A289" s="14" t="s">
        <v>2137</v>
      </c>
      <c r="B289" s="50">
        <v>1995.0</v>
      </c>
      <c r="C289" s="14" t="s">
        <v>2157</v>
      </c>
      <c r="D289" s="14" t="s">
        <v>2158</v>
      </c>
      <c r="E289" s="156" t="str">
        <f>HYPERLINK("http://dx.doi.org/10.1109/INFVIS.1995.528683","http://dx.doi.org/10.1109/INFVIS.1995.528683")</f>
        <v>http://dx.doi.org/10.1109/INFVIS.1995.528683</v>
      </c>
      <c r="F289" s="50">
        <v>26.0</v>
      </c>
      <c r="G289" s="50">
        <v>33.0</v>
      </c>
      <c r="H289" s="14" t="s">
        <v>28</v>
      </c>
      <c r="I289" s="14"/>
      <c r="J289" s="16" t="s">
        <v>3321</v>
      </c>
      <c r="K289" s="152" t="s">
        <v>2161</v>
      </c>
      <c r="L289" s="20"/>
      <c r="M289" s="16"/>
      <c r="N289" s="130" t="s">
        <v>37676</v>
      </c>
      <c r="O289" s="16"/>
      <c r="P289" s="16"/>
      <c r="Q289" s="16"/>
      <c r="R289" s="16"/>
      <c r="S289" s="16"/>
      <c r="T289" s="16"/>
      <c r="U289" s="16"/>
      <c r="V289" s="16"/>
      <c r="W289" s="16"/>
      <c r="X289" s="16"/>
    </row>
    <row r="290" ht="15.75" customHeight="1">
      <c r="A290" s="14" t="s">
        <v>2137</v>
      </c>
      <c r="B290" s="50">
        <v>1995.0</v>
      </c>
      <c r="C290" s="14" t="s">
        <v>2162</v>
      </c>
      <c r="D290" s="14" t="s">
        <v>2163</v>
      </c>
      <c r="E290" s="156" t="str">
        <f>HYPERLINK("http://dx.doi.org/10.1109/INFVIS.1995.528684","http://dx.doi.org/10.1109/INFVIS.1995.528684")</f>
        <v>http://dx.doi.org/10.1109/INFVIS.1995.528684</v>
      </c>
      <c r="F290" s="50">
        <v>36.0</v>
      </c>
      <c r="G290" s="50">
        <v>42.0</v>
      </c>
      <c r="H290" s="14" t="s">
        <v>28</v>
      </c>
      <c r="I290" s="14"/>
      <c r="J290" s="130" t="s">
        <v>2165</v>
      </c>
      <c r="K290" s="152" t="s">
        <v>2166</v>
      </c>
      <c r="L290" s="20"/>
      <c r="M290" s="195" t="s">
        <v>2167</v>
      </c>
      <c r="N290" s="130" t="s">
        <v>37687</v>
      </c>
      <c r="O290" s="16"/>
      <c r="P290" s="16"/>
      <c r="Q290" s="16"/>
      <c r="R290" s="16"/>
      <c r="S290" s="16"/>
      <c r="T290" s="16"/>
      <c r="U290" s="16"/>
      <c r="V290" s="16"/>
      <c r="W290" s="16"/>
      <c r="X290" s="16"/>
    </row>
    <row r="291" ht="15.75" customHeight="1">
      <c r="A291" s="14" t="s">
        <v>2137</v>
      </c>
      <c r="B291" s="50">
        <v>1995.0</v>
      </c>
      <c r="C291" s="14" t="s">
        <v>2168</v>
      </c>
      <c r="D291" s="14" t="s">
        <v>2170</v>
      </c>
      <c r="E291" s="156" t="str">
        <f>HYPERLINK("http://dx.doi.org/10.1109/INFVIS.1995.528685","http://dx.doi.org/10.1109/INFVIS.1995.528685")</f>
        <v>http://dx.doi.org/10.1109/INFVIS.1995.528685</v>
      </c>
      <c r="F291" s="50">
        <v>43.0</v>
      </c>
      <c r="G291" s="50">
        <v>50.0</v>
      </c>
      <c r="H291" s="14" t="s">
        <v>28</v>
      </c>
      <c r="I291" s="14"/>
      <c r="J291" s="130" t="s">
        <v>2178</v>
      </c>
      <c r="K291" s="152" t="s">
        <v>2179</v>
      </c>
      <c r="L291" s="20" t="s">
        <v>1988</v>
      </c>
      <c r="M291" s="16"/>
      <c r="N291" s="130" t="s">
        <v>37693</v>
      </c>
      <c r="O291" s="16"/>
      <c r="P291" s="16"/>
      <c r="Q291" s="16"/>
      <c r="R291" s="16"/>
      <c r="S291" s="16"/>
      <c r="T291" s="16"/>
      <c r="U291" s="16"/>
      <c r="V291" s="16"/>
      <c r="W291" s="16"/>
      <c r="X291" s="16"/>
    </row>
    <row r="292" ht="15.75" customHeight="1">
      <c r="A292" s="14" t="s">
        <v>2137</v>
      </c>
      <c r="B292" s="50">
        <v>1995.0</v>
      </c>
      <c r="C292" s="14" t="s">
        <v>2180</v>
      </c>
      <c r="D292" s="14" t="s">
        <v>2181</v>
      </c>
      <c r="E292" s="156" t="str">
        <f>HYPERLINK("http://dx.doi.org/10.1109/INFVIS.1995.528686","http://dx.doi.org/10.1109/INFVIS.1995.528686")</f>
        <v>http://dx.doi.org/10.1109/INFVIS.1995.528686</v>
      </c>
      <c r="F292" s="50">
        <v>51.0</v>
      </c>
      <c r="G292" s="50">
        <v>58.0</v>
      </c>
      <c r="H292" s="14" t="s">
        <v>28</v>
      </c>
      <c r="I292" s="14"/>
      <c r="J292" s="130" t="s">
        <v>2186</v>
      </c>
      <c r="K292" s="152" t="s">
        <v>2187</v>
      </c>
      <c r="L292" s="20" t="s">
        <v>1465</v>
      </c>
      <c r="M292" s="16"/>
      <c r="N292" s="152" t="s">
        <v>2187</v>
      </c>
      <c r="O292" s="16"/>
      <c r="P292" s="16"/>
      <c r="Q292" s="16"/>
      <c r="R292" s="16"/>
      <c r="S292" s="16"/>
      <c r="T292" s="16"/>
      <c r="U292" s="16"/>
      <c r="V292" s="16"/>
      <c r="W292" s="16"/>
      <c r="X292" s="16"/>
    </row>
    <row r="293" ht="15.75" customHeight="1">
      <c r="A293" s="14" t="s">
        <v>2137</v>
      </c>
      <c r="B293" s="50">
        <v>1995.0</v>
      </c>
      <c r="C293" s="14" t="s">
        <v>2188</v>
      </c>
      <c r="D293" s="14" t="s">
        <v>2189</v>
      </c>
      <c r="E293" s="156" t="str">
        <f>HYPERLINK("http://dx.doi.org/10.1109/INFVIS.1995.528687","http://dx.doi.org/10.1109/INFVIS.1995.528687")</f>
        <v>http://dx.doi.org/10.1109/INFVIS.1995.528687</v>
      </c>
      <c r="F293" s="50">
        <v>59.0</v>
      </c>
      <c r="G293" s="50">
        <v>64.0</v>
      </c>
      <c r="H293" s="14" t="s">
        <v>28</v>
      </c>
      <c r="I293" s="14"/>
      <c r="J293" s="130" t="s">
        <v>2194</v>
      </c>
      <c r="K293" s="152" t="s">
        <v>2195</v>
      </c>
      <c r="L293" s="20"/>
      <c r="M293" s="196" t="s">
        <v>2196</v>
      </c>
      <c r="N293" s="130" t="s">
        <v>37702</v>
      </c>
      <c r="O293" s="16"/>
      <c r="P293" s="16"/>
      <c r="Q293" s="16"/>
      <c r="R293" s="16"/>
      <c r="S293" s="16"/>
      <c r="T293" s="16"/>
      <c r="U293" s="16"/>
      <c r="V293" s="16"/>
      <c r="W293" s="16"/>
      <c r="X293" s="16"/>
    </row>
    <row r="294" ht="15.75" customHeight="1">
      <c r="A294" s="14" t="s">
        <v>2137</v>
      </c>
      <c r="B294" s="50">
        <v>1995.0</v>
      </c>
      <c r="C294" s="14" t="s">
        <v>2197</v>
      </c>
      <c r="D294" s="14" t="s">
        <v>2198</v>
      </c>
      <c r="E294" s="156" t="str">
        <f>HYPERLINK("http://dx.doi.org/10.1109/INFVIS.1995.528688","http://dx.doi.org/10.1109/INFVIS.1995.528688")</f>
        <v>http://dx.doi.org/10.1109/INFVIS.1995.528688</v>
      </c>
      <c r="F294" s="50">
        <v>66.0</v>
      </c>
      <c r="G294" s="50">
        <v>73.0</v>
      </c>
      <c r="H294" s="14" t="s">
        <v>28</v>
      </c>
      <c r="I294" s="14"/>
      <c r="J294" s="130" t="s">
        <v>2200</v>
      </c>
      <c r="K294" s="152" t="s">
        <v>2201</v>
      </c>
      <c r="L294" s="20" t="s">
        <v>2202</v>
      </c>
      <c r="M294" s="16"/>
      <c r="N294" s="130" t="s">
        <v>37778</v>
      </c>
      <c r="O294" s="16"/>
      <c r="P294" s="16"/>
      <c r="Q294" s="16"/>
      <c r="R294" s="16"/>
      <c r="S294" s="16"/>
      <c r="T294" s="16"/>
      <c r="U294" s="16"/>
      <c r="V294" s="16"/>
      <c r="W294" s="16"/>
      <c r="X294" s="16"/>
    </row>
    <row r="295" ht="15.75" customHeight="1">
      <c r="A295" s="14" t="s">
        <v>2137</v>
      </c>
      <c r="B295" s="50">
        <v>1995.0</v>
      </c>
      <c r="C295" s="14" t="s">
        <v>2203</v>
      </c>
      <c r="D295" s="14" t="s">
        <v>2204</v>
      </c>
      <c r="E295" s="156" t="str">
        <f>HYPERLINK("http://dx.doi.org/10.1109/INFVIS.1995.528689","http://dx.doi.org/10.1109/INFVIS.1995.528689")</f>
        <v>http://dx.doi.org/10.1109/INFVIS.1995.528689</v>
      </c>
      <c r="F295" s="50">
        <v>74.0</v>
      </c>
      <c r="G295" s="50">
        <v>81.0</v>
      </c>
      <c r="H295" s="14" t="s">
        <v>28</v>
      </c>
      <c r="I295" s="14"/>
      <c r="J295" s="130" t="s">
        <v>3375</v>
      </c>
      <c r="K295" s="152" t="s">
        <v>2210</v>
      </c>
      <c r="L295" s="20"/>
      <c r="M295" s="16"/>
      <c r="N295" s="130" t="s">
        <v>37793</v>
      </c>
      <c r="O295" s="16"/>
      <c r="P295" s="16"/>
      <c r="Q295" s="16"/>
      <c r="R295" s="16"/>
      <c r="S295" s="16"/>
      <c r="T295" s="16"/>
      <c r="U295" s="16"/>
      <c r="V295" s="16"/>
      <c r="W295" s="16"/>
      <c r="X295" s="16"/>
    </row>
    <row r="296" ht="15.75" customHeight="1">
      <c r="A296" s="14" t="s">
        <v>2137</v>
      </c>
      <c r="B296" s="50">
        <v>1995.0</v>
      </c>
      <c r="C296" s="14" t="s">
        <v>2211</v>
      </c>
      <c r="D296" s="14" t="s">
        <v>2212</v>
      </c>
      <c r="E296" s="156" t="str">
        <f>HYPERLINK("http://dx.doi.org/10.1109/INFVIS.1995.528690","http://dx.doi.org/10.1109/INFVIS.1995.528690")</f>
        <v>http://dx.doi.org/10.1109/INFVIS.1995.528690</v>
      </c>
      <c r="F296" s="50">
        <v>82.0</v>
      </c>
      <c r="G296" s="50">
        <v>88.0</v>
      </c>
      <c r="H296" s="14" t="s">
        <v>28</v>
      </c>
      <c r="I296" s="14"/>
      <c r="J296" s="130" t="s">
        <v>2215</v>
      </c>
      <c r="K296" s="152" t="s">
        <v>2216</v>
      </c>
      <c r="L296" s="20" t="s">
        <v>1858</v>
      </c>
      <c r="M296" s="16"/>
      <c r="N296" s="130" t="s">
        <v>37799</v>
      </c>
      <c r="O296" s="16"/>
      <c r="P296" s="16"/>
      <c r="Q296" s="16"/>
      <c r="R296" s="16"/>
      <c r="S296" s="16"/>
      <c r="T296" s="16"/>
      <c r="U296" s="16"/>
      <c r="V296" s="16"/>
      <c r="W296" s="16"/>
      <c r="X296" s="16"/>
    </row>
    <row r="297" ht="15.75" customHeight="1">
      <c r="A297" s="14" t="s">
        <v>2137</v>
      </c>
      <c r="B297" s="50">
        <v>1995.0</v>
      </c>
      <c r="C297" s="14" t="s">
        <v>2219</v>
      </c>
      <c r="D297" s="14" t="s">
        <v>2220</v>
      </c>
      <c r="E297" s="156" t="str">
        <f>HYPERLINK("http://dx.doi.org/10.1109/INFVIS.1995.528691","http://dx.doi.org/10.1109/INFVIS.1995.528691")</f>
        <v>http://dx.doi.org/10.1109/INFVIS.1995.528691</v>
      </c>
      <c r="F297" s="50">
        <v>90.0</v>
      </c>
      <c r="G297" s="50">
        <v>96.0</v>
      </c>
      <c r="H297" s="14" t="s">
        <v>28</v>
      </c>
      <c r="I297" s="14"/>
      <c r="J297" s="130" t="s">
        <v>2222</v>
      </c>
      <c r="K297" s="152" t="s">
        <v>2223</v>
      </c>
      <c r="L297" s="20"/>
      <c r="M297" s="16"/>
      <c r="N297" s="130" t="s">
        <v>37805</v>
      </c>
      <c r="O297" s="16"/>
      <c r="P297" s="16"/>
      <c r="Q297" s="16"/>
      <c r="R297" s="16"/>
      <c r="S297" s="16"/>
      <c r="T297" s="16"/>
      <c r="U297" s="16"/>
      <c r="V297" s="16"/>
      <c r="W297" s="16"/>
      <c r="X297" s="16"/>
    </row>
    <row r="298" ht="15.75" customHeight="1">
      <c r="A298" s="14" t="s">
        <v>2137</v>
      </c>
      <c r="B298" s="50">
        <v>1995.0</v>
      </c>
      <c r="C298" s="14" t="s">
        <v>2224</v>
      </c>
      <c r="D298" s="14" t="s">
        <v>2225</v>
      </c>
      <c r="E298" s="156" t="str">
        <f>HYPERLINK("http://dx.doi.org/10.1109/INFVIS.1995.528692","http://dx.doi.org/10.1109/INFVIS.1995.528692")</f>
        <v>http://dx.doi.org/10.1109/INFVIS.1995.528692</v>
      </c>
      <c r="F298" s="50">
        <v>97.0</v>
      </c>
      <c r="G298" s="50">
        <v>104.0</v>
      </c>
      <c r="H298" s="14" t="s">
        <v>28</v>
      </c>
      <c r="I298" s="14"/>
      <c r="J298" s="130" t="s">
        <v>2230</v>
      </c>
      <c r="K298" s="152" t="s">
        <v>2231</v>
      </c>
      <c r="L298" s="20" t="s">
        <v>2232</v>
      </c>
      <c r="M298" s="16"/>
      <c r="N298" s="130" t="s">
        <v>37811</v>
      </c>
      <c r="O298" s="16"/>
      <c r="P298" s="16"/>
      <c r="Q298" s="16"/>
      <c r="R298" s="16"/>
      <c r="S298" s="16"/>
      <c r="T298" s="16"/>
      <c r="U298" s="16"/>
      <c r="V298" s="16"/>
      <c r="W298" s="16"/>
      <c r="X298" s="16"/>
    </row>
    <row r="299" ht="15.75" customHeight="1">
      <c r="A299" s="14" t="s">
        <v>2137</v>
      </c>
      <c r="B299" s="50">
        <v>1995.0</v>
      </c>
      <c r="C299" s="14" t="s">
        <v>2233</v>
      </c>
      <c r="D299" s="14" t="s">
        <v>2234</v>
      </c>
      <c r="E299" s="156" t="str">
        <f>HYPERLINK("http://dx.doi.org/10.1109/INFVIS.1995.528693","http://dx.doi.org/10.1109/INFVIS.1995.528693")</f>
        <v>http://dx.doi.org/10.1109/INFVIS.1995.528693</v>
      </c>
      <c r="F299" s="50">
        <v>105.0</v>
      </c>
      <c r="G299" s="50">
        <v>111.0</v>
      </c>
      <c r="H299" s="14" t="s">
        <v>28</v>
      </c>
      <c r="I299" s="14"/>
      <c r="J299" s="130" t="s">
        <v>2236</v>
      </c>
      <c r="K299" s="152" t="s">
        <v>2237</v>
      </c>
      <c r="L299" s="20" t="s">
        <v>809</v>
      </c>
      <c r="M299" s="16"/>
      <c r="N299" s="130" t="s">
        <v>37816</v>
      </c>
      <c r="O299" s="16"/>
      <c r="P299" s="16"/>
      <c r="Q299" s="16"/>
      <c r="R299" s="16"/>
      <c r="S299" s="16"/>
      <c r="T299" s="16"/>
      <c r="U299" s="16"/>
      <c r="V299" s="16"/>
      <c r="W299" s="16"/>
      <c r="X299" s="16"/>
    </row>
    <row r="300" ht="15.75" customHeight="1">
      <c r="A300" s="14" t="s">
        <v>2137</v>
      </c>
      <c r="B300" s="50">
        <v>1995.0</v>
      </c>
      <c r="C300" s="14" t="s">
        <v>2239</v>
      </c>
      <c r="D300" s="14" t="s">
        <v>2240</v>
      </c>
      <c r="E300" s="156" t="str">
        <f>HYPERLINK("http://dx.doi.org/10.1109/INFVIS.1995.528694","http://dx.doi.org/10.1109/INFVIS.1995.528694")</f>
        <v>http://dx.doi.org/10.1109/INFVIS.1995.528694</v>
      </c>
      <c r="F300" s="50">
        <v>112.0</v>
      </c>
      <c r="G300" s="50">
        <v>114.0</v>
      </c>
      <c r="H300" s="14" t="s">
        <v>28</v>
      </c>
      <c r="I300" s="14"/>
      <c r="J300" s="130" t="s">
        <v>2243</v>
      </c>
      <c r="K300" s="152" t="s">
        <v>2244</v>
      </c>
      <c r="L300" s="20" t="s">
        <v>1541</v>
      </c>
      <c r="M300" s="16"/>
      <c r="N300" s="130" t="s">
        <v>37872</v>
      </c>
      <c r="O300" s="16"/>
      <c r="P300" s="16"/>
      <c r="Q300" s="16"/>
      <c r="R300" s="16"/>
      <c r="S300" s="16"/>
      <c r="T300" s="16"/>
      <c r="U300" s="16"/>
      <c r="V300" s="16"/>
      <c r="W300" s="16"/>
      <c r="X300" s="16"/>
    </row>
    <row r="301" ht="15.75" customHeight="1">
      <c r="A301" s="14" t="s">
        <v>2137</v>
      </c>
      <c r="B301" s="50">
        <v>1995.0</v>
      </c>
      <c r="C301" s="14" t="s">
        <v>2245</v>
      </c>
      <c r="D301" s="14" t="s">
        <v>2246</v>
      </c>
      <c r="E301" s="156" t="str">
        <f>HYPERLINK("http://dx.doi.org/10.1109/INFVIS.1995.528695","http://dx.doi.org/10.1109/INFVIS.1995.528695")</f>
        <v>http://dx.doi.org/10.1109/INFVIS.1995.528695</v>
      </c>
      <c r="F301" s="50">
        <v>115.0</v>
      </c>
      <c r="G301" s="50">
        <v>121.0</v>
      </c>
      <c r="H301" s="14" t="s">
        <v>28</v>
      </c>
      <c r="I301" s="14"/>
      <c r="J301" s="130" t="s">
        <v>2250</v>
      </c>
      <c r="K301" s="152" t="s">
        <v>2251</v>
      </c>
      <c r="L301" s="20"/>
      <c r="M301" s="16"/>
      <c r="N301" s="130" t="s">
        <v>37876</v>
      </c>
      <c r="O301" s="16"/>
      <c r="P301" s="16"/>
      <c r="Q301" s="16"/>
      <c r="R301" s="16"/>
      <c r="S301" s="16"/>
      <c r="T301" s="16"/>
      <c r="U301" s="16"/>
      <c r="V301" s="16"/>
      <c r="W301" s="16"/>
      <c r="X301" s="16"/>
    </row>
    <row r="302" ht="15.75" customHeight="1">
      <c r="A302" s="14" t="s">
        <v>2137</v>
      </c>
      <c r="B302" s="50">
        <v>1995.0</v>
      </c>
      <c r="C302" s="14" t="s">
        <v>2252</v>
      </c>
      <c r="D302" s="14" t="s">
        <v>2253</v>
      </c>
      <c r="E302" s="156" t="str">
        <f>HYPERLINK("http://dx.doi.org/10.1109/INFVIS.1995.528696","http://dx.doi.org/10.1109/INFVIS.1995.528696")</f>
        <v>http://dx.doi.org/10.1109/INFVIS.1995.528696</v>
      </c>
      <c r="F302" s="50">
        <v>122.0</v>
      </c>
      <c r="G302" s="50">
        <v>128.0</v>
      </c>
      <c r="H302" s="14" t="s">
        <v>28</v>
      </c>
      <c r="I302" s="14"/>
      <c r="J302" s="130" t="s">
        <v>2257</v>
      </c>
      <c r="K302" s="152" t="s">
        <v>2258</v>
      </c>
      <c r="L302" s="20"/>
      <c r="M302" s="16"/>
      <c r="N302" s="130" t="s">
        <v>37880</v>
      </c>
      <c r="O302" s="16"/>
      <c r="P302" s="16"/>
      <c r="Q302" s="16"/>
      <c r="R302" s="16"/>
      <c r="S302" s="16"/>
      <c r="T302" s="16"/>
      <c r="U302" s="16"/>
      <c r="V302" s="16"/>
      <c r="W302" s="16"/>
      <c r="X302" s="16"/>
    </row>
    <row r="303" ht="15.75" customHeight="1">
      <c r="A303" s="14" t="s">
        <v>2137</v>
      </c>
      <c r="B303" s="50">
        <v>1995.0</v>
      </c>
      <c r="C303" s="14" t="s">
        <v>2259</v>
      </c>
      <c r="D303" s="14" t="s">
        <v>2260</v>
      </c>
      <c r="E303" s="156" t="str">
        <f>HYPERLINK("http://dx.doi.org/10.1109/INFVIS.1995.528697","http://dx.doi.org/10.1109/INFVIS.1995.528697")</f>
        <v>http://dx.doi.org/10.1109/INFVIS.1995.528697</v>
      </c>
      <c r="F303" s="50">
        <v>129.0</v>
      </c>
      <c r="G303" s="50">
        <v>131.0</v>
      </c>
      <c r="H303" s="14" t="s">
        <v>28</v>
      </c>
      <c r="I303" s="14"/>
      <c r="J303" s="130" t="s">
        <v>2265</v>
      </c>
      <c r="K303" s="152" t="s">
        <v>2266</v>
      </c>
      <c r="L303" s="20" t="s">
        <v>1512</v>
      </c>
      <c r="M303" s="16"/>
      <c r="N303" s="152" t="s">
        <v>2266</v>
      </c>
      <c r="O303" s="16"/>
      <c r="P303" s="16"/>
      <c r="Q303" s="16"/>
      <c r="R303" s="16"/>
      <c r="S303" s="16"/>
      <c r="T303" s="16"/>
      <c r="U303" s="16"/>
      <c r="V303" s="16"/>
      <c r="W303" s="16"/>
      <c r="X303" s="16"/>
    </row>
    <row r="304" ht="15.75" customHeight="1">
      <c r="A304" s="14" t="s">
        <v>17</v>
      </c>
      <c r="B304" s="50">
        <v>1995.0</v>
      </c>
      <c r="C304" s="14" t="s">
        <v>2267</v>
      </c>
      <c r="D304" s="14" t="s">
        <v>2268</v>
      </c>
      <c r="E304" s="156" t="str">
        <f>HYPERLINK("http://dx.doi.org/10.1109/VISUAL.1995.480789","http://dx.doi.org/10.1109/VISUAL.1995.480789")</f>
        <v>http://dx.doi.org/10.1109/VISUAL.1995.480789</v>
      </c>
      <c r="F304" s="50">
        <v>3.0</v>
      </c>
      <c r="G304" s="14" t="s">
        <v>2270</v>
      </c>
      <c r="H304" s="14" t="s">
        <v>28</v>
      </c>
      <c r="I304" s="14"/>
      <c r="J304" s="130" t="s">
        <v>2271</v>
      </c>
      <c r="K304" s="152" t="s">
        <v>2272</v>
      </c>
      <c r="L304" s="20"/>
      <c r="M304" s="16"/>
      <c r="N304" s="130" t="s">
        <v>37891</v>
      </c>
      <c r="O304" s="16"/>
      <c r="P304" s="16"/>
      <c r="Q304" s="16"/>
      <c r="R304" s="16"/>
      <c r="S304" s="16"/>
      <c r="T304" s="16"/>
      <c r="U304" s="16"/>
      <c r="V304" s="16"/>
      <c r="W304" s="16"/>
      <c r="X304" s="16"/>
    </row>
    <row r="305" ht="15.75" customHeight="1">
      <c r="A305" s="14" t="s">
        <v>17</v>
      </c>
      <c r="B305" s="50">
        <v>1995.0</v>
      </c>
      <c r="C305" s="14" t="s">
        <v>2273</v>
      </c>
      <c r="D305" s="14" t="s">
        <v>2274</v>
      </c>
      <c r="E305" s="156" t="str">
        <f>HYPERLINK("http://dx.doi.org/10.1109/VISUAL.1995.480790","http://dx.doi.org/10.1109/VISUAL.1995.480790")</f>
        <v>http://dx.doi.org/10.1109/VISUAL.1995.480790</v>
      </c>
      <c r="F305" s="50">
        <v>11.0</v>
      </c>
      <c r="G305" s="14" t="s">
        <v>2279</v>
      </c>
      <c r="H305" s="14" t="s">
        <v>28</v>
      </c>
      <c r="I305" s="14"/>
      <c r="J305" s="130" t="s">
        <v>2280</v>
      </c>
      <c r="K305" s="152" t="s">
        <v>2281</v>
      </c>
      <c r="L305" s="20"/>
      <c r="M305" s="16"/>
      <c r="N305" s="130" t="s">
        <v>37895</v>
      </c>
      <c r="O305" s="16"/>
      <c r="P305" s="16"/>
      <c r="Q305" s="16"/>
      <c r="R305" s="16"/>
      <c r="S305" s="16"/>
      <c r="T305" s="16"/>
      <c r="U305" s="16"/>
      <c r="V305" s="16"/>
      <c r="W305" s="16"/>
      <c r="X305" s="16"/>
    </row>
    <row r="306" ht="15.75" customHeight="1">
      <c r="A306" s="14" t="s">
        <v>17</v>
      </c>
      <c r="B306" s="50">
        <v>1995.0</v>
      </c>
      <c r="C306" s="14" t="s">
        <v>2282</v>
      </c>
      <c r="D306" s="14" t="s">
        <v>2283</v>
      </c>
      <c r="E306" s="156" t="str">
        <f>HYPERLINK("http://dx.doi.org/10.1109/VISUAL.1995.480791","http://dx.doi.org/10.1109/VISUAL.1995.480791")</f>
        <v>http://dx.doi.org/10.1109/VISUAL.1995.480791</v>
      </c>
      <c r="F306" s="50">
        <v>19.0</v>
      </c>
      <c r="G306" s="14" t="s">
        <v>2285</v>
      </c>
      <c r="H306" s="14" t="s">
        <v>28</v>
      </c>
      <c r="I306" s="14"/>
      <c r="J306" s="130" t="s">
        <v>2287</v>
      </c>
      <c r="K306" s="152" t="s">
        <v>2288</v>
      </c>
      <c r="L306" s="20"/>
      <c r="M306" s="16"/>
      <c r="N306" s="152" t="s">
        <v>2288</v>
      </c>
      <c r="O306" s="16"/>
      <c r="P306" s="16"/>
      <c r="Q306" s="16"/>
      <c r="R306" s="16"/>
      <c r="S306" s="16"/>
      <c r="T306" s="16"/>
      <c r="U306" s="16"/>
      <c r="V306" s="16"/>
      <c r="W306" s="16"/>
      <c r="X306" s="16"/>
    </row>
    <row r="307" ht="15.75" customHeight="1">
      <c r="A307" s="14" t="s">
        <v>17</v>
      </c>
      <c r="B307" s="50">
        <v>1995.0</v>
      </c>
      <c r="C307" s="14" t="s">
        <v>2289</v>
      </c>
      <c r="D307" s="14" t="s">
        <v>2290</v>
      </c>
      <c r="E307" s="156" t="str">
        <f>HYPERLINK("http://dx.doi.org/10.1109/VISUAL.1995.480792","http://dx.doi.org/10.1109/VISUAL.1995.480792")</f>
        <v>http://dx.doi.org/10.1109/VISUAL.1995.480792</v>
      </c>
      <c r="F307" s="50">
        <v>27.0</v>
      </c>
      <c r="G307" s="14" t="s">
        <v>2294</v>
      </c>
      <c r="H307" s="14" t="s">
        <v>28</v>
      </c>
      <c r="I307" s="14"/>
      <c r="J307" s="130" t="s">
        <v>2295</v>
      </c>
      <c r="K307" s="152" t="s">
        <v>2296</v>
      </c>
      <c r="L307" s="20" t="s">
        <v>2297</v>
      </c>
      <c r="M307" s="16"/>
      <c r="N307" s="152" t="s">
        <v>2296</v>
      </c>
      <c r="O307" s="16"/>
      <c r="P307" s="16"/>
      <c r="Q307" s="16"/>
      <c r="R307" s="16"/>
      <c r="S307" s="16"/>
      <c r="T307" s="16"/>
      <c r="U307" s="16"/>
      <c r="V307" s="16"/>
      <c r="W307" s="16"/>
      <c r="X307" s="16"/>
    </row>
    <row r="308" ht="15.75" customHeight="1">
      <c r="A308" s="14" t="s">
        <v>17</v>
      </c>
      <c r="B308" s="50">
        <v>1995.0</v>
      </c>
      <c r="C308" s="14" t="s">
        <v>2298</v>
      </c>
      <c r="D308" s="14" t="s">
        <v>2299</v>
      </c>
      <c r="E308" s="156" t="str">
        <f>HYPERLINK("http://dx.doi.org/10.1109/VISUAL.1995.480793","http://dx.doi.org/10.1109/VISUAL.1995.480793")</f>
        <v>http://dx.doi.org/10.1109/VISUAL.1995.480793</v>
      </c>
      <c r="F308" s="50">
        <v>36.0</v>
      </c>
      <c r="G308" s="14" t="s">
        <v>2301</v>
      </c>
      <c r="H308" s="14" t="s">
        <v>28</v>
      </c>
      <c r="I308" s="14"/>
      <c r="J308" s="130" t="s">
        <v>2302</v>
      </c>
      <c r="K308" s="152" t="s">
        <v>2303</v>
      </c>
      <c r="L308" s="20" t="s">
        <v>1565</v>
      </c>
      <c r="M308" s="16"/>
      <c r="N308" s="130" t="s">
        <v>37945</v>
      </c>
      <c r="O308" s="16"/>
      <c r="P308" s="16"/>
      <c r="Q308" s="16"/>
      <c r="R308" s="16"/>
      <c r="S308" s="16"/>
      <c r="T308" s="16"/>
      <c r="U308" s="16"/>
      <c r="V308" s="16"/>
      <c r="W308" s="16"/>
      <c r="X308" s="16"/>
    </row>
    <row r="309" ht="15.75" customHeight="1">
      <c r="A309" s="14" t="s">
        <v>17</v>
      </c>
      <c r="B309" s="50">
        <v>1995.0</v>
      </c>
      <c r="C309" s="14" t="s">
        <v>2304</v>
      </c>
      <c r="D309" s="14" t="s">
        <v>2305</v>
      </c>
      <c r="E309" s="156" t="str">
        <f>HYPERLINK("http://dx.doi.org/10.1109/VISUAL.1995.480794","http://dx.doi.org/10.1109/VISUAL.1995.480794")</f>
        <v>http://dx.doi.org/10.1109/VISUAL.1995.480794</v>
      </c>
      <c r="F309" s="50">
        <v>44.0</v>
      </c>
      <c r="G309" s="14" t="s">
        <v>2309</v>
      </c>
      <c r="H309" s="14" t="s">
        <v>28</v>
      </c>
      <c r="I309" s="14"/>
      <c r="J309" s="130" t="s">
        <v>2310</v>
      </c>
      <c r="K309" s="152" t="s">
        <v>2311</v>
      </c>
      <c r="L309" s="20" t="s">
        <v>1599</v>
      </c>
      <c r="M309" s="16"/>
      <c r="N309" s="130" t="s">
        <v>37955</v>
      </c>
      <c r="O309" s="16"/>
      <c r="P309" s="16"/>
      <c r="Q309" s="16"/>
      <c r="R309" s="16"/>
      <c r="S309" s="16"/>
      <c r="T309" s="16"/>
      <c r="U309" s="16"/>
      <c r="V309" s="16"/>
      <c r="W309" s="16"/>
      <c r="X309" s="16"/>
    </row>
    <row r="310" ht="15.75" customHeight="1">
      <c r="A310" s="14" t="s">
        <v>17</v>
      </c>
      <c r="B310" s="50">
        <v>1995.0</v>
      </c>
      <c r="C310" s="14" t="s">
        <v>2312</v>
      </c>
      <c r="D310" s="14" t="s">
        <v>2313</v>
      </c>
      <c r="E310" s="156" t="str">
        <f>HYPERLINK("http://dx.doi.org/10.1109/VISUAL.1995.480795","http://dx.doi.org/10.1109/VISUAL.1995.480795")</f>
        <v>http://dx.doi.org/10.1109/VISUAL.1995.480795</v>
      </c>
      <c r="F310" s="50">
        <v>52.0</v>
      </c>
      <c r="G310" s="14" t="s">
        <v>2318</v>
      </c>
      <c r="H310" s="14" t="s">
        <v>28</v>
      </c>
      <c r="I310" s="14"/>
      <c r="J310" s="130" t="s">
        <v>2319</v>
      </c>
      <c r="K310" s="152" t="s">
        <v>2320</v>
      </c>
      <c r="L310" s="20"/>
      <c r="M310" s="16"/>
      <c r="N310" s="130" t="s">
        <v>37962</v>
      </c>
      <c r="O310" s="16"/>
      <c r="P310" s="16"/>
      <c r="Q310" s="16"/>
      <c r="R310" s="16"/>
      <c r="S310" s="16"/>
      <c r="T310" s="16"/>
      <c r="U310" s="16"/>
      <c r="V310" s="16"/>
      <c r="W310" s="16"/>
      <c r="X310" s="16"/>
    </row>
    <row r="311" ht="15.75" customHeight="1">
      <c r="A311" s="14" t="s">
        <v>17</v>
      </c>
      <c r="B311" s="50">
        <v>1995.0</v>
      </c>
      <c r="C311" s="14" t="s">
        <v>2321</v>
      </c>
      <c r="D311" s="14" t="s">
        <v>2322</v>
      </c>
      <c r="E311" s="156" t="str">
        <f>HYPERLINK("http://dx.doi.org/10.1109/VISUAL.1995.480796","http://dx.doi.org/10.1109/VISUAL.1995.480796")</f>
        <v>http://dx.doi.org/10.1109/VISUAL.1995.480796</v>
      </c>
      <c r="F311" s="50">
        <v>61.0</v>
      </c>
      <c r="G311" s="14" t="s">
        <v>2324</v>
      </c>
      <c r="H311" s="14" t="s">
        <v>28</v>
      </c>
      <c r="I311" s="14"/>
      <c r="J311" s="130" t="s">
        <v>2325</v>
      </c>
      <c r="K311" s="152" t="s">
        <v>753</v>
      </c>
      <c r="L311" s="20" t="s">
        <v>2326</v>
      </c>
      <c r="M311" s="16"/>
      <c r="N311" s="130" t="s">
        <v>35151</v>
      </c>
      <c r="O311" s="16"/>
      <c r="P311" s="16"/>
      <c r="Q311" s="16"/>
      <c r="R311" s="16"/>
      <c r="S311" s="16"/>
      <c r="T311" s="16"/>
      <c r="U311" s="16"/>
      <c r="V311" s="16"/>
      <c r="W311" s="16"/>
      <c r="X311" s="16"/>
    </row>
    <row r="312" ht="15.75" customHeight="1">
      <c r="A312" s="14" t="s">
        <v>17</v>
      </c>
      <c r="B312" s="50">
        <v>1995.0</v>
      </c>
      <c r="C312" s="14" t="s">
        <v>2327</v>
      </c>
      <c r="D312" s="14" t="s">
        <v>2328</v>
      </c>
      <c r="E312" s="156" t="str">
        <f>HYPERLINK("http://dx.doi.org/10.1109/VISUAL.1995.480797","http://dx.doi.org/10.1109/VISUAL.1995.480797")</f>
        <v>http://dx.doi.org/10.1109/VISUAL.1995.480797</v>
      </c>
      <c r="F312" s="50">
        <v>69.0</v>
      </c>
      <c r="G312" s="14" t="s">
        <v>2333</v>
      </c>
      <c r="H312" s="14" t="s">
        <v>28</v>
      </c>
      <c r="I312" s="14"/>
      <c r="J312" s="130" t="s">
        <v>2334</v>
      </c>
      <c r="K312" s="152" t="s">
        <v>2335</v>
      </c>
      <c r="L312" s="20" t="s">
        <v>174</v>
      </c>
      <c r="M312" s="16"/>
      <c r="N312" s="130" t="s">
        <v>37976</v>
      </c>
      <c r="O312" s="16"/>
      <c r="P312" s="16"/>
      <c r="Q312" s="16"/>
      <c r="R312" s="16"/>
      <c r="S312" s="16"/>
      <c r="T312" s="16"/>
      <c r="U312" s="16"/>
      <c r="V312" s="16"/>
      <c r="W312" s="16"/>
      <c r="X312" s="16"/>
    </row>
    <row r="313" ht="15.75" customHeight="1">
      <c r="A313" s="14" t="s">
        <v>17</v>
      </c>
      <c r="B313" s="50">
        <v>1995.0</v>
      </c>
      <c r="C313" s="14" t="s">
        <v>2338</v>
      </c>
      <c r="D313" s="14" t="s">
        <v>2340</v>
      </c>
      <c r="E313" s="156" t="str">
        <f>HYPERLINK("http://dx.doi.org/10.1109/VISUAL.1995.480798","http://dx.doi.org/10.1109/VISUAL.1995.480798")</f>
        <v>http://dx.doi.org/10.1109/VISUAL.1995.480798</v>
      </c>
      <c r="F313" s="50">
        <v>77.0</v>
      </c>
      <c r="G313" s="14" t="s">
        <v>2342</v>
      </c>
      <c r="H313" s="14" t="s">
        <v>28</v>
      </c>
      <c r="I313" s="14"/>
      <c r="J313" s="130" t="s">
        <v>2343</v>
      </c>
      <c r="K313" s="152" t="s">
        <v>2344</v>
      </c>
      <c r="L313" s="20"/>
      <c r="M313" s="16"/>
      <c r="N313" s="130" t="s">
        <v>13140</v>
      </c>
      <c r="O313" s="16"/>
      <c r="P313" s="16"/>
      <c r="Q313" s="16"/>
      <c r="R313" s="16"/>
      <c r="S313" s="16"/>
      <c r="T313" s="16"/>
      <c r="U313" s="16"/>
      <c r="V313" s="16"/>
      <c r="W313" s="16"/>
      <c r="X313" s="16"/>
    </row>
    <row r="314" ht="15.75" customHeight="1">
      <c r="A314" s="14" t="s">
        <v>17</v>
      </c>
      <c r="B314" s="50">
        <v>1995.0</v>
      </c>
      <c r="C314" s="14" t="s">
        <v>2345</v>
      </c>
      <c r="D314" s="14" t="s">
        <v>2346</v>
      </c>
      <c r="E314" s="156" t="str">
        <f>HYPERLINK("http://dx.doi.org/10.1109/VISUAL.1995.480799","http://dx.doi.org/10.1109/VISUAL.1995.480799")</f>
        <v>http://dx.doi.org/10.1109/VISUAL.1995.480799</v>
      </c>
      <c r="F314" s="50">
        <v>86.0</v>
      </c>
      <c r="G314" s="14" t="s">
        <v>2351</v>
      </c>
      <c r="H314" s="14" t="s">
        <v>28</v>
      </c>
      <c r="I314" s="14"/>
      <c r="J314" s="130" t="s">
        <v>3918</v>
      </c>
      <c r="K314" s="152" t="s">
        <v>2353</v>
      </c>
      <c r="L314" s="20"/>
      <c r="M314" s="195" t="s">
        <v>2354</v>
      </c>
      <c r="N314" s="130" t="s">
        <v>37984</v>
      </c>
      <c r="O314" s="16"/>
      <c r="P314" s="16"/>
      <c r="Q314" s="16"/>
      <c r="R314" s="16"/>
      <c r="S314" s="16"/>
      <c r="T314" s="16"/>
      <c r="U314" s="16"/>
      <c r="V314" s="16"/>
      <c r="W314" s="16"/>
      <c r="X314" s="16"/>
    </row>
    <row r="315" ht="15.75" customHeight="1">
      <c r="A315" s="14" t="s">
        <v>17</v>
      </c>
      <c r="B315" s="50">
        <v>1995.0</v>
      </c>
      <c r="C315" s="14" t="s">
        <v>2355</v>
      </c>
      <c r="D315" s="14" t="s">
        <v>2356</v>
      </c>
      <c r="E315" s="156" t="str">
        <f>HYPERLINK("http://dx.doi.org/10.1109/VISUAL.1995.480800","http://dx.doi.org/10.1109/VISUAL.1995.480800")</f>
        <v>http://dx.doi.org/10.1109/VISUAL.1995.480800</v>
      </c>
      <c r="F315" s="50">
        <v>94.0</v>
      </c>
      <c r="G315" s="14" t="s">
        <v>2359</v>
      </c>
      <c r="H315" s="14" t="s">
        <v>28</v>
      </c>
      <c r="I315" s="14"/>
      <c r="J315" s="130" t="s">
        <v>2360</v>
      </c>
      <c r="K315" s="152" t="s">
        <v>2361</v>
      </c>
      <c r="L315" s="20"/>
      <c r="M315" s="16"/>
      <c r="N315" s="130" t="s">
        <v>37988</v>
      </c>
      <c r="O315" s="16"/>
      <c r="P315" s="16"/>
      <c r="Q315" s="16"/>
      <c r="R315" s="16"/>
      <c r="S315" s="16"/>
      <c r="T315" s="16"/>
      <c r="U315" s="16"/>
      <c r="V315" s="16"/>
      <c r="W315" s="16"/>
      <c r="X315" s="16"/>
    </row>
    <row r="316" ht="15.75" customHeight="1">
      <c r="A316" s="14" t="s">
        <v>17</v>
      </c>
      <c r="B316" s="50">
        <v>1995.0</v>
      </c>
      <c r="C316" s="14" t="s">
        <v>2362</v>
      </c>
      <c r="D316" s="14" t="s">
        <v>2363</v>
      </c>
      <c r="E316" s="156" t="str">
        <f>HYPERLINK("http://dx.doi.org/10.1109/VISUAL.1995.480801","http://dx.doi.org/10.1109/VISUAL.1995.480801")</f>
        <v>http://dx.doi.org/10.1109/VISUAL.1995.480801</v>
      </c>
      <c r="F316" s="50">
        <v>101.0</v>
      </c>
      <c r="G316" s="50">
        <v>108.0</v>
      </c>
      <c r="H316" s="14" t="s">
        <v>28</v>
      </c>
      <c r="I316" s="14"/>
      <c r="J316" s="130" t="s">
        <v>2365</v>
      </c>
      <c r="K316" s="152" t="s">
        <v>2366</v>
      </c>
      <c r="L316" s="20" t="s">
        <v>2367</v>
      </c>
      <c r="M316" s="195" t="s">
        <v>2368</v>
      </c>
      <c r="N316" s="130" t="s">
        <v>37994</v>
      </c>
      <c r="O316" s="16"/>
      <c r="P316" s="16"/>
      <c r="Q316" s="16"/>
      <c r="R316" s="16"/>
      <c r="S316" s="16"/>
      <c r="T316" s="16"/>
      <c r="U316" s="16"/>
      <c r="V316" s="16"/>
      <c r="W316" s="16"/>
      <c r="X316" s="16"/>
    </row>
    <row r="317" ht="15.75" customHeight="1">
      <c r="A317" s="14" t="s">
        <v>17</v>
      </c>
      <c r="B317" s="50">
        <v>1995.0</v>
      </c>
      <c r="C317" s="14" t="s">
        <v>2370</v>
      </c>
      <c r="D317" s="14" t="s">
        <v>2371</v>
      </c>
      <c r="E317" s="156" t="str">
        <f>HYPERLINK("http://dx.doi.org/10.1109/VISUAL.1995.480802","http://dx.doi.org/10.1109/VISUAL.1995.480802")</f>
        <v>http://dx.doi.org/10.1109/VISUAL.1995.480802</v>
      </c>
      <c r="F317" s="50">
        <v>110.0</v>
      </c>
      <c r="G317" s="50">
        <v>117.0</v>
      </c>
      <c r="H317" s="14" t="s">
        <v>28</v>
      </c>
      <c r="I317" s="14"/>
      <c r="J317" s="130" t="s">
        <v>2375</v>
      </c>
      <c r="K317" s="152" t="s">
        <v>2376</v>
      </c>
      <c r="L317" s="20"/>
      <c r="M317" s="16"/>
      <c r="N317" s="130" t="s">
        <v>38002</v>
      </c>
      <c r="O317" s="16"/>
      <c r="P317" s="16"/>
      <c r="Q317" s="16"/>
      <c r="R317" s="16"/>
      <c r="S317" s="16"/>
      <c r="T317" s="16"/>
      <c r="U317" s="16"/>
      <c r="V317" s="16"/>
      <c r="W317" s="16"/>
      <c r="X317" s="16"/>
    </row>
    <row r="318" ht="15.75" customHeight="1">
      <c r="A318" s="14" t="s">
        <v>17</v>
      </c>
      <c r="B318" s="50">
        <v>1995.0</v>
      </c>
      <c r="C318" s="14" t="s">
        <v>2377</v>
      </c>
      <c r="D318" s="14" t="s">
        <v>2378</v>
      </c>
      <c r="E318" s="156" t="str">
        <f>HYPERLINK("http://dx.doi.org/10.1109/VISUAL.1995.480803","http://dx.doi.org/10.1109/VISUAL.1995.480803")</f>
        <v>http://dx.doi.org/10.1109/VISUAL.1995.480803</v>
      </c>
      <c r="F318" s="50">
        <v>118.0</v>
      </c>
      <c r="G318" s="14" t="s">
        <v>2382</v>
      </c>
      <c r="H318" s="14" t="s">
        <v>28</v>
      </c>
      <c r="I318" s="14"/>
      <c r="J318" s="130" t="s">
        <v>2384</v>
      </c>
      <c r="K318" s="152" t="s">
        <v>144</v>
      </c>
      <c r="L318" s="20" t="s">
        <v>2385</v>
      </c>
      <c r="M318" s="16"/>
      <c r="N318" s="130" t="s">
        <v>36807</v>
      </c>
      <c r="O318" s="16"/>
      <c r="P318" s="16"/>
      <c r="Q318" s="16"/>
      <c r="R318" s="16"/>
      <c r="S318" s="16"/>
      <c r="T318" s="16"/>
      <c r="U318" s="16"/>
      <c r="V318" s="16"/>
      <c r="W318" s="16"/>
      <c r="X318" s="16"/>
    </row>
    <row r="319" ht="15.75" customHeight="1">
      <c r="A319" s="14" t="s">
        <v>17</v>
      </c>
      <c r="B319" s="50">
        <v>1995.0</v>
      </c>
      <c r="C319" s="14" t="s">
        <v>2386</v>
      </c>
      <c r="D319" s="14" t="s">
        <v>2387</v>
      </c>
      <c r="E319" s="156" t="str">
        <f>HYPERLINK("http://dx.doi.org/10.1109/VISUAL.1995.480804","http://dx.doi.org/10.1109/VISUAL.1995.480804")</f>
        <v>http://dx.doi.org/10.1109/VISUAL.1995.480804</v>
      </c>
      <c r="F319" s="50">
        <v>126.0</v>
      </c>
      <c r="G319" s="14" t="s">
        <v>2389</v>
      </c>
      <c r="H319" s="14" t="s">
        <v>28</v>
      </c>
      <c r="I319" s="14"/>
      <c r="J319" s="130" t="s">
        <v>2049</v>
      </c>
      <c r="K319" s="152" t="s">
        <v>855</v>
      </c>
      <c r="L319" s="20" t="s">
        <v>2390</v>
      </c>
      <c r="M319" s="16"/>
      <c r="N319" s="130" t="s">
        <v>38009</v>
      </c>
      <c r="O319" s="16"/>
      <c r="P319" s="16"/>
      <c r="Q319" s="16"/>
      <c r="R319" s="16"/>
      <c r="S319" s="16"/>
      <c r="T319" s="16"/>
      <c r="U319" s="16"/>
      <c r="V319" s="16"/>
      <c r="W319" s="16"/>
      <c r="X319" s="16"/>
    </row>
    <row r="320" ht="15.75" customHeight="1">
      <c r="A320" s="14" t="s">
        <v>17</v>
      </c>
      <c r="B320" s="50">
        <v>1995.0</v>
      </c>
      <c r="C320" s="14" t="s">
        <v>2391</v>
      </c>
      <c r="D320" s="14" t="s">
        <v>2392</v>
      </c>
      <c r="E320" s="156" t="str">
        <f>HYPERLINK("http://dx.doi.org/10.1109/VISUAL.1995.480805","http://dx.doi.org/10.1109/VISUAL.1995.480805")</f>
        <v>http://dx.doi.org/10.1109/VISUAL.1995.480805</v>
      </c>
      <c r="F320" s="50">
        <v>135.0</v>
      </c>
      <c r="G320" s="14" t="s">
        <v>2397</v>
      </c>
      <c r="H320" s="14" t="s">
        <v>28</v>
      </c>
      <c r="I320" s="14"/>
      <c r="J320" s="130" t="s">
        <v>2398</v>
      </c>
      <c r="K320" s="152" t="s">
        <v>2399</v>
      </c>
      <c r="L320" s="20" t="s">
        <v>2067</v>
      </c>
      <c r="M320" s="16"/>
      <c r="N320" s="130" t="s">
        <v>38014</v>
      </c>
      <c r="O320" s="16"/>
      <c r="P320" s="16"/>
      <c r="Q320" s="16"/>
      <c r="R320" s="16"/>
      <c r="S320" s="16"/>
      <c r="T320" s="16"/>
      <c r="U320" s="16"/>
      <c r="V320" s="16"/>
      <c r="W320" s="16"/>
      <c r="X320" s="16"/>
    </row>
    <row r="321" ht="15.75" customHeight="1">
      <c r="A321" s="14" t="s">
        <v>17</v>
      </c>
      <c r="B321" s="50">
        <v>1995.0</v>
      </c>
      <c r="C321" s="14" t="s">
        <v>2400</v>
      </c>
      <c r="D321" s="14" t="s">
        <v>2401</v>
      </c>
      <c r="E321" s="156" t="str">
        <f>HYPERLINK("http://dx.doi.org/10.1109/VISUAL.1995.480806","http://dx.doi.org/10.1109/VISUAL.1995.480806")</f>
        <v>http://dx.doi.org/10.1109/VISUAL.1995.480806</v>
      </c>
      <c r="F321" s="50">
        <v>143.0</v>
      </c>
      <c r="G321" s="14" t="s">
        <v>2403</v>
      </c>
      <c r="H321" s="14" t="s">
        <v>28</v>
      </c>
      <c r="I321" s="14"/>
      <c r="J321" s="130" t="s">
        <v>1985</v>
      </c>
      <c r="K321" s="152" t="s">
        <v>281</v>
      </c>
      <c r="L321" s="20" t="s">
        <v>520</v>
      </c>
      <c r="M321" s="16"/>
      <c r="N321" s="130" t="s">
        <v>34872</v>
      </c>
      <c r="O321" s="16"/>
      <c r="P321" s="16"/>
      <c r="Q321" s="16"/>
      <c r="R321" s="16"/>
      <c r="S321" s="16"/>
      <c r="T321" s="16"/>
      <c r="U321" s="16"/>
      <c r="V321" s="16"/>
      <c r="W321" s="16"/>
      <c r="X321" s="16"/>
    </row>
    <row r="322" ht="15.75" customHeight="1">
      <c r="A322" s="14" t="s">
        <v>17</v>
      </c>
      <c r="B322" s="50">
        <v>1995.0</v>
      </c>
      <c r="C322" s="14" t="s">
        <v>2405</v>
      </c>
      <c r="D322" s="14" t="s">
        <v>2406</v>
      </c>
      <c r="E322" s="156" t="str">
        <f>HYPERLINK("http://dx.doi.org/10.1109/VISUAL.1995.480807","http://dx.doi.org/10.1109/VISUAL.1995.480807")</f>
        <v>http://dx.doi.org/10.1109/VISUAL.1995.480807</v>
      </c>
      <c r="F322" s="50">
        <v>151.0</v>
      </c>
      <c r="G322" s="14" t="s">
        <v>2411</v>
      </c>
      <c r="H322" s="14" t="s">
        <v>28</v>
      </c>
      <c r="I322" s="14"/>
      <c r="J322" s="130" t="s">
        <v>2412</v>
      </c>
      <c r="K322" s="152" t="s">
        <v>2413</v>
      </c>
      <c r="L322" s="20" t="s">
        <v>2414</v>
      </c>
      <c r="M322" s="196" t="s">
        <v>2416</v>
      </c>
      <c r="N322" s="130" t="s">
        <v>38025</v>
      </c>
      <c r="O322" s="16"/>
      <c r="P322" s="16"/>
      <c r="Q322" s="16"/>
      <c r="R322" s="16"/>
      <c r="S322" s="16"/>
      <c r="T322" s="16"/>
      <c r="U322" s="16"/>
      <c r="V322" s="16"/>
      <c r="W322" s="16"/>
      <c r="X322" s="16"/>
    </row>
    <row r="323" ht="15.75" customHeight="1">
      <c r="A323" s="14" t="s">
        <v>17</v>
      </c>
      <c r="B323" s="50">
        <v>1995.0</v>
      </c>
      <c r="C323" s="14" t="s">
        <v>2419</v>
      </c>
      <c r="D323" s="14" t="s">
        <v>2420</v>
      </c>
      <c r="E323" s="156" t="str">
        <f>HYPERLINK("http://dx.doi.org/10.1109/VISUAL.1995.480808","http://dx.doi.org/10.1109/VISUAL.1995.480808")</f>
        <v>http://dx.doi.org/10.1109/VISUAL.1995.480808</v>
      </c>
      <c r="F323" s="50">
        <v>159.0</v>
      </c>
      <c r="G323" s="14" t="s">
        <v>2422</v>
      </c>
      <c r="H323" s="14" t="s">
        <v>28</v>
      </c>
      <c r="I323" s="14"/>
      <c r="J323" s="130" t="s">
        <v>2423</v>
      </c>
      <c r="K323" s="152" t="s">
        <v>2424</v>
      </c>
      <c r="L323" s="20" t="s">
        <v>2425</v>
      </c>
      <c r="M323" s="16"/>
      <c r="N323" s="130" t="s">
        <v>38032</v>
      </c>
      <c r="O323" s="16"/>
      <c r="P323" s="16"/>
      <c r="Q323" s="16"/>
      <c r="R323" s="16"/>
      <c r="S323" s="16"/>
      <c r="T323" s="16"/>
      <c r="U323" s="16"/>
      <c r="V323" s="16"/>
      <c r="W323" s="16"/>
      <c r="X323" s="16"/>
    </row>
    <row r="324" ht="15.75" customHeight="1">
      <c r="A324" s="14" t="s">
        <v>17</v>
      </c>
      <c r="B324" s="50">
        <v>1995.0</v>
      </c>
      <c r="C324" s="14" t="s">
        <v>2426</v>
      </c>
      <c r="D324" s="14" t="s">
        <v>2427</v>
      </c>
      <c r="E324" s="156" t="str">
        <f>HYPERLINK("http://dx.doi.org/10.1109/VISUAL.1995.480809","http://dx.doi.org/10.1109/VISUAL.1995.480809")</f>
        <v>http://dx.doi.org/10.1109/VISUAL.1995.480809</v>
      </c>
      <c r="F324" s="50">
        <v>168.0</v>
      </c>
      <c r="G324" s="14" t="s">
        <v>2429</v>
      </c>
      <c r="H324" s="14" t="s">
        <v>28</v>
      </c>
      <c r="I324" s="14"/>
      <c r="J324" s="130" t="s">
        <v>3944</v>
      </c>
      <c r="K324" s="152" t="s">
        <v>2431</v>
      </c>
      <c r="L324" s="20" t="s">
        <v>2432</v>
      </c>
      <c r="M324" s="196" t="s">
        <v>2433</v>
      </c>
      <c r="N324" s="130" t="s">
        <v>38040</v>
      </c>
      <c r="O324" s="16"/>
      <c r="P324" s="16"/>
      <c r="Q324" s="16"/>
      <c r="R324" s="16"/>
      <c r="S324" s="16"/>
      <c r="T324" s="16"/>
      <c r="U324" s="16"/>
      <c r="V324" s="16"/>
      <c r="W324" s="16"/>
      <c r="X324" s="16"/>
    </row>
    <row r="325" ht="15.75" customHeight="1">
      <c r="A325" s="14" t="s">
        <v>17</v>
      </c>
      <c r="B325" s="50">
        <v>1995.0</v>
      </c>
      <c r="C325" s="14" t="s">
        <v>2434</v>
      </c>
      <c r="D325" s="14" t="s">
        <v>2435</v>
      </c>
      <c r="E325" s="156" t="str">
        <f>HYPERLINK("http://dx.doi.org/10.1109/VISUAL.1995.480810","http://dx.doi.org/10.1109/VISUAL.1995.480810")</f>
        <v>http://dx.doi.org/10.1109/VISUAL.1995.480810</v>
      </c>
      <c r="F325" s="50">
        <v>176.0</v>
      </c>
      <c r="G325" s="14" t="s">
        <v>2439</v>
      </c>
      <c r="H325" s="14" t="s">
        <v>28</v>
      </c>
      <c r="I325" s="14"/>
      <c r="J325" s="130" t="s">
        <v>3948</v>
      </c>
      <c r="K325" s="152" t="s">
        <v>2441</v>
      </c>
      <c r="L325" s="20" t="s">
        <v>2442</v>
      </c>
      <c r="M325" s="16"/>
      <c r="N325" s="130" t="s">
        <v>38047</v>
      </c>
      <c r="O325" s="16"/>
      <c r="P325" s="16"/>
      <c r="Q325" s="16"/>
      <c r="R325" s="16"/>
      <c r="S325" s="16"/>
      <c r="T325" s="16"/>
      <c r="U325" s="16"/>
      <c r="V325" s="16"/>
      <c r="W325" s="16"/>
      <c r="X325" s="16"/>
    </row>
    <row r="326" ht="15.75" customHeight="1">
      <c r="A326" s="14" t="s">
        <v>17</v>
      </c>
      <c r="B326" s="50">
        <v>1995.0</v>
      </c>
      <c r="C326" s="14" t="s">
        <v>2443</v>
      </c>
      <c r="D326" s="14" t="s">
        <v>2444</v>
      </c>
      <c r="E326" s="156" t="str">
        <f>HYPERLINK("http://dx.doi.org/10.1109/VISUAL.1995.480811","http://dx.doi.org/10.1109/VISUAL.1995.480811")</f>
        <v>http://dx.doi.org/10.1109/VISUAL.1995.480811</v>
      </c>
      <c r="F326" s="50">
        <v>184.0</v>
      </c>
      <c r="G326" s="14" t="s">
        <v>2449</v>
      </c>
      <c r="H326" s="14" t="s">
        <v>28</v>
      </c>
      <c r="I326" s="14"/>
      <c r="J326" s="130" t="s">
        <v>2450</v>
      </c>
      <c r="K326" s="152" t="s">
        <v>2451</v>
      </c>
      <c r="L326" s="20" t="s">
        <v>2452</v>
      </c>
      <c r="M326" s="16"/>
      <c r="N326" s="130" t="s">
        <v>38054</v>
      </c>
      <c r="O326" s="16"/>
      <c r="P326" s="16"/>
      <c r="Q326" s="16"/>
      <c r="R326" s="16"/>
      <c r="S326" s="16"/>
      <c r="T326" s="16"/>
      <c r="U326" s="16"/>
      <c r="V326" s="16"/>
      <c r="W326" s="16"/>
      <c r="X326" s="16"/>
    </row>
    <row r="327" ht="15.75" customHeight="1">
      <c r="A327" s="14" t="s">
        <v>17</v>
      </c>
      <c r="B327" s="50">
        <v>1995.0</v>
      </c>
      <c r="C327" s="14" t="s">
        <v>2453</v>
      </c>
      <c r="D327" s="14" t="s">
        <v>2454</v>
      </c>
      <c r="E327" s="156" t="str">
        <f>HYPERLINK("http://dx.doi.org/10.1109/VISUAL.1995.480812","http://dx.doi.org/10.1109/VISUAL.1995.480812")</f>
        <v>http://dx.doi.org/10.1109/VISUAL.1995.480812</v>
      </c>
      <c r="F327" s="50">
        <v>192.0</v>
      </c>
      <c r="G327" s="50">
        <v>199.0</v>
      </c>
      <c r="H327" s="14" t="s">
        <v>28</v>
      </c>
      <c r="I327" s="14"/>
      <c r="J327" s="130" t="s">
        <v>2459</v>
      </c>
      <c r="K327" s="152" t="s">
        <v>2460</v>
      </c>
      <c r="L327" s="20" t="s">
        <v>1340</v>
      </c>
      <c r="M327" s="16"/>
      <c r="N327" s="130" t="s">
        <v>38062</v>
      </c>
      <c r="O327" s="16"/>
      <c r="P327" s="16"/>
      <c r="Q327" s="16"/>
      <c r="R327" s="16"/>
      <c r="S327" s="16"/>
      <c r="T327" s="16"/>
      <c r="U327" s="16"/>
      <c r="V327" s="16"/>
      <c r="W327" s="16"/>
      <c r="X327" s="16"/>
    </row>
    <row r="328" ht="15.75" customHeight="1">
      <c r="A328" s="14" t="s">
        <v>17</v>
      </c>
      <c r="B328" s="50">
        <v>1995.0</v>
      </c>
      <c r="C328" s="14" t="s">
        <v>2461</v>
      </c>
      <c r="D328" s="14" t="s">
        <v>2462</v>
      </c>
      <c r="E328" s="156" t="str">
        <f>HYPERLINK("http://dx.doi.org/10.1109/VISUAL.1995.480813","http://dx.doi.org/10.1109/VISUAL.1995.480813")</f>
        <v>http://dx.doi.org/10.1109/VISUAL.1995.480813</v>
      </c>
      <c r="F328" s="50">
        <v>201.0</v>
      </c>
      <c r="G328" s="14" t="s">
        <v>2464</v>
      </c>
      <c r="H328" s="14" t="s">
        <v>28</v>
      </c>
      <c r="I328" s="14"/>
      <c r="J328" s="130" t="s">
        <v>3958</v>
      </c>
      <c r="K328" s="152" t="s">
        <v>753</v>
      </c>
      <c r="L328" s="20" t="s">
        <v>2466</v>
      </c>
      <c r="M328" s="16"/>
      <c r="N328" s="152" t="s">
        <v>753</v>
      </c>
      <c r="O328" s="16"/>
      <c r="P328" s="16"/>
      <c r="Q328" s="16"/>
      <c r="R328" s="16"/>
      <c r="S328" s="16"/>
      <c r="T328" s="16"/>
      <c r="U328" s="16"/>
      <c r="V328" s="16"/>
      <c r="W328" s="16"/>
      <c r="X328" s="16"/>
    </row>
    <row r="329" ht="15.75" customHeight="1">
      <c r="A329" s="14" t="s">
        <v>17</v>
      </c>
      <c r="B329" s="50">
        <v>1995.0</v>
      </c>
      <c r="C329" s="14" t="s">
        <v>2467</v>
      </c>
      <c r="D329" s="14" t="s">
        <v>2468</v>
      </c>
      <c r="E329" s="156" t="str">
        <f>HYPERLINK("http://dx.doi.org/10.1109/VISUAL.1995.480814","http://dx.doi.org/10.1109/VISUAL.1995.480814")</f>
        <v>http://dx.doi.org/10.1109/VISUAL.1995.480814</v>
      </c>
      <c r="F329" s="50">
        <v>209.0</v>
      </c>
      <c r="G329" s="14" t="s">
        <v>2473</v>
      </c>
      <c r="H329" s="14" t="s">
        <v>28</v>
      </c>
      <c r="I329" s="14"/>
      <c r="J329" s="130" t="s">
        <v>2474</v>
      </c>
      <c r="K329" s="152" t="s">
        <v>2475</v>
      </c>
      <c r="L329" s="20"/>
      <c r="M329" s="16"/>
      <c r="N329" s="130" t="s">
        <v>38072</v>
      </c>
      <c r="O329" s="16"/>
      <c r="P329" s="16"/>
      <c r="Q329" s="16"/>
      <c r="R329" s="16"/>
      <c r="S329" s="16"/>
      <c r="T329" s="16"/>
      <c r="U329" s="16"/>
      <c r="V329" s="16"/>
      <c r="W329" s="16"/>
      <c r="X329" s="16"/>
    </row>
    <row r="330" ht="15.75" customHeight="1">
      <c r="A330" s="14" t="s">
        <v>17</v>
      </c>
      <c r="B330" s="50">
        <v>1995.0</v>
      </c>
      <c r="C330" s="14" t="s">
        <v>2476</v>
      </c>
      <c r="D330" s="14" t="s">
        <v>2151</v>
      </c>
      <c r="E330" s="156" t="str">
        <f>HYPERLINK("http://dx.doi.org/10.1109/VISUAL.1995.480815","http://dx.doi.org/10.1109/VISUAL.1995.480815")</f>
        <v>http://dx.doi.org/10.1109/VISUAL.1995.480815</v>
      </c>
      <c r="F330" s="50">
        <v>217.0</v>
      </c>
      <c r="G330" s="14" t="s">
        <v>2478</v>
      </c>
      <c r="H330" s="14" t="s">
        <v>28</v>
      </c>
      <c r="I330" s="14"/>
      <c r="J330" s="130" t="s">
        <v>2479</v>
      </c>
      <c r="K330" s="152" t="s">
        <v>2480</v>
      </c>
      <c r="L330" s="20" t="s">
        <v>2144</v>
      </c>
      <c r="M330" s="16"/>
      <c r="N330" s="130" t="s">
        <v>15438</v>
      </c>
      <c r="O330" s="16"/>
      <c r="P330" s="16"/>
      <c r="Q330" s="16"/>
      <c r="R330" s="16"/>
      <c r="S330" s="16"/>
      <c r="T330" s="16"/>
      <c r="U330" s="16"/>
      <c r="V330" s="16"/>
      <c r="W330" s="16"/>
      <c r="X330" s="16"/>
    </row>
    <row r="331" ht="15.75" customHeight="1">
      <c r="A331" s="14" t="s">
        <v>17</v>
      </c>
      <c r="B331" s="50">
        <v>1995.0</v>
      </c>
      <c r="C331" s="14" t="s">
        <v>2483</v>
      </c>
      <c r="D331" s="14" t="s">
        <v>2484</v>
      </c>
      <c r="E331" s="156" t="str">
        <f>HYPERLINK("http://dx.doi.org/10.1109/VISUAL.1995.480816","http://dx.doi.org/10.1109/VISUAL.1995.480816")</f>
        <v>http://dx.doi.org/10.1109/VISUAL.1995.480816</v>
      </c>
      <c r="F331" s="50">
        <v>224.0</v>
      </c>
      <c r="G331" s="14" t="s">
        <v>2487</v>
      </c>
      <c r="H331" s="14" t="s">
        <v>28</v>
      </c>
      <c r="I331" s="14"/>
      <c r="J331" s="130" t="s">
        <v>2488</v>
      </c>
      <c r="K331" s="152" t="s">
        <v>2489</v>
      </c>
      <c r="L331" s="20" t="s">
        <v>769</v>
      </c>
      <c r="M331" s="16"/>
      <c r="N331" s="130" t="s">
        <v>38101</v>
      </c>
      <c r="O331" s="16"/>
      <c r="P331" s="16"/>
      <c r="Q331" s="16"/>
      <c r="R331" s="16"/>
      <c r="S331" s="16"/>
      <c r="T331" s="16"/>
      <c r="U331" s="16"/>
      <c r="V331" s="16"/>
      <c r="W331" s="16"/>
      <c r="X331" s="16"/>
    </row>
    <row r="332" ht="15.75" customHeight="1">
      <c r="A332" s="14" t="s">
        <v>17</v>
      </c>
      <c r="B332" s="50">
        <v>1995.0</v>
      </c>
      <c r="C332" s="14" t="s">
        <v>2490</v>
      </c>
      <c r="D332" s="14" t="s">
        <v>2491</v>
      </c>
      <c r="E332" s="156" t="str">
        <f>HYPERLINK("http://dx.doi.org/10.1109/VISUAL.1995.480817","http://dx.doi.org/10.1109/VISUAL.1995.480817")</f>
        <v>http://dx.doi.org/10.1109/VISUAL.1995.480817</v>
      </c>
      <c r="F332" s="50">
        <v>233.0</v>
      </c>
      <c r="G332" s="14" t="s">
        <v>2496</v>
      </c>
      <c r="H332" s="14" t="s">
        <v>28</v>
      </c>
      <c r="I332" s="14"/>
      <c r="J332" s="130" t="s">
        <v>1371</v>
      </c>
      <c r="K332" s="152" t="s">
        <v>1372</v>
      </c>
      <c r="L332" s="20" t="s">
        <v>2497</v>
      </c>
      <c r="M332" s="16"/>
      <c r="N332" s="130" t="s">
        <v>35910</v>
      </c>
      <c r="O332" s="16"/>
      <c r="P332" s="16"/>
      <c r="Q332" s="16"/>
      <c r="R332" s="16"/>
      <c r="S332" s="16"/>
      <c r="T332" s="16"/>
      <c r="U332" s="16"/>
      <c r="V332" s="16"/>
      <c r="W332" s="16"/>
      <c r="X332" s="16"/>
    </row>
    <row r="333" ht="15.75" customHeight="1">
      <c r="A333" s="14" t="s">
        <v>17</v>
      </c>
      <c r="B333" s="50">
        <v>1995.0</v>
      </c>
      <c r="C333" s="14" t="s">
        <v>2498</v>
      </c>
      <c r="D333" s="14" t="s">
        <v>2499</v>
      </c>
      <c r="E333" s="156" t="str">
        <f>HYPERLINK("http://dx.doi.org/10.1109/VISUAL.1995.480818","http://dx.doi.org/10.1109/VISUAL.1995.480818")</f>
        <v>http://dx.doi.org/10.1109/VISUAL.1995.480818</v>
      </c>
      <c r="F333" s="50">
        <v>240.0</v>
      </c>
      <c r="G333" s="14" t="s">
        <v>2514</v>
      </c>
      <c r="H333" s="14" t="s">
        <v>28</v>
      </c>
      <c r="I333" s="14"/>
      <c r="J333" s="130" t="s">
        <v>2515</v>
      </c>
      <c r="K333" s="152" t="s">
        <v>753</v>
      </c>
      <c r="L333" s="20" t="s">
        <v>2516</v>
      </c>
      <c r="M333" s="16"/>
      <c r="N333" s="130" t="s">
        <v>35151</v>
      </c>
      <c r="O333" s="16"/>
      <c r="P333" s="16"/>
      <c r="Q333" s="16"/>
      <c r="R333" s="16"/>
      <c r="S333" s="16"/>
      <c r="T333" s="16"/>
      <c r="U333" s="16"/>
      <c r="V333" s="16"/>
      <c r="W333" s="16"/>
      <c r="X333" s="16"/>
    </row>
    <row r="334" ht="15.75" customHeight="1">
      <c r="A334" s="14" t="s">
        <v>17</v>
      </c>
      <c r="B334" s="50">
        <v>1995.0</v>
      </c>
      <c r="C334" s="14" t="s">
        <v>2517</v>
      </c>
      <c r="D334" s="14" t="s">
        <v>2518</v>
      </c>
      <c r="E334" s="156" t="str">
        <f>HYPERLINK("http://dx.doi.org/10.1109/VISUAL.1995.480819","http://dx.doi.org/10.1109/VISUAL.1995.480819")</f>
        <v>http://dx.doi.org/10.1109/VISUAL.1995.480819</v>
      </c>
      <c r="F334" s="50">
        <v>248.0</v>
      </c>
      <c r="G334" s="14" t="s">
        <v>2523</v>
      </c>
      <c r="H334" s="14" t="s">
        <v>28</v>
      </c>
      <c r="I334" s="14"/>
      <c r="J334" s="130" t="s">
        <v>2524</v>
      </c>
      <c r="K334" s="152" t="s">
        <v>2525</v>
      </c>
      <c r="L334" s="20" t="s">
        <v>2526</v>
      </c>
      <c r="M334" s="16"/>
      <c r="N334" s="152" t="s">
        <v>2525</v>
      </c>
      <c r="O334" s="16"/>
      <c r="P334" s="16"/>
      <c r="Q334" s="16"/>
      <c r="R334" s="16"/>
      <c r="S334" s="16"/>
      <c r="T334" s="16"/>
      <c r="U334" s="16"/>
      <c r="V334" s="16"/>
      <c r="W334" s="16"/>
      <c r="X334" s="16"/>
    </row>
    <row r="335" ht="15.75" customHeight="1">
      <c r="A335" s="14" t="s">
        <v>17</v>
      </c>
      <c r="B335" s="50">
        <v>1995.0</v>
      </c>
      <c r="C335" s="14" t="s">
        <v>2527</v>
      </c>
      <c r="D335" s="14" t="s">
        <v>2528</v>
      </c>
      <c r="E335" s="156" t="str">
        <f>HYPERLINK("http://dx.doi.org/10.1109/VISUAL.1995.480820","http://dx.doi.org/10.1109/VISUAL.1995.480820")</f>
        <v>http://dx.doi.org/10.1109/VISUAL.1995.480820</v>
      </c>
      <c r="F335" s="50">
        <v>254.0</v>
      </c>
      <c r="G335" s="14" t="s">
        <v>2533</v>
      </c>
      <c r="H335" s="14" t="s">
        <v>28</v>
      </c>
      <c r="I335" s="14"/>
      <c r="J335" s="130" t="s">
        <v>2534</v>
      </c>
      <c r="K335" s="152" t="s">
        <v>2535</v>
      </c>
      <c r="L335" s="20"/>
      <c r="M335" s="196" t="s">
        <v>2536</v>
      </c>
      <c r="N335" s="130" t="s">
        <v>38124</v>
      </c>
      <c r="O335" s="16"/>
      <c r="P335" s="16"/>
      <c r="Q335" s="16"/>
      <c r="R335" s="16"/>
      <c r="S335" s="16"/>
      <c r="T335" s="16"/>
      <c r="U335" s="16"/>
      <c r="V335" s="16"/>
      <c r="W335" s="16"/>
      <c r="X335" s="16"/>
    </row>
    <row r="336" ht="15.75" customHeight="1">
      <c r="A336" s="14" t="s">
        <v>17</v>
      </c>
      <c r="B336" s="50">
        <v>1995.0</v>
      </c>
      <c r="C336" s="14" t="s">
        <v>2538</v>
      </c>
      <c r="D336" s="14" t="s">
        <v>2539</v>
      </c>
      <c r="E336" s="156" t="str">
        <f>HYPERLINK("http://dx.doi.org/10.1109/VISUAL.1995.480821","http://dx.doi.org/10.1109/VISUAL.1995.480821")</f>
        <v>http://dx.doi.org/10.1109/VISUAL.1995.480821</v>
      </c>
      <c r="F336" s="50">
        <v>263.0</v>
      </c>
      <c r="G336" s="14" t="s">
        <v>2544</v>
      </c>
      <c r="H336" s="14" t="s">
        <v>28</v>
      </c>
      <c r="I336" s="14"/>
      <c r="J336" s="130" t="s">
        <v>2545</v>
      </c>
      <c r="K336" s="152" t="s">
        <v>665</v>
      </c>
      <c r="L336" s="20" t="s">
        <v>2546</v>
      </c>
      <c r="M336" s="16"/>
      <c r="N336" s="130" t="s">
        <v>38132</v>
      </c>
      <c r="O336" s="16"/>
      <c r="P336" s="16"/>
      <c r="Q336" s="16"/>
      <c r="R336" s="16"/>
      <c r="S336" s="16"/>
      <c r="T336" s="16"/>
      <c r="U336" s="16"/>
      <c r="V336" s="16"/>
      <c r="W336" s="16"/>
      <c r="X336" s="16"/>
    </row>
    <row r="337" ht="15.75" customHeight="1">
      <c r="A337" s="14" t="s">
        <v>17</v>
      </c>
      <c r="B337" s="50">
        <v>1995.0</v>
      </c>
      <c r="C337" s="14" t="s">
        <v>2547</v>
      </c>
      <c r="D337" s="14" t="s">
        <v>2548</v>
      </c>
      <c r="E337" s="156" t="str">
        <f>HYPERLINK("http://dx.doi.org/10.1109/VISUAL.1995.485139","http://dx.doi.org/10.1109/VISUAL.1995.485139")</f>
        <v>http://dx.doi.org/10.1109/VISUAL.1995.485139</v>
      </c>
      <c r="F337" s="50">
        <v>271.0</v>
      </c>
      <c r="G337" s="54"/>
      <c r="H337" s="14" t="s">
        <v>28</v>
      </c>
      <c r="I337" s="14"/>
      <c r="J337" s="130" t="s">
        <v>2550</v>
      </c>
      <c r="K337" s="152" t="s">
        <v>178</v>
      </c>
      <c r="L337" s="20" t="s">
        <v>2551</v>
      </c>
      <c r="M337" s="16"/>
      <c r="N337" s="130"/>
      <c r="O337" s="16"/>
      <c r="P337" s="16"/>
      <c r="Q337" s="16"/>
      <c r="R337" s="16"/>
      <c r="S337" s="16"/>
      <c r="T337" s="16"/>
      <c r="U337" s="16"/>
      <c r="V337" s="16"/>
      <c r="W337" s="16"/>
      <c r="X337" s="16"/>
    </row>
    <row r="338" ht="15.75" customHeight="1">
      <c r="A338" s="14" t="s">
        <v>17</v>
      </c>
      <c r="B338" s="50">
        <v>1995.0</v>
      </c>
      <c r="C338" s="14" t="s">
        <v>2553</v>
      </c>
      <c r="D338" s="14" t="s">
        <v>2555</v>
      </c>
      <c r="E338" s="156" t="str">
        <f>HYPERLINK("http://dx.doi.org/10.1109/VISUAL.1995.485140","http://dx.doi.org/10.1109/VISUAL.1995.485140")</f>
        <v>http://dx.doi.org/10.1109/VISUAL.1995.485140</v>
      </c>
      <c r="F338" s="50">
        <v>279.0</v>
      </c>
      <c r="G338" s="14" t="s">
        <v>2559</v>
      </c>
      <c r="H338" s="14" t="s">
        <v>28</v>
      </c>
      <c r="I338" s="14"/>
      <c r="J338" s="130" t="s">
        <v>2560</v>
      </c>
      <c r="K338" s="152" t="s">
        <v>2561</v>
      </c>
      <c r="L338" s="20" t="s">
        <v>2562</v>
      </c>
      <c r="M338" s="196" t="s">
        <v>2563</v>
      </c>
      <c r="N338" s="130" t="s">
        <v>38138</v>
      </c>
      <c r="O338" s="16"/>
      <c r="P338" s="16"/>
      <c r="Q338" s="16"/>
      <c r="R338" s="16"/>
      <c r="S338" s="16"/>
      <c r="T338" s="16"/>
      <c r="U338" s="16"/>
      <c r="V338" s="16"/>
      <c r="W338" s="16"/>
      <c r="X338" s="16"/>
    </row>
    <row r="339" ht="15.75" customHeight="1">
      <c r="A339" s="14" t="s">
        <v>17</v>
      </c>
      <c r="B339" s="50">
        <v>1995.0</v>
      </c>
      <c r="C339" s="14" t="s">
        <v>2564</v>
      </c>
      <c r="D339" s="14" t="s">
        <v>2565</v>
      </c>
      <c r="E339" s="156" t="str">
        <f>HYPERLINK("http://dx.doi.org/10.1109/VISUAL.1995.485141","http://dx.doi.org/10.1109/VISUAL.1995.485141")</f>
        <v>http://dx.doi.org/10.1109/VISUAL.1995.485141</v>
      </c>
      <c r="F339" s="50">
        <v>288.0</v>
      </c>
      <c r="G339" s="14" t="s">
        <v>2573</v>
      </c>
      <c r="H339" s="14" t="s">
        <v>28</v>
      </c>
      <c r="I339" s="14"/>
      <c r="J339" s="130" t="s">
        <v>2574</v>
      </c>
      <c r="K339" s="152" t="s">
        <v>2575</v>
      </c>
      <c r="L339" s="20" t="s">
        <v>2576</v>
      </c>
      <c r="M339" s="195" t="s">
        <v>2577</v>
      </c>
      <c r="N339" s="130" t="s">
        <v>38143</v>
      </c>
      <c r="O339" s="16"/>
      <c r="P339" s="16"/>
      <c r="Q339" s="16"/>
      <c r="R339" s="16"/>
      <c r="S339" s="16"/>
      <c r="T339" s="16"/>
      <c r="U339" s="16"/>
      <c r="V339" s="16"/>
      <c r="W339" s="16"/>
      <c r="X339" s="16"/>
    </row>
    <row r="340" ht="15.75" customHeight="1">
      <c r="A340" s="14" t="s">
        <v>17</v>
      </c>
      <c r="B340" s="50">
        <v>1995.0</v>
      </c>
      <c r="C340" s="14" t="s">
        <v>2578</v>
      </c>
      <c r="D340" s="14" t="s">
        <v>2579</v>
      </c>
      <c r="E340" s="156" t="str">
        <f>HYPERLINK("http://dx.doi.org/10.1109/VISUAL.1995.485142","http://dx.doi.org/10.1109/VISUAL.1995.485142")</f>
        <v>http://dx.doi.org/10.1109/VISUAL.1995.485142</v>
      </c>
      <c r="F340" s="50">
        <v>296.0</v>
      </c>
      <c r="G340" s="14" t="s">
        <v>2584</v>
      </c>
      <c r="H340" s="14" t="s">
        <v>28</v>
      </c>
      <c r="I340" s="14"/>
      <c r="J340" s="130" t="s">
        <v>2585</v>
      </c>
      <c r="K340" s="152" t="s">
        <v>2303</v>
      </c>
      <c r="L340" s="20" t="s">
        <v>1323</v>
      </c>
      <c r="M340" s="16"/>
      <c r="N340" s="130" t="s">
        <v>38149</v>
      </c>
      <c r="O340" s="16"/>
      <c r="P340" s="16"/>
      <c r="Q340" s="16"/>
      <c r="R340" s="16"/>
      <c r="S340" s="16"/>
      <c r="T340" s="16"/>
      <c r="U340" s="16"/>
      <c r="V340" s="16"/>
      <c r="W340" s="16"/>
      <c r="X340" s="16"/>
    </row>
    <row r="341" ht="15.75" customHeight="1">
      <c r="A341" s="14" t="s">
        <v>17</v>
      </c>
      <c r="B341" s="50">
        <v>1995.0</v>
      </c>
      <c r="C341" s="14" t="s">
        <v>2586</v>
      </c>
      <c r="D341" s="14" t="s">
        <v>2587</v>
      </c>
      <c r="E341" s="156" t="str">
        <f>HYPERLINK("http://dx.doi.org/10.1109/VISUAL.1995.485143","http://dx.doi.org/10.1109/VISUAL.1995.485143")</f>
        <v>http://dx.doi.org/10.1109/VISUAL.1995.485143</v>
      </c>
      <c r="F341" s="50">
        <v>304.0</v>
      </c>
      <c r="G341" s="14" t="s">
        <v>2592</v>
      </c>
      <c r="H341" s="14" t="s">
        <v>28</v>
      </c>
      <c r="I341" s="14"/>
      <c r="J341" s="130" t="s">
        <v>2593</v>
      </c>
      <c r="K341" s="152" t="s">
        <v>2594</v>
      </c>
      <c r="L341" s="20" t="s">
        <v>2595</v>
      </c>
      <c r="M341" s="16"/>
      <c r="N341" s="152" t="s">
        <v>2594</v>
      </c>
      <c r="O341" s="16"/>
      <c r="P341" s="16"/>
      <c r="Q341" s="16"/>
      <c r="R341" s="16"/>
      <c r="S341" s="16"/>
      <c r="T341" s="16"/>
      <c r="U341" s="16"/>
      <c r="V341" s="16"/>
      <c r="W341" s="16"/>
      <c r="X341" s="16"/>
    </row>
    <row r="342" ht="15.75" customHeight="1">
      <c r="A342" s="14" t="s">
        <v>17</v>
      </c>
      <c r="B342" s="50">
        <v>1995.0</v>
      </c>
      <c r="C342" s="14" t="s">
        <v>2596</v>
      </c>
      <c r="D342" s="14" t="s">
        <v>2597</v>
      </c>
      <c r="E342" s="156" t="str">
        <f>HYPERLINK("http://dx.doi.org/10.1109/VISUAL.1995.485144","http://dx.doi.org/10.1109/VISUAL.1995.485144")</f>
        <v>http://dx.doi.org/10.1109/VISUAL.1995.485144</v>
      </c>
      <c r="F342" s="50">
        <v>313.0</v>
      </c>
      <c r="G342" s="54"/>
      <c r="H342" s="14" t="s">
        <v>28</v>
      </c>
      <c r="I342" s="14"/>
      <c r="J342" s="130" t="s">
        <v>2602</v>
      </c>
      <c r="K342" s="152" t="s">
        <v>494</v>
      </c>
      <c r="L342" s="20" t="s">
        <v>2604</v>
      </c>
      <c r="M342" s="16"/>
      <c r="N342" s="130" t="s">
        <v>34872</v>
      </c>
      <c r="O342" s="16"/>
      <c r="P342" s="16"/>
      <c r="Q342" s="16"/>
      <c r="R342" s="16"/>
      <c r="S342" s="16"/>
      <c r="T342" s="16"/>
      <c r="U342" s="16"/>
      <c r="V342" s="16"/>
      <c r="W342" s="16"/>
      <c r="X342" s="16"/>
    </row>
    <row r="343" ht="15.75" customHeight="1">
      <c r="A343" s="14" t="s">
        <v>17</v>
      </c>
      <c r="B343" s="50">
        <v>1995.0</v>
      </c>
      <c r="C343" s="14" t="s">
        <v>2605</v>
      </c>
      <c r="D343" s="14" t="s">
        <v>2606</v>
      </c>
      <c r="E343" s="156" t="str">
        <f>HYPERLINK("http://dx.doi.org/10.1109/VISUAL.1995.485145","http://dx.doi.org/10.1109/VISUAL.1995.485145")</f>
        <v>http://dx.doi.org/10.1109/VISUAL.1995.485145</v>
      </c>
      <c r="F343" s="50">
        <v>321.0</v>
      </c>
      <c r="G343" s="14" t="s">
        <v>2611</v>
      </c>
      <c r="H343" s="14" t="s">
        <v>28</v>
      </c>
      <c r="I343" s="14"/>
      <c r="J343" s="130" t="s">
        <v>2612</v>
      </c>
      <c r="K343" s="152" t="s">
        <v>2613</v>
      </c>
      <c r="L343" s="20" t="s">
        <v>2614</v>
      </c>
      <c r="M343" s="16"/>
      <c r="N343" s="130" t="s">
        <v>38168</v>
      </c>
      <c r="O343" s="16"/>
      <c r="P343" s="16"/>
      <c r="Q343" s="16"/>
      <c r="R343" s="16"/>
      <c r="S343" s="16"/>
      <c r="T343" s="16"/>
      <c r="U343" s="16"/>
      <c r="V343" s="16"/>
      <c r="W343" s="16"/>
      <c r="X343" s="16"/>
    </row>
    <row r="344" ht="15.75" customHeight="1">
      <c r="A344" s="14" t="s">
        <v>17</v>
      </c>
      <c r="B344" s="50">
        <v>1995.0</v>
      </c>
      <c r="C344" s="14" t="s">
        <v>2615</v>
      </c>
      <c r="D344" s="14" t="s">
        <v>2616</v>
      </c>
      <c r="E344" s="156" t="str">
        <f>HYPERLINK("http://dx.doi.org/10.1109/VISUAL.1995.485146","http://dx.doi.org/10.1109/VISUAL.1995.485146")</f>
        <v>http://dx.doi.org/10.1109/VISUAL.1995.485146</v>
      </c>
      <c r="F344" s="50">
        <v>329.0</v>
      </c>
      <c r="G344" s="14" t="s">
        <v>2618</v>
      </c>
      <c r="H344" s="14" t="s">
        <v>28</v>
      </c>
      <c r="I344" s="14"/>
      <c r="J344" s="130" t="s">
        <v>2619</v>
      </c>
      <c r="K344" s="152" t="s">
        <v>1153</v>
      </c>
      <c r="L344" s="20" t="s">
        <v>2621</v>
      </c>
      <c r="M344" s="16"/>
      <c r="N344" s="130" t="s">
        <v>6612</v>
      </c>
      <c r="O344" s="16"/>
      <c r="P344" s="16"/>
      <c r="Q344" s="16"/>
      <c r="R344" s="16"/>
      <c r="S344" s="16"/>
      <c r="T344" s="16"/>
      <c r="U344" s="16"/>
      <c r="V344" s="16"/>
      <c r="W344" s="16"/>
      <c r="X344" s="16"/>
    </row>
    <row r="345" ht="15.75" customHeight="1">
      <c r="A345" s="14" t="s">
        <v>17</v>
      </c>
      <c r="B345" s="50">
        <v>1995.0</v>
      </c>
      <c r="C345" s="14" t="s">
        <v>2624</v>
      </c>
      <c r="D345" s="14" t="s">
        <v>2625</v>
      </c>
      <c r="E345" s="156" t="str">
        <f>HYPERLINK("http://dx.doi.org/10.1109/VISUAL.1995.485147","http://dx.doi.org/10.1109/VISUAL.1995.485147")</f>
        <v>http://dx.doi.org/10.1109/VISUAL.1995.485147</v>
      </c>
      <c r="F345" s="50">
        <v>338.0</v>
      </c>
      <c r="G345" s="14" t="s">
        <v>2627</v>
      </c>
      <c r="H345" s="14" t="s">
        <v>28</v>
      </c>
      <c r="I345" s="14"/>
      <c r="J345" s="130" t="s">
        <v>4074</v>
      </c>
      <c r="K345" s="152" t="s">
        <v>2629</v>
      </c>
      <c r="L345" s="20" t="s">
        <v>1465</v>
      </c>
      <c r="M345" s="16"/>
      <c r="N345" s="130" t="s">
        <v>38183</v>
      </c>
      <c r="O345" s="16"/>
      <c r="P345" s="16"/>
      <c r="Q345" s="16"/>
      <c r="R345" s="16"/>
      <c r="S345" s="16"/>
      <c r="T345" s="16"/>
      <c r="U345" s="16"/>
      <c r="V345" s="16"/>
      <c r="W345" s="16"/>
      <c r="X345" s="16"/>
    </row>
    <row r="346" ht="15.75" customHeight="1">
      <c r="A346" s="14" t="s">
        <v>17</v>
      </c>
      <c r="B346" s="50">
        <v>1995.0</v>
      </c>
      <c r="C346" s="14" t="s">
        <v>2630</v>
      </c>
      <c r="D346" s="14" t="s">
        <v>2631</v>
      </c>
      <c r="E346" s="156" t="str">
        <f>HYPERLINK("http://dx.doi.org/10.1109/VISUAL.1995.485148","http://dx.doi.org/10.1109/VISUAL.1995.485148")</f>
        <v>http://dx.doi.org/10.1109/VISUAL.1995.485148</v>
      </c>
      <c r="F346" s="50">
        <v>342.0</v>
      </c>
      <c r="G346" s="14" t="s">
        <v>2636</v>
      </c>
      <c r="H346" s="14" t="s">
        <v>28</v>
      </c>
      <c r="I346" s="14"/>
      <c r="J346" s="130" t="s">
        <v>2637</v>
      </c>
      <c r="K346" s="152" t="s">
        <v>2638</v>
      </c>
      <c r="L346" s="20"/>
      <c r="M346" s="16"/>
      <c r="N346" s="130" t="s">
        <v>38190</v>
      </c>
      <c r="O346" s="16"/>
      <c r="P346" s="16"/>
      <c r="Q346" s="16"/>
      <c r="R346" s="16"/>
      <c r="S346" s="16"/>
      <c r="T346" s="16"/>
      <c r="U346" s="16"/>
      <c r="V346" s="16"/>
      <c r="W346" s="16"/>
      <c r="X346" s="16"/>
    </row>
    <row r="347" ht="15.75" customHeight="1">
      <c r="A347" s="14" t="s">
        <v>17</v>
      </c>
      <c r="B347" s="50">
        <v>1995.0</v>
      </c>
      <c r="C347" s="14" t="s">
        <v>2639</v>
      </c>
      <c r="D347" s="14" t="s">
        <v>2640</v>
      </c>
      <c r="E347" s="156" t="str">
        <f>HYPERLINK("http://dx.doi.org/10.1109/VISUAL.1995.485149","http://dx.doi.org/10.1109/VISUAL.1995.485149")</f>
        <v>http://dx.doi.org/10.1109/VISUAL.1995.485149</v>
      </c>
      <c r="F347" s="50">
        <v>346.0</v>
      </c>
      <c r="G347" s="50">
        <v>349.0</v>
      </c>
      <c r="H347" s="14" t="s">
        <v>28</v>
      </c>
      <c r="I347" s="14"/>
      <c r="J347" s="130" t="s">
        <v>4087</v>
      </c>
      <c r="K347" s="152" t="s">
        <v>2646</v>
      </c>
      <c r="L347" s="20"/>
      <c r="M347" s="16"/>
      <c r="N347" s="130" t="s">
        <v>38192</v>
      </c>
      <c r="O347" s="16"/>
      <c r="P347" s="16"/>
      <c r="Q347" s="16"/>
      <c r="R347" s="16"/>
      <c r="S347" s="16"/>
      <c r="T347" s="16"/>
      <c r="U347" s="16"/>
      <c r="V347" s="16"/>
      <c r="W347" s="16"/>
      <c r="X347" s="16"/>
    </row>
    <row r="348" ht="15.75" customHeight="1">
      <c r="A348" s="14" t="s">
        <v>17</v>
      </c>
      <c r="B348" s="50">
        <v>1995.0</v>
      </c>
      <c r="C348" s="14" t="s">
        <v>2647</v>
      </c>
      <c r="D348" s="14" t="s">
        <v>2648</v>
      </c>
      <c r="E348" s="156" t="str">
        <f>HYPERLINK("http://dx.doi.org/10.1109/VISUAL.1995.485150","http://dx.doi.org/10.1109/VISUAL.1995.485150")</f>
        <v>http://dx.doi.org/10.1109/VISUAL.1995.485150</v>
      </c>
      <c r="F348" s="50">
        <v>351.0</v>
      </c>
      <c r="G348" s="14" t="s">
        <v>2653</v>
      </c>
      <c r="H348" s="14" t="s">
        <v>28</v>
      </c>
      <c r="I348" s="14"/>
      <c r="J348" s="130" t="s">
        <v>154</v>
      </c>
      <c r="K348" s="152" t="s">
        <v>2654</v>
      </c>
      <c r="L348" s="20"/>
      <c r="M348" s="16"/>
      <c r="N348" s="130" t="s">
        <v>38201</v>
      </c>
      <c r="O348" s="16"/>
      <c r="P348" s="16"/>
      <c r="Q348" s="16"/>
      <c r="R348" s="16"/>
      <c r="S348" s="16"/>
      <c r="T348" s="16"/>
      <c r="U348" s="16"/>
      <c r="V348" s="16"/>
      <c r="W348" s="16"/>
      <c r="X348" s="16"/>
    </row>
    <row r="349" ht="15.75" customHeight="1">
      <c r="A349" s="14" t="s">
        <v>17</v>
      </c>
      <c r="B349" s="50">
        <v>1995.0</v>
      </c>
      <c r="C349" s="14" t="s">
        <v>2655</v>
      </c>
      <c r="D349" s="14" t="s">
        <v>2656</v>
      </c>
      <c r="E349" s="156" t="str">
        <f>HYPERLINK("http://dx.doi.org/10.1109/VISUAL.1995.485151","http://dx.doi.org/10.1109/VISUAL.1995.485151")</f>
        <v>http://dx.doi.org/10.1109/VISUAL.1995.485151</v>
      </c>
      <c r="F349" s="50">
        <v>355.0</v>
      </c>
      <c r="G349" s="14" t="s">
        <v>2661</v>
      </c>
      <c r="H349" s="14" t="s">
        <v>28</v>
      </c>
      <c r="I349" s="14"/>
      <c r="J349" s="130" t="s">
        <v>2662</v>
      </c>
      <c r="K349" s="152" t="s">
        <v>2663</v>
      </c>
      <c r="L349" s="20" t="s">
        <v>1630</v>
      </c>
      <c r="M349" s="16"/>
      <c r="N349" s="152" t="s">
        <v>2663</v>
      </c>
      <c r="O349" s="16"/>
      <c r="P349" s="16"/>
      <c r="Q349" s="16"/>
      <c r="R349" s="16"/>
      <c r="S349" s="16"/>
      <c r="T349" s="16"/>
      <c r="U349" s="16"/>
      <c r="V349" s="16"/>
      <c r="W349" s="16"/>
      <c r="X349" s="16"/>
    </row>
    <row r="350" ht="15.75" customHeight="1">
      <c r="A350" s="14" t="s">
        <v>17</v>
      </c>
      <c r="B350" s="50">
        <v>1995.0</v>
      </c>
      <c r="C350" s="14" t="s">
        <v>2664</v>
      </c>
      <c r="D350" s="14" t="s">
        <v>2665</v>
      </c>
      <c r="E350" s="156" t="str">
        <f>HYPERLINK("http://dx.doi.org/10.1109/VISUAL.1995.485152","http://dx.doi.org/10.1109/VISUAL.1995.485152")</f>
        <v>http://dx.doi.org/10.1109/VISUAL.1995.485152</v>
      </c>
      <c r="F350" s="50">
        <v>359.0</v>
      </c>
      <c r="G350" s="14" t="s">
        <v>2668</v>
      </c>
      <c r="H350" s="14" t="s">
        <v>28</v>
      </c>
      <c r="I350" s="14"/>
      <c r="J350" s="130" t="s">
        <v>2669</v>
      </c>
      <c r="K350" s="152" t="s">
        <v>2670</v>
      </c>
      <c r="L350" s="20"/>
      <c r="M350" s="16"/>
      <c r="N350" s="130" t="s">
        <v>38213</v>
      </c>
      <c r="O350" s="16"/>
      <c r="P350" s="16"/>
      <c r="Q350" s="16"/>
      <c r="R350" s="16"/>
      <c r="S350" s="16"/>
      <c r="T350" s="16"/>
      <c r="U350" s="16"/>
      <c r="V350" s="16"/>
      <c r="W350" s="16"/>
      <c r="X350" s="16"/>
    </row>
    <row r="351" ht="15.75" customHeight="1">
      <c r="A351" s="14" t="s">
        <v>17</v>
      </c>
      <c r="B351" s="50">
        <v>1995.0</v>
      </c>
      <c r="C351" s="14" t="s">
        <v>2671</v>
      </c>
      <c r="D351" s="14" t="s">
        <v>2672</v>
      </c>
      <c r="E351" s="156" t="str">
        <f>HYPERLINK("http://dx.doi.org/10.1109/VISUAL.1995.485153","http://dx.doi.org/10.1109/VISUAL.1995.485153")</f>
        <v>http://dx.doi.org/10.1109/VISUAL.1995.485153</v>
      </c>
      <c r="F351" s="50">
        <v>364.0</v>
      </c>
      <c r="G351" s="14" t="s">
        <v>2676</v>
      </c>
      <c r="H351" s="14" t="s">
        <v>28</v>
      </c>
      <c r="I351" s="14"/>
      <c r="J351" s="130" t="s">
        <v>2677</v>
      </c>
      <c r="K351" s="152" t="s">
        <v>2678</v>
      </c>
      <c r="L351" s="20"/>
      <c r="M351" s="16"/>
      <c r="N351" s="130" t="s">
        <v>38190</v>
      </c>
      <c r="O351" s="16"/>
      <c r="P351" s="16"/>
      <c r="Q351" s="16"/>
      <c r="R351" s="16"/>
      <c r="S351" s="16"/>
      <c r="T351" s="16"/>
      <c r="U351" s="16"/>
      <c r="V351" s="16"/>
      <c r="W351" s="16"/>
      <c r="X351" s="16"/>
    </row>
    <row r="352" ht="15.75" customHeight="1">
      <c r="A352" s="14" t="s">
        <v>17</v>
      </c>
      <c r="B352" s="50">
        <v>1995.0</v>
      </c>
      <c r="C352" s="14" t="s">
        <v>2679</v>
      </c>
      <c r="D352" s="14" t="s">
        <v>2680</v>
      </c>
      <c r="E352" s="156" t="str">
        <f>HYPERLINK("http://dx.doi.org/10.1109/VISUAL.1995.485154","http://dx.doi.org/10.1109/VISUAL.1995.485154")</f>
        <v>http://dx.doi.org/10.1109/VISUAL.1995.485154</v>
      </c>
      <c r="F352" s="50">
        <v>368.0</v>
      </c>
      <c r="G352" s="14" t="s">
        <v>2685</v>
      </c>
      <c r="H352" s="14" t="s">
        <v>28</v>
      </c>
      <c r="I352" s="14"/>
      <c r="J352" s="130" t="s">
        <v>2171</v>
      </c>
      <c r="K352" s="152" t="s">
        <v>2686</v>
      </c>
      <c r="L352" s="20" t="s">
        <v>1161</v>
      </c>
      <c r="M352" s="16"/>
      <c r="N352" s="152" t="s">
        <v>2686</v>
      </c>
      <c r="O352" s="16"/>
      <c r="P352" s="16"/>
      <c r="Q352" s="16"/>
      <c r="R352" s="16"/>
      <c r="S352" s="16"/>
      <c r="T352" s="16"/>
      <c r="U352" s="16"/>
      <c r="V352" s="16"/>
      <c r="W352" s="16"/>
      <c r="X352" s="16"/>
    </row>
    <row r="353" ht="15.75" customHeight="1">
      <c r="A353" s="14" t="s">
        <v>17</v>
      </c>
      <c r="B353" s="50">
        <v>1995.0</v>
      </c>
      <c r="C353" s="14" t="s">
        <v>2687</v>
      </c>
      <c r="D353" s="14" t="s">
        <v>2688</v>
      </c>
      <c r="E353" s="156" t="str">
        <f>HYPERLINK("http://dx.doi.org/10.1109/VISUAL.1995.485155","http://dx.doi.org/10.1109/VISUAL.1995.485155")</f>
        <v>http://dx.doi.org/10.1109/VISUAL.1995.485155</v>
      </c>
      <c r="F353" s="50">
        <v>374.0</v>
      </c>
      <c r="G353" s="14" t="s">
        <v>2690</v>
      </c>
      <c r="H353" s="14" t="s">
        <v>28</v>
      </c>
      <c r="I353" s="14"/>
      <c r="J353" s="130" t="s">
        <v>2691</v>
      </c>
      <c r="K353" s="152" t="s">
        <v>2692</v>
      </c>
      <c r="L353" s="20"/>
      <c r="M353" s="16"/>
      <c r="N353" s="130" t="s">
        <v>38231</v>
      </c>
      <c r="O353" s="16"/>
      <c r="P353" s="16"/>
      <c r="Q353" s="16"/>
      <c r="R353" s="16"/>
      <c r="S353" s="16"/>
      <c r="T353" s="16"/>
      <c r="U353" s="16"/>
      <c r="V353" s="16"/>
      <c r="W353" s="16"/>
      <c r="X353" s="16"/>
    </row>
    <row r="354" ht="15.75" customHeight="1">
      <c r="A354" s="14" t="s">
        <v>17</v>
      </c>
      <c r="B354" s="50">
        <v>1995.0</v>
      </c>
      <c r="C354" s="14" t="s">
        <v>2693</v>
      </c>
      <c r="D354" s="14" t="s">
        <v>2694</v>
      </c>
      <c r="E354" s="156" t="str">
        <f>HYPERLINK("http://dx.doi.org/10.1109/VISUAL.1995.485156","http://dx.doi.org/10.1109/VISUAL.1995.485156")</f>
        <v>http://dx.doi.org/10.1109/VISUAL.1995.485156</v>
      </c>
      <c r="F354" s="50">
        <v>379.0</v>
      </c>
      <c r="G354" s="14" t="s">
        <v>2696</v>
      </c>
      <c r="H354" s="14" t="s">
        <v>28</v>
      </c>
      <c r="I354" s="14"/>
      <c r="J354" s="130" t="s">
        <v>2697</v>
      </c>
      <c r="K354" s="152" t="s">
        <v>2663</v>
      </c>
      <c r="L354" s="20" t="s">
        <v>2698</v>
      </c>
      <c r="M354" s="16"/>
      <c r="N354" s="152" t="s">
        <v>2663</v>
      </c>
      <c r="O354" s="16"/>
      <c r="P354" s="16"/>
      <c r="Q354" s="16"/>
      <c r="R354" s="16"/>
      <c r="S354" s="16"/>
      <c r="T354" s="16"/>
      <c r="U354" s="16"/>
      <c r="V354" s="16"/>
      <c r="W354" s="16"/>
      <c r="X354" s="16"/>
    </row>
    <row r="355" ht="15.75" customHeight="1">
      <c r="A355" s="14" t="s">
        <v>17</v>
      </c>
      <c r="B355" s="50">
        <v>1995.0</v>
      </c>
      <c r="C355" s="14" t="s">
        <v>2699</v>
      </c>
      <c r="D355" s="14" t="s">
        <v>2700</v>
      </c>
      <c r="E355" s="156" t="str">
        <f>HYPERLINK("http://dx.doi.org/10.1109/VISUAL.1995.485157","http://dx.doi.org/10.1109/VISUAL.1995.485157")</f>
        <v>http://dx.doi.org/10.1109/VISUAL.1995.485157</v>
      </c>
      <c r="F355" s="50">
        <v>383.0</v>
      </c>
      <c r="G355" s="14" t="s">
        <v>2702</v>
      </c>
      <c r="H355" s="14" t="s">
        <v>28</v>
      </c>
      <c r="I355" s="14"/>
      <c r="J355" s="130" t="s">
        <v>2703</v>
      </c>
      <c r="K355" s="152" t="s">
        <v>2704</v>
      </c>
      <c r="L355" s="20"/>
      <c r="M355" s="16"/>
      <c r="N355" s="152" t="s">
        <v>2704</v>
      </c>
      <c r="O355" s="16"/>
      <c r="P355" s="16"/>
      <c r="Q355" s="16"/>
      <c r="R355" s="16"/>
      <c r="S355" s="16"/>
      <c r="T355" s="16"/>
      <c r="U355" s="16"/>
      <c r="V355" s="16"/>
      <c r="W355" s="16"/>
      <c r="X355" s="16"/>
    </row>
    <row r="356" ht="15.75" customHeight="1">
      <c r="A356" s="14" t="s">
        <v>17</v>
      </c>
      <c r="B356" s="50">
        <v>1995.0</v>
      </c>
      <c r="C356" s="14" t="s">
        <v>2705</v>
      </c>
      <c r="D356" s="14" t="s">
        <v>2706</v>
      </c>
      <c r="E356" s="156" t="str">
        <f>HYPERLINK("http://dx.doi.org/10.1109/VISUAL.1995.485158","http://dx.doi.org/10.1109/VISUAL.1995.485158")</f>
        <v>http://dx.doi.org/10.1109/VISUAL.1995.485158</v>
      </c>
      <c r="F356" s="50">
        <v>388.0</v>
      </c>
      <c r="G356" s="14" t="s">
        <v>2708</v>
      </c>
      <c r="H356" s="14" t="s">
        <v>28</v>
      </c>
      <c r="I356" s="14"/>
      <c r="J356" s="16" t="s">
        <v>38248</v>
      </c>
      <c r="K356" s="152" t="s">
        <v>2303</v>
      </c>
      <c r="L356" s="20"/>
      <c r="M356" s="16"/>
      <c r="N356" s="130" t="s">
        <v>38249</v>
      </c>
      <c r="O356" s="16"/>
      <c r="P356" s="16"/>
      <c r="Q356" s="16"/>
      <c r="R356" s="16"/>
      <c r="S356" s="16"/>
      <c r="T356" s="16"/>
      <c r="U356" s="16"/>
      <c r="V356" s="16"/>
      <c r="W356" s="16"/>
      <c r="X356" s="16"/>
    </row>
    <row r="357" ht="15.75" customHeight="1">
      <c r="A357" s="14" t="s">
        <v>17</v>
      </c>
      <c r="B357" s="50">
        <v>1995.0</v>
      </c>
      <c r="C357" s="14" t="s">
        <v>2710</v>
      </c>
      <c r="D357" s="14" t="s">
        <v>2711</v>
      </c>
      <c r="E357" s="156" t="str">
        <f>HYPERLINK("http://dx.doi.org/10.1109/VISUAL.1995.485169","http://dx.doi.org/10.1109/VISUAL.1995.485169")</f>
        <v>http://dx.doi.org/10.1109/VISUAL.1995.485169</v>
      </c>
      <c r="F357" s="50">
        <v>393.0</v>
      </c>
      <c r="G357" s="14" t="s">
        <v>2713</v>
      </c>
      <c r="H357" s="14" t="s">
        <v>28</v>
      </c>
      <c r="I357" s="14"/>
      <c r="J357" s="130" t="s">
        <v>2714</v>
      </c>
      <c r="K357" s="152" t="s">
        <v>2715</v>
      </c>
      <c r="L357" s="20"/>
      <c r="M357" s="16"/>
      <c r="N357" s="130" t="s">
        <v>38255</v>
      </c>
      <c r="O357" s="16"/>
      <c r="P357" s="16"/>
      <c r="Q357" s="16"/>
      <c r="R357" s="16"/>
      <c r="S357" s="16"/>
      <c r="T357" s="16"/>
      <c r="U357" s="16"/>
      <c r="V357" s="16"/>
      <c r="W357" s="16"/>
      <c r="X357" s="16"/>
    </row>
    <row r="358" ht="15.75" customHeight="1">
      <c r="A358" s="14" t="s">
        <v>17</v>
      </c>
      <c r="B358" s="50">
        <v>1995.0</v>
      </c>
      <c r="C358" s="14" t="s">
        <v>2716</v>
      </c>
      <c r="D358" s="14" t="s">
        <v>2717</v>
      </c>
      <c r="E358" s="156" t="str">
        <f>HYPERLINK("http://dx.doi.org/10.1109/VISUAL.1995.485170","http://dx.doi.org/10.1109/VISUAL.1995.485170")</f>
        <v>http://dx.doi.org/10.1109/VISUAL.1995.485170</v>
      </c>
      <c r="F358" s="50">
        <v>397.0</v>
      </c>
      <c r="G358" s="14" t="s">
        <v>2719</v>
      </c>
      <c r="H358" s="14" t="s">
        <v>28</v>
      </c>
      <c r="I358" s="14"/>
      <c r="J358" s="130" t="s">
        <v>2720</v>
      </c>
      <c r="K358" s="152" t="s">
        <v>2721</v>
      </c>
      <c r="L358" s="20"/>
      <c r="M358" s="16"/>
      <c r="N358" s="130" t="s">
        <v>38263</v>
      </c>
      <c r="O358" s="16"/>
      <c r="P358" s="16"/>
      <c r="Q358" s="16"/>
      <c r="R358" s="16"/>
      <c r="S358" s="16"/>
      <c r="T358" s="16"/>
      <c r="U358" s="16"/>
      <c r="V358" s="16"/>
      <c r="W358" s="16"/>
      <c r="X358" s="16"/>
    </row>
    <row r="359" ht="15.75" customHeight="1">
      <c r="A359" s="14" t="s">
        <v>17</v>
      </c>
      <c r="B359" s="50">
        <v>1995.0</v>
      </c>
      <c r="C359" s="14" t="s">
        <v>2722</v>
      </c>
      <c r="D359" s="14" t="s">
        <v>2723</v>
      </c>
      <c r="E359" s="156" t="str">
        <f>HYPERLINK("http://dx.doi.org/10.1109/VISUAL.1995.485171","http://dx.doi.org/10.1109/VISUAL.1995.485171")</f>
        <v>http://dx.doi.org/10.1109/VISUAL.1995.485171</v>
      </c>
      <c r="F359" s="50">
        <v>400.0</v>
      </c>
      <c r="G359" s="14" t="s">
        <v>2725</v>
      </c>
      <c r="H359" s="14" t="s">
        <v>28</v>
      </c>
      <c r="I359" s="14"/>
      <c r="J359" s="130" t="s">
        <v>2726</v>
      </c>
      <c r="K359" s="152" t="s">
        <v>815</v>
      </c>
      <c r="L359" s="20"/>
      <c r="M359" s="16"/>
      <c r="N359" s="130" t="s">
        <v>38269</v>
      </c>
      <c r="O359" s="16"/>
      <c r="P359" s="16"/>
      <c r="Q359" s="16"/>
      <c r="R359" s="16"/>
      <c r="S359" s="16"/>
      <c r="T359" s="16"/>
      <c r="U359" s="16"/>
      <c r="V359" s="16"/>
      <c r="W359" s="16"/>
      <c r="X359" s="16"/>
    </row>
    <row r="360" ht="15.75" customHeight="1">
      <c r="A360" s="14" t="s">
        <v>2137</v>
      </c>
      <c r="B360" s="14">
        <v>1996.0</v>
      </c>
      <c r="C360" s="14" t="s">
        <v>2727</v>
      </c>
      <c r="D360" s="14" t="s">
        <v>2728</v>
      </c>
      <c r="E360" s="150" t="s">
        <v>2729</v>
      </c>
      <c r="F360" s="14">
        <v>3.0</v>
      </c>
      <c r="G360" s="14" t="s">
        <v>2730</v>
      </c>
      <c r="H360" s="14" t="s">
        <v>28</v>
      </c>
      <c r="I360" s="14"/>
      <c r="J360" s="130" t="s">
        <v>2731</v>
      </c>
      <c r="K360" s="152" t="s">
        <v>2732</v>
      </c>
      <c r="L360" s="20" t="s">
        <v>2733</v>
      </c>
      <c r="M360" s="174" t="s">
        <v>2734</v>
      </c>
      <c r="N360" s="130" t="s">
        <v>38283</v>
      </c>
      <c r="O360" s="30"/>
      <c r="P360" s="30"/>
      <c r="Q360" s="30"/>
      <c r="R360" s="30"/>
      <c r="S360" s="30"/>
      <c r="T360" s="30"/>
      <c r="U360" s="30"/>
      <c r="V360" s="30"/>
      <c r="W360" s="30"/>
      <c r="X360" s="30"/>
    </row>
    <row r="361" ht="15.75" customHeight="1">
      <c r="A361" s="14" t="s">
        <v>2137</v>
      </c>
      <c r="B361" s="14">
        <v>1996.0</v>
      </c>
      <c r="C361" s="14" t="s">
        <v>2735</v>
      </c>
      <c r="D361" s="14" t="s">
        <v>2736</v>
      </c>
      <c r="E361" s="150" t="s">
        <v>2737</v>
      </c>
      <c r="F361" s="14">
        <v>13.0</v>
      </c>
      <c r="G361" s="14" t="s">
        <v>2738</v>
      </c>
      <c r="H361" s="14" t="s">
        <v>28</v>
      </c>
      <c r="I361" s="14"/>
      <c r="J361" s="130" t="s">
        <v>2739</v>
      </c>
      <c r="K361" s="152" t="s">
        <v>1118</v>
      </c>
      <c r="L361" s="20" t="s">
        <v>162</v>
      </c>
      <c r="M361" s="16"/>
      <c r="N361" s="130" t="s">
        <v>38294</v>
      </c>
      <c r="O361" s="30"/>
      <c r="P361" s="30"/>
      <c r="Q361" s="30"/>
      <c r="R361" s="30"/>
      <c r="S361" s="30"/>
      <c r="T361" s="30"/>
      <c r="U361" s="30"/>
      <c r="V361" s="30"/>
      <c r="W361" s="30"/>
      <c r="X361" s="30"/>
    </row>
    <row r="362" ht="15.75" customHeight="1">
      <c r="A362" s="14" t="s">
        <v>2137</v>
      </c>
      <c r="B362" s="14">
        <v>1996.0</v>
      </c>
      <c r="C362" s="14" t="s">
        <v>2740</v>
      </c>
      <c r="D362" s="14" t="s">
        <v>2741</v>
      </c>
      <c r="E362" s="150" t="s">
        <v>2742</v>
      </c>
      <c r="F362" s="14">
        <v>21.0</v>
      </c>
      <c r="G362" s="14" t="s">
        <v>2743</v>
      </c>
      <c r="H362" s="14" t="s">
        <v>28</v>
      </c>
      <c r="I362" s="14"/>
      <c r="J362" s="130" t="s">
        <v>4199</v>
      </c>
      <c r="K362" s="152" t="s">
        <v>2210</v>
      </c>
      <c r="L362" s="20" t="s">
        <v>2745</v>
      </c>
      <c r="M362" s="174" t="s">
        <v>2746</v>
      </c>
      <c r="N362" s="130" t="s">
        <v>38319</v>
      </c>
      <c r="O362" s="30"/>
      <c r="P362" s="30"/>
      <c r="Q362" s="30"/>
      <c r="R362" s="30"/>
      <c r="S362" s="30"/>
      <c r="T362" s="30"/>
      <c r="U362" s="30"/>
      <c r="V362" s="30"/>
      <c r="W362" s="30"/>
      <c r="X362" s="30"/>
    </row>
    <row r="363" ht="15.75" customHeight="1">
      <c r="A363" s="14" t="s">
        <v>2137</v>
      </c>
      <c r="B363" s="14">
        <v>1996.0</v>
      </c>
      <c r="C363" s="14" t="s">
        <v>2747</v>
      </c>
      <c r="D363" s="14" t="s">
        <v>2748</v>
      </c>
      <c r="E363" s="150" t="s">
        <v>2749</v>
      </c>
      <c r="F363" s="14">
        <v>29.0</v>
      </c>
      <c r="G363" s="14">
        <v>36.0</v>
      </c>
      <c r="H363" s="14" t="s">
        <v>28</v>
      </c>
      <c r="I363" s="14"/>
      <c r="J363" s="130" t="s">
        <v>2750</v>
      </c>
      <c r="K363" s="152" t="s">
        <v>2751</v>
      </c>
      <c r="L363" s="20" t="s">
        <v>2752</v>
      </c>
      <c r="M363" s="174" t="s">
        <v>2753</v>
      </c>
      <c r="N363" s="130" t="s">
        <v>38327</v>
      </c>
      <c r="O363" s="30"/>
      <c r="P363" s="30"/>
      <c r="Q363" s="30"/>
      <c r="R363" s="30"/>
      <c r="S363" s="30"/>
      <c r="T363" s="30"/>
      <c r="U363" s="30"/>
      <c r="V363" s="30"/>
      <c r="W363" s="30"/>
      <c r="X363" s="30"/>
    </row>
    <row r="364" ht="15.75" customHeight="1">
      <c r="A364" s="14" t="s">
        <v>2137</v>
      </c>
      <c r="B364" s="14">
        <v>1996.0</v>
      </c>
      <c r="C364" s="14" t="s">
        <v>2754</v>
      </c>
      <c r="D364" s="14" t="s">
        <v>2755</v>
      </c>
      <c r="E364" s="150" t="s">
        <v>2756</v>
      </c>
      <c r="F364" s="14">
        <v>38.0</v>
      </c>
      <c r="G364" s="14">
        <v>45.0</v>
      </c>
      <c r="H364" s="14" t="s">
        <v>28</v>
      </c>
      <c r="I364" s="14"/>
      <c r="J364" s="130" t="s">
        <v>2757</v>
      </c>
      <c r="K364" s="152" t="s">
        <v>855</v>
      </c>
      <c r="L364" s="20"/>
      <c r="M364" s="16"/>
      <c r="N364" s="130" t="s">
        <v>38009</v>
      </c>
      <c r="O364" s="30"/>
      <c r="P364" s="30"/>
      <c r="Q364" s="30"/>
      <c r="R364" s="30"/>
      <c r="S364" s="30"/>
      <c r="T364" s="30"/>
      <c r="U364" s="30"/>
      <c r="V364" s="30"/>
      <c r="W364" s="30"/>
      <c r="X364" s="30"/>
    </row>
    <row r="365" ht="15.75" customHeight="1">
      <c r="A365" s="14" t="s">
        <v>2137</v>
      </c>
      <c r="B365" s="14">
        <v>1996.0</v>
      </c>
      <c r="C365" s="14" t="s">
        <v>2758</v>
      </c>
      <c r="D365" s="14" t="s">
        <v>2759</v>
      </c>
      <c r="E365" s="150" t="s">
        <v>2760</v>
      </c>
      <c r="F365" s="14">
        <v>46.0</v>
      </c>
      <c r="G365" s="14" t="s">
        <v>2761</v>
      </c>
      <c r="H365" s="14" t="s">
        <v>28</v>
      </c>
      <c r="I365" s="14"/>
      <c r="J365" s="130" t="s">
        <v>38342</v>
      </c>
      <c r="K365" s="152" t="s">
        <v>1802</v>
      </c>
      <c r="L365" s="20"/>
      <c r="M365" s="174" t="s">
        <v>2763</v>
      </c>
      <c r="N365" s="152" t="s">
        <v>1802</v>
      </c>
      <c r="O365" s="30"/>
      <c r="P365" s="30"/>
      <c r="Q365" s="30"/>
      <c r="R365" s="30"/>
      <c r="S365" s="30"/>
      <c r="T365" s="30"/>
      <c r="U365" s="30"/>
      <c r="V365" s="30"/>
      <c r="W365" s="30"/>
      <c r="X365" s="30"/>
    </row>
    <row r="366" ht="15.75" customHeight="1">
      <c r="A366" s="14" t="s">
        <v>2137</v>
      </c>
      <c r="B366" s="14">
        <v>1996.0</v>
      </c>
      <c r="C366" s="14" t="s">
        <v>2764</v>
      </c>
      <c r="D366" s="14" t="s">
        <v>2765</v>
      </c>
      <c r="E366" s="150" t="s">
        <v>2766</v>
      </c>
      <c r="F366" s="14">
        <v>54.0</v>
      </c>
      <c r="G366" s="14" t="s">
        <v>2767</v>
      </c>
      <c r="H366" s="14" t="s">
        <v>28</v>
      </c>
      <c r="I366" s="14"/>
      <c r="J366" s="130" t="s">
        <v>2768</v>
      </c>
      <c r="K366" s="152" t="s">
        <v>2769</v>
      </c>
      <c r="L366" s="20"/>
      <c r="M366" s="16"/>
      <c r="N366" s="152" t="s">
        <v>2769</v>
      </c>
      <c r="O366" s="30"/>
      <c r="P366" s="30"/>
      <c r="Q366" s="30"/>
      <c r="R366" s="30"/>
      <c r="S366" s="30"/>
      <c r="T366" s="30"/>
      <c r="U366" s="30"/>
      <c r="V366" s="30"/>
      <c r="W366" s="30"/>
      <c r="X366" s="30"/>
    </row>
    <row r="367" ht="15.75" customHeight="1">
      <c r="A367" s="14" t="s">
        <v>2137</v>
      </c>
      <c r="B367" s="14">
        <v>1996.0</v>
      </c>
      <c r="C367" s="14" t="s">
        <v>2770</v>
      </c>
      <c r="D367" s="14" t="s">
        <v>2771</v>
      </c>
      <c r="E367" s="150" t="s">
        <v>2772</v>
      </c>
      <c r="F367" s="14">
        <v>62.0</v>
      </c>
      <c r="G367" s="14" t="s">
        <v>2773</v>
      </c>
      <c r="H367" s="14" t="s">
        <v>21</v>
      </c>
      <c r="I367" s="14"/>
      <c r="J367" s="130" t="s">
        <v>2774</v>
      </c>
      <c r="K367" s="152" t="s">
        <v>2775</v>
      </c>
      <c r="L367" s="20"/>
      <c r="M367" s="16"/>
      <c r="N367" s="152" t="s">
        <v>2775</v>
      </c>
      <c r="O367" s="30"/>
      <c r="P367" s="30"/>
      <c r="Q367" s="30"/>
      <c r="R367" s="30"/>
      <c r="S367" s="30"/>
      <c r="T367" s="30"/>
      <c r="U367" s="30"/>
      <c r="V367" s="30"/>
      <c r="W367" s="30"/>
      <c r="X367" s="30"/>
    </row>
    <row r="368" ht="15.75" customHeight="1">
      <c r="A368" s="14" t="s">
        <v>2137</v>
      </c>
      <c r="B368" s="14">
        <v>1996.0</v>
      </c>
      <c r="C368" s="14" t="s">
        <v>2776</v>
      </c>
      <c r="D368" s="14" t="s">
        <v>2777</v>
      </c>
      <c r="E368" s="150" t="s">
        <v>2778</v>
      </c>
      <c r="F368" s="14">
        <v>64.0</v>
      </c>
      <c r="G368" s="14" t="s">
        <v>2779</v>
      </c>
      <c r="H368" s="14" t="s">
        <v>21</v>
      </c>
      <c r="I368" s="14"/>
      <c r="J368" s="130" t="s">
        <v>2780</v>
      </c>
      <c r="K368" s="152" t="s">
        <v>2781</v>
      </c>
      <c r="L368" s="20"/>
      <c r="M368" s="16"/>
      <c r="N368" s="130" t="s">
        <v>38349</v>
      </c>
      <c r="O368" s="30"/>
      <c r="P368" s="30"/>
      <c r="Q368" s="30"/>
      <c r="R368" s="30"/>
      <c r="S368" s="30"/>
      <c r="T368" s="30"/>
      <c r="U368" s="30"/>
      <c r="V368" s="30"/>
      <c r="W368" s="30"/>
      <c r="X368" s="30"/>
    </row>
    <row r="369" ht="15.75" customHeight="1">
      <c r="A369" s="14" t="s">
        <v>2137</v>
      </c>
      <c r="B369" s="14">
        <v>1996.0</v>
      </c>
      <c r="C369" s="14" t="s">
        <v>2782</v>
      </c>
      <c r="D369" s="14" t="s">
        <v>2783</v>
      </c>
      <c r="E369" s="150" t="s">
        <v>2784</v>
      </c>
      <c r="F369" s="14">
        <v>66.0</v>
      </c>
      <c r="G369" s="14" t="s">
        <v>2785</v>
      </c>
      <c r="H369" s="14" t="s">
        <v>21</v>
      </c>
      <c r="I369" s="14"/>
      <c r="J369" s="130" t="s">
        <v>2786</v>
      </c>
      <c r="K369" s="152" t="s">
        <v>2787</v>
      </c>
      <c r="L369" s="20"/>
      <c r="M369" s="16"/>
      <c r="N369" s="130" t="s">
        <v>38352</v>
      </c>
      <c r="O369" s="30"/>
      <c r="P369" s="30"/>
      <c r="Q369" s="30"/>
      <c r="R369" s="30"/>
      <c r="S369" s="30"/>
      <c r="T369" s="30"/>
      <c r="U369" s="30"/>
      <c r="V369" s="30"/>
      <c r="W369" s="30"/>
      <c r="X369" s="30"/>
    </row>
    <row r="370" ht="15.75" customHeight="1">
      <c r="A370" s="14" t="s">
        <v>2137</v>
      </c>
      <c r="B370" s="14">
        <v>1996.0</v>
      </c>
      <c r="C370" s="14" t="s">
        <v>2788</v>
      </c>
      <c r="D370" s="14" t="s">
        <v>2789</v>
      </c>
      <c r="E370" s="150" t="s">
        <v>2790</v>
      </c>
      <c r="F370" s="14">
        <v>68.0</v>
      </c>
      <c r="G370" s="14" t="s">
        <v>2791</v>
      </c>
      <c r="H370" s="14" t="s">
        <v>21</v>
      </c>
      <c r="I370" s="14"/>
      <c r="J370" s="130" t="s">
        <v>2792</v>
      </c>
      <c r="K370" s="152" t="s">
        <v>2793</v>
      </c>
      <c r="L370" s="20"/>
      <c r="M370" s="16"/>
      <c r="N370" s="130" t="s">
        <v>38367</v>
      </c>
      <c r="O370" s="30"/>
      <c r="P370" s="30"/>
      <c r="Q370" s="30"/>
      <c r="R370" s="30"/>
      <c r="S370" s="30"/>
      <c r="T370" s="30"/>
      <c r="U370" s="30"/>
      <c r="V370" s="30"/>
      <c r="W370" s="30"/>
      <c r="X370" s="30"/>
    </row>
    <row r="371" ht="15.75" customHeight="1">
      <c r="A371" s="14" t="s">
        <v>2137</v>
      </c>
      <c r="B371" s="14">
        <v>1996.0</v>
      </c>
      <c r="C371" s="14" t="s">
        <v>2794</v>
      </c>
      <c r="D371" s="14" t="s">
        <v>2795</v>
      </c>
      <c r="E371" s="150" t="s">
        <v>2796</v>
      </c>
      <c r="F371" s="14">
        <v>70.0</v>
      </c>
      <c r="G371" s="14" t="s">
        <v>2797</v>
      </c>
      <c r="H371" s="14" t="s">
        <v>21</v>
      </c>
      <c r="I371" s="14"/>
      <c r="J371" s="130" t="s">
        <v>2798</v>
      </c>
      <c r="K371" s="152" t="s">
        <v>66</v>
      </c>
      <c r="L371" s="20"/>
      <c r="M371" s="16"/>
      <c r="N371" s="130" t="s">
        <v>34682</v>
      </c>
      <c r="O371" s="30"/>
      <c r="P371" s="30"/>
      <c r="Q371" s="30"/>
      <c r="R371" s="30"/>
      <c r="S371" s="30"/>
      <c r="T371" s="30"/>
      <c r="U371" s="30"/>
      <c r="V371" s="30"/>
      <c r="W371" s="30"/>
      <c r="X371" s="30"/>
    </row>
    <row r="372" ht="15.75" customHeight="1">
      <c r="A372" s="14" t="s">
        <v>2137</v>
      </c>
      <c r="B372" s="14">
        <v>1996.0</v>
      </c>
      <c r="C372" s="14" t="s">
        <v>2799</v>
      </c>
      <c r="D372" s="14" t="s">
        <v>2800</v>
      </c>
      <c r="E372" s="150" t="s">
        <v>2801</v>
      </c>
      <c r="F372" s="14">
        <v>72.0</v>
      </c>
      <c r="G372" s="14" t="s">
        <v>2802</v>
      </c>
      <c r="H372" s="14" t="s">
        <v>21</v>
      </c>
      <c r="I372" s="14"/>
      <c r="J372" s="130" t="s">
        <v>2803</v>
      </c>
      <c r="K372" s="152" t="s">
        <v>2804</v>
      </c>
      <c r="L372" s="20"/>
      <c r="M372" s="16"/>
      <c r="N372" s="152" t="s">
        <v>2804</v>
      </c>
      <c r="O372" s="30"/>
      <c r="P372" s="30"/>
      <c r="Q372" s="30"/>
      <c r="R372" s="30"/>
      <c r="S372" s="30"/>
      <c r="T372" s="30"/>
      <c r="U372" s="30"/>
      <c r="V372" s="30"/>
      <c r="W372" s="30"/>
      <c r="X372" s="30"/>
    </row>
    <row r="373" ht="15.75" customHeight="1">
      <c r="A373" s="14" t="s">
        <v>2137</v>
      </c>
      <c r="B373" s="14">
        <v>1996.0</v>
      </c>
      <c r="C373" s="14" t="s">
        <v>2805</v>
      </c>
      <c r="D373" s="14" t="s">
        <v>2806</v>
      </c>
      <c r="E373" s="150" t="s">
        <v>2807</v>
      </c>
      <c r="F373" s="14">
        <v>74.0</v>
      </c>
      <c r="G373" s="14" t="s">
        <v>2808</v>
      </c>
      <c r="H373" s="14" t="s">
        <v>21</v>
      </c>
      <c r="I373" s="14"/>
      <c r="J373" s="130" t="s">
        <v>2809</v>
      </c>
      <c r="K373" s="152" t="s">
        <v>2810</v>
      </c>
      <c r="L373" s="20"/>
      <c r="M373" s="16"/>
      <c r="N373" s="130" t="s">
        <v>38368</v>
      </c>
      <c r="O373" s="30"/>
      <c r="P373" s="30"/>
      <c r="Q373" s="30"/>
      <c r="R373" s="30"/>
      <c r="S373" s="30"/>
      <c r="T373" s="30"/>
      <c r="U373" s="30"/>
      <c r="V373" s="30"/>
      <c r="W373" s="30"/>
      <c r="X373" s="30"/>
    </row>
    <row r="374" ht="18.75" customHeight="1">
      <c r="A374" s="14" t="s">
        <v>2137</v>
      </c>
      <c r="B374" s="14">
        <v>1996.0</v>
      </c>
      <c r="C374" s="14" t="s">
        <v>2811</v>
      </c>
      <c r="D374" s="14" t="s">
        <v>2812</v>
      </c>
      <c r="E374" s="150" t="s">
        <v>2813</v>
      </c>
      <c r="F374" s="14">
        <v>77.0</v>
      </c>
      <c r="G374" s="14" t="s">
        <v>2814</v>
      </c>
      <c r="H374" s="14" t="s">
        <v>28</v>
      </c>
      <c r="I374" s="14"/>
      <c r="J374" s="130" t="s">
        <v>2815</v>
      </c>
      <c r="K374" s="152" t="s">
        <v>2816</v>
      </c>
      <c r="L374" s="20" t="s">
        <v>2817</v>
      </c>
      <c r="M374" s="16"/>
      <c r="N374" s="152" t="s">
        <v>2816</v>
      </c>
      <c r="O374" s="30"/>
      <c r="P374" s="30"/>
      <c r="Q374" s="30"/>
      <c r="R374" s="30"/>
      <c r="S374" s="30"/>
      <c r="T374" s="30"/>
      <c r="U374" s="30"/>
      <c r="V374" s="30"/>
      <c r="W374" s="30"/>
      <c r="X374" s="30"/>
    </row>
    <row r="375" ht="15.75" customHeight="1">
      <c r="A375" s="14" t="s">
        <v>2137</v>
      </c>
      <c r="B375" s="14">
        <v>1996.0</v>
      </c>
      <c r="C375" s="14" t="s">
        <v>2818</v>
      </c>
      <c r="D375" s="14" t="s">
        <v>2819</v>
      </c>
      <c r="E375" s="150" t="s">
        <v>2820</v>
      </c>
      <c r="F375" s="14">
        <v>85.0</v>
      </c>
      <c r="G375" s="14" t="s">
        <v>2821</v>
      </c>
      <c r="H375" s="14" t="s">
        <v>28</v>
      </c>
      <c r="I375" s="14"/>
      <c r="J375" s="130" t="s">
        <v>2822</v>
      </c>
      <c r="K375" s="152" t="s">
        <v>2823</v>
      </c>
      <c r="L375" s="20" t="s">
        <v>2260</v>
      </c>
      <c r="M375" s="16"/>
      <c r="N375" s="130" t="s">
        <v>38383</v>
      </c>
      <c r="O375" s="30"/>
      <c r="P375" s="30"/>
      <c r="Q375" s="30"/>
      <c r="R375" s="30"/>
      <c r="S375" s="30"/>
      <c r="T375" s="30"/>
      <c r="U375" s="30"/>
      <c r="V375" s="30"/>
      <c r="W375" s="30"/>
      <c r="X375" s="30"/>
    </row>
    <row r="376" ht="15.75" customHeight="1">
      <c r="A376" s="14" t="s">
        <v>2137</v>
      </c>
      <c r="B376" s="14">
        <v>1996.0</v>
      </c>
      <c r="C376" s="14" t="s">
        <v>2824</v>
      </c>
      <c r="D376" s="14" t="s">
        <v>2825</v>
      </c>
      <c r="E376" s="150" t="s">
        <v>2826</v>
      </c>
      <c r="F376" s="14">
        <v>93.0</v>
      </c>
      <c r="G376" s="14" t="s">
        <v>2827</v>
      </c>
      <c r="H376" s="14" t="s">
        <v>28</v>
      </c>
      <c r="I376" s="14"/>
      <c r="J376" s="130" t="s">
        <v>2828</v>
      </c>
      <c r="K376" s="152" t="s">
        <v>2829</v>
      </c>
      <c r="L376" s="20"/>
      <c r="M376" s="16"/>
      <c r="N376" s="152" t="s">
        <v>2829</v>
      </c>
      <c r="O376" s="30"/>
      <c r="P376" s="30"/>
      <c r="Q376" s="30"/>
      <c r="R376" s="30"/>
      <c r="S376" s="30"/>
      <c r="T376" s="30"/>
      <c r="U376" s="30"/>
      <c r="V376" s="30"/>
      <c r="W376" s="30"/>
      <c r="X376" s="30"/>
    </row>
    <row r="377" ht="15.75" customHeight="1">
      <c r="A377" s="14" t="s">
        <v>2137</v>
      </c>
      <c r="B377" s="14">
        <v>1996.0</v>
      </c>
      <c r="C377" s="14" t="s">
        <v>2830</v>
      </c>
      <c r="D377" s="14" t="s">
        <v>2831</v>
      </c>
      <c r="E377" s="150" t="s">
        <v>2832</v>
      </c>
      <c r="F377" s="14">
        <v>100.0</v>
      </c>
      <c r="G377" s="14" t="s">
        <v>2833</v>
      </c>
      <c r="H377" s="14" t="s">
        <v>28</v>
      </c>
      <c r="I377" s="14"/>
      <c r="J377" s="130" t="s">
        <v>2834</v>
      </c>
      <c r="K377" s="152" t="s">
        <v>2835</v>
      </c>
      <c r="L377" s="20"/>
      <c r="M377" s="16"/>
      <c r="N377" s="130" t="s">
        <v>38396</v>
      </c>
      <c r="O377" s="30"/>
      <c r="P377" s="30"/>
      <c r="Q377" s="30"/>
      <c r="R377" s="30"/>
      <c r="S377" s="30"/>
      <c r="T377" s="30"/>
      <c r="U377" s="30"/>
      <c r="V377" s="30"/>
      <c r="W377" s="30"/>
      <c r="X377" s="30"/>
    </row>
    <row r="378" ht="15.75" customHeight="1">
      <c r="A378" s="14" t="s">
        <v>2137</v>
      </c>
      <c r="B378" s="14">
        <v>1996.0</v>
      </c>
      <c r="C378" s="14" t="s">
        <v>2836</v>
      </c>
      <c r="D378" s="14" t="s">
        <v>2837</v>
      </c>
      <c r="E378" s="150" t="s">
        <v>2838</v>
      </c>
      <c r="F378" s="14">
        <v>108.0</v>
      </c>
      <c r="G378" s="14" t="s">
        <v>2839</v>
      </c>
      <c r="H378" s="14" t="s">
        <v>28</v>
      </c>
      <c r="I378" s="14"/>
      <c r="J378" s="130" t="s">
        <v>2840</v>
      </c>
      <c r="K378" s="152" t="s">
        <v>2841</v>
      </c>
      <c r="L378" s="20" t="s">
        <v>809</v>
      </c>
      <c r="M378" s="16"/>
      <c r="N378" s="130" t="s">
        <v>38417</v>
      </c>
      <c r="O378" s="30"/>
      <c r="P378" s="30"/>
      <c r="Q378" s="30"/>
      <c r="R378" s="30"/>
      <c r="S378" s="30"/>
      <c r="T378" s="30"/>
      <c r="U378" s="30"/>
      <c r="V378" s="30"/>
      <c r="W378" s="30"/>
      <c r="X378" s="30"/>
    </row>
    <row r="379" ht="15.75" customHeight="1">
      <c r="A379" s="14" t="s">
        <v>17</v>
      </c>
      <c r="B379" s="14">
        <v>1996.0</v>
      </c>
      <c r="C379" s="14" t="s">
        <v>2842</v>
      </c>
      <c r="D379" s="14" t="s">
        <v>2843</v>
      </c>
      <c r="E379" s="150" t="s">
        <v>2844</v>
      </c>
      <c r="F379" s="14">
        <v>21.0</v>
      </c>
      <c r="G379" s="14">
        <v>28.0</v>
      </c>
      <c r="H379" s="14" t="s">
        <v>28</v>
      </c>
      <c r="I379" s="14"/>
      <c r="J379" s="130" t="s">
        <v>2845</v>
      </c>
      <c r="K379" s="152" t="s">
        <v>2846</v>
      </c>
      <c r="L379" s="20"/>
      <c r="M379" s="174" t="s">
        <v>2847</v>
      </c>
      <c r="N379" s="130" t="s">
        <v>38418</v>
      </c>
      <c r="O379" s="30"/>
      <c r="P379" s="30"/>
      <c r="Q379" s="30"/>
      <c r="R379" s="30"/>
      <c r="S379" s="30"/>
      <c r="T379" s="30"/>
      <c r="U379" s="30"/>
      <c r="V379" s="30"/>
      <c r="W379" s="30"/>
      <c r="X379" s="30"/>
    </row>
    <row r="380" ht="15.75" customHeight="1">
      <c r="A380" s="14" t="s">
        <v>17</v>
      </c>
      <c r="B380" s="14">
        <v>1996.0</v>
      </c>
      <c r="C380" s="14" t="s">
        <v>2848</v>
      </c>
      <c r="D380" s="14" t="s">
        <v>2849</v>
      </c>
      <c r="E380" s="150" t="s">
        <v>2850</v>
      </c>
      <c r="F380" s="14">
        <v>29.0</v>
      </c>
      <c r="G380" s="14">
        <v>35.0</v>
      </c>
      <c r="H380" s="14" t="s">
        <v>28</v>
      </c>
      <c r="I380" s="14"/>
      <c r="J380" s="130" t="s">
        <v>2851</v>
      </c>
      <c r="K380" s="152" t="s">
        <v>2852</v>
      </c>
      <c r="L380" s="20"/>
      <c r="M380" s="16"/>
      <c r="N380" s="130" t="s">
        <v>38419</v>
      </c>
      <c r="O380" s="30"/>
      <c r="P380" s="30"/>
      <c r="Q380" s="30"/>
      <c r="R380" s="30"/>
      <c r="S380" s="30"/>
      <c r="T380" s="30"/>
      <c r="U380" s="30"/>
      <c r="V380" s="30"/>
      <c r="W380" s="30"/>
      <c r="X380" s="30"/>
    </row>
    <row r="381" ht="15.75" customHeight="1">
      <c r="A381" s="14" t="s">
        <v>17</v>
      </c>
      <c r="B381" s="14">
        <v>1996.0</v>
      </c>
      <c r="C381" s="14" t="s">
        <v>2853</v>
      </c>
      <c r="D381" s="14" t="s">
        <v>2854</v>
      </c>
      <c r="E381" s="150" t="s">
        <v>2855</v>
      </c>
      <c r="F381" s="14">
        <v>37.0</v>
      </c>
      <c r="G381" s="14">
        <v>42.0</v>
      </c>
      <c r="H381" s="14" t="s">
        <v>28</v>
      </c>
      <c r="I381" s="14"/>
      <c r="J381" s="130" t="s">
        <v>2856</v>
      </c>
      <c r="K381" s="152" t="s">
        <v>2857</v>
      </c>
      <c r="L381" s="20"/>
      <c r="M381" s="16"/>
      <c r="N381" s="130" t="s">
        <v>38420</v>
      </c>
      <c r="O381" s="30"/>
      <c r="P381" s="30"/>
      <c r="Q381" s="30"/>
      <c r="R381" s="30"/>
      <c r="S381" s="30"/>
      <c r="T381" s="30"/>
      <c r="U381" s="30"/>
      <c r="V381" s="30"/>
      <c r="W381" s="30"/>
      <c r="X381" s="30"/>
    </row>
    <row r="382" ht="15.75" customHeight="1">
      <c r="A382" s="14" t="s">
        <v>17</v>
      </c>
      <c r="B382" s="14">
        <v>1996.0</v>
      </c>
      <c r="C382" s="14" t="s">
        <v>2858</v>
      </c>
      <c r="D382" s="14" t="s">
        <v>2859</v>
      </c>
      <c r="E382" s="150" t="s">
        <v>2860</v>
      </c>
      <c r="F382" s="14">
        <v>43.0</v>
      </c>
      <c r="G382" s="14">
        <v>48.0</v>
      </c>
      <c r="H382" s="14" t="s">
        <v>28</v>
      </c>
      <c r="I382" s="14"/>
      <c r="J382" s="130" t="s">
        <v>2861</v>
      </c>
      <c r="K382" s="152" t="s">
        <v>2862</v>
      </c>
      <c r="L382" s="20"/>
      <c r="M382" s="16"/>
      <c r="N382" s="130" t="s">
        <v>38421</v>
      </c>
      <c r="O382" s="30"/>
      <c r="P382" s="30"/>
      <c r="Q382" s="30"/>
      <c r="R382" s="30"/>
      <c r="S382" s="30"/>
      <c r="T382" s="30"/>
      <c r="U382" s="30"/>
      <c r="V382" s="30"/>
      <c r="W382" s="30"/>
      <c r="X382" s="30"/>
    </row>
    <row r="383" ht="15.75" customHeight="1">
      <c r="A383" s="14" t="s">
        <v>17</v>
      </c>
      <c r="B383" s="14">
        <v>1996.0</v>
      </c>
      <c r="C383" s="14" t="s">
        <v>2863</v>
      </c>
      <c r="D383" s="14" t="s">
        <v>2864</v>
      </c>
      <c r="E383" s="150" t="s">
        <v>2865</v>
      </c>
      <c r="F383" s="14">
        <v>49.0</v>
      </c>
      <c r="G383" s="14">
        <v>56.0</v>
      </c>
      <c r="H383" s="14" t="s">
        <v>28</v>
      </c>
      <c r="I383" s="14"/>
      <c r="J383" s="130" t="s">
        <v>1460</v>
      </c>
      <c r="K383" s="152" t="s">
        <v>66</v>
      </c>
      <c r="L383" s="20" t="s">
        <v>2115</v>
      </c>
      <c r="M383" s="16"/>
      <c r="N383" s="130" t="s">
        <v>34682</v>
      </c>
      <c r="O383" s="30"/>
      <c r="P383" s="30"/>
      <c r="Q383" s="30"/>
      <c r="R383" s="30"/>
      <c r="S383" s="30"/>
      <c r="T383" s="30"/>
      <c r="U383" s="30"/>
      <c r="V383" s="30"/>
      <c r="W383" s="30"/>
      <c r="X383" s="30"/>
    </row>
    <row r="384" ht="15.75" customHeight="1">
      <c r="A384" s="14" t="s">
        <v>17</v>
      </c>
      <c r="B384" s="14">
        <v>1996.0</v>
      </c>
      <c r="C384" s="14" t="s">
        <v>2866</v>
      </c>
      <c r="D384" s="14" t="s">
        <v>2867</v>
      </c>
      <c r="E384" s="150" t="s">
        <v>2868</v>
      </c>
      <c r="F384" s="14">
        <v>57.0</v>
      </c>
      <c r="G384" s="14">
        <v>63.0</v>
      </c>
      <c r="H384" s="14" t="s">
        <v>28</v>
      </c>
      <c r="I384" s="14"/>
      <c r="J384" s="130" t="s">
        <v>2869</v>
      </c>
      <c r="K384" s="152" t="s">
        <v>2870</v>
      </c>
      <c r="L384" s="20" t="s">
        <v>2871</v>
      </c>
      <c r="M384" s="174" t="s">
        <v>2872</v>
      </c>
      <c r="N384" s="130" t="s">
        <v>36234</v>
      </c>
      <c r="O384" s="30"/>
      <c r="P384" s="30"/>
      <c r="Q384" s="30"/>
      <c r="R384" s="30"/>
      <c r="S384" s="30"/>
      <c r="T384" s="30"/>
      <c r="U384" s="30"/>
      <c r="V384" s="30"/>
      <c r="W384" s="30"/>
      <c r="X384" s="30"/>
    </row>
    <row r="385" ht="15.75" customHeight="1">
      <c r="A385" s="14" t="s">
        <v>17</v>
      </c>
      <c r="B385" s="14">
        <v>1996.0</v>
      </c>
      <c r="C385" s="14" t="s">
        <v>2873</v>
      </c>
      <c r="D385" s="67" t="s">
        <v>2874</v>
      </c>
      <c r="E385" s="194" t="str">
        <f>HYPERLINK("http://doi.ieeecomputersociety.org/10.1109/VISUAL.1996.567608","http://doi.ieeecomputersociety.org/10.1109/VISUAL.1996.567608")</f>
        <v>http://doi.ieeecomputersociety.org/10.1109/VISUAL.1996.567608</v>
      </c>
      <c r="F385" s="50">
        <v>65.0</v>
      </c>
      <c r="G385" s="50">
        <v>72.0</v>
      </c>
      <c r="H385" s="14" t="s">
        <v>28</v>
      </c>
      <c r="I385" s="14"/>
      <c r="J385" s="130" t="s">
        <v>2876</v>
      </c>
      <c r="K385" s="152" t="s">
        <v>2877</v>
      </c>
      <c r="L385" s="20" t="s">
        <v>2878</v>
      </c>
      <c r="M385" s="54"/>
      <c r="N385" s="152" t="s">
        <v>2877</v>
      </c>
      <c r="O385" s="30"/>
      <c r="P385" s="30"/>
      <c r="Q385" s="30"/>
      <c r="R385" s="30"/>
      <c r="S385" s="30"/>
      <c r="T385" s="30"/>
      <c r="U385" s="30"/>
      <c r="V385" s="30"/>
      <c r="W385" s="30"/>
      <c r="X385" s="30"/>
    </row>
    <row r="386" ht="15.75" customHeight="1">
      <c r="A386" s="14" t="s">
        <v>17</v>
      </c>
      <c r="B386" s="14">
        <v>1996.0</v>
      </c>
      <c r="C386" s="14" t="s">
        <v>2879</v>
      </c>
      <c r="D386" s="14" t="s">
        <v>2880</v>
      </c>
      <c r="E386" s="150" t="s">
        <v>2881</v>
      </c>
      <c r="F386" s="14">
        <v>73.0</v>
      </c>
      <c r="G386" s="14">
        <v>80.0</v>
      </c>
      <c r="H386" s="14" t="s">
        <v>28</v>
      </c>
      <c r="I386" s="14"/>
      <c r="J386" s="130" t="s">
        <v>2882</v>
      </c>
      <c r="K386" s="152" t="s">
        <v>2883</v>
      </c>
      <c r="L386" s="20" t="s">
        <v>2067</v>
      </c>
      <c r="M386" s="174" t="s">
        <v>2884</v>
      </c>
      <c r="N386" s="130" t="s">
        <v>38422</v>
      </c>
      <c r="O386" s="30"/>
      <c r="P386" s="30"/>
      <c r="Q386" s="30"/>
      <c r="R386" s="30"/>
      <c r="S386" s="30"/>
      <c r="T386" s="30"/>
      <c r="U386" s="30"/>
      <c r="V386" s="30"/>
      <c r="W386" s="30"/>
      <c r="X386" s="30"/>
    </row>
    <row r="387" ht="15.75" customHeight="1">
      <c r="A387" s="14" t="s">
        <v>17</v>
      </c>
      <c r="B387" s="14">
        <v>1996.0</v>
      </c>
      <c r="C387" s="14" t="s">
        <v>2885</v>
      </c>
      <c r="D387" s="14" t="s">
        <v>2886</v>
      </c>
      <c r="E387" s="150" t="s">
        <v>2887</v>
      </c>
      <c r="F387" s="14">
        <v>81.0</v>
      </c>
      <c r="G387" s="14">
        <v>86.0</v>
      </c>
      <c r="H387" s="14" t="s">
        <v>28</v>
      </c>
      <c r="I387" s="14"/>
      <c r="J387" s="130" t="s">
        <v>2888</v>
      </c>
      <c r="K387" s="152" t="s">
        <v>2889</v>
      </c>
      <c r="L387" s="20" t="s">
        <v>2130</v>
      </c>
      <c r="M387" s="16"/>
      <c r="N387" s="130" t="s">
        <v>38423</v>
      </c>
      <c r="O387" s="30"/>
      <c r="P387" s="30"/>
      <c r="Q387" s="30"/>
      <c r="R387" s="30"/>
      <c r="S387" s="30"/>
      <c r="T387" s="30"/>
      <c r="U387" s="30"/>
      <c r="V387" s="30"/>
      <c r="W387" s="30"/>
      <c r="X387" s="30"/>
    </row>
    <row r="388" ht="15.75" customHeight="1">
      <c r="A388" s="14" t="s">
        <v>17</v>
      </c>
      <c r="B388" s="14">
        <v>1996.0</v>
      </c>
      <c r="C388" s="14" t="s">
        <v>2891</v>
      </c>
      <c r="D388" s="14" t="s">
        <v>2892</v>
      </c>
      <c r="E388" s="150" t="s">
        <v>2895</v>
      </c>
      <c r="F388" s="14">
        <v>87.0</v>
      </c>
      <c r="G388" s="14">
        <v>92.0</v>
      </c>
      <c r="H388" s="14" t="s">
        <v>28</v>
      </c>
      <c r="I388" s="14"/>
      <c r="J388" s="130" t="s">
        <v>2896</v>
      </c>
      <c r="K388" s="152" t="s">
        <v>2897</v>
      </c>
      <c r="L388" s="20" t="s">
        <v>2204</v>
      </c>
      <c r="M388" s="174" t="s">
        <v>2898</v>
      </c>
      <c r="N388" s="130" t="s">
        <v>38424</v>
      </c>
      <c r="O388" s="30"/>
      <c r="P388" s="30"/>
      <c r="Q388" s="30"/>
      <c r="R388" s="30"/>
      <c r="S388" s="30"/>
      <c r="T388" s="30"/>
      <c r="U388" s="30"/>
      <c r="V388" s="30"/>
      <c r="W388" s="30"/>
      <c r="X388" s="30"/>
    </row>
    <row r="389" ht="15.75" customHeight="1">
      <c r="A389" s="14" t="s">
        <v>17</v>
      </c>
      <c r="B389" s="50">
        <v>1996.0</v>
      </c>
      <c r="C389" s="14" t="s">
        <v>2899</v>
      </c>
      <c r="D389" s="67" t="s">
        <v>2900</v>
      </c>
      <c r="E389" s="194" t="s">
        <v>2901</v>
      </c>
      <c r="F389" s="50">
        <v>93.0</v>
      </c>
      <c r="G389" s="50">
        <v>100.0</v>
      </c>
      <c r="H389" s="14" t="s">
        <v>28</v>
      </c>
      <c r="I389" s="14"/>
      <c r="J389" s="130" t="s">
        <v>2903</v>
      </c>
      <c r="K389" s="152"/>
      <c r="L389" s="20" t="s">
        <v>2905</v>
      </c>
      <c r="M389" s="54"/>
      <c r="N389" s="130"/>
      <c r="O389" s="30"/>
      <c r="P389" s="30"/>
      <c r="Q389" s="30"/>
      <c r="R389" s="30"/>
      <c r="S389" s="30"/>
      <c r="T389" s="30"/>
      <c r="U389" s="30"/>
      <c r="V389" s="30"/>
      <c r="W389" s="30"/>
      <c r="X389" s="30"/>
    </row>
    <row r="390" ht="15.75" customHeight="1">
      <c r="A390" s="14" t="s">
        <v>17</v>
      </c>
      <c r="B390" s="50">
        <v>1996.0</v>
      </c>
      <c r="C390" s="14" t="s">
        <v>2907</v>
      </c>
      <c r="D390" s="67" t="s">
        <v>2908</v>
      </c>
      <c r="E390" s="194" t="s">
        <v>2909</v>
      </c>
      <c r="F390" s="50">
        <v>101.0</v>
      </c>
      <c r="G390" s="50">
        <v>106.0</v>
      </c>
      <c r="H390" s="14" t="s">
        <v>28</v>
      </c>
      <c r="I390" s="14"/>
      <c r="J390" s="130" t="s">
        <v>2911</v>
      </c>
      <c r="K390" s="152" t="s">
        <v>2913</v>
      </c>
      <c r="L390" s="20"/>
      <c r="M390" s="54"/>
      <c r="N390" s="130" t="s">
        <v>2913</v>
      </c>
      <c r="O390" s="30"/>
      <c r="P390" s="30"/>
      <c r="Q390" s="30"/>
      <c r="R390" s="30"/>
      <c r="S390" s="30"/>
      <c r="T390" s="30"/>
      <c r="U390" s="30"/>
      <c r="V390" s="30"/>
      <c r="W390" s="30"/>
      <c r="X390" s="30"/>
    </row>
    <row r="391" ht="15.75" customHeight="1">
      <c r="A391" s="14" t="s">
        <v>17</v>
      </c>
      <c r="B391" s="14">
        <v>1996.0</v>
      </c>
      <c r="C391" s="14" t="s">
        <v>2915</v>
      </c>
      <c r="D391" s="14" t="s">
        <v>2916</v>
      </c>
      <c r="E391" s="150" t="s">
        <v>2917</v>
      </c>
      <c r="F391" s="14">
        <v>107.0</v>
      </c>
      <c r="G391" s="14">
        <v>113.0</v>
      </c>
      <c r="H391" s="14" t="s">
        <v>28</v>
      </c>
      <c r="I391" s="14"/>
      <c r="J391" s="130" t="s">
        <v>4448</v>
      </c>
      <c r="K391" s="152" t="s">
        <v>2919</v>
      </c>
      <c r="L391" s="20" t="s">
        <v>2920</v>
      </c>
      <c r="M391" s="16"/>
      <c r="N391" s="152" t="s">
        <v>2919</v>
      </c>
      <c r="O391" s="30"/>
      <c r="P391" s="30"/>
      <c r="Q391" s="30"/>
      <c r="R391" s="30"/>
      <c r="S391" s="30"/>
      <c r="T391" s="30"/>
      <c r="U391" s="30"/>
      <c r="V391" s="30"/>
      <c r="W391" s="30"/>
      <c r="X391" s="30"/>
    </row>
    <row r="392" ht="15.75" customHeight="1">
      <c r="A392" s="14" t="s">
        <v>17</v>
      </c>
      <c r="B392" s="14">
        <v>1996.0</v>
      </c>
      <c r="C392" s="14" t="s">
        <v>2921</v>
      </c>
      <c r="D392" s="14" t="s">
        <v>2922</v>
      </c>
      <c r="E392" s="150" t="s">
        <v>2923</v>
      </c>
      <c r="F392" s="14">
        <v>115.0</v>
      </c>
      <c r="G392" s="14">
        <v>120.0</v>
      </c>
      <c r="H392" s="14" t="s">
        <v>28</v>
      </c>
      <c r="I392" s="14"/>
      <c r="J392" s="130" t="s">
        <v>4457</v>
      </c>
      <c r="K392" s="152" t="s">
        <v>2925</v>
      </c>
      <c r="L392" s="20" t="s">
        <v>2926</v>
      </c>
      <c r="M392" s="16"/>
      <c r="N392" s="152" t="s">
        <v>2925</v>
      </c>
      <c r="O392" s="30"/>
      <c r="P392" s="30"/>
      <c r="Q392" s="30"/>
      <c r="R392" s="30"/>
      <c r="S392" s="30"/>
      <c r="T392" s="30"/>
      <c r="U392" s="30"/>
      <c r="V392" s="30"/>
      <c r="W392" s="30"/>
      <c r="X392" s="30"/>
    </row>
    <row r="393" ht="15.75" customHeight="1">
      <c r="A393" s="14" t="s">
        <v>17</v>
      </c>
      <c r="B393" s="14">
        <v>1996.0</v>
      </c>
      <c r="C393" s="14" t="s">
        <v>2928</v>
      </c>
      <c r="D393" s="14" t="s">
        <v>2930</v>
      </c>
      <c r="E393" s="150" t="s">
        <v>2931</v>
      </c>
      <c r="F393" s="14">
        <v>121.0</v>
      </c>
      <c r="G393" s="14">
        <v>126.0</v>
      </c>
      <c r="H393" s="14" t="s">
        <v>28</v>
      </c>
      <c r="I393" s="14"/>
      <c r="J393" s="130" t="s">
        <v>2936</v>
      </c>
      <c r="K393" s="152" t="s">
        <v>2938</v>
      </c>
      <c r="L393" s="20" t="s">
        <v>1926</v>
      </c>
      <c r="M393" s="16"/>
      <c r="N393" s="152" t="s">
        <v>2938</v>
      </c>
      <c r="O393" s="30"/>
      <c r="P393" s="30"/>
      <c r="Q393" s="30"/>
      <c r="R393" s="30"/>
      <c r="S393" s="30"/>
      <c r="T393" s="30"/>
      <c r="U393" s="30"/>
      <c r="V393" s="30"/>
      <c r="W393" s="30"/>
      <c r="X393" s="30"/>
    </row>
    <row r="394" ht="15.75" customHeight="1">
      <c r="A394" s="14" t="s">
        <v>17</v>
      </c>
      <c r="B394" s="14">
        <v>1996.0</v>
      </c>
      <c r="C394" s="14" t="s">
        <v>2941</v>
      </c>
      <c r="D394" s="14" t="s">
        <v>2942</v>
      </c>
      <c r="E394" s="150" t="s">
        <v>2943</v>
      </c>
      <c r="F394" s="14">
        <v>127.0</v>
      </c>
      <c r="G394" s="14">
        <v>131.0</v>
      </c>
      <c r="H394" s="14" t="s">
        <v>28</v>
      </c>
      <c r="I394" s="14"/>
      <c r="J394" s="130" t="s">
        <v>2944</v>
      </c>
      <c r="K394" s="152" t="s">
        <v>2945</v>
      </c>
      <c r="L394" s="20" t="s">
        <v>2946</v>
      </c>
      <c r="M394" s="174" t="s">
        <v>2947</v>
      </c>
      <c r="N394" s="152" t="s">
        <v>2945</v>
      </c>
      <c r="O394" s="30"/>
      <c r="P394" s="30"/>
      <c r="Q394" s="30"/>
      <c r="R394" s="30"/>
      <c r="S394" s="30"/>
      <c r="T394" s="30"/>
      <c r="U394" s="30"/>
      <c r="V394" s="30"/>
      <c r="W394" s="30"/>
      <c r="X394" s="30"/>
    </row>
    <row r="395" ht="15.75" customHeight="1">
      <c r="A395" s="14" t="s">
        <v>17</v>
      </c>
      <c r="B395" s="14">
        <v>1996.0</v>
      </c>
      <c r="C395" s="14" t="s">
        <v>2948</v>
      </c>
      <c r="D395" s="14" t="s">
        <v>2949</v>
      </c>
      <c r="E395" s="150" t="s">
        <v>2950</v>
      </c>
      <c r="F395" s="14">
        <v>133.0</v>
      </c>
      <c r="G395" s="14">
        <v>140.0</v>
      </c>
      <c r="H395" s="14" t="s">
        <v>28</v>
      </c>
      <c r="I395" s="14"/>
      <c r="J395" s="130" t="s">
        <v>2955</v>
      </c>
      <c r="K395" s="152" t="s">
        <v>2956</v>
      </c>
      <c r="L395" s="20" t="s">
        <v>2957</v>
      </c>
      <c r="M395" s="174" t="s">
        <v>2958</v>
      </c>
      <c r="N395" s="130" t="s">
        <v>38441</v>
      </c>
      <c r="O395" s="30"/>
      <c r="P395" s="30"/>
      <c r="Q395" s="30"/>
      <c r="R395" s="30"/>
      <c r="S395" s="30"/>
      <c r="T395" s="30"/>
      <c r="U395" s="30"/>
      <c r="V395" s="30"/>
      <c r="W395" s="30"/>
      <c r="X395" s="30"/>
    </row>
    <row r="396" ht="15.75" customHeight="1">
      <c r="A396" s="14" t="s">
        <v>17</v>
      </c>
      <c r="B396" s="14">
        <v>1996.0</v>
      </c>
      <c r="C396" s="14" t="s">
        <v>2959</v>
      </c>
      <c r="D396" s="14" t="s">
        <v>2960</v>
      </c>
      <c r="E396" s="150" t="s">
        <v>2961</v>
      </c>
      <c r="F396" s="14">
        <v>141.0</v>
      </c>
      <c r="G396" s="14">
        <v>148.0</v>
      </c>
      <c r="H396" s="14" t="s">
        <v>28</v>
      </c>
      <c r="I396" s="14"/>
      <c r="J396" s="130" t="s">
        <v>2450</v>
      </c>
      <c r="K396" s="152" t="s">
        <v>2451</v>
      </c>
      <c r="L396" s="20" t="s">
        <v>2962</v>
      </c>
      <c r="M396" s="16"/>
      <c r="N396" s="130" t="s">
        <v>38445</v>
      </c>
      <c r="O396" s="30"/>
      <c r="P396" s="30"/>
      <c r="Q396" s="30"/>
      <c r="R396" s="30"/>
      <c r="S396" s="30"/>
      <c r="T396" s="30"/>
      <c r="U396" s="30"/>
      <c r="V396" s="30"/>
      <c r="W396" s="30"/>
      <c r="X396" s="30"/>
    </row>
    <row r="397" ht="15.75" customHeight="1">
      <c r="A397" s="14" t="s">
        <v>17</v>
      </c>
      <c r="B397" s="14">
        <v>1996.0</v>
      </c>
      <c r="C397" s="14" t="s">
        <v>2964</v>
      </c>
      <c r="D397" s="14" t="s">
        <v>2965</v>
      </c>
      <c r="E397" s="150" t="s">
        <v>2966</v>
      </c>
      <c r="F397" s="14">
        <v>149.0</v>
      </c>
      <c r="G397" s="14">
        <v>156.0</v>
      </c>
      <c r="H397" s="14" t="s">
        <v>28</v>
      </c>
      <c r="I397" s="14"/>
      <c r="J397" s="130" t="s">
        <v>2968</v>
      </c>
      <c r="K397" s="152" t="s">
        <v>2969</v>
      </c>
      <c r="L397" s="20"/>
      <c r="M397" s="174" t="s">
        <v>2970</v>
      </c>
      <c r="N397" s="152" t="s">
        <v>2969</v>
      </c>
      <c r="O397" s="30"/>
      <c r="P397" s="30"/>
      <c r="Q397" s="30"/>
      <c r="R397" s="30"/>
      <c r="S397" s="30"/>
      <c r="T397" s="30"/>
      <c r="U397" s="30"/>
      <c r="V397" s="30"/>
      <c r="W397" s="30"/>
      <c r="X397" s="30"/>
    </row>
    <row r="398" ht="15.75" customHeight="1">
      <c r="A398" s="14" t="s">
        <v>17</v>
      </c>
      <c r="B398" s="14">
        <v>1996.0</v>
      </c>
      <c r="C398" s="14" t="s">
        <v>2971</v>
      </c>
      <c r="D398" s="14" t="s">
        <v>2973</v>
      </c>
      <c r="E398" s="150" t="s">
        <v>2974</v>
      </c>
      <c r="F398" s="14">
        <v>157.0</v>
      </c>
      <c r="G398" s="14">
        <v>164.0</v>
      </c>
      <c r="H398" s="14" t="s">
        <v>28</v>
      </c>
      <c r="I398" s="14"/>
      <c r="J398" s="130" t="s">
        <v>2976</v>
      </c>
      <c r="K398" s="152" t="s">
        <v>2977</v>
      </c>
      <c r="L398" s="20" t="s">
        <v>2978</v>
      </c>
      <c r="M398" s="174" t="s">
        <v>2979</v>
      </c>
      <c r="N398" s="130" t="s">
        <v>38454</v>
      </c>
      <c r="O398" s="30"/>
      <c r="P398" s="30"/>
      <c r="Q398" s="30"/>
      <c r="R398" s="30"/>
      <c r="S398" s="30"/>
      <c r="T398" s="30"/>
      <c r="U398" s="30"/>
      <c r="V398" s="30"/>
      <c r="W398" s="30"/>
      <c r="X398" s="30"/>
    </row>
    <row r="399" ht="15.75" customHeight="1">
      <c r="A399" s="14" t="s">
        <v>17</v>
      </c>
      <c r="B399" s="14">
        <v>1996.0</v>
      </c>
      <c r="C399" s="14" t="s">
        <v>2980</v>
      </c>
      <c r="D399" s="14" t="s">
        <v>2981</v>
      </c>
      <c r="E399" s="150" t="s">
        <v>2982</v>
      </c>
      <c r="F399" s="14">
        <v>165.0</v>
      </c>
      <c r="G399" s="14">
        <v>172.0</v>
      </c>
      <c r="H399" s="14" t="s">
        <v>28</v>
      </c>
      <c r="I399" s="14"/>
      <c r="J399" s="130" t="s">
        <v>2986</v>
      </c>
      <c r="K399" s="152" t="s">
        <v>2987</v>
      </c>
      <c r="L399" s="20" t="s">
        <v>2067</v>
      </c>
      <c r="M399" s="174" t="s">
        <v>2988</v>
      </c>
      <c r="N399" s="130" t="s">
        <v>38460</v>
      </c>
      <c r="O399" s="30"/>
      <c r="P399" s="30"/>
      <c r="Q399" s="30"/>
      <c r="R399" s="30"/>
      <c r="S399" s="30"/>
      <c r="T399" s="30"/>
      <c r="U399" s="30"/>
      <c r="V399" s="30"/>
      <c r="W399" s="30"/>
      <c r="X399" s="30"/>
    </row>
    <row r="400" ht="15.75" customHeight="1">
      <c r="A400" s="14" t="s">
        <v>17</v>
      </c>
      <c r="B400" s="14">
        <v>1996.0</v>
      </c>
      <c r="C400" s="14" t="s">
        <v>2989</v>
      </c>
      <c r="D400" s="14" t="s">
        <v>2990</v>
      </c>
      <c r="E400" s="150" t="s">
        <v>2991</v>
      </c>
      <c r="F400" s="14">
        <v>173.0</v>
      </c>
      <c r="G400" s="14">
        <v>180.0</v>
      </c>
      <c r="H400" s="14" t="s">
        <v>28</v>
      </c>
      <c r="I400" s="14"/>
      <c r="J400" s="130" t="s">
        <v>2994</v>
      </c>
      <c r="K400" s="152" t="s">
        <v>2841</v>
      </c>
      <c r="L400" s="20" t="s">
        <v>2995</v>
      </c>
      <c r="M400" s="16"/>
      <c r="N400" s="130" t="s">
        <v>38467</v>
      </c>
      <c r="O400" s="30"/>
      <c r="P400" s="30"/>
      <c r="Q400" s="30"/>
      <c r="R400" s="30"/>
      <c r="S400" s="30"/>
      <c r="T400" s="30"/>
      <c r="U400" s="30"/>
      <c r="V400" s="30"/>
      <c r="W400" s="30"/>
      <c r="X400" s="30"/>
    </row>
    <row r="401" ht="15.75" customHeight="1">
      <c r="A401" s="14" t="s">
        <v>17</v>
      </c>
      <c r="B401" s="14">
        <v>1996.0</v>
      </c>
      <c r="C401" s="14" t="s">
        <v>2996</v>
      </c>
      <c r="D401" s="14" t="s">
        <v>2997</v>
      </c>
      <c r="E401" s="150" t="s">
        <v>2998</v>
      </c>
      <c r="F401" s="14">
        <v>181.0</v>
      </c>
      <c r="G401" s="14">
        <v>188.0</v>
      </c>
      <c r="H401" s="14" t="s">
        <v>28</v>
      </c>
      <c r="I401" s="14"/>
      <c r="J401" s="130" t="s">
        <v>2999</v>
      </c>
      <c r="K401" s="152" t="s">
        <v>3000</v>
      </c>
      <c r="L401" s="20" t="s">
        <v>2371</v>
      </c>
      <c r="M401" s="16"/>
      <c r="N401" s="130" t="s">
        <v>38474</v>
      </c>
      <c r="O401" s="30"/>
      <c r="P401" s="30"/>
      <c r="Q401" s="30"/>
      <c r="R401" s="30"/>
      <c r="S401" s="30"/>
      <c r="T401" s="30"/>
      <c r="U401" s="30"/>
      <c r="V401" s="30"/>
      <c r="W401" s="30"/>
      <c r="X401" s="30"/>
    </row>
    <row r="402" ht="15.75" customHeight="1">
      <c r="A402" s="14" t="s">
        <v>17</v>
      </c>
      <c r="B402" s="14">
        <v>1996.0</v>
      </c>
      <c r="C402" s="14" t="s">
        <v>3001</v>
      </c>
      <c r="D402" s="14" t="s">
        <v>3002</v>
      </c>
      <c r="E402" s="150" t="s">
        <v>3003</v>
      </c>
      <c r="F402" s="14">
        <v>189.0</v>
      </c>
      <c r="G402" s="14">
        <v>195.0</v>
      </c>
      <c r="H402" s="14" t="s">
        <v>28</v>
      </c>
      <c r="I402" s="14"/>
      <c r="J402" s="130" t="s">
        <v>3007</v>
      </c>
      <c r="K402" s="152" t="s">
        <v>3008</v>
      </c>
      <c r="L402" s="20" t="s">
        <v>3009</v>
      </c>
      <c r="M402" s="174" t="s">
        <v>3010</v>
      </c>
      <c r="N402" s="130" t="s">
        <v>38483</v>
      </c>
      <c r="O402" s="30"/>
      <c r="P402" s="30"/>
      <c r="Q402" s="30"/>
      <c r="R402" s="30"/>
      <c r="S402" s="30"/>
      <c r="T402" s="30"/>
      <c r="U402" s="30"/>
      <c r="V402" s="30"/>
      <c r="W402" s="30"/>
      <c r="X402" s="30"/>
    </row>
    <row r="403" ht="15.75" customHeight="1">
      <c r="A403" s="14" t="s">
        <v>17</v>
      </c>
      <c r="B403" s="14">
        <v>1996.0</v>
      </c>
      <c r="C403" s="14" t="s">
        <v>3011</v>
      </c>
      <c r="D403" s="14" t="s">
        <v>3012</v>
      </c>
      <c r="E403" s="150" t="s">
        <v>3013</v>
      </c>
      <c r="F403" s="14">
        <v>197.0</v>
      </c>
      <c r="G403" s="14">
        <v>204.0</v>
      </c>
      <c r="H403" s="14" t="s">
        <v>28</v>
      </c>
      <c r="I403" s="14"/>
      <c r="J403" s="130" t="s">
        <v>3014</v>
      </c>
      <c r="K403" s="152" t="s">
        <v>3015</v>
      </c>
      <c r="L403" s="20" t="s">
        <v>2290</v>
      </c>
      <c r="M403" s="16"/>
      <c r="N403" s="152" t="s">
        <v>3015</v>
      </c>
      <c r="O403" s="30"/>
      <c r="P403" s="30"/>
      <c r="Q403" s="30"/>
      <c r="R403" s="30"/>
      <c r="S403" s="30"/>
      <c r="T403" s="30"/>
      <c r="U403" s="30"/>
      <c r="V403" s="30"/>
      <c r="W403" s="30"/>
      <c r="X403" s="30"/>
    </row>
    <row r="404" ht="15.75" customHeight="1">
      <c r="A404" s="14" t="s">
        <v>17</v>
      </c>
      <c r="B404" s="14">
        <v>1996.0</v>
      </c>
      <c r="C404" s="14" t="s">
        <v>3016</v>
      </c>
      <c r="D404" s="14" t="s">
        <v>3017</v>
      </c>
      <c r="E404" s="150" t="s">
        <v>3018</v>
      </c>
      <c r="F404" s="14">
        <v>205.0</v>
      </c>
      <c r="G404" s="14">
        <v>210.0</v>
      </c>
      <c r="H404" s="14" t="s">
        <v>28</v>
      </c>
      <c r="I404" s="14"/>
      <c r="J404" s="130" t="s">
        <v>3021</v>
      </c>
      <c r="K404" s="152" t="s">
        <v>3022</v>
      </c>
      <c r="L404" s="20" t="s">
        <v>2565</v>
      </c>
      <c r="M404" s="16"/>
      <c r="N404" s="130" t="s">
        <v>38493</v>
      </c>
      <c r="O404" s="30"/>
      <c r="P404" s="30"/>
      <c r="Q404" s="30"/>
      <c r="R404" s="30"/>
      <c r="S404" s="30"/>
      <c r="T404" s="30"/>
      <c r="U404" s="30"/>
      <c r="V404" s="30"/>
      <c r="W404" s="30"/>
      <c r="X404" s="30"/>
    </row>
    <row r="405" ht="15.75" customHeight="1">
      <c r="A405" s="14" t="s">
        <v>17</v>
      </c>
      <c r="B405" s="14">
        <v>1996.0</v>
      </c>
      <c r="C405" s="14" t="s">
        <v>3023</v>
      </c>
      <c r="D405" s="14" t="s">
        <v>3024</v>
      </c>
      <c r="E405" s="150" t="s">
        <v>3025</v>
      </c>
      <c r="F405" s="14">
        <v>211.0</v>
      </c>
      <c r="G405" s="14">
        <v>218.0</v>
      </c>
      <c r="H405" s="14" t="s">
        <v>28</v>
      </c>
      <c r="I405" s="14"/>
      <c r="J405" s="130" t="s">
        <v>2319</v>
      </c>
      <c r="K405" s="152" t="s">
        <v>3026</v>
      </c>
      <c r="L405" s="20" t="s">
        <v>3027</v>
      </c>
      <c r="M405" s="16"/>
      <c r="N405" s="130" t="s">
        <v>38500</v>
      </c>
      <c r="O405" s="30"/>
      <c r="P405" s="30"/>
      <c r="Q405" s="30"/>
      <c r="R405" s="30"/>
      <c r="S405" s="30"/>
      <c r="T405" s="30"/>
      <c r="U405" s="30"/>
      <c r="V405" s="30"/>
      <c r="W405" s="30"/>
      <c r="X405" s="30"/>
    </row>
    <row r="406" ht="15.75" customHeight="1">
      <c r="A406" s="14" t="s">
        <v>17</v>
      </c>
      <c r="B406" s="14">
        <v>1996.0</v>
      </c>
      <c r="C406" s="14" t="s">
        <v>3029</v>
      </c>
      <c r="D406" s="14" t="s">
        <v>3030</v>
      </c>
      <c r="E406" s="150" t="s">
        <v>3032</v>
      </c>
      <c r="F406" s="14">
        <v>219.0</v>
      </c>
      <c r="G406" s="14">
        <v>225.0</v>
      </c>
      <c r="H406" s="14" t="s">
        <v>28</v>
      </c>
      <c r="I406" s="14"/>
      <c r="J406" s="130" t="s">
        <v>1137</v>
      </c>
      <c r="K406" s="152" t="s">
        <v>3034</v>
      </c>
      <c r="L406" s="20" t="s">
        <v>3035</v>
      </c>
      <c r="M406" s="16"/>
      <c r="N406" s="130" t="s">
        <v>38515</v>
      </c>
      <c r="O406" s="30"/>
      <c r="P406" s="30"/>
      <c r="Q406" s="30"/>
      <c r="R406" s="30"/>
      <c r="S406" s="30"/>
      <c r="T406" s="30"/>
      <c r="U406" s="30"/>
      <c r="V406" s="30"/>
      <c r="W406" s="30"/>
      <c r="X406" s="30"/>
    </row>
    <row r="407" ht="15.75" customHeight="1">
      <c r="A407" s="14" t="s">
        <v>17</v>
      </c>
      <c r="B407" s="50">
        <v>1996.0</v>
      </c>
      <c r="C407" s="14" t="s">
        <v>3036</v>
      </c>
      <c r="D407" s="16" t="s">
        <v>3037</v>
      </c>
      <c r="E407" s="156" t="str">
        <f>HYPERLINK("http://dx.doi.org/10.1109/VISUAL.1996.568113","http://dx.doi.org/10.1109/VISUAL.1996.568113")</f>
        <v>http://dx.doi.org/10.1109/VISUAL.1996.568113</v>
      </c>
      <c r="F407" s="50">
        <v>227.0</v>
      </c>
      <c r="G407" s="50">
        <v>234.0</v>
      </c>
      <c r="H407" s="14" t="s">
        <v>28</v>
      </c>
      <c r="I407" s="14"/>
      <c r="J407" s="130" t="s">
        <v>3041</v>
      </c>
      <c r="K407" s="162" t="s">
        <v>3042</v>
      </c>
      <c r="L407" s="20"/>
      <c r="M407" s="54"/>
      <c r="N407" s="130" t="s">
        <v>38525</v>
      </c>
      <c r="O407" s="30"/>
      <c r="P407" s="30"/>
      <c r="Q407" s="30"/>
      <c r="R407" s="30"/>
      <c r="S407" s="30"/>
      <c r="T407" s="30"/>
      <c r="U407" s="30"/>
      <c r="V407" s="30"/>
      <c r="W407" s="30"/>
      <c r="X407" s="30"/>
    </row>
    <row r="408" ht="15.75" customHeight="1">
      <c r="A408" s="14" t="s">
        <v>17</v>
      </c>
      <c r="B408" s="14">
        <v>1996.0</v>
      </c>
      <c r="C408" s="14" t="s">
        <v>3043</v>
      </c>
      <c r="D408" s="14" t="s">
        <v>3044</v>
      </c>
      <c r="E408" s="150" t="s">
        <v>3045</v>
      </c>
      <c r="F408" s="14">
        <v>235.0</v>
      </c>
      <c r="G408" s="14">
        <v>240.0</v>
      </c>
      <c r="H408" s="14" t="s">
        <v>28</v>
      </c>
      <c r="I408" s="14"/>
      <c r="J408" s="130" t="s">
        <v>3046</v>
      </c>
      <c r="K408" s="152" t="s">
        <v>3047</v>
      </c>
      <c r="L408" s="20" t="s">
        <v>3048</v>
      </c>
      <c r="M408" s="174" t="s">
        <v>3049</v>
      </c>
      <c r="N408" s="130" t="s">
        <v>2913</v>
      </c>
      <c r="O408" s="30"/>
      <c r="P408" s="30"/>
      <c r="Q408" s="30"/>
      <c r="R408" s="30"/>
      <c r="S408" s="30"/>
      <c r="T408" s="30"/>
      <c r="U408" s="30"/>
      <c r="V408" s="30"/>
      <c r="W408" s="30"/>
      <c r="X408" s="30"/>
    </row>
    <row r="409" ht="15.75" customHeight="1">
      <c r="A409" s="14" t="s">
        <v>17</v>
      </c>
      <c r="B409" s="50">
        <v>1996.0</v>
      </c>
      <c r="C409" s="14" t="s">
        <v>3050</v>
      </c>
      <c r="D409" s="67" t="s">
        <v>3051</v>
      </c>
      <c r="E409" s="194" t="str">
        <f>HYPERLINK("http://doi.ieeecomputersociety.org/10.1109/VISUAL.1996.568115","http://doi.ieeecomputersociety.org/10.1109/VISUAL.1996.568115")</f>
        <v>http://doi.ieeecomputersociety.org/10.1109/VISUAL.1996.568115</v>
      </c>
      <c r="F409" s="50">
        <v>241.0</v>
      </c>
      <c r="G409" s="50">
        <v>247.0</v>
      </c>
      <c r="H409" s="14" t="s">
        <v>28</v>
      </c>
      <c r="I409" s="14"/>
      <c r="J409" s="130" t="s">
        <v>3056</v>
      </c>
      <c r="K409" s="152" t="s">
        <v>3057</v>
      </c>
      <c r="L409" s="20" t="s">
        <v>3058</v>
      </c>
      <c r="M409" s="54"/>
      <c r="N409" s="130" t="s">
        <v>38540</v>
      </c>
      <c r="O409" s="30"/>
      <c r="P409" s="30"/>
      <c r="Q409" s="30"/>
      <c r="R409" s="30"/>
      <c r="S409" s="30"/>
      <c r="T409" s="30"/>
      <c r="U409" s="30"/>
      <c r="V409" s="30"/>
      <c r="W409" s="30"/>
      <c r="X409" s="30"/>
    </row>
    <row r="410" ht="15.75" customHeight="1">
      <c r="A410" s="14" t="s">
        <v>17</v>
      </c>
      <c r="B410" s="14">
        <v>1996.0</v>
      </c>
      <c r="C410" s="14" t="s">
        <v>3059</v>
      </c>
      <c r="D410" s="14" t="s">
        <v>3060</v>
      </c>
      <c r="E410" s="150" t="s">
        <v>3061</v>
      </c>
      <c r="F410" s="14">
        <v>249.0</v>
      </c>
      <c r="G410" s="14">
        <v>254.0</v>
      </c>
      <c r="H410" s="14" t="s">
        <v>28</v>
      </c>
      <c r="I410" s="14"/>
      <c r="J410" s="130" t="s">
        <v>3064</v>
      </c>
      <c r="K410" s="152" t="s">
        <v>3065</v>
      </c>
      <c r="L410" s="20" t="s">
        <v>3066</v>
      </c>
      <c r="M410" s="174" t="s">
        <v>3067</v>
      </c>
      <c r="N410" s="130" t="s">
        <v>36234</v>
      </c>
      <c r="O410" s="30"/>
      <c r="P410" s="30"/>
      <c r="Q410" s="30"/>
      <c r="R410" s="30"/>
      <c r="S410" s="30"/>
      <c r="T410" s="30"/>
      <c r="U410" s="30"/>
      <c r="V410" s="30"/>
      <c r="W410" s="30"/>
      <c r="X410" s="30"/>
    </row>
    <row r="411" ht="15.75" customHeight="1">
      <c r="A411" s="14" t="s">
        <v>17</v>
      </c>
      <c r="B411" s="14">
        <v>1996.0</v>
      </c>
      <c r="C411" s="14" t="s">
        <v>3068</v>
      </c>
      <c r="D411" s="14" t="s">
        <v>3069</v>
      </c>
      <c r="E411" s="150" t="s">
        <v>3070</v>
      </c>
      <c r="F411" s="14">
        <v>255.0</v>
      </c>
      <c r="G411" s="14">
        <v>261.0</v>
      </c>
      <c r="H411" s="14" t="s">
        <v>28</v>
      </c>
      <c r="I411" s="14"/>
      <c r="J411" s="130" t="s">
        <v>3071</v>
      </c>
      <c r="K411" s="152" t="s">
        <v>477</v>
      </c>
      <c r="L411" s="20" t="s">
        <v>2606</v>
      </c>
      <c r="M411" s="16"/>
      <c r="N411" s="130" t="s">
        <v>38547</v>
      </c>
      <c r="O411" s="30"/>
      <c r="P411" s="30"/>
      <c r="Q411" s="30"/>
      <c r="R411" s="30"/>
      <c r="S411" s="30"/>
      <c r="T411" s="30"/>
      <c r="U411" s="30"/>
      <c r="V411" s="30"/>
      <c r="W411" s="30"/>
      <c r="X411" s="30"/>
    </row>
    <row r="412" ht="15.75" customHeight="1">
      <c r="A412" s="14" t="s">
        <v>17</v>
      </c>
      <c r="B412" s="14">
        <v>1996.0</v>
      </c>
      <c r="C412" s="14" t="s">
        <v>3072</v>
      </c>
      <c r="D412" s="14" t="s">
        <v>3073</v>
      </c>
      <c r="E412" s="150" t="s">
        <v>3074</v>
      </c>
      <c r="F412" s="14">
        <v>263.0</v>
      </c>
      <c r="G412" s="14">
        <v>270.0</v>
      </c>
      <c r="H412" s="14" t="s">
        <v>28</v>
      </c>
      <c r="I412" s="14"/>
      <c r="J412" s="130" t="s">
        <v>3075</v>
      </c>
      <c r="K412" s="152" t="s">
        <v>3076</v>
      </c>
      <c r="L412" s="20" t="s">
        <v>3077</v>
      </c>
      <c r="M412" s="16"/>
      <c r="N412" s="130" t="s">
        <v>15408</v>
      </c>
      <c r="O412" s="30"/>
      <c r="P412" s="30"/>
      <c r="Q412" s="30"/>
      <c r="R412" s="30"/>
      <c r="S412" s="30"/>
      <c r="T412" s="30"/>
      <c r="U412" s="30"/>
      <c r="V412" s="30"/>
      <c r="W412" s="30"/>
      <c r="X412" s="30"/>
    </row>
    <row r="413" ht="15.75" customHeight="1">
      <c r="A413" s="14" t="s">
        <v>17</v>
      </c>
      <c r="B413" s="14">
        <v>1996.0</v>
      </c>
      <c r="C413" s="14" t="s">
        <v>3078</v>
      </c>
      <c r="D413" s="14" t="s">
        <v>3079</v>
      </c>
      <c r="E413" s="150" t="s">
        <v>3080</v>
      </c>
      <c r="F413" s="14">
        <v>271.0</v>
      </c>
      <c r="G413" s="14">
        <v>277.0</v>
      </c>
      <c r="H413" s="14" t="s">
        <v>28</v>
      </c>
      <c r="I413" s="14"/>
      <c r="J413" s="130" t="s">
        <v>3081</v>
      </c>
      <c r="K413" s="152" t="s">
        <v>2525</v>
      </c>
      <c r="L413" s="20" t="s">
        <v>3082</v>
      </c>
      <c r="M413" s="174" t="s">
        <v>3083</v>
      </c>
      <c r="N413" s="130" t="s">
        <v>38556</v>
      </c>
      <c r="O413" s="30"/>
      <c r="P413" s="30"/>
      <c r="Q413" s="30"/>
      <c r="R413" s="30"/>
      <c r="S413" s="30"/>
      <c r="T413" s="30"/>
      <c r="U413" s="30"/>
      <c r="V413" s="30"/>
      <c r="W413" s="30"/>
      <c r="X413" s="30"/>
    </row>
    <row r="414" ht="15.75" customHeight="1">
      <c r="A414" s="14" t="s">
        <v>17</v>
      </c>
      <c r="B414" s="50">
        <v>1996.0</v>
      </c>
      <c r="C414" s="14" t="s">
        <v>3084</v>
      </c>
      <c r="D414" s="67" t="s">
        <v>3085</v>
      </c>
      <c r="E414" s="194" t="s">
        <v>3086</v>
      </c>
      <c r="F414" s="50">
        <v>279.0</v>
      </c>
      <c r="G414" s="50">
        <v>286.0</v>
      </c>
      <c r="H414" s="14" t="s">
        <v>28</v>
      </c>
      <c r="I414" s="14"/>
      <c r="J414" s="130" t="s">
        <v>3087</v>
      </c>
      <c r="K414" s="162" t="s">
        <v>3088</v>
      </c>
      <c r="L414" s="20"/>
      <c r="M414" s="54"/>
      <c r="N414" s="130" t="s">
        <v>38559</v>
      </c>
      <c r="O414" s="30"/>
      <c r="P414" s="30"/>
      <c r="Q414" s="30"/>
      <c r="R414" s="30"/>
      <c r="S414" s="30"/>
      <c r="T414" s="30"/>
      <c r="U414" s="30"/>
      <c r="V414" s="30"/>
      <c r="W414" s="30"/>
      <c r="X414" s="30"/>
    </row>
    <row r="415" ht="15.75" customHeight="1">
      <c r="A415" s="14" t="s">
        <v>17</v>
      </c>
      <c r="B415" s="14">
        <v>1996.0</v>
      </c>
      <c r="C415" s="14" t="s">
        <v>3089</v>
      </c>
      <c r="D415" s="14" t="s">
        <v>3090</v>
      </c>
      <c r="E415" s="150" t="s">
        <v>3091</v>
      </c>
      <c r="F415" s="14">
        <v>287.0</v>
      </c>
      <c r="G415" s="14">
        <v>294.0</v>
      </c>
      <c r="H415" s="14" t="s">
        <v>28</v>
      </c>
      <c r="I415" s="14"/>
      <c r="J415" s="130" t="s">
        <v>3092</v>
      </c>
      <c r="K415" s="152" t="s">
        <v>3093</v>
      </c>
      <c r="L415" s="20" t="s">
        <v>3094</v>
      </c>
      <c r="M415" s="16"/>
      <c r="N415" s="130" t="s">
        <v>38564</v>
      </c>
      <c r="O415" s="30"/>
      <c r="P415" s="30"/>
      <c r="Q415" s="30"/>
      <c r="R415" s="30"/>
      <c r="S415" s="30"/>
      <c r="T415" s="30"/>
      <c r="U415" s="30"/>
      <c r="V415" s="30"/>
      <c r="W415" s="30"/>
      <c r="X415" s="30"/>
    </row>
    <row r="416" ht="15.75" customHeight="1">
      <c r="A416" s="14" t="s">
        <v>17</v>
      </c>
      <c r="B416" s="50">
        <v>1996.0</v>
      </c>
      <c r="C416" s="78" t="s">
        <v>3095</v>
      </c>
      <c r="D416" s="67" t="s">
        <v>3096</v>
      </c>
      <c r="E416" s="194" t="s">
        <v>3097</v>
      </c>
      <c r="F416" s="50">
        <v>295.0</v>
      </c>
      <c r="G416" s="50">
        <v>302.0</v>
      </c>
      <c r="H416" s="14" t="s">
        <v>28</v>
      </c>
      <c r="I416" s="14"/>
      <c r="J416" s="130" t="s">
        <v>4739</v>
      </c>
      <c r="K416" s="152" t="s">
        <v>3099</v>
      </c>
      <c r="L416" s="20"/>
      <c r="M416" s="54"/>
      <c r="N416" s="130" t="s">
        <v>38570</v>
      </c>
      <c r="O416" s="30"/>
      <c r="P416" s="30"/>
      <c r="Q416" s="30"/>
      <c r="R416" s="30"/>
      <c r="S416" s="30"/>
      <c r="T416" s="30"/>
      <c r="U416" s="30"/>
      <c r="V416" s="30"/>
      <c r="W416" s="30"/>
      <c r="X416" s="30"/>
    </row>
    <row r="417" ht="15.75" customHeight="1">
      <c r="A417" s="14" t="s">
        <v>17</v>
      </c>
      <c r="B417" s="50">
        <v>1996.0</v>
      </c>
      <c r="C417" s="14" t="s">
        <v>3100</v>
      </c>
      <c r="D417" s="67" t="s">
        <v>3101</v>
      </c>
      <c r="E417" s="194" t="str">
        <f>HYPERLINK("http://doi.ieeecomputersociety.org/10.1109/VISUAL.1996.568123","http://doi.ieeecomputersociety.org/10.1109/VISUAL.1996.568123")</f>
        <v>http://doi.ieeecomputersociety.org/10.1109/VISUAL.1996.568123</v>
      </c>
      <c r="F417" s="50">
        <v>303.0</v>
      </c>
      <c r="G417" s="50">
        <v>310.0</v>
      </c>
      <c r="H417" s="14" t="s">
        <v>28</v>
      </c>
      <c r="I417" s="14"/>
      <c r="J417" s="130" t="s">
        <v>3103</v>
      </c>
      <c r="K417" s="162" t="s">
        <v>3104</v>
      </c>
      <c r="L417" s="20" t="s">
        <v>520</v>
      </c>
      <c r="M417" s="54"/>
      <c r="N417" s="130" t="s">
        <v>38577</v>
      </c>
      <c r="O417" s="30"/>
      <c r="P417" s="30"/>
      <c r="Q417" s="30"/>
      <c r="R417" s="30"/>
      <c r="S417" s="30"/>
      <c r="T417" s="30"/>
      <c r="U417" s="30"/>
      <c r="V417" s="30"/>
      <c r="W417" s="30"/>
      <c r="X417" s="30"/>
    </row>
    <row r="418" ht="15.75" customHeight="1">
      <c r="A418" s="14" t="s">
        <v>17</v>
      </c>
      <c r="B418" s="14">
        <v>1996.0</v>
      </c>
      <c r="C418" s="14" t="s">
        <v>3105</v>
      </c>
      <c r="D418" s="14" t="s">
        <v>3106</v>
      </c>
      <c r="E418" s="150" t="s">
        <v>3107</v>
      </c>
      <c r="F418" s="14">
        <v>311.0</v>
      </c>
      <c r="G418" s="14">
        <v>318.0</v>
      </c>
      <c r="H418" s="14" t="s">
        <v>28</v>
      </c>
      <c r="I418" s="14"/>
      <c r="J418" s="130" t="s">
        <v>4747</v>
      </c>
      <c r="K418" s="152" t="s">
        <v>3109</v>
      </c>
      <c r="L418" s="20" t="s">
        <v>1886</v>
      </c>
      <c r="M418" s="174" t="s">
        <v>3110</v>
      </c>
      <c r="N418" s="130" t="s">
        <v>38580</v>
      </c>
      <c r="O418" s="30"/>
      <c r="P418" s="30"/>
      <c r="Q418" s="30"/>
      <c r="R418" s="30"/>
      <c r="S418" s="30"/>
      <c r="T418" s="30"/>
      <c r="U418" s="30"/>
      <c r="V418" s="30"/>
      <c r="W418" s="30"/>
      <c r="X418" s="30"/>
    </row>
    <row r="419" ht="15.75" customHeight="1">
      <c r="A419" s="14" t="s">
        <v>17</v>
      </c>
      <c r="B419" s="14">
        <v>1996.0</v>
      </c>
      <c r="C419" s="14" t="s">
        <v>3111</v>
      </c>
      <c r="D419" s="14" t="s">
        <v>3112</v>
      </c>
      <c r="E419" s="150" t="s">
        <v>3113</v>
      </c>
      <c r="F419" s="14">
        <v>319.0</v>
      </c>
      <c r="G419" s="14">
        <v>326.0</v>
      </c>
      <c r="H419" s="14" t="s">
        <v>28</v>
      </c>
      <c r="I419" s="14"/>
      <c r="J419" s="130" t="s">
        <v>3114</v>
      </c>
      <c r="K419" s="152" t="s">
        <v>1337</v>
      </c>
      <c r="L419" s="20"/>
      <c r="M419" s="16"/>
      <c r="N419" s="130" t="s">
        <v>38584</v>
      </c>
      <c r="O419" s="30"/>
      <c r="P419" s="30"/>
      <c r="Q419" s="30"/>
      <c r="R419" s="30"/>
      <c r="S419" s="30"/>
      <c r="T419" s="30"/>
      <c r="U419" s="30"/>
      <c r="V419" s="30"/>
      <c r="W419" s="30"/>
      <c r="X419" s="30"/>
    </row>
    <row r="420" ht="15.75" customHeight="1">
      <c r="A420" s="14" t="s">
        <v>17</v>
      </c>
      <c r="B420" s="14">
        <v>1996.0</v>
      </c>
      <c r="C420" s="14" t="s">
        <v>3115</v>
      </c>
      <c r="D420" s="14" t="s">
        <v>3116</v>
      </c>
      <c r="E420" s="150" t="s">
        <v>3117</v>
      </c>
      <c r="F420" s="14">
        <v>327.0</v>
      </c>
      <c r="G420" s="14">
        <v>334.0</v>
      </c>
      <c r="H420" s="14" t="s">
        <v>28</v>
      </c>
      <c r="I420" s="14"/>
      <c r="J420" s="130" t="s">
        <v>3118</v>
      </c>
      <c r="K420" s="152" t="s">
        <v>3119</v>
      </c>
      <c r="L420" s="20" t="s">
        <v>3120</v>
      </c>
      <c r="M420" s="16"/>
      <c r="N420" s="130" t="s">
        <v>38588</v>
      </c>
      <c r="O420" s="30"/>
      <c r="P420" s="30"/>
      <c r="Q420" s="30"/>
      <c r="R420" s="30"/>
      <c r="S420" s="30"/>
      <c r="T420" s="30"/>
      <c r="U420" s="30"/>
      <c r="V420" s="30"/>
      <c r="W420" s="30"/>
      <c r="X420" s="30"/>
    </row>
    <row r="421" ht="15.75" customHeight="1">
      <c r="A421" s="14" t="s">
        <v>17</v>
      </c>
      <c r="B421" s="14">
        <v>1996.0</v>
      </c>
      <c r="C421" s="14" t="s">
        <v>3121</v>
      </c>
      <c r="D421" s="14" t="s">
        <v>3122</v>
      </c>
      <c r="E421" s="150" t="s">
        <v>3123</v>
      </c>
      <c r="F421" s="14">
        <v>335.0</v>
      </c>
      <c r="G421" s="14">
        <v>342.0</v>
      </c>
      <c r="H421" s="14" t="s">
        <v>28</v>
      </c>
      <c r="I421" s="14"/>
      <c r="J421" s="130" t="s">
        <v>3124</v>
      </c>
      <c r="K421" s="152" t="s">
        <v>3125</v>
      </c>
      <c r="L421" s="20" t="s">
        <v>1886</v>
      </c>
      <c r="M421" s="16"/>
      <c r="N421" s="130" t="s">
        <v>38591</v>
      </c>
      <c r="O421" s="30"/>
      <c r="P421" s="30"/>
      <c r="Q421" s="30"/>
      <c r="R421" s="30"/>
      <c r="S421" s="30"/>
      <c r="T421" s="30"/>
      <c r="U421" s="30"/>
      <c r="V421" s="30"/>
      <c r="W421" s="30"/>
      <c r="X421" s="30"/>
    </row>
    <row r="422" ht="15.75" customHeight="1">
      <c r="A422" s="14" t="s">
        <v>17</v>
      </c>
      <c r="B422" s="14">
        <v>1996.0</v>
      </c>
      <c r="C422" s="14" t="s">
        <v>3126</v>
      </c>
      <c r="D422" s="14" t="s">
        <v>3127</v>
      </c>
      <c r="E422" s="150" t="s">
        <v>3128</v>
      </c>
      <c r="F422" s="14">
        <v>345.0</v>
      </c>
      <c r="G422" s="14">
        <v>349.0</v>
      </c>
      <c r="H422" s="14" t="s">
        <v>28</v>
      </c>
      <c r="I422" s="14"/>
      <c r="J422" s="130" t="s">
        <v>3129</v>
      </c>
      <c r="K422" s="152" t="s">
        <v>3130</v>
      </c>
      <c r="L422" s="20" t="s">
        <v>470</v>
      </c>
      <c r="M422" s="16"/>
      <c r="N422" s="130" t="s">
        <v>38598</v>
      </c>
      <c r="O422" s="30"/>
      <c r="P422" s="30"/>
      <c r="Q422" s="30"/>
      <c r="R422" s="30"/>
      <c r="S422" s="30"/>
      <c r="T422" s="30"/>
      <c r="U422" s="30"/>
      <c r="V422" s="30"/>
      <c r="W422" s="30"/>
      <c r="X422" s="30"/>
    </row>
    <row r="423" ht="15.75" customHeight="1">
      <c r="A423" s="14" t="s">
        <v>17</v>
      </c>
      <c r="B423" s="14">
        <v>1996.0</v>
      </c>
      <c r="C423" s="14" t="s">
        <v>3131</v>
      </c>
      <c r="D423" s="14" t="s">
        <v>3132</v>
      </c>
      <c r="E423" s="150" t="s">
        <v>3133</v>
      </c>
      <c r="F423" s="14">
        <v>351.0</v>
      </c>
      <c r="G423" s="14">
        <v>354.0</v>
      </c>
      <c r="H423" s="14" t="s">
        <v>28</v>
      </c>
      <c r="I423" s="14"/>
      <c r="J423" s="130" t="s">
        <v>3134</v>
      </c>
      <c r="K423" s="152" t="s">
        <v>3135</v>
      </c>
      <c r="L423" s="20" t="s">
        <v>3136</v>
      </c>
      <c r="M423" s="16"/>
      <c r="N423" s="130" t="s">
        <v>38603</v>
      </c>
      <c r="O423" s="30"/>
      <c r="P423" s="30"/>
      <c r="Q423" s="30"/>
      <c r="R423" s="30"/>
      <c r="S423" s="30"/>
      <c r="T423" s="30"/>
      <c r="U423" s="30"/>
      <c r="V423" s="30"/>
      <c r="W423" s="30"/>
      <c r="X423" s="30"/>
    </row>
    <row r="424" ht="15.75" customHeight="1">
      <c r="A424" s="14" t="s">
        <v>17</v>
      </c>
      <c r="B424" s="14">
        <v>1996.0</v>
      </c>
      <c r="C424" s="14" t="s">
        <v>3137</v>
      </c>
      <c r="D424" s="14" t="s">
        <v>3138</v>
      </c>
      <c r="E424" s="150" t="s">
        <v>3139</v>
      </c>
      <c r="F424" s="14">
        <v>355.0</v>
      </c>
      <c r="G424" s="14">
        <v>357.0</v>
      </c>
      <c r="H424" s="14" t="s">
        <v>28</v>
      </c>
      <c r="I424" s="14"/>
      <c r="J424" s="130" t="s">
        <v>3140</v>
      </c>
      <c r="K424" s="152"/>
      <c r="L424" s="20"/>
      <c r="M424" s="16"/>
      <c r="N424" s="130"/>
      <c r="O424" s="30"/>
      <c r="P424" s="30"/>
      <c r="Q424" s="30"/>
      <c r="R424" s="30"/>
      <c r="S424" s="30"/>
      <c r="T424" s="30"/>
      <c r="U424" s="30"/>
      <c r="V424" s="30"/>
      <c r="W424" s="30"/>
      <c r="X424" s="30"/>
    </row>
    <row r="425" ht="15.75" customHeight="1">
      <c r="A425" s="14" t="s">
        <v>17</v>
      </c>
      <c r="B425" s="14">
        <v>1996.0</v>
      </c>
      <c r="C425" s="14" t="s">
        <v>3141</v>
      </c>
      <c r="D425" s="14" t="s">
        <v>3142</v>
      </c>
      <c r="E425" s="150" t="s">
        <v>3143</v>
      </c>
      <c r="F425" s="14">
        <v>359.0</v>
      </c>
      <c r="G425" s="14">
        <v>362.0</v>
      </c>
      <c r="H425" s="14" t="s">
        <v>28</v>
      </c>
      <c r="I425" s="14"/>
      <c r="J425" s="130" t="s">
        <v>3144</v>
      </c>
      <c r="K425" s="152" t="s">
        <v>3145</v>
      </c>
      <c r="L425" s="20"/>
      <c r="M425" s="16"/>
      <c r="N425" s="130" t="s">
        <v>38611</v>
      </c>
      <c r="O425" s="30"/>
      <c r="P425" s="30"/>
      <c r="Q425" s="30"/>
      <c r="R425" s="30"/>
      <c r="S425" s="30"/>
      <c r="T425" s="30"/>
      <c r="U425" s="30"/>
      <c r="V425" s="30"/>
      <c r="W425" s="30"/>
      <c r="X425" s="30"/>
    </row>
    <row r="426" ht="15.75" customHeight="1">
      <c r="A426" s="14" t="s">
        <v>17</v>
      </c>
      <c r="B426" s="50">
        <v>1996.0</v>
      </c>
      <c r="C426" s="14" t="s">
        <v>3146</v>
      </c>
      <c r="D426" s="67" t="s">
        <v>3147</v>
      </c>
      <c r="E426" s="194" t="s">
        <v>3148</v>
      </c>
      <c r="F426" s="50">
        <v>363.0</v>
      </c>
      <c r="G426" s="50">
        <v>366.0</v>
      </c>
      <c r="H426" s="14" t="s">
        <v>28</v>
      </c>
      <c r="I426" s="14"/>
      <c r="J426" s="130" t="s">
        <v>4806</v>
      </c>
      <c r="K426" s="152"/>
      <c r="L426" s="20" t="s">
        <v>2115</v>
      </c>
      <c r="M426" s="54"/>
      <c r="N426" s="130"/>
      <c r="O426" s="30"/>
      <c r="P426" s="30"/>
      <c r="Q426" s="30"/>
      <c r="R426" s="30"/>
      <c r="S426" s="30"/>
      <c r="T426" s="30"/>
      <c r="U426" s="30"/>
      <c r="V426" s="30"/>
      <c r="W426" s="30"/>
      <c r="X426" s="30"/>
    </row>
    <row r="427" ht="15.75" customHeight="1">
      <c r="A427" s="14" t="s">
        <v>17</v>
      </c>
      <c r="B427" s="14">
        <v>1996.0</v>
      </c>
      <c r="C427" s="14" t="s">
        <v>3150</v>
      </c>
      <c r="D427" s="14" t="s">
        <v>3151</v>
      </c>
      <c r="E427" s="150" t="s">
        <v>3152</v>
      </c>
      <c r="F427" s="14">
        <v>367.0</v>
      </c>
      <c r="G427" s="14">
        <v>370.0</v>
      </c>
      <c r="H427" s="14" t="s">
        <v>28</v>
      </c>
      <c r="I427" s="14"/>
      <c r="J427" s="130" t="s">
        <v>3153</v>
      </c>
      <c r="K427" s="152" t="s">
        <v>3154</v>
      </c>
      <c r="L427" s="20"/>
      <c r="M427" s="174" t="s">
        <v>3155</v>
      </c>
      <c r="N427" s="130" t="s">
        <v>38622</v>
      </c>
      <c r="O427" s="30"/>
      <c r="P427" s="30"/>
      <c r="Q427" s="30"/>
      <c r="R427" s="30"/>
      <c r="S427" s="30"/>
      <c r="T427" s="30"/>
      <c r="U427" s="30"/>
      <c r="V427" s="30"/>
      <c r="W427" s="30"/>
      <c r="X427" s="30"/>
    </row>
    <row r="428" ht="15.75" customHeight="1">
      <c r="A428" s="14" t="s">
        <v>17</v>
      </c>
      <c r="B428" s="14">
        <v>1996.0</v>
      </c>
      <c r="C428" s="14" t="s">
        <v>3156</v>
      </c>
      <c r="D428" s="14" t="s">
        <v>3157</v>
      </c>
      <c r="E428" s="150" t="s">
        <v>3158</v>
      </c>
      <c r="F428" s="14">
        <v>371.0</v>
      </c>
      <c r="G428" s="14">
        <v>374.0</v>
      </c>
      <c r="H428" s="14" t="s">
        <v>28</v>
      </c>
      <c r="I428" s="14"/>
      <c r="J428" s="130" t="s">
        <v>3159</v>
      </c>
      <c r="K428" s="152" t="s">
        <v>3160</v>
      </c>
      <c r="L428" s="20"/>
      <c r="M428" s="16"/>
      <c r="N428" s="130" t="s">
        <v>38629</v>
      </c>
      <c r="O428" s="30"/>
      <c r="P428" s="30"/>
      <c r="Q428" s="30"/>
      <c r="R428" s="30"/>
      <c r="S428" s="30"/>
      <c r="T428" s="30"/>
      <c r="U428" s="30"/>
      <c r="V428" s="30"/>
      <c r="W428" s="30"/>
      <c r="X428" s="30"/>
    </row>
    <row r="429" ht="15.75" customHeight="1">
      <c r="A429" s="14" t="s">
        <v>17</v>
      </c>
      <c r="B429" s="14">
        <v>1996.0</v>
      </c>
      <c r="C429" s="14" t="s">
        <v>3161</v>
      </c>
      <c r="D429" s="14" t="s">
        <v>3162</v>
      </c>
      <c r="E429" s="150" t="s">
        <v>3163</v>
      </c>
      <c r="F429" s="14">
        <v>375.0</v>
      </c>
      <c r="G429" s="14">
        <v>379.0</v>
      </c>
      <c r="H429" s="14" t="s">
        <v>28</v>
      </c>
      <c r="I429" s="14"/>
      <c r="J429" s="130" t="s">
        <v>4833</v>
      </c>
      <c r="K429" s="152" t="s">
        <v>1787</v>
      </c>
      <c r="L429" s="20" t="s">
        <v>1323</v>
      </c>
      <c r="M429" s="16"/>
      <c r="N429" s="130" t="s">
        <v>38635</v>
      </c>
      <c r="O429" s="30"/>
      <c r="P429" s="30"/>
      <c r="Q429" s="30"/>
      <c r="R429" s="30"/>
      <c r="S429" s="30"/>
      <c r="T429" s="30"/>
      <c r="U429" s="30"/>
      <c r="V429" s="30"/>
      <c r="W429" s="30"/>
      <c r="X429" s="30"/>
    </row>
    <row r="430" ht="15.75" customHeight="1">
      <c r="A430" s="14" t="s">
        <v>17</v>
      </c>
      <c r="B430" s="14">
        <v>1996.0</v>
      </c>
      <c r="C430" s="14" t="s">
        <v>3165</v>
      </c>
      <c r="D430" s="14" t="s">
        <v>3166</v>
      </c>
      <c r="E430" s="150" t="s">
        <v>3167</v>
      </c>
      <c r="F430" s="14">
        <v>381.0</v>
      </c>
      <c r="G430" s="14">
        <v>384.0</v>
      </c>
      <c r="H430" s="14" t="s">
        <v>28</v>
      </c>
      <c r="I430" s="14"/>
      <c r="J430" s="130" t="s">
        <v>3168</v>
      </c>
      <c r="K430" s="152" t="s">
        <v>3169</v>
      </c>
      <c r="L430" s="20" t="s">
        <v>487</v>
      </c>
      <c r="M430" s="16"/>
      <c r="N430" s="130" t="s">
        <v>38639</v>
      </c>
      <c r="O430" s="30"/>
      <c r="P430" s="30"/>
      <c r="Q430" s="30"/>
      <c r="R430" s="30"/>
      <c r="S430" s="30"/>
      <c r="T430" s="30"/>
      <c r="U430" s="30"/>
      <c r="V430" s="30"/>
      <c r="W430" s="30"/>
      <c r="X430" s="30"/>
    </row>
    <row r="431" ht="15.75" customHeight="1">
      <c r="A431" s="14" t="s">
        <v>17</v>
      </c>
      <c r="B431" s="14">
        <v>1996.0</v>
      </c>
      <c r="C431" s="14" t="s">
        <v>3170</v>
      </c>
      <c r="D431" s="14" t="s">
        <v>3171</v>
      </c>
      <c r="E431" s="150" t="s">
        <v>3172</v>
      </c>
      <c r="F431" s="14">
        <v>385.0</v>
      </c>
      <c r="G431" s="14">
        <v>388.0</v>
      </c>
      <c r="H431" s="14" t="s">
        <v>28</v>
      </c>
      <c r="I431" s="14"/>
      <c r="J431" s="130" t="s">
        <v>3173</v>
      </c>
      <c r="K431" s="152" t="s">
        <v>3174</v>
      </c>
      <c r="L431" s="20" t="s">
        <v>2060</v>
      </c>
      <c r="M431" s="16"/>
      <c r="N431" s="130" t="s">
        <v>38647</v>
      </c>
      <c r="O431" s="30"/>
      <c r="P431" s="30"/>
      <c r="Q431" s="30"/>
      <c r="R431" s="30"/>
      <c r="S431" s="30"/>
      <c r="T431" s="30"/>
      <c r="U431" s="30"/>
      <c r="V431" s="30"/>
      <c r="W431" s="30"/>
      <c r="X431" s="30"/>
    </row>
    <row r="432" ht="15.75" customHeight="1">
      <c r="A432" s="14" t="s">
        <v>17</v>
      </c>
      <c r="B432" s="14">
        <v>1996.0</v>
      </c>
      <c r="C432" s="14" t="s">
        <v>3175</v>
      </c>
      <c r="D432" s="14" t="s">
        <v>3176</v>
      </c>
      <c r="E432" s="150" t="s">
        <v>3177</v>
      </c>
      <c r="F432" s="14">
        <v>389.0</v>
      </c>
      <c r="G432" s="14">
        <v>392.0</v>
      </c>
      <c r="H432" s="14" t="s">
        <v>28</v>
      </c>
      <c r="I432" s="14"/>
      <c r="J432" s="130" t="s">
        <v>3181</v>
      </c>
      <c r="K432" s="152" t="s">
        <v>3182</v>
      </c>
      <c r="L432" s="20" t="s">
        <v>2518</v>
      </c>
      <c r="M432" s="174" t="s">
        <v>3183</v>
      </c>
      <c r="N432" s="130" t="s">
        <v>35935</v>
      </c>
      <c r="O432" s="30"/>
      <c r="P432" s="30"/>
      <c r="Q432" s="30"/>
      <c r="R432" s="30"/>
      <c r="S432" s="30"/>
      <c r="T432" s="30"/>
      <c r="U432" s="30"/>
      <c r="V432" s="30"/>
      <c r="W432" s="30"/>
      <c r="X432" s="30"/>
    </row>
    <row r="433" ht="15.75" customHeight="1">
      <c r="A433" s="14" t="s">
        <v>17</v>
      </c>
      <c r="B433" s="14">
        <v>1996.0</v>
      </c>
      <c r="C433" s="14" t="s">
        <v>3184</v>
      </c>
      <c r="D433" s="14" t="s">
        <v>3185</v>
      </c>
      <c r="E433" s="150" t="s">
        <v>3186</v>
      </c>
      <c r="F433" s="14">
        <v>393.0</v>
      </c>
      <c r="G433" s="14">
        <v>396.0</v>
      </c>
      <c r="H433" s="14" t="s">
        <v>28</v>
      </c>
      <c r="I433" s="14"/>
      <c r="J433" s="130" t="s">
        <v>3187</v>
      </c>
      <c r="K433" s="152" t="s">
        <v>2042</v>
      </c>
      <c r="L433" s="20" t="s">
        <v>3188</v>
      </c>
      <c r="M433" s="16"/>
      <c r="N433" s="152" t="s">
        <v>2042</v>
      </c>
      <c r="O433" s="30"/>
      <c r="P433" s="30"/>
      <c r="Q433" s="30"/>
      <c r="R433" s="30"/>
      <c r="S433" s="30"/>
      <c r="T433" s="30"/>
      <c r="U433" s="30"/>
      <c r="V433" s="30"/>
      <c r="W433" s="30"/>
      <c r="X433" s="30"/>
    </row>
    <row r="434" ht="15.75" customHeight="1">
      <c r="A434" s="14" t="s">
        <v>17</v>
      </c>
      <c r="B434" s="14">
        <v>1996.0</v>
      </c>
      <c r="C434" s="14" t="s">
        <v>3189</v>
      </c>
      <c r="D434" s="14" t="s">
        <v>3190</v>
      </c>
      <c r="E434" s="150" t="s">
        <v>3191</v>
      </c>
      <c r="F434" s="14">
        <v>397.0</v>
      </c>
      <c r="G434" s="14">
        <v>400.0</v>
      </c>
      <c r="H434" s="14" t="s">
        <v>28</v>
      </c>
      <c r="I434" s="14"/>
      <c r="J434" s="130" t="s">
        <v>3195</v>
      </c>
      <c r="K434" s="152" t="s">
        <v>3196</v>
      </c>
      <c r="L434" s="20"/>
      <c r="M434" s="16"/>
      <c r="N434" s="152" t="s">
        <v>3196</v>
      </c>
      <c r="O434" s="30"/>
      <c r="P434" s="30"/>
      <c r="Q434" s="30"/>
      <c r="R434" s="30"/>
      <c r="S434" s="30"/>
      <c r="T434" s="30"/>
      <c r="U434" s="30"/>
      <c r="V434" s="30"/>
      <c r="W434" s="30"/>
      <c r="X434" s="30"/>
    </row>
    <row r="435" ht="15.75" customHeight="1">
      <c r="A435" s="14" t="s">
        <v>17</v>
      </c>
      <c r="B435" s="14">
        <v>1996.0</v>
      </c>
      <c r="C435" s="14" t="s">
        <v>3197</v>
      </c>
      <c r="D435" s="14" t="s">
        <v>3198</v>
      </c>
      <c r="E435" s="150" t="s">
        <v>3199</v>
      </c>
      <c r="F435" s="14">
        <v>401.0</v>
      </c>
      <c r="G435" s="14">
        <v>403.0</v>
      </c>
      <c r="H435" s="14" t="s">
        <v>28</v>
      </c>
      <c r="I435" s="14"/>
      <c r="J435" s="130" t="s">
        <v>3200</v>
      </c>
      <c r="K435" s="152" t="s">
        <v>3201</v>
      </c>
      <c r="L435" s="20"/>
      <c r="M435" s="16"/>
      <c r="N435" s="130" t="s">
        <v>38669</v>
      </c>
      <c r="O435" s="30"/>
      <c r="P435" s="30"/>
      <c r="Q435" s="30"/>
      <c r="R435" s="30"/>
      <c r="S435" s="30"/>
      <c r="T435" s="30"/>
      <c r="U435" s="30"/>
      <c r="V435" s="30"/>
      <c r="W435" s="30"/>
      <c r="X435" s="30"/>
    </row>
    <row r="436" ht="15.75" customHeight="1">
      <c r="A436" s="14" t="s">
        <v>17</v>
      </c>
      <c r="B436" s="50">
        <v>1996.0</v>
      </c>
      <c r="C436" s="14" t="s">
        <v>3202</v>
      </c>
      <c r="D436" s="67" t="s">
        <v>3203</v>
      </c>
      <c r="E436" s="197" t="s">
        <v>3204</v>
      </c>
      <c r="F436" s="50">
        <v>405.0</v>
      </c>
      <c r="G436" s="50">
        <v>407.0</v>
      </c>
      <c r="H436" s="14" t="s">
        <v>28</v>
      </c>
      <c r="I436" s="14"/>
      <c r="J436" s="130" t="s">
        <v>3200</v>
      </c>
      <c r="K436" s="152" t="s">
        <v>3201</v>
      </c>
      <c r="L436" s="20"/>
      <c r="M436" s="54"/>
      <c r="N436" s="130" t="s">
        <v>38669</v>
      </c>
      <c r="O436" s="30"/>
      <c r="P436" s="30"/>
      <c r="Q436" s="30"/>
      <c r="R436" s="30"/>
      <c r="S436" s="30"/>
      <c r="T436" s="30"/>
      <c r="U436" s="30"/>
      <c r="V436" s="30"/>
      <c r="W436" s="30"/>
      <c r="X436" s="30"/>
    </row>
    <row r="437" ht="15.75" customHeight="1">
      <c r="A437" s="14" t="s">
        <v>17</v>
      </c>
      <c r="B437" s="14">
        <v>1996.0</v>
      </c>
      <c r="C437" s="14" t="s">
        <v>3207</v>
      </c>
      <c r="D437" s="14" t="s">
        <v>3208</v>
      </c>
      <c r="E437" s="150" t="s">
        <v>3209</v>
      </c>
      <c r="F437" s="14">
        <v>409.0</v>
      </c>
      <c r="G437" s="14">
        <v>412.0</v>
      </c>
      <c r="H437" s="14" t="s">
        <v>28</v>
      </c>
      <c r="I437" s="14"/>
      <c r="J437" s="130" t="s">
        <v>3213</v>
      </c>
      <c r="K437" s="152" t="s">
        <v>3214</v>
      </c>
      <c r="L437" s="20"/>
      <c r="M437" s="16"/>
      <c r="N437" s="130" t="s">
        <v>38682</v>
      </c>
      <c r="O437" s="30"/>
      <c r="P437" s="30"/>
      <c r="Q437" s="30"/>
      <c r="R437" s="30"/>
      <c r="S437" s="30"/>
      <c r="T437" s="30"/>
      <c r="U437" s="30"/>
      <c r="V437" s="30"/>
      <c r="W437" s="30"/>
      <c r="X437" s="30"/>
    </row>
    <row r="438" ht="15.75" customHeight="1">
      <c r="A438" s="14" t="s">
        <v>17</v>
      </c>
      <c r="B438" s="14">
        <v>1996.0</v>
      </c>
      <c r="C438" s="14" t="s">
        <v>3215</v>
      </c>
      <c r="D438" s="14" t="s">
        <v>3216</v>
      </c>
      <c r="E438" s="150" t="s">
        <v>3217</v>
      </c>
      <c r="F438" s="14">
        <v>413.0</v>
      </c>
      <c r="G438" s="14">
        <v>416.0</v>
      </c>
      <c r="H438" s="14" t="s">
        <v>28</v>
      </c>
      <c r="I438" s="14"/>
      <c r="J438" s="130" t="s">
        <v>3218</v>
      </c>
      <c r="K438" s="152" t="s">
        <v>3219</v>
      </c>
      <c r="L438" s="20"/>
      <c r="M438" s="16"/>
      <c r="N438" s="130" t="s">
        <v>38695</v>
      </c>
      <c r="O438" s="30"/>
      <c r="P438" s="30"/>
      <c r="Q438" s="30"/>
      <c r="R438" s="30"/>
      <c r="S438" s="30"/>
      <c r="T438" s="30"/>
      <c r="U438" s="30"/>
      <c r="V438" s="30"/>
      <c r="W438" s="30"/>
      <c r="X438" s="30"/>
    </row>
    <row r="439" ht="15.75" customHeight="1">
      <c r="A439" s="14" t="s">
        <v>17</v>
      </c>
      <c r="B439" s="14">
        <v>1996.0</v>
      </c>
      <c r="C439" s="14" t="s">
        <v>3220</v>
      </c>
      <c r="D439" s="14" t="s">
        <v>3222</v>
      </c>
      <c r="E439" s="150" t="s">
        <v>3223</v>
      </c>
      <c r="F439" s="14">
        <v>417.0</v>
      </c>
      <c r="G439" s="14">
        <v>420.0</v>
      </c>
      <c r="H439" s="14" t="s">
        <v>28</v>
      </c>
      <c r="I439" s="14"/>
      <c r="J439" s="130" t="s">
        <v>3226</v>
      </c>
      <c r="K439" s="152" t="s">
        <v>3227</v>
      </c>
      <c r="L439" s="20" t="s">
        <v>2565</v>
      </c>
      <c r="M439" s="16"/>
      <c r="N439" s="130" t="s">
        <v>38704</v>
      </c>
      <c r="O439" s="30"/>
      <c r="P439" s="30"/>
      <c r="Q439" s="30"/>
      <c r="R439" s="30"/>
      <c r="S439" s="30"/>
      <c r="T439" s="30"/>
      <c r="U439" s="30"/>
      <c r="V439" s="30"/>
      <c r="W439" s="30"/>
      <c r="X439" s="30"/>
    </row>
    <row r="440" ht="15.75" customHeight="1">
      <c r="A440" s="14" t="s">
        <v>17</v>
      </c>
      <c r="B440" s="14">
        <v>1996.0</v>
      </c>
      <c r="C440" s="14" t="s">
        <v>3228</v>
      </c>
      <c r="D440" s="14" t="s">
        <v>3229</v>
      </c>
      <c r="E440" s="150" t="s">
        <v>3230</v>
      </c>
      <c r="F440" s="14">
        <v>421.0</v>
      </c>
      <c r="G440" s="14">
        <v>424.0</v>
      </c>
      <c r="H440" s="14" t="s">
        <v>28</v>
      </c>
      <c r="I440" s="14"/>
      <c r="J440" s="130" t="s">
        <v>3234</v>
      </c>
      <c r="K440" s="152" t="s">
        <v>3235</v>
      </c>
      <c r="L440" s="20"/>
      <c r="M440" s="16"/>
      <c r="N440" s="152" t="s">
        <v>3235</v>
      </c>
      <c r="O440" s="30"/>
      <c r="P440" s="30"/>
      <c r="Q440" s="30"/>
      <c r="R440" s="30"/>
      <c r="S440" s="30"/>
      <c r="T440" s="30"/>
      <c r="U440" s="30"/>
      <c r="V440" s="30"/>
      <c r="W440" s="30"/>
      <c r="X440" s="30"/>
    </row>
    <row r="441" ht="15.75" customHeight="1">
      <c r="A441" s="14" t="s">
        <v>17</v>
      </c>
      <c r="B441" s="14">
        <v>1996.0</v>
      </c>
      <c r="C441" s="14" t="s">
        <v>3236</v>
      </c>
      <c r="D441" s="14" t="s">
        <v>3237</v>
      </c>
      <c r="E441" s="150" t="s">
        <v>3238</v>
      </c>
      <c r="F441" s="14">
        <v>425.0</v>
      </c>
      <c r="G441" s="14">
        <v>428.0</v>
      </c>
      <c r="H441" s="14" t="s">
        <v>28</v>
      </c>
      <c r="I441" s="14"/>
      <c r="J441" s="130" t="s">
        <v>38713</v>
      </c>
      <c r="K441" s="152" t="s">
        <v>3240</v>
      </c>
      <c r="L441" s="20"/>
      <c r="M441" s="174" t="s">
        <v>3241</v>
      </c>
      <c r="N441" s="130" t="s">
        <v>38717</v>
      </c>
      <c r="O441" s="30"/>
      <c r="P441" s="30"/>
      <c r="Q441" s="30"/>
      <c r="R441" s="30"/>
      <c r="S441" s="30"/>
      <c r="T441" s="30"/>
      <c r="U441" s="30"/>
      <c r="V441" s="30"/>
      <c r="W441" s="30"/>
      <c r="X441" s="30"/>
    </row>
    <row r="442" ht="15.75" customHeight="1">
      <c r="A442" s="14" t="s">
        <v>17</v>
      </c>
      <c r="B442" s="14">
        <v>1996.0</v>
      </c>
      <c r="C442" s="14" t="s">
        <v>3245</v>
      </c>
      <c r="D442" s="14" t="s">
        <v>3246</v>
      </c>
      <c r="E442" s="150" t="s">
        <v>3247</v>
      </c>
      <c r="F442" s="14">
        <v>429.0</v>
      </c>
      <c r="G442" s="14">
        <v>432.0</v>
      </c>
      <c r="H442" s="14" t="s">
        <v>28</v>
      </c>
      <c r="I442" s="14"/>
      <c r="J442" s="130" t="s">
        <v>3248</v>
      </c>
      <c r="K442" s="152" t="s">
        <v>3249</v>
      </c>
      <c r="L442" s="20"/>
      <c r="M442" s="16"/>
      <c r="N442" s="130" t="s">
        <v>38724</v>
      </c>
      <c r="O442" s="30"/>
      <c r="P442" s="30"/>
      <c r="Q442" s="30"/>
      <c r="R442" s="30"/>
      <c r="S442" s="30"/>
      <c r="T442" s="30"/>
      <c r="U442" s="30"/>
      <c r="V442" s="30"/>
      <c r="W442" s="30"/>
      <c r="X442" s="30"/>
    </row>
    <row r="443" ht="15.75" customHeight="1">
      <c r="A443" s="14" t="s">
        <v>17</v>
      </c>
      <c r="B443" s="14">
        <v>1996.0</v>
      </c>
      <c r="C443" s="14" t="s">
        <v>3250</v>
      </c>
      <c r="D443" s="67" t="s">
        <v>3251</v>
      </c>
      <c r="E443" s="194" t="s">
        <v>3252</v>
      </c>
      <c r="F443" s="14">
        <v>433.0</v>
      </c>
      <c r="G443" s="14">
        <v>438.0</v>
      </c>
      <c r="H443" s="14" t="s">
        <v>28</v>
      </c>
      <c r="I443" s="14"/>
      <c r="J443" s="130" t="s">
        <v>3256</v>
      </c>
      <c r="K443" s="152" t="s">
        <v>3257</v>
      </c>
      <c r="L443" s="20" t="s">
        <v>2587</v>
      </c>
      <c r="M443" s="54"/>
      <c r="N443" s="130" t="s">
        <v>38730</v>
      </c>
      <c r="O443" s="82"/>
      <c r="P443" s="82"/>
      <c r="Q443" s="82"/>
      <c r="R443" s="82"/>
      <c r="S443" s="82"/>
      <c r="T443" s="82"/>
      <c r="U443" s="82"/>
      <c r="V443" s="82"/>
      <c r="W443" s="82"/>
      <c r="X443" s="82"/>
    </row>
    <row r="444" ht="15.75" customHeight="1">
      <c r="A444" s="14" t="s">
        <v>17</v>
      </c>
      <c r="B444" s="14">
        <v>1996.0</v>
      </c>
      <c r="C444" s="14" t="s">
        <v>3258</v>
      </c>
      <c r="D444" s="14" t="s">
        <v>3259</v>
      </c>
      <c r="E444" s="150" t="s">
        <v>3260</v>
      </c>
      <c r="F444" s="14">
        <v>439.0</v>
      </c>
      <c r="G444" s="14">
        <v>440.0</v>
      </c>
      <c r="H444" s="14" t="s">
        <v>21</v>
      </c>
      <c r="I444" s="14"/>
      <c r="J444" s="130" t="s">
        <v>38738</v>
      </c>
      <c r="K444" s="152" t="s">
        <v>3264</v>
      </c>
      <c r="L444" s="20"/>
      <c r="M444" s="16"/>
      <c r="N444" s="152" t="s">
        <v>3264</v>
      </c>
      <c r="O444" s="30"/>
      <c r="P444" s="30"/>
      <c r="Q444" s="30"/>
      <c r="R444" s="30"/>
      <c r="S444" s="30"/>
      <c r="T444" s="30"/>
      <c r="U444" s="30"/>
      <c r="V444" s="30"/>
      <c r="W444" s="30"/>
      <c r="X444" s="30"/>
    </row>
    <row r="445" ht="15.75" customHeight="1">
      <c r="A445" s="14" t="s">
        <v>17</v>
      </c>
      <c r="B445" s="14">
        <v>1996.0</v>
      </c>
      <c r="C445" s="14" t="s">
        <v>3265</v>
      </c>
      <c r="D445" s="14" t="s">
        <v>3266</v>
      </c>
      <c r="E445" s="150" t="s">
        <v>3267</v>
      </c>
      <c r="F445" s="14">
        <v>445.0</v>
      </c>
      <c r="G445" s="14">
        <v>447.0</v>
      </c>
      <c r="H445" s="14" t="s">
        <v>21</v>
      </c>
      <c r="I445" s="14"/>
      <c r="J445" s="130" t="s">
        <v>38742</v>
      </c>
      <c r="K445" s="152" t="s">
        <v>3269</v>
      </c>
      <c r="L445" s="20"/>
      <c r="M445" s="16"/>
      <c r="N445" s="152" t="s">
        <v>3269</v>
      </c>
      <c r="O445" s="30"/>
      <c r="P445" s="30"/>
      <c r="Q445" s="30"/>
      <c r="R445" s="30"/>
      <c r="S445" s="30"/>
      <c r="T445" s="30"/>
      <c r="U445" s="30"/>
      <c r="V445" s="30"/>
      <c r="W445" s="30"/>
      <c r="X445" s="30"/>
    </row>
    <row r="446" ht="15.75" customHeight="1">
      <c r="A446" s="14" t="s">
        <v>17</v>
      </c>
      <c r="B446" s="14">
        <v>1996.0</v>
      </c>
      <c r="C446" s="14" t="s">
        <v>3270</v>
      </c>
      <c r="D446" s="14" t="s">
        <v>3271</v>
      </c>
      <c r="E446" s="150" t="s">
        <v>3272</v>
      </c>
      <c r="F446" s="14">
        <v>449.0</v>
      </c>
      <c r="G446" s="14">
        <v>450.0</v>
      </c>
      <c r="H446" s="14" t="s">
        <v>21</v>
      </c>
      <c r="I446" s="14"/>
      <c r="J446" s="130" t="s">
        <v>38749</v>
      </c>
      <c r="K446" s="152" t="s">
        <v>3278</v>
      </c>
      <c r="L446" s="20"/>
      <c r="M446" s="16"/>
      <c r="N446" s="152" t="s">
        <v>3278</v>
      </c>
      <c r="O446" s="30"/>
      <c r="P446" s="30"/>
      <c r="Q446" s="30"/>
      <c r="R446" s="30"/>
      <c r="S446" s="30"/>
      <c r="T446" s="30"/>
      <c r="U446" s="30"/>
      <c r="V446" s="30"/>
      <c r="W446" s="30"/>
      <c r="X446" s="30"/>
    </row>
    <row r="447" ht="15.75" customHeight="1">
      <c r="A447" s="14" t="s">
        <v>17</v>
      </c>
      <c r="B447" s="14">
        <v>1996.0</v>
      </c>
      <c r="C447" s="14" t="s">
        <v>3279</v>
      </c>
      <c r="D447" s="14" t="s">
        <v>3280</v>
      </c>
      <c r="E447" s="150" t="s">
        <v>3281</v>
      </c>
      <c r="F447" s="14">
        <v>451.0</v>
      </c>
      <c r="G447" s="14">
        <v>453.0</v>
      </c>
      <c r="H447" s="14" t="s">
        <v>21</v>
      </c>
      <c r="I447" s="14"/>
      <c r="J447" s="130" t="s">
        <v>38753</v>
      </c>
      <c r="K447" s="152" t="s">
        <v>3284</v>
      </c>
      <c r="L447" s="20"/>
      <c r="M447" s="16"/>
      <c r="N447" s="152" t="s">
        <v>3284</v>
      </c>
      <c r="O447" s="30"/>
      <c r="P447" s="30"/>
      <c r="Q447" s="30"/>
      <c r="R447" s="30"/>
      <c r="S447" s="30"/>
      <c r="T447" s="30"/>
      <c r="U447" s="30"/>
      <c r="V447" s="30"/>
      <c r="W447" s="30"/>
      <c r="X447" s="30"/>
    </row>
    <row r="448" ht="15.75" customHeight="1">
      <c r="A448" s="14" t="s">
        <v>17</v>
      </c>
      <c r="B448" s="14">
        <v>1996.0</v>
      </c>
      <c r="C448" s="14" t="s">
        <v>3287</v>
      </c>
      <c r="D448" s="14" t="s">
        <v>3288</v>
      </c>
      <c r="E448" s="150" t="s">
        <v>3289</v>
      </c>
      <c r="F448" s="14">
        <v>441.0</v>
      </c>
      <c r="G448" s="14">
        <v>443.0</v>
      </c>
      <c r="H448" s="14" t="s">
        <v>21</v>
      </c>
      <c r="I448" s="14"/>
      <c r="J448" s="130" t="s">
        <v>38762</v>
      </c>
      <c r="K448" s="152" t="s">
        <v>3291</v>
      </c>
      <c r="L448" s="20"/>
      <c r="M448" s="16"/>
      <c r="N448" s="152" t="s">
        <v>3291</v>
      </c>
      <c r="O448" s="30"/>
      <c r="P448" s="30"/>
      <c r="Q448" s="30"/>
      <c r="R448" s="30"/>
      <c r="S448" s="30"/>
      <c r="T448" s="30"/>
      <c r="U448" s="30"/>
      <c r="V448" s="30"/>
      <c r="W448" s="30"/>
      <c r="X448" s="30"/>
    </row>
    <row r="449" ht="15.75" customHeight="1">
      <c r="A449" s="14" t="s">
        <v>2137</v>
      </c>
      <c r="B449" s="14">
        <v>1997.0</v>
      </c>
      <c r="C449" s="14" t="s">
        <v>3292</v>
      </c>
      <c r="D449" s="14" t="s">
        <v>3293</v>
      </c>
      <c r="E449" s="150" t="s">
        <v>3294</v>
      </c>
      <c r="F449" s="14">
        <v>2.0</v>
      </c>
      <c r="G449" s="14">
        <v>10.0</v>
      </c>
      <c r="H449" s="14" t="s">
        <v>28</v>
      </c>
      <c r="I449" s="14"/>
      <c r="J449" s="130" t="s">
        <v>3299</v>
      </c>
      <c r="K449" s="152" t="s">
        <v>3300</v>
      </c>
      <c r="L449" s="20" t="s">
        <v>3301</v>
      </c>
      <c r="M449" s="16"/>
      <c r="N449" s="130" t="s">
        <v>13115</v>
      </c>
      <c r="O449" s="30"/>
      <c r="P449" s="30"/>
      <c r="Q449" s="30"/>
      <c r="R449" s="30"/>
      <c r="S449" s="30"/>
      <c r="T449" s="30"/>
      <c r="U449" s="30"/>
      <c r="V449" s="30"/>
      <c r="W449" s="30"/>
      <c r="X449" s="30"/>
    </row>
    <row r="450" ht="15.75" customHeight="1">
      <c r="A450" s="14" t="s">
        <v>2137</v>
      </c>
      <c r="B450" s="14">
        <v>1997.0</v>
      </c>
      <c r="C450" s="14" t="s">
        <v>3302</v>
      </c>
      <c r="D450" s="14" t="s">
        <v>3303</v>
      </c>
      <c r="E450" s="150" t="s">
        <v>3304</v>
      </c>
      <c r="F450" s="14">
        <v>11.0</v>
      </c>
      <c r="G450" s="14">
        <v>16.0</v>
      </c>
      <c r="H450" s="14" t="s">
        <v>28</v>
      </c>
      <c r="I450" s="14"/>
      <c r="J450" s="130" t="s">
        <v>3305</v>
      </c>
      <c r="K450" s="152" t="s">
        <v>3306</v>
      </c>
      <c r="L450" s="20" t="s">
        <v>3307</v>
      </c>
      <c r="M450" s="174" t="s">
        <v>3308</v>
      </c>
      <c r="N450" s="130" t="s">
        <v>38768</v>
      </c>
      <c r="O450" s="30"/>
      <c r="P450" s="30"/>
      <c r="Q450" s="30"/>
      <c r="R450" s="30"/>
      <c r="S450" s="30"/>
      <c r="T450" s="30"/>
      <c r="U450" s="30"/>
      <c r="V450" s="30"/>
      <c r="W450" s="30"/>
      <c r="X450" s="30"/>
    </row>
    <row r="451" ht="15.75" customHeight="1">
      <c r="A451" s="14" t="s">
        <v>2137</v>
      </c>
      <c r="B451" s="14">
        <v>1997.0</v>
      </c>
      <c r="C451" s="14" t="s">
        <v>3309</v>
      </c>
      <c r="D451" s="14" t="s">
        <v>3310</v>
      </c>
      <c r="E451" s="150" t="s">
        <v>3311</v>
      </c>
      <c r="F451" s="14">
        <v>17.0</v>
      </c>
      <c r="G451" s="14">
        <v>24.0</v>
      </c>
      <c r="H451" s="14" t="s">
        <v>28</v>
      </c>
      <c r="I451" s="14"/>
      <c r="J451" s="130" t="s">
        <v>3324</v>
      </c>
      <c r="K451" s="152" t="s">
        <v>3325</v>
      </c>
      <c r="L451" s="20" t="s">
        <v>3326</v>
      </c>
      <c r="M451" s="16"/>
      <c r="N451" s="130" t="s">
        <v>38773</v>
      </c>
      <c r="O451" s="30"/>
      <c r="P451" s="30"/>
      <c r="Q451" s="30"/>
      <c r="R451" s="30"/>
      <c r="S451" s="30"/>
      <c r="T451" s="30"/>
      <c r="U451" s="30"/>
      <c r="V451" s="30"/>
      <c r="W451" s="30"/>
      <c r="X451" s="30"/>
    </row>
    <row r="452" ht="15.75" customHeight="1">
      <c r="A452" s="14" t="s">
        <v>2137</v>
      </c>
      <c r="B452" s="14">
        <v>1997.0</v>
      </c>
      <c r="C452" s="14" t="s">
        <v>3327</v>
      </c>
      <c r="D452" s="14" t="s">
        <v>3328</v>
      </c>
      <c r="E452" s="150" t="s">
        <v>3329</v>
      </c>
      <c r="F452" s="14">
        <v>25.0</v>
      </c>
      <c r="G452" s="14">
        <v>28.0</v>
      </c>
      <c r="H452" s="14" t="s">
        <v>28</v>
      </c>
      <c r="I452" s="14"/>
      <c r="J452" s="130" t="s">
        <v>3333</v>
      </c>
      <c r="K452" s="152" t="s">
        <v>3334</v>
      </c>
      <c r="L452" s="20"/>
      <c r="M452" s="16"/>
      <c r="N452" s="130" t="s">
        <v>38781</v>
      </c>
      <c r="O452" s="30"/>
      <c r="P452" s="30"/>
      <c r="Q452" s="30"/>
      <c r="R452" s="30"/>
      <c r="S452" s="30"/>
      <c r="T452" s="30"/>
      <c r="U452" s="30"/>
      <c r="V452" s="30"/>
      <c r="W452" s="30"/>
      <c r="X452" s="30"/>
    </row>
    <row r="453" ht="15.75" customHeight="1">
      <c r="A453" s="14" t="s">
        <v>2137</v>
      </c>
      <c r="B453" s="14">
        <v>1997.0</v>
      </c>
      <c r="C453" s="14" t="s">
        <v>3335</v>
      </c>
      <c r="D453" s="14" t="s">
        <v>3336</v>
      </c>
      <c r="E453" s="150" t="s">
        <v>3337</v>
      </c>
      <c r="F453" s="14">
        <v>30.0</v>
      </c>
      <c r="G453" s="14">
        <v>37.0</v>
      </c>
      <c r="H453" s="14" t="s">
        <v>28</v>
      </c>
      <c r="I453" s="14"/>
      <c r="J453" s="130" t="s">
        <v>3341</v>
      </c>
      <c r="K453" s="152" t="s">
        <v>2751</v>
      </c>
      <c r="L453" s="20" t="s">
        <v>1541</v>
      </c>
      <c r="M453" s="16"/>
      <c r="N453" s="130" t="s">
        <v>38327</v>
      </c>
      <c r="O453" s="30"/>
      <c r="P453" s="30"/>
      <c r="Q453" s="30"/>
      <c r="R453" s="30"/>
      <c r="S453" s="30"/>
      <c r="T453" s="30"/>
      <c r="U453" s="30"/>
      <c r="V453" s="30"/>
      <c r="W453" s="30"/>
      <c r="X453" s="30"/>
    </row>
    <row r="454" ht="15.75" customHeight="1">
      <c r="A454" s="14" t="s">
        <v>2137</v>
      </c>
      <c r="B454" s="14">
        <v>1997.0</v>
      </c>
      <c r="C454" s="14" t="s">
        <v>3342</v>
      </c>
      <c r="D454" s="14" t="s">
        <v>3343</v>
      </c>
      <c r="E454" s="150" t="s">
        <v>3344</v>
      </c>
      <c r="F454" s="14">
        <v>38.0</v>
      </c>
      <c r="G454" s="14">
        <v>45.0</v>
      </c>
      <c r="H454" s="14" t="s">
        <v>28</v>
      </c>
      <c r="I454" s="14"/>
      <c r="J454" s="130" t="s">
        <v>5123</v>
      </c>
      <c r="K454" s="152" t="s">
        <v>2638</v>
      </c>
      <c r="L454" s="20" t="s">
        <v>809</v>
      </c>
      <c r="M454" s="174" t="s">
        <v>3349</v>
      </c>
      <c r="N454" s="130" t="s">
        <v>38791</v>
      </c>
      <c r="O454" s="30"/>
      <c r="P454" s="30"/>
      <c r="Q454" s="30"/>
      <c r="R454" s="30"/>
      <c r="S454" s="30"/>
      <c r="T454" s="30"/>
      <c r="U454" s="30"/>
      <c r="V454" s="30"/>
      <c r="W454" s="30"/>
      <c r="X454" s="30"/>
    </row>
    <row r="455" ht="15.75" customHeight="1">
      <c r="A455" s="14" t="s">
        <v>2137</v>
      </c>
      <c r="B455" s="14">
        <v>1997.0</v>
      </c>
      <c r="C455" s="14" t="s">
        <v>3350</v>
      </c>
      <c r="D455" s="14" t="s">
        <v>3351</v>
      </c>
      <c r="E455" s="150" t="s">
        <v>3352</v>
      </c>
      <c r="F455" s="14">
        <v>46.0</v>
      </c>
      <c r="G455" s="14">
        <v>49.0</v>
      </c>
      <c r="H455" s="14" t="s">
        <v>28</v>
      </c>
      <c r="I455" s="14"/>
      <c r="J455" s="130" t="s">
        <v>3356</v>
      </c>
      <c r="K455" s="152" t="s">
        <v>3357</v>
      </c>
      <c r="L455" s="20" t="s">
        <v>2728</v>
      </c>
      <c r="M455" s="16"/>
      <c r="N455" s="130" t="s">
        <v>38796</v>
      </c>
      <c r="O455" s="30"/>
      <c r="P455" s="30"/>
      <c r="Q455" s="30"/>
      <c r="R455" s="30"/>
      <c r="S455" s="30"/>
      <c r="T455" s="30"/>
      <c r="U455" s="30"/>
      <c r="V455" s="30"/>
      <c r="W455" s="30"/>
      <c r="X455" s="30"/>
    </row>
    <row r="456" ht="15.75" customHeight="1">
      <c r="A456" s="14" t="s">
        <v>2137</v>
      </c>
      <c r="B456" s="14">
        <v>1997.0</v>
      </c>
      <c r="C456" s="14" t="s">
        <v>3358</v>
      </c>
      <c r="D456" s="14" t="s">
        <v>3359</v>
      </c>
      <c r="E456" s="150" t="s">
        <v>3360</v>
      </c>
      <c r="F456" s="14">
        <v>51.0</v>
      </c>
      <c r="G456" s="14">
        <v>58.0</v>
      </c>
      <c r="H456" s="14" t="s">
        <v>28</v>
      </c>
      <c r="I456" s="14"/>
      <c r="J456" s="130" t="s">
        <v>2757</v>
      </c>
      <c r="K456" s="152" t="s">
        <v>855</v>
      </c>
      <c r="L456" s="20" t="s">
        <v>2755</v>
      </c>
      <c r="M456" s="174" t="s">
        <v>3361</v>
      </c>
      <c r="N456" s="130" t="s">
        <v>15484</v>
      </c>
      <c r="O456" s="30"/>
      <c r="P456" s="30"/>
      <c r="Q456" s="30"/>
      <c r="R456" s="30"/>
      <c r="S456" s="30"/>
      <c r="T456" s="30"/>
      <c r="U456" s="30"/>
      <c r="V456" s="30"/>
      <c r="W456" s="30"/>
      <c r="X456" s="30"/>
    </row>
    <row r="457" ht="15.75" customHeight="1">
      <c r="A457" s="14" t="s">
        <v>2137</v>
      </c>
      <c r="B457" s="14">
        <v>1997.0</v>
      </c>
      <c r="C457" s="14" t="s">
        <v>3362</v>
      </c>
      <c r="D457" s="14" t="s">
        <v>3363</v>
      </c>
      <c r="E457" s="150" t="s">
        <v>3364</v>
      </c>
      <c r="F457" s="14">
        <v>59.0</v>
      </c>
      <c r="G457" s="14">
        <v>63.0</v>
      </c>
      <c r="H457" s="14" t="s">
        <v>28</v>
      </c>
      <c r="I457" s="14"/>
      <c r="J457" s="130" t="s">
        <v>3368</v>
      </c>
      <c r="K457" s="152" t="s">
        <v>3369</v>
      </c>
      <c r="L457" s="20"/>
      <c r="M457" s="174" t="s">
        <v>3370</v>
      </c>
      <c r="N457" s="130" t="s">
        <v>38802</v>
      </c>
      <c r="O457" s="30"/>
      <c r="P457" s="30"/>
      <c r="Q457" s="30"/>
      <c r="R457" s="30"/>
      <c r="S457" s="30"/>
      <c r="T457" s="30"/>
      <c r="U457" s="30"/>
      <c r="V457" s="30"/>
      <c r="W457" s="30"/>
      <c r="X457" s="30"/>
    </row>
    <row r="458" ht="15.75" customHeight="1">
      <c r="A458" s="14" t="s">
        <v>2137</v>
      </c>
      <c r="B458" s="14">
        <v>1997.0</v>
      </c>
      <c r="C458" s="14" t="s">
        <v>3371</v>
      </c>
      <c r="D458" s="14" t="s">
        <v>3372</v>
      </c>
      <c r="E458" s="150" t="s">
        <v>3374</v>
      </c>
      <c r="F458" s="14">
        <v>65.0</v>
      </c>
      <c r="G458" s="14">
        <v>72.0</v>
      </c>
      <c r="H458" s="14" t="s">
        <v>28</v>
      </c>
      <c r="I458" s="14"/>
      <c r="J458" s="130" t="s">
        <v>3378</v>
      </c>
      <c r="K458" s="152" t="s">
        <v>3379</v>
      </c>
      <c r="L458" s="20" t="s">
        <v>3380</v>
      </c>
      <c r="M458" s="16"/>
      <c r="N458" s="130" t="s">
        <v>38807</v>
      </c>
      <c r="O458" s="30"/>
      <c r="P458" s="30"/>
      <c r="Q458" s="30"/>
      <c r="R458" s="30"/>
      <c r="S458" s="30"/>
      <c r="T458" s="30"/>
      <c r="U458" s="30"/>
      <c r="V458" s="30"/>
      <c r="W458" s="30"/>
      <c r="X458" s="30"/>
    </row>
    <row r="459" ht="15.75" customHeight="1">
      <c r="A459" s="14" t="s">
        <v>2137</v>
      </c>
      <c r="B459" s="14">
        <v>1997.0</v>
      </c>
      <c r="C459" s="14" t="s">
        <v>3381</v>
      </c>
      <c r="D459" s="14" t="s">
        <v>3382</v>
      </c>
      <c r="E459" s="150" t="s">
        <v>3384</v>
      </c>
      <c r="F459" s="14">
        <v>73.0</v>
      </c>
      <c r="G459" s="14">
        <v>80.0</v>
      </c>
      <c r="H459" s="14" t="s">
        <v>28</v>
      </c>
      <c r="I459" s="14"/>
      <c r="J459" s="130" t="s">
        <v>3387</v>
      </c>
      <c r="K459" s="152" t="s">
        <v>3388</v>
      </c>
      <c r="L459" s="20" t="s">
        <v>3389</v>
      </c>
      <c r="M459" s="16"/>
      <c r="N459" s="130" t="s">
        <v>38812</v>
      </c>
      <c r="O459" s="30"/>
      <c r="P459" s="30"/>
      <c r="Q459" s="30"/>
      <c r="R459" s="30"/>
      <c r="S459" s="30"/>
      <c r="T459" s="30"/>
      <c r="U459" s="30"/>
      <c r="V459" s="30"/>
      <c r="W459" s="30"/>
      <c r="X459" s="30"/>
    </row>
    <row r="460" ht="15.75" customHeight="1">
      <c r="A460" s="14" t="s">
        <v>2137</v>
      </c>
      <c r="B460" s="14">
        <v>1997.0</v>
      </c>
      <c r="C460" s="14" t="s">
        <v>3390</v>
      </c>
      <c r="D460" s="14" t="s">
        <v>3391</v>
      </c>
      <c r="E460" s="150" t="s">
        <v>3392</v>
      </c>
      <c r="F460" s="14">
        <v>81.0</v>
      </c>
      <c r="G460" s="14">
        <v>86.0</v>
      </c>
      <c r="H460" s="14" t="s">
        <v>28</v>
      </c>
      <c r="I460" s="14"/>
      <c r="J460" s="130" t="s">
        <v>3396</v>
      </c>
      <c r="K460" s="152" t="s">
        <v>3397</v>
      </c>
      <c r="L460" s="20" t="s">
        <v>3398</v>
      </c>
      <c r="M460" s="174" t="s">
        <v>3399</v>
      </c>
      <c r="N460" s="130" t="s">
        <v>13159</v>
      </c>
      <c r="O460" s="30"/>
      <c r="P460" s="30"/>
      <c r="Q460" s="30"/>
      <c r="R460" s="30"/>
      <c r="S460" s="30"/>
      <c r="T460" s="30"/>
      <c r="U460" s="30"/>
      <c r="V460" s="30"/>
      <c r="W460" s="30"/>
      <c r="X460" s="30"/>
    </row>
    <row r="461" ht="15.75" customHeight="1">
      <c r="A461" s="14" t="s">
        <v>2137</v>
      </c>
      <c r="B461" s="14">
        <v>1997.0</v>
      </c>
      <c r="C461" s="14" t="s">
        <v>3401</v>
      </c>
      <c r="D461" s="14" t="s">
        <v>3402</v>
      </c>
      <c r="E461" s="150" t="s">
        <v>3403</v>
      </c>
      <c r="F461" s="14">
        <v>87.0</v>
      </c>
      <c r="G461" s="14">
        <v>90.0</v>
      </c>
      <c r="H461" s="14" t="s">
        <v>28</v>
      </c>
      <c r="I461" s="14"/>
      <c r="J461" s="130" t="s">
        <v>3405</v>
      </c>
      <c r="K461" s="152" t="s">
        <v>376</v>
      </c>
      <c r="L461" s="20" t="s">
        <v>3407</v>
      </c>
      <c r="M461" s="174" t="s">
        <v>3409</v>
      </c>
      <c r="N461" s="130" t="s">
        <v>38817</v>
      </c>
      <c r="O461" s="30"/>
      <c r="P461" s="30"/>
      <c r="Q461" s="30"/>
      <c r="R461" s="30"/>
      <c r="S461" s="30"/>
      <c r="T461" s="30"/>
      <c r="U461" s="30"/>
      <c r="V461" s="30"/>
      <c r="W461" s="30"/>
      <c r="X461" s="30"/>
    </row>
    <row r="462" ht="15.75" customHeight="1">
      <c r="A462" s="14" t="s">
        <v>2137</v>
      </c>
      <c r="B462" s="14">
        <v>1997.0</v>
      </c>
      <c r="C462" s="14" t="s">
        <v>3411</v>
      </c>
      <c r="D462" s="14" t="s">
        <v>3412</v>
      </c>
      <c r="E462" s="150" t="s">
        <v>3413</v>
      </c>
      <c r="F462" s="14">
        <v>92.0</v>
      </c>
      <c r="G462" s="14">
        <v>99.0</v>
      </c>
      <c r="H462" s="14" t="s">
        <v>28</v>
      </c>
      <c r="I462" s="14"/>
      <c r="J462" s="130" t="s">
        <v>3417</v>
      </c>
      <c r="K462" s="152" t="s">
        <v>3369</v>
      </c>
      <c r="L462" s="20" t="s">
        <v>3418</v>
      </c>
      <c r="M462" s="174" t="s">
        <v>3419</v>
      </c>
      <c r="N462" s="130" t="s">
        <v>38822</v>
      </c>
      <c r="O462" s="30"/>
      <c r="P462" s="30"/>
      <c r="Q462" s="30"/>
      <c r="R462" s="30"/>
      <c r="S462" s="30"/>
      <c r="T462" s="30"/>
      <c r="U462" s="30"/>
      <c r="V462" s="30"/>
      <c r="W462" s="30"/>
      <c r="X462" s="30"/>
    </row>
    <row r="463" ht="15.75" customHeight="1">
      <c r="A463" s="14" t="s">
        <v>2137</v>
      </c>
      <c r="B463" s="14">
        <v>1997.0</v>
      </c>
      <c r="C463" s="14" t="s">
        <v>3420</v>
      </c>
      <c r="D463" s="14" t="s">
        <v>3421</v>
      </c>
      <c r="E463" s="150" t="s">
        <v>3422</v>
      </c>
      <c r="F463" s="14">
        <v>100.0</v>
      </c>
      <c r="G463" s="14">
        <v>107.0</v>
      </c>
      <c r="H463" s="14" t="s">
        <v>28</v>
      </c>
      <c r="I463" s="14"/>
      <c r="J463" s="130" t="s">
        <v>3426</v>
      </c>
      <c r="K463" s="152" t="s">
        <v>3427</v>
      </c>
      <c r="L463" s="20" t="s">
        <v>3428</v>
      </c>
      <c r="M463" s="16"/>
      <c r="N463" s="130" t="s">
        <v>38829</v>
      </c>
      <c r="O463" s="30"/>
      <c r="P463" s="30"/>
      <c r="Q463" s="30"/>
      <c r="R463" s="30"/>
      <c r="S463" s="30"/>
      <c r="T463" s="30"/>
      <c r="U463" s="30"/>
      <c r="V463" s="30"/>
      <c r="W463" s="30"/>
      <c r="X463" s="30"/>
    </row>
    <row r="464" ht="15.75" customHeight="1">
      <c r="A464" s="14" t="s">
        <v>2137</v>
      </c>
      <c r="B464" s="14">
        <v>1997.0</v>
      </c>
      <c r="C464" s="14" t="s">
        <v>3429</v>
      </c>
      <c r="D464" s="14" t="s">
        <v>3430</v>
      </c>
      <c r="E464" s="150" t="s">
        <v>3432</v>
      </c>
      <c r="F464" s="14">
        <v>108.0</v>
      </c>
      <c r="G464" s="14">
        <v>111.0</v>
      </c>
      <c r="H464" s="14" t="s">
        <v>28</v>
      </c>
      <c r="I464" s="14"/>
      <c r="J464" s="130" t="s">
        <v>3435</v>
      </c>
      <c r="K464" s="152" t="s">
        <v>3436</v>
      </c>
      <c r="L464" s="20" t="s">
        <v>3438</v>
      </c>
      <c r="M464" s="16"/>
      <c r="N464" s="152" t="s">
        <v>3436</v>
      </c>
      <c r="O464" s="30"/>
      <c r="P464" s="30"/>
      <c r="Q464" s="30"/>
      <c r="R464" s="30"/>
      <c r="S464" s="30"/>
      <c r="T464" s="30"/>
      <c r="U464" s="30"/>
      <c r="V464" s="30"/>
      <c r="W464" s="30"/>
      <c r="X464" s="30"/>
    </row>
    <row r="465" ht="15.75" customHeight="1">
      <c r="A465" s="14" t="s">
        <v>17</v>
      </c>
      <c r="B465" s="14">
        <v>1997.0</v>
      </c>
      <c r="C465" s="14" t="s">
        <v>3441</v>
      </c>
      <c r="D465" s="14" t="s">
        <v>3442</v>
      </c>
      <c r="E465" s="150" t="s">
        <v>3443</v>
      </c>
      <c r="F465" s="14">
        <v>19.0</v>
      </c>
      <c r="G465" s="14">
        <v>26.0</v>
      </c>
      <c r="H465" s="14" t="s">
        <v>28</v>
      </c>
      <c r="I465" s="14"/>
      <c r="J465" s="130" t="s">
        <v>5198</v>
      </c>
      <c r="K465" s="152" t="s">
        <v>2670</v>
      </c>
      <c r="L465" s="20" t="s">
        <v>2052</v>
      </c>
      <c r="M465" s="174" t="s">
        <v>3447</v>
      </c>
      <c r="N465" s="130" t="s">
        <v>38835</v>
      </c>
      <c r="O465" s="30"/>
      <c r="P465" s="30"/>
      <c r="Q465" s="30"/>
      <c r="R465" s="30"/>
      <c r="S465" s="30"/>
      <c r="T465" s="30"/>
      <c r="U465" s="30"/>
      <c r="V465" s="30"/>
      <c r="W465" s="30"/>
      <c r="X465" s="30"/>
    </row>
    <row r="466" ht="15.75" customHeight="1">
      <c r="A466" s="14" t="s">
        <v>17</v>
      </c>
      <c r="B466" s="14">
        <v>1997.0</v>
      </c>
      <c r="C466" s="14" t="s">
        <v>3448</v>
      </c>
      <c r="D466" s="14" t="s">
        <v>3449</v>
      </c>
      <c r="E466" s="150" t="s">
        <v>3450</v>
      </c>
      <c r="F466" s="14">
        <v>27.0</v>
      </c>
      <c r="G466" s="14">
        <v>34.0</v>
      </c>
      <c r="H466" s="14" t="s">
        <v>28</v>
      </c>
      <c r="I466" s="14"/>
      <c r="J466" s="130" t="s">
        <v>1460</v>
      </c>
      <c r="K466" s="152" t="s">
        <v>2266</v>
      </c>
      <c r="L466" s="20" t="s">
        <v>3454</v>
      </c>
      <c r="M466" s="174" t="s">
        <v>3455</v>
      </c>
      <c r="N466" s="130" t="s">
        <v>38843</v>
      </c>
      <c r="O466" s="30"/>
      <c r="P466" s="30"/>
      <c r="Q466" s="30"/>
      <c r="R466" s="30"/>
      <c r="S466" s="30"/>
      <c r="T466" s="30"/>
      <c r="U466" s="30"/>
      <c r="V466" s="30"/>
      <c r="W466" s="30"/>
      <c r="X466" s="30"/>
    </row>
    <row r="467" ht="15.75" customHeight="1">
      <c r="A467" s="14" t="s">
        <v>17</v>
      </c>
      <c r="B467" s="14">
        <v>1997.0</v>
      </c>
      <c r="C467" s="14" t="s">
        <v>3456</v>
      </c>
      <c r="D467" s="14" t="s">
        <v>3457</v>
      </c>
      <c r="E467" s="150" t="s">
        <v>3458</v>
      </c>
      <c r="F467" s="14">
        <v>35.0</v>
      </c>
      <c r="G467" s="14">
        <v>42.0</v>
      </c>
      <c r="H467" s="14" t="s">
        <v>28</v>
      </c>
      <c r="I467" s="14"/>
      <c r="J467" s="130" t="s">
        <v>5209</v>
      </c>
      <c r="K467" s="152" t="s">
        <v>3463</v>
      </c>
      <c r="L467" s="20" t="s">
        <v>3464</v>
      </c>
      <c r="M467" s="16"/>
      <c r="N467" s="130" t="s">
        <v>38847</v>
      </c>
      <c r="O467" s="30"/>
      <c r="P467" s="30"/>
      <c r="Q467" s="30"/>
      <c r="R467" s="30"/>
      <c r="S467" s="30"/>
      <c r="T467" s="30"/>
      <c r="U467" s="30"/>
      <c r="V467" s="30"/>
      <c r="W467" s="30"/>
      <c r="X467" s="30"/>
    </row>
    <row r="468" ht="15.75" customHeight="1">
      <c r="A468" s="14" t="s">
        <v>17</v>
      </c>
      <c r="B468" s="14">
        <v>1997.0</v>
      </c>
      <c r="C468" s="14" t="s">
        <v>3465</v>
      </c>
      <c r="D468" s="14" t="s">
        <v>3466</v>
      </c>
      <c r="E468" s="150" t="s">
        <v>3468</v>
      </c>
      <c r="F468" s="14">
        <v>43.0</v>
      </c>
      <c r="G468" s="14">
        <v>50.0</v>
      </c>
      <c r="H468" s="14" t="s">
        <v>28</v>
      </c>
      <c r="I468" s="14"/>
      <c r="J468" s="130" t="s">
        <v>3471</v>
      </c>
      <c r="K468" s="152" t="s">
        <v>3472</v>
      </c>
      <c r="L468" s="20" t="s">
        <v>3473</v>
      </c>
      <c r="M468" s="174" t="s">
        <v>3474</v>
      </c>
      <c r="N468" s="130" t="s">
        <v>38851</v>
      </c>
      <c r="O468" s="30"/>
      <c r="P468" s="30"/>
      <c r="Q468" s="30"/>
      <c r="R468" s="30"/>
      <c r="S468" s="30"/>
      <c r="T468" s="30"/>
      <c r="U468" s="30"/>
      <c r="V468" s="30"/>
      <c r="W468" s="30"/>
      <c r="X468" s="30"/>
    </row>
    <row r="469" ht="15.75" customHeight="1">
      <c r="A469" s="14" t="s">
        <v>17</v>
      </c>
      <c r="B469" s="14">
        <v>1997.0</v>
      </c>
      <c r="C469" s="14" t="s">
        <v>3476</v>
      </c>
      <c r="D469" s="14" t="s">
        <v>3477</v>
      </c>
      <c r="E469" s="150" t="s">
        <v>3479</v>
      </c>
      <c r="F469" s="14">
        <v>51.0</v>
      </c>
      <c r="G469" s="14">
        <v>57.0</v>
      </c>
      <c r="H469" s="14" t="s">
        <v>28</v>
      </c>
      <c r="I469" s="14"/>
      <c r="J469" s="130" t="s">
        <v>3481</v>
      </c>
      <c r="K469" s="152" t="s">
        <v>3482</v>
      </c>
      <c r="L469" s="20" t="s">
        <v>3483</v>
      </c>
      <c r="M469" s="16"/>
      <c r="N469" s="152" t="s">
        <v>3482</v>
      </c>
      <c r="O469" s="30"/>
      <c r="P469" s="30"/>
      <c r="Q469" s="30"/>
      <c r="R469" s="30"/>
      <c r="S469" s="30"/>
      <c r="T469" s="30"/>
      <c r="U469" s="30"/>
      <c r="V469" s="30"/>
      <c r="W469" s="30"/>
      <c r="X469" s="30"/>
    </row>
    <row r="470" ht="15.75" customHeight="1">
      <c r="A470" s="14" t="s">
        <v>17</v>
      </c>
      <c r="B470" s="14">
        <v>1997.0</v>
      </c>
      <c r="C470" s="14" t="s">
        <v>3484</v>
      </c>
      <c r="D470" s="14" t="s">
        <v>3485</v>
      </c>
      <c r="E470" s="150" t="s">
        <v>3486</v>
      </c>
      <c r="F470" s="14">
        <v>59.0</v>
      </c>
      <c r="G470" s="14">
        <v>66.0</v>
      </c>
      <c r="H470" s="14" t="s">
        <v>28</v>
      </c>
      <c r="I470" s="14"/>
      <c r="J470" s="130" t="s">
        <v>3490</v>
      </c>
      <c r="K470" s="152" t="s">
        <v>3491</v>
      </c>
      <c r="L470" s="20" t="s">
        <v>1084</v>
      </c>
      <c r="M470" s="16"/>
      <c r="N470" s="130" t="s">
        <v>38862</v>
      </c>
      <c r="O470" s="30"/>
      <c r="P470" s="30"/>
      <c r="Q470" s="30"/>
      <c r="R470" s="30"/>
      <c r="S470" s="30"/>
      <c r="T470" s="30"/>
      <c r="U470" s="30"/>
      <c r="V470" s="30"/>
      <c r="W470" s="30"/>
      <c r="X470" s="30"/>
    </row>
    <row r="471" ht="15.75" customHeight="1">
      <c r="A471" s="14" t="s">
        <v>17</v>
      </c>
      <c r="B471" s="14">
        <v>1997.0</v>
      </c>
      <c r="C471" s="14" t="s">
        <v>3492</v>
      </c>
      <c r="D471" s="14" t="s">
        <v>3493</v>
      </c>
      <c r="E471" s="150" t="s">
        <v>3494</v>
      </c>
      <c r="F471" s="14">
        <v>67.0</v>
      </c>
      <c r="G471" s="14">
        <v>74.0</v>
      </c>
      <c r="H471" s="14" t="s">
        <v>28</v>
      </c>
      <c r="I471" s="14"/>
      <c r="J471" s="130" t="s">
        <v>5253</v>
      </c>
      <c r="K471" s="152" t="s">
        <v>1943</v>
      </c>
      <c r="L471" s="20"/>
      <c r="M471" s="16"/>
      <c r="N471" s="152" t="s">
        <v>1943</v>
      </c>
      <c r="O471" s="30"/>
      <c r="P471" s="30"/>
      <c r="Q471" s="30"/>
      <c r="R471" s="30"/>
      <c r="S471" s="30"/>
      <c r="T471" s="30"/>
      <c r="U471" s="30"/>
      <c r="V471" s="30"/>
      <c r="W471" s="30"/>
      <c r="X471" s="30"/>
    </row>
    <row r="472" ht="15.75" customHeight="1">
      <c r="A472" s="14" t="s">
        <v>17</v>
      </c>
      <c r="B472" s="14">
        <v>1997.0</v>
      </c>
      <c r="C472" s="14" t="s">
        <v>3499</v>
      </c>
      <c r="D472" s="14" t="s">
        <v>3500</v>
      </c>
      <c r="E472" s="150" t="s">
        <v>3501</v>
      </c>
      <c r="F472" s="14">
        <v>75.0</v>
      </c>
      <c r="G472" s="14">
        <v>80.0</v>
      </c>
      <c r="H472" s="14" t="s">
        <v>28</v>
      </c>
      <c r="I472" s="14"/>
      <c r="J472" s="130" t="s">
        <v>3503</v>
      </c>
      <c r="K472" s="152" t="s">
        <v>3505</v>
      </c>
      <c r="L472" s="20" t="s">
        <v>3506</v>
      </c>
      <c r="M472" s="174" t="s">
        <v>3507</v>
      </c>
      <c r="N472" s="130" t="s">
        <v>38603</v>
      </c>
      <c r="O472" s="30"/>
      <c r="P472" s="30"/>
      <c r="Q472" s="30"/>
      <c r="R472" s="30"/>
      <c r="S472" s="30"/>
      <c r="T472" s="30"/>
      <c r="U472" s="30"/>
      <c r="V472" s="30"/>
      <c r="W472" s="30"/>
      <c r="X472" s="30"/>
    </row>
    <row r="473" ht="15.75" customHeight="1">
      <c r="A473" s="14" t="s">
        <v>17</v>
      </c>
      <c r="B473" s="14">
        <v>1997.0</v>
      </c>
      <c r="C473" s="14" t="s">
        <v>3508</v>
      </c>
      <c r="D473" s="14" t="s">
        <v>3509</v>
      </c>
      <c r="E473" s="150" t="s">
        <v>3510</v>
      </c>
      <c r="F473" s="14">
        <v>81.0</v>
      </c>
      <c r="G473" s="14">
        <v>88.0</v>
      </c>
      <c r="H473" s="14" t="s">
        <v>28</v>
      </c>
      <c r="I473" s="14"/>
      <c r="J473" s="130" t="s">
        <v>3511</v>
      </c>
      <c r="K473" s="152" t="s">
        <v>3512</v>
      </c>
      <c r="L473" s="20" t="s">
        <v>3513</v>
      </c>
      <c r="M473" s="174" t="s">
        <v>3514</v>
      </c>
      <c r="N473" s="152" t="s">
        <v>3512</v>
      </c>
      <c r="O473" s="30"/>
      <c r="P473" s="30"/>
      <c r="Q473" s="30"/>
      <c r="R473" s="30"/>
      <c r="S473" s="30"/>
      <c r="T473" s="30"/>
      <c r="U473" s="30"/>
      <c r="V473" s="30"/>
      <c r="W473" s="30"/>
      <c r="X473" s="30"/>
    </row>
    <row r="474" ht="15.75" customHeight="1">
      <c r="A474" s="14" t="s">
        <v>17</v>
      </c>
      <c r="B474" s="14">
        <v>1997.0</v>
      </c>
      <c r="C474" s="14" t="s">
        <v>3515</v>
      </c>
      <c r="D474" s="14" t="s">
        <v>3516</v>
      </c>
      <c r="E474" s="150" t="s">
        <v>3517</v>
      </c>
      <c r="F474" s="14">
        <v>89.0</v>
      </c>
      <c r="G474" s="14">
        <v>94.0</v>
      </c>
      <c r="H474" s="14" t="s">
        <v>28</v>
      </c>
      <c r="I474" s="14"/>
      <c r="J474" s="130" t="s">
        <v>3518</v>
      </c>
      <c r="K474" s="152" t="s">
        <v>3519</v>
      </c>
      <c r="L474" s="20" t="s">
        <v>800</v>
      </c>
      <c r="M474" s="174" t="s">
        <v>3520</v>
      </c>
      <c r="N474" s="130" t="s">
        <v>38872</v>
      </c>
      <c r="O474" s="30"/>
      <c r="P474" s="30"/>
      <c r="Q474" s="30"/>
      <c r="R474" s="30"/>
      <c r="S474" s="30"/>
      <c r="T474" s="30"/>
      <c r="U474" s="30"/>
      <c r="V474" s="30"/>
      <c r="W474" s="30"/>
      <c r="X474" s="30"/>
    </row>
    <row r="475" ht="15.75" customHeight="1">
      <c r="A475" s="14" t="s">
        <v>17</v>
      </c>
      <c r="B475" s="14">
        <v>1997.0</v>
      </c>
      <c r="C475" s="14" t="s">
        <v>3521</v>
      </c>
      <c r="D475" s="14" t="s">
        <v>3522</v>
      </c>
      <c r="E475" s="150" t="s">
        <v>3523</v>
      </c>
      <c r="F475" s="14">
        <v>95.0</v>
      </c>
      <c r="G475" s="14">
        <v>102.0</v>
      </c>
      <c r="H475" s="14" t="s">
        <v>28</v>
      </c>
      <c r="I475" s="14"/>
      <c r="J475" s="130" t="s">
        <v>3524</v>
      </c>
      <c r="K475" s="152" t="s">
        <v>3525</v>
      </c>
      <c r="L475" s="20" t="s">
        <v>2854</v>
      </c>
      <c r="M475" s="174" t="s">
        <v>3526</v>
      </c>
      <c r="N475" s="130" t="s">
        <v>38879</v>
      </c>
      <c r="O475" s="30"/>
      <c r="P475" s="30"/>
      <c r="Q475" s="30"/>
      <c r="R475" s="30"/>
      <c r="S475" s="30"/>
      <c r="T475" s="30"/>
      <c r="U475" s="30"/>
      <c r="V475" s="30"/>
      <c r="W475" s="30"/>
      <c r="X475" s="30"/>
    </row>
    <row r="476" ht="15.75" customHeight="1">
      <c r="A476" s="14" t="s">
        <v>17</v>
      </c>
      <c r="B476" s="14">
        <v>1997.0</v>
      </c>
      <c r="C476" s="14" t="s">
        <v>3527</v>
      </c>
      <c r="D476" s="14" t="s">
        <v>3528</v>
      </c>
      <c r="E476" s="150" t="s">
        <v>3529</v>
      </c>
      <c r="F476" s="14">
        <v>103.0</v>
      </c>
      <c r="G476" s="14">
        <v>110.0</v>
      </c>
      <c r="H476" s="14" t="s">
        <v>28</v>
      </c>
      <c r="I476" s="14"/>
      <c r="J476" s="130" t="s">
        <v>3530</v>
      </c>
      <c r="K476" s="152" t="s">
        <v>3531</v>
      </c>
      <c r="L476" s="20"/>
      <c r="M476" s="16"/>
      <c r="N476" s="130" t="s">
        <v>38881</v>
      </c>
      <c r="O476" s="30"/>
      <c r="P476" s="30"/>
      <c r="Q476" s="30"/>
      <c r="R476" s="30"/>
      <c r="S476" s="30"/>
      <c r="T476" s="30"/>
      <c r="U476" s="30"/>
      <c r="V476" s="30"/>
      <c r="W476" s="30"/>
      <c r="X476" s="30"/>
    </row>
    <row r="477" ht="15.75" customHeight="1">
      <c r="A477" s="14" t="s">
        <v>17</v>
      </c>
      <c r="B477" s="14">
        <v>1997.0</v>
      </c>
      <c r="C477" s="14" t="s">
        <v>3532</v>
      </c>
      <c r="D477" s="14" t="s">
        <v>3533</v>
      </c>
      <c r="E477" s="150" t="s">
        <v>3534</v>
      </c>
      <c r="F477" s="14">
        <v>111.0</v>
      </c>
      <c r="G477" s="14">
        <v>118.0</v>
      </c>
      <c r="H477" s="14" t="s">
        <v>28</v>
      </c>
      <c r="I477" s="14"/>
      <c r="J477" s="130" t="s">
        <v>2450</v>
      </c>
      <c r="K477" s="152" t="s">
        <v>2451</v>
      </c>
      <c r="L477" s="20" t="s">
        <v>3535</v>
      </c>
      <c r="M477" s="16"/>
      <c r="N477" s="130" t="s">
        <v>38445</v>
      </c>
      <c r="O477" s="30"/>
      <c r="P477" s="30"/>
      <c r="Q477" s="30"/>
      <c r="R477" s="30"/>
      <c r="S477" s="30"/>
      <c r="T477" s="30"/>
      <c r="U477" s="30"/>
      <c r="V477" s="30"/>
      <c r="W477" s="30"/>
      <c r="X477" s="30"/>
    </row>
    <row r="478" ht="15.75" customHeight="1">
      <c r="A478" s="14" t="s">
        <v>17</v>
      </c>
      <c r="B478" s="14">
        <v>1997.0</v>
      </c>
      <c r="C478" s="14" t="s">
        <v>3536</v>
      </c>
      <c r="D478" s="14" t="s">
        <v>3537</v>
      </c>
      <c r="E478" s="150" t="s">
        <v>3538</v>
      </c>
      <c r="F478" s="14">
        <v>119.0</v>
      </c>
      <c r="G478" s="14">
        <v>125.0</v>
      </c>
      <c r="H478" s="14" t="s">
        <v>28</v>
      </c>
      <c r="I478" s="14"/>
      <c r="J478" s="130" t="s">
        <v>38888</v>
      </c>
      <c r="K478" s="152" t="s">
        <v>3540</v>
      </c>
      <c r="L478" s="20" t="s">
        <v>3541</v>
      </c>
      <c r="M478" s="16"/>
      <c r="N478" s="130" t="s">
        <v>38889</v>
      </c>
      <c r="O478" s="30"/>
      <c r="P478" s="30"/>
      <c r="Q478" s="30"/>
      <c r="R478" s="30"/>
      <c r="S478" s="30"/>
      <c r="T478" s="30"/>
      <c r="U478" s="30"/>
      <c r="V478" s="30"/>
      <c r="W478" s="30"/>
      <c r="X478" s="30"/>
    </row>
    <row r="479" ht="15.75" customHeight="1">
      <c r="A479" s="14" t="s">
        <v>17</v>
      </c>
      <c r="B479" s="14">
        <v>1997.0</v>
      </c>
      <c r="C479" s="14" t="s">
        <v>3542</v>
      </c>
      <c r="D479" s="14" t="s">
        <v>3543</v>
      </c>
      <c r="E479" s="150" t="s">
        <v>3544</v>
      </c>
      <c r="F479" s="14">
        <v>127.0</v>
      </c>
      <c r="G479" s="14">
        <v>134.0</v>
      </c>
      <c r="H479" s="14" t="s">
        <v>28</v>
      </c>
      <c r="I479" s="14"/>
      <c r="J479" s="130" t="s">
        <v>3545</v>
      </c>
      <c r="K479" s="152" t="s">
        <v>3546</v>
      </c>
      <c r="L479" s="20" t="s">
        <v>3547</v>
      </c>
      <c r="M479" s="16"/>
      <c r="N479" s="130" t="s">
        <v>38460</v>
      </c>
      <c r="O479" s="30"/>
      <c r="P479" s="30"/>
      <c r="Q479" s="30"/>
      <c r="R479" s="30"/>
      <c r="S479" s="30"/>
      <c r="T479" s="30"/>
      <c r="U479" s="30"/>
      <c r="V479" s="30"/>
      <c r="W479" s="30"/>
      <c r="X479" s="30"/>
    </row>
    <row r="480" ht="15.75" customHeight="1">
      <c r="A480" s="14" t="s">
        <v>17</v>
      </c>
      <c r="B480" s="14">
        <v>1997.0</v>
      </c>
      <c r="C480" s="14" t="s">
        <v>3548</v>
      </c>
      <c r="D480" s="14" t="s">
        <v>3549</v>
      </c>
      <c r="E480" s="150" t="s">
        <v>3550</v>
      </c>
      <c r="F480" s="14">
        <v>135.0</v>
      </c>
      <c r="G480" s="14">
        <v>142.0</v>
      </c>
      <c r="H480" s="14" t="s">
        <v>28</v>
      </c>
      <c r="I480" s="14"/>
      <c r="J480" s="130" t="s">
        <v>38902</v>
      </c>
      <c r="K480" s="152" t="s">
        <v>3552</v>
      </c>
      <c r="L480" s="20" t="s">
        <v>3122</v>
      </c>
      <c r="M480" s="174" t="s">
        <v>3553</v>
      </c>
      <c r="N480" s="130" t="s">
        <v>35151</v>
      </c>
      <c r="O480" s="30"/>
      <c r="P480" s="30"/>
      <c r="Q480" s="30"/>
      <c r="R480" s="30"/>
      <c r="S480" s="30"/>
      <c r="T480" s="30"/>
      <c r="U480" s="30"/>
      <c r="V480" s="30"/>
      <c r="W480" s="30"/>
      <c r="X480" s="30"/>
    </row>
    <row r="481" ht="15.75" customHeight="1">
      <c r="A481" s="14" t="s">
        <v>17</v>
      </c>
      <c r="B481" s="14">
        <v>1997.0</v>
      </c>
      <c r="C481" s="14" t="s">
        <v>3554</v>
      </c>
      <c r="D481" s="14" t="s">
        <v>3555</v>
      </c>
      <c r="E481" s="150" t="s">
        <v>3556</v>
      </c>
      <c r="F481" s="14">
        <v>143.0</v>
      </c>
      <c r="G481" s="14">
        <v>149.0</v>
      </c>
      <c r="H481" s="14" t="s">
        <v>28</v>
      </c>
      <c r="I481" s="14"/>
      <c r="J481" s="130" t="s">
        <v>3557</v>
      </c>
      <c r="K481" s="152" t="s">
        <v>3558</v>
      </c>
      <c r="L481" s="20"/>
      <c r="M481" s="16"/>
      <c r="N481" s="130" t="s">
        <v>38908</v>
      </c>
      <c r="O481" s="30"/>
      <c r="P481" s="30"/>
      <c r="Q481" s="30"/>
      <c r="R481" s="30"/>
      <c r="S481" s="30"/>
      <c r="T481" s="30"/>
      <c r="U481" s="30"/>
      <c r="V481" s="30"/>
      <c r="W481" s="30"/>
      <c r="X481" s="30"/>
    </row>
    <row r="482" ht="15.75" customHeight="1">
      <c r="A482" s="14" t="s">
        <v>17</v>
      </c>
      <c r="B482" s="14">
        <v>1997.0</v>
      </c>
      <c r="C482" s="14" t="s">
        <v>3559</v>
      </c>
      <c r="D482" s="14" t="s">
        <v>3560</v>
      </c>
      <c r="E482" s="150" t="s">
        <v>3561</v>
      </c>
      <c r="F482" s="14">
        <v>151.0</v>
      </c>
      <c r="G482" s="14">
        <v>158.0</v>
      </c>
      <c r="H482" s="14" t="s">
        <v>28</v>
      </c>
      <c r="I482" s="14"/>
      <c r="J482" s="130" t="s">
        <v>3562</v>
      </c>
      <c r="K482" s="152" t="s">
        <v>3563</v>
      </c>
      <c r="L482" s="20" t="s">
        <v>3564</v>
      </c>
      <c r="M482" s="174" t="s">
        <v>3565</v>
      </c>
      <c r="N482" s="130" t="s">
        <v>38910</v>
      </c>
      <c r="O482" s="30"/>
      <c r="P482" s="30"/>
      <c r="Q482" s="30"/>
      <c r="R482" s="30"/>
      <c r="S482" s="30"/>
      <c r="T482" s="30"/>
      <c r="U482" s="30"/>
      <c r="V482" s="30"/>
      <c r="W482" s="30"/>
      <c r="X482" s="30"/>
    </row>
    <row r="483" ht="15.75" customHeight="1">
      <c r="A483" s="14" t="s">
        <v>17</v>
      </c>
      <c r="B483" s="14">
        <v>1997.0</v>
      </c>
      <c r="C483" s="14" t="s">
        <v>3566</v>
      </c>
      <c r="D483" s="14" t="s">
        <v>3567</v>
      </c>
      <c r="E483" s="150" t="s">
        <v>3568</v>
      </c>
      <c r="F483" s="14">
        <v>159.0</v>
      </c>
      <c r="G483" s="14">
        <v>166.0</v>
      </c>
      <c r="H483" s="14" t="s">
        <v>28</v>
      </c>
      <c r="I483" s="14"/>
      <c r="J483" s="130" t="s">
        <v>1137</v>
      </c>
      <c r="K483" s="152" t="s">
        <v>3569</v>
      </c>
      <c r="L483" s="20" t="s">
        <v>3570</v>
      </c>
      <c r="M483" s="16"/>
      <c r="N483" s="130" t="s">
        <v>38515</v>
      </c>
      <c r="O483" s="30"/>
      <c r="P483" s="30"/>
      <c r="Q483" s="30"/>
      <c r="R483" s="30"/>
      <c r="S483" s="30"/>
      <c r="T483" s="30"/>
      <c r="U483" s="30"/>
      <c r="V483" s="30"/>
      <c r="W483" s="30"/>
      <c r="X483" s="30"/>
    </row>
    <row r="484" ht="15.75" customHeight="1">
      <c r="A484" s="14" t="s">
        <v>17</v>
      </c>
      <c r="B484" s="14">
        <v>1997.0</v>
      </c>
      <c r="C484" s="14" t="s">
        <v>3571</v>
      </c>
      <c r="D484" s="14" t="s">
        <v>3572</v>
      </c>
      <c r="E484" s="150" t="s">
        <v>3573</v>
      </c>
      <c r="F484" s="14">
        <v>167.0</v>
      </c>
      <c r="G484" s="14">
        <v>173.0</v>
      </c>
      <c r="H484" s="14" t="s">
        <v>28</v>
      </c>
      <c r="I484" s="14"/>
      <c r="J484" s="130" t="s">
        <v>3574</v>
      </c>
      <c r="K484" s="152" t="s">
        <v>3575</v>
      </c>
      <c r="L484" s="20" t="s">
        <v>3576</v>
      </c>
      <c r="M484" s="174" t="s">
        <v>3577</v>
      </c>
      <c r="N484" s="130" t="s">
        <v>38919</v>
      </c>
      <c r="O484" s="30"/>
      <c r="P484" s="30"/>
      <c r="Q484" s="30"/>
      <c r="R484" s="30"/>
      <c r="S484" s="30"/>
      <c r="T484" s="30"/>
      <c r="U484" s="30"/>
      <c r="V484" s="30"/>
      <c r="W484" s="30"/>
      <c r="X484" s="30"/>
    </row>
    <row r="485" ht="15.75" customHeight="1">
      <c r="A485" s="14" t="s">
        <v>17</v>
      </c>
      <c r="B485" s="14">
        <v>1997.0</v>
      </c>
      <c r="C485" s="14" t="s">
        <v>3578</v>
      </c>
      <c r="D485" s="14" t="s">
        <v>3579</v>
      </c>
      <c r="E485" s="150" t="s">
        <v>3580</v>
      </c>
      <c r="F485" s="14">
        <v>175.0</v>
      </c>
      <c r="G485" s="14">
        <v>182.0</v>
      </c>
      <c r="H485" s="14" t="s">
        <v>28</v>
      </c>
      <c r="I485" s="14"/>
      <c r="J485" s="130" t="s">
        <v>3581</v>
      </c>
      <c r="K485" s="152" t="s">
        <v>855</v>
      </c>
      <c r="L485" s="20" t="s">
        <v>2387</v>
      </c>
      <c r="M485" s="174" t="s">
        <v>3582</v>
      </c>
      <c r="N485" s="130" t="s">
        <v>35345</v>
      </c>
      <c r="O485" s="30"/>
      <c r="P485" s="30"/>
      <c r="Q485" s="30"/>
      <c r="R485" s="30"/>
      <c r="S485" s="30"/>
      <c r="T485" s="30"/>
      <c r="U485" s="30"/>
      <c r="V485" s="30"/>
      <c r="W485" s="30"/>
      <c r="X485" s="30"/>
    </row>
    <row r="486" ht="15.75" customHeight="1">
      <c r="A486" s="14" t="s">
        <v>17</v>
      </c>
      <c r="B486" s="14">
        <v>1997.0</v>
      </c>
      <c r="C486" s="14" t="s">
        <v>3583</v>
      </c>
      <c r="D486" s="14" t="s">
        <v>3584</v>
      </c>
      <c r="E486" s="150" t="s">
        <v>3585</v>
      </c>
      <c r="F486" s="14">
        <v>183.0</v>
      </c>
      <c r="G486" s="14">
        <v>189.0</v>
      </c>
      <c r="H486" s="14" t="s">
        <v>28</v>
      </c>
      <c r="I486" s="14"/>
      <c r="J486" s="130" t="s">
        <v>3586</v>
      </c>
      <c r="K486" s="152" t="s">
        <v>3587</v>
      </c>
      <c r="L486" s="20" t="s">
        <v>3588</v>
      </c>
      <c r="M486" s="174" t="s">
        <v>3589</v>
      </c>
      <c r="N486" s="130" t="s">
        <v>38931</v>
      </c>
      <c r="O486" s="30"/>
      <c r="P486" s="30"/>
      <c r="Q486" s="30"/>
      <c r="R486" s="30"/>
      <c r="S486" s="30"/>
      <c r="T486" s="30"/>
      <c r="U486" s="30"/>
      <c r="V486" s="30"/>
      <c r="W486" s="30"/>
      <c r="X486" s="30"/>
    </row>
    <row r="487" ht="15.75" customHeight="1">
      <c r="A487" s="14" t="s">
        <v>17</v>
      </c>
      <c r="B487" s="14">
        <v>1997.0</v>
      </c>
      <c r="C487" s="14" t="s">
        <v>3590</v>
      </c>
      <c r="D487" s="14" t="s">
        <v>3591</v>
      </c>
      <c r="E487" s="150" t="s">
        <v>3592</v>
      </c>
      <c r="F487" s="14">
        <v>191.0</v>
      </c>
      <c r="G487" s="14">
        <v>196.0</v>
      </c>
      <c r="H487" s="14" t="s">
        <v>28</v>
      </c>
      <c r="I487" s="14"/>
      <c r="J487" s="130" t="s">
        <v>3593</v>
      </c>
      <c r="K487" s="152" t="s">
        <v>3594</v>
      </c>
      <c r="L487" s="20" t="s">
        <v>174</v>
      </c>
      <c r="M487" s="174" t="s">
        <v>3595</v>
      </c>
      <c r="N487" s="130" t="s">
        <v>38937</v>
      </c>
      <c r="O487" s="30"/>
      <c r="P487" s="30"/>
      <c r="Q487" s="30"/>
      <c r="R487" s="30"/>
      <c r="S487" s="30"/>
      <c r="T487" s="30"/>
      <c r="U487" s="30"/>
      <c r="V487" s="30"/>
      <c r="W487" s="30"/>
      <c r="X487" s="30"/>
    </row>
    <row r="488" ht="15.75" customHeight="1">
      <c r="A488" s="14" t="s">
        <v>17</v>
      </c>
      <c r="B488" s="14">
        <v>1997.0</v>
      </c>
      <c r="C488" s="14" t="s">
        <v>3596</v>
      </c>
      <c r="D488" s="14" t="s">
        <v>3597</v>
      </c>
      <c r="E488" s="150" t="s">
        <v>3598</v>
      </c>
      <c r="F488" s="14">
        <v>197.0</v>
      </c>
      <c r="G488" s="14">
        <v>204.0</v>
      </c>
      <c r="H488" s="14" t="s">
        <v>28</v>
      </c>
      <c r="I488" s="14"/>
      <c r="J488" s="130" t="s">
        <v>38948</v>
      </c>
      <c r="K488" s="152" t="s">
        <v>3600</v>
      </c>
      <c r="L488" s="20" t="s">
        <v>3601</v>
      </c>
      <c r="M488" s="174" t="s">
        <v>3602</v>
      </c>
      <c r="N488" s="130" t="s">
        <v>38949</v>
      </c>
      <c r="O488" s="30"/>
      <c r="P488" s="30"/>
      <c r="Q488" s="30"/>
      <c r="R488" s="30"/>
      <c r="S488" s="30"/>
      <c r="T488" s="30"/>
      <c r="U488" s="30"/>
      <c r="V488" s="30"/>
      <c r="W488" s="30"/>
      <c r="X488" s="30"/>
    </row>
    <row r="489" ht="15.75" customHeight="1">
      <c r="A489" s="14" t="s">
        <v>17</v>
      </c>
      <c r="B489" s="14">
        <v>1997.0</v>
      </c>
      <c r="C489" s="14" t="s">
        <v>3603</v>
      </c>
      <c r="D489" s="14" t="s">
        <v>3604</v>
      </c>
      <c r="E489" s="150" t="s">
        <v>3605</v>
      </c>
      <c r="F489" s="14">
        <v>205.0</v>
      </c>
      <c r="G489" s="14">
        <v>212.0</v>
      </c>
      <c r="H489" s="14" t="s">
        <v>28</v>
      </c>
      <c r="I489" s="14"/>
      <c r="J489" s="130" t="s">
        <v>3606</v>
      </c>
      <c r="K489" s="152"/>
      <c r="L489" s="20" t="s">
        <v>3607</v>
      </c>
      <c r="M489" s="16"/>
      <c r="N489" s="130"/>
      <c r="O489" s="30"/>
      <c r="P489" s="30"/>
      <c r="Q489" s="30"/>
      <c r="R489" s="30"/>
      <c r="S489" s="30"/>
      <c r="T489" s="30"/>
      <c r="U489" s="30"/>
      <c r="V489" s="30"/>
      <c r="W489" s="30"/>
      <c r="X489" s="30"/>
    </row>
    <row r="490" ht="15.75" customHeight="1">
      <c r="A490" s="14" t="s">
        <v>17</v>
      </c>
      <c r="B490" s="14">
        <v>1997.0</v>
      </c>
      <c r="C490" s="14" t="s">
        <v>3608</v>
      </c>
      <c r="D490" s="14" t="s">
        <v>3609</v>
      </c>
      <c r="E490" s="150" t="s">
        <v>3610</v>
      </c>
      <c r="F490" s="14">
        <v>213.0</v>
      </c>
      <c r="G490" s="14">
        <v>219.0</v>
      </c>
      <c r="H490" s="14" t="s">
        <v>28</v>
      </c>
      <c r="I490" s="14"/>
      <c r="J490" s="130" t="s">
        <v>3611</v>
      </c>
      <c r="K490" s="152" t="s">
        <v>3612</v>
      </c>
      <c r="L490" s="20" t="s">
        <v>3613</v>
      </c>
      <c r="M490" s="174" t="s">
        <v>3614</v>
      </c>
      <c r="N490" s="130" t="s">
        <v>34817</v>
      </c>
      <c r="O490" s="30"/>
      <c r="P490" s="30"/>
      <c r="Q490" s="30"/>
      <c r="R490" s="30"/>
      <c r="S490" s="30"/>
      <c r="T490" s="30"/>
      <c r="U490" s="30"/>
      <c r="V490" s="30"/>
      <c r="W490" s="30"/>
      <c r="X490" s="30"/>
    </row>
    <row r="491" ht="15.75" customHeight="1">
      <c r="A491" s="14" t="s">
        <v>17</v>
      </c>
      <c r="B491" s="14">
        <v>1997.0</v>
      </c>
      <c r="C491" s="14" t="s">
        <v>3615</v>
      </c>
      <c r="D491" s="14" t="s">
        <v>3616</v>
      </c>
      <c r="E491" s="150" t="s">
        <v>3617</v>
      </c>
      <c r="F491" s="14">
        <v>221.0</v>
      </c>
      <c r="G491" s="14">
        <v>228.0</v>
      </c>
      <c r="H491" s="14" t="s">
        <v>28</v>
      </c>
      <c r="I491" s="14"/>
      <c r="J491" s="130" t="s">
        <v>3618</v>
      </c>
      <c r="K491" s="152" t="s">
        <v>54</v>
      </c>
      <c r="L491" s="20" t="s">
        <v>3619</v>
      </c>
      <c r="M491" s="16"/>
      <c r="N491" s="130" t="s">
        <v>34662</v>
      </c>
      <c r="O491" s="30"/>
      <c r="P491" s="30"/>
      <c r="Q491" s="30"/>
      <c r="R491" s="30"/>
      <c r="S491" s="30"/>
      <c r="T491" s="30"/>
      <c r="U491" s="30"/>
      <c r="V491" s="30"/>
      <c r="W491" s="30"/>
      <c r="X491" s="30"/>
    </row>
    <row r="492" ht="15.75" customHeight="1">
      <c r="A492" s="14" t="s">
        <v>17</v>
      </c>
      <c r="B492" s="14">
        <v>1997.0</v>
      </c>
      <c r="C492" s="14" t="s">
        <v>3620</v>
      </c>
      <c r="D492" s="14" t="s">
        <v>3621</v>
      </c>
      <c r="E492" s="150" t="s">
        <v>3622</v>
      </c>
      <c r="F492" s="14">
        <v>229.0</v>
      </c>
      <c r="G492" s="14">
        <v>233.0</v>
      </c>
      <c r="H492" s="14" t="s">
        <v>28</v>
      </c>
      <c r="I492" s="14"/>
      <c r="J492" s="130" t="s">
        <v>3623</v>
      </c>
      <c r="K492" s="152" t="s">
        <v>3624</v>
      </c>
      <c r="L492" s="20" t="s">
        <v>536</v>
      </c>
      <c r="M492" s="16"/>
      <c r="N492" s="130" t="s">
        <v>34662</v>
      </c>
      <c r="O492" s="30"/>
      <c r="P492" s="30"/>
      <c r="Q492" s="30"/>
      <c r="R492" s="30"/>
      <c r="S492" s="30"/>
      <c r="T492" s="30"/>
      <c r="U492" s="30"/>
      <c r="V492" s="30"/>
      <c r="W492" s="30"/>
      <c r="X492" s="30"/>
    </row>
    <row r="493" ht="15.75" customHeight="1">
      <c r="A493" s="14" t="s">
        <v>17</v>
      </c>
      <c r="B493" s="14">
        <v>1997.0</v>
      </c>
      <c r="C493" s="14" t="s">
        <v>3625</v>
      </c>
      <c r="D493" s="14" t="s">
        <v>3626</v>
      </c>
      <c r="E493" s="150" t="s">
        <v>3627</v>
      </c>
      <c r="F493" s="14">
        <v>235.0</v>
      </c>
      <c r="G493" s="14">
        <v>244.0</v>
      </c>
      <c r="H493" s="14" t="s">
        <v>28</v>
      </c>
      <c r="I493" s="14"/>
      <c r="J493" s="130" t="s">
        <v>3628</v>
      </c>
      <c r="K493" s="152" t="s">
        <v>477</v>
      </c>
      <c r="L493" s="20" t="s">
        <v>3629</v>
      </c>
      <c r="M493" s="174" t="s">
        <v>3630</v>
      </c>
      <c r="N493" s="130" t="s">
        <v>38979</v>
      </c>
      <c r="O493" s="30"/>
      <c r="P493" s="30"/>
      <c r="Q493" s="30"/>
      <c r="R493" s="30"/>
      <c r="S493" s="30"/>
      <c r="T493" s="30"/>
      <c r="U493" s="30"/>
      <c r="V493" s="30"/>
      <c r="W493" s="30"/>
      <c r="X493" s="30"/>
    </row>
    <row r="494" ht="15.75" customHeight="1">
      <c r="A494" s="14" t="s">
        <v>17</v>
      </c>
      <c r="B494" s="14">
        <v>1997.0</v>
      </c>
      <c r="C494" s="14" t="s">
        <v>3631</v>
      </c>
      <c r="D494" s="14" t="s">
        <v>3632</v>
      </c>
      <c r="E494" s="150" t="s">
        <v>3633</v>
      </c>
      <c r="F494" s="14">
        <v>245.0</v>
      </c>
      <c r="G494" s="14">
        <v>252.0</v>
      </c>
      <c r="H494" s="14" t="s">
        <v>28</v>
      </c>
      <c r="I494" s="14"/>
      <c r="J494" s="130" t="s">
        <v>3634</v>
      </c>
      <c r="K494" s="152" t="s">
        <v>3635</v>
      </c>
      <c r="L494" s="20" t="s">
        <v>3636</v>
      </c>
      <c r="M494" s="174" t="s">
        <v>3637</v>
      </c>
      <c r="N494" s="130" t="s">
        <v>38984</v>
      </c>
      <c r="O494" s="30"/>
      <c r="P494" s="30"/>
      <c r="Q494" s="30"/>
      <c r="R494" s="30"/>
      <c r="S494" s="30"/>
      <c r="T494" s="30"/>
      <c r="U494" s="30"/>
      <c r="V494" s="30"/>
      <c r="W494" s="30"/>
      <c r="X494" s="30"/>
    </row>
    <row r="495" ht="15.75" customHeight="1">
      <c r="A495" s="14" t="s">
        <v>17</v>
      </c>
      <c r="B495" s="14">
        <v>1997.0</v>
      </c>
      <c r="C495" s="14" t="s">
        <v>3638</v>
      </c>
      <c r="D495" s="14" t="s">
        <v>3639</v>
      </c>
      <c r="E495" s="150" t="s">
        <v>3640</v>
      </c>
      <c r="F495" s="14">
        <v>253.0</v>
      </c>
      <c r="G495" s="14">
        <v>259.0</v>
      </c>
      <c r="H495" s="14" t="s">
        <v>28</v>
      </c>
      <c r="I495" s="14"/>
      <c r="J495" s="130" t="s">
        <v>3641</v>
      </c>
      <c r="K495" s="152" t="s">
        <v>3642</v>
      </c>
      <c r="L495" s="20" t="s">
        <v>2539</v>
      </c>
      <c r="M495" s="16"/>
      <c r="N495" s="130" t="s">
        <v>38423</v>
      </c>
      <c r="O495" s="30"/>
      <c r="P495" s="30"/>
      <c r="Q495" s="30"/>
      <c r="R495" s="30"/>
      <c r="S495" s="30"/>
      <c r="T495" s="30"/>
      <c r="U495" s="30"/>
      <c r="V495" s="30"/>
      <c r="W495" s="30"/>
      <c r="X495" s="30"/>
    </row>
    <row r="496" ht="15.75" customHeight="1">
      <c r="A496" s="14" t="s">
        <v>17</v>
      </c>
      <c r="B496" s="14">
        <v>1997.0</v>
      </c>
      <c r="C496" s="14" t="s">
        <v>3643</v>
      </c>
      <c r="D496" s="14" t="s">
        <v>3644</v>
      </c>
      <c r="E496" s="150" t="s">
        <v>3645</v>
      </c>
      <c r="F496" s="14">
        <v>261.0</v>
      </c>
      <c r="G496" s="14">
        <v>267.0</v>
      </c>
      <c r="H496" s="14" t="s">
        <v>28</v>
      </c>
      <c r="I496" s="14"/>
      <c r="J496" s="130" t="s">
        <v>3646</v>
      </c>
      <c r="K496" s="152" t="s">
        <v>3647</v>
      </c>
      <c r="L496" s="20" t="s">
        <v>38</v>
      </c>
      <c r="M496" s="16"/>
      <c r="N496" s="130" t="s">
        <v>38994</v>
      </c>
      <c r="O496" s="30"/>
      <c r="P496" s="30"/>
      <c r="Q496" s="30"/>
      <c r="R496" s="30"/>
      <c r="S496" s="30"/>
      <c r="T496" s="30"/>
      <c r="U496" s="30"/>
      <c r="V496" s="30"/>
      <c r="W496" s="30"/>
      <c r="X496" s="30"/>
    </row>
    <row r="497" ht="15.75" customHeight="1">
      <c r="A497" s="14" t="s">
        <v>17</v>
      </c>
      <c r="B497" s="14">
        <v>1997.0</v>
      </c>
      <c r="C497" s="14" t="s">
        <v>3648</v>
      </c>
      <c r="D497" s="14" t="s">
        <v>3649</v>
      </c>
      <c r="E497" s="150" t="s">
        <v>3650</v>
      </c>
      <c r="F497" s="14">
        <v>269.0</v>
      </c>
      <c r="G497" s="14">
        <v>275.0</v>
      </c>
      <c r="H497" s="14" t="s">
        <v>28</v>
      </c>
      <c r="I497" s="14"/>
      <c r="J497" s="130" t="s">
        <v>5528</v>
      </c>
      <c r="K497" s="152" t="s">
        <v>3652</v>
      </c>
      <c r="L497" s="20"/>
      <c r="M497" s="174" t="s">
        <v>3653</v>
      </c>
      <c r="N497" s="130" t="s">
        <v>39002</v>
      </c>
      <c r="O497" s="30"/>
      <c r="P497" s="30"/>
      <c r="Q497" s="30"/>
      <c r="R497" s="30"/>
      <c r="S497" s="30"/>
      <c r="T497" s="30"/>
      <c r="U497" s="30"/>
      <c r="V497" s="30"/>
      <c r="W497" s="30"/>
      <c r="X497" s="30"/>
    </row>
    <row r="498" ht="15.75" customHeight="1">
      <c r="A498" s="14" t="s">
        <v>17</v>
      </c>
      <c r="B498" s="14">
        <v>1997.0</v>
      </c>
      <c r="C498" s="14" t="s">
        <v>3654</v>
      </c>
      <c r="D498" s="14" t="s">
        <v>3655</v>
      </c>
      <c r="E498" s="150" t="s">
        <v>3656</v>
      </c>
      <c r="F498" s="14">
        <v>277.0</v>
      </c>
      <c r="G498" s="14">
        <v>283.0</v>
      </c>
      <c r="H498" s="14" t="s">
        <v>28</v>
      </c>
      <c r="I498" s="14"/>
      <c r="J498" s="130" t="s">
        <v>3657</v>
      </c>
      <c r="K498" s="152" t="s">
        <v>3379</v>
      </c>
      <c r="L498" s="20"/>
      <c r="M498" s="174" t="s">
        <v>3658</v>
      </c>
      <c r="N498" s="130" t="s">
        <v>39012</v>
      </c>
      <c r="O498" s="30"/>
      <c r="P498" s="30"/>
      <c r="Q498" s="30"/>
      <c r="R498" s="30"/>
      <c r="S498" s="30"/>
      <c r="T498" s="30"/>
      <c r="U498" s="30"/>
      <c r="V498" s="30"/>
      <c r="W498" s="30"/>
      <c r="X498" s="30"/>
    </row>
    <row r="499" ht="15.75" customHeight="1">
      <c r="A499" s="14" t="s">
        <v>17</v>
      </c>
      <c r="B499" s="14">
        <v>1997.0</v>
      </c>
      <c r="C499" s="14" t="s">
        <v>3659</v>
      </c>
      <c r="D499" s="14" t="s">
        <v>3660</v>
      </c>
      <c r="E499" s="150" t="s">
        <v>3661</v>
      </c>
      <c r="F499" s="14">
        <v>285.0</v>
      </c>
      <c r="G499" s="14">
        <v>292.0</v>
      </c>
      <c r="H499" s="14" t="s">
        <v>28</v>
      </c>
      <c r="I499" s="14"/>
      <c r="J499" s="130" t="s">
        <v>3662</v>
      </c>
      <c r="K499" s="152" t="s">
        <v>2026</v>
      </c>
      <c r="L499" s="20" t="s">
        <v>2313</v>
      </c>
      <c r="M499" s="16"/>
      <c r="N499" s="130" t="s">
        <v>39018</v>
      </c>
      <c r="O499" s="30"/>
      <c r="P499" s="30"/>
      <c r="Q499" s="30"/>
      <c r="R499" s="30"/>
      <c r="S499" s="30"/>
      <c r="T499" s="30"/>
      <c r="U499" s="30"/>
      <c r="V499" s="30"/>
      <c r="W499" s="30"/>
      <c r="X499" s="30"/>
    </row>
    <row r="500" ht="15.75" customHeight="1">
      <c r="A500" s="14" t="s">
        <v>17</v>
      </c>
      <c r="B500" s="14">
        <v>1997.0</v>
      </c>
      <c r="C500" s="14" t="s">
        <v>3663</v>
      </c>
      <c r="D500" s="14" t="s">
        <v>3664</v>
      </c>
      <c r="E500" s="150" t="s">
        <v>3665</v>
      </c>
      <c r="F500" s="14">
        <v>293.0</v>
      </c>
      <c r="G500" s="14">
        <v>300.0</v>
      </c>
      <c r="H500" s="14" t="s">
        <v>28</v>
      </c>
      <c r="I500" s="14"/>
      <c r="J500" s="130" t="s">
        <v>5554</v>
      </c>
      <c r="K500" s="152" t="s">
        <v>178</v>
      </c>
      <c r="L500" s="20" t="s">
        <v>3667</v>
      </c>
      <c r="M500" s="16"/>
      <c r="N500" s="130" t="s">
        <v>38588</v>
      </c>
      <c r="O500" s="30"/>
      <c r="P500" s="30"/>
      <c r="Q500" s="30"/>
      <c r="R500" s="30"/>
      <c r="S500" s="30"/>
      <c r="T500" s="30"/>
      <c r="U500" s="30"/>
      <c r="V500" s="30"/>
      <c r="W500" s="30"/>
      <c r="X500" s="30"/>
    </row>
    <row r="501" ht="15.75" customHeight="1">
      <c r="A501" s="14" t="s">
        <v>17</v>
      </c>
      <c r="B501" s="14">
        <v>1997.0</v>
      </c>
      <c r="C501" s="14" t="s">
        <v>3668</v>
      </c>
      <c r="D501" s="14" t="s">
        <v>3669</v>
      </c>
      <c r="E501" s="150" t="s">
        <v>3670</v>
      </c>
      <c r="F501" s="14">
        <v>301.0</v>
      </c>
      <c r="G501" s="14">
        <v>308.0</v>
      </c>
      <c r="H501" s="14" t="s">
        <v>28</v>
      </c>
      <c r="I501" s="14"/>
      <c r="J501" s="130" t="s">
        <v>3671</v>
      </c>
      <c r="K501" s="152" t="s">
        <v>3672</v>
      </c>
      <c r="L501" s="20" t="s">
        <v>3673</v>
      </c>
      <c r="M501" s="16"/>
      <c r="N501" s="152" t="s">
        <v>3672</v>
      </c>
      <c r="O501" s="30"/>
      <c r="P501" s="30"/>
      <c r="Q501" s="30"/>
      <c r="R501" s="30"/>
      <c r="S501" s="30"/>
      <c r="T501" s="30"/>
      <c r="U501" s="30"/>
      <c r="V501" s="30"/>
      <c r="W501" s="30"/>
      <c r="X501" s="30"/>
    </row>
    <row r="502" ht="15.75" customHeight="1">
      <c r="A502" s="14" t="s">
        <v>17</v>
      </c>
      <c r="B502" s="14">
        <v>1997.0</v>
      </c>
      <c r="C502" s="14" t="s">
        <v>3674</v>
      </c>
      <c r="D502" s="14" t="s">
        <v>3675</v>
      </c>
      <c r="E502" s="150" t="s">
        <v>3676</v>
      </c>
      <c r="F502" s="14">
        <v>309.0</v>
      </c>
      <c r="G502" s="14">
        <v>316.0</v>
      </c>
      <c r="H502" s="14" t="s">
        <v>28</v>
      </c>
      <c r="I502" s="14"/>
      <c r="J502" s="130" t="s">
        <v>39044</v>
      </c>
      <c r="K502" s="152" t="s">
        <v>3678</v>
      </c>
      <c r="L502" s="20" t="s">
        <v>3679</v>
      </c>
      <c r="M502" s="16"/>
      <c r="N502" s="130" t="s">
        <v>39045</v>
      </c>
      <c r="O502" s="30"/>
      <c r="P502" s="30"/>
      <c r="Q502" s="30"/>
      <c r="R502" s="30"/>
      <c r="S502" s="30"/>
      <c r="T502" s="30"/>
      <c r="U502" s="30"/>
      <c r="V502" s="30"/>
      <c r="W502" s="30"/>
      <c r="X502" s="30"/>
    </row>
    <row r="503" ht="15.75" customHeight="1">
      <c r="A503" s="14" t="s">
        <v>17</v>
      </c>
      <c r="B503" s="14">
        <v>1997.0</v>
      </c>
      <c r="C503" s="14" t="s">
        <v>3680</v>
      </c>
      <c r="D503" s="14" t="s">
        <v>3681</v>
      </c>
      <c r="E503" s="150" t="s">
        <v>3682</v>
      </c>
      <c r="F503" s="14">
        <v>317.0</v>
      </c>
      <c r="G503" s="14">
        <v>322.0</v>
      </c>
      <c r="H503" s="14" t="s">
        <v>28</v>
      </c>
      <c r="I503" s="14"/>
      <c r="J503" s="130" t="s">
        <v>3683</v>
      </c>
      <c r="K503" s="152" t="s">
        <v>477</v>
      </c>
      <c r="L503" s="20" t="s">
        <v>3684</v>
      </c>
      <c r="M503" s="174" t="s">
        <v>3658</v>
      </c>
      <c r="N503" s="130" t="s">
        <v>39046</v>
      </c>
      <c r="O503" s="30"/>
      <c r="P503" s="30"/>
      <c r="Q503" s="30"/>
      <c r="R503" s="30"/>
      <c r="S503" s="30"/>
      <c r="T503" s="30"/>
      <c r="U503" s="30"/>
      <c r="V503" s="30"/>
      <c r="W503" s="30"/>
      <c r="X503" s="30"/>
    </row>
    <row r="504" ht="15.75" customHeight="1">
      <c r="A504" s="14" t="s">
        <v>17</v>
      </c>
      <c r="B504" s="14">
        <v>1997.0</v>
      </c>
      <c r="C504" s="14" t="s">
        <v>3685</v>
      </c>
      <c r="D504" s="14" t="s">
        <v>3686</v>
      </c>
      <c r="E504" s="150" t="s">
        <v>3687</v>
      </c>
      <c r="F504" s="14">
        <v>323.0</v>
      </c>
      <c r="G504" s="14">
        <v>328.0</v>
      </c>
      <c r="H504" s="14" t="s">
        <v>28</v>
      </c>
      <c r="I504" s="14"/>
      <c r="J504" s="130" t="s">
        <v>3688</v>
      </c>
      <c r="K504" s="152" t="s">
        <v>3689</v>
      </c>
      <c r="L504" s="20" t="s">
        <v>1926</v>
      </c>
      <c r="M504" s="16"/>
      <c r="N504" s="152" t="s">
        <v>3689</v>
      </c>
      <c r="O504" s="30"/>
      <c r="P504" s="30"/>
      <c r="Q504" s="30"/>
      <c r="R504" s="30"/>
      <c r="S504" s="30"/>
      <c r="T504" s="30"/>
      <c r="U504" s="30"/>
      <c r="V504" s="30"/>
      <c r="W504" s="30"/>
      <c r="X504" s="30"/>
    </row>
    <row r="505" ht="15.75" customHeight="1">
      <c r="A505" s="14" t="s">
        <v>17</v>
      </c>
      <c r="B505" s="14">
        <v>1997.0</v>
      </c>
      <c r="C505" s="14" t="s">
        <v>3690</v>
      </c>
      <c r="D505" s="14" t="s">
        <v>3691</v>
      </c>
      <c r="E505" s="150" t="s">
        <v>3692</v>
      </c>
      <c r="F505" s="14">
        <v>329.0</v>
      </c>
      <c r="G505" s="14">
        <v>336.0</v>
      </c>
      <c r="H505" s="14" t="s">
        <v>28</v>
      </c>
      <c r="I505" s="14"/>
      <c r="J505" s="130" t="s">
        <v>3693</v>
      </c>
      <c r="K505" s="152" t="s">
        <v>3694</v>
      </c>
      <c r="L505" s="20" t="s">
        <v>1340</v>
      </c>
      <c r="M505" s="174" t="s">
        <v>3695</v>
      </c>
      <c r="N505" s="152" t="s">
        <v>3694</v>
      </c>
      <c r="O505" s="30"/>
      <c r="P505" s="30"/>
      <c r="Q505" s="30"/>
      <c r="R505" s="30"/>
      <c r="S505" s="30"/>
      <c r="T505" s="30"/>
      <c r="U505" s="30"/>
      <c r="V505" s="30"/>
      <c r="W505" s="30"/>
      <c r="X505" s="30"/>
    </row>
    <row r="506" ht="15.75" customHeight="1">
      <c r="A506" s="14" t="s">
        <v>17</v>
      </c>
      <c r="B506" s="14">
        <v>1997.0</v>
      </c>
      <c r="C506" s="14" t="s">
        <v>3696</v>
      </c>
      <c r="D506" s="14" t="s">
        <v>3697</v>
      </c>
      <c r="E506" s="150" t="s">
        <v>3698</v>
      </c>
      <c r="F506" s="14">
        <v>337.0</v>
      </c>
      <c r="G506" s="14">
        <v>346.0</v>
      </c>
      <c r="H506" s="14" t="s">
        <v>28</v>
      </c>
      <c r="I506" s="14"/>
      <c r="J506" s="130" t="s">
        <v>3699</v>
      </c>
      <c r="K506" s="152" t="s">
        <v>2399</v>
      </c>
      <c r="L506" s="20"/>
      <c r="M506" s="174" t="s">
        <v>3700</v>
      </c>
      <c r="N506" s="152" t="s">
        <v>2399</v>
      </c>
      <c r="O506" s="30"/>
      <c r="P506" s="30"/>
      <c r="Q506" s="30"/>
      <c r="R506" s="30"/>
      <c r="S506" s="30"/>
      <c r="T506" s="30"/>
      <c r="U506" s="30"/>
      <c r="V506" s="30"/>
      <c r="W506" s="30"/>
      <c r="X506" s="30"/>
    </row>
    <row r="507" ht="15.75" customHeight="1">
      <c r="A507" s="14" t="s">
        <v>17</v>
      </c>
      <c r="B507" s="14">
        <v>1997.0</v>
      </c>
      <c r="C507" s="14" t="s">
        <v>3701</v>
      </c>
      <c r="D507" s="14" t="s">
        <v>3702</v>
      </c>
      <c r="E507" s="150" t="s">
        <v>3703</v>
      </c>
      <c r="F507" s="14">
        <v>347.0</v>
      </c>
      <c r="G507" s="14">
        <v>354.0</v>
      </c>
      <c r="H507" s="14" t="s">
        <v>28</v>
      </c>
      <c r="I507" s="14"/>
      <c r="J507" s="130" t="s">
        <v>3704</v>
      </c>
      <c r="K507" s="152" t="s">
        <v>3705</v>
      </c>
      <c r="L507" s="20" t="s">
        <v>3112</v>
      </c>
      <c r="M507" s="16"/>
      <c r="N507" s="130" t="s">
        <v>15569</v>
      </c>
      <c r="O507" s="30"/>
      <c r="P507" s="30"/>
      <c r="Q507" s="30"/>
      <c r="R507" s="30"/>
      <c r="S507" s="30"/>
      <c r="T507" s="30"/>
      <c r="U507" s="30"/>
      <c r="V507" s="30"/>
      <c r="W507" s="30"/>
      <c r="X507" s="30"/>
    </row>
    <row r="508" ht="15.75" customHeight="1">
      <c r="A508" s="14" t="s">
        <v>17</v>
      </c>
      <c r="B508" s="14">
        <v>1997.0</v>
      </c>
      <c r="C508" s="14" t="s">
        <v>3706</v>
      </c>
      <c r="D508" s="14" t="s">
        <v>3707</v>
      </c>
      <c r="E508" s="150" t="s">
        <v>3708</v>
      </c>
      <c r="F508" s="14">
        <v>355.0</v>
      </c>
      <c r="G508" s="14">
        <v>362.0</v>
      </c>
      <c r="H508" s="14" t="s">
        <v>28</v>
      </c>
      <c r="I508" s="14"/>
      <c r="J508" s="130" t="s">
        <v>3709</v>
      </c>
      <c r="K508" s="152" t="s">
        <v>1596</v>
      </c>
      <c r="L508" s="20" t="s">
        <v>2908</v>
      </c>
      <c r="M508" s="174" t="s">
        <v>3710</v>
      </c>
      <c r="N508" s="130" t="s">
        <v>39060</v>
      </c>
      <c r="O508" s="30"/>
      <c r="P508" s="30"/>
      <c r="Q508" s="30"/>
      <c r="R508" s="30"/>
      <c r="S508" s="30"/>
      <c r="T508" s="30"/>
      <c r="U508" s="30"/>
      <c r="V508" s="30"/>
      <c r="W508" s="30"/>
      <c r="X508" s="30"/>
    </row>
    <row r="509" ht="15.75" customHeight="1">
      <c r="A509" s="14" t="s">
        <v>17</v>
      </c>
      <c r="B509" s="14">
        <v>1997.0</v>
      </c>
      <c r="C509" s="14" t="s">
        <v>3711</v>
      </c>
      <c r="D509" s="14" t="s">
        <v>3712</v>
      </c>
      <c r="E509" s="150" t="s">
        <v>3713</v>
      </c>
      <c r="F509" s="14">
        <v>363.0</v>
      </c>
      <c r="G509" s="14">
        <v>370.0</v>
      </c>
      <c r="H509" s="14" t="s">
        <v>28</v>
      </c>
      <c r="I509" s="14"/>
      <c r="J509" s="130" t="s">
        <v>3714</v>
      </c>
      <c r="K509" s="152" t="s">
        <v>3715</v>
      </c>
      <c r="L509" s="20"/>
      <c r="M509" s="16"/>
      <c r="N509" s="130" t="s">
        <v>39065</v>
      </c>
      <c r="O509" s="30"/>
      <c r="P509" s="30"/>
      <c r="Q509" s="30"/>
      <c r="R509" s="30"/>
      <c r="S509" s="30"/>
      <c r="T509" s="30"/>
      <c r="U509" s="30"/>
      <c r="V509" s="30"/>
      <c r="W509" s="30"/>
      <c r="X509" s="30"/>
    </row>
    <row r="510" ht="15.75" customHeight="1">
      <c r="A510" s="14" t="s">
        <v>17</v>
      </c>
      <c r="B510" s="14">
        <v>1997.0</v>
      </c>
      <c r="C510" s="14" t="s">
        <v>3716</v>
      </c>
      <c r="D510" s="14" t="s">
        <v>3717</v>
      </c>
      <c r="E510" s="150" t="s">
        <v>3718</v>
      </c>
      <c r="F510" s="14">
        <v>371.0</v>
      </c>
      <c r="G510" s="14">
        <v>377.0</v>
      </c>
      <c r="H510" s="14" t="s">
        <v>28</v>
      </c>
      <c r="I510" s="14"/>
      <c r="J510" s="130" t="s">
        <v>3719</v>
      </c>
      <c r="K510" s="152" t="s">
        <v>3720</v>
      </c>
      <c r="L510" s="20"/>
      <c r="M510" s="174" t="s">
        <v>3721</v>
      </c>
      <c r="N510" s="130" t="s">
        <v>39072</v>
      </c>
      <c r="O510" s="30"/>
      <c r="P510" s="30"/>
      <c r="Q510" s="30"/>
      <c r="R510" s="30"/>
      <c r="S510" s="30"/>
      <c r="T510" s="30"/>
      <c r="U510" s="30"/>
      <c r="V510" s="30"/>
      <c r="W510" s="30"/>
      <c r="X510" s="30"/>
    </row>
    <row r="511" ht="15.75" customHeight="1">
      <c r="A511" s="14" t="s">
        <v>17</v>
      </c>
      <c r="B511" s="14">
        <v>1997.0</v>
      </c>
      <c r="C511" s="14" t="s">
        <v>3722</v>
      </c>
      <c r="D511" s="14" t="s">
        <v>3723</v>
      </c>
      <c r="E511" s="150" t="s">
        <v>3724</v>
      </c>
      <c r="F511" s="14">
        <v>379.0</v>
      </c>
      <c r="G511" s="14">
        <v>386.0</v>
      </c>
      <c r="H511" s="14" t="s">
        <v>28</v>
      </c>
      <c r="I511" s="14"/>
      <c r="J511" s="130" t="s">
        <v>3725</v>
      </c>
      <c r="K511" s="152" t="s">
        <v>3726</v>
      </c>
      <c r="L511" s="20" t="s">
        <v>3727</v>
      </c>
      <c r="M511" s="174" t="s">
        <v>3728</v>
      </c>
      <c r="N511" s="130" t="s">
        <v>37593</v>
      </c>
      <c r="O511" s="30"/>
      <c r="P511" s="30"/>
      <c r="Q511" s="30"/>
      <c r="R511" s="30"/>
      <c r="S511" s="30"/>
      <c r="T511" s="30"/>
      <c r="U511" s="30"/>
      <c r="V511" s="30"/>
      <c r="W511" s="30"/>
      <c r="X511" s="30"/>
    </row>
    <row r="512" ht="15.75" customHeight="1">
      <c r="A512" s="14" t="s">
        <v>17</v>
      </c>
      <c r="B512" s="14">
        <v>1997.0</v>
      </c>
      <c r="C512" s="14" t="s">
        <v>3729</v>
      </c>
      <c r="D512" s="14" t="s">
        <v>3730</v>
      </c>
      <c r="E512" s="150" t="s">
        <v>3731</v>
      </c>
      <c r="F512" s="14">
        <v>387.0</v>
      </c>
      <c r="G512" s="14">
        <v>394.0</v>
      </c>
      <c r="H512" s="14" t="s">
        <v>28</v>
      </c>
      <c r="I512" s="14"/>
      <c r="J512" s="130" t="s">
        <v>6018</v>
      </c>
      <c r="K512" s="152" t="s">
        <v>3733</v>
      </c>
      <c r="L512" s="20" t="s">
        <v>3734</v>
      </c>
      <c r="M512" s="16"/>
      <c r="N512" s="130" t="s">
        <v>39078</v>
      </c>
      <c r="O512" s="30"/>
      <c r="P512" s="30"/>
      <c r="Q512" s="30"/>
      <c r="R512" s="30"/>
      <c r="S512" s="30"/>
      <c r="T512" s="30"/>
      <c r="U512" s="30"/>
      <c r="V512" s="30"/>
      <c r="W512" s="30"/>
      <c r="X512" s="30"/>
    </row>
    <row r="513" ht="15.75" customHeight="1">
      <c r="A513" s="14" t="s">
        <v>17</v>
      </c>
      <c r="B513" s="14">
        <v>1997.0</v>
      </c>
      <c r="C513" s="14" t="s">
        <v>3735</v>
      </c>
      <c r="D513" s="14" t="s">
        <v>3736</v>
      </c>
      <c r="E513" s="150" t="s">
        <v>3737</v>
      </c>
      <c r="F513" s="14">
        <v>395.0</v>
      </c>
      <c r="G513" s="14">
        <v>402.0</v>
      </c>
      <c r="H513" s="14" t="s">
        <v>28</v>
      </c>
      <c r="I513" s="14"/>
      <c r="J513" s="130" t="s">
        <v>3738</v>
      </c>
      <c r="K513" s="152" t="s">
        <v>3739</v>
      </c>
      <c r="L513" s="20"/>
      <c r="M513" s="174" t="s">
        <v>3740</v>
      </c>
      <c r="N513" s="130" t="s">
        <v>37962</v>
      </c>
      <c r="O513" s="30"/>
      <c r="P513" s="30"/>
      <c r="Q513" s="30"/>
      <c r="R513" s="30"/>
      <c r="S513" s="30"/>
      <c r="T513" s="30"/>
      <c r="U513" s="30"/>
      <c r="V513" s="30"/>
      <c r="W513" s="30"/>
      <c r="X513" s="30"/>
    </row>
    <row r="514" ht="15.75" customHeight="1">
      <c r="A514" s="14" t="s">
        <v>17</v>
      </c>
      <c r="B514" s="14">
        <v>1997.0</v>
      </c>
      <c r="C514" s="14" t="s">
        <v>6029</v>
      </c>
      <c r="D514" s="14" t="s">
        <v>3742</v>
      </c>
      <c r="E514" s="150" t="s">
        <v>3743</v>
      </c>
      <c r="F514" s="14">
        <v>403.0</v>
      </c>
      <c r="G514" s="14">
        <v>410.0</v>
      </c>
      <c r="H514" s="14" t="s">
        <v>28</v>
      </c>
      <c r="I514" s="14"/>
      <c r="J514" s="130" t="s">
        <v>3744</v>
      </c>
      <c r="K514" s="152" t="s">
        <v>3119</v>
      </c>
      <c r="L514" s="20"/>
      <c r="M514" s="16"/>
      <c r="N514" s="130" t="s">
        <v>38588</v>
      </c>
      <c r="O514" s="30"/>
      <c r="P514" s="30"/>
      <c r="Q514" s="30"/>
      <c r="R514" s="30"/>
      <c r="S514" s="30"/>
      <c r="T514" s="30"/>
      <c r="U514" s="30"/>
      <c r="V514" s="30"/>
      <c r="W514" s="30"/>
      <c r="X514" s="30"/>
    </row>
    <row r="515" ht="15.75" customHeight="1">
      <c r="A515" s="14" t="s">
        <v>17</v>
      </c>
      <c r="B515" s="14">
        <v>1997.0</v>
      </c>
      <c r="C515" s="14" t="s">
        <v>3745</v>
      </c>
      <c r="D515" s="14" t="s">
        <v>3746</v>
      </c>
      <c r="E515" s="150" t="s">
        <v>3747</v>
      </c>
      <c r="F515" s="14">
        <v>413.0</v>
      </c>
      <c r="G515" s="14">
        <v>416.0</v>
      </c>
      <c r="H515" s="14" t="s">
        <v>28</v>
      </c>
      <c r="I515" s="14"/>
      <c r="J515" s="130" t="s">
        <v>3748</v>
      </c>
      <c r="K515" s="152" t="s">
        <v>477</v>
      </c>
      <c r="L515" s="20" t="s">
        <v>3749</v>
      </c>
      <c r="M515" s="16"/>
      <c r="N515" s="130" t="s">
        <v>39095</v>
      </c>
      <c r="O515" s="30"/>
      <c r="P515" s="30"/>
      <c r="Q515" s="30"/>
      <c r="R515" s="30"/>
      <c r="S515" s="30"/>
      <c r="T515" s="30"/>
      <c r="U515" s="30"/>
      <c r="V515" s="30"/>
      <c r="W515" s="30"/>
      <c r="X515" s="30"/>
    </row>
    <row r="516" ht="15.75" customHeight="1">
      <c r="A516" s="14" t="s">
        <v>17</v>
      </c>
      <c r="B516" s="14">
        <v>1997.0</v>
      </c>
      <c r="C516" s="14" t="s">
        <v>3750</v>
      </c>
      <c r="D516" s="14" t="s">
        <v>3751</v>
      </c>
      <c r="E516" s="150" t="s">
        <v>3752</v>
      </c>
      <c r="F516" s="14">
        <v>417.0</v>
      </c>
      <c r="G516" s="14">
        <v>420.0</v>
      </c>
      <c r="H516" s="14" t="s">
        <v>28</v>
      </c>
      <c r="I516" s="14"/>
      <c r="J516" s="130" t="s">
        <v>3753</v>
      </c>
      <c r="K516" s="152" t="s">
        <v>3754</v>
      </c>
      <c r="L516" s="20"/>
      <c r="M516" s="16"/>
      <c r="N516" s="130" t="s">
        <v>39099</v>
      </c>
      <c r="O516" s="30"/>
      <c r="P516" s="30"/>
      <c r="Q516" s="30"/>
      <c r="R516" s="30"/>
      <c r="S516" s="30"/>
      <c r="T516" s="30"/>
      <c r="U516" s="30"/>
      <c r="V516" s="30"/>
      <c r="W516" s="30"/>
      <c r="X516" s="30"/>
    </row>
    <row r="517" ht="15.75" customHeight="1">
      <c r="A517" s="14" t="s">
        <v>17</v>
      </c>
      <c r="B517" s="14">
        <v>1997.0</v>
      </c>
      <c r="C517" s="14" t="s">
        <v>3755</v>
      </c>
      <c r="D517" s="14" t="s">
        <v>3756</v>
      </c>
      <c r="E517" s="150" t="s">
        <v>3757</v>
      </c>
      <c r="F517" s="14">
        <v>421.0</v>
      </c>
      <c r="G517" s="14">
        <v>424.0</v>
      </c>
      <c r="H517" s="14" t="s">
        <v>28</v>
      </c>
      <c r="I517" s="14"/>
      <c r="J517" s="130" t="s">
        <v>3758</v>
      </c>
      <c r="K517" s="152" t="s">
        <v>178</v>
      </c>
      <c r="L517" s="20" t="s">
        <v>3759</v>
      </c>
      <c r="M517" s="16"/>
      <c r="N517" s="130" t="s">
        <v>39102</v>
      </c>
      <c r="O517" s="30"/>
      <c r="P517" s="30"/>
      <c r="Q517" s="30"/>
      <c r="R517" s="30"/>
      <c r="S517" s="30"/>
      <c r="T517" s="30"/>
      <c r="U517" s="30"/>
      <c r="V517" s="30"/>
      <c r="W517" s="30"/>
      <c r="X517" s="30"/>
    </row>
    <row r="518" ht="15.75" customHeight="1">
      <c r="A518" s="14" t="s">
        <v>17</v>
      </c>
      <c r="B518" s="14">
        <v>1997.0</v>
      </c>
      <c r="C518" s="14" t="s">
        <v>3760</v>
      </c>
      <c r="D518" s="14" t="s">
        <v>3761</v>
      </c>
      <c r="E518" s="150" t="s">
        <v>3762</v>
      </c>
      <c r="F518" s="14">
        <v>425.0</v>
      </c>
      <c r="G518" s="14">
        <v>428.0</v>
      </c>
      <c r="H518" s="14" t="s">
        <v>28</v>
      </c>
      <c r="I518" s="14"/>
      <c r="J518" s="130" t="s">
        <v>3763</v>
      </c>
      <c r="K518" s="152" t="s">
        <v>3764</v>
      </c>
      <c r="L518" s="20"/>
      <c r="M518" s="16"/>
      <c r="N518" s="130" t="s">
        <v>39105</v>
      </c>
      <c r="O518" s="30"/>
      <c r="P518" s="30"/>
      <c r="Q518" s="30"/>
      <c r="R518" s="30"/>
      <c r="S518" s="30"/>
      <c r="T518" s="30"/>
      <c r="U518" s="30"/>
      <c r="V518" s="30"/>
      <c r="W518" s="30"/>
      <c r="X518" s="30"/>
    </row>
    <row r="519" ht="15.75" customHeight="1">
      <c r="A519" s="14" t="s">
        <v>17</v>
      </c>
      <c r="B519" s="14">
        <v>1997.0</v>
      </c>
      <c r="C519" s="14" t="s">
        <v>3765</v>
      </c>
      <c r="D519" s="14" t="s">
        <v>3766</v>
      </c>
      <c r="E519" s="150" t="s">
        <v>3767</v>
      </c>
      <c r="F519" s="14">
        <v>429.0</v>
      </c>
      <c r="G519" s="14">
        <v>432.0</v>
      </c>
      <c r="H519" s="14" t="s">
        <v>28</v>
      </c>
      <c r="I519" s="14"/>
      <c r="J519" s="130" t="s">
        <v>2450</v>
      </c>
      <c r="K519" s="152" t="s">
        <v>2451</v>
      </c>
      <c r="L519" s="20" t="s">
        <v>3768</v>
      </c>
      <c r="M519" s="16"/>
      <c r="N519" s="130" t="s">
        <v>38445</v>
      </c>
      <c r="O519" s="30"/>
      <c r="P519" s="30"/>
      <c r="Q519" s="30"/>
      <c r="R519" s="30"/>
      <c r="S519" s="30"/>
      <c r="T519" s="30"/>
      <c r="U519" s="30"/>
      <c r="V519" s="30"/>
      <c r="W519" s="30"/>
      <c r="X519" s="30"/>
    </row>
    <row r="520" ht="15.75" customHeight="1">
      <c r="A520" s="14" t="s">
        <v>17</v>
      </c>
      <c r="B520" s="14">
        <v>1997.0</v>
      </c>
      <c r="C520" s="14" t="s">
        <v>3769</v>
      </c>
      <c r="D520" s="14" t="s">
        <v>3770</v>
      </c>
      <c r="E520" s="150" t="s">
        <v>3771</v>
      </c>
      <c r="F520" s="14">
        <v>433.0</v>
      </c>
      <c r="G520" s="14">
        <v>436.0</v>
      </c>
      <c r="H520" s="14" t="s">
        <v>28</v>
      </c>
      <c r="I520" s="14"/>
      <c r="J520" s="130" t="s">
        <v>39115</v>
      </c>
      <c r="K520" s="152" t="s">
        <v>3773</v>
      </c>
      <c r="L520" s="20"/>
      <c r="M520" s="174" t="s">
        <v>3774</v>
      </c>
      <c r="N520" s="130" t="s">
        <v>39116</v>
      </c>
      <c r="O520" s="30"/>
      <c r="P520" s="30"/>
      <c r="Q520" s="30"/>
      <c r="R520" s="30"/>
      <c r="S520" s="30"/>
      <c r="T520" s="30"/>
      <c r="U520" s="30"/>
      <c r="V520" s="30"/>
      <c r="W520" s="30"/>
      <c r="X520" s="30"/>
    </row>
    <row r="521" ht="15.75" customHeight="1">
      <c r="A521" s="14" t="s">
        <v>17</v>
      </c>
      <c r="B521" s="14">
        <v>1997.0</v>
      </c>
      <c r="C521" s="14" t="s">
        <v>3775</v>
      </c>
      <c r="D521" s="14" t="s">
        <v>3776</v>
      </c>
      <c r="E521" s="150" t="s">
        <v>3777</v>
      </c>
      <c r="F521" s="14">
        <v>437.0</v>
      </c>
      <c r="G521" s="14">
        <v>441.0</v>
      </c>
      <c r="H521" s="14" t="s">
        <v>28</v>
      </c>
      <c r="I521" s="14"/>
      <c r="J521" s="130" t="s">
        <v>3778</v>
      </c>
      <c r="K521" s="152" t="s">
        <v>3779</v>
      </c>
      <c r="L521" s="20" t="s">
        <v>2548</v>
      </c>
      <c r="M521" s="16"/>
      <c r="N521" s="130" t="s">
        <v>39124</v>
      </c>
      <c r="O521" s="30"/>
      <c r="P521" s="30"/>
      <c r="Q521" s="30"/>
      <c r="R521" s="30"/>
      <c r="S521" s="30"/>
      <c r="T521" s="30"/>
      <c r="U521" s="30"/>
      <c r="V521" s="30"/>
      <c r="W521" s="30"/>
      <c r="X521" s="30"/>
    </row>
    <row r="522" ht="16.5" customHeight="1">
      <c r="A522" s="14" t="s">
        <v>17</v>
      </c>
      <c r="B522" s="14">
        <v>1997.0</v>
      </c>
      <c r="C522" s="14" t="s">
        <v>3780</v>
      </c>
      <c r="D522" s="14" t="s">
        <v>3781</v>
      </c>
      <c r="E522" s="150" t="s">
        <v>3782</v>
      </c>
      <c r="F522" s="14">
        <v>443.0</v>
      </c>
      <c r="G522" s="14">
        <v>446.0</v>
      </c>
      <c r="H522" s="14" t="s">
        <v>28</v>
      </c>
      <c r="I522" s="14"/>
      <c r="J522" s="130" t="s">
        <v>3783</v>
      </c>
      <c r="K522" s="152" t="s">
        <v>3784</v>
      </c>
      <c r="L522" s="20" t="s">
        <v>2274</v>
      </c>
      <c r="M522" s="174" t="s">
        <v>3785</v>
      </c>
      <c r="N522" s="130" t="s">
        <v>39129</v>
      </c>
      <c r="O522" s="30"/>
      <c r="P522" s="30"/>
      <c r="Q522" s="30"/>
      <c r="R522" s="30"/>
      <c r="S522" s="30"/>
      <c r="T522" s="30"/>
      <c r="U522" s="30"/>
      <c r="V522" s="30"/>
      <c r="W522" s="30"/>
      <c r="X522" s="30"/>
    </row>
    <row r="523" ht="16.5" customHeight="1">
      <c r="A523" s="14" t="s">
        <v>17</v>
      </c>
      <c r="B523" s="14">
        <v>1997.0</v>
      </c>
      <c r="C523" s="14" t="s">
        <v>3786</v>
      </c>
      <c r="D523" s="14" t="s">
        <v>3787</v>
      </c>
      <c r="E523" s="150" t="s">
        <v>3788</v>
      </c>
      <c r="F523" s="14">
        <v>447.0</v>
      </c>
      <c r="G523" s="14">
        <v>450.0</v>
      </c>
      <c r="H523" s="14" t="s">
        <v>28</v>
      </c>
      <c r="I523" s="14"/>
      <c r="J523" s="130" t="s">
        <v>3789</v>
      </c>
      <c r="K523" s="152" t="s">
        <v>3790</v>
      </c>
      <c r="L523" s="20"/>
      <c r="M523" s="16"/>
      <c r="N523" s="152" t="s">
        <v>3790</v>
      </c>
      <c r="O523" s="30"/>
      <c r="P523" s="30"/>
      <c r="Q523" s="30"/>
      <c r="R523" s="30"/>
      <c r="S523" s="30"/>
      <c r="T523" s="30"/>
      <c r="U523" s="30"/>
      <c r="V523" s="30"/>
      <c r="W523" s="30"/>
      <c r="X523" s="30"/>
    </row>
    <row r="524" ht="1.5" customHeight="1">
      <c r="A524" s="14" t="s">
        <v>17</v>
      </c>
      <c r="B524" s="14">
        <v>1997.0</v>
      </c>
      <c r="C524" s="14" t="s">
        <v>3791</v>
      </c>
      <c r="D524" s="14" t="s">
        <v>3792</v>
      </c>
      <c r="E524" s="150" t="s">
        <v>3793</v>
      </c>
      <c r="F524" s="14">
        <v>451.0</v>
      </c>
      <c r="G524" s="14">
        <v>454.0</v>
      </c>
      <c r="H524" s="14" t="s">
        <v>28</v>
      </c>
      <c r="I524" s="14"/>
      <c r="J524" s="130" t="s">
        <v>3794</v>
      </c>
      <c r="K524" s="152" t="s">
        <v>3795</v>
      </c>
      <c r="L524" s="20" t="s">
        <v>1759</v>
      </c>
      <c r="M524" s="16"/>
      <c r="N524" s="152" t="s">
        <v>3795</v>
      </c>
      <c r="O524" s="30"/>
      <c r="P524" s="30"/>
      <c r="Q524" s="30"/>
      <c r="R524" s="30"/>
      <c r="S524" s="30"/>
      <c r="T524" s="30"/>
      <c r="U524" s="30"/>
      <c r="V524" s="30"/>
      <c r="W524" s="30"/>
      <c r="X524" s="30"/>
    </row>
    <row r="525">
      <c r="A525" s="14" t="s">
        <v>17</v>
      </c>
      <c r="B525" s="14">
        <v>1997.0</v>
      </c>
      <c r="C525" s="14" t="s">
        <v>3796</v>
      </c>
      <c r="D525" s="14" t="s">
        <v>3797</v>
      </c>
      <c r="E525" s="150" t="s">
        <v>3798</v>
      </c>
      <c r="F525" s="14">
        <v>455.0</v>
      </c>
      <c r="G525" s="14">
        <v>458.0</v>
      </c>
      <c r="H525" s="14" t="s">
        <v>28</v>
      </c>
      <c r="I525" s="14"/>
      <c r="J525" s="130" t="s">
        <v>3799</v>
      </c>
      <c r="K525" s="152" t="s">
        <v>3800</v>
      </c>
      <c r="L525" s="20"/>
      <c r="M525" s="174" t="s">
        <v>3801</v>
      </c>
      <c r="N525" s="130" t="s">
        <v>39141</v>
      </c>
      <c r="O525" s="30"/>
      <c r="P525" s="30"/>
      <c r="Q525" s="30"/>
      <c r="R525" s="30"/>
      <c r="S525" s="30"/>
      <c r="T525" s="30"/>
      <c r="U525" s="30"/>
      <c r="V525" s="30"/>
      <c r="W525" s="30"/>
      <c r="X525" s="30"/>
    </row>
    <row r="526" ht="15.75" customHeight="1">
      <c r="A526" s="14" t="s">
        <v>17</v>
      </c>
      <c r="B526" s="14">
        <v>1997.0</v>
      </c>
      <c r="C526" s="14" t="s">
        <v>3802</v>
      </c>
      <c r="D526" s="14" t="s">
        <v>3803</v>
      </c>
      <c r="E526" s="150" t="s">
        <v>3804</v>
      </c>
      <c r="F526" s="14">
        <v>459.0</v>
      </c>
      <c r="G526" s="14">
        <v>462.0</v>
      </c>
      <c r="H526" s="14" t="s">
        <v>28</v>
      </c>
      <c r="I526" s="14"/>
      <c r="J526" s="130" t="s">
        <v>6260</v>
      </c>
      <c r="K526" s="152" t="s">
        <v>3806</v>
      </c>
      <c r="L526" s="20" t="s">
        <v>3127</v>
      </c>
      <c r="M526" s="174" t="s">
        <v>3807</v>
      </c>
      <c r="N526" s="130" t="s">
        <v>38889</v>
      </c>
      <c r="O526" s="30"/>
      <c r="P526" s="30"/>
      <c r="Q526" s="30"/>
      <c r="R526" s="30"/>
      <c r="S526" s="30"/>
      <c r="T526" s="30"/>
      <c r="U526" s="30"/>
      <c r="V526" s="30"/>
      <c r="W526" s="30"/>
      <c r="X526" s="30"/>
    </row>
    <row r="527" ht="15.75" customHeight="1">
      <c r="A527" s="14" t="s">
        <v>17</v>
      </c>
      <c r="B527" s="14">
        <v>1997.0</v>
      </c>
      <c r="C527" s="14" t="s">
        <v>3808</v>
      </c>
      <c r="D527" s="14" t="s">
        <v>3809</v>
      </c>
      <c r="E527" s="150" t="s">
        <v>3810</v>
      </c>
      <c r="F527" s="14">
        <v>463.0</v>
      </c>
      <c r="G527" s="14">
        <v>466.0</v>
      </c>
      <c r="H527" s="14" t="s">
        <v>28</v>
      </c>
      <c r="I527" s="14"/>
      <c r="J527" s="130" t="s">
        <v>39151</v>
      </c>
      <c r="K527" s="152" t="s">
        <v>144</v>
      </c>
      <c r="L527" s="20"/>
      <c r="M527" s="16"/>
      <c r="N527" s="130" t="s">
        <v>34735</v>
      </c>
      <c r="O527" s="30"/>
      <c r="P527" s="30"/>
      <c r="Q527" s="30"/>
      <c r="R527" s="30"/>
      <c r="S527" s="30"/>
      <c r="T527" s="30"/>
      <c r="U527" s="30"/>
      <c r="V527" s="30"/>
      <c r="W527" s="30"/>
      <c r="X527" s="30"/>
    </row>
    <row r="528" ht="15.75" customHeight="1">
      <c r="A528" s="14" t="s">
        <v>17</v>
      </c>
      <c r="B528" s="14">
        <v>1997.0</v>
      </c>
      <c r="C528" s="14" t="s">
        <v>3812</v>
      </c>
      <c r="D528" s="14" t="s">
        <v>3813</v>
      </c>
      <c r="E528" s="150" t="s">
        <v>3814</v>
      </c>
      <c r="F528" s="14">
        <v>467.0</v>
      </c>
      <c r="G528" s="14">
        <v>470.0</v>
      </c>
      <c r="H528" s="14" t="s">
        <v>28</v>
      </c>
      <c r="I528" s="14"/>
      <c r="J528" s="130" t="s">
        <v>3815</v>
      </c>
      <c r="K528" s="152" t="s">
        <v>3816</v>
      </c>
      <c r="L528" s="20"/>
      <c r="M528" s="174" t="s">
        <v>3817</v>
      </c>
      <c r="N528" s="130" t="s">
        <v>39158</v>
      </c>
      <c r="O528" s="30"/>
      <c r="P528" s="30"/>
      <c r="Q528" s="30"/>
      <c r="R528" s="30"/>
      <c r="S528" s="30"/>
      <c r="T528" s="30"/>
      <c r="U528" s="30"/>
      <c r="V528" s="30"/>
      <c r="W528" s="30"/>
      <c r="X528" s="30"/>
    </row>
    <row r="529" ht="15.75" customHeight="1">
      <c r="A529" s="14" t="s">
        <v>17</v>
      </c>
      <c r="B529" s="14">
        <v>1997.0</v>
      </c>
      <c r="C529" s="14" t="s">
        <v>3818</v>
      </c>
      <c r="D529" s="14" t="s">
        <v>3819</v>
      </c>
      <c r="E529" s="150" t="s">
        <v>3820</v>
      </c>
      <c r="F529" s="14">
        <v>471.0</v>
      </c>
      <c r="G529" s="14">
        <v>474.0</v>
      </c>
      <c r="H529" s="14" t="s">
        <v>28</v>
      </c>
      <c r="I529" s="14"/>
      <c r="J529" s="130" t="s">
        <v>3821</v>
      </c>
      <c r="K529" s="152" t="s">
        <v>3822</v>
      </c>
      <c r="L529" s="20"/>
      <c r="M529" s="174" t="s">
        <v>3823</v>
      </c>
      <c r="N529" s="152" t="s">
        <v>3822</v>
      </c>
      <c r="O529" s="30"/>
      <c r="P529" s="30"/>
      <c r="Q529" s="30"/>
      <c r="R529" s="30"/>
      <c r="S529" s="30"/>
      <c r="T529" s="30"/>
      <c r="U529" s="30"/>
      <c r="V529" s="30"/>
      <c r="W529" s="30"/>
      <c r="X529" s="30"/>
    </row>
    <row r="530" ht="15.75" customHeight="1">
      <c r="A530" s="14" t="s">
        <v>17</v>
      </c>
      <c r="B530" s="14">
        <v>1997.0</v>
      </c>
      <c r="C530" s="14" t="s">
        <v>3824</v>
      </c>
      <c r="D530" s="14" t="s">
        <v>3825</v>
      </c>
      <c r="E530" s="150" t="s">
        <v>3826</v>
      </c>
      <c r="F530" s="14">
        <v>475.0</v>
      </c>
      <c r="G530" s="14">
        <v>478.0</v>
      </c>
      <c r="H530" s="14" t="s">
        <v>28</v>
      </c>
      <c r="I530" s="14"/>
      <c r="J530" s="130" t="s">
        <v>3827</v>
      </c>
      <c r="K530" s="152" t="s">
        <v>3828</v>
      </c>
      <c r="L530" s="20"/>
      <c r="M530" s="174" t="s">
        <v>3829</v>
      </c>
      <c r="N530" s="130" t="s">
        <v>34817</v>
      </c>
      <c r="O530" s="30"/>
      <c r="P530" s="30"/>
      <c r="Q530" s="30"/>
      <c r="R530" s="30"/>
      <c r="S530" s="30"/>
      <c r="T530" s="30"/>
      <c r="U530" s="30"/>
      <c r="V530" s="30"/>
      <c r="W530" s="30"/>
      <c r="X530" s="30"/>
    </row>
    <row r="531" ht="15.75" customHeight="1">
      <c r="A531" s="14" t="s">
        <v>17</v>
      </c>
      <c r="B531" s="14">
        <v>1997.0</v>
      </c>
      <c r="C531" s="14" t="s">
        <v>3830</v>
      </c>
      <c r="D531" s="14" t="s">
        <v>3831</v>
      </c>
      <c r="E531" s="150" t="s">
        <v>3832</v>
      </c>
      <c r="F531" s="14">
        <v>479.0</v>
      </c>
      <c r="G531" s="14">
        <v>482.0</v>
      </c>
      <c r="H531" s="14" t="s">
        <v>28</v>
      </c>
      <c r="I531" s="14"/>
      <c r="J531" s="130" t="s">
        <v>3833</v>
      </c>
      <c r="K531" s="152" t="s">
        <v>3834</v>
      </c>
      <c r="L531" s="20" t="s">
        <v>3835</v>
      </c>
      <c r="M531" s="16"/>
      <c r="N531" s="130" t="s">
        <v>39175</v>
      </c>
      <c r="O531" s="30"/>
      <c r="P531" s="30"/>
      <c r="Q531" s="30"/>
      <c r="R531" s="30"/>
      <c r="S531" s="30"/>
      <c r="T531" s="30"/>
      <c r="U531" s="30"/>
      <c r="V531" s="30"/>
      <c r="W531" s="30"/>
      <c r="X531" s="30"/>
    </row>
    <row r="532" ht="15.75" customHeight="1">
      <c r="A532" s="14" t="s">
        <v>17</v>
      </c>
      <c r="B532" s="14">
        <v>1997.0</v>
      </c>
      <c r="C532" s="14" t="s">
        <v>3836</v>
      </c>
      <c r="D532" s="14" t="s">
        <v>3837</v>
      </c>
      <c r="E532" s="150" t="s">
        <v>3838</v>
      </c>
      <c r="F532" s="14">
        <v>483.0</v>
      </c>
      <c r="G532" s="14">
        <v>486.0</v>
      </c>
      <c r="H532" s="14" t="s">
        <v>28</v>
      </c>
      <c r="I532" s="14"/>
      <c r="J532" s="130" t="s">
        <v>3839</v>
      </c>
      <c r="K532" s="152" t="s">
        <v>3840</v>
      </c>
      <c r="L532" s="20" t="s">
        <v>3841</v>
      </c>
      <c r="M532" s="16"/>
      <c r="N532" s="130" t="s">
        <v>39181</v>
      </c>
      <c r="O532" s="30"/>
      <c r="P532" s="30"/>
      <c r="Q532" s="30"/>
      <c r="R532" s="30"/>
      <c r="S532" s="30"/>
      <c r="T532" s="30"/>
      <c r="U532" s="30"/>
      <c r="V532" s="30"/>
      <c r="W532" s="30"/>
      <c r="X532" s="30"/>
    </row>
    <row r="533" ht="15.75" customHeight="1">
      <c r="A533" s="14" t="s">
        <v>17</v>
      </c>
      <c r="B533" s="14">
        <v>1997.0</v>
      </c>
      <c r="C533" s="14" t="s">
        <v>3842</v>
      </c>
      <c r="D533" s="14" t="s">
        <v>3843</v>
      </c>
      <c r="E533" s="150" t="s">
        <v>3844</v>
      </c>
      <c r="F533" s="14">
        <v>487.0</v>
      </c>
      <c r="G533" s="14">
        <v>490.0</v>
      </c>
      <c r="H533" s="14" t="s">
        <v>28</v>
      </c>
      <c r="I533" s="14"/>
      <c r="J533" s="130" t="s">
        <v>3845</v>
      </c>
      <c r="K533" s="152" t="s">
        <v>3733</v>
      </c>
      <c r="L533" s="20" t="s">
        <v>3846</v>
      </c>
      <c r="M533" s="16"/>
      <c r="N533" s="152" t="s">
        <v>3733</v>
      </c>
      <c r="O533" s="30"/>
      <c r="P533" s="30"/>
      <c r="Q533" s="30"/>
      <c r="R533" s="30"/>
      <c r="S533" s="30"/>
      <c r="T533" s="30"/>
      <c r="U533" s="30"/>
      <c r="V533" s="30"/>
      <c r="W533" s="30"/>
      <c r="X533" s="30"/>
    </row>
    <row r="534" ht="15.75" customHeight="1">
      <c r="A534" s="14" t="s">
        <v>17</v>
      </c>
      <c r="B534" s="14">
        <v>1997.0</v>
      </c>
      <c r="C534" s="14" t="s">
        <v>3847</v>
      </c>
      <c r="D534" s="14" t="s">
        <v>3848</v>
      </c>
      <c r="E534" s="150" t="s">
        <v>3849</v>
      </c>
      <c r="F534" s="14">
        <v>491.0</v>
      </c>
      <c r="G534" s="14">
        <v>494.0</v>
      </c>
      <c r="H534" s="14" t="s">
        <v>28</v>
      </c>
      <c r="I534" s="14"/>
      <c r="J534" s="130" t="s">
        <v>3850</v>
      </c>
      <c r="K534" s="152" t="s">
        <v>1138</v>
      </c>
      <c r="L534" s="20" t="s">
        <v>3851</v>
      </c>
      <c r="M534" s="174" t="s">
        <v>3852</v>
      </c>
      <c r="N534" s="130" t="s">
        <v>2913</v>
      </c>
      <c r="O534" s="30"/>
      <c r="P534" s="30"/>
      <c r="Q534" s="30"/>
      <c r="R534" s="30"/>
      <c r="S534" s="30"/>
      <c r="T534" s="30"/>
      <c r="U534" s="30"/>
      <c r="V534" s="30"/>
      <c r="W534" s="30"/>
      <c r="X534" s="30"/>
    </row>
    <row r="535" ht="15.75" customHeight="1">
      <c r="A535" s="14" t="s">
        <v>17</v>
      </c>
      <c r="B535" s="14">
        <v>1997.0</v>
      </c>
      <c r="C535" s="14" t="s">
        <v>3853</v>
      </c>
      <c r="D535" s="14" t="s">
        <v>3854</v>
      </c>
      <c r="E535" s="150" t="s">
        <v>3855</v>
      </c>
      <c r="F535" s="14">
        <v>495.0</v>
      </c>
      <c r="G535" s="14">
        <v>498.0</v>
      </c>
      <c r="H535" s="14" t="s">
        <v>28</v>
      </c>
      <c r="I535" s="14"/>
      <c r="J535" s="130" t="s">
        <v>3856</v>
      </c>
      <c r="K535" s="152" t="s">
        <v>3857</v>
      </c>
      <c r="L535" s="20" t="s">
        <v>1579</v>
      </c>
      <c r="M535" s="16"/>
      <c r="N535" s="130" t="s">
        <v>34961</v>
      </c>
      <c r="O535" s="30"/>
      <c r="P535" s="30"/>
      <c r="Q535" s="30"/>
      <c r="R535" s="30"/>
      <c r="S535" s="30"/>
      <c r="T535" s="30"/>
      <c r="U535" s="30"/>
      <c r="V535" s="30"/>
      <c r="W535" s="30"/>
      <c r="X535" s="30"/>
    </row>
    <row r="536" ht="15.75" customHeight="1">
      <c r="A536" s="14" t="s">
        <v>17</v>
      </c>
      <c r="B536" s="14">
        <v>1997.0</v>
      </c>
      <c r="C536" s="14" t="s">
        <v>3858</v>
      </c>
      <c r="D536" s="14" t="s">
        <v>3859</v>
      </c>
      <c r="E536" s="150" t="s">
        <v>3860</v>
      </c>
      <c r="F536" s="14">
        <v>499.0</v>
      </c>
      <c r="G536" s="14">
        <v>503.0</v>
      </c>
      <c r="H536" s="14" t="s">
        <v>28</v>
      </c>
      <c r="I536" s="14"/>
      <c r="J536" s="130" t="s">
        <v>3861</v>
      </c>
      <c r="K536" s="152" t="s">
        <v>3862</v>
      </c>
      <c r="L536" s="20"/>
      <c r="M536" s="16"/>
      <c r="N536" s="130" t="s">
        <v>39193</v>
      </c>
      <c r="O536" s="30"/>
      <c r="P536" s="30"/>
      <c r="Q536" s="30"/>
      <c r="R536" s="30"/>
      <c r="S536" s="30"/>
      <c r="T536" s="30"/>
      <c r="U536" s="30"/>
      <c r="V536" s="30"/>
      <c r="W536" s="30"/>
      <c r="X536" s="30"/>
    </row>
    <row r="537" ht="15.75" customHeight="1">
      <c r="A537" s="14" t="s">
        <v>17</v>
      </c>
      <c r="B537" s="14">
        <v>1997.0</v>
      </c>
      <c r="C537" s="14" t="s">
        <v>3863</v>
      </c>
      <c r="D537" s="14" t="s">
        <v>3864</v>
      </c>
      <c r="E537" s="150" t="s">
        <v>3865</v>
      </c>
      <c r="F537" s="14">
        <v>507.0</v>
      </c>
      <c r="G537" s="14">
        <v>509.0</v>
      </c>
      <c r="H537" s="14" t="s">
        <v>21</v>
      </c>
      <c r="I537" s="14"/>
      <c r="J537" s="130" t="s">
        <v>3866</v>
      </c>
      <c r="K537" s="152" t="s">
        <v>3867</v>
      </c>
      <c r="L537" s="20"/>
      <c r="M537" s="16"/>
      <c r="N537" s="152" t="s">
        <v>3867</v>
      </c>
      <c r="O537" s="30"/>
      <c r="P537" s="30"/>
      <c r="Q537" s="30"/>
      <c r="R537" s="30"/>
      <c r="S537" s="30"/>
      <c r="T537" s="30"/>
      <c r="U537" s="30"/>
      <c r="V537" s="30"/>
      <c r="W537" s="30"/>
      <c r="X537" s="30"/>
    </row>
    <row r="538" ht="15.75" customHeight="1">
      <c r="A538" s="14" t="s">
        <v>17</v>
      </c>
      <c r="B538" s="14">
        <v>1997.0</v>
      </c>
      <c r="C538" s="14" t="s">
        <v>3868</v>
      </c>
      <c r="D538" s="14" t="s">
        <v>3869</v>
      </c>
      <c r="E538" s="150" t="s">
        <v>3870</v>
      </c>
      <c r="F538" s="14">
        <v>511.0</v>
      </c>
      <c r="G538" s="14">
        <v>513.0</v>
      </c>
      <c r="H538" s="14" t="s">
        <v>21</v>
      </c>
      <c r="I538" s="14"/>
      <c r="J538" s="130" t="s">
        <v>3871</v>
      </c>
      <c r="K538" s="152" t="s">
        <v>3872</v>
      </c>
      <c r="L538" s="20"/>
      <c r="M538" s="16"/>
      <c r="N538" s="152" t="s">
        <v>3872</v>
      </c>
      <c r="O538" s="30"/>
      <c r="P538" s="30"/>
      <c r="Q538" s="30"/>
      <c r="R538" s="30"/>
      <c r="S538" s="30"/>
      <c r="T538" s="30"/>
      <c r="U538" s="30"/>
      <c r="V538" s="30"/>
      <c r="W538" s="30"/>
      <c r="X538" s="30"/>
    </row>
    <row r="539" ht="15.75" customHeight="1">
      <c r="A539" s="14" t="s">
        <v>17</v>
      </c>
      <c r="B539" s="14">
        <v>1997.0</v>
      </c>
      <c r="C539" s="14" t="s">
        <v>3873</v>
      </c>
      <c r="D539" s="14" t="s">
        <v>3874</v>
      </c>
      <c r="E539" s="150" t="s">
        <v>3875</v>
      </c>
      <c r="F539" s="14">
        <v>515.0</v>
      </c>
      <c r="G539" s="14">
        <v>517.0</v>
      </c>
      <c r="H539" s="14" t="s">
        <v>21</v>
      </c>
      <c r="I539" s="14"/>
      <c r="J539" s="130" t="s">
        <v>3876</v>
      </c>
      <c r="K539" s="152" t="s">
        <v>3877</v>
      </c>
      <c r="L539" s="20"/>
      <c r="M539" s="16"/>
      <c r="N539" s="152" t="s">
        <v>3877</v>
      </c>
      <c r="O539" s="30"/>
      <c r="P539" s="30"/>
      <c r="Q539" s="30"/>
      <c r="R539" s="30"/>
      <c r="S539" s="30"/>
      <c r="T539" s="30"/>
      <c r="U539" s="30"/>
      <c r="V539" s="30"/>
      <c r="W539" s="30"/>
      <c r="X539" s="30"/>
    </row>
    <row r="540" ht="15.75" customHeight="1">
      <c r="A540" s="14" t="s">
        <v>2137</v>
      </c>
      <c r="B540" s="14">
        <v>1998.0</v>
      </c>
      <c r="C540" s="14" t="s">
        <v>3878</v>
      </c>
      <c r="D540" s="14" t="s">
        <v>3879</v>
      </c>
      <c r="E540" s="150" t="s">
        <v>3880</v>
      </c>
      <c r="F540" s="14">
        <v>3.0</v>
      </c>
      <c r="G540" s="14" t="s">
        <v>3881</v>
      </c>
      <c r="H540" s="14" t="s">
        <v>28</v>
      </c>
      <c r="I540" s="14"/>
      <c r="J540" s="130" t="s">
        <v>6675</v>
      </c>
      <c r="K540" s="152" t="s">
        <v>3883</v>
      </c>
      <c r="L540" s="20"/>
      <c r="M540" s="174" t="s">
        <v>3884</v>
      </c>
      <c r="N540" s="130" t="s">
        <v>39220</v>
      </c>
      <c r="O540" s="84"/>
      <c r="P540" s="84"/>
      <c r="Q540" s="84"/>
      <c r="R540" s="84"/>
      <c r="S540" s="84"/>
      <c r="T540" s="84"/>
      <c r="U540" s="84"/>
      <c r="V540" s="84"/>
      <c r="W540" s="84"/>
      <c r="X540" s="84"/>
    </row>
    <row r="541" ht="15.75" customHeight="1">
      <c r="A541" s="14" t="s">
        <v>2137</v>
      </c>
      <c r="B541" s="14">
        <v>1998.0</v>
      </c>
      <c r="C541" s="14" t="s">
        <v>3885</v>
      </c>
      <c r="D541" s="14" t="s">
        <v>3886</v>
      </c>
      <c r="E541" s="150" t="s">
        <v>3887</v>
      </c>
      <c r="F541" s="14">
        <v>11.0</v>
      </c>
      <c r="G541" s="14">
        <v>18.0</v>
      </c>
      <c r="H541" s="14" t="s">
        <v>28</v>
      </c>
      <c r="I541" s="14"/>
      <c r="J541" s="130" t="s">
        <v>3888</v>
      </c>
      <c r="K541" s="152" t="s">
        <v>2015</v>
      </c>
      <c r="L541" s="20"/>
      <c r="M541" s="16"/>
      <c r="N541" s="130" t="s">
        <v>36821</v>
      </c>
      <c r="O541" s="84"/>
      <c r="P541" s="84"/>
      <c r="Q541" s="84"/>
      <c r="R541" s="84"/>
      <c r="S541" s="84"/>
      <c r="T541" s="84"/>
      <c r="U541" s="84"/>
      <c r="V541" s="84"/>
      <c r="W541" s="84"/>
      <c r="X541" s="84"/>
    </row>
    <row r="542" ht="15.75" customHeight="1">
      <c r="A542" s="14" t="s">
        <v>2137</v>
      </c>
      <c r="B542" s="14">
        <v>1998.0</v>
      </c>
      <c r="C542" s="14" t="s">
        <v>3889</v>
      </c>
      <c r="D542" s="14" t="s">
        <v>3890</v>
      </c>
      <c r="E542" s="150" t="s">
        <v>3891</v>
      </c>
      <c r="F542" s="14">
        <v>19.0</v>
      </c>
      <c r="G542" s="14" t="s">
        <v>3892</v>
      </c>
      <c r="H542" s="14" t="s">
        <v>28</v>
      </c>
      <c r="I542" s="14"/>
      <c r="J542" s="130" t="s">
        <v>3893</v>
      </c>
      <c r="K542" s="152" t="s">
        <v>3894</v>
      </c>
      <c r="L542" s="20" t="s">
        <v>3895</v>
      </c>
      <c r="M542" s="174" t="s">
        <v>3896</v>
      </c>
      <c r="N542" s="130" t="s">
        <v>39234</v>
      </c>
      <c r="O542" s="84"/>
      <c r="P542" s="84"/>
      <c r="Q542" s="84"/>
      <c r="R542" s="84"/>
      <c r="S542" s="84"/>
      <c r="T542" s="84"/>
      <c r="U542" s="84"/>
      <c r="V542" s="84"/>
      <c r="W542" s="84"/>
      <c r="X542" s="84"/>
    </row>
    <row r="543" ht="15.75" customHeight="1">
      <c r="A543" s="14" t="s">
        <v>2137</v>
      </c>
      <c r="B543" s="14">
        <v>1998.0</v>
      </c>
      <c r="C543" s="14" t="s">
        <v>3897</v>
      </c>
      <c r="D543" s="14" t="s">
        <v>3898</v>
      </c>
      <c r="E543" s="150" t="s">
        <v>3899</v>
      </c>
      <c r="F543" s="14">
        <v>26.0</v>
      </c>
      <c r="G543" s="14" t="s">
        <v>3900</v>
      </c>
      <c r="H543" s="14" t="s">
        <v>28</v>
      </c>
      <c r="I543" s="14"/>
      <c r="J543" s="130" t="s">
        <v>2768</v>
      </c>
      <c r="K543" s="152" t="s">
        <v>3901</v>
      </c>
      <c r="L543" s="20" t="s">
        <v>2765</v>
      </c>
      <c r="M543" s="16"/>
      <c r="N543" s="130" t="s">
        <v>39237</v>
      </c>
      <c r="O543" s="84"/>
      <c r="P543" s="84"/>
      <c r="Q543" s="84"/>
      <c r="R543" s="84"/>
      <c r="S543" s="84"/>
      <c r="T543" s="84"/>
      <c r="U543" s="84"/>
      <c r="V543" s="84"/>
      <c r="W543" s="84"/>
      <c r="X543" s="84"/>
    </row>
    <row r="544" ht="15.75" customHeight="1">
      <c r="A544" s="14" t="s">
        <v>2137</v>
      </c>
      <c r="B544" s="14">
        <v>1998.0</v>
      </c>
      <c r="C544" s="14" t="s">
        <v>3902</v>
      </c>
      <c r="D544" s="14" t="s">
        <v>3903</v>
      </c>
      <c r="E544" s="150" t="s">
        <v>3904</v>
      </c>
      <c r="F544" s="14">
        <v>35.0</v>
      </c>
      <c r="G544" s="14" t="s">
        <v>3905</v>
      </c>
      <c r="H544" s="14" t="s">
        <v>28</v>
      </c>
      <c r="I544" s="14"/>
      <c r="J544" s="130" t="s">
        <v>3906</v>
      </c>
      <c r="K544" s="152" t="s">
        <v>3907</v>
      </c>
      <c r="L544" s="20" t="s">
        <v>3908</v>
      </c>
      <c r="M544" s="16"/>
      <c r="N544" s="130" t="s">
        <v>39239</v>
      </c>
      <c r="O544" s="84"/>
      <c r="P544" s="84"/>
      <c r="Q544" s="84"/>
      <c r="R544" s="84"/>
      <c r="S544" s="84"/>
      <c r="T544" s="84"/>
      <c r="U544" s="84"/>
      <c r="V544" s="84"/>
      <c r="W544" s="84"/>
      <c r="X544" s="84"/>
    </row>
    <row r="545" ht="15.75" customHeight="1">
      <c r="A545" s="14" t="s">
        <v>2137</v>
      </c>
      <c r="B545" s="14">
        <v>1998.0</v>
      </c>
      <c r="C545" s="14" t="s">
        <v>3909</v>
      </c>
      <c r="D545" s="14" t="s">
        <v>3910</v>
      </c>
      <c r="E545" s="150" t="s">
        <v>3911</v>
      </c>
      <c r="F545" s="14">
        <v>44.0</v>
      </c>
      <c r="G545" s="14" t="s">
        <v>3985</v>
      </c>
      <c r="H545" s="14" t="s">
        <v>28</v>
      </c>
      <c r="I545" s="14"/>
      <c r="J545" s="130" t="s">
        <v>3986</v>
      </c>
      <c r="K545" s="152" t="s">
        <v>358</v>
      </c>
      <c r="L545" s="20" t="s">
        <v>3987</v>
      </c>
      <c r="M545" s="16"/>
      <c r="N545" s="130" t="s">
        <v>39247</v>
      </c>
      <c r="O545" s="84"/>
      <c r="P545" s="84"/>
      <c r="Q545" s="84"/>
      <c r="R545" s="84"/>
      <c r="S545" s="84"/>
      <c r="T545" s="84"/>
      <c r="U545" s="84"/>
      <c r="V545" s="84"/>
      <c r="W545" s="84"/>
      <c r="X545" s="84"/>
    </row>
    <row r="546" ht="15.75" customHeight="1">
      <c r="A546" s="14" t="s">
        <v>2137</v>
      </c>
      <c r="B546" s="14">
        <v>1998.0</v>
      </c>
      <c r="C546" s="14" t="s">
        <v>3988</v>
      </c>
      <c r="D546" s="14" t="s">
        <v>3989</v>
      </c>
      <c r="E546" s="150" t="s">
        <v>3990</v>
      </c>
      <c r="F546" s="14">
        <v>52.0</v>
      </c>
      <c r="G546" s="14" t="s">
        <v>3991</v>
      </c>
      <c r="H546" s="14" t="s">
        <v>28</v>
      </c>
      <c r="I546" s="14"/>
      <c r="J546" s="130" t="s">
        <v>3992</v>
      </c>
      <c r="K546" s="152" t="s">
        <v>3993</v>
      </c>
      <c r="L546" s="20" t="s">
        <v>3994</v>
      </c>
      <c r="M546" s="16"/>
      <c r="N546" s="130" t="s">
        <v>39254</v>
      </c>
      <c r="O546" s="84"/>
      <c r="P546" s="84"/>
      <c r="Q546" s="84"/>
      <c r="R546" s="84"/>
      <c r="S546" s="84"/>
      <c r="T546" s="84"/>
      <c r="U546" s="84"/>
      <c r="V546" s="84"/>
      <c r="W546" s="84"/>
      <c r="X546" s="84"/>
    </row>
    <row r="547" ht="15.75" customHeight="1">
      <c r="A547" s="14" t="s">
        <v>2137</v>
      </c>
      <c r="B547" s="14">
        <v>1998.0</v>
      </c>
      <c r="C547" s="14" t="s">
        <v>3995</v>
      </c>
      <c r="D547" s="14" t="s">
        <v>3996</v>
      </c>
      <c r="E547" s="150" t="s">
        <v>3997</v>
      </c>
      <c r="F547" s="14">
        <v>63.0</v>
      </c>
      <c r="G547" s="14">
        <v>70.0</v>
      </c>
      <c r="H547" s="14" t="s">
        <v>28</v>
      </c>
      <c r="I547" s="14"/>
      <c r="J547" s="130" t="s">
        <v>3998</v>
      </c>
      <c r="K547" s="152" t="s">
        <v>3999</v>
      </c>
      <c r="L547" s="20" t="s">
        <v>4000</v>
      </c>
      <c r="M547" s="174" t="s">
        <v>4001</v>
      </c>
      <c r="N547" s="130" t="s">
        <v>39259</v>
      </c>
      <c r="O547" s="84"/>
      <c r="P547" s="84"/>
      <c r="Q547" s="84"/>
      <c r="R547" s="84"/>
      <c r="S547" s="84"/>
      <c r="T547" s="84"/>
      <c r="U547" s="84"/>
      <c r="V547" s="84"/>
      <c r="W547" s="84"/>
      <c r="X547" s="84"/>
    </row>
    <row r="548" ht="15.75" customHeight="1">
      <c r="A548" s="14" t="s">
        <v>2137</v>
      </c>
      <c r="B548" s="14">
        <v>1998.0</v>
      </c>
      <c r="C548" s="14" t="s">
        <v>4002</v>
      </c>
      <c r="D548" s="14" t="s">
        <v>4003</v>
      </c>
      <c r="E548" s="150" t="s">
        <v>4004</v>
      </c>
      <c r="F548" s="14">
        <v>71.0</v>
      </c>
      <c r="G548" s="14" t="s">
        <v>4005</v>
      </c>
      <c r="H548" s="14" t="s">
        <v>28</v>
      </c>
      <c r="I548" s="14"/>
      <c r="J548" s="130" t="s">
        <v>4006</v>
      </c>
      <c r="K548" s="152" t="s">
        <v>4007</v>
      </c>
      <c r="L548" s="20" t="s">
        <v>3797</v>
      </c>
      <c r="M548" s="16"/>
      <c r="N548" s="130" t="s">
        <v>39267</v>
      </c>
      <c r="O548" s="84"/>
      <c r="P548" s="84"/>
      <c r="Q548" s="84"/>
      <c r="R548" s="84"/>
      <c r="S548" s="84"/>
      <c r="T548" s="84"/>
      <c r="U548" s="84"/>
      <c r="V548" s="84"/>
      <c r="W548" s="84"/>
      <c r="X548" s="84"/>
    </row>
    <row r="549" ht="15.75" customHeight="1">
      <c r="A549" s="14" t="s">
        <v>2137</v>
      </c>
      <c r="B549" s="14">
        <v>1998.0</v>
      </c>
      <c r="C549" s="14" t="s">
        <v>4008</v>
      </c>
      <c r="D549" s="14" t="s">
        <v>4009</v>
      </c>
      <c r="E549" s="150" t="s">
        <v>4010</v>
      </c>
      <c r="F549" s="14">
        <v>79.0</v>
      </c>
      <c r="G549" s="14" t="s">
        <v>4011</v>
      </c>
      <c r="H549" s="14" t="s">
        <v>28</v>
      </c>
      <c r="I549" s="14"/>
      <c r="J549" s="130" t="s">
        <v>4012</v>
      </c>
      <c r="K549" s="152" t="s">
        <v>4013</v>
      </c>
      <c r="L549" s="20" t="s">
        <v>4014</v>
      </c>
      <c r="M549" s="174" t="s">
        <v>4015</v>
      </c>
      <c r="N549" s="130" t="s">
        <v>39268</v>
      </c>
      <c r="O549" s="84"/>
      <c r="P549" s="84"/>
      <c r="Q549" s="84"/>
      <c r="R549" s="84"/>
      <c r="S549" s="84"/>
      <c r="T549" s="84"/>
      <c r="U549" s="84"/>
      <c r="V549" s="84"/>
      <c r="W549" s="84"/>
      <c r="X549" s="84"/>
    </row>
    <row r="550" ht="15.75" customHeight="1">
      <c r="A550" s="14" t="s">
        <v>2137</v>
      </c>
      <c r="B550" s="14">
        <v>1998.0</v>
      </c>
      <c r="C550" s="14" t="s">
        <v>4016</v>
      </c>
      <c r="D550" s="14" t="s">
        <v>4017</v>
      </c>
      <c r="E550" s="150" t="s">
        <v>4018</v>
      </c>
      <c r="F550" s="14">
        <v>87.0</v>
      </c>
      <c r="G550" s="14" t="s">
        <v>4022</v>
      </c>
      <c r="H550" s="14" t="s">
        <v>28</v>
      </c>
      <c r="I550" s="14"/>
      <c r="J550" s="130" t="s">
        <v>4023</v>
      </c>
      <c r="K550" s="152" t="s">
        <v>4024</v>
      </c>
      <c r="L550" s="20" t="s">
        <v>4025</v>
      </c>
      <c r="M550" s="16"/>
      <c r="N550" s="130" t="s">
        <v>39269</v>
      </c>
      <c r="O550" s="84"/>
      <c r="P550" s="84"/>
      <c r="Q550" s="84"/>
      <c r="R550" s="84"/>
      <c r="S550" s="84"/>
      <c r="T550" s="84"/>
      <c r="U550" s="84"/>
      <c r="V550" s="84"/>
      <c r="W550" s="84"/>
      <c r="X550" s="84"/>
    </row>
    <row r="551" ht="15.75" customHeight="1">
      <c r="A551" s="14" t="s">
        <v>2137</v>
      </c>
      <c r="B551" s="14">
        <v>1998.0</v>
      </c>
      <c r="C551" s="14" t="s">
        <v>4026</v>
      </c>
      <c r="D551" s="14" t="s">
        <v>4027</v>
      </c>
      <c r="E551" s="150" t="s">
        <v>4028</v>
      </c>
      <c r="F551" s="14">
        <v>97.0</v>
      </c>
      <c r="G551" s="14">
        <v>101.0</v>
      </c>
      <c r="H551" s="14" t="s">
        <v>28</v>
      </c>
      <c r="I551" s="14"/>
      <c r="J551" s="130" t="s">
        <v>4029</v>
      </c>
      <c r="K551" s="152" t="s">
        <v>4030</v>
      </c>
      <c r="L551" s="20"/>
      <c r="M551" s="16"/>
      <c r="N551" s="130" t="s">
        <v>39270</v>
      </c>
      <c r="O551" s="84"/>
      <c r="P551" s="84"/>
      <c r="Q551" s="84"/>
      <c r="R551" s="84"/>
      <c r="S551" s="84"/>
      <c r="T551" s="84"/>
      <c r="U551" s="84"/>
      <c r="V551" s="84"/>
      <c r="W551" s="84"/>
      <c r="X551" s="84"/>
    </row>
    <row r="552" ht="15.75" customHeight="1">
      <c r="A552" s="14" t="s">
        <v>2137</v>
      </c>
      <c r="B552" s="14">
        <v>1998.0</v>
      </c>
      <c r="C552" s="14" t="s">
        <v>4031</v>
      </c>
      <c r="D552" s="14" t="s">
        <v>4032</v>
      </c>
      <c r="E552" s="150" t="s">
        <v>4033</v>
      </c>
      <c r="F552" s="14">
        <v>102.0</v>
      </c>
      <c r="G552" s="14" t="s">
        <v>4040</v>
      </c>
      <c r="H552" s="14" t="s">
        <v>28</v>
      </c>
      <c r="I552" s="14"/>
      <c r="J552" s="130" t="s">
        <v>3405</v>
      </c>
      <c r="K552" s="152" t="s">
        <v>4041</v>
      </c>
      <c r="L552" s="20" t="s">
        <v>226</v>
      </c>
      <c r="M552" s="16"/>
      <c r="N552" s="130" t="s">
        <v>38817</v>
      </c>
      <c r="O552" s="84"/>
      <c r="P552" s="84"/>
      <c r="Q552" s="84"/>
      <c r="R552" s="84"/>
      <c r="S552" s="84"/>
      <c r="T552" s="84"/>
      <c r="U552" s="84"/>
      <c r="V552" s="84"/>
      <c r="W552" s="84"/>
      <c r="X552" s="84"/>
    </row>
    <row r="553" ht="15.75" customHeight="1">
      <c r="A553" s="14" t="s">
        <v>2137</v>
      </c>
      <c r="B553" s="14">
        <v>1998.0</v>
      </c>
      <c r="C553" s="14" t="s">
        <v>4042</v>
      </c>
      <c r="D553" s="14" t="s">
        <v>4043</v>
      </c>
      <c r="E553" s="150" t="s">
        <v>4044</v>
      </c>
      <c r="F553" s="14">
        <v>106.0</v>
      </c>
      <c r="G553" s="14" t="s">
        <v>4046</v>
      </c>
      <c r="H553" s="14" t="s">
        <v>28</v>
      </c>
      <c r="I553" s="14"/>
      <c r="J553" s="130" t="s">
        <v>4047</v>
      </c>
      <c r="K553" s="152" t="s">
        <v>4048</v>
      </c>
      <c r="L553" s="20" t="s">
        <v>4049</v>
      </c>
      <c r="M553" s="204" t="s">
        <v>4050</v>
      </c>
      <c r="N553" s="130" t="s">
        <v>39271</v>
      </c>
      <c r="O553" s="84"/>
      <c r="P553" s="84"/>
      <c r="Q553" s="84"/>
      <c r="R553" s="84"/>
      <c r="S553" s="84"/>
      <c r="T553" s="84"/>
      <c r="U553" s="84"/>
      <c r="V553" s="84"/>
      <c r="W553" s="84"/>
      <c r="X553" s="84"/>
    </row>
    <row r="554" ht="15.75" customHeight="1">
      <c r="A554" s="14" t="s">
        <v>2137</v>
      </c>
      <c r="B554" s="14">
        <v>1998.0</v>
      </c>
      <c r="C554" s="14" t="s">
        <v>4052</v>
      </c>
      <c r="D554" s="14" t="s">
        <v>4053</v>
      </c>
      <c r="E554" s="150" t="s">
        <v>4055</v>
      </c>
      <c r="F554" s="14">
        <v>113.0</v>
      </c>
      <c r="G554" s="14" t="s">
        <v>4057</v>
      </c>
      <c r="H554" s="14" t="s">
        <v>28</v>
      </c>
      <c r="I554" s="14"/>
      <c r="J554" s="130" t="s">
        <v>4058</v>
      </c>
      <c r="K554" s="152" t="s">
        <v>4059</v>
      </c>
      <c r="L554" s="20"/>
      <c r="M554" s="16"/>
      <c r="N554" s="130" t="s">
        <v>39280</v>
      </c>
      <c r="O554" s="84"/>
      <c r="P554" s="84"/>
      <c r="Q554" s="84"/>
      <c r="R554" s="84"/>
      <c r="S554" s="84"/>
      <c r="T554" s="84"/>
      <c r="U554" s="84"/>
      <c r="V554" s="84"/>
      <c r="W554" s="84"/>
      <c r="X554" s="84"/>
    </row>
    <row r="555" ht="15.75" customHeight="1">
      <c r="A555" s="14" t="s">
        <v>2137</v>
      </c>
      <c r="B555" s="14">
        <v>1998.0</v>
      </c>
      <c r="C555" s="14" t="s">
        <v>4060</v>
      </c>
      <c r="D555" s="14" t="s">
        <v>4061</v>
      </c>
      <c r="E555" s="150" t="s">
        <v>4062</v>
      </c>
      <c r="F555" s="14">
        <v>121.0</v>
      </c>
      <c r="G555" s="14" t="s">
        <v>4065</v>
      </c>
      <c r="H555" s="14" t="s">
        <v>28</v>
      </c>
      <c r="I555" s="14"/>
      <c r="J555" s="130" t="s">
        <v>4066</v>
      </c>
      <c r="K555" s="152" t="s">
        <v>4067</v>
      </c>
      <c r="L555" s="20" t="s">
        <v>4068</v>
      </c>
      <c r="M555" s="174" t="s">
        <v>4069</v>
      </c>
      <c r="N555" s="130" t="s">
        <v>39284</v>
      </c>
      <c r="O555" s="84"/>
      <c r="P555" s="84"/>
      <c r="Q555" s="84"/>
      <c r="R555" s="84"/>
      <c r="S555" s="84"/>
      <c r="T555" s="84"/>
      <c r="U555" s="84"/>
      <c r="V555" s="84"/>
      <c r="W555" s="84"/>
      <c r="X555" s="84"/>
    </row>
    <row r="556" ht="15.75" customHeight="1">
      <c r="A556" s="14" t="s">
        <v>2137</v>
      </c>
      <c r="B556" s="14">
        <v>1998.0</v>
      </c>
      <c r="C556" s="14" t="s">
        <v>4070</v>
      </c>
      <c r="D556" s="14" t="s">
        <v>4071</v>
      </c>
      <c r="E556" s="150" t="s">
        <v>4072</v>
      </c>
      <c r="F556" s="14">
        <v>130.0</v>
      </c>
      <c r="G556" s="14">
        <v>136.0</v>
      </c>
      <c r="H556" s="14" t="s">
        <v>28</v>
      </c>
      <c r="I556" s="14"/>
      <c r="J556" s="130" t="s">
        <v>4077</v>
      </c>
      <c r="K556" s="152" t="s">
        <v>4078</v>
      </c>
      <c r="L556" s="20" t="s">
        <v>4079</v>
      </c>
      <c r="M556" s="174" t="s">
        <v>4080</v>
      </c>
      <c r="N556" s="130" t="s">
        <v>15484</v>
      </c>
      <c r="O556" s="84"/>
      <c r="P556" s="84"/>
      <c r="Q556" s="84"/>
      <c r="R556" s="84"/>
      <c r="S556" s="84"/>
      <c r="T556" s="84"/>
      <c r="U556" s="84"/>
      <c r="V556" s="84"/>
      <c r="W556" s="84"/>
      <c r="X556" s="84"/>
    </row>
    <row r="557" ht="15.75" customHeight="1">
      <c r="A557" s="14" t="s">
        <v>2137</v>
      </c>
      <c r="B557" s="14">
        <v>1998.0</v>
      </c>
      <c r="C557" s="14" t="s">
        <v>4081</v>
      </c>
      <c r="D557" s="14" t="s">
        <v>4082</v>
      </c>
      <c r="E557" s="150" t="s">
        <v>4084</v>
      </c>
      <c r="F557" s="14">
        <v>137.0</v>
      </c>
      <c r="G557" s="14" t="s">
        <v>4090</v>
      </c>
      <c r="H557" s="14" t="s">
        <v>28</v>
      </c>
      <c r="I557" s="14"/>
      <c r="J557" s="130" t="s">
        <v>4091</v>
      </c>
      <c r="K557" s="152" t="s">
        <v>4092</v>
      </c>
      <c r="L557" s="20" t="s">
        <v>4093</v>
      </c>
      <c r="M557" s="174" t="s">
        <v>4094</v>
      </c>
      <c r="N557" s="152" t="s">
        <v>4092</v>
      </c>
      <c r="O557" s="84"/>
      <c r="P557" s="84"/>
      <c r="Q557" s="84"/>
      <c r="R557" s="84"/>
      <c r="S557" s="84"/>
      <c r="T557" s="84"/>
      <c r="U557" s="84"/>
      <c r="V557" s="84"/>
      <c r="W557" s="84"/>
      <c r="X557" s="84"/>
    </row>
    <row r="558" ht="15.75" customHeight="1">
      <c r="A558" s="14" t="s">
        <v>17</v>
      </c>
      <c r="B558" s="14">
        <v>1998.0</v>
      </c>
      <c r="C558" s="14" t="s">
        <v>4095</v>
      </c>
      <c r="D558" s="14" t="s">
        <v>4096</v>
      </c>
      <c r="E558" s="150" t="s">
        <v>4097</v>
      </c>
      <c r="F558" s="14">
        <v>19.0</v>
      </c>
      <c r="G558" s="14">
        <v>26.0</v>
      </c>
      <c r="H558" s="14" t="s">
        <v>28</v>
      </c>
      <c r="I558" s="14"/>
      <c r="J558" s="130" t="s">
        <v>4101</v>
      </c>
      <c r="K558" s="152" t="s">
        <v>4102</v>
      </c>
      <c r="L558" s="20" t="s">
        <v>4103</v>
      </c>
      <c r="M558" s="174" t="s">
        <v>4104</v>
      </c>
      <c r="N558" s="152" t="s">
        <v>4102</v>
      </c>
      <c r="O558" s="84"/>
      <c r="P558" s="84"/>
      <c r="Q558" s="84"/>
      <c r="R558" s="84"/>
      <c r="S558" s="84"/>
      <c r="T558" s="84"/>
      <c r="U558" s="84"/>
      <c r="V558" s="84"/>
      <c r="W558" s="84"/>
      <c r="X558" s="84"/>
    </row>
    <row r="559" ht="15.75" customHeight="1">
      <c r="A559" s="14" t="s">
        <v>17</v>
      </c>
      <c r="B559" s="14">
        <v>1998.0</v>
      </c>
      <c r="C559" s="14" t="s">
        <v>4105</v>
      </c>
      <c r="D559" s="14" t="s">
        <v>4107</v>
      </c>
      <c r="E559" s="150" t="s">
        <v>4108</v>
      </c>
      <c r="F559" s="14">
        <v>27.0</v>
      </c>
      <c r="G559" s="14">
        <v>33.0</v>
      </c>
      <c r="H559" s="14" t="s">
        <v>28</v>
      </c>
      <c r="I559" s="14"/>
      <c r="J559" s="130" t="s">
        <v>4111</v>
      </c>
      <c r="K559" s="152" t="s">
        <v>4112</v>
      </c>
      <c r="L559" s="20"/>
      <c r="M559" s="174" t="s">
        <v>4113</v>
      </c>
      <c r="N559" s="130" t="s">
        <v>39316</v>
      </c>
      <c r="O559" s="84"/>
      <c r="P559" s="84"/>
      <c r="Q559" s="84"/>
      <c r="R559" s="84"/>
      <c r="S559" s="84"/>
      <c r="T559" s="84"/>
      <c r="U559" s="84"/>
      <c r="V559" s="84"/>
      <c r="W559" s="84"/>
      <c r="X559" s="84"/>
    </row>
    <row r="560" ht="15.75" customHeight="1">
      <c r="A560" s="14" t="s">
        <v>17</v>
      </c>
      <c r="B560" s="14">
        <v>1998.0</v>
      </c>
      <c r="C560" s="14" t="s">
        <v>4114</v>
      </c>
      <c r="D560" s="14" t="s">
        <v>4115</v>
      </c>
      <c r="E560" s="150" t="s">
        <v>4116</v>
      </c>
      <c r="F560" s="14">
        <v>35.0</v>
      </c>
      <c r="G560" s="14">
        <v>42.0</v>
      </c>
      <c r="H560" s="14" t="s">
        <v>28</v>
      </c>
      <c r="I560" s="14"/>
      <c r="J560" s="130" t="s">
        <v>4120</v>
      </c>
      <c r="K560" s="152" t="s">
        <v>4121</v>
      </c>
      <c r="L560" s="20" t="s">
        <v>4122</v>
      </c>
      <c r="M560" s="16"/>
      <c r="N560" s="130" t="s">
        <v>39325</v>
      </c>
      <c r="O560" s="30"/>
      <c r="P560" s="30"/>
      <c r="Q560" s="30"/>
      <c r="R560" s="30"/>
      <c r="S560" s="30"/>
      <c r="T560" s="30"/>
      <c r="U560" s="30"/>
      <c r="V560" s="30"/>
      <c r="W560" s="30"/>
      <c r="X560" s="30"/>
    </row>
    <row r="561" ht="15.75" customHeight="1">
      <c r="A561" s="14" t="s">
        <v>17</v>
      </c>
      <c r="B561" s="14">
        <v>1998.0</v>
      </c>
      <c r="C561" s="14" t="s">
        <v>4123</v>
      </c>
      <c r="D561" s="14" t="s">
        <v>4124</v>
      </c>
      <c r="E561" s="150" t="s">
        <v>4125</v>
      </c>
      <c r="F561" s="14">
        <v>43.0</v>
      </c>
      <c r="G561" s="14">
        <v>50.0</v>
      </c>
      <c r="H561" s="14" t="s">
        <v>28</v>
      </c>
      <c r="I561" s="14"/>
      <c r="J561" s="130" t="s">
        <v>3530</v>
      </c>
      <c r="K561" s="152" t="s">
        <v>4128</v>
      </c>
      <c r="L561" s="20" t="s">
        <v>4129</v>
      </c>
      <c r="M561" s="16"/>
      <c r="N561" s="130" t="s">
        <v>38881</v>
      </c>
      <c r="O561" s="30"/>
      <c r="P561" s="30"/>
      <c r="Q561" s="30"/>
      <c r="R561" s="30"/>
      <c r="S561" s="30"/>
      <c r="T561" s="30"/>
      <c r="U561" s="30"/>
      <c r="V561" s="30"/>
      <c r="W561" s="30"/>
      <c r="X561" s="30"/>
    </row>
    <row r="562" ht="15.75" customHeight="1">
      <c r="A562" s="14" t="s">
        <v>17</v>
      </c>
      <c r="B562" s="14">
        <v>1998.0</v>
      </c>
      <c r="C562" s="14" t="s">
        <v>4130</v>
      </c>
      <c r="D562" s="14" t="s">
        <v>4131</v>
      </c>
      <c r="E562" s="150" t="s">
        <v>4132</v>
      </c>
      <c r="F562" s="14">
        <v>51.0</v>
      </c>
      <c r="G562" s="14">
        <v>58.0</v>
      </c>
      <c r="H562" s="14" t="s">
        <v>28</v>
      </c>
      <c r="I562" s="14"/>
      <c r="J562" s="130" t="s">
        <v>3574</v>
      </c>
      <c r="K562" s="152" t="s">
        <v>4135</v>
      </c>
      <c r="L562" s="20" t="s">
        <v>4136</v>
      </c>
      <c r="M562" s="174" t="s">
        <v>4137</v>
      </c>
      <c r="N562" s="130" t="s">
        <v>39343</v>
      </c>
      <c r="O562" s="30"/>
      <c r="P562" s="30"/>
      <c r="Q562" s="30"/>
      <c r="R562" s="30"/>
      <c r="S562" s="30"/>
      <c r="T562" s="30"/>
      <c r="U562" s="30"/>
      <c r="V562" s="30"/>
      <c r="W562" s="30"/>
      <c r="X562" s="30"/>
    </row>
    <row r="563" ht="15.75" customHeight="1">
      <c r="A563" s="14" t="s">
        <v>17</v>
      </c>
      <c r="B563" s="14">
        <v>1998.0</v>
      </c>
      <c r="C563" s="14" t="s">
        <v>4138</v>
      </c>
      <c r="D563" s="14" t="s">
        <v>4139</v>
      </c>
      <c r="E563" s="150" t="s">
        <v>4140</v>
      </c>
      <c r="F563" s="14">
        <v>59.0</v>
      </c>
      <c r="G563" s="14">
        <v>66.0</v>
      </c>
      <c r="H563" s="14" t="s">
        <v>28</v>
      </c>
      <c r="I563" s="14"/>
      <c r="J563" s="130" t="s">
        <v>4144</v>
      </c>
      <c r="K563" s="152" t="s">
        <v>4145</v>
      </c>
      <c r="L563" s="20" t="s">
        <v>1498</v>
      </c>
      <c r="M563" s="174" t="s">
        <v>4146</v>
      </c>
      <c r="N563" s="130" t="s">
        <v>39350</v>
      </c>
      <c r="O563" s="30"/>
      <c r="P563" s="30"/>
      <c r="Q563" s="30"/>
      <c r="R563" s="30"/>
      <c r="S563" s="30"/>
      <c r="T563" s="30"/>
      <c r="U563" s="30"/>
      <c r="V563" s="30"/>
      <c r="W563" s="30"/>
      <c r="X563" s="30"/>
    </row>
    <row r="564" ht="15.75" customHeight="1">
      <c r="A564" s="14" t="s">
        <v>17</v>
      </c>
      <c r="B564" s="14">
        <v>1998.0</v>
      </c>
      <c r="C564" s="14" t="s">
        <v>4147</v>
      </c>
      <c r="D564" s="14" t="s">
        <v>4148</v>
      </c>
      <c r="E564" s="150" t="s">
        <v>4149</v>
      </c>
      <c r="F564" s="14">
        <v>67.0</v>
      </c>
      <c r="G564" s="14">
        <v>72.0</v>
      </c>
      <c r="H564" s="14" t="s">
        <v>28</v>
      </c>
      <c r="I564" s="14"/>
      <c r="J564" s="130" t="s">
        <v>4156</v>
      </c>
      <c r="K564" s="152" t="s">
        <v>4158</v>
      </c>
      <c r="L564" s="20"/>
      <c r="M564" s="16"/>
      <c r="N564" s="130" t="s">
        <v>35540</v>
      </c>
      <c r="O564" s="30"/>
      <c r="P564" s="30"/>
      <c r="Q564" s="30"/>
      <c r="R564" s="30"/>
      <c r="S564" s="30"/>
      <c r="T564" s="30"/>
      <c r="U564" s="30"/>
      <c r="V564" s="30"/>
      <c r="W564" s="30"/>
      <c r="X564" s="30"/>
    </row>
    <row r="565" ht="15.75" customHeight="1">
      <c r="A565" s="14" t="s">
        <v>17</v>
      </c>
      <c r="B565" s="14">
        <v>1998.0</v>
      </c>
      <c r="C565" s="14" t="s">
        <v>4160</v>
      </c>
      <c r="D565" s="14" t="s">
        <v>4161</v>
      </c>
      <c r="E565" s="150" t="s">
        <v>4163</v>
      </c>
      <c r="F565" s="14">
        <v>73.0</v>
      </c>
      <c r="G565" s="14">
        <v>77.0</v>
      </c>
      <c r="H565" s="14" t="s">
        <v>28</v>
      </c>
      <c r="I565" s="14"/>
      <c r="J565" s="130" t="s">
        <v>4166</v>
      </c>
      <c r="K565" s="152" t="s">
        <v>4167</v>
      </c>
      <c r="L565" s="20" t="s">
        <v>2859</v>
      </c>
      <c r="M565" s="174" t="s">
        <v>4204</v>
      </c>
      <c r="N565" s="130" t="s">
        <v>39363</v>
      </c>
      <c r="O565" s="30"/>
      <c r="P565" s="30"/>
      <c r="Q565" s="30"/>
      <c r="R565" s="30"/>
      <c r="S565" s="30"/>
      <c r="T565" s="30"/>
      <c r="U565" s="30"/>
      <c r="V565" s="30"/>
      <c r="W565" s="30"/>
      <c r="X565" s="30"/>
    </row>
    <row r="566" ht="15.75" customHeight="1">
      <c r="A566" s="14" t="s">
        <v>17</v>
      </c>
      <c r="B566" s="14">
        <v>1998.0</v>
      </c>
      <c r="C566" s="14" t="s">
        <v>4205</v>
      </c>
      <c r="D566" s="14" t="s">
        <v>4206</v>
      </c>
      <c r="E566" s="150" t="s">
        <v>4207</v>
      </c>
      <c r="F566" s="14">
        <v>79.0</v>
      </c>
      <c r="G566" s="14">
        <v>86.0</v>
      </c>
      <c r="H566" s="14" t="s">
        <v>28</v>
      </c>
      <c r="I566" s="14"/>
      <c r="J566" s="130" t="s">
        <v>2976</v>
      </c>
      <c r="K566" s="152" t="s">
        <v>2977</v>
      </c>
      <c r="L566" s="20" t="s">
        <v>4211</v>
      </c>
      <c r="M566" s="174" t="s">
        <v>4212</v>
      </c>
      <c r="N566" s="130" t="s">
        <v>38454</v>
      </c>
      <c r="O566" s="30"/>
      <c r="P566" s="30"/>
      <c r="Q566" s="30"/>
      <c r="R566" s="30"/>
      <c r="S566" s="30"/>
      <c r="T566" s="30"/>
      <c r="U566" s="30"/>
      <c r="V566" s="30"/>
      <c r="W566" s="30"/>
      <c r="X566" s="30"/>
    </row>
    <row r="567" ht="15.75" customHeight="1">
      <c r="A567" s="14" t="s">
        <v>17</v>
      </c>
      <c r="B567" s="14">
        <v>1998.0</v>
      </c>
      <c r="C567" s="14" t="s">
        <v>4213</v>
      </c>
      <c r="D567" s="14" t="s">
        <v>4214</v>
      </c>
      <c r="E567" s="150" t="s">
        <v>4215</v>
      </c>
      <c r="F567" s="14">
        <v>87.0</v>
      </c>
      <c r="G567" s="14">
        <v>94.0</v>
      </c>
      <c r="H567" s="14" t="s">
        <v>28</v>
      </c>
      <c r="I567" s="14"/>
      <c r="J567" s="130" t="s">
        <v>4218</v>
      </c>
      <c r="K567" s="152" t="s">
        <v>1110</v>
      </c>
      <c r="L567" s="20" t="s">
        <v>4219</v>
      </c>
      <c r="M567" s="174" t="s">
        <v>4220</v>
      </c>
      <c r="N567" s="130" t="s">
        <v>39372</v>
      </c>
      <c r="O567" s="30"/>
      <c r="P567" s="30"/>
      <c r="Q567" s="30"/>
      <c r="R567" s="30"/>
      <c r="S567" s="30"/>
      <c r="T567" s="30"/>
      <c r="U567" s="30"/>
      <c r="V567" s="30"/>
      <c r="W567" s="30"/>
      <c r="X567" s="30"/>
    </row>
    <row r="568" ht="15.75" customHeight="1">
      <c r="A568" s="14" t="s">
        <v>17</v>
      </c>
      <c r="B568" s="14">
        <v>1998.0</v>
      </c>
      <c r="C568" s="14" t="s">
        <v>4221</v>
      </c>
      <c r="D568" s="14" t="s">
        <v>4222</v>
      </c>
      <c r="E568" s="150" t="s">
        <v>4223</v>
      </c>
      <c r="F568" s="14">
        <v>95.0</v>
      </c>
      <c r="G568" s="14">
        <v>102.0</v>
      </c>
      <c r="H568" s="14" t="s">
        <v>28</v>
      </c>
      <c r="I568" s="14"/>
      <c r="J568" s="130" t="s">
        <v>7657</v>
      </c>
      <c r="K568" s="152" t="s">
        <v>3652</v>
      </c>
      <c r="L568" s="20" t="s">
        <v>4228</v>
      </c>
      <c r="M568" s="174" t="s">
        <v>4229</v>
      </c>
      <c r="N568" s="130" t="s">
        <v>39375</v>
      </c>
      <c r="O568" s="30"/>
      <c r="P568" s="30"/>
      <c r="Q568" s="30"/>
      <c r="R568" s="30"/>
      <c r="S568" s="30"/>
      <c r="T568" s="30"/>
      <c r="U568" s="30"/>
      <c r="V568" s="30"/>
      <c r="W568" s="30"/>
      <c r="X568" s="30"/>
    </row>
    <row r="569" ht="15.75" customHeight="1">
      <c r="A569" s="14" t="s">
        <v>17</v>
      </c>
      <c r="B569" s="14">
        <v>1998.0</v>
      </c>
      <c r="C569" s="14" t="s">
        <v>4230</v>
      </c>
      <c r="D569" s="30" t="s">
        <v>4231</v>
      </c>
      <c r="E569" s="77" t="s">
        <v>4232</v>
      </c>
      <c r="F569" s="14">
        <v>103.0</v>
      </c>
      <c r="G569" s="14">
        <v>109.0</v>
      </c>
      <c r="H569" s="14" t="s">
        <v>28</v>
      </c>
      <c r="I569" s="14"/>
      <c r="J569" s="130" t="s">
        <v>4233</v>
      </c>
      <c r="K569" s="152" t="s">
        <v>3491</v>
      </c>
      <c r="L569" s="20" t="s">
        <v>4234</v>
      </c>
      <c r="M569" s="16"/>
      <c r="N569" s="130" t="s">
        <v>39382</v>
      </c>
      <c r="O569" s="30"/>
      <c r="P569" s="30"/>
      <c r="Q569" s="30"/>
      <c r="R569" s="30"/>
      <c r="S569" s="30"/>
      <c r="T569" s="30"/>
      <c r="U569" s="30"/>
      <c r="V569" s="30"/>
      <c r="W569" s="30"/>
      <c r="X569" s="30"/>
    </row>
    <row r="570" ht="15.75" customHeight="1">
      <c r="A570" s="14" t="s">
        <v>17</v>
      </c>
      <c r="B570" s="14">
        <v>1998.0</v>
      </c>
      <c r="C570" s="14" t="s">
        <v>4235</v>
      </c>
      <c r="D570" s="14" t="s">
        <v>4237</v>
      </c>
      <c r="E570" s="150" t="s">
        <v>4238</v>
      </c>
      <c r="F570" s="14">
        <v>111.0</v>
      </c>
      <c r="G570" s="14">
        <v>118.0</v>
      </c>
      <c r="H570" s="14" t="s">
        <v>28</v>
      </c>
      <c r="I570" s="14"/>
      <c r="J570" s="130" t="s">
        <v>4241</v>
      </c>
      <c r="K570" s="152" t="s">
        <v>4242</v>
      </c>
      <c r="L570" s="20" t="s">
        <v>4243</v>
      </c>
      <c r="M570" s="174" t="s">
        <v>4244</v>
      </c>
      <c r="N570" s="130" t="s">
        <v>39581</v>
      </c>
      <c r="O570" s="30"/>
      <c r="P570" s="30"/>
      <c r="Q570" s="30"/>
      <c r="R570" s="30"/>
      <c r="S570" s="30"/>
      <c r="T570" s="30"/>
      <c r="U570" s="30"/>
      <c r="V570" s="30"/>
      <c r="W570" s="30"/>
      <c r="X570" s="30"/>
    </row>
    <row r="571" ht="15.75" customHeight="1">
      <c r="A571" s="14" t="s">
        <v>17</v>
      </c>
      <c r="B571" s="14">
        <v>1998.0</v>
      </c>
      <c r="C571" s="14" t="s">
        <v>4245</v>
      </c>
      <c r="D571" s="14" t="s">
        <v>4246</v>
      </c>
      <c r="E571" s="150" t="s">
        <v>4247</v>
      </c>
      <c r="F571" s="14">
        <v>119.0</v>
      </c>
      <c r="G571" s="14">
        <v>126.0</v>
      </c>
      <c r="H571" s="14" t="s">
        <v>28</v>
      </c>
      <c r="I571" s="14"/>
      <c r="J571" s="130" t="s">
        <v>4248</v>
      </c>
      <c r="K571" s="152" t="s">
        <v>4249</v>
      </c>
      <c r="L571" s="20" t="s">
        <v>4250</v>
      </c>
      <c r="M571" s="174" t="s">
        <v>4251</v>
      </c>
      <c r="N571" s="130" t="s">
        <v>39584</v>
      </c>
      <c r="O571" s="30"/>
      <c r="P571" s="30"/>
      <c r="Q571" s="30"/>
      <c r="R571" s="30"/>
      <c r="S571" s="30"/>
      <c r="T571" s="30"/>
      <c r="U571" s="30"/>
      <c r="V571" s="30"/>
      <c r="W571" s="30"/>
      <c r="X571" s="30"/>
    </row>
    <row r="572" ht="15.75" customHeight="1">
      <c r="A572" s="14" t="s">
        <v>17</v>
      </c>
      <c r="B572" s="14">
        <v>1998.0</v>
      </c>
      <c r="C572" s="14" t="s">
        <v>4252</v>
      </c>
      <c r="D572" s="14" t="s">
        <v>4253</v>
      </c>
      <c r="E572" s="150" t="s">
        <v>4254</v>
      </c>
      <c r="F572" s="14">
        <v>127.0</v>
      </c>
      <c r="G572" s="14">
        <v>134.0</v>
      </c>
      <c r="H572" s="14" t="s">
        <v>28</v>
      </c>
      <c r="I572" s="14"/>
      <c r="J572" s="130" t="s">
        <v>4255</v>
      </c>
      <c r="K572" s="152" t="s">
        <v>4256</v>
      </c>
      <c r="L572" s="20" t="s">
        <v>1135</v>
      </c>
      <c r="M572" s="174" t="s">
        <v>4257</v>
      </c>
      <c r="N572" s="130" t="s">
        <v>39585</v>
      </c>
      <c r="O572" s="30"/>
      <c r="P572" s="30"/>
      <c r="Q572" s="30"/>
      <c r="R572" s="30"/>
      <c r="S572" s="30"/>
      <c r="T572" s="30"/>
      <c r="U572" s="30"/>
      <c r="V572" s="30"/>
      <c r="W572" s="30"/>
      <c r="X572" s="30"/>
    </row>
    <row r="573" ht="15.75" customHeight="1">
      <c r="A573" s="14" t="s">
        <v>17</v>
      </c>
      <c r="B573" s="14">
        <v>1998.0</v>
      </c>
      <c r="C573" s="14" t="s">
        <v>4258</v>
      </c>
      <c r="D573" s="14" t="s">
        <v>4259</v>
      </c>
      <c r="E573" s="150" t="s">
        <v>4260</v>
      </c>
      <c r="F573" s="14">
        <v>135.0</v>
      </c>
      <c r="G573" s="14">
        <v>142.0</v>
      </c>
      <c r="H573" s="14" t="s">
        <v>28</v>
      </c>
      <c r="I573" s="14"/>
      <c r="J573" s="130" t="s">
        <v>4261</v>
      </c>
      <c r="K573" s="152" t="s">
        <v>4262</v>
      </c>
      <c r="L573" s="20" t="s">
        <v>4264</v>
      </c>
      <c r="M573" s="174" t="s">
        <v>4265</v>
      </c>
      <c r="N573" s="130" t="s">
        <v>39590</v>
      </c>
      <c r="O573" s="30"/>
      <c r="P573" s="30"/>
      <c r="Q573" s="30"/>
      <c r="R573" s="30"/>
      <c r="S573" s="30"/>
      <c r="T573" s="30"/>
      <c r="U573" s="30"/>
      <c r="V573" s="30"/>
      <c r="W573" s="30"/>
      <c r="X573" s="30"/>
    </row>
    <row r="574" ht="15.75" customHeight="1">
      <c r="A574" s="14" t="s">
        <v>17</v>
      </c>
      <c r="B574" s="14">
        <v>1998.0</v>
      </c>
      <c r="C574" s="14" t="s">
        <v>4266</v>
      </c>
      <c r="D574" s="14" t="s">
        <v>4267</v>
      </c>
      <c r="E574" s="150" t="s">
        <v>4268</v>
      </c>
      <c r="F574" s="14">
        <v>143.0</v>
      </c>
      <c r="G574" s="14">
        <v>150.0</v>
      </c>
      <c r="H574" s="14" t="s">
        <v>28</v>
      </c>
      <c r="I574" s="14"/>
      <c r="J574" s="130" t="s">
        <v>3168</v>
      </c>
      <c r="K574" s="152" t="s">
        <v>4271</v>
      </c>
      <c r="L574" s="20" t="s">
        <v>4272</v>
      </c>
      <c r="M574" s="16"/>
      <c r="N574" s="130" t="s">
        <v>38639</v>
      </c>
      <c r="O574" s="30"/>
      <c r="P574" s="30"/>
      <c r="Q574" s="30"/>
      <c r="R574" s="30"/>
      <c r="S574" s="30"/>
      <c r="T574" s="30"/>
      <c r="U574" s="30"/>
      <c r="V574" s="30"/>
      <c r="W574" s="30"/>
      <c r="X574" s="30"/>
    </row>
    <row r="575" ht="15.75" customHeight="1">
      <c r="A575" s="14" t="s">
        <v>17</v>
      </c>
      <c r="B575" s="14">
        <v>1998.0</v>
      </c>
      <c r="C575" s="14" t="s">
        <v>4273</v>
      </c>
      <c r="D575" s="14" t="s">
        <v>4274</v>
      </c>
      <c r="E575" s="150" t="s">
        <v>4275</v>
      </c>
      <c r="F575" s="14">
        <v>151.0</v>
      </c>
      <c r="G575" s="14">
        <v>158.0</v>
      </c>
      <c r="H575" s="14" t="s">
        <v>28</v>
      </c>
      <c r="I575" s="14"/>
      <c r="J575" s="130" t="s">
        <v>4276</v>
      </c>
      <c r="K575" s="152" t="s">
        <v>4277</v>
      </c>
      <c r="L575" s="20" t="s">
        <v>4278</v>
      </c>
      <c r="M575" s="16"/>
      <c r="N575" s="130" t="s">
        <v>39595</v>
      </c>
      <c r="O575" s="30"/>
      <c r="P575" s="30"/>
      <c r="Q575" s="30"/>
      <c r="R575" s="30"/>
      <c r="S575" s="30"/>
      <c r="T575" s="30"/>
      <c r="U575" s="30"/>
      <c r="V575" s="30"/>
      <c r="W575" s="30"/>
      <c r="X575" s="30"/>
    </row>
    <row r="576" ht="15.75" customHeight="1">
      <c r="A576" s="14" t="s">
        <v>17</v>
      </c>
      <c r="B576" s="14">
        <v>1998.0</v>
      </c>
      <c r="C576" s="14" t="s">
        <v>4279</v>
      </c>
      <c r="D576" s="14" t="s">
        <v>4280</v>
      </c>
      <c r="E576" s="150" t="s">
        <v>4282</v>
      </c>
      <c r="F576" s="14">
        <v>159.0</v>
      </c>
      <c r="G576" s="14">
        <v>166.0</v>
      </c>
      <c r="H576" s="14" t="s">
        <v>28</v>
      </c>
      <c r="I576" s="14"/>
      <c r="J576" s="130" t="s">
        <v>4285</v>
      </c>
      <c r="K576" s="152" t="s">
        <v>3754</v>
      </c>
      <c r="L576" s="20" t="s">
        <v>4286</v>
      </c>
      <c r="M576" s="174" t="s">
        <v>4287</v>
      </c>
      <c r="N576" s="130" t="s">
        <v>39600</v>
      </c>
      <c r="O576" s="30"/>
      <c r="P576" s="30"/>
      <c r="Q576" s="30"/>
      <c r="R576" s="30"/>
      <c r="S576" s="30"/>
      <c r="T576" s="30"/>
      <c r="U576" s="30"/>
      <c r="V576" s="30"/>
      <c r="W576" s="30"/>
      <c r="X576" s="30"/>
    </row>
    <row r="577" ht="15.75" customHeight="1">
      <c r="A577" s="14" t="s">
        <v>17</v>
      </c>
      <c r="B577" s="14">
        <v>1998.0</v>
      </c>
      <c r="C577" s="14" t="s">
        <v>4288</v>
      </c>
      <c r="D577" s="14" t="s">
        <v>4289</v>
      </c>
      <c r="E577" s="150" t="s">
        <v>4290</v>
      </c>
      <c r="F577" s="14">
        <v>167.0</v>
      </c>
      <c r="G577" s="14">
        <v>174.0</v>
      </c>
      <c r="H577" s="14" t="s">
        <v>28</v>
      </c>
      <c r="I577" s="14"/>
      <c r="J577" s="130" t="s">
        <v>9247</v>
      </c>
      <c r="K577" s="152" t="s">
        <v>494</v>
      </c>
      <c r="L577" s="20" t="s">
        <v>4295</v>
      </c>
      <c r="M577" s="174" t="s">
        <v>4296</v>
      </c>
      <c r="N577" s="130" t="s">
        <v>39601</v>
      </c>
      <c r="O577" s="30"/>
      <c r="P577" s="30"/>
      <c r="Q577" s="30"/>
      <c r="R577" s="30"/>
      <c r="S577" s="30"/>
      <c r="T577" s="30"/>
      <c r="U577" s="30"/>
      <c r="V577" s="30"/>
      <c r="W577" s="30"/>
      <c r="X577" s="30"/>
    </row>
    <row r="578" ht="15.75" customHeight="1">
      <c r="A578" s="14" t="s">
        <v>17</v>
      </c>
      <c r="B578" s="14">
        <v>1998.0</v>
      </c>
      <c r="C578" s="14" t="s">
        <v>4297</v>
      </c>
      <c r="D578" s="14" t="s">
        <v>4298</v>
      </c>
      <c r="E578" s="150" t="s">
        <v>4299</v>
      </c>
      <c r="F578" s="14">
        <v>175.0</v>
      </c>
      <c r="G578" s="14">
        <v>180.0</v>
      </c>
      <c r="H578" s="14" t="s">
        <v>28</v>
      </c>
      <c r="I578" s="14"/>
      <c r="J578" s="130" t="s">
        <v>4300</v>
      </c>
      <c r="K578" s="152" t="s">
        <v>1313</v>
      </c>
      <c r="L578" s="20" t="s">
        <v>4301</v>
      </c>
      <c r="M578" s="16"/>
      <c r="N578" s="130" t="s">
        <v>39602</v>
      </c>
      <c r="O578" s="30"/>
      <c r="P578" s="30"/>
      <c r="Q578" s="30"/>
      <c r="R578" s="30"/>
      <c r="S578" s="30"/>
      <c r="T578" s="30"/>
      <c r="U578" s="30"/>
      <c r="V578" s="30"/>
      <c r="W578" s="30"/>
      <c r="X578" s="30"/>
    </row>
    <row r="579" ht="15.75" customHeight="1">
      <c r="A579" s="14" t="s">
        <v>17</v>
      </c>
      <c r="B579" s="14">
        <v>1998.0</v>
      </c>
      <c r="C579" s="14" t="s">
        <v>4302</v>
      </c>
      <c r="D579" s="14" t="s">
        <v>4303</v>
      </c>
      <c r="E579" s="150" t="s">
        <v>4304</v>
      </c>
      <c r="F579" s="14">
        <v>181.0</v>
      </c>
      <c r="G579" s="14">
        <v>188.0</v>
      </c>
      <c r="H579" s="14" t="s">
        <v>28</v>
      </c>
      <c r="I579" s="14"/>
      <c r="J579" s="130" t="s">
        <v>4340</v>
      </c>
      <c r="K579" s="152" t="s">
        <v>4341</v>
      </c>
      <c r="L579" s="20" t="s">
        <v>4342</v>
      </c>
      <c r="M579" s="174" t="s">
        <v>4343</v>
      </c>
      <c r="N579" s="130" t="s">
        <v>39603</v>
      </c>
      <c r="O579" s="30"/>
      <c r="P579" s="30"/>
      <c r="Q579" s="30"/>
      <c r="R579" s="30"/>
      <c r="S579" s="30"/>
      <c r="T579" s="30"/>
      <c r="U579" s="30"/>
      <c r="V579" s="30"/>
      <c r="W579" s="30"/>
      <c r="X579" s="30"/>
    </row>
    <row r="580" ht="15.75" customHeight="1">
      <c r="A580" s="14" t="s">
        <v>17</v>
      </c>
      <c r="B580" s="14">
        <v>1998.0</v>
      </c>
      <c r="C580" s="14" t="s">
        <v>4344</v>
      </c>
      <c r="D580" s="14" t="s">
        <v>4345</v>
      </c>
      <c r="E580" s="150" t="s">
        <v>4346</v>
      </c>
      <c r="F580" s="14">
        <v>189.0</v>
      </c>
      <c r="G580" s="14">
        <v>196.0</v>
      </c>
      <c r="H580" s="14" t="s">
        <v>28</v>
      </c>
      <c r="I580" s="14"/>
      <c r="J580" s="130" t="s">
        <v>4349</v>
      </c>
      <c r="K580" s="152" t="s">
        <v>4092</v>
      </c>
      <c r="L580" s="20" t="s">
        <v>4350</v>
      </c>
      <c r="M580" s="174" t="s">
        <v>4351</v>
      </c>
      <c r="N580" s="130" t="s">
        <v>39604</v>
      </c>
      <c r="O580" s="30"/>
      <c r="P580" s="30"/>
      <c r="Q580" s="30"/>
      <c r="R580" s="30"/>
      <c r="S580" s="30"/>
      <c r="T580" s="30"/>
      <c r="U580" s="30"/>
      <c r="V580" s="30"/>
      <c r="W580" s="30"/>
      <c r="X580" s="30"/>
    </row>
    <row r="581" ht="15.75" customHeight="1">
      <c r="A581" s="14" t="s">
        <v>17</v>
      </c>
      <c r="B581" s="14">
        <v>1998.0</v>
      </c>
      <c r="C581" s="14" t="s">
        <v>4352</v>
      </c>
      <c r="D581" s="14" t="s">
        <v>4353</v>
      </c>
      <c r="E581" s="150" t="s">
        <v>4354</v>
      </c>
      <c r="F581" s="14">
        <v>197.0</v>
      </c>
      <c r="G581" s="14">
        <v>204.0</v>
      </c>
      <c r="H581" s="14" t="s">
        <v>28</v>
      </c>
      <c r="I581" s="14"/>
      <c r="J581" s="130" t="s">
        <v>4356</v>
      </c>
      <c r="K581" s="152" t="s">
        <v>178</v>
      </c>
      <c r="L581" s="20"/>
      <c r="M581" s="174" t="s">
        <v>4359</v>
      </c>
      <c r="N581" s="130"/>
      <c r="O581" s="30"/>
      <c r="P581" s="30"/>
      <c r="Q581" s="30"/>
      <c r="R581" s="30"/>
      <c r="S581" s="30"/>
      <c r="T581" s="30"/>
      <c r="U581" s="30"/>
      <c r="V581" s="30"/>
      <c r="W581" s="30"/>
      <c r="X581" s="30"/>
    </row>
    <row r="582" ht="15.75" customHeight="1">
      <c r="A582" s="14" t="s">
        <v>17</v>
      </c>
      <c r="B582" s="14">
        <v>1998.0</v>
      </c>
      <c r="C582" s="14" t="s">
        <v>4360</v>
      </c>
      <c r="D582" s="14" t="s">
        <v>4361</v>
      </c>
      <c r="E582" s="150" t="s">
        <v>4362</v>
      </c>
      <c r="F582" s="14">
        <v>205.0</v>
      </c>
      <c r="G582" s="14">
        <v>210.0</v>
      </c>
      <c r="H582" s="14" t="s">
        <v>28</v>
      </c>
      <c r="I582" s="14"/>
      <c r="J582" s="130" t="s">
        <v>4363</v>
      </c>
      <c r="K582" s="152" t="s">
        <v>4364</v>
      </c>
      <c r="L582" s="20"/>
      <c r="M582" s="174" t="s">
        <v>4365</v>
      </c>
      <c r="N582" s="130" t="s">
        <v>39606</v>
      </c>
      <c r="O582" s="30"/>
      <c r="P582" s="30"/>
      <c r="Q582" s="30"/>
      <c r="R582" s="30"/>
      <c r="S582" s="30"/>
      <c r="T582" s="30"/>
      <c r="U582" s="30"/>
      <c r="V582" s="30"/>
      <c r="W582" s="30"/>
      <c r="X582" s="30"/>
    </row>
    <row r="583" ht="15.75" customHeight="1">
      <c r="A583" s="14" t="s">
        <v>17</v>
      </c>
      <c r="B583" s="14">
        <v>1998.0</v>
      </c>
      <c r="C583" s="14" t="s">
        <v>4366</v>
      </c>
      <c r="D583" s="14" t="s">
        <v>4367</v>
      </c>
      <c r="E583" s="150" t="s">
        <v>4368</v>
      </c>
      <c r="F583" s="14">
        <v>211.0</v>
      </c>
      <c r="G583" s="14">
        <v>215.0</v>
      </c>
      <c r="H583" s="14" t="s">
        <v>28</v>
      </c>
      <c r="I583" s="14"/>
      <c r="J583" s="130" t="s">
        <v>4369</v>
      </c>
      <c r="K583" s="152" t="s">
        <v>4370</v>
      </c>
      <c r="L583" s="20" t="s">
        <v>3707</v>
      </c>
      <c r="M583" s="174" t="s">
        <v>4371</v>
      </c>
      <c r="N583" s="130" t="s">
        <v>39609</v>
      </c>
      <c r="O583" s="30"/>
      <c r="P583" s="30"/>
      <c r="Q583" s="30"/>
      <c r="R583" s="30"/>
      <c r="S583" s="30"/>
      <c r="T583" s="30"/>
      <c r="U583" s="30"/>
      <c r="V583" s="30"/>
      <c r="W583" s="30"/>
      <c r="X583" s="30"/>
    </row>
    <row r="584" ht="15.75" customHeight="1">
      <c r="A584" s="14" t="s">
        <v>17</v>
      </c>
      <c r="B584" s="14">
        <v>1998.0</v>
      </c>
      <c r="C584" s="14" t="s">
        <v>4372</v>
      </c>
      <c r="D584" s="14" t="s">
        <v>4373</v>
      </c>
      <c r="E584" s="150" t="s">
        <v>4374</v>
      </c>
      <c r="F584" s="14">
        <v>217.0</v>
      </c>
      <c r="G584" s="14">
        <v>224.0</v>
      </c>
      <c r="H584" s="14" t="s">
        <v>28</v>
      </c>
      <c r="I584" s="14"/>
      <c r="J584" s="130" t="s">
        <v>4375</v>
      </c>
      <c r="K584" s="152" t="s">
        <v>4376</v>
      </c>
      <c r="L584" s="20" t="s">
        <v>3686</v>
      </c>
      <c r="M584" s="174" t="s">
        <v>4377</v>
      </c>
      <c r="N584" s="130" t="s">
        <v>39612</v>
      </c>
      <c r="O584" s="30"/>
      <c r="P584" s="30"/>
      <c r="Q584" s="30"/>
      <c r="R584" s="30"/>
      <c r="S584" s="30"/>
      <c r="T584" s="30"/>
      <c r="U584" s="30"/>
      <c r="V584" s="30"/>
      <c r="W584" s="30"/>
      <c r="X584" s="30"/>
    </row>
    <row r="585" ht="15.75" customHeight="1">
      <c r="A585" s="14" t="s">
        <v>17</v>
      </c>
      <c r="B585" s="14">
        <v>1998.0</v>
      </c>
      <c r="C585" s="14" t="s">
        <v>4380</v>
      </c>
      <c r="D585" s="14" t="s">
        <v>4382</v>
      </c>
      <c r="E585" s="150" t="s">
        <v>4383</v>
      </c>
      <c r="F585" s="14">
        <v>225.0</v>
      </c>
      <c r="G585" s="14">
        <v>231.0</v>
      </c>
      <c r="H585" s="14" t="s">
        <v>28</v>
      </c>
      <c r="I585" s="14"/>
      <c r="J585" s="130" t="s">
        <v>4385</v>
      </c>
      <c r="K585" s="152" t="s">
        <v>4386</v>
      </c>
      <c r="L585" s="20" t="s">
        <v>4387</v>
      </c>
      <c r="M585" s="16"/>
      <c r="N585" s="152" t="s">
        <v>4386</v>
      </c>
      <c r="O585" s="30"/>
      <c r="P585" s="30"/>
      <c r="Q585" s="30"/>
      <c r="R585" s="30"/>
      <c r="S585" s="30"/>
      <c r="T585" s="30"/>
      <c r="U585" s="30"/>
      <c r="V585" s="30"/>
      <c r="W585" s="30"/>
      <c r="X585" s="30"/>
    </row>
    <row r="586" ht="15.75" customHeight="1">
      <c r="A586" s="14" t="s">
        <v>17</v>
      </c>
      <c r="B586" s="14">
        <v>1998.0</v>
      </c>
      <c r="C586" s="14" t="s">
        <v>4388</v>
      </c>
      <c r="D586" s="14" t="s">
        <v>4390</v>
      </c>
      <c r="E586" s="150" t="s">
        <v>4392</v>
      </c>
      <c r="F586" s="14">
        <v>239.0</v>
      </c>
      <c r="G586" s="14">
        <v>245.0</v>
      </c>
      <c r="H586" s="14" t="s">
        <v>28</v>
      </c>
      <c r="I586" s="14"/>
      <c r="J586" s="130" t="s">
        <v>4393</v>
      </c>
      <c r="K586" s="152" t="s">
        <v>3612</v>
      </c>
      <c r="L586" s="20" t="s">
        <v>4394</v>
      </c>
      <c r="M586" s="16"/>
      <c r="N586" s="130" t="s">
        <v>34817</v>
      </c>
      <c r="O586" s="30"/>
      <c r="P586" s="30"/>
      <c r="Q586" s="30"/>
      <c r="R586" s="30"/>
      <c r="S586" s="30"/>
      <c r="T586" s="30"/>
      <c r="U586" s="30"/>
      <c r="V586" s="30"/>
      <c r="W586" s="30"/>
      <c r="X586" s="30"/>
    </row>
    <row r="587" ht="15.75" customHeight="1">
      <c r="A587" s="14" t="s">
        <v>17</v>
      </c>
      <c r="B587" s="14">
        <v>1998.0</v>
      </c>
      <c r="C587" s="14" t="s">
        <v>4395</v>
      </c>
      <c r="D587" s="14" t="s">
        <v>4396</v>
      </c>
      <c r="E587" s="150" t="s">
        <v>4397</v>
      </c>
      <c r="F587" s="14">
        <v>247.0</v>
      </c>
      <c r="G587" s="14">
        <v>253.0</v>
      </c>
      <c r="H587" s="14" t="s">
        <v>28</v>
      </c>
      <c r="I587" s="14"/>
      <c r="J587" s="130" t="s">
        <v>4401</v>
      </c>
      <c r="K587" s="152" t="s">
        <v>4402</v>
      </c>
      <c r="L587" s="20" t="s">
        <v>4403</v>
      </c>
      <c r="M587" s="174" t="s">
        <v>4404</v>
      </c>
      <c r="N587" s="130" t="s">
        <v>39619</v>
      </c>
      <c r="O587" s="30"/>
      <c r="P587" s="30"/>
      <c r="Q587" s="30"/>
      <c r="R587" s="30"/>
      <c r="S587" s="30"/>
      <c r="T587" s="30"/>
      <c r="U587" s="30"/>
      <c r="V587" s="30"/>
      <c r="W587" s="30"/>
      <c r="X587" s="30"/>
    </row>
    <row r="588" ht="15.75" customHeight="1">
      <c r="A588" s="14" t="s">
        <v>17</v>
      </c>
      <c r="B588" s="14">
        <v>1998.0</v>
      </c>
      <c r="C588" s="14" t="s">
        <v>4405</v>
      </c>
      <c r="D588" s="14" t="s">
        <v>4406</v>
      </c>
      <c r="E588" s="150" t="s">
        <v>4407</v>
      </c>
      <c r="F588" s="14">
        <v>255.0</v>
      </c>
      <c r="G588" s="14">
        <v>262.0</v>
      </c>
      <c r="H588" s="14" t="s">
        <v>28</v>
      </c>
      <c r="I588" s="14"/>
      <c r="J588" s="130" t="s">
        <v>9808</v>
      </c>
      <c r="K588" s="152" t="s">
        <v>4409</v>
      </c>
      <c r="L588" s="20"/>
      <c r="M588" s="174" t="s">
        <v>4411</v>
      </c>
      <c r="N588" s="130" t="s">
        <v>39620</v>
      </c>
      <c r="O588" s="30"/>
      <c r="P588" s="30"/>
      <c r="Q588" s="30"/>
      <c r="R588" s="30"/>
      <c r="S588" s="30"/>
      <c r="T588" s="30"/>
      <c r="U588" s="30"/>
      <c r="V588" s="30"/>
      <c r="W588" s="30"/>
      <c r="X588" s="30"/>
    </row>
    <row r="589" ht="15.75" customHeight="1">
      <c r="A589" s="14" t="s">
        <v>17</v>
      </c>
      <c r="B589" s="14">
        <v>1998.0</v>
      </c>
      <c r="C589" s="14" t="s">
        <v>4414</v>
      </c>
      <c r="D589" s="14" t="s">
        <v>4415</v>
      </c>
      <c r="E589" s="150" t="s">
        <v>4416</v>
      </c>
      <c r="F589" s="14">
        <v>263.0</v>
      </c>
      <c r="G589" s="14">
        <v>269.0</v>
      </c>
      <c r="H589" s="14" t="s">
        <v>28</v>
      </c>
      <c r="I589" s="14"/>
      <c r="J589" s="130" t="s">
        <v>4417</v>
      </c>
      <c r="K589" s="152" t="s">
        <v>4418</v>
      </c>
      <c r="L589" s="20" t="s">
        <v>3736</v>
      </c>
      <c r="M589" s="174" t="s">
        <v>4419</v>
      </c>
      <c r="N589" s="130" t="s">
        <v>39621</v>
      </c>
      <c r="O589" s="30"/>
      <c r="P589" s="30"/>
      <c r="Q589" s="30"/>
      <c r="R589" s="30"/>
      <c r="S589" s="30"/>
      <c r="T589" s="30"/>
      <c r="U589" s="30"/>
      <c r="V589" s="30"/>
      <c r="W589" s="30"/>
      <c r="X589" s="30"/>
    </row>
    <row r="590" ht="15.75" customHeight="1">
      <c r="A590" s="14" t="s">
        <v>17</v>
      </c>
      <c r="B590" s="14">
        <v>1998.0</v>
      </c>
      <c r="C590" s="14" t="s">
        <v>4420</v>
      </c>
      <c r="D590" s="14" t="s">
        <v>4421</v>
      </c>
      <c r="E590" s="150" t="s">
        <v>4423</v>
      </c>
      <c r="F590" s="14">
        <v>271.0</v>
      </c>
      <c r="G590" s="14">
        <v>278.0</v>
      </c>
      <c r="H590" s="14" t="s">
        <v>28</v>
      </c>
      <c r="I590" s="14"/>
      <c r="J590" s="130" t="s">
        <v>4426</v>
      </c>
      <c r="K590" s="152" t="s">
        <v>1596</v>
      </c>
      <c r="L590" s="20" t="s">
        <v>4427</v>
      </c>
      <c r="M590" s="174" t="s">
        <v>4428</v>
      </c>
      <c r="N590" s="130" t="s">
        <v>39060</v>
      </c>
      <c r="O590" s="30"/>
      <c r="P590" s="30"/>
      <c r="Q590" s="30"/>
      <c r="R590" s="30"/>
      <c r="S590" s="30"/>
      <c r="T590" s="30"/>
      <c r="U590" s="30"/>
      <c r="V590" s="30"/>
      <c r="W590" s="30"/>
      <c r="X590" s="30"/>
    </row>
    <row r="591" ht="15.75" customHeight="1">
      <c r="A591" s="14" t="s">
        <v>17</v>
      </c>
      <c r="B591" s="14">
        <v>1998.0</v>
      </c>
      <c r="C591" s="14" t="s">
        <v>4429</v>
      </c>
      <c r="D591" s="14" t="s">
        <v>4430</v>
      </c>
      <c r="E591" s="150" t="s">
        <v>4431</v>
      </c>
      <c r="F591" s="14">
        <v>279.0</v>
      </c>
      <c r="G591" s="14">
        <v>286.0</v>
      </c>
      <c r="H591" s="14" t="s">
        <v>28</v>
      </c>
      <c r="I591" s="14"/>
      <c r="J591" s="130" t="s">
        <v>4434</v>
      </c>
      <c r="K591" s="152" t="s">
        <v>4435</v>
      </c>
      <c r="L591" s="20" t="s">
        <v>4436</v>
      </c>
      <c r="M591" s="16"/>
      <c r="N591" s="130" t="s">
        <v>39626</v>
      </c>
      <c r="O591" s="30"/>
      <c r="P591" s="30"/>
      <c r="Q591" s="30"/>
      <c r="R591" s="30"/>
      <c r="S591" s="30"/>
      <c r="T591" s="30"/>
      <c r="U591" s="30"/>
      <c r="V591" s="30"/>
      <c r="W591" s="30"/>
      <c r="X591" s="30"/>
    </row>
    <row r="592" ht="15.75" customHeight="1">
      <c r="A592" s="14" t="s">
        <v>17</v>
      </c>
      <c r="B592" s="14">
        <v>1998.0</v>
      </c>
      <c r="C592" s="14" t="s">
        <v>4437</v>
      </c>
      <c r="D592" s="14" t="s">
        <v>4438</v>
      </c>
      <c r="E592" s="150" t="s">
        <v>4439</v>
      </c>
      <c r="F592" s="14">
        <v>287.0</v>
      </c>
      <c r="G592" s="14">
        <v>295.0</v>
      </c>
      <c r="H592" s="14" t="s">
        <v>28</v>
      </c>
      <c r="I592" s="14"/>
      <c r="J592" s="130" t="s">
        <v>4440</v>
      </c>
      <c r="K592" s="152" t="s">
        <v>4441</v>
      </c>
      <c r="L592" s="20" t="s">
        <v>4442</v>
      </c>
      <c r="M592" s="174" t="s">
        <v>4443</v>
      </c>
      <c r="N592" s="130" t="s">
        <v>36234</v>
      </c>
      <c r="O592" s="30"/>
      <c r="P592" s="30"/>
      <c r="Q592" s="30"/>
      <c r="R592" s="30"/>
      <c r="S592" s="30"/>
      <c r="T592" s="30"/>
      <c r="U592" s="30"/>
      <c r="V592" s="30"/>
      <c r="W592" s="30"/>
      <c r="X592" s="30"/>
    </row>
    <row r="593" ht="15.75" customHeight="1">
      <c r="A593" s="14" t="s">
        <v>17</v>
      </c>
      <c r="B593" s="14">
        <v>1998.0</v>
      </c>
      <c r="C593" s="14" t="s">
        <v>4444</v>
      </c>
      <c r="D593" s="14" t="s">
        <v>4445</v>
      </c>
      <c r="E593" s="150" t="s">
        <v>4446</v>
      </c>
      <c r="F593" s="14">
        <v>297.0</v>
      </c>
      <c r="G593" s="14">
        <v>304.0</v>
      </c>
      <c r="H593" s="14" t="s">
        <v>28</v>
      </c>
      <c r="I593" s="14"/>
      <c r="J593" s="130" t="s">
        <v>3181</v>
      </c>
      <c r="K593" s="152" t="s">
        <v>3182</v>
      </c>
      <c r="L593" s="20" t="s">
        <v>4451</v>
      </c>
      <c r="M593" s="174" t="s">
        <v>4452</v>
      </c>
      <c r="N593" s="130" t="s">
        <v>35935</v>
      </c>
      <c r="O593" s="30"/>
      <c r="P593" s="30"/>
      <c r="Q593" s="30"/>
      <c r="R593" s="30"/>
      <c r="S593" s="30"/>
      <c r="T593" s="30"/>
      <c r="U593" s="30"/>
      <c r="V593" s="30"/>
      <c r="W593" s="30"/>
      <c r="X593" s="30"/>
    </row>
    <row r="594" ht="15.75" customHeight="1">
      <c r="A594" s="14" t="s">
        <v>17</v>
      </c>
      <c r="B594" s="14">
        <v>1998.0</v>
      </c>
      <c r="C594" s="14" t="s">
        <v>4453</v>
      </c>
      <c r="D594" s="14" t="s">
        <v>4454</v>
      </c>
      <c r="E594" s="150" t="s">
        <v>4455</v>
      </c>
      <c r="F594" s="14">
        <v>305.0</v>
      </c>
      <c r="G594" s="14">
        <v>312.0</v>
      </c>
      <c r="H594" s="14" t="s">
        <v>28</v>
      </c>
      <c r="I594" s="14"/>
      <c r="J594" s="130" t="s">
        <v>39631</v>
      </c>
      <c r="K594" s="152" t="s">
        <v>4461</v>
      </c>
      <c r="L594" s="20" t="s">
        <v>4462</v>
      </c>
      <c r="M594" s="174" t="s">
        <v>4463</v>
      </c>
      <c r="N594" s="130" t="s">
        <v>39045</v>
      </c>
      <c r="O594" s="30"/>
      <c r="P594" s="30"/>
      <c r="Q594" s="30"/>
      <c r="R594" s="30"/>
      <c r="S594" s="30"/>
      <c r="T594" s="30"/>
      <c r="U594" s="30"/>
      <c r="V594" s="30"/>
      <c r="W594" s="30"/>
      <c r="X594" s="30"/>
    </row>
    <row r="595" ht="15.75" customHeight="1">
      <c r="A595" s="14" t="s">
        <v>17</v>
      </c>
      <c r="B595" s="14">
        <v>1998.0</v>
      </c>
      <c r="C595" s="14" t="s">
        <v>4464</v>
      </c>
      <c r="D595" s="14" t="s">
        <v>4465</v>
      </c>
      <c r="E595" s="150" t="s">
        <v>4466</v>
      </c>
      <c r="F595" s="14">
        <v>313.0</v>
      </c>
      <c r="G595" s="14">
        <v>317.0</v>
      </c>
      <c r="H595" s="14" t="s">
        <v>28</v>
      </c>
      <c r="I595" s="14"/>
      <c r="J595" s="130" t="s">
        <v>3557</v>
      </c>
      <c r="K595" s="152" t="s">
        <v>3558</v>
      </c>
      <c r="L595" s="20" t="s">
        <v>4470</v>
      </c>
      <c r="M595" s="16"/>
      <c r="N595" s="130" t="s">
        <v>38908</v>
      </c>
      <c r="O595" s="30"/>
      <c r="P595" s="30"/>
      <c r="Q595" s="30"/>
      <c r="R595" s="30"/>
      <c r="S595" s="30"/>
      <c r="T595" s="30"/>
      <c r="U595" s="30"/>
      <c r="V595" s="30"/>
      <c r="W595" s="30"/>
      <c r="X595" s="30"/>
    </row>
    <row r="596" ht="15.75" customHeight="1">
      <c r="A596" s="14" t="s">
        <v>17</v>
      </c>
      <c r="B596" s="14">
        <v>1998.0</v>
      </c>
      <c r="C596" s="14" t="s">
        <v>4471</v>
      </c>
      <c r="D596" s="14" t="s">
        <v>4472</v>
      </c>
      <c r="E596" s="150" t="s">
        <v>4473</v>
      </c>
      <c r="F596" s="14">
        <v>319.0</v>
      </c>
      <c r="G596" s="14">
        <v>326.0</v>
      </c>
      <c r="H596" s="14" t="s">
        <v>28</v>
      </c>
      <c r="I596" s="14"/>
      <c r="J596" s="130" t="s">
        <v>4477</v>
      </c>
      <c r="K596" s="152" t="s">
        <v>4478</v>
      </c>
      <c r="L596" s="20" t="s">
        <v>4479</v>
      </c>
      <c r="M596" s="174" t="s">
        <v>39648</v>
      </c>
      <c r="N596" s="130" t="s">
        <v>39649</v>
      </c>
      <c r="O596" s="30"/>
      <c r="P596" s="30"/>
      <c r="Q596" s="30"/>
      <c r="R596" s="30"/>
      <c r="S596" s="30"/>
      <c r="T596" s="30"/>
      <c r="U596" s="30"/>
      <c r="V596" s="30"/>
      <c r="W596" s="30"/>
      <c r="X596" s="30"/>
    </row>
    <row r="597" ht="15.75" customHeight="1">
      <c r="A597" s="14" t="s">
        <v>17</v>
      </c>
      <c r="B597" s="14">
        <v>1998.0</v>
      </c>
      <c r="C597" s="14" t="s">
        <v>4481</v>
      </c>
      <c r="D597" s="14" t="s">
        <v>4482</v>
      </c>
      <c r="E597" s="150" t="s">
        <v>4483</v>
      </c>
      <c r="F597" s="14">
        <v>327.0</v>
      </c>
      <c r="G597" s="14">
        <v>334.0</v>
      </c>
      <c r="H597" s="14" t="s">
        <v>28</v>
      </c>
      <c r="I597" s="14"/>
      <c r="J597" s="130" t="s">
        <v>3581</v>
      </c>
      <c r="K597" s="152" t="s">
        <v>4487</v>
      </c>
      <c r="L597" s="20" t="s">
        <v>3579</v>
      </c>
      <c r="M597" s="174" t="s">
        <v>4488</v>
      </c>
      <c r="N597" s="130" t="s">
        <v>35345</v>
      </c>
      <c r="O597" s="30"/>
      <c r="P597" s="30"/>
      <c r="Q597" s="30"/>
      <c r="R597" s="30"/>
      <c r="S597" s="30"/>
      <c r="T597" s="30"/>
      <c r="U597" s="30"/>
      <c r="V597" s="30"/>
      <c r="W597" s="30"/>
      <c r="X597" s="30"/>
    </row>
    <row r="598" ht="15.75" customHeight="1">
      <c r="A598" s="14" t="s">
        <v>17</v>
      </c>
      <c r="B598" s="14">
        <v>1998.0</v>
      </c>
      <c r="C598" s="14" t="s">
        <v>4489</v>
      </c>
      <c r="D598" s="14" t="s">
        <v>4490</v>
      </c>
      <c r="E598" s="150" t="s">
        <v>4491</v>
      </c>
      <c r="F598" s="14">
        <v>335.0</v>
      </c>
      <c r="G598" s="14">
        <v>341.0</v>
      </c>
      <c r="H598" s="14" t="s">
        <v>28</v>
      </c>
      <c r="I598" s="14"/>
      <c r="J598" s="130" t="s">
        <v>10393</v>
      </c>
      <c r="K598" s="152" t="s">
        <v>3463</v>
      </c>
      <c r="L598" s="20"/>
      <c r="M598" s="16"/>
      <c r="N598" s="130" t="s">
        <v>38847</v>
      </c>
      <c r="O598" s="30"/>
      <c r="P598" s="30"/>
      <c r="Q598" s="30"/>
      <c r="R598" s="30"/>
      <c r="S598" s="30"/>
      <c r="T598" s="30"/>
      <c r="U598" s="30"/>
      <c r="V598" s="30"/>
      <c r="W598" s="30"/>
      <c r="X598" s="30"/>
    </row>
    <row r="599" ht="15.75" customHeight="1">
      <c r="A599" s="14" t="s">
        <v>17</v>
      </c>
      <c r="B599" s="14">
        <v>1998.0</v>
      </c>
      <c r="C599" s="14" t="s">
        <v>4494</v>
      </c>
      <c r="D599" s="14" t="s">
        <v>4495</v>
      </c>
      <c r="E599" s="150" t="s">
        <v>4496</v>
      </c>
      <c r="F599" s="14">
        <v>343.0</v>
      </c>
      <c r="G599" s="14">
        <v>350.0</v>
      </c>
      <c r="H599" s="14" t="s">
        <v>28</v>
      </c>
      <c r="I599" s="14"/>
      <c r="J599" s="130" t="s">
        <v>4500</v>
      </c>
      <c r="K599" s="152" t="s">
        <v>4501</v>
      </c>
      <c r="L599" s="20"/>
      <c r="M599" s="174" t="s">
        <v>4502</v>
      </c>
      <c r="N599" s="130" t="s">
        <v>36728</v>
      </c>
      <c r="O599" s="30"/>
      <c r="P599" s="30"/>
      <c r="Q599" s="30"/>
      <c r="R599" s="30"/>
      <c r="S599" s="30"/>
      <c r="T599" s="30"/>
      <c r="U599" s="30"/>
      <c r="V599" s="30"/>
      <c r="W599" s="30"/>
      <c r="X599" s="30"/>
    </row>
    <row r="600" ht="15.75" customHeight="1">
      <c r="A600" s="14" t="s">
        <v>17</v>
      </c>
      <c r="B600" s="14">
        <v>1998.0</v>
      </c>
      <c r="C600" s="14" t="s">
        <v>4503</v>
      </c>
      <c r="D600" s="14" t="s">
        <v>4504</v>
      </c>
      <c r="E600" s="150" t="s">
        <v>4505</v>
      </c>
      <c r="F600" s="14">
        <v>351.0</v>
      </c>
      <c r="G600" s="14">
        <v>358.0</v>
      </c>
      <c r="H600" s="14" t="s">
        <v>28</v>
      </c>
      <c r="I600" s="14"/>
      <c r="J600" s="130" t="s">
        <v>4506</v>
      </c>
      <c r="K600" s="152" t="s">
        <v>4386</v>
      </c>
      <c r="L600" s="20" t="s">
        <v>38</v>
      </c>
      <c r="M600" s="174" t="s">
        <v>4507</v>
      </c>
      <c r="N600" s="152" t="s">
        <v>4386</v>
      </c>
      <c r="O600" s="30"/>
      <c r="P600" s="30"/>
      <c r="Q600" s="30"/>
      <c r="R600" s="30"/>
      <c r="S600" s="30"/>
      <c r="T600" s="30"/>
      <c r="U600" s="30"/>
      <c r="V600" s="30"/>
      <c r="W600" s="30"/>
      <c r="X600" s="30"/>
    </row>
    <row r="601" ht="15.75" customHeight="1">
      <c r="A601" s="14" t="s">
        <v>17</v>
      </c>
      <c r="B601" s="14">
        <v>1998.0</v>
      </c>
      <c r="C601" s="14" t="s">
        <v>4509</v>
      </c>
      <c r="D601" s="14" t="s">
        <v>4510</v>
      </c>
      <c r="E601" s="150" t="s">
        <v>4512</v>
      </c>
      <c r="F601" s="14">
        <v>359.0</v>
      </c>
      <c r="G601" s="14">
        <v>365.0</v>
      </c>
      <c r="H601" s="14" t="s">
        <v>28</v>
      </c>
      <c r="I601" s="14"/>
      <c r="J601" s="130" t="s">
        <v>4514</v>
      </c>
      <c r="K601" s="152" t="s">
        <v>4515</v>
      </c>
      <c r="L601" s="20" t="s">
        <v>4516</v>
      </c>
      <c r="M601" s="174" t="s">
        <v>4517</v>
      </c>
      <c r="N601" s="152" t="s">
        <v>4515</v>
      </c>
      <c r="O601" s="30"/>
      <c r="P601" s="30"/>
      <c r="Q601" s="30"/>
      <c r="R601" s="30"/>
      <c r="S601" s="30"/>
      <c r="T601" s="30"/>
      <c r="U601" s="30"/>
      <c r="V601" s="30"/>
      <c r="W601" s="30"/>
      <c r="X601" s="30"/>
    </row>
    <row r="602" ht="15.75" customHeight="1">
      <c r="A602" s="14" t="s">
        <v>17</v>
      </c>
      <c r="B602" s="14">
        <v>1998.0</v>
      </c>
      <c r="C602" s="14" t="s">
        <v>4518</v>
      </c>
      <c r="D602" s="14" t="s">
        <v>4519</v>
      </c>
      <c r="E602" s="150" t="s">
        <v>4520</v>
      </c>
      <c r="F602" s="14">
        <v>367.0</v>
      </c>
      <c r="G602" s="14">
        <v>373.0</v>
      </c>
      <c r="H602" s="14" t="s">
        <v>28</v>
      </c>
      <c r="I602" s="14"/>
      <c r="J602" s="130" t="s">
        <v>10590</v>
      </c>
      <c r="K602" s="152" t="s">
        <v>4524</v>
      </c>
      <c r="L602" s="20"/>
      <c r="M602" s="16"/>
      <c r="N602" s="130" t="s">
        <v>39667</v>
      </c>
      <c r="O602" s="30"/>
      <c r="P602" s="30"/>
      <c r="Q602" s="30"/>
      <c r="R602" s="30"/>
      <c r="S602" s="30"/>
      <c r="T602" s="30"/>
      <c r="U602" s="30"/>
      <c r="V602" s="30"/>
      <c r="W602" s="30"/>
      <c r="X602" s="30"/>
    </row>
    <row r="603" ht="15.75" customHeight="1">
      <c r="A603" s="14" t="s">
        <v>17</v>
      </c>
      <c r="B603" s="14">
        <v>1998.0</v>
      </c>
      <c r="C603" s="14" t="s">
        <v>4525</v>
      </c>
      <c r="D603" s="14" t="s">
        <v>4526</v>
      </c>
      <c r="E603" s="150" t="s">
        <v>4527</v>
      </c>
      <c r="F603" s="14">
        <v>375.0</v>
      </c>
      <c r="G603" s="14">
        <v>382.0</v>
      </c>
      <c r="H603" s="14" t="s">
        <v>28</v>
      </c>
      <c r="I603" s="14"/>
      <c r="J603" s="130" t="s">
        <v>4528</v>
      </c>
      <c r="K603" s="152" t="s">
        <v>4529</v>
      </c>
      <c r="L603" s="20" t="s">
        <v>4530</v>
      </c>
      <c r="M603" s="174" t="s">
        <v>4531</v>
      </c>
      <c r="N603" s="130" t="s">
        <v>39671</v>
      </c>
      <c r="O603" s="30"/>
      <c r="P603" s="30"/>
      <c r="Q603" s="30"/>
      <c r="R603" s="30"/>
      <c r="S603" s="30"/>
      <c r="T603" s="30"/>
      <c r="U603" s="30"/>
      <c r="V603" s="30"/>
      <c r="W603" s="30"/>
      <c r="X603" s="30"/>
    </row>
    <row r="604" ht="15.75" customHeight="1">
      <c r="A604" s="14" t="s">
        <v>17</v>
      </c>
      <c r="B604" s="14">
        <v>1998.0</v>
      </c>
      <c r="C604" s="14" t="s">
        <v>4532</v>
      </c>
      <c r="D604" s="14" t="s">
        <v>4534</v>
      </c>
      <c r="E604" s="150" t="s">
        <v>4535</v>
      </c>
      <c r="F604" s="14">
        <v>383.0</v>
      </c>
      <c r="G604" s="14">
        <v>390.0</v>
      </c>
      <c r="H604" s="14" t="s">
        <v>28</v>
      </c>
      <c r="I604" s="14"/>
      <c r="J604" s="130" t="s">
        <v>10680</v>
      </c>
      <c r="K604" s="152" t="s">
        <v>1001</v>
      </c>
      <c r="L604" s="20" t="s">
        <v>4538</v>
      </c>
      <c r="M604" s="174" t="s">
        <v>4539</v>
      </c>
      <c r="N604" s="130" t="s">
        <v>39675</v>
      </c>
      <c r="O604" s="30"/>
      <c r="P604" s="30"/>
      <c r="Q604" s="30"/>
      <c r="R604" s="30"/>
      <c r="S604" s="30"/>
      <c r="T604" s="30"/>
      <c r="U604" s="30"/>
      <c r="V604" s="30"/>
      <c r="W604" s="30"/>
      <c r="X604" s="30"/>
    </row>
    <row r="605" ht="15.75" customHeight="1">
      <c r="A605" s="14" t="s">
        <v>17</v>
      </c>
      <c r="B605" s="14">
        <v>1998.0</v>
      </c>
      <c r="C605" s="14" t="s">
        <v>4540</v>
      </c>
      <c r="D605" s="14" t="s">
        <v>4541</v>
      </c>
      <c r="E605" s="150" t="s">
        <v>4542</v>
      </c>
      <c r="F605" s="14">
        <v>391.0</v>
      </c>
      <c r="G605" s="14">
        <v>396.0</v>
      </c>
      <c r="H605" s="14" t="s">
        <v>28</v>
      </c>
      <c r="I605" s="14"/>
      <c r="J605" s="130" t="s">
        <v>4546</v>
      </c>
      <c r="K605" s="152" t="s">
        <v>4547</v>
      </c>
      <c r="L605" s="20"/>
      <c r="M605" s="174" t="s">
        <v>4548</v>
      </c>
      <c r="N605" s="130" t="s">
        <v>39677</v>
      </c>
      <c r="O605" s="30"/>
      <c r="P605" s="30"/>
      <c r="Q605" s="30"/>
      <c r="R605" s="30"/>
      <c r="S605" s="30"/>
      <c r="T605" s="30"/>
      <c r="U605" s="30"/>
      <c r="V605" s="30"/>
      <c r="W605" s="30"/>
      <c r="X605" s="30"/>
    </row>
    <row r="606" ht="15.75" customHeight="1">
      <c r="A606" s="14" t="s">
        <v>17</v>
      </c>
      <c r="B606" s="14">
        <v>1998.0</v>
      </c>
      <c r="C606" s="14" t="s">
        <v>4549</v>
      </c>
      <c r="D606" s="14" t="s">
        <v>4550</v>
      </c>
      <c r="E606" s="150" t="s">
        <v>4551</v>
      </c>
      <c r="F606" s="14">
        <v>397.0</v>
      </c>
      <c r="G606" s="14">
        <v>402.0</v>
      </c>
      <c r="H606" s="14" t="s">
        <v>28</v>
      </c>
      <c r="I606" s="14"/>
      <c r="J606" s="130" t="s">
        <v>4553</v>
      </c>
      <c r="K606" s="152" t="s">
        <v>4555</v>
      </c>
      <c r="L606" s="20" t="s">
        <v>4557</v>
      </c>
      <c r="M606" s="174" t="s">
        <v>4558</v>
      </c>
      <c r="N606" s="152" t="s">
        <v>4555</v>
      </c>
      <c r="O606" s="30"/>
      <c r="P606" s="30"/>
      <c r="Q606" s="30"/>
      <c r="R606" s="30"/>
      <c r="S606" s="30"/>
      <c r="T606" s="30"/>
      <c r="U606" s="30"/>
      <c r="V606" s="30"/>
      <c r="W606" s="30"/>
      <c r="X606" s="30"/>
    </row>
    <row r="607" ht="15.75" customHeight="1">
      <c r="A607" s="14" t="s">
        <v>17</v>
      </c>
      <c r="B607" s="14">
        <v>1998.0</v>
      </c>
      <c r="C607" s="14" t="s">
        <v>4559</v>
      </c>
      <c r="D607" s="14" t="s">
        <v>4560</v>
      </c>
      <c r="E607" s="150" t="s">
        <v>4561</v>
      </c>
      <c r="F607" s="14">
        <v>405.0</v>
      </c>
      <c r="G607" s="14">
        <v>409.0</v>
      </c>
      <c r="H607" s="14" t="s">
        <v>28</v>
      </c>
      <c r="I607" s="14"/>
      <c r="J607" s="130" t="s">
        <v>1672</v>
      </c>
      <c r="K607" s="152" t="s">
        <v>1158</v>
      </c>
      <c r="L607" s="20" t="s">
        <v>4565</v>
      </c>
      <c r="M607" s="16"/>
      <c r="N607" s="152" t="s">
        <v>1158</v>
      </c>
      <c r="O607" s="30"/>
      <c r="P607" s="30"/>
      <c r="Q607" s="30"/>
      <c r="R607" s="30"/>
      <c r="S607" s="30"/>
      <c r="T607" s="30"/>
      <c r="U607" s="30"/>
      <c r="V607" s="30"/>
      <c r="W607" s="30"/>
      <c r="X607" s="30"/>
    </row>
    <row r="608" ht="15.75" customHeight="1">
      <c r="A608" s="14" t="s">
        <v>17</v>
      </c>
      <c r="B608" s="14">
        <v>1998.0</v>
      </c>
      <c r="C608" s="14" t="s">
        <v>4566</v>
      </c>
      <c r="D608" s="14" t="s">
        <v>4567</v>
      </c>
      <c r="E608" s="150" t="s">
        <v>4568</v>
      </c>
      <c r="F608" s="14">
        <v>411.0</v>
      </c>
      <c r="G608" s="14">
        <v>414.0</v>
      </c>
      <c r="H608" s="14" t="s">
        <v>28</v>
      </c>
      <c r="I608" s="14"/>
      <c r="J608" s="130" t="s">
        <v>4569</v>
      </c>
      <c r="K608" s="152" t="s">
        <v>477</v>
      </c>
      <c r="L608" s="20" t="s">
        <v>4570</v>
      </c>
      <c r="M608" s="16"/>
      <c r="N608" s="130" t="s">
        <v>39684</v>
      </c>
      <c r="O608" s="30"/>
      <c r="P608" s="30"/>
      <c r="Q608" s="30"/>
      <c r="R608" s="30"/>
      <c r="S608" s="30"/>
      <c r="T608" s="30"/>
      <c r="U608" s="30"/>
      <c r="V608" s="30"/>
      <c r="W608" s="30"/>
      <c r="X608" s="30"/>
    </row>
    <row r="609" ht="15.75" customHeight="1">
      <c r="A609" s="14" t="s">
        <v>17</v>
      </c>
      <c r="B609" s="14">
        <v>1998.0</v>
      </c>
      <c r="C609" s="14" t="s">
        <v>4571</v>
      </c>
      <c r="D609" s="14" t="s">
        <v>4572</v>
      </c>
      <c r="E609" s="150" t="s">
        <v>4573</v>
      </c>
      <c r="F609" s="14">
        <v>415.0</v>
      </c>
      <c r="G609" s="14">
        <v>418.0</v>
      </c>
      <c r="H609" s="14" t="s">
        <v>28</v>
      </c>
      <c r="I609" s="14"/>
      <c r="J609" s="130" t="s">
        <v>4576</v>
      </c>
      <c r="K609" s="152" t="s">
        <v>4048</v>
      </c>
      <c r="L609" s="20" t="s">
        <v>4577</v>
      </c>
      <c r="M609" s="16"/>
      <c r="N609" s="130" t="s">
        <v>39688</v>
      </c>
      <c r="O609" s="30"/>
      <c r="P609" s="30"/>
      <c r="Q609" s="30"/>
      <c r="R609" s="30"/>
      <c r="S609" s="30"/>
      <c r="T609" s="30"/>
      <c r="U609" s="30"/>
      <c r="V609" s="30"/>
      <c r="W609" s="30"/>
      <c r="X609" s="30"/>
    </row>
    <row r="610" ht="15.75" customHeight="1">
      <c r="A610" s="14" t="s">
        <v>17</v>
      </c>
      <c r="B610" s="14">
        <v>1998.0</v>
      </c>
      <c r="C610" s="14" t="s">
        <v>4578</v>
      </c>
      <c r="D610" s="14" t="s">
        <v>4579</v>
      </c>
      <c r="E610" s="150" t="s">
        <v>4580</v>
      </c>
      <c r="F610" s="14">
        <v>419.0</v>
      </c>
      <c r="G610" s="14">
        <v>422.0</v>
      </c>
      <c r="H610" s="14" t="s">
        <v>28</v>
      </c>
      <c r="I610" s="14"/>
      <c r="J610" s="130" t="s">
        <v>4582</v>
      </c>
      <c r="K610" s="152" t="s">
        <v>4584</v>
      </c>
      <c r="L610" s="20" t="s">
        <v>4585</v>
      </c>
      <c r="M610" s="16"/>
      <c r="N610" s="152" t="s">
        <v>4584</v>
      </c>
      <c r="O610" s="30"/>
      <c r="P610" s="30"/>
      <c r="Q610" s="30"/>
      <c r="R610" s="30"/>
      <c r="S610" s="30"/>
      <c r="T610" s="30"/>
      <c r="U610" s="30"/>
      <c r="V610" s="30"/>
      <c r="W610" s="30"/>
      <c r="X610" s="30"/>
    </row>
    <row r="611" ht="15.75" customHeight="1">
      <c r="A611" s="14" t="s">
        <v>17</v>
      </c>
      <c r="B611" s="14">
        <v>1998.0</v>
      </c>
      <c r="C611" s="14" t="s">
        <v>4586</v>
      </c>
      <c r="D611" s="14" t="s">
        <v>4587</v>
      </c>
      <c r="E611" s="150" t="s">
        <v>4588</v>
      </c>
      <c r="F611" s="14">
        <v>423.0</v>
      </c>
      <c r="G611" s="14">
        <v>426.0</v>
      </c>
      <c r="H611" s="14" t="s">
        <v>28</v>
      </c>
      <c r="I611" s="14"/>
      <c r="J611" s="130" t="s">
        <v>39695</v>
      </c>
      <c r="K611" s="152" t="s">
        <v>2638</v>
      </c>
      <c r="L611" s="20" t="s">
        <v>2755</v>
      </c>
      <c r="M611" s="16"/>
      <c r="N611" s="130" t="s">
        <v>38183</v>
      </c>
      <c r="O611" s="30"/>
      <c r="P611" s="30"/>
      <c r="Q611" s="30"/>
      <c r="R611" s="30"/>
      <c r="S611" s="30"/>
      <c r="T611" s="30"/>
      <c r="U611" s="30"/>
      <c r="V611" s="30"/>
      <c r="W611" s="30"/>
      <c r="X611" s="30"/>
    </row>
    <row r="612" ht="15.75" customHeight="1">
      <c r="A612" s="14" t="s">
        <v>17</v>
      </c>
      <c r="B612" s="14">
        <v>1998.0</v>
      </c>
      <c r="C612" s="14" t="s">
        <v>4592</v>
      </c>
      <c r="D612" s="14" t="s">
        <v>4593</v>
      </c>
      <c r="E612" s="150" t="s">
        <v>4594</v>
      </c>
      <c r="F612" s="14">
        <v>427.0</v>
      </c>
      <c r="G612" s="14">
        <v>430.0</v>
      </c>
      <c r="H612" s="14" t="s">
        <v>28</v>
      </c>
      <c r="I612" s="14"/>
      <c r="J612" s="130" t="s">
        <v>4595</v>
      </c>
      <c r="K612" s="152" t="s">
        <v>4596</v>
      </c>
      <c r="L612" s="20"/>
      <c r="M612" s="16"/>
      <c r="N612" s="152" t="s">
        <v>4596</v>
      </c>
      <c r="O612" s="30"/>
      <c r="P612" s="30"/>
      <c r="Q612" s="30"/>
      <c r="R612" s="30"/>
      <c r="S612" s="30"/>
      <c r="T612" s="30"/>
      <c r="U612" s="30"/>
      <c r="V612" s="30"/>
      <c r="W612" s="30"/>
      <c r="X612" s="30"/>
    </row>
    <row r="613" ht="15.75" customHeight="1">
      <c r="A613" s="14" t="s">
        <v>17</v>
      </c>
      <c r="B613" s="14">
        <v>1998.0</v>
      </c>
      <c r="C613" s="14" t="s">
        <v>4597</v>
      </c>
      <c r="D613" s="14" t="s">
        <v>4598</v>
      </c>
      <c r="E613" s="150" t="s">
        <v>4600</v>
      </c>
      <c r="F613" s="14">
        <v>431.0</v>
      </c>
      <c r="G613" s="14">
        <v>434.0</v>
      </c>
      <c r="H613" s="14" t="s">
        <v>28</v>
      </c>
      <c r="I613" s="14"/>
      <c r="J613" s="130" t="s">
        <v>4602</v>
      </c>
      <c r="K613" s="152" t="s">
        <v>4603</v>
      </c>
      <c r="L613" s="20"/>
      <c r="M613" s="16"/>
      <c r="N613" s="130" t="s">
        <v>39702</v>
      </c>
      <c r="O613" s="30"/>
      <c r="P613" s="30"/>
      <c r="Q613" s="30"/>
      <c r="R613" s="30"/>
      <c r="S613" s="30"/>
      <c r="T613" s="30"/>
      <c r="U613" s="30"/>
      <c r="V613" s="30"/>
      <c r="W613" s="30"/>
      <c r="X613" s="30"/>
    </row>
    <row r="614" ht="15.75" customHeight="1">
      <c r="A614" s="14" t="s">
        <v>17</v>
      </c>
      <c r="B614" s="14">
        <v>1998.0</v>
      </c>
      <c r="C614" s="14" t="s">
        <v>4604</v>
      </c>
      <c r="D614" s="14" t="s">
        <v>4605</v>
      </c>
      <c r="E614" s="150" t="s">
        <v>4606</v>
      </c>
      <c r="F614" s="14">
        <v>435.0</v>
      </c>
      <c r="G614" s="14">
        <v>438.0</v>
      </c>
      <c r="H614" s="14" t="s">
        <v>28</v>
      </c>
      <c r="I614" s="14"/>
      <c r="J614" s="130" t="s">
        <v>4607</v>
      </c>
      <c r="K614" s="152" t="s">
        <v>4608</v>
      </c>
      <c r="L614" s="20" t="s">
        <v>3770</v>
      </c>
      <c r="M614" s="16"/>
      <c r="N614" s="152" t="s">
        <v>4608</v>
      </c>
      <c r="O614" s="30"/>
      <c r="P614" s="30"/>
      <c r="Q614" s="30"/>
      <c r="R614" s="30"/>
      <c r="S614" s="30"/>
      <c r="T614" s="30"/>
      <c r="U614" s="30"/>
      <c r="V614" s="30"/>
      <c r="W614" s="30"/>
      <c r="X614" s="30"/>
    </row>
    <row r="615" ht="15.75" customHeight="1">
      <c r="A615" s="14" t="s">
        <v>17</v>
      </c>
      <c r="B615" s="14">
        <v>1998.0</v>
      </c>
      <c r="C615" s="14" t="s">
        <v>4609</v>
      </c>
      <c r="D615" s="14" t="s">
        <v>4610</v>
      </c>
      <c r="E615" s="150" t="s">
        <v>4611</v>
      </c>
      <c r="F615" s="14">
        <v>439.0</v>
      </c>
      <c r="G615" s="14">
        <v>442.0</v>
      </c>
      <c r="H615" s="14" t="s">
        <v>28</v>
      </c>
      <c r="I615" s="14"/>
      <c r="J615" s="130" t="s">
        <v>4614</v>
      </c>
      <c r="K615" s="152" t="s">
        <v>4615</v>
      </c>
      <c r="L615" s="20" t="s">
        <v>2900</v>
      </c>
      <c r="M615" s="16"/>
      <c r="N615" s="152" t="s">
        <v>4615</v>
      </c>
      <c r="O615" s="30"/>
      <c r="P615" s="30"/>
      <c r="Q615" s="30"/>
      <c r="R615" s="30"/>
      <c r="S615" s="30"/>
      <c r="T615" s="30"/>
      <c r="U615" s="30"/>
      <c r="V615" s="30"/>
      <c r="W615" s="30"/>
      <c r="X615" s="30"/>
    </row>
    <row r="616" ht="15.75" customHeight="1">
      <c r="A616" s="14" t="s">
        <v>17</v>
      </c>
      <c r="B616" s="14">
        <v>1998.0</v>
      </c>
      <c r="C616" s="14" t="s">
        <v>4616</v>
      </c>
      <c r="D616" s="14" t="s">
        <v>4617</v>
      </c>
      <c r="E616" s="150" t="s">
        <v>4618</v>
      </c>
      <c r="F616" s="14">
        <v>443.0</v>
      </c>
      <c r="G616" s="14">
        <v>446.0</v>
      </c>
      <c r="H616" s="14" t="s">
        <v>28</v>
      </c>
      <c r="I616" s="14"/>
      <c r="J616" s="130" t="s">
        <v>39711</v>
      </c>
      <c r="K616" s="152" t="s">
        <v>2678</v>
      </c>
      <c r="L616" s="20"/>
      <c r="M616" s="16"/>
      <c r="N616" s="130" t="s">
        <v>39712</v>
      </c>
      <c r="O616" s="30"/>
      <c r="P616" s="30"/>
      <c r="Q616" s="30"/>
      <c r="R616" s="30"/>
      <c r="S616" s="30"/>
      <c r="T616" s="30"/>
      <c r="U616" s="30"/>
      <c r="V616" s="30"/>
      <c r="W616" s="30"/>
      <c r="X616" s="30"/>
    </row>
    <row r="617" ht="15.75" customHeight="1">
      <c r="A617" s="14" t="s">
        <v>17</v>
      </c>
      <c r="B617" s="14">
        <v>1998.0</v>
      </c>
      <c r="C617" s="14" t="s">
        <v>4620</v>
      </c>
      <c r="D617" s="14" t="s">
        <v>4621</v>
      </c>
      <c r="E617" s="150" t="s">
        <v>4622</v>
      </c>
      <c r="F617" s="14">
        <v>447.0</v>
      </c>
      <c r="G617" s="14">
        <v>450.0</v>
      </c>
      <c r="H617" s="14" t="s">
        <v>28</v>
      </c>
      <c r="I617" s="14"/>
      <c r="J617" s="130" t="s">
        <v>556</v>
      </c>
      <c r="K617" s="152" t="s">
        <v>2525</v>
      </c>
      <c r="L617" s="20"/>
      <c r="M617" s="16"/>
      <c r="N617" s="152" t="s">
        <v>2525</v>
      </c>
      <c r="O617" s="30"/>
      <c r="P617" s="30"/>
      <c r="Q617" s="30"/>
      <c r="R617" s="30"/>
      <c r="S617" s="30"/>
      <c r="T617" s="30"/>
      <c r="U617" s="30"/>
      <c r="V617" s="30"/>
      <c r="W617" s="30"/>
      <c r="X617" s="30"/>
    </row>
    <row r="618" ht="15.75" customHeight="1">
      <c r="A618" s="14" t="s">
        <v>17</v>
      </c>
      <c r="B618" s="14">
        <v>1998.0</v>
      </c>
      <c r="C618" s="14" t="s">
        <v>4625</v>
      </c>
      <c r="D618" s="14" t="s">
        <v>4626</v>
      </c>
      <c r="E618" s="150" t="s">
        <v>4627</v>
      </c>
      <c r="F618" s="14">
        <v>451.0</v>
      </c>
      <c r="G618" s="14">
        <v>454.0</v>
      </c>
      <c r="H618" s="14" t="s">
        <v>28</v>
      </c>
      <c r="I618" s="14"/>
      <c r="J618" s="130" t="s">
        <v>4628</v>
      </c>
      <c r="K618" s="152" t="s">
        <v>4629</v>
      </c>
      <c r="L618" s="20" t="s">
        <v>3516</v>
      </c>
      <c r="M618" s="16"/>
      <c r="N618" s="130" t="s">
        <v>39716</v>
      </c>
      <c r="O618" s="30"/>
      <c r="P618" s="30"/>
      <c r="Q618" s="30"/>
      <c r="R618" s="30"/>
      <c r="S618" s="30"/>
      <c r="T618" s="30"/>
      <c r="U618" s="30"/>
      <c r="V618" s="30"/>
      <c r="W618" s="30"/>
      <c r="X618" s="30"/>
    </row>
    <row r="619" ht="15.75" customHeight="1">
      <c r="A619" s="14" t="s">
        <v>17</v>
      </c>
      <c r="B619" s="14">
        <v>1998.0</v>
      </c>
      <c r="C619" s="14" t="s">
        <v>4630</v>
      </c>
      <c r="D619" s="14" t="s">
        <v>4631</v>
      </c>
      <c r="E619" s="150" t="s">
        <v>4632</v>
      </c>
      <c r="F619" s="14">
        <v>455.0</v>
      </c>
      <c r="G619" s="14">
        <v>458.0</v>
      </c>
      <c r="H619" s="14" t="s">
        <v>28</v>
      </c>
      <c r="I619" s="14"/>
      <c r="J619" s="130" t="s">
        <v>4633</v>
      </c>
      <c r="K619" s="152" t="s">
        <v>4634</v>
      </c>
      <c r="L619" s="20" t="s">
        <v>4635</v>
      </c>
      <c r="M619" s="16"/>
      <c r="N619" s="130" t="s">
        <v>39718</v>
      </c>
      <c r="O619" s="30"/>
      <c r="P619" s="30"/>
      <c r="Q619" s="30"/>
      <c r="R619" s="30"/>
      <c r="S619" s="30"/>
      <c r="T619" s="30"/>
      <c r="U619" s="30"/>
      <c r="V619" s="30"/>
      <c r="W619" s="30"/>
      <c r="X619" s="30"/>
    </row>
    <row r="620" ht="15.75" customHeight="1">
      <c r="A620" s="14" t="s">
        <v>17</v>
      </c>
      <c r="B620" s="14">
        <v>1998.0</v>
      </c>
      <c r="C620" s="14" t="s">
        <v>4636</v>
      </c>
      <c r="D620" s="14" t="s">
        <v>4637</v>
      </c>
      <c r="E620" s="150" t="s">
        <v>4638</v>
      </c>
      <c r="F620" s="14">
        <v>459.0</v>
      </c>
      <c r="G620" s="14">
        <v>462.0</v>
      </c>
      <c r="H620" s="14" t="s">
        <v>28</v>
      </c>
      <c r="I620" s="14"/>
      <c r="J620" s="130" t="s">
        <v>4639</v>
      </c>
      <c r="K620" s="152" t="s">
        <v>4640</v>
      </c>
      <c r="L620" s="20"/>
      <c r="M620" s="16"/>
      <c r="N620" s="152" t="s">
        <v>4640</v>
      </c>
      <c r="O620" s="30"/>
      <c r="P620" s="30"/>
      <c r="Q620" s="30"/>
      <c r="R620" s="30"/>
      <c r="S620" s="30"/>
      <c r="T620" s="30"/>
      <c r="U620" s="30"/>
      <c r="V620" s="30"/>
      <c r="W620" s="30"/>
      <c r="X620" s="30"/>
    </row>
    <row r="621" ht="15.75" customHeight="1">
      <c r="A621" s="14" t="s">
        <v>17</v>
      </c>
      <c r="B621" s="14">
        <v>1998.0</v>
      </c>
      <c r="C621" s="14" t="s">
        <v>4641</v>
      </c>
      <c r="D621" s="14" t="s">
        <v>4642</v>
      </c>
      <c r="E621" s="150" t="s">
        <v>4643</v>
      </c>
      <c r="F621" s="14">
        <v>463.0</v>
      </c>
      <c r="G621" s="14">
        <v>466.0</v>
      </c>
      <c r="H621" s="14" t="s">
        <v>28</v>
      </c>
      <c r="I621" s="14"/>
      <c r="J621" s="130" t="s">
        <v>39720</v>
      </c>
      <c r="K621" s="152" t="s">
        <v>3130</v>
      </c>
      <c r="L621" s="20" t="s">
        <v>3127</v>
      </c>
      <c r="M621" s="16"/>
      <c r="N621" s="152" t="s">
        <v>3130</v>
      </c>
      <c r="O621" s="30"/>
      <c r="P621" s="30"/>
      <c r="Q621" s="30"/>
      <c r="R621" s="30"/>
      <c r="S621" s="30"/>
      <c r="T621" s="30"/>
      <c r="U621" s="30"/>
      <c r="V621" s="30"/>
      <c r="W621" s="30"/>
      <c r="X621" s="30"/>
    </row>
    <row r="622" ht="15.75" customHeight="1">
      <c r="A622" s="14" t="s">
        <v>17</v>
      </c>
      <c r="B622" s="14">
        <v>1998.0</v>
      </c>
      <c r="C622" s="14" t="s">
        <v>4645</v>
      </c>
      <c r="D622" s="14" t="s">
        <v>4646</v>
      </c>
      <c r="E622" s="150" t="s">
        <v>4647</v>
      </c>
      <c r="F622" s="14">
        <v>467.0</v>
      </c>
      <c r="G622" s="14">
        <v>470.0</v>
      </c>
      <c r="H622" s="14" t="s">
        <v>28</v>
      </c>
      <c r="I622" s="14"/>
      <c r="J622" s="130" t="s">
        <v>4648</v>
      </c>
      <c r="K622" s="152" t="s">
        <v>4649</v>
      </c>
      <c r="L622" s="20"/>
      <c r="M622" s="16"/>
      <c r="N622" s="130" t="s">
        <v>39721</v>
      </c>
      <c r="O622" s="30"/>
      <c r="P622" s="30"/>
      <c r="Q622" s="30"/>
      <c r="R622" s="30"/>
      <c r="S622" s="30"/>
      <c r="T622" s="30"/>
      <c r="U622" s="30"/>
      <c r="V622" s="30"/>
      <c r="W622" s="30"/>
      <c r="X622" s="30"/>
    </row>
    <row r="623" ht="15.75" customHeight="1">
      <c r="A623" s="14" t="s">
        <v>17</v>
      </c>
      <c r="B623" s="14">
        <v>1998.0</v>
      </c>
      <c r="C623" s="14" t="s">
        <v>4650</v>
      </c>
      <c r="D623" s="14" t="s">
        <v>4651</v>
      </c>
      <c r="E623" s="150" t="s">
        <v>4652</v>
      </c>
      <c r="F623" s="14">
        <v>471.0</v>
      </c>
      <c r="G623" s="14">
        <v>474.0</v>
      </c>
      <c r="H623" s="14" t="s">
        <v>28</v>
      </c>
      <c r="I623" s="14"/>
      <c r="J623" s="130" t="s">
        <v>4653</v>
      </c>
      <c r="K623" s="152" t="s">
        <v>4654</v>
      </c>
      <c r="L623" s="20" t="s">
        <v>4655</v>
      </c>
      <c r="M623" s="16"/>
      <c r="N623" s="152" t="s">
        <v>4654</v>
      </c>
      <c r="O623" s="30"/>
      <c r="P623" s="30"/>
      <c r="Q623" s="30"/>
      <c r="R623" s="30"/>
      <c r="S623" s="30"/>
      <c r="T623" s="30"/>
      <c r="U623" s="30"/>
      <c r="V623" s="30"/>
      <c r="W623" s="30"/>
      <c r="X623" s="30"/>
    </row>
    <row r="624" ht="15.75" customHeight="1">
      <c r="A624" s="14" t="s">
        <v>17</v>
      </c>
      <c r="B624" s="14">
        <v>1998.0</v>
      </c>
      <c r="C624" s="14" t="s">
        <v>4656</v>
      </c>
      <c r="D624" s="14" t="s">
        <v>4657</v>
      </c>
      <c r="E624" s="150" t="s">
        <v>4658</v>
      </c>
      <c r="F624" s="14">
        <v>475.0</v>
      </c>
      <c r="G624" s="14">
        <v>478.0</v>
      </c>
      <c r="H624" s="14" t="s">
        <v>28</v>
      </c>
      <c r="I624" s="14"/>
      <c r="J624" s="130" t="s">
        <v>4659</v>
      </c>
      <c r="K624" s="152" t="s">
        <v>4660</v>
      </c>
      <c r="L624" s="20" t="s">
        <v>2565</v>
      </c>
      <c r="M624" s="16"/>
      <c r="N624" s="152" t="s">
        <v>4660</v>
      </c>
      <c r="O624" s="30"/>
      <c r="P624" s="30"/>
      <c r="Q624" s="30"/>
      <c r="R624" s="30"/>
      <c r="S624" s="30"/>
      <c r="T624" s="30"/>
      <c r="U624" s="30"/>
      <c r="V624" s="30"/>
      <c r="W624" s="30"/>
      <c r="X624" s="30"/>
    </row>
    <row r="625" ht="15.75" customHeight="1">
      <c r="A625" s="14" t="s">
        <v>17</v>
      </c>
      <c r="B625" s="14">
        <v>1998.0</v>
      </c>
      <c r="C625" s="14" t="s">
        <v>4661</v>
      </c>
      <c r="D625" s="14" t="s">
        <v>4662</v>
      </c>
      <c r="E625" s="150" t="s">
        <v>4663</v>
      </c>
      <c r="F625" s="14">
        <v>479.0</v>
      </c>
      <c r="G625" s="14">
        <v>481.0</v>
      </c>
      <c r="H625" s="14" t="s">
        <v>28</v>
      </c>
      <c r="I625" s="14"/>
      <c r="J625" s="130" t="s">
        <v>4664</v>
      </c>
      <c r="K625" s="152" t="s">
        <v>4665</v>
      </c>
      <c r="L625" s="20"/>
      <c r="M625" s="16"/>
      <c r="N625" s="130" t="s">
        <v>39727</v>
      </c>
      <c r="O625" s="30"/>
      <c r="P625" s="30"/>
      <c r="Q625" s="30"/>
      <c r="R625" s="30"/>
      <c r="S625" s="30"/>
      <c r="T625" s="30"/>
      <c r="U625" s="30"/>
      <c r="V625" s="30"/>
      <c r="W625" s="30"/>
      <c r="X625" s="30"/>
    </row>
    <row r="626" ht="15.75" customHeight="1">
      <c r="A626" s="14" t="s">
        <v>17</v>
      </c>
      <c r="B626" s="14">
        <v>1998.0</v>
      </c>
      <c r="C626" s="14" t="s">
        <v>4666</v>
      </c>
      <c r="D626" s="14" t="s">
        <v>4667</v>
      </c>
      <c r="E626" s="150" t="s">
        <v>4668</v>
      </c>
      <c r="F626" s="14">
        <v>483.0</v>
      </c>
      <c r="G626" s="14">
        <v>486.0</v>
      </c>
      <c r="H626" s="14" t="s">
        <v>28</v>
      </c>
      <c r="I626" s="14"/>
      <c r="J626" s="130" t="s">
        <v>4669</v>
      </c>
      <c r="K626" s="152" t="s">
        <v>4670</v>
      </c>
      <c r="L626" s="20"/>
      <c r="M626" s="16"/>
      <c r="N626" s="130" t="s">
        <v>39728</v>
      </c>
      <c r="O626" s="30"/>
      <c r="P626" s="30"/>
      <c r="Q626" s="30"/>
      <c r="R626" s="30"/>
      <c r="S626" s="30"/>
      <c r="T626" s="30"/>
      <c r="U626" s="30"/>
      <c r="V626" s="30"/>
      <c r="W626" s="30"/>
      <c r="X626" s="30"/>
    </row>
    <row r="627" ht="15.75" customHeight="1">
      <c r="A627" s="14" t="s">
        <v>17</v>
      </c>
      <c r="B627" s="14">
        <v>1998.0</v>
      </c>
      <c r="C627" s="14" t="s">
        <v>4671</v>
      </c>
      <c r="D627" s="14" t="s">
        <v>4672</v>
      </c>
      <c r="E627" s="150" t="s">
        <v>4673</v>
      </c>
      <c r="F627" s="14">
        <v>487.0</v>
      </c>
      <c r="G627" s="14">
        <v>490.0</v>
      </c>
      <c r="H627" s="14" t="s">
        <v>28</v>
      </c>
      <c r="I627" s="14"/>
      <c r="J627" s="130" t="s">
        <v>39732</v>
      </c>
      <c r="K627" s="152" t="s">
        <v>4675</v>
      </c>
      <c r="L627" s="20"/>
      <c r="M627" s="16"/>
      <c r="N627" s="152" t="s">
        <v>4675</v>
      </c>
      <c r="O627" s="30"/>
      <c r="P627" s="30"/>
      <c r="Q627" s="30"/>
      <c r="R627" s="30"/>
      <c r="S627" s="30"/>
      <c r="T627" s="30"/>
      <c r="U627" s="30"/>
      <c r="V627" s="30"/>
      <c r="W627" s="30"/>
      <c r="X627" s="30"/>
    </row>
    <row r="628" ht="15.75" customHeight="1">
      <c r="A628" s="14" t="s">
        <v>17</v>
      </c>
      <c r="B628" s="14">
        <v>1998.0</v>
      </c>
      <c r="C628" s="14" t="s">
        <v>4676</v>
      </c>
      <c r="D628" s="14" t="s">
        <v>4677</v>
      </c>
      <c r="E628" s="150" t="s">
        <v>4678</v>
      </c>
      <c r="F628" s="14">
        <v>491.0</v>
      </c>
      <c r="G628" s="14">
        <v>494.0</v>
      </c>
      <c r="H628" s="14" t="s">
        <v>28</v>
      </c>
      <c r="I628" s="14"/>
      <c r="J628" s="130" t="s">
        <v>4679</v>
      </c>
      <c r="K628" s="152" t="s">
        <v>4680</v>
      </c>
      <c r="L628" s="20" t="s">
        <v>4681</v>
      </c>
      <c r="M628" s="16"/>
      <c r="N628" s="130" t="s">
        <v>39736</v>
      </c>
      <c r="O628" s="30"/>
      <c r="P628" s="30"/>
      <c r="Q628" s="30"/>
      <c r="R628" s="30"/>
      <c r="S628" s="30"/>
      <c r="T628" s="30"/>
      <c r="U628" s="30"/>
      <c r="V628" s="30"/>
      <c r="W628" s="30"/>
      <c r="X628" s="30"/>
    </row>
    <row r="629" ht="15.75" customHeight="1">
      <c r="A629" s="14" t="s">
        <v>17</v>
      </c>
      <c r="B629" s="14">
        <v>1998.0</v>
      </c>
      <c r="C629" s="14" t="s">
        <v>4682</v>
      </c>
      <c r="D629" s="14" t="s">
        <v>4683</v>
      </c>
      <c r="E629" s="150" t="s">
        <v>4684</v>
      </c>
      <c r="F629" s="14">
        <v>497.0</v>
      </c>
      <c r="G629" s="14">
        <v>499.0</v>
      </c>
      <c r="H629" s="14" t="s">
        <v>21</v>
      </c>
      <c r="I629" s="14"/>
      <c r="J629" s="130" t="s">
        <v>4685</v>
      </c>
      <c r="K629" s="152" t="s">
        <v>4686</v>
      </c>
      <c r="L629" s="20"/>
      <c r="M629" s="16"/>
      <c r="N629" s="152" t="s">
        <v>4686</v>
      </c>
      <c r="O629" s="30"/>
      <c r="P629" s="30"/>
      <c r="Q629" s="30"/>
      <c r="R629" s="30"/>
      <c r="S629" s="30"/>
      <c r="T629" s="30"/>
      <c r="U629" s="30"/>
      <c r="V629" s="30"/>
      <c r="W629" s="30"/>
      <c r="X629" s="30"/>
    </row>
    <row r="630" ht="15.75" customHeight="1">
      <c r="A630" s="14" t="s">
        <v>17</v>
      </c>
      <c r="B630" s="14">
        <v>1998.0</v>
      </c>
      <c r="C630" s="14" t="s">
        <v>4687</v>
      </c>
      <c r="D630" s="14" t="s">
        <v>4688</v>
      </c>
      <c r="E630" s="150" t="s">
        <v>4689</v>
      </c>
      <c r="F630" s="14">
        <v>501.0</v>
      </c>
      <c r="G630" s="14">
        <v>504.0</v>
      </c>
      <c r="H630" s="14" t="s">
        <v>21</v>
      </c>
      <c r="I630" s="14"/>
      <c r="J630" s="130" t="s">
        <v>4690</v>
      </c>
      <c r="K630" s="152" t="s">
        <v>4691</v>
      </c>
      <c r="L630" s="20"/>
      <c r="M630" s="16"/>
      <c r="N630" s="152" t="s">
        <v>4691</v>
      </c>
      <c r="O630" s="30"/>
      <c r="P630" s="30"/>
      <c r="Q630" s="30"/>
      <c r="R630" s="30"/>
      <c r="S630" s="30"/>
      <c r="T630" s="30"/>
      <c r="U630" s="30"/>
      <c r="V630" s="30"/>
      <c r="W630" s="30"/>
      <c r="X630" s="30"/>
    </row>
    <row r="631" ht="15.75" customHeight="1">
      <c r="A631" s="14" t="s">
        <v>17</v>
      </c>
      <c r="B631" s="14">
        <v>1998.0</v>
      </c>
      <c r="C631" s="14" t="s">
        <v>4692</v>
      </c>
      <c r="D631" s="14" t="s">
        <v>4693</v>
      </c>
      <c r="E631" s="150" t="s">
        <v>4694</v>
      </c>
      <c r="F631" s="14">
        <v>505.0</v>
      </c>
      <c r="G631" s="14">
        <v>506.0</v>
      </c>
      <c r="H631" s="14" t="s">
        <v>21</v>
      </c>
      <c r="I631" s="14"/>
      <c r="J631" s="130" t="s">
        <v>4695</v>
      </c>
      <c r="K631" s="152" t="s">
        <v>4696</v>
      </c>
      <c r="L631" s="20"/>
      <c r="M631" s="16"/>
      <c r="N631" s="152" t="s">
        <v>4696</v>
      </c>
      <c r="O631" s="30"/>
      <c r="P631" s="30"/>
      <c r="Q631" s="30"/>
      <c r="R631" s="30"/>
      <c r="S631" s="30"/>
      <c r="T631" s="30"/>
      <c r="U631" s="30"/>
      <c r="V631" s="30"/>
      <c r="W631" s="30"/>
      <c r="X631" s="30"/>
    </row>
    <row r="632" ht="15.75" customHeight="1">
      <c r="A632" s="14" t="s">
        <v>17</v>
      </c>
      <c r="B632" s="14">
        <v>1998.0</v>
      </c>
      <c r="C632" s="14" t="s">
        <v>4697</v>
      </c>
      <c r="D632" s="14" t="s">
        <v>4698</v>
      </c>
      <c r="E632" s="150" t="s">
        <v>4699</v>
      </c>
      <c r="F632" s="14">
        <v>507.0</v>
      </c>
      <c r="G632" s="14">
        <v>509.0</v>
      </c>
      <c r="H632" s="14" t="s">
        <v>21</v>
      </c>
      <c r="I632" s="14"/>
      <c r="J632" s="130" t="s">
        <v>4700</v>
      </c>
      <c r="K632" s="152" t="s">
        <v>4701</v>
      </c>
      <c r="L632" s="20"/>
      <c r="M632" s="16"/>
      <c r="N632" s="152" t="s">
        <v>4701</v>
      </c>
      <c r="O632" s="30"/>
      <c r="P632" s="30"/>
      <c r="Q632" s="30"/>
      <c r="R632" s="30"/>
      <c r="S632" s="30"/>
      <c r="T632" s="30"/>
      <c r="U632" s="30"/>
      <c r="V632" s="30"/>
      <c r="W632" s="30"/>
      <c r="X632" s="30"/>
    </row>
    <row r="633" ht="15.75" customHeight="1">
      <c r="A633" s="14" t="s">
        <v>17</v>
      </c>
      <c r="B633" s="14">
        <v>1998.0</v>
      </c>
      <c r="C633" s="14" t="s">
        <v>4702</v>
      </c>
      <c r="D633" s="14" t="s">
        <v>4703</v>
      </c>
      <c r="E633" s="150" t="s">
        <v>4704</v>
      </c>
      <c r="F633" s="14">
        <v>233.0</v>
      </c>
      <c r="G633" s="14">
        <v>238.0</v>
      </c>
      <c r="H633" s="14" t="s">
        <v>28</v>
      </c>
      <c r="I633" s="14"/>
      <c r="J633" s="130" t="s">
        <v>4705</v>
      </c>
      <c r="K633" s="152" t="s">
        <v>4706</v>
      </c>
      <c r="L633" s="20" t="s">
        <v>4707</v>
      </c>
      <c r="M633" s="16"/>
      <c r="N633" s="130" t="s">
        <v>39746</v>
      </c>
      <c r="O633" s="30"/>
      <c r="P633" s="30"/>
      <c r="Q633" s="30"/>
      <c r="R633" s="30"/>
      <c r="S633" s="30"/>
      <c r="T633" s="30"/>
      <c r="U633" s="30"/>
      <c r="V633" s="30"/>
      <c r="W633" s="30"/>
      <c r="X633" s="30"/>
    </row>
    <row r="634" ht="15.75" customHeight="1">
      <c r="A634" s="14" t="s">
        <v>2137</v>
      </c>
      <c r="B634" s="14">
        <v>1999.0</v>
      </c>
      <c r="C634" s="14" t="s">
        <v>4708</v>
      </c>
      <c r="D634" s="14" t="s">
        <v>4709</v>
      </c>
      <c r="E634" s="150" t="str">
        <f t="shared" ref="E634:E652" si="1">"http://dx.doi.org/" &amp; D634</f>
        <v>http://dx.doi.org/10.1109/INFVIS.1999.801851</v>
      </c>
      <c r="F634" s="14">
        <v>4.0</v>
      </c>
      <c r="G634" s="14" t="s">
        <v>4711</v>
      </c>
      <c r="H634" s="14" t="s">
        <v>28</v>
      </c>
      <c r="I634" s="14"/>
      <c r="J634" s="130" t="s">
        <v>4712</v>
      </c>
      <c r="K634" s="152" t="s">
        <v>4713</v>
      </c>
      <c r="L634" s="20"/>
      <c r="M634" s="16"/>
      <c r="N634" s="130" t="s">
        <v>39752</v>
      </c>
      <c r="O634" s="84"/>
      <c r="P634" s="84"/>
      <c r="Q634" s="84"/>
      <c r="R634" s="84"/>
      <c r="S634" s="84"/>
      <c r="T634" s="84"/>
      <c r="U634" s="84"/>
      <c r="V634" s="84"/>
      <c r="W634" s="84"/>
      <c r="X634" s="84"/>
    </row>
    <row r="635" ht="15.75" customHeight="1">
      <c r="A635" s="14" t="s">
        <v>2137</v>
      </c>
      <c r="B635" s="14">
        <v>1999.0</v>
      </c>
      <c r="C635" s="14" t="s">
        <v>4714</v>
      </c>
      <c r="D635" s="14" t="s">
        <v>4715</v>
      </c>
      <c r="E635" s="150" t="str">
        <f t="shared" si="1"/>
        <v>http://dx.doi.org/10.1109/INFVIS.1999.801852</v>
      </c>
      <c r="F635" s="14">
        <v>10.0</v>
      </c>
      <c r="G635" s="14" t="s">
        <v>4757</v>
      </c>
      <c r="H635" s="14" t="s">
        <v>28</v>
      </c>
      <c r="I635" s="14"/>
      <c r="J635" s="16" t="s">
        <v>4759</v>
      </c>
      <c r="K635" s="152" t="s">
        <v>4760</v>
      </c>
      <c r="L635" s="20"/>
      <c r="M635" s="195" t="s">
        <v>4761</v>
      </c>
      <c r="N635" s="130" t="s">
        <v>39753</v>
      </c>
      <c r="O635" s="84"/>
      <c r="P635" s="84"/>
      <c r="Q635" s="84"/>
      <c r="R635" s="84"/>
      <c r="S635" s="84"/>
      <c r="T635" s="84"/>
      <c r="U635" s="84"/>
      <c r="V635" s="84"/>
      <c r="W635" s="84"/>
      <c r="X635" s="84"/>
    </row>
    <row r="636" ht="15.75" customHeight="1">
      <c r="A636" s="14" t="s">
        <v>2137</v>
      </c>
      <c r="B636" s="14">
        <v>1999.0</v>
      </c>
      <c r="C636" s="14" t="s">
        <v>4762</v>
      </c>
      <c r="D636" s="14" t="s">
        <v>4763</v>
      </c>
      <c r="E636" s="150" t="str">
        <f t="shared" si="1"/>
        <v>http://dx.doi.org/10.1109/INFVIS.1999.801853</v>
      </c>
      <c r="F636" s="14">
        <v>18.0</v>
      </c>
      <c r="G636" s="14" t="s">
        <v>4767</v>
      </c>
      <c r="H636" s="14" t="s">
        <v>28</v>
      </c>
      <c r="I636" s="14"/>
      <c r="J636" s="130" t="s">
        <v>4768</v>
      </c>
      <c r="K636" s="152" t="s">
        <v>3369</v>
      </c>
      <c r="L636" s="20" t="s">
        <v>4769</v>
      </c>
      <c r="M636" s="174" t="s">
        <v>4770</v>
      </c>
      <c r="N636" s="130" t="s">
        <v>38802</v>
      </c>
      <c r="O636" s="84"/>
      <c r="P636" s="84"/>
      <c r="Q636" s="84"/>
      <c r="R636" s="84"/>
      <c r="S636" s="84"/>
      <c r="T636" s="84"/>
      <c r="U636" s="84"/>
      <c r="V636" s="84"/>
      <c r="W636" s="84"/>
      <c r="X636" s="84"/>
    </row>
    <row r="637" ht="15.75" customHeight="1">
      <c r="A637" s="14" t="s">
        <v>2137</v>
      </c>
      <c r="B637" s="14">
        <v>1999.0</v>
      </c>
      <c r="C637" s="14" t="s">
        <v>4771</v>
      </c>
      <c r="D637" s="14" t="s">
        <v>4772</v>
      </c>
      <c r="E637" s="150" t="str">
        <f t="shared" si="1"/>
        <v>http://dx.doi.org/10.1109/INFVIS.1999.801854</v>
      </c>
      <c r="F637" s="14">
        <v>28.0</v>
      </c>
      <c r="G637" s="14">
        <v>35.0</v>
      </c>
      <c r="H637" s="14" t="s">
        <v>28</v>
      </c>
      <c r="I637" s="14"/>
      <c r="J637" s="130" t="s">
        <v>4777</v>
      </c>
      <c r="K637" s="152" t="s">
        <v>815</v>
      </c>
      <c r="L637" s="20"/>
      <c r="M637" s="174" t="s">
        <v>4778</v>
      </c>
      <c r="N637" s="130" t="s">
        <v>39757</v>
      </c>
      <c r="O637" s="84"/>
      <c r="P637" s="84"/>
      <c r="Q637" s="84"/>
      <c r="R637" s="84"/>
      <c r="S637" s="84"/>
      <c r="T637" s="84"/>
      <c r="U637" s="84"/>
      <c r="V637" s="84"/>
      <c r="W637" s="84"/>
      <c r="X637" s="84"/>
    </row>
    <row r="638" ht="15.75" customHeight="1">
      <c r="A638" s="14" t="s">
        <v>2137</v>
      </c>
      <c r="B638" s="14">
        <v>1999.0</v>
      </c>
      <c r="C638" s="14" t="s">
        <v>4779</v>
      </c>
      <c r="D638" s="14" t="s">
        <v>4780</v>
      </c>
      <c r="E638" s="150" t="str">
        <f t="shared" si="1"/>
        <v>http://dx.doi.org/10.1109/INFVIS.1999.801855</v>
      </c>
      <c r="F638" s="14">
        <v>36.0</v>
      </c>
      <c r="G638" s="14" t="s">
        <v>4784</v>
      </c>
      <c r="H638" s="14" t="s">
        <v>28</v>
      </c>
      <c r="I638" s="14"/>
      <c r="J638" s="130" t="s">
        <v>4785</v>
      </c>
      <c r="K638" s="152" t="s">
        <v>4786</v>
      </c>
      <c r="L638" s="20"/>
      <c r="M638" s="16"/>
      <c r="N638" s="130" t="s">
        <v>39758</v>
      </c>
      <c r="O638" s="84"/>
      <c r="P638" s="84"/>
      <c r="Q638" s="84"/>
      <c r="R638" s="84"/>
      <c r="S638" s="84"/>
      <c r="T638" s="84"/>
      <c r="U638" s="84"/>
      <c r="V638" s="84"/>
      <c r="W638" s="84"/>
      <c r="X638" s="84"/>
    </row>
    <row r="639" ht="15.75" customHeight="1">
      <c r="A639" s="14" t="s">
        <v>2137</v>
      </c>
      <c r="B639" s="14">
        <v>1999.0</v>
      </c>
      <c r="C639" s="14" t="s">
        <v>4787</v>
      </c>
      <c r="D639" s="14" t="s">
        <v>4788</v>
      </c>
      <c r="E639" s="150" t="str">
        <f t="shared" si="1"/>
        <v>http://dx.doi.org/10.1109/INFVIS.1999.801856</v>
      </c>
      <c r="F639" s="14">
        <v>44.0</v>
      </c>
      <c r="G639" s="14" t="s">
        <v>4790</v>
      </c>
      <c r="H639" s="14" t="s">
        <v>28</v>
      </c>
      <c r="I639" s="14"/>
      <c r="J639" s="130" t="s">
        <v>4791</v>
      </c>
      <c r="K639" s="152" t="s">
        <v>4792</v>
      </c>
      <c r="L639" s="20" t="s">
        <v>4793</v>
      </c>
      <c r="M639" s="174" t="s">
        <v>4794</v>
      </c>
      <c r="N639" s="130" t="s">
        <v>39762</v>
      </c>
      <c r="O639" s="84"/>
      <c r="P639" s="84"/>
      <c r="Q639" s="84"/>
      <c r="R639" s="84"/>
      <c r="S639" s="84"/>
      <c r="T639" s="84"/>
      <c r="U639" s="84"/>
      <c r="V639" s="84"/>
      <c r="W639" s="84"/>
      <c r="X639" s="84"/>
    </row>
    <row r="640" ht="15.75" customHeight="1">
      <c r="A640" s="14" t="s">
        <v>2137</v>
      </c>
      <c r="B640" s="14">
        <v>1999.0</v>
      </c>
      <c r="C640" s="14" t="s">
        <v>4797</v>
      </c>
      <c r="D640" s="14" t="s">
        <v>4798</v>
      </c>
      <c r="E640" s="150" t="str">
        <f t="shared" si="1"/>
        <v>http://dx.doi.org/10.1109/INFVIS.1999.801857</v>
      </c>
      <c r="F640" s="14">
        <v>53.0</v>
      </c>
      <c r="G640" s="14" t="s">
        <v>4800</v>
      </c>
      <c r="H640" s="14" t="s">
        <v>28</v>
      </c>
      <c r="I640" s="14"/>
      <c r="J640" s="16" t="s">
        <v>12063</v>
      </c>
      <c r="K640" s="152" t="s">
        <v>4802</v>
      </c>
      <c r="L640" s="20" t="s">
        <v>4803</v>
      </c>
      <c r="M640" s="195" t="s">
        <v>4805</v>
      </c>
      <c r="N640" s="152" t="s">
        <v>4802</v>
      </c>
      <c r="O640" s="84"/>
      <c r="P640" s="84"/>
      <c r="Q640" s="84"/>
      <c r="R640" s="84"/>
      <c r="S640" s="84"/>
      <c r="T640" s="84"/>
      <c r="U640" s="84"/>
      <c r="V640" s="84"/>
      <c r="W640" s="84"/>
      <c r="X640" s="84"/>
    </row>
    <row r="641" ht="15.75" customHeight="1">
      <c r="A641" s="14" t="s">
        <v>2137</v>
      </c>
      <c r="B641" s="14">
        <v>1999.0</v>
      </c>
      <c r="C641" s="14" t="s">
        <v>4809</v>
      </c>
      <c r="D641" s="14" t="s">
        <v>4810</v>
      </c>
      <c r="E641" s="150" t="str">
        <f t="shared" si="1"/>
        <v>http://dx.doi.org/10.1109/INFVIS.1999.801858</v>
      </c>
      <c r="F641" s="14">
        <v>58.0</v>
      </c>
      <c r="G641" s="14" t="s">
        <v>4812</v>
      </c>
      <c r="H641" s="14" t="s">
        <v>28</v>
      </c>
      <c r="I641" s="14"/>
      <c r="J641" s="130" t="s">
        <v>4813</v>
      </c>
      <c r="K641" s="152" t="s">
        <v>4817</v>
      </c>
      <c r="L641" s="20" t="s">
        <v>4818</v>
      </c>
      <c r="M641" s="195" t="s">
        <v>4819</v>
      </c>
      <c r="N641" s="152" t="s">
        <v>4817</v>
      </c>
      <c r="O641" s="84"/>
      <c r="P641" s="84"/>
      <c r="Q641" s="84"/>
      <c r="R641" s="84"/>
      <c r="S641" s="84"/>
      <c r="T641" s="84"/>
      <c r="U641" s="84"/>
      <c r="V641" s="84"/>
      <c r="W641" s="84"/>
      <c r="X641" s="84"/>
    </row>
    <row r="642" ht="15.75" customHeight="1">
      <c r="A642" s="14" t="s">
        <v>2137</v>
      </c>
      <c r="B642" s="14">
        <v>1999.0</v>
      </c>
      <c r="C642" s="14" t="s">
        <v>4820</v>
      </c>
      <c r="D642" s="14" t="s">
        <v>4821</v>
      </c>
      <c r="E642" s="150" t="str">
        <f t="shared" si="1"/>
        <v>http://dx.doi.org/10.1109/INFVIS.1999.801859</v>
      </c>
      <c r="F642" s="14">
        <v>65.0</v>
      </c>
      <c r="G642" s="14">
        <v>72.0</v>
      </c>
      <c r="H642" s="14" t="s">
        <v>28</v>
      </c>
      <c r="I642" s="14"/>
      <c r="J642" s="130" t="s">
        <v>4826</v>
      </c>
      <c r="K642" s="152" t="s">
        <v>2451</v>
      </c>
      <c r="L642" s="20" t="s">
        <v>4827</v>
      </c>
      <c r="M642" s="16"/>
      <c r="N642" s="130" t="s">
        <v>39765</v>
      </c>
      <c r="O642" s="84"/>
      <c r="P642" s="84"/>
      <c r="Q642" s="84"/>
      <c r="R642" s="84"/>
      <c r="S642" s="84"/>
      <c r="T642" s="84"/>
      <c r="U642" s="84"/>
      <c r="V642" s="84"/>
      <c r="W642" s="84"/>
      <c r="X642" s="84"/>
    </row>
    <row r="643" ht="15.75" customHeight="1">
      <c r="A643" s="14" t="s">
        <v>2137</v>
      </c>
      <c r="B643" s="14">
        <v>1999.0</v>
      </c>
      <c r="C643" s="14" t="s">
        <v>4828</v>
      </c>
      <c r="D643" s="14" t="s">
        <v>4829</v>
      </c>
      <c r="E643" s="150" t="str">
        <f t="shared" si="1"/>
        <v>http://dx.doi.org/10.1109/INFVIS.1999.801860</v>
      </c>
      <c r="F643" s="14">
        <v>73.0</v>
      </c>
      <c r="G643" s="14" t="s">
        <v>4831</v>
      </c>
      <c r="H643" s="14" t="s">
        <v>28</v>
      </c>
      <c r="I643" s="14"/>
      <c r="J643" s="130" t="s">
        <v>4834</v>
      </c>
      <c r="K643" s="152" t="s">
        <v>4713</v>
      </c>
      <c r="L643" s="20" t="s">
        <v>809</v>
      </c>
      <c r="M643" s="195" t="s">
        <v>4837</v>
      </c>
      <c r="N643" s="130" t="s">
        <v>39766</v>
      </c>
      <c r="O643" s="84"/>
      <c r="P643" s="84"/>
      <c r="Q643" s="84"/>
      <c r="R643" s="84"/>
      <c r="S643" s="84"/>
      <c r="T643" s="84"/>
      <c r="U643" s="84"/>
      <c r="V643" s="84"/>
      <c r="W643" s="84"/>
      <c r="X643" s="84"/>
    </row>
    <row r="644" ht="15.75" customHeight="1">
      <c r="A644" s="14" t="s">
        <v>2137</v>
      </c>
      <c r="B644" s="14">
        <v>1999.0</v>
      </c>
      <c r="C644" s="14" t="s">
        <v>4838</v>
      </c>
      <c r="D644" s="14" t="s">
        <v>4839</v>
      </c>
      <c r="E644" s="150" t="str">
        <f t="shared" si="1"/>
        <v>http://dx.doi.org/10.1109/INFVIS.1999.801861</v>
      </c>
      <c r="F644" s="14">
        <v>79.0</v>
      </c>
      <c r="G644" s="14" t="s">
        <v>4842</v>
      </c>
      <c r="H644" s="14" t="s">
        <v>28</v>
      </c>
      <c r="I644" s="14"/>
      <c r="J644" s="130" t="s">
        <v>4844</v>
      </c>
      <c r="K644" s="152" t="s">
        <v>4846</v>
      </c>
      <c r="L644" s="20" t="s">
        <v>3310</v>
      </c>
      <c r="M644" s="213" t="s">
        <v>4847</v>
      </c>
      <c r="N644" s="130" t="s">
        <v>39770</v>
      </c>
      <c r="O644" s="84"/>
      <c r="P644" s="84"/>
      <c r="Q644" s="84"/>
      <c r="R644" s="84"/>
      <c r="S644" s="84"/>
      <c r="T644" s="84"/>
      <c r="U644" s="84"/>
      <c r="V644" s="84"/>
      <c r="W644" s="84"/>
      <c r="X644" s="84"/>
    </row>
    <row r="645" ht="15.75" customHeight="1">
      <c r="A645" s="14" t="s">
        <v>2137</v>
      </c>
      <c r="B645" s="14">
        <v>1999.0</v>
      </c>
      <c r="C645" s="14" t="s">
        <v>4848</v>
      </c>
      <c r="D645" s="14" t="s">
        <v>4849</v>
      </c>
      <c r="E645" s="150" t="str">
        <f t="shared" si="1"/>
        <v>http://dx.doi.org/10.1109/INFVIS.1999.801862</v>
      </c>
      <c r="F645" s="14">
        <v>84.0</v>
      </c>
      <c r="G645" s="14">
        <v>91.0</v>
      </c>
      <c r="H645" s="14" t="s">
        <v>28</v>
      </c>
      <c r="I645" s="14"/>
      <c r="J645" s="130" t="s">
        <v>4851</v>
      </c>
      <c r="K645" s="152" t="s">
        <v>4852</v>
      </c>
      <c r="L645" s="20" t="s">
        <v>3391</v>
      </c>
      <c r="M645" s="174" t="s">
        <v>4853</v>
      </c>
      <c r="N645" s="130" t="s">
        <v>39772</v>
      </c>
      <c r="O645" s="84"/>
      <c r="P645" s="84"/>
      <c r="Q645" s="84"/>
      <c r="R645" s="84"/>
      <c r="S645" s="84"/>
      <c r="T645" s="84"/>
      <c r="U645" s="84"/>
      <c r="V645" s="84"/>
      <c r="W645" s="84"/>
      <c r="X645" s="84"/>
    </row>
    <row r="646" ht="15.75" customHeight="1">
      <c r="A646" s="14" t="s">
        <v>2137</v>
      </c>
      <c r="B646" s="14">
        <v>1999.0</v>
      </c>
      <c r="C646" s="14" t="s">
        <v>4854</v>
      </c>
      <c r="D646" s="14" t="s">
        <v>4855</v>
      </c>
      <c r="E646" s="150" t="str">
        <f t="shared" si="1"/>
        <v>http://dx.doi.org/10.1109/INFVIS.1999.801863</v>
      </c>
      <c r="F646" s="14">
        <v>92.0</v>
      </c>
      <c r="G646" s="14" t="s">
        <v>4860</v>
      </c>
      <c r="H646" s="14" t="s">
        <v>28</v>
      </c>
      <c r="I646" s="14"/>
      <c r="J646" s="130" t="s">
        <v>4861</v>
      </c>
      <c r="K646" s="152" t="s">
        <v>4862</v>
      </c>
      <c r="L646" s="20" t="s">
        <v>4863</v>
      </c>
      <c r="M646" s="214" t="s">
        <v>4864</v>
      </c>
      <c r="N646" s="130" t="s">
        <v>5060</v>
      </c>
      <c r="O646" s="84"/>
      <c r="P646" s="84"/>
      <c r="Q646" s="84"/>
      <c r="R646" s="84"/>
      <c r="S646" s="84"/>
      <c r="T646" s="84"/>
      <c r="U646" s="84"/>
      <c r="V646" s="84"/>
      <c r="W646" s="84"/>
      <c r="X646" s="84"/>
    </row>
    <row r="647" ht="15.75" customHeight="1">
      <c r="A647" s="14" t="s">
        <v>2137</v>
      </c>
      <c r="B647" s="14">
        <v>1999.0</v>
      </c>
      <c r="C647" s="14" t="s">
        <v>4865</v>
      </c>
      <c r="D647" s="14" t="s">
        <v>4866</v>
      </c>
      <c r="E647" s="150" t="str">
        <f t="shared" si="1"/>
        <v>http://dx.doi.org/10.1109/INFVIS.1999.801864</v>
      </c>
      <c r="F647" s="14">
        <v>100.0</v>
      </c>
      <c r="G647" s="14" t="s">
        <v>4870</v>
      </c>
      <c r="H647" s="14" t="s">
        <v>28</v>
      </c>
      <c r="I647" s="14"/>
      <c r="J647" s="130" t="s">
        <v>4871</v>
      </c>
      <c r="K647" s="152" t="s">
        <v>4872</v>
      </c>
      <c r="L647" s="20"/>
      <c r="M647" s="174" t="s">
        <v>4873</v>
      </c>
      <c r="N647" s="130" t="s">
        <v>39776</v>
      </c>
      <c r="O647" s="84"/>
      <c r="P647" s="84"/>
      <c r="Q647" s="84"/>
      <c r="R647" s="84"/>
      <c r="S647" s="84"/>
      <c r="T647" s="84"/>
      <c r="U647" s="84"/>
      <c r="V647" s="84"/>
      <c r="W647" s="84"/>
      <c r="X647" s="84"/>
    </row>
    <row r="648" ht="15.75" customHeight="1">
      <c r="A648" s="14" t="s">
        <v>2137</v>
      </c>
      <c r="B648" s="14">
        <v>1999.0</v>
      </c>
      <c r="C648" s="14" t="s">
        <v>4874</v>
      </c>
      <c r="D648" s="14" t="s">
        <v>4875</v>
      </c>
      <c r="E648" s="150" t="str">
        <f t="shared" si="1"/>
        <v>http://dx.doi.org/10.1109/INFVIS.1999.801865</v>
      </c>
      <c r="F648" s="14">
        <v>112.0</v>
      </c>
      <c r="G648" s="14" t="s">
        <v>4877</v>
      </c>
      <c r="H648" s="14" t="s">
        <v>28</v>
      </c>
      <c r="I648" s="14"/>
      <c r="J648" s="130" t="s">
        <v>4878</v>
      </c>
      <c r="K648" s="152" t="s">
        <v>4880</v>
      </c>
      <c r="L648" s="20" t="s">
        <v>3421</v>
      </c>
      <c r="M648" s="16"/>
      <c r="N648" s="152" t="s">
        <v>4880</v>
      </c>
      <c r="O648" s="84"/>
      <c r="P648" s="84"/>
      <c r="Q648" s="84"/>
      <c r="R648" s="84"/>
      <c r="S648" s="84"/>
      <c r="T648" s="84"/>
      <c r="U648" s="84"/>
      <c r="V648" s="84"/>
      <c r="W648" s="84"/>
      <c r="X648" s="84"/>
    </row>
    <row r="649" ht="15.75" customHeight="1">
      <c r="A649" s="14" t="s">
        <v>2137</v>
      </c>
      <c r="B649" s="14">
        <v>1999.0</v>
      </c>
      <c r="C649" s="14" t="s">
        <v>4883</v>
      </c>
      <c r="D649" s="14" t="s">
        <v>4884</v>
      </c>
      <c r="E649" s="150" t="str">
        <f t="shared" si="1"/>
        <v>http://dx.doi.org/10.1109/INFVIS.1999.801866</v>
      </c>
      <c r="F649" s="14">
        <v>120.0</v>
      </c>
      <c r="G649" s="14" t="s">
        <v>4886</v>
      </c>
      <c r="H649" s="14" t="s">
        <v>28</v>
      </c>
      <c r="I649" s="14"/>
      <c r="J649" s="130" t="s">
        <v>4887</v>
      </c>
      <c r="K649" s="152" t="s">
        <v>4888</v>
      </c>
      <c r="L649" s="20" t="s">
        <v>4889</v>
      </c>
      <c r="M649" s="16"/>
      <c r="N649" s="152" t="s">
        <v>4888</v>
      </c>
      <c r="O649" s="84"/>
      <c r="P649" s="84"/>
      <c r="Q649" s="84"/>
      <c r="R649" s="84"/>
      <c r="S649" s="84"/>
      <c r="T649" s="84"/>
      <c r="U649" s="84"/>
      <c r="V649" s="84"/>
      <c r="W649" s="84"/>
      <c r="X649" s="84"/>
    </row>
    <row r="650" ht="15.75" customHeight="1">
      <c r="A650" s="14" t="s">
        <v>2137</v>
      </c>
      <c r="B650" s="14">
        <v>1999.0</v>
      </c>
      <c r="C650" s="14" t="s">
        <v>4890</v>
      </c>
      <c r="D650" s="14" t="s">
        <v>4891</v>
      </c>
      <c r="E650" s="150" t="str">
        <f t="shared" si="1"/>
        <v>http://dx.doi.org/10.1109/INFVIS.1999.801867</v>
      </c>
      <c r="F650" s="14">
        <v>124.0</v>
      </c>
      <c r="G650" s="14" t="s">
        <v>4896</v>
      </c>
      <c r="H650" s="14" t="s">
        <v>28</v>
      </c>
      <c r="I650" s="14"/>
      <c r="J650" s="130" t="s">
        <v>4897</v>
      </c>
      <c r="K650" s="152" t="s">
        <v>4898</v>
      </c>
      <c r="L650" s="20" t="s">
        <v>4899</v>
      </c>
      <c r="M650" s="16"/>
      <c r="N650" s="152" t="s">
        <v>4898</v>
      </c>
      <c r="O650" s="84"/>
      <c r="P650" s="84"/>
      <c r="Q650" s="84"/>
      <c r="R650" s="84"/>
      <c r="S650" s="84"/>
      <c r="T650" s="84"/>
      <c r="U650" s="84"/>
      <c r="V650" s="84"/>
      <c r="W650" s="84"/>
      <c r="X650" s="84"/>
    </row>
    <row r="651" ht="15.75" customHeight="1">
      <c r="A651" s="14" t="s">
        <v>2137</v>
      </c>
      <c r="B651" s="14">
        <v>1999.0</v>
      </c>
      <c r="C651" s="14" t="s">
        <v>4900</v>
      </c>
      <c r="D651" s="14" t="s">
        <v>4901</v>
      </c>
      <c r="E651" s="150" t="str">
        <f t="shared" si="1"/>
        <v>http://dx.doi.org/10.1109/INFVIS.1999.801868</v>
      </c>
      <c r="F651" s="14">
        <v>128.0</v>
      </c>
      <c r="G651" s="14">
        <v>131.0</v>
      </c>
      <c r="H651" s="14" t="s">
        <v>28</v>
      </c>
      <c r="I651" s="14"/>
      <c r="J651" s="130" t="s">
        <v>4904</v>
      </c>
      <c r="K651" s="152" t="s">
        <v>4905</v>
      </c>
      <c r="L651" s="20" t="s">
        <v>4907</v>
      </c>
      <c r="M651" s="214" t="s">
        <v>4909</v>
      </c>
      <c r="N651" s="130" t="s">
        <v>39781</v>
      </c>
      <c r="O651" s="84"/>
      <c r="P651" s="84"/>
      <c r="Q651" s="84"/>
      <c r="R651" s="84"/>
      <c r="S651" s="84"/>
      <c r="T651" s="84"/>
      <c r="U651" s="84"/>
      <c r="V651" s="84"/>
      <c r="W651" s="84"/>
      <c r="X651" s="84"/>
    </row>
    <row r="652" ht="15.75" customHeight="1">
      <c r="A652" s="14" t="s">
        <v>2137</v>
      </c>
      <c r="B652" s="14">
        <v>1999.0</v>
      </c>
      <c r="C652" s="14" t="s">
        <v>4910</v>
      </c>
      <c r="D652" s="14" t="s">
        <v>4911</v>
      </c>
      <c r="E652" s="150" t="str">
        <f t="shared" si="1"/>
        <v>http://dx.doi.org/10.1109/INFVIS.1999.801869</v>
      </c>
      <c r="F652" s="14">
        <v>132.0</v>
      </c>
      <c r="G652" s="14" t="s">
        <v>4913</v>
      </c>
      <c r="H652" s="14" t="s">
        <v>28</v>
      </c>
      <c r="I652" s="14"/>
      <c r="J652" s="130" t="s">
        <v>12119</v>
      </c>
      <c r="K652" s="152" t="s">
        <v>4915</v>
      </c>
      <c r="L652" s="20"/>
      <c r="M652" s="16"/>
      <c r="N652" s="130" t="s">
        <v>39782</v>
      </c>
      <c r="O652" s="84"/>
      <c r="P652" s="84"/>
      <c r="Q652" s="84"/>
      <c r="R652" s="84"/>
      <c r="S652" s="84"/>
      <c r="T652" s="84"/>
      <c r="U652" s="84"/>
      <c r="V652" s="84"/>
      <c r="W652" s="84"/>
      <c r="X652" s="84"/>
    </row>
    <row r="653" ht="15.75" customHeight="1">
      <c r="A653" s="14" t="s">
        <v>17</v>
      </c>
      <c r="B653" s="50">
        <v>1999.0</v>
      </c>
      <c r="C653" s="14" t="s">
        <v>4916</v>
      </c>
      <c r="D653" s="91" t="s">
        <v>4917</v>
      </c>
      <c r="E653" s="197" t="s">
        <v>4918</v>
      </c>
      <c r="F653" s="50">
        <v>67.0</v>
      </c>
      <c r="G653" s="54">
        <v>72.0</v>
      </c>
      <c r="H653" s="14" t="s">
        <v>28</v>
      </c>
      <c r="I653" s="14"/>
      <c r="J653" s="130" t="s">
        <v>4920</v>
      </c>
      <c r="K653" s="162"/>
      <c r="L653" s="20" t="s">
        <v>3112</v>
      </c>
      <c r="M653" s="195" t="s">
        <v>4921</v>
      </c>
      <c r="N653" s="130" t="s">
        <v>39783</v>
      </c>
      <c r="O653" s="93"/>
      <c r="P653" s="93"/>
      <c r="Q653" s="93"/>
      <c r="R653" s="93"/>
      <c r="S653" s="93"/>
      <c r="T653" s="93"/>
      <c r="U653" s="93"/>
      <c r="V653" s="93"/>
      <c r="W653" s="93"/>
      <c r="X653" s="93"/>
    </row>
    <row r="654" ht="15.75" customHeight="1">
      <c r="A654" s="14" t="s">
        <v>17</v>
      </c>
      <c r="B654" s="14">
        <v>1999.0</v>
      </c>
      <c r="C654" s="14" t="s">
        <v>4922</v>
      </c>
      <c r="D654" s="14" t="s">
        <v>4923</v>
      </c>
      <c r="E654" s="150" t="str">
        <f t="shared" ref="E654:E657" si="2">"http://dx.doi.org/" &amp; D654</f>
        <v>http://dx.doi.org/10.1109/VISUAL.1999.809863</v>
      </c>
      <c r="F654" s="14">
        <v>19.0</v>
      </c>
      <c r="G654" s="14" t="s">
        <v>4925</v>
      </c>
      <c r="H654" s="14" t="s">
        <v>28</v>
      </c>
      <c r="I654" s="14"/>
      <c r="J654" s="130" t="s">
        <v>12141</v>
      </c>
      <c r="K654" s="152" t="s">
        <v>4927</v>
      </c>
      <c r="L654" s="20" t="s">
        <v>4928</v>
      </c>
      <c r="M654" s="195" t="s">
        <v>4930</v>
      </c>
      <c r="N654" s="130" t="s">
        <v>39787</v>
      </c>
      <c r="O654" s="84"/>
      <c r="P654" s="84"/>
      <c r="Q654" s="84"/>
      <c r="R654" s="84"/>
      <c r="S654" s="84"/>
      <c r="T654" s="84"/>
      <c r="U654" s="84"/>
      <c r="V654" s="84"/>
      <c r="W654" s="84"/>
      <c r="X654" s="84"/>
    </row>
    <row r="655" ht="15.75" customHeight="1">
      <c r="A655" s="14" t="s">
        <v>17</v>
      </c>
      <c r="B655" s="14">
        <v>1999.0</v>
      </c>
      <c r="C655" s="14" t="s">
        <v>4933</v>
      </c>
      <c r="D655" s="14" t="s">
        <v>4934</v>
      </c>
      <c r="E655" s="150" t="str">
        <f t="shared" si="2"/>
        <v>http://dx.doi.org/10.1109/VISUAL.1999.809864</v>
      </c>
      <c r="F655" s="14">
        <v>27.0</v>
      </c>
      <c r="G655" s="14">
        <v>506.0</v>
      </c>
      <c r="H655" s="14" t="s">
        <v>28</v>
      </c>
      <c r="I655" s="14"/>
      <c r="J655" s="130" t="s">
        <v>4936</v>
      </c>
      <c r="K655" s="152" t="s">
        <v>4937</v>
      </c>
      <c r="L655" s="20" t="s">
        <v>4938</v>
      </c>
      <c r="M655" s="195" t="s">
        <v>4939</v>
      </c>
      <c r="N655" s="130" t="s">
        <v>39791</v>
      </c>
      <c r="O655" s="84"/>
      <c r="P655" s="84"/>
      <c r="Q655" s="84"/>
      <c r="R655" s="84"/>
      <c r="S655" s="84"/>
      <c r="T655" s="84"/>
      <c r="U655" s="84"/>
      <c r="V655" s="84"/>
      <c r="W655" s="84"/>
      <c r="X655" s="84"/>
    </row>
    <row r="656" ht="15.75" customHeight="1">
      <c r="A656" s="14" t="s">
        <v>17</v>
      </c>
      <c r="B656" s="14">
        <v>1999.0</v>
      </c>
      <c r="C656" s="14" t="s">
        <v>4940</v>
      </c>
      <c r="D656" s="14" t="s">
        <v>4941</v>
      </c>
      <c r="E656" s="150" t="str">
        <f t="shared" si="2"/>
        <v>http://dx.doi.org/10.1109/VISUAL.1999.809865</v>
      </c>
      <c r="F656" s="14">
        <v>35.0</v>
      </c>
      <c r="G656" s="14">
        <v>507.0</v>
      </c>
      <c r="H656" s="14" t="s">
        <v>28</v>
      </c>
      <c r="I656" s="14"/>
      <c r="J656" s="130" t="s">
        <v>4946</v>
      </c>
      <c r="K656" s="152" t="s">
        <v>4947</v>
      </c>
      <c r="L656" s="20" t="s">
        <v>4948</v>
      </c>
      <c r="M656" s="195" t="s">
        <v>4949</v>
      </c>
      <c r="N656" s="130" t="s">
        <v>39766</v>
      </c>
      <c r="O656" s="84"/>
      <c r="P656" s="84"/>
      <c r="Q656" s="84"/>
      <c r="R656" s="84"/>
      <c r="S656" s="84"/>
      <c r="T656" s="84"/>
      <c r="U656" s="84"/>
      <c r="V656" s="84"/>
      <c r="W656" s="84"/>
      <c r="X656" s="84"/>
    </row>
    <row r="657" ht="15.75" customHeight="1">
      <c r="A657" s="14" t="s">
        <v>17</v>
      </c>
      <c r="B657" s="14">
        <v>1999.0</v>
      </c>
      <c r="C657" s="14" t="s">
        <v>4950</v>
      </c>
      <c r="D657" s="14" t="s">
        <v>4951</v>
      </c>
      <c r="E657" s="150" t="str">
        <f t="shared" si="2"/>
        <v>http://dx.doi.org/10.1109/VISUAL.1999.809866</v>
      </c>
      <c r="F657" s="14">
        <v>43.0</v>
      </c>
      <c r="G657" s="14">
        <v>508.0</v>
      </c>
      <c r="H657" s="14" t="s">
        <v>28</v>
      </c>
      <c r="I657" s="14"/>
      <c r="J657" s="130" t="s">
        <v>4813</v>
      </c>
      <c r="K657" s="152" t="s">
        <v>4817</v>
      </c>
      <c r="L657" s="20" t="s">
        <v>4956</v>
      </c>
      <c r="M657" s="195" t="s">
        <v>4957</v>
      </c>
      <c r="N657" s="152" t="s">
        <v>4817</v>
      </c>
      <c r="O657" s="84"/>
      <c r="P657" s="84"/>
      <c r="Q657" s="84"/>
      <c r="R657" s="84"/>
      <c r="S657" s="84"/>
      <c r="T657" s="84"/>
      <c r="U657" s="84"/>
      <c r="V657" s="84"/>
      <c r="W657" s="84"/>
      <c r="X657" s="84"/>
    </row>
    <row r="658" ht="15.75" customHeight="1">
      <c r="A658" s="14" t="s">
        <v>17</v>
      </c>
      <c r="B658" s="50">
        <v>1999.0</v>
      </c>
      <c r="C658" s="14" t="s">
        <v>4958</v>
      </c>
      <c r="D658" s="67" t="s">
        <v>4959</v>
      </c>
      <c r="E658" s="197" t="s">
        <v>4960</v>
      </c>
      <c r="F658" s="50">
        <v>51.0</v>
      </c>
      <c r="G658" s="54">
        <v>58.0</v>
      </c>
      <c r="H658" s="14" t="s">
        <v>28</v>
      </c>
      <c r="I658" s="14"/>
      <c r="J658" s="130" t="s">
        <v>12166</v>
      </c>
      <c r="K658" s="162" t="s">
        <v>39489</v>
      </c>
      <c r="L658" s="20" t="s">
        <v>4966</v>
      </c>
      <c r="M658" s="16"/>
      <c r="N658" s="130" t="s">
        <v>39797</v>
      </c>
      <c r="O658" s="93"/>
      <c r="P658" s="93"/>
      <c r="Q658" s="93"/>
      <c r="R658" s="93"/>
      <c r="S658" s="93"/>
      <c r="T658" s="93"/>
      <c r="U658" s="93"/>
      <c r="V658" s="93"/>
      <c r="W658" s="93"/>
      <c r="X658" s="93"/>
    </row>
    <row r="659" ht="15.75" customHeight="1">
      <c r="A659" s="14" t="s">
        <v>17</v>
      </c>
      <c r="B659" s="14">
        <v>1999.0</v>
      </c>
      <c r="C659" s="14" t="s">
        <v>4967</v>
      </c>
      <c r="D659" s="14" t="s">
        <v>4968</v>
      </c>
      <c r="E659" s="150" t="str">
        <f t="shared" ref="E659:E663" si="3">"http://dx.doi.org/" &amp; D659</f>
        <v>http://dx.doi.org/10.1109/VISUAL.1999.809869</v>
      </c>
      <c r="F659" s="14">
        <v>59.0</v>
      </c>
      <c r="G659" s="14">
        <v>510.0</v>
      </c>
      <c r="H659" s="14" t="s">
        <v>28</v>
      </c>
      <c r="I659" s="14"/>
      <c r="J659" s="130" t="s">
        <v>4120</v>
      </c>
      <c r="K659" s="152"/>
      <c r="L659" s="20" t="s">
        <v>4972</v>
      </c>
      <c r="M659" s="196" t="s">
        <v>4973</v>
      </c>
      <c r="N659" s="130" t="s">
        <v>39325</v>
      </c>
      <c r="O659" s="95"/>
      <c r="P659" s="95"/>
      <c r="Q659" s="95"/>
      <c r="R659" s="95"/>
      <c r="S659" s="95"/>
      <c r="T659" s="95"/>
      <c r="U659" s="95"/>
      <c r="V659" s="95"/>
      <c r="W659" s="95"/>
      <c r="X659" s="95"/>
    </row>
    <row r="660" ht="15.75" customHeight="1">
      <c r="A660" s="14" t="s">
        <v>17</v>
      </c>
      <c r="B660" s="14">
        <v>1999.0</v>
      </c>
      <c r="C660" s="14" t="s">
        <v>4974</v>
      </c>
      <c r="D660" s="14" t="s">
        <v>4975</v>
      </c>
      <c r="E660" s="150" t="str">
        <f t="shared" si="3"/>
        <v>http://dx.doi.org/10.1109/VISUAL.1999.809870</v>
      </c>
      <c r="F660" s="14">
        <v>73.0</v>
      </c>
      <c r="G660" s="14">
        <v>512.0</v>
      </c>
      <c r="H660" s="14" t="s">
        <v>28</v>
      </c>
      <c r="I660" s="14"/>
      <c r="J660" s="130" t="s">
        <v>12184</v>
      </c>
      <c r="K660" s="152" t="s">
        <v>4978</v>
      </c>
      <c r="L660" s="20" t="s">
        <v>4979</v>
      </c>
      <c r="M660" s="195" t="s">
        <v>4980</v>
      </c>
      <c r="N660" s="152" t="s">
        <v>4978</v>
      </c>
      <c r="O660" s="95"/>
      <c r="P660" s="95"/>
      <c r="Q660" s="95"/>
      <c r="R660" s="95"/>
      <c r="S660" s="95"/>
      <c r="T660" s="95"/>
      <c r="U660" s="95"/>
      <c r="V660" s="95"/>
      <c r="W660" s="95"/>
      <c r="X660" s="95"/>
    </row>
    <row r="661" ht="15.75" customHeight="1">
      <c r="A661" s="14" t="s">
        <v>17</v>
      </c>
      <c r="B661" s="14">
        <v>1999.0</v>
      </c>
      <c r="C661" s="14" t="s">
        <v>4981</v>
      </c>
      <c r="D661" s="14" t="s">
        <v>4982</v>
      </c>
      <c r="E661" s="150" t="str">
        <f t="shared" si="3"/>
        <v>http://dx.doi.org/10.1109/VISUAL.1999.809871</v>
      </c>
      <c r="F661" s="14">
        <v>81.0</v>
      </c>
      <c r="G661" s="14">
        <v>88.0</v>
      </c>
      <c r="H661" s="14" t="s">
        <v>28</v>
      </c>
      <c r="I661" s="14"/>
      <c r="J661" s="130" t="s">
        <v>4987</v>
      </c>
      <c r="K661" s="152" t="s">
        <v>557</v>
      </c>
      <c r="L661" s="20" t="s">
        <v>4988</v>
      </c>
      <c r="M661" s="195" t="s">
        <v>4989</v>
      </c>
      <c r="N661" s="130" t="s">
        <v>13140</v>
      </c>
      <c r="O661" s="84"/>
      <c r="P661" s="84"/>
      <c r="Q661" s="84"/>
      <c r="R661" s="84"/>
      <c r="S661" s="84"/>
      <c r="T661" s="84"/>
      <c r="U661" s="84"/>
      <c r="V661" s="84"/>
      <c r="W661" s="84"/>
      <c r="X661" s="84"/>
    </row>
    <row r="662" ht="15.75" customHeight="1">
      <c r="A662" s="14" t="s">
        <v>17</v>
      </c>
      <c r="B662" s="14">
        <v>1999.0</v>
      </c>
      <c r="C662" s="14" t="s">
        <v>4990</v>
      </c>
      <c r="D662" s="14" t="s">
        <v>4991</v>
      </c>
      <c r="E662" s="150" t="str">
        <f t="shared" si="3"/>
        <v>http://dx.doi.org/10.1109/VISUAL.1999.809872</v>
      </c>
      <c r="F662" s="14">
        <v>89.0</v>
      </c>
      <c r="G662" s="14">
        <v>514.0</v>
      </c>
      <c r="H662" s="14" t="s">
        <v>28</v>
      </c>
      <c r="I662" s="14"/>
      <c r="J662" s="130" t="s">
        <v>4993</v>
      </c>
      <c r="K662" s="152" t="s">
        <v>753</v>
      </c>
      <c r="L662" s="20"/>
      <c r="M662" s="195" t="s">
        <v>4994</v>
      </c>
      <c r="N662" s="130" t="s">
        <v>35151</v>
      </c>
      <c r="O662" s="84"/>
      <c r="P662" s="84"/>
      <c r="Q662" s="84"/>
      <c r="R662" s="84"/>
      <c r="S662" s="84"/>
      <c r="T662" s="84"/>
      <c r="U662" s="84"/>
      <c r="V662" s="84"/>
      <c r="W662" s="84"/>
      <c r="X662" s="84"/>
    </row>
    <row r="663" ht="15.75" customHeight="1">
      <c r="A663" s="14" t="s">
        <v>17</v>
      </c>
      <c r="B663" s="14">
        <v>1999.0</v>
      </c>
      <c r="C663" s="14" t="s">
        <v>4996</v>
      </c>
      <c r="D663" s="14" t="s">
        <v>4997</v>
      </c>
      <c r="E663" s="150" t="str">
        <f t="shared" si="3"/>
        <v>http://dx.doi.org/10.1109/VISUAL.1999.809873</v>
      </c>
      <c r="F663" s="14">
        <v>97.0</v>
      </c>
      <c r="G663" s="14">
        <v>515.0</v>
      </c>
      <c r="H663" s="14" t="s">
        <v>28</v>
      </c>
      <c r="I663" s="14"/>
      <c r="J663" s="130" t="s">
        <v>5001</v>
      </c>
      <c r="K663" s="152" t="s">
        <v>3790</v>
      </c>
      <c r="L663" s="20" t="s">
        <v>5002</v>
      </c>
      <c r="M663" s="215" t="s">
        <v>5003</v>
      </c>
      <c r="N663" s="130" t="s">
        <v>39807</v>
      </c>
      <c r="O663" s="84"/>
      <c r="P663" s="84"/>
      <c r="Q663" s="84"/>
      <c r="R663" s="84"/>
      <c r="S663" s="84"/>
      <c r="T663" s="84"/>
      <c r="U663" s="84"/>
      <c r="V663" s="84"/>
      <c r="W663" s="84"/>
      <c r="X663" s="84"/>
    </row>
    <row r="664" ht="15.75" customHeight="1">
      <c r="A664" s="14" t="s">
        <v>17</v>
      </c>
      <c r="B664" s="50">
        <v>1999.0</v>
      </c>
      <c r="C664" s="14" t="s">
        <v>5004</v>
      </c>
      <c r="D664" s="97" t="s">
        <v>5005</v>
      </c>
      <c r="E664" s="156" t="s">
        <v>4232</v>
      </c>
      <c r="F664" s="50">
        <v>105.0</v>
      </c>
      <c r="G664" s="54"/>
      <c r="H664" s="14" t="s">
        <v>28</v>
      </c>
      <c r="I664" s="14"/>
      <c r="J664" s="130" t="s">
        <v>5006</v>
      </c>
      <c r="K664" s="162"/>
      <c r="L664" s="20" t="s">
        <v>5007</v>
      </c>
      <c r="M664" s="16"/>
      <c r="N664" s="130" t="s">
        <v>39811</v>
      </c>
      <c r="O664" s="16"/>
      <c r="P664" s="16"/>
      <c r="Q664" s="16"/>
      <c r="R664" s="16"/>
      <c r="S664" s="16"/>
      <c r="T664" s="16"/>
      <c r="U664" s="16"/>
      <c r="V664" s="16"/>
      <c r="W664" s="16"/>
      <c r="X664" s="16"/>
    </row>
    <row r="665" ht="15.75" customHeight="1">
      <c r="A665" s="14" t="s">
        <v>17</v>
      </c>
      <c r="B665" s="14">
        <v>1999.0</v>
      </c>
      <c r="C665" s="14" t="s">
        <v>5008</v>
      </c>
      <c r="D665" s="14" t="s">
        <v>5009</v>
      </c>
      <c r="E665" s="150" t="str">
        <f>"http://dx.doi.org/" &amp; D665</f>
        <v>http://dx.doi.org/10.1109/VISUAL.1999.809875</v>
      </c>
      <c r="F665" s="14">
        <v>115.0</v>
      </c>
      <c r="G665" s="14">
        <v>516.0</v>
      </c>
      <c r="H665" s="14" t="s">
        <v>28</v>
      </c>
      <c r="I665" s="14"/>
      <c r="J665" s="130" t="s">
        <v>12220</v>
      </c>
      <c r="K665" s="152" t="s">
        <v>665</v>
      </c>
      <c r="L665" s="20"/>
      <c r="M665" s="195" t="s">
        <v>5012</v>
      </c>
      <c r="N665" s="130" t="s">
        <v>39814</v>
      </c>
      <c r="O665" s="84"/>
      <c r="P665" s="84"/>
      <c r="Q665" s="84"/>
      <c r="R665" s="84"/>
      <c r="S665" s="84"/>
      <c r="T665" s="84"/>
      <c r="U665" s="84"/>
      <c r="V665" s="84"/>
      <c r="W665" s="84"/>
      <c r="X665" s="84"/>
    </row>
    <row r="666" ht="15.75" customHeight="1">
      <c r="A666" s="14" t="s">
        <v>17</v>
      </c>
      <c r="B666" s="50">
        <v>1999.0</v>
      </c>
      <c r="C666" s="14" t="s">
        <v>5014</v>
      </c>
      <c r="D666" s="67" t="s">
        <v>5015</v>
      </c>
      <c r="E666" s="197" t="s">
        <v>5016</v>
      </c>
      <c r="F666" s="50">
        <v>123.0</v>
      </c>
      <c r="G666" s="54">
        <v>130.0</v>
      </c>
      <c r="H666" s="14" t="s">
        <v>28</v>
      </c>
      <c r="I666" s="14"/>
      <c r="J666" s="130" t="s">
        <v>5018</v>
      </c>
      <c r="K666" s="162" t="s">
        <v>5019</v>
      </c>
      <c r="L666" s="20" t="s">
        <v>5020</v>
      </c>
      <c r="M666" s="195" t="s">
        <v>5021</v>
      </c>
      <c r="N666" s="162" t="s">
        <v>5019</v>
      </c>
      <c r="O666" s="16"/>
      <c r="P666" s="16"/>
      <c r="Q666" s="16"/>
      <c r="R666" s="16"/>
      <c r="S666" s="16"/>
      <c r="T666" s="16"/>
      <c r="U666" s="16"/>
      <c r="V666" s="16"/>
      <c r="W666" s="16"/>
      <c r="X666" s="16"/>
    </row>
    <row r="667" ht="15.75" customHeight="1">
      <c r="A667" s="14" t="s">
        <v>17</v>
      </c>
      <c r="B667" s="14">
        <v>1999.0</v>
      </c>
      <c r="C667" s="14" t="s">
        <v>5022</v>
      </c>
      <c r="D667" s="14" t="s">
        <v>5023</v>
      </c>
      <c r="E667" s="150" t="str">
        <f t="shared" ref="E667:E681" si="4">"http://dx.doi.org/" &amp; D667</f>
        <v>http://dx.doi.org/10.1109/VISUAL.1999.809877</v>
      </c>
      <c r="F667" s="14">
        <v>131.0</v>
      </c>
      <c r="G667" s="14">
        <v>518.0</v>
      </c>
      <c r="H667" s="14" t="s">
        <v>28</v>
      </c>
      <c r="I667" s="14"/>
      <c r="J667" s="130" t="s">
        <v>5028</v>
      </c>
      <c r="K667" s="152" t="s">
        <v>5029</v>
      </c>
      <c r="L667" s="20" t="s">
        <v>5030</v>
      </c>
      <c r="M667" s="16"/>
      <c r="N667" s="130" t="s">
        <v>39818</v>
      </c>
      <c r="O667" s="84"/>
      <c r="P667" s="84"/>
      <c r="Q667" s="84"/>
      <c r="R667" s="84"/>
      <c r="S667" s="84"/>
      <c r="T667" s="84"/>
      <c r="U667" s="84"/>
      <c r="V667" s="84"/>
      <c r="W667" s="84"/>
      <c r="X667" s="84"/>
    </row>
    <row r="668" ht="15.75" customHeight="1">
      <c r="A668" s="14" t="s">
        <v>17</v>
      </c>
      <c r="B668" s="14">
        <v>1999.0</v>
      </c>
      <c r="C668" s="14" t="s">
        <v>5031</v>
      </c>
      <c r="D668" s="14" t="s">
        <v>5032</v>
      </c>
      <c r="E668" s="150" t="str">
        <f t="shared" si="4"/>
        <v>http://dx.doi.org/10.1109/VISUAL.1999.809878</v>
      </c>
      <c r="F668" s="14">
        <v>139.0</v>
      </c>
      <c r="G668" s="14">
        <v>519.0</v>
      </c>
      <c r="H668" s="14" t="s">
        <v>28</v>
      </c>
      <c r="I668" s="14"/>
      <c r="J668" s="130" t="s">
        <v>12238</v>
      </c>
      <c r="K668" s="152" t="s">
        <v>5035</v>
      </c>
      <c r="L668" s="20" t="s">
        <v>5036</v>
      </c>
      <c r="M668" s="195" t="s">
        <v>5037</v>
      </c>
      <c r="N668" s="130" t="s">
        <v>39819</v>
      </c>
      <c r="O668" s="84"/>
      <c r="P668" s="84"/>
      <c r="Q668" s="84"/>
      <c r="R668" s="84"/>
      <c r="S668" s="84"/>
      <c r="T668" s="84"/>
      <c r="U668" s="84"/>
      <c r="V668" s="84"/>
      <c r="W668" s="84"/>
      <c r="X668" s="84"/>
    </row>
    <row r="669" ht="15.75" customHeight="1">
      <c r="A669" s="14" t="s">
        <v>17</v>
      </c>
      <c r="B669" s="14">
        <v>1999.0</v>
      </c>
      <c r="C669" s="14" t="s">
        <v>5038</v>
      </c>
      <c r="D669" s="14" t="s">
        <v>5039</v>
      </c>
      <c r="E669" s="150" t="str">
        <f t="shared" si="4"/>
        <v>http://dx.doi.org/10.1109/VISUAL.1999.809879</v>
      </c>
      <c r="F669" s="14">
        <v>147.0</v>
      </c>
      <c r="G669" s="14">
        <v>520.0</v>
      </c>
      <c r="H669" s="14" t="s">
        <v>28</v>
      </c>
      <c r="I669" s="14"/>
      <c r="J669" s="130" t="s">
        <v>5043</v>
      </c>
      <c r="K669" s="152" t="s">
        <v>281</v>
      </c>
      <c r="L669" s="20" t="s">
        <v>5044</v>
      </c>
      <c r="M669" s="195" t="s">
        <v>5045</v>
      </c>
      <c r="N669" s="130" t="s">
        <v>34872</v>
      </c>
      <c r="O669" s="84"/>
      <c r="P669" s="84"/>
      <c r="Q669" s="84"/>
      <c r="R669" s="84"/>
      <c r="S669" s="84"/>
      <c r="T669" s="84"/>
      <c r="U669" s="84"/>
      <c r="V669" s="84"/>
      <c r="W669" s="84"/>
      <c r="X669" s="84"/>
    </row>
    <row r="670" ht="15.75" customHeight="1">
      <c r="A670" s="14" t="s">
        <v>17</v>
      </c>
      <c r="B670" s="14">
        <v>1999.0</v>
      </c>
      <c r="C670" s="14" t="s">
        <v>5046</v>
      </c>
      <c r="D670" s="14" t="s">
        <v>5047</v>
      </c>
      <c r="E670" s="150" t="str">
        <f t="shared" si="4"/>
        <v>http://dx.doi.org/10.1109/VISUAL.1999.809882</v>
      </c>
      <c r="F670" s="14">
        <v>155.0</v>
      </c>
      <c r="G670" s="14">
        <v>521.0</v>
      </c>
      <c r="H670" s="14" t="s">
        <v>28</v>
      </c>
      <c r="I670" s="14"/>
      <c r="J670" s="130" t="s">
        <v>5052</v>
      </c>
      <c r="K670" s="152" t="s">
        <v>5053</v>
      </c>
      <c r="L670" s="20" t="s">
        <v>5054</v>
      </c>
      <c r="M670" s="195" t="s">
        <v>5055</v>
      </c>
      <c r="N670" s="152" t="s">
        <v>5053</v>
      </c>
      <c r="O670" s="84"/>
      <c r="P670" s="84"/>
      <c r="Q670" s="84"/>
      <c r="R670" s="84"/>
      <c r="S670" s="84"/>
      <c r="T670" s="84"/>
      <c r="U670" s="84"/>
      <c r="V670" s="84"/>
      <c r="W670" s="84"/>
      <c r="X670" s="84"/>
    </row>
    <row r="671" ht="15.75" customHeight="1">
      <c r="A671" s="14" t="s">
        <v>17</v>
      </c>
      <c r="B671" s="14">
        <v>1999.0</v>
      </c>
      <c r="C671" s="14" t="s">
        <v>5056</v>
      </c>
      <c r="D671" s="14" t="s">
        <v>5057</v>
      </c>
      <c r="E671" s="150" t="str">
        <f t="shared" si="4"/>
        <v>http://dx.doi.org/10.1109/VISUAL.1999.809883</v>
      </c>
      <c r="F671" s="14">
        <v>161.0</v>
      </c>
      <c r="G671" s="14">
        <v>522.0</v>
      </c>
      <c r="H671" s="14" t="s">
        <v>28</v>
      </c>
      <c r="I671" s="14"/>
      <c r="J671" s="130" t="s">
        <v>5062</v>
      </c>
      <c r="K671" s="152" t="s">
        <v>5063</v>
      </c>
      <c r="L671" s="20"/>
      <c r="M671" s="216" t="s">
        <v>5064</v>
      </c>
      <c r="N671" s="130" t="s">
        <v>39824</v>
      </c>
      <c r="O671" s="84"/>
      <c r="P671" s="84"/>
      <c r="Q671" s="84"/>
      <c r="R671" s="84"/>
      <c r="S671" s="84"/>
      <c r="T671" s="84"/>
      <c r="U671" s="84"/>
      <c r="V671" s="84"/>
      <c r="W671" s="84"/>
      <c r="X671" s="84"/>
    </row>
    <row r="672" ht="15.75" customHeight="1">
      <c r="A672" s="14" t="s">
        <v>17</v>
      </c>
      <c r="B672" s="14">
        <v>1999.0</v>
      </c>
      <c r="C672" s="14" t="s">
        <v>5065</v>
      </c>
      <c r="D672" s="14" t="s">
        <v>5066</v>
      </c>
      <c r="E672" s="150" t="str">
        <f t="shared" si="4"/>
        <v>http://dx.doi.org/10.1109/VISUAL.1999.809884</v>
      </c>
      <c r="F672" s="14">
        <v>169.0</v>
      </c>
      <c r="G672" s="14">
        <v>173.0</v>
      </c>
      <c r="H672" s="14" t="s">
        <v>28</v>
      </c>
      <c r="I672" s="14"/>
      <c r="J672" s="130" t="s">
        <v>12258</v>
      </c>
      <c r="K672" s="152" t="s">
        <v>5071</v>
      </c>
      <c r="L672" s="20" t="s">
        <v>5072</v>
      </c>
      <c r="M672" s="16"/>
      <c r="N672" s="130" t="s">
        <v>39825</v>
      </c>
      <c r="O672" s="84"/>
      <c r="P672" s="84"/>
      <c r="Q672" s="84"/>
      <c r="R672" s="84"/>
      <c r="S672" s="84"/>
      <c r="T672" s="84"/>
      <c r="U672" s="84"/>
      <c r="V672" s="84"/>
      <c r="W672" s="84"/>
      <c r="X672" s="84"/>
    </row>
    <row r="673" ht="15.75" customHeight="1">
      <c r="A673" s="14" t="s">
        <v>17</v>
      </c>
      <c r="B673" s="14">
        <v>1999.0</v>
      </c>
      <c r="C673" s="14" t="s">
        <v>5073</v>
      </c>
      <c r="D673" s="14" t="s">
        <v>5074</v>
      </c>
      <c r="E673" s="150" t="str">
        <f t="shared" si="4"/>
        <v>http://dx.doi.org/10.1109/VISUAL.1999.809885</v>
      </c>
      <c r="F673" s="14">
        <v>175.0</v>
      </c>
      <c r="G673" s="14">
        <v>523.0</v>
      </c>
      <c r="H673" s="14" t="s">
        <v>28</v>
      </c>
      <c r="I673" s="14"/>
      <c r="J673" s="130" t="s">
        <v>5076</v>
      </c>
      <c r="K673" s="152" t="s">
        <v>5077</v>
      </c>
      <c r="L673" s="20"/>
      <c r="M673" s="195" t="s">
        <v>5078</v>
      </c>
      <c r="N673" s="130" t="s">
        <v>39826</v>
      </c>
      <c r="O673" s="84"/>
      <c r="P673" s="84"/>
      <c r="Q673" s="84"/>
      <c r="R673" s="84"/>
      <c r="S673" s="84"/>
      <c r="T673" s="84"/>
      <c r="U673" s="84"/>
      <c r="V673" s="84"/>
      <c r="W673" s="84"/>
      <c r="X673" s="84"/>
    </row>
    <row r="674" ht="15.75" customHeight="1">
      <c r="A674" s="14" t="s">
        <v>17</v>
      </c>
      <c r="B674" s="14">
        <v>1999.0</v>
      </c>
      <c r="C674" s="14" t="s">
        <v>5079</v>
      </c>
      <c r="D674" s="14" t="s">
        <v>5080</v>
      </c>
      <c r="E674" s="150" t="str">
        <f t="shared" si="4"/>
        <v>http://dx.doi.org/10.1109/VISUAL.1999.809886</v>
      </c>
      <c r="F674" s="14">
        <v>183.0</v>
      </c>
      <c r="G674" s="14">
        <v>524.0</v>
      </c>
      <c r="H674" s="14" t="s">
        <v>28</v>
      </c>
      <c r="I674" s="14"/>
      <c r="J674" s="130" t="s">
        <v>5085</v>
      </c>
      <c r="K674" s="152" t="s">
        <v>281</v>
      </c>
      <c r="L674" s="20" t="s">
        <v>5086</v>
      </c>
      <c r="M674" s="16"/>
      <c r="N674" s="130" t="s">
        <v>39602</v>
      </c>
      <c r="O674" s="84"/>
      <c r="P674" s="84"/>
      <c r="Q674" s="84"/>
      <c r="R674" s="84"/>
      <c r="S674" s="84"/>
      <c r="T674" s="84"/>
      <c r="U674" s="84"/>
      <c r="V674" s="84"/>
      <c r="W674" s="84"/>
      <c r="X674" s="84"/>
    </row>
    <row r="675" ht="15.75" customHeight="1">
      <c r="A675" s="14" t="s">
        <v>17</v>
      </c>
      <c r="B675" s="14">
        <v>1999.0</v>
      </c>
      <c r="C675" s="14" t="s">
        <v>5087</v>
      </c>
      <c r="D675" s="14" t="s">
        <v>5088</v>
      </c>
      <c r="E675" s="150" t="str">
        <f t="shared" si="4"/>
        <v>http://dx.doi.org/10.1109/VISUAL.1999.809887</v>
      </c>
      <c r="F675" s="14">
        <v>191.0</v>
      </c>
      <c r="G675" s="14">
        <v>525.0</v>
      </c>
      <c r="H675" s="14" t="s">
        <v>28</v>
      </c>
      <c r="I675" s="14"/>
      <c r="J675" s="130" t="s">
        <v>5090</v>
      </c>
      <c r="K675" s="152" t="s">
        <v>66</v>
      </c>
      <c r="L675" s="20" t="s">
        <v>3457</v>
      </c>
      <c r="M675" s="195" t="s">
        <v>5092</v>
      </c>
      <c r="N675" s="130" t="s">
        <v>34682</v>
      </c>
      <c r="O675" s="84"/>
      <c r="P675" s="84"/>
      <c r="Q675" s="84"/>
      <c r="R675" s="84"/>
      <c r="S675" s="84"/>
      <c r="T675" s="84"/>
      <c r="U675" s="84"/>
      <c r="V675" s="84"/>
      <c r="W675" s="84"/>
      <c r="X675" s="84"/>
    </row>
    <row r="676" ht="15.75" customHeight="1">
      <c r="A676" s="14" t="s">
        <v>17</v>
      </c>
      <c r="B676" s="14">
        <v>1999.0</v>
      </c>
      <c r="C676" s="14" t="s">
        <v>5094</v>
      </c>
      <c r="D676" s="14" t="s">
        <v>5096</v>
      </c>
      <c r="E676" s="150" t="str">
        <f t="shared" si="4"/>
        <v>http://dx.doi.org/10.1109/VISUAL.1999.809888</v>
      </c>
      <c r="F676" s="14">
        <v>199.0</v>
      </c>
      <c r="G676" s="14">
        <v>206.0</v>
      </c>
      <c r="H676" s="14" t="s">
        <v>28</v>
      </c>
      <c r="I676" s="14"/>
      <c r="J676" s="130" t="s">
        <v>5098</v>
      </c>
      <c r="K676" s="152" t="s">
        <v>5099</v>
      </c>
      <c r="L676" s="20"/>
      <c r="M676" s="16"/>
      <c r="N676" s="130" t="s">
        <v>39829</v>
      </c>
      <c r="O676" s="84"/>
      <c r="P676" s="84"/>
      <c r="Q676" s="84"/>
      <c r="R676" s="84"/>
      <c r="S676" s="84"/>
      <c r="T676" s="84"/>
      <c r="U676" s="84"/>
      <c r="V676" s="84"/>
      <c r="W676" s="84"/>
      <c r="X676" s="84"/>
    </row>
    <row r="677" ht="15.75" customHeight="1">
      <c r="A677" s="14" t="s">
        <v>17</v>
      </c>
      <c r="B677" s="14">
        <v>1999.0</v>
      </c>
      <c r="C677" s="54" t="s">
        <v>5100</v>
      </c>
      <c r="D677" s="14" t="s">
        <v>5101</v>
      </c>
      <c r="E677" s="150" t="str">
        <f t="shared" si="4"/>
        <v>http://dx.doi.org/10.1109/VISUAL.1999.809889</v>
      </c>
      <c r="F677" s="14">
        <v>207.0</v>
      </c>
      <c r="G677" s="14">
        <v>526.0</v>
      </c>
      <c r="H677" s="14" t="s">
        <v>28</v>
      </c>
      <c r="I677" s="14"/>
      <c r="J677" s="16" t="s">
        <v>12288</v>
      </c>
      <c r="K677" s="152" t="s">
        <v>5107</v>
      </c>
      <c r="L677" s="20"/>
      <c r="M677" s="195" t="s">
        <v>5108</v>
      </c>
      <c r="N677" s="152" t="s">
        <v>5107</v>
      </c>
      <c r="O677" s="84"/>
      <c r="P677" s="84"/>
      <c r="Q677" s="84"/>
      <c r="R677" s="84"/>
      <c r="S677" s="84"/>
      <c r="T677" s="84"/>
      <c r="U677" s="84"/>
      <c r="V677" s="84"/>
      <c r="W677" s="84"/>
      <c r="X677" s="84"/>
    </row>
    <row r="678" ht="15.75" customHeight="1">
      <c r="A678" s="14" t="s">
        <v>17</v>
      </c>
      <c r="B678" s="14">
        <v>1999.0</v>
      </c>
      <c r="C678" s="14" t="s">
        <v>5109</v>
      </c>
      <c r="D678" s="14" t="s">
        <v>5110</v>
      </c>
      <c r="E678" s="150" t="str">
        <f t="shared" si="4"/>
        <v>http://dx.doi.org/10.1109/VISUAL.1999.809890</v>
      </c>
      <c r="F678" s="14">
        <v>215.0</v>
      </c>
      <c r="G678" s="14">
        <v>527.0</v>
      </c>
      <c r="H678" s="14" t="s">
        <v>28</v>
      </c>
      <c r="I678" s="14"/>
      <c r="J678" s="130" t="s">
        <v>5114</v>
      </c>
      <c r="K678" s="152" t="s">
        <v>5115</v>
      </c>
      <c r="L678" s="20"/>
      <c r="M678" s="16"/>
      <c r="N678" s="130" t="s">
        <v>39834</v>
      </c>
      <c r="O678" s="84"/>
      <c r="P678" s="84"/>
      <c r="Q678" s="84"/>
      <c r="R678" s="84"/>
      <c r="S678" s="84"/>
      <c r="T678" s="84"/>
      <c r="U678" s="84"/>
      <c r="V678" s="84"/>
      <c r="W678" s="84"/>
      <c r="X678" s="84"/>
    </row>
    <row r="679" ht="15.75" customHeight="1">
      <c r="A679" s="14" t="s">
        <v>17</v>
      </c>
      <c r="B679" s="14">
        <v>1999.0</v>
      </c>
      <c r="C679" s="14" t="s">
        <v>5116</v>
      </c>
      <c r="D679" s="14" t="s">
        <v>5117</v>
      </c>
      <c r="E679" s="150" t="str">
        <f t="shared" si="4"/>
        <v>http://dx.doi.org/10.1109/VISUAL.1999.809891</v>
      </c>
      <c r="F679" s="14">
        <v>225.0</v>
      </c>
      <c r="G679" s="14">
        <v>232.0</v>
      </c>
      <c r="H679" s="14" t="s">
        <v>28</v>
      </c>
      <c r="I679" s="14"/>
      <c r="J679" s="130" t="s">
        <v>5119</v>
      </c>
      <c r="K679" s="152" t="s">
        <v>5120</v>
      </c>
      <c r="L679" s="20" t="s">
        <v>5121</v>
      </c>
      <c r="M679" s="16"/>
      <c r="N679" s="130" t="s">
        <v>39835</v>
      </c>
      <c r="O679" s="84"/>
      <c r="P679" s="84"/>
      <c r="Q679" s="84"/>
      <c r="R679" s="84"/>
      <c r="S679" s="84"/>
      <c r="T679" s="84"/>
      <c r="U679" s="84"/>
      <c r="V679" s="84"/>
      <c r="W679" s="84"/>
      <c r="X679" s="84"/>
    </row>
    <row r="680" ht="15.75" customHeight="1">
      <c r="A680" s="14" t="s">
        <v>17</v>
      </c>
      <c r="B680" s="14">
        <v>1999.0</v>
      </c>
      <c r="C680" s="14" t="s">
        <v>5124</v>
      </c>
      <c r="D680" s="14" t="s">
        <v>5126</v>
      </c>
      <c r="E680" s="150" t="str">
        <f t="shared" si="4"/>
        <v>http://dx.doi.org/10.1109/VISUAL.1999.809892</v>
      </c>
      <c r="F680" s="14">
        <v>233.0</v>
      </c>
      <c r="G680" s="14">
        <v>528.0</v>
      </c>
      <c r="H680" s="14" t="s">
        <v>28</v>
      </c>
      <c r="I680" s="14"/>
      <c r="J680" s="130" t="s">
        <v>5128</v>
      </c>
      <c r="K680" s="152" t="s">
        <v>5129</v>
      </c>
      <c r="L680" s="20" t="s">
        <v>5130</v>
      </c>
      <c r="M680" s="195" t="s">
        <v>5131</v>
      </c>
      <c r="N680" s="130" t="s">
        <v>39839</v>
      </c>
      <c r="O680" s="84"/>
      <c r="P680" s="84"/>
      <c r="Q680" s="84"/>
      <c r="R680" s="84"/>
      <c r="S680" s="84"/>
      <c r="T680" s="84"/>
      <c r="U680" s="84"/>
      <c r="V680" s="84"/>
      <c r="W680" s="84"/>
      <c r="X680" s="84"/>
    </row>
    <row r="681" ht="15.75" customHeight="1">
      <c r="A681" s="14" t="s">
        <v>17</v>
      </c>
      <c r="B681" s="14">
        <v>1999.0</v>
      </c>
      <c r="C681" s="14" t="s">
        <v>5132</v>
      </c>
      <c r="D681" s="14" t="s">
        <v>5133</v>
      </c>
      <c r="E681" s="150" t="str">
        <f t="shared" si="4"/>
        <v>http://dx.doi.org/10.1109/VISUAL.1999.809893</v>
      </c>
      <c r="F681" s="14">
        <v>241.0</v>
      </c>
      <c r="G681" s="14">
        <v>529.0</v>
      </c>
      <c r="H681" s="14" t="s">
        <v>28</v>
      </c>
      <c r="I681" s="14"/>
      <c r="J681" s="130" t="s">
        <v>5138</v>
      </c>
      <c r="K681" s="152" t="s">
        <v>855</v>
      </c>
      <c r="L681" s="20" t="s">
        <v>5139</v>
      </c>
      <c r="M681" s="195" t="s">
        <v>5140</v>
      </c>
      <c r="N681" s="130" t="s">
        <v>35345</v>
      </c>
      <c r="O681" s="84"/>
      <c r="P681" s="84"/>
      <c r="Q681" s="84"/>
      <c r="R681" s="84"/>
      <c r="S681" s="84"/>
      <c r="T681" s="84"/>
      <c r="U681" s="84"/>
      <c r="V681" s="84"/>
      <c r="W681" s="84"/>
      <c r="X681" s="84"/>
    </row>
    <row r="682" ht="15.75" customHeight="1">
      <c r="A682" s="14" t="s">
        <v>17</v>
      </c>
      <c r="B682" s="50">
        <v>1999.0</v>
      </c>
      <c r="C682" s="14" t="s">
        <v>5141</v>
      </c>
      <c r="D682" s="14" t="s">
        <v>5142</v>
      </c>
      <c r="E682" s="156" t="s">
        <v>5143</v>
      </c>
      <c r="F682" s="50">
        <v>249.0</v>
      </c>
      <c r="G682" s="54">
        <v>253.0</v>
      </c>
      <c r="H682" s="14" t="s">
        <v>28</v>
      </c>
      <c r="I682" s="14"/>
      <c r="J682" s="130" t="s">
        <v>5148</v>
      </c>
      <c r="K682" s="162" t="s">
        <v>5149</v>
      </c>
      <c r="L682" s="20" t="s">
        <v>5150</v>
      </c>
      <c r="M682" s="16"/>
      <c r="N682" s="130" t="s">
        <v>38682</v>
      </c>
      <c r="O682" s="16"/>
      <c r="P682" s="16"/>
      <c r="Q682" s="16"/>
      <c r="R682" s="16"/>
      <c r="S682" s="16"/>
      <c r="T682" s="16"/>
      <c r="U682" s="16"/>
      <c r="V682" s="16"/>
      <c r="W682" s="16"/>
      <c r="X682" s="16"/>
    </row>
    <row r="683" ht="15.75" customHeight="1">
      <c r="A683" s="14" t="s">
        <v>17</v>
      </c>
      <c r="B683" s="50">
        <v>1999.0</v>
      </c>
      <c r="C683" s="14" t="s">
        <v>5151</v>
      </c>
      <c r="D683" s="67" t="s">
        <v>5152</v>
      </c>
      <c r="E683" s="194" t="str">
        <f>HYPERLINK("http://doi.ieeecomputersociety.org/10.1109/VISUAL.1999.809895","http://doi.ieeecomputersociety.org/10.1109/VISUAL.1999.809895")</f>
        <v>http://doi.ieeecomputersociety.org/10.1109/VISUAL.1999.809895</v>
      </c>
      <c r="F683" s="50">
        <v>255.0</v>
      </c>
      <c r="G683" s="54">
        <v>261.0</v>
      </c>
      <c r="H683" s="14" t="s">
        <v>28</v>
      </c>
      <c r="I683" s="14"/>
      <c r="J683" s="130" t="s">
        <v>5157</v>
      </c>
      <c r="K683" s="162" t="s">
        <v>5158</v>
      </c>
      <c r="L683" s="20" t="s">
        <v>5159</v>
      </c>
      <c r="M683" s="195" t="s">
        <v>5160</v>
      </c>
      <c r="N683" s="130" t="s">
        <v>39842</v>
      </c>
      <c r="O683" s="16"/>
      <c r="P683" s="16"/>
      <c r="Q683" s="16"/>
      <c r="R683" s="16"/>
      <c r="S683" s="16"/>
      <c r="T683" s="16"/>
      <c r="U683" s="16"/>
      <c r="V683" s="16"/>
      <c r="W683" s="16"/>
      <c r="X683" s="16"/>
    </row>
    <row r="684" ht="15.75" customHeight="1">
      <c r="A684" s="14" t="s">
        <v>17</v>
      </c>
      <c r="B684" s="14">
        <v>1999.0</v>
      </c>
      <c r="C684" s="14" t="s">
        <v>5161</v>
      </c>
      <c r="D684" s="14" t="s">
        <v>5162</v>
      </c>
      <c r="E684" s="150" t="str">
        <f t="shared" ref="E684:E694" si="5">"http://dx.doi.org/" &amp; D684</f>
        <v>http://dx.doi.org/10.1109/VISUAL.1999.809896</v>
      </c>
      <c r="F684" s="14">
        <v>263.0</v>
      </c>
      <c r="G684" s="14">
        <v>532.0</v>
      </c>
      <c r="H684" s="14" t="s">
        <v>28</v>
      </c>
      <c r="I684" s="14"/>
      <c r="J684" s="130" t="s">
        <v>5167</v>
      </c>
      <c r="K684" s="152" t="s">
        <v>5168</v>
      </c>
      <c r="L684" s="20" t="s">
        <v>5169</v>
      </c>
      <c r="M684" s="16"/>
      <c r="N684" s="130" t="s">
        <v>38639</v>
      </c>
      <c r="O684" s="84"/>
      <c r="P684" s="84"/>
      <c r="Q684" s="84"/>
      <c r="R684" s="84"/>
      <c r="S684" s="84"/>
      <c r="T684" s="84"/>
      <c r="U684" s="84"/>
      <c r="V684" s="84"/>
      <c r="W684" s="84"/>
      <c r="X684" s="84"/>
    </row>
    <row r="685" ht="15.75" customHeight="1">
      <c r="A685" s="14" t="s">
        <v>17</v>
      </c>
      <c r="B685" s="14">
        <v>1999.0</v>
      </c>
      <c r="C685" s="14" t="s">
        <v>5170</v>
      </c>
      <c r="D685" s="14" t="s">
        <v>5171</v>
      </c>
      <c r="E685" s="150" t="str">
        <f t="shared" si="5"/>
        <v>http://dx.doi.org/10.1109/VISUAL.1999.809897</v>
      </c>
      <c r="F685" s="14">
        <v>271.0</v>
      </c>
      <c r="G685" s="14">
        <v>533.0</v>
      </c>
      <c r="H685" s="14" t="s">
        <v>28</v>
      </c>
      <c r="I685" s="14"/>
      <c r="J685" s="130" t="s">
        <v>5179</v>
      </c>
      <c r="K685" s="152" t="s">
        <v>5181</v>
      </c>
      <c r="L685" s="20" t="s">
        <v>5182</v>
      </c>
      <c r="M685" s="195" t="s">
        <v>39370</v>
      </c>
      <c r="N685" s="130" t="s">
        <v>39842</v>
      </c>
      <c r="O685" s="84"/>
      <c r="P685" s="84"/>
      <c r="Q685" s="84"/>
      <c r="R685" s="84"/>
      <c r="S685" s="84"/>
      <c r="T685" s="84"/>
      <c r="U685" s="84"/>
      <c r="V685" s="84"/>
      <c r="W685" s="84"/>
      <c r="X685" s="84"/>
    </row>
    <row r="686" ht="15.75" customHeight="1">
      <c r="A686" s="14" t="s">
        <v>17</v>
      </c>
      <c r="B686" s="14">
        <v>1999.0</v>
      </c>
      <c r="C686" s="14" t="s">
        <v>5186</v>
      </c>
      <c r="D686" s="14" t="s">
        <v>5187</v>
      </c>
      <c r="E686" s="150" t="str">
        <f t="shared" si="5"/>
        <v>http://dx.doi.org/10.1109/VISUAL.1999.809898</v>
      </c>
      <c r="F686" s="14">
        <v>279.0</v>
      </c>
      <c r="G686" s="14">
        <v>534.0</v>
      </c>
      <c r="H686" s="14" t="s">
        <v>28</v>
      </c>
      <c r="I686" s="14"/>
      <c r="J686" s="130" t="s">
        <v>5189</v>
      </c>
      <c r="K686" s="152" t="s">
        <v>5190</v>
      </c>
      <c r="L686" s="20" t="s">
        <v>3555</v>
      </c>
      <c r="M686" s="195" t="s">
        <v>5191</v>
      </c>
      <c r="N686" s="130" t="s">
        <v>39850</v>
      </c>
      <c r="O686" s="84"/>
      <c r="P686" s="84"/>
      <c r="Q686" s="84"/>
      <c r="R686" s="84"/>
      <c r="S686" s="84"/>
      <c r="T686" s="84"/>
      <c r="U686" s="84"/>
      <c r="V686" s="84"/>
      <c r="W686" s="84"/>
      <c r="X686" s="84"/>
    </row>
    <row r="687" ht="15.75" customHeight="1">
      <c r="A687" s="14" t="s">
        <v>17</v>
      </c>
      <c r="B687" s="14">
        <v>1999.0</v>
      </c>
      <c r="C687" s="14" t="s">
        <v>5195</v>
      </c>
      <c r="D687" s="14" t="s">
        <v>5197</v>
      </c>
      <c r="E687" s="150" t="str">
        <f t="shared" si="5"/>
        <v>http://dx.doi.org/10.1109/VISUAL.1999.809899</v>
      </c>
      <c r="F687" s="14">
        <v>285.0</v>
      </c>
      <c r="G687" s="14">
        <v>535.0</v>
      </c>
      <c r="H687" s="14" t="s">
        <v>28</v>
      </c>
      <c r="I687" s="14"/>
      <c r="J687" s="130" t="s">
        <v>5201</v>
      </c>
      <c r="K687" s="152" t="s">
        <v>3558</v>
      </c>
      <c r="L687" s="20" t="s">
        <v>5203</v>
      </c>
      <c r="M687" s="16"/>
      <c r="N687" s="130" t="s">
        <v>38908</v>
      </c>
      <c r="O687" s="84"/>
      <c r="P687" s="84"/>
      <c r="Q687" s="84"/>
      <c r="R687" s="84"/>
      <c r="S687" s="84"/>
      <c r="T687" s="84"/>
      <c r="U687" s="84"/>
      <c r="V687" s="84"/>
      <c r="W687" s="84"/>
      <c r="X687" s="84"/>
    </row>
    <row r="688" ht="15.75" customHeight="1">
      <c r="A688" s="14" t="s">
        <v>17</v>
      </c>
      <c r="B688" s="14">
        <v>1999.0</v>
      </c>
      <c r="C688" s="14" t="s">
        <v>5205</v>
      </c>
      <c r="D688" s="14" t="s">
        <v>5206</v>
      </c>
      <c r="E688" s="150" t="str">
        <f t="shared" si="5"/>
        <v>http://dx.doi.org/10.1109/VISUAL.1999.809900</v>
      </c>
      <c r="F688" s="14">
        <v>291.0</v>
      </c>
      <c r="G688" s="14">
        <v>536.0</v>
      </c>
      <c r="H688" s="14" t="s">
        <v>28</v>
      </c>
      <c r="I688" s="14"/>
      <c r="J688" s="16" t="s">
        <v>39851</v>
      </c>
      <c r="K688" s="152" t="s">
        <v>5213</v>
      </c>
      <c r="L688" s="20" t="s">
        <v>5214</v>
      </c>
      <c r="M688" s="195" t="s">
        <v>5215</v>
      </c>
      <c r="N688" s="152" t="s">
        <v>5213</v>
      </c>
      <c r="O688" s="84"/>
      <c r="P688" s="84"/>
      <c r="Q688" s="84"/>
      <c r="R688" s="84"/>
      <c r="S688" s="84"/>
      <c r="T688" s="84"/>
      <c r="U688" s="84"/>
      <c r="V688" s="84"/>
      <c r="W688" s="84"/>
      <c r="X688" s="84"/>
    </row>
    <row r="689" ht="15.75" customHeight="1">
      <c r="A689" s="14" t="s">
        <v>17</v>
      </c>
      <c r="B689" s="14">
        <v>1999.0</v>
      </c>
      <c r="C689" s="14" t="s">
        <v>5216</v>
      </c>
      <c r="D689" s="14" t="s">
        <v>5217</v>
      </c>
      <c r="E689" s="150" t="str">
        <f t="shared" si="5"/>
        <v>http://dx.doi.org/10.1109/VISUAL.1999.809901</v>
      </c>
      <c r="F689" s="14">
        <v>299.0</v>
      </c>
      <c r="G689" s="14">
        <v>305.0</v>
      </c>
      <c r="H689" s="14" t="s">
        <v>28</v>
      </c>
      <c r="I689" s="14"/>
      <c r="J689" s="130" t="s">
        <v>5219</v>
      </c>
      <c r="K689" s="152" t="s">
        <v>5220</v>
      </c>
      <c r="L689" s="20" t="s">
        <v>5221</v>
      </c>
      <c r="M689" s="195" t="s">
        <v>5222</v>
      </c>
      <c r="N689" s="152" t="s">
        <v>5220</v>
      </c>
      <c r="O689" s="84"/>
      <c r="P689" s="84"/>
      <c r="Q689" s="84"/>
      <c r="R689" s="84"/>
      <c r="S689" s="84"/>
      <c r="T689" s="84"/>
      <c r="U689" s="84"/>
      <c r="V689" s="84"/>
      <c r="W689" s="84"/>
      <c r="X689" s="84"/>
    </row>
    <row r="690" ht="15.75" customHeight="1">
      <c r="A690" s="14" t="s">
        <v>17</v>
      </c>
      <c r="B690" s="14">
        <v>1999.0</v>
      </c>
      <c r="C690" s="14" t="s">
        <v>5223</v>
      </c>
      <c r="D690" s="14" t="s">
        <v>5224</v>
      </c>
      <c r="E690" s="150" t="str">
        <f t="shared" si="5"/>
        <v>http://dx.doi.org/10.1109/VISUAL.1999.809902</v>
      </c>
      <c r="F690" s="14">
        <v>307.0</v>
      </c>
      <c r="G690" s="14">
        <v>537.0</v>
      </c>
      <c r="H690" s="14" t="s">
        <v>28</v>
      </c>
      <c r="I690" s="14"/>
      <c r="J690" s="130" t="s">
        <v>5227</v>
      </c>
      <c r="K690" s="152" t="s">
        <v>4135</v>
      </c>
      <c r="L690" s="20" t="s">
        <v>5229</v>
      </c>
      <c r="M690" s="16"/>
      <c r="N690" s="130" t="s">
        <v>39853</v>
      </c>
      <c r="O690" s="84"/>
      <c r="P690" s="84"/>
      <c r="Q690" s="84"/>
      <c r="R690" s="84"/>
      <c r="S690" s="84"/>
      <c r="T690" s="84"/>
      <c r="U690" s="84"/>
      <c r="V690" s="84"/>
      <c r="W690" s="84"/>
      <c r="X690" s="84"/>
    </row>
    <row r="691" ht="15.75" customHeight="1">
      <c r="A691" s="14" t="s">
        <v>17</v>
      </c>
      <c r="B691" s="14">
        <v>1999.0</v>
      </c>
      <c r="C691" s="14" t="s">
        <v>5230</v>
      </c>
      <c r="D691" s="14" t="s">
        <v>5231</v>
      </c>
      <c r="E691" s="150" t="str">
        <f t="shared" si="5"/>
        <v>http://dx.doi.org/10.1109/VISUAL.1999.809903</v>
      </c>
      <c r="F691" s="14">
        <v>317.0</v>
      </c>
      <c r="G691" s="14">
        <v>538.0</v>
      </c>
      <c r="H691" s="14" t="s">
        <v>28</v>
      </c>
      <c r="I691" s="14"/>
      <c r="J691" s="130" t="s">
        <v>3856</v>
      </c>
      <c r="K691" s="152" t="s">
        <v>5233</v>
      </c>
      <c r="L691" s="20" t="s">
        <v>5234</v>
      </c>
      <c r="M691" s="195" t="s">
        <v>5235</v>
      </c>
      <c r="N691" s="130" t="s">
        <v>39854</v>
      </c>
      <c r="O691" s="84"/>
      <c r="P691" s="84"/>
      <c r="Q691" s="84"/>
      <c r="R691" s="84"/>
      <c r="S691" s="84"/>
      <c r="T691" s="84"/>
      <c r="U691" s="84"/>
      <c r="V691" s="84"/>
      <c r="W691" s="84"/>
      <c r="X691" s="84"/>
    </row>
    <row r="692" ht="15.75" customHeight="1">
      <c r="A692" s="14" t="s">
        <v>17</v>
      </c>
      <c r="B692" s="14">
        <v>1999.0</v>
      </c>
      <c r="C692" s="14" t="s">
        <v>5236</v>
      </c>
      <c r="D692" s="14" t="s">
        <v>5237</v>
      </c>
      <c r="E692" s="150" t="str">
        <f t="shared" si="5"/>
        <v>http://dx.doi.org/10.1109/VISUAL.1999.809904</v>
      </c>
      <c r="F692" s="14">
        <v>325.0</v>
      </c>
      <c r="G692" s="14">
        <v>539.0</v>
      </c>
      <c r="H692" s="14" t="s">
        <v>28</v>
      </c>
      <c r="I692" s="14"/>
      <c r="J692" s="130" t="s">
        <v>12340</v>
      </c>
      <c r="K692" s="152" t="s">
        <v>5241</v>
      </c>
      <c r="L692" s="20" t="s">
        <v>5244</v>
      </c>
      <c r="M692" s="195" t="s">
        <v>5245</v>
      </c>
      <c r="N692" s="152" t="s">
        <v>5241</v>
      </c>
      <c r="O692" s="84"/>
      <c r="P692" s="84"/>
      <c r="Q692" s="84"/>
      <c r="R692" s="84"/>
      <c r="S692" s="84"/>
      <c r="T692" s="84"/>
      <c r="U692" s="84"/>
      <c r="V692" s="84"/>
      <c r="W692" s="84"/>
      <c r="X692" s="84"/>
    </row>
    <row r="693" ht="15.75" customHeight="1">
      <c r="A693" s="14" t="s">
        <v>17</v>
      </c>
      <c r="B693" s="14">
        <v>1999.0</v>
      </c>
      <c r="C693" s="54" t="s">
        <v>5246</v>
      </c>
      <c r="D693" s="14" t="s">
        <v>5247</v>
      </c>
      <c r="E693" s="150" t="str">
        <f t="shared" si="5"/>
        <v>http://dx.doi.org/10.1109/VISUAL.1999.809905</v>
      </c>
      <c r="F693" s="14">
        <v>333.0</v>
      </c>
      <c r="G693" s="14">
        <v>540.0</v>
      </c>
      <c r="H693" s="14" t="s">
        <v>28</v>
      </c>
      <c r="I693" s="14"/>
      <c r="J693" s="130" t="s">
        <v>5260</v>
      </c>
      <c r="K693" s="152" t="s">
        <v>5261</v>
      </c>
      <c r="L693" s="20" t="s">
        <v>4253</v>
      </c>
      <c r="M693" s="16"/>
      <c r="N693" s="130" t="s">
        <v>39856</v>
      </c>
      <c r="O693" s="84"/>
      <c r="P693" s="84"/>
      <c r="Q693" s="84"/>
      <c r="R693" s="84"/>
      <c r="S693" s="84"/>
      <c r="T693" s="84"/>
      <c r="U693" s="84"/>
      <c r="V693" s="84"/>
      <c r="W693" s="84"/>
      <c r="X693" s="84"/>
    </row>
    <row r="694" ht="15.75" customHeight="1">
      <c r="A694" s="14" t="s">
        <v>17</v>
      </c>
      <c r="B694" s="14">
        <v>1999.0</v>
      </c>
      <c r="C694" s="14" t="s">
        <v>5262</v>
      </c>
      <c r="D694" s="14" t="s">
        <v>5263</v>
      </c>
      <c r="E694" s="150" t="str">
        <f t="shared" si="5"/>
        <v>http://dx.doi.org/10.1109/VISUAL.1999.809906</v>
      </c>
      <c r="F694" s="14">
        <v>341.0</v>
      </c>
      <c r="G694" s="14">
        <v>541.0</v>
      </c>
      <c r="H694" s="14" t="s">
        <v>28</v>
      </c>
      <c r="I694" s="14"/>
      <c r="J694" s="130" t="s">
        <v>39857</v>
      </c>
      <c r="K694" s="152" t="s">
        <v>5266</v>
      </c>
      <c r="L694" s="20" t="s">
        <v>5267</v>
      </c>
      <c r="M694" s="195" t="s">
        <v>5268</v>
      </c>
      <c r="N694" s="130" t="s">
        <v>39858</v>
      </c>
      <c r="O694" s="84"/>
      <c r="P694" s="84"/>
      <c r="Q694" s="84"/>
      <c r="R694" s="84"/>
      <c r="S694" s="84"/>
      <c r="T694" s="84"/>
      <c r="U694" s="84"/>
      <c r="V694" s="84"/>
      <c r="W694" s="84"/>
      <c r="X694" s="84"/>
    </row>
    <row r="695" ht="15.75" customHeight="1">
      <c r="A695" s="14" t="s">
        <v>17</v>
      </c>
      <c r="B695" s="50">
        <v>1999.0</v>
      </c>
      <c r="C695" s="14" t="s">
        <v>5270</v>
      </c>
      <c r="D695" s="67" t="s">
        <v>5271</v>
      </c>
      <c r="E695" s="194" t="str">
        <f>HYPERLINK("http://doi.ieeecomputersociety.org/10.1109/VISUAL.1999.809907","http://doi.ieeecomputersociety.org/10.1109/VISUAL.1999.809907")</f>
        <v>http://doi.ieeecomputersociety.org/10.1109/VISUAL.1999.809907</v>
      </c>
      <c r="F695" s="50">
        <v>349.0</v>
      </c>
      <c r="G695" s="54">
        <v>354.0</v>
      </c>
      <c r="H695" s="14" t="s">
        <v>28</v>
      </c>
      <c r="I695" s="14"/>
      <c r="J695" s="130" t="s">
        <v>4514</v>
      </c>
      <c r="K695" s="162" t="s">
        <v>5275</v>
      </c>
      <c r="L695" s="20" t="s">
        <v>487</v>
      </c>
      <c r="M695" s="174" t="s">
        <v>5276</v>
      </c>
      <c r="N695" s="162" t="s">
        <v>5275</v>
      </c>
      <c r="O695" s="16"/>
      <c r="P695" s="16"/>
      <c r="Q695" s="16"/>
      <c r="R695" s="16"/>
      <c r="S695" s="16"/>
      <c r="T695" s="16"/>
      <c r="U695" s="16"/>
      <c r="V695" s="16"/>
      <c r="W695" s="16"/>
      <c r="X695" s="16"/>
    </row>
    <row r="696" ht="15.75" customHeight="1">
      <c r="A696" s="14" t="s">
        <v>17</v>
      </c>
      <c r="B696" s="50">
        <v>1999.0</v>
      </c>
      <c r="C696" s="14" t="s">
        <v>5277</v>
      </c>
      <c r="D696" s="67" t="s">
        <v>5278</v>
      </c>
      <c r="E696" s="194" t="str">
        <f>HYPERLINK("http://doi.ieeecomputersociety.org/10.1109/VISUAL.1999.809908","http://doi.ieeecomputersociety.org/10.1109/VISUAL.1999.809908")</f>
        <v>http://doi.ieeecomputersociety.org/10.1109/VISUAL.1999.809908</v>
      </c>
      <c r="F696" s="50">
        <v>355.0</v>
      </c>
      <c r="G696" s="54"/>
      <c r="H696" s="14" t="s">
        <v>28</v>
      </c>
      <c r="I696" s="14"/>
      <c r="J696" s="130" t="s">
        <v>5280</v>
      </c>
      <c r="K696" s="162"/>
      <c r="L696" s="20"/>
      <c r="M696" s="174" t="s">
        <v>5281</v>
      </c>
      <c r="N696" s="130" t="s">
        <v>38483</v>
      </c>
      <c r="O696" s="16"/>
      <c r="P696" s="16"/>
      <c r="Q696" s="16"/>
      <c r="R696" s="16"/>
      <c r="S696" s="16"/>
      <c r="T696" s="16"/>
      <c r="U696" s="16"/>
      <c r="V696" s="16"/>
      <c r="W696" s="16"/>
      <c r="X696" s="16"/>
    </row>
    <row r="697" ht="15.75" customHeight="1">
      <c r="A697" s="14" t="s">
        <v>17</v>
      </c>
      <c r="B697" s="14">
        <v>1999.0</v>
      </c>
      <c r="C697" s="14" t="s">
        <v>5282</v>
      </c>
      <c r="D697" s="14" t="s">
        <v>5283</v>
      </c>
      <c r="E697" s="150" t="str">
        <f t="shared" ref="E697:E720" si="6">"http://dx.doi.org/" &amp; D697</f>
        <v>http://dx.doi.org/10.1109/VISUAL.1999.809909</v>
      </c>
      <c r="F697" s="14">
        <v>363.0</v>
      </c>
      <c r="G697" s="14">
        <v>544.0</v>
      </c>
      <c r="H697" s="14" t="s">
        <v>28</v>
      </c>
      <c r="I697" s="14"/>
      <c r="J697" s="130" t="s">
        <v>12377</v>
      </c>
      <c r="K697" s="152" t="s">
        <v>4524</v>
      </c>
      <c r="L697" s="20" t="s">
        <v>5289</v>
      </c>
      <c r="M697" s="16"/>
      <c r="N697" s="130" t="s">
        <v>39861</v>
      </c>
      <c r="O697" s="84"/>
      <c r="P697" s="84"/>
      <c r="Q697" s="84"/>
      <c r="R697" s="84"/>
      <c r="S697" s="84"/>
      <c r="T697" s="84"/>
      <c r="U697" s="84"/>
      <c r="V697" s="84"/>
      <c r="W697" s="84"/>
      <c r="X697" s="84"/>
    </row>
    <row r="698" ht="15.75" customHeight="1">
      <c r="A698" s="14" t="s">
        <v>17</v>
      </c>
      <c r="B698" s="14">
        <v>1999.0</v>
      </c>
      <c r="C698" s="14" t="s">
        <v>5290</v>
      </c>
      <c r="D698" s="14" t="s">
        <v>5291</v>
      </c>
      <c r="E698" s="150" t="str">
        <f t="shared" si="6"/>
        <v>http://dx.doi.org/10.1109/VISUAL.1999.809910</v>
      </c>
      <c r="F698" s="14">
        <v>371.0</v>
      </c>
      <c r="G698" s="14">
        <v>545.0</v>
      </c>
      <c r="H698" s="14" t="s">
        <v>28</v>
      </c>
      <c r="I698" s="14"/>
      <c r="J698" s="130" t="s">
        <v>5293</v>
      </c>
      <c r="K698" s="152" t="s">
        <v>5294</v>
      </c>
      <c r="L698" s="20" t="s">
        <v>5295</v>
      </c>
      <c r="M698" s="195" t="s">
        <v>5297</v>
      </c>
      <c r="N698" s="130" t="s">
        <v>39862</v>
      </c>
      <c r="O698" s="84"/>
      <c r="P698" s="84"/>
      <c r="Q698" s="84"/>
      <c r="R698" s="84"/>
      <c r="S698" s="84"/>
      <c r="T698" s="84"/>
      <c r="U698" s="84"/>
      <c r="V698" s="84"/>
      <c r="W698" s="84"/>
      <c r="X698" s="84"/>
    </row>
    <row r="699" ht="15.75" customHeight="1">
      <c r="A699" s="14" t="s">
        <v>17</v>
      </c>
      <c r="B699" s="14">
        <v>1999.0</v>
      </c>
      <c r="C699" s="14" t="s">
        <v>5299</v>
      </c>
      <c r="D699" s="14" t="s">
        <v>5301</v>
      </c>
      <c r="E699" s="150" t="str">
        <f t="shared" si="6"/>
        <v>http://dx.doi.org/10.1109/VISUAL.1999.809911</v>
      </c>
      <c r="F699" s="14">
        <v>379.0</v>
      </c>
      <c r="G699" s="14">
        <v>546.0</v>
      </c>
      <c r="H699" s="14" t="s">
        <v>28</v>
      </c>
      <c r="I699" s="14"/>
      <c r="J699" s="130" t="s">
        <v>5303</v>
      </c>
      <c r="K699" s="152" t="s">
        <v>753</v>
      </c>
      <c r="L699" s="20" t="s">
        <v>5304</v>
      </c>
      <c r="M699" s="195" t="s">
        <v>5305</v>
      </c>
      <c r="N699" s="130" t="s">
        <v>39863</v>
      </c>
      <c r="O699" s="84"/>
      <c r="P699" s="84"/>
      <c r="Q699" s="84"/>
      <c r="R699" s="84"/>
      <c r="S699" s="84"/>
      <c r="T699" s="84"/>
      <c r="U699" s="84"/>
      <c r="V699" s="84"/>
      <c r="W699" s="84"/>
      <c r="X699" s="84"/>
    </row>
    <row r="700" ht="15.75" customHeight="1">
      <c r="A700" s="14" t="s">
        <v>17</v>
      </c>
      <c r="B700" s="14">
        <v>1999.0</v>
      </c>
      <c r="C700" s="14" t="s">
        <v>5306</v>
      </c>
      <c r="D700" s="14" t="s">
        <v>5307</v>
      </c>
      <c r="E700" s="150" t="str">
        <f t="shared" si="6"/>
        <v>http://dx.doi.org/10.1109/VISUAL.1999.809912</v>
      </c>
      <c r="F700" s="14">
        <v>389.0</v>
      </c>
      <c r="G700" s="14">
        <v>547.0</v>
      </c>
      <c r="H700" s="14" t="s">
        <v>28</v>
      </c>
      <c r="I700" s="14"/>
      <c r="J700" s="130" t="s">
        <v>12398</v>
      </c>
      <c r="K700" s="152" t="s">
        <v>5311</v>
      </c>
      <c r="L700" s="20" t="s">
        <v>5312</v>
      </c>
      <c r="M700" s="16"/>
      <c r="N700" s="130" t="s">
        <v>39865</v>
      </c>
      <c r="O700" s="84"/>
      <c r="P700" s="84"/>
      <c r="Q700" s="84"/>
      <c r="R700" s="84"/>
      <c r="S700" s="84"/>
      <c r="T700" s="84"/>
      <c r="U700" s="84"/>
      <c r="V700" s="84"/>
      <c r="W700" s="84"/>
      <c r="X700" s="84"/>
    </row>
    <row r="701" ht="15.75" customHeight="1">
      <c r="A701" s="14" t="s">
        <v>17</v>
      </c>
      <c r="B701" s="14">
        <v>1999.0</v>
      </c>
      <c r="C701" s="14" t="s">
        <v>5313</v>
      </c>
      <c r="D701" s="14" t="s">
        <v>5314</v>
      </c>
      <c r="E701" s="150" t="str">
        <f t="shared" si="6"/>
        <v>http://dx.doi.org/10.1109/VISUAL.1999.809913</v>
      </c>
      <c r="F701" s="14">
        <v>393.0</v>
      </c>
      <c r="G701" s="14">
        <v>548.0</v>
      </c>
      <c r="H701" s="14" t="s">
        <v>28</v>
      </c>
      <c r="I701" s="14"/>
      <c r="J701" s="130" t="s">
        <v>5316</v>
      </c>
      <c r="K701" s="152" t="s">
        <v>5317</v>
      </c>
      <c r="L701" s="20" t="s">
        <v>5318</v>
      </c>
      <c r="M701" s="16"/>
      <c r="N701" s="130" t="s">
        <v>39866</v>
      </c>
      <c r="O701" s="84"/>
      <c r="P701" s="84"/>
      <c r="Q701" s="84"/>
      <c r="R701" s="84"/>
      <c r="S701" s="84"/>
      <c r="T701" s="84"/>
      <c r="U701" s="84"/>
      <c r="V701" s="84"/>
      <c r="W701" s="84"/>
      <c r="X701" s="84"/>
    </row>
    <row r="702" ht="15.75" customHeight="1">
      <c r="A702" s="14" t="s">
        <v>17</v>
      </c>
      <c r="B702" s="14">
        <v>1999.0</v>
      </c>
      <c r="C702" s="14" t="s">
        <v>5319</v>
      </c>
      <c r="D702" s="14" t="s">
        <v>5320</v>
      </c>
      <c r="E702" s="150" t="str">
        <f t="shared" si="6"/>
        <v>http://dx.doi.org/10.1109/VISUAL.1999.809914</v>
      </c>
      <c r="F702" s="14">
        <v>397.0</v>
      </c>
      <c r="G702" s="14">
        <v>549.0</v>
      </c>
      <c r="H702" s="14" t="s">
        <v>28</v>
      </c>
      <c r="I702" s="14"/>
      <c r="J702" s="130" t="s">
        <v>5323</v>
      </c>
      <c r="K702" s="152" t="s">
        <v>2303</v>
      </c>
      <c r="L702" s="20" t="s">
        <v>5325</v>
      </c>
      <c r="M702" s="16"/>
      <c r="N702" s="130" t="s">
        <v>39867</v>
      </c>
      <c r="O702" s="84"/>
      <c r="P702" s="84"/>
      <c r="Q702" s="84"/>
      <c r="R702" s="84"/>
      <c r="S702" s="84"/>
      <c r="T702" s="84"/>
      <c r="U702" s="84"/>
      <c r="V702" s="84"/>
      <c r="W702" s="84"/>
      <c r="X702" s="84"/>
    </row>
    <row r="703" ht="15.75" customHeight="1">
      <c r="A703" s="14" t="s">
        <v>17</v>
      </c>
      <c r="B703" s="14">
        <v>1999.0</v>
      </c>
      <c r="C703" s="14" t="s">
        <v>5328</v>
      </c>
      <c r="D703" s="14" t="s">
        <v>5329</v>
      </c>
      <c r="E703" s="150" t="str">
        <f t="shared" si="6"/>
        <v>http://dx.doi.org/10.1109/VISUAL.1999.809915</v>
      </c>
      <c r="F703" s="14">
        <v>401.0</v>
      </c>
      <c r="G703" s="14">
        <v>550.0</v>
      </c>
      <c r="H703" s="14" t="s">
        <v>28</v>
      </c>
      <c r="I703" s="14"/>
      <c r="J703" s="130" t="s">
        <v>5331</v>
      </c>
      <c r="K703" s="152" t="s">
        <v>5332</v>
      </c>
      <c r="L703" s="20"/>
      <c r="M703" s="16"/>
      <c r="N703" s="130" t="s">
        <v>5761</v>
      </c>
      <c r="O703" s="84"/>
      <c r="P703" s="84"/>
      <c r="Q703" s="84"/>
      <c r="R703" s="84"/>
      <c r="S703" s="84"/>
      <c r="T703" s="84"/>
      <c r="U703" s="84"/>
      <c r="V703" s="84"/>
      <c r="W703" s="84"/>
      <c r="X703" s="84"/>
    </row>
    <row r="704" ht="15.75" customHeight="1">
      <c r="A704" s="14" t="s">
        <v>17</v>
      </c>
      <c r="B704" s="14">
        <v>1999.0</v>
      </c>
      <c r="C704" s="14" t="s">
        <v>5333</v>
      </c>
      <c r="D704" s="14" t="s">
        <v>5334</v>
      </c>
      <c r="E704" s="150" t="str">
        <f t="shared" si="6"/>
        <v>http://dx.doi.org/10.1109/VISUAL.1999.809916</v>
      </c>
      <c r="F704" s="14">
        <v>405.0</v>
      </c>
      <c r="G704" s="14">
        <v>551.0</v>
      </c>
      <c r="H704" s="14" t="s">
        <v>28</v>
      </c>
      <c r="I704" s="14"/>
      <c r="J704" s="130" t="s">
        <v>5336</v>
      </c>
      <c r="K704" s="152" t="s">
        <v>3182</v>
      </c>
      <c r="L704" s="20" t="s">
        <v>3216</v>
      </c>
      <c r="M704" s="16"/>
      <c r="N704" s="130" t="s">
        <v>39870</v>
      </c>
      <c r="O704" s="84"/>
      <c r="P704" s="84"/>
      <c r="Q704" s="84"/>
      <c r="R704" s="84"/>
      <c r="S704" s="84"/>
      <c r="T704" s="84"/>
      <c r="U704" s="84"/>
      <c r="V704" s="84"/>
      <c r="W704" s="84"/>
      <c r="X704" s="84"/>
    </row>
    <row r="705" ht="15.75" customHeight="1">
      <c r="A705" s="14" t="s">
        <v>17</v>
      </c>
      <c r="B705" s="14">
        <v>1999.0</v>
      </c>
      <c r="C705" s="14" t="s">
        <v>5337</v>
      </c>
      <c r="D705" s="14" t="s">
        <v>5338</v>
      </c>
      <c r="E705" s="150" t="str">
        <f t="shared" si="6"/>
        <v>http://dx.doi.org/10.1109/VISUAL.1999.809917</v>
      </c>
      <c r="F705" s="14">
        <v>409.0</v>
      </c>
      <c r="G705" s="14">
        <v>552.0</v>
      </c>
      <c r="H705" s="14" t="s">
        <v>28</v>
      </c>
      <c r="I705" s="14"/>
      <c r="J705" s="130" t="s">
        <v>5342</v>
      </c>
      <c r="K705" s="152" t="s">
        <v>5343</v>
      </c>
      <c r="L705" s="20" t="s">
        <v>5344</v>
      </c>
      <c r="M705" s="16"/>
      <c r="N705" s="152" t="s">
        <v>5343</v>
      </c>
      <c r="O705" s="84"/>
      <c r="P705" s="84"/>
      <c r="Q705" s="84"/>
      <c r="R705" s="84"/>
      <c r="S705" s="84"/>
      <c r="T705" s="84"/>
      <c r="U705" s="84"/>
      <c r="V705" s="84"/>
      <c r="W705" s="84"/>
      <c r="X705" s="84"/>
    </row>
    <row r="706" ht="15.75" customHeight="1">
      <c r="A706" s="14" t="s">
        <v>17</v>
      </c>
      <c r="B706" s="14">
        <v>1999.0</v>
      </c>
      <c r="C706" s="14" t="s">
        <v>5345</v>
      </c>
      <c r="D706" s="14" t="s">
        <v>5346</v>
      </c>
      <c r="E706" s="150" t="str">
        <f t="shared" si="6"/>
        <v>http://dx.doi.org/10.1109/VISUAL.1999.809918</v>
      </c>
      <c r="F706" s="14">
        <v>413.0</v>
      </c>
      <c r="G706" s="14">
        <v>553.0</v>
      </c>
      <c r="H706" s="14" t="s">
        <v>28</v>
      </c>
      <c r="I706" s="14"/>
      <c r="J706" s="130" t="s">
        <v>5348</v>
      </c>
      <c r="K706" s="152" t="s">
        <v>5349</v>
      </c>
      <c r="L706" s="20" t="s">
        <v>3751</v>
      </c>
      <c r="M706" s="16"/>
      <c r="N706" s="130" t="s">
        <v>39873</v>
      </c>
      <c r="O706" s="84"/>
      <c r="P706" s="84"/>
      <c r="Q706" s="84"/>
      <c r="R706" s="84"/>
      <c r="S706" s="84"/>
      <c r="T706" s="84"/>
      <c r="U706" s="84"/>
      <c r="V706" s="84"/>
      <c r="W706" s="84"/>
      <c r="X706" s="84"/>
    </row>
    <row r="707" ht="15.75" customHeight="1">
      <c r="A707" s="14" t="s">
        <v>17</v>
      </c>
      <c r="B707" s="14">
        <v>1999.0</v>
      </c>
      <c r="C707" s="14" t="s">
        <v>5350</v>
      </c>
      <c r="D707" s="14" t="s">
        <v>5352</v>
      </c>
      <c r="E707" s="150" t="str">
        <f t="shared" si="6"/>
        <v>http://dx.doi.org/10.1109/VISUAL.1999.809919</v>
      </c>
      <c r="F707" s="14">
        <v>417.0</v>
      </c>
      <c r="G707" s="14">
        <v>554.0</v>
      </c>
      <c r="H707" s="14" t="s">
        <v>28</v>
      </c>
      <c r="I707" s="14"/>
      <c r="J707" s="130" t="s">
        <v>3856</v>
      </c>
      <c r="K707" s="152" t="s">
        <v>5233</v>
      </c>
      <c r="L707" s="20" t="s">
        <v>5356</v>
      </c>
      <c r="M707" s="16"/>
      <c r="N707" s="130" t="s">
        <v>39854</v>
      </c>
      <c r="O707" s="84"/>
      <c r="P707" s="84"/>
      <c r="Q707" s="84"/>
      <c r="R707" s="84"/>
      <c r="S707" s="84"/>
      <c r="T707" s="84"/>
      <c r="U707" s="84"/>
      <c r="V707" s="84"/>
      <c r="W707" s="84"/>
      <c r="X707" s="84"/>
    </row>
    <row r="708" ht="15.75" customHeight="1">
      <c r="A708" s="14" t="s">
        <v>17</v>
      </c>
      <c r="B708" s="14">
        <v>1999.0</v>
      </c>
      <c r="C708" s="14" t="s">
        <v>5357</v>
      </c>
      <c r="D708" s="14" t="s">
        <v>5358</v>
      </c>
      <c r="E708" s="150" t="str">
        <f t="shared" si="6"/>
        <v>http://dx.doi.org/10.1109/VISUAL.1999.809920</v>
      </c>
      <c r="F708" s="14">
        <v>421.0</v>
      </c>
      <c r="G708" s="14">
        <v>423.0</v>
      </c>
      <c r="H708" s="14" t="s">
        <v>28</v>
      </c>
      <c r="I708" s="14"/>
      <c r="J708" s="130" t="s">
        <v>5360</v>
      </c>
      <c r="K708" s="152" t="s">
        <v>5361</v>
      </c>
      <c r="L708" s="20"/>
      <c r="M708" s="16"/>
      <c r="N708" s="130" t="s">
        <v>39874</v>
      </c>
      <c r="O708" s="84"/>
      <c r="P708" s="84"/>
      <c r="Q708" s="84"/>
      <c r="R708" s="84"/>
      <c r="S708" s="84"/>
      <c r="T708" s="84"/>
      <c r="U708" s="84"/>
      <c r="V708" s="84"/>
      <c r="W708" s="84"/>
      <c r="X708" s="84"/>
    </row>
    <row r="709" ht="15.75" customHeight="1">
      <c r="A709" s="14" t="s">
        <v>17</v>
      </c>
      <c r="B709" s="14">
        <v>1999.0</v>
      </c>
      <c r="C709" s="14" t="s">
        <v>5362</v>
      </c>
      <c r="D709" s="14" t="s">
        <v>5363</v>
      </c>
      <c r="E709" s="150" t="str">
        <f t="shared" si="6"/>
        <v>http://dx.doi.org/10.1109/VISUAL.1999.809921</v>
      </c>
      <c r="F709" s="14">
        <v>425.0</v>
      </c>
      <c r="G709" s="14">
        <v>555.0</v>
      </c>
      <c r="H709" s="14" t="s">
        <v>28</v>
      </c>
      <c r="I709" s="14"/>
      <c r="J709" s="130" t="s">
        <v>5368</v>
      </c>
      <c r="K709" s="152" t="s">
        <v>5369</v>
      </c>
      <c r="L709" s="20" t="s">
        <v>5370</v>
      </c>
      <c r="M709" s="16"/>
      <c r="N709" s="152" t="s">
        <v>5369</v>
      </c>
      <c r="O709" s="84"/>
      <c r="P709" s="84"/>
      <c r="Q709" s="84"/>
      <c r="R709" s="84"/>
      <c r="S709" s="84"/>
      <c r="T709" s="84"/>
      <c r="U709" s="84"/>
      <c r="V709" s="84"/>
      <c r="W709" s="84"/>
      <c r="X709" s="84"/>
    </row>
    <row r="710" ht="15.75" customHeight="1">
      <c r="A710" s="14" t="s">
        <v>17</v>
      </c>
      <c r="B710" s="14">
        <v>1999.0</v>
      </c>
      <c r="C710" s="14" t="s">
        <v>5371</v>
      </c>
      <c r="D710" s="14" t="s">
        <v>5372</v>
      </c>
      <c r="E710" s="150" t="str">
        <f t="shared" si="6"/>
        <v>http://dx.doi.org/10.1109/VISUAL.1999.809922</v>
      </c>
      <c r="F710" s="14">
        <v>429.0</v>
      </c>
      <c r="G710" s="14">
        <v>556.0</v>
      </c>
      <c r="H710" s="14" t="s">
        <v>28</v>
      </c>
      <c r="I710" s="14"/>
      <c r="J710" s="130" t="s">
        <v>5374</v>
      </c>
      <c r="K710" s="152" t="s">
        <v>5375</v>
      </c>
      <c r="L710" s="20"/>
      <c r="M710" s="16"/>
      <c r="N710" s="152" t="s">
        <v>5375</v>
      </c>
      <c r="O710" s="84"/>
      <c r="P710" s="84"/>
      <c r="Q710" s="84"/>
      <c r="R710" s="84"/>
      <c r="S710" s="84"/>
      <c r="T710" s="84"/>
      <c r="U710" s="84"/>
      <c r="V710" s="84"/>
      <c r="W710" s="84"/>
      <c r="X710" s="84"/>
    </row>
    <row r="711" ht="15.75" customHeight="1">
      <c r="A711" s="14" t="s">
        <v>17</v>
      </c>
      <c r="B711" s="14">
        <v>1999.0</v>
      </c>
      <c r="C711" s="14" t="s">
        <v>5376</v>
      </c>
      <c r="D711" s="14" t="s">
        <v>5377</v>
      </c>
      <c r="E711" s="150" t="str">
        <f t="shared" si="6"/>
        <v>http://dx.doi.org/10.1109/VISUAL.1999.809923</v>
      </c>
      <c r="F711" s="14">
        <v>433.0</v>
      </c>
      <c r="G711" s="14">
        <v>557.0</v>
      </c>
      <c r="H711" s="14" t="s">
        <v>28</v>
      </c>
      <c r="I711" s="14"/>
      <c r="J711" s="130" t="s">
        <v>5382</v>
      </c>
      <c r="K711" s="152" t="s">
        <v>5383</v>
      </c>
      <c r="L711" s="20" t="s">
        <v>3359</v>
      </c>
      <c r="M711" s="16"/>
      <c r="N711" s="152" t="s">
        <v>5383</v>
      </c>
      <c r="O711" s="84"/>
      <c r="P711" s="84"/>
      <c r="Q711" s="84"/>
      <c r="R711" s="84"/>
      <c r="S711" s="84"/>
      <c r="T711" s="84"/>
      <c r="U711" s="84"/>
      <c r="V711" s="84"/>
      <c r="W711" s="84"/>
      <c r="X711" s="84"/>
    </row>
    <row r="712" ht="15.75" customHeight="1">
      <c r="A712" s="14" t="s">
        <v>17</v>
      </c>
      <c r="B712" s="14">
        <v>1999.0</v>
      </c>
      <c r="C712" s="14" t="s">
        <v>5384</v>
      </c>
      <c r="D712" s="14" t="s">
        <v>5385</v>
      </c>
      <c r="E712" s="150" t="str">
        <f t="shared" si="6"/>
        <v>http://dx.doi.org/10.1109/VISUAL.1999.809924</v>
      </c>
      <c r="F712" s="14">
        <v>437.0</v>
      </c>
      <c r="G712" s="14">
        <v>558.0</v>
      </c>
      <c r="H712" s="14" t="s">
        <v>28</v>
      </c>
      <c r="I712" s="14"/>
      <c r="J712" s="130" t="s">
        <v>5387</v>
      </c>
      <c r="K712" s="152" t="s">
        <v>5388</v>
      </c>
      <c r="L712" s="20" t="s">
        <v>5389</v>
      </c>
      <c r="M712" s="16"/>
      <c r="N712" s="130" t="s">
        <v>39878</v>
      </c>
      <c r="O712" s="84"/>
      <c r="P712" s="84"/>
      <c r="Q712" s="84"/>
      <c r="R712" s="84"/>
      <c r="S712" s="84"/>
      <c r="T712" s="84"/>
      <c r="U712" s="84"/>
      <c r="V712" s="84"/>
      <c r="W712" s="84"/>
      <c r="X712" s="84"/>
    </row>
    <row r="713" ht="15.75" customHeight="1">
      <c r="A713" s="14" t="s">
        <v>17</v>
      </c>
      <c r="B713" s="14">
        <v>1999.0</v>
      </c>
      <c r="C713" s="14" t="s">
        <v>5390</v>
      </c>
      <c r="D713" s="14" t="s">
        <v>5392</v>
      </c>
      <c r="E713" s="150" t="str">
        <f t="shared" si="6"/>
        <v>http://dx.doi.org/10.1109/VISUAL.1999.809925</v>
      </c>
      <c r="F713" s="14">
        <v>441.0</v>
      </c>
      <c r="G713" s="14">
        <v>559.0</v>
      </c>
      <c r="H713" s="14" t="s">
        <v>28</v>
      </c>
      <c r="I713" s="14"/>
      <c r="J713" s="130" t="s">
        <v>5395</v>
      </c>
      <c r="K713" s="152" t="s">
        <v>5396</v>
      </c>
      <c r="L713" s="20"/>
      <c r="M713" s="16"/>
      <c r="N713" s="152" t="s">
        <v>5396</v>
      </c>
      <c r="O713" s="84"/>
      <c r="P713" s="84"/>
      <c r="Q713" s="84"/>
      <c r="R713" s="84"/>
      <c r="S713" s="84"/>
      <c r="T713" s="84"/>
      <c r="U713" s="84"/>
      <c r="V713" s="84"/>
      <c r="W713" s="84"/>
      <c r="X713" s="84"/>
    </row>
    <row r="714" ht="15.75" customHeight="1">
      <c r="A714" s="14" t="s">
        <v>17</v>
      </c>
      <c r="B714" s="14">
        <v>1999.0</v>
      </c>
      <c r="C714" s="14" t="s">
        <v>5400</v>
      </c>
      <c r="D714" s="14" t="s">
        <v>5401</v>
      </c>
      <c r="E714" s="150" t="str">
        <f t="shared" si="6"/>
        <v>http://dx.doi.org/10.1109/VISUAL.1999.809926</v>
      </c>
      <c r="F714" s="14">
        <v>445.0</v>
      </c>
      <c r="G714" s="14">
        <v>560.0</v>
      </c>
      <c r="H714" s="14" t="s">
        <v>28</v>
      </c>
      <c r="I714" s="14"/>
      <c r="J714" s="130" t="s">
        <v>5403</v>
      </c>
      <c r="K714" s="152" t="s">
        <v>4665</v>
      </c>
      <c r="L714" s="20" t="s">
        <v>4662</v>
      </c>
      <c r="M714" s="16"/>
      <c r="N714" s="130" t="s">
        <v>39727</v>
      </c>
      <c r="O714" s="84"/>
      <c r="P714" s="84"/>
      <c r="Q714" s="84"/>
      <c r="R714" s="84"/>
      <c r="S714" s="84"/>
      <c r="T714" s="84"/>
      <c r="U714" s="84"/>
      <c r="V714" s="84"/>
      <c r="W714" s="84"/>
      <c r="X714" s="84"/>
    </row>
    <row r="715" ht="15.75" customHeight="1">
      <c r="A715" s="14" t="s">
        <v>17</v>
      </c>
      <c r="B715" s="14">
        <v>1999.0</v>
      </c>
      <c r="C715" s="14" t="s">
        <v>5406</v>
      </c>
      <c r="D715" s="14" t="s">
        <v>5407</v>
      </c>
      <c r="E715" s="150" t="str">
        <f t="shared" si="6"/>
        <v>http://dx.doi.org/10.1109/VISUAL.1999.809927</v>
      </c>
      <c r="F715" s="14">
        <v>449.0</v>
      </c>
      <c r="G715" s="14">
        <v>561.0</v>
      </c>
      <c r="H715" s="14" t="s">
        <v>28</v>
      </c>
      <c r="I715" s="14"/>
      <c r="J715" s="130" t="s">
        <v>5409</v>
      </c>
      <c r="K715" s="152" t="s">
        <v>5410</v>
      </c>
      <c r="L715" s="20" t="s">
        <v>1512</v>
      </c>
      <c r="M715" s="16"/>
      <c r="N715" s="130" t="s">
        <v>39879</v>
      </c>
      <c r="O715" s="84"/>
      <c r="P715" s="84"/>
      <c r="Q715" s="84"/>
      <c r="R715" s="84"/>
      <c r="S715" s="84"/>
      <c r="T715" s="84"/>
      <c r="U715" s="84"/>
      <c r="V715" s="84"/>
      <c r="W715" s="84"/>
      <c r="X715" s="84"/>
    </row>
    <row r="716" ht="15.75" customHeight="1">
      <c r="A716" s="14" t="s">
        <v>17</v>
      </c>
      <c r="B716" s="14">
        <v>1999.0</v>
      </c>
      <c r="C716" s="14" t="s">
        <v>5411</v>
      </c>
      <c r="D716" s="14" t="s">
        <v>5412</v>
      </c>
      <c r="E716" s="150" t="str">
        <f t="shared" si="6"/>
        <v>http://dx.doi.org/10.1109/VISUAL.1999.809929</v>
      </c>
      <c r="F716" s="14">
        <v>453.0</v>
      </c>
      <c r="G716" s="14">
        <v>562.0</v>
      </c>
      <c r="H716" s="14" t="s">
        <v>28</v>
      </c>
      <c r="I716" s="14"/>
      <c r="J716" s="130" t="s">
        <v>5417</v>
      </c>
      <c r="K716" s="152" t="s">
        <v>1001</v>
      </c>
      <c r="L716" s="20" t="s">
        <v>2539</v>
      </c>
      <c r="M716" s="16"/>
      <c r="N716" s="130" t="s">
        <v>39880</v>
      </c>
      <c r="O716" s="84"/>
      <c r="P716" s="84"/>
      <c r="Q716" s="84"/>
      <c r="R716" s="84"/>
      <c r="S716" s="84"/>
      <c r="T716" s="84"/>
      <c r="U716" s="84"/>
      <c r="V716" s="84"/>
      <c r="W716" s="84"/>
      <c r="X716" s="84"/>
    </row>
    <row r="717" ht="15.75" customHeight="1">
      <c r="A717" s="14" t="s">
        <v>17</v>
      </c>
      <c r="B717" s="14">
        <v>1999.0</v>
      </c>
      <c r="C717" s="14" t="s">
        <v>5418</v>
      </c>
      <c r="D717" s="14" t="s">
        <v>5419</v>
      </c>
      <c r="E717" s="150" t="str">
        <f t="shared" si="6"/>
        <v>http://dx.doi.org/10.1109/VISUAL.1999.809930</v>
      </c>
      <c r="F717" s="14">
        <v>457.0</v>
      </c>
      <c r="G717" s="14">
        <v>461.0</v>
      </c>
      <c r="H717" s="14" t="s">
        <v>28</v>
      </c>
      <c r="I717" s="14"/>
      <c r="J717" s="130" t="s">
        <v>5424</v>
      </c>
      <c r="K717" s="152" t="s">
        <v>5425</v>
      </c>
      <c r="L717" s="20" t="s">
        <v>5426</v>
      </c>
      <c r="M717" s="16"/>
      <c r="N717" s="130" t="s">
        <v>39882</v>
      </c>
      <c r="O717" s="84"/>
      <c r="P717" s="84"/>
      <c r="Q717" s="84"/>
      <c r="R717" s="84"/>
      <c r="S717" s="84"/>
      <c r="T717" s="84"/>
      <c r="U717" s="84"/>
      <c r="V717" s="84"/>
      <c r="W717" s="84"/>
      <c r="X717" s="84"/>
    </row>
    <row r="718" ht="15.75" customHeight="1">
      <c r="A718" s="14" t="s">
        <v>17</v>
      </c>
      <c r="B718" s="14">
        <v>1999.0</v>
      </c>
      <c r="C718" s="14" t="s">
        <v>5427</v>
      </c>
      <c r="D718" s="14" t="s">
        <v>5428</v>
      </c>
      <c r="E718" s="150" t="str">
        <f t="shared" si="6"/>
        <v>http://dx.doi.org/10.1109/VISUAL.1999.809931</v>
      </c>
      <c r="F718" s="14">
        <v>463.0</v>
      </c>
      <c r="G718" s="14">
        <v>466.0</v>
      </c>
      <c r="H718" s="14" t="s">
        <v>28</v>
      </c>
      <c r="I718" s="14"/>
      <c r="J718" s="130" t="s">
        <v>5433</v>
      </c>
      <c r="K718" s="152" t="s">
        <v>494</v>
      </c>
      <c r="L718" s="20"/>
      <c r="M718" s="16"/>
      <c r="N718" s="130"/>
      <c r="O718" s="84"/>
      <c r="P718" s="84"/>
      <c r="Q718" s="84"/>
      <c r="R718" s="84"/>
      <c r="S718" s="84"/>
      <c r="T718" s="84"/>
      <c r="U718" s="84"/>
      <c r="V718" s="84"/>
      <c r="W718" s="84"/>
      <c r="X718" s="84"/>
    </row>
    <row r="719" ht="15.75" customHeight="1">
      <c r="A719" s="14" t="s">
        <v>17</v>
      </c>
      <c r="B719" s="14">
        <v>1999.0</v>
      </c>
      <c r="C719" s="14" t="s">
        <v>5435</v>
      </c>
      <c r="D719" s="14" t="s">
        <v>5436</v>
      </c>
      <c r="E719" s="150" t="str">
        <f t="shared" si="6"/>
        <v>http://dx.doi.org/10.1109/VISUAL.1999.809932</v>
      </c>
      <c r="F719" s="14">
        <v>467.0</v>
      </c>
      <c r="G719" s="14">
        <v>563.0</v>
      </c>
      <c r="H719" s="14" t="s">
        <v>28</v>
      </c>
      <c r="I719" s="14"/>
      <c r="J719" s="130" t="s">
        <v>5438</v>
      </c>
      <c r="K719" s="152" t="s">
        <v>2413</v>
      </c>
      <c r="L719" s="20" t="s">
        <v>3037</v>
      </c>
      <c r="M719" s="16"/>
      <c r="N719" s="130" t="s">
        <v>39883</v>
      </c>
      <c r="O719" s="84"/>
      <c r="P719" s="84"/>
      <c r="Q719" s="84"/>
      <c r="R719" s="84"/>
      <c r="S719" s="84"/>
      <c r="T719" s="84"/>
      <c r="U719" s="84"/>
      <c r="V719" s="84"/>
      <c r="W719" s="84"/>
      <c r="X719" s="84"/>
    </row>
    <row r="720" ht="15.75" customHeight="1">
      <c r="A720" s="14" t="s">
        <v>17</v>
      </c>
      <c r="B720" s="14">
        <v>1999.0</v>
      </c>
      <c r="C720" s="14" t="s">
        <v>5439</v>
      </c>
      <c r="D720" s="14" t="s">
        <v>5440</v>
      </c>
      <c r="E720" s="150" t="str">
        <f t="shared" si="6"/>
        <v>http://dx.doi.org/10.1109/VISUAL.1999.809934</v>
      </c>
      <c r="F720" s="14">
        <v>471.0</v>
      </c>
      <c r="G720" s="14">
        <v>564.0</v>
      </c>
      <c r="H720" s="14" t="s">
        <v>28</v>
      </c>
      <c r="I720" s="14"/>
      <c r="J720" s="130" t="s">
        <v>5444</v>
      </c>
      <c r="K720" s="152" t="s">
        <v>5445</v>
      </c>
      <c r="L720" s="20" t="s">
        <v>5446</v>
      </c>
      <c r="M720" s="16"/>
      <c r="N720" s="130" t="s">
        <v>39887</v>
      </c>
      <c r="O720" s="84"/>
      <c r="P720" s="84"/>
      <c r="Q720" s="84"/>
      <c r="R720" s="84"/>
      <c r="S720" s="84"/>
      <c r="T720" s="84"/>
      <c r="U720" s="84"/>
      <c r="V720" s="84"/>
      <c r="W720" s="84"/>
      <c r="X720" s="84"/>
    </row>
    <row r="721" ht="15.75" customHeight="1">
      <c r="A721" s="14" t="s">
        <v>17</v>
      </c>
      <c r="B721" s="50">
        <v>1999.0</v>
      </c>
      <c r="C721" s="14" t="s">
        <v>5447</v>
      </c>
      <c r="D721" s="67" t="s">
        <v>5448</v>
      </c>
      <c r="E721" s="194" t="str">
        <f>HYPERLINK("http://doi.ieeecomputersociety.org/10.1109/VISUAL.1999.809936","http://doi.ieeecomputersociety.org/10.1109/VISUAL.1999.809936")</f>
        <v>http://doi.ieeecomputersociety.org/10.1109/VISUAL.1999.809936</v>
      </c>
      <c r="F721" s="50">
        <v>475.0</v>
      </c>
      <c r="G721" s="54">
        <v>478.0</v>
      </c>
      <c r="H721" s="14" t="s">
        <v>28</v>
      </c>
      <c r="I721" s="14"/>
      <c r="J721" s="130" t="s">
        <v>5452</v>
      </c>
      <c r="K721" s="162" t="s">
        <v>5453</v>
      </c>
      <c r="L721" s="20" t="s">
        <v>5454</v>
      </c>
      <c r="M721" s="16"/>
      <c r="N721" s="162" t="s">
        <v>5453</v>
      </c>
      <c r="O721" s="16"/>
      <c r="P721" s="16"/>
      <c r="Q721" s="16"/>
      <c r="R721" s="16"/>
      <c r="S721" s="16"/>
      <c r="T721" s="16"/>
      <c r="U721" s="16"/>
      <c r="V721" s="16"/>
      <c r="W721" s="16"/>
      <c r="X721" s="16"/>
    </row>
    <row r="722" ht="15.75" customHeight="1">
      <c r="A722" s="14" t="s">
        <v>17</v>
      </c>
      <c r="B722" s="14">
        <v>1999.0</v>
      </c>
      <c r="C722" s="14" t="s">
        <v>5455</v>
      </c>
      <c r="D722" s="14" t="s">
        <v>5456</v>
      </c>
      <c r="E722" s="150" t="str">
        <f t="shared" ref="E722:E724" si="7">"http://dx.doi.org/" &amp; D722</f>
        <v>http://dx.doi.org/10.1109/VISUAL.1999.809938</v>
      </c>
      <c r="F722" s="14">
        <v>481.0</v>
      </c>
      <c r="G722" s="14">
        <v>483.0</v>
      </c>
      <c r="H722" s="14" t="s">
        <v>21</v>
      </c>
      <c r="I722" s="14"/>
      <c r="J722" s="130" t="s">
        <v>5458</v>
      </c>
      <c r="K722" s="152" t="s">
        <v>5459</v>
      </c>
      <c r="L722" s="20"/>
      <c r="M722" s="16"/>
      <c r="N722" s="152" t="s">
        <v>5459</v>
      </c>
      <c r="O722" s="84"/>
      <c r="P722" s="84"/>
      <c r="Q722" s="84"/>
      <c r="R722" s="84"/>
      <c r="S722" s="84"/>
      <c r="T722" s="84"/>
      <c r="U722" s="84"/>
      <c r="V722" s="84"/>
      <c r="W722" s="84"/>
      <c r="X722" s="84"/>
    </row>
    <row r="723" ht="15.75" customHeight="1">
      <c r="A723" s="14" t="s">
        <v>17</v>
      </c>
      <c r="B723" s="14">
        <v>1999.0</v>
      </c>
      <c r="C723" s="14" t="s">
        <v>5460</v>
      </c>
      <c r="D723" s="14" t="s">
        <v>5461</v>
      </c>
      <c r="E723" s="150" t="str">
        <f t="shared" si="7"/>
        <v>http://dx.doi.org/10.1109/VISUAL.1999.809939</v>
      </c>
      <c r="F723" s="14">
        <v>485.0</v>
      </c>
      <c r="G723" s="14">
        <v>490.0</v>
      </c>
      <c r="H723" s="14" t="s">
        <v>21</v>
      </c>
      <c r="I723" s="14"/>
      <c r="J723" s="130" t="s">
        <v>39892</v>
      </c>
      <c r="K723" s="152" t="s">
        <v>5466</v>
      </c>
      <c r="L723" s="20"/>
      <c r="M723" s="16"/>
      <c r="N723" s="152" t="s">
        <v>5466</v>
      </c>
      <c r="O723" s="84"/>
      <c r="P723" s="84"/>
      <c r="Q723" s="84"/>
      <c r="R723" s="84"/>
      <c r="S723" s="84"/>
      <c r="T723" s="84"/>
      <c r="U723" s="84"/>
      <c r="V723" s="84"/>
      <c r="W723" s="84"/>
      <c r="X723" s="84"/>
    </row>
    <row r="724" ht="15.75" customHeight="1">
      <c r="A724" s="14" t="s">
        <v>17</v>
      </c>
      <c r="B724" s="14">
        <v>1999.0</v>
      </c>
      <c r="C724" s="14" t="s">
        <v>5467</v>
      </c>
      <c r="D724" s="14" t="s">
        <v>5468</v>
      </c>
      <c r="E724" s="150" t="str">
        <f t="shared" si="7"/>
        <v>http://dx.doi.org/10.1109/VISUAL.1999.809940</v>
      </c>
      <c r="F724" s="14">
        <v>491.0</v>
      </c>
      <c r="G724" s="14">
        <v>495.0</v>
      </c>
      <c r="H724" s="14" t="s">
        <v>21</v>
      </c>
      <c r="I724" s="14"/>
      <c r="J724" s="130" t="s">
        <v>5470</v>
      </c>
      <c r="K724" s="152" t="s">
        <v>5471</v>
      </c>
      <c r="L724" s="20"/>
      <c r="M724" s="16"/>
      <c r="N724" s="152" t="s">
        <v>5471</v>
      </c>
      <c r="O724" s="84"/>
      <c r="P724" s="84"/>
      <c r="Q724" s="84"/>
      <c r="R724" s="84"/>
      <c r="S724" s="84"/>
      <c r="T724" s="84"/>
      <c r="U724" s="84"/>
      <c r="V724" s="84"/>
      <c r="W724" s="84"/>
      <c r="X724" s="84"/>
    </row>
    <row r="725" ht="15.75" customHeight="1">
      <c r="A725" s="14" t="s">
        <v>2137</v>
      </c>
      <c r="B725" s="50">
        <v>2000.0</v>
      </c>
      <c r="C725" s="14" t="s">
        <v>5472</v>
      </c>
      <c r="D725" s="14" t="s">
        <v>5473</v>
      </c>
      <c r="E725" s="172" t="s">
        <v>5475</v>
      </c>
      <c r="F725" s="14">
        <v>173.0</v>
      </c>
      <c r="G725" s="14"/>
      <c r="H725" s="14" t="s">
        <v>28</v>
      </c>
      <c r="I725" s="14"/>
      <c r="J725" s="16" t="s">
        <v>5477</v>
      </c>
      <c r="K725" s="152" t="s">
        <v>5478</v>
      </c>
      <c r="L725" s="20" t="s">
        <v>5479</v>
      </c>
      <c r="M725" s="16"/>
      <c r="N725" s="130" t="s">
        <v>39895</v>
      </c>
      <c r="O725" s="84"/>
      <c r="P725" s="84"/>
      <c r="Q725" s="84"/>
      <c r="R725" s="84"/>
      <c r="S725" s="84"/>
      <c r="T725" s="84"/>
      <c r="U725" s="84"/>
      <c r="V725" s="84"/>
      <c r="W725" s="84"/>
      <c r="X725" s="84"/>
    </row>
    <row r="726" ht="15.75" customHeight="1">
      <c r="A726" s="14" t="s">
        <v>2137</v>
      </c>
      <c r="B726" s="14">
        <v>2000.0</v>
      </c>
      <c r="C726" s="14" t="s">
        <v>5480</v>
      </c>
      <c r="D726" s="14" t="s">
        <v>5481</v>
      </c>
      <c r="E726" s="150" t="str">
        <f t="shared" ref="E726:E748" si="8">"http://dx.doi.org/" &amp; D726</f>
        <v>http://dx.doi.org/10.1109/INFVIS.2000.885086</v>
      </c>
      <c r="F726" s="14">
        <v>5.0</v>
      </c>
      <c r="G726" s="14">
        <v>14.0</v>
      </c>
      <c r="H726" s="14" t="s">
        <v>28</v>
      </c>
      <c r="I726" s="14"/>
      <c r="J726" s="130" t="s">
        <v>5485</v>
      </c>
      <c r="K726" s="152" t="s">
        <v>5115</v>
      </c>
      <c r="L726" s="20" t="s">
        <v>2728</v>
      </c>
      <c r="M726" s="16"/>
      <c r="N726" s="130" t="s">
        <v>39834</v>
      </c>
      <c r="O726" s="84"/>
      <c r="P726" s="84"/>
      <c r="Q726" s="84"/>
      <c r="R726" s="84"/>
      <c r="S726" s="84"/>
      <c r="T726" s="84"/>
      <c r="U726" s="84"/>
      <c r="V726" s="84"/>
      <c r="W726" s="84"/>
      <c r="X726" s="84"/>
    </row>
    <row r="727" ht="15.75" customHeight="1">
      <c r="A727" s="14" t="s">
        <v>2137</v>
      </c>
      <c r="B727" s="14">
        <v>2000.0</v>
      </c>
      <c r="C727" s="14" t="s">
        <v>5486</v>
      </c>
      <c r="D727" s="14" t="s">
        <v>5487</v>
      </c>
      <c r="E727" s="150" t="str">
        <f t="shared" si="8"/>
        <v>http://dx.doi.org/10.1109/INFVIS.2000.885087</v>
      </c>
      <c r="F727" s="14">
        <v>15.0</v>
      </c>
      <c r="G727" s="14">
        <v>25.0</v>
      </c>
      <c r="H727" s="14" t="s">
        <v>28</v>
      </c>
      <c r="I727" s="14"/>
      <c r="J727" s="130" t="s">
        <v>5489</v>
      </c>
      <c r="K727" s="152" t="s">
        <v>30</v>
      </c>
      <c r="L727" s="20" t="s">
        <v>2198</v>
      </c>
      <c r="M727" s="174" t="s">
        <v>5491</v>
      </c>
      <c r="N727" s="130" t="s">
        <v>39834</v>
      </c>
      <c r="O727" s="84"/>
      <c r="P727" s="84"/>
      <c r="Q727" s="84"/>
      <c r="R727" s="84"/>
      <c r="S727" s="84"/>
      <c r="T727" s="84"/>
      <c r="U727" s="84"/>
      <c r="V727" s="84"/>
      <c r="W727" s="84"/>
      <c r="X727" s="84"/>
    </row>
    <row r="728" ht="15.75" customHeight="1">
      <c r="A728" s="14" t="s">
        <v>2137</v>
      </c>
      <c r="B728" s="14">
        <v>2000.0</v>
      </c>
      <c r="C728" s="14" t="s">
        <v>5493</v>
      </c>
      <c r="D728" s="14" t="s">
        <v>5494</v>
      </c>
      <c r="E728" s="150" t="str">
        <f t="shared" si="8"/>
        <v>http://dx.doi.org/10.1109/INFVIS.2000.885088</v>
      </c>
      <c r="F728" s="14">
        <v>27.0</v>
      </c>
      <c r="G728" s="14">
        <v>36.0</v>
      </c>
      <c r="H728" s="14" t="s">
        <v>28</v>
      </c>
      <c r="I728" s="14"/>
      <c r="J728" s="130" t="s">
        <v>12529</v>
      </c>
      <c r="K728" s="152" t="s">
        <v>5497</v>
      </c>
      <c r="L728" s="20" t="s">
        <v>5498</v>
      </c>
      <c r="M728" s="16"/>
      <c r="N728" s="130" t="s">
        <v>39900</v>
      </c>
      <c r="O728" s="84"/>
      <c r="P728" s="84"/>
      <c r="Q728" s="84"/>
      <c r="R728" s="84"/>
      <c r="S728" s="84"/>
      <c r="T728" s="84"/>
      <c r="U728" s="84"/>
      <c r="V728" s="84"/>
      <c r="W728" s="84"/>
      <c r="X728" s="84"/>
    </row>
    <row r="729" ht="15.75" customHeight="1">
      <c r="A729" s="14" t="s">
        <v>2137</v>
      </c>
      <c r="B729" s="14">
        <v>2000.0</v>
      </c>
      <c r="C729" s="14" t="s">
        <v>5499</v>
      </c>
      <c r="D729" s="14" t="s">
        <v>5500</v>
      </c>
      <c r="E729" s="150" t="str">
        <f t="shared" si="8"/>
        <v>http://dx.doi.org/10.1109/INFVIS.2000.885089</v>
      </c>
      <c r="F729" s="14">
        <v>39.0</v>
      </c>
      <c r="G729" s="14">
        <v>47.0</v>
      </c>
      <c r="H729" s="14" t="s">
        <v>28</v>
      </c>
      <c r="I729" s="14"/>
      <c r="J729" s="130" t="s">
        <v>5505</v>
      </c>
      <c r="K729" s="152" t="s">
        <v>178</v>
      </c>
      <c r="L729" s="20" t="s">
        <v>5506</v>
      </c>
      <c r="M729" s="174" t="s">
        <v>39033</v>
      </c>
      <c r="N729" s="130" t="s">
        <v>39902</v>
      </c>
      <c r="O729" s="84"/>
      <c r="P729" s="84"/>
      <c r="Q729" s="84"/>
      <c r="R729" s="84"/>
      <c r="S729" s="84"/>
      <c r="T729" s="84"/>
      <c r="U729" s="84"/>
      <c r="V729" s="84"/>
      <c r="W729" s="84"/>
      <c r="X729" s="84"/>
    </row>
    <row r="730" ht="15.75" customHeight="1">
      <c r="A730" s="14" t="s">
        <v>2137</v>
      </c>
      <c r="B730" s="14">
        <v>2000.0</v>
      </c>
      <c r="C730" s="14" t="s">
        <v>5508</v>
      </c>
      <c r="D730" s="14" t="s">
        <v>5509</v>
      </c>
      <c r="E730" s="150" t="str">
        <f t="shared" si="8"/>
        <v>http://dx.doi.org/10.1109/INFVIS.2000.885090</v>
      </c>
      <c r="F730" s="14">
        <v>49.0</v>
      </c>
      <c r="G730" s="14">
        <v>56.0</v>
      </c>
      <c r="H730" s="14" t="s">
        <v>28</v>
      </c>
      <c r="I730" s="14"/>
      <c r="J730" s="130" t="s">
        <v>12541</v>
      </c>
      <c r="K730" s="152" t="s">
        <v>5515</v>
      </c>
      <c r="L730" s="20" t="s">
        <v>5516</v>
      </c>
      <c r="M730" s="174" t="s">
        <v>5517</v>
      </c>
      <c r="N730" s="152" t="s">
        <v>5515</v>
      </c>
      <c r="O730" s="84"/>
      <c r="P730" s="84"/>
      <c r="Q730" s="84"/>
      <c r="R730" s="84"/>
      <c r="S730" s="84"/>
      <c r="T730" s="84"/>
      <c r="U730" s="84"/>
      <c r="V730" s="84"/>
      <c r="W730" s="84"/>
      <c r="X730" s="84"/>
    </row>
    <row r="731" ht="15.75" customHeight="1">
      <c r="A731" s="14" t="s">
        <v>2137</v>
      </c>
      <c r="B731" s="14">
        <v>2000.0</v>
      </c>
      <c r="C731" s="14" t="s">
        <v>5518</v>
      </c>
      <c r="D731" s="14" t="s">
        <v>5519</v>
      </c>
      <c r="E731" s="150" t="str">
        <f t="shared" si="8"/>
        <v>http://dx.doi.org/10.1109/INFVIS.2000.885091</v>
      </c>
      <c r="F731" s="14">
        <v>57.0</v>
      </c>
      <c r="G731" s="14">
        <v>65.0</v>
      </c>
      <c r="H731" s="14" t="s">
        <v>28</v>
      </c>
      <c r="I731" s="14"/>
      <c r="J731" s="130" t="s">
        <v>5521</v>
      </c>
      <c r="K731" s="152" t="s">
        <v>5522</v>
      </c>
      <c r="L731" s="20" t="s">
        <v>5523</v>
      </c>
      <c r="M731" s="16"/>
      <c r="N731" s="130" t="s">
        <v>39905</v>
      </c>
      <c r="O731" s="84"/>
      <c r="P731" s="84"/>
      <c r="Q731" s="84"/>
      <c r="R731" s="84"/>
      <c r="S731" s="84"/>
      <c r="T731" s="84"/>
      <c r="U731" s="84"/>
      <c r="V731" s="84"/>
      <c r="W731" s="84"/>
      <c r="X731" s="84"/>
    </row>
    <row r="732" ht="15.75" customHeight="1">
      <c r="A732" s="14" t="s">
        <v>2137</v>
      </c>
      <c r="B732" s="14">
        <v>2000.0</v>
      </c>
      <c r="C732" s="14" t="s">
        <v>5524</v>
      </c>
      <c r="D732" s="14" t="s">
        <v>5525</v>
      </c>
      <c r="E732" s="150" t="str">
        <f t="shared" si="8"/>
        <v>http://dx.doi.org/10.1109/INFVIS.2000.885092</v>
      </c>
      <c r="F732" s="14">
        <v>69.0</v>
      </c>
      <c r="G732" s="14">
        <v>75.0</v>
      </c>
      <c r="H732" s="14" t="s">
        <v>28</v>
      </c>
      <c r="I732" s="14"/>
      <c r="J732" s="130" t="s">
        <v>5531</v>
      </c>
      <c r="K732" s="152" t="s">
        <v>5532</v>
      </c>
      <c r="L732" s="20" t="s">
        <v>5533</v>
      </c>
      <c r="M732" s="174" t="s">
        <v>5534</v>
      </c>
      <c r="N732" s="130" t="s">
        <v>39907</v>
      </c>
      <c r="O732" s="84"/>
      <c r="P732" s="84"/>
      <c r="Q732" s="84"/>
      <c r="R732" s="84"/>
      <c r="S732" s="84"/>
      <c r="T732" s="84"/>
      <c r="U732" s="84"/>
      <c r="V732" s="84"/>
      <c r="W732" s="84"/>
      <c r="X732" s="84"/>
    </row>
    <row r="733" ht="15.75" customHeight="1">
      <c r="A733" s="14" t="s">
        <v>2137</v>
      </c>
      <c r="B733" s="14">
        <v>2000.0</v>
      </c>
      <c r="C733" s="14" t="s">
        <v>5535</v>
      </c>
      <c r="D733" s="14" t="s">
        <v>5536</v>
      </c>
      <c r="E733" s="150" t="str">
        <f t="shared" si="8"/>
        <v>http://dx.doi.org/10.1109/INFVIS.2000.885093</v>
      </c>
      <c r="F733" s="14">
        <v>77.0</v>
      </c>
      <c r="G733" s="14">
        <v>83.0</v>
      </c>
      <c r="H733" s="14" t="s">
        <v>28</v>
      </c>
      <c r="I733" s="14"/>
      <c r="J733" s="130" t="s">
        <v>5540</v>
      </c>
      <c r="K733" s="152" t="s">
        <v>3635</v>
      </c>
      <c r="L733" s="20" t="s">
        <v>5541</v>
      </c>
      <c r="M733" s="16"/>
      <c r="N733" s="130" t="s">
        <v>39908</v>
      </c>
      <c r="O733" s="84"/>
      <c r="P733" s="84"/>
      <c r="Q733" s="84"/>
      <c r="R733" s="84"/>
      <c r="S733" s="84"/>
      <c r="T733" s="84"/>
      <c r="U733" s="84"/>
      <c r="V733" s="84"/>
      <c r="W733" s="84"/>
      <c r="X733" s="84"/>
    </row>
    <row r="734" ht="15.75" customHeight="1">
      <c r="A734" s="14" t="s">
        <v>2137</v>
      </c>
      <c r="B734" s="14">
        <v>2000.0</v>
      </c>
      <c r="C734" s="14" t="s">
        <v>5542</v>
      </c>
      <c r="D734" s="14" t="s">
        <v>5543</v>
      </c>
      <c r="E734" s="150" t="str">
        <f t="shared" si="8"/>
        <v>http://dx.doi.org/10.1109/INFVIS.2000.885094</v>
      </c>
      <c r="F734" s="14">
        <v>85.0</v>
      </c>
      <c r="G734" s="14">
        <v>89.0</v>
      </c>
      <c r="H734" s="14" t="s">
        <v>28</v>
      </c>
      <c r="I734" s="14"/>
      <c r="J734" s="130" t="s">
        <v>12562</v>
      </c>
      <c r="K734" s="152" t="s">
        <v>5548</v>
      </c>
      <c r="L734" s="20" t="s">
        <v>5549</v>
      </c>
      <c r="M734" s="16"/>
      <c r="N734" s="152" t="s">
        <v>5548</v>
      </c>
      <c r="O734" s="84"/>
      <c r="P734" s="84"/>
      <c r="Q734" s="84"/>
      <c r="R734" s="84"/>
      <c r="S734" s="84"/>
      <c r="T734" s="84"/>
      <c r="U734" s="84"/>
      <c r="V734" s="84"/>
      <c r="W734" s="84"/>
      <c r="X734" s="84"/>
    </row>
    <row r="735" ht="15.75" customHeight="1">
      <c r="A735" s="14" t="s">
        <v>2137</v>
      </c>
      <c r="B735" s="14">
        <v>2000.0</v>
      </c>
      <c r="C735" s="14" t="s">
        <v>5550</v>
      </c>
      <c r="D735" s="14" t="s">
        <v>5551</v>
      </c>
      <c r="E735" s="150" t="str">
        <f t="shared" si="8"/>
        <v>http://dx.doi.org/10.1109/INFVIS.2000.885095</v>
      </c>
      <c r="F735" s="14">
        <v>91.0</v>
      </c>
      <c r="G735" s="14">
        <v>97.0</v>
      </c>
      <c r="H735" s="14" t="s">
        <v>28</v>
      </c>
      <c r="I735" s="14"/>
      <c r="J735" s="130" t="s">
        <v>12569</v>
      </c>
      <c r="K735" s="152" t="s">
        <v>5557</v>
      </c>
      <c r="L735" s="20" t="s">
        <v>5558</v>
      </c>
      <c r="M735" s="16"/>
      <c r="N735" s="130" t="s">
        <v>39913</v>
      </c>
      <c r="O735" s="84"/>
      <c r="P735" s="84"/>
      <c r="Q735" s="84"/>
      <c r="R735" s="84"/>
      <c r="S735" s="84"/>
      <c r="T735" s="84"/>
      <c r="U735" s="84"/>
      <c r="V735" s="84"/>
      <c r="W735" s="84"/>
      <c r="X735" s="84"/>
    </row>
    <row r="736" ht="15.75" customHeight="1">
      <c r="A736" s="14" t="s">
        <v>2137</v>
      </c>
      <c r="B736" s="14">
        <v>2000.0</v>
      </c>
      <c r="C736" s="14" t="s">
        <v>5559</v>
      </c>
      <c r="D736" s="14" t="s">
        <v>5560</v>
      </c>
      <c r="E736" s="150" t="str">
        <f t="shared" si="8"/>
        <v>http://dx.doi.org/10.1109/INFVIS.2000.885096</v>
      </c>
      <c r="F736" s="14">
        <v>99.0</v>
      </c>
      <c r="G736" s="14">
        <v>103.0</v>
      </c>
      <c r="H736" s="14" t="s">
        <v>28</v>
      </c>
      <c r="I736" s="14"/>
      <c r="J736" s="130" t="s">
        <v>12574</v>
      </c>
      <c r="K736" s="152" t="s">
        <v>5566</v>
      </c>
      <c r="L736" s="20" t="s">
        <v>5567</v>
      </c>
      <c r="M736" s="16"/>
      <c r="N736" s="152" t="s">
        <v>5566</v>
      </c>
      <c r="O736" s="84"/>
      <c r="P736" s="84"/>
      <c r="Q736" s="84"/>
      <c r="R736" s="84"/>
      <c r="S736" s="84"/>
      <c r="T736" s="84"/>
      <c r="U736" s="84"/>
      <c r="V736" s="84"/>
      <c r="W736" s="84"/>
      <c r="X736" s="84"/>
    </row>
    <row r="737" ht="15.75" customHeight="1">
      <c r="A737" s="14" t="s">
        <v>2137</v>
      </c>
      <c r="B737" s="14">
        <v>2000.0</v>
      </c>
      <c r="C737" s="14" t="s">
        <v>5568</v>
      </c>
      <c r="D737" s="14" t="s">
        <v>5569</v>
      </c>
      <c r="E737" s="150" t="str">
        <f t="shared" si="8"/>
        <v>http://dx.doi.org/10.1109/INFVIS.2000.885097</v>
      </c>
      <c r="F737" s="14">
        <v>105.0</v>
      </c>
      <c r="G737" s="14">
        <v>111.0</v>
      </c>
      <c r="H737" s="14" t="s">
        <v>28</v>
      </c>
      <c r="I737" s="14"/>
      <c r="J737" s="130" t="s">
        <v>5574</v>
      </c>
      <c r="K737" s="152" t="s">
        <v>5575</v>
      </c>
      <c r="L737" s="20" t="s">
        <v>5576</v>
      </c>
      <c r="M737" s="16"/>
      <c r="N737" s="130" t="s">
        <v>39917</v>
      </c>
      <c r="O737" s="84"/>
      <c r="P737" s="84"/>
      <c r="Q737" s="84"/>
      <c r="R737" s="84"/>
      <c r="S737" s="84"/>
      <c r="T737" s="84"/>
      <c r="U737" s="84"/>
      <c r="V737" s="84"/>
      <c r="W737" s="84"/>
      <c r="X737" s="84"/>
    </row>
    <row r="738" ht="15.75" customHeight="1">
      <c r="A738" s="14" t="s">
        <v>2137</v>
      </c>
      <c r="B738" s="14">
        <v>2000.0</v>
      </c>
      <c r="C738" s="14" t="s">
        <v>5577</v>
      </c>
      <c r="D738" s="14" t="s">
        <v>5578</v>
      </c>
      <c r="E738" s="150" t="str">
        <f t="shared" si="8"/>
        <v>http://dx.doi.org/10.1109/INFVIS.2000.885098</v>
      </c>
      <c r="F738" s="14">
        <v>115.0</v>
      </c>
      <c r="G738" s="14">
        <v>123.0</v>
      </c>
      <c r="H738" s="14" t="s">
        <v>28</v>
      </c>
      <c r="I738" s="14"/>
      <c r="J738" s="130" t="s">
        <v>5580</v>
      </c>
      <c r="K738" s="152" t="s">
        <v>5581</v>
      </c>
      <c r="L738" s="20" t="s">
        <v>5582</v>
      </c>
      <c r="M738" s="16"/>
      <c r="N738" s="130" t="s">
        <v>39918</v>
      </c>
      <c r="O738" s="84"/>
      <c r="P738" s="84"/>
      <c r="Q738" s="84"/>
      <c r="R738" s="84"/>
      <c r="S738" s="84"/>
      <c r="T738" s="84"/>
      <c r="U738" s="84"/>
      <c r="V738" s="84"/>
      <c r="W738" s="84"/>
      <c r="X738" s="84"/>
    </row>
    <row r="739" ht="15.75" customHeight="1">
      <c r="A739" s="14" t="s">
        <v>2137</v>
      </c>
      <c r="B739" s="14">
        <v>2000.0</v>
      </c>
      <c r="C739" s="14" t="s">
        <v>5583</v>
      </c>
      <c r="D739" s="14" t="s">
        <v>5584</v>
      </c>
      <c r="E739" s="150" t="str">
        <f t="shared" si="8"/>
        <v>http://dx.doi.org/10.1109/INFVIS.2000.885099</v>
      </c>
      <c r="F739" s="14">
        <v>125.0</v>
      </c>
      <c r="G739" s="14">
        <v>129.0</v>
      </c>
      <c r="H739" s="14" t="s">
        <v>28</v>
      </c>
      <c r="I739" s="14"/>
      <c r="J739" s="130" t="s">
        <v>5588</v>
      </c>
      <c r="K739" s="152" t="s">
        <v>5589</v>
      </c>
      <c r="L739" s="20"/>
      <c r="M739" s="16"/>
      <c r="N739" s="130" t="s">
        <v>39922</v>
      </c>
      <c r="O739" s="84"/>
      <c r="P739" s="84"/>
      <c r="Q739" s="84"/>
      <c r="R739" s="84"/>
      <c r="S739" s="84"/>
      <c r="T739" s="84"/>
      <c r="U739" s="84"/>
      <c r="V739" s="84"/>
      <c r="W739" s="84"/>
      <c r="X739" s="84"/>
    </row>
    <row r="740" ht="15.75" customHeight="1">
      <c r="A740" s="14" t="s">
        <v>2137</v>
      </c>
      <c r="B740" s="14">
        <v>2000.0</v>
      </c>
      <c r="C740" s="14" t="s">
        <v>5590</v>
      </c>
      <c r="D740" s="14" t="s">
        <v>5591</v>
      </c>
      <c r="E740" s="150" t="str">
        <f t="shared" si="8"/>
        <v>http://dx.doi.org/10.1109/INFVIS.2000.885101</v>
      </c>
      <c r="F740" s="14">
        <v>131.0</v>
      </c>
      <c r="G740" s="14" t="s">
        <v>5593</v>
      </c>
      <c r="H740" s="14" t="s">
        <v>28</v>
      </c>
      <c r="I740" s="14"/>
      <c r="J740" s="130" t="s">
        <v>5594</v>
      </c>
      <c r="K740" s="152" t="s">
        <v>5595</v>
      </c>
      <c r="L740" s="20"/>
      <c r="M740" s="16"/>
      <c r="N740" s="130" t="s">
        <v>36014</v>
      </c>
      <c r="O740" s="84"/>
      <c r="P740" s="84"/>
      <c r="Q740" s="84"/>
      <c r="R740" s="84"/>
      <c r="S740" s="84"/>
      <c r="T740" s="84"/>
      <c r="U740" s="84"/>
      <c r="V740" s="84"/>
      <c r="W740" s="84"/>
      <c r="X740" s="84"/>
    </row>
    <row r="741" ht="15.75" customHeight="1">
      <c r="A741" s="14" t="s">
        <v>2137</v>
      </c>
      <c r="B741" s="14">
        <v>2000.0</v>
      </c>
      <c r="C741" s="14" t="s">
        <v>5596</v>
      </c>
      <c r="D741" s="14" t="s">
        <v>5597</v>
      </c>
      <c r="E741" s="150" t="str">
        <f t="shared" si="8"/>
        <v>http://dx.doi.org/10.1109/INFVIS.2000.885102</v>
      </c>
      <c r="F741" s="14">
        <v>137.0</v>
      </c>
      <c r="G741" s="14">
        <v>141.0</v>
      </c>
      <c r="H741" s="14" t="s">
        <v>28</v>
      </c>
      <c r="I741" s="14"/>
      <c r="J741" s="130" t="s">
        <v>5602</v>
      </c>
      <c r="K741" s="152" t="s">
        <v>5603</v>
      </c>
      <c r="L741" s="20"/>
      <c r="M741" s="16"/>
      <c r="N741" s="130" t="s">
        <v>39923</v>
      </c>
      <c r="O741" s="84"/>
      <c r="P741" s="84"/>
      <c r="Q741" s="84"/>
      <c r="R741" s="84"/>
      <c r="S741" s="84"/>
      <c r="T741" s="84"/>
      <c r="U741" s="84"/>
      <c r="V741" s="84"/>
      <c r="W741" s="84"/>
      <c r="X741" s="84"/>
    </row>
    <row r="742" ht="15.75" customHeight="1">
      <c r="A742" s="14" t="s">
        <v>2137</v>
      </c>
      <c r="B742" s="14">
        <v>2000.0</v>
      </c>
      <c r="C742" s="14" t="s">
        <v>5604</v>
      </c>
      <c r="D742" s="14" t="s">
        <v>5605</v>
      </c>
      <c r="E742" s="150" t="str">
        <f t="shared" si="8"/>
        <v>http://dx.doi.org/10.1109/INFVIS.2000.885103</v>
      </c>
      <c r="F742" s="14">
        <v>145.0</v>
      </c>
      <c r="G742" s="14">
        <v>153.0</v>
      </c>
      <c r="H742" s="14" t="s">
        <v>28</v>
      </c>
      <c r="I742" s="14"/>
      <c r="J742" s="130" t="s">
        <v>5608</v>
      </c>
      <c r="K742" s="152" t="s">
        <v>5609</v>
      </c>
      <c r="L742" s="20" t="s">
        <v>3903</v>
      </c>
      <c r="M742" s="16"/>
      <c r="N742" s="130"/>
      <c r="O742" s="84"/>
      <c r="P742" s="84"/>
      <c r="Q742" s="84"/>
      <c r="R742" s="84"/>
      <c r="S742" s="84"/>
      <c r="T742" s="84"/>
      <c r="U742" s="84"/>
      <c r="V742" s="84"/>
      <c r="W742" s="84"/>
      <c r="X742" s="84"/>
    </row>
    <row r="743" ht="15.75" customHeight="1">
      <c r="A743" s="14" t="s">
        <v>2137</v>
      </c>
      <c r="B743" s="14">
        <v>2000.0</v>
      </c>
      <c r="C743" s="14" t="s">
        <v>5611</v>
      </c>
      <c r="D743" s="14" t="s">
        <v>5612</v>
      </c>
      <c r="E743" s="150" t="str">
        <f t="shared" si="8"/>
        <v>http://dx.doi.org/10.1109/INFVIS.2000.885104</v>
      </c>
      <c r="F743" s="14">
        <v>155.0</v>
      </c>
      <c r="G743" s="14">
        <v>165.0</v>
      </c>
      <c r="H743" s="14" t="s">
        <v>28</v>
      </c>
      <c r="I743" s="14"/>
      <c r="J743" s="130" t="s">
        <v>5614</v>
      </c>
      <c r="K743" s="152" t="s">
        <v>5615</v>
      </c>
      <c r="L743" s="20" t="s">
        <v>3579</v>
      </c>
      <c r="M743" s="16"/>
      <c r="N743" s="130" t="s">
        <v>39926</v>
      </c>
      <c r="O743" s="84"/>
      <c r="P743" s="84"/>
      <c r="Q743" s="84"/>
      <c r="R743" s="84"/>
      <c r="S743" s="84"/>
      <c r="T743" s="84"/>
      <c r="U743" s="84"/>
      <c r="V743" s="84"/>
      <c r="W743" s="84"/>
      <c r="X743" s="84"/>
    </row>
    <row r="744" ht="15.75" customHeight="1">
      <c r="A744" s="14" t="s">
        <v>2137</v>
      </c>
      <c r="B744" s="14">
        <v>2000.0</v>
      </c>
      <c r="C744" s="14" t="s">
        <v>5616</v>
      </c>
      <c r="D744" s="14" t="s">
        <v>5617</v>
      </c>
      <c r="E744" s="150" t="str">
        <f t="shared" si="8"/>
        <v>http://dx.doi.org/10.1109/INFVIS.2000.885105</v>
      </c>
      <c r="F744" s="14">
        <v>167.0</v>
      </c>
      <c r="G744" s="14">
        <v>171.0</v>
      </c>
      <c r="H744" s="14" t="s">
        <v>28</v>
      </c>
      <c r="I744" s="14"/>
      <c r="J744" s="130" t="s">
        <v>12617</v>
      </c>
      <c r="K744" s="152" t="s">
        <v>5623</v>
      </c>
      <c r="L744" s="20"/>
      <c r="M744" s="174" t="s">
        <v>38974</v>
      </c>
      <c r="N744" s="152" t="s">
        <v>5623</v>
      </c>
      <c r="O744" s="84"/>
      <c r="P744" s="84"/>
      <c r="Q744" s="84"/>
      <c r="R744" s="84"/>
      <c r="S744" s="84"/>
      <c r="T744" s="84"/>
      <c r="U744" s="84"/>
      <c r="V744" s="84"/>
      <c r="W744" s="84"/>
      <c r="X744" s="84"/>
    </row>
    <row r="745" ht="15.75" customHeight="1">
      <c r="A745" s="14" t="s">
        <v>17</v>
      </c>
      <c r="B745" s="14">
        <v>2000.0</v>
      </c>
      <c r="C745" s="14" t="s">
        <v>5625</v>
      </c>
      <c r="D745" s="14" t="s">
        <v>5626</v>
      </c>
      <c r="E745" s="150" t="str">
        <f t="shared" si="8"/>
        <v>http://dx.doi.org/10.1109/VISUAL.2000.885672</v>
      </c>
      <c r="F745" s="14">
        <v>21.0</v>
      </c>
      <c r="G745" s="14">
        <v>28.0</v>
      </c>
      <c r="H745" s="14" t="s">
        <v>28</v>
      </c>
      <c r="I745" s="14"/>
      <c r="J745" s="130" t="s">
        <v>12621</v>
      </c>
      <c r="K745" s="152" t="s">
        <v>5637</v>
      </c>
      <c r="L745" s="20" t="s">
        <v>4406</v>
      </c>
      <c r="M745" s="174" t="s">
        <v>5638</v>
      </c>
      <c r="N745" s="130" t="s">
        <v>39937</v>
      </c>
      <c r="O745" s="84"/>
      <c r="P745" s="84"/>
      <c r="Q745" s="84"/>
      <c r="R745" s="84"/>
      <c r="S745" s="84"/>
      <c r="T745" s="84"/>
      <c r="U745" s="84"/>
      <c r="V745" s="84"/>
      <c r="W745" s="84"/>
      <c r="X745" s="84"/>
    </row>
    <row r="746" ht="15.75" customHeight="1">
      <c r="A746" s="14" t="s">
        <v>17</v>
      </c>
      <c r="B746" s="14">
        <v>2000.0</v>
      </c>
      <c r="C746" s="14" t="s">
        <v>5639</v>
      </c>
      <c r="D746" s="14" t="s">
        <v>5640</v>
      </c>
      <c r="E746" s="150" t="str">
        <f t="shared" si="8"/>
        <v>http://dx.doi.org/10.1109/VISUAL.2000.885673</v>
      </c>
      <c r="F746" s="14">
        <v>29.0</v>
      </c>
      <c r="G746" s="14">
        <v>36.0</v>
      </c>
      <c r="H746" s="14" t="s">
        <v>28</v>
      </c>
      <c r="I746" s="14"/>
      <c r="J746" s="130" t="s">
        <v>5642</v>
      </c>
      <c r="K746" s="152" t="s">
        <v>5643</v>
      </c>
      <c r="L746" s="20" t="s">
        <v>5644</v>
      </c>
      <c r="M746" s="174" t="s">
        <v>5645</v>
      </c>
      <c r="N746" s="130" t="s">
        <v>39940</v>
      </c>
      <c r="O746" s="84"/>
      <c r="P746" s="84"/>
      <c r="Q746" s="84"/>
      <c r="R746" s="84"/>
      <c r="S746" s="84"/>
      <c r="T746" s="84"/>
      <c r="U746" s="84"/>
      <c r="V746" s="84"/>
      <c r="W746" s="84"/>
      <c r="X746" s="84"/>
    </row>
    <row r="747" ht="15.75" customHeight="1">
      <c r="A747" s="14" t="s">
        <v>17</v>
      </c>
      <c r="B747" s="14">
        <v>2000.0</v>
      </c>
      <c r="C747" s="14" t="s">
        <v>5646</v>
      </c>
      <c r="D747" s="14" t="s">
        <v>5647</v>
      </c>
      <c r="E747" s="150" t="str">
        <f t="shared" si="8"/>
        <v>http://dx.doi.org/10.1109/VISUAL.2000.885674</v>
      </c>
      <c r="F747" s="14">
        <v>37.0</v>
      </c>
      <c r="G747" s="14">
        <v>44.0</v>
      </c>
      <c r="H747" s="14" t="s">
        <v>28</v>
      </c>
      <c r="I747" s="14"/>
      <c r="J747" s="130" t="s">
        <v>5649</v>
      </c>
      <c r="K747" s="152" t="s">
        <v>184</v>
      </c>
      <c r="L747" s="20" t="s">
        <v>5320</v>
      </c>
      <c r="M747" s="174" t="s">
        <v>39041</v>
      </c>
      <c r="N747" s="130" t="s">
        <v>38525</v>
      </c>
      <c r="O747" s="84"/>
      <c r="P747" s="84"/>
      <c r="Q747" s="84"/>
      <c r="R747" s="84"/>
      <c r="S747" s="84"/>
      <c r="T747" s="84"/>
      <c r="U747" s="84"/>
      <c r="V747" s="84"/>
      <c r="W747" s="84"/>
      <c r="X747" s="84"/>
    </row>
    <row r="748" ht="15.75" customHeight="1">
      <c r="A748" s="14" t="s">
        <v>17</v>
      </c>
      <c r="B748" s="14">
        <v>2000.0</v>
      </c>
      <c r="C748" s="14" t="s">
        <v>5651</v>
      </c>
      <c r="D748" s="14" t="s">
        <v>5652</v>
      </c>
      <c r="E748" s="150" t="str">
        <f t="shared" si="8"/>
        <v>http://dx.doi.org/10.1109/VISUAL.2000.885675</v>
      </c>
      <c r="F748" s="14">
        <v>45.0</v>
      </c>
      <c r="G748" s="14">
        <v>52.0</v>
      </c>
      <c r="H748" s="14" t="s">
        <v>28</v>
      </c>
      <c r="I748" s="14"/>
      <c r="J748" s="130" t="s">
        <v>5654</v>
      </c>
      <c r="K748" s="152" t="s">
        <v>5655</v>
      </c>
      <c r="L748" s="20" t="s">
        <v>5647</v>
      </c>
      <c r="M748" s="16"/>
      <c r="N748" s="130" t="s">
        <v>39944</v>
      </c>
      <c r="O748" s="84"/>
      <c r="P748" s="84"/>
      <c r="Q748" s="84"/>
      <c r="R748" s="84"/>
      <c r="S748" s="84"/>
      <c r="T748" s="84"/>
      <c r="U748" s="84"/>
      <c r="V748" s="84"/>
      <c r="W748" s="84"/>
      <c r="X748" s="84"/>
    </row>
    <row r="749" ht="15.75" customHeight="1">
      <c r="A749" s="14" t="s">
        <v>17</v>
      </c>
      <c r="B749" s="50">
        <v>2000.0</v>
      </c>
      <c r="C749" s="14" t="s">
        <v>5656</v>
      </c>
      <c r="D749" s="67" t="s">
        <v>5657</v>
      </c>
      <c r="E749" s="200" t="str">
        <f>HYPERLINK("http://doi.ieeecomputersociety.org/10.1109/VISUAL.2000.885676","http://doi.ieeecomputersociety.org/10.1109/VISUAL.2000.885676")</f>
        <v>http://doi.ieeecomputersociety.org/10.1109/VISUAL.2000.885676</v>
      </c>
      <c r="F749" s="50">
        <v>53.0</v>
      </c>
      <c r="G749" s="50">
        <v>60.0</v>
      </c>
      <c r="H749" s="14" t="s">
        <v>28</v>
      </c>
      <c r="I749" s="14"/>
      <c r="J749" s="130" t="s">
        <v>5659</v>
      </c>
      <c r="K749" s="152" t="s">
        <v>5660</v>
      </c>
      <c r="L749" s="20"/>
      <c r="M749" s="121" t="s">
        <v>5661</v>
      </c>
      <c r="N749" s="152" t="s">
        <v>5660</v>
      </c>
      <c r="O749" s="84"/>
      <c r="P749" s="84"/>
      <c r="Q749" s="84"/>
      <c r="R749" s="84"/>
      <c r="S749" s="84"/>
      <c r="T749" s="84"/>
      <c r="U749" s="84"/>
      <c r="V749" s="84"/>
      <c r="W749" s="84"/>
      <c r="X749" s="84"/>
    </row>
    <row r="750" ht="15.75" customHeight="1">
      <c r="A750" s="14" t="s">
        <v>17</v>
      </c>
      <c r="B750" s="14">
        <v>2000.0</v>
      </c>
      <c r="C750" s="14" t="s">
        <v>5662</v>
      </c>
      <c r="D750" s="14" t="s">
        <v>5663</v>
      </c>
      <c r="E750" s="150" t="str">
        <f t="shared" ref="E750:E764" si="9">"http://dx.doi.org/" &amp; D750</f>
        <v>http://dx.doi.org/10.1109/VISUAL.2000.885677</v>
      </c>
      <c r="F750" s="14">
        <v>61.0</v>
      </c>
      <c r="G750" s="14">
        <v>68.0</v>
      </c>
      <c r="H750" s="14" t="s">
        <v>28</v>
      </c>
      <c r="I750" s="14"/>
      <c r="J750" s="130" t="s">
        <v>5665</v>
      </c>
      <c r="K750" s="152" t="s">
        <v>5666</v>
      </c>
      <c r="L750" s="20" t="s">
        <v>5667</v>
      </c>
      <c r="M750" s="174" t="s">
        <v>39120</v>
      </c>
      <c r="N750" s="130" t="s">
        <v>39947</v>
      </c>
      <c r="O750" s="84"/>
      <c r="P750" s="84"/>
      <c r="Q750" s="84"/>
      <c r="R750" s="84"/>
      <c r="S750" s="84"/>
      <c r="T750" s="84"/>
      <c r="U750" s="84"/>
      <c r="V750" s="84"/>
      <c r="W750" s="84"/>
      <c r="X750" s="84"/>
    </row>
    <row r="751" ht="15.75" customHeight="1">
      <c r="A751" s="14" t="s">
        <v>17</v>
      </c>
      <c r="B751" s="14">
        <v>2000.0</v>
      </c>
      <c r="C751" s="14" t="s">
        <v>5669</v>
      </c>
      <c r="D751" s="14" t="s">
        <v>5670</v>
      </c>
      <c r="E751" s="150" t="str">
        <f t="shared" si="9"/>
        <v>http://dx.doi.org/10.1109/VISUAL.2000.885678</v>
      </c>
      <c r="F751" s="14">
        <v>69.0</v>
      </c>
      <c r="G751" s="14">
        <v>76.0</v>
      </c>
      <c r="H751" s="14" t="s">
        <v>28</v>
      </c>
      <c r="I751" s="14"/>
      <c r="J751" s="130" t="s">
        <v>5672</v>
      </c>
      <c r="K751" s="152" t="s">
        <v>5673</v>
      </c>
      <c r="L751" s="20" t="s">
        <v>5674</v>
      </c>
      <c r="M751" s="174" t="s">
        <v>5675</v>
      </c>
      <c r="N751" s="130" t="s">
        <v>35935</v>
      </c>
      <c r="O751" s="84"/>
      <c r="P751" s="84"/>
      <c r="Q751" s="84"/>
      <c r="R751" s="84"/>
      <c r="S751" s="84"/>
      <c r="T751" s="84"/>
      <c r="U751" s="84"/>
      <c r="V751" s="84"/>
      <c r="W751" s="84"/>
      <c r="X751" s="84"/>
    </row>
    <row r="752" ht="15.75" customHeight="1">
      <c r="A752" s="14" t="s">
        <v>17</v>
      </c>
      <c r="B752" s="14">
        <v>2000.0</v>
      </c>
      <c r="C752" s="14" t="s">
        <v>5676</v>
      </c>
      <c r="D752" s="14" t="s">
        <v>5677</v>
      </c>
      <c r="E752" s="150" t="str">
        <f t="shared" si="9"/>
        <v>http://dx.doi.org/10.1109/VISUAL.2000.885679</v>
      </c>
      <c r="F752" s="14">
        <v>77.0</v>
      </c>
      <c r="G752" s="14">
        <v>84.0</v>
      </c>
      <c r="H752" s="14" t="s">
        <v>28</v>
      </c>
      <c r="I752" s="14"/>
      <c r="J752" s="130" t="s">
        <v>5679</v>
      </c>
      <c r="K752" s="152" t="s">
        <v>5680</v>
      </c>
      <c r="L752" s="20" t="s">
        <v>5681</v>
      </c>
      <c r="M752" s="174" t="s">
        <v>5682</v>
      </c>
      <c r="N752" s="130" t="s">
        <v>39948</v>
      </c>
      <c r="O752" s="84"/>
      <c r="P752" s="84"/>
      <c r="Q752" s="84"/>
      <c r="R752" s="84"/>
      <c r="S752" s="84"/>
      <c r="T752" s="84"/>
      <c r="U752" s="84"/>
      <c r="V752" s="84"/>
      <c r="W752" s="84"/>
      <c r="X752" s="84"/>
    </row>
    <row r="753" ht="15.75" customHeight="1">
      <c r="A753" s="14" t="s">
        <v>17</v>
      </c>
      <c r="B753" s="14">
        <v>2000.0</v>
      </c>
      <c r="C753" s="14" t="s">
        <v>5683</v>
      </c>
      <c r="D753" s="14" t="s">
        <v>5684</v>
      </c>
      <c r="E753" s="150" t="str">
        <f t="shared" si="9"/>
        <v>http://dx.doi.org/10.1109/VISUAL.2000.885680</v>
      </c>
      <c r="F753" s="14">
        <v>85.0</v>
      </c>
      <c r="G753" s="14">
        <v>92.0</v>
      </c>
      <c r="H753" s="14" t="s">
        <v>28</v>
      </c>
      <c r="I753" s="14"/>
      <c r="J753" s="130" t="s">
        <v>5686</v>
      </c>
      <c r="K753" s="152" t="s">
        <v>5687</v>
      </c>
      <c r="L753" s="20" t="s">
        <v>5688</v>
      </c>
      <c r="M753" s="174" t="s">
        <v>39206</v>
      </c>
      <c r="N753" s="130" t="s">
        <v>39976</v>
      </c>
      <c r="O753" s="84"/>
      <c r="P753" s="84"/>
      <c r="Q753" s="84"/>
      <c r="R753" s="84"/>
      <c r="S753" s="84"/>
      <c r="T753" s="84"/>
      <c r="U753" s="84"/>
      <c r="V753" s="84"/>
      <c r="W753" s="84"/>
      <c r="X753" s="84"/>
    </row>
    <row r="754" ht="15.75" customHeight="1">
      <c r="A754" s="14" t="s">
        <v>17</v>
      </c>
      <c r="B754" s="14">
        <v>2000.0</v>
      </c>
      <c r="C754" s="14" t="s">
        <v>5690</v>
      </c>
      <c r="D754" s="14" t="s">
        <v>5691</v>
      </c>
      <c r="E754" s="150" t="str">
        <f t="shared" si="9"/>
        <v>http://dx.doi.org/10.1109/VISUAL.2000.885681</v>
      </c>
      <c r="F754" s="14">
        <v>93.0</v>
      </c>
      <c r="G754" s="14">
        <v>100.0</v>
      </c>
      <c r="H754" s="14" t="s">
        <v>28</v>
      </c>
      <c r="I754" s="14"/>
      <c r="J754" s="130" t="s">
        <v>5693</v>
      </c>
      <c r="K754" s="152" t="s">
        <v>5694</v>
      </c>
      <c r="L754" s="20" t="s">
        <v>3730</v>
      </c>
      <c r="M754" s="16"/>
      <c r="N754" s="130" t="s">
        <v>39977</v>
      </c>
      <c r="O754" s="84"/>
      <c r="P754" s="84"/>
      <c r="Q754" s="84"/>
      <c r="R754" s="84"/>
      <c r="S754" s="84"/>
      <c r="T754" s="84"/>
      <c r="U754" s="84"/>
      <c r="V754" s="84"/>
      <c r="W754" s="84"/>
      <c r="X754" s="84"/>
    </row>
    <row r="755" ht="15.75" customHeight="1">
      <c r="A755" s="14" t="s">
        <v>17</v>
      </c>
      <c r="B755" s="14">
        <v>2000.0</v>
      </c>
      <c r="C755" s="14" t="s">
        <v>5695</v>
      </c>
      <c r="D755" s="14" t="s">
        <v>5696</v>
      </c>
      <c r="E755" s="150" t="str">
        <f t="shared" si="9"/>
        <v>http://dx.doi.org/10.1109/VISUAL.2000.885682</v>
      </c>
      <c r="F755" s="14">
        <v>101.0</v>
      </c>
      <c r="G755" s="14">
        <v>108.0</v>
      </c>
      <c r="H755" s="14" t="s">
        <v>28</v>
      </c>
      <c r="I755" s="14"/>
      <c r="J755" s="130" t="s">
        <v>5698</v>
      </c>
      <c r="K755" s="152" t="s">
        <v>753</v>
      </c>
      <c r="L755" s="20" t="s">
        <v>4959</v>
      </c>
      <c r="M755" s="174" t="s">
        <v>5699</v>
      </c>
      <c r="N755" s="130" t="s">
        <v>39978</v>
      </c>
      <c r="O755" s="84"/>
      <c r="P755" s="84"/>
      <c r="Q755" s="84"/>
      <c r="R755" s="84"/>
      <c r="S755" s="84"/>
      <c r="T755" s="84"/>
      <c r="U755" s="84"/>
      <c r="V755" s="84"/>
      <c r="W755" s="84"/>
      <c r="X755" s="84"/>
    </row>
    <row r="756" ht="15.75" customHeight="1">
      <c r="A756" s="14" t="s">
        <v>17</v>
      </c>
      <c r="B756" s="14">
        <v>2000.0</v>
      </c>
      <c r="C756" s="14" t="s">
        <v>5700</v>
      </c>
      <c r="D756" s="14" t="s">
        <v>5701</v>
      </c>
      <c r="E756" s="150" t="str">
        <f t="shared" si="9"/>
        <v>http://dx.doi.org/10.1109/VISUAL.2000.885683</v>
      </c>
      <c r="F756" s="14">
        <v>109.0</v>
      </c>
      <c r="G756" s="14">
        <v>116.0</v>
      </c>
      <c r="H756" s="14" t="s">
        <v>28</v>
      </c>
      <c r="I756" s="14"/>
      <c r="J756" s="130" t="s">
        <v>12718</v>
      </c>
      <c r="K756" s="152" t="s">
        <v>5704</v>
      </c>
      <c r="L756" s="20" t="s">
        <v>5705</v>
      </c>
      <c r="M756" s="174" t="s">
        <v>39127</v>
      </c>
      <c r="N756" s="130" t="s">
        <v>39979</v>
      </c>
      <c r="O756" s="84"/>
      <c r="P756" s="84"/>
      <c r="Q756" s="84"/>
      <c r="R756" s="84"/>
      <c r="S756" s="84"/>
      <c r="T756" s="84"/>
      <c r="U756" s="84"/>
      <c r="V756" s="84"/>
      <c r="W756" s="84"/>
      <c r="X756" s="84"/>
    </row>
    <row r="757" ht="15.75" customHeight="1">
      <c r="A757" s="14" t="s">
        <v>17</v>
      </c>
      <c r="B757" s="14">
        <v>2000.0</v>
      </c>
      <c r="C757" s="14" t="s">
        <v>5707</v>
      </c>
      <c r="D757" s="14" t="s">
        <v>5708</v>
      </c>
      <c r="E757" s="150" t="str">
        <f t="shared" si="9"/>
        <v>http://dx.doi.org/10.1109/VISUAL.2000.885684</v>
      </c>
      <c r="F757" s="14">
        <v>117.0</v>
      </c>
      <c r="G757" s="14">
        <v>124.0</v>
      </c>
      <c r="H757" s="14" t="s">
        <v>28</v>
      </c>
      <c r="I757" s="14"/>
      <c r="J757" s="130" t="s">
        <v>5710</v>
      </c>
      <c r="K757" s="152" t="s">
        <v>3047</v>
      </c>
      <c r="L757" s="20" t="s">
        <v>5110</v>
      </c>
      <c r="M757" s="174" t="s">
        <v>5711</v>
      </c>
      <c r="N757" s="130" t="s">
        <v>39981</v>
      </c>
      <c r="O757" s="84"/>
      <c r="P757" s="84"/>
      <c r="Q757" s="84"/>
      <c r="R757" s="84"/>
      <c r="S757" s="84"/>
      <c r="T757" s="84"/>
      <c r="U757" s="84"/>
      <c r="V757" s="84"/>
      <c r="W757" s="84"/>
      <c r="X757" s="84"/>
    </row>
    <row r="758" ht="15.75" customHeight="1">
      <c r="A758" s="14" t="s">
        <v>17</v>
      </c>
      <c r="B758" s="14">
        <v>2000.0</v>
      </c>
      <c r="C758" s="14" t="s">
        <v>5712</v>
      </c>
      <c r="D758" s="14" t="s">
        <v>5713</v>
      </c>
      <c r="E758" s="150" t="str">
        <f t="shared" si="9"/>
        <v>http://dx.doi.org/10.1109/VISUAL.2000.885685</v>
      </c>
      <c r="F758" s="14">
        <v>125.0</v>
      </c>
      <c r="G758" s="14">
        <v>130.0</v>
      </c>
      <c r="H758" s="14" t="s">
        <v>28</v>
      </c>
      <c r="I758" s="14"/>
      <c r="J758" s="130" t="s">
        <v>39985</v>
      </c>
      <c r="K758" s="152" t="s">
        <v>5716</v>
      </c>
      <c r="L758" s="20" t="s">
        <v>5057</v>
      </c>
      <c r="M758" s="174" t="s">
        <v>5717</v>
      </c>
      <c r="N758" s="130" t="s">
        <v>35618</v>
      </c>
      <c r="O758" s="84"/>
      <c r="P758" s="84"/>
      <c r="Q758" s="84"/>
      <c r="R758" s="84"/>
      <c r="S758" s="84"/>
      <c r="T758" s="84"/>
      <c r="U758" s="84"/>
      <c r="V758" s="84"/>
      <c r="W758" s="84"/>
      <c r="X758" s="84"/>
    </row>
    <row r="759" ht="15.75" customHeight="1">
      <c r="A759" s="14" t="s">
        <v>17</v>
      </c>
      <c r="B759" s="14">
        <v>2000.0</v>
      </c>
      <c r="C759" s="14" t="s">
        <v>5718</v>
      </c>
      <c r="D759" s="14" t="s">
        <v>5719</v>
      </c>
      <c r="E759" s="150" t="str">
        <f t="shared" si="9"/>
        <v>http://dx.doi.org/10.1109/VISUAL.2000.885686</v>
      </c>
      <c r="F759" s="14">
        <v>131.0</v>
      </c>
      <c r="G759" s="14">
        <v>137.0</v>
      </c>
      <c r="H759" s="14" t="s">
        <v>28</v>
      </c>
      <c r="I759" s="14"/>
      <c r="J759" s="130" t="s">
        <v>5721</v>
      </c>
      <c r="K759" s="152" t="s">
        <v>5722</v>
      </c>
      <c r="L759" s="20" t="s">
        <v>5723</v>
      </c>
      <c r="M759" s="174" t="s">
        <v>5724</v>
      </c>
      <c r="N759" s="130" t="s">
        <v>39986</v>
      </c>
      <c r="O759" s="84"/>
      <c r="P759" s="84"/>
      <c r="Q759" s="84"/>
      <c r="R759" s="84"/>
      <c r="S759" s="84"/>
      <c r="T759" s="84"/>
      <c r="U759" s="84"/>
      <c r="V759" s="84"/>
      <c r="W759" s="84"/>
      <c r="X759" s="84"/>
    </row>
    <row r="760" ht="15.75" customHeight="1">
      <c r="A760" s="14" t="s">
        <v>17</v>
      </c>
      <c r="B760" s="14">
        <v>2000.0</v>
      </c>
      <c r="C760" s="14" t="s">
        <v>5725</v>
      </c>
      <c r="D760" s="14" t="s">
        <v>5726</v>
      </c>
      <c r="E760" s="150" t="str">
        <f t="shared" si="9"/>
        <v>http://dx.doi.org/10.1109/VISUAL.2000.885687</v>
      </c>
      <c r="F760" s="14">
        <v>139.0</v>
      </c>
      <c r="G760" s="14">
        <v>146.0</v>
      </c>
      <c r="H760" s="14" t="s">
        <v>28</v>
      </c>
      <c r="I760" s="14"/>
      <c r="J760" s="130" t="s">
        <v>5728</v>
      </c>
      <c r="K760" s="152" t="s">
        <v>5729</v>
      </c>
      <c r="L760" s="20" t="s">
        <v>3012</v>
      </c>
      <c r="M760" s="174" t="s">
        <v>5730</v>
      </c>
      <c r="N760" s="130" t="s">
        <v>39609</v>
      </c>
      <c r="O760" s="84"/>
      <c r="P760" s="84"/>
      <c r="Q760" s="84"/>
      <c r="R760" s="84"/>
      <c r="S760" s="84"/>
      <c r="T760" s="84"/>
      <c r="U760" s="84"/>
      <c r="V760" s="84"/>
      <c r="W760" s="84"/>
      <c r="X760" s="84"/>
    </row>
    <row r="761" ht="15.75" customHeight="1">
      <c r="A761" s="14" t="s">
        <v>17</v>
      </c>
      <c r="B761" s="14">
        <v>2000.0</v>
      </c>
      <c r="C761" s="14" t="s">
        <v>5731</v>
      </c>
      <c r="D761" s="14" t="s">
        <v>5732</v>
      </c>
      <c r="E761" s="150" t="str">
        <f t="shared" si="9"/>
        <v>http://dx.doi.org/10.1109/VISUAL.2000.885688</v>
      </c>
      <c r="F761" s="14">
        <v>147.0</v>
      </c>
      <c r="G761" s="14">
        <v>154.0</v>
      </c>
      <c r="H761" s="14" t="s">
        <v>28</v>
      </c>
      <c r="I761" s="14"/>
      <c r="J761" s="130" t="s">
        <v>12747</v>
      </c>
      <c r="K761" s="152" t="s">
        <v>5735</v>
      </c>
      <c r="L761" s="20" t="s">
        <v>5736</v>
      </c>
      <c r="M761" s="174" t="s">
        <v>5737</v>
      </c>
      <c r="N761" s="130" t="s">
        <v>39989</v>
      </c>
      <c r="O761" s="84"/>
      <c r="P761" s="84"/>
      <c r="Q761" s="84"/>
      <c r="R761" s="84"/>
      <c r="S761" s="84"/>
      <c r="T761" s="84"/>
      <c r="U761" s="84"/>
      <c r="V761" s="84"/>
      <c r="W761" s="84"/>
      <c r="X761" s="84"/>
    </row>
    <row r="762" ht="15.75" customHeight="1">
      <c r="A762" s="14" t="s">
        <v>17</v>
      </c>
      <c r="B762" s="14">
        <v>2000.0</v>
      </c>
      <c r="C762" s="14" t="s">
        <v>5738</v>
      </c>
      <c r="D762" s="14" t="s">
        <v>5739</v>
      </c>
      <c r="E762" s="150" t="str">
        <f t="shared" si="9"/>
        <v>http://dx.doi.org/10.1109/VISUAL.2000.885689</v>
      </c>
      <c r="F762" s="14">
        <v>155.0</v>
      </c>
      <c r="G762" s="14">
        <v>162.0</v>
      </c>
      <c r="H762" s="14" t="s">
        <v>28</v>
      </c>
      <c r="I762" s="14"/>
      <c r="J762" s="130" t="s">
        <v>5741</v>
      </c>
      <c r="K762" s="152" t="s">
        <v>5742</v>
      </c>
      <c r="L762" s="20" t="s">
        <v>5743</v>
      </c>
      <c r="M762" s="174" t="s">
        <v>5744</v>
      </c>
      <c r="N762" s="152" t="s">
        <v>5742</v>
      </c>
      <c r="O762" s="84"/>
      <c r="P762" s="84"/>
      <c r="Q762" s="84"/>
      <c r="R762" s="84"/>
      <c r="S762" s="84"/>
      <c r="T762" s="84"/>
      <c r="U762" s="84"/>
      <c r="V762" s="84"/>
      <c r="W762" s="84"/>
      <c r="X762" s="84"/>
    </row>
    <row r="763" ht="15.75" customHeight="1">
      <c r="A763" s="14" t="s">
        <v>17</v>
      </c>
      <c r="B763" s="14">
        <v>2000.0</v>
      </c>
      <c r="C763" s="14" t="s">
        <v>5745</v>
      </c>
      <c r="D763" s="14" t="s">
        <v>5746</v>
      </c>
      <c r="E763" s="150" t="str">
        <f t="shared" si="9"/>
        <v>http://dx.doi.org/10.1109/VISUAL.2000.885690</v>
      </c>
      <c r="F763" s="14">
        <v>163.0</v>
      </c>
      <c r="G763" s="14">
        <v>170.0</v>
      </c>
      <c r="H763" s="14" t="s">
        <v>28</v>
      </c>
      <c r="I763" s="14"/>
      <c r="J763" s="130" t="s">
        <v>39857</v>
      </c>
      <c r="K763" s="152" t="s">
        <v>5748</v>
      </c>
      <c r="L763" s="20" t="s">
        <v>5749</v>
      </c>
      <c r="M763" s="174" t="s">
        <v>5750</v>
      </c>
      <c r="N763" s="130" t="s">
        <v>39992</v>
      </c>
      <c r="O763" s="84"/>
      <c r="P763" s="84"/>
      <c r="Q763" s="84"/>
      <c r="R763" s="84"/>
      <c r="S763" s="84"/>
      <c r="T763" s="84"/>
      <c r="U763" s="84"/>
      <c r="V763" s="84"/>
      <c r="W763" s="84"/>
      <c r="X763" s="84"/>
    </row>
    <row r="764" ht="15.75" customHeight="1">
      <c r="A764" s="14" t="s">
        <v>17</v>
      </c>
      <c r="B764" s="14">
        <v>2000.0</v>
      </c>
      <c r="C764" s="14" t="s">
        <v>5751</v>
      </c>
      <c r="D764" s="14" t="s">
        <v>5752</v>
      </c>
      <c r="E764" s="150" t="str">
        <f t="shared" si="9"/>
        <v>http://dx.doi.org/10.1109/VISUAL.2000.885691</v>
      </c>
      <c r="F764" s="14">
        <v>171.0</v>
      </c>
      <c r="G764" s="14">
        <v>178.0</v>
      </c>
      <c r="H764" s="14" t="s">
        <v>28</v>
      </c>
      <c r="I764" s="14"/>
      <c r="J764" s="130" t="s">
        <v>5754</v>
      </c>
      <c r="K764" s="152" t="s">
        <v>5755</v>
      </c>
      <c r="L764" s="20" t="s">
        <v>5020</v>
      </c>
      <c r="M764" s="174" t="s">
        <v>5756</v>
      </c>
      <c r="N764" s="130" t="s">
        <v>39993</v>
      </c>
      <c r="O764" s="84"/>
      <c r="P764" s="84"/>
      <c r="Q764" s="84"/>
      <c r="R764" s="84"/>
      <c r="S764" s="84"/>
      <c r="T764" s="84"/>
      <c r="U764" s="84"/>
      <c r="V764" s="84"/>
      <c r="W764" s="84"/>
      <c r="X764" s="84"/>
    </row>
    <row r="765" ht="15.75" customHeight="1">
      <c r="A765" s="14" t="s">
        <v>17</v>
      </c>
      <c r="B765" s="50">
        <v>2000.0</v>
      </c>
      <c r="C765" s="14" t="s">
        <v>5757</v>
      </c>
      <c r="D765" s="110" t="s">
        <v>5758</v>
      </c>
      <c r="E765" s="194" t="s">
        <v>5759</v>
      </c>
      <c r="F765" s="50">
        <v>179.0</v>
      </c>
      <c r="G765" s="50">
        <v>185.0</v>
      </c>
      <c r="H765" s="14" t="s">
        <v>28</v>
      </c>
      <c r="I765" s="14"/>
      <c r="J765" s="130" t="s">
        <v>5760</v>
      </c>
      <c r="K765" s="95" t="s">
        <v>5761</v>
      </c>
      <c r="L765" s="20"/>
      <c r="M765" s="121" t="s">
        <v>5762</v>
      </c>
      <c r="N765" s="130" t="s">
        <v>39996</v>
      </c>
      <c r="O765" s="84"/>
      <c r="P765" s="84"/>
      <c r="Q765" s="84"/>
      <c r="R765" s="84"/>
      <c r="S765" s="84"/>
      <c r="T765" s="84"/>
      <c r="U765" s="84"/>
      <c r="V765" s="84"/>
      <c r="W765" s="84"/>
      <c r="X765" s="84"/>
    </row>
    <row r="766" ht="15.75" customHeight="1">
      <c r="A766" s="14" t="s">
        <v>17</v>
      </c>
      <c r="B766" s="14">
        <v>2000.0</v>
      </c>
      <c r="C766" s="14" t="s">
        <v>5763</v>
      </c>
      <c r="D766" s="14" t="s">
        <v>5764</v>
      </c>
      <c r="E766" s="150" t="str">
        <f t="shared" ref="E766:E773" si="10">"http://dx.doi.org/" &amp; D766</f>
        <v>http://dx.doi.org/10.1109/VISUAL.2000.885693</v>
      </c>
      <c r="F766" s="14">
        <v>187.0</v>
      </c>
      <c r="G766" s="14">
        <v>194.0</v>
      </c>
      <c r="H766" s="14" t="s">
        <v>28</v>
      </c>
      <c r="I766" s="14"/>
      <c r="J766" s="130" t="s">
        <v>5766</v>
      </c>
      <c r="K766" s="152" t="s">
        <v>5767</v>
      </c>
      <c r="L766" s="20" t="s">
        <v>3037</v>
      </c>
      <c r="M766" s="174" t="s">
        <v>5768</v>
      </c>
      <c r="N766" s="130"/>
      <c r="O766" s="84"/>
      <c r="P766" s="84"/>
      <c r="Q766" s="84"/>
      <c r="R766" s="84"/>
      <c r="S766" s="84"/>
      <c r="T766" s="84"/>
      <c r="U766" s="84"/>
      <c r="V766" s="84"/>
      <c r="W766" s="84"/>
      <c r="X766" s="84"/>
    </row>
    <row r="767" ht="15.75" customHeight="1">
      <c r="A767" s="14" t="s">
        <v>17</v>
      </c>
      <c r="B767" s="14">
        <v>2000.0</v>
      </c>
      <c r="C767" s="14" t="s">
        <v>5769</v>
      </c>
      <c r="D767" s="14" t="s">
        <v>5770</v>
      </c>
      <c r="E767" s="150" t="str">
        <f t="shared" si="10"/>
        <v>http://dx.doi.org/10.1109/VISUAL.2000.885694</v>
      </c>
      <c r="F767" s="14">
        <v>195.0</v>
      </c>
      <c r="G767" s="14">
        <v>202.0</v>
      </c>
      <c r="H767" s="14" t="s">
        <v>28</v>
      </c>
      <c r="I767" s="14"/>
      <c r="J767" s="130" t="s">
        <v>5772</v>
      </c>
      <c r="K767" s="152" t="s">
        <v>5773</v>
      </c>
      <c r="L767" s="20" t="s">
        <v>5774</v>
      </c>
      <c r="M767" s="174" t="s">
        <v>5775</v>
      </c>
      <c r="N767" s="130" t="s">
        <v>39999</v>
      </c>
      <c r="O767" s="84"/>
      <c r="P767" s="84"/>
      <c r="Q767" s="84"/>
      <c r="R767" s="84"/>
      <c r="S767" s="84"/>
      <c r="T767" s="84"/>
      <c r="U767" s="84"/>
      <c r="V767" s="84"/>
      <c r="W767" s="84"/>
      <c r="X767" s="84"/>
    </row>
    <row r="768" ht="15.75" customHeight="1">
      <c r="A768" s="14" t="s">
        <v>17</v>
      </c>
      <c r="B768" s="14">
        <v>2000.0</v>
      </c>
      <c r="C768" s="14" t="s">
        <v>5776</v>
      </c>
      <c r="D768" s="14" t="s">
        <v>5777</v>
      </c>
      <c r="E768" s="150" t="str">
        <f t="shared" si="10"/>
        <v>http://dx.doi.org/10.1109/VISUAL.2000.885696</v>
      </c>
      <c r="F768" s="14">
        <v>203.0</v>
      </c>
      <c r="G768" s="14">
        <v>210.0</v>
      </c>
      <c r="H768" s="14" t="s">
        <v>28</v>
      </c>
      <c r="I768" s="14"/>
      <c r="J768" s="130" t="s">
        <v>5779</v>
      </c>
      <c r="K768" s="152" t="s">
        <v>5780</v>
      </c>
      <c r="L768" s="20" t="s">
        <v>3024</v>
      </c>
      <c r="M768" s="174" t="s">
        <v>5781</v>
      </c>
      <c r="N768" s="130" t="s">
        <v>40004</v>
      </c>
      <c r="O768" s="84"/>
      <c r="P768" s="84"/>
      <c r="Q768" s="84"/>
      <c r="R768" s="84"/>
      <c r="S768" s="84"/>
      <c r="T768" s="84"/>
      <c r="U768" s="84"/>
      <c r="V768" s="84"/>
      <c r="W768" s="84"/>
      <c r="X768" s="84"/>
    </row>
    <row r="769" ht="15.75" customHeight="1">
      <c r="A769" s="14" t="s">
        <v>17</v>
      </c>
      <c r="B769" s="14">
        <v>2000.0</v>
      </c>
      <c r="C769" s="14" t="s">
        <v>5782</v>
      </c>
      <c r="D769" s="14" t="s">
        <v>5783</v>
      </c>
      <c r="E769" s="150" t="str">
        <f t="shared" si="10"/>
        <v>http://dx.doi.org/10.1109/VISUAL.2000.885697</v>
      </c>
      <c r="F769" s="14">
        <v>211.0</v>
      </c>
      <c r="G769" s="14">
        <v>218.0</v>
      </c>
      <c r="H769" s="14" t="s">
        <v>28</v>
      </c>
      <c r="I769" s="14"/>
      <c r="J769" s="130" t="s">
        <v>40005</v>
      </c>
      <c r="K769" s="152" t="s">
        <v>5786</v>
      </c>
      <c r="L769" s="20" t="s">
        <v>5787</v>
      </c>
      <c r="M769" s="174" t="s">
        <v>5788</v>
      </c>
      <c r="N769" s="130" t="s">
        <v>40006</v>
      </c>
      <c r="O769" s="84"/>
      <c r="P769" s="84"/>
      <c r="Q769" s="84"/>
      <c r="R769" s="84"/>
      <c r="S769" s="84"/>
      <c r="T769" s="84"/>
      <c r="U769" s="84"/>
      <c r="V769" s="84"/>
      <c r="W769" s="84"/>
      <c r="X769" s="84"/>
    </row>
    <row r="770" ht="15.75" customHeight="1">
      <c r="A770" s="14" t="s">
        <v>17</v>
      </c>
      <c r="B770" s="14">
        <v>2000.0</v>
      </c>
      <c r="C770" s="14" t="s">
        <v>5789</v>
      </c>
      <c r="D770" s="14" t="s">
        <v>5790</v>
      </c>
      <c r="E770" s="150" t="str">
        <f t="shared" si="10"/>
        <v>http://dx.doi.org/10.1109/VISUAL.2000.885698</v>
      </c>
      <c r="F770" s="14">
        <v>219.0</v>
      </c>
      <c r="G770" s="14">
        <v>226.0</v>
      </c>
      <c r="H770" s="14" t="s">
        <v>28</v>
      </c>
      <c r="I770" s="14"/>
      <c r="J770" s="130" t="s">
        <v>5792</v>
      </c>
      <c r="K770" s="152" t="s">
        <v>2670</v>
      </c>
      <c r="L770" s="20" t="s">
        <v>5793</v>
      </c>
      <c r="M770" s="16"/>
      <c r="N770" s="152" t="s">
        <v>2670</v>
      </c>
      <c r="O770" s="84"/>
      <c r="P770" s="84"/>
      <c r="Q770" s="84"/>
      <c r="R770" s="84"/>
      <c r="S770" s="84"/>
      <c r="T770" s="84"/>
      <c r="U770" s="84"/>
      <c r="V770" s="84"/>
      <c r="W770" s="84"/>
      <c r="X770" s="84"/>
    </row>
    <row r="771" ht="15.75" customHeight="1">
      <c r="A771" s="14" t="s">
        <v>17</v>
      </c>
      <c r="B771" s="14">
        <v>2000.0</v>
      </c>
      <c r="C771" s="14" t="s">
        <v>5794</v>
      </c>
      <c r="D771" s="14" t="s">
        <v>5795</v>
      </c>
      <c r="E771" s="150" t="str">
        <f t="shared" si="10"/>
        <v>http://dx.doi.org/10.1109/VISUAL.2000.885699</v>
      </c>
      <c r="F771" s="14">
        <v>227.0</v>
      </c>
      <c r="G771" s="14">
        <v>234.0</v>
      </c>
      <c r="H771" s="14" t="s">
        <v>28</v>
      </c>
      <c r="I771" s="14"/>
      <c r="J771" s="130" t="s">
        <v>12829</v>
      </c>
      <c r="K771" s="152" t="s">
        <v>5798</v>
      </c>
      <c r="L771" s="20" t="s">
        <v>5799</v>
      </c>
      <c r="M771" s="174" t="s">
        <v>5800</v>
      </c>
      <c r="N771" s="130" t="s">
        <v>40009</v>
      </c>
      <c r="O771" s="84"/>
      <c r="P771" s="84"/>
      <c r="Q771" s="84"/>
      <c r="R771" s="84"/>
      <c r="S771" s="84"/>
      <c r="T771" s="84"/>
      <c r="U771" s="84"/>
      <c r="V771" s="84"/>
      <c r="W771" s="84"/>
      <c r="X771" s="84"/>
    </row>
    <row r="772" ht="15.75" customHeight="1">
      <c r="A772" s="14" t="s">
        <v>17</v>
      </c>
      <c r="B772" s="14">
        <v>2000.0</v>
      </c>
      <c r="C772" s="14" t="s">
        <v>5801</v>
      </c>
      <c r="D772" s="14" t="s">
        <v>5802</v>
      </c>
      <c r="E772" s="150" t="str">
        <f t="shared" si="10"/>
        <v>http://dx.doi.org/10.1109/VISUAL.2000.885700</v>
      </c>
      <c r="F772" s="14">
        <v>235.0</v>
      </c>
      <c r="G772" s="14">
        <v>242.0</v>
      </c>
      <c r="H772" s="14" t="s">
        <v>28</v>
      </c>
      <c r="I772" s="14"/>
      <c r="J772" s="130" t="s">
        <v>12834</v>
      </c>
      <c r="K772" s="152" t="s">
        <v>1001</v>
      </c>
      <c r="L772" s="20" t="s">
        <v>4139</v>
      </c>
      <c r="M772" s="174" t="s">
        <v>39203</v>
      </c>
      <c r="N772" s="130" t="s">
        <v>40010</v>
      </c>
      <c r="O772" s="84"/>
      <c r="P772" s="84"/>
      <c r="Q772" s="84"/>
      <c r="R772" s="84"/>
      <c r="S772" s="84"/>
      <c r="T772" s="84"/>
      <c r="U772" s="84"/>
      <c r="V772" s="84"/>
      <c r="W772" s="84"/>
      <c r="X772" s="84"/>
    </row>
    <row r="773" ht="15.75" customHeight="1">
      <c r="A773" s="14" t="s">
        <v>17</v>
      </c>
      <c r="B773" s="14">
        <v>2000.0</v>
      </c>
      <c r="C773" s="14" t="s">
        <v>5806</v>
      </c>
      <c r="D773" s="14" t="s">
        <v>5807</v>
      </c>
      <c r="E773" s="150" t="str">
        <f t="shared" si="10"/>
        <v>http://dx.doi.org/10.1109/VISUAL.2000.885701</v>
      </c>
      <c r="F773" s="14">
        <v>243.0</v>
      </c>
      <c r="G773" s="14">
        <v>250.0</v>
      </c>
      <c r="H773" s="14" t="s">
        <v>28</v>
      </c>
      <c r="I773" s="14"/>
      <c r="J773" s="130" t="s">
        <v>5809</v>
      </c>
      <c r="K773" s="152" t="s">
        <v>5810</v>
      </c>
      <c r="L773" s="20"/>
      <c r="M773" s="174" t="s">
        <v>5811</v>
      </c>
      <c r="N773" s="130" t="s">
        <v>40011</v>
      </c>
      <c r="O773" s="84"/>
      <c r="P773" s="84"/>
      <c r="Q773" s="84"/>
      <c r="R773" s="84"/>
      <c r="S773" s="84"/>
      <c r="T773" s="84"/>
      <c r="U773" s="84"/>
      <c r="V773" s="84"/>
      <c r="W773" s="84"/>
      <c r="X773" s="84"/>
    </row>
    <row r="774" ht="15.75" customHeight="1">
      <c r="A774" s="14" t="s">
        <v>17</v>
      </c>
      <c r="B774" s="50">
        <v>2000.0</v>
      </c>
      <c r="C774" s="14" t="s">
        <v>5812</v>
      </c>
      <c r="D774" s="110" t="s">
        <v>5813</v>
      </c>
      <c r="E774" s="194" t="s">
        <v>5814</v>
      </c>
      <c r="F774" s="50">
        <v>251.0</v>
      </c>
      <c r="G774" s="50">
        <v>258.0</v>
      </c>
      <c r="H774" s="14" t="s">
        <v>28</v>
      </c>
      <c r="I774" s="14"/>
      <c r="J774" s="130" t="s">
        <v>5815</v>
      </c>
      <c r="K774" s="152" t="s">
        <v>753</v>
      </c>
      <c r="L774" s="20" t="s">
        <v>5816</v>
      </c>
      <c r="M774" s="121" t="s">
        <v>39133</v>
      </c>
      <c r="N774" s="130" t="s">
        <v>40016</v>
      </c>
      <c r="O774" s="84"/>
      <c r="P774" s="84"/>
      <c r="Q774" s="84"/>
      <c r="R774" s="84"/>
      <c r="S774" s="84"/>
      <c r="T774" s="84"/>
      <c r="U774" s="84"/>
      <c r="V774" s="84"/>
      <c r="W774" s="84"/>
      <c r="X774" s="84"/>
    </row>
    <row r="775" ht="15.75" customHeight="1">
      <c r="A775" s="14" t="s">
        <v>17</v>
      </c>
      <c r="B775" s="14">
        <v>2000.0</v>
      </c>
      <c r="C775" s="14" t="s">
        <v>5818</v>
      </c>
      <c r="D775" s="14" t="s">
        <v>5819</v>
      </c>
      <c r="E775" s="150" t="str">
        <f t="shared" ref="E775:E784" si="11">"http://dx.doi.org/" &amp; D775</f>
        <v>http://dx.doi.org/10.1109/VISUAL.2000.885703</v>
      </c>
      <c r="F775" s="14">
        <v>259.0</v>
      </c>
      <c r="G775" s="14">
        <v>266.0</v>
      </c>
      <c r="H775" s="14" t="s">
        <v>28</v>
      </c>
      <c r="I775" s="14"/>
      <c r="J775" s="130" t="s">
        <v>5821</v>
      </c>
      <c r="K775" s="152" t="s">
        <v>5822</v>
      </c>
      <c r="L775" s="20" t="s">
        <v>5823</v>
      </c>
      <c r="M775" s="174" t="s">
        <v>5824</v>
      </c>
      <c r="N775" s="130" t="s">
        <v>40017</v>
      </c>
      <c r="O775" s="84"/>
      <c r="P775" s="84"/>
      <c r="Q775" s="84"/>
      <c r="R775" s="84"/>
      <c r="S775" s="84"/>
      <c r="T775" s="84"/>
      <c r="U775" s="84"/>
      <c r="V775" s="84"/>
      <c r="W775" s="84"/>
      <c r="X775" s="84"/>
    </row>
    <row r="776" ht="15.75" customHeight="1">
      <c r="A776" s="14" t="s">
        <v>17</v>
      </c>
      <c r="B776" s="14">
        <v>2000.0</v>
      </c>
      <c r="C776" s="14" t="s">
        <v>5825</v>
      </c>
      <c r="D776" s="14" t="s">
        <v>5826</v>
      </c>
      <c r="E776" s="150" t="str">
        <f t="shared" si="11"/>
        <v>http://dx.doi.org/10.1109/VISUAL.2000.885704</v>
      </c>
      <c r="F776" s="14">
        <v>267.0</v>
      </c>
      <c r="G776" s="14">
        <v>273.0</v>
      </c>
      <c r="H776" s="14" t="s">
        <v>28</v>
      </c>
      <c r="I776" s="14"/>
      <c r="J776" s="130" t="s">
        <v>5828</v>
      </c>
      <c r="K776" s="152" t="s">
        <v>5829</v>
      </c>
      <c r="L776" s="20" t="s">
        <v>5830</v>
      </c>
      <c r="M776" s="16"/>
      <c r="N776" s="152" t="s">
        <v>5829</v>
      </c>
      <c r="O776" s="84"/>
      <c r="P776" s="84"/>
      <c r="Q776" s="84"/>
      <c r="R776" s="84"/>
      <c r="S776" s="84"/>
      <c r="T776" s="84"/>
      <c r="U776" s="84"/>
      <c r="V776" s="84"/>
      <c r="W776" s="84"/>
      <c r="X776" s="84"/>
    </row>
    <row r="777" ht="15.75" customHeight="1">
      <c r="A777" s="14" t="s">
        <v>17</v>
      </c>
      <c r="B777" s="14">
        <v>2000.0</v>
      </c>
      <c r="C777" s="14" t="s">
        <v>5831</v>
      </c>
      <c r="D777" s="14" t="s">
        <v>5832</v>
      </c>
      <c r="E777" s="150" t="str">
        <f t="shared" si="11"/>
        <v>http://dx.doi.org/10.1109/VISUAL.2000.885705</v>
      </c>
      <c r="F777" s="14">
        <v>275.0</v>
      </c>
      <c r="G777" s="14">
        <v>282.0</v>
      </c>
      <c r="H777" s="14" t="s">
        <v>28</v>
      </c>
      <c r="I777" s="14"/>
      <c r="J777" s="130" t="s">
        <v>12876</v>
      </c>
      <c r="K777" s="152" t="s">
        <v>5835</v>
      </c>
      <c r="L777" s="20" t="s">
        <v>5819</v>
      </c>
      <c r="M777" s="174" t="s">
        <v>5836</v>
      </c>
      <c r="N777" s="130" t="s">
        <v>40021</v>
      </c>
      <c r="O777" s="84"/>
      <c r="P777" s="84"/>
      <c r="Q777" s="84"/>
      <c r="R777" s="84"/>
      <c r="S777" s="84"/>
      <c r="T777" s="84"/>
      <c r="U777" s="84"/>
      <c r="V777" s="84"/>
      <c r="W777" s="84"/>
      <c r="X777" s="84"/>
    </row>
    <row r="778" ht="15.75" customHeight="1">
      <c r="A778" s="14" t="s">
        <v>17</v>
      </c>
      <c r="B778" s="14">
        <v>2000.0</v>
      </c>
      <c r="C778" s="14" t="s">
        <v>5837</v>
      </c>
      <c r="D778" s="14" t="s">
        <v>5838</v>
      </c>
      <c r="E778" s="150" t="str">
        <f t="shared" si="11"/>
        <v>http://dx.doi.org/10.1109/VISUAL.2000.885706</v>
      </c>
      <c r="F778" s="14">
        <v>283.0</v>
      </c>
      <c r="G778" s="14">
        <v>289.0</v>
      </c>
      <c r="H778" s="14" t="s">
        <v>28</v>
      </c>
      <c r="I778" s="14"/>
      <c r="J778" s="130" t="s">
        <v>5840</v>
      </c>
      <c r="K778" s="152" t="s">
        <v>5841</v>
      </c>
      <c r="L778" s="20" t="s">
        <v>5842</v>
      </c>
      <c r="M778" s="174" t="s">
        <v>5843</v>
      </c>
      <c r="N778" s="130" t="s">
        <v>5761</v>
      </c>
      <c r="O778" s="84"/>
      <c r="P778" s="84"/>
      <c r="Q778" s="84"/>
      <c r="R778" s="84"/>
      <c r="S778" s="84"/>
      <c r="T778" s="84"/>
      <c r="U778" s="84"/>
      <c r="V778" s="84"/>
      <c r="W778" s="84"/>
      <c r="X778" s="84"/>
    </row>
    <row r="779" ht="15.75" customHeight="1">
      <c r="A779" s="14" t="s">
        <v>17</v>
      </c>
      <c r="B779" s="14">
        <v>2000.0</v>
      </c>
      <c r="C779" s="14" t="s">
        <v>5844</v>
      </c>
      <c r="D779" s="14" t="s">
        <v>5845</v>
      </c>
      <c r="E779" s="150" t="str">
        <f t="shared" si="11"/>
        <v>http://dx.doi.org/10.1109/VISUAL.2000.885707</v>
      </c>
      <c r="F779" s="14">
        <v>291.0</v>
      </c>
      <c r="G779" s="14">
        <v>296.0</v>
      </c>
      <c r="H779" s="14" t="s">
        <v>28</v>
      </c>
      <c r="I779" s="14"/>
      <c r="J779" s="130" t="s">
        <v>5847</v>
      </c>
      <c r="K779" s="152" t="s">
        <v>5848</v>
      </c>
      <c r="L779" s="20" t="s">
        <v>5849</v>
      </c>
      <c r="M779" s="174" t="s">
        <v>5850</v>
      </c>
      <c r="N779" s="130" t="s">
        <v>40024</v>
      </c>
      <c r="O779" s="84"/>
      <c r="P779" s="84"/>
      <c r="Q779" s="84"/>
      <c r="R779" s="84"/>
      <c r="S779" s="84"/>
      <c r="T779" s="84"/>
      <c r="U779" s="84"/>
      <c r="V779" s="84"/>
      <c r="W779" s="84"/>
      <c r="X779" s="84"/>
    </row>
    <row r="780" ht="15.75" customHeight="1">
      <c r="A780" s="14" t="s">
        <v>17</v>
      </c>
      <c r="B780" s="14">
        <v>2000.0</v>
      </c>
      <c r="C780" s="14" t="s">
        <v>5851</v>
      </c>
      <c r="D780" s="14" t="s">
        <v>5852</v>
      </c>
      <c r="E780" s="150" t="str">
        <f t="shared" si="11"/>
        <v>http://dx.doi.org/10.1109/VISUAL.2000.885708</v>
      </c>
      <c r="F780" s="14">
        <v>297.0</v>
      </c>
      <c r="G780" s="14">
        <v>302.0</v>
      </c>
      <c r="H780" s="14" t="s">
        <v>28</v>
      </c>
      <c r="I780" s="14"/>
      <c r="J780" s="130" t="s">
        <v>5854</v>
      </c>
      <c r="K780" s="152" t="s">
        <v>5855</v>
      </c>
      <c r="L780" s="20"/>
      <c r="M780" s="174" t="s">
        <v>5856</v>
      </c>
      <c r="N780" s="130" t="s">
        <v>40025</v>
      </c>
      <c r="O780" s="84"/>
      <c r="P780" s="84"/>
      <c r="Q780" s="84"/>
      <c r="R780" s="84"/>
      <c r="S780" s="84"/>
      <c r="T780" s="84"/>
      <c r="U780" s="84"/>
      <c r="V780" s="84"/>
      <c r="W780" s="84"/>
      <c r="X780" s="84"/>
    </row>
    <row r="781" ht="15.75" customHeight="1">
      <c r="A781" s="14" t="s">
        <v>17</v>
      </c>
      <c r="B781" s="14">
        <v>2000.0</v>
      </c>
      <c r="C781" s="14" t="s">
        <v>5857</v>
      </c>
      <c r="D781" s="14" t="s">
        <v>5858</v>
      </c>
      <c r="E781" s="150" t="str">
        <f t="shared" si="11"/>
        <v>http://dx.doi.org/10.1109/VISUAL.2000.885709</v>
      </c>
      <c r="F781" s="14">
        <v>303.0</v>
      </c>
      <c r="G781" s="14">
        <v>310.0</v>
      </c>
      <c r="H781" s="14" t="s">
        <v>28</v>
      </c>
      <c r="I781" s="14"/>
      <c r="J781" s="130" t="s">
        <v>5860</v>
      </c>
      <c r="K781" s="152" t="s">
        <v>5861</v>
      </c>
      <c r="L781" s="20" t="s">
        <v>79</v>
      </c>
      <c r="M781" s="174" t="s">
        <v>5862</v>
      </c>
      <c r="N781" s="130" t="s">
        <v>40026</v>
      </c>
      <c r="O781" s="84"/>
      <c r="P781" s="84"/>
      <c r="Q781" s="84"/>
      <c r="R781" s="84"/>
      <c r="S781" s="84"/>
      <c r="T781" s="84"/>
      <c r="U781" s="84"/>
      <c r="V781" s="84"/>
      <c r="W781" s="84"/>
      <c r="X781" s="84"/>
    </row>
    <row r="782" ht="15.75" customHeight="1">
      <c r="A782" s="14" t="s">
        <v>17</v>
      </c>
      <c r="B782" s="14">
        <v>2000.0</v>
      </c>
      <c r="C782" s="14" t="s">
        <v>5863</v>
      </c>
      <c r="D782" s="14" t="s">
        <v>5864</v>
      </c>
      <c r="E782" s="150" t="str">
        <f t="shared" si="11"/>
        <v>http://dx.doi.org/10.1109/VISUAL.2000.885710</v>
      </c>
      <c r="F782" s="14">
        <v>311.0</v>
      </c>
      <c r="G782" s="14">
        <v>318.0</v>
      </c>
      <c r="H782" s="14" t="s">
        <v>28</v>
      </c>
      <c r="I782" s="14"/>
      <c r="J782" s="130" t="s">
        <v>5866</v>
      </c>
      <c r="K782" s="152" t="s">
        <v>5867</v>
      </c>
      <c r="L782" s="20" t="s">
        <v>1107</v>
      </c>
      <c r="M782" s="174" t="s">
        <v>5868</v>
      </c>
      <c r="N782" s="130" t="s">
        <v>40028</v>
      </c>
      <c r="O782" s="84"/>
      <c r="P782" s="84"/>
      <c r="Q782" s="84"/>
      <c r="R782" s="84"/>
      <c r="S782" s="84"/>
      <c r="T782" s="84"/>
      <c r="U782" s="84"/>
      <c r="V782" s="84"/>
      <c r="W782" s="84"/>
      <c r="X782" s="84"/>
    </row>
    <row r="783" ht="15.75" customHeight="1">
      <c r="A783" s="14" t="s">
        <v>17</v>
      </c>
      <c r="B783" s="14">
        <v>2000.0</v>
      </c>
      <c r="C783" s="14" t="s">
        <v>5869</v>
      </c>
      <c r="D783" s="14" t="s">
        <v>5870</v>
      </c>
      <c r="E783" s="150" t="str">
        <f t="shared" si="11"/>
        <v>http://dx.doi.org/10.1109/VISUAL.2000.885711</v>
      </c>
      <c r="F783" s="14">
        <v>319.0</v>
      </c>
      <c r="G783" s="14">
        <v>326.0</v>
      </c>
      <c r="H783" s="14" t="s">
        <v>28</v>
      </c>
      <c r="I783" s="14"/>
      <c r="J783" s="130" t="s">
        <v>5872</v>
      </c>
      <c r="K783" s="152" t="s">
        <v>5873</v>
      </c>
      <c r="L783" s="20" t="s">
        <v>5874</v>
      </c>
      <c r="M783" s="174" t="s">
        <v>5875</v>
      </c>
      <c r="N783" s="130" t="s">
        <v>40029</v>
      </c>
      <c r="O783" s="84"/>
      <c r="P783" s="84"/>
      <c r="Q783" s="84"/>
      <c r="R783" s="84"/>
      <c r="S783" s="84"/>
      <c r="T783" s="84"/>
      <c r="U783" s="84"/>
      <c r="V783" s="84"/>
      <c r="W783" s="84"/>
      <c r="X783" s="84"/>
    </row>
    <row r="784" ht="15.75" customHeight="1">
      <c r="A784" s="14" t="s">
        <v>17</v>
      </c>
      <c r="B784" s="14">
        <v>2000.0</v>
      </c>
      <c r="C784" s="14" t="s">
        <v>5876</v>
      </c>
      <c r="D784" s="14" t="s">
        <v>5877</v>
      </c>
      <c r="E784" s="150" t="str">
        <f t="shared" si="11"/>
        <v>http://dx.doi.org/10.1109/VISUAL.2000.885712</v>
      </c>
      <c r="F784" s="14">
        <v>327.0</v>
      </c>
      <c r="G784" s="14">
        <v>333.0</v>
      </c>
      <c r="H784" s="14" t="s">
        <v>28</v>
      </c>
      <c r="I784" s="14"/>
      <c r="J784" s="130" t="s">
        <v>5879</v>
      </c>
      <c r="K784" s="152" t="s">
        <v>5729</v>
      </c>
      <c r="L784" s="20" t="s">
        <v>5880</v>
      </c>
      <c r="M784" s="174" t="s">
        <v>5881</v>
      </c>
      <c r="N784" s="130" t="s">
        <v>40030</v>
      </c>
      <c r="O784" s="84"/>
      <c r="P784" s="84"/>
      <c r="Q784" s="84"/>
      <c r="R784" s="84"/>
      <c r="S784" s="84"/>
      <c r="T784" s="84"/>
      <c r="U784" s="84"/>
      <c r="V784" s="84"/>
      <c r="W784" s="84"/>
      <c r="X784" s="84"/>
    </row>
    <row r="785" ht="15.75" customHeight="1">
      <c r="A785" s="14" t="s">
        <v>17</v>
      </c>
      <c r="B785" s="50">
        <v>2000.0</v>
      </c>
      <c r="C785" s="112" t="s">
        <v>5882</v>
      </c>
      <c r="D785" s="110" t="s">
        <v>5883</v>
      </c>
      <c r="E785" s="197" t="s">
        <v>5884</v>
      </c>
      <c r="F785" s="50">
        <v>335.0</v>
      </c>
      <c r="G785" s="50">
        <v>342.0</v>
      </c>
      <c r="H785" s="14" t="s">
        <v>28</v>
      </c>
      <c r="I785" s="14"/>
      <c r="J785" s="130" t="s">
        <v>5885</v>
      </c>
      <c r="K785" s="14" t="s">
        <v>5886</v>
      </c>
      <c r="L785" s="20" t="s">
        <v>5887</v>
      </c>
      <c r="M785" s="54"/>
      <c r="N785" s="130" t="s">
        <v>40031</v>
      </c>
      <c r="O785" s="84"/>
      <c r="P785" s="84"/>
      <c r="Q785" s="84"/>
      <c r="R785" s="84"/>
      <c r="S785" s="84"/>
      <c r="T785" s="84"/>
      <c r="U785" s="84"/>
      <c r="V785" s="84"/>
      <c r="W785" s="84"/>
      <c r="X785" s="84"/>
    </row>
    <row r="786" ht="15.75" customHeight="1">
      <c r="A786" s="14" t="s">
        <v>17</v>
      </c>
      <c r="B786" s="14">
        <v>2000.0</v>
      </c>
      <c r="C786" s="14" t="s">
        <v>5888</v>
      </c>
      <c r="D786" s="14" t="s">
        <v>5889</v>
      </c>
      <c r="E786" s="150" t="str">
        <f>"http://dx.doi.org/" &amp; D786</f>
        <v>http://dx.doi.org/10.1109/VISUAL.2000.885714</v>
      </c>
      <c r="F786" s="14">
        <v>343.0</v>
      </c>
      <c r="G786" s="14">
        <v>350.0</v>
      </c>
      <c r="H786" s="14" t="s">
        <v>28</v>
      </c>
      <c r="I786" s="14"/>
      <c r="J786" s="130" t="s">
        <v>5891</v>
      </c>
      <c r="K786" s="152" t="s">
        <v>5266</v>
      </c>
      <c r="L786" s="20" t="s">
        <v>5892</v>
      </c>
      <c r="M786" s="174" t="s">
        <v>5893</v>
      </c>
      <c r="N786" s="130" t="s">
        <v>38483</v>
      </c>
      <c r="O786" s="84"/>
      <c r="P786" s="84"/>
      <c r="Q786" s="84"/>
      <c r="R786" s="84"/>
      <c r="S786" s="84"/>
      <c r="T786" s="84"/>
      <c r="U786" s="84"/>
      <c r="V786" s="84"/>
      <c r="W786" s="84"/>
      <c r="X786" s="84"/>
    </row>
    <row r="787" ht="15.75" customHeight="1">
      <c r="A787" s="14" t="s">
        <v>17</v>
      </c>
      <c r="B787" s="50">
        <v>2000.0</v>
      </c>
      <c r="C787" s="14" t="s">
        <v>5894</v>
      </c>
      <c r="D787" s="67" t="s">
        <v>5895</v>
      </c>
      <c r="E787" s="194" t="s">
        <v>5896</v>
      </c>
      <c r="F787" s="50">
        <v>351.0</v>
      </c>
      <c r="G787" s="50">
        <v>358.0</v>
      </c>
      <c r="H787" s="14" t="s">
        <v>28</v>
      </c>
      <c r="I787" s="14"/>
      <c r="J787" s="130" t="s">
        <v>12939</v>
      </c>
      <c r="K787" s="14" t="s">
        <v>5898</v>
      </c>
      <c r="L787" s="20" t="s">
        <v>5899</v>
      </c>
      <c r="M787" s="54"/>
      <c r="N787" s="14" t="s">
        <v>5898</v>
      </c>
      <c r="O787" s="84"/>
      <c r="P787" s="84"/>
      <c r="Q787" s="84"/>
      <c r="R787" s="84"/>
      <c r="S787" s="84"/>
      <c r="T787" s="84"/>
      <c r="U787" s="84"/>
      <c r="V787" s="84"/>
      <c r="W787" s="84"/>
      <c r="X787" s="84"/>
    </row>
    <row r="788" ht="15.75" customHeight="1">
      <c r="A788" s="14" t="s">
        <v>17</v>
      </c>
      <c r="B788" s="14">
        <v>2000.0</v>
      </c>
      <c r="C788" s="14" t="s">
        <v>5900</v>
      </c>
      <c r="D788" s="14" t="s">
        <v>5901</v>
      </c>
      <c r="E788" s="150" t="str">
        <f t="shared" ref="E788:E791" si="12">"http://dx.doi.org/" &amp; D788</f>
        <v>http://dx.doi.org/10.1109/VISUAL.2000.885716</v>
      </c>
      <c r="F788" s="14">
        <v>359.0</v>
      </c>
      <c r="G788" s="14">
        <v>366.0</v>
      </c>
      <c r="H788" s="14" t="s">
        <v>28</v>
      </c>
      <c r="I788" s="14"/>
      <c r="J788" s="130" t="s">
        <v>5903</v>
      </c>
      <c r="K788" s="152" t="s">
        <v>5181</v>
      </c>
      <c r="L788" s="20" t="s">
        <v>5904</v>
      </c>
      <c r="M788" s="174" t="s">
        <v>5905</v>
      </c>
      <c r="N788" s="130" t="s">
        <v>39842</v>
      </c>
      <c r="O788" s="84"/>
      <c r="P788" s="84"/>
      <c r="Q788" s="84"/>
      <c r="R788" s="84"/>
      <c r="S788" s="84"/>
      <c r="T788" s="84"/>
      <c r="U788" s="84"/>
      <c r="V788" s="84"/>
      <c r="W788" s="84"/>
      <c r="X788" s="84"/>
    </row>
    <row r="789" ht="15.75" customHeight="1">
      <c r="A789" s="14" t="s">
        <v>17</v>
      </c>
      <c r="B789" s="14">
        <v>2000.0</v>
      </c>
      <c r="C789" s="14" t="s">
        <v>5906</v>
      </c>
      <c r="D789" s="14" t="s">
        <v>5907</v>
      </c>
      <c r="E789" s="150" t="str">
        <f t="shared" si="12"/>
        <v>http://dx.doi.org/10.1109/VISUAL.2000.885717</v>
      </c>
      <c r="F789" s="14">
        <v>367.0</v>
      </c>
      <c r="G789" s="14">
        <v>372.0</v>
      </c>
      <c r="H789" s="14" t="s">
        <v>28</v>
      </c>
      <c r="I789" s="14"/>
      <c r="J789" s="130" t="s">
        <v>5909</v>
      </c>
      <c r="K789" s="152" t="s">
        <v>5910</v>
      </c>
      <c r="L789" s="20" t="s">
        <v>5911</v>
      </c>
      <c r="M789" s="174" t="s">
        <v>5912</v>
      </c>
      <c r="N789" s="152" t="s">
        <v>5910</v>
      </c>
      <c r="O789" s="84"/>
      <c r="P789" s="84"/>
      <c r="Q789" s="84"/>
      <c r="R789" s="84"/>
      <c r="S789" s="84"/>
      <c r="T789" s="84"/>
      <c r="U789" s="84"/>
      <c r="V789" s="84"/>
      <c r="W789" s="84"/>
      <c r="X789" s="84"/>
    </row>
    <row r="790" ht="15.75" customHeight="1">
      <c r="A790" s="14" t="s">
        <v>17</v>
      </c>
      <c r="B790" s="14">
        <v>2000.0</v>
      </c>
      <c r="C790" s="14" t="s">
        <v>5913</v>
      </c>
      <c r="D790" s="14" t="s">
        <v>5914</v>
      </c>
      <c r="E790" s="150" t="str">
        <f t="shared" si="12"/>
        <v>http://dx.doi.org/10.1109/VISUAL.2000.885718</v>
      </c>
      <c r="F790" s="14">
        <v>373.0</v>
      </c>
      <c r="G790" s="14">
        <v>380.0</v>
      </c>
      <c r="H790" s="14" t="s">
        <v>28</v>
      </c>
      <c r="I790" s="14"/>
      <c r="J790" s="130" t="s">
        <v>40038</v>
      </c>
      <c r="K790" s="152" t="s">
        <v>5917</v>
      </c>
      <c r="L790" s="20" t="s">
        <v>4148</v>
      </c>
      <c r="M790" s="174" t="s">
        <v>5918</v>
      </c>
      <c r="N790" s="130" t="s">
        <v>40039</v>
      </c>
      <c r="O790" s="84"/>
      <c r="P790" s="84"/>
      <c r="Q790" s="84"/>
      <c r="R790" s="84"/>
      <c r="S790" s="84"/>
      <c r="T790" s="84"/>
      <c r="U790" s="84"/>
      <c r="V790" s="84"/>
      <c r="W790" s="84"/>
      <c r="X790" s="84"/>
    </row>
    <row r="791" ht="15.75" customHeight="1">
      <c r="A791" s="14" t="s">
        <v>17</v>
      </c>
      <c r="B791" s="14">
        <v>2000.0</v>
      </c>
      <c r="C791" s="14" t="s">
        <v>5919</v>
      </c>
      <c r="D791" s="14" t="s">
        <v>5920</v>
      </c>
      <c r="E791" s="150" t="str">
        <f t="shared" si="12"/>
        <v>http://dx.doi.org/10.1109/VISUAL.2000.885719</v>
      </c>
      <c r="F791" s="14">
        <v>381.0</v>
      </c>
      <c r="G791" s="14">
        <v>387.0</v>
      </c>
      <c r="H791" s="14" t="s">
        <v>28</v>
      </c>
      <c r="I791" s="14"/>
      <c r="J791" s="130" t="s">
        <v>5922</v>
      </c>
      <c r="K791" s="152" t="s">
        <v>5923</v>
      </c>
      <c r="L791" s="20"/>
      <c r="M791" s="174" t="s">
        <v>5924</v>
      </c>
      <c r="N791" s="130" t="s">
        <v>40042</v>
      </c>
      <c r="O791" s="84"/>
      <c r="P791" s="84"/>
      <c r="Q791" s="84"/>
      <c r="R791" s="84"/>
      <c r="S791" s="84"/>
      <c r="T791" s="84"/>
      <c r="U791" s="84"/>
      <c r="V791" s="84"/>
      <c r="W791" s="84"/>
      <c r="X791" s="84"/>
    </row>
    <row r="792" ht="15.75" customHeight="1">
      <c r="A792" s="14" t="s">
        <v>17</v>
      </c>
      <c r="B792" s="50">
        <v>2000.0</v>
      </c>
      <c r="C792" s="95" t="s">
        <v>5925</v>
      </c>
      <c r="D792" s="67" t="s">
        <v>5926</v>
      </c>
      <c r="E792" s="194" t="s">
        <v>5927</v>
      </c>
      <c r="F792" s="50">
        <v>389.0</v>
      </c>
      <c r="G792" s="50">
        <v>396.0</v>
      </c>
      <c r="H792" s="14" t="s">
        <v>28</v>
      </c>
      <c r="I792" s="14"/>
      <c r="J792" s="130" t="s">
        <v>5928</v>
      </c>
      <c r="K792" s="14" t="s">
        <v>5929</v>
      </c>
      <c r="L792" s="20" t="s">
        <v>5930</v>
      </c>
      <c r="M792" s="54"/>
      <c r="N792" s="14" t="s">
        <v>5929</v>
      </c>
      <c r="O792" s="84"/>
      <c r="P792" s="84"/>
      <c r="Q792" s="84"/>
      <c r="R792" s="84"/>
      <c r="S792" s="84"/>
      <c r="T792" s="84"/>
      <c r="U792" s="84"/>
      <c r="V792" s="84"/>
      <c r="W792" s="84"/>
      <c r="X792" s="84"/>
    </row>
    <row r="793" ht="15.75" customHeight="1">
      <c r="A793" s="14" t="s">
        <v>17</v>
      </c>
      <c r="B793" s="14">
        <v>2000.0</v>
      </c>
      <c r="C793" s="14" t="s">
        <v>5931</v>
      </c>
      <c r="D793" s="14" t="s">
        <v>5932</v>
      </c>
      <c r="E793" s="150" t="str">
        <f>"http://dx.doi.org/" &amp; D793</f>
        <v>http://dx.doi.org/10.1109/VISUAL.2000.885721</v>
      </c>
      <c r="F793" s="14">
        <v>397.0</v>
      </c>
      <c r="G793" s="14">
        <v>405.0</v>
      </c>
      <c r="H793" s="14" t="s">
        <v>28</v>
      </c>
      <c r="I793" s="14"/>
      <c r="J793" s="130" t="s">
        <v>5934</v>
      </c>
      <c r="K793" s="152" t="s">
        <v>5935</v>
      </c>
      <c r="L793" s="20" t="s">
        <v>5237</v>
      </c>
      <c r="M793" s="174" t="s">
        <v>5936</v>
      </c>
      <c r="N793" s="130" t="s">
        <v>40050</v>
      </c>
      <c r="O793" s="84"/>
      <c r="P793" s="84"/>
      <c r="Q793" s="84"/>
      <c r="R793" s="84"/>
      <c r="S793" s="84"/>
      <c r="T793" s="84"/>
      <c r="U793" s="84"/>
      <c r="V793" s="84"/>
      <c r="W793" s="84"/>
      <c r="X793" s="84"/>
    </row>
    <row r="794" ht="15.75" customHeight="1">
      <c r="A794" s="14" t="s">
        <v>17</v>
      </c>
      <c r="B794" s="50">
        <v>2000.0</v>
      </c>
      <c r="C794" s="14" t="s">
        <v>5937</v>
      </c>
      <c r="D794" s="14" t="s">
        <v>5938</v>
      </c>
      <c r="E794" s="156" t="str">
        <f>HYPERLINK("http://doi.ieeecomputersociety.org/10.1109/VISUAL.2000.885722","http://doi.ieeecomputersociety.org/10.1109/VISUAL.2000.885722")</f>
        <v>http://doi.ieeecomputersociety.org/10.1109/VISUAL.2000.885722</v>
      </c>
      <c r="F794" s="50">
        <v>407.0</v>
      </c>
      <c r="G794" s="50">
        <v>414.0</v>
      </c>
      <c r="H794" s="14" t="s">
        <v>28</v>
      </c>
      <c r="I794" s="14"/>
      <c r="J794" s="130" t="s">
        <v>5940</v>
      </c>
      <c r="K794" s="14" t="s">
        <v>5941</v>
      </c>
      <c r="L794" s="20"/>
      <c r="M794" s="54"/>
      <c r="N794" s="14" t="s">
        <v>5941</v>
      </c>
      <c r="O794" s="84"/>
      <c r="P794" s="84"/>
      <c r="Q794" s="84"/>
      <c r="R794" s="84"/>
      <c r="S794" s="84"/>
      <c r="T794" s="84"/>
      <c r="U794" s="84"/>
      <c r="V794" s="84"/>
      <c r="W794" s="84"/>
      <c r="X794" s="84"/>
    </row>
    <row r="795" ht="15.75" customHeight="1">
      <c r="A795" s="14" t="s">
        <v>17</v>
      </c>
      <c r="B795" s="50">
        <v>2000.0</v>
      </c>
      <c r="C795" s="14" t="s">
        <v>5942</v>
      </c>
      <c r="D795" s="54" t="s">
        <v>5943</v>
      </c>
      <c r="E795" s="156" t="str">
        <f>HYPERLINK("http://doi.ieeecomputersociety.org/10.1109/VISUAL.2000.885723","http://doi.ieeecomputersociety.org/10.1109/VISUAL.2000.885723")</f>
        <v>http://doi.ieeecomputersociety.org/10.1109/VISUAL.2000.885723</v>
      </c>
      <c r="F795" s="50">
        <v>415.0</v>
      </c>
      <c r="G795" s="50">
        <v>422.0</v>
      </c>
      <c r="H795" s="14" t="s">
        <v>28</v>
      </c>
      <c r="I795" s="14"/>
      <c r="J795" s="130" t="s">
        <v>5945</v>
      </c>
      <c r="K795" s="14" t="s">
        <v>5946</v>
      </c>
      <c r="L795" s="20" t="s">
        <v>5947</v>
      </c>
      <c r="M795" s="121" t="s">
        <v>39144</v>
      </c>
      <c r="N795" s="130" t="s">
        <v>40051</v>
      </c>
      <c r="O795" s="84"/>
      <c r="P795" s="84"/>
      <c r="Q795" s="84"/>
      <c r="R795" s="84"/>
      <c r="S795" s="84"/>
      <c r="T795" s="84"/>
      <c r="U795" s="84"/>
      <c r="V795" s="84"/>
      <c r="W795" s="84"/>
      <c r="X795" s="84"/>
    </row>
    <row r="796" ht="15.75" customHeight="1">
      <c r="A796" s="14" t="s">
        <v>17</v>
      </c>
      <c r="B796" s="14">
        <v>2000.0</v>
      </c>
      <c r="C796" s="14" t="s">
        <v>5949</v>
      </c>
      <c r="D796" s="14" t="s">
        <v>5950</v>
      </c>
      <c r="E796" s="150" t="str">
        <f t="shared" ref="E796:E815" si="13">"http://dx.doi.org/" &amp; D796</f>
        <v>http://dx.doi.org/10.1109/VISUAL.2000.885724</v>
      </c>
      <c r="F796" s="14">
        <v>423.0</v>
      </c>
      <c r="G796" s="14">
        <v>430.0</v>
      </c>
      <c r="H796" s="14" t="s">
        <v>28</v>
      </c>
      <c r="I796" s="14"/>
      <c r="J796" s="130" t="s">
        <v>5952</v>
      </c>
      <c r="K796" s="152" t="s">
        <v>5953</v>
      </c>
      <c r="L796" s="20" t="s">
        <v>5954</v>
      </c>
      <c r="M796" s="16"/>
      <c r="N796" s="152" t="s">
        <v>5953</v>
      </c>
      <c r="O796" s="84"/>
      <c r="P796" s="84"/>
      <c r="Q796" s="84"/>
      <c r="R796" s="84"/>
      <c r="S796" s="84"/>
      <c r="T796" s="84"/>
      <c r="U796" s="84"/>
      <c r="V796" s="84"/>
      <c r="W796" s="84"/>
      <c r="X796" s="84"/>
    </row>
    <row r="797" ht="15.75" customHeight="1">
      <c r="A797" s="14" t="s">
        <v>17</v>
      </c>
      <c r="B797" s="14">
        <v>2000.0</v>
      </c>
      <c r="C797" s="14" t="s">
        <v>5955</v>
      </c>
      <c r="D797" s="14" t="s">
        <v>5956</v>
      </c>
      <c r="E797" s="150" t="str">
        <f t="shared" si="13"/>
        <v>http://dx.doi.org/10.1109/VISUAL.2000.885725</v>
      </c>
      <c r="F797" s="14">
        <v>433.0</v>
      </c>
      <c r="G797" s="14">
        <v>436.0</v>
      </c>
      <c r="H797" s="14" t="s">
        <v>28</v>
      </c>
      <c r="I797" s="14"/>
      <c r="J797" s="130" t="s">
        <v>5958</v>
      </c>
      <c r="K797" s="152" t="s">
        <v>4376</v>
      </c>
      <c r="L797" s="20" t="s">
        <v>5959</v>
      </c>
      <c r="M797" s="217" t="s">
        <v>5960</v>
      </c>
      <c r="N797" s="152" t="s">
        <v>4376</v>
      </c>
      <c r="O797" s="84"/>
      <c r="P797" s="84"/>
      <c r="Q797" s="84"/>
      <c r="R797" s="84"/>
      <c r="S797" s="84"/>
      <c r="T797" s="84"/>
      <c r="U797" s="84"/>
      <c r="V797" s="84"/>
      <c r="W797" s="84"/>
      <c r="X797" s="84"/>
    </row>
    <row r="798" ht="15.75" customHeight="1">
      <c r="A798" s="14" t="s">
        <v>17</v>
      </c>
      <c r="B798" s="14">
        <v>2000.0</v>
      </c>
      <c r="C798" s="14" t="s">
        <v>5961</v>
      </c>
      <c r="D798" s="14" t="s">
        <v>5962</v>
      </c>
      <c r="E798" s="150" t="str">
        <f t="shared" si="13"/>
        <v>http://dx.doi.org/10.1109/VISUAL.2000.885726</v>
      </c>
      <c r="F798" s="14">
        <v>437.0</v>
      </c>
      <c r="G798" s="14">
        <v>440.0</v>
      </c>
      <c r="H798" s="14" t="s">
        <v>28</v>
      </c>
      <c r="I798" s="14"/>
      <c r="J798" s="130" t="s">
        <v>40063</v>
      </c>
      <c r="K798" s="152" t="s">
        <v>3540</v>
      </c>
      <c r="L798" s="20" t="s">
        <v>5301</v>
      </c>
      <c r="M798" s="217" t="s">
        <v>5965</v>
      </c>
      <c r="N798" s="130" t="s">
        <v>38889</v>
      </c>
      <c r="O798" s="84"/>
      <c r="P798" s="84"/>
      <c r="Q798" s="84"/>
      <c r="R798" s="84"/>
      <c r="S798" s="84"/>
      <c r="T798" s="84"/>
      <c r="U798" s="84"/>
      <c r="V798" s="84"/>
      <c r="W798" s="84"/>
      <c r="X798" s="84"/>
    </row>
    <row r="799" ht="15.75" customHeight="1">
      <c r="A799" s="14" t="s">
        <v>17</v>
      </c>
      <c r="B799" s="14">
        <v>2000.0</v>
      </c>
      <c r="C799" s="14" t="s">
        <v>5966</v>
      </c>
      <c r="D799" s="14" t="s">
        <v>5967</v>
      </c>
      <c r="E799" s="150" t="str">
        <f t="shared" si="13"/>
        <v>http://dx.doi.org/10.1109/VISUAL.2000.885727</v>
      </c>
      <c r="F799" s="14">
        <v>441.0</v>
      </c>
      <c r="G799" s="14">
        <v>444.0</v>
      </c>
      <c r="H799" s="14" t="s">
        <v>28</v>
      </c>
      <c r="I799" s="14"/>
      <c r="J799" s="130" t="s">
        <v>40064</v>
      </c>
      <c r="K799" s="152" t="s">
        <v>5970</v>
      </c>
      <c r="L799" s="20"/>
      <c r="M799" s="217" t="s">
        <v>5971</v>
      </c>
      <c r="N799" s="152" t="s">
        <v>5970</v>
      </c>
      <c r="O799" s="84"/>
      <c r="P799" s="84"/>
      <c r="Q799" s="84"/>
      <c r="R799" s="84"/>
      <c r="S799" s="84"/>
      <c r="T799" s="84"/>
      <c r="U799" s="84"/>
      <c r="V799" s="84"/>
      <c r="W799" s="84"/>
      <c r="X799" s="84"/>
    </row>
    <row r="800" ht="15.75" customHeight="1">
      <c r="A800" s="14" t="s">
        <v>17</v>
      </c>
      <c r="B800" s="14">
        <v>2000.0</v>
      </c>
      <c r="C800" s="14" t="s">
        <v>5972</v>
      </c>
      <c r="D800" s="14" t="s">
        <v>5973</v>
      </c>
      <c r="E800" s="150" t="str">
        <f t="shared" si="13"/>
        <v>http://dx.doi.org/10.1109/VISUAL.2000.885728</v>
      </c>
      <c r="F800" s="14">
        <v>445.0</v>
      </c>
      <c r="G800" s="14">
        <v>448.0</v>
      </c>
      <c r="H800" s="14" t="s">
        <v>28</v>
      </c>
      <c r="I800" s="14"/>
      <c r="J800" s="130" t="s">
        <v>5975</v>
      </c>
      <c r="K800" s="152" t="s">
        <v>5976</v>
      </c>
      <c r="L800" s="20" t="s">
        <v>1107</v>
      </c>
      <c r="M800" s="217" t="s">
        <v>5977</v>
      </c>
      <c r="N800" s="130" t="s">
        <v>40026</v>
      </c>
      <c r="O800" s="84"/>
      <c r="P800" s="84"/>
      <c r="Q800" s="84"/>
      <c r="R800" s="84"/>
      <c r="S800" s="84"/>
      <c r="T800" s="84"/>
      <c r="U800" s="84"/>
      <c r="V800" s="84"/>
      <c r="W800" s="84"/>
      <c r="X800" s="84"/>
    </row>
    <row r="801" ht="15.75" customHeight="1">
      <c r="A801" s="14" t="s">
        <v>17</v>
      </c>
      <c r="B801" s="14">
        <v>2000.0</v>
      </c>
      <c r="C801" s="14" t="s">
        <v>5978</v>
      </c>
      <c r="D801" s="14" t="s">
        <v>5979</v>
      </c>
      <c r="E801" s="150" t="str">
        <f t="shared" si="13"/>
        <v>http://dx.doi.org/10.1109/VISUAL.2000.885729</v>
      </c>
      <c r="F801" s="14">
        <v>449.0</v>
      </c>
      <c r="G801" s="14">
        <v>452.0</v>
      </c>
      <c r="H801" s="14" t="s">
        <v>28</v>
      </c>
      <c r="I801" s="14"/>
      <c r="J801" s="130" t="s">
        <v>5981</v>
      </c>
      <c r="K801" s="152" t="s">
        <v>5982</v>
      </c>
      <c r="L801" s="20" t="s">
        <v>3151</v>
      </c>
      <c r="M801" s="217" t="s">
        <v>5983</v>
      </c>
      <c r="N801" s="130" t="s">
        <v>40066</v>
      </c>
      <c r="O801" s="84"/>
      <c r="P801" s="84"/>
      <c r="Q801" s="84"/>
      <c r="R801" s="84"/>
      <c r="S801" s="84"/>
      <c r="T801" s="84"/>
      <c r="U801" s="84"/>
      <c r="V801" s="84"/>
      <c r="W801" s="84"/>
      <c r="X801" s="84"/>
    </row>
    <row r="802" ht="15.75" customHeight="1">
      <c r="A802" s="14" t="s">
        <v>17</v>
      </c>
      <c r="B802" s="14">
        <v>2000.0</v>
      </c>
      <c r="C802" s="14" t="s">
        <v>5984</v>
      </c>
      <c r="D802" s="14" t="s">
        <v>5985</v>
      </c>
      <c r="E802" s="150" t="str">
        <f t="shared" si="13"/>
        <v>http://dx.doi.org/10.1109/VISUAL.2000.885730</v>
      </c>
      <c r="F802" s="14">
        <v>453.0</v>
      </c>
      <c r="G802" s="14">
        <v>456.0</v>
      </c>
      <c r="H802" s="14" t="s">
        <v>28</v>
      </c>
      <c r="I802" s="14"/>
      <c r="J802" s="130" t="s">
        <v>5987</v>
      </c>
      <c r="K802" s="152" t="s">
        <v>5988</v>
      </c>
      <c r="L802" s="20"/>
      <c r="M802" s="217" t="s">
        <v>5989</v>
      </c>
      <c r="N802" s="130" t="s">
        <v>40067</v>
      </c>
      <c r="O802" s="84"/>
      <c r="P802" s="84"/>
      <c r="Q802" s="84"/>
      <c r="R802" s="84"/>
      <c r="S802" s="84"/>
      <c r="T802" s="84"/>
      <c r="U802" s="84"/>
      <c r="V802" s="84"/>
      <c r="W802" s="84"/>
      <c r="X802" s="84"/>
    </row>
    <row r="803" ht="15.75" customHeight="1">
      <c r="A803" s="14" t="s">
        <v>17</v>
      </c>
      <c r="B803" s="14">
        <v>2000.0</v>
      </c>
      <c r="C803" s="14" t="s">
        <v>5990</v>
      </c>
      <c r="D803" s="14" t="s">
        <v>5991</v>
      </c>
      <c r="E803" s="150" t="str">
        <f t="shared" si="13"/>
        <v>http://dx.doi.org/10.1109/VISUAL.2000.885731</v>
      </c>
      <c r="F803" s="14">
        <v>457.0</v>
      </c>
      <c r="G803" s="14">
        <v>460.0</v>
      </c>
      <c r="H803" s="14" t="s">
        <v>28</v>
      </c>
      <c r="I803" s="14"/>
      <c r="J803" s="130" t="s">
        <v>5993</v>
      </c>
      <c r="K803" s="152" t="s">
        <v>5994</v>
      </c>
      <c r="L803" s="20" t="s">
        <v>470</v>
      </c>
      <c r="M803" s="16"/>
      <c r="N803" s="130" t="s">
        <v>40069</v>
      </c>
      <c r="O803" s="84"/>
      <c r="P803" s="84"/>
      <c r="Q803" s="84"/>
      <c r="R803" s="84"/>
      <c r="S803" s="84"/>
      <c r="T803" s="84"/>
      <c r="U803" s="84"/>
      <c r="V803" s="84"/>
      <c r="W803" s="84"/>
      <c r="X803" s="84"/>
    </row>
    <row r="804" ht="15.75" customHeight="1">
      <c r="A804" s="14" t="s">
        <v>17</v>
      </c>
      <c r="B804" s="14">
        <v>2000.0</v>
      </c>
      <c r="C804" s="14" t="s">
        <v>5995</v>
      </c>
      <c r="D804" s="14" t="s">
        <v>5996</v>
      </c>
      <c r="E804" s="150" t="str">
        <f t="shared" si="13"/>
        <v>http://dx.doi.org/10.1109/VISUAL.2000.885732</v>
      </c>
      <c r="F804" s="14">
        <v>461.0</v>
      </c>
      <c r="G804" s="14">
        <v>464.0</v>
      </c>
      <c r="H804" s="14" t="s">
        <v>28</v>
      </c>
      <c r="I804" s="14"/>
      <c r="J804" s="130" t="s">
        <v>40072</v>
      </c>
      <c r="K804" s="152" t="s">
        <v>6002</v>
      </c>
      <c r="L804" s="20" t="s">
        <v>6003</v>
      </c>
      <c r="M804" s="217" t="s">
        <v>6004</v>
      </c>
      <c r="N804" s="130" t="s">
        <v>40073</v>
      </c>
      <c r="O804" s="84"/>
      <c r="P804" s="84"/>
      <c r="Q804" s="84"/>
      <c r="R804" s="84"/>
      <c r="S804" s="84"/>
      <c r="T804" s="84"/>
      <c r="U804" s="84"/>
      <c r="V804" s="84"/>
      <c r="W804" s="84"/>
      <c r="X804" s="84"/>
    </row>
    <row r="805" ht="15.75" customHeight="1">
      <c r="A805" s="14" t="s">
        <v>17</v>
      </c>
      <c r="B805" s="14">
        <v>2000.0</v>
      </c>
      <c r="C805" s="14" t="s">
        <v>6005</v>
      </c>
      <c r="D805" s="14" t="s">
        <v>6006</v>
      </c>
      <c r="E805" s="150" t="str">
        <f t="shared" si="13"/>
        <v>http://dx.doi.org/10.1109/VISUAL.2000.885733</v>
      </c>
      <c r="F805" s="14">
        <v>465.0</v>
      </c>
      <c r="G805" s="14">
        <v>468.0</v>
      </c>
      <c r="H805" s="14" t="s">
        <v>28</v>
      </c>
      <c r="I805" s="14"/>
      <c r="J805" s="130" t="s">
        <v>6011</v>
      </c>
      <c r="K805" s="152" t="s">
        <v>6012</v>
      </c>
      <c r="L805" s="20"/>
      <c r="M805" s="217" t="s">
        <v>6013</v>
      </c>
      <c r="N805" s="152" t="s">
        <v>6012</v>
      </c>
      <c r="O805" s="84"/>
      <c r="P805" s="84"/>
      <c r="Q805" s="84"/>
      <c r="R805" s="84"/>
      <c r="S805" s="84"/>
      <c r="T805" s="84"/>
      <c r="U805" s="84"/>
      <c r="V805" s="84"/>
      <c r="W805" s="84"/>
      <c r="X805" s="84"/>
    </row>
    <row r="806" ht="15.75" customHeight="1">
      <c r="A806" s="14" t="s">
        <v>17</v>
      </c>
      <c r="B806" s="14">
        <v>2000.0</v>
      </c>
      <c r="C806" s="14" t="s">
        <v>6014</v>
      </c>
      <c r="D806" s="14" t="s">
        <v>6015</v>
      </c>
      <c r="E806" s="150" t="str">
        <f t="shared" si="13"/>
        <v>http://dx.doi.org/10.1109/VISUAL.2000.885734</v>
      </c>
      <c r="F806" s="14">
        <v>469.0</v>
      </c>
      <c r="G806" s="14">
        <v>472.0</v>
      </c>
      <c r="H806" s="14" t="s">
        <v>28</v>
      </c>
      <c r="I806" s="14"/>
      <c r="J806" s="130" t="s">
        <v>6020</v>
      </c>
      <c r="K806" s="152" t="s">
        <v>6021</v>
      </c>
      <c r="L806" s="20"/>
      <c r="M806" s="217" t="s">
        <v>6022</v>
      </c>
      <c r="N806" s="152" t="s">
        <v>6021</v>
      </c>
      <c r="O806" s="84"/>
      <c r="P806" s="84"/>
      <c r="Q806" s="84"/>
      <c r="R806" s="84"/>
      <c r="S806" s="84"/>
      <c r="T806" s="84"/>
      <c r="U806" s="84"/>
      <c r="V806" s="84"/>
      <c r="W806" s="84"/>
      <c r="X806" s="84"/>
    </row>
    <row r="807" ht="15.75" customHeight="1">
      <c r="A807" s="14" t="s">
        <v>17</v>
      </c>
      <c r="B807" s="14">
        <v>2000.0</v>
      </c>
      <c r="C807" s="14" t="s">
        <v>6023</v>
      </c>
      <c r="D807" s="14" t="s">
        <v>6024</v>
      </c>
      <c r="E807" s="150" t="str">
        <f t="shared" si="13"/>
        <v>http://dx.doi.org/10.1109/VISUAL.2000.885735</v>
      </c>
      <c r="F807" s="14">
        <v>473.0</v>
      </c>
      <c r="G807" s="14">
        <v>476.0</v>
      </c>
      <c r="H807" s="14" t="s">
        <v>28</v>
      </c>
      <c r="I807" s="14"/>
      <c r="J807" s="130" t="s">
        <v>6030</v>
      </c>
      <c r="K807" s="152" t="s">
        <v>6031</v>
      </c>
      <c r="L807" s="20" t="s">
        <v>6032</v>
      </c>
      <c r="M807" s="217" t="s">
        <v>6033</v>
      </c>
      <c r="N807" s="130" t="s">
        <v>40076</v>
      </c>
      <c r="O807" s="84"/>
      <c r="P807" s="84"/>
      <c r="Q807" s="84"/>
      <c r="R807" s="84"/>
      <c r="S807" s="84"/>
      <c r="T807" s="84"/>
      <c r="U807" s="84"/>
      <c r="V807" s="84"/>
      <c r="W807" s="84"/>
      <c r="X807" s="84"/>
    </row>
    <row r="808" ht="15.75" customHeight="1">
      <c r="A808" s="14" t="s">
        <v>17</v>
      </c>
      <c r="B808" s="14">
        <v>2000.0</v>
      </c>
      <c r="C808" s="14" t="s">
        <v>6034</v>
      </c>
      <c r="D808" s="14" t="s">
        <v>6035</v>
      </c>
      <c r="E808" s="150" t="str">
        <f t="shared" si="13"/>
        <v>http://dx.doi.org/10.1109/VISUAL.2000.885736</v>
      </c>
      <c r="F808" s="14">
        <v>477.0</v>
      </c>
      <c r="G808" s="14">
        <v>480.0</v>
      </c>
      <c r="H808" s="14" t="s">
        <v>28</v>
      </c>
      <c r="I808" s="14"/>
      <c r="J808" s="130" t="s">
        <v>1672</v>
      </c>
      <c r="K808" s="152" t="s">
        <v>1158</v>
      </c>
      <c r="L808" s="20" t="s">
        <v>6038</v>
      </c>
      <c r="M808" s="217" t="s">
        <v>6039</v>
      </c>
      <c r="N808" s="152" t="s">
        <v>1158</v>
      </c>
      <c r="O808" s="84"/>
      <c r="P808" s="84"/>
      <c r="Q808" s="84"/>
      <c r="R808" s="84"/>
      <c r="S808" s="84"/>
      <c r="T808" s="84"/>
      <c r="U808" s="84"/>
      <c r="V808" s="84"/>
      <c r="W808" s="84"/>
      <c r="X808" s="84"/>
    </row>
    <row r="809" ht="15.75" customHeight="1">
      <c r="A809" s="14" t="s">
        <v>17</v>
      </c>
      <c r="B809" s="14">
        <v>2000.0</v>
      </c>
      <c r="C809" s="14" t="s">
        <v>6041</v>
      </c>
      <c r="D809" s="14" t="s">
        <v>6042</v>
      </c>
      <c r="E809" s="150" t="str">
        <f t="shared" si="13"/>
        <v>http://dx.doi.org/10.1109/VISUAL.2000.885737</v>
      </c>
      <c r="F809" s="14">
        <v>481.0</v>
      </c>
      <c r="G809" s="14">
        <v>484.0</v>
      </c>
      <c r="H809" s="14" t="s">
        <v>28</v>
      </c>
      <c r="I809" s="14"/>
      <c r="J809" s="130" t="s">
        <v>6044</v>
      </c>
      <c r="K809" s="152" t="s">
        <v>4660</v>
      </c>
      <c r="L809" s="20" t="s">
        <v>6045</v>
      </c>
      <c r="M809" s="217" t="s">
        <v>6046</v>
      </c>
      <c r="N809" s="130" t="s">
        <v>40080</v>
      </c>
      <c r="O809" s="84"/>
      <c r="P809" s="84"/>
      <c r="Q809" s="84"/>
      <c r="R809" s="84"/>
      <c r="S809" s="84"/>
      <c r="T809" s="84"/>
      <c r="U809" s="84"/>
      <c r="V809" s="84"/>
      <c r="W809" s="84"/>
      <c r="X809" s="84"/>
    </row>
    <row r="810" ht="15.75" customHeight="1">
      <c r="A810" s="14" t="s">
        <v>17</v>
      </c>
      <c r="B810" s="14">
        <v>2000.0</v>
      </c>
      <c r="C810" s="14" t="s">
        <v>6047</v>
      </c>
      <c r="D810" s="14" t="s">
        <v>6048</v>
      </c>
      <c r="E810" s="150" t="str">
        <f t="shared" si="13"/>
        <v>http://dx.doi.org/10.1109/VISUAL.2000.885738</v>
      </c>
      <c r="F810" s="14">
        <v>485.0</v>
      </c>
      <c r="G810" s="14">
        <v>488.0</v>
      </c>
      <c r="H810" s="14" t="s">
        <v>28</v>
      </c>
      <c r="I810" s="14"/>
      <c r="J810" s="130" t="s">
        <v>6052</v>
      </c>
      <c r="K810" s="152" t="s">
        <v>6053</v>
      </c>
      <c r="L810" s="20" t="s">
        <v>6054</v>
      </c>
      <c r="M810" s="217" t="s">
        <v>6055</v>
      </c>
      <c r="N810" s="152" t="s">
        <v>6053</v>
      </c>
      <c r="O810" s="84"/>
      <c r="P810" s="84"/>
      <c r="Q810" s="84"/>
      <c r="R810" s="84"/>
      <c r="S810" s="84"/>
      <c r="T810" s="84"/>
      <c r="U810" s="84"/>
      <c r="V810" s="84"/>
      <c r="W810" s="84"/>
      <c r="X810" s="84"/>
    </row>
    <row r="811" ht="15.75" customHeight="1">
      <c r="A811" s="14" t="s">
        <v>17</v>
      </c>
      <c r="B811" s="14">
        <v>2000.0</v>
      </c>
      <c r="C811" s="14" t="s">
        <v>6056</v>
      </c>
      <c r="D811" s="14" t="s">
        <v>6057</v>
      </c>
      <c r="E811" s="150" t="str">
        <f t="shared" si="13"/>
        <v>http://dx.doi.org/10.1109/VISUAL.2000.885739</v>
      </c>
      <c r="F811" s="14">
        <v>489.0</v>
      </c>
      <c r="G811" s="14">
        <v>492.0</v>
      </c>
      <c r="H811" s="14" t="s">
        <v>28</v>
      </c>
      <c r="I811" s="14"/>
      <c r="J811" s="130" t="s">
        <v>6062</v>
      </c>
      <c r="K811" s="152" t="s">
        <v>6063</v>
      </c>
      <c r="L811" s="20" t="s">
        <v>6064</v>
      </c>
      <c r="M811" s="217" t="s">
        <v>6065</v>
      </c>
      <c r="N811" s="130" t="s">
        <v>40084</v>
      </c>
      <c r="O811" s="84"/>
      <c r="P811" s="84"/>
      <c r="Q811" s="84"/>
      <c r="R811" s="84"/>
      <c r="S811" s="84"/>
      <c r="T811" s="84"/>
      <c r="U811" s="84"/>
      <c r="V811" s="84"/>
      <c r="W811" s="84"/>
      <c r="X811" s="84"/>
    </row>
    <row r="812" ht="15.75" customHeight="1">
      <c r="A812" s="14" t="s">
        <v>17</v>
      </c>
      <c r="B812" s="14">
        <v>2000.0</v>
      </c>
      <c r="C812" s="14" t="s">
        <v>6068</v>
      </c>
      <c r="D812" s="14" t="s">
        <v>6069</v>
      </c>
      <c r="E812" s="150" t="str">
        <f t="shared" si="13"/>
        <v>http://dx.doi.org/10.1109/VISUAL.2000.885740</v>
      </c>
      <c r="F812" s="14">
        <v>493.0</v>
      </c>
      <c r="G812" s="14">
        <v>496.0</v>
      </c>
      <c r="H812" s="14" t="s">
        <v>28</v>
      </c>
      <c r="I812" s="14"/>
      <c r="J812" s="130" t="s">
        <v>6071</v>
      </c>
      <c r="K812" s="152" t="s">
        <v>5773</v>
      </c>
      <c r="L812" s="20" t="s">
        <v>6072</v>
      </c>
      <c r="M812" s="16"/>
      <c r="N812" s="130" t="s">
        <v>40085</v>
      </c>
      <c r="O812" s="84"/>
      <c r="P812" s="84"/>
      <c r="Q812" s="84"/>
      <c r="R812" s="84"/>
      <c r="S812" s="84"/>
      <c r="T812" s="84"/>
      <c r="U812" s="84"/>
      <c r="V812" s="84"/>
      <c r="W812" s="84"/>
      <c r="X812" s="84"/>
    </row>
    <row r="813" ht="15.75" customHeight="1">
      <c r="A813" s="14" t="s">
        <v>17</v>
      </c>
      <c r="B813" s="14">
        <v>2000.0</v>
      </c>
      <c r="C813" s="14" t="s">
        <v>6075</v>
      </c>
      <c r="D813" s="14" t="s">
        <v>6077</v>
      </c>
      <c r="E813" s="150" t="str">
        <f t="shared" si="13"/>
        <v>http://dx.doi.org/10.1109/VISUAL.2000.885741</v>
      </c>
      <c r="F813" s="14">
        <v>497.0</v>
      </c>
      <c r="G813" s="14">
        <v>500.0</v>
      </c>
      <c r="H813" s="14" t="s">
        <v>28</v>
      </c>
      <c r="I813" s="14"/>
      <c r="J813" s="130" t="s">
        <v>1104</v>
      </c>
      <c r="K813" s="152" t="s">
        <v>6080</v>
      </c>
      <c r="L813" s="20"/>
      <c r="M813" s="217" t="s">
        <v>6081</v>
      </c>
      <c r="N813" s="130" t="s">
        <v>35935</v>
      </c>
      <c r="O813" s="84"/>
      <c r="P813" s="84"/>
      <c r="Q813" s="84"/>
      <c r="R813" s="84"/>
      <c r="S813" s="84"/>
      <c r="T813" s="84"/>
      <c r="U813" s="84"/>
      <c r="V813" s="84"/>
      <c r="W813" s="84"/>
      <c r="X813" s="84"/>
    </row>
    <row r="814" ht="15.75" customHeight="1">
      <c r="A814" s="14" t="s">
        <v>17</v>
      </c>
      <c r="B814" s="14">
        <v>2000.0</v>
      </c>
      <c r="C814" s="14" t="s">
        <v>6082</v>
      </c>
      <c r="D814" s="14" t="s">
        <v>6083</v>
      </c>
      <c r="E814" s="150" t="str">
        <f t="shared" si="13"/>
        <v>http://dx.doi.org/10.1109/VISUAL.2000.885742</v>
      </c>
      <c r="F814" s="14">
        <v>501.0</v>
      </c>
      <c r="G814" s="14">
        <v>504.0</v>
      </c>
      <c r="H814" s="14" t="s">
        <v>28</v>
      </c>
      <c r="I814" s="14"/>
      <c r="J814" s="130" t="s">
        <v>6085</v>
      </c>
      <c r="K814" s="152" t="s">
        <v>4927</v>
      </c>
      <c r="L814" s="20" t="s">
        <v>2916</v>
      </c>
      <c r="M814" s="217" t="s">
        <v>6086</v>
      </c>
      <c r="N814" s="130" t="s">
        <v>37593</v>
      </c>
      <c r="O814" s="84"/>
      <c r="P814" s="84"/>
      <c r="Q814" s="84"/>
      <c r="R814" s="84"/>
      <c r="S814" s="84"/>
      <c r="T814" s="84"/>
      <c r="U814" s="84"/>
      <c r="V814" s="84"/>
      <c r="W814" s="84"/>
      <c r="X814" s="84"/>
    </row>
    <row r="815" ht="15.75" customHeight="1">
      <c r="A815" s="14" t="s">
        <v>17</v>
      </c>
      <c r="B815" s="14">
        <v>2000.0</v>
      </c>
      <c r="C815" s="14" t="s">
        <v>6088</v>
      </c>
      <c r="D815" s="14" t="s">
        <v>6090</v>
      </c>
      <c r="E815" s="150" t="str">
        <f t="shared" si="13"/>
        <v>http://dx.doi.org/10.1109/VISUAL.2000.885743</v>
      </c>
      <c r="F815" s="14">
        <v>505.0</v>
      </c>
      <c r="G815" s="14">
        <v>508.0</v>
      </c>
      <c r="H815" s="14" t="s">
        <v>28</v>
      </c>
      <c r="I815" s="14"/>
      <c r="J815" s="130" t="s">
        <v>5403</v>
      </c>
      <c r="K815" s="152" t="s">
        <v>6092</v>
      </c>
      <c r="L815" s="20" t="s">
        <v>6093</v>
      </c>
      <c r="M815" s="218" t="s">
        <v>39184</v>
      </c>
      <c r="N815" s="130" t="s">
        <v>40092</v>
      </c>
      <c r="O815" s="84"/>
      <c r="P815" s="84"/>
      <c r="Q815" s="84"/>
      <c r="R815" s="84"/>
      <c r="S815" s="84"/>
      <c r="T815" s="84"/>
      <c r="U815" s="84"/>
      <c r="V815" s="84"/>
      <c r="W815" s="84"/>
      <c r="X815" s="84"/>
    </row>
    <row r="816" ht="15.75" customHeight="1">
      <c r="A816" s="14" t="s">
        <v>17</v>
      </c>
      <c r="B816" s="50">
        <v>2000.0</v>
      </c>
      <c r="C816" s="14" t="s">
        <v>6095</v>
      </c>
      <c r="D816" s="97" t="s">
        <v>6097</v>
      </c>
      <c r="E816" s="194" t="s">
        <v>6098</v>
      </c>
      <c r="F816" s="50">
        <v>509.0</v>
      </c>
      <c r="G816" s="50">
        <v>512.0</v>
      </c>
      <c r="H816" s="14" t="s">
        <v>28</v>
      </c>
      <c r="I816" s="14"/>
      <c r="J816" s="130" t="s">
        <v>6104</v>
      </c>
      <c r="K816" s="14" t="s">
        <v>6105</v>
      </c>
      <c r="L816" s="20" t="s">
        <v>2900</v>
      </c>
      <c r="M816" s="16"/>
      <c r="N816" s="130" t="s">
        <v>40094</v>
      </c>
      <c r="O816" s="84"/>
      <c r="P816" s="84"/>
      <c r="Q816" s="84"/>
      <c r="R816" s="84"/>
      <c r="S816" s="84"/>
      <c r="T816" s="84"/>
      <c r="U816" s="84"/>
      <c r="V816" s="84"/>
      <c r="W816" s="84"/>
      <c r="X816" s="84"/>
    </row>
    <row r="817" ht="15.75" customHeight="1">
      <c r="A817" s="14" t="s">
        <v>17</v>
      </c>
      <c r="B817" s="14">
        <v>2000.0</v>
      </c>
      <c r="C817" s="14" t="s">
        <v>6106</v>
      </c>
      <c r="D817" s="14" t="s">
        <v>6107</v>
      </c>
      <c r="E817" s="150" t="str">
        <f t="shared" ref="E817:E844" si="14">"http://dx.doi.org/" &amp; D817</f>
        <v>http://dx.doi.org/10.1109/VISUAL.2000.885745</v>
      </c>
      <c r="F817" s="14">
        <v>513.0</v>
      </c>
      <c r="G817" s="14">
        <v>516.0</v>
      </c>
      <c r="H817" s="14" t="s">
        <v>28</v>
      </c>
      <c r="I817" s="14"/>
      <c r="J817" s="130" t="s">
        <v>1672</v>
      </c>
      <c r="K817" s="152" t="s">
        <v>1158</v>
      </c>
      <c r="L817" s="20" t="s">
        <v>6111</v>
      </c>
      <c r="M817" s="217" t="s">
        <v>6112</v>
      </c>
      <c r="N817" s="130" t="s">
        <v>40097</v>
      </c>
      <c r="O817" s="84"/>
      <c r="P817" s="84"/>
      <c r="Q817" s="84"/>
      <c r="R817" s="84"/>
      <c r="S817" s="84"/>
      <c r="T817" s="84"/>
      <c r="U817" s="84"/>
      <c r="V817" s="84"/>
      <c r="W817" s="84"/>
      <c r="X817" s="84"/>
    </row>
    <row r="818" ht="15.75" customHeight="1">
      <c r="A818" s="14" t="s">
        <v>2137</v>
      </c>
      <c r="B818" s="14">
        <v>2001.0</v>
      </c>
      <c r="C818" s="14" t="s">
        <v>6113</v>
      </c>
      <c r="D818" s="14" t="s">
        <v>6114</v>
      </c>
      <c r="E818" s="150" t="str">
        <f t="shared" si="14"/>
        <v>http://dx.doi.org/10.1109/INFVIS.2001.963272</v>
      </c>
      <c r="F818" s="14">
        <v>3.0</v>
      </c>
      <c r="G818" s="14">
        <v>3.0</v>
      </c>
      <c r="H818" s="14" t="s">
        <v>21</v>
      </c>
      <c r="I818" s="14"/>
      <c r="J818" s="130" t="s">
        <v>6118</v>
      </c>
      <c r="K818" s="152" t="s">
        <v>6119</v>
      </c>
      <c r="L818" s="20"/>
      <c r="M818" s="16"/>
      <c r="N818" s="152" t="s">
        <v>6119</v>
      </c>
      <c r="O818" s="84"/>
      <c r="P818" s="84"/>
      <c r="Q818" s="84"/>
      <c r="R818" s="84"/>
      <c r="S818" s="84"/>
      <c r="T818" s="84"/>
      <c r="U818" s="84"/>
      <c r="V818" s="84"/>
      <c r="W818" s="84"/>
      <c r="X818" s="84"/>
    </row>
    <row r="819" ht="15.75" customHeight="1">
      <c r="A819" s="14" t="s">
        <v>2137</v>
      </c>
      <c r="B819" s="14">
        <v>2001.0</v>
      </c>
      <c r="C819" s="14" t="s">
        <v>6120</v>
      </c>
      <c r="D819" s="14" t="s">
        <v>6121</v>
      </c>
      <c r="E819" s="150" t="str">
        <f t="shared" si="14"/>
        <v>http://dx.doi.org/10.1109/INFVIS.2001.963273</v>
      </c>
      <c r="F819" s="14">
        <v>7.0</v>
      </c>
      <c r="G819" s="14">
        <v>13.0</v>
      </c>
      <c r="H819" s="14" t="s">
        <v>28</v>
      </c>
      <c r="I819" s="14"/>
      <c r="J819" s="130" t="s">
        <v>13116</v>
      </c>
      <c r="K819" s="152" t="s">
        <v>6124</v>
      </c>
      <c r="L819" s="20" t="s">
        <v>6125</v>
      </c>
      <c r="M819" s="174" t="s">
        <v>6126</v>
      </c>
      <c r="N819" s="130" t="s">
        <v>40099</v>
      </c>
      <c r="O819" s="84"/>
      <c r="P819" s="84"/>
      <c r="Q819" s="84"/>
      <c r="R819" s="84"/>
      <c r="S819" s="84"/>
      <c r="T819" s="84"/>
      <c r="U819" s="84"/>
      <c r="V819" s="84"/>
      <c r="W819" s="84"/>
      <c r="X819" s="84"/>
    </row>
    <row r="820" ht="15.75" customHeight="1">
      <c r="A820" s="14" t="s">
        <v>2137</v>
      </c>
      <c r="B820" s="14">
        <v>2001.0</v>
      </c>
      <c r="C820" s="14" t="s">
        <v>6127</v>
      </c>
      <c r="D820" s="14" t="s">
        <v>6128</v>
      </c>
      <c r="E820" s="150" t="str">
        <f t="shared" si="14"/>
        <v>http://dx.doi.org/10.1109/INFVIS.2001.963274</v>
      </c>
      <c r="F820" s="14">
        <v>15.0</v>
      </c>
      <c r="G820" s="14">
        <v>22.0</v>
      </c>
      <c r="H820" s="14" t="s">
        <v>28</v>
      </c>
      <c r="I820" s="14"/>
      <c r="J820" s="130" t="s">
        <v>6133</v>
      </c>
      <c r="K820" s="152" t="s">
        <v>6134</v>
      </c>
      <c r="L820" s="20" t="s">
        <v>6135</v>
      </c>
      <c r="M820" s="16"/>
      <c r="N820" s="152" t="s">
        <v>6134</v>
      </c>
      <c r="O820" s="84"/>
      <c r="P820" s="84"/>
      <c r="Q820" s="84"/>
      <c r="R820" s="84"/>
      <c r="S820" s="84"/>
      <c r="T820" s="84"/>
      <c r="U820" s="84"/>
      <c r="V820" s="84"/>
      <c r="W820" s="84"/>
      <c r="X820" s="84"/>
    </row>
    <row r="821" ht="15.75" customHeight="1">
      <c r="A821" s="14" t="s">
        <v>2137</v>
      </c>
      <c r="B821" s="14">
        <v>2001.0</v>
      </c>
      <c r="C821" s="14" t="s">
        <v>6136</v>
      </c>
      <c r="D821" s="14" t="s">
        <v>6137</v>
      </c>
      <c r="E821" s="150" t="str">
        <f t="shared" si="14"/>
        <v>http://dx.doi.org/10.1109/INFVIS.2001.963275</v>
      </c>
      <c r="F821" s="14">
        <v>23.0</v>
      </c>
      <c r="G821" s="14">
        <v>30.0</v>
      </c>
      <c r="H821" s="14" t="s">
        <v>28</v>
      </c>
      <c r="I821" s="14"/>
      <c r="J821" s="130" t="s">
        <v>6139</v>
      </c>
      <c r="K821" s="152" t="s">
        <v>6140</v>
      </c>
      <c r="L821" s="20" t="s">
        <v>2181</v>
      </c>
      <c r="M821" s="16"/>
      <c r="N821" s="152" t="s">
        <v>6140</v>
      </c>
      <c r="O821" s="84"/>
      <c r="P821" s="84"/>
      <c r="Q821" s="84"/>
      <c r="R821" s="84"/>
      <c r="S821" s="84"/>
      <c r="T821" s="84"/>
      <c r="U821" s="84"/>
      <c r="V821" s="84"/>
      <c r="W821" s="84"/>
      <c r="X821" s="84"/>
    </row>
    <row r="822" ht="15.75" customHeight="1">
      <c r="A822" s="14" t="s">
        <v>2137</v>
      </c>
      <c r="B822" s="14">
        <v>2001.0</v>
      </c>
      <c r="C822" s="14" t="s">
        <v>6141</v>
      </c>
      <c r="D822" s="14" t="s">
        <v>6142</v>
      </c>
      <c r="E822" s="150" t="str">
        <f t="shared" si="14"/>
        <v>http://dx.doi.org/10.1109/INFVIS.2001.963277</v>
      </c>
      <c r="F822" s="14">
        <v>33.0</v>
      </c>
      <c r="G822" s="14">
        <v>36.0</v>
      </c>
      <c r="H822" s="14" t="s">
        <v>28</v>
      </c>
      <c r="I822" s="14"/>
      <c r="J822" s="130" t="s">
        <v>6261</v>
      </c>
      <c r="K822" s="152" t="s">
        <v>6266</v>
      </c>
      <c r="L822" s="20"/>
      <c r="M822" s="16"/>
      <c r="N822" s="130" t="s">
        <v>40103</v>
      </c>
      <c r="O822" s="84"/>
      <c r="P822" s="84"/>
      <c r="Q822" s="84"/>
      <c r="R822" s="84"/>
      <c r="S822" s="84"/>
      <c r="T822" s="84"/>
      <c r="U822" s="84"/>
      <c r="V822" s="84"/>
      <c r="W822" s="84"/>
      <c r="X822" s="84"/>
    </row>
    <row r="823" ht="15.75" customHeight="1">
      <c r="A823" s="14" t="s">
        <v>2137</v>
      </c>
      <c r="B823" s="14">
        <v>2001.0</v>
      </c>
      <c r="C823" s="14" t="s">
        <v>6270</v>
      </c>
      <c r="D823" s="14" t="s">
        <v>6272</v>
      </c>
      <c r="E823" s="150" t="str">
        <f t="shared" si="14"/>
        <v>http://dx.doi.org/10.1109/INFVIS.2001.963278</v>
      </c>
      <c r="F823" s="14">
        <v>37.0</v>
      </c>
      <c r="G823" s="14">
        <v>40.0</v>
      </c>
      <c r="H823" s="14" t="s">
        <v>28</v>
      </c>
      <c r="I823" s="14"/>
      <c r="J823" s="130" t="s">
        <v>3986</v>
      </c>
      <c r="K823" s="152" t="s">
        <v>6341</v>
      </c>
      <c r="L823" s="20" t="s">
        <v>6343</v>
      </c>
      <c r="M823" s="16"/>
      <c r="N823" s="152" t="s">
        <v>6341</v>
      </c>
      <c r="O823" s="84"/>
      <c r="P823" s="84"/>
      <c r="Q823" s="84"/>
      <c r="R823" s="84"/>
      <c r="S823" s="84"/>
      <c r="T823" s="84"/>
      <c r="U823" s="84"/>
      <c r="V823" s="84"/>
      <c r="W823" s="84"/>
      <c r="X823" s="84"/>
    </row>
    <row r="824" ht="15.75" customHeight="1">
      <c r="A824" s="14" t="s">
        <v>2137</v>
      </c>
      <c r="B824" s="14">
        <v>2001.0</v>
      </c>
      <c r="C824" s="14" t="s">
        <v>6349</v>
      </c>
      <c r="D824" s="14" t="s">
        <v>6351</v>
      </c>
      <c r="E824" s="150" t="str">
        <f t="shared" si="14"/>
        <v>http://dx.doi.org/10.1109/INFVIS.2001.963279</v>
      </c>
      <c r="F824" s="14">
        <v>43.0</v>
      </c>
      <c r="G824" s="14">
        <v>50.0</v>
      </c>
      <c r="H824" s="14" t="s">
        <v>28</v>
      </c>
      <c r="I824" s="14"/>
      <c r="J824" s="130" t="s">
        <v>6381</v>
      </c>
      <c r="K824" s="152" t="s">
        <v>6383</v>
      </c>
      <c r="L824" s="20" t="s">
        <v>3293</v>
      </c>
      <c r="M824" s="174" t="s">
        <v>6385</v>
      </c>
      <c r="N824" s="130" t="s">
        <v>38483</v>
      </c>
      <c r="O824" s="84"/>
      <c r="P824" s="84"/>
      <c r="Q824" s="84"/>
      <c r="R824" s="84"/>
      <c r="S824" s="84"/>
      <c r="T824" s="84"/>
      <c r="U824" s="84"/>
      <c r="V824" s="84"/>
      <c r="W824" s="84"/>
      <c r="X824" s="84"/>
    </row>
    <row r="825" ht="15.75" customHeight="1">
      <c r="A825" s="14" t="s">
        <v>2137</v>
      </c>
      <c r="B825" s="14">
        <v>2001.0</v>
      </c>
      <c r="C825" s="14" t="s">
        <v>6395</v>
      </c>
      <c r="D825" s="14" t="s">
        <v>6397</v>
      </c>
      <c r="E825" s="150" t="str">
        <f t="shared" si="14"/>
        <v>http://dx.doi.org/10.1109/INFVIS.2001.963280</v>
      </c>
      <c r="F825" s="14">
        <v>51.0</v>
      </c>
      <c r="G825" s="14">
        <v>58.0</v>
      </c>
      <c r="H825" s="14" t="s">
        <v>28</v>
      </c>
      <c r="I825" s="14"/>
      <c r="J825" s="130" t="s">
        <v>6431</v>
      </c>
      <c r="K825" s="152" t="s">
        <v>6435</v>
      </c>
      <c r="L825" s="20"/>
      <c r="M825" s="174" t="s">
        <v>6444</v>
      </c>
      <c r="N825" s="152" t="s">
        <v>6435</v>
      </c>
      <c r="O825" s="84"/>
      <c r="P825" s="84"/>
      <c r="Q825" s="84"/>
      <c r="R825" s="84"/>
      <c r="S825" s="84"/>
      <c r="T825" s="84"/>
      <c r="U825" s="84"/>
      <c r="V825" s="84"/>
      <c r="W825" s="84"/>
      <c r="X825" s="84"/>
    </row>
    <row r="826" ht="15.75" customHeight="1">
      <c r="A826" s="14" t="s">
        <v>2137</v>
      </c>
      <c r="B826" s="14">
        <v>2001.0</v>
      </c>
      <c r="C826" s="14" t="s">
        <v>6447</v>
      </c>
      <c r="D826" s="14" t="s">
        <v>6449</v>
      </c>
      <c r="E826" s="150" t="str">
        <f t="shared" si="14"/>
        <v>http://dx.doi.org/10.1109/INFVIS.2001.963281</v>
      </c>
      <c r="F826" s="14">
        <v>59.0</v>
      </c>
      <c r="G826" s="14">
        <v>66.0</v>
      </c>
      <c r="H826" s="14" t="s">
        <v>28</v>
      </c>
      <c r="I826" s="14"/>
      <c r="J826" s="130" t="s">
        <v>6481</v>
      </c>
      <c r="K826" s="152" t="s">
        <v>6482</v>
      </c>
      <c r="L826" s="20" t="s">
        <v>3301</v>
      </c>
      <c r="M826" s="16"/>
      <c r="N826" s="130" t="s">
        <v>40110</v>
      </c>
      <c r="O826" s="84"/>
      <c r="P826" s="84"/>
      <c r="Q826" s="84"/>
      <c r="R826" s="84"/>
      <c r="S826" s="84"/>
      <c r="T826" s="84"/>
      <c r="U826" s="84"/>
      <c r="V826" s="84"/>
      <c r="W826" s="84"/>
      <c r="X826" s="84"/>
    </row>
    <row r="827" ht="15.75" customHeight="1">
      <c r="A827" s="14" t="s">
        <v>2137</v>
      </c>
      <c r="B827" s="14">
        <v>2001.0</v>
      </c>
      <c r="C827" s="14" t="s">
        <v>6487</v>
      </c>
      <c r="D827" s="14" t="s">
        <v>6488</v>
      </c>
      <c r="E827" s="150" t="str">
        <f t="shared" si="14"/>
        <v>http://dx.doi.org/10.1109/INFVIS.2001.963282</v>
      </c>
      <c r="F827" s="14">
        <v>67.0</v>
      </c>
      <c r="G827" s="14">
        <v>70.0</v>
      </c>
      <c r="H827" s="14" t="s">
        <v>28</v>
      </c>
      <c r="I827" s="14"/>
      <c r="J827" s="130" t="s">
        <v>6512</v>
      </c>
      <c r="K827" s="152" t="s">
        <v>6514</v>
      </c>
      <c r="L827" s="20" t="s">
        <v>5500</v>
      </c>
      <c r="M827" s="174" t="s">
        <v>6519</v>
      </c>
      <c r="N827" s="130" t="s">
        <v>40111</v>
      </c>
      <c r="O827" s="84"/>
      <c r="P827" s="84"/>
      <c r="Q827" s="84"/>
      <c r="R827" s="84"/>
      <c r="S827" s="84"/>
      <c r="T827" s="84"/>
      <c r="U827" s="84"/>
      <c r="V827" s="84"/>
      <c r="W827" s="84"/>
      <c r="X827" s="84"/>
    </row>
    <row r="828" ht="15.75" customHeight="1">
      <c r="A828" s="14" t="s">
        <v>2137</v>
      </c>
      <c r="B828" s="14">
        <v>2001.0</v>
      </c>
      <c r="C828" s="14" t="s">
        <v>6526</v>
      </c>
      <c r="D828" s="14" t="s">
        <v>6527</v>
      </c>
      <c r="E828" s="150" t="str">
        <f t="shared" si="14"/>
        <v>http://dx.doi.org/10.1109/INFVIS.2001.963283</v>
      </c>
      <c r="F828" s="14">
        <v>73.0</v>
      </c>
      <c r="G828" s="14">
        <v>78.0</v>
      </c>
      <c r="H828" s="14" t="s">
        <v>28</v>
      </c>
      <c r="I828" s="14"/>
      <c r="J828" s="130" t="s">
        <v>6555</v>
      </c>
      <c r="K828" s="152" t="s">
        <v>6556</v>
      </c>
      <c r="L828" s="20" t="s">
        <v>6558</v>
      </c>
      <c r="M828" s="174" t="s">
        <v>6560</v>
      </c>
      <c r="N828" s="130" t="s">
        <v>40112</v>
      </c>
      <c r="O828" s="84"/>
      <c r="P828" s="84"/>
      <c r="Q828" s="84"/>
      <c r="R828" s="84"/>
      <c r="S828" s="84"/>
      <c r="T828" s="84"/>
      <c r="U828" s="84"/>
      <c r="V828" s="84"/>
      <c r="W828" s="84"/>
      <c r="X828" s="84"/>
    </row>
    <row r="829" ht="15.75" customHeight="1">
      <c r="A829" s="14" t="s">
        <v>2137</v>
      </c>
      <c r="B829" s="14">
        <v>2001.0</v>
      </c>
      <c r="C829" s="14" t="s">
        <v>6563</v>
      </c>
      <c r="D829" s="14" t="s">
        <v>6565</v>
      </c>
      <c r="E829" s="150" t="str">
        <f t="shared" si="14"/>
        <v>http://dx.doi.org/10.1109/INFVIS.2001.963284</v>
      </c>
      <c r="F829" s="14">
        <v>79.0</v>
      </c>
      <c r="G829" s="14">
        <v>86.0</v>
      </c>
      <c r="H829" s="14" t="s">
        <v>28</v>
      </c>
      <c r="I829" s="14"/>
      <c r="J829" s="130" t="s">
        <v>13161</v>
      </c>
      <c r="K829" s="152" t="s">
        <v>6747</v>
      </c>
      <c r="L829" s="20" t="s">
        <v>6749</v>
      </c>
      <c r="M829" s="174" t="s">
        <v>6751</v>
      </c>
      <c r="N829" s="130" t="s">
        <v>40113</v>
      </c>
      <c r="O829" s="84"/>
      <c r="P829" s="84"/>
      <c r="Q829" s="84"/>
      <c r="R829" s="84"/>
      <c r="S829" s="84"/>
      <c r="T829" s="84"/>
      <c r="U829" s="84"/>
      <c r="V829" s="84"/>
      <c r="W829" s="84"/>
      <c r="X829" s="84"/>
    </row>
    <row r="830" ht="15.75" customHeight="1">
      <c r="A830" s="14" t="s">
        <v>2137</v>
      </c>
      <c r="B830" s="14">
        <v>2001.0</v>
      </c>
      <c r="C830" s="14" t="s">
        <v>6755</v>
      </c>
      <c r="D830" s="14" t="s">
        <v>6757</v>
      </c>
      <c r="E830" s="150" t="str">
        <f t="shared" si="14"/>
        <v>http://dx.doi.org/10.1109/INFVIS.2001.963285</v>
      </c>
      <c r="F830" s="14">
        <v>87.0</v>
      </c>
      <c r="G830" s="14">
        <v>94.0</v>
      </c>
      <c r="H830" s="14" t="s">
        <v>28</v>
      </c>
      <c r="I830" s="14"/>
      <c r="J830" s="130" t="s">
        <v>6785</v>
      </c>
      <c r="K830" s="152" t="s">
        <v>6482</v>
      </c>
      <c r="L830" s="20" t="s">
        <v>6788</v>
      </c>
      <c r="M830" s="174" t="s">
        <v>6789</v>
      </c>
      <c r="N830" s="130" t="s">
        <v>40110</v>
      </c>
      <c r="O830" s="84"/>
      <c r="P830" s="84"/>
      <c r="Q830" s="84"/>
      <c r="R830" s="84"/>
      <c r="S830" s="84"/>
      <c r="T830" s="84"/>
      <c r="U830" s="84"/>
      <c r="V830" s="84"/>
      <c r="W830" s="84"/>
      <c r="X830" s="84"/>
    </row>
    <row r="831" ht="15.75" customHeight="1">
      <c r="A831" s="14" t="s">
        <v>2137</v>
      </c>
      <c r="B831" s="14">
        <v>2001.0</v>
      </c>
      <c r="C831" s="14" t="s">
        <v>6792</v>
      </c>
      <c r="D831" s="14" t="s">
        <v>6794</v>
      </c>
      <c r="E831" s="150" t="str">
        <f t="shared" si="14"/>
        <v>http://dx.doi.org/10.1109/INFVIS.2001.963286</v>
      </c>
      <c r="F831" s="14">
        <v>97.0</v>
      </c>
      <c r="G831" s="14">
        <v>104.0</v>
      </c>
      <c r="H831" s="14" t="s">
        <v>28</v>
      </c>
      <c r="I831" s="14"/>
      <c r="J831" s="130" t="s">
        <v>6829</v>
      </c>
      <c r="K831" s="152" t="s">
        <v>6831</v>
      </c>
      <c r="L831" s="20" t="s">
        <v>6833</v>
      </c>
      <c r="M831" s="174" t="s">
        <v>6834</v>
      </c>
      <c r="N831" s="130" t="s">
        <v>39045</v>
      </c>
      <c r="O831" s="84"/>
      <c r="P831" s="84"/>
      <c r="Q831" s="84"/>
      <c r="R831" s="84"/>
      <c r="S831" s="84"/>
      <c r="T831" s="84"/>
      <c r="U831" s="84"/>
      <c r="V831" s="84"/>
      <c r="W831" s="84"/>
      <c r="X831" s="84"/>
    </row>
    <row r="832" ht="15.75" customHeight="1">
      <c r="A832" s="14" t="s">
        <v>2137</v>
      </c>
      <c r="B832" s="14">
        <v>2001.0</v>
      </c>
      <c r="C832" s="14" t="s">
        <v>6837</v>
      </c>
      <c r="D832" s="14" t="s">
        <v>6839</v>
      </c>
      <c r="E832" s="150" t="str">
        <f t="shared" si="14"/>
        <v>http://dx.doi.org/10.1109/INFVIS.2001.963287</v>
      </c>
      <c r="F832" s="14">
        <v>105.0</v>
      </c>
      <c r="G832" s="14">
        <v>112.0</v>
      </c>
      <c r="H832" s="14" t="s">
        <v>28</v>
      </c>
      <c r="I832" s="14"/>
      <c r="J832" s="130" t="s">
        <v>6865</v>
      </c>
      <c r="K832" s="152" t="s">
        <v>6867</v>
      </c>
      <c r="L832" s="20" t="s">
        <v>6868</v>
      </c>
      <c r="M832" s="16"/>
      <c r="N832" s="130" t="s">
        <v>40119</v>
      </c>
      <c r="O832" s="84"/>
      <c r="P832" s="84"/>
      <c r="Q832" s="84"/>
      <c r="R832" s="84"/>
      <c r="S832" s="84"/>
      <c r="T832" s="84"/>
      <c r="U832" s="84"/>
      <c r="V832" s="84"/>
      <c r="W832" s="84"/>
      <c r="X832" s="84"/>
    </row>
    <row r="833" ht="15.75" customHeight="1">
      <c r="A833" s="14" t="s">
        <v>2137</v>
      </c>
      <c r="B833" s="14">
        <v>2001.0</v>
      </c>
      <c r="C833" s="14" t="s">
        <v>6871</v>
      </c>
      <c r="D833" s="14" t="s">
        <v>6873</v>
      </c>
      <c r="E833" s="150" t="str">
        <f t="shared" si="14"/>
        <v>http://dx.doi.org/10.1109/INFVIS.2001.963288</v>
      </c>
      <c r="F833" s="14">
        <v>113.0</v>
      </c>
      <c r="G833" s="14">
        <v>120.0</v>
      </c>
      <c r="H833" s="14" t="s">
        <v>28</v>
      </c>
      <c r="I833" s="14"/>
      <c r="J833" s="130" t="s">
        <v>6904</v>
      </c>
      <c r="K833" s="152" t="s">
        <v>6907</v>
      </c>
      <c r="L833" s="20" t="s">
        <v>6908</v>
      </c>
      <c r="M833" s="16"/>
      <c r="N833" s="130" t="s">
        <v>40120</v>
      </c>
      <c r="O833" s="84"/>
      <c r="P833" s="84"/>
      <c r="Q833" s="84"/>
      <c r="R833" s="84"/>
      <c r="S833" s="84"/>
      <c r="T833" s="84"/>
      <c r="U833" s="84"/>
      <c r="V833" s="84"/>
      <c r="W833" s="84"/>
      <c r="X833" s="84"/>
    </row>
    <row r="834" ht="15.75" customHeight="1">
      <c r="A834" s="14" t="s">
        <v>2137</v>
      </c>
      <c r="B834" s="14">
        <v>2001.0</v>
      </c>
      <c r="C834" s="14" t="s">
        <v>6912</v>
      </c>
      <c r="D834" s="14" t="s">
        <v>6913</v>
      </c>
      <c r="E834" s="150" t="str">
        <f t="shared" si="14"/>
        <v>http://dx.doi.org/10.1109/INFVIS.2001.963289</v>
      </c>
      <c r="F834" s="14">
        <v>123.0</v>
      </c>
      <c r="G834" s="14">
        <v>130.0</v>
      </c>
      <c r="H834" s="14" t="s">
        <v>28</v>
      </c>
      <c r="I834" s="14"/>
      <c r="J834" s="130" t="s">
        <v>6926</v>
      </c>
      <c r="K834" s="152" t="s">
        <v>6927</v>
      </c>
      <c r="L834" s="20" t="s">
        <v>2198</v>
      </c>
      <c r="M834" s="16"/>
      <c r="N834" s="130" t="s">
        <v>13140</v>
      </c>
      <c r="O834" s="84"/>
      <c r="P834" s="84"/>
      <c r="Q834" s="84"/>
      <c r="R834" s="84"/>
      <c r="S834" s="84"/>
      <c r="T834" s="84"/>
      <c r="U834" s="84"/>
      <c r="V834" s="84"/>
      <c r="W834" s="84"/>
      <c r="X834" s="84"/>
    </row>
    <row r="835" ht="15.75" customHeight="1">
      <c r="A835" s="14" t="s">
        <v>2137</v>
      </c>
      <c r="B835" s="14">
        <v>2001.0</v>
      </c>
      <c r="C835" s="14" t="s">
        <v>6928</v>
      </c>
      <c r="D835" s="14" t="s">
        <v>6929</v>
      </c>
      <c r="E835" s="150" t="str">
        <f t="shared" si="14"/>
        <v>http://dx.doi.org/10.1109/INFVIS.2001.963290</v>
      </c>
      <c r="F835" s="14">
        <v>131.0</v>
      </c>
      <c r="G835" s="14">
        <v>138.0</v>
      </c>
      <c r="H835" s="14" t="s">
        <v>28</v>
      </c>
      <c r="I835" s="14"/>
      <c r="J835" s="130" t="s">
        <v>6943</v>
      </c>
      <c r="K835" s="152" t="s">
        <v>6945</v>
      </c>
      <c r="L835" s="20" t="s">
        <v>6946</v>
      </c>
      <c r="M835" s="16"/>
      <c r="N835" s="130" t="s">
        <v>40123</v>
      </c>
      <c r="O835" s="84"/>
      <c r="P835" s="84"/>
      <c r="Q835" s="84"/>
      <c r="R835" s="84"/>
      <c r="S835" s="84"/>
      <c r="T835" s="84"/>
      <c r="U835" s="84"/>
      <c r="V835" s="84"/>
      <c r="W835" s="84"/>
      <c r="X835" s="84"/>
    </row>
    <row r="836" ht="15.75" customHeight="1">
      <c r="A836" s="14" t="s">
        <v>2137</v>
      </c>
      <c r="B836" s="14">
        <v>2001.0</v>
      </c>
      <c r="C836" s="14" t="s">
        <v>6948</v>
      </c>
      <c r="D836" s="14" t="s">
        <v>6949</v>
      </c>
      <c r="E836" s="150" t="str">
        <f t="shared" si="14"/>
        <v>http://dx.doi.org/10.1109/INFVIS.2001.963291</v>
      </c>
      <c r="F836" s="14">
        <v>139.0</v>
      </c>
      <c r="G836" s="14">
        <v>145.0</v>
      </c>
      <c r="H836" s="14" t="s">
        <v>28</v>
      </c>
      <c r="I836" s="14"/>
      <c r="J836" s="130" t="s">
        <v>6962</v>
      </c>
      <c r="K836" s="152" t="s">
        <v>6964</v>
      </c>
      <c r="L836" s="20"/>
      <c r="M836" s="16"/>
      <c r="N836" s="130" t="s">
        <v>40124</v>
      </c>
      <c r="O836" s="84"/>
      <c r="P836" s="84"/>
      <c r="Q836" s="84"/>
      <c r="R836" s="84"/>
      <c r="S836" s="84"/>
      <c r="T836" s="84"/>
      <c r="U836" s="84"/>
      <c r="V836" s="84"/>
      <c r="W836" s="84"/>
      <c r="X836" s="84"/>
    </row>
    <row r="837" ht="15.75" customHeight="1">
      <c r="A837" s="14" t="s">
        <v>2137</v>
      </c>
      <c r="B837" s="14">
        <v>2001.0</v>
      </c>
      <c r="C837" s="14" t="s">
        <v>6967</v>
      </c>
      <c r="D837" s="14" t="s">
        <v>6968</v>
      </c>
      <c r="E837" s="150" t="str">
        <f t="shared" si="14"/>
        <v>http://dx.doi.org/10.1109/INFVIS.2001.963292</v>
      </c>
      <c r="F837" s="14">
        <v>149.0</v>
      </c>
      <c r="G837" s="14">
        <v>152.0</v>
      </c>
      <c r="H837" s="14" t="s">
        <v>28</v>
      </c>
      <c r="I837" s="14"/>
      <c r="J837" s="130" t="s">
        <v>6943</v>
      </c>
      <c r="K837" s="152" t="s">
        <v>6945</v>
      </c>
      <c r="L837" s="20"/>
      <c r="M837" s="16"/>
      <c r="N837" s="130" t="s">
        <v>40123</v>
      </c>
      <c r="O837" s="84"/>
      <c r="P837" s="84"/>
      <c r="Q837" s="84"/>
      <c r="R837" s="84"/>
      <c r="S837" s="84"/>
      <c r="T837" s="84"/>
      <c r="U837" s="84"/>
      <c r="V837" s="84"/>
      <c r="W837" s="84"/>
      <c r="X837" s="84"/>
    </row>
    <row r="838" ht="15.75" customHeight="1">
      <c r="A838" s="14" t="s">
        <v>2137</v>
      </c>
      <c r="B838" s="14">
        <v>2001.0</v>
      </c>
      <c r="C838" s="14" t="s">
        <v>6991</v>
      </c>
      <c r="D838" s="14" t="s">
        <v>6992</v>
      </c>
      <c r="E838" s="150" t="str">
        <f t="shared" si="14"/>
        <v>http://dx.doi.org/10.1109/INFVIS.2001.963293</v>
      </c>
      <c r="F838" s="14">
        <v>153.0</v>
      </c>
      <c r="G838" s="14">
        <v>156.0</v>
      </c>
      <c r="H838" s="14" t="s">
        <v>28</v>
      </c>
      <c r="I838" s="14"/>
      <c r="J838" s="130" t="s">
        <v>7010</v>
      </c>
      <c r="K838" s="152" t="s">
        <v>7012</v>
      </c>
      <c r="L838" s="20" t="s">
        <v>7013</v>
      </c>
      <c r="M838" s="16"/>
      <c r="N838" s="152" t="s">
        <v>7012</v>
      </c>
      <c r="O838" s="84"/>
      <c r="P838" s="84"/>
      <c r="Q838" s="84"/>
      <c r="R838" s="84"/>
      <c r="S838" s="84"/>
      <c r="T838" s="84"/>
      <c r="U838" s="84"/>
      <c r="V838" s="84"/>
      <c r="W838" s="84"/>
      <c r="X838" s="84"/>
    </row>
    <row r="839" ht="15.75" customHeight="1">
      <c r="A839" s="14" t="s">
        <v>2137</v>
      </c>
      <c r="B839" s="14">
        <v>2001.0</v>
      </c>
      <c r="C839" s="14" t="s">
        <v>7016</v>
      </c>
      <c r="D839" s="14" t="s">
        <v>7018</v>
      </c>
      <c r="E839" s="150" t="str">
        <f t="shared" si="14"/>
        <v>http://dx.doi.org/10.1109/INFVIS.2001.963294</v>
      </c>
      <c r="F839" s="14">
        <v>159.0</v>
      </c>
      <c r="G839" s="14">
        <v>162.0</v>
      </c>
      <c r="H839" s="14" t="s">
        <v>28</v>
      </c>
      <c r="I839" s="14"/>
      <c r="J839" s="130" t="s">
        <v>7042</v>
      </c>
      <c r="K839" s="152" t="s">
        <v>7044</v>
      </c>
      <c r="L839" s="20" t="s">
        <v>4017</v>
      </c>
      <c r="M839" s="16"/>
      <c r="N839" s="130" t="s">
        <v>40125</v>
      </c>
      <c r="O839" s="84"/>
      <c r="P839" s="84"/>
      <c r="Q839" s="84"/>
      <c r="R839" s="84"/>
      <c r="S839" s="84"/>
      <c r="T839" s="84"/>
      <c r="U839" s="84"/>
      <c r="V839" s="84"/>
      <c r="W839" s="84"/>
      <c r="X839" s="84"/>
    </row>
    <row r="840" ht="15.75" customHeight="1">
      <c r="A840" s="14" t="s">
        <v>2137</v>
      </c>
      <c r="B840" s="14">
        <v>2001.0</v>
      </c>
      <c r="C840" s="14" t="s">
        <v>7046</v>
      </c>
      <c r="D840" s="14" t="s">
        <v>7053</v>
      </c>
      <c r="E840" s="150" t="str">
        <f t="shared" si="14"/>
        <v>http://dx.doi.org/10.1109/INFVIS.2001.963295</v>
      </c>
      <c r="F840" s="14">
        <v>163.0</v>
      </c>
      <c r="G840" s="14">
        <v>166.0</v>
      </c>
      <c r="H840" s="14" t="s">
        <v>28</v>
      </c>
      <c r="I840" s="14"/>
      <c r="J840" s="130" t="s">
        <v>7075</v>
      </c>
      <c r="K840" s="152" t="s">
        <v>7076</v>
      </c>
      <c r="L840" s="20"/>
      <c r="M840" s="16"/>
      <c r="N840" s="130" t="s">
        <v>40126</v>
      </c>
      <c r="O840" s="84"/>
      <c r="P840" s="84"/>
      <c r="Q840" s="84"/>
      <c r="R840" s="84"/>
      <c r="S840" s="84"/>
      <c r="T840" s="84"/>
      <c r="U840" s="84"/>
      <c r="V840" s="84"/>
      <c r="W840" s="84"/>
      <c r="X840" s="84"/>
    </row>
    <row r="841" ht="15.75" customHeight="1">
      <c r="A841" s="14" t="s">
        <v>2137</v>
      </c>
      <c r="B841" s="14">
        <v>2001.0</v>
      </c>
      <c r="C841" s="14" t="s">
        <v>7078</v>
      </c>
      <c r="D841" s="14" t="s">
        <v>7080</v>
      </c>
      <c r="E841" s="150" t="str">
        <f t="shared" si="14"/>
        <v>http://dx.doi.org/10.1109/INFVIS.2001.963296</v>
      </c>
      <c r="F841" s="14">
        <v>169.0</v>
      </c>
      <c r="G841" s="14">
        <v>170.0</v>
      </c>
      <c r="H841" s="14" t="s">
        <v>21</v>
      </c>
      <c r="I841" s="14"/>
      <c r="J841" s="130" t="s">
        <v>7096</v>
      </c>
      <c r="K841" s="152" t="s">
        <v>7097</v>
      </c>
      <c r="L841" s="20"/>
      <c r="M841" s="16"/>
      <c r="N841" s="152" t="s">
        <v>7097</v>
      </c>
      <c r="O841" s="84"/>
      <c r="P841" s="84"/>
      <c r="Q841" s="84"/>
      <c r="R841" s="84"/>
      <c r="S841" s="84"/>
      <c r="T841" s="84"/>
      <c r="U841" s="84"/>
      <c r="V841" s="84"/>
      <c r="W841" s="84"/>
      <c r="X841" s="84"/>
    </row>
    <row r="842" ht="15.75" customHeight="1">
      <c r="A842" s="14" t="s">
        <v>17</v>
      </c>
      <c r="B842" s="14">
        <v>2001.0</v>
      </c>
      <c r="C842" s="14" t="s">
        <v>7099</v>
      </c>
      <c r="D842" s="14" t="s">
        <v>7101</v>
      </c>
      <c r="E842" s="150" t="str">
        <f t="shared" si="14"/>
        <v>http://dx.doi.org/10.1109/VISUAL.2001.964489</v>
      </c>
      <c r="F842" s="50">
        <v>21.0</v>
      </c>
      <c r="G842" s="50">
        <v>28.0</v>
      </c>
      <c r="H842" s="14" t="s">
        <v>28</v>
      </c>
      <c r="I842" s="14"/>
      <c r="J842" s="130" t="s">
        <v>13240</v>
      </c>
      <c r="K842" s="152" t="s">
        <v>7122</v>
      </c>
      <c r="L842" s="20" t="s">
        <v>7123</v>
      </c>
      <c r="M842" s="174" t="s">
        <v>7129</v>
      </c>
      <c r="N842" s="130" t="s">
        <v>40127</v>
      </c>
      <c r="O842" s="84"/>
      <c r="P842" s="84"/>
      <c r="Q842" s="84"/>
      <c r="R842" s="84"/>
      <c r="S842" s="84"/>
      <c r="T842" s="84"/>
      <c r="U842" s="84"/>
      <c r="V842" s="84"/>
      <c r="W842" s="84"/>
      <c r="X842" s="84"/>
    </row>
    <row r="843" ht="15.75" customHeight="1">
      <c r="A843" s="14" t="s">
        <v>17</v>
      </c>
      <c r="B843" s="14">
        <v>2001.0</v>
      </c>
      <c r="C843" s="14" t="s">
        <v>7132</v>
      </c>
      <c r="D843" s="14" t="s">
        <v>7133</v>
      </c>
      <c r="E843" s="150" t="str">
        <f t="shared" si="14"/>
        <v>http://dx.doi.org/10.1109/VISUAL.2001.964490</v>
      </c>
      <c r="F843" s="50">
        <v>29.0</v>
      </c>
      <c r="G843" s="50">
        <v>36.0</v>
      </c>
      <c r="H843" s="14" t="s">
        <v>28</v>
      </c>
      <c r="I843" s="14"/>
      <c r="J843" s="130" t="s">
        <v>7156</v>
      </c>
      <c r="K843" s="152" t="s">
        <v>7158</v>
      </c>
      <c r="L843" s="20" t="s">
        <v>7159</v>
      </c>
      <c r="M843" s="174" t="s">
        <v>7161</v>
      </c>
      <c r="N843" s="152" t="s">
        <v>7158</v>
      </c>
      <c r="O843" s="84"/>
      <c r="P843" s="84"/>
      <c r="Q843" s="84"/>
      <c r="R843" s="84"/>
      <c r="S843" s="84"/>
      <c r="T843" s="84"/>
      <c r="U843" s="84"/>
      <c r="V843" s="84"/>
      <c r="W843" s="84"/>
      <c r="X843" s="84"/>
    </row>
    <row r="844" ht="15.75" customHeight="1">
      <c r="A844" s="14" t="s">
        <v>17</v>
      </c>
      <c r="B844" s="14">
        <v>2001.0</v>
      </c>
      <c r="C844" s="14" t="s">
        <v>7165</v>
      </c>
      <c r="D844" s="14" t="s">
        <v>7166</v>
      </c>
      <c r="E844" s="150" t="str">
        <f t="shared" si="14"/>
        <v>http://dx.doi.org/10.1109/VISUAL.2001.964491</v>
      </c>
      <c r="F844" s="50">
        <v>37.0</v>
      </c>
      <c r="G844" s="50">
        <v>44.0</v>
      </c>
      <c r="H844" s="14" t="s">
        <v>28</v>
      </c>
      <c r="I844" s="14"/>
      <c r="J844" s="130" t="s">
        <v>7192</v>
      </c>
      <c r="K844" s="152" t="s">
        <v>7194</v>
      </c>
      <c r="L844" s="20" t="s">
        <v>7196</v>
      </c>
      <c r="M844" s="174" t="s">
        <v>7197</v>
      </c>
      <c r="N844" s="152" t="s">
        <v>7194</v>
      </c>
      <c r="O844" s="84"/>
      <c r="P844" s="84"/>
      <c r="Q844" s="84"/>
      <c r="R844" s="84"/>
      <c r="S844" s="84"/>
      <c r="T844" s="84"/>
      <c r="U844" s="84"/>
      <c r="V844" s="84"/>
      <c r="W844" s="84"/>
      <c r="X844" s="84"/>
    </row>
    <row r="845" ht="15.75" customHeight="1">
      <c r="A845" s="14" t="s">
        <v>17</v>
      </c>
      <c r="B845" s="14">
        <v>2001.0</v>
      </c>
      <c r="C845" s="14" t="s">
        <v>7200</v>
      </c>
      <c r="D845" s="67" t="s">
        <v>7202</v>
      </c>
      <c r="E845" s="194" t="s">
        <v>7204</v>
      </c>
      <c r="F845" s="50">
        <v>45.0</v>
      </c>
      <c r="G845" s="50">
        <v>52.0</v>
      </c>
      <c r="H845" s="14" t="s">
        <v>28</v>
      </c>
      <c r="I845" s="14"/>
      <c r="J845" s="130" t="s">
        <v>7232</v>
      </c>
      <c r="K845" s="152"/>
      <c r="L845" s="20" t="s">
        <v>4115</v>
      </c>
      <c r="M845" s="121" t="s">
        <v>7235</v>
      </c>
      <c r="N845" s="130" t="s">
        <v>40135</v>
      </c>
      <c r="O845" s="115"/>
      <c r="P845" s="115"/>
      <c r="Q845" s="115"/>
      <c r="R845" s="115"/>
      <c r="S845" s="115"/>
      <c r="T845" s="115"/>
      <c r="U845" s="115"/>
      <c r="V845" s="115"/>
      <c r="W845" s="115"/>
      <c r="X845" s="115"/>
    </row>
    <row r="846" ht="15.75" customHeight="1">
      <c r="A846" s="14" t="s">
        <v>17</v>
      </c>
      <c r="B846" s="14">
        <v>2001.0</v>
      </c>
      <c r="C846" s="14" t="s">
        <v>7246</v>
      </c>
      <c r="D846" s="67" t="s">
        <v>7249</v>
      </c>
      <c r="E846" s="194" t="s">
        <v>7204</v>
      </c>
      <c r="F846" s="50">
        <v>53.0</v>
      </c>
      <c r="G846" s="50">
        <v>60.0</v>
      </c>
      <c r="H846" s="14" t="s">
        <v>28</v>
      </c>
      <c r="I846" s="14"/>
      <c r="J846" s="130" t="s">
        <v>5741</v>
      </c>
      <c r="K846" s="152"/>
      <c r="L846" s="20" t="s">
        <v>7286</v>
      </c>
      <c r="M846" s="54"/>
      <c r="N846" s="130" t="s">
        <v>40140</v>
      </c>
      <c r="O846" s="115"/>
      <c r="P846" s="115"/>
      <c r="Q846" s="115"/>
      <c r="R846" s="115"/>
      <c r="S846" s="115"/>
      <c r="T846" s="115"/>
      <c r="U846" s="115"/>
      <c r="V846" s="115"/>
      <c r="W846" s="115"/>
      <c r="X846" s="115"/>
    </row>
    <row r="847" ht="15.75" customHeight="1">
      <c r="A847" s="14" t="s">
        <v>17</v>
      </c>
      <c r="B847" s="14">
        <v>2001.0</v>
      </c>
      <c r="C847" s="14" t="s">
        <v>7290</v>
      </c>
      <c r="D847" s="14" t="s">
        <v>7292</v>
      </c>
      <c r="E847" s="150" t="str">
        <f>"http://dx.doi.org/" &amp; D847</f>
        <v>http://dx.doi.org/10.1109/VISUAL.2001.964494</v>
      </c>
      <c r="F847" s="50">
        <v>61.0</v>
      </c>
      <c r="G847" s="50">
        <v>68.0</v>
      </c>
      <c r="H847" s="14" t="s">
        <v>28</v>
      </c>
      <c r="I847" s="14"/>
      <c r="J847" s="130" t="s">
        <v>13298</v>
      </c>
      <c r="K847" s="152" t="s">
        <v>7630</v>
      </c>
      <c r="L847" s="20" t="s">
        <v>7631</v>
      </c>
      <c r="M847" s="174" t="s">
        <v>7632</v>
      </c>
      <c r="N847" s="152" t="s">
        <v>7630</v>
      </c>
      <c r="O847" s="84"/>
      <c r="P847" s="84"/>
      <c r="Q847" s="84"/>
      <c r="R847" s="84"/>
      <c r="S847" s="84"/>
      <c r="T847" s="84"/>
      <c r="U847" s="84"/>
      <c r="V847" s="84"/>
      <c r="W847" s="84"/>
      <c r="X847" s="84"/>
    </row>
    <row r="848" ht="15.75" customHeight="1">
      <c r="A848" s="14" t="s">
        <v>17</v>
      </c>
      <c r="B848" s="14">
        <v>2001.0</v>
      </c>
      <c r="C848" s="14" t="s">
        <v>7634</v>
      </c>
      <c r="D848" s="67" t="s">
        <v>7635</v>
      </c>
      <c r="E848" s="194" t="s">
        <v>7637</v>
      </c>
      <c r="F848" s="50">
        <v>69.0</v>
      </c>
      <c r="G848" s="50">
        <v>74.0</v>
      </c>
      <c r="H848" s="14" t="s">
        <v>28</v>
      </c>
      <c r="I848" s="14"/>
      <c r="J848" s="130" t="s">
        <v>7665</v>
      </c>
      <c r="K848" s="152"/>
      <c r="L848" s="20" t="s">
        <v>7667</v>
      </c>
      <c r="M848" s="121" t="s">
        <v>7669</v>
      </c>
      <c r="N848" s="130" t="s">
        <v>39766</v>
      </c>
      <c r="O848" s="115"/>
      <c r="P848" s="115"/>
      <c r="Q848" s="115"/>
      <c r="R848" s="115"/>
      <c r="S848" s="115"/>
      <c r="T848" s="115"/>
      <c r="U848" s="115"/>
      <c r="V848" s="115"/>
      <c r="W848" s="115"/>
      <c r="X848" s="115"/>
    </row>
    <row r="849" ht="15.75" customHeight="1">
      <c r="A849" s="14" t="s">
        <v>17</v>
      </c>
      <c r="B849" s="14">
        <v>2001.0</v>
      </c>
      <c r="C849" s="14" t="s">
        <v>7673</v>
      </c>
      <c r="D849" s="67" t="s">
        <v>7675</v>
      </c>
      <c r="E849" s="194" t="s">
        <v>7677</v>
      </c>
      <c r="F849" s="50">
        <v>75.0</v>
      </c>
      <c r="G849" s="50">
        <v>82.0</v>
      </c>
      <c r="H849" s="14" t="s">
        <v>28</v>
      </c>
      <c r="I849" s="14"/>
      <c r="J849" s="130" t="s">
        <v>7720</v>
      </c>
      <c r="K849" s="152"/>
      <c r="L849" s="20" t="s">
        <v>3655</v>
      </c>
      <c r="M849" s="121" t="s">
        <v>7723</v>
      </c>
      <c r="N849" s="130" t="s">
        <v>40153</v>
      </c>
      <c r="O849" s="115"/>
      <c r="P849" s="115"/>
      <c r="Q849" s="115"/>
      <c r="R849" s="115"/>
      <c r="S849" s="115"/>
      <c r="T849" s="115"/>
      <c r="U849" s="115"/>
      <c r="V849" s="115"/>
      <c r="W849" s="115"/>
      <c r="X849" s="115"/>
    </row>
    <row r="850" ht="15.75" customHeight="1">
      <c r="A850" s="14" t="s">
        <v>17</v>
      </c>
      <c r="B850" s="14">
        <v>2001.0</v>
      </c>
      <c r="C850" s="14" t="s">
        <v>7727</v>
      </c>
      <c r="D850" s="14" t="s">
        <v>7728</v>
      </c>
      <c r="E850" s="150" t="str">
        <f t="shared" ref="E850:E855" si="15">"http://dx.doi.org/" &amp; D850</f>
        <v>http://dx.doi.org/10.1109/VISUAL.2001.964497</v>
      </c>
      <c r="F850" s="50">
        <v>83.0</v>
      </c>
      <c r="G850" s="50">
        <v>90.0</v>
      </c>
      <c r="H850" s="14" t="s">
        <v>28</v>
      </c>
      <c r="I850" s="14"/>
      <c r="J850" s="130" t="s">
        <v>7757</v>
      </c>
      <c r="K850" s="152" t="s">
        <v>7759</v>
      </c>
      <c r="L850" s="20" t="s">
        <v>7761</v>
      </c>
      <c r="M850" s="174" t="s">
        <v>7763</v>
      </c>
      <c r="N850" s="130" t="s">
        <v>40157</v>
      </c>
      <c r="O850" s="84"/>
      <c r="P850" s="84"/>
      <c r="Q850" s="84"/>
      <c r="R850" s="84"/>
      <c r="S850" s="84"/>
      <c r="T850" s="84"/>
      <c r="U850" s="84"/>
      <c r="V850" s="84"/>
      <c r="W850" s="84"/>
      <c r="X850" s="84"/>
    </row>
    <row r="851" ht="15.75" customHeight="1">
      <c r="A851" s="14" t="s">
        <v>17</v>
      </c>
      <c r="B851" s="14">
        <v>2001.0</v>
      </c>
      <c r="C851" s="14" t="s">
        <v>7767</v>
      </c>
      <c r="D851" s="14" t="s">
        <v>7770</v>
      </c>
      <c r="E851" s="150" t="str">
        <f t="shared" si="15"/>
        <v>http://dx.doi.org/10.1109/VISUAL.2001.964498</v>
      </c>
      <c r="F851" s="50">
        <v>91.0</v>
      </c>
      <c r="G851" s="50">
        <v>98.0</v>
      </c>
      <c r="H851" s="14" t="s">
        <v>28</v>
      </c>
      <c r="I851" s="14"/>
      <c r="J851" s="130" t="s">
        <v>40165</v>
      </c>
      <c r="K851" s="152" t="s">
        <v>7809</v>
      </c>
      <c r="L851" s="20" t="s">
        <v>2052</v>
      </c>
      <c r="M851" s="174" t="s">
        <v>7811</v>
      </c>
      <c r="N851" s="130" t="s">
        <v>38183</v>
      </c>
      <c r="O851" s="84"/>
      <c r="P851" s="84"/>
      <c r="Q851" s="84"/>
      <c r="R851" s="84"/>
      <c r="S851" s="84"/>
      <c r="T851" s="84"/>
      <c r="U851" s="84"/>
      <c r="V851" s="84"/>
      <c r="W851" s="84"/>
      <c r="X851" s="84"/>
    </row>
    <row r="852" ht="15.75" customHeight="1">
      <c r="A852" s="14" t="s">
        <v>17</v>
      </c>
      <c r="B852" s="14">
        <v>2001.0</v>
      </c>
      <c r="C852" s="14" t="s">
        <v>7814</v>
      </c>
      <c r="D852" s="14" t="s">
        <v>7816</v>
      </c>
      <c r="E852" s="150" t="str">
        <f t="shared" si="15"/>
        <v>http://dx.doi.org/10.1109/VISUAL.2001.964499</v>
      </c>
      <c r="F852" s="50">
        <v>99.0</v>
      </c>
      <c r="G852" s="50">
        <v>106.0</v>
      </c>
      <c r="H852" s="14" t="s">
        <v>28</v>
      </c>
      <c r="I852" s="14"/>
      <c r="J852" s="130" t="s">
        <v>40166</v>
      </c>
      <c r="K852" s="152" t="s">
        <v>7837</v>
      </c>
      <c r="L852" s="20" t="s">
        <v>7838</v>
      </c>
      <c r="M852" s="16"/>
      <c r="N852" s="152" t="s">
        <v>7837</v>
      </c>
      <c r="O852" s="84"/>
      <c r="P852" s="84"/>
      <c r="Q852" s="84"/>
      <c r="R852" s="84"/>
      <c r="S852" s="84"/>
      <c r="T852" s="84"/>
      <c r="U852" s="84"/>
      <c r="V852" s="84"/>
      <c r="W852" s="84"/>
      <c r="X852" s="84"/>
    </row>
    <row r="853" ht="15.75" customHeight="1">
      <c r="A853" s="14" t="s">
        <v>17</v>
      </c>
      <c r="B853" s="14">
        <v>2001.0</v>
      </c>
      <c r="C853" s="14" t="s">
        <v>7841</v>
      </c>
      <c r="D853" s="14" t="s">
        <v>7842</v>
      </c>
      <c r="E853" s="150" t="str">
        <f t="shared" si="15"/>
        <v>http://dx.doi.org/10.1109/VISUAL.2001.964500</v>
      </c>
      <c r="F853" s="50">
        <v>107.0</v>
      </c>
      <c r="G853" s="50">
        <v>112.0</v>
      </c>
      <c r="H853" s="14" t="s">
        <v>28</v>
      </c>
      <c r="I853" s="14"/>
      <c r="J853" s="130" t="s">
        <v>7888</v>
      </c>
      <c r="K853" s="152" t="s">
        <v>7890</v>
      </c>
      <c r="L853" s="20" t="s">
        <v>5932</v>
      </c>
      <c r="M853" s="174" t="s">
        <v>7892</v>
      </c>
      <c r="N853" s="130" t="s">
        <v>40170</v>
      </c>
      <c r="O853" s="84"/>
      <c r="P853" s="84"/>
      <c r="Q853" s="84"/>
      <c r="R853" s="84"/>
      <c r="S853" s="84"/>
      <c r="T853" s="84"/>
      <c r="U853" s="84"/>
      <c r="V853" s="84"/>
      <c r="W853" s="84"/>
      <c r="X853" s="84"/>
    </row>
    <row r="854" ht="15.75" customHeight="1">
      <c r="A854" s="14" t="s">
        <v>17</v>
      </c>
      <c r="B854" s="14">
        <v>2001.0</v>
      </c>
      <c r="C854" s="14" t="s">
        <v>7895</v>
      </c>
      <c r="D854" s="14" t="s">
        <v>7897</v>
      </c>
      <c r="E854" s="150" t="str">
        <f t="shared" si="15"/>
        <v>http://dx.doi.org/10.1109/VISUAL.2001.964501</v>
      </c>
      <c r="F854" s="50">
        <v>113.0</v>
      </c>
      <c r="G854" s="50">
        <v>120.0</v>
      </c>
      <c r="H854" s="14" t="s">
        <v>28</v>
      </c>
      <c r="I854" s="14"/>
      <c r="J854" s="130" t="s">
        <v>7933</v>
      </c>
      <c r="K854" s="152" t="s">
        <v>7936</v>
      </c>
      <c r="L854" s="20" t="s">
        <v>7937</v>
      </c>
      <c r="M854" s="174" t="s">
        <v>7939</v>
      </c>
      <c r="N854" s="130" t="s">
        <v>39581</v>
      </c>
      <c r="O854" s="84"/>
      <c r="P854" s="84"/>
      <c r="Q854" s="84"/>
      <c r="R854" s="84"/>
      <c r="S854" s="84"/>
      <c r="T854" s="84"/>
      <c r="U854" s="84"/>
      <c r="V854" s="84"/>
      <c r="W854" s="84"/>
      <c r="X854" s="84"/>
    </row>
    <row r="855" ht="15.75" customHeight="1">
      <c r="A855" s="14" t="s">
        <v>17</v>
      </c>
      <c r="B855" s="14">
        <v>2001.0</v>
      </c>
      <c r="C855" s="14" t="s">
        <v>7942</v>
      </c>
      <c r="D855" s="14" t="s">
        <v>7944</v>
      </c>
      <c r="E855" s="150" t="str">
        <f t="shared" si="15"/>
        <v>http://dx.doi.org/10.1109/VISUAL.2001.964502</v>
      </c>
      <c r="F855" s="50">
        <v>121.0</v>
      </c>
      <c r="G855" s="50">
        <v>126.0</v>
      </c>
      <c r="H855" s="14" t="s">
        <v>28</v>
      </c>
      <c r="I855" s="14"/>
      <c r="J855" s="130" t="s">
        <v>13356</v>
      </c>
      <c r="K855" s="152" t="s">
        <v>7979</v>
      </c>
      <c r="L855" s="20" t="s">
        <v>7981</v>
      </c>
      <c r="M855" s="174" t="s">
        <v>7983</v>
      </c>
      <c r="N855" s="130" t="s">
        <v>40174</v>
      </c>
      <c r="O855" s="84"/>
      <c r="P855" s="84"/>
      <c r="Q855" s="84"/>
      <c r="R855" s="84"/>
      <c r="S855" s="84"/>
      <c r="T855" s="84"/>
      <c r="U855" s="84"/>
      <c r="V855" s="84"/>
      <c r="W855" s="84"/>
      <c r="X855" s="84"/>
    </row>
    <row r="856" ht="15.75" customHeight="1">
      <c r="A856" s="14" t="s">
        <v>17</v>
      </c>
      <c r="B856" s="14">
        <v>2001.0</v>
      </c>
      <c r="C856" s="14" t="s">
        <v>7987</v>
      </c>
      <c r="D856" s="67" t="s">
        <v>7989</v>
      </c>
      <c r="E856" s="194" t="s">
        <v>7991</v>
      </c>
      <c r="F856" s="50">
        <v>127.0</v>
      </c>
      <c r="G856" s="50">
        <v>134.0</v>
      </c>
      <c r="H856" s="14" t="s">
        <v>28</v>
      </c>
      <c r="I856" s="14"/>
      <c r="J856" s="130" t="s">
        <v>8039</v>
      </c>
      <c r="K856" s="152"/>
      <c r="L856" s="20" t="s">
        <v>8042</v>
      </c>
      <c r="M856" s="121" t="s">
        <v>8044</v>
      </c>
      <c r="N856" s="130" t="s">
        <v>40183</v>
      </c>
      <c r="O856" s="115"/>
      <c r="P856" s="115"/>
      <c r="Q856" s="115"/>
      <c r="R856" s="115"/>
      <c r="S856" s="115"/>
      <c r="T856" s="115"/>
      <c r="U856" s="115"/>
      <c r="V856" s="115"/>
      <c r="W856" s="115"/>
      <c r="X856" s="115"/>
    </row>
    <row r="857" ht="15.75" customHeight="1">
      <c r="A857" s="14" t="s">
        <v>17</v>
      </c>
      <c r="B857" s="14">
        <v>2001.0</v>
      </c>
      <c r="C857" s="14" t="s">
        <v>8048</v>
      </c>
      <c r="D857" s="14" t="s">
        <v>8049</v>
      </c>
      <c r="E857" s="150" t="str">
        <f t="shared" ref="E857:E861" si="16">"http://dx.doi.org/" &amp; D857</f>
        <v>http://dx.doi.org/10.1109/VISUAL.2001.964504</v>
      </c>
      <c r="F857" s="50">
        <v>135.0</v>
      </c>
      <c r="G857" s="50">
        <v>142.0</v>
      </c>
      <c r="H857" s="14" t="s">
        <v>28</v>
      </c>
      <c r="I857" s="14"/>
      <c r="J857" s="130" t="s">
        <v>8082</v>
      </c>
      <c r="K857" s="152" t="s">
        <v>3739</v>
      </c>
      <c r="L857" s="20"/>
      <c r="M857" s="174" t="s">
        <v>8088</v>
      </c>
      <c r="N857" s="130" t="s">
        <v>37962</v>
      </c>
      <c r="O857" s="84"/>
      <c r="P857" s="84"/>
      <c r="Q857" s="84"/>
      <c r="R857" s="84"/>
      <c r="S857" s="84"/>
      <c r="T857" s="84"/>
      <c r="U857" s="84"/>
      <c r="V857" s="84"/>
      <c r="W857" s="84"/>
      <c r="X857" s="84"/>
    </row>
    <row r="858" ht="15.75" customHeight="1">
      <c r="A858" s="14" t="s">
        <v>17</v>
      </c>
      <c r="B858" s="14">
        <v>2001.0</v>
      </c>
      <c r="C858" s="14" t="s">
        <v>8092</v>
      </c>
      <c r="D858" s="14" t="s">
        <v>8094</v>
      </c>
      <c r="E858" s="150" t="str">
        <f t="shared" si="16"/>
        <v>http://dx.doi.org/10.1109/VISUAL.2001.964505</v>
      </c>
      <c r="F858" s="50">
        <v>143.0</v>
      </c>
      <c r="G858" s="50">
        <v>150.0</v>
      </c>
      <c r="H858" s="14" t="s">
        <v>28</v>
      </c>
      <c r="I858" s="14"/>
      <c r="J858" s="130" t="s">
        <v>8132</v>
      </c>
      <c r="K858" s="152" t="s">
        <v>8134</v>
      </c>
      <c r="L858" s="20" t="s">
        <v>8138</v>
      </c>
      <c r="M858" s="174" t="s">
        <v>8250</v>
      </c>
      <c r="N858" s="130" t="s">
        <v>40187</v>
      </c>
      <c r="O858" s="84"/>
      <c r="P858" s="84"/>
      <c r="Q858" s="84"/>
      <c r="R858" s="84"/>
      <c r="S858" s="84"/>
      <c r="T858" s="84"/>
      <c r="U858" s="84"/>
      <c r="V858" s="84"/>
      <c r="W858" s="84"/>
      <c r="X858" s="84"/>
    </row>
    <row r="859" ht="15.75" customHeight="1">
      <c r="A859" s="14" t="s">
        <v>17</v>
      </c>
      <c r="B859" s="14">
        <v>2001.0</v>
      </c>
      <c r="C859" s="14" t="s">
        <v>8261</v>
      </c>
      <c r="D859" s="14" t="s">
        <v>8263</v>
      </c>
      <c r="E859" s="150" t="str">
        <f t="shared" si="16"/>
        <v>http://dx.doi.org/10.1109/VISUAL.2001.964506</v>
      </c>
      <c r="F859" s="50">
        <v>151.0</v>
      </c>
      <c r="G859" s="50">
        <v>158.0</v>
      </c>
      <c r="H859" s="14" t="s">
        <v>28</v>
      </c>
      <c r="I859" s="14"/>
      <c r="J859" s="130" t="s">
        <v>8306</v>
      </c>
      <c r="K859" s="152" t="s">
        <v>8308</v>
      </c>
      <c r="L859" s="20" t="s">
        <v>8310</v>
      </c>
      <c r="M859" s="174" t="s">
        <v>8312</v>
      </c>
      <c r="N859" s="152" t="s">
        <v>8308</v>
      </c>
      <c r="O859" s="84"/>
      <c r="P859" s="84"/>
      <c r="Q859" s="84"/>
      <c r="R859" s="84"/>
      <c r="S859" s="84"/>
      <c r="T859" s="84"/>
      <c r="U859" s="84"/>
      <c r="V859" s="84"/>
      <c r="W859" s="84"/>
      <c r="X859" s="84"/>
    </row>
    <row r="860" ht="15.75" customHeight="1">
      <c r="A860" s="14" t="s">
        <v>17</v>
      </c>
      <c r="B860" s="14">
        <v>2001.0</v>
      </c>
      <c r="C860" s="14" t="s">
        <v>8315</v>
      </c>
      <c r="D860" s="14" t="s">
        <v>8317</v>
      </c>
      <c r="E860" s="150" t="str">
        <f t="shared" si="16"/>
        <v>http://dx.doi.org/10.1109/VISUAL.2001.964507</v>
      </c>
      <c r="F860" s="50">
        <v>159.0</v>
      </c>
      <c r="G860" s="50">
        <v>166.0</v>
      </c>
      <c r="H860" s="14" t="s">
        <v>28</v>
      </c>
      <c r="I860" s="14"/>
      <c r="J860" s="130" t="s">
        <v>5903</v>
      </c>
      <c r="K860" s="152" t="s">
        <v>5181</v>
      </c>
      <c r="L860" s="20" t="s">
        <v>8351</v>
      </c>
      <c r="M860" s="174" t="s">
        <v>8353</v>
      </c>
      <c r="N860" s="152" t="s">
        <v>5181</v>
      </c>
      <c r="O860" s="84"/>
      <c r="P860" s="84"/>
      <c r="Q860" s="84"/>
      <c r="R860" s="84"/>
      <c r="S860" s="84"/>
      <c r="T860" s="84"/>
      <c r="U860" s="84"/>
      <c r="V860" s="84"/>
      <c r="W860" s="84"/>
      <c r="X860" s="84"/>
    </row>
    <row r="861" ht="15.75" customHeight="1">
      <c r="A861" s="14" t="s">
        <v>17</v>
      </c>
      <c r="B861" s="14">
        <v>2001.0</v>
      </c>
      <c r="C861" s="14" t="s">
        <v>8356</v>
      </c>
      <c r="D861" s="14" t="s">
        <v>8358</v>
      </c>
      <c r="E861" s="150" t="str">
        <f t="shared" si="16"/>
        <v>http://dx.doi.org/10.1109/VISUAL.2001.964508</v>
      </c>
      <c r="F861" s="50">
        <v>167.0</v>
      </c>
      <c r="G861" s="50">
        <v>554.0</v>
      </c>
      <c r="H861" s="14" t="s">
        <v>28</v>
      </c>
      <c r="I861" s="14"/>
      <c r="J861" s="130" t="s">
        <v>8382</v>
      </c>
      <c r="K861" s="152" t="s">
        <v>5729</v>
      </c>
      <c r="L861" s="20" t="s">
        <v>8385</v>
      </c>
      <c r="M861" s="174" t="s">
        <v>8386</v>
      </c>
      <c r="N861" s="130" t="s">
        <v>39609</v>
      </c>
      <c r="O861" s="84"/>
      <c r="P861" s="84"/>
      <c r="Q861" s="84"/>
      <c r="R861" s="84"/>
      <c r="S861" s="84"/>
      <c r="T861" s="84"/>
      <c r="U861" s="84"/>
      <c r="V861" s="84"/>
      <c r="W861" s="84"/>
      <c r="X861" s="84"/>
    </row>
    <row r="862" ht="15.75" customHeight="1">
      <c r="A862" s="14" t="s">
        <v>17</v>
      </c>
      <c r="B862" s="14">
        <v>2001.0</v>
      </c>
      <c r="C862" s="14" t="s">
        <v>8390</v>
      </c>
      <c r="D862" s="54" t="s">
        <v>8392</v>
      </c>
      <c r="E862" s="156" t="s">
        <v>8394</v>
      </c>
      <c r="F862" s="50">
        <v>175.0</v>
      </c>
      <c r="G862" s="50">
        <v>182.0</v>
      </c>
      <c r="H862" s="14" t="s">
        <v>28</v>
      </c>
      <c r="I862" s="14"/>
      <c r="J862" s="130" t="s">
        <v>8442</v>
      </c>
      <c r="K862" s="152"/>
      <c r="L862" s="20" t="s">
        <v>8444</v>
      </c>
      <c r="M862" s="121" t="s">
        <v>8446</v>
      </c>
      <c r="N862" s="130" t="s">
        <v>40198</v>
      </c>
      <c r="O862" s="95"/>
      <c r="P862" s="95"/>
      <c r="Q862" s="95"/>
      <c r="R862" s="95"/>
      <c r="S862" s="95"/>
      <c r="T862" s="95"/>
      <c r="U862" s="95"/>
      <c r="V862" s="95"/>
      <c r="W862" s="95"/>
      <c r="X862" s="95"/>
    </row>
    <row r="863" ht="15.75" customHeight="1">
      <c r="A863" s="14" t="s">
        <v>17</v>
      </c>
      <c r="B863" s="14">
        <v>2001.0</v>
      </c>
      <c r="C863" s="14" t="s">
        <v>8449</v>
      </c>
      <c r="D863" s="14" t="s">
        <v>8451</v>
      </c>
      <c r="E863" s="150" t="str">
        <f t="shared" ref="E863:E872" si="17">"http://dx.doi.org/" &amp; D863</f>
        <v>http://dx.doi.org/10.1109/VISUAL.2001.964510</v>
      </c>
      <c r="F863" s="50">
        <v>183.0</v>
      </c>
      <c r="G863" s="50">
        <v>190.0</v>
      </c>
      <c r="H863" s="14" t="s">
        <v>28</v>
      </c>
      <c r="I863" s="14"/>
      <c r="J863" s="130" t="s">
        <v>8482</v>
      </c>
      <c r="K863" s="152" t="s">
        <v>8484</v>
      </c>
      <c r="L863" s="20" t="s">
        <v>2378</v>
      </c>
      <c r="M863" s="174" t="s">
        <v>8487</v>
      </c>
      <c r="N863" s="130" t="s">
        <v>40199</v>
      </c>
      <c r="O863" s="84"/>
      <c r="P863" s="84"/>
      <c r="Q863" s="84"/>
      <c r="R863" s="84"/>
      <c r="S863" s="84"/>
      <c r="T863" s="84"/>
      <c r="U863" s="84"/>
      <c r="V863" s="84"/>
      <c r="W863" s="84"/>
      <c r="X863" s="84"/>
    </row>
    <row r="864" ht="15.75" customHeight="1">
      <c r="A864" s="14" t="s">
        <v>17</v>
      </c>
      <c r="B864" s="14">
        <v>2001.0</v>
      </c>
      <c r="C864" s="14" t="s">
        <v>8490</v>
      </c>
      <c r="D864" s="14" t="s">
        <v>8492</v>
      </c>
      <c r="E864" s="150" t="str">
        <f t="shared" si="17"/>
        <v>http://dx.doi.org/10.1109/VISUAL.2001.964511</v>
      </c>
      <c r="F864" s="50">
        <v>191.0</v>
      </c>
      <c r="G864" s="50">
        <v>198.0</v>
      </c>
      <c r="H864" s="14" t="s">
        <v>28</v>
      </c>
      <c r="I864" s="14"/>
      <c r="J864" s="130" t="s">
        <v>13423</v>
      </c>
      <c r="K864" s="152" t="s">
        <v>8510</v>
      </c>
      <c r="L864" s="20" t="s">
        <v>2867</v>
      </c>
      <c r="M864" s="174" t="s">
        <v>8511</v>
      </c>
      <c r="N864" s="130" t="s">
        <v>40203</v>
      </c>
      <c r="O864" s="84"/>
      <c r="P864" s="84"/>
      <c r="Q864" s="84"/>
      <c r="R864" s="84"/>
      <c r="S864" s="84"/>
      <c r="T864" s="84"/>
      <c r="U864" s="84"/>
      <c r="V864" s="84"/>
      <c r="W864" s="84"/>
      <c r="X864" s="84"/>
    </row>
    <row r="865" ht="15.75" customHeight="1">
      <c r="A865" s="14" t="s">
        <v>17</v>
      </c>
      <c r="B865" s="14">
        <v>2001.0</v>
      </c>
      <c r="C865" s="14" t="s">
        <v>8513</v>
      </c>
      <c r="D865" s="14" t="s">
        <v>8515</v>
      </c>
      <c r="E865" s="150" t="str">
        <f t="shared" si="17"/>
        <v>http://dx.doi.org/10.1109/VISUAL.2001.964512</v>
      </c>
      <c r="F865" s="50">
        <v>199.0</v>
      </c>
      <c r="G865" s="50">
        <v>206.0</v>
      </c>
      <c r="H865" s="14" t="s">
        <v>28</v>
      </c>
      <c r="I865" s="14"/>
      <c r="J865" s="130" t="s">
        <v>8544</v>
      </c>
      <c r="K865" s="152" t="s">
        <v>5445</v>
      </c>
      <c r="L865" s="20" t="s">
        <v>2867</v>
      </c>
      <c r="M865" s="16"/>
      <c r="N865" s="130" t="s">
        <v>40204</v>
      </c>
      <c r="O865" s="84"/>
      <c r="P865" s="84"/>
      <c r="Q865" s="84"/>
      <c r="R865" s="84"/>
      <c r="S865" s="84"/>
      <c r="T865" s="84"/>
      <c r="U865" s="84"/>
      <c r="V865" s="84"/>
      <c r="W865" s="84"/>
      <c r="X865" s="84"/>
    </row>
    <row r="866" ht="15.75" customHeight="1">
      <c r="A866" s="14" t="s">
        <v>17</v>
      </c>
      <c r="B866" s="14">
        <v>2001.0</v>
      </c>
      <c r="C866" s="14" t="s">
        <v>8549</v>
      </c>
      <c r="D866" s="14" t="s">
        <v>8550</v>
      </c>
      <c r="E866" s="150" t="str">
        <f t="shared" si="17"/>
        <v>http://dx.doi.org/10.1109/VISUAL.2001.964513</v>
      </c>
      <c r="F866" s="50">
        <v>207.0</v>
      </c>
      <c r="G866" s="50">
        <v>213.0</v>
      </c>
      <c r="H866" s="14" t="s">
        <v>28</v>
      </c>
      <c r="I866" s="14"/>
      <c r="J866" s="130" t="s">
        <v>13436</v>
      </c>
      <c r="K866" s="152" t="s">
        <v>8584</v>
      </c>
      <c r="L866" s="20" t="s">
        <v>8586</v>
      </c>
      <c r="M866" s="174" t="s">
        <v>8587</v>
      </c>
      <c r="N866" s="130" t="s">
        <v>40205</v>
      </c>
      <c r="O866" s="84"/>
      <c r="P866" s="84"/>
      <c r="Q866" s="84"/>
      <c r="R866" s="84"/>
      <c r="S866" s="84"/>
      <c r="T866" s="84"/>
      <c r="U866" s="84"/>
      <c r="V866" s="84"/>
      <c r="W866" s="84"/>
      <c r="X866" s="84"/>
    </row>
    <row r="867" ht="15.75" customHeight="1">
      <c r="A867" s="14" t="s">
        <v>17</v>
      </c>
      <c r="B867" s="14">
        <v>2001.0</v>
      </c>
      <c r="C867" s="14" t="s">
        <v>8590</v>
      </c>
      <c r="D867" s="14" t="s">
        <v>8592</v>
      </c>
      <c r="E867" s="150" t="str">
        <f t="shared" si="17"/>
        <v>http://dx.doi.org/10.1109/VISUAL.2001.964514</v>
      </c>
      <c r="F867" s="50">
        <v>215.0</v>
      </c>
      <c r="G867" s="50">
        <v>222.0</v>
      </c>
      <c r="H867" s="14" t="s">
        <v>28</v>
      </c>
      <c r="I867" s="14"/>
      <c r="J867" s="130" t="s">
        <v>8622</v>
      </c>
      <c r="K867" s="152" t="s">
        <v>8624</v>
      </c>
      <c r="L867" s="20" t="s">
        <v>5701</v>
      </c>
      <c r="M867" s="174" t="s">
        <v>8626</v>
      </c>
      <c r="N867" s="130" t="s">
        <v>40208</v>
      </c>
      <c r="O867" s="84"/>
      <c r="P867" s="84"/>
      <c r="Q867" s="84"/>
      <c r="R867" s="84"/>
      <c r="S867" s="84"/>
      <c r="T867" s="84"/>
      <c r="U867" s="84"/>
      <c r="V867" s="84"/>
      <c r="W867" s="84"/>
      <c r="X867" s="84"/>
    </row>
    <row r="868" ht="15.75" customHeight="1">
      <c r="A868" s="14" t="s">
        <v>17</v>
      </c>
      <c r="B868" s="14">
        <v>2001.0</v>
      </c>
      <c r="C868" s="14" t="s">
        <v>8629</v>
      </c>
      <c r="D868" s="14" t="s">
        <v>8631</v>
      </c>
      <c r="E868" s="150" t="str">
        <f t="shared" si="17"/>
        <v>http://dx.doi.org/10.1109/VISUAL.2001.964515</v>
      </c>
      <c r="F868" s="50">
        <v>223.0</v>
      </c>
      <c r="G868" s="50">
        <v>230.0</v>
      </c>
      <c r="H868" s="14" t="s">
        <v>28</v>
      </c>
      <c r="I868" s="14"/>
      <c r="J868" s="130" t="s">
        <v>8658</v>
      </c>
      <c r="K868" s="152" t="s">
        <v>8660</v>
      </c>
      <c r="L868" s="20" t="s">
        <v>8662</v>
      </c>
      <c r="M868" s="174" t="s">
        <v>8663</v>
      </c>
      <c r="N868" s="130" t="s">
        <v>40212</v>
      </c>
      <c r="O868" s="84"/>
      <c r="P868" s="84"/>
      <c r="Q868" s="84"/>
      <c r="R868" s="84"/>
      <c r="S868" s="84"/>
      <c r="T868" s="84"/>
      <c r="U868" s="84"/>
      <c r="V868" s="84"/>
      <c r="W868" s="84"/>
      <c r="X868" s="84"/>
    </row>
    <row r="869" ht="15.75" customHeight="1">
      <c r="A869" s="14" t="s">
        <v>17</v>
      </c>
      <c r="B869" s="14">
        <v>2001.0</v>
      </c>
      <c r="C869" s="14" t="s">
        <v>8666</v>
      </c>
      <c r="D869" s="14" t="s">
        <v>8668</v>
      </c>
      <c r="E869" s="150" t="str">
        <f t="shared" si="17"/>
        <v>http://dx.doi.org/10.1109/VISUAL.2001.964516</v>
      </c>
      <c r="F869" s="50">
        <v>231.0</v>
      </c>
      <c r="G869" s="50">
        <v>238.0</v>
      </c>
      <c r="H869" s="14" t="s">
        <v>28</v>
      </c>
      <c r="I869" s="14"/>
      <c r="J869" s="130" t="s">
        <v>8694</v>
      </c>
      <c r="K869" s="152" t="s">
        <v>4524</v>
      </c>
      <c r="L869" s="20" t="s">
        <v>8695</v>
      </c>
      <c r="M869" s="174" t="s">
        <v>8696</v>
      </c>
      <c r="N869" s="130" t="s">
        <v>39861</v>
      </c>
      <c r="O869" s="84"/>
      <c r="P869" s="84"/>
      <c r="Q869" s="84"/>
      <c r="R869" s="84"/>
      <c r="S869" s="84"/>
      <c r="T869" s="84"/>
      <c r="U869" s="84"/>
      <c r="V869" s="84"/>
      <c r="W869" s="84"/>
      <c r="X869" s="84"/>
    </row>
    <row r="870" ht="15.75" customHeight="1">
      <c r="A870" s="14" t="s">
        <v>17</v>
      </c>
      <c r="B870" s="14">
        <v>2001.0</v>
      </c>
      <c r="C870" s="14" t="s">
        <v>8697</v>
      </c>
      <c r="D870" s="14" t="s">
        <v>8698</v>
      </c>
      <c r="E870" s="150" t="str">
        <f t="shared" si="17"/>
        <v>http://dx.doi.org/10.1109/VISUAL.2001.964517</v>
      </c>
      <c r="F870" s="50">
        <v>239.0</v>
      </c>
      <c r="G870" s="50">
        <v>246.0</v>
      </c>
      <c r="H870" s="14" t="s">
        <v>28</v>
      </c>
      <c r="I870" s="14"/>
      <c r="J870" s="130" t="s">
        <v>8740</v>
      </c>
      <c r="K870" s="152" t="s">
        <v>8742</v>
      </c>
      <c r="L870" s="20" t="s">
        <v>8744</v>
      </c>
      <c r="M870" s="174" t="s">
        <v>8746</v>
      </c>
      <c r="N870" s="152" t="s">
        <v>8742</v>
      </c>
      <c r="O870" s="84"/>
      <c r="P870" s="84"/>
      <c r="Q870" s="84"/>
      <c r="R870" s="84"/>
      <c r="S870" s="84"/>
      <c r="T870" s="84"/>
      <c r="U870" s="84"/>
      <c r="V870" s="84"/>
      <c r="W870" s="84"/>
      <c r="X870" s="84"/>
    </row>
    <row r="871" ht="15.75" customHeight="1">
      <c r="A871" s="14" t="s">
        <v>17</v>
      </c>
      <c r="B871" s="14">
        <v>2001.0</v>
      </c>
      <c r="C871" s="14" t="s">
        <v>8749</v>
      </c>
      <c r="D871" s="14" t="s">
        <v>8751</v>
      </c>
      <c r="E871" s="150" t="str">
        <f t="shared" si="17"/>
        <v>http://dx.doi.org/10.1109/VISUAL.2001.964518</v>
      </c>
      <c r="F871" s="50">
        <v>247.0</v>
      </c>
      <c r="G871" s="50">
        <v>254.0</v>
      </c>
      <c r="H871" s="14" t="s">
        <v>28</v>
      </c>
      <c r="I871" s="14"/>
      <c r="J871" s="130" t="s">
        <v>8789</v>
      </c>
      <c r="K871" s="152" t="s">
        <v>8791</v>
      </c>
      <c r="L871" s="20" t="s">
        <v>8793</v>
      </c>
      <c r="M871" s="174" t="s">
        <v>8795</v>
      </c>
      <c r="N871" s="130" t="s">
        <v>40218</v>
      </c>
      <c r="O871" s="84"/>
      <c r="P871" s="84"/>
      <c r="Q871" s="84"/>
      <c r="R871" s="84"/>
      <c r="S871" s="84"/>
      <c r="T871" s="84"/>
      <c r="U871" s="84"/>
      <c r="V871" s="84"/>
      <c r="W871" s="84"/>
      <c r="X871" s="84"/>
    </row>
    <row r="872" ht="15.75" customHeight="1">
      <c r="A872" s="14" t="s">
        <v>17</v>
      </c>
      <c r="B872" s="14">
        <v>2001.0</v>
      </c>
      <c r="C872" s="14" t="s">
        <v>8798</v>
      </c>
      <c r="D872" s="14" t="s">
        <v>8800</v>
      </c>
      <c r="E872" s="150" t="str">
        <f t="shared" si="17"/>
        <v>http://dx.doi.org/10.1109/VISUAL.2001.964519</v>
      </c>
      <c r="F872" s="50">
        <v>255.0</v>
      </c>
      <c r="G872" s="50">
        <v>262.0</v>
      </c>
      <c r="H872" s="14" t="s">
        <v>28</v>
      </c>
      <c r="I872" s="14"/>
      <c r="J872" s="130" t="s">
        <v>9324</v>
      </c>
      <c r="K872" s="152" t="s">
        <v>9326</v>
      </c>
      <c r="L872" s="20" t="s">
        <v>9328</v>
      </c>
      <c r="M872" s="174" t="s">
        <v>9330</v>
      </c>
      <c r="N872" s="130" t="s">
        <v>38682</v>
      </c>
      <c r="O872" s="84"/>
      <c r="P872" s="84"/>
      <c r="Q872" s="84"/>
      <c r="R872" s="84"/>
      <c r="S872" s="84"/>
      <c r="T872" s="84"/>
      <c r="U872" s="84"/>
      <c r="V872" s="84"/>
      <c r="W872" s="84"/>
      <c r="X872" s="84"/>
    </row>
    <row r="873" ht="15.75" customHeight="1">
      <c r="A873" s="14" t="s">
        <v>17</v>
      </c>
      <c r="B873" s="14">
        <v>2001.0</v>
      </c>
      <c r="C873" s="14" t="s">
        <v>9334</v>
      </c>
      <c r="D873" s="97" t="s">
        <v>9336</v>
      </c>
      <c r="E873" s="194" t="s">
        <v>9342</v>
      </c>
      <c r="F873" s="50">
        <v>263.0</v>
      </c>
      <c r="G873" s="50">
        <v>270.0</v>
      </c>
      <c r="H873" s="14" t="s">
        <v>28</v>
      </c>
      <c r="I873" s="14"/>
      <c r="J873" s="130" t="s">
        <v>40224</v>
      </c>
      <c r="K873" s="152"/>
      <c r="L873" s="20" t="s">
        <v>9395</v>
      </c>
      <c r="M873" s="121" t="s">
        <v>9397</v>
      </c>
      <c r="N873" s="130" t="s">
        <v>38483</v>
      </c>
      <c r="O873" s="115"/>
      <c r="P873" s="115"/>
      <c r="Q873" s="115"/>
      <c r="R873" s="115"/>
      <c r="S873" s="115"/>
      <c r="T873" s="115"/>
      <c r="U873" s="115"/>
      <c r="V873" s="115"/>
      <c r="W873" s="115"/>
      <c r="X873" s="115"/>
    </row>
    <row r="874" ht="15.75" customHeight="1">
      <c r="A874" s="14" t="s">
        <v>17</v>
      </c>
      <c r="B874" s="14">
        <v>2001.0</v>
      </c>
      <c r="C874" s="14" t="s">
        <v>9401</v>
      </c>
      <c r="D874" s="14" t="s">
        <v>9405</v>
      </c>
      <c r="E874" s="150" t="str">
        <f t="shared" ref="E874:E879" si="18">"http://dx.doi.org/" &amp; D874</f>
        <v>http://dx.doi.org/10.1109/VISUAL.2001.964521</v>
      </c>
      <c r="F874" s="50">
        <v>271.0</v>
      </c>
      <c r="G874" s="50">
        <v>278.0</v>
      </c>
      <c r="H874" s="14" t="s">
        <v>28</v>
      </c>
      <c r="I874" s="14"/>
      <c r="J874" s="130" t="s">
        <v>13490</v>
      </c>
      <c r="K874" s="152" t="s">
        <v>9432</v>
      </c>
      <c r="L874" s="20" t="s">
        <v>9434</v>
      </c>
      <c r="M874" s="174" t="s">
        <v>9436</v>
      </c>
      <c r="N874" s="130" t="s">
        <v>40227</v>
      </c>
      <c r="O874" s="84"/>
      <c r="P874" s="84"/>
      <c r="Q874" s="84"/>
      <c r="R874" s="84"/>
      <c r="S874" s="84"/>
      <c r="T874" s="84"/>
      <c r="U874" s="84"/>
      <c r="V874" s="84"/>
      <c r="W874" s="84"/>
      <c r="X874" s="84"/>
    </row>
    <row r="875" ht="15.75" customHeight="1">
      <c r="A875" s="14" t="s">
        <v>17</v>
      </c>
      <c r="B875" s="14">
        <v>2001.0</v>
      </c>
      <c r="C875" s="14" t="s">
        <v>9439</v>
      </c>
      <c r="D875" s="14" t="s">
        <v>9441</v>
      </c>
      <c r="E875" s="150" t="str">
        <f t="shared" si="18"/>
        <v>http://dx.doi.org/10.1109/VISUAL.2001.964522</v>
      </c>
      <c r="F875" s="50">
        <v>279.0</v>
      </c>
      <c r="G875" s="50">
        <v>286.0</v>
      </c>
      <c r="H875" s="14" t="s">
        <v>28</v>
      </c>
      <c r="I875" s="14"/>
      <c r="J875" s="130" t="s">
        <v>9477</v>
      </c>
      <c r="K875" s="152" t="s">
        <v>9478</v>
      </c>
      <c r="L875" s="20" t="s">
        <v>9479</v>
      </c>
      <c r="M875" s="174" t="s">
        <v>9481</v>
      </c>
      <c r="N875" s="130" t="s">
        <v>40228</v>
      </c>
      <c r="O875" s="84"/>
      <c r="P875" s="84"/>
      <c r="Q875" s="84"/>
      <c r="R875" s="84"/>
      <c r="S875" s="84"/>
      <c r="T875" s="84"/>
      <c r="U875" s="84"/>
      <c r="V875" s="84"/>
      <c r="W875" s="84"/>
      <c r="X875" s="84"/>
    </row>
    <row r="876" ht="15.75" customHeight="1">
      <c r="A876" s="14" t="s">
        <v>17</v>
      </c>
      <c r="B876" s="14">
        <v>2001.0</v>
      </c>
      <c r="C876" s="14" t="s">
        <v>9484</v>
      </c>
      <c r="D876" s="14" t="s">
        <v>9486</v>
      </c>
      <c r="E876" s="150" t="str">
        <f t="shared" si="18"/>
        <v>http://dx.doi.org/10.1109/VISUAL.2001.964523</v>
      </c>
      <c r="F876" s="50">
        <v>287.0</v>
      </c>
      <c r="G876" s="50">
        <v>294.0</v>
      </c>
      <c r="H876" s="14" t="s">
        <v>28</v>
      </c>
      <c r="I876" s="14"/>
      <c r="J876" s="130" t="s">
        <v>5940</v>
      </c>
      <c r="K876" s="152" t="s">
        <v>9522</v>
      </c>
      <c r="L876" s="20" t="s">
        <v>9524</v>
      </c>
      <c r="M876" s="174" t="s">
        <v>9526</v>
      </c>
      <c r="N876" s="130" t="s">
        <v>40231</v>
      </c>
      <c r="O876" s="84"/>
      <c r="P876" s="84"/>
      <c r="Q876" s="84"/>
      <c r="R876" s="84"/>
      <c r="S876" s="84"/>
      <c r="T876" s="84"/>
      <c r="U876" s="84"/>
      <c r="V876" s="84"/>
      <c r="W876" s="84"/>
      <c r="X876" s="84"/>
    </row>
    <row r="877" ht="15.75" customHeight="1">
      <c r="A877" s="14" t="s">
        <v>17</v>
      </c>
      <c r="B877" s="14">
        <v>2001.0</v>
      </c>
      <c r="C877" s="14" t="s">
        <v>9531</v>
      </c>
      <c r="D877" s="14" t="s">
        <v>9533</v>
      </c>
      <c r="E877" s="150" t="str">
        <f t="shared" si="18"/>
        <v>http://dx.doi.org/10.1109/VISUAL.2001.964524</v>
      </c>
      <c r="F877" s="50">
        <v>295.0</v>
      </c>
      <c r="G877" s="50">
        <v>302.0</v>
      </c>
      <c r="H877" s="14" t="s">
        <v>28</v>
      </c>
      <c r="I877" s="14"/>
      <c r="J877" s="130" t="s">
        <v>9569</v>
      </c>
      <c r="K877" s="152" t="s">
        <v>9572</v>
      </c>
      <c r="L877" s="20" t="s">
        <v>5832</v>
      </c>
      <c r="M877" s="16"/>
      <c r="N877" s="152" t="s">
        <v>9572</v>
      </c>
      <c r="O877" s="84"/>
      <c r="P877" s="84"/>
      <c r="Q877" s="84"/>
      <c r="R877" s="84"/>
      <c r="S877" s="84"/>
      <c r="T877" s="84"/>
      <c r="U877" s="84"/>
      <c r="V877" s="84"/>
      <c r="W877" s="84"/>
      <c r="X877" s="84"/>
    </row>
    <row r="878" ht="15.75" customHeight="1">
      <c r="A878" s="14" t="s">
        <v>17</v>
      </c>
      <c r="B878" s="14">
        <v>2001.0</v>
      </c>
      <c r="C878" s="14" t="s">
        <v>9579</v>
      </c>
      <c r="D878" s="14" t="s">
        <v>9581</v>
      </c>
      <c r="E878" s="150" t="str">
        <f t="shared" si="18"/>
        <v>http://dx.doi.org/10.1109/VISUAL.2001.964525</v>
      </c>
      <c r="F878" s="50">
        <v>303.0</v>
      </c>
      <c r="G878" s="50">
        <v>310.0</v>
      </c>
      <c r="H878" s="14" t="s">
        <v>28</v>
      </c>
      <c r="I878" s="14"/>
      <c r="J878" s="130" t="s">
        <v>9612</v>
      </c>
      <c r="K878" s="152" t="s">
        <v>9614</v>
      </c>
      <c r="L878" s="20" t="s">
        <v>9616</v>
      </c>
      <c r="M878" s="174" t="s">
        <v>9618</v>
      </c>
      <c r="N878" s="152" t="s">
        <v>9614</v>
      </c>
      <c r="O878" s="84"/>
      <c r="P878" s="84"/>
      <c r="Q878" s="84"/>
      <c r="R878" s="84"/>
      <c r="S878" s="84"/>
      <c r="T878" s="84"/>
      <c r="U878" s="84"/>
      <c r="V878" s="84"/>
      <c r="W878" s="84"/>
      <c r="X878" s="84"/>
    </row>
    <row r="879" ht="15.75" customHeight="1">
      <c r="A879" s="14" t="s">
        <v>17</v>
      </c>
      <c r="B879" s="14">
        <v>2001.0</v>
      </c>
      <c r="C879" s="14" t="s">
        <v>9621</v>
      </c>
      <c r="D879" s="14" t="s">
        <v>9623</v>
      </c>
      <c r="E879" s="150" t="str">
        <f t="shared" si="18"/>
        <v>http://dx.doi.org/10.1109/VISUAL.2001.964526</v>
      </c>
      <c r="F879" s="50">
        <v>311.0</v>
      </c>
      <c r="G879" s="50">
        <v>318.0</v>
      </c>
      <c r="H879" s="14" t="s">
        <v>28</v>
      </c>
      <c r="I879" s="14"/>
      <c r="J879" s="130" t="s">
        <v>9654</v>
      </c>
      <c r="K879" s="152" t="s">
        <v>1596</v>
      </c>
      <c r="L879" s="20" t="s">
        <v>9657</v>
      </c>
      <c r="M879" s="16"/>
      <c r="N879" s="130" t="s">
        <v>39060</v>
      </c>
      <c r="O879" s="84"/>
      <c r="P879" s="84"/>
      <c r="Q879" s="84"/>
      <c r="R879" s="84"/>
      <c r="S879" s="84"/>
      <c r="T879" s="84"/>
      <c r="U879" s="84"/>
      <c r="V879" s="84"/>
      <c r="W879" s="84"/>
      <c r="X879" s="84"/>
    </row>
    <row r="880" ht="15.75" customHeight="1">
      <c r="A880" s="14" t="s">
        <v>17</v>
      </c>
      <c r="B880" s="14">
        <v>2001.0</v>
      </c>
      <c r="C880" s="14" t="s">
        <v>9660</v>
      </c>
      <c r="D880" s="67" t="s">
        <v>9662</v>
      </c>
      <c r="E880" s="194" t="s">
        <v>9664</v>
      </c>
      <c r="F880" s="50">
        <v>319.0</v>
      </c>
      <c r="G880" s="50">
        <v>324.0</v>
      </c>
      <c r="H880" s="14" t="s">
        <v>28</v>
      </c>
      <c r="I880" s="14"/>
      <c r="J880" s="130" t="s">
        <v>13540</v>
      </c>
      <c r="K880" s="152"/>
      <c r="L880" s="20"/>
      <c r="M880" s="121" t="s">
        <v>9716</v>
      </c>
      <c r="N880" s="130" t="s">
        <v>40235</v>
      </c>
      <c r="O880" s="115"/>
      <c r="P880" s="115"/>
      <c r="Q880" s="115"/>
      <c r="R880" s="115"/>
      <c r="S880" s="115"/>
      <c r="T880" s="115"/>
      <c r="U880" s="115"/>
      <c r="V880" s="115"/>
      <c r="W880" s="115"/>
      <c r="X880" s="115"/>
    </row>
    <row r="881" ht="15.75" customHeight="1">
      <c r="A881" s="14" t="s">
        <v>17</v>
      </c>
      <c r="B881" s="14">
        <v>2001.0</v>
      </c>
      <c r="C881" s="14" t="s">
        <v>9720</v>
      </c>
      <c r="D881" s="14" t="s">
        <v>9721</v>
      </c>
      <c r="E881" s="150" t="str">
        <f t="shared" ref="E881:E888" si="19">"http://dx.doi.org/" &amp; D881</f>
        <v>http://dx.doi.org/10.1109/VISUAL.2001.964528</v>
      </c>
      <c r="F881" s="50">
        <v>325.0</v>
      </c>
      <c r="G881" s="50">
        <v>332.0</v>
      </c>
      <c r="H881" s="14" t="s">
        <v>28</v>
      </c>
      <c r="I881" s="14"/>
      <c r="J881" s="130" t="s">
        <v>9752</v>
      </c>
      <c r="K881" s="152" t="s">
        <v>9754</v>
      </c>
      <c r="L881" s="20" t="s">
        <v>4975</v>
      </c>
      <c r="M881" s="174" t="s">
        <v>9756</v>
      </c>
      <c r="N881" s="130" t="s">
        <v>40238</v>
      </c>
      <c r="O881" s="84"/>
      <c r="P881" s="84"/>
      <c r="Q881" s="84"/>
      <c r="R881" s="84"/>
      <c r="S881" s="84"/>
      <c r="T881" s="84"/>
      <c r="U881" s="84"/>
      <c r="V881" s="84"/>
      <c r="W881" s="84"/>
      <c r="X881" s="84"/>
    </row>
    <row r="882" ht="15.75" customHeight="1">
      <c r="A882" s="14" t="s">
        <v>17</v>
      </c>
      <c r="B882" s="14">
        <v>2001.0</v>
      </c>
      <c r="C882" s="14" t="s">
        <v>9759</v>
      </c>
      <c r="D882" s="14" t="s">
        <v>9761</v>
      </c>
      <c r="E882" s="150" t="str">
        <f t="shared" si="19"/>
        <v>http://dx.doi.org/10.1109/VISUAL.2001.964529</v>
      </c>
      <c r="F882" s="50">
        <v>333.0</v>
      </c>
      <c r="G882" s="50">
        <v>340.0</v>
      </c>
      <c r="H882" s="14" t="s">
        <v>28</v>
      </c>
      <c r="I882" s="14"/>
      <c r="J882" s="130" t="s">
        <v>13557</v>
      </c>
      <c r="K882" s="152" t="s">
        <v>178</v>
      </c>
      <c r="L882" s="20"/>
      <c r="M882" s="174" t="s">
        <v>9797</v>
      </c>
      <c r="N882" s="130"/>
      <c r="O882" s="84"/>
      <c r="P882" s="84"/>
      <c r="Q882" s="84"/>
      <c r="R882" s="84"/>
      <c r="S882" s="84"/>
      <c r="T882" s="84"/>
      <c r="U882" s="84"/>
      <c r="V882" s="84"/>
      <c r="W882" s="84"/>
      <c r="X882" s="84"/>
    </row>
    <row r="883" ht="15.75" customHeight="1">
      <c r="A883" s="14" t="s">
        <v>17</v>
      </c>
      <c r="B883" s="14">
        <v>2001.0</v>
      </c>
      <c r="C883" s="14" t="s">
        <v>9801</v>
      </c>
      <c r="D883" s="14" t="s">
        <v>9803</v>
      </c>
      <c r="E883" s="150" t="str">
        <f t="shared" si="19"/>
        <v>http://dx.doi.org/10.1109/VISUAL.2001.964530</v>
      </c>
      <c r="F883" s="50">
        <v>341.0</v>
      </c>
      <c r="G883" s="50">
        <v>348.0</v>
      </c>
      <c r="H883" s="14" t="s">
        <v>28</v>
      </c>
      <c r="I883" s="14"/>
      <c r="J883" s="130" t="s">
        <v>13563</v>
      </c>
      <c r="K883" s="152" t="s">
        <v>9852</v>
      </c>
      <c r="L883" s="20" t="s">
        <v>3509</v>
      </c>
      <c r="M883" s="174" t="s">
        <v>9855</v>
      </c>
      <c r="N883" s="130" t="s">
        <v>40239</v>
      </c>
      <c r="O883" s="84"/>
      <c r="P883" s="84"/>
      <c r="Q883" s="84"/>
      <c r="R883" s="84"/>
      <c r="S883" s="84"/>
      <c r="T883" s="84"/>
      <c r="U883" s="84"/>
      <c r="V883" s="84"/>
      <c r="W883" s="84"/>
      <c r="X883" s="84"/>
    </row>
    <row r="884" ht="15.75" customHeight="1">
      <c r="A884" s="14" t="s">
        <v>17</v>
      </c>
      <c r="B884" s="14">
        <v>2001.0</v>
      </c>
      <c r="C884" s="14" t="s">
        <v>9858</v>
      </c>
      <c r="D884" s="14" t="s">
        <v>9861</v>
      </c>
      <c r="E884" s="150" t="str">
        <f t="shared" si="19"/>
        <v>http://dx.doi.org/10.1109/VISUAL.2001.964531</v>
      </c>
      <c r="F884" s="50">
        <v>349.0</v>
      </c>
      <c r="G884" s="50">
        <v>356.0</v>
      </c>
      <c r="H884" s="14" t="s">
        <v>28</v>
      </c>
      <c r="I884" s="14"/>
      <c r="J884" s="130" t="s">
        <v>13574</v>
      </c>
      <c r="K884" s="152" t="s">
        <v>5637</v>
      </c>
      <c r="L884" s="20" t="s">
        <v>3584</v>
      </c>
      <c r="M884" s="174" t="s">
        <v>9907</v>
      </c>
      <c r="N884" s="130" t="s">
        <v>40242</v>
      </c>
      <c r="O884" s="84"/>
      <c r="P884" s="84"/>
      <c r="Q884" s="84"/>
      <c r="R884" s="84"/>
      <c r="S884" s="84"/>
      <c r="T884" s="84"/>
      <c r="U884" s="84"/>
      <c r="V884" s="84"/>
      <c r="W884" s="84"/>
      <c r="X884" s="84"/>
    </row>
    <row r="885" ht="15.75" customHeight="1">
      <c r="A885" s="14" t="s">
        <v>17</v>
      </c>
      <c r="B885" s="14">
        <v>2001.0</v>
      </c>
      <c r="C885" s="14" t="s">
        <v>9912</v>
      </c>
      <c r="D885" s="14" t="s">
        <v>9914</v>
      </c>
      <c r="E885" s="150" t="str">
        <f t="shared" si="19"/>
        <v>http://dx.doi.org/10.1109/VISUAL.2001.964532</v>
      </c>
      <c r="F885" s="50">
        <v>357.0</v>
      </c>
      <c r="G885" s="50">
        <v>262.0</v>
      </c>
      <c r="H885" s="14" t="s">
        <v>28</v>
      </c>
      <c r="I885" s="14"/>
      <c r="J885" s="130" t="s">
        <v>9948</v>
      </c>
      <c r="K885" s="152" t="s">
        <v>9950</v>
      </c>
      <c r="L885" s="20" t="s">
        <v>9952</v>
      </c>
      <c r="M885" s="174" t="s">
        <v>9954</v>
      </c>
      <c r="N885" s="130" t="s">
        <v>40243</v>
      </c>
      <c r="O885" s="84"/>
      <c r="P885" s="84"/>
      <c r="Q885" s="84"/>
      <c r="R885" s="84"/>
      <c r="S885" s="84"/>
      <c r="T885" s="84"/>
      <c r="U885" s="84"/>
      <c r="V885" s="84"/>
      <c r="W885" s="84"/>
      <c r="X885" s="84"/>
    </row>
    <row r="886" ht="15.75" customHeight="1">
      <c r="A886" s="14" t="s">
        <v>17</v>
      </c>
      <c r="B886" s="14">
        <v>2001.0</v>
      </c>
      <c r="C886" s="14" t="s">
        <v>9955</v>
      </c>
      <c r="D886" s="14" t="s">
        <v>9956</v>
      </c>
      <c r="E886" s="150" t="str">
        <f t="shared" si="19"/>
        <v>http://dx.doi.org/10.1109/VISUAL.2001.964533</v>
      </c>
      <c r="F886" s="50">
        <v>363.0</v>
      </c>
      <c r="G886" s="50">
        <v>370.0</v>
      </c>
      <c r="H886" s="14" t="s">
        <v>28</v>
      </c>
      <c r="I886" s="14"/>
      <c r="J886" s="130" t="s">
        <v>9982</v>
      </c>
      <c r="K886" s="152" t="s">
        <v>9985</v>
      </c>
      <c r="L886" s="20" t="s">
        <v>9987</v>
      </c>
      <c r="M886" s="16"/>
      <c r="N886" s="130" t="s">
        <v>35633</v>
      </c>
      <c r="O886" s="84"/>
      <c r="P886" s="84"/>
      <c r="Q886" s="84"/>
      <c r="R886" s="84"/>
      <c r="S886" s="84"/>
      <c r="T886" s="84"/>
      <c r="U886" s="84"/>
      <c r="V886" s="84"/>
      <c r="W886" s="84"/>
      <c r="X886" s="84"/>
    </row>
    <row r="887" ht="15.75" customHeight="1">
      <c r="A887" s="14" t="s">
        <v>17</v>
      </c>
      <c r="B887" s="14">
        <v>2001.0</v>
      </c>
      <c r="C887" s="14" t="s">
        <v>9990</v>
      </c>
      <c r="D887" s="14" t="s">
        <v>9993</v>
      </c>
      <c r="E887" s="150" t="str">
        <f t="shared" si="19"/>
        <v>http://dx.doi.org/10.1109/VISUAL.2001.964534</v>
      </c>
      <c r="F887" s="50">
        <v>371.0</v>
      </c>
      <c r="G887" s="50">
        <v>378.0</v>
      </c>
      <c r="H887" s="14" t="s">
        <v>28</v>
      </c>
      <c r="I887" s="14"/>
      <c r="J887" s="130" t="s">
        <v>13604</v>
      </c>
      <c r="K887" s="152" t="s">
        <v>10029</v>
      </c>
      <c r="L887" s="20" t="s">
        <v>10030</v>
      </c>
      <c r="M887" s="16"/>
      <c r="N887" s="130" t="s">
        <v>40247</v>
      </c>
      <c r="O887" s="84"/>
      <c r="P887" s="84"/>
      <c r="Q887" s="84"/>
      <c r="R887" s="84"/>
      <c r="S887" s="84"/>
      <c r="T887" s="84"/>
      <c r="U887" s="84"/>
      <c r="V887" s="84"/>
      <c r="W887" s="84"/>
      <c r="X887" s="84"/>
    </row>
    <row r="888" ht="15.75" customHeight="1">
      <c r="A888" s="14" t="s">
        <v>17</v>
      </c>
      <c r="B888" s="14">
        <v>2001.0</v>
      </c>
      <c r="C888" s="14" t="s">
        <v>10033</v>
      </c>
      <c r="D888" s="14" t="s">
        <v>10035</v>
      </c>
      <c r="E888" s="150" t="str">
        <f t="shared" si="19"/>
        <v>http://dx.doi.org/10.1109/VISUAL.2001.964535</v>
      </c>
      <c r="F888" s="50">
        <v>379.0</v>
      </c>
      <c r="G888" s="50">
        <v>386.0</v>
      </c>
      <c r="H888" s="14" t="s">
        <v>28</v>
      </c>
      <c r="I888" s="14"/>
      <c r="J888" s="130" t="s">
        <v>10067</v>
      </c>
      <c r="K888" s="152" t="s">
        <v>10069</v>
      </c>
      <c r="L888" s="20" t="s">
        <v>10071</v>
      </c>
      <c r="M888" s="174" t="s">
        <v>10073</v>
      </c>
      <c r="N888" s="152" t="s">
        <v>10069</v>
      </c>
      <c r="O888" s="84"/>
      <c r="P888" s="84"/>
      <c r="Q888" s="84"/>
      <c r="R888" s="84"/>
      <c r="S888" s="84"/>
      <c r="T888" s="84"/>
      <c r="U888" s="84"/>
      <c r="V888" s="84"/>
      <c r="W888" s="84"/>
      <c r="X888" s="84"/>
    </row>
    <row r="889" ht="15.75" customHeight="1">
      <c r="A889" s="14" t="s">
        <v>17</v>
      </c>
      <c r="B889" s="14">
        <v>2001.0</v>
      </c>
      <c r="C889" s="14" t="s">
        <v>10077</v>
      </c>
      <c r="D889" s="67" t="s">
        <v>10078</v>
      </c>
      <c r="E889" s="194" t="s">
        <v>10080</v>
      </c>
      <c r="F889" s="50">
        <v>387.0</v>
      </c>
      <c r="G889" s="50">
        <v>394.0</v>
      </c>
      <c r="H889" s="14" t="s">
        <v>28</v>
      </c>
      <c r="I889" s="14"/>
      <c r="J889" s="130" t="s">
        <v>10130</v>
      </c>
      <c r="K889" s="152"/>
      <c r="L889" s="20" t="s">
        <v>10132</v>
      </c>
      <c r="M889" s="121" t="s">
        <v>10134</v>
      </c>
      <c r="N889" s="130" t="s">
        <v>40250</v>
      </c>
      <c r="O889" s="115"/>
      <c r="P889" s="115"/>
      <c r="Q889" s="115"/>
      <c r="R889" s="115"/>
      <c r="S889" s="115"/>
      <c r="T889" s="115"/>
      <c r="U889" s="115"/>
      <c r="V889" s="115"/>
      <c r="W889" s="115"/>
      <c r="X889" s="115"/>
    </row>
    <row r="890" ht="15.75" customHeight="1">
      <c r="A890" s="14" t="s">
        <v>17</v>
      </c>
      <c r="B890" s="14">
        <v>2001.0</v>
      </c>
      <c r="C890" s="14" t="s">
        <v>10137</v>
      </c>
      <c r="D890" s="14" t="s">
        <v>10139</v>
      </c>
      <c r="E890" s="150" t="str">
        <f t="shared" ref="E890:E892" si="20">"http://dx.doi.org/" &amp; D890</f>
        <v>http://dx.doi.org/10.1109/VISUAL.2001.964538</v>
      </c>
      <c r="F890" s="50">
        <v>395.0</v>
      </c>
      <c r="G890" s="50">
        <v>402.0</v>
      </c>
      <c r="H890" s="14" t="s">
        <v>28</v>
      </c>
      <c r="I890" s="14"/>
      <c r="J890" s="130" t="s">
        <v>10174</v>
      </c>
      <c r="K890" s="152" t="s">
        <v>10176</v>
      </c>
      <c r="L890" s="20" t="s">
        <v>3781</v>
      </c>
      <c r="M890" s="174" t="s">
        <v>10180</v>
      </c>
      <c r="N890" s="152" t="s">
        <v>10176</v>
      </c>
      <c r="O890" s="84"/>
      <c r="P890" s="84"/>
      <c r="Q890" s="84"/>
      <c r="R890" s="84"/>
      <c r="S890" s="84"/>
      <c r="T890" s="84"/>
      <c r="U890" s="84"/>
      <c r="V890" s="84"/>
      <c r="W890" s="84"/>
      <c r="X890" s="84"/>
    </row>
    <row r="891" ht="15.75" customHeight="1">
      <c r="A891" s="14" t="s">
        <v>17</v>
      </c>
      <c r="B891" s="14">
        <v>2001.0</v>
      </c>
      <c r="C891" s="14" t="s">
        <v>10183</v>
      </c>
      <c r="D891" s="14" t="s">
        <v>10185</v>
      </c>
      <c r="E891" s="150" t="str">
        <f t="shared" si="20"/>
        <v>http://dx.doi.org/10.1109/VISUAL.2001.964539</v>
      </c>
      <c r="F891" s="50">
        <v>403.0</v>
      </c>
      <c r="G891" s="50">
        <v>410.0</v>
      </c>
      <c r="H891" s="14" t="s">
        <v>28</v>
      </c>
      <c r="I891" s="14"/>
      <c r="J891" s="130" t="s">
        <v>10216</v>
      </c>
      <c r="K891" s="152" t="s">
        <v>10218</v>
      </c>
      <c r="L891" s="20" t="s">
        <v>10220</v>
      </c>
      <c r="M891" s="174" t="s">
        <v>10221</v>
      </c>
      <c r="N891" s="130" t="s">
        <v>40255</v>
      </c>
      <c r="O891" s="84"/>
      <c r="P891" s="84"/>
      <c r="Q891" s="84"/>
      <c r="R891" s="84"/>
      <c r="S891" s="84"/>
      <c r="T891" s="84"/>
      <c r="U891" s="84"/>
      <c r="V891" s="84"/>
      <c r="W891" s="84"/>
      <c r="X891" s="84"/>
    </row>
    <row r="892" ht="15.75" customHeight="1">
      <c r="A892" s="14" t="s">
        <v>17</v>
      </c>
      <c r="B892" s="14">
        <v>2001.0</v>
      </c>
      <c r="C892" s="14" t="s">
        <v>10225</v>
      </c>
      <c r="D892" s="14" t="s">
        <v>10226</v>
      </c>
      <c r="E892" s="150" t="str">
        <f t="shared" si="20"/>
        <v>http://dx.doi.org/10.1109/VISUAL.2001.964540</v>
      </c>
      <c r="F892" s="50">
        <v>411.0</v>
      </c>
      <c r="G892" s="50">
        <v>418.0</v>
      </c>
      <c r="H892" s="14" t="s">
        <v>28</v>
      </c>
      <c r="I892" s="14"/>
      <c r="J892" s="130" t="s">
        <v>40256</v>
      </c>
      <c r="K892" s="152" t="s">
        <v>10259</v>
      </c>
      <c r="L892" s="20" t="s">
        <v>10261</v>
      </c>
      <c r="M892" s="174" t="s">
        <v>10262</v>
      </c>
      <c r="N892" s="130" t="s">
        <v>40257</v>
      </c>
      <c r="O892" s="84"/>
      <c r="P892" s="84"/>
      <c r="Q892" s="84"/>
      <c r="R892" s="84"/>
      <c r="S892" s="84"/>
      <c r="T892" s="84"/>
      <c r="U892" s="84"/>
      <c r="V892" s="84"/>
      <c r="W892" s="84"/>
      <c r="X892" s="84"/>
    </row>
    <row r="893" ht="15.75" customHeight="1">
      <c r="A893" s="14" t="s">
        <v>17</v>
      </c>
      <c r="B893" s="50">
        <v>2001.0</v>
      </c>
      <c r="C893" s="14" t="s">
        <v>10265</v>
      </c>
      <c r="D893" s="67" t="s">
        <v>10266</v>
      </c>
      <c r="E893" s="194" t="s">
        <v>10269</v>
      </c>
      <c r="F893" s="50">
        <v>421.0</v>
      </c>
      <c r="G893" s="50">
        <v>424.0</v>
      </c>
      <c r="H893" s="14" t="s">
        <v>28</v>
      </c>
      <c r="I893" s="14"/>
      <c r="J893" s="130" t="s">
        <v>10528</v>
      </c>
      <c r="K893" s="152"/>
      <c r="L893" s="20"/>
      <c r="M893" s="121" t="s">
        <v>10530</v>
      </c>
      <c r="N893" s="130" t="s">
        <v>40260</v>
      </c>
      <c r="O893" s="84"/>
      <c r="P893" s="84"/>
      <c r="Q893" s="84"/>
      <c r="R893" s="84"/>
      <c r="S893" s="84"/>
      <c r="T893" s="84"/>
      <c r="U893" s="84"/>
      <c r="V893" s="84"/>
      <c r="W893" s="84"/>
      <c r="X893" s="84"/>
    </row>
    <row r="894" ht="15.75" customHeight="1">
      <c r="A894" s="14" t="s">
        <v>17</v>
      </c>
      <c r="B894" s="14">
        <v>2001.0</v>
      </c>
      <c r="C894" s="14" t="s">
        <v>10533</v>
      </c>
      <c r="D894" s="14" t="s">
        <v>10534</v>
      </c>
      <c r="E894" s="150" t="str">
        <f t="shared" ref="E894:E910" si="21">"http://dx.doi.org/" &amp; D894</f>
        <v>http://dx.doi.org/10.1109/VISUAL.2001.964542</v>
      </c>
      <c r="F894" s="50">
        <v>425.0</v>
      </c>
      <c r="G894" s="50">
        <v>428.0</v>
      </c>
      <c r="H894" s="14" t="s">
        <v>28</v>
      </c>
      <c r="I894" s="14"/>
      <c r="J894" s="130" t="s">
        <v>10578</v>
      </c>
      <c r="K894" s="152" t="s">
        <v>5982</v>
      </c>
      <c r="L894" s="20" t="s">
        <v>5979</v>
      </c>
      <c r="M894" s="174" t="s">
        <v>10582</v>
      </c>
      <c r="N894" s="130" t="s">
        <v>40263</v>
      </c>
      <c r="O894" s="84"/>
      <c r="P894" s="84"/>
      <c r="Q894" s="84"/>
      <c r="R894" s="84"/>
      <c r="S894" s="84"/>
      <c r="T894" s="84"/>
      <c r="U894" s="84"/>
      <c r="V894" s="84"/>
      <c r="W894" s="84"/>
      <c r="X894" s="84"/>
    </row>
    <row r="895" ht="15.75" customHeight="1">
      <c r="A895" s="14" t="s">
        <v>17</v>
      </c>
      <c r="B895" s="14">
        <v>2001.0</v>
      </c>
      <c r="C895" s="14" t="s">
        <v>10586</v>
      </c>
      <c r="D895" s="14" t="s">
        <v>10587</v>
      </c>
      <c r="E895" s="150" t="str">
        <f t="shared" si="21"/>
        <v>http://dx.doi.org/10.1109/VISUAL.2001.964543</v>
      </c>
      <c r="F895" s="50">
        <v>429.0</v>
      </c>
      <c r="G895" s="50">
        <v>432.0</v>
      </c>
      <c r="H895" s="14" t="s">
        <v>28</v>
      </c>
      <c r="I895" s="14"/>
      <c r="J895" s="130" t="s">
        <v>10623</v>
      </c>
      <c r="K895" s="152" t="s">
        <v>10625</v>
      </c>
      <c r="L895" s="20" t="s">
        <v>5352</v>
      </c>
      <c r="M895" s="174" t="s">
        <v>10628</v>
      </c>
      <c r="N895" s="152" t="s">
        <v>10625</v>
      </c>
      <c r="O895" s="84"/>
      <c r="P895" s="84"/>
      <c r="Q895" s="84"/>
      <c r="R895" s="84"/>
      <c r="S895" s="84"/>
      <c r="T895" s="84"/>
      <c r="U895" s="84"/>
      <c r="V895" s="84"/>
      <c r="W895" s="84"/>
      <c r="X895" s="84"/>
    </row>
    <row r="896" ht="15.75" customHeight="1">
      <c r="A896" s="14" t="s">
        <v>17</v>
      </c>
      <c r="B896" s="14">
        <v>2001.0</v>
      </c>
      <c r="C896" s="14" t="s">
        <v>10631</v>
      </c>
      <c r="D896" s="14" t="s">
        <v>10633</v>
      </c>
      <c r="E896" s="150" t="str">
        <f t="shared" si="21"/>
        <v>http://dx.doi.org/10.1109/VISUAL.2001.964544</v>
      </c>
      <c r="F896" s="50">
        <v>433.0</v>
      </c>
      <c r="G896" s="50">
        <v>436.0</v>
      </c>
      <c r="H896" s="14" t="s">
        <v>28</v>
      </c>
      <c r="I896" s="14"/>
      <c r="J896" s="130" t="s">
        <v>13683</v>
      </c>
      <c r="K896" s="152" t="s">
        <v>10673</v>
      </c>
      <c r="L896" s="20"/>
      <c r="M896" s="174" t="s">
        <v>10674</v>
      </c>
      <c r="N896" s="152" t="s">
        <v>10673</v>
      </c>
      <c r="O896" s="84"/>
      <c r="P896" s="84"/>
      <c r="Q896" s="84"/>
      <c r="R896" s="84"/>
      <c r="S896" s="84"/>
      <c r="T896" s="84"/>
      <c r="U896" s="84"/>
      <c r="V896" s="84"/>
      <c r="W896" s="84"/>
      <c r="X896" s="84"/>
    </row>
    <row r="897" ht="15.75" customHeight="1">
      <c r="A897" s="14" t="s">
        <v>17</v>
      </c>
      <c r="B897" s="14">
        <v>2001.0</v>
      </c>
      <c r="C897" s="14" t="s">
        <v>10675</v>
      </c>
      <c r="D897" s="14" t="s">
        <v>10676</v>
      </c>
      <c r="E897" s="150" t="str">
        <f t="shared" si="21"/>
        <v>http://dx.doi.org/10.1109/VISUAL.2001.964545</v>
      </c>
      <c r="F897" s="50">
        <v>437.0</v>
      </c>
      <c r="G897" s="50">
        <v>440.0</v>
      </c>
      <c r="H897" s="14" t="s">
        <v>28</v>
      </c>
      <c r="I897" s="14"/>
      <c r="J897" s="130" t="s">
        <v>13693</v>
      </c>
      <c r="K897" s="152" t="s">
        <v>10709</v>
      </c>
      <c r="L897" s="20" t="s">
        <v>10711</v>
      </c>
      <c r="M897" s="174" t="s">
        <v>10712</v>
      </c>
      <c r="N897" s="130" t="s">
        <v>40266</v>
      </c>
      <c r="O897" s="84"/>
      <c r="P897" s="84"/>
      <c r="Q897" s="84"/>
      <c r="R897" s="84"/>
      <c r="S897" s="84"/>
      <c r="T897" s="84"/>
      <c r="U897" s="84"/>
      <c r="V897" s="84"/>
      <c r="W897" s="84"/>
      <c r="X897" s="84"/>
    </row>
    <row r="898" ht="15.75" customHeight="1">
      <c r="A898" s="14" t="s">
        <v>17</v>
      </c>
      <c r="B898" s="14">
        <v>2001.0</v>
      </c>
      <c r="C898" s="14" t="s">
        <v>10716</v>
      </c>
      <c r="D898" s="14" t="s">
        <v>10718</v>
      </c>
      <c r="E898" s="150" t="str">
        <f t="shared" si="21"/>
        <v>http://dx.doi.org/10.1109/VISUAL.2001.964546</v>
      </c>
      <c r="F898" s="50">
        <v>441.0</v>
      </c>
      <c r="G898" s="50">
        <v>444.0</v>
      </c>
      <c r="H898" s="14" t="s">
        <v>28</v>
      </c>
      <c r="I898" s="14"/>
      <c r="J898" s="130" t="s">
        <v>4514</v>
      </c>
      <c r="K898" s="152" t="s">
        <v>4515</v>
      </c>
      <c r="L898" s="20" t="s">
        <v>6024</v>
      </c>
      <c r="M898" s="174" t="s">
        <v>10779</v>
      </c>
      <c r="N898" s="130" t="s">
        <v>40267</v>
      </c>
      <c r="O898" s="84"/>
      <c r="P898" s="84"/>
      <c r="Q898" s="84"/>
      <c r="R898" s="84"/>
      <c r="S898" s="84"/>
      <c r="T898" s="84"/>
      <c r="U898" s="84"/>
      <c r="V898" s="84"/>
      <c r="W898" s="84"/>
      <c r="X898" s="84"/>
    </row>
    <row r="899" ht="15.75" customHeight="1">
      <c r="A899" s="14" t="s">
        <v>17</v>
      </c>
      <c r="B899" s="14">
        <v>2001.0</v>
      </c>
      <c r="C899" s="14" t="s">
        <v>10783</v>
      </c>
      <c r="D899" s="14" t="s">
        <v>10784</v>
      </c>
      <c r="E899" s="150" t="str">
        <f t="shared" si="21"/>
        <v>http://dx.doi.org/10.1109/VISUAL.2001.964547</v>
      </c>
      <c r="F899" s="50">
        <v>445.0</v>
      </c>
      <c r="G899" s="50">
        <v>448.0</v>
      </c>
      <c r="H899" s="14" t="s">
        <v>28</v>
      </c>
      <c r="I899" s="14"/>
      <c r="J899" s="130" t="s">
        <v>10819</v>
      </c>
      <c r="K899" s="152" t="s">
        <v>144</v>
      </c>
      <c r="L899" s="20" t="s">
        <v>2299</v>
      </c>
      <c r="M899" s="174" t="s">
        <v>10822</v>
      </c>
      <c r="N899" s="130" t="s">
        <v>40269</v>
      </c>
      <c r="O899" s="84"/>
      <c r="P899" s="84"/>
      <c r="Q899" s="84"/>
      <c r="R899" s="84"/>
      <c r="S899" s="84"/>
      <c r="T899" s="84"/>
      <c r="U899" s="84"/>
      <c r="V899" s="84"/>
      <c r="W899" s="84"/>
      <c r="X899" s="84"/>
    </row>
    <row r="900" ht="15.75" customHeight="1">
      <c r="A900" s="14" t="s">
        <v>17</v>
      </c>
      <c r="B900" s="14">
        <v>2001.0</v>
      </c>
      <c r="C900" s="14" t="s">
        <v>10825</v>
      </c>
      <c r="D900" s="14" t="s">
        <v>10827</v>
      </c>
      <c r="E900" s="150" t="str">
        <f t="shared" si="21"/>
        <v>http://dx.doi.org/10.1109/VISUAL.2001.964548</v>
      </c>
      <c r="F900" s="50">
        <v>449.0</v>
      </c>
      <c r="G900" s="50">
        <v>452.0</v>
      </c>
      <c r="H900" s="14" t="s">
        <v>28</v>
      </c>
      <c r="I900" s="14"/>
      <c r="J900" s="130" t="s">
        <v>10857</v>
      </c>
      <c r="K900" s="152" t="s">
        <v>10859</v>
      </c>
      <c r="L900" s="20"/>
      <c r="M900" s="174" t="s">
        <v>10861</v>
      </c>
      <c r="N900" s="130" t="s">
        <v>40271</v>
      </c>
      <c r="O900" s="84"/>
      <c r="P900" s="84"/>
      <c r="Q900" s="84"/>
      <c r="R900" s="84"/>
      <c r="S900" s="84"/>
      <c r="T900" s="84"/>
      <c r="U900" s="84"/>
      <c r="V900" s="84"/>
      <c r="W900" s="84"/>
      <c r="X900" s="84"/>
    </row>
    <row r="901" ht="15.75" customHeight="1">
      <c r="A901" s="14" t="s">
        <v>17</v>
      </c>
      <c r="B901" s="14">
        <v>2001.0</v>
      </c>
      <c r="C901" s="14" t="s">
        <v>10864</v>
      </c>
      <c r="D901" s="14" t="s">
        <v>10867</v>
      </c>
      <c r="E901" s="150" t="str">
        <f t="shared" si="21"/>
        <v>http://dx.doi.org/10.1109/VISUAL.2001.964549</v>
      </c>
      <c r="F901" s="50">
        <v>453.0</v>
      </c>
      <c r="G901" s="50">
        <v>456.0</v>
      </c>
      <c r="H901" s="14" t="s">
        <v>28</v>
      </c>
      <c r="I901" s="14"/>
      <c r="J901" s="130" t="s">
        <v>10906</v>
      </c>
      <c r="K901" s="152" t="s">
        <v>10907</v>
      </c>
      <c r="L901" s="20"/>
      <c r="M901" s="174" t="s">
        <v>10908</v>
      </c>
      <c r="N901" s="130" t="s">
        <v>40273</v>
      </c>
      <c r="O901" s="84"/>
      <c r="P901" s="84"/>
      <c r="Q901" s="84"/>
      <c r="R901" s="84"/>
      <c r="S901" s="84"/>
      <c r="T901" s="84"/>
      <c r="U901" s="84"/>
      <c r="V901" s="84"/>
      <c r="W901" s="84"/>
      <c r="X901" s="84"/>
    </row>
    <row r="902" ht="15.75" customHeight="1">
      <c r="A902" s="14" t="s">
        <v>17</v>
      </c>
      <c r="B902" s="14">
        <v>2001.0</v>
      </c>
      <c r="C902" s="14" t="s">
        <v>10909</v>
      </c>
      <c r="D902" s="14" t="s">
        <v>10911</v>
      </c>
      <c r="E902" s="150" t="str">
        <f t="shared" si="21"/>
        <v>http://dx.doi.org/10.1109/VISUAL.2001.964550</v>
      </c>
      <c r="F902" s="50">
        <v>457.0</v>
      </c>
      <c r="G902" s="50">
        <v>460.0</v>
      </c>
      <c r="H902" s="14" t="s">
        <v>28</v>
      </c>
      <c r="I902" s="14"/>
      <c r="J902" s="130" t="s">
        <v>40274</v>
      </c>
      <c r="K902" s="152" t="s">
        <v>10945</v>
      </c>
      <c r="L902" s="20"/>
      <c r="M902" s="174" t="s">
        <v>10946</v>
      </c>
      <c r="N902" s="130" t="s">
        <v>40275</v>
      </c>
      <c r="O902" s="84"/>
      <c r="P902" s="84"/>
      <c r="Q902" s="84"/>
      <c r="R902" s="84"/>
      <c r="S902" s="84"/>
      <c r="T902" s="84"/>
      <c r="U902" s="84"/>
      <c r="V902" s="84"/>
      <c r="W902" s="84"/>
      <c r="X902" s="84"/>
    </row>
    <row r="903" ht="15.75" customHeight="1">
      <c r="A903" s="14" t="s">
        <v>17</v>
      </c>
      <c r="B903" s="14">
        <v>2001.0</v>
      </c>
      <c r="C903" s="14" t="s">
        <v>10948</v>
      </c>
      <c r="D903" s="14" t="s">
        <v>10950</v>
      </c>
      <c r="E903" s="150" t="str">
        <f t="shared" si="21"/>
        <v>http://dx.doi.org/10.1109/VISUAL.2001.964551</v>
      </c>
      <c r="F903" s="50">
        <v>461.0</v>
      </c>
      <c r="G903" s="50">
        <v>464.0</v>
      </c>
      <c r="H903" s="14" t="s">
        <v>28</v>
      </c>
      <c r="I903" s="14"/>
      <c r="J903" s="130" t="s">
        <v>10983</v>
      </c>
      <c r="K903" s="152" t="s">
        <v>10985</v>
      </c>
      <c r="L903" s="20" t="s">
        <v>4206</v>
      </c>
      <c r="M903" s="174" t="s">
        <v>10988</v>
      </c>
      <c r="N903" s="152" t="s">
        <v>10985</v>
      </c>
      <c r="O903" s="84"/>
      <c r="P903" s="84"/>
      <c r="Q903" s="84"/>
      <c r="R903" s="84"/>
      <c r="S903" s="84"/>
      <c r="T903" s="84"/>
      <c r="U903" s="84"/>
      <c r="V903" s="84"/>
      <c r="W903" s="84"/>
      <c r="X903" s="84"/>
    </row>
    <row r="904" ht="15.75" customHeight="1">
      <c r="A904" s="14" t="s">
        <v>17</v>
      </c>
      <c r="B904" s="14">
        <v>2001.0</v>
      </c>
      <c r="C904" s="14" t="s">
        <v>10992</v>
      </c>
      <c r="D904" s="14" t="s">
        <v>10993</v>
      </c>
      <c r="E904" s="150" t="str">
        <f t="shared" si="21"/>
        <v>http://dx.doi.org/10.1109/VISUAL.2001.964552</v>
      </c>
      <c r="F904" s="50">
        <v>465.0</v>
      </c>
      <c r="G904" s="50">
        <v>468.0</v>
      </c>
      <c r="H904" s="14" t="s">
        <v>28</v>
      </c>
      <c r="I904" s="14"/>
      <c r="J904" s="130" t="s">
        <v>11030</v>
      </c>
      <c r="K904" s="152" t="s">
        <v>753</v>
      </c>
      <c r="L904" s="20" t="s">
        <v>11033</v>
      </c>
      <c r="M904" s="16"/>
      <c r="N904" s="130" t="s">
        <v>40276</v>
      </c>
      <c r="O904" s="84"/>
      <c r="P904" s="84"/>
      <c r="Q904" s="84"/>
      <c r="R904" s="84"/>
      <c r="S904" s="84"/>
      <c r="T904" s="84"/>
      <c r="U904" s="84"/>
      <c r="V904" s="84"/>
      <c r="W904" s="84"/>
      <c r="X904" s="84"/>
    </row>
    <row r="905" ht="15.75" customHeight="1">
      <c r="A905" s="14" t="s">
        <v>17</v>
      </c>
      <c r="B905" s="14">
        <v>2001.0</v>
      </c>
      <c r="C905" s="14" t="s">
        <v>11038</v>
      </c>
      <c r="D905" s="14" t="s">
        <v>11040</v>
      </c>
      <c r="E905" s="150" t="str">
        <f t="shared" si="21"/>
        <v>http://dx.doi.org/10.1109/VISUAL.2001.964553</v>
      </c>
      <c r="F905" s="50">
        <v>469.0</v>
      </c>
      <c r="G905" s="50">
        <v>472.0</v>
      </c>
      <c r="H905" s="14" t="s">
        <v>28</v>
      </c>
      <c r="I905" s="14"/>
      <c r="J905" s="130" t="s">
        <v>11074</v>
      </c>
      <c r="K905" s="152" t="s">
        <v>11076</v>
      </c>
      <c r="L905" s="20"/>
      <c r="M905" s="174" t="s">
        <v>11078</v>
      </c>
      <c r="N905" s="130" t="s">
        <v>40277</v>
      </c>
      <c r="O905" s="84"/>
      <c r="P905" s="84"/>
      <c r="Q905" s="84"/>
      <c r="R905" s="84"/>
      <c r="S905" s="84"/>
      <c r="T905" s="84"/>
      <c r="U905" s="84"/>
      <c r="V905" s="84"/>
      <c r="W905" s="84"/>
      <c r="X905" s="84"/>
    </row>
    <row r="906" ht="15.75" customHeight="1">
      <c r="A906" s="14" t="s">
        <v>17</v>
      </c>
      <c r="B906" s="14">
        <v>2001.0</v>
      </c>
      <c r="C906" s="14" t="s">
        <v>11081</v>
      </c>
      <c r="D906" s="14" t="s">
        <v>11083</v>
      </c>
      <c r="E906" s="150" t="str">
        <f t="shared" si="21"/>
        <v>http://dx.doi.org/10.1109/VISUAL.2001.964554</v>
      </c>
      <c r="F906" s="50">
        <v>473.0</v>
      </c>
      <c r="G906" s="50">
        <v>476.0</v>
      </c>
      <c r="H906" s="14" t="s">
        <v>28</v>
      </c>
      <c r="I906" s="14"/>
      <c r="J906" s="130" t="s">
        <v>13823</v>
      </c>
      <c r="K906" s="152" t="s">
        <v>3240</v>
      </c>
      <c r="L906" s="20" t="s">
        <v>11120</v>
      </c>
      <c r="M906" s="174" t="s">
        <v>11123</v>
      </c>
      <c r="N906" s="130" t="s">
        <v>40278</v>
      </c>
      <c r="O906" s="84"/>
      <c r="P906" s="84"/>
      <c r="Q906" s="84"/>
      <c r="R906" s="84"/>
      <c r="S906" s="84"/>
      <c r="T906" s="84"/>
      <c r="U906" s="84"/>
      <c r="V906" s="84"/>
      <c r="W906" s="84"/>
      <c r="X906" s="84"/>
    </row>
    <row r="907" ht="15.75" customHeight="1">
      <c r="A907" s="14" t="s">
        <v>17</v>
      </c>
      <c r="B907" s="14">
        <v>2001.0</v>
      </c>
      <c r="C907" s="14" t="s">
        <v>11128</v>
      </c>
      <c r="D907" s="14" t="s">
        <v>11129</v>
      </c>
      <c r="E907" s="150" t="str">
        <f t="shared" si="21"/>
        <v>http://dx.doi.org/10.1109/VISUAL.2001.964555</v>
      </c>
      <c r="F907" s="50">
        <v>477.0</v>
      </c>
      <c r="G907" s="50">
        <v>480.0</v>
      </c>
      <c r="H907" s="14" t="s">
        <v>28</v>
      </c>
      <c r="I907" s="14"/>
      <c r="J907" s="130" t="s">
        <v>40279</v>
      </c>
      <c r="K907" s="152" t="s">
        <v>11136</v>
      </c>
      <c r="L907" s="20"/>
      <c r="M907" s="174" t="s">
        <v>11137</v>
      </c>
      <c r="N907" s="130" t="s">
        <v>40280</v>
      </c>
      <c r="O907" s="84"/>
      <c r="P907" s="84"/>
      <c r="Q907" s="84"/>
      <c r="R907" s="84"/>
      <c r="S907" s="84"/>
      <c r="T907" s="84"/>
      <c r="U907" s="84"/>
      <c r="V907" s="84"/>
      <c r="W907" s="84"/>
      <c r="X907" s="84"/>
    </row>
    <row r="908" ht="15.75" customHeight="1">
      <c r="A908" s="14" t="s">
        <v>17</v>
      </c>
      <c r="B908" s="14">
        <v>2001.0</v>
      </c>
      <c r="C908" s="14" t="s">
        <v>11138</v>
      </c>
      <c r="D908" s="14" t="s">
        <v>11139</v>
      </c>
      <c r="E908" s="150" t="str">
        <f t="shared" si="21"/>
        <v>http://dx.doi.org/10.1109/VISUAL.2001.964556</v>
      </c>
      <c r="F908" s="50">
        <v>481.0</v>
      </c>
      <c r="G908" s="50">
        <v>484.0</v>
      </c>
      <c r="H908" s="14" t="s">
        <v>28</v>
      </c>
      <c r="I908" s="14"/>
      <c r="J908" s="130" t="s">
        <v>11159</v>
      </c>
      <c r="K908" s="152" t="s">
        <v>11161</v>
      </c>
      <c r="L908" s="20"/>
      <c r="M908" s="16"/>
      <c r="N908" s="130" t="s">
        <v>40281</v>
      </c>
      <c r="O908" s="84"/>
      <c r="P908" s="84"/>
      <c r="Q908" s="84"/>
      <c r="R908" s="84"/>
      <c r="S908" s="84"/>
      <c r="T908" s="84"/>
      <c r="U908" s="84"/>
      <c r="V908" s="84"/>
      <c r="W908" s="84"/>
      <c r="X908" s="84"/>
    </row>
    <row r="909" ht="15.75" customHeight="1">
      <c r="A909" s="14" t="s">
        <v>17</v>
      </c>
      <c r="B909" s="14">
        <v>2001.0</v>
      </c>
      <c r="C909" s="14" t="s">
        <v>11164</v>
      </c>
      <c r="D909" s="14" t="s">
        <v>11166</v>
      </c>
      <c r="E909" s="150" t="str">
        <f t="shared" si="21"/>
        <v>http://dx.doi.org/10.1109/VISUAL.2001.964557</v>
      </c>
      <c r="F909" s="50">
        <v>485.0</v>
      </c>
      <c r="G909" s="50">
        <v>488.0</v>
      </c>
      <c r="H909" s="14" t="s">
        <v>28</v>
      </c>
      <c r="I909" s="14"/>
      <c r="J909" s="130" t="s">
        <v>12621</v>
      </c>
      <c r="K909" s="152" t="s">
        <v>11212</v>
      </c>
      <c r="L909" s="20" t="s">
        <v>1354</v>
      </c>
      <c r="M909" s="174" t="s">
        <v>11215</v>
      </c>
      <c r="N909" s="130" t="s">
        <v>39937</v>
      </c>
      <c r="O909" s="84"/>
      <c r="P909" s="84"/>
      <c r="Q909" s="84"/>
      <c r="R909" s="84"/>
      <c r="S909" s="84"/>
      <c r="T909" s="84"/>
      <c r="U909" s="84"/>
      <c r="V909" s="84"/>
      <c r="W909" s="84"/>
      <c r="X909" s="84"/>
    </row>
    <row r="910" ht="15.75" customHeight="1">
      <c r="A910" s="14" t="s">
        <v>17</v>
      </c>
      <c r="B910" s="14">
        <v>2001.0</v>
      </c>
      <c r="C910" s="14" t="s">
        <v>11218</v>
      </c>
      <c r="D910" s="14" t="s">
        <v>11220</v>
      </c>
      <c r="E910" s="150" t="str">
        <f t="shared" si="21"/>
        <v>http://dx.doi.org/10.1109/VISUAL.2001.964559</v>
      </c>
      <c r="F910" s="50">
        <v>489.0</v>
      </c>
      <c r="G910" s="50">
        <v>492.0</v>
      </c>
      <c r="H910" s="14" t="s">
        <v>28</v>
      </c>
      <c r="I910" s="14"/>
      <c r="J910" s="130" t="s">
        <v>11257</v>
      </c>
      <c r="K910" s="152" t="s">
        <v>3790</v>
      </c>
      <c r="L910" s="20"/>
      <c r="M910" s="174" t="s">
        <v>11260</v>
      </c>
      <c r="N910" s="130" t="s">
        <v>40285</v>
      </c>
      <c r="O910" s="84"/>
      <c r="P910" s="84"/>
      <c r="Q910" s="84"/>
      <c r="R910" s="84"/>
      <c r="S910" s="84"/>
      <c r="T910" s="84"/>
      <c r="U910" s="84"/>
      <c r="V910" s="84"/>
      <c r="W910" s="84"/>
      <c r="X910" s="84"/>
    </row>
    <row r="911" ht="15.75" customHeight="1">
      <c r="A911" s="14" t="s">
        <v>17</v>
      </c>
      <c r="B911" s="50">
        <v>2001.0</v>
      </c>
      <c r="C911" s="14" t="s">
        <v>11263</v>
      </c>
      <c r="D911" s="97" t="s">
        <v>11265</v>
      </c>
      <c r="E911" s="194" t="s">
        <v>11267</v>
      </c>
      <c r="F911" s="50">
        <v>493.0</v>
      </c>
      <c r="G911" s="50">
        <v>496.0</v>
      </c>
      <c r="H911" s="14" t="s">
        <v>28</v>
      </c>
      <c r="I911" s="14"/>
      <c r="J911" s="130" t="s">
        <v>11319</v>
      </c>
      <c r="K911" s="152"/>
      <c r="L911" s="20"/>
      <c r="M911" s="121" t="s">
        <v>11321</v>
      </c>
      <c r="N911" s="130" t="s">
        <v>15616</v>
      </c>
      <c r="O911" s="84"/>
      <c r="P911" s="84"/>
      <c r="Q911" s="84"/>
      <c r="R911" s="84"/>
      <c r="S911" s="84"/>
      <c r="T911" s="84"/>
      <c r="U911" s="84"/>
      <c r="V911" s="84"/>
      <c r="W911" s="84"/>
      <c r="X911" s="84"/>
    </row>
    <row r="912" ht="15.75" customHeight="1">
      <c r="A912" s="14" t="s">
        <v>17</v>
      </c>
      <c r="B912" s="50">
        <v>2001.0</v>
      </c>
      <c r="C912" s="14" t="s">
        <v>11324</v>
      </c>
      <c r="D912" s="67" t="s">
        <v>11326</v>
      </c>
      <c r="E912" s="194" t="s">
        <v>11329</v>
      </c>
      <c r="F912" s="50">
        <v>497.0</v>
      </c>
      <c r="G912" s="50">
        <v>500.0</v>
      </c>
      <c r="H912" s="14" t="s">
        <v>28</v>
      </c>
      <c r="I912" s="14"/>
      <c r="J912" s="130" t="s">
        <v>11375</v>
      </c>
      <c r="K912" s="152"/>
      <c r="L912" s="20"/>
      <c r="M912" s="121" t="s">
        <v>11377</v>
      </c>
      <c r="N912" s="130" t="s">
        <v>40291</v>
      </c>
      <c r="O912" s="84"/>
      <c r="P912" s="84"/>
      <c r="Q912" s="84"/>
      <c r="R912" s="84"/>
      <c r="S912" s="84"/>
      <c r="T912" s="84"/>
      <c r="U912" s="84"/>
      <c r="V912" s="84"/>
      <c r="W912" s="84"/>
      <c r="X912" s="84"/>
    </row>
    <row r="913" ht="15.75" customHeight="1">
      <c r="A913" s="14" t="s">
        <v>17</v>
      </c>
      <c r="B913" s="14">
        <v>2001.0</v>
      </c>
      <c r="C913" s="14" t="s">
        <v>11380</v>
      </c>
      <c r="D913" s="14" t="s">
        <v>11382</v>
      </c>
      <c r="E913" s="150" t="str">
        <f>"http://dx.doi.org/" &amp; D913</f>
        <v>http://dx.doi.org/10.1109/VISUAL.2001.964562</v>
      </c>
      <c r="F913" s="50">
        <v>501.0</v>
      </c>
      <c r="G913" s="50">
        <v>504.0</v>
      </c>
      <c r="H913" s="14" t="s">
        <v>28</v>
      </c>
      <c r="I913" s="14"/>
      <c r="J913" s="130" t="s">
        <v>11411</v>
      </c>
      <c r="K913" s="152" t="s">
        <v>11412</v>
      </c>
      <c r="L913" s="20"/>
      <c r="M913" s="16"/>
      <c r="N913" s="130" t="s">
        <v>40292</v>
      </c>
      <c r="O913" s="84"/>
      <c r="P913" s="84"/>
      <c r="Q913" s="84"/>
      <c r="R913" s="84"/>
      <c r="S913" s="84"/>
      <c r="T913" s="84"/>
      <c r="U913" s="84"/>
      <c r="V913" s="84"/>
      <c r="W913" s="84"/>
      <c r="X913" s="84"/>
    </row>
    <row r="914" ht="15.75" customHeight="1">
      <c r="A914" s="14" t="s">
        <v>17</v>
      </c>
      <c r="B914" s="50">
        <v>2001.0</v>
      </c>
      <c r="C914" s="14" t="s">
        <v>11416</v>
      </c>
      <c r="D914" s="67" t="s">
        <v>11417</v>
      </c>
      <c r="E914" s="194" t="str">
        <f>HYPERLINK("http://doi.ieeecomputersociety.org/10.1109/VISUAL.2001.964563","http://doi.ieeecomputersociety.org/10.1109/VISUAL.2001.964563")</f>
        <v>http://doi.ieeecomputersociety.org/10.1109/VISUAL.2001.964563</v>
      </c>
      <c r="F914" s="50">
        <v>505.0</v>
      </c>
      <c r="G914" s="50">
        <v>508.0</v>
      </c>
      <c r="H914" s="14" t="s">
        <v>28</v>
      </c>
      <c r="I914" s="14"/>
      <c r="J914" s="130" t="s">
        <v>11464</v>
      </c>
      <c r="K914" s="152"/>
      <c r="L914" s="20" t="s">
        <v>4567</v>
      </c>
      <c r="M914" s="121" t="s">
        <v>11467</v>
      </c>
      <c r="N914" s="130" t="s">
        <v>40295</v>
      </c>
      <c r="O914" s="84"/>
      <c r="P914" s="84"/>
      <c r="Q914" s="84"/>
      <c r="R914" s="84"/>
      <c r="S914" s="84"/>
      <c r="T914" s="84"/>
      <c r="U914" s="84"/>
      <c r="V914" s="84"/>
      <c r="W914" s="84"/>
      <c r="X914" s="84"/>
    </row>
    <row r="915" ht="15.75" customHeight="1">
      <c r="A915" s="14" t="s">
        <v>17</v>
      </c>
      <c r="B915" s="14">
        <v>2001.0</v>
      </c>
      <c r="C915" s="14" t="s">
        <v>11471</v>
      </c>
      <c r="D915" s="14" t="s">
        <v>11473</v>
      </c>
      <c r="E915" s="150" t="str">
        <f t="shared" ref="E915:E1029" si="22">"http://dx.doi.org/" &amp; D915</f>
        <v>http://dx.doi.org/10.1109/VISUAL.2001.964564</v>
      </c>
      <c r="F915" s="50">
        <v>509.0</v>
      </c>
      <c r="G915" s="50">
        <v>601.0</v>
      </c>
      <c r="H915" s="14" t="s">
        <v>28</v>
      </c>
      <c r="I915" s="14"/>
      <c r="J915" s="130" t="s">
        <v>11507</v>
      </c>
      <c r="K915" s="152" t="s">
        <v>11509</v>
      </c>
      <c r="L915" s="20"/>
      <c r="M915" s="16"/>
      <c r="N915" s="130" t="s">
        <v>39782</v>
      </c>
      <c r="O915" s="84"/>
      <c r="P915" s="84"/>
      <c r="Q915" s="84"/>
      <c r="R915" s="84"/>
      <c r="S915" s="84"/>
      <c r="T915" s="84"/>
      <c r="U915" s="84"/>
      <c r="V915" s="84"/>
      <c r="W915" s="84"/>
      <c r="X915" s="84"/>
    </row>
    <row r="916" ht="15.75" customHeight="1">
      <c r="A916" s="14" t="s">
        <v>2137</v>
      </c>
      <c r="B916" s="14">
        <v>2002.0</v>
      </c>
      <c r="C916" s="14" t="s">
        <v>11512</v>
      </c>
      <c r="D916" s="14" t="s">
        <v>11514</v>
      </c>
      <c r="E916" s="150" t="str">
        <f t="shared" si="22"/>
        <v>http://dx.doi.org/10.1109/INFVIS.2002.1173140</v>
      </c>
      <c r="F916" s="14">
        <v>3.0</v>
      </c>
      <c r="G916" s="14">
        <v>4.0</v>
      </c>
      <c r="H916" s="14" t="s">
        <v>21</v>
      </c>
      <c r="I916" s="14"/>
      <c r="J916" s="130" t="s">
        <v>11535</v>
      </c>
      <c r="K916" s="152" t="s">
        <v>11536</v>
      </c>
      <c r="L916" s="20"/>
      <c r="M916" s="16"/>
      <c r="N916" s="152" t="s">
        <v>11536</v>
      </c>
      <c r="O916" s="84"/>
      <c r="P916" s="84"/>
      <c r="Q916" s="84"/>
      <c r="R916" s="84"/>
      <c r="S916" s="84"/>
      <c r="T916" s="84"/>
      <c r="U916" s="84"/>
      <c r="V916" s="84"/>
      <c r="W916" s="84"/>
      <c r="X916" s="84"/>
    </row>
    <row r="917" ht="15.75" customHeight="1">
      <c r="A917" s="14" t="s">
        <v>2137</v>
      </c>
      <c r="B917" s="14">
        <v>2002.0</v>
      </c>
      <c r="C917" s="14" t="s">
        <v>11539</v>
      </c>
      <c r="D917" s="14" t="s">
        <v>11541</v>
      </c>
      <c r="E917" s="150" t="str">
        <f t="shared" si="22"/>
        <v>http://dx.doi.org/10.1109/INFVIS.2002.1173141</v>
      </c>
      <c r="F917" s="14">
        <v>7.0</v>
      </c>
      <c r="G917" s="14">
        <v>14.0</v>
      </c>
      <c r="H917" s="14" t="s">
        <v>28</v>
      </c>
      <c r="I917" s="14"/>
      <c r="J917" s="130" t="s">
        <v>11581</v>
      </c>
      <c r="K917" s="152" t="s">
        <v>4915</v>
      </c>
      <c r="L917" s="20" t="s">
        <v>5481</v>
      </c>
      <c r="M917" s="16"/>
      <c r="N917" s="130" t="s">
        <v>39782</v>
      </c>
      <c r="O917" s="84"/>
      <c r="P917" s="84"/>
      <c r="Q917" s="84"/>
      <c r="R917" s="84"/>
      <c r="S917" s="84"/>
      <c r="T917" s="84"/>
      <c r="U917" s="84"/>
      <c r="V917" s="84"/>
      <c r="W917" s="84"/>
      <c r="X917" s="84"/>
    </row>
    <row r="918" ht="15.75" customHeight="1">
      <c r="A918" s="14" t="s">
        <v>2137</v>
      </c>
      <c r="B918" s="14">
        <v>2002.0</v>
      </c>
      <c r="C918" s="14" t="s">
        <v>11588</v>
      </c>
      <c r="D918" s="14" t="s">
        <v>11589</v>
      </c>
      <c r="E918" s="150" t="str">
        <f t="shared" si="22"/>
        <v>http://dx.doi.org/10.1109/INFVIS.2002.1173142</v>
      </c>
      <c r="F918" s="14">
        <v>15.0</v>
      </c>
      <c r="G918" s="14">
        <v>22.0</v>
      </c>
      <c r="H918" s="14" t="s">
        <v>28</v>
      </c>
      <c r="I918" s="14"/>
      <c r="J918" s="130" t="s">
        <v>11622</v>
      </c>
      <c r="K918" s="152" t="s">
        <v>4680</v>
      </c>
      <c r="L918" s="20" t="s">
        <v>11625</v>
      </c>
      <c r="M918" s="16"/>
      <c r="N918" s="130" t="s">
        <v>40299</v>
      </c>
      <c r="O918" s="84"/>
      <c r="P918" s="84"/>
      <c r="Q918" s="84"/>
      <c r="R918" s="84"/>
      <c r="S918" s="84"/>
      <c r="T918" s="84"/>
      <c r="U918" s="84"/>
      <c r="V918" s="84"/>
      <c r="W918" s="84"/>
      <c r="X918" s="84"/>
    </row>
    <row r="919" ht="15.75" customHeight="1">
      <c r="A919" s="14" t="s">
        <v>2137</v>
      </c>
      <c r="B919" s="14">
        <v>2002.0</v>
      </c>
      <c r="C919" s="14" t="s">
        <v>11630</v>
      </c>
      <c r="D919" s="14" t="s">
        <v>11632</v>
      </c>
      <c r="E919" s="150" t="str">
        <f t="shared" si="22"/>
        <v>http://dx.doi.org/10.1109/INFVIS.2002.1173143</v>
      </c>
      <c r="F919" s="14">
        <v>23.0</v>
      </c>
      <c r="G919" s="14">
        <v>30.0</v>
      </c>
      <c r="H919" s="14" t="s">
        <v>28</v>
      </c>
      <c r="I919" s="14"/>
      <c r="J919" s="130" t="s">
        <v>11668</v>
      </c>
      <c r="K919" s="152" t="s">
        <v>11670</v>
      </c>
      <c r="L919" s="20" t="s">
        <v>2736</v>
      </c>
      <c r="M919" s="16"/>
      <c r="N919" s="152" t="s">
        <v>11670</v>
      </c>
      <c r="O919" s="84"/>
      <c r="P919" s="84"/>
      <c r="Q919" s="84"/>
      <c r="R919" s="84"/>
      <c r="S919" s="84"/>
      <c r="T919" s="84"/>
      <c r="U919" s="84"/>
      <c r="V919" s="84"/>
      <c r="W919" s="84"/>
      <c r="X919" s="84"/>
    </row>
    <row r="920" ht="15.75" customHeight="1">
      <c r="A920" s="14" t="s">
        <v>2137</v>
      </c>
      <c r="B920" s="14">
        <v>2002.0</v>
      </c>
      <c r="C920" s="14" t="s">
        <v>11674</v>
      </c>
      <c r="D920" s="14" t="s">
        <v>11676</v>
      </c>
      <c r="E920" s="150" t="str">
        <f t="shared" si="22"/>
        <v>http://dx.doi.org/10.1109/INFVIS.2002.1173144</v>
      </c>
      <c r="F920" s="14">
        <v>33.0</v>
      </c>
      <c r="G920" s="14">
        <v>36.0</v>
      </c>
      <c r="H920" s="14" t="s">
        <v>28</v>
      </c>
      <c r="I920" s="14"/>
      <c r="J920" s="130" t="s">
        <v>13910</v>
      </c>
      <c r="K920" s="152" t="s">
        <v>11711</v>
      </c>
      <c r="L920" s="20" t="s">
        <v>11712</v>
      </c>
      <c r="M920" s="16"/>
      <c r="N920" s="152" t="s">
        <v>11711</v>
      </c>
      <c r="O920" s="84"/>
      <c r="P920" s="84"/>
      <c r="Q920" s="84"/>
      <c r="R920" s="84"/>
      <c r="S920" s="84"/>
      <c r="T920" s="84"/>
      <c r="U920" s="84"/>
      <c r="V920" s="84"/>
      <c r="W920" s="84"/>
      <c r="X920" s="84"/>
    </row>
    <row r="921" ht="15.75" customHeight="1">
      <c r="A921" s="14" t="s">
        <v>2137</v>
      </c>
      <c r="B921" s="14">
        <v>2002.0</v>
      </c>
      <c r="C921" s="14" t="s">
        <v>11716</v>
      </c>
      <c r="D921" s="14" t="s">
        <v>11718</v>
      </c>
      <c r="E921" s="150" t="str">
        <f t="shared" si="22"/>
        <v>http://dx.doi.org/10.1109/INFVIS.2002.1173145</v>
      </c>
      <c r="F921" s="14">
        <v>37.0</v>
      </c>
      <c r="G921" s="14">
        <v>40.0</v>
      </c>
      <c r="H921" s="14" t="s">
        <v>28</v>
      </c>
      <c r="I921" s="14"/>
      <c r="J921" s="130" t="s">
        <v>11755</v>
      </c>
      <c r="K921" s="152" t="s">
        <v>30</v>
      </c>
      <c r="L921" s="20" t="s">
        <v>11758</v>
      </c>
      <c r="M921" s="174" t="s">
        <v>11760</v>
      </c>
      <c r="N921" s="130" t="s">
        <v>39834</v>
      </c>
      <c r="O921" s="84"/>
      <c r="P921" s="84"/>
      <c r="Q921" s="84"/>
      <c r="R921" s="84"/>
      <c r="S921" s="84"/>
      <c r="T921" s="84"/>
      <c r="U921" s="84"/>
      <c r="V921" s="84"/>
      <c r="W921" s="84"/>
      <c r="X921" s="84"/>
    </row>
    <row r="922" ht="15.75" customHeight="1">
      <c r="A922" s="14" t="s">
        <v>2137</v>
      </c>
      <c r="B922" s="14">
        <v>2002.0</v>
      </c>
      <c r="C922" s="14" t="s">
        <v>11763</v>
      </c>
      <c r="D922" s="14" t="s">
        <v>11765</v>
      </c>
      <c r="E922" s="150" t="str">
        <f t="shared" si="22"/>
        <v>http://dx.doi.org/10.1109/INFVIS.2002.1173146</v>
      </c>
      <c r="F922" s="14">
        <v>43.0</v>
      </c>
      <c r="G922" s="14">
        <v>50.0</v>
      </c>
      <c r="H922" s="14" t="s">
        <v>28</v>
      </c>
      <c r="I922" s="14"/>
      <c r="J922" s="130" t="s">
        <v>11797</v>
      </c>
      <c r="K922" s="152" t="s">
        <v>5581</v>
      </c>
      <c r="L922" s="20"/>
      <c r="M922" s="16"/>
      <c r="N922" s="130" t="s">
        <v>40303</v>
      </c>
      <c r="O922" s="84"/>
      <c r="P922" s="84"/>
      <c r="Q922" s="84"/>
      <c r="R922" s="84"/>
      <c r="S922" s="84"/>
      <c r="T922" s="84"/>
      <c r="U922" s="84"/>
      <c r="V922" s="84"/>
      <c r="W922" s="84"/>
      <c r="X922" s="84"/>
    </row>
    <row r="923" ht="15.75" customHeight="1">
      <c r="A923" s="14" t="s">
        <v>2137</v>
      </c>
      <c r="B923" s="14">
        <v>2002.0</v>
      </c>
      <c r="C923" s="14" t="s">
        <v>11801</v>
      </c>
      <c r="D923" s="14" t="s">
        <v>11803</v>
      </c>
      <c r="E923" s="150" t="str">
        <f t="shared" si="22"/>
        <v>http://dx.doi.org/10.1109/INFVIS.2002.1173147</v>
      </c>
      <c r="F923" s="14">
        <v>51.0</v>
      </c>
      <c r="G923" s="14">
        <v>56.0</v>
      </c>
      <c r="H923" s="14" t="s">
        <v>28</v>
      </c>
      <c r="I923" s="14"/>
      <c r="J923" s="130" t="s">
        <v>11836</v>
      </c>
      <c r="K923" s="152" t="s">
        <v>11839</v>
      </c>
      <c r="L923" s="20" t="s">
        <v>6949</v>
      </c>
      <c r="M923" s="16"/>
      <c r="N923" s="130" t="s">
        <v>40308</v>
      </c>
      <c r="O923" s="84"/>
      <c r="P923" s="84"/>
      <c r="Q923" s="84"/>
      <c r="R923" s="84"/>
      <c r="S923" s="84"/>
      <c r="T923" s="84"/>
      <c r="U923" s="84"/>
      <c r="V923" s="84"/>
      <c r="W923" s="84"/>
      <c r="X923" s="84"/>
    </row>
    <row r="924" ht="15.75" customHeight="1">
      <c r="A924" s="14" t="s">
        <v>2137</v>
      </c>
      <c r="B924" s="14">
        <v>2002.0</v>
      </c>
      <c r="C924" s="14" t="s">
        <v>11842</v>
      </c>
      <c r="D924" s="14" t="s">
        <v>11844</v>
      </c>
      <c r="E924" s="150" t="str">
        <f t="shared" si="22"/>
        <v>http://dx.doi.org/10.1109/INFVIS.2002.1173148</v>
      </c>
      <c r="F924" s="14">
        <v>57.0</v>
      </c>
      <c r="G924" s="14">
        <v>64.0</v>
      </c>
      <c r="H924" s="14" t="s">
        <v>28</v>
      </c>
      <c r="I924" s="14"/>
      <c r="J924" s="130" t="s">
        <v>11855</v>
      </c>
      <c r="K924" s="152" t="s">
        <v>11856</v>
      </c>
      <c r="L924" s="20" t="s">
        <v>2892</v>
      </c>
      <c r="M924" s="16"/>
      <c r="N924" s="130" t="s">
        <v>35189</v>
      </c>
      <c r="O924" s="84"/>
      <c r="P924" s="84"/>
      <c r="Q924" s="84"/>
      <c r="R924" s="84"/>
      <c r="S924" s="84"/>
      <c r="T924" s="84"/>
      <c r="U924" s="84"/>
      <c r="V924" s="84"/>
      <c r="W924" s="84"/>
      <c r="X924" s="84"/>
    </row>
    <row r="925" ht="15.75" customHeight="1">
      <c r="A925" s="14" t="s">
        <v>2137</v>
      </c>
      <c r="B925" s="14">
        <v>2002.0</v>
      </c>
      <c r="C925" s="14" t="s">
        <v>11857</v>
      </c>
      <c r="D925" s="14" t="s">
        <v>11858</v>
      </c>
      <c r="E925" s="150" t="str">
        <f t="shared" si="22"/>
        <v>http://dx.doi.org/10.1109/INFVIS.2002.1173149</v>
      </c>
      <c r="F925" s="14">
        <v>67.0</v>
      </c>
      <c r="G925" s="14">
        <v>70.0</v>
      </c>
      <c r="H925" s="14" t="s">
        <v>28</v>
      </c>
      <c r="I925" s="14"/>
      <c r="J925" s="130" t="s">
        <v>40309</v>
      </c>
      <c r="K925" s="152" t="s">
        <v>11861</v>
      </c>
      <c r="L925" s="20" t="s">
        <v>11862</v>
      </c>
      <c r="M925" s="174" t="s">
        <v>11863</v>
      </c>
      <c r="N925" s="130" t="s">
        <v>40310</v>
      </c>
      <c r="O925" s="84"/>
      <c r="P925" s="84"/>
      <c r="Q925" s="84"/>
      <c r="R925" s="84"/>
      <c r="S925" s="84"/>
      <c r="T925" s="84"/>
      <c r="U925" s="84"/>
      <c r="V925" s="84"/>
      <c r="W925" s="84"/>
      <c r="X925" s="84"/>
    </row>
    <row r="926" ht="15.75" customHeight="1">
      <c r="A926" s="14" t="s">
        <v>2137</v>
      </c>
      <c r="B926" s="14">
        <v>2002.0</v>
      </c>
      <c r="C926" s="14" t="s">
        <v>11864</v>
      </c>
      <c r="D926" s="14" t="s">
        <v>11865</v>
      </c>
      <c r="E926" s="150" t="str">
        <f t="shared" si="22"/>
        <v>http://dx.doi.org/10.1109/INFVIS.2002.1173150</v>
      </c>
      <c r="F926" s="14">
        <v>71.0</v>
      </c>
      <c r="G926" s="14">
        <v>74.0</v>
      </c>
      <c r="H926" s="14" t="s">
        <v>28</v>
      </c>
      <c r="I926" s="14"/>
      <c r="J926" s="130" t="s">
        <v>11867</v>
      </c>
      <c r="K926" s="152" t="s">
        <v>11868</v>
      </c>
      <c r="L926" s="20" t="s">
        <v>11869</v>
      </c>
      <c r="M926" s="16"/>
      <c r="N926" s="130" t="s">
        <v>40312</v>
      </c>
      <c r="O926" s="84"/>
      <c r="P926" s="84"/>
      <c r="Q926" s="84"/>
      <c r="R926" s="84"/>
      <c r="S926" s="84"/>
      <c r="T926" s="84"/>
      <c r="U926" s="84"/>
      <c r="V926" s="84"/>
      <c r="W926" s="84"/>
      <c r="X926" s="84"/>
    </row>
    <row r="927" ht="15.75" customHeight="1">
      <c r="A927" s="14" t="s">
        <v>2137</v>
      </c>
      <c r="B927" s="14">
        <v>2002.0</v>
      </c>
      <c r="C927" s="14" t="s">
        <v>11870</v>
      </c>
      <c r="D927" s="14" t="s">
        <v>11871</v>
      </c>
      <c r="E927" s="150" t="str">
        <f t="shared" si="22"/>
        <v>http://dx.doi.org/10.1109/INFVIS.2002.1173151</v>
      </c>
      <c r="F927" s="14">
        <v>77.0</v>
      </c>
      <c r="G927" s="14">
        <v>84.0</v>
      </c>
      <c r="H927" s="14" t="s">
        <v>28</v>
      </c>
      <c r="I927" s="14"/>
      <c r="J927" s="130" t="s">
        <v>11873</v>
      </c>
      <c r="K927" s="152" t="s">
        <v>4817</v>
      </c>
      <c r="L927" s="20" t="s">
        <v>11874</v>
      </c>
      <c r="M927" s="174" t="s">
        <v>11875</v>
      </c>
      <c r="N927" s="152" t="s">
        <v>4817</v>
      </c>
      <c r="O927" s="84"/>
      <c r="P927" s="84"/>
      <c r="Q927" s="84"/>
      <c r="R927" s="84"/>
      <c r="S927" s="84"/>
      <c r="T927" s="84"/>
      <c r="U927" s="84"/>
      <c r="V927" s="84"/>
      <c r="W927" s="84"/>
      <c r="X927" s="84"/>
    </row>
    <row r="928" ht="15.75" customHeight="1">
      <c r="A928" s="14" t="s">
        <v>2137</v>
      </c>
      <c r="B928" s="14">
        <v>2002.0</v>
      </c>
      <c r="C928" s="14" t="s">
        <v>11876</v>
      </c>
      <c r="D928" s="14" t="s">
        <v>11877</v>
      </c>
      <c r="E928" s="150" t="str">
        <f t="shared" si="22"/>
        <v>http://dx.doi.org/10.1109/INFVIS.2002.1173152</v>
      </c>
      <c r="F928" s="14">
        <v>85.0</v>
      </c>
      <c r="G928" s="14">
        <v>92.0</v>
      </c>
      <c r="H928" s="14" t="s">
        <v>28</v>
      </c>
      <c r="I928" s="14"/>
      <c r="J928" s="130" t="s">
        <v>11879</v>
      </c>
      <c r="K928" s="152" t="s">
        <v>11880</v>
      </c>
      <c r="L928" s="20" t="s">
        <v>11881</v>
      </c>
      <c r="M928" s="16"/>
      <c r="N928" s="130" t="s">
        <v>39989</v>
      </c>
      <c r="O928" s="84"/>
      <c r="P928" s="84"/>
      <c r="Q928" s="84"/>
      <c r="R928" s="84"/>
      <c r="S928" s="84"/>
      <c r="T928" s="84"/>
      <c r="U928" s="84"/>
      <c r="V928" s="84"/>
      <c r="W928" s="84"/>
      <c r="X928" s="84"/>
    </row>
    <row r="929" ht="15.75" customHeight="1">
      <c r="A929" s="14" t="s">
        <v>2137</v>
      </c>
      <c r="B929" s="14">
        <v>2002.0</v>
      </c>
      <c r="C929" s="14" t="s">
        <v>11882</v>
      </c>
      <c r="D929" s="14" t="s">
        <v>11883</v>
      </c>
      <c r="E929" s="150" t="str">
        <f t="shared" si="22"/>
        <v>http://dx.doi.org/10.1109/INFVIS.2002.1173153</v>
      </c>
      <c r="F929" s="14">
        <v>93.0</v>
      </c>
      <c r="G929" s="14">
        <v>100.0</v>
      </c>
      <c r="H929" s="14" t="s">
        <v>28</v>
      </c>
      <c r="I929" s="14"/>
      <c r="J929" s="130" t="s">
        <v>11885</v>
      </c>
      <c r="K929" s="152" t="s">
        <v>11886</v>
      </c>
      <c r="L929" s="20" t="s">
        <v>11887</v>
      </c>
      <c r="M929" s="16"/>
      <c r="N929" s="152" t="s">
        <v>11886</v>
      </c>
      <c r="O929" s="84"/>
      <c r="P929" s="84"/>
      <c r="Q929" s="84"/>
      <c r="R929" s="84"/>
      <c r="S929" s="84"/>
      <c r="T929" s="84"/>
      <c r="U929" s="84"/>
      <c r="V929" s="84"/>
      <c r="W929" s="84"/>
      <c r="X929" s="84"/>
    </row>
    <row r="930" ht="15.75" customHeight="1">
      <c r="A930" s="14" t="s">
        <v>2137</v>
      </c>
      <c r="B930" s="14">
        <v>2002.0</v>
      </c>
      <c r="C930" s="14" t="s">
        <v>11888</v>
      </c>
      <c r="D930" s="14" t="s">
        <v>11889</v>
      </c>
      <c r="E930" s="150" t="str">
        <f t="shared" si="22"/>
        <v>http://dx.doi.org/10.1109/INFVIS.2002.1173154</v>
      </c>
      <c r="F930" s="14">
        <v>103.0</v>
      </c>
      <c r="G930" s="14">
        <v>109.0</v>
      </c>
      <c r="H930" s="14" t="s">
        <v>28</v>
      </c>
      <c r="I930" s="14"/>
      <c r="J930" s="130" t="s">
        <v>11891</v>
      </c>
      <c r="K930" s="152" t="s">
        <v>11892</v>
      </c>
      <c r="L930" s="20" t="s">
        <v>11893</v>
      </c>
      <c r="M930" s="16"/>
      <c r="N930" s="130" t="s">
        <v>40315</v>
      </c>
      <c r="O930" s="84"/>
      <c r="P930" s="84"/>
      <c r="Q930" s="84"/>
      <c r="R930" s="84"/>
      <c r="S930" s="84"/>
      <c r="T930" s="84"/>
      <c r="U930" s="84"/>
      <c r="V930" s="84"/>
      <c r="W930" s="84"/>
      <c r="X930" s="84"/>
    </row>
    <row r="931" ht="15.75" customHeight="1">
      <c r="A931" s="14" t="s">
        <v>2137</v>
      </c>
      <c r="B931" s="14">
        <v>2002.0</v>
      </c>
      <c r="C931" s="14" t="s">
        <v>11894</v>
      </c>
      <c r="D931" s="14" t="s">
        <v>11895</v>
      </c>
      <c r="E931" s="150" t="str">
        <f t="shared" si="22"/>
        <v>http://dx.doi.org/10.1109/INFVIS.2002.1173155</v>
      </c>
      <c r="F931" s="14">
        <v>110.0</v>
      </c>
      <c r="G931" s="14">
        <v>116.0</v>
      </c>
      <c r="H931" s="14" t="s">
        <v>28</v>
      </c>
      <c r="I931" s="14"/>
      <c r="J931" s="130" t="s">
        <v>11897</v>
      </c>
      <c r="K931" s="152" t="s">
        <v>11898</v>
      </c>
      <c r="L931" s="20" t="s">
        <v>11899</v>
      </c>
      <c r="M931" s="174" t="s">
        <v>11900</v>
      </c>
      <c r="N931" s="130" t="s">
        <v>20172</v>
      </c>
      <c r="O931" s="84"/>
      <c r="P931" s="84"/>
      <c r="Q931" s="84"/>
      <c r="R931" s="84"/>
      <c r="S931" s="84"/>
      <c r="T931" s="84"/>
      <c r="U931" s="84"/>
      <c r="V931" s="84"/>
      <c r="W931" s="84"/>
      <c r="X931" s="84"/>
    </row>
    <row r="932" ht="15.75" customHeight="1">
      <c r="A932" s="14" t="s">
        <v>2137</v>
      </c>
      <c r="B932" s="14">
        <v>2002.0</v>
      </c>
      <c r="C932" s="14" t="s">
        <v>11901</v>
      </c>
      <c r="D932" s="14" t="s">
        <v>11902</v>
      </c>
      <c r="E932" s="150" t="str">
        <f t="shared" si="22"/>
        <v>http://dx.doi.org/10.1109/INFVIS.2002.1173156</v>
      </c>
      <c r="F932" s="14">
        <v>117.0</v>
      </c>
      <c r="G932" s="14">
        <v>124.0</v>
      </c>
      <c r="H932" s="14" t="s">
        <v>28</v>
      </c>
      <c r="I932" s="14"/>
      <c r="J932" s="130" t="s">
        <v>11904</v>
      </c>
      <c r="K932" s="152" t="s">
        <v>11905</v>
      </c>
      <c r="L932" s="20" t="s">
        <v>11906</v>
      </c>
      <c r="M932" s="16"/>
      <c r="N932" s="130" t="s">
        <v>40316</v>
      </c>
      <c r="O932" s="84"/>
      <c r="P932" s="84"/>
      <c r="Q932" s="84"/>
      <c r="R932" s="84"/>
      <c r="S932" s="84"/>
      <c r="T932" s="84"/>
      <c r="U932" s="84"/>
      <c r="V932" s="84"/>
      <c r="W932" s="84"/>
      <c r="X932" s="84"/>
    </row>
    <row r="933" ht="15.75" customHeight="1">
      <c r="A933" s="14" t="s">
        <v>2137</v>
      </c>
      <c r="B933" s="14">
        <v>2002.0</v>
      </c>
      <c r="C933" s="14" t="s">
        <v>11907</v>
      </c>
      <c r="D933" s="14" t="s">
        <v>11908</v>
      </c>
      <c r="E933" s="150" t="str">
        <f t="shared" si="22"/>
        <v>http://dx.doi.org/10.1109/INFVIS.2002.1173157</v>
      </c>
      <c r="F933" s="14">
        <v>127.0</v>
      </c>
      <c r="G933" s="14">
        <v>130.0</v>
      </c>
      <c r="H933" s="14" t="s">
        <v>28</v>
      </c>
      <c r="I933" s="14"/>
      <c r="J933" s="130" t="s">
        <v>11910</v>
      </c>
      <c r="K933" s="152" t="s">
        <v>11911</v>
      </c>
      <c r="L933" s="20" t="s">
        <v>11912</v>
      </c>
      <c r="M933" s="174" t="s">
        <v>11913</v>
      </c>
      <c r="N933" s="130" t="s">
        <v>40317</v>
      </c>
      <c r="O933" s="84"/>
      <c r="P933" s="84"/>
      <c r="Q933" s="84"/>
      <c r="R933" s="84"/>
      <c r="S933" s="84"/>
      <c r="T933" s="84"/>
      <c r="U933" s="84"/>
      <c r="V933" s="84"/>
      <c r="W933" s="84"/>
      <c r="X933" s="84"/>
    </row>
    <row r="934" ht="15.75" customHeight="1">
      <c r="A934" s="14" t="s">
        <v>2137</v>
      </c>
      <c r="B934" s="14">
        <v>2002.0</v>
      </c>
      <c r="C934" s="14" t="s">
        <v>11914</v>
      </c>
      <c r="D934" s="14" t="s">
        <v>11915</v>
      </c>
      <c r="E934" s="150" t="str">
        <f t="shared" si="22"/>
        <v>http://dx.doi.org/10.1109/INFVIS.2002.1173158</v>
      </c>
      <c r="F934" s="14">
        <v>131.0</v>
      </c>
      <c r="G934" s="14">
        <v>134.0</v>
      </c>
      <c r="H934" s="14" t="s">
        <v>28</v>
      </c>
      <c r="I934" s="14"/>
      <c r="J934" s="130" t="s">
        <v>11917</v>
      </c>
      <c r="K934" s="152" t="s">
        <v>4680</v>
      </c>
      <c r="L934" s="20" t="s">
        <v>11918</v>
      </c>
      <c r="M934" s="16"/>
      <c r="N934" s="130" t="s">
        <v>40299</v>
      </c>
      <c r="O934" s="84"/>
      <c r="P934" s="84"/>
      <c r="Q934" s="84"/>
      <c r="R934" s="84"/>
      <c r="S934" s="84"/>
      <c r="T934" s="84"/>
      <c r="U934" s="84"/>
      <c r="V934" s="84"/>
      <c r="W934" s="84"/>
      <c r="X934" s="84"/>
    </row>
    <row r="935" ht="15.75" customHeight="1">
      <c r="A935" s="14" t="s">
        <v>2137</v>
      </c>
      <c r="B935" s="14">
        <v>2002.0</v>
      </c>
      <c r="C935" s="14" t="s">
        <v>11919</v>
      </c>
      <c r="D935" s="14" t="s">
        <v>11920</v>
      </c>
      <c r="E935" s="150" t="str">
        <f t="shared" si="22"/>
        <v>http://dx.doi.org/10.1109/INFVIS.2002.1173159</v>
      </c>
      <c r="F935" s="14">
        <v>137.0</v>
      </c>
      <c r="G935" s="14">
        <v>144.0</v>
      </c>
      <c r="H935" s="14" t="s">
        <v>28</v>
      </c>
      <c r="I935" s="14"/>
      <c r="J935" s="130" t="s">
        <v>11922</v>
      </c>
      <c r="K935" s="152" t="s">
        <v>11923</v>
      </c>
      <c r="L935" s="20"/>
      <c r="M935" s="174" t="s">
        <v>11924</v>
      </c>
      <c r="N935" s="130" t="s">
        <v>40320</v>
      </c>
      <c r="O935" s="84"/>
      <c r="P935" s="84"/>
      <c r="Q935" s="84"/>
      <c r="R935" s="84"/>
      <c r="S935" s="84"/>
      <c r="T935" s="84"/>
      <c r="U935" s="84"/>
      <c r="V935" s="84"/>
      <c r="W935" s="84"/>
      <c r="X935" s="84"/>
    </row>
    <row r="936" ht="15.75" customHeight="1">
      <c r="A936" s="14" t="s">
        <v>2137</v>
      </c>
      <c r="B936" s="14">
        <v>2002.0</v>
      </c>
      <c r="C936" s="14" t="s">
        <v>11925</v>
      </c>
      <c r="D936" s="14" t="s">
        <v>11926</v>
      </c>
      <c r="E936" s="150" t="str">
        <f t="shared" si="22"/>
        <v>http://dx.doi.org/10.1109/INFVIS.2002.1173160</v>
      </c>
      <c r="F936" s="14">
        <v>145.0</v>
      </c>
      <c r="G936" s="14">
        <v>151.0</v>
      </c>
      <c r="H936" s="14" t="s">
        <v>28</v>
      </c>
      <c r="I936" s="14"/>
      <c r="J936" s="16" t="s">
        <v>11928</v>
      </c>
      <c r="K936" s="152" t="s">
        <v>11929</v>
      </c>
      <c r="L936" s="20" t="s">
        <v>6351</v>
      </c>
      <c r="M936" s="16"/>
      <c r="N936" s="130" t="s">
        <v>40321</v>
      </c>
      <c r="O936" s="84"/>
      <c r="P936" s="84"/>
      <c r="Q936" s="84"/>
      <c r="R936" s="84"/>
      <c r="S936" s="84"/>
      <c r="T936" s="84"/>
      <c r="U936" s="84"/>
      <c r="V936" s="84"/>
      <c r="W936" s="84"/>
      <c r="X936" s="84"/>
    </row>
    <row r="937" ht="15.75" customHeight="1">
      <c r="A937" s="14" t="s">
        <v>2137</v>
      </c>
      <c r="B937" s="14">
        <v>2002.0</v>
      </c>
      <c r="C937" s="14" t="s">
        <v>11930</v>
      </c>
      <c r="D937" s="14" t="s">
        <v>11931</v>
      </c>
      <c r="E937" s="150" t="str">
        <f t="shared" si="22"/>
        <v>http://dx.doi.org/10.1109/INFVIS.2002.1173161</v>
      </c>
      <c r="F937" s="14">
        <v>152.0</v>
      </c>
      <c r="G937" s="14">
        <v>158.0</v>
      </c>
      <c r="H937" s="14" t="s">
        <v>28</v>
      </c>
      <c r="I937" s="14"/>
      <c r="J937" s="130" t="s">
        <v>11933</v>
      </c>
      <c r="K937" s="152" t="s">
        <v>11934</v>
      </c>
      <c r="L937" s="20" t="s">
        <v>2942</v>
      </c>
      <c r="M937" s="16"/>
      <c r="N937" s="152" t="s">
        <v>11934</v>
      </c>
      <c r="O937" s="84"/>
      <c r="P937" s="84"/>
      <c r="Q937" s="84"/>
      <c r="R937" s="84"/>
      <c r="S937" s="84"/>
      <c r="T937" s="84"/>
      <c r="U937" s="84"/>
      <c r="V937" s="84"/>
      <c r="W937" s="84"/>
      <c r="X937" s="84"/>
    </row>
    <row r="938" ht="15.75" customHeight="1">
      <c r="A938" s="14" t="s">
        <v>2137</v>
      </c>
      <c r="B938" s="14">
        <v>2002.0</v>
      </c>
      <c r="C938" s="14" t="s">
        <v>11935</v>
      </c>
      <c r="D938" s="14" t="s">
        <v>11936</v>
      </c>
      <c r="E938" s="150" t="str">
        <f t="shared" si="22"/>
        <v>http://dx.doi.org/10.1109/INFVIS.2002.1173162</v>
      </c>
      <c r="F938" s="14">
        <v>161.0</v>
      </c>
      <c r="G938" s="14">
        <v>164.0</v>
      </c>
      <c r="H938" s="14" t="s">
        <v>28</v>
      </c>
      <c r="I938" s="14"/>
      <c r="J938" s="130" t="s">
        <v>3906</v>
      </c>
      <c r="K938" s="152" t="s">
        <v>11938</v>
      </c>
      <c r="L938" s="20" t="s">
        <v>6121</v>
      </c>
      <c r="M938" s="16"/>
      <c r="N938" s="152" t="s">
        <v>11938</v>
      </c>
      <c r="O938" s="84"/>
      <c r="P938" s="84"/>
      <c r="Q938" s="84"/>
      <c r="R938" s="84"/>
      <c r="S938" s="84"/>
      <c r="T938" s="84"/>
      <c r="U938" s="84"/>
      <c r="V938" s="84"/>
      <c r="W938" s="84"/>
      <c r="X938" s="84"/>
    </row>
    <row r="939" ht="15.75" customHeight="1">
      <c r="A939" s="14" t="s">
        <v>2137</v>
      </c>
      <c r="B939" s="14">
        <v>2002.0</v>
      </c>
      <c r="C939" s="14" t="s">
        <v>11939</v>
      </c>
      <c r="D939" s="14" t="s">
        <v>11940</v>
      </c>
      <c r="E939" s="150" t="str">
        <f t="shared" si="22"/>
        <v>http://dx.doi.org/10.1109/INFVIS.2002.1173163</v>
      </c>
      <c r="F939" s="14">
        <v>165.0</v>
      </c>
      <c r="G939" s="14">
        <v>168.0</v>
      </c>
      <c r="H939" s="14" t="s">
        <v>28</v>
      </c>
      <c r="I939" s="14"/>
      <c r="J939" s="130" t="s">
        <v>11942</v>
      </c>
      <c r="K939" s="152" t="s">
        <v>178</v>
      </c>
      <c r="L939" s="20" t="s">
        <v>6992</v>
      </c>
      <c r="M939" s="16"/>
      <c r="N939" s="152" t="s">
        <v>178</v>
      </c>
      <c r="O939" s="84"/>
      <c r="P939" s="84"/>
      <c r="Q939" s="84"/>
      <c r="R939" s="84"/>
      <c r="S939" s="84"/>
      <c r="T939" s="84"/>
      <c r="U939" s="84"/>
      <c r="V939" s="84"/>
      <c r="W939" s="84"/>
      <c r="X939" s="84"/>
    </row>
    <row r="940" ht="15.75" customHeight="1">
      <c r="A940" s="14" t="s">
        <v>2137</v>
      </c>
      <c r="B940" s="14">
        <v>2002.0</v>
      </c>
      <c r="C940" s="14" t="s">
        <v>11943</v>
      </c>
      <c r="D940" s="14" t="s">
        <v>11944</v>
      </c>
      <c r="E940" s="150" t="str">
        <f t="shared" si="22"/>
        <v>http://dx.doi.org/10.1109/INFVIS.2002.1173164</v>
      </c>
      <c r="F940" s="14">
        <v>171.0</v>
      </c>
      <c r="G940" s="14">
        <v>171.0</v>
      </c>
      <c r="H940" s="14" t="s">
        <v>21</v>
      </c>
      <c r="I940" s="14"/>
      <c r="J940" s="130" t="s">
        <v>11946</v>
      </c>
      <c r="K940" s="152" t="s">
        <v>11947</v>
      </c>
      <c r="L940" s="20"/>
      <c r="M940" s="16"/>
      <c r="N940" s="152" t="s">
        <v>11947</v>
      </c>
      <c r="O940" s="84"/>
      <c r="P940" s="84"/>
      <c r="Q940" s="84"/>
      <c r="R940" s="84"/>
      <c r="S940" s="84"/>
      <c r="T940" s="84"/>
      <c r="U940" s="84"/>
      <c r="V940" s="84"/>
      <c r="W940" s="84"/>
      <c r="X940" s="84"/>
    </row>
    <row r="941" ht="15.75" customHeight="1">
      <c r="A941" s="14" t="s">
        <v>17</v>
      </c>
      <c r="B941" s="14">
        <v>2002.0</v>
      </c>
      <c r="C941" s="14" t="s">
        <v>11948</v>
      </c>
      <c r="D941" s="14" t="s">
        <v>11949</v>
      </c>
      <c r="E941" s="150" t="str">
        <f t="shared" si="22"/>
        <v>http://dx.doi.org/10.1109/VISUAL.2002.1183752</v>
      </c>
      <c r="F941" s="14">
        <v>21.0</v>
      </c>
      <c r="G941" s="14">
        <v>28.0</v>
      </c>
      <c r="H941" s="14" t="s">
        <v>28</v>
      </c>
      <c r="I941" s="14"/>
      <c r="J941" s="130" t="s">
        <v>11951</v>
      </c>
      <c r="K941" s="152" t="s">
        <v>11952</v>
      </c>
      <c r="L941" s="20"/>
      <c r="M941" s="174" t="s">
        <v>11953</v>
      </c>
      <c r="N941" s="152" t="s">
        <v>11952</v>
      </c>
      <c r="O941" s="84"/>
      <c r="P941" s="84"/>
      <c r="Q941" s="84"/>
      <c r="R941" s="84"/>
      <c r="S941" s="84"/>
      <c r="T941" s="84"/>
      <c r="U941" s="84"/>
      <c r="V941" s="84"/>
      <c r="W941" s="84"/>
      <c r="X941" s="84"/>
    </row>
    <row r="942" ht="15.75" customHeight="1">
      <c r="A942" s="14" t="s">
        <v>17</v>
      </c>
      <c r="B942" s="14">
        <v>2002.0</v>
      </c>
      <c r="C942" s="14" t="s">
        <v>11954</v>
      </c>
      <c r="D942" s="14" t="s">
        <v>11955</v>
      </c>
      <c r="E942" s="150" t="str">
        <f t="shared" si="22"/>
        <v>http://dx.doi.org/10.1109/VISUAL.2002.1183753</v>
      </c>
      <c r="F942" s="14">
        <v>29.0</v>
      </c>
      <c r="G942" s="14">
        <v>36.0</v>
      </c>
      <c r="H942" s="14" t="s">
        <v>28</v>
      </c>
      <c r="I942" s="14"/>
      <c r="J942" s="130" t="s">
        <v>11957</v>
      </c>
      <c r="K942" s="152" t="s">
        <v>11958</v>
      </c>
      <c r="L942" s="20"/>
      <c r="M942" s="174" t="s">
        <v>11959</v>
      </c>
      <c r="N942" s="130" t="s">
        <v>40327</v>
      </c>
      <c r="O942" s="84"/>
      <c r="P942" s="84"/>
      <c r="Q942" s="84"/>
      <c r="R942" s="84"/>
      <c r="S942" s="84"/>
      <c r="T942" s="84"/>
      <c r="U942" s="84"/>
      <c r="V942" s="84"/>
      <c r="W942" s="84"/>
      <c r="X942" s="84"/>
    </row>
    <row r="943" ht="15.75" customHeight="1">
      <c r="A943" s="14" t="s">
        <v>17</v>
      </c>
      <c r="B943" s="14">
        <v>2002.0</v>
      </c>
      <c r="C943" s="14" t="s">
        <v>11960</v>
      </c>
      <c r="D943" s="14" t="s">
        <v>11961</v>
      </c>
      <c r="E943" s="150" t="str">
        <f t="shared" si="22"/>
        <v>http://dx.doi.org/10.1109/VISUAL.2002.1183754</v>
      </c>
      <c r="F943" s="14">
        <v>37.0</v>
      </c>
      <c r="G943" s="14">
        <v>44.0</v>
      </c>
      <c r="H943" s="14" t="s">
        <v>28</v>
      </c>
      <c r="I943" s="14"/>
      <c r="J943" s="130" t="s">
        <v>40328</v>
      </c>
      <c r="K943" s="152" t="s">
        <v>11970</v>
      </c>
      <c r="L943" s="20" t="s">
        <v>11971</v>
      </c>
      <c r="M943" s="174" t="s">
        <v>11972</v>
      </c>
      <c r="N943" s="130" t="s">
        <v>40329</v>
      </c>
      <c r="O943" s="84"/>
      <c r="P943" s="84"/>
      <c r="Q943" s="84"/>
      <c r="R943" s="84"/>
      <c r="S943" s="84"/>
      <c r="T943" s="84"/>
      <c r="U943" s="84"/>
      <c r="V943" s="84"/>
      <c r="W943" s="84"/>
      <c r="X943" s="84"/>
    </row>
    <row r="944" ht="15.75" customHeight="1">
      <c r="A944" s="14" t="s">
        <v>17</v>
      </c>
      <c r="B944" s="14">
        <v>2002.0</v>
      </c>
      <c r="C944" s="14" t="s">
        <v>11974</v>
      </c>
      <c r="D944" s="14" t="s">
        <v>11976</v>
      </c>
      <c r="E944" s="150" t="str">
        <f t="shared" si="22"/>
        <v>http://dx.doi.org/10.1109/VISUAL.2002.1183755</v>
      </c>
      <c r="F944" s="14">
        <v>45.0</v>
      </c>
      <c r="G944" s="14">
        <v>52.0</v>
      </c>
      <c r="H944" s="14" t="s">
        <v>28</v>
      </c>
      <c r="I944" s="14"/>
      <c r="J944" s="130" t="s">
        <v>11994</v>
      </c>
      <c r="K944" s="152" t="s">
        <v>7837</v>
      </c>
      <c r="L944" s="20" t="s">
        <v>11995</v>
      </c>
      <c r="M944" s="174" t="s">
        <v>11996</v>
      </c>
      <c r="N944" s="130" t="s">
        <v>40330</v>
      </c>
      <c r="O944" s="84"/>
      <c r="P944" s="84"/>
      <c r="Q944" s="84"/>
      <c r="R944" s="84"/>
      <c r="S944" s="84"/>
      <c r="T944" s="84"/>
      <c r="U944" s="84"/>
      <c r="V944" s="84"/>
      <c r="W944" s="84"/>
      <c r="X944" s="84"/>
    </row>
    <row r="945" ht="15.75" customHeight="1">
      <c r="A945" s="14" t="s">
        <v>17</v>
      </c>
      <c r="B945" s="14">
        <v>2002.0</v>
      </c>
      <c r="C945" s="14" t="s">
        <v>11997</v>
      </c>
      <c r="D945" s="14" t="s">
        <v>11998</v>
      </c>
      <c r="E945" s="150" t="str">
        <f t="shared" si="22"/>
        <v>http://dx.doi.org/10.1109/VISUAL.2002.1183757</v>
      </c>
      <c r="F945" s="14">
        <v>53.0</v>
      </c>
      <c r="G945" s="14">
        <v>60.0</v>
      </c>
      <c r="H945" s="14" t="s">
        <v>28</v>
      </c>
      <c r="I945" s="14"/>
      <c r="J945" s="130" t="s">
        <v>14016</v>
      </c>
      <c r="K945" s="152" t="s">
        <v>12004</v>
      </c>
      <c r="L945" s="20" t="s">
        <v>12005</v>
      </c>
      <c r="M945" s="174" t="s">
        <v>12006</v>
      </c>
      <c r="N945" s="130" t="s">
        <v>40333</v>
      </c>
      <c r="O945" s="84"/>
      <c r="P945" s="84"/>
      <c r="Q945" s="84"/>
      <c r="R945" s="84"/>
      <c r="S945" s="84"/>
      <c r="T945" s="84"/>
      <c r="U945" s="84"/>
      <c r="V945" s="84"/>
      <c r="W945" s="84"/>
      <c r="X945" s="84"/>
    </row>
    <row r="946" ht="15.75" customHeight="1">
      <c r="A946" s="14" t="s">
        <v>17</v>
      </c>
      <c r="B946" s="14">
        <v>2002.0</v>
      </c>
      <c r="C946" s="14" t="s">
        <v>12007</v>
      </c>
      <c r="D946" s="14" t="s">
        <v>12008</v>
      </c>
      <c r="E946" s="150" t="str">
        <f t="shared" si="22"/>
        <v>http://dx.doi.org/10.1109/VISUAL.2002.1183758</v>
      </c>
      <c r="F946" s="14">
        <v>61.0</v>
      </c>
      <c r="G946" s="14">
        <v>68.0</v>
      </c>
      <c r="H946" s="14" t="s">
        <v>28</v>
      </c>
      <c r="I946" s="14"/>
      <c r="J946" s="130" t="s">
        <v>12012</v>
      </c>
      <c r="K946" s="152" t="s">
        <v>12013</v>
      </c>
      <c r="L946" s="20" t="s">
        <v>12014</v>
      </c>
      <c r="M946" s="174" t="s">
        <v>12015</v>
      </c>
      <c r="N946" s="130" t="s">
        <v>39602</v>
      </c>
      <c r="O946" s="84"/>
      <c r="P946" s="84"/>
      <c r="Q946" s="84"/>
      <c r="R946" s="84"/>
      <c r="S946" s="84"/>
      <c r="T946" s="84"/>
      <c r="U946" s="84"/>
      <c r="V946" s="84"/>
      <c r="W946" s="84"/>
      <c r="X946" s="84"/>
    </row>
    <row r="947" ht="15.75" customHeight="1">
      <c r="A947" s="14" t="s">
        <v>17</v>
      </c>
      <c r="B947" s="14">
        <v>2002.0</v>
      </c>
      <c r="C947" s="14" t="s">
        <v>12016</v>
      </c>
      <c r="D947" s="14" t="s">
        <v>12018</v>
      </c>
      <c r="E947" s="150" t="str">
        <f t="shared" si="22"/>
        <v>http://dx.doi.org/10.1109/VISUAL.2002.1183759</v>
      </c>
      <c r="F947" s="14">
        <v>69.0</v>
      </c>
      <c r="G947" s="14">
        <v>76.0</v>
      </c>
      <c r="H947" s="14" t="s">
        <v>28</v>
      </c>
      <c r="I947" s="14"/>
      <c r="J947" s="130" t="s">
        <v>12020</v>
      </c>
      <c r="K947" s="152" t="s">
        <v>1596</v>
      </c>
      <c r="L947" s="20" t="s">
        <v>12022</v>
      </c>
      <c r="M947" s="174" t="s">
        <v>12024</v>
      </c>
      <c r="N947" s="130" t="s">
        <v>39060</v>
      </c>
      <c r="O947" s="84"/>
      <c r="P947" s="84"/>
      <c r="Q947" s="84"/>
      <c r="R947" s="84"/>
      <c r="S947" s="84"/>
      <c r="T947" s="84"/>
      <c r="U947" s="84"/>
      <c r="V947" s="84"/>
      <c r="W947" s="84"/>
      <c r="X947" s="84"/>
    </row>
    <row r="948" ht="15.75" customHeight="1">
      <c r="A948" s="14" t="s">
        <v>17</v>
      </c>
      <c r="B948" s="14">
        <v>2002.0</v>
      </c>
      <c r="C948" s="14" t="s">
        <v>12025</v>
      </c>
      <c r="D948" s="14" t="s">
        <v>12026</v>
      </c>
      <c r="E948" s="150" t="str">
        <f t="shared" si="22"/>
        <v>http://dx.doi.org/10.1109/VISUAL.2002.1183760</v>
      </c>
      <c r="F948" s="14">
        <v>77.0</v>
      </c>
      <c r="G948" s="14">
        <v>84.0</v>
      </c>
      <c r="H948" s="14" t="s">
        <v>28</v>
      </c>
      <c r="I948" s="14"/>
      <c r="J948" s="130" t="s">
        <v>12030</v>
      </c>
      <c r="K948" s="152" t="s">
        <v>12031</v>
      </c>
      <c r="L948" s="20" t="s">
        <v>12032</v>
      </c>
      <c r="M948" s="174" t="s">
        <v>12033</v>
      </c>
      <c r="N948" s="130" t="s">
        <v>40338</v>
      </c>
      <c r="O948" s="84"/>
      <c r="P948" s="84"/>
      <c r="Q948" s="84"/>
      <c r="R948" s="84"/>
      <c r="S948" s="84"/>
      <c r="T948" s="84"/>
      <c r="U948" s="84"/>
      <c r="V948" s="84"/>
      <c r="W948" s="84"/>
      <c r="X948" s="84"/>
    </row>
    <row r="949" ht="15.75" customHeight="1">
      <c r="A949" s="14" t="s">
        <v>17</v>
      </c>
      <c r="B949" s="14">
        <v>2002.0</v>
      </c>
      <c r="C949" s="14" t="s">
        <v>12034</v>
      </c>
      <c r="D949" s="14" t="s">
        <v>12035</v>
      </c>
      <c r="E949" s="150" t="str">
        <f t="shared" si="22"/>
        <v>http://dx.doi.org/10.1109/VISUAL.2002.1183761</v>
      </c>
      <c r="F949" s="14">
        <v>85.0</v>
      </c>
      <c r="G949" s="14">
        <v>92.0</v>
      </c>
      <c r="H949" s="14" t="s">
        <v>28</v>
      </c>
      <c r="I949" s="14"/>
      <c r="J949" s="130" t="s">
        <v>12040</v>
      </c>
      <c r="K949" s="152" t="s">
        <v>3612</v>
      </c>
      <c r="L949" s="20" t="s">
        <v>12041</v>
      </c>
      <c r="M949" s="174" t="s">
        <v>12042</v>
      </c>
      <c r="N949" s="130" t="s">
        <v>34817</v>
      </c>
      <c r="O949" s="84"/>
      <c r="P949" s="84"/>
      <c r="Q949" s="84"/>
      <c r="R949" s="84"/>
      <c r="S949" s="84"/>
      <c r="T949" s="84"/>
      <c r="U949" s="84"/>
      <c r="V949" s="84"/>
      <c r="W949" s="84"/>
      <c r="X949" s="84"/>
    </row>
    <row r="950" ht="15.75" customHeight="1">
      <c r="A950" s="14" t="s">
        <v>17</v>
      </c>
      <c r="B950" s="14">
        <v>2002.0</v>
      </c>
      <c r="C950" s="14" t="s">
        <v>12043</v>
      </c>
      <c r="D950" s="14" t="s">
        <v>12044</v>
      </c>
      <c r="E950" s="150" t="str">
        <f t="shared" si="22"/>
        <v>http://dx.doi.org/10.1109/VISUAL.2002.1183762</v>
      </c>
      <c r="F950" s="14">
        <v>93.0</v>
      </c>
      <c r="G950" s="14">
        <v>100.0</v>
      </c>
      <c r="H950" s="14" t="s">
        <v>28</v>
      </c>
      <c r="I950" s="14"/>
      <c r="J950" s="130" t="s">
        <v>12075</v>
      </c>
      <c r="K950" s="152" t="s">
        <v>5704</v>
      </c>
      <c r="L950" s="20" t="s">
        <v>12076</v>
      </c>
      <c r="M950" s="174" t="s">
        <v>12077</v>
      </c>
      <c r="N950" s="130" t="s">
        <v>39819</v>
      </c>
      <c r="O950" s="84"/>
      <c r="P950" s="84"/>
      <c r="Q950" s="84"/>
      <c r="R950" s="84"/>
      <c r="S950" s="84"/>
      <c r="T950" s="84"/>
      <c r="U950" s="84"/>
      <c r="V950" s="84"/>
      <c r="W950" s="84"/>
      <c r="X950" s="84"/>
    </row>
    <row r="951" ht="15.75" customHeight="1">
      <c r="A951" s="14" t="s">
        <v>17</v>
      </c>
      <c r="B951" s="14">
        <v>2002.0</v>
      </c>
      <c r="C951" s="14" t="s">
        <v>12079</v>
      </c>
      <c r="D951" s="14" t="s">
        <v>12080</v>
      </c>
      <c r="E951" s="150" t="str">
        <f t="shared" si="22"/>
        <v>http://dx.doi.org/10.1109/VISUAL.2002.1183763</v>
      </c>
      <c r="F951" s="14">
        <v>101.0</v>
      </c>
      <c r="G951" s="14">
        <v>108.0</v>
      </c>
      <c r="H951" s="14" t="s">
        <v>28</v>
      </c>
      <c r="I951" s="14"/>
      <c r="J951" s="130" t="s">
        <v>14033</v>
      </c>
      <c r="K951" s="152" t="s">
        <v>12087</v>
      </c>
      <c r="L951" s="20" t="s">
        <v>12088</v>
      </c>
      <c r="M951" s="174" t="s">
        <v>12089</v>
      </c>
      <c r="N951" s="130" t="s">
        <v>40342</v>
      </c>
      <c r="O951" s="84"/>
      <c r="P951" s="84"/>
      <c r="Q951" s="84"/>
      <c r="R951" s="84"/>
      <c r="S951" s="84"/>
      <c r="T951" s="84"/>
      <c r="U951" s="84"/>
      <c r="V951" s="84"/>
      <c r="W951" s="84"/>
      <c r="X951" s="84"/>
    </row>
    <row r="952" ht="15.75" customHeight="1">
      <c r="A952" s="14" t="s">
        <v>17</v>
      </c>
      <c r="B952" s="14">
        <v>2002.0</v>
      </c>
      <c r="C952" s="14" t="s">
        <v>12090</v>
      </c>
      <c r="D952" s="14" t="s">
        <v>12091</v>
      </c>
      <c r="E952" s="150" t="str">
        <f t="shared" si="22"/>
        <v>http://dx.doi.org/10.1109/VISUAL.2002.1183764</v>
      </c>
      <c r="F952" s="14">
        <v>109.0</v>
      </c>
      <c r="G952" s="14">
        <v>116.0</v>
      </c>
      <c r="H952" s="14" t="s">
        <v>28</v>
      </c>
      <c r="I952" s="14"/>
      <c r="J952" s="130" t="s">
        <v>12098</v>
      </c>
      <c r="K952" s="152" t="s">
        <v>12099</v>
      </c>
      <c r="L952" s="20" t="s">
        <v>253</v>
      </c>
      <c r="M952" s="174" t="s">
        <v>12100</v>
      </c>
      <c r="N952" s="130" t="s">
        <v>40346</v>
      </c>
      <c r="O952" s="84"/>
      <c r="P952" s="84"/>
      <c r="Q952" s="84"/>
      <c r="R952" s="84"/>
      <c r="S952" s="84"/>
      <c r="T952" s="84"/>
      <c r="U952" s="84"/>
      <c r="V952" s="84"/>
      <c r="W952" s="84"/>
      <c r="X952" s="84"/>
    </row>
    <row r="953" ht="15.75" customHeight="1">
      <c r="A953" s="14" t="s">
        <v>17</v>
      </c>
      <c r="B953" s="14">
        <v>2002.0</v>
      </c>
      <c r="C953" s="14" t="s">
        <v>12101</v>
      </c>
      <c r="D953" s="14" t="s">
        <v>12102</v>
      </c>
      <c r="E953" s="150" t="str">
        <f t="shared" si="22"/>
        <v>http://dx.doi.org/10.1109/VISUAL.2002.1183765</v>
      </c>
      <c r="F953" s="14">
        <v>117.0</v>
      </c>
      <c r="G953" s="14">
        <v>124.0</v>
      </c>
      <c r="H953" s="14" t="s">
        <v>28</v>
      </c>
      <c r="I953" s="14"/>
      <c r="J953" s="130" t="s">
        <v>12106</v>
      </c>
      <c r="K953" s="152" t="s">
        <v>5595</v>
      </c>
      <c r="L953" s="20" t="s">
        <v>12107</v>
      </c>
      <c r="M953" s="174" t="s">
        <v>12109</v>
      </c>
      <c r="N953" s="130" t="s">
        <v>40183</v>
      </c>
      <c r="O953" s="84"/>
      <c r="P953" s="84"/>
      <c r="Q953" s="84"/>
      <c r="R953" s="84"/>
      <c r="S953" s="84"/>
      <c r="T953" s="84"/>
      <c r="U953" s="84"/>
      <c r="V953" s="84"/>
      <c r="W953" s="84"/>
      <c r="X953" s="84"/>
    </row>
    <row r="954" ht="15.75" customHeight="1">
      <c r="A954" s="14" t="s">
        <v>17</v>
      </c>
      <c r="B954" s="14">
        <v>2002.0</v>
      </c>
      <c r="C954" s="14" t="s">
        <v>12112</v>
      </c>
      <c r="D954" s="14" t="s">
        <v>12113</v>
      </c>
      <c r="E954" s="150" t="str">
        <f t="shared" si="22"/>
        <v>http://dx.doi.org/10.1109/VISUAL.2002.1183766</v>
      </c>
      <c r="F954" s="14">
        <v>125.0</v>
      </c>
      <c r="G954" s="14">
        <v>132.0</v>
      </c>
      <c r="H954" s="14" t="s">
        <v>28</v>
      </c>
      <c r="I954" s="14"/>
      <c r="J954" s="130" t="s">
        <v>12121</v>
      </c>
      <c r="K954" s="152" t="s">
        <v>12122</v>
      </c>
      <c r="L954" s="20"/>
      <c r="M954" s="174" t="s">
        <v>12123</v>
      </c>
      <c r="N954" s="152" t="s">
        <v>12122</v>
      </c>
      <c r="O954" s="84"/>
      <c r="P954" s="84"/>
      <c r="Q954" s="84"/>
      <c r="R954" s="84"/>
      <c r="S954" s="84"/>
      <c r="T954" s="84"/>
      <c r="U954" s="84"/>
      <c r="V954" s="84"/>
      <c r="W954" s="84"/>
      <c r="X954" s="84"/>
    </row>
    <row r="955" ht="15.75" customHeight="1">
      <c r="A955" s="14" t="s">
        <v>17</v>
      </c>
      <c r="B955" s="14">
        <v>2002.0</v>
      </c>
      <c r="C955" s="14" t="s">
        <v>12124</v>
      </c>
      <c r="D955" s="14" t="s">
        <v>12125</v>
      </c>
      <c r="E955" s="150" t="str">
        <f t="shared" si="22"/>
        <v>http://dx.doi.org/10.1109/VISUAL.2002.1183767</v>
      </c>
      <c r="F955" s="14">
        <v>133.0</v>
      </c>
      <c r="G955" s="14">
        <v>140.0</v>
      </c>
      <c r="H955" s="14" t="s">
        <v>28</v>
      </c>
      <c r="I955" s="14"/>
      <c r="J955" s="130" t="s">
        <v>12127</v>
      </c>
      <c r="K955" s="152" t="s">
        <v>12128</v>
      </c>
      <c r="L955" s="20" t="s">
        <v>12129</v>
      </c>
      <c r="M955" s="174" t="s">
        <v>12130</v>
      </c>
      <c r="N955" s="130" t="s">
        <v>38467</v>
      </c>
      <c r="O955" s="84"/>
      <c r="P955" s="84"/>
      <c r="Q955" s="84"/>
      <c r="R955" s="84"/>
      <c r="S955" s="84"/>
      <c r="T955" s="84"/>
      <c r="U955" s="84"/>
      <c r="V955" s="84"/>
      <c r="W955" s="84"/>
      <c r="X955" s="84"/>
    </row>
    <row r="956" ht="15.75" customHeight="1">
      <c r="A956" s="14" t="s">
        <v>17</v>
      </c>
      <c r="B956" s="14">
        <v>2002.0</v>
      </c>
      <c r="C956" s="14" t="s">
        <v>12131</v>
      </c>
      <c r="D956" s="14" t="s">
        <v>12132</v>
      </c>
      <c r="E956" s="150" t="str">
        <f t="shared" si="22"/>
        <v>http://dx.doi.org/10.1109/VISUAL.2002.1183768</v>
      </c>
      <c r="F956" s="14">
        <v>141.0</v>
      </c>
      <c r="G956" s="14">
        <v>146.0</v>
      </c>
      <c r="H956" s="14" t="s">
        <v>28</v>
      </c>
      <c r="I956" s="14"/>
      <c r="J956" s="130" t="s">
        <v>12134</v>
      </c>
      <c r="K956" s="152" t="s">
        <v>12135</v>
      </c>
      <c r="L956" s="20" t="s">
        <v>12136</v>
      </c>
      <c r="M956" s="174" t="s">
        <v>12137</v>
      </c>
      <c r="N956" s="130" t="s">
        <v>39060</v>
      </c>
      <c r="O956" s="84"/>
      <c r="P956" s="84"/>
      <c r="Q956" s="84"/>
      <c r="R956" s="84"/>
      <c r="S956" s="84"/>
      <c r="T956" s="84"/>
      <c r="U956" s="84"/>
      <c r="V956" s="84"/>
      <c r="W956" s="84"/>
      <c r="X956" s="84"/>
    </row>
    <row r="957" ht="15.75" customHeight="1">
      <c r="A957" s="14" t="s">
        <v>17</v>
      </c>
      <c r="B957" s="14">
        <v>2002.0</v>
      </c>
      <c r="C957" s="14" t="s">
        <v>12138</v>
      </c>
      <c r="D957" s="14" t="s">
        <v>12139</v>
      </c>
      <c r="E957" s="150" t="str">
        <f t="shared" si="22"/>
        <v>http://dx.doi.org/10.1109/VISUAL.2002.1183769</v>
      </c>
      <c r="F957" s="14">
        <v>147.0</v>
      </c>
      <c r="G957" s="14">
        <v>153.0</v>
      </c>
      <c r="H957" s="14" t="s">
        <v>28</v>
      </c>
      <c r="I957" s="14"/>
      <c r="J957" s="130" t="s">
        <v>12148</v>
      </c>
      <c r="K957" s="152" t="s">
        <v>5680</v>
      </c>
      <c r="L957" s="20" t="s">
        <v>12149</v>
      </c>
      <c r="M957" s="174" t="s">
        <v>12150</v>
      </c>
      <c r="N957" s="130" t="s">
        <v>40357</v>
      </c>
      <c r="O957" s="84"/>
      <c r="P957" s="84"/>
      <c r="Q957" s="84"/>
      <c r="R957" s="84"/>
      <c r="S957" s="84"/>
      <c r="T957" s="84"/>
      <c r="U957" s="84"/>
      <c r="V957" s="84"/>
      <c r="W957" s="84"/>
      <c r="X957" s="84"/>
    </row>
    <row r="958" ht="15.75" customHeight="1">
      <c r="A958" s="14" t="s">
        <v>17</v>
      </c>
      <c r="B958" s="14">
        <v>2002.0</v>
      </c>
      <c r="C958" s="14" t="s">
        <v>12151</v>
      </c>
      <c r="D958" s="14" t="s">
        <v>12152</v>
      </c>
      <c r="E958" s="150" t="str">
        <f t="shared" si="22"/>
        <v>http://dx.doi.org/10.1109/VISUAL.2002.1183770</v>
      </c>
      <c r="F958" s="14">
        <v>155.0</v>
      </c>
      <c r="G958" s="14">
        <v>162.0</v>
      </c>
      <c r="H958" s="14" t="s">
        <v>28</v>
      </c>
      <c r="I958" s="14"/>
      <c r="J958" s="130" t="s">
        <v>12158</v>
      </c>
      <c r="K958" s="152" t="s">
        <v>12159</v>
      </c>
      <c r="L958" s="20" t="s">
        <v>12160</v>
      </c>
      <c r="M958" s="174" t="s">
        <v>12161</v>
      </c>
      <c r="N958" s="130" t="s">
        <v>34817</v>
      </c>
      <c r="O958" s="84"/>
      <c r="P958" s="84"/>
      <c r="Q958" s="84"/>
      <c r="R958" s="84"/>
      <c r="S958" s="84"/>
      <c r="T958" s="84"/>
      <c r="U958" s="84"/>
      <c r="V958" s="84"/>
      <c r="W958" s="84"/>
      <c r="X958" s="84"/>
    </row>
    <row r="959" ht="15.75" customHeight="1">
      <c r="A959" s="14" t="s">
        <v>17</v>
      </c>
      <c r="B959" s="14">
        <v>2002.0</v>
      </c>
      <c r="C959" s="14" t="s">
        <v>12162</v>
      </c>
      <c r="D959" s="14" t="s">
        <v>12163</v>
      </c>
      <c r="E959" s="150" t="str">
        <f t="shared" si="22"/>
        <v>http://dx.doi.org/10.1109/VISUAL.2002.1183771</v>
      </c>
      <c r="F959" s="14">
        <v>163.0</v>
      </c>
      <c r="G959" s="14">
        <v>170.0</v>
      </c>
      <c r="H959" s="14" t="s">
        <v>28</v>
      </c>
      <c r="I959" s="14"/>
      <c r="J959" s="130" t="s">
        <v>12169</v>
      </c>
      <c r="K959" s="152" t="s">
        <v>12170</v>
      </c>
      <c r="L959" s="20" t="s">
        <v>12171</v>
      </c>
      <c r="M959" s="16"/>
      <c r="N959" s="152" t="s">
        <v>12170</v>
      </c>
      <c r="O959" s="84"/>
      <c r="P959" s="84"/>
      <c r="Q959" s="84"/>
      <c r="R959" s="84"/>
      <c r="S959" s="84"/>
      <c r="T959" s="84"/>
      <c r="U959" s="84"/>
      <c r="V959" s="84"/>
      <c r="W959" s="84"/>
      <c r="X959" s="84"/>
    </row>
    <row r="960" ht="15.75" customHeight="1">
      <c r="A960" s="14" t="s">
        <v>17</v>
      </c>
      <c r="B960" s="14">
        <v>2002.0</v>
      </c>
      <c r="C960" s="14" t="s">
        <v>12172</v>
      </c>
      <c r="D960" s="14" t="s">
        <v>12173</v>
      </c>
      <c r="E960" s="150" t="str">
        <f t="shared" si="22"/>
        <v>http://dx.doi.org/10.1109/VISUAL.2002.1183772</v>
      </c>
      <c r="F960" s="14">
        <v>171.0</v>
      </c>
      <c r="G960" s="14">
        <v>178.0</v>
      </c>
      <c r="H960" s="14" t="s">
        <v>28</v>
      </c>
      <c r="I960" s="14"/>
      <c r="J960" s="130" t="s">
        <v>12176</v>
      </c>
      <c r="K960" s="152" t="s">
        <v>12177</v>
      </c>
      <c r="L960" s="20" t="s">
        <v>12178</v>
      </c>
      <c r="M960" s="174" t="s">
        <v>12179</v>
      </c>
      <c r="N960" s="130" t="s">
        <v>40362</v>
      </c>
      <c r="O960" s="84"/>
      <c r="P960" s="84"/>
      <c r="Q960" s="84"/>
      <c r="R960" s="84"/>
      <c r="S960" s="84"/>
      <c r="T960" s="84"/>
      <c r="U960" s="84"/>
      <c r="V960" s="84"/>
      <c r="W960" s="84"/>
      <c r="X960" s="84"/>
    </row>
    <row r="961" ht="15.75" customHeight="1">
      <c r="A961" s="14" t="s">
        <v>17</v>
      </c>
      <c r="B961" s="14">
        <v>2002.0</v>
      </c>
      <c r="C961" s="14" t="s">
        <v>12180</v>
      </c>
      <c r="D961" s="14" t="s">
        <v>12181</v>
      </c>
      <c r="E961" s="150" t="str">
        <f t="shared" si="22"/>
        <v>http://dx.doi.org/10.1109/VISUAL.2002.1183773</v>
      </c>
      <c r="F961" s="14">
        <v>179.0</v>
      </c>
      <c r="G961" s="14">
        <v>186.0</v>
      </c>
      <c r="H961" s="14" t="s">
        <v>28</v>
      </c>
      <c r="I961" s="14"/>
      <c r="J961" s="130" t="s">
        <v>12187</v>
      </c>
      <c r="K961" s="152" t="s">
        <v>12188</v>
      </c>
      <c r="L961" s="20"/>
      <c r="M961" s="174" t="s">
        <v>12189</v>
      </c>
      <c r="N961" s="130" t="s">
        <v>40364</v>
      </c>
      <c r="O961" s="84"/>
      <c r="P961" s="84"/>
      <c r="Q961" s="84"/>
      <c r="R961" s="84"/>
      <c r="S961" s="84"/>
      <c r="T961" s="84"/>
      <c r="U961" s="84"/>
      <c r="V961" s="84"/>
      <c r="W961" s="84"/>
      <c r="X961" s="84"/>
    </row>
    <row r="962" ht="15.75" customHeight="1">
      <c r="A962" s="14" t="s">
        <v>17</v>
      </c>
      <c r="B962" s="14">
        <v>2002.0</v>
      </c>
      <c r="C962" s="14" t="s">
        <v>12190</v>
      </c>
      <c r="D962" s="14" t="s">
        <v>12191</v>
      </c>
      <c r="E962" s="150" t="str">
        <f t="shared" si="22"/>
        <v>http://dx.doi.org/10.1109/VISUAL.2002.1183774</v>
      </c>
      <c r="F962" s="14">
        <v>187.0</v>
      </c>
      <c r="G962" s="14">
        <v>194.0</v>
      </c>
      <c r="H962" s="14" t="s">
        <v>28</v>
      </c>
      <c r="I962" s="14"/>
      <c r="J962" s="130" t="s">
        <v>12196</v>
      </c>
      <c r="K962" s="152" t="s">
        <v>12197</v>
      </c>
      <c r="L962" s="20" t="s">
        <v>3572</v>
      </c>
      <c r="M962" s="174" t="s">
        <v>12198</v>
      </c>
      <c r="N962" s="130" t="s">
        <v>35633</v>
      </c>
      <c r="O962" s="84"/>
      <c r="P962" s="84"/>
      <c r="Q962" s="84"/>
      <c r="R962" s="84"/>
      <c r="S962" s="84"/>
      <c r="T962" s="84"/>
      <c r="U962" s="84"/>
      <c r="V962" s="84"/>
      <c r="W962" s="84"/>
      <c r="X962" s="84"/>
    </row>
    <row r="963" ht="15.75" customHeight="1">
      <c r="A963" s="14" t="s">
        <v>17</v>
      </c>
      <c r="B963" s="14">
        <v>2002.0</v>
      </c>
      <c r="C963" s="14" t="s">
        <v>12199</v>
      </c>
      <c r="D963" s="14" t="s">
        <v>12200</v>
      </c>
      <c r="E963" s="150" t="str">
        <f t="shared" si="22"/>
        <v>http://dx.doi.org/10.1109/VISUAL.2002.1183775</v>
      </c>
      <c r="F963" s="14">
        <v>195.0</v>
      </c>
      <c r="G963" s="14">
        <v>202.0</v>
      </c>
      <c r="H963" s="14" t="s">
        <v>28</v>
      </c>
      <c r="I963" s="14"/>
      <c r="J963" s="130" t="s">
        <v>12204</v>
      </c>
      <c r="K963" s="152" t="s">
        <v>8742</v>
      </c>
      <c r="L963" s="20"/>
      <c r="M963" s="174" t="s">
        <v>12205</v>
      </c>
      <c r="N963" s="152" t="s">
        <v>8742</v>
      </c>
      <c r="O963" s="84"/>
      <c r="P963" s="84"/>
      <c r="Q963" s="84"/>
      <c r="R963" s="84"/>
      <c r="S963" s="84"/>
      <c r="T963" s="84"/>
      <c r="U963" s="84"/>
      <c r="V963" s="84"/>
      <c r="W963" s="84"/>
      <c r="X963" s="84"/>
    </row>
    <row r="964" ht="15.75" customHeight="1">
      <c r="A964" s="14" t="s">
        <v>17</v>
      </c>
      <c r="B964" s="14">
        <v>2002.0</v>
      </c>
      <c r="C964" s="14" t="s">
        <v>12206</v>
      </c>
      <c r="D964" s="14" t="s">
        <v>12207</v>
      </c>
      <c r="E964" s="150" t="str">
        <f t="shared" si="22"/>
        <v>http://dx.doi.org/10.1109/VISUAL.2002.1183776</v>
      </c>
      <c r="F964" s="14">
        <v>203.0</v>
      </c>
      <c r="G964" s="14">
        <v>210.0</v>
      </c>
      <c r="H964" s="14" t="s">
        <v>28</v>
      </c>
      <c r="I964" s="14"/>
      <c r="J964" s="130" t="s">
        <v>14069</v>
      </c>
      <c r="K964" s="152" t="s">
        <v>12213</v>
      </c>
      <c r="L964" s="20" t="s">
        <v>12214</v>
      </c>
      <c r="M964" s="174" t="s">
        <v>12215</v>
      </c>
      <c r="N964" s="130" t="s">
        <v>40367</v>
      </c>
      <c r="O964" s="84"/>
      <c r="P964" s="84"/>
      <c r="Q964" s="84"/>
      <c r="R964" s="84"/>
      <c r="S964" s="84"/>
      <c r="T964" s="84"/>
      <c r="U964" s="84"/>
      <c r="V964" s="84"/>
      <c r="W964" s="84"/>
      <c r="X964" s="84"/>
    </row>
    <row r="965" ht="15.75" customHeight="1">
      <c r="A965" s="14" t="s">
        <v>17</v>
      </c>
      <c r="B965" s="14">
        <v>2002.0</v>
      </c>
      <c r="C965" s="14" t="s">
        <v>12216</v>
      </c>
      <c r="D965" s="14" t="s">
        <v>12217</v>
      </c>
      <c r="E965" s="150" t="str">
        <f t="shared" si="22"/>
        <v>http://dx.doi.org/10.1109/VISUAL.2002.1183777</v>
      </c>
      <c r="F965" s="14">
        <v>211.0</v>
      </c>
      <c r="G965" s="14">
        <v>218.0</v>
      </c>
      <c r="H965" s="14" t="s">
        <v>28</v>
      </c>
      <c r="I965" s="14"/>
      <c r="J965" s="130" t="s">
        <v>12223</v>
      </c>
      <c r="K965" s="152" t="s">
        <v>12225</v>
      </c>
      <c r="L965" s="20" t="s">
        <v>12226</v>
      </c>
      <c r="M965" s="174" t="s">
        <v>12227</v>
      </c>
      <c r="N965" s="130" t="s">
        <v>40369</v>
      </c>
      <c r="O965" s="84"/>
      <c r="P965" s="84"/>
      <c r="Q965" s="84"/>
      <c r="R965" s="84"/>
      <c r="S965" s="84"/>
      <c r="T965" s="84"/>
      <c r="U965" s="84"/>
      <c r="V965" s="84"/>
      <c r="W965" s="84"/>
      <c r="X965" s="84"/>
    </row>
    <row r="966" ht="15.75" customHeight="1">
      <c r="A966" s="14" t="s">
        <v>17</v>
      </c>
      <c r="B966" s="14">
        <v>2002.0</v>
      </c>
      <c r="C966" s="14" t="s">
        <v>12228</v>
      </c>
      <c r="D966" s="14" t="s">
        <v>12229</v>
      </c>
      <c r="E966" s="150" t="str">
        <f t="shared" si="22"/>
        <v>http://dx.doi.org/10.1109/VISUAL.2002.1183778</v>
      </c>
      <c r="F966" s="14">
        <v>219.0</v>
      </c>
      <c r="G966" s="14">
        <v>226.0</v>
      </c>
      <c r="H966" s="14" t="s">
        <v>28</v>
      </c>
      <c r="I966" s="14"/>
      <c r="J966" s="130" t="s">
        <v>12234</v>
      </c>
      <c r="K966" s="152" t="s">
        <v>12235</v>
      </c>
      <c r="L966" s="20" t="s">
        <v>12237</v>
      </c>
      <c r="M966" s="174" t="s">
        <v>12239</v>
      </c>
      <c r="N966" s="130" t="s">
        <v>40371</v>
      </c>
      <c r="O966" s="84"/>
      <c r="P966" s="84"/>
      <c r="Q966" s="84"/>
      <c r="R966" s="84"/>
      <c r="S966" s="84"/>
      <c r="T966" s="84"/>
      <c r="U966" s="84"/>
      <c r="V966" s="84"/>
      <c r="W966" s="84"/>
      <c r="X966" s="84"/>
    </row>
    <row r="967" ht="15.75" customHeight="1">
      <c r="A967" s="14" t="s">
        <v>17</v>
      </c>
      <c r="B967" s="14">
        <v>2002.0</v>
      </c>
      <c r="C967" s="14" t="s">
        <v>12242</v>
      </c>
      <c r="D967" s="14" t="s">
        <v>12243</v>
      </c>
      <c r="E967" s="150" t="str">
        <f t="shared" si="22"/>
        <v>http://dx.doi.org/10.1109/VISUAL.2002.1183779</v>
      </c>
      <c r="F967" s="14">
        <v>227.0</v>
      </c>
      <c r="G967" s="14">
        <v>234.0</v>
      </c>
      <c r="H967" s="14" t="s">
        <v>28</v>
      </c>
      <c r="I967" s="14"/>
      <c r="J967" s="130" t="s">
        <v>12247</v>
      </c>
      <c r="K967" s="152" t="s">
        <v>184</v>
      </c>
      <c r="L967" s="20" t="s">
        <v>1558</v>
      </c>
      <c r="M967" s="174" t="s">
        <v>12251</v>
      </c>
      <c r="N967" s="130" t="s">
        <v>40374</v>
      </c>
      <c r="O967" s="84"/>
      <c r="P967" s="84"/>
      <c r="Q967" s="84"/>
      <c r="R967" s="84"/>
      <c r="S967" s="84"/>
      <c r="T967" s="84"/>
      <c r="U967" s="84"/>
      <c r="V967" s="84"/>
      <c r="W967" s="84"/>
      <c r="X967" s="84"/>
    </row>
    <row r="968" ht="15.75" customHeight="1">
      <c r="A968" s="14" t="s">
        <v>17</v>
      </c>
      <c r="B968" s="14">
        <v>2002.0</v>
      </c>
      <c r="C968" s="14" t="s">
        <v>12252</v>
      </c>
      <c r="D968" s="14" t="s">
        <v>12253</v>
      </c>
      <c r="E968" s="150" t="str">
        <f t="shared" si="22"/>
        <v>http://dx.doi.org/10.1109/VISUAL.2002.1183780</v>
      </c>
      <c r="F968" s="14">
        <v>235.0</v>
      </c>
      <c r="G968" s="14">
        <v>242.0</v>
      </c>
      <c r="H968" s="14" t="s">
        <v>28</v>
      </c>
      <c r="I968" s="14"/>
      <c r="J968" s="130" t="s">
        <v>12261</v>
      </c>
      <c r="K968" s="152" t="s">
        <v>12262</v>
      </c>
      <c r="L968" s="20" t="s">
        <v>6006</v>
      </c>
      <c r="M968" s="174" t="s">
        <v>12263</v>
      </c>
      <c r="N968" s="152" t="s">
        <v>12262</v>
      </c>
      <c r="O968" s="84"/>
      <c r="P968" s="84"/>
      <c r="Q968" s="84"/>
      <c r="R968" s="84"/>
      <c r="S968" s="84"/>
      <c r="T968" s="84"/>
      <c r="U968" s="84"/>
      <c r="V968" s="84"/>
      <c r="W968" s="84"/>
      <c r="X968" s="84"/>
    </row>
    <row r="969" ht="15.75" customHeight="1">
      <c r="A969" s="14" t="s">
        <v>17</v>
      </c>
      <c r="B969" s="14">
        <v>2002.0</v>
      </c>
      <c r="C969" s="14" t="s">
        <v>12264</v>
      </c>
      <c r="D969" s="14" t="s">
        <v>12265</v>
      </c>
      <c r="E969" s="150" t="str">
        <f t="shared" si="22"/>
        <v>http://dx.doi.org/10.1109/VISUAL.2002.1183781</v>
      </c>
      <c r="F969" s="14">
        <v>243.0</v>
      </c>
      <c r="G969" s="14">
        <v>250.0</v>
      </c>
      <c r="H969" s="14" t="s">
        <v>28</v>
      </c>
      <c r="I969" s="14"/>
      <c r="J969" s="130" t="s">
        <v>40376</v>
      </c>
      <c r="K969" s="152" t="s">
        <v>12273</v>
      </c>
      <c r="L969" s="20"/>
      <c r="M969" s="174" t="s">
        <v>12274</v>
      </c>
      <c r="N969" s="130" t="s">
        <v>40377</v>
      </c>
      <c r="O969" s="84"/>
      <c r="P969" s="84"/>
      <c r="Q969" s="84"/>
      <c r="R969" s="84"/>
      <c r="S969" s="84"/>
      <c r="T969" s="84"/>
      <c r="U969" s="84"/>
      <c r="V969" s="84"/>
      <c r="W969" s="84"/>
      <c r="X969" s="84"/>
    </row>
    <row r="970" ht="15.75" customHeight="1">
      <c r="A970" s="14" t="s">
        <v>17</v>
      </c>
      <c r="B970" s="14">
        <v>2002.0</v>
      </c>
      <c r="C970" s="14" t="s">
        <v>12275</v>
      </c>
      <c r="D970" s="14" t="s">
        <v>12276</v>
      </c>
      <c r="E970" s="150" t="str">
        <f t="shared" si="22"/>
        <v>http://dx.doi.org/10.1109/VISUAL.2002.1183782</v>
      </c>
      <c r="F970" s="14">
        <v>251.0</v>
      </c>
      <c r="G970" s="14">
        <v>257.0</v>
      </c>
      <c r="H970" s="14" t="s">
        <v>28</v>
      </c>
      <c r="I970" s="14"/>
      <c r="J970" s="130" t="s">
        <v>12283</v>
      </c>
      <c r="K970" s="152" t="s">
        <v>12284</v>
      </c>
      <c r="L970" s="20" t="s">
        <v>12285</v>
      </c>
      <c r="M970" s="174" t="s">
        <v>12286</v>
      </c>
      <c r="N970" s="130" t="s">
        <v>15664</v>
      </c>
      <c r="O970" s="84"/>
      <c r="P970" s="84"/>
      <c r="Q970" s="84"/>
      <c r="R970" s="84"/>
      <c r="S970" s="84"/>
      <c r="T970" s="84"/>
      <c r="U970" s="84"/>
      <c r="V970" s="84"/>
      <c r="W970" s="84"/>
      <c r="X970" s="84"/>
    </row>
    <row r="971" ht="15.75" customHeight="1">
      <c r="A971" s="14" t="s">
        <v>17</v>
      </c>
      <c r="B971" s="14">
        <v>2002.0</v>
      </c>
      <c r="C971" s="14" t="s">
        <v>12310</v>
      </c>
      <c r="D971" s="14" t="s">
        <v>12313</v>
      </c>
      <c r="E971" s="150" t="str">
        <f t="shared" si="22"/>
        <v>http://dx.doi.org/10.1109/VISUAL.2002.1183783</v>
      </c>
      <c r="F971" s="14">
        <v>259.0</v>
      </c>
      <c r="G971" s="14">
        <v>265.0</v>
      </c>
      <c r="H971" s="14" t="s">
        <v>28</v>
      </c>
      <c r="I971" s="14"/>
      <c r="J971" s="130" t="s">
        <v>12319</v>
      </c>
      <c r="K971" s="152" t="s">
        <v>12320</v>
      </c>
      <c r="L971" s="20" t="s">
        <v>12321</v>
      </c>
      <c r="M971" s="174" t="s">
        <v>12322</v>
      </c>
      <c r="N971" s="130" t="s">
        <v>40380</v>
      </c>
      <c r="O971" s="84"/>
      <c r="P971" s="84"/>
      <c r="Q971" s="84"/>
      <c r="R971" s="84"/>
      <c r="S971" s="84"/>
      <c r="T971" s="84"/>
      <c r="U971" s="84"/>
      <c r="V971" s="84"/>
      <c r="W971" s="84"/>
      <c r="X971" s="84"/>
    </row>
    <row r="972" ht="15.75" customHeight="1">
      <c r="A972" s="14" t="s">
        <v>17</v>
      </c>
      <c r="B972" s="14">
        <v>2002.0</v>
      </c>
      <c r="C972" s="14" t="s">
        <v>12325</v>
      </c>
      <c r="D972" s="14" t="s">
        <v>12326</v>
      </c>
      <c r="E972" s="150" t="str">
        <f t="shared" si="22"/>
        <v>http://dx.doi.org/10.1109/VISUAL.2002.1183784</v>
      </c>
      <c r="F972" s="14">
        <v>267.0</v>
      </c>
      <c r="G972" s="14">
        <v>274.0</v>
      </c>
      <c r="H972" s="14" t="s">
        <v>28</v>
      </c>
      <c r="I972" s="14"/>
      <c r="J972" s="130" t="s">
        <v>12330</v>
      </c>
      <c r="K972" s="152" t="s">
        <v>12331</v>
      </c>
      <c r="L972" s="20" t="s">
        <v>12332</v>
      </c>
      <c r="M972" s="174" t="s">
        <v>12333</v>
      </c>
      <c r="N972" s="130" t="s">
        <v>40381</v>
      </c>
      <c r="O972" s="84"/>
      <c r="P972" s="84"/>
      <c r="Q972" s="84"/>
      <c r="R972" s="84"/>
      <c r="S972" s="84"/>
      <c r="T972" s="84"/>
      <c r="U972" s="84"/>
      <c r="V972" s="84"/>
      <c r="W972" s="84"/>
      <c r="X972" s="84"/>
    </row>
    <row r="973" ht="15.75" customHeight="1">
      <c r="A973" s="14" t="s">
        <v>17</v>
      </c>
      <c r="B973" s="14">
        <v>2002.0</v>
      </c>
      <c r="C973" s="14" t="s">
        <v>12334</v>
      </c>
      <c r="D973" s="14" t="s">
        <v>12336</v>
      </c>
      <c r="E973" s="150" t="str">
        <f t="shared" si="22"/>
        <v>http://dx.doi.org/10.1109/VISUAL.2002.1183785</v>
      </c>
      <c r="F973" s="14">
        <v>275.0</v>
      </c>
      <c r="G973" s="14">
        <v>282.0</v>
      </c>
      <c r="H973" s="14" t="s">
        <v>28</v>
      </c>
      <c r="I973" s="14"/>
      <c r="J973" s="130" t="s">
        <v>12343</v>
      </c>
      <c r="K973" s="152" t="s">
        <v>12344</v>
      </c>
      <c r="L973" s="20"/>
      <c r="M973" s="174" t="s">
        <v>12345</v>
      </c>
      <c r="N973" s="130" t="s">
        <v>40026</v>
      </c>
      <c r="O973" s="84"/>
      <c r="P973" s="84"/>
      <c r="Q973" s="84"/>
      <c r="R973" s="84"/>
      <c r="S973" s="84"/>
      <c r="T973" s="84"/>
      <c r="U973" s="84"/>
      <c r="V973" s="84"/>
      <c r="W973" s="84"/>
      <c r="X973" s="84"/>
    </row>
    <row r="974" ht="15.75" customHeight="1">
      <c r="A974" s="14" t="s">
        <v>17</v>
      </c>
      <c r="B974" s="14">
        <v>2002.0</v>
      </c>
      <c r="C974" s="14" t="s">
        <v>12346</v>
      </c>
      <c r="D974" s="14" t="s">
        <v>12347</v>
      </c>
      <c r="E974" s="150" t="str">
        <f t="shared" si="22"/>
        <v>http://dx.doi.org/10.1109/VISUAL.2002.1183786</v>
      </c>
      <c r="F974" s="14">
        <v>283.0</v>
      </c>
      <c r="G974" s="14">
        <v>289.0</v>
      </c>
      <c r="H974" s="14" t="s">
        <v>28</v>
      </c>
      <c r="I974" s="14"/>
      <c r="J974" s="130" t="s">
        <v>12354</v>
      </c>
      <c r="K974" s="152" t="s">
        <v>12355</v>
      </c>
      <c r="L974" s="20" t="s">
        <v>12356</v>
      </c>
      <c r="M974" s="174" t="s">
        <v>12357</v>
      </c>
      <c r="N974" s="130" t="s">
        <v>37793</v>
      </c>
      <c r="O974" s="84"/>
      <c r="P974" s="84"/>
      <c r="Q974" s="84"/>
      <c r="R974" s="84"/>
      <c r="S974" s="84"/>
      <c r="T974" s="84"/>
      <c r="U974" s="84"/>
      <c r="V974" s="84"/>
      <c r="W974" s="84"/>
      <c r="X974" s="84"/>
    </row>
    <row r="975" ht="15.75" customHeight="1">
      <c r="A975" s="14" t="s">
        <v>17</v>
      </c>
      <c r="B975" s="14">
        <v>2002.0</v>
      </c>
      <c r="C975" s="14" t="s">
        <v>12358</v>
      </c>
      <c r="D975" s="14" t="s">
        <v>12359</v>
      </c>
      <c r="E975" s="150" t="str">
        <f t="shared" si="22"/>
        <v>http://dx.doi.org/10.1109/VISUAL.2002.1183787</v>
      </c>
      <c r="F975" s="14">
        <v>291.0</v>
      </c>
      <c r="G975" s="14">
        <v>298.0</v>
      </c>
      <c r="H975" s="14" t="s">
        <v>28</v>
      </c>
      <c r="I975" s="14"/>
      <c r="J975" s="130" t="s">
        <v>12363</v>
      </c>
      <c r="K975" s="152" t="s">
        <v>3525</v>
      </c>
      <c r="L975" s="20" t="s">
        <v>5943</v>
      </c>
      <c r="M975" s="174" t="s">
        <v>12364</v>
      </c>
      <c r="N975" s="130" t="s">
        <v>40384</v>
      </c>
      <c r="O975" s="84"/>
      <c r="P975" s="84"/>
      <c r="Q975" s="84"/>
      <c r="R975" s="84"/>
      <c r="S975" s="84"/>
      <c r="T975" s="84"/>
      <c r="U975" s="84"/>
      <c r="V975" s="84"/>
      <c r="W975" s="84"/>
      <c r="X975" s="84"/>
    </row>
    <row r="976" ht="15.75" customHeight="1">
      <c r="A976" s="14" t="s">
        <v>17</v>
      </c>
      <c r="B976" s="14">
        <v>2002.0</v>
      </c>
      <c r="C976" s="14" t="s">
        <v>12365</v>
      </c>
      <c r="D976" s="14" t="s">
        <v>12366</v>
      </c>
      <c r="E976" s="150" t="str">
        <f t="shared" si="22"/>
        <v>http://dx.doi.org/10.1109/VISUAL.2002.1183788</v>
      </c>
      <c r="F976" s="14">
        <v>299.0</v>
      </c>
      <c r="G976" s="14">
        <v>306.0</v>
      </c>
      <c r="H976" s="14" t="s">
        <v>28</v>
      </c>
      <c r="I976" s="14"/>
      <c r="J976" s="130" t="s">
        <v>12370</v>
      </c>
      <c r="K976" s="152" t="s">
        <v>9326</v>
      </c>
      <c r="L976" s="20" t="s">
        <v>12371</v>
      </c>
      <c r="M976" s="174" t="s">
        <v>12372</v>
      </c>
      <c r="N976" s="130" t="s">
        <v>38682</v>
      </c>
      <c r="O976" s="84"/>
      <c r="P976" s="84"/>
      <c r="Q976" s="84"/>
      <c r="R976" s="84"/>
      <c r="S976" s="84"/>
      <c r="T976" s="84"/>
      <c r="U976" s="84"/>
      <c r="V976" s="84"/>
      <c r="W976" s="84"/>
      <c r="X976" s="84"/>
    </row>
    <row r="977" ht="15.75" customHeight="1">
      <c r="A977" s="14" t="s">
        <v>17</v>
      </c>
      <c r="B977" s="14">
        <v>2002.0</v>
      </c>
      <c r="C977" s="14" t="s">
        <v>12373</v>
      </c>
      <c r="D977" s="14" t="s">
        <v>12374</v>
      </c>
      <c r="E977" s="150" t="str">
        <f t="shared" si="22"/>
        <v>http://dx.doi.org/10.1109/VISUAL.2002.1183789</v>
      </c>
      <c r="F977" s="14">
        <v>307.0</v>
      </c>
      <c r="G977" s="14">
        <v>314.0</v>
      </c>
      <c r="H977" s="14" t="s">
        <v>28</v>
      </c>
      <c r="I977" s="14"/>
      <c r="J977" s="130" t="s">
        <v>12379</v>
      </c>
      <c r="K977" s="152" t="s">
        <v>12380</v>
      </c>
      <c r="L977" s="20" t="s">
        <v>12381</v>
      </c>
      <c r="M977" s="174" t="s">
        <v>12382</v>
      </c>
      <c r="N977" s="130" t="s">
        <v>39861</v>
      </c>
      <c r="O977" s="84"/>
      <c r="P977" s="84"/>
      <c r="Q977" s="84"/>
      <c r="R977" s="84"/>
      <c r="S977" s="84"/>
      <c r="T977" s="84"/>
      <c r="U977" s="84"/>
      <c r="V977" s="84"/>
      <c r="W977" s="84"/>
      <c r="X977" s="84"/>
    </row>
    <row r="978" ht="15.75" customHeight="1">
      <c r="A978" s="14" t="s">
        <v>17</v>
      </c>
      <c r="B978" s="14">
        <v>2002.0</v>
      </c>
      <c r="C978" s="14" t="s">
        <v>12383</v>
      </c>
      <c r="D978" s="14" t="s">
        <v>12384</v>
      </c>
      <c r="E978" s="150" t="str">
        <f t="shared" si="22"/>
        <v>http://dx.doi.org/10.1109/VISUAL.2002.1183790</v>
      </c>
      <c r="F978" s="14">
        <v>315.0</v>
      </c>
      <c r="G978" s="14">
        <v>322.0</v>
      </c>
      <c r="H978" s="14" t="s">
        <v>28</v>
      </c>
      <c r="I978" s="14"/>
      <c r="J978" s="130" t="s">
        <v>12390</v>
      </c>
      <c r="K978" s="152" t="s">
        <v>12391</v>
      </c>
      <c r="L978" s="20" t="s">
        <v>12392</v>
      </c>
      <c r="M978" s="174" t="s">
        <v>12393</v>
      </c>
      <c r="N978" s="130" t="s">
        <v>40388</v>
      </c>
      <c r="O978" s="84"/>
      <c r="P978" s="84"/>
      <c r="Q978" s="84"/>
      <c r="R978" s="84"/>
      <c r="S978" s="84"/>
      <c r="T978" s="84"/>
      <c r="U978" s="84"/>
      <c r="V978" s="84"/>
      <c r="W978" s="84"/>
      <c r="X978" s="84"/>
    </row>
    <row r="979" ht="15.75" customHeight="1">
      <c r="A979" s="14" t="s">
        <v>17</v>
      </c>
      <c r="B979" s="14">
        <v>2002.0</v>
      </c>
      <c r="C979" s="14" t="s">
        <v>12394</v>
      </c>
      <c r="D979" s="14" t="s">
        <v>12395</v>
      </c>
      <c r="E979" s="150" t="str">
        <f t="shared" si="22"/>
        <v>http://dx.doi.org/10.1109/VISUAL.2002.1183791</v>
      </c>
      <c r="F979" s="14">
        <v>323.0</v>
      </c>
      <c r="G979" s="14">
        <v>330.0</v>
      </c>
      <c r="H979" s="14" t="s">
        <v>28</v>
      </c>
      <c r="I979" s="14"/>
      <c r="J979" s="130" t="s">
        <v>12403</v>
      </c>
      <c r="K979" s="152" t="s">
        <v>12404</v>
      </c>
      <c r="L979" s="20" t="s">
        <v>12405</v>
      </c>
      <c r="M979" s="174" t="s">
        <v>12406</v>
      </c>
      <c r="N979" s="130" t="s">
        <v>38483</v>
      </c>
      <c r="O979" s="84"/>
      <c r="P979" s="84"/>
      <c r="Q979" s="84"/>
      <c r="R979" s="84"/>
      <c r="S979" s="84"/>
      <c r="T979" s="84"/>
      <c r="U979" s="84"/>
      <c r="V979" s="84"/>
      <c r="W979" s="84"/>
      <c r="X979" s="84"/>
    </row>
    <row r="980" ht="15.75" customHeight="1">
      <c r="A980" s="14" t="s">
        <v>17</v>
      </c>
      <c r="B980" s="14">
        <v>2002.0</v>
      </c>
      <c r="C980" s="14" t="s">
        <v>12407</v>
      </c>
      <c r="D980" s="14" t="s">
        <v>12408</v>
      </c>
      <c r="E980" s="150" t="str">
        <f t="shared" si="22"/>
        <v>http://dx.doi.org/10.1109/VISUAL.2002.1183792</v>
      </c>
      <c r="F980" s="14">
        <v>331.0</v>
      </c>
      <c r="G980" s="14">
        <v>338.0</v>
      </c>
      <c r="H980" s="14" t="s">
        <v>28</v>
      </c>
      <c r="I980" s="14"/>
      <c r="J980" s="130" t="s">
        <v>12415</v>
      </c>
      <c r="K980" s="152" t="s">
        <v>12416</v>
      </c>
      <c r="L980" s="20" t="s">
        <v>2328</v>
      </c>
      <c r="M980" s="174" t="s">
        <v>12418</v>
      </c>
      <c r="N980" s="152" t="s">
        <v>12416</v>
      </c>
      <c r="O980" s="84"/>
      <c r="P980" s="84"/>
      <c r="Q980" s="84"/>
      <c r="R980" s="84"/>
      <c r="S980" s="84"/>
      <c r="T980" s="84"/>
      <c r="U980" s="84"/>
      <c r="V980" s="84"/>
      <c r="W980" s="84"/>
      <c r="X980" s="84"/>
    </row>
    <row r="981" ht="15.75" customHeight="1">
      <c r="A981" s="14" t="s">
        <v>17</v>
      </c>
      <c r="B981" s="14">
        <v>2002.0</v>
      </c>
      <c r="C981" s="14" t="s">
        <v>12420</v>
      </c>
      <c r="D981" s="14" t="s">
        <v>12421</v>
      </c>
      <c r="E981" s="150" t="str">
        <f t="shared" si="22"/>
        <v>http://dx.doi.org/10.1109/VISUAL.2002.1183793</v>
      </c>
      <c r="F981" s="14">
        <v>339.0</v>
      </c>
      <c r="G981" s="14">
        <v>346.0</v>
      </c>
      <c r="H981" s="14" t="s">
        <v>28</v>
      </c>
      <c r="I981" s="14"/>
      <c r="J981" s="130" t="s">
        <v>40392</v>
      </c>
      <c r="K981" s="152" t="s">
        <v>12427</v>
      </c>
      <c r="L981" s="20" t="s">
        <v>12428</v>
      </c>
      <c r="M981" s="174" t="s">
        <v>12429</v>
      </c>
      <c r="N981" s="130" t="s">
        <v>40393</v>
      </c>
      <c r="O981" s="84"/>
      <c r="P981" s="84"/>
      <c r="Q981" s="84"/>
      <c r="R981" s="84"/>
      <c r="S981" s="84"/>
      <c r="T981" s="84"/>
      <c r="U981" s="84"/>
      <c r="V981" s="84"/>
      <c r="W981" s="84"/>
      <c r="X981" s="84"/>
    </row>
    <row r="982" ht="15.75" customHeight="1">
      <c r="A982" s="14" t="s">
        <v>17</v>
      </c>
      <c r="B982" s="14">
        <v>2002.0</v>
      </c>
      <c r="C982" s="14" t="s">
        <v>12430</v>
      </c>
      <c r="D982" s="14" t="s">
        <v>12431</v>
      </c>
      <c r="E982" s="150" t="str">
        <f t="shared" si="22"/>
        <v>http://dx.doi.org/10.1109/VISUAL.2002.1183794</v>
      </c>
      <c r="F982" s="14">
        <v>347.0</v>
      </c>
      <c r="G982" s="14">
        <v>354.0</v>
      </c>
      <c r="H982" s="14" t="s">
        <v>28</v>
      </c>
      <c r="I982" s="14"/>
      <c r="J982" s="130" t="s">
        <v>12437</v>
      </c>
      <c r="K982" s="152" t="s">
        <v>12438</v>
      </c>
      <c r="L982" s="20" t="s">
        <v>12136</v>
      </c>
      <c r="M982" s="174" t="s">
        <v>12439</v>
      </c>
      <c r="N982" s="130" t="s">
        <v>40396</v>
      </c>
      <c r="O982" s="84"/>
      <c r="P982" s="84"/>
      <c r="Q982" s="84"/>
      <c r="R982" s="84"/>
      <c r="S982" s="84"/>
      <c r="T982" s="84"/>
      <c r="U982" s="84"/>
      <c r="V982" s="84"/>
      <c r="W982" s="84"/>
      <c r="X982" s="84"/>
    </row>
    <row r="983" ht="15.75" customHeight="1">
      <c r="A983" s="14" t="s">
        <v>17</v>
      </c>
      <c r="B983" s="14">
        <v>2002.0</v>
      </c>
      <c r="C983" s="14" t="s">
        <v>12441</v>
      </c>
      <c r="D983" s="14" t="s">
        <v>12442</v>
      </c>
      <c r="E983" s="150" t="str">
        <f t="shared" si="22"/>
        <v>http://dx.doi.org/10.1109/VISUAL.2002.1183795</v>
      </c>
      <c r="F983" s="14">
        <v>355.0</v>
      </c>
      <c r="G983" s="14">
        <v>362.0</v>
      </c>
      <c r="H983" s="14" t="s">
        <v>28</v>
      </c>
      <c r="I983" s="14"/>
      <c r="J983" s="130" t="s">
        <v>12448</v>
      </c>
      <c r="K983" s="152" t="s">
        <v>12449</v>
      </c>
      <c r="L983" s="20"/>
      <c r="M983" s="174" t="s">
        <v>12450</v>
      </c>
      <c r="N983" s="130" t="s">
        <v>40397</v>
      </c>
      <c r="O983" s="84"/>
      <c r="P983" s="84"/>
      <c r="Q983" s="84"/>
      <c r="R983" s="84"/>
      <c r="S983" s="84"/>
      <c r="T983" s="84"/>
      <c r="U983" s="84"/>
      <c r="V983" s="84"/>
      <c r="W983" s="84"/>
      <c r="X983" s="84"/>
    </row>
    <row r="984" ht="15.75" customHeight="1">
      <c r="A984" s="14" t="s">
        <v>17</v>
      </c>
      <c r="B984" s="14">
        <v>2002.0</v>
      </c>
      <c r="C984" s="14" t="s">
        <v>12451</v>
      </c>
      <c r="D984" s="14" t="s">
        <v>12452</v>
      </c>
      <c r="E984" s="150" t="str">
        <f t="shared" si="22"/>
        <v>http://dx.doi.org/10.1109/VISUAL.2002.1183796</v>
      </c>
      <c r="F984" s="14">
        <v>363.0</v>
      </c>
      <c r="G984" s="14">
        <v>370.0</v>
      </c>
      <c r="H984" s="14" t="s">
        <v>28</v>
      </c>
      <c r="I984" s="14"/>
      <c r="J984" s="130" t="s">
        <v>12457</v>
      </c>
      <c r="K984" s="152" t="s">
        <v>12458</v>
      </c>
      <c r="L984" s="20" t="s">
        <v>12459</v>
      </c>
      <c r="M984" s="174" t="s">
        <v>12460</v>
      </c>
      <c r="N984" s="130" t="s">
        <v>35935</v>
      </c>
      <c r="O984" s="84"/>
      <c r="P984" s="84"/>
      <c r="Q984" s="84"/>
      <c r="R984" s="84"/>
      <c r="S984" s="84"/>
      <c r="T984" s="84"/>
      <c r="U984" s="84"/>
      <c r="V984" s="84"/>
      <c r="W984" s="84"/>
      <c r="X984" s="84"/>
    </row>
    <row r="985" ht="15.75" customHeight="1">
      <c r="A985" s="14" t="s">
        <v>17</v>
      </c>
      <c r="B985" s="14">
        <v>2002.0</v>
      </c>
      <c r="C985" s="14" t="s">
        <v>12462</v>
      </c>
      <c r="D985" s="14" t="s">
        <v>12463</v>
      </c>
      <c r="E985" s="150" t="str">
        <f t="shared" si="22"/>
        <v>http://dx.doi.org/10.1109/VISUAL.2002.1183797</v>
      </c>
      <c r="F985" s="14">
        <v>371.0</v>
      </c>
      <c r="G985" s="14">
        <v>378.0</v>
      </c>
      <c r="H985" s="14" t="s">
        <v>28</v>
      </c>
      <c r="I985" s="14"/>
      <c r="J985" s="130" t="s">
        <v>14237</v>
      </c>
      <c r="K985" s="152" t="s">
        <v>12471</v>
      </c>
      <c r="L985" s="20" t="s">
        <v>12472</v>
      </c>
      <c r="M985" s="174" t="s">
        <v>12473</v>
      </c>
      <c r="N985" s="130" t="s">
        <v>40398</v>
      </c>
      <c r="O985" s="84"/>
      <c r="P985" s="84"/>
      <c r="Q985" s="84"/>
      <c r="R985" s="84"/>
      <c r="S985" s="84"/>
      <c r="T985" s="84"/>
      <c r="U985" s="84"/>
      <c r="V985" s="84"/>
      <c r="W985" s="84"/>
      <c r="X985" s="84"/>
    </row>
    <row r="986" ht="15.75" customHeight="1">
      <c r="A986" s="14" t="s">
        <v>17</v>
      </c>
      <c r="B986" s="14">
        <v>2002.0</v>
      </c>
      <c r="C986" s="14" t="s">
        <v>12474</v>
      </c>
      <c r="D986" s="14" t="s">
        <v>12475</v>
      </c>
      <c r="E986" s="150" t="str">
        <f t="shared" si="22"/>
        <v>http://dx.doi.org/10.1109/VISUAL.2002.1183798</v>
      </c>
      <c r="F986" s="14">
        <v>379.0</v>
      </c>
      <c r="G986" s="14">
        <v>386.0</v>
      </c>
      <c r="H986" s="14" t="s">
        <v>28</v>
      </c>
      <c r="I986" s="14"/>
      <c r="J986" s="130" t="s">
        <v>12502</v>
      </c>
      <c r="K986" s="152" t="s">
        <v>3182</v>
      </c>
      <c r="L986" s="20" t="s">
        <v>12503</v>
      </c>
      <c r="M986" s="174" t="s">
        <v>12505</v>
      </c>
      <c r="N986" s="130" t="s">
        <v>35935</v>
      </c>
      <c r="O986" s="84"/>
      <c r="P986" s="84"/>
      <c r="Q986" s="84"/>
      <c r="R986" s="84"/>
      <c r="S986" s="84"/>
      <c r="T986" s="84"/>
      <c r="U986" s="84"/>
      <c r="V986" s="84"/>
      <c r="W986" s="84"/>
      <c r="X986" s="84"/>
    </row>
    <row r="987" ht="15.75" customHeight="1">
      <c r="A987" s="14" t="s">
        <v>17</v>
      </c>
      <c r="B987" s="14">
        <v>2002.0</v>
      </c>
      <c r="C987" s="14" t="s">
        <v>12506</v>
      </c>
      <c r="D987" s="14" t="s">
        <v>12508</v>
      </c>
      <c r="E987" s="150" t="str">
        <f t="shared" si="22"/>
        <v>http://dx.doi.org/10.1109/VISUAL.2002.1183799</v>
      </c>
      <c r="F987" s="14">
        <v>387.0</v>
      </c>
      <c r="G987" s="14">
        <v>394.0</v>
      </c>
      <c r="H987" s="14" t="s">
        <v>28</v>
      </c>
      <c r="I987" s="14"/>
      <c r="J987" s="130" t="s">
        <v>12510</v>
      </c>
      <c r="K987" s="152" t="s">
        <v>12511</v>
      </c>
      <c r="L987" s="20" t="s">
        <v>12512</v>
      </c>
      <c r="M987" s="174" t="s">
        <v>12513</v>
      </c>
      <c r="N987" s="130" t="s">
        <v>40403</v>
      </c>
      <c r="O987" s="84"/>
      <c r="P987" s="84"/>
      <c r="Q987" s="84"/>
      <c r="R987" s="84"/>
      <c r="S987" s="84"/>
      <c r="T987" s="84"/>
      <c r="U987" s="84"/>
      <c r="V987" s="84"/>
      <c r="W987" s="84"/>
      <c r="X987" s="84"/>
    </row>
    <row r="988" ht="15.75" customHeight="1">
      <c r="A988" s="14" t="s">
        <v>17</v>
      </c>
      <c r="B988" s="14">
        <v>2002.0</v>
      </c>
      <c r="C988" s="14" t="s">
        <v>12514</v>
      </c>
      <c r="D988" s="14" t="s">
        <v>12515</v>
      </c>
      <c r="E988" s="150" t="str">
        <f t="shared" si="22"/>
        <v>http://dx.doi.org/10.1109/VISUAL.2002.1183800</v>
      </c>
      <c r="F988" s="14">
        <v>395.0</v>
      </c>
      <c r="G988" s="14">
        <v>402.0</v>
      </c>
      <c r="H988" s="14" t="s">
        <v>28</v>
      </c>
      <c r="I988" s="14"/>
      <c r="J988" s="130" t="s">
        <v>12519</v>
      </c>
      <c r="K988" s="152" t="s">
        <v>12520</v>
      </c>
      <c r="L988" s="20" t="s">
        <v>12521</v>
      </c>
      <c r="M988" s="174" t="s">
        <v>12522</v>
      </c>
      <c r="N988" s="130" t="s">
        <v>40404</v>
      </c>
      <c r="O988" s="84"/>
      <c r="P988" s="84"/>
      <c r="Q988" s="84"/>
      <c r="R988" s="84"/>
      <c r="S988" s="84"/>
      <c r="T988" s="84"/>
      <c r="U988" s="84"/>
      <c r="V988" s="84"/>
      <c r="W988" s="84"/>
      <c r="X988" s="84"/>
    </row>
    <row r="989" ht="15.75" customHeight="1">
      <c r="A989" s="14" t="s">
        <v>17</v>
      </c>
      <c r="B989" s="14">
        <v>2002.0</v>
      </c>
      <c r="C989" s="14" t="s">
        <v>12523</v>
      </c>
      <c r="D989" s="14" t="s">
        <v>12524</v>
      </c>
      <c r="E989" s="150" t="str">
        <f t="shared" si="22"/>
        <v>http://dx.doi.org/10.1109/VISUAL.2002.1183801</v>
      </c>
      <c r="F989" s="14">
        <v>403.0</v>
      </c>
      <c r="G989" s="14">
        <v>409.0</v>
      </c>
      <c r="H989" s="14" t="s">
        <v>28</v>
      </c>
      <c r="I989" s="14"/>
      <c r="J989" s="130" t="s">
        <v>12532</v>
      </c>
      <c r="K989" s="152" t="s">
        <v>1966</v>
      </c>
      <c r="L989" s="20" t="s">
        <v>12533</v>
      </c>
      <c r="M989" s="174" t="s">
        <v>12534</v>
      </c>
      <c r="N989" s="130" t="s">
        <v>36728</v>
      </c>
      <c r="O989" s="84"/>
      <c r="P989" s="84"/>
      <c r="Q989" s="84"/>
      <c r="R989" s="84"/>
      <c r="S989" s="84"/>
      <c r="T989" s="84"/>
      <c r="U989" s="84"/>
      <c r="V989" s="84"/>
      <c r="W989" s="84"/>
      <c r="X989" s="84"/>
    </row>
    <row r="990" ht="15.75" customHeight="1">
      <c r="A990" s="14" t="s">
        <v>17</v>
      </c>
      <c r="B990" s="14">
        <v>2002.0</v>
      </c>
      <c r="C990" s="14" t="s">
        <v>12537</v>
      </c>
      <c r="D990" s="14" t="s">
        <v>12538</v>
      </c>
      <c r="E990" s="150" t="str">
        <f t="shared" si="22"/>
        <v>http://dx.doi.org/10.1109/VISUAL.2002.1183802</v>
      </c>
      <c r="F990" s="14">
        <v>411.0</v>
      </c>
      <c r="G990" s="14">
        <v>418.0</v>
      </c>
      <c r="H990" s="14" t="s">
        <v>28</v>
      </c>
      <c r="I990" s="14"/>
      <c r="J990" s="130" t="s">
        <v>12543</v>
      </c>
      <c r="K990" s="152" t="s">
        <v>12545</v>
      </c>
      <c r="L990" s="20"/>
      <c r="M990" s="174" t="s">
        <v>12546</v>
      </c>
      <c r="N990" s="130" t="s">
        <v>40407</v>
      </c>
      <c r="O990" s="84"/>
      <c r="P990" s="84"/>
      <c r="Q990" s="84"/>
      <c r="R990" s="84"/>
      <c r="S990" s="84"/>
      <c r="T990" s="84"/>
      <c r="U990" s="84"/>
      <c r="V990" s="84"/>
      <c r="W990" s="84"/>
      <c r="X990" s="84"/>
    </row>
    <row r="991" ht="15.75" customHeight="1">
      <c r="A991" s="14" t="s">
        <v>17</v>
      </c>
      <c r="B991" s="14">
        <v>2002.0</v>
      </c>
      <c r="C991" s="14" t="s">
        <v>12547</v>
      </c>
      <c r="D991" s="14" t="s">
        <v>12548</v>
      </c>
      <c r="E991" s="150" t="str">
        <f t="shared" si="22"/>
        <v>http://dx.doi.org/10.1109/VISUAL.2002.1183803</v>
      </c>
      <c r="F991" s="14">
        <v>419.0</v>
      </c>
      <c r="G991" s="14">
        <v>426.0</v>
      </c>
      <c r="H991" s="14" t="s">
        <v>28</v>
      </c>
      <c r="I991" s="14"/>
      <c r="J991" s="130" t="s">
        <v>12552</v>
      </c>
      <c r="K991" s="152" t="s">
        <v>7936</v>
      </c>
      <c r="L991" s="20" t="s">
        <v>2378</v>
      </c>
      <c r="M991" s="174" t="s">
        <v>12553</v>
      </c>
      <c r="N991" s="130" t="s">
        <v>39581</v>
      </c>
      <c r="O991" s="84"/>
      <c r="P991" s="84"/>
      <c r="Q991" s="84"/>
      <c r="R991" s="84"/>
      <c r="S991" s="84"/>
      <c r="T991" s="84"/>
      <c r="U991" s="84"/>
      <c r="V991" s="84"/>
      <c r="W991" s="84"/>
      <c r="X991" s="84"/>
    </row>
    <row r="992" ht="15.75" customHeight="1">
      <c r="A992" s="14" t="s">
        <v>17</v>
      </c>
      <c r="B992" s="14">
        <v>2002.0</v>
      </c>
      <c r="C992" s="14" t="s">
        <v>12554</v>
      </c>
      <c r="D992" s="14" t="s">
        <v>12555</v>
      </c>
      <c r="E992" s="150" t="str">
        <f t="shared" si="22"/>
        <v>http://dx.doi.org/10.1109/VISUAL.2002.1183804</v>
      </c>
      <c r="F992" s="14">
        <v>427.0</v>
      </c>
      <c r="G992" s="14">
        <v>433.0</v>
      </c>
      <c r="H992" s="14" t="s">
        <v>28</v>
      </c>
      <c r="I992" s="14"/>
      <c r="J992" s="130" t="s">
        <v>4514</v>
      </c>
      <c r="K992" s="152" t="s">
        <v>4515</v>
      </c>
      <c r="L992" s="20" t="s">
        <v>10718</v>
      </c>
      <c r="M992" s="174" t="s">
        <v>12565</v>
      </c>
      <c r="N992" s="130" t="s">
        <v>40267</v>
      </c>
      <c r="O992" s="84"/>
      <c r="P992" s="84"/>
      <c r="Q992" s="84"/>
      <c r="R992" s="84"/>
      <c r="S992" s="84"/>
      <c r="T992" s="84"/>
      <c r="U992" s="84"/>
      <c r="V992" s="84"/>
      <c r="W992" s="84"/>
      <c r="X992" s="84"/>
    </row>
    <row r="993" ht="15.75" customHeight="1">
      <c r="A993" s="14" t="s">
        <v>17</v>
      </c>
      <c r="B993" s="14">
        <v>2002.0</v>
      </c>
      <c r="C993" s="14" t="s">
        <v>12566</v>
      </c>
      <c r="D993" s="14" t="s">
        <v>12568</v>
      </c>
      <c r="E993" s="150" t="str">
        <f t="shared" si="22"/>
        <v>http://dx.doi.org/10.1109/VISUAL.2002.1183805</v>
      </c>
      <c r="F993" s="14">
        <v>435.0</v>
      </c>
      <c r="G993" s="14">
        <v>442.0</v>
      </c>
      <c r="H993" s="14" t="s">
        <v>28</v>
      </c>
      <c r="I993" s="14"/>
      <c r="J993" s="130" t="s">
        <v>12579</v>
      </c>
      <c r="K993" s="152" t="s">
        <v>12580</v>
      </c>
      <c r="L993" s="20" t="s">
        <v>6083</v>
      </c>
      <c r="M993" s="174" t="s">
        <v>12581</v>
      </c>
      <c r="N993" s="130" t="s">
        <v>40415</v>
      </c>
      <c r="O993" s="84"/>
      <c r="P993" s="84"/>
      <c r="Q993" s="84"/>
      <c r="R993" s="84"/>
      <c r="S993" s="84"/>
      <c r="T993" s="84"/>
      <c r="U993" s="84"/>
      <c r="V993" s="84"/>
      <c r="W993" s="84"/>
      <c r="X993" s="84"/>
    </row>
    <row r="994" ht="15.75" customHeight="1">
      <c r="A994" s="14" t="s">
        <v>17</v>
      </c>
      <c r="B994" s="14">
        <v>2002.0</v>
      </c>
      <c r="C994" s="14" t="s">
        <v>12583</v>
      </c>
      <c r="D994" s="14" t="s">
        <v>12586</v>
      </c>
      <c r="E994" s="150" t="str">
        <f t="shared" si="22"/>
        <v>http://dx.doi.org/10.1109/VISUAL.2002.1183806</v>
      </c>
      <c r="F994" s="14">
        <v>443.0</v>
      </c>
      <c r="G994" s="14">
        <v>450.0</v>
      </c>
      <c r="H994" s="14" t="s">
        <v>28</v>
      </c>
      <c r="I994" s="14"/>
      <c r="J994" s="130" t="s">
        <v>12596</v>
      </c>
      <c r="K994" s="152" t="s">
        <v>12598</v>
      </c>
      <c r="L994" s="20" t="s">
        <v>12599</v>
      </c>
      <c r="M994" s="174" t="s">
        <v>12600</v>
      </c>
      <c r="N994" s="130" t="s">
        <v>40416</v>
      </c>
      <c r="O994" s="84"/>
      <c r="P994" s="84"/>
      <c r="Q994" s="84"/>
      <c r="R994" s="84"/>
      <c r="S994" s="84"/>
      <c r="T994" s="84"/>
      <c r="U994" s="84"/>
      <c r="V994" s="84"/>
      <c r="W994" s="84"/>
      <c r="X994" s="84"/>
    </row>
    <row r="995" ht="15.75" customHeight="1">
      <c r="A995" s="14" t="s">
        <v>17</v>
      </c>
      <c r="B995" s="14">
        <v>2002.0</v>
      </c>
      <c r="C995" s="14" t="s">
        <v>12601</v>
      </c>
      <c r="D995" s="14" t="s">
        <v>12602</v>
      </c>
      <c r="E995" s="150" t="str">
        <f t="shared" si="22"/>
        <v>http://dx.doi.org/10.1109/VISUAL.2002.1183807</v>
      </c>
      <c r="F995" s="14">
        <v>451.0</v>
      </c>
      <c r="G995" s="14">
        <v>458.0</v>
      </c>
      <c r="H995" s="14" t="s">
        <v>28</v>
      </c>
      <c r="I995" s="14"/>
      <c r="J995" s="130" t="s">
        <v>12610</v>
      </c>
      <c r="K995" s="152" t="s">
        <v>1158</v>
      </c>
      <c r="L995" s="20" t="s">
        <v>12611</v>
      </c>
      <c r="M995" s="174" t="s">
        <v>12612</v>
      </c>
      <c r="N995" s="130" t="s">
        <v>40419</v>
      </c>
      <c r="O995" s="84"/>
      <c r="P995" s="84"/>
      <c r="Q995" s="84"/>
      <c r="R995" s="84"/>
      <c r="S995" s="84"/>
      <c r="T995" s="84"/>
      <c r="U995" s="84"/>
      <c r="V995" s="84"/>
      <c r="W995" s="84"/>
      <c r="X995" s="84"/>
    </row>
    <row r="996" ht="15.75" customHeight="1">
      <c r="A996" s="14" t="s">
        <v>17</v>
      </c>
      <c r="B996" s="14">
        <v>2002.0</v>
      </c>
      <c r="C996" s="14" t="s">
        <v>12613</v>
      </c>
      <c r="D996" s="14" t="s">
        <v>12614</v>
      </c>
      <c r="E996" s="150" t="str">
        <f t="shared" si="22"/>
        <v>http://dx.doi.org/10.1109/VISUAL.2002.1183808</v>
      </c>
      <c r="F996" s="14">
        <v>459.0</v>
      </c>
      <c r="G996" s="14">
        <v>466.0</v>
      </c>
      <c r="H996" s="14" t="s">
        <v>28</v>
      </c>
      <c r="I996" s="14"/>
      <c r="J996" s="130" t="s">
        <v>12624</v>
      </c>
      <c r="K996" s="152" t="s">
        <v>12625</v>
      </c>
      <c r="L996" s="20" t="s">
        <v>536</v>
      </c>
      <c r="M996" s="174" t="s">
        <v>12626</v>
      </c>
      <c r="N996" s="130" t="s">
        <v>40125</v>
      </c>
      <c r="O996" s="84"/>
      <c r="P996" s="84"/>
      <c r="Q996" s="84"/>
      <c r="R996" s="84"/>
      <c r="S996" s="84"/>
      <c r="T996" s="84"/>
      <c r="U996" s="84"/>
      <c r="V996" s="84"/>
      <c r="W996" s="84"/>
      <c r="X996" s="84"/>
    </row>
    <row r="997" ht="15.75" customHeight="1">
      <c r="A997" s="14" t="s">
        <v>17</v>
      </c>
      <c r="B997" s="14">
        <v>2002.0</v>
      </c>
      <c r="C997" s="14" t="s">
        <v>12627</v>
      </c>
      <c r="D997" s="14" t="s">
        <v>12628</v>
      </c>
      <c r="E997" s="150" t="str">
        <f t="shared" si="22"/>
        <v>http://dx.doi.org/10.1109/VISUAL.2002.1183809</v>
      </c>
      <c r="F997" s="14">
        <v>467.0</v>
      </c>
      <c r="G997" s="14">
        <v>474.0</v>
      </c>
      <c r="H997" s="14" t="s">
        <v>28</v>
      </c>
      <c r="I997" s="14"/>
      <c r="J997" s="130" t="s">
        <v>12633</v>
      </c>
      <c r="K997" s="152" t="s">
        <v>12634</v>
      </c>
      <c r="L997" s="20" t="s">
        <v>12635</v>
      </c>
      <c r="M997" s="174" t="s">
        <v>12636</v>
      </c>
      <c r="N997" s="130" t="s">
        <v>40422</v>
      </c>
      <c r="O997" s="84"/>
      <c r="P997" s="84"/>
      <c r="Q997" s="84"/>
      <c r="R997" s="84"/>
      <c r="S997" s="84"/>
      <c r="T997" s="84"/>
      <c r="U997" s="84"/>
      <c r="V997" s="84"/>
      <c r="W997" s="84"/>
      <c r="X997" s="84"/>
    </row>
    <row r="998" ht="15.75" customHeight="1">
      <c r="A998" s="14" t="s">
        <v>17</v>
      </c>
      <c r="B998" s="14">
        <v>2002.0</v>
      </c>
      <c r="C998" s="14" t="s">
        <v>12637</v>
      </c>
      <c r="D998" s="14" t="s">
        <v>12638</v>
      </c>
      <c r="E998" s="150" t="str">
        <f t="shared" si="22"/>
        <v>http://dx.doi.org/10.1109/VISUAL.2002.1183810</v>
      </c>
      <c r="F998" s="14">
        <v>475.0</v>
      </c>
      <c r="G998" s="14">
        <v>482.0</v>
      </c>
      <c r="H998" s="14" t="s">
        <v>28</v>
      </c>
      <c r="I998" s="14"/>
      <c r="J998" s="130" t="s">
        <v>12640</v>
      </c>
      <c r="K998" s="152" t="s">
        <v>12641</v>
      </c>
      <c r="L998" s="20" t="s">
        <v>12642</v>
      </c>
      <c r="M998" s="174" t="s">
        <v>12643</v>
      </c>
      <c r="N998" s="130" t="s">
        <v>40423</v>
      </c>
      <c r="O998" s="84"/>
      <c r="P998" s="84"/>
      <c r="Q998" s="84"/>
      <c r="R998" s="84"/>
      <c r="S998" s="84"/>
      <c r="T998" s="84"/>
      <c r="U998" s="84"/>
      <c r="V998" s="84"/>
      <c r="W998" s="84"/>
      <c r="X998" s="84"/>
    </row>
    <row r="999" ht="15.75" customHeight="1">
      <c r="A999" s="14" t="s">
        <v>17</v>
      </c>
      <c r="B999" s="14">
        <v>2002.0</v>
      </c>
      <c r="C999" s="14" t="s">
        <v>12644</v>
      </c>
      <c r="D999" s="14" t="s">
        <v>12645</v>
      </c>
      <c r="E999" s="150" t="str">
        <f t="shared" si="22"/>
        <v>http://dx.doi.org/10.1109/VISUAL.2002.1183811</v>
      </c>
      <c r="F999" s="14">
        <v>485.0</v>
      </c>
      <c r="G999" s="14">
        <v>488.0</v>
      </c>
      <c r="H999" s="14" t="s">
        <v>28</v>
      </c>
      <c r="I999" s="14"/>
      <c r="J999" s="130" t="s">
        <v>12651</v>
      </c>
      <c r="K999" s="152" t="s">
        <v>12652</v>
      </c>
      <c r="L999" s="20" t="s">
        <v>12653</v>
      </c>
      <c r="M999" s="174" t="s">
        <v>12654</v>
      </c>
      <c r="N999" s="130" t="s">
        <v>40427</v>
      </c>
      <c r="O999" s="84"/>
      <c r="P999" s="84"/>
      <c r="Q999" s="84"/>
      <c r="R999" s="84"/>
      <c r="S999" s="84"/>
      <c r="T999" s="84"/>
      <c r="U999" s="84"/>
      <c r="V999" s="84"/>
      <c r="W999" s="84"/>
      <c r="X999" s="84"/>
    </row>
    <row r="1000" ht="15.75" customHeight="1">
      <c r="A1000" s="14" t="s">
        <v>17</v>
      </c>
      <c r="B1000" s="14">
        <v>2002.0</v>
      </c>
      <c r="C1000" s="14" t="s">
        <v>12655</v>
      </c>
      <c r="D1000" s="14" t="s">
        <v>12656</v>
      </c>
      <c r="E1000" s="150" t="str">
        <f t="shared" si="22"/>
        <v>http://dx.doi.org/10.1109/VISUAL.2002.1183812</v>
      </c>
      <c r="F1000" s="14">
        <v>489.0</v>
      </c>
      <c r="G1000" s="14">
        <v>492.0</v>
      </c>
      <c r="H1000" s="14" t="s">
        <v>28</v>
      </c>
      <c r="I1000" s="14"/>
      <c r="J1000" s="130" t="s">
        <v>40428</v>
      </c>
      <c r="K1000" s="152" t="s">
        <v>12662</v>
      </c>
      <c r="L1000" s="20" t="s">
        <v>12663</v>
      </c>
      <c r="M1000" s="174" t="s">
        <v>12664</v>
      </c>
      <c r="N1000" s="130" t="s">
        <v>40429</v>
      </c>
      <c r="O1000" s="84"/>
      <c r="P1000" s="84"/>
      <c r="Q1000" s="84"/>
      <c r="R1000" s="84"/>
      <c r="S1000" s="84"/>
      <c r="T1000" s="84"/>
      <c r="U1000" s="84"/>
      <c r="V1000" s="84"/>
      <c r="W1000" s="84"/>
      <c r="X1000" s="84"/>
    </row>
    <row r="1001" ht="15.75" customHeight="1">
      <c r="A1001" s="14" t="s">
        <v>17</v>
      </c>
      <c r="B1001" s="14">
        <v>2002.0</v>
      </c>
      <c r="C1001" s="14" t="s">
        <v>12665</v>
      </c>
      <c r="D1001" s="14" t="s">
        <v>12666</v>
      </c>
      <c r="E1001" s="150" t="str">
        <f t="shared" si="22"/>
        <v>http://dx.doi.org/10.1109/VISUAL.2002.1183813</v>
      </c>
      <c r="F1001" s="14">
        <v>493.0</v>
      </c>
      <c r="G1001" s="14">
        <v>496.0</v>
      </c>
      <c r="H1001" s="14" t="s">
        <v>28</v>
      </c>
      <c r="I1001" s="14"/>
      <c r="J1001" s="130" t="s">
        <v>12671</v>
      </c>
      <c r="K1001" s="152" t="s">
        <v>12672</v>
      </c>
      <c r="L1001" s="20" t="s">
        <v>25</v>
      </c>
      <c r="M1001" s="174" t="s">
        <v>12673</v>
      </c>
      <c r="N1001" s="130" t="s">
        <v>40433</v>
      </c>
      <c r="O1001" s="84"/>
      <c r="P1001" s="84"/>
      <c r="Q1001" s="84"/>
      <c r="R1001" s="84"/>
      <c r="S1001" s="84"/>
      <c r="T1001" s="84"/>
      <c r="U1001" s="84"/>
      <c r="V1001" s="84"/>
      <c r="W1001" s="84"/>
      <c r="X1001" s="84"/>
    </row>
    <row r="1002" ht="15.75" customHeight="1">
      <c r="A1002" s="14" t="s">
        <v>17</v>
      </c>
      <c r="B1002" s="14">
        <v>2002.0</v>
      </c>
      <c r="C1002" s="14" t="s">
        <v>12674</v>
      </c>
      <c r="D1002" s="14" t="s">
        <v>12675</v>
      </c>
      <c r="E1002" s="150" t="str">
        <f t="shared" si="22"/>
        <v>http://dx.doi.org/10.1109/VISUAL.2002.1183814</v>
      </c>
      <c r="F1002" s="14">
        <v>497.0</v>
      </c>
      <c r="G1002" s="14">
        <v>500.0</v>
      </c>
      <c r="H1002" s="14" t="s">
        <v>28</v>
      </c>
      <c r="I1002" s="14"/>
      <c r="J1002" s="130" t="s">
        <v>12682</v>
      </c>
      <c r="K1002" s="152" t="s">
        <v>12683</v>
      </c>
      <c r="L1002" s="20" t="s">
        <v>12684</v>
      </c>
      <c r="M1002" s="174" t="s">
        <v>12130</v>
      </c>
      <c r="N1002" s="130" t="s">
        <v>40434</v>
      </c>
      <c r="O1002" s="84"/>
      <c r="P1002" s="84"/>
      <c r="Q1002" s="84"/>
      <c r="R1002" s="84"/>
      <c r="S1002" s="84"/>
      <c r="T1002" s="84"/>
      <c r="U1002" s="84"/>
      <c r="V1002" s="84"/>
      <c r="W1002" s="84"/>
      <c r="X1002" s="84"/>
    </row>
    <row r="1003" ht="15.75" customHeight="1">
      <c r="A1003" s="14" t="s">
        <v>17</v>
      </c>
      <c r="B1003" s="14">
        <v>2002.0</v>
      </c>
      <c r="C1003" s="14" t="s">
        <v>12685</v>
      </c>
      <c r="D1003" s="14" t="s">
        <v>12686</v>
      </c>
      <c r="E1003" s="150" t="str">
        <f t="shared" si="22"/>
        <v>http://dx.doi.org/10.1109/VISUAL.2002.1183815</v>
      </c>
      <c r="F1003" s="14">
        <v>501.0</v>
      </c>
      <c r="G1003" s="14">
        <v>504.0</v>
      </c>
      <c r="H1003" s="14" t="s">
        <v>28</v>
      </c>
      <c r="I1003" s="14"/>
      <c r="J1003" s="130" t="s">
        <v>12693</v>
      </c>
      <c r="K1003" s="152" t="s">
        <v>12694</v>
      </c>
      <c r="L1003" s="20" t="s">
        <v>3859</v>
      </c>
      <c r="M1003" s="174" t="s">
        <v>12695</v>
      </c>
      <c r="N1003" s="130" t="s">
        <v>40435</v>
      </c>
      <c r="O1003" s="84"/>
      <c r="P1003" s="84"/>
      <c r="Q1003" s="84"/>
      <c r="R1003" s="84"/>
      <c r="S1003" s="84"/>
      <c r="T1003" s="84"/>
      <c r="U1003" s="84"/>
      <c r="V1003" s="84"/>
      <c r="W1003" s="84"/>
      <c r="X1003" s="84"/>
    </row>
    <row r="1004" ht="15.75" customHeight="1">
      <c r="A1004" s="14" t="s">
        <v>17</v>
      </c>
      <c r="B1004" s="14">
        <v>2002.0</v>
      </c>
      <c r="C1004" s="14" t="s">
        <v>12696</v>
      </c>
      <c r="D1004" s="14" t="s">
        <v>12697</v>
      </c>
      <c r="E1004" s="150" t="str">
        <f t="shared" si="22"/>
        <v>http://dx.doi.org/10.1109/VISUAL.2002.1183816</v>
      </c>
      <c r="F1004" s="14">
        <v>505.0</v>
      </c>
      <c r="G1004" s="14">
        <v>508.0</v>
      </c>
      <c r="H1004" s="14" t="s">
        <v>28</v>
      </c>
      <c r="I1004" s="14"/>
      <c r="J1004" s="130" t="s">
        <v>12699</v>
      </c>
      <c r="K1004" s="152" t="s">
        <v>4927</v>
      </c>
      <c r="L1004" s="20"/>
      <c r="M1004" s="174" t="s">
        <v>12700</v>
      </c>
      <c r="N1004" s="130" t="s">
        <v>40439</v>
      </c>
      <c r="O1004" s="84"/>
      <c r="P1004" s="84"/>
      <c r="Q1004" s="84"/>
      <c r="R1004" s="84"/>
      <c r="S1004" s="84"/>
      <c r="T1004" s="84"/>
      <c r="U1004" s="84"/>
      <c r="V1004" s="84"/>
      <c r="W1004" s="84"/>
      <c r="X1004" s="84"/>
    </row>
    <row r="1005" ht="15.75" customHeight="1">
      <c r="A1005" s="14" t="s">
        <v>17</v>
      </c>
      <c r="B1005" s="14">
        <v>2002.0</v>
      </c>
      <c r="C1005" s="14" t="s">
        <v>12701</v>
      </c>
      <c r="D1005" s="14" t="s">
        <v>12702</v>
      </c>
      <c r="E1005" s="150" t="str">
        <f t="shared" si="22"/>
        <v>http://dx.doi.org/10.1109/VISUAL.2002.1183817</v>
      </c>
      <c r="F1005" s="14">
        <v>509.0</v>
      </c>
      <c r="G1005" s="14">
        <v>512.0</v>
      </c>
      <c r="H1005" s="14" t="s">
        <v>28</v>
      </c>
      <c r="I1005" s="14"/>
      <c r="J1005" s="130" t="s">
        <v>12707</v>
      </c>
      <c r="K1005" s="152" t="s">
        <v>12708</v>
      </c>
      <c r="L1005" s="20"/>
      <c r="M1005" s="174" t="s">
        <v>12709</v>
      </c>
      <c r="N1005" s="130" t="s">
        <v>39880</v>
      </c>
      <c r="O1005" s="84"/>
      <c r="P1005" s="84"/>
      <c r="Q1005" s="84"/>
      <c r="R1005" s="84"/>
      <c r="S1005" s="84"/>
      <c r="T1005" s="84"/>
      <c r="U1005" s="84"/>
      <c r="V1005" s="84"/>
      <c r="W1005" s="84"/>
      <c r="X1005" s="84"/>
    </row>
    <row r="1006" ht="15.75" customHeight="1">
      <c r="A1006" s="14" t="s">
        <v>17</v>
      </c>
      <c r="B1006" s="14">
        <v>2002.0</v>
      </c>
      <c r="C1006" s="14" t="s">
        <v>12710</v>
      </c>
      <c r="D1006" s="14" t="s">
        <v>12711</v>
      </c>
      <c r="E1006" s="150" t="str">
        <f t="shared" si="22"/>
        <v>http://dx.doi.org/10.1109/VISUAL.2002.1183818</v>
      </c>
      <c r="F1006" s="14">
        <v>513.0</v>
      </c>
      <c r="G1006" s="14">
        <v>516.0</v>
      </c>
      <c r="H1006" s="14" t="s">
        <v>28</v>
      </c>
      <c r="I1006" s="14"/>
      <c r="J1006" s="130" t="s">
        <v>12715</v>
      </c>
      <c r="K1006" s="152" t="s">
        <v>12717</v>
      </c>
      <c r="L1006" s="20"/>
      <c r="M1006" s="174" t="s">
        <v>12719</v>
      </c>
      <c r="N1006" s="130" t="s">
        <v>40440</v>
      </c>
      <c r="O1006" s="84"/>
      <c r="P1006" s="84"/>
      <c r="Q1006" s="84"/>
      <c r="R1006" s="84"/>
      <c r="S1006" s="84"/>
      <c r="T1006" s="84"/>
      <c r="U1006" s="84"/>
      <c r="V1006" s="84"/>
      <c r="W1006" s="84"/>
      <c r="X1006" s="84"/>
    </row>
    <row r="1007" ht="15.75" customHeight="1">
      <c r="A1007" s="14" t="s">
        <v>17</v>
      </c>
      <c r="B1007" s="14">
        <v>2002.0</v>
      </c>
      <c r="C1007" s="14" t="s">
        <v>12721</v>
      </c>
      <c r="D1007" s="14" t="s">
        <v>12722</v>
      </c>
      <c r="E1007" s="150" t="str">
        <f t="shared" si="22"/>
        <v>http://dx.doi.org/10.1109/VISUAL.2002.1183819</v>
      </c>
      <c r="F1007" s="14">
        <v>517.0</v>
      </c>
      <c r="G1007" s="14">
        <v>520.0</v>
      </c>
      <c r="H1007" s="14" t="s">
        <v>28</v>
      </c>
      <c r="I1007" s="14"/>
      <c r="J1007" s="130" t="s">
        <v>12726</v>
      </c>
      <c r="K1007" s="152" t="s">
        <v>12727</v>
      </c>
      <c r="L1007" s="20" t="s">
        <v>12728</v>
      </c>
      <c r="M1007" s="174" t="s">
        <v>12729</v>
      </c>
      <c r="N1007" s="152" t="s">
        <v>12727</v>
      </c>
      <c r="O1007" s="84"/>
      <c r="P1007" s="84"/>
      <c r="Q1007" s="84"/>
      <c r="R1007" s="84"/>
      <c r="S1007" s="84"/>
      <c r="T1007" s="84"/>
      <c r="U1007" s="84"/>
      <c r="V1007" s="84"/>
      <c r="W1007" s="84"/>
      <c r="X1007" s="84"/>
    </row>
    <row r="1008" ht="15.75" customHeight="1">
      <c r="A1008" s="14" t="s">
        <v>17</v>
      </c>
      <c r="B1008" s="14">
        <v>2002.0</v>
      </c>
      <c r="C1008" s="14" t="s">
        <v>12730</v>
      </c>
      <c r="D1008" s="14" t="s">
        <v>12731</v>
      </c>
      <c r="E1008" s="150" t="str">
        <f t="shared" si="22"/>
        <v>http://dx.doi.org/10.1109/VISUAL.2002.1183820</v>
      </c>
      <c r="F1008" s="14">
        <v>521.0</v>
      </c>
      <c r="G1008" s="14">
        <v>524.0</v>
      </c>
      <c r="H1008" s="14" t="s">
        <v>28</v>
      </c>
      <c r="I1008" s="14"/>
      <c r="J1008" s="130" t="s">
        <v>12740</v>
      </c>
      <c r="K1008" s="152" t="s">
        <v>12741</v>
      </c>
      <c r="L1008" s="20" t="s">
        <v>1558</v>
      </c>
      <c r="M1008" s="174" t="s">
        <v>12742</v>
      </c>
      <c r="N1008" s="130" t="s">
        <v>40443</v>
      </c>
      <c r="O1008" s="84"/>
      <c r="P1008" s="84"/>
      <c r="Q1008" s="84"/>
      <c r="R1008" s="84"/>
      <c r="S1008" s="84"/>
      <c r="T1008" s="84"/>
      <c r="U1008" s="84"/>
      <c r="V1008" s="84"/>
      <c r="W1008" s="84"/>
      <c r="X1008" s="84"/>
    </row>
    <row r="1009" ht="15.75" customHeight="1">
      <c r="A1009" s="14" t="s">
        <v>17</v>
      </c>
      <c r="B1009" s="14">
        <v>2002.0</v>
      </c>
      <c r="C1009" s="14" t="s">
        <v>12743</v>
      </c>
      <c r="D1009" s="14" t="s">
        <v>12744</v>
      </c>
      <c r="E1009" s="150" t="str">
        <f t="shared" si="22"/>
        <v>http://dx.doi.org/10.1109/VISUAL.2002.1183821</v>
      </c>
      <c r="F1009" s="14">
        <v>525.0</v>
      </c>
      <c r="G1009" s="14">
        <v>528.0</v>
      </c>
      <c r="H1009" s="14" t="s">
        <v>28</v>
      </c>
      <c r="I1009" s="14"/>
      <c r="J1009" s="130" t="s">
        <v>12753</v>
      </c>
      <c r="K1009" s="152" t="s">
        <v>12754</v>
      </c>
      <c r="L1009" s="20" t="s">
        <v>12755</v>
      </c>
      <c r="M1009" s="174" t="s">
        <v>12756</v>
      </c>
      <c r="N1009" s="152" t="s">
        <v>12754</v>
      </c>
      <c r="O1009" s="84"/>
      <c r="P1009" s="84"/>
      <c r="Q1009" s="84"/>
      <c r="R1009" s="84"/>
      <c r="S1009" s="84"/>
      <c r="T1009" s="84"/>
      <c r="U1009" s="84"/>
      <c r="V1009" s="84"/>
      <c r="W1009" s="84"/>
      <c r="X1009" s="84"/>
    </row>
    <row r="1010" ht="15.75" customHeight="1">
      <c r="A1010" s="14" t="s">
        <v>17</v>
      </c>
      <c r="B1010" s="14">
        <v>2002.0</v>
      </c>
      <c r="C1010" s="14" t="s">
        <v>12757</v>
      </c>
      <c r="D1010" s="14" t="s">
        <v>12758</v>
      </c>
      <c r="E1010" s="150" t="str">
        <f t="shared" si="22"/>
        <v>http://dx.doi.org/10.1109/VISUAL.2002.1183822</v>
      </c>
      <c r="F1010" s="14">
        <v>529.0</v>
      </c>
      <c r="G1010" s="14">
        <v>532.0</v>
      </c>
      <c r="H1010" s="14" t="s">
        <v>28</v>
      </c>
      <c r="I1010" s="14"/>
      <c r="J1010" s="130" t="s">
        <v>12762</v>
      </c>
      <c r="K1010" s="152" t="s">
        <v>12763</v>
      </c>
      <c r="L1010" s="20" t="s">
        <v>12764</v>
      </c>
      <c r="M1010" s="174" t="s">
        <v>12765</v>
      </c>
      <c r="N1010" s="130" t="s">
        <v>40447</v>
      </c>
      <c r="O1010" s="84"/>
      <c r="P1010" s="84"/>
      <c r="Q1010" s="84"/>
      <c r="R1010" s="84"/>
      <c r="S1010" s="84"/>
      <c r="T1010" s="84"/>
      <c r="U1010" s="84"/>
      <c r="V1010" s="84"/>
      <c r="W1010" s="84"/>
      <c r="X1010" s="84"/>
    </row>
    <row r="1011" ht="15.75" customHeight="1">
      <c r="A1011" s="14" t="s">
        <v>17</v>
      </c>
      <c r="B1011" s="14">
        <v>2002.0</v>
      </c>
      <c r="C1011" s="14" t="s">
        <v>12766</v>
      </c>
      <c r="D1011" s="14" t="s">
        <v>12767</v>
      </c>
      <c r="E1011" s="150" t="str">
        <f t="shared" si="22"/>
        <v>http://dx.doi.org/10.1109/VISUAL.2002.1183823</v>
      </c>
      <c r="F1011" s="14">
        <v>533.0</v>
      </c>
      <c r="G1011" s="14">
        <v>536.0</v>
      </c>
      <c r="H1011" s="14" t="s">
        <v>28</v>
      </c>
      <c r="I1011" s="14"/>
      <c r="J1011" s="130" t="s">
        <v>12772</v>
      </c>
      <c r="K1011" s="152" t="s">
        <v>12773</v>
      </c>
      <c r="L1011" s="20" t="s">
        <v>12774</v>
      </c>
      <c r="M1011" s="174" t="s">
        <v>12775</v>
      </c>
      <c r="N1011" s="130" t="s">
        <v>40448</v>
      </c>
      <c r="O1011" s="84"/>
      <c r="P1011" s="84"/>
      <c r="Q1011" s="84"/>
      <c r="R1011" s="84"/>
      <c r="S1011" s="84"/>
      <c r="T1011" s="84"/>
      <c r="U1011" s="84"/>
      <c r="V1011" s="84"/>
      <c r="W1011" s="84"/>
      <c r="X1011" s="84"/>
    </row>
    <row r="1012" ht="15.75" customHeight="1">
      <c r="A1012" s="14" t="s">
        <v>17</v>
      </c>
      <c r="B1012" s="14">
        <v>2002.0</v>
      </c>
      <c r="C1012" s="14" t="s">
        <v>12776</v>
      </c>
      <c r="D1012" s="14" t="s">
        <v>12777</v>
      </c>
      <c r="E1012" s="150" t="str">
        <f t="shared" si="22"/>
        <v>http://dx.doi.org/10.1109/VISUAL.2002.1183824</v>
      </c>
      <c r="F1012" s="14">
        <v>537.0</v>
      </c>
      <c r="G1012" s="14">
        <v>540.0</v>
      </c>
      <c r="H1012" s="14" t="s">
        <v>28</v>
      </c>
      <c r="I1012" s="14"/>
      <c r="J1012" s="130" t="s">
        <v>14419</v>
      </c>
      <c r="K1012" s="152" t="s">
        <v>12780</v>
      </c>
      <c r="L1012" s="20" t="s">
        <v>12731</v>
      </c>
      <c r="M1012" s="174" t="s">
        <v>12781</v>
      </c>
      <c r="N1012" s="130" t="s">
        <v>40451</v>
      </c>
      <c r="O1012" s="84"/>
      <c r="P1012" s="84"/>
      <c r="Q1012" s="84"/>
      <c r="R1012" s="84"/>
      <c r="S1012" s="84"/>
      <c r="T1012" s="84"/>
      <c r="U1012" s="84"/>
      <c r="V1012" s="84"/>
      <c r="W1012" s="84"/>
      <c r="X1012" s="84"/>
    </row>
    <row r="1013" ht="15.75" customHeight="1">
      <c r="A1013" s="14" t="s">
        <v>17</v>
      </c>
      <c r="B1013" s="14">
        <v>2002.0</v>
      </c>
      <c r="C1013" s="14" t="s">
        <v>12782</v>
      </c>
      <c r="D1013" s="14" t="s">
        <v>12783</v>
      </c>
      <c r="E1013" s="150" t="str">
        <f t="shared" si="22"/>
        <v>http://dx.doi.org/10.1109/VISUAL.2002.1183825</v>
      </c>
      <c r="F1013" s="14">
        <v>541.0</v>
      </c>
      <c r="G1013" s="14">
        <v>544.0</v>
      </c>
      <c r="H1013" s="14" t="s">
        <v>28</v>
      </c>
      <c r="I1013" s="14"/>
      <c r="J1013" s="130" t="s">
        <v>12787</v>
      </c>
      <c r="K1013" s="152" t="s">
        <v>178</v>
      </c>
      <c r="L1013" s="20"/>
      <c r="M1013" s="174" t="s">
        <v>12789</v>
      </c>
      <c r="N1013" s="130"/>
      <c r="O1013" s="84"/>
      <c r="P1013" s="84"/>
      <c r="Q1013" s="84"/>
      <c r="R1013" s="84"/>
      <c r="S1013" s="84"/>
      <c r="T1013" s="84"/>
      <c r="U1013" s="84"/>
      <c r="V1013" s="84"/>
      <c r="W1013" s="84"/>
      <c r="X1013" s="84"/>
    </row>
    <row r="1014" ht="15.75" customHeight="1">
      <c r="A1014" s="14" t="s">
        <v>17</v>
      </c>
      <c r="B1014" s="14">
        <v>2002.0</v>
      </c>
      <c r="C1014" s="14" t="s">
        <v>12790</v>
      </c>
      <c r="D1014" s="14" t="s">
        <v>12791</v>
      </c>
      <c r="E1014" s="150" t="str">
        <f t="shared" si="22"/>
        <v>http://dx.doi.org/10.1109/VISUAL.2002.1183826</v>
      </c>
      <c r="F1014" s="14">
        <v>545.0</v>
      </c>
      <c r="G1014" s="14">
        <v>548.0</v>
      </c>
      <c r="H1014" s="14" t="s">
        <v>28</v>
      </c>
      <c r="I1014" s="14"/>
      <c r="J1014" s="130" t="s">
        <v>12621</v>
      </c>
      <c r="K1014" s="152" t="s">
        <v>11212</v>
      </c>
      <c r="L1014" s="20" t="s">
        <v>11166</v>
      </c>
      <c r="M1014" s="174" t="s">
        <v>12793</v>
      </c>
      <c r="N1014" s="130" t="s">
        <v>40454</v>
      </c>
      <c r="O1014" s="84"/>
      <c r="P1014" s="84"/>
      <c r="Q1014" s="84"/>
      <c r="R1014" s="84"/>
      <c r="S1014" s="84"/>
      <c r="T1014" s="84"/>
      <c r="U1014" s="84"/>
      <c r="V1014" s="84"/>
      <c r="W1014" s="84"/>
      <c r="X1014" s="84"/>
    </row>
    <row r="1015" ht="15.75" customHeight="1">
      <c r="A1015" s="14" t="s">
        <v>17</v>
      </c>
      <c r="B1015" s="14">
        <v>2002.0</v>
      </c>
      <c r="C1015" s="14" t="s">
        <v>12794</v>
      </c>
      <c r="D1015" s="14" t="s">
        <v>12795</v>
      </c>
      <c r="E1015" s="150" t="str">
        <f t="shared" si="22"/>
        <v>http://dx.doi.org/10.1109/VISUAL.2002.1183827</v>
      </c>
      <c r="F1015" s="14">
        <v>549.0</v>
      </c>
      <c r="G1015" s="14">
        <v>552.0</v>
      </c>
      <c r="H1015" s="14" t="s">
        <v>28</v>
      </c>
      <c r="I1015" s="14"/>
      <c r="J1015" s="130" t="s">
        <v>1672</v>
      </c>
      <c r="K1015" s="152" t="s">
        <v>1158</v>
      </c>
      <c r="L1015" s="20" t="s">
        <v>12803</v>
      </c>
      <c r="M1015" s="174" t="s">
        <v>12804</v>
      </c>
      <c r="N1015" s="130" t="s">
        <v>36328</v>
      </c>
      <c r="O1015" s="84"/>
      <c r="P1015" s="84"/>
      <c r="Q1015" s="84"/>
      <c r="R1015" s="84"/>
      <c r="S1015" s="84"/>
      <c r="T1015" s="84"/>
      <c r="U1015" s="84"/>
      <c r="V1015" s="84"/>
      <c r="W1015" s="84"/>
      <c r="X1015" s="84"/>
    </row>
    <row r="1016" ht="15.75" customHeight="1">
      <c r="A1016" s="14" t="s">
        <v>17</v>
      </c>
      <c r="B1016" s="14">
        <v>2002.0</v>
      </c>
      <c r="C1016" s="14" t="s">
        <v>12805</v>
      </c>
      <c r="D1016" s="14" t="s">
        <v>12806</v>
      </c>
      <c r="E1016" s="150" t="str">
        <f t="shared" si="22"/>
        <v>http://dx.doi.org/10.1109/VISUAL.2002.1183828</v>
      </c>
      <c r="F1016" s="14">
        <v>553.0</v>
      </c>
      <c r="G1016" s="14">
        <v>556.0</v>
      </c>
      <c r="H1016" s="14" t="s">
        <v>28</v>
      </c>
      <c r="I1016" s="14"/>
      <c r="J1016" s="130" t="s">
        <v>12813</v>
      </c>
      <c r="K1016" s="152" t="s">
        <v>12815</v>
      </c>
      <c r="L1016" s="20" t="s">
        <v>9761</v>
      </c>
      <c r="M1016" s="174" t="s">
        <v>12817</v>
      </c>
      <c r="N1016" s="130" t="s">
        <v>40461</v>
      </c>
      <c r="O1016" s="84"/>
      <c r="P1016" s="84"/>
      <c r="Q1016" s="84"/>
      <c r="R1016" s="84"/>
      <c r="S1016" s="84"/>
      <c r="T1016" s="84"/>
      <c r="U1016" s="84"/>
      <c r="V1016" s="84"/>
      <c r="W1016" s="84"/>
      <c r="X1016" s="84"/>
    </row>
    <row r="1017" ht="15.75" customHeight="1">
      <c r="A1017" s="14" t="s">
        <v>17</v>
      </c>
      <c r="B1017" s="14">
        <v>2002.0</v>
      </c>
      <c r="C1017" s="14" t="s">
        <v>12818</v>
      </c>
      <c r="D1017" s="14" t="s">
        <v>12819</v>
      </c>
      <c r="E1017" s="150" t="str">
        <f t="shared" si="22"/>
        <v>http://dx.doi.org/10.1109/VISUAL.2002.1183829</v>
      </c>
      <c r="F1017" s="14">
        <v>557.0</v>
      </c>
      <c r="G1017" s="14">
        <v>560.0</v>
      </c>
      <c r="H1017" s="14" t="s">
        <v>28</v>
      </c>
      <c r="I1017" s="14"/>
      <c r="J1017" s="130" t="s">
        <v>12823</v>
      </c>
      <c r="K1017" s="152" t="s">
        <v>5704</v>
      </c>
      <c r="L1017" s="20" t="s">
        <v>5346</v>
      </c>
      <c r="M1017" s="174" t="s">
        <v>12824</v>
      </c>
      <c r="N1017" s="130" t="s">
        <v>39819</v>
      </c>
      <c r="O1017" s="84"/>
      <c r="P1017" s="84"/>
      <c r="Q1017" s="84"/>
      <c r="R1017" s="84"/>
      <c r="S1017" s="84"/>
      <c r="T1017" s="84"/>
      <c r="U1017" s="84"/>
      <c r="V1017" s="84"/>
      <c r="W1017" s="84"/>
      <c r="X1017" s="84"/>
    </row>
    <row r="1018" ht="15.75" customHeight="1">
      <c r="A1018" s="14" t="s">
        <v>17</v>
      </c>
      <c r="B1018" s="14">
        <v>2002.0</v>
      </c>
      <c r="C1018" s="14" t="s">
        <v>12825</v>
      </c>
      <c r="D1018" s="14" t="s">
        <v>12826</v>
      </c>
      <c r="E1018" s="150" t="str">
        <f t="shared" si="22"/>
        <v>http://dx.doi.org/10.1109/VISUAL.2002.1183830</v>
      </c>
      <c r="F1018" s="14">
        <v>561.0</v>
      </c>
      <c r="G1018" s="14">
        <v>564.0</v>
      </c>
      <c r="H1018" s="14" t="s">
        <v>28</v>
      </c>
      <c r="I1018" s="14"/>
      <c r="J1018" s="130" t="s">
        <v>3753</v>
      </c>
      <c r="K1018" s="152"/>
      <c r="L1018" s="20"/>
      <c r="M1018" s="174" t="s">
        <v>12833</v>
      </c>
      <c r="N1018" s="130" t="s">
        <v>38556</v>
      </c>
      <c r="O1018" s="84"/>
      <c r="P1018" s="84"/>
      <c r="Q1018" s="84"/>
      <c r="R1018" s="84"/>
      <c r="S1018" s="84"/>
      <c r="T1018" s="84"/>
      <c r="U1018" s="84"/>
      <c r="V1018" s="84"/>
      <c r="W1018" s="84"/>
      <c r="X1018" s="84"/>
    </row>
    <row r="1019" ht="15.75" customHeight="1">
      <c r="A1019" s="14" t="s">
        <v>2137</v>
      </c>
      <c r="B1019" s="14">
        <v>2003.0</v>
      </c>
      <c r="C1019" s="14" t="s">
        <v>12836</v>
      </c>
      <c r="D1019" s="14" t="s">
        <v>12837</v>
      </c>
      <c r="E1019" s="150" t="str">
        <f t="shared" si="22"/>
        <v>http://dx.doi.org/10.1109/INFVIS.2003.1249000</v>
      </c>
      <c r="F1019" s="14"/>
      <c r="G1019" s="14"/>
      <c r="H1019" s="14" t="s">
        <v>21</v>
      </c>
      <c r="I1019" s="14"/>
      <c r="J1019" s="30" t="s">
        <v>12842</v>
      </c>
      <c r="K1019" s="152"/>
      <c r="L1019" s="20"/>
      <c r="M1019" s="16"/>
      <c r="N1019" s="130"/>
      <c r="O1019" s="84"/>
      <c r="P1019" s="84"/>
      <c r="Q1019" s="84"/>
      <c r="R1019" s="84"/>
      <c r="S1019" s="84"/>
      <c r="T1019" s="84"/>
      <c r="U1019" s="84"/>
      <c r="V1019" s="84"/>
      <c r="W1019" s="84"/>
      <c r="X1019" s="84"/>
    </row>
    <row r="1020" ht="15.75" customHeight="1">
      <c r="A1020" s="14" t="s">
        <v>2137</v>
      </c>
      <c r="B1020" s="14">
        <v>2003.0</v>
      </c>
      <c r="C1020" s="14" t="s">
        <v>12843</v>
      </c>
      <c r="D1020" s="14" t="s">
        <v>12844</v>
      </c>
      <c r="E1020" s="150" t="str">
        <f t="shared" si="22"/>
        <v>http://dx.doi.org/10.1109/INFVIS.2003.1249001</v>
      </c>
      <c r="F1020" s="14">
        <v>3.0</v>
      </c>
      <c r="G1020" s="14">
        <v>3.0</v>
      </c>
      <c r="H1020" s="14" t="s">
        <v>21</v>
      </c>
      <c r="I1020" s="14"/>
      <c r="J1020" s="130" t="s">
        <v>12848</v>
      </c>
      <c r="K1020" s="152" t="s">
        <v>12849</v>
      </c>
      <c r="L1020" s="20"/>
      <c r="M1020" s="16"/>
      <c r="N1020" s="152" t="s">
        <v>12849</v>
      </c>
      <c r="O1020" s="84"/>
      <c r="P1020" s="84"/>
      <c r="Q1020" s="84"/>
      <c r="R1020" s="84"/>
      <c r="S1020" s="84"/>
      <c r="T1020" s="84"/>
      <c r="U1020" s="84"/>
      <c r="V1020" s="84"/>
      <c r="W1020" s="84"/>
      <c r="X1020" s="84"/>
    </row>
    <row r="1021" ht="15.75" customHeight="1">
      <c r="A1021" s="14" t="s">
        <v>2137</v>
      </c>
      <c r="B1021" s="14">
        <v>2003.0</v>
      </c>
      <c r="C1021" s="14" t="s">
        <v>12850</v>
      </c>
      <c r="D1021" s="14" t="s">
        <v>12851</v>
      </c>
      <c r="E1021" s="150" t="str">
        <f t="shared" si="22"/>
        <v>http://dx.doi.org/10.1109/INFVIS.2003.1249002</v>
      </c>
      <c r="F1021" s="14">
        <v>7.0</v>
      </c>
      <c r="G1021" s="14"/>
      <c r="H1021" s="14" t="s">
        <v>21</v>
      </c>
      <c r="I1021" s="14"/>
      <c r="J1021" s="130" t="s">
        <v>12853</v>
      </c>
      <c r="K1021" s="152" t="s">
        <v>12854</v>
      </c>
      <c r="L1021" s="20"/>
      <c r="M1021" s="16"/>
      <c r="N1021" s="152" t="s">
        <v>12854</v>
      </c>
      <c r="O1021" s="84"/>
      <c r="P1021" s="84"/>
      <c r="Q1021" s="84"/>
      <c r="R1021" s="84"/>
      <c r="S1021" s="84"/>
      <c r="T1021" s="84"/>
      <c r="U1021" s="84"/>
      <c r="V1021" s="84"/>
      <c r="W1021" s="84"/>
      <c r="X1021" s="84"/>
    </row>
    <row r="1022" ht="15.75" customHeight="1">
      <c r="A1022" s="14" t="s">
        <v>2137</v>
      </c>
      <c r="B1022" s="14">
        <v>2003.0</v>
      </c>
      <c r="C1022" s="14" t="s">
        <v>12855</v>
      </c>
      <c r="D1022" s="14" t="s">
        <v>12856</v>
      </c>
      <c r="E1022" s="150" t="str">
        <f t="shared" si="22"/>
        <v>http://dx.doi.org/10.1109/INFVIS.2003.1249003</v>
      </c>
      <c r="F1022" s="14">
        <v>11.0</v>
      </c>
      <c r="G1022" s="14">
        <v>11.0</v>
      </c>
      <c r="H1022" s="14" t="s">
        <v>21</v>
      </c>
      <c r="I1022" s="14"/>
      <c r="J1022" s="130" t="s">
        <v>12858</v>
      </c>
      <c r="K1022" s="152" t="s">
        <v>12859</v>
      </c>
      <c r="L1022" s="20"/>
      <c r="M1022" s="16"/>
      <c r="N1022" s="152" t="s">
        <v>12859</v>
      </c>
      <c r="O1022" s="84"/>
      <c r="P1022" s="84"/>
      <c r="Q1022" s="84"/>
      <c r="R1022" s="84"/>
      <c r="S1022" s="84"/>
      <c r="T1022" s="84"/>
      <c r="U1022" s="84"/>
      <c r="V1022" s="84"/>
      <c r="W1022" s="84"/>
      <c r="X1022" s="84"/>
    </row>
    <row r="1023" ht="15.75" customHeight="1">
      <c r="A1023" s="14" t="s">
        <v>2137</v>
      </c>
      <c r="B1023" s="14">
        <v>2003.0</v>
      </c>
      <c r="C1023" s="14" t="s">
        <v>12860</v>
      </c>
      <c r="D1023" s="14" t="s">
        <v>12861</v>
      </c>
      <c r="E1023" s="150" t="str">
        <f t="shared" si="22"/>
        <v>http://dx.doi.org/10.1109/INFVIS.2003.1249004</v>
      </c>
      <c r="F1023" s="14">
        <v>15.0</v>
      </c>
      <c r="G1023" s="14">
        <v>23.0</v>
      </c>
      <c r="H1023" s="14" t="s">
        <v>28</v>
      </c>
      <c r="I1023" s="14"/>
      <c r="J1023" s="130" t="s">
        <v>12868</v>
      </c>
      <c r="K1023" s="152" t="s">
        <v>12869</v>
      </c>
      <c r="L1023" s="20" t="s">
        <v>12870</v>
      </c>
      <c r="M1023" s="174" t="s">
        <v>12871</v>
      </c>
      <c r="N1023" s="152" t="s">
        <v>12869</v>
      </c>
      <c r="O1023" s="84"/>
      <c r="P1023" s="84"/>
      <c r="Q1023" s="84"/>
      <c r="R1023" s="84"/>
      <c r="S1023" s="84"/>
      <c r="T1023" s="84"/>
      <c r="U1023" s="84"/>
      <c r="V1023" s="84"/>
      <c r="W1023" s="84"/>
      <c r="X1023" s="84"/>
    </row>
    <row r="1024" ht="15.75" customHeight="1">
      <c r="A1024" s="14" t="s">
        <v>2137</v>
      </c>
      <c r="B1024" s="14">
        <v>2003.0</v>
      </c>
      <c r="C1024" s="14" t="s">
        <v>12872</v>
      </c>
      <c r="D1024" s="14" t="s">
        <v>12873</v>
      </c>
      <c r="E1024" s="150" t="str">
        <f t="shared" si="22"/>
        <v>http://dx.doi.org/10.1109/INFVIS.2003.1249005</v>
      </c>
      <c r="F1024" s="14">
        <v>23.0</v>
      </c>
      <c r="G1024" s="14">
        <v>30.0</v>
      </c>
      <c r="H1024" s="14" t="s">
        <v>28</v>
      </c>
      <c r="I1024" s="14"/>
      <c r="J1024" s="130" t="s">
        <v>12880</v>
      </c>
      <c r="K1024" s="152" t="s">
        <v>12881</v>
      </c>
      <c r="L1024" s="20"/>
      <c r="M1024" s="174" t="s">
        <v>12882</v>
      </c>
      <c r="N1024" s="130" t="s">
        <v>35935</v>
      </c>
      <c r="O1024" s="84"/>
      <c r="P1024" s="84"/>
      <c r="Q1024" s="84"/>
      <c r="R1024" s="84"/>
      <c r="S1024" s="84"/>
      <c r="T1024" s="84"/>
      <c r="U1024" s="84"/>
      <c r="V1024" s="84"/>
      <c r="W1024" s="84"/>
      <c r="X1024" s="84"/>
    </row>
    <row r="1025" ht="15.75" customHeight="1">
      <c r="A1025" s="14" t="s">
        <v>2137</v>
      </c>
      <c r="B1025" s="14">
        <v>2003.0</v>
      </c>
      <c r="C1025" s="14" t="s">
        <v>12883</v>
      </c>
      <c r="D1025" s="14" t="s">
        <v>12884</v>
      </c>
      <c r="E1025" s="150" t="str">
        <f t="shared" si="22"/>
        <v>http://dx.doi.org/10.1109/INFVIS.2003.1249006</v>
      </c>
      <c r="F1025" s="14">
        <v>31.0</v>
      </c>
      <c r="G1025" s="14">
        <v>38.0</v>
      </c>
      <c r="H1025" s="14" t="s">
        <v>28</v>
      </c>
      <c r="I1025" s="14"/>
      <c r="J1025" s="130" t="s">
        <v>12890</v>
      </c>
      <c r="K1025" s="152" t="s">
        <v>12891</v>
      </c>
      <c r="L1025" s="20" t="s">
        <v>12892</v>
      </c>
      <c r="M1025" s="174" t="s">
        <v>12893</v>
      </c>
      <c r="N1025" s="130" t="s">
        <v>40473</v>
      </c>
      <c r="O1025" s="84"/>
      <c r="P1025" s="84"/>
      <c r="Q1025" s="84"/>
      <c r="R1025" s="84"/>
      <c r="S1025" s="84"/>
      <c r="T1025" s="84"/>
      <c r="U1025" s="84"/>
      <c r="V1025" s="84"/>
      <c r="W1025" s="84"/>
      <c r="X1025" s="84"/>
    </row>
    <row r="1026" ht="15.75" customHeight="1">
      <c r="A1026" s="14" t="s">
        <v>2137</v>
      </c>
      <c r="B1026" s="14">
        <v>2003.0</v>
      </c>
      <c r="C1026" s="14" t="s">
        <v>12894</v>
      </c>
      <c r="D1026" s="14" t="s">
        <v>12896</v>
      </c>
      <c r="E1026" s="150" t="str">
        <f t="shared" si="22"/>
        <v>http://dx.doi.org/10.1109/INFVIS.2003.1249007</v>
      </c>
      <c r="F1026" s="14">
        <v>41.0</v>
      </c>
      <c r="G1026" s="14">
        <v>48.0</v>
      </c>
      <c r="H1026" s="14" t="s">
        <v>28</v>
      </c>
      <c r="I1026" s="14"/>
      <c r="J1026" s="130" t="s">
        <v>12905</v>
      </c>
      <c r="K1026" s="152" t="s">
        <v>4915</v>
      </c>
      <c r="L1026" s="20" t="s">
        <v>12906</v>
      </c>
      <c r="M1026" s="174" t="s">
        <v>12907</v>
      </c>
      <c r="N1026" s="130" t="s">
        <v>39782</v>
      </c>
      <c r="O1026" s="84"/>
      <c r="P1026" s="84"/>
      <c r="Q1026" s="84"/>
      <c r="R1026" s="84"/>
      <c r="S1026" s="84"/>
      <c r="T1026" s="84"/>
      <c r="U1026" s="84"/>
      <c r="V1026" s="84"/>
      <c r="W1026" s="84"/>
      <c r="X1026" s="84"/>
    </row>
    <row r="1027" ht="15.75" customHeight="1">
      <c r="A1027" s="14" t="s">
        <v>2137</v>
      </c>
      <c r="B1027" s="14">
        <v>2003.0</v>
      </c>
      <c r="C1027" s="14" t="s">
        <v>12908</v>
      </c>
      <c r="D1027" s="14" t="s">
        <v>12909</v>
      </c>
      <c r="E1027" s="150" t="str">
        <f t="shared" si="22"/>
        <v>http://dx.doi.org/10.1109/INFVIS.2003.1249008</v>
      </c>
      <c r="F1027" s="14">
        <v>51.0</v>
      </c>
      <c r="G1027" s="14">
        <v>58.0</v>
      </c>
      <c r="H1027" s="14" t="s">
        <v>28</v>
      </c>
      <c r="I1027" s="14"/>
      <c r="J1027" s="130" t="s">
        <v>40474</v>
      </c>
      <c r="K1027" s="152" t="s">
        <v>12914</v>
      </c>
      <c r="L1027" s="20" t="s">
        <v>12915</v>
      </c>
      <c r="M1027" s="174" t="s">
        <v>12916</v>
      </c>
      <c r="N1027" s="130" t="s">
        <v>40475</v>
      </c>
      <c r="O1027" s="84"/>
      <c r="P1027" s="84"/>
      <c r="Q1027" s="84"/>
      <c r="R1027" s="84"/>
      <c r="S1027" s="84"/>
      <c r="T1027" s="84"/>
      <c r="U1027" s="84"/>
      <c r="V1027" s="84"/>
      <c r="W1027" s="84"/>
      <c r="X1027" s="84"/>
    </row>
    <row r="1028" ht="15.75" customHeight="1">
      <c r="A1028" s="14" t="s">
        <v>2137</v>
      </c>
      <c r="B1028" s="14">
        <v>2003.0</v>
      </c>
      <c r="C1028" s="14" t="s">
        <v>12917</v>
      </c>
      <c r="D1028" s="14" t="s">
        <v>12918</v>
      </c>
      <c r="E1028" s="150" t="str">
        <f t="shared" si="22"/>
        <v>http://dx.doi.org/10.1109/INFVIS.2003.1249009</v>
      </c>
      <c r="F1028" s="14">
        <v>59.0</v>
      </c>
      <c r="G1028" s="14">
        <v>66.0</v>
      </c>
      <c r="H1028" s="14" t="s">
        <v>28</v>
      </c>
      <c r="I1028" s="14"/>
      <c r="J1028" s="130" t="s">
        <v>5672</v>
      </c>
      <c r="K1028" s="152" t="s">
        <v>12923</v>
      </c>
      <c r="L1028" s="20" t="s">
        <v>12925</v>
      </c>
      <c r="M1028" s="174" t="s">
        <v>12926</v>
      </c>
      <c r="N1028" s="130" t="s">
        <v>40478</v>
      </c>
      <c r="O1028" s="84"/>
      <c r="P1028" s="84"/>
      <c r="Q1028" s="84"/>
      <c r="R1028" s="84"/>
      <c r="S1028" s="84"/>
      <c r="T1028" s="84"/>
      <c r="U1028" s="84"/>
      <c r="V1028" s="84"/>
      <c r="W1028" s="84"/>
      <c r="X1028" s="84"/>
    </row>
    <row r="1029" ht="15.75" customHeight="1">
      <c r="A1029" s="14" t="s">
        <v>2137</v>
      </c>
      <c r="B1029" s="14">
        <v>2003.0</v>
      </c>
      <c r="C1029" s="14" t="s">
        <v>12928</v>
      </c>
      <c r="D1029" s="14" t="s">
        <v>12929</v>
      </c>
      <c r="E1029" s="150" t="str">
        <f t="shared" si="22"/>
        <v>http://dx.doi.org/10.1109/INFVIS.2003.1249010</v>
      </c>
      <c r="F1029" s="14">
        <v>67.0</v>
      </c>
      <c r="G1029" s="14">
        <v>74.0</v>
      </c>
      <c r="H1029" s="14" t="s">
        <v>28</v>
      </c>
      <c r="I1029" s="14"/>
      <c r="J1029" s="130" t="s">
        <v>40479</v>
      </c>
      <c r="K1029" s="152" t="s">
        <v>12932</v>
      </c>
      <c r="L1029" s="20" t="s">
        <v>12933</v>
      </c>
      <c r="M1029" s="174" t="s">
        <v>12934</v>
      </c>
      <c r="N1029" s="130" t="s">
        <v>40480</v>
      </c>
      <c r="O1029" s="84"/>
      <c r="P1029" s="84"/>
      <c r="Q1029" s="84"/>
      <c r="R1029" s="84"/>
      <c r="S1029" s="84"/>
      <c r="T1029" s="84"/>
      <c r="U1029" s="84"/>
      <c r="V1029" s="84"/>
      <c r="W1029" s="84"/>
      <c r="X1029" s="84"/>
    </row>
    <row r="1030" ht="15.75" customHeight="1">
      <c r="A1030" s="14" t="s">
        <v>2137</v>
      </c>
      <c r="B1030" s="14">
        <v>2003.0</v>
      </c>
      <c r="C1030" s="14" t="s">
        <v>12935</v>
      </c>
      <c r="D1030" s="67" t="s">
        <v>12936</v>
      </c>
      <c r="E1030" s="194" t="s">
        <v>12937</v>
      </c>
      <c r="F1030" s="14">
        <v>75.0</v>
      </c>
      <c r="G1030" s="14">
        <v>84.0</v>
      </c>
      <c r="H1030" s="14" t="s">
        <v>28</v>
      </c>
      <c r="I1030" s="14"/>
      <c r="J1030" s="130" t="s">
        <v>14525</v>
      </c>
      <c r="K1030" s="162"/>
      <c r="L1030" s="20"/>
      <c r="M1030" s="121" t="s">
        <v>12944</v>
      </c>
      <c r="N1030" s="130" t="s">
        <v>40485</v>
      </c>
      <c r="O1030" s="116"/>
      <c r="P1030" s="116"/>
      <c r="Q1030" s="116"/>
      <c r="R1030" s="116"/>
      <c r="S1030" s="116"/>
      <c r="T1030" s="116"/>
      <c r="U1030" s="116"/>
      <c r="V1030" s="116"/>
      <c r="W1030" s="116"/>
      <c r="X1030" s="116"/>
    </row>
    <row r="1031" ht="15.75" customHeight="1">
      <c r="A1031" s="14" t="s">
        <v>2137</v>
      </c>
      <c r="B1031" s="14">
        <v>2003.0</v>
      </c>
      <c r="C1031" s="14" t="s">
        <v>12945</v>
      </c>
      <c r="D1031" s="67" t="s">
        <v>12946</v>
      </c>
      <c r="E1031" s="194" t="s">
        <v>12948</v>
      </c>
      <c r="F1031" s="14">
        <v>85.0</v>
      </c>
      <c r="G1031" s="14">
        <v>90.0</v>
      </c>
      <c r="H1031" s="14" t="s">
        <v>28</v>
      </c>
      <c r="I1031" s="14"/>
      <c r="J1031" s="130" t="s">
        <v>12957</v>
      </c>
      <c r="K1031" s="162"/>
      <c r="L1031" s="20" t="s">
        <v>12958</v>
      </c>
      <c r="M1031" s="121" t="s">
        <v>12959</v>
      </c>
      <c r="N1031" s="130" t="s">
        <v>40488</v>
      </c>
      <c r="O1031" s="116"/>
      <c r="P1031" s="116"/>
      <c r="Q1031" s="116"/>
      <c r="R1031" s="116"/>
      <c r="S1031" s="116"/>
      <c r="T1031" s="116"/>
      <c r="U1031" s="116"/>
      <c r="V1031" s="116"/>
      <c r="W1031" s="116"/>
      <c r="X1031" s="116"/>
    </row>
    <row r="1032" ht="15.75" customHeight="1">
      <c r="A1032" s="14" t="s">
        <v>2137</v>
      </c>
      <c r="B1032" s="14">
        <v>2003.0</v>
      </c>
      <c r="C1032" s="14" t="s">
        <v>12960</v>
      </c>
      <c r="D1032" s="14" t="s">
        <v>12961</v>
      </c>
      <c r="E1032" s="150" t="str">
        <f t="shared" ref="E1032:E1035" si="23">"http://dx.doi.org/" &amp; D1032</f>
        <v>http://dx.doi.org/10.1109/INFVIS.2003.1249013</v>
      </c>
      <c r="F1032" s="14">
        <v>91.0</v>
      </c>
      <c r="G1032" s="14">
        <v>96.0</v>
      </c>
      <c r="H1032" s="14" t="s">
        <v>28</v>
      </c>
      <c r="I1032" s="14"/>
      <c r="J1032" s="130" t="s">
        <v>12966</v>
      </c>
      <c r="K1032" s="152" t="s">
        <v>12967</v>
      </c>
      <c r="L1032" s="20" t="s">
        <v>12968</v>
      </c>
      <c r="M1032" s="174" t="s">
        <v>12969</v>
      </c>
      <c r="N1032" s="130" t="s">
        <v>40488</v>
      </c>
      <c r="O1032" s="84"/>
      <c r="P1032" s="84"/>
      <c r="Q1032" s="84"/>
      <c r="R1032" s="84"/>
      <c r="S1032" s="84"/>
      <c r="T1032" s="84"/>
      <c r="U1032" s="84"/>
      <c r="V1032" s="84"/>
      <c r="W1032" s="84"/>
      <c r="X1032" s="84"/>
    </row>
    <row r="1033" ht="15.75" customHeight="1">
      <c r="A1033" s="14" t="s">
        <v>2137</v>
      </c>
      <c r="B1033" s="14">
        <v>2003.0</v>
      </c>
      <c r="C1033" s="14" t="s">
        <v>12970</v>
      </c>
      <c r="D1033" s="14" t="s">
        <v>12971</v>
      </c>
      <c r="E1033" s="150" t="str">
        <f t="shared" si="23"/>
        <v>http://dx.doi.org/10.1109/INFVIS.2003.1249014</v>
      </c>
      <c r="F1033" s="14">
        <v>97.0</v>
      </c>
      <c r="G1033" s="14">
        <v>104.0</v>
      </c>
      <c r="H1033" s="14" t="s">
        <v>28</v>
      </c>
      <c r="I1033" s="14"/>
      <c r="J1033" s="130" t="s">
        <v>12976</v>
      </c>
      <c r="K1033" s="152" t="s">
        <v>12977</v>
      </c>
      <c r="L1033" s="20" t="s">
        <v>12978</v>
      </c>
      <c r="M1033" s="174" t="s">
        <v>12980</v>
      </c>
      <c r="N1033" s="152" t="s">
        <v>12977</v>
      </c>
      <c r="O1033" s="84"/>
      <c r="P1033" s="84"/>
      <c r="Q1033" s="84"/>
      <c r="R1033" s="84"/>
      <c r="S1033" s="84"/>
      <c r="T1033" s="84"/>
      <c r="U1033" s="84"/>
      <c r="V1033" s="84"/>
      <c r="W1033" s="84"/>
      <c r="X1033" s="84"/>
    </row>
    <row r="1034" ht="15.75" customHeight="1">
      <c r="A1034" s="14" t="s">
        <v>2137</v>
      </c>
      <c r="B1034" s="14">
        <v>2003.0</v>
      </c>
      <c r="C1034" s="14" t="s">
        <v>12983</v>
      </c>
      <c r="D1034" s="14" t="s">
        <v>12984</v>
      </c>
      <c r="E1034" s="150" t="str">
        <f t="shared" si="23"/>
        <v>http://dx.doi.org/10.1109/INFVIS.2003.1249015</v>
      </c>
      <c r="F1034" s="14">
        <v>105.0</v>
      </c>
      <c r="G1034" s="14">
        <v>112.0</v>
      </c>
      <c r="H1034" s="14" t="s">
        <v>28</v>
      </c>
      <c r="I1034" s="14"/>
      <c r="J1034" s="130" t="s">
        <v>12988</v>
      </c>
      <c r="K1034" s="152" t="s">
        <v>12989</v>
      </c>
      <c r="L1034" s="20" t="s">
        <v>12990</v>
      </c>
      <c r="M1034" s="174" t="s">
        <v>12991</v>
      </c>
      <c r="N1034" s="152" t="s">
        <v>12989</v>
      </c>
      <c r="O1034" s="84"/>
      <c r="P1034" s="84"/>
      <c r="Q1034" s="84"/>
      <c r="R1034" s="84"/>
      <c r="S1034" s="84"/>
      <c r="T1034" s="84"/>
      <c r="U1034" s="84"/>
      <c r="V1034" s="84"/>
      <c r="W1034" s="84"/>
      <c r="X1034" s="84"/>
    </row>
    <row r="1035" ht="15.75" customHeight="1">
      <c r="A1035" s="14" t="s">
        <v>2137</v>
      </c>
      <c r="B1035" s="14">
        <v>2003.0</v>
      </c>
      <c r="C1035" s="14" t="s">
        <v>12992</v>
      </c>
      <c r="D1035" s="14" t="s">
        <v>12993</v>
      </c>
      <c r="E1035" s="150" t="str">
        <f t="shared" si="23"/>
        <v>http://dx.doi.org/10.1109/INFVIS.2003.1249016</v>
      </c>
      <c r="F1035" s="14">
        <v>113.0</v>
      </c>
      <c r="G1035" s="14">
        <v>120.0</v>
      </c>
      <c r="H1035" s="14" t="s">
        <v>28</v>
      </c>
      <c r="I1035" s="14"/>
      <c r="J1035" s="130" t="s">
        <v>13000</v>
      </c>
      <c r="K1035" s="152" t="s">
        <v>13001</v>
      </c>
      <c r="L1035" s="20" t="s">
        <v>13002</v>
      </c>
      <c r="M1035" s="174" t="s">
        <v>13003</v>
      </c>
      <c r="N1035" s="130" t="s">
        <v>40492</v>
      </c>
      <c r="O1035" s="84"/>
      <c r="P1035" s="84"/>
      <c r="Q1035" s="84"/>
      <c r="R1035" s="84"/>
      <c r="S1035" s="84"/>
      <c r="T1035" s="84"/>
      <c r="U1035" s="84"/>
      <c r="V1035" s="84"/>
      <c r="W1035" s="84"/>
      <c r="X1035" s="84"/>
    </row>
    <row r="1036" ht="15.75" customHeight="1">
      <c r="A1036" s="14" t="s">
        <v>2137</v>
      </c>
      <c r="B1036" s="14">
        <v>2003.0</v>
      </c>
      <c r="C1036" s="14" t="s">
        <v>13004</v>
      </c>
      <c r="D1036" s="97" t="s">
        <v>13005</v>
      </c>
      <c r="E1036" s="194" t="s">
        <v>13006</v>
      </c>
      <c r="F1036" s="14">
        <v>121.0</v>
      </c>
      <c r="G1036" s="14">
        <v>128.0</v>
      </c>
      <c r="H1036" s="14" t="s">
        <v>28</v>
      </c>
      <c r="I1036" s="14"/>
      <c r="J1036" s="130" t="s">
        <v>13007</v>
      </c>
      <c r="K1036" s="162" t="s">
        <v>13009</v>
      </c>
      <c r="L1036" s="20" t="s">
        <v>13011</v>
      </c>
      <c r="M1036" s="121" t="s">
        <v>13013</v>
      </c>
      <c r="N1036" s="130" t="s">
        <v>40497</v>
      </c>
      <c r="O1036" s="116"/>
      <c r="P1036" s="116"/>
      <c r="Q1036" s="116"/>
      <c r="R1036" s="116"/>
      <c r="S1036" s="116"/>
      <c r="T1036" s="116"/>
      <c r="U1036" s="116"/>
      <c r="V1036" s="116"/>
      <c r="W1036" s="116"/>
      <c r="X1036" s="116"/>
    </row>
    <row r="1037" ht="15.75" customHeight="1">
      <c r="A1037" s="14" t="s">
        <v>2137</v>
      </c>
      <c r="B1037" s="14">
        <v>2003.0</v>
      </c>
      <c r="C1037" s="14" t="s">
        <v>13014</v>
      </c>
      <c r="D1037" s="14" t="s">
        <v>13015</v>
      </c>
      <c r="E1037" s="150" t="str">
        <f t="shared" ref="E1037:E1047" si="24">"http://dx.doi.org/" &amp; D1037</f>
        <v>http://dx.doi.org/10.1109/INFVIS.2003.1249018</v>
      </c>
      <c r="F1037" s="14">
        <v>131.0</v>
      </c>
      <c r="G1037" s="14">
        <v>136.0</v>
      </c>
      <c r="H1037" s="14" t="s">
        <v>28</v>
      </c>
      <c r="I1037" s="14"/>
      <c r="J1037" s="130" t="s">
        <v>13020</v>
      </c>
      <c r="K1037" s="152" t="s">
        <v>13022</v>
      </c>
      <c r="L1037" s="20" t="s">
        <v>378</v>
      </c>
      <c r="M1037" s="174" t="s">
        <v>13024</v>
      </c>
      <c r="N1037" s="130" t="s">
        <v>40501</v>
      </c>
      <c r="O1037" s="84"/>
      <c r="P1037" s="84"/>
      <c r="Q1037" s="84"/>
      <c r="R1037" s="84"/>
      <c r="S1037" s="84"/>
      <c r="T1037" s="84"/>
      <c r="U1037" s="84"/>
      <c r="V1037" s="84"/>
      <c r="W1037" s="84"/>
      <c r="X1037" s="84"/>
    </row>
    <row r="1038" ht="15.75" customHeight="1">
      <c r="A1038" s="14" t="s">
        <v>2137</v>
      </c>
      <c r="B1038" s="14">
        <v>2003.0</v>
      </c>
      <c r="C1038" s="14" t="s">
        <v>13026</v>
      </c>
      <c r="D1038" s="14" t="s">
        <v>13027</v>
      </c>
      <c r="E1038" s="150" t="str">
        <f t="shared" si="24"/>
        <v>http://dx.doi.org/10.1109/INFVIS.2003.1249019</v>
      </c>
      <c r="F1038" s="14">
        <v>137.0</v>
      </c>
      <c r="G1038" s="14">
        <v>144.0</v>
      </c>
      <c r="H1038" s="14" t="s">
        <v>28</v>
      </c>
      <c r="I1038" s="14"/>
      <c r="J1038" s="130" t="s">
        <v>13034</v>
      </c>
      <c r="K1038" s="152" t="s">
        <v>13035</v>
      </c>
      <c r="L1038" s="20" t="s">
        <v>4082</v>
      </c>
      <c r="M1038" s="174" t="s">
        <v>13036</v>
      </c>
      <c r="N1038" s="130" t="s">
        <v>38327</v>
      </c>
      <c r="O1038" s="84"/>
      <c r="P1038" s="84"/>
      <c r="Q1038" s="84"/>
      <c r="R1038" s="84"/>
      <c r="S1038" s="84"/>
      <c r="T1038" s="84"/>
      <c r="U1038" s="84"/>
      <c r="V1038" s="84"/>
      <c r="W1038" s="84"/>
      <c r="X1038" s="84"/>
    </row>
    <row r="1039" ht="15.75" customHeight="1">
      <c r="A1039" s="14" t="s">
        <v>2137</v>
      </c>
      <c r="B1039" s="14">
        <v>2003.0</v>
      </c>
      <c r="C1039" s="14" t="s">
        <v>13037</v>
      </c>
      <c r="D1039" s="14" t="s">
        <v>13038</v>
      </c>
      <c r="E1039" s="150" t="str">
        <f t="shared" si="24"/>
        <v>http://dx.doi.org/10.1109/INFVIS.2003.1249020</v>
      </c>
      <c r="F1039" s="14">
        <v>147.0</v>
      </c>
      <c r="G1039" s="14">
        <v>153.0</v>
      </c>
      <c r="H1039" s="14" t="s">
        <v>28</v>
      </c>
      <c r="I1039" s="14"/>
      <c r="J1039" s="130" t="s">
        <v>13068</v>
      </c>
      <c r="K1039" s="152" t="s">
        <v>13069</v>
      </c>
      <c r="L1039" s="20" t="s">
        <v>4849</v>
      </c>
      <c r="M1039" s="174" t="s">
        <v>13070</v>
      </c>
      <c r="N1039" s="130" t="s">
        <v>40416</v>
      </c>
      <c r="O1039" s="84"/>
      <c r="P1039" s="84"/>
      <c r="Q1039" s="84"/>
      <c r="R1039" s="84"/>
      <c r="S1039" s="84"/>
      <c r="T1039" s="84"/>
      <c r="U1039" s="84"/>
      <c r="V1039" s="84"/>
      <c r="W1039" s="84"/>
      <c r="X1039" s="84"/>
    </row>
    <row r="1040" ht="15.75" customHeight="1">
      <c r="A1040" s="14" t="s">
        <v>2137</v>
      </c>
      <c r="B1040" s="14">
        <v>2003.0</v>
      </c>
      <c r="C1040" s="14" t="s">
        <v>13071</v>
      </c>
      <c r="D1040" s="14" t="s">
        <v>13072</v>
      </c>
      <c r="E1040" s="150" t="str">
        <f t="shared" si="24"/>
        <v>http://dx.doi.org/10.1109/INFVIS.2003.1249021</v>
      </c>
      <c r="F1040" s="14">
        <v>155.0</v>
      </c>
      <c r="G1040" s="14">
        <v>162.0</v>
      </c>
      <c r="H1040" s="14" t="s">
        <v>28</v>
      </c>
      <c r="I1040" s="14"/>
      <c r="J1040" s="130" t="s">
        <v>13074</v>
      </c>
      <c r="K1040" s="152" t="s">
        <v>13075</v>
      </c>
      <c r="L1040" s="20" t="s">
        <v>3343</v>
      </c>
      <c r="M1040" s="174" t="s">
        <v>13076</v>
      </c>
      <c r="N1040" s="130" t="s">
        <v>40506</v>
      </c>
      <c r="O1040" s="84"/>
      <c r="P1040" s="84"/>
      <c r="Q1040" s="84"/>
      <c r="R1040" s="84"/>
      <c r="S1040" s="84"/>
      <c r="T1040" s="84"/>
      <c r="U1040" s="84"/>
      <c r="V1040" s="84"/>
      <c r="W1040" s="84"/>
      <c r="X1040" s="84"/>
    </row>
    <row r="1041" ht="15.75" customHeight="1">
      <c r="A1041" s="14" t="s">
        <v>2137</v>
      </c>
      <c r="B1041" s="14">
        <v>2003.0</v>
      </c>
      <c r="C1041" s="14" t="s">
        <v>13077</v>
      </c>
      <c r="D1041" s="14" t="s">
        <v>13078</v>
      </c>
      <c r="E1041" s="150" t="str">
        <f t="shared" si="24"/>
        <v>http://dx.doi.org/10.1109/INFVIS.2003.1249022</v>
      </c>
      <c r="F1041" s="14">
        <v>163.0</v>
      </c>
      <c r="G1041" s="14">
        <v>170.0</v>
      </c>
      <c r="H1041" s="14" t="s">
        <v>28</v>
      </c>
      <c r="I1041" s="14"/>
      <c r="J1041" s="130" t="s">
        <v>13080</v>
      </c>
      <c r="K1041" s="152" t="s">
        <v>13081</v>
      </c>
      <c r="L1041" s="20"/>
      <c r="M1041" s="174" t="s">
        <v>13082</v>
      </c>
      <c r="N1041" s="130" t="s">
        <v>40507</v>
      </c>
      <c r="O1041" s="84"/>
      <c r="P1041" s="84"/>
      <c r="Q1041" s="84"/>
      <c r="R1041" s="84"/>
      <c r="S1041" s="84"/>
      <c r="T1041" s="84"/>
      <c r="U1041" s="84"/>
      <c r="V1041" s="84"/>
      <c r="W1041" s="84"/>
      <c r="X1041" s="84"/>
    </row>
    <row r="1042" ht="15.75" customHeight="1">
      <c r="A1042" s="14" t="s">
        <v>2137</v>
      </c>
      <c r="B1042" s="14">
        <v>2003.0</v>
      </c>
      <c r="C1042" s="14" t="s">
        <v>13083</v>
      </c>
      <c r="D1042" s="14" t="s">
        <v>13084</v>
      </c>
      <c r="E1042" s="150" t="str">
        <f t="shared" si="24"/>
        <v>http://dx.doi.org/10.1109/INFVIS.2003.1249023</v>
      </c>
      <c r="F1042" s="14">
        <v>173.0</v>
      </c>
      <c r="G1042" s="14">
        <v>180.0</v>
      </c>
      <c r="H1042" s="14" t="s">
        <v>28</v>
      </c>
      <c r="I1042" s="14"/>
      <c r="J1042" s="130" t="s">
        <v>40511</v>
      </c>
      <c r="K1042" s="152" t="s">
        <v>13087</v>
      </c>
      <c r="L1042" s="20" t="s">
        <v>11908</v>
      </c>
      <c r="M1042" s="174" t="s">
        <v>13088</v>
      </c>
      <c r="N1042" s="130" t="s">
        <v>40512</v>
      </c>
      <c r="O1042" s="84"/>
      <c r="P1042" s="84"/>
      <c r="Q1042" s="84"/>
      <c r="R1042" s="84"/>
      <c r="S1042" s="84"/>
      <c r="T1042" s="84"/>
      <c r="U1042" s="84"/>
      <c r="V1042" s="84"/>
      <c r="W1042" s="84"/>
      <c r="X1042" s="84"/>
    </row>
    <row r="1043" ht="15.75" customHeight="1">
      <c r="A1043" s="14" t="s">
        <v>2137</v>
      </c>
      <c r="B1043" s="14">
        <v>2003.0</v>
      </c>
      <c r="C1043" s="14" t="s">
        <v>13089</v>
      </c>
      <c r="D1043" s="14" t="s">
        <v>13090</v>
      </c>
      <c r="E1043" s="150" t="str">
        <f t="shared" si="24"/>
        <v>http://dx.doi.org/10.1109/INFVIS.2003.1249024</v>
      </c>
      <c r="F1043" s="14">
        <v>181.0</v>
      </c>
      <c r="G1043" s="14">
        <v>188.0</v>
      </c>
      <c r="H1043" s="14" t="s">
        <v>28</v>
      </c>
      <c r="I1043" s="14"/>
      <c r="J1043" s="54" t="s">
        <v>8239</v>
      </c>
      <c r="K1043" s="152" t="s">
        <v>13092</v>
      </c>
      <c r="L1043" s="20" t="s">
        <v>13093</v>
      </c>
      <c r="M1043" s="174" t="s">
        <v>13094</v>
      </c>
      <c r="N1043" s="130" t="s">
        <v>40516</v>
      </c>
      <c r="O1043" s="84"/>
      <c r="P1043" s="84"/>
      <c r="Q1043" s="84"/>
      <c r="R1043" s="84"/>
      <c r="S1043" s="84"/>
      <c r="T1043" s="84"/>
      <c r="U1043" s="84"/>
      <c r="V1043" s="84"/>
      <c r="W1043" s="84"/>
      <c r="X1043" s="84"/>
    </row>
    <row r="1044" ht="15.75" customHeight="1">
      <c r="A1044" s="14" t="s">
        <v>2137</v>
      </c>
      <c r="B1044" s="14">
        <v>2003.0</v>
      </c>
      <c r="C1044" s="14" t="s">
        <v>13095</v>
      </c>
      <c r="D1044" s="14" t="s">
        <v>13096</v>
      </c>
      <c r="E1044" s="150" t="str">
        <f t="shared" si="24"/>
        <v>http://dx.doi.org/10.1109/INFVIS.2003.1249025</v>
      </c>
      <c r="F1044" s="14">
        <v>189.0</v>
      </c>
      <c r="G1044" s="14">
        <v>196.0</v>
      </c>
      <c r="H1044" s="14" t="s">
        <v>28</v>
      </c>
      <c r="I1044" s="14"/>
      <c r="J1044" s="130" t="s">
        <v>13098</v>
      </c>
      <c r="K1044" s="152" t="s">
        <v>2201</v>
      </c>
      <c r="L1044" s="20" t="s">
        <v>4003</v>
      </c>
      <c r="M1044" s="174" t="s">
        <v>13099</v>
      </c>
      <c r="N1044" s="130" t="s">
        <v>40519</v>
      </c>
      <c r="O1044" s="84"/>
      <c r="P1044" s="84"/>
      <c r="Q1044" s="84"/>
      <c r="R1044" s="84"/>
      <c r="S1044" s="84"/>
      <c r="T1044" s="84"/>
      <c r="U1044" s="84"/>
      <c r="V1044" s="84"/>
      <c r="W1044" s="84"/>
      <c r="X1044" s="84"/>
    </row>
    <row r="1045" ht="15.75" customHeight="1">
      <c r="A1045" s="14" t="s">
        <v>2137</v>
      </c>
      <c r="B1045" s="14">
        <v>2003.0</v>
      </c>
      <c r="C1045" s="14" t="s">
        <v>13100</v>
      </c>
      <c r="D1045" s="14" t="s">
        <v>13101</v>
      </c>
      <c r="E1045" s="150" t="str">
        <f t="shared" si="24"/>
        <v>http://dx.doi.org/10.1109/INFVIS.2003.1249026</v>
      </c>
      <c r="F1045" s="14">
        <v>197.0</v>
      </c>
      <c r="G1045" s="14">
        <v>201.0</v>
      </c>
      <c r="H1045" s="14" t="s">
        <v>28</v>
      </c>
      <c r="I1045" s="14"/>
      <c r="J1045" s="130" t="s">
        <v>13105</v>
      </c>
      <c r="K1045" s="152" t="s">
        <v>13107</v>
      </c>
      <c r="L1045" s="20" t="s">
        <v>13108</v>
      </c>
      <c r="M1045" s="174" t="s">
        <v>13109</v>
      </c>
      <c r="N1045" s="152" t="s">
        <v>13107</v>
      </c>
      <c r="O1045" s="84"/>
      <c r="P1045" s="84"/>
      <c r="Q1045" s="84"/>
      <c r="R1045" s="84"/>
      <c r="S1045" s="84"/>
      <c r="T1045" s="84"/>
      <c r="U1045" s="84"/>
      <c r="V1045" s="84"/>
      <c r="W1045" s="84"/>
      <c r="X1045" s="84"/>
    </row>
    <row r="1046" ht="15.75" customHeight="1">
      <c r="A1046" s="14" t="s">
        <v>2137</v>
      </c>
      <c r="B1046" s="14">
        <v>2003.0</v>
      </c>
      <c r="C1046" s="14" t="s">
        <v>13110</v>
      </c>
      <c r="D1046" s="14" t="s">
        <v>13111</v>
      </c>
      <c r="E1046" s="150" t="str">
        <f t="shared" si="24"/>
        <v>http://dx.doi.org/10.1109/INFVIS.2003.1249027</v>
      </c>
      <c r="F1046" s="14">
        <v>203.0</v>
      </c>
      <c r="G1046" s="14">
        <v>208.0</v>
      </c>
      <c r="H1046" s="14" t="s">
        <v>28</v>
      </c>
      <c r="I1046" s="14"/>
      <c r="J1046" s="130" t="s">
        <v>13121</v>
      </c>
      <c r="K1046" s="152" t="s">
        <v>13124</v>
      </c>
      <c r="L1046" s="20" t="s">
        <v>13125</v>
      </c>
      <c r="M1046" s="174" t="s">
        <v>13126</v>
      </c>
      <c r="N1046" s="130" t="s">
        <v>40103</v>
      </c>
      <c r="O1046" s="84"/>
      <c r="P1046" s="84"/>
      <c r="Q1046" s="84"/>
      <c r="R1046" s="84"/>
      <c r="S1046" s="84"/>
      <c r="T1046" s="84"/>
      <c r="U1046" s="84"/>
      <c r="V1046" s="84"/>
      <c r="W1046" s="84"/>
      <c r="X1046" s="84"/>
    </row>
    <row r="1047" ht="15.75" customHeight="1">
      <c r="A1047" s="14" t="s">
        <v>2137</v>
      </c>
      <c r="B1047" s="14">
        <v>2003.0</v>
      </c>
      <c r="C1047" s="14" t="s">
        <v>13127</v>
      </c>
      <c r="D1047" s="14" t="s">
        <v>13128</v>
      </c>
      <c r="E1047" s="150" t="str">
        <f t="shared" si="24"/>
        <v>http://dx.doi.org/10.1109/INFVIS.2003.1249028</v>
      </c>
      <c r="F1047" s="14">
        <v>211.0</v>
      </c>
      <c r="G1047" s="14">
        <v>218.0</v>
      </c>
      <c r="H1047" s="14" t="s">
        <v>28</v>
      </c>
      <c r="I1047" s="14"/>
      <c r="J1047" s="130" t="s">
        <v>13132</v>
      </c>
      <c r="K1047" s="152"/>
      <c r="L1047" s="20" t="s">
        <v>13133</v>
      </c>
      <c r="M1047" s="174" t="s">
        <v>13134</v>
      </c>
      <c r="N1047" s="130"/>
      <c r="O1047" s="84"/>
      <c r="P1047" s="84"/>
      <c r="Q1047" s="84"/>
      <c r="R1047" s="84"/>
      <c r="S1047" s="84"/>
      <c r="T1047" s="84"/>
      <c r="U1047" s="84"/>
      <c r="V1047" s="84"/>
      <c r="W1047" s="84"/>
      <c r="X1047" s="84"/>
    </row>
    <row r="1048" ht="15.75" customHeight="1">
      <c r="A1048" s="14" t="s">
        <v>2137</v>
      </c>
      <c r="B1048" s="14">
        <v>2003.0</v>
      </c>
      <c r="C1048" s="14" t="s">
        <v>13135</v>
      </c>
      <c r="D1048" s="117" t="s">
        <v>13136</v>
      </c>
      <c r="E1048" s="172" t="s">
        <v>13138</v>
      </c>
      <c r="F1048" s="14">
        <v>219.0</v>
      </c>
      <c r="G1048" s="14">
        <v>225.0</v>
      </c>
      <c r="H1048" s="14" t="s">
        <v>28</v>
      </c>
      <c r="I1048" s="14"/>
      <c r="J1048" s="130" t="s">
        <v>13145</v>
      </c>
      <c r="K1048" s="152" t="s">
        <v>13146</v>
      </c>
      <c r="L1048" s="20" t="s">
        <v>11895</v>
      </c>
      <c r="M1048" s="121" t="s">
        <v>13147</v>
      </c>
      <c r="N1048" s="130" t="s">
        <v>40528</v>
      </c>
      <c r="O1048" s="116"/>
      <c r="P1048" s="116"/>
      <c r="Q1048" s="116"/>
      <c r="R1048" s="116"/>
      <c r="S1048" s="116"/>
      <c r="T1048" s="116"/>
      <c r="U1048" s="116"/>
      <c r="V1048" s="116"/>
      <c r="W1048" s="116"/>
      <c r="X1048" s="116"/>
    </row>
    <row r="1049" ht="15.75" customHeight="1">
      <c r="A1049" s="14" t="s">
        <v>2137</v>
      </c>
      <c r="B1049" s="14">
        <v>2003.0</v>
      </c>
      <c r="C1049" s="14" t="s">
        <v>13148</v>
      </c>
      <c r="D1049" s="14" t="s">
        <v>12870</v>
      </c>
      <c r="E1049" s="150" t="str">
        <f t="shared" ref="E1049:E1050" si="25">"http://dx.doi.org/" &amp; D1049</f>
        <v>http://dx.doi.org/10.1109/INFVIS.2003.1249030</v>
      </c>
      <c r="F1049" s="14">
        <v>227.0</v>
      </c>
      <c r="G1049" s="14">
        <v>232.0</v>
      </c>
      <c r="H1049" s="14" t="s">
        <v>28</v>
      </c>
      <c r="I1049" s="14"/>
      <c r="J1049" s="130" t="s">
        <v>13152</v>
      </c>
      <c r="K1049" s="152" t="s">
        <v>13153</v>
      </c>
      <c r="L1049" s="20" t="s">
        <v>13154</v>
      </c>
      <c r="M1049" s="174" t="s">
        <v>13155</v>
      </c>
      <c r="N1049" s="130" t="s">
        <v>40531</v>
      </c>
      <c r="O1049" s="84"/>
      <c r="P1049" s="84"/>
      <c r="Q1049" s="84"/>
      <c r="R1049" s="84"/>
      <c r="S1049" s="84"/>
      <c r="T1049" s="84"/>
      <c r="U1049" s="84"/>
      <c r="V1049" s="84"/>
      <c r="W1049" s="84"/>
      <c r="X1049" s="84"/>
    </row>
    <row r="1050" ht="15.75" customHeight="1">
      <c r="A1050" s="14" t="s">
        <v>2137</v>
      </c>
      <c r="B1050" s="14">
        <v>2003.0</v>
      </c>
      <c r="C1050" s="14" t="s">
        <v>13156</v>
      </c>
      <c r="D1050" s="14" t="s">
        <v>13157</v>
      </c>
      <c r="E1050" s="150" t="str">
        <f t="shared" si="25"/>
        <v>http://dx.doi.org/10.1109/INFVIS.2003.1249031</v>
      </c>
      <c r="F1050" s="14">
        <v>233.0</v>
      </c>
      <c r="G1050" s="14">
        <v>240.0</v>
      </c>
      <c r="H1050" s="14" t="s">
        <v>28</v>
      </c>
      <c r="I1050" s="14"/>
      <c r="J1050" s="130" t="s">
        <v>13165</v>
      </c>
      <c r="K1050" s="152" t="s">
        <v>13166</v>
      </c>
      <c r="L1050" s="20"/>
      <c r="M1050" s="174" t="s">
        <v>13167</v>
      </c>
      <c r="N1050" s="152" t="s">
        <v>13166</v>
      </c>
      <c r="O1050" s="84"/>
      <c r="P1050" s="84"/>
      <c r="Q1050" s="84"/>
      <c r="R1050" s="84"/>
      <c r="S1050" s="84"/>
      <c r="T1050" s="84"/>
      <c r="U1050" s="84"/>
      <c r="V1050" s="84"/>
      <c r="W1050" s="84"/>
      <c r="X1050" s="84"/>
    </row>
    <row r="1051" ht="15.75" customHeight="1">
      <c r="A1051" s="14" t="s">
        <v>2137</v>
      </c>
      <c r="B1051" s="14">
        <v>2003.0</v>
      </c>
      <c r="C1051" s="14" t="s">
        <v>13168</v>
      </c>
      <c r="D1051" s="67" t="s">
        <v>13169</v>
      </c>
      <c r="E1051" s="194" t="s">
        <v>13170</v>
      </c>
      <c r="F1051" s="14">
        <v>241.0</v>
      </c>
      <c r="G1051" s="14">
        <v>248.0</v>
      </c>
      <c r="H1051" s="14" t="s">
        <v>28</v>
      </c>
      <c r="I1051" s="14"/>
      <c r="J1051" s="130" t="s">
        <v>13177</v>
      </c>
      <c r="K1051" s="152" t="s">
        <v>13178</v>
      </c>
      <c r="L1051" s="20"/>
      <c r="M1051" s="121" t="s">
        <v>13179</v>
      </c>
      <c r="N1051" s="130" t="s">
        <v>40539</v>
      </c>
      <c r="O1051" s="116"/>
      <c r="P1051" s="116"/>
      <c r="Q1051" s="116"/>
      <c r="R1051" s="116"/>
      <c r="S1051" s="116"/>
      <c r="T1051" s="116"/>
      <c r="U1051" s="116"/>
      <c r="V1051" s="116"/>
      <c r="W1051" s="116"/>
      <c r="X1051" s="116"/>
    </row>
    <row r="1052" ht="15.75" customHeight="1">
      <c r="A1052" s="14" t="s">
        <v>17</v>
      </c>
      <c r="B1052" s="14">
        <v>2003.0</v>
      </c>
      <c r="C1052" s="14" t="s">
        <v>13180</v>
      </c>
      <c r="D1052" s="14" t="s">
        <v>13181</v>
      </c>
      <c r="E1052" s="150" t="str">
        <f t="shared" ref="E1052:E1593" si="26">"http://dx.doi.org/" &amp; D1052</f>
        <v>http://dx.doi.org/10.1109/VISUAL.2003.1250348</v>
      </c>
      <c r="F1052" s="14"/>
      <c r="G1052" s="14"/>
      <c r="H1052" s="14" t="s">
        <v>21</v>
      </c>
      <c r="I1052" s="14"/>
      <c r="J1052" s="16" t="s">
        <v>13187</v>
      </c>
      <c r="K1052" s="152"/>
      <c r="L1052" s="20"/>
      <c r="M1052" s="16"/>
      <c r="N1052" s="130"/>
      <c r="O1052" s="84"/>
      <c r="P1052" s="84"/>
      <c r="Q1052" s="84"/>
      <c r="R1052" s="84"/>
      <c r="S1052" s="84"/>
      <c r="T1052" s="84"/>
      <c r="U1052" s="84"/>
      <c r="V1052" s="84"/>
      <c r="W1052" s="84"/>
      <c r="X1052" s="84"/>
    </row>
    <row r="1053" ht="15.75" customHeight="1">
      <c r="A1053" s="14" t="s">
        <v>17</v>
      </c>
      <c r="B1053" s="14">
        <v>2003.0</v>
      </c>
      <c r="C1053" s="14" t="s">
        <v>13188</v>
      </c>
      <c r="D1053" s="14" t="s">
        <v>13189</v>
      </c>
      <c r="E1053" s="150" t="str">
        <f t="shared" si="26"/>
        <v>http://dx.doi.org/10.1109/VISUAL.2003.1250350</v>
      </c>
      <c r="F1053" s="14">
        <v>21.0</v>
      </c>
      <c r="G1053" s="14">
        <v>24.0</v>
      </c>
      <c r="H1053" s="14" t="s">
        <v>21</v>
      </c>
      <c r="I1053" s="14"/>
      <c r="J1053" s="130" t="s">
        <v>13191</v>
      </c>
      <c r="K1053" s="152" t="s">
        <v>880</v>
      </c>
      <c r="L1053" s="20"/>
      <c r="M1053" s="16"/>
      <c r="N1053" s="130"/>
      <c r="O1053" s="84"/>
      <c r="P1053" s="84"/>
      <c r="Q1053" s="84"/>
      <c r="R1053" s="84"/>
      <c r="S1053" s="84"/>
      <c r="T1053" s="84"/>
      <c r="U1053" s="84"/>
      <c r="V1053" s="84"/>
      <c r="W1053" s="84"/>
      <c r="X1053" s="84"/>
    </row>
    <row r="1054" ht="15.75" customHeight="1">
      <c r="A1054" s="14" t="s">
        <v>17</v>
      </c>
      <c r="B1054" s="14">
        <v>2003.0</v>
      </c>
      <c r="C1054" s="14" t="s">
        <v>13192</v>
      </c>
      <c r="D1054" s="14" t="s">
        <v>13193</v>
      </c>
      <c r="E1054" s="150" t="str">
        <f t="shared" si="26"/>
        <v>http://dx.doi.org/10.1109/VISUAL.2003.1250351</v>
      </c>
      <c r="F1054" s="14">
        <v>27.0</v>
      </c>
      <c r="G1054" s="14">
        <v>34.0</v>
      </c>
      <c r="H1054" s="14" t="s">
        <v>28</v>
      </c>
      <c r="I1054" s="14"/>
      <c r="J1054" s="130" t="s">
        <v>13195</v>
      </c>
      <c r="K1054" s="152" t="s">
        <v>13196</v>
      </c>
      <c r="L1054" s="20" t="s">
        <v>11961</v>
      </c>
      <c r="M1054" s="174" t="s">
        <v>13197</v>
      </c>
      <c r="N1054" s="130" t="s">
        <v>40550</v>
      </c>
      <c r="O1054" s="84"/>
      <c r="P1054" s="84"/>
      <c r="Q1054" s="84"/>
      <c r="R1054" s="84"/>
      <c r="S1054" s="84"/>
      <c r="T1054" s="84"/>
      <c r="U1054" s="84"/>
      <c r="V1054" s="84"/>
      <c r="W1054" s="84"/>
      <c r="X1054" s="84"/>
    </row>
    <row r="1055" ht="15.75" customHeight="1">
      <c r="A1055" s="14" t="s">
        <v>17</v>
      </c>
      <c r="B1055" s="14">
        <v>2003.0</v>
      </c>
      <c r="C1055" s="14" t="s">
        <v>13198</v>
      </c>
      <c r="D1055" s="14" t="s">
        <v>13199</v>
      </c>
      <c r="E1055" s="150" t="str">
        <f t="shared" si="26"/>
        <v>http://dx.doi.org/10.1109/VISUAL.2003.1250352</v>
      </c>
      <c r="F1055" s="14">
        <v>35.0</v>
      </c>
      <c r="G1055" s="14">
        <v>42.0</v>
      </c>
      <c r="H1055" s="14" t="s">
        <v>28</v>
      </c>
      <c r="I1055" s="14"/>
      <c r="J1055" s="130" t="s">
        <v>13201</v>
      </c>
      <c r="K1055" s="152" t="s">
        <v>13202</v>
      </c>
      <c r="L1055" s="20" t="s">
        <v>7053</v>
      </c>
      <c r="M1055" s="174" t="s">
        <v>13203</v>
      </c>
      <c r="N1055" s="130" t="s">
        <v>40551</v>
      </c>
      <c r="O1055" s="84"/>
      <c r="P1055" s="84"/>
      <c r="Q1055" s="84"/>
      <c r="R1055" s="84"/>
      <c r="S1055" s="84"/>
      <c r="T1055" s="84"/>
      <c r="U1055" s="84"/>
      <c r="V1055" s="84"/>
      <c r="W1055" s="84"/>
      <c r="X1055" s="84"/>
    </row>
    <row r="1056" ht="15.75" customHeight="1">
      <c r="A1056" s="14" t="s">
        <v>17</v>
      </c>
      <c r="B1056" s="14">
        <v>2003.0</v>
      </c>
      <c r="C1056" s="14" t="s">
        <v>13204</v>
      </c>
      <c r="D1056" s="14" t="s">
        <v>13205</v>
      </c>
      <c r="E1056" s="150" t="str">
        <f t="shared" si="26"/>
        <v>http://dx.doi.org/10.1109/VISUAL.2003.1250353</v>
      </c>
      <c r="F1056" s="14">
        <v>43.0</v>
      </c>
      <c r="G1056" s="14">
        <v>50.0</v>
      </c>
      <c r="H1056" s="14" t="s">
        <v>28</v>
      </c>
      <c r="I1056" s="14"/>
      <c r="J1056" s="130" t="s">
        <v>40555</v>
      </c>
      <c r="K1056" s="152" t="s">
        <v>10259</v>
      </c>
      <c r="L1056" s="20" t="s">
        <v>13208</v>
      </c>
      <c r="M1056" s="174" t="s">
        <v>11972</v>
      </c>
      <c r="N1056" s="130" t="s">
        <v>40556</v>
      </c>
      <c r="O1056" s="84"/>
      <c r="P1056" s="84"/>
      <c r="Q1056" s="84"/>
      <c r="R1056" s="84"/>
      <c r="S1056" s="84"/>
      <c r="T1056" s="84"/>
      <c r="U1056" s="84"/>
      <c r="V1056" s="84"/>
      <c r="W1056" s="84"/>
      <c r="X1056" s="84"/>
    </row>
    <row r="1057" ht="15.75" customHeight="1">
      <c r="A1057" s="14" t="s">
        <v>17</v>
      </c>
      <c r="B1057" s="14">
        <v>2003.0</v>
      </c>
      <c r="C1057" s="14" t="s">
        <v>13209</v>
      </c>
      <c r="D1057" s="14" t="s">
        <v>13210</v>
      </c>
      <c r="E1057" s="150" t="str">
        <f t="shared" si="26"/>
        <v>http://dx.doi.org/10.1109/VISUAL.2003.1250354</v>
      </c>
      <c r="F1057" s="14">
        <v>51.0</v>
      </c>
      <c r="G1057" s="14">
        <v>58.0</v>
      </c>
      <c r="H1057" s="14" t="s">
        <v>28</v>
      </c>
      <c r="I1057" s="14"/>
      <c r="J1057" s="130" t="s">
        <v>13212</v>
      </c>
      <c r="K1057" s="152" t="s">
        <v>13213</v>
      </c>
      <c r="L1057" s="20" t="s">
        <v>13214</v>
      </c>
      <c r="M1057" s="174" t="s">
        <v>13215</v>
      </c>
      <c r="N1057" s="130" t="s">
        <v>40558</v>
      </c>
      <c r="O1057" s="84"/>
      <c r="P1057" s="84"/>
      <c r="Q1057" s="84"/>
      <c r="R1057" s="84"/>
      <c r="S1057" s="84"/>
      <c r="T1057" s="84"/>
      <c r="U1057" s="84"/>
      <c r="V1057" s="84"/>
      <c r="W1057" s="84"/>
      <c r="X1057" s="84"/>
    </row>
    <row r="1058" ht="15.75" customHeight="1">
      <c r="A1058" s="14" t="s">
        <v>17</v>
      </c>
      <c r="B1058" s="14">
        <v>2003.0</v>
      </c>
      <c r="C1058" s="14" t="s">
        <v>13216</v>
      </c>
      <c r="D1058" s="14" t="s">
        <v>13217</v>
      </c>
      <c r="E1058" s="150" t="str">
        <f t="shared" si="26"/>
        <v>http://dx.doi.org/10.1109/VISUAL.2003.1250355</v>
      </c>
      <c r="F1058" s="14">
        <v>59.0</v>
      </c>
      <c r="G1058" s="14">
        <v>66.0</v>
      </c>
      <c r="H1058" s="14" t="s">
        <v>28</v>
      </c>
      <c r="I1058" s="14"/>
      <c r="J1058" s="130" t="s">
        <v>13224</v>
      </c>
      <c r="K1058" s="152" t="s">
        <v>13225</v>
      </c>
      <c r="L1058" s="20" t="s">
        <v>536</v>
      </c>
      <c r="M1058" s="174" t="s">
        <v>13226</v>
      </c>
      <c r="N1058" s="130" t="s">
        <v>13231</v>
      </c>
      <c r="O1058" s="84"/>
      <c r="P1058" s="84"/>
      <c r="Q1058" s="84"/>
      <c r="R1058" s="84"/>
      <c r="S1058" s="84"/>
      <c r="T1058" s="84"/>
      <c r="U1058" s="84"/>
      <c r="V1058" s="84"/>
      <c r="W1058" s="84"/>
      <c r="X1058" s="84"/>
    </row>
    <row r="1059" ht="15.75" customHeight="1">
      <c r="A1059" s="14" t="s">
        <v>17</v>
      </c>
      <c r="B1059" s="14">
        <v>2003.0</v>
      </c>
      <c r="C1059" s="14" t="s">
        <v>13227</v>
      </c>
      <c r="D1059" s="14" t="s">
        <v>13228</v>
      </c>
      <c r="E1059" s="150" t="str">
        <f t="shared" si="26"/>
        <v>http://dx.doi.org/10.1109/VISUAL.2003.1250356</v>
      </c>
      <c r="F1059" s="14">
        <v>67.0</v>
      </c>
      <c r="G1059" s="14">
        <v>74.0</v>
      </c>
      <c r="H1059" s="14" t="s">
        <v>28</v>
      </c>
      <c r="I1059" s="14"/>
      <c r="J1059" s="130" t="s">
        <v>13235</v>
      </c>
      <c r="K1059" s="152" t="s">
        <v>13236</v>
      </c>
      <c r="L1059" s="20" t="s">
        <v>13237</v>
      </c>
      <c r="M1059" s="174" t="s">
        <v>13238</v>
      </c>
      <c r="N1059" s="152" t="s">
        <v>13236</v>
      </c>
      <c r="O1059" s="84"/>
      <c r="P1059" s="84"/>
      <c r="Q1059" s="84"/>
      <c r="R1059" s="84"/>
      <c r="S1059" s="84"/>
      <c r="T1059" s="84"/>
      <c r="U1059" s="84"/>
      <c r="V1059" s="84"/>
      <c r="W1059" s="84"/>
      <c r="X1059" s="84"/>
    </row>
    <row r="1060" ht="15.75" customHeight="1">
      <c r="A1060" s="14" t="s">
        <v>17</v>
      </c>
      <c r="B1060" s="14">
        <v>2003.0</v>
      </c>
      <c r="C1060" s="14" t="s">
        <v>13242</v>
      </c>
      <c r="D1060" s="14" t="s">
        <v>13244</v>
      </c>
      <c r="E1060" s="150" t="str">
        <f t="shared" si="26"/>
        <v>http://dx.doi.org/10.1109/VISUAL.2003.1250357</v>
      </c>
      <c r="F1060" s="14">
        <v>75.0</v>
      </c>
      <c r="G1060" s="14">
        <v>82.0</v>
      </c>
      <c r="H1060" s="14" t="s">
        <v>28</v>
      </c>
      <c r="I1060" s="14"/>
      <c r="J1060" s="130" t="s">
        <v>13250</v>
      </c>
      <c r="K1060" s="152" t="s">
        <v>13252</v>
      </c>
      <c r="L1060" s="20" t="s">
        <v>13253</v>
      </c>
      <c r="M1060" s="174" t="s">
        <v>13254</v>
      </c>
      <c r="N1060" s="130" t="s">
        <v>40364</v>
      </c>
      <c r="O1060" s="84"/>
      <c r="P1060" s="84"/>
      <c r="Q1060" s="84"/>
      <c r="R1060" s="84"/>
      <c r="S1060" s="84"/>
      <c r="T1060" s="84"/>
      <c r="U1060" s="84"/>
      <c r="V1060" s="84"/>
      <c r="W1060" s="84"/>
      <c r="X1060" s="84"/>
    </row>
    <row r="1061" ht="15.75" customHeight="1">
      <c r="A1061" s="14" t="s">
        <v>17</v>
      </c>
      <c r="B1061" s="14">
        <v>2003.0</v>
      </c>
      <c r="C1061" s="14" t="s">
        <v>13255</v>
      </c>
      <c r="D1061" s="14" t="s">
        <v>13256</v>
      </c>
      <c r="E1061" s="150" t="str">
        <f t="shared" si="26"/>
        <v>http://dx.doi.org/10.1109/VISUAL.2003.1250358</v>
      </c>
      <c r="F1061" s="14">
        <v>83.0</v>
      </c>
      <c r="G1061" s="14">
        <v>90.0</v>
      </c>
      <c r="H1061" s="14" t="s">
        <v>28</v>
      </c>
      <c r="I1061" s="14"/>
      <c r="J1061" s="130" t="s">
        <v>13261</v>
      </c>
      <c r="K1061" s="152" t="s">
        <v>13262</v>
      </c>
      <c r="L1061" s="20" t="s">
        <v>13263</v>
      </c>
      <c r="M1061" s="174" t="s">
        <v>13264</v>
      </c>
      <c r="N1061" s="152" t="s">
        <v>13262</v>
      </c>
      <c r="O1061" s="84"/>
      <c r="P1061" s="84"/>
      <c r="Q1061" s="84"/>
      <c r="R1061" s="84"/>
      <c r="S1061" s="84"/>
      <c r="T1061" s="84"/>
      <c r="U1061" s="84"/>
      <c r="V1061" s="84"/>
      <c r="W1061" s="84"/>
      <c r="X1061" s="84"/>
    </row>
    <row r="1062" ht="15.75" customHeight="1">
      <c r="A1062" s="14" t="s">
        <v>17</v>
      </c>
      <c r="B1062" s="14">
        <v>2003.0</v>
      </c>
      <c r="C1062" s="14" t="s">
        <v>13265</v>
      </c>
      <c r="D1062" s="14" t="s">
        <v>13266</v>
      </c>
      <c r="E1062" s="150" t="str">
        <f t="shared" si="26"/>
        <v>http://dx.doi.org/10.1109/VISUAL.2003.1250359</v>
      </c>
      <c r="F1062" s="14">
        <v>91.0</v>
      </c>
      <c r="G1062" s="14">
        <v>98.0</v>
      </c>
      <c r="H1062" s="14" t="s">
        <v>28</v>
      </c>
      <c r="I1062" s="14"/>
      <c r="J1062" s="130" t="s">
        <v>40565</v>
      </c>
      <c r="K1062" s="152" t="s">
        <v>13269</v>
      </c>
      <c r="L1062" s="20" t="s">
        <v>7101</v>
      </c>
      <c r="M1062" s="174" t="s">
        <v>13270</v>
      </c>
      <c r="N1062" s="130" t="s">
        <v>40567</v>
      </c>
      <c r="O1062" s="84"/>
      <c r="P1062" s="84"/>
      <c r="Q1062" s="84"/>
      <c r="R1062" s="84"/>
      <c r="S1062" s="84"/>
      <c r="T1062" s="84"/>
      <c r="U1062" s="84"/>
      <c r="V1062" s="84"/>
      <c r="W1062" s="84"/>
      <c r="X1062" s="84"/>
    </row>
    <row r="1063" ht="15.75" customHeight="1">
      <c r="A1063" s="14" t="s">
        <v>17</v>
      </c>
      <c r="B1063" s="14">
        <v>2003.0</v>
      </c>
      <c r="C1063" s="14" t="s">
        <v>13271</v>
      </c>
      <c r="D1063" s="14" t="s">
        <v>13272</v>
      </c>
      <c r="E1063" s="150" t="str">
        <f t="shared" si="26"/>
        <v>http://dx.doi.org/10.1109/VISUAL.2003.1250360</v>
      </c>
      <c r="F1063" s="14">
        <v>99.0</v>
      </c>
      <c r="G1063" s="14">
        <v>106.0</v>
      </c>
      <c r="H1063" s="14" t="s">
        <v>28</v>
      </c>
      <c r="I1063" s="14"/>
      <c r="J1063" s="130" t="s">
        <v>13274</v>
      </c>
      <c r="K1063" s="152" t="s">
        <v>4370</v>
      </c>
      <c r="L1063" s="20" t="s">
        <v>13275</v>
      </c>
      <c r="M1063" s="174" t="s">
        <v>13276</v>
      </c>
      <c r="N1063" s="130" t="s">
        <v>40572</v>
      </c>
      <c r="O1063" s="84"/>
      <c r="P1063" s="84"/>
      <c r="Q1063" s="84"/>
      <c r="R1063" s="84"/>
      <c r="S1063" s="84"/>
      <c r="T1063" s="84"/>
      <c r="U1063" s="84"/>
      <c r="V1063" s="84"/>
      <c r="W1063" s="84"/>
      <c r="X1063" s="84"/>
    </row>
    <row r="1064" ht="15.75" customHeight="1">
      <c r="A1064" s="14" t="s">
        <v>17</v>
      </c>
      <c r="B1064" s="14">
        <v>2003.0</v>
      </c>
      <c r="C1064" s="14" t="s">
        <v>13277</v>
      </c>
      <c r="D1064" s="14" t="s">
        <v>13278</v>
      </c>
      <c r="E1064" s="150" t="str">
        <f t="shared" si="26"/>
        <v>http://dx.doi.org/10.1109/VISUAL.2003.1250361</v>
      </c>
      <c r="F1064" s="14">
        <v>107.0</v>
      </c>
      <c r="G1064" s="14">
        <v>114.0</v>
      </c>
      <c r="H1064" s="14" t="s">
        <v>28</v>
      </c>
      <c r="I1064" s="14"/>
      <c r="J1064" s="130" t="s">
        <v>13280</v>
      </c>
      <c r="K1064" s="152" t="s">
        <v>13281</v>
      </c>
      <c r="L1064" s="20" t="s">
        <v>13282</v>
      </c>
      <c r="M1064" s="174" t="s">
        <v>13283</v>
      </c>
      <c r="N1064" s="130" t="s">
        <v>40576</v>
      </c>
      <c r="O1064" s="84"/>
      <c r="P1064" s="84"/>
      <c r="Q1064" s="84"/>
      <c r="R1064" s="84"/>
      <c r="S1064" s="84"/>
      <c r="T1064" s="84"/>
      <c r="U1064" s="84"/>
      <c r="V1064" s="84"/>
      <c r="W1064" s="84"/>
      <c r="X1064" s="84"/>
    </row>
    <row r="1065" ht="15.75" customHeight="1">
      <c r="A1065" s="14" t="s">
        <v>17</v>
      </c>
      <c r="B1065" s="14">
        <v>2003.0</v>
      </c>
      <c r="C1065" s="14" t="s">
        <v>13284</v>
      </c>
      <c r="D1065" s="14" t="s">
        <v>13285</v>
      </c>
      <c r="E1065" s="150" t="str">
        <f t="shared" si="26"/>
        <v>http://dx.doi.org/10.1109/VISUAL.2003.1250362</v>
      </c>
      <c r="F1065" s="14">
        <v>115.0</v>
      </c>
      <c r="G1065" s="14">
        <v>121.0</v>
      </c>
      <c r="H1065" s="14" t="s">
        <v>28</v>
      </c>
      <c r="I1065" s="14"/>
      <c r="J1065" s="130" t="s">
        <v>13290</v>
      </c>
      <c r="K1065" s="152" t="s">
        <v>13291</v>
      </c>
      <c r="L1065" s="20" t="s">
        <v>13292</v>
      </c>
      <c r="M1065" s="174" t="s">
        <v>13293</v>
      </c>
      <c r="N1065" s="130" t="s">
        <v>40577</v>
      </c>
      <c r="O1065" s="84"/>
      <c r="P1065" s="84"/>
      <c r="Q1065" s="84"/>
      <c r="R1065" s="84"/>
      <c r="S1065" s="84"/>
      <c r="T1065" s="84"/>
      <c r="U1065" s="84"/>
      <c r="V1065" s="84"/>
      <c r="W1065" s="84"/>
      <c r="X1065" s="84"/>
    </row>
    <row r="1066" ht="15.75" customHeight="1">
      <c r="A1066" s="14" t="s">
        <v>17</v>
      </c>
      <c r="B1066" s="14">
        <v>2003.0</v>
      </c>
      <c r="C1066" s="14" t="s">
        <v>13294</v>
      </c>
      <c r="D1066" s="14" t="s">
        <v>13295</v>
      </c>
      <c r="E1066" s="150" t="str">
        <f t="shared" si="26"/>
        <v>http://dx.doi.org/10.1109/VISUAL.2003.1250363</v>
      </c>
      <c r="F1066" s="14">
        <v>123.0</v>
      </c>
      <c r="G1066" s="14">
        <v>130.0</v>
      </c>
      <c r="H1066" s="14" t="s">
        <v>28</v>
      </c>
      <c r="I1066" s="14"/>
      <c r="J1066" s="130" t="s">
        <v>1304</v>
      </c>
      <c r="K1066" s="152" t="s">
        <v>13153</v>
      </c>
      <c r="L1066" s="20" t="s">
        <v>13301</v>
      </c>
      <c r="M1066" s="174" t="s">
        <v>13302</v>
      </c>
      <c r="N1066" s="130" t="s">
        <v>15415</v>
      </c>
      <c r="O1066" s="84"/>
      <c r="P1066" s="84"/>
      <c r="Q1066" s="84"/>
      <c r="R1066" s="84"/>
      <c r="S1066" s="84"/>
      <c r="T1066" s="84"/>
      <c r="U1066" s="84"/>
      <c r="V1066" s="84"/>
      <c r="W1066" s="84"/>
      <c r="X1066" s="84"/>
    </row>
    <row r="1067" ht="15.75" customHeight="1">
      <c r="A1067" s="14" t="s">
        <v>17</v>
      </c>
      <c r="B1067" s="14">
        <v>2003.0</v>
      </c>
      <c r="C1067" s="14" t="s">
        <v>13303</v>
      </c>
      <c r="D1067" s="14" t="s">
        <v>13304</v>
      </c>
      <c r="E1067" s="150" t="str">
        <f t="shared" si="26"/>
        <v>http://dx.doi.org/10.1109/VISUAL.2003.1250364</v>
      </c>
      <c r="F1067" s="14">
        <v>131.0</v>
      </c>
      <c r="G1067" s="14">
        <v>138.0</v>
      </c>
      <c r="H1067" s="14" t="s">
        <v>28</v>
      </c>
      <c r="I1067" s="14"/>
      <c r="J1067" s="130" t="s">
        <v>13309</v>
      </c>
      <c r="K1067" s="152" t="s">
        <v>13310</v>
      </c>
      <c r="L1067" s="20" t="s">
        <v>13311</v>
      </c>
      <c r="M1067" s="174" t="s">
        <v>13312</v>
      </c>
      <c r="N1067" s="130" t="s">
        <v>40581</v>
      </c>
      <c r="O1067" s="84"/>
      <c r="P1067" s="84"/>
      <c r="Q1067" s="84"/>
      <c r="R1067" s="84"/>
      <c r="S1067" s="84"/>
      <c r="T1067" s="84"/>
      <c r="U1067" s="84"/>
      <c r="V1067" s="84"/>
      <c r="W1067" s="84"/>
      <c r="X1067" s="84"/>
    </row>
    <row r="1068" ht="15.75" customHeight="1">
      <c r="A1068" s="14" t="s">
        <v>17</v>
      </c>
      <c r="B1068" s="14">
        <v>2003.0</v>
      </c>
      <c r="C1068" s="14" t="s">
        <v>13313</v>
      </c>
      <c r="D1068" s="14" t="s">
        <v>13314</v>
      </c>
      <c r="E1068" s="150" t="str">
        <f t="shared" si="26"/>
        <v>http://dx.doi.org/10.1109/VISUAL.2003.1250365</v>
      </c>
      <c r="F1068" s="14">
        <v>139.0</v>
      </c>
      <c r="G1068" s="14">
        <v>146.0</v>
      </c>
      <c r="H1068" s="14" t="s">
        <v>28</v>
      </c>
      <c r="I1068" s="14"/>
      <c r="J1068" s="130" t="s">
        <v>13326</v>
      </c>
      <c r="K1068" s="152" t="s">
        <v>4441</v>
      </c>
      <c r="L1068" s="20" t="s">
        <v>13327</v>
      </c>
      <c r="M1068" s="174" t="s">
        <v>13328</v>
      </c>
      <c r="N1068" s="130" t="s">
        <v>40582</v>
      </c>
      <c r="O1068" s="84"/>
      <c r="P1068" s="84"/>
      <c r="Q1068" s="84"/>
      <c r="R1068" s="84"/>
      <c r="S1068" s="84"/>
      <c r="T1068" s="84"/>
      <c r="U1068" s="84"/>
      <c r="V1068" s="84"/>
      <c r="W1068" s="84"/>
      <c r="X1068" s="84"/>
    </row>
    <row r="1069" ht="15.75" customHeight="1">
      <c r="A1069" s="14" t="s">
        <v>17</v>
      </c>
      <c r="B1069" s="14">
        <v>2003.0</v>
      </c>
      <c r="C1069" s="14" t="s">
        <v>13329</v>
      </c>
      <c r="D1069" s="14" t="s">
        <v>13330</v>
      </c>
      <c r="E1069" s="150" t="str">
        <f t="shared" si="26"/>
        <v>http://dx.doi.org/10.1109/VISUAL.2003.1250366</v>
      </c>
      <c r="F1069" s="14">
        <v>147.0</v>
      </c>
      <c r="G1069" s="14">
        <v>154.0</v>
      </c>
      <c r="H1069" s="14" t="s">
        <v>28</v>
      </c>
      <c r="I1069" s="14"/>
      <c r="J1069" s="130" t="s">
        <v>13338</v>
      </c>
      <c r="K1069" s="152" t="s">
        <v>13339</v>
      </c>
      <c r="L1069" s="20" t="s">
        <v>13340</v>
      </c>
      <c r="M1069" s="174" t="s">
        <v>13341</v>
      </c>
      <c r="N1069" s="130" t="s">
        <v>40584</v>
      </c>
      <c r="O1069" s="84"/>
      <c r="P1069" s="84"/>
      <c r="Q1069" s="84"/>
      <c r="R1069" s="84"/>
      <c r="S1069" s="84"/>
      <c r="T1069" s="84"/>
      <c r="U1069" s="84"/>
      <c r="V1069" s="84"/>
      <c r="W1069" s="84"/>
      <c r="X1069" s="84"/>
    </row>
    <row r="1070" ht="15.75" customHeight="1">
      <c r="A1070" s="14" t="s">
        <v>17</v>
      </c>
      <c r="B1070" s="14">
        <v>2003.0</v>
      </c>
      <c r="C1070" s="14" t="s">
        <v>13342</v>
      </c>
      <c r="D1070" s="14" t="s">
        <v>13343</v>
      </c>
      <c r="E1070" s="150" t="str">
        <f t="shared" si="26"/>
        <v>http://dx.doi.org/10.1109/VISUAL.2003.1250367</v>
      </c>
      <c r="F1070" s="14">
        <v>155.0</v>
      </c>
      <c r="G1070" s="14">
        <v>162.0</v>
      </c>
      <c r="H1070" s="14" t="s">
        <v>28</v>
      </c>
      <c r="I1070" s="14"/>
      <c r="J1070" s="130" t="s">
        <v>13348</v>
      </c>
      <c r="K1070" s="152" t="s">
        <v>13349</v>
      </c>
      <c r="L1070" s="20" t="s">
        <v>13350</v>
      </c>
      <c r="M1070" s="174" t="s">
        <v>13351</v>
      </c>
      <c r="N1070" s="130" t="s">
        <v>40586</v>
      </c>
      <c r="O1070" s="84"/>
      <c r="P1070" s="84"/>
      <c r="Q1070" s="84"/>
      <c r="R1070" s="84"/>
      <c r="S1070" s="84"/>
      <c r="T1070" s="84"/>
      <c r="U1070" s="84"/>
      <c r="V1070" s="84"/>
      <c r="W1070" s="84"/>
      <c r="X1070" s="84"/>
    </row>
    <row r="1071" ht="15.75" customHeight="1">
      <c r="A1071" s="14" t="s">
        <v>17</v>
      </c>
      <c r="B1071" s="14">
        <v>2003.0</v>
      </c>
      <c r="C1071" s="14" t="s">
        <v>13352</v>
      </c>
      <c r="D1071" s="14" t="s">
        <v>13353</v>
      </c>
      <c r="E1071" s="150" t="str">
        <f t="shared" si="26"/>
        <v>http://dx.doi.org/10.1109/VISUAL.2003.1250368</v>
      </c>
      <c r="F1071" s="14">
        <v>163.0</v>
      </c>
      <c r="G1071" s="14">
        <v>170.0</v>
      </c>
      <c r="H1071" s="14" t="s">
        <v>28</v>
      </c>
      <c r="I1071" s="14"/>
      <c r="J1071" s="130" t="s">
        <v>13359</v>
      </c>
      <c r="K1071" s="152" t="s">
        <v>3739</v>
      </c>
      <c r="L1071" s="20" t="s">
        <v>13360</v>
      </c>
      <c r="M1071" s="174" t="s">
        <v>13361</v>
      </c>
      <c r="N1071" s="130" t="s">
        <v>37962</v>
      </c>
      <c r="O1071" s="84"/>
      <c r="P1071" s="84"/>
      <c r="Q1071" s="84"/>
      <c r="R1071" s="84"/>
      <c r="S1071" s="84"/>
      <c r="T1071" s="84"/>
      <c r="U1071" s="84"/>
      <c r="V1071" s="84"/>
      <c r="W1071" s="84"/>
      <c r="X1071" s="84"/>
    </row>
    <row r="1072" ht="15.75" customHeight="1">
      <c r="A1072" s="14" t="s">
        <v>17</v>
      </c>
      <c r="B1072" s="14">
        <v>2003.0</v>
      </c>
      <c r="C1072" s="14" t="s">
        <v>13362</v>
      </c>
      <c r="D1072" s="14" t="s">
        <v>13363</v>
      </c>
      <c r="E1072" s="150" t="str">
        <f t="shared" si="26"/>
        <v>http://dx.doi.org/10.1109/VISUAL.2003.1250369</v>
      </c>
      <c r="F1072" s="14">
        <v>171.0</v>
      </c>
      <c r="G1072" s="14">
        <v>176.0</v>
      </c>
      <c r="H1072" s="14" t="s">
        <v>28</v>
      </c>
      <c r="I1072" s="14"/>
      <c r="J1072" s="130" t="s">
        <v>13367</v>
      </c>
      <c r="K1072" s="152" t="s">
        <v>4915</v>
      </c>
      <c r="L1072" s="20" t="s">
        <v>13244</v>
      </c>
      <c r="M1072" s="174" t="s">
        <v>13368</v>
      </c>
      <c r="N1072" s="130" t="s">
        <v>39782</v>
      </c>
      <c r="O1072" s="84"/>
      <c r="P1072" s="84"/>
      <c r="Q1072" s="84"/>
      <c r="R1072" s="84"/>
      <c r="S1072" s="84"/>
      <c r="T1072" s="84"/>
      <c r="U1072" s="84"/>
      <c r="V1072" s="84"/>
      <c r="W1072" s="84"/>
      <c r="X1072" s="84"/>
    </row>
    <row r="1073" ht="15.75" customHeight="1">
      <c r="A1073" s="14" t="s">
        <v>17</v>
      </c>
      <c r="B1073" s="14">
        <v>2003.0</v>
      </c>
      <c r="C1073" s="14" t="s">
        <v>13369</v>
      </c>
      <c r="D1073" s="14" t="s">
        <v>13370</v>
      </c>
      <c r="E1073" s="150" t="str">
        <f t="shared" si="26"/>
        <v>http://dx.doi.org/10.1109/VISUAL.2003.1250370</v>
      </c>
      <c r="F1073" s="14">
        <v>177.0</v>
      </c>
      <c r="G1073" s="14">
        <v>184.0</v>
      </c>
      <c r="H1073" s="14" t="s">
        <v>28</v>
      </c>
      <c r="I1073" s="14"/>
      <c r="J1073" s="130" t="s">
        <v>15116</v>
      </c>
      <c r="K1073" s="152" t="s">
        <v>13377</v>
      </c>
      <c r="L1073" s="20" t="s">
        <v>5996</v>
      </c>
      <c r="M1073" s="174" t="s">
        <v>13378</v>
      </c>
      <c r="N1073" s="130" t="s">
        <v>40593</v>
      </c>
      <c r="O1073" s="84"/>
      <c r="P1073" s="84"/>
      <c r="Q1073" s="84"/>
      <c r="R1073" s="84"/>
      <c r="S1073" s="84"/>
      <c r="T1073" s="84"/>
      <c r="U1073" s="84"/>
      <c r="V1073" s="84"/>
      <c r="W1073" s="84"/>
      <c r="X1073" s="84"/>
    </row>
    <row r="1074" ht="15.75" customHeight="1">
      <c r="A1074" s="14" t="s">
        <v>17</v>
      </c>
      <c r="B1074" s="14">
        <v>2003.0</v>
      </c>
      <c r="C1074" s="14" t="s">
        <v>13379</v>
      </c>
      <c r="D1074" s="14" t="s">
        <v>13380</v>
      </c>
      <c r="E1074" s="150" t="str">
        <f t="shared" si="26"/>
        <v>http://dx.doi.org/10.1109/VISUAL.2003.1250371</v>
      </c>
      <c r="F1074" s="14">
        <v>185.0</v>
      </c>
      <c r="G1074" s="14">
        <v>192.0</v>
      </c>
      <c r="H1074" s="14" t="s">
        <v>28</v>
      </c>
      <c r="I1074" s="14"/>
      <c r="J1074" s="130" t="s">
        <v>13385</v>
      </c>
      <c r="K1074" s="152" t="s">
        <v>13386</v>
      </c>
      <c r="L1074" s="20" t="s">
        <v>13387</v>
      </c>
      <c r="M1074" s="174" t="s">
        <v>13388</v>
      </c>
      <c r="N1074" s="152" t="s">
        <v>13386</v>
      </c>
      <c r="O1074" s="84"/>
      <c r="P1074" s="84"/>
      <c r="Q1074" s="84"/>
      <c r="R1074" s="84"/>
      <c r="S1074" s="84"/>
      <c r="T1074" s="84"/>
      <c r="U1074" s="84"/>
      <c r="V1074" s="84"/>
      <c r="W1074" s="84"/>
      <c r="X1074" s="84"/>
    </row>
    <row r="1075" ht="15.75" customHeight="1">
      <c r="A1075" s="14" t="s">
        <v>17</v>
      </c>
      <c r="B1075" s="14">
        <v>2003.0</v>
      </c>
      <c r="C1075" s="14" t="s">
        <v>13389</v>
      </c>
      <c r="D1075" s="14" t="s">
        <v>13390</v>
      </c>
      <c r="E1075" s="150" t="str">
        <f t="shared" si="26"/>
        <v>http://dx.doi.org/10.1109/VISUAL.2003.1250372</v>
      </c>
      <c r="F1075" s="14">
        <v>193.0</v>
      </c>
      <c r="G1075" s="14">
        <v>200.0</v>
      </c>
      <c r="H1075" s="14" t="s">
        <v>28</v>
      </c>
      <c r="I1075" s="14"/>
      <c r="J1075" s="130" t="s">
        <v>13395</v>
      </c>
      <c r="K1075" s="152" t="s">
        <v>13396</v>
      </c>
      <c r="L1075" s="20" t="s">
        <v>13397</v>
      </c>
      <c r="M1075" s="174" t="s">
        <v>13398</v>
      </c>
      <c r="N1075" s="130" t="s">
        <v>40028</v>
      </c>
      <c r="O1075" s="84"/>
      <c r="P1075" s="84"/>
      <c r="Q1075" s="84"/>
      <c r="R1075" s="84"/>
      <c r="S1075" s="84"/>
      <c r="T1075" s="84"/>
      <c r="U1075" s="84"/>
      <c r="V1075" s="84"/>
      <c r="W1075" s="84"/>
      <c r="X1075" s="84"/>
    </row>
    <row r="1076" ht="15.75" customHeight="1">
      <c r="A1076" s="14" t="s">
        <v>17</v>
      </c>
      <c r="B1076" s="14">
        <v>2003.0</v>
      </c>
      <c r="C1076" s="14" t="s">
        <v>13399</v>
      </c>
      <c r="D1076" s="14" t="s">
        <v>13400</v>
      </c>
      <c r="E1076" s="150" t="str">
        <f t="shared" si="26"/>
        <v>http://dx.doi.org/10.1109/VISUAL.2003.1250373</v>
      </c>
      <c r="F1076" s="14">
        <v>201.0</v>
      </c>
      <c r="G1076" s="14">
        <v>208.0</v>
      </c>
      <c r="H1076" s="14" t="s">
        <v>28</v>
      </c>
      <c r="I1076" s="14"/>
      <c r="J1076" s="130" t="s">
        <v>13403</v>
      </c>
      <c r="K1076" s="152" t="s">
        <v>13405</v>
      </c>
      <c r="L1076" s="20" t="s">
        <v>13407</v>
      </c>
      <c r="M1076" s="174" t="s">
        <v>13408</v>
      </c>
      <c r="N1076" s="130" t="s">
        <v>34817</v>
      </c>
      <c r="O1076" s="84"/>
      <c r="P1076" s="84"/>
      <c r="Q1076" s="84"/>
      <c r="R1076" s="84"/>
      <c r="S1076" s="84"/>
      <c r="T1076" s="84"/>
      <c r="U1076" s="84"/>
      <c r="V1076" s="84"/>
      <c r="W1076" s="84"/>
      <c r="X1076" s="84"/>
    </row>
    <row r="1077" ht="15.75" customHeight="1">
      <c r="A1077" s="14" t="s">
        <v>17</v>
      </c>
      <c r="B1077" s="14">
        <v>2003.0</v>
      </c>
      <c r="C1077" s="14" t="s">
        <v>13409</v>
      </c>
      <c r="D1077" s="14" t="s">
        <v>13410</v>
      </c>
      <c r="E1077" s="150" t="str">
        <f t="shared" si="26"/>
        <v>http://dx.doi.org/10.1109/VISUAL.2003.1250374</v>
      </c>
      <c r="F1077" s="14">
        <v>209.0</v>
      </c>
      <c r="G1077" s="14">
        <v>216.0</v>
      </c>
      <c r="H1077" s="14" t="s">
        <v>28</v>
      </c>
      <c r="I1077" s="14"/>
      <c r="J1077" s="130" t="s">
        <v>13413</v>
      </c>
      <c r="K1077" s="152" t="s">
        <v>13416</v>
      </c>
      <c r="L1077" s="20" t="s">
        <v>13417</v>
      </c>
      <c r="M1077" s="174" t="s">
        <v>13418</v>
      </c>
      <c r="N1077" s="130" t="s">
        <v>39861</v>
      </c>
      <c r="O1077" s="84"/>
      <c r="P1077" s="84"/>
      <c r="Q1077" s="84"/>
      <c r="R1077" s="84"/>
      <c r="S1077" s="84"/>
      <c r="T1077" s="84"/>
      <c r="U1077" s="84"/>
      <c r="V1077" s="84"/>
      <c r="W1077" s="84"/>
      <c r="X1077" s="84"/>
    </row>
    <row r="1078" ht="15.75" customHeight="1">
      <c r="A1078" s="14" t="s">
        <v>17</v>
      </c>
      <c r="B1078" s="14">
        <v>2003.0</v>
      </c>
      <c r="C1078" s="14" t="s">
        <v>13419</v>
      </c>
      <c r="D1078" s="14" t="s">
        <v>13420</v>
      </c>
      <c r="E1078" s="150" t="str">
        <f t="shared" si="26"/>
        <v>http://dx.doi.org/10.1109/VISUAL.2003.1250375</v>
      </c>
      <c r="F1078" s="14">
        <v>217.0</v>
      </c>
      <c r="G1078" s="14">
        <v>224.0</v>
      </c>
      <c r="H1078" s="14" t="s">
        <v>28</v>
      </c>
      <c r="I1078" s="14"/>
      <c r="J1078" s="130" t="s">
        <v>11679</v>
      </c>
      <c r="K1078" s="152" t="s">
        <v>13429</v>
      </c>
      <c r="L1078" s="20" t="s">
        <v>13430</v>
      </c>
      <c r="M1078" s="174" t="s">
        <v>13431</v>
      </c>
      <c r="N1078" s="130" t="s">
        <v>40608</v>
      </c>
      <c r="O1078" s="84"/>
      <c r="P1078" s="84"/>
      <c r="Q1078" s="84"/>
      <c r="R1078" s="84"/>
      <c r="S1078" s="84"/>
      <c r="T1078" s="84"/>
      <c r="U1078" s="84"/>
      <c r="V1078" s="84"/>
      <c r="W1078" s="84"/>
      <c r="X1078" s="84"/>
    </row>
    <row r="1079" ht="15.75" customHeight="1">
      <c r="A1079" s="14" t="s">
        <v>17</v>
      </c>
      <c r="B1079" s="14">
        <v>2003.0</v>
      </c>
      <c r="C1079" s="14" t="s">
        <v>13432</v>
      </c>
      <c r="D1079" s="14" t="s">
        <v>13433</v>
      </c>
      <c r="E1079" s="150" t="str">
        <f t="shared" si="26"/>
        <v>http://dx.doi.org/10.1109/VISUAL.2003.1250376</v>
      </c>
      <c r="F1079" s="14">
        <v>225.0</v>
      </c>
      <c r="G1079" s="14">
        <v>232.0</v>
      </c>
      <c r="H1079" s="14" t="s">
        <v>28</v>
      </c>
      <c r="I1079" s="14"/>
      <c r="J1079" s="130" t="s">
        <v>13442</v>
      </c>
      <c r="K1079" s="152" t="s">
        <v>13443</v>
      </c>
      <c r="L1079" s="20" t="s">
        <v>13444</v>
      </c>
      <c r="M1079" s="174" t="s">
        <v>13445</v>
      </c>
      <c r="N1079" s="130" t="s">
        <v>40620</v>
      </c>
      <c r="O1079" s="84"/>
      <c r="P1079" s="84"/>
      <c r="Q1079" s="84"/>
      <c r="R1079" s="84"/>
      <c r="S1079" s="84"/>
      <c r="T1079" s="84"/>
      <c r="U1079" s="84"/>
      <c r="V1079" s="84"/>
      <c r="W1079" s="84"/>
      <c r="X1079" s="84"/>
    </row>
    <row r="1080" ht="15.75" customHeight="1">
      <c r="A1080" s="14" t="s">
        <v>17</v>
      </c>
      <c r="B1080" s="14">
        <v>2003.0</v>
      </c>
      <c r="C1080" s="14" t="s">
        <v>13446</v>
      </c>
      <c r="D1080" s="14" t="s">
        <v>13447</v>
      </c>
      <c r="E1080" s="150" t="str">
        <f t="shared" si="26"/>
        <v>http://dx.doi.org/10.1109/VISUAL.2003.1250377</v>
      </c>
      <c r="F1080" s="14">
        <v>233.0</v>
      </c>
      <c r="G1080" s="14">
        <v>240.0</v>
      </c>
      <c r="H1080" s="14" t="s">
        <v>28</v>
      </c>
      <c r="I1080" s="14"/>
      <c r="J1080" s="130" t="s">
        <v>4946</v>
      </c>
      <c r="K1080" s="152" t="s">
        <v>11886</v>
      </c>
      <c r="L1080" s="20" t="s">
        <v>13452</v>
      </c>
      <c r="M1080" s="174" t="s">
        <v>13453</v>
      </c>
      <c r="N1080" s="130" t="s">
        <v>40628</v>
      </c>
      <c r="O1080" s="84"/>
      <c r="P1080" s="84"/>
      <c r="Q1080" s="84"/>
      <c r="R1080" s="84"/>
      <c r="S1080" s="84"/>
      <c r="T1080" s="84"/>
      <c r="U1080" s="84"/>
      <c r="V1080" s="84"/>
      <c r="W1080" s="84"/>
      <c r="X1080" s="84"/>
    </row>
    <row r="1081" ht="15.75" customHeight="1">
      <c r="A1081" s="14" t="s">
        <v>17</v>
      </c>
      <c r="B1081" s="14">
        <v>2003.0</v>
      </c>
      <c r="C1081" s="14" t="s">
        <v>13454</v>
      </c>
      <c r="D1081" s="14" t="s">
        <v>13455</v>
      </c>
      <c r="E1081" s="150" t="str">
        <f t="shared" si="26"/>
        <v>http://dx.doi.org/10.1109/VISUAL.2003.1250378</v>
      </c>
      <c r="F1081" s="14">
        <v>241.0</v>
      </c>
      <c r="G1081" s="14">
        <v>248.0</v>
      </c>
      <c r="H1081" s="14" t="s">
        <v>28</v>
      </c>
      <c r="I1081" s="14"/>
      <c r="J1081" s="130" t="s">
        <v>13463</v>
      </c>
      <c r="K1081" s="152" t="s">
        <v>13416</v>
      </c>
      <c r="L1081" s="20" t="s">
        <v>13464</v>
      </c>
      <c r="M1081" s="174" t="s">
        <v>13465</v>
      </c>
      <c r="N1081" s="152" t="s">
        <v>13416</v>
      </c>
      <c r="O1081" s="84"/>
      <c r="P1081" s="84"/>
      <c r="Q1081" s="84"/>
      <c r="R1081" s="84"/>
      <c r="S1081" s="84"/>
      <c r="T1081" s="84"/>
      <c r="U1081" s="84"/>
      <c r="V1081" s="84"/>
      <c r="W1081" s="84"/>
      <c r="X1081" s="84"/>
    </row>
    <row r="1082" ht="15.75" customHeight="1">
      <c r="A1082" s="14" t="s">
        <v>17</v>
      </c>
      <c r="B1082" s="14">
        <v>2003.0</v>
      </c>
      <c r="C1082" s="14" t="s">
        <v>13466</v>
      </c>
      <c r="D1082" s="14" t="s">
        <v>13467</v>
      </c>
      <c r="E1082" s="150" t="str">
        <f t="shared" si="26"/>
        <v>http://dx.doi.org/10.1109/VISUAL.2003.1250379</v>
      </c>
      <c r="F1082" s="14">
        <v>249.0</v>
      </c>
      <c r="G1082" s="14">
        <v>256.0</v>
      </c>
      <c r="H1082" s="14" t="s">
        <v>28</v>
      </c>
      <c r="I1082" s="14"/>
      <c r="J1082" s="130" t="s">
        <v>12502</v>
      </c>
      <c r="K1082" s="152" t="s">
        <v>13474</v>
      </c>
      <c r="L1082" s="20" t="s">
        <v>13475</v>
      </c>
      <c r="M1082" s="174" t="s">
        <v>13476</v>
      </c>
      <c r="N1082" s="130" t="s">
        <v>35935</v>
      </c>
      <c r="O1082" s="84"/>
      <c r="P1082" s="84"/>
      <c r="Q1082" s="84"/>
      <c r="R1082" s="84"/>
      <c r="S1082" s="84"/>
      <c r="T1082" s="84"/>
      <c r="U1082" s="84"/>
      <c r="V1082" s="84"/>
      <c r="W1082" s="84"/>
      <c r="X1082" s="84"/>
    </row>
    <row r="1083" ht="15.75" customHeight="1">
      <c r="A1083" s="14" t="s">
        <v>17</v>
      </c>
      <c r="B1083" s="14">
        <v>2003.0</v>
      </c>
      <c r="C1083" s="14" t="s">
        <v>13477</v>
      </c>
      <c r="D1083" s="14" t="s">
        <v>13478</v>
      </c>
      <c r="E1083" s="150" t="str">
        <f t="shared" si="26"/>
        <v>http://dx.doi.org/10.1109/VISUAL.2003.1250380</v>
      </c>
      <c r="F1083" s="14">
        <v>257.0</v>
      </c>
      <c r="G1083" s="14">
        <v>262.0</v>
      </c>
      <c r="H1083" s="14" t="s">
        <v>28</v>
      </c>
      <c r="I1083" s="14"/>
      <c r="J1083" s="130" t="s">
        <v>13483</v>
      </c>
      <c r="K1083" s="152" t="s">
        <v>13484</v>
      </c>
      <c r="L1083" s="20" t="s">
        <v>5726</v>
      </c>
      <c r="M1083" s="174" t="s">
        <v>13485</v>
      </c>
      <c r="N1083" s="152" t="s">
        <v>13484</v>
      </c>
      <c r="O1083" s="84"/>
      <c r="P1083" s="84"/>
      <c r="Q1083" s="84"/>
      <c r="R1083" s="84"/>
      <c r="S1083" s="84"/>
      <c r="T1083" s="84"/>
      <c r="U1083" s="84"/>
      <c r="V1083" s="84"/>
      <c r="W1083" s="84"/>
      <c r="X1083" s="84"/>
    </row>
    <row r="1084" ht="15.75" customHeight="1">
      <c r="A1084" s="14" t="s">
        <v>17</v>
      </c>
      <c r="B1084" s="14">
        <v>2003.0</v>
      </c>
      <c r="C1084" s="14" t="s">
        <v>13486</v>
      </c>
      <c r="D1084" s="14" t="s">
        <v>13487</v>
      </c>
      <c r="E1084" s="150" t="str">
        <f t="shared" si="26"/>
        <v>http://dx.doi.org/10.1109/VISUAL.2003.1250381</v>
      </c>
      <c r="F1084" s="14">
        <v>263.0</v>
      </c>
      <c r="G1084" s="14">
        <v>269.0</v>
      </c>
      <c r="H1084" s="14" t="s">
        <v>28</v>
      </c>
      <c r="I1084" s="14"/>
      <c r="J1084" s="130" t="s">
        <v>13493</v>
      </c>
      <c r="K1084" s="152" t="s">
        <v>13494</v>
      </c>
      <c r="L1084" s="20" t="s">
        <v>13495</v>
      </c>
      <c r="M1084" s="174" t="s">
        <v>13496</v>
      </c>
      <c r="N1084" s="130" t="s">
        <v>40364</v>
      </c>
      <c r="O1084" s="84"/>
      <c r="P1084" s="84"/>
      <c r="Q1084" s="84"/>
      <c r="R1084" s="84"/>
      <c r="S1084" s="84"/>
      <c r="T1084" s="84"/>
      <c r="U1084" s="84"/>
      <c r="V1084" s="84"/>
      <c r="W1084" s="84"/>
      <c r="X1084" s="84"/>
    </row>
    <row r="1085" ht="15.75" customHeight="1">
      <c r="A1085" s="14" t="s">
        <v>17</v>
      </c>
      <c r="B1085" s="14">
        <v>2003.0</v>
      </c>
      <c r="C1085" s="14" t="s">
        <v>13497</v>
      </c>
      <c r="D1085" s="14" t="s">
        <v>13498</v>
      </c>
      <c r="E1085" s="150" t="str">
        <f t="shared" si="26"/>
        <v>http://dx.doi.org/10.1109/VISUAL.2003.1250382</v>
      </c>
      <c r="F1085" s="14">
        <v>271.0</v>
      </c>
      <c r="G1085" s="14">
        <v>278.0</v>
      </c>
      <c r="H1085" s="14" t="s">
        <v>28</v>
      </c>
      <c r="I1085" s="14"/>
      <c r="J1085" s="130" t="s">
        <v>13503</v>
      </c>
      <c r="K1085" s="152" t="s">
        <v>13504</v>
      </c>
      <c r="L1085" s="20" t="s">
        <v>13505</v>
      </c>
      <c r="M1085" s="174" t="s">
        <v>13506</v>
      </c>
      <c r="N1085" s="130" t="s">
        <v>40648</v>
      </c>
      <c r="O1085" s="84"/>
      <c r="P1085" s="84"/>
      <c r="Q1085" s="84"/>
      <c r="R1085" s="84"/>
      <c r="S1085" s="84"/>
      <c r="T1085" s="84"/>
      <c r="U1085" s="84"/>
      <c r="V1085" s="84"/>
      <c r="W1085" s="84"/>
      <c r="X1085" s="84"/>
    </row>
    <row r="1086" ht="15.75" customHeight="1">
      <c r="A1086" s="14" t="s">
        <v>17</v>
      </c>
      <c r="B1086" s="14">
        <v>2003.0</v>
      </c>
      <c r="C1086" s="14" t="s">
        <v>13508</v>
      </c>
      <c r="D1086" s="14" t="s">
        <v>13509</v>
      </c>
      <c r="E1086" s="150" t="str">
        <f t="shared" si="26"/>
        <v>http://dx.doi.org/10.1109/VISUAL.2003.1250383</v>
      </c>
      <c r="F1086" s="14">
        <v>279.0</v>
      </c>
      <c r="G1086" s="14">
        <v>286.0</v>
      </c>
      <c r="H1086" s="14" t="s">
        <v>28</v>
      </c>
      <c r="I1086" s="14"/>
      <c r="J1086" s="130" t="s">
        <v>13515</v>
      </c>
      <c r="K1086" s="152" t="s">
        <v>13516</v>
      </c>
      <c r="L1086" s="20"/>
      <c r="M1086" s="174" t="s">
        <v>13517</v>
      </c>
      <c r="N1086" s="152" t="s">
        <v>13516</v>
      </c>
      <c r="O1086" s="84"/>
      <c r="P1086" s="84"/>
      <c r="Q1086" s="84"/>
      <c r="R1086" s="84"/>
      <c r="S1086" s="84"/>
      <c r="T1086" s="84"/>
      <c r="U1086" s="84"/>
      <c r="V1086" s="84"/>
      <c r="W1086" s="84"/>
      <c r="X1086" s="84"/>
    </row>
    <row r="1087" ht="15.75" customHeight="1">
      <c r="A1087" s="14" t="s">
        <v>17</v>
      </c>
      <c r="B1087" s="14">
        <v>2003.0</v>
      </c>
      <c r="C1087" s="14" t="s">
        <v>13518</v>
      </c>
      <c r="D1087" s="14" t="s">
        <v>13519</v>
      </c>
      <c r="E1087" s="150" t="str">
        <f t="shared" si="26"/>
        <v>http://dx.doi.org/10.1109/VISUAL.2003.1250384</v>
      </c>
      <c r="F1087" s="14">
        <v>287.0</v>
      </c>
      <c r="G1087" s="14">
        <v>292.0</v>
      </c>
      <c r="H1087" s="14" t="s">
        <v>28</v>
      </c>
      <c r="I1087" s="14"/>
      <c r="J1087" s="130" t="s">
        <v>15224</v>
      </c>
      <c r="K1087" s="152" t="s">
        <v>13526</v>
      </c>
      <c r="L1087" s="20" t="s">
        <v>13528</v>
      </c>
      <c r="M1087" s="174" t="s">
        <v>13529</v>
      </c>
      <c r="N1087" s="130" t="s">
        <v>40652</v>
      </c>
      <c r="O1087" s="84"/>
      <c r="P1087" s="84"/>
      <c r="Q1087" s="84"/>
      <c r="R1087" s="84"/>
      <c r="S1087" s="84"/>
      <c r="T1087" s="84"/>
      <c r="U1087" s="84"/>
      <c r="V1087" s="84"/>
      <c r="W1087" s="84"/>
      <c r="X1087" s="84"/>
    </row>
    <row r="1088" ht="15.75" customHeight="1">
      <c r="A1088" s="14" t="s">
        <v>17</v>
      </c>
      <c r="B1088" s="14">
        <v>2003.0</v>
      </c>
      <c r="C1088" s="14" t="s">
        <v>13530</v>
      </c>
      <c r="D1088" s="14" t="s">
        <v>13531</v>
      </c>
      <c r="E1088" s="150" t="str">
        <f t="shared" si="26"/>
        <v>http://dx.doi.org/10.1109/VISUAL.2003.1250385</v>
      </c>
      <c r="F1088" s="14">
        <v>293.0</v>
      </c>
      <c r="G1088" s="14">
        <v>300.0</v>
      </c>
      <c r="H1088" s="14" t="s">
        <v>28</v>
      </c>
      <c r="I1088" s="14"/>
      <c r="J1088" s="130" t="s">
        <v>15229</v>
      </c>
      <c r="K1088" s="152" t="s">
        <v>13526</v>
      </c>
      <c r="L1088" s="20" t="s">
        <v>13534</v>
      </c>
      <c r="M1088" s="174" t="s">
        <v>13535</v>
      </c>
      <c r="N1088" s="130" t="s">
        <v>40652</v>
      </c>
      <c r="O1088" s="84"/>
      <c r="P1088" s="84"/>
      <c r="Q1088" s="84"/>
      <c r="R1088" s="84"/>
      <c r="S1088" s="84"/>
      <c r="T1088" s="84"/>
      <c r="U1088" s="84"/>
      <c r="V1088" s="84"/>
      <c r="W1088" s="84"/>
      <c r="X1088" s="84"/>
    </row>
    <row r="1089" ht="15.75" customHeight="1">
      <c r="A1089" s="14" t="s">
        <v>17</v>
      </c>
      <c r="B1089" s="14">
        <v>2003.0</v>
      </c>
      <c r="C1089" s="14" t="s">
        <v>13536</v>
      </c>
      <c r="D1089" s="14" t="s">
        <v>13537</v>
      </c>
      <c r="E1089" s="150" t="str">
        <f t="shared" si="26"/>
        <v>http://dx.doi.org/10.1109/VISUAL.2003.1250386</v>
      </c>
      <c r="F1089" s="14">
        <v>301.0</v>
      </c>
      <c r="G1089" s="14">
        <v>308.0</v>
      </c>
      <c r="H1089" s="14" t="s">
        <v>28</v>
      </c>
      <c r="I1089" s="14"/>
      <c r="J1089" s="130" t="s">
        <v>13542</v>
      </c>
      <c r="K1089" s="152" t="s">
        <v>13543</v>
      </c>
      <c r="L1089" s="20" t="s">
        <v>13544</v>
      </c>
      <c r="M1089" s="174" t="s">
        <v>13545</v>
      </c>
      <c r="N1089" s="152" t="s">
        <v>13543</v>
      </c>
      <c r="O1089" s="84"/>
      <c r="P1089" s="84"/>
      <c r="Q1089" s="84"/>
      <c r="R1089" s="84"/>
      <c r="S1089" s="84"/>
      <c r="T1089" s="84"/>
      <c r="U1089" s="84"/>
      <c r="V1089" s="84"/>
      <c r="W1089" s="84"/>
      <c r="X1089" s="84"/>
    </row>
    <row r="1090" ht="15.75" customHeight="1">
      <c r="A1090" s="14" t="s">
        <v>17</v>
      </c>
      <c r="B1090" s="14">
        <v>2003.0</v>
      </c>
      <c r="C1090" s="14" t="s">
        <v>13546</v>
      </c>
      <c r="D1090" s="14" t="s">
        <v>13547</v>
      </c>
      <c r="E1090" s="150" t="str">
        <f t="shared" si="26"/>
        <v>http://dx.doi.org/10.1109/VISUAL.2003.1250387</v>
      </c>
      <c r="F1090" s="14">
        <v>309.0</v>
      </c>
      <c r="G1090" s="14">
        <v>316.0</v>
      </c>
      <c r="H1090" s="14" t="s">
        <v>28</v>
      </c>
      <c r="I1090" s="14"/>
      <c r="J1090" s="130" t="s">
        <v>40662</v>
      </c>
      <c r="K1090" s="152" t="s">
        <v>13553</v>
      </c>
      <c r="L1090" s="20" t="s">
        <v>13554</v>
      </c>
      <c r="M1090" s="174" t="s">
        <v>13555</v>
      </c>
      <c r="N1090" s="130" t="s">
        <v>40663</v>
      </c>
      <c r="O1090" s="84"/>
      <c r="P1090" s="84"/>
      <c r="Q1090" s="84"/>
      <c r="R1090" s="84"/>
      <c r="S1090" s="84"/>
      <c r="T1090" s="84"/>
      <c r="U1090" s="84"/>
      <c r="V1090" s="84"/>
      <c r="W1090" s="84"/>
      <c r="X1090" s="84"/>
    </row>
    <row r="1091" ht="15.75" customHeight="1">
      <c r="A1091" s="14" t="s">
        <v>17</v>
      </c>
      <c r="B1091" s="14">
        <v>2003.0</v>
      </c>
      <c r="C1091" s="14" t="s">
        <v>13559</v>
      </c>
      <c r="D1091" s="14" t="s">
        <v>13560</v>
      </c>
      <c r="E1091" s="150" t="str">
        <f t="shared" si="26"/>
        <v>http://dx.doi.org/10.1109/VISUAL.2003.1250388</v>
      </c>
      <c r="F1091" s="14">
        <v>317.0</v>
      </c>
      <c r="G1091" s="14">
        <v>324.0</v>
      </c>
      <c r="H1091" s="14" t="s">
        <v>28</v>
      </c>
      <c r="I1091" s="14"/>
      <c r="J1091" s="130" t="s">
        <v>13566</v>
      </c>
      <c r="K1091" s="152" t="s">
        <v>13567</v>
      </c>
      <c r="L1091" s="20" t="s">
        <v>13568</v>
      </c>
      <c r="M1091" s="174" t="s">
        <v>13569</v>
      </c>
      <c r="N1091" s="130" t="s">
        <v>40667</v>
      </c>
      <c r="O1091" s="84"/>
      <c r="P1091" s="84"/>
      <c r="Q1091" s="84"/>
      <c r="R1091" s="84"/>
      <c r="S1091" s="84"/>
      <c r="T1091" s="84"/>
      <c r="U1091" s="84"/>
      <c r="V1091" s="84"/>
      <c r="W1091" s="84"/>
      <c r="X1091" s="84"/>
    </row>
    <row r="1092" ht="15.75" customHeight="1">
      <c r="A1092" s="14" t="s">
        <v>17</v>
      </c>
      <c r="B1092" s="14">
        <v>2003.0</v>
      </c>
      <c r="C1092" s="14" t="s">
        <v>13570</v>
      </c>
      <c r="D1092" s="14" t="s">
        <v>13571</v>
      </c>
      <c r="E1092" s="150" t="str">
        <f t="shared" si="26"/>
        <v>http://dx.doi.org/10.1109/VISUAL.2003.1250389</v>
      </c>
      <c r="F1092" s="14">
        <v>325.0</v>
      </c>
      <c r="G1092" s="14">
        <v>332.0</v>
      </c>
      <c r="H1092" s="14" t="s">
        <v>28</v>
      </c>
      <c r="I1092" s="14"/>
      <c r="J1092" s="130" t="s">
        <v>15261</v>
      </c>
      <c r="K1092" s="152" t="s">
        <v>13578</v>
      </c>
      <c r="L1092" s="20" t="s">
        <v>13579</v>
      </c>
      <c r="M1092" s="174" t="s">
        <v>13580</v>
      </c>
      <c r="N1092" s="130" t="s">
        <v>40672</v>
      </c>
      <c r="O1092" s="84"/>
      <c r="P1092" s="84"/>
      <c r="Q1092" s="84"/>
      <c r="R1092" s="84"/>
      <c r="S1092" s="84"/>
      <c r="T1092" s="84"/>
      <c r="U1092" s="84"/>
      <c r="V1092" s="84"/>
      <c r="W1092" s="84"/>
      <c r="X1092" s="84"/>
    </row>
    <row r="1093" ht="15.75" customHeight="1">
      <c r="A1093" s="14" t="s">
        <v>17</v>
      </c>
      <c r="B1093" s="14">
        <v>2003.0</v>
      </c>
      <c r="C1093" s="14" t="s">
        <v>13581</v>
      </c>
      <c r="D1093" s="14" t="s">
        <v>13582</v>
      </c>
      <c r="E1093" s="150" t="str">
        <f t="shared" si="26"/>
        <v>http://dx.doi.org/10.1109/VISUAL.2003.1250390</v>
      </c>
      <c r="F1093" s="14">
        <v>333.0</v>
      </c>
      <c r="G1093" s="14">
        <v>340.0</v>
      </c>
      <c r="H1093" s="14" t="s">
        <v>28</v>
      </c>
      <c r="I1093" s="14"/>
      <c r="J1093" s="130" t="s">
        <v>13587</v>
      </c>
      <c r="K1093" s="152" t="s">
        <v>13588</v>
      </c>
      <c r="L1093" s="20" t="s">
        <v>5701</v>
      </c>
      <c r="M1093" s="174" t="s">
        <v>13589</v>
      </c>
      <c r="N1093" s="130" t="s">
        <v>40677</v>
      </c>
      <c r="O1093" s="84"/>
      <c r="P1093" s="84"/>
      <c r="Q1093" s="84"/>
      <c r="R1093" s="84"/>
      <c r="S1093" s="84"/>
      <c r="T1093" s="84"/>
      <c r="U1093" s="84"/>
      <c r="V1093" s="84"/>
      <c r="W1093" s="84"/>
      <c r="X1093" s="84"/>
    </row>
    <row r="1094" ht="15.75" customHeight="1">
      <c r="A1094" s="14" t="s">
        <v>17</v>
      </c>
      <c r="B1094" s="14">
        <v>2003.0</v>
      </c>
      <c r="C1094" s="14" t="s">
        <v>13590</v>
      </c>
      <c r="D1094" s="14" t="s">
        <v>13591</v>
      </c>
      <c r="E1094" s="150" t="str">
        <f t="shared" si="26"/>
        <v>http://dx.doi.org/10.1109/VISUAL.2003.1250391</v>
      </c>
      <c r="F1094" s="14">
        <v>341.0</v>
      </c>
      <c r="G1094" s="14">
        <v>348.0</v>
      </c>
      <c r="H1094" s="14" t="s">
        <v>28</v>
      </c>
      <c r="I1094" s="14"/>
      <c r="J1094" s="130" t="s">
        <v>40683</v>
      </c>
      <c r="K1094" s="152" t="s">
        <v>13597</v>
      </c>
      <c r="L1094" s="20" t="s">
        <v>13598</v>
      </c>
      <c r="M1094" s="174" t="s">
        <v>13599</v>
      </c>
      <c r="N1094" s="130" t="s">
        <v>40684</v>
      </c>
      <c r="O1094" s="84"/>
      <c r="P1094" s="84"/>
      <c r="Q1094" s="84"/>
      <c r="R1094" s="84"/>
      <c r="S1094" s="84"/>
      <c r="T1094" s="84"/>
      <c r="U1094" s="84"/>
      <c r="V1094" s="84"/>
      <c r="W1094" s="84"/>
      <c r="X1094" s="84"/>
    </row>
    <row r="1095" ht="15.75" customHeight="1">
      <c r="A1095" s="14" t="s">
        <v>17</v>
      </c>
      <c r="B1095" s="14">
        <v>2003.0</v>
      </c>
      <c r="C1095" s="14" t="s">
        <v>13600</v>
      </c>
      <c r="D1095" s="14" t="s">
        <v>13601</v>
      </c>
      <c r="E1095" s="150" t="str">
        <f t="shared" si="26"/>
        <v>http://dx.doi.org/10.1109/VISUAL.2003.1250392</v>
      </c>
      <c r="F1095" s="14">
        <v>349.0</v>
      </c>
      <c r="G1095" s="14">
        <v>354.0</v>
      </c>
      <c r="H1095" s="14" t="s">
        <v>28</v>
      </c>
      <c r="I1095" s="14"/>
      <c r="J1095" s="130" t="s">
        <v>13610</v>
      </c>
      <c r="K1095" s="152" t="s">
        <v>13611</v>
      </c>
      <c r="L1095" s="20"/>
      <c r="M1095" s="174" t="s">
        <v>13612</v>
      </c>
      <c r="N1095" s="130" t="s">
        <v>40691</v>
      </c>
      <c r="O1095" s="84"/>
      <c r="P1095" s="84"/>
      <c r="Q1095" s="84"/>
      <c r="R1095" s="84"/>
      <c r="S1095" s="84"/>
      <c r="T1095" s="84"/>
      <c r="U1095" s="84"/>
      <c r="V1095" s="84"/>
      <c r="W1095" s="84"/>
      <c r="X1095" s="84"/>
    </row>
    <row r="1096" ht="15.75" customHeight="1">
      <c r="A1096" s="14" t="s">
        <v>17</v>
      </c>
      <c r="B1096" s="14">
        <v>2003.0</v>
      </c>
      <c r="C1096" s="14" t="s">
        <v>13614</v>
      </c>
      <c r="D1096" s="14" t="s">
        <v>13615</v>
      </c>
      <c r="E1096" s="150" t="str">
        <f t="shared" si="26"/>
        <v>http://dx.doi.org/10.1109/VISUAL.2003.1250394</v>
      </c>
      <c r="F1096" s="14">
        <v>355.0</v>
      </c>
      <c r="G1096" s="14">
        <v>362.0</v>
      </c>
      <c r="H1096" s="14" t="s">
        <v>28</v>
      </c>
      <c r="I1096" s="14"/>
      <c r="J1096" s="130" t="s">
        <v>13619</v>
      </c>
      <c r="K1096" s="152" t="s">
        <v>13620</v>
      </c>
      <c r="L1096" s="20" t="s">
        <v>13621</v>
      </c>
      <c r="M1096" s="174" t="s">
        <v>13622</v>
      </c>
      <c r="N1096" s="152" t="s">
        <v>13620</v>
      </c>
      <c r="O1096" s="84"/>
      <c r="P1096" s="84"/>
      <c r="Q1096" s="84"/>
      <c r="R1096" s="84"/>
      <c r="S1096" s="84"/>
      <c r="T1096" s="84"/>
      <c r="U1096" s="84"/>
      <c r="V1096" s="84"/>
      <c r="W1096" s="84"/>
      <c r="X1096" s="84"/>
    </row>
    <row r="1097" ht="15.75" customHeight="1">
      <c r="A1097" s="14" t="s">
        <v>17</v>
      </c>
      <c r="B1097" s="14">
        <v>2003.0</v>
      </c>
      <c r="C1097" s="14" t="s">
        <v>13623</v>
      </c>
      <c r="D1097" s="14" t="s">
        <v>13624</v>
      </c>
      <c r="E1097" s="150" t="str">
        <f t="shared" si="26"/>
        <v>http://dx.doi.org/10.1109/VISUAL.2003.1250395</v>
      </c>
      <c r="F1097" s="14">
        <v>363.0</v>
      </c>
      <c r="G1097" s="14">
        <v>370.0</v>
      </c>
      <c r="H1097" s="14" t="s">
        <v>28</v>
      </c>
      <c r="I1097" s="14"/>
      <c r="J1097" s="130" t="s">
        <v>13630</v>
      </c>
      <c r="K1097" s="152" t="s">
        <v>13632</v>
      </c>
      <c r="L1097" s="20" t="s">
        <v>12336</v>
      </c>
      <c r="M1097" s="174" t="s">
        <v>13634</v>
      </c>
      <c r="N1097" s="152" t="s">
        <v>13632</v>
      </c>
      <c r="O1097" s="84"/>
      <c r="P1097" s="84"/>
      <c r="Q1097" s="84"/>
      <c r="R1097" s="84"/>
      <c r="S1097" s="84"/>
      <c r="T1097" s="84"/>
      <c r="U1097" s="84"/>
      <c r="V1097" s="84"/>
      <c r="W1097" s="84"/>
      <c r="X1097" s="84"/>
    </row>
    <row r="1098" ht="15.75" customHeight="1">
      <c r="A1098" s="14" t="s">
        <v>17</v>
      </c>
      <c r="B1098" s="14">
        <v>2003.0</v>
      </c>
      <c r="C1098" s="14" t="s">
        <v>13635</v>
      </c>
      <c r="D1098" s="14" t="s">
        <v>13636</v>
      </c>
      <c r="E1098" s="150" t="str">
        <f t="shared" si="26"/>
        <v>http://dx.doi.org/10.1109/VISUAL.2003.1250396</v>
      </c>
      <c r="F1098" s="14">
        <v>371.0</v>
      </c>
      <c r="G1098" s="14">
        <v>378.0</v>
      </c>
      <c r="H1098" s="14" t="s">
        <v>28</v>
      </c>
      <c r="I1098" s="14"/>
      <c r="J1098" s="130" t="s">
        <v>13642</v>
      </c>
      <c r="K1098" s="152" t="s">
        <v>13643</v>
      </c>
      <c r="L1098" s="20" t="s">
        <v>13644</v>
      </c>
      <c r="M1098" s="174" t="s">
        <v>13645</v>
      </c>
      <c r="N1098" s="130" t="s">
        <v>15517</v>
      </c>
      <c r="O1098" s="84"/>
      <c r="P1098" s="84"/>
      <c r="Q1098" s="84"/>
      <c r="R1098" s="84"/>
      <c r="S1098" s="84"/>
      <c r="T1098" s="84"/>
      <c r="U1098" s="84"/>
      <c r="V1098" s="84"/>
      <c r="W1098" s="84"/>
      <c r="X1098" s="84"/>
    </row>
    <row r="1099" ht="15.75" customHeight="1">
      <c r="A1099" s="14" t="s">
        <v>17</v>
      </c>
      <c r="B1099" s="14">
        <v>2003.0</v>
      </c>
      <c r="C1099" s="14" t="s">
        <v>13646</v>
      </c>
      <c r="D1099" s="14" t="s">
        <v>13647</v>
      </c>
      <c r="E1099" s="150" t="str">
        <f t="shared" si="26"/>
        <v>http://dx.doi.org/10.1109/VISUAL.2003.1250397</v>
      </c>
      <c r="F1099" s="14">
        <v>379.0</v>
      </c>
      <c r="G1099" s="14">
        <v>385.0</v>
      </c>
      <c r="H1099" s="14" t="s">
        <v>28</v>
      </c>
      <c r="I1099" s="14"/>
      <c r="J1099" s="130" t="s">
        <v>13649</v>
      </c>
      <c r="K1099" s="152" t="s">
        <v>13650</v>
      </c>
      <c r="L1099" s="20"/>
      <c r="M1099" s="174" t="s">
        <v>13651</v>
      </c>
      <c r="N1099" s="130" t="s">
        <v>40704</v>
      </c>
      <c r="O1099" s="84"/>
      <c r="P1099" s="84"/>
      <c r="Q1099" s="84"/>
      <c r="R1099" s="84"/>
      <c r="S1099" s="84"/>
      <c r="T1099" s="84"/>
      <c r="U1099" s="84"/>
      <c r="V1099" s="84"/>
      <c r="W1099" s="84"/>
      <c r="X1099" s="84"/>
    </row>
    <row r="1100" ht="15.75" customHeight="1">
      <c r="A1100" s="14" t="s">
        <v>17</v>
      </c>
      <c r="B1100" s="14">
        <v>2003.0</v>
      </c>
      <c r="C1100" s="14" t="s">
        <v>13652</v>
      </c>
      <c r="D1100" s="14" t="s">
        <v>13653</v>
      </c>
      <c r="E1100" s="150" t="str">
        <f t="shared" si="26"/>
        <v>http://dx.doi.org/10.1109/VISUAL.2003.1250398</v>
      </c>
      <c r="F1100" s="14">
        <v>387.0</v>
      </c>
      <c r="G1100" s="14">
        <v>392.0</v>
      </c>
      <c r="H1100" s="14" t="s">
        <v>28</v>
      </c>
      <c r="I1100" s="14"/>
      <c r="J1100" s="130" t="s">
        <v>13656</v>
      </c>
      <c r="K1100" s="152" t="s">
        <v>13659</v>
      </c>
      <c r="L1100" s="20"/>
      <c r="M1100" s="174" t="s">
        <v>13660</v>
      </c>
      <c r="N1100" s="130" t="s">
        <v>15664</v>
      </c>
      <c r="O1100" s="84"/>
      <c r="P1100" s="84"/>
      <c r="Q1100" s="84"/>
      <c r="R1100" s="84"/>
      <c r="S1100" s="84"/>
      <c r="T1100" s="84"/>
      <c r="U1100" s="84"/>
      <c r="V1100" s="84"/>
      <c r="W1100" s="84"/>
      <c r="X1100" s="84"/>
    </row>
    <row r="1101" ht="15.75" customHeight="1">
      <c r="A1101" s="14" t="s">
        <v>17</v>
      </c>
      <c r="B1101" s="14">
        <v>2003.0</v>
      </c>
      <c r="C1101" s="14" t="s">
        <v>13661</v>
      </c>
      <c r="D1101" s="14" t="s">
        <v>13662</v>
      </c>
      <c r="E1101" s="150" t="str">
        <f t="shared" si="26"/>
        <v>http://dx.doi.org/10.1109/VISUAL.2003.1250399</v>
      </c>
      <c r="F1101" s="14">
        <v>393.0</v>
      </c>
      <c r="G1101" s="14">
        <v>400.0</v>
      </c>
      <c r="H1101" s="14" t="s">
        <v>28</v>
      </c>
      <c r="I1101" s="14"/>
      <c r="J1101" s="130" t="s">
        <v>15311</v>
      </c>
      <c r="K1101" s="152" t="s">
        <v>13666</v>
      </c>
      <c r="L1101" s="20" t="s">
        <v>13668</v>
      </c>
      <c r="M1101" s="174" t="s">
        <v>13669</v>
      </c>
      <c r="N1101" s="130" t="s">
        <v>40707</v>
      </c>
      <c r="O1101" s="84"/>
      <c r="P1101" s="84"/>
      <c r="Q1101" s="84"/>
      <c r="R1101" s="84"/>
      <c r="S1101" s="84"/>
      <c r="T1101" s="84"/>
      <c r="U1101" s="84"/>
      <c r="V1101" s="84"/>
      <c r="W1101" s="84"/>
      <c r="X1101" s="84"/>
    </row>
    <row r="1102" ht="15.75" customHeight="1">
      <c r="A1102" s="14" t="s">
        <v>17</v>
      </c>
      <c r="B1102" s="14">
        <v>2003.0</v>
      </c>
      <c r="C1102" s="14" t="s">
        <v>13670</v>
      </c>
      <c r="D1102" s="14" t="s">
        <v>13671</v>
      </c>
      <c r="E1102" s="150" t="str">
        <f t="shared" si="26"/>
        <v>http://dx.doi.org/10.1109/VISUAL.2003.1250400</v>
      </c>
      <c r="F1102" s="14">
        <v>401.0</v>
      </c>
      <c r="G1102" s="14">
        <v>408.0</v>
      </c>
      <c r="H1102" s="14" t="s">
        <v>28</v>
      </c>
      <c r="I1102" s="14"/>
      <c r="J1102" s="130" t="s">
        <v>13676</v>
      </c>
      <c r="K1102" s="152" t="s">
        <v>13677</v>
      </c>
      <c r="L1102" s="20"/>
      <c r="M1102" s="174" t="s">
        <v>13678</v>
      </c>
      <c r="N1102" s="130" t="s">
        <v>37668</v>
      </c>
      <c r="O1102" s="84"/>
      <c r="P1102" s="84"/>
      <c r="Q1102" s="84"/>
      <c r="R1102" s="84"/>
      <c r="S1102" s="84"/>
      <c r="T1102" s="84"/>
      <c r="U1102" s="84"/>
      <c r="V1102" s="84"/>
      <c r="W1102" s="84"/>
      <c r="X1102" s="84"/>
    </row>
    <row r="1103" ht="15.75" customHeight="1">
      <c r="A1103" s="14" t="s">
        <v>17</v>
      </c>
      <c r="B1103" s="14">
        <v>2003.0</v>
      </c>
      <c r="C1103" s="14" t="s">
        <v>13679</v>
      </c>
      <c r="D1103" s="14" t="s">
        <v>13680</v>
      </c>
      <c r="E1103" s="150" t="str">
        <f t="shared" si="26"/>
        <v>http://dx.doi.org/10.1109/VISUAL.2003.1250401</v>
      </c>
      <c r="F1103" s="14">
        <v>409.0</v>
      </c>
      <c r="G1103" s="14">
        <v>416.0</v>
      </c>
      <c r="H1103" s="14" t="s">
        <v>28</v>
      </c>
      <c r="I1103" s="14"/>
      <c r="J1103" s="130" t="s">
        <v>13686</v>
      </c>
      <c r="K1103" s="152" t="s">
        <v>13687</v>
      </c>
      <c r="L1103" s="20" t="s">
        <v>12384</v>
      </c>
      <c r="M1103" s="174" t="s">
        <v>13688</v>
      </c>
      <c r="N1103" s="130" t="s">
        <v>40004</v>
      </c>
      <c r="O1103" s="84"/>
      <c r="P1103" s="84"/>
      <c r="Q1103" s="84"/>
      <c r="R1103" s="84"/>
      <c r="S1103" s="84"/>
      <c r="T1103" s="84"/>
      <c r="U1103" s="84"/>
      <c r="V1103" s="84"/>
      <c r="W1103" s="84"/>
      <c r="X1103" s="84"/>
    </row>
    <row r="1104" ht="15.75" customHeight="1">
      <c r="A1104" s="14" t="s">
        <v>17</v>
      </c>
      <c r="B1104" s="14">
        <v>2003.0</v>
      </c>
      <c r="C1104" s="14" t="s">
        <v>13689</v>
      </c>
      <c r="D1104" s="14" t="s">
        <v>13690</v>
      </c>
      <c r="E1104" s="150" t="str">
        <f t="shared" si="26"/>
        <v>http://dx.doi.org/10.1109/VISUAL.2003.1250402</v>
      </c>
      <c r="F1104" s="14">
        <v>417.0</v>
      </c>
      <c r="G1104" s="14">
        <v>424.0</v>
      </c>
      <c r="H1104" s="14" t="s">
        <v>28</v>
      </c>
      <c r="I1104" s="14"/>
      <c r="J1104" s="130" t="s">
        <v>13695</v>
      </c>
      <c r="K1104" s="152" t="s">
        <v>13696</v>
      </c>
      <c r="L1104" s="20" t="s">
        <v>13697</v>
      </c>
      <c r="M1104" s="174" t="s">
        <v>13698</v>
      </c>
      <c r="N1104" s="130" t="s">
        <v>39861</v>
      </c>
      <c r="O1104" s="84"/>
      <c r="P1104" s="84"/>
      <c r="Q1104" s="84"/>
      <c r="R1104" s="84"/>
      <c r="S1104" s="84"/>
      <c r="T1104" s="84"/>
      <c r="U1104" s="84"/>
      <c r="V1104" s="84"/>
      <c r="W1104" s="84"/>
      <c r="X1104" s="84"/>
    </row>
    <row r="1105" ht="15.75" customHeight="1">
      <c r="A1105" s="14" t="s">
        <v>17</v>
      </c>
      <c r="B1105" s="14">
        <v>2003.0</v>
      </c>
      <c r="C1105" s="14" t="s">
        <v>13699</v>
      </c>
      <c r="D1105" s="14" t="s">
        <v>13700</v>
      </c>
      <c r="E1105" s="150" t="str">
        <f t="shared" si="26"/>
        <v>http://dx.doi.org/10.1109/VISUAL.2003.1250403</v>
      </c>
      <c r="F1105" s="14">
        <v>425.0</v>
      </c>
      <c r="G1105" s="14">
        <v>432.0</v>
      </c>
      <c r="H1105" s="14" t="s">
        <v>28</v>
      </c>
      <c r="I1105" s="14"/>
      <c r="J1105" s="130" t="s">
        <v>13702</v>
      </c>
      <c r="K1105" s="152" t="s">
        <v>13703</v>
      </c>
      <c r="L1105" s="20" t="s">
        <v>13704</v>
      </c>
      <c r="M1105" s="174" t="s">
        <v>13705</v>
      </c>
      <c r="N1105" s="152" t="s">
        <v>13703</v>
      </c>
      <c r="O1105" s="84"/>
      <c r="P1105" s="84"/>
      <c r="Q1105" s="84"/>
      <c r="R1105" s="84"/>
      <c r="S1105" s="84"/>
      <c r="T1105" s="84"/>
      <c r="U1105" s="84"/>
      <c r="V1105" s="84"/>
      <c r="W1105" s="84"/>
      <c r="X1105" s="84"/>
    </row>
    <row r="1106" ht="15.75" customHeight="1">
      <c r="A1106" s="14" t="s">
        <v>17</v>
      </c>
      <c r="B1106" s="14">
        <v>2003.0</v>
      </c>
      <c r="C1106" s="14" t="s">
        <v>13706</v>
      </c>
      <c r="D1106" s="14" t="s">
        <v>13707</v>
      </c>
      <c r="E1106" s="150" t="str">
        <f t="shared" si="26"/>
        <v>http://dx.doi.org/10.1109/VISUAL.2003.1250404</v>
      </c>
      <c r="F1106" s="14">
        <v>433.0</v>
      </c>
      <c r="G1106" s="14">
        <v>440.0</v>
      </c>
      <c r="H1106" s="14" t="s">
        <v>28</v>
      </c>
      <c r="I1106" s="14"/>
      <c r="J1106" s="130" t="s">
        <v>5444</v>
      </c>
      <c r="K1106" s="152" t="s">
        <v>13709</v>
      </c>
      <c r="L1106" s="20" t="s">
        <v>13710</v>
      </c>
      <c r="M1106" s="174" t="s">
        <v>13711</v>
      </c>
      <c r="N1106" s="130" t="s">
        <v>40204</v>
      </c>
      <c r="O1106" s="84"/>
      <c r="P1106" s="84"/>
      <c r="Q1106" s="84"/>
      <c r="R1106" s="84"/>
      <c r="S1106" s="84"/>
      <c r="T1106" s="84"/>
      <c r="U1106" s="84"/>
      <c r="V1106" s="84"/>
      <c r="W1106" s="84"/>
      <c r="X1106" s="84"/>
    </row>
    <row r="1107" ht="15.75" customHeight="1">
      <c r="A1107" s="14" t="s">
        <v>17</v>
      </c>
      <c r="B1107" s="14">
        <v>2003.0</v>
      </c>
      <c r="C1107" s="14" t="s">
        <v>13712</v>
      </c>
      <c r="D1107" s="14" t="s">
        <v>13713</v>
      </c>
      <c r="E1107" s="150" t="str">
        <f t="shared" si="26"/>
        <v>http://dx.doi.org/10.1109/VISUAL.2003.1250405</v>
      </c>
      <c r="F1107" s="14">
        <v>441.0</v>
      </c>
      <c r="G1107" s="14">
        <v>448.0</v>
      </c>
      <c r="H1107" s="14" t="s">
        <v>28</v>
      </c>
      <c r="I1107" s="14"/>
      <c r="J1107" s="130" t="s">
        <v>13715</v>
      </c>
      <c r="K1107" s="152" t="s">
        <v>13716</v>
      </c>
      <c r="L1107" s="20" t="s">
        <v>13717</v>
      </c>
      <c r="M1107" s="174" t="s">
        <v>13718</v>
      </c>
      <c r="N1107" s="130" t="s">
        <v>40720</v>
      </c>
      <c r="O1107" s="84"/>
      <c r="P1107" s="84"/>
      <c r="Q1107" s="84"/>
      <c r="R1107" s="84"/>
      <c r="S1107" s="84"/>
      <c r="T1107" s="84"/>
      <c r="U1107" s="84"/>
      <c r="V1107" s="84"/>
      <c r="W1107" s="84"/>
      <c r="X1107" s="84"/>
    </row>
    <row r="1108" ht="15.75" customHeight="1">
      <c r="A1108" s="14" t="s">
        <v>17</v>
      </c>
      <c r="B1108" s="14">
        <v>2003.0</v>
      </c>
      <c r="C1108" s="14" t="s">
        <v>13719</v>
      </c>
      <c r="D1108" s="14" t="s">
        <v>13720</v>
      </c>
      <c r="E1108" s="150" t="str">
        <f t="shared" si="26"/>
        <v>http://dx.doi.org/10.1109/VISUAL.2003.1250406</v>
      </c>
      <c r="F1108" s="14">
        <v>449.0</v>
      </c>
      <c r="G1108" s="14">
        <v>456.0</v>
      </c>
      <c r="H1108" s="14" t="s">
        <v>28</v>
      </c>
      <c r="I1108" s="14"/>
      <c r="J1108" s="130" t="s">
        <v>15332</v>
      </c>
      <c r="K1108" s="152" t="s">
        <v>13723</v>
      </c>
      <c r="L1108" s="20" t="s">
        <v>13724</v>
      </c>
      <c r="M1108" s="174" t="s">
        <v>13725</v>
      </c>
      <c r="N1108" s="130" t="s">
        <v>40723</v>
      </c>
      <c r="O1108" s="84"/>
      <c r="P1108" s="84"/>
      <c r="Q1108" s="84"/>
      <c r="R1108" s="84"/>
      <c r="S1108" s="84"/>
      <c r="T1108" s="84"/>
      <c r="U1108" s="84"/>
      <c r="V1108" s="84"/>
      <c r="W1108" s="84"/>
      <c r="X1108" s="84"/>
    </row>
    <row r="1109" ht="15.75" customHeight="1">
      <c r="A1109" s="14" t="s">
        <v>17</v>
      </c>
      <c r="B1109" s="14">
        <v>2003.0</v>
      </c>
      <c r="C1109" s="14" t="s">
        <v>13726</v>
      </c>
      <c r="D1109" s="14" t="s">
        <v>13727</v>
      </c>
      <c r="E1109" s="150" t="str">
        <f t="shared" si="26"/>
        <v>http://dx.doi.org/10.1109/VISUAL.2003.1250407</v>
      </c>
      <c r="F1109" s="14">
        <v>457.0</v>
      </c>
      <c r="G1109" s="14">
        <v>464.0</v>
      </c>
      <c r="H1109" s="14" t="s">
        <v>28</v>
      </c>
      <c r="I1109" s="14"/>
      <c r="J1109" s="130" t="s">
        <v>13729</v>
      </c>
      <c r="K1109" s="152" t="s">
        <v>13730</v>
      </c>
      <c r="L1109" s="20" t="s">
        <v>13731</v>
      </c>
      <c r="M1109" s="174" t="s">
        <v>13732</v>
      </c>
      <c r="N1109" s="130" t="s">
        <v>40725</v>
      </c>
      <c r="O1109" s="84"/>
      <c r="P1109" s="84"/>
      <c r="Q1109" s="84"/>
      <c r="R1109" s="84"/>
      <c r="S1109" s="84"/>
      <c r="T1109" s="84"/>
      <c r="U1109" s="84"/>
      <c r="V1109" s="84"/>
      <c r="W1109" s="84"/>
      <c r="X1109" s="84"/>
    </row>
    <row r="1110" ht="15.75" customHeight="1">
      <c r="A1110" s="14" t="s">
        <v>17</v>
      </c>
      <c r="B1110" s="14">
        <v>2003.0</v>
      </c>
      <c r="C1110" s="14" t="s">
        <v>13733</v>
      </c>
      <c r="D1110" s="14" t="s">
        <v>13734</v>
      </c>
      <c r="E1110" s="150" t="str">
        <f t="shared" si="26"/>
        <v>http://dx.doi.org/10.1109/VISUAL.2003.1250408</v>
      </c>
      <c r="F1110" s="14">
        <v>465.0</v>
      </c>
      <c r="G1110" s="14">
        <v>472.0</v>
      </c>
      <c r="H1110" s="14" t="s">
        <v>28</v>
      </c>
      <c r="I1110" s="14"/>
      <c r="J1110" s="130" t="s">
        <v>13736</v>
      </c>
      <c r="K1110" s="152" t="s">
        <v>4370</v>
      </c>
      <c r="L1110" s="20" t="s">
        <v>13737</v>
      </c>
      <c r="M1110" s="174" t="s">
        <v>13738</v>
      </c>
      <c r="N1110" s="130" t="s">
        <v>40726</v>
      </c>
      <c r="O1110" s="84"/>
      <c r="P1110" s="84"/>
      <c r="Q1110" s="84"/>
      <c r="R1110" s="84"/>
      <c r="S1110" s="84"/>
      <c r="T1110" s="84"/>
      <c r="U1110" s="84"/>
      <c r="V1110" s="84"/>
      <c r="W1110" s="84"/>
      <c r="X1110" s="84"/>
    </row>
    <row r="1111" ht="15.75" customHeight="1">
      <c r="A1111" s="14" t="s">
        <v>17</v>
      </c>
      <c r="B1111" s="14">
        <v>2003.0</v>
      </c>
      <c r="C1111" s="14" t="s">
        <v>13739</v>
      </c>
      <c r="D1111" s="14" t="s">
        <v>13740</v>
      </c>
      <c r="E1111" s="150" t="str">
        <f t="shared" si="26"/>
        <v>http://dx.doi.org/10.1109/VISUAL.2003.1250409</v>
      </c>
      <c r="F1111" s="14">
        <v>473.0</v>
      </c>
      <c r="G1111" s="14">
        <v>480.0</v>
      </c>
      <c r="H1111" s="14" t="s">
        <v>28</v>
      </c>
      <c r="I1111" s="14"/>
      <c r="J1111" s="130" t="s">
        <v>13742</v>
      </c>
      <c r="K1111" s="152" t="s">
        <v>13743</v>
      </c>
      <c r="L1111" s="20" t="s">
        <v>13744</v>
      </c>
      <c r="M1111" s="174" t="s">
        <v>13745</v>
      </c>
      <c r="N1111" s="130" t="s">
        <v>40727</v>
      </c>
      <c r="O1111" s="84"/>
      <c r="P1111" s="84"/>
      <c r="Q1111" s="84"/>
      <c r="R1111" s="84"/>
      <c r="S1111" s="84"/>
      <c r="T1111" s="84"/>
      <c r="U1111" s="84"/>
      <c r="V1111" s="84"/>
      <c r="W1111" s="84"/>
      <c r="X1111" s="84"/>
    </row>
    <row r="1112" ht="15.75" customHeight="1">
      <c r="A1112" s="14" t="s">
        <v>17</v>
      </c>
      <c r="B1112" s="14">
        <v>2003.0</v>
      </c>
      <c r="C1112" s="14" t="s">
        <v>13746</v>
      </c>
      <c r="D1112" s="14" t="s">
        <v>13747</v>
      </c>
      <c r="E1112" s="150" t="str">
        <f t="shared" si="26"/>
        <v>http://dx.doi.org/10.1109/VISUAL.2003.1250410</v>
      </c>
      <c r="F1112" s="14">
        <v>481.0</v>
      </c>
      <c r="G1112" s="14">
        <v>488.0</v>
      </c>
      <c r="H1112" s="14" t="s">
        <v>28</v>
      </c>
      <c r="I1112" s="14"/>
      <c r="J1112" s="130" t="s">
        <v>13749</v>
      </c>
      <c r="K1112" s="152" t="s">
        <v>13750</v>
      </c>
      <c r="L1112" s="20"/>
      <c r="M1112" s="174" t="s">
        <v>13751</v>
      </c>
      <c r="N1112" s="130" t="s">
        <v>40731</v>
      </c>
      <c r="O1112" s="84"/>
      <c r="P1112" s="84"/>
      <c r="Q1112" s="84"/>
      <c r="R1112" s="84"/>
      <c r="S1112" s="84"/>
      <c r="T1112" s="84"/>
      <c r="U1112" s="84"/>
      <c r="V1112" s="84"/>
      <c r="W1112" s="84"/>
      <c r="X1112" s="84"/>
    </row>
    <row r="1113" ht="15.75" customHeight="1">
      <c r="A1113" s="14" t="s">
        <v>17</v>
      </c>
      <c r="B1113" s="14">
        <v>2003.0</v>
      </c>
      <c r="C1113" s="14" t="s">
        <v>13752</v>
      </c>
      <c r="D1113" s="14" t="s">
        <v>13753</v>
      </c>
      <c r="E1113" s="150" t="str">
        <f t="shared" si="26"/>
        <v>http://dx.doi.org/10.1109/VISUAL.2003.1250411</v>
      </c>
      <c r="F1113" s="14">
        <v>489.0</v>
      </c>
      <c r="G1113" s="14">
        <v>496.0</v>
      </c>
      <c r="H1113" s="14" t="s">
        <v>28</v>
      </c>
      <c r="I1113" s="14"/>
      <c r="J1113" s="130" t="s">
        <v>15347</v>
      </c>
      <c r="K1113" s="152" t="s">
        <v>13756</v>
      </c>
      <c r="L1113" s="20" t="s">
        <v>13757</v>
      </c>
      <c r="M1113" s="174" t="s">
        <v>13758</v>
      </c>
      <c r="N1113" s="130" t="s">
        <v>40735</v>
      </c>
      <c r="O1113" s="84"/>
      <c r="P1113" s="84"/>
      <c r="Q1113" s="84"/>
      <c r="R1113" s="84"/>
      <c r="S1113" s="84"/>
      <c r="T1113" s="84"/>
      <c r="U1113" s="84"/>
      <c r="V1113" s="84"/>
      <c r="W1113" s="84"/>
      <c r="X1113" s="84"/>
    </row>
    <row r="1114" ht="15.75" customHeight="1">
      <c r="A1114" s="14" t="s">
        <v>17</v>
      </c>
      <c r="B1114" s="14">
        <v>2003.0</v>
      </c>
      <c r="C1114" s="14" t="s">
        <v>13759</v>
      </c>
      <c r="D1114" s="14" t="s">
        <v>13760</v>
      </c>
      <c r="E1114" s="150" t="str">
        <f t="shared" si="26"/>
        <v>http://dx.doi.org/10.1109/VISUAL.2003.1250412</v>
      </c>
      <c r="F1114" s="14">
        <v>497.0</v>
      </c>
      <c r="G1114" s="14">
        <v>504.0</v>
      </c>
      <c r="H1114" s="14" t="s">
        <v>28</v>
      </c>
      <c r="I1114" s="14"/>
      <c r="J1114" s="130" t="s">
        <v>13762</v>
      </c>
      <c r="K1114" s="152" t="s">
        <v>13763</v>
      </c>
      <c r="L1114" s="20" t="s">
        <v>13764</v>
      </c>
      <c r="M1114" s="174" t="s">
        <v>13765</v>
      </c>
      <c r="N1114" s="130" t="s">
        <v>39996</v>
      </c>
      <c r="O1114" s="84"/>
      <c r="P1114" s="84"/>
      <c r="Q1114" s="84"/>
      <c r="R1114" s="84"/>
      <c r="S1114" s="84"/>
      <c r="T1114" s="84"/>
      <c r="U1114" s="84"/>
      <c r="V1114" s="84"/>
      <c r="W1114" s="84"/>
      <c r="X1114" s="84"/>
    </row>
    <row r="1115" ht="15.75" customHeight="1">
      <c r="A1115" s="14" t="s">
        <v>17</v>
      </c>
      <c r="B1115" s="14">
        <v>2003.0</v>
      </c>
      <c r="C1115" s="14" t="s">
        <v>13766</v>
      </c>
      <c r="D1115" s="14" t="s">
        <v>13767</v>
      </c>
      <c r="E1115" s="150" t="str">
        <f t="shared" si="26"/>
        <v>http://dx.doi.org/10.1109/VISUAL.2003.1250413</v>
      </c>
      <c r="F1115" s="14">
        <v>505.0</v>
      </c>
      <c r="G1115" s="14">
        <v>512.0</v>
      </c>
      <c r="H1115" s="14" t="s">
        <v>28</v>
      </c>
      <c r="I1115" s="14"/>
      <c r="J1115" s="130" t="s">
        <v>13769</v>
      </c>
      <c r="K1115" s="152" t="s">
        <v>12580</v>
      </c>
      <c r="L1115" s="20" t="s">
        <v>13770</v>
      </c>
      <c r="M1115" s="174" t="s">
        <v>13771</v>
      </c>
      <c r="N1115" s="130" t="s">
        <v>40415</v>
      </c>
      <c r="O1115" s="84"/>
      <c r="P1115" s="84"/>
      <c r="Q1115" s="84"/>
      <c r="R1115" s="84"/>
      <c r="S1115" s="84"/>
      <c r="T1115" s="84"/>
      <c r="U1115" s="84"/>
      <c r="V1115" s="84"/>
      <c r="W1115" s="84"/>
      <c r="X1115" s="84"/>
    </row>
    <row r="1116" ht="15.75" customHeight="1">
      <c r="A1116" s="14" t="s">
        <v>17</v>
      </c>
      <c r="B1116" s="14">
        <v>2003.0</v>
      </c>
      <c r="C1116" s="14" t="s">
        <v>13772</v>
      </c>
      <c r="D1116" s="14" t="s">
        <v>13773</v>
      </c>
      <c r="E1116" s="150" t="str">
        <f t="shared" si="26"/>
        <v>http://dx.doi.org/10.1109/VISUAL.2003.1250414</v>
      </c>
      <c r="F1116" s="14">
        <v>513.0</v>
      </c>
      <c r="G1116" s="14">
        <v>520.0</v>
      </c>
      <c r="H1116" s="14" t="s">
        <v>28</v>
      </c>
      <c r="I1116" s="14"/>
      <c r="J1116" s="130" t="s">
        <v>15356</v>
      </c>
      <c r="K1116" s="152" t="s">
        <v>13776</v>
      </c>
      <c r="L1116" s="20" t="s">
        <v>13777</v>
      </c>
      <c r="M1116" s="174" t="s">
        <v>13778</v>
      </c>
      <c r="N1116" s="130" t="s">
        <v>40739</v>
      </c>
      <c r="O1116" s="84"/>
      <c r="P1116" s="84"/>
      <c r="Q1116" s="84"/>
      <c r="R1116" s="84"/>
      <c r="S1116" s="84"/>
      <c r="T1116" s="84"/>
      <c r="U1116" s="84"/>
      <c r="V1116" s="84"/>
      <c r="W1116" s="84"/>
      <c r="X1116" s="84"/>
    </row>
    <row r="1117" ht="15.75" customHeight="1">
      <c r="A1117" s="14" t="s">
        <v>17</v>
      </c>
      <c r="B1117" s="14">
        <v>2003.0</v>
      </c>
      <c r="C1117" s="14" t="s">
        <v>13779</v>
      </c>
      <c r="D1117" s="14" t="s">
        <v>13780</v>
      </c>
      <c r="E1117" s="150" t="str">
        <f t="shared" si="26"/>
        <v>http://dx.doi.org/10.1109/VISUAL.2003.1250415</v>
      </c>
      <c r="F1117" s="14">
        <v>523.0</v>
      </c>
      <c r="G1117" s="14">
        <v>530.0</v>
      </c>
      <c r="H1117" s="14" t="s">
        <v>28</v>
      </c>
      <c r="I1117" s="14"/>
      <c r="J1117" s="130" t="s">
        <v>13782</v>
      </c>
      <c r="K1117" s="152" t="s">
        <v>12580</v>
      </c>
      <c r="L1117" s="20" t="s">
        <v>12697</v>
      </c>
      <c r="M1117" s="174" t="s">
        <v>13783</v>
      </c>
      <c r="N1117" s="130" t="s">
        <v>38483</v>
      </c>
      <c r="O1117" s="84"/>
      <c r="P1117" s="84"/>
      <c r="Q1117" s="84"/>
      <c r="R1117" s="84"/>
      <c r="S1117" s="84"/>
      <c r="T1117" s="84"/>
      <c r="U1117" s="84"/>
      <c r="V1117" s="84"/>
      <c r="W1117" s="84"/>
      <c r="X1117" s="84"/>
    </row>
    <row r="1118" ht="15.75" customHeight="1">
      <c r="A1118" s="14" t="s">
        <v>17</v>
      </c>
      <c r="B1118" s="14">
        <v>2003.0</v>
      </c>
      <c r="C1118" s="14" t="s">
        <v>13784</v>
      </c>
      <c r="D1118" s="14" t="s">
        <v>13785</v>
      </c>
      <c r="E1118" s="150" t="str">
        <f t="shared" si="26"/>
        <v>http://dx.doi.org/10.1109/VISUAL.2003.1250416</v>
      </c>
      <c r="F1118" s="14">
        <v>531.0</v>
      </c>
      <c r="G1118" s="14">
        <v>538.0</v>
      </c>
      <c r="H1118" s="14" t="s">
        <v>28</v>
      </c>
      <c r="I1118" s="14"/>
      <c r="J1118" s="130" t="s">
        <v>13787</v>
      </c>
      <c r="K1118" s="152" t="s">
        <v>1530</v>
      </c>
      <c r="L1118" s="20" t="s">
        <v>13788</v>
      </c>
      <c r="M1118" s="174" t="s">
        <v>13789</v>
      </c>
      <c r="N1118" s="130" t="s">
        <v>40745</v>
      </c>
      <c r="O1118" s="84"/>
      <c r="P1118" s="84"/>
      <c r="Q1118" s="84"/>
      <c r="R1118" s="84"/>
      <c r="S1118" s="84"/>
      <c r="T1118" s="84"/>
      <c r="U1118" s="84"/>
      <c r="V1118" s="84"/>
      <c r="W1118" s="84"/>
      <c r="X1118" s="84"/>
    </row>
    <row r="1119" ht="15.75" customHeight="1">
      <c r="A1119" s="14" t="s">
        <v>17</v>
      </c>
      <c r="B1119" s="14">
        <v>2003.0</v>
      </c>
      <c r="C1119" s="14" t="s">
        <v>13790</v>
      </c>
      <c r="D1119" s="14" t="s">
        <v>13791</v>
      </c>
      <c r="E1119" s="150" t="str">
        <f t="shared" si="26"/>
        <v>http://dx.doi.org/10.1109/VISUAL.2003.1250417</v>
      </c>
      <c r="F1119" s="14">
        <v>539.0</v>
      </c>
      <c r="G1119" s="14">
        <v>546.0</v>
      </c>
      <c r="H1119" s="14" t="s">
        <v>28</v>
      </c>
      <c r="I1119" s="14"/>
      <c r="J1119" s="130" t="s">
        <v>13793</v>
      </c>
      <c r="K1119" s="152" t="s">
        <v>13543</v>
      </c>
      <c r="L1119" s="20" t="s">
        <v>13794</v>
      </c>
      <c r="M1119" s="174" t="s">
        <v>13795</v>
      </c>
      <c r="N1119" s="152" t="s">
        <v>13543</v>
      </c>
      <c r="O1119" s="84"/>
      <c r="P1119" s="84"/>
      <c r="Q1119" s="84"/>
      <c r="R1119" s="84"/>
      <c r="S1119" s="84"/>
      <c r="T1119" s="84"/>
      <c r="U1119" s="84"/>
      <c r="V1119" s="84"/>
      <c r="W1119" s="84"/>
      <c r="X1119" s="84"/>
    </row>
    <row r="1120" ht="15.75" customHeight="1">
      <c r="A1120" s="14" t="s">
        <v>17</v>
      </c>
      <c r="B1120" s="14">
        <v>2003.0</v>
      </c>
      <c r="C1120" s="14" t="s">
        <v>13796</v>
      </c>
      <c r="D1120" s="14" t="s">
        <v>13797</v>
      </c>
      <c r="E1120" s="150" t="str">
        <f t="shared" si="26"/>
        <v>http://dx.doi.org/10.1109/VISUAL.2003.1250418</v>
      </c>
      <c r="F1120" s="14">
        <v>547.0</v>
      </c>
      <c r="G1120" s="14">
        <v>554.0</v>
      </c>
      <c r="H1120" s="14" t="s">
        <v>28</v>
      </c>
      <c r="I1120" s="14"/>
      <c r="J1120" s="130" t="s">
        <v>13799</v>
      </c>
      <c r="K1120" s="152" t="s">
        <v>13800</v>
      </c>
      <c r="L1120" s="20"/>
      <c r="M1120" s="174" t="s">
        <v>13801</v>
      </c>
      <c r="N1120" s="130" t="s">
        <v>40749</v>
      </c>
      <c r="O1120" s="84"/>
      <c r="P1120" s="84"/>
      <c r="Q1120" s="84"/>
      <c r="R1120" s="84"/>
      <c r="S1120" s="84"/>
      <c r="T1120" s="84"/>
      <c r="U1120" s="84"/>
      <c r="V1120" s="84"/>
      <c r="W1120" s="84"/>
      <c r="X1120" s="84"/>
    </row>
    <row r="1121" ht="15.75" customHeight="1">
      <c r="A1121" s="14" t="s">
        <v>17</v>
      </c>
      <c r="B1121" s="14">
        <v>2003.0</v>
      </c>
      <c r="C1121" s="14" t="s">
        <v>13829</v>
      </c>
      <c r="D1121" s="14" t="s">
        <v>13830</v>
      </c>
      <c r="E1121" s="150" t="str">
        <f t="shared" si="26"/>
        <v>http://dx.doi.org/10.1109/VISUAL.2003.1250419</v>
      </c>
      <c r="F1121" s="14">
        <v>555.0</v>
      </c>
      <c r="G1121" s="14">
        <v>559.0</v>
      </c>
      <c r="H1121" s="14" t="s">
        <v>28</v>
      </c>
      <c r="I1121" s="14"/>
      <c r="J1121" s="130" t="s">
        <v>13836</v>
      </c>
      <c r="K1121" s="152" t="s">
        <v>13837</v>
      </c>
      <c r="L1121" s="20" t="s">
        <v>13838</v>
      </c>
      <c r="M1121" s="174" t="s">
        <v>13840</v>
      </c>
      <c r="N1121" s="152" t="s">
        <v>13837</v>
      </c>
      <c r="O1121" s="84"/>
      <c r="P1121" s="84"/>
      <c r="Q1121" s="84"/>
      <c r="R1121" s="84"/>
      <c r="S1121" s="84"/>
      <c r="T1121" s="84"/>
      <c r="U1121" s="84"/>
      <c r="V1121" s="84"/>
      <c r="W1121" s="84"/>
      <c r="X1121" s="84"/>
    </row>
    <row r="1122" ht="15.75" customHeight="1">
      <c r="A1122" s="14" t="s">
        <v>17</v>
      </c>
      <c r="B1122" s="14">
        <v>2003.0</v>
      </c>
      <c r="C1122" s="14" t="s">
        <v>13843</v>
      </c>
      <c r="D1122" s="14" t="s">
        <v>13844</v>
      </c>
      <c r="E1122" s="150" t="str">
        <f t="shared" si="26"/>
        <v>http://dx.doi.org/10.1109/VISUAL.2003.1250420</v>
      </c>
      <c r="F1122" s="14">
        <v>561.0</v>
      </c>
      <c r="G1122" s="14">
        <v>568.0</v>
      </c>
      <c r="H1122" s="14" t="s">
        <v>28</v>
      </c>
      <c r="I1122" s="14"/>
      <c r="J1122" s="130" t="s">
        <v>13846</v>
      </c>
      <c r="K1122" s="152" t="s">
        <v>13847</v>
      </c>
      <c r="L1122" s="20" t="s">
        <v>13848</v>
      </c>
      <c r="M1122" s="174" t="s">
        <v>13849</v>
      </c>
      <c r="N1122" s="130" t="s">
        <v>40754</v>
      </c>
      <c r="O1122" s="84"/>
      <c r="P1122" s="84"/>
      <c r="Q1122" s="84"/>
      <c r="R1122" s="84"/>
      <c r="S1122" s="84"/>
      <c r="T1122" s="84"/>
      <c r="U1122" s="84"/>
      <c r="V1122" s="84"/>
      <c r="W1122" s="84"/>
      <c r="X1122" s="84"/>
    </row>
    <row r="1123" ht="15.75" customHeight="1">
      <c r="A1123" s="14" t="s">
        <v>17</v>
      </c>
      <c r="B1123" s="14">
        <v>2003.0</v>
      </c>
      <c r="C1123" s="14" t="s">
        <v>13850</v>
      </c>
      <c r="D1123" s="14" t="s">
        <v>13851</v>
      </c>
      <c r="E1123" s="150" t="str">
        <f t="shared" si="26"/>
        <v>http://dx.doi.org/10.1109/VISUAL.2003.1250421</v>
      </c>
      <c r="F1123" s="14">
        <v>569.0</v>
      </c>
      <c r="G1123" s="14">
        <v>574.0</v>
      </c>
      <c r="H1123" s="14" t="s">
        <v>28</v>
      </c>
      <c r="I1123" s="14"/>
      <c r="J1123" s="130" t="s">
        <v>15375</v>
      </c>
      <c r="K1123" s="152" t="s">
        <v>13857</v>
      </c>
      <c r="L1123" s="20" t="s">
        <v>13858</v>
      </c>
      <c r="M1123" s="174" t="s">
        <v>13859</v>
      </c>
      <c r="N1123" s="130" t="s">
        <v>40755</v>
      </c>
      <c r="O1123" s="84"/>
      <c r="P1123" s="84"/>
      <c r="Q1123" s="84"/>
      <c r="R1123" s="84"/>
      <c r="S1123" s="84"/>
      <c r="T1123" s="84"/>
      <c r="U1123" s="84"/>
      <c r="V1123" s="84"/>
      <c r="W1123" s="84"/>
      <c r="X1123" s="84"/>
    </row>
    <row r="1124" ht="15.75" customHeight="1">
      <c r="A1124" s="14" t="s">
        <v>17</v>
      </c>
      <c r="B1124" s="14">
        <v>2003.0</v>
      </c>
      <c r="C1124" s="14" t="s">
        <v>13860</v>
      </c>
      <c r="D1124" s="14" t="s">
        <v>13861</v>
      </c>
      <c r="E1124" s="150" t="str">
        <f t="shared" si="26"/>
        <v>http://dx.doi.org/10.1109/VISUAL.2003.1250422</v>
      </c>
      <c r="F1124" s="14">
        <v>575.0</v>
      </c>
      <c r="G1124" s="14">
        <v>580.0</v>
      </c>
      <c r="H1124" s="14" t="s">
        <v>28</v>
      </c>
      <c r="I1124" s="14"/>
      <c r="J1124" s="130" t="s">
        <v>13866</v>
      </c>
      <c r="K1124" s="152" t="s">
        <v>13867</v>
      </c>
      <c r="L1124" s="20"/>
      <c r="M1124" s="16"/>
      <c r="N1124" s="130" t="s">
        <v>40759</v>
      </c>
      <c r="O1124" s="84"/>
      <c r="P1124" s="84"/>
      <c r="Q1124" s="84"/>
      <c r="R1124" s="84"/>
      <c r="S1124" s="84"/>
      <c r="T1124" s="84"/>
      <c r="U1124" s="84"/>
      <c r="V1124" s="84"/>
      <c r="W1124" s="84"/>
      <c r="X1124" s="84"/>
    </row>
    <row r="1125" ht="15.75" customHeight="1">
      <c r="A1125" s="14" t="s">
        <v>17</v>
      </c>
      <c r="B1125" s="14">
        <v>2003.0</v>
      </c>
      <c r="C1125" s="14" t="s">
        <v>13868</v>
      </c>
      <c r="D1125" s="14" t="s">
        <v>13869</v>
      </c>
      <c r="E1125" s="150" t="str">
        <f t="shared" si="26"/>
        <v>http://dx.doi.org/10.1109/VISUAL.2003.1250423</v>
      </c>
      <c r="F1125" s="14">
        <v>581.0</v>
      </c>
      <c r="G1125" s="14">
        <v>588.0</v>
      </c>
      <c r="H1125" s="14" t="s">
        <v>28</v>
      </c>
      <c r="I1125" s="14"/>
      <c r="J1125" s="130" t="s">
        <v>13874</v>
      </c>
      <c r="K1125" s="152" t="s">
        <v>13578</v>
      </c>
      <c r="L1125" s="20"/>
      <c r="M1125" s="174" t="s">
        <v>13875</v>
      </c>
      <c r="N1125" s="152" t="s">
        <v>13578</v>
      </c>
      <c r="O1125" s="84"/>
      <c r="P1125" s="84"/>
      <c r="Q1125" s="84"/>
      <c r="R1125" s="84"/>
      <c r="S1125" s="84"/>
      <c r="T1125" s="84"/>
      <c r="U1125" s="84"/>
      <c r="V1125" s="84"/>
      <c r="W1125" s="84"/>
      <c r="X1125" s="84"/>
    </row>
    <row r="1126" ht="15.75" customHeight="1">
      <c r="A1126" s="14" t="s">
        <v>17</v>
      </c>
      <c r="B1126" s="14">
        <v>2003.0</v>
      </c>
      <c r="C1126" s="14" t="s">
        <v>13876</v>
      </c>
      <c r="D1126" s="14" t="s">
        <v>13877</v>
      </c>
      <c r="E1126" s="150" t="str">
        <f t="shared" si="26"/>
        <v>http://dx.doi.org/10.1109/VISUAL.2003.1250424</v>
      </c>
      <c r="F1126" s="14">
        <v>589.0</v>
      </c>
      <c r="G1126" s="14">
        <v>596.0</v>
      </c>
      <c r="H1126" s="14" t="s">
        <v>28</v>
      </c>
      <c r="I1126" s="14"/>
      <c r="J1126" s="130" t="s">
        <v>13885</v>
      </c>
      <c r="K1126" s="152" t="s">
        <v>13886</v>
      </c>
      <c r="L1126" s="20"/>
      <c r="M1126" s="174" t="s">
        <v>13887</v>
      </c>
      <c r="N1126" s="130" t="s">
        <v>40762</v>
      </c>
      <c r="O1126" s="84"/>
      <c r="P1126" s="84"/>
      <c r="Q1126" s="84"/>
      <c r="R1126" s="84"/>
      <c r="S1126" s="84"/>
      <c r="T1126" s="84"/>
      <c r="U1126" s="84"/>
      <c r="V1126" s="84"/>
      <c r="W1126" s="84"/>
      <c r="X1126" s="84"/>
    </row>
    <row r="1127" ht="15.75" customHeight="1">
      <c r="A1127" s="14" t="s">
        <v>17</v>
      </c>
      <c r="B1127" s="14">
        <v>2003.0</v>
      </c>
      <c r="C1127" s="14" t="s">
        <v>13889</v>
      </c>
      <c r="D1127" s="14" t="s">
        <v>13890</v>
      </c>
      <c r="E1127" s="150" t="str">
        <f t="shared" si="26"/>
        <v>http://dx.doi.org/10.1109/VISUAL.2003.1250425</v>
      </c>
      <c r="F1127" s="14">
        <v>597.0</v>
      </c>
      <c r="G1127" s="14">
        <v>602.0</v>
      </c>
      <c r="H1127" s="14" t="s">
        <v>28</v>
      </c>
      <c r="I1127" s="14"/>
      <c r="J1127" s="130" t="s">
        <v>12510</v>
      </c>
      <c r="K1127" s="152" t="s">
        <v>13898</v>
      </c>
      <c r="L1127" s="20" t="s">
        <v>13899</v>
      </c>
      <c r="M1127" s="174" t="s">
        <v>13900</v>
      </c>
      <c r="N1127" s="130" t="s">
        <v>40403</v>
      </c>
      <c r="O1127" s="84"/>
      <c r="P1127" s="84"/>
      <c r="Q1127" s="84"/>
      <c r="R1127" s="84"/>
      <c r="S1127" s="84"/>
      <c r="T1127" s="84"/>
      <c r="U1127" s="84"/>
      <c r="V1127" s="84"/>
      <c r="W1127" s="84"/>
      <c r="X1127" s="84"/>
    </row>
    <row r="1128" ht="15.75" customHeight="1">
      <c r="A1128" s="14" t="s">
        <v>17</v>
      </c>
      <c r="B1128" s="14">
        <v>2003.0</v>
      </c>
      <c r="C1128" s="14" t="s">
        <v>13901</v>
      </c>
      <c r="D1128" s="14" t="s">
        <v>13902</v>
      </c>
      <c r="E1128" s="150" t="str">
        <f t="shared" si="26"/>
        <v>http://dx.doi.org/10.1109/VISUAL.2003.1250426</v>
      </c>
      <c r="F1128" s="14">
        <v>605.0</v>
      </c>
      <c r="G1128" s="14">
        <v>606.0</v>
      </c>
      <c r="H1128" s="14" t="s">
        <v>21</v>
      </c>
      <c r="I1128" s="14"/>
      <c r="J1128" s="130" t="s">
        <v>13934</v>
      </c>
      <c r="K1128" s="152" t="s">
        <v>13936</v>
      </c>
      <c r="L1128" s="20"/>
      <c r="M1128" s="16"/>
      <c r="N1128" s="152" t="s">
        <v>13936</v>
      </c>
      <c r="O1128" s="84"/>
      <c r="P1128" s="84"/>
      <c r="Q1128" s="84"/>
      <c r="R1128" s="84"/>
      <c r="S1128" s="84"/>
      <c r="T1128" s="84"/>
      <c r="U1128" s="84"/>
      <c r="V1128" s="84"/>
      <c r="W1128" s="84"/>
      <c r="X1128" s="84"/>
    </row>
    <row r="1129" ht="15.75" customHeight="1">
      <c r="A1129" s="14" t="s">
        <v>17</v>
      </c>
      <c r="B1129" s="14">
        <v>2003.0</v>
      </c>
      <c r="C1129" s="14" t="s">
        <v>13937</v>
      </c>
      <c r="D1129" s="14" t="s">
        <v>13938</v>
      </c>
      <c r="E1129" s="150" t="str">
        <f t="shared" si="26"/>
        <v>http://dx.doi.org/10.1109/VISUAL.2003.1250427</v>
      </c>
      <c r="F1129" s="14">
        <v>607.0</v>
      </c>
      <c r="G1129" s="14">
        <v>610.0</v>
      </c>
      <c r="H1129" s="14" t="s">
        <v>21</v>
      </c>
      <c r="I1129" s="14"/>
      <c r="J1129" s="130" t="s">
        <v>13951</v>
      </c>
      <c r="K1129" s="152" t="s">
        <v>13953</v>
      </c>
      <c r="L1129" s="20"/>
      <c r="M1129" s="16"/>
      <c r="N1129" s="152" t="s">
        <v>13953</v>
      </c>
      <c r="O1129" s="84"/>
      <c r="P1129" s="84"/>
      <c r="Q1129" s="84"/>
      <c r="R1129" s="84"/>
      <c r="S1129" s="84"/>
      <c r="T1129" s="84"/>
      <c r="U1129" s="84"/>
      <c r="V1129" s="84"/>
      <c r="W1129" s="84"/>
      <c r="X1129" s="84"/>
    </row>
    <row r="1130" ht="15.75" customHeight="1">
      <c r="A1130" s="14" t="s">
        <v>17</v>
      </c>
      <c r="B1130" s="14">
        <v>2003.0</v>
      </c>
      <c r="C1130" s="14" t="s">
        <v>13954</v>
      </c>
      <c r="D1130" s="14" t="s">
        <v>13955</v>
      </c>
      <c r="E1130" s="150" t="str">
        <f t="shared" si="26"/>
        <v>http://dx.doi.org/10.1109/VISUAL.2003.1250428</v>
      </c>
      <c r="F1130" s="14">
        <v>611.0</v>
      </c>
      <c r="G1130" s="14">
        <v>614.0</v>
      </c>
      <c r="H1130" s="14" t="s">
        <v>21</v>
      </c>
      <c r="I1130" s="14"/>
      <c r="J1130" s="130" t="s">
        <v>13960</v>
      </c>
      <c r="K1130" s="152" t="s">
        <v>13961</v>
      </c>
      <c r="L1130" s="20"/>
      <c r="M1130" s="16"/>
      <c r="N1130" s="152" t="s">
        <v>13961</v>
      </c>
      <c r="O1130" s="84"/>
      <c r="P1130" s="84"/>
      <c r="Q1130" s="84"/>
      <c r="R1130" s="84"/>
      <c r="S1130" s="84"/>
      <c r="T1130" s="84"/>
      <c r="U1130" s="84"/>
      <c r="V1130" s="84"/>
      <c r="W1130" s="84"/>
      <c r="X1130" s="84"/>
    </row>
    <row r="1131" ht="15.75" customHeight="1">
      <c r="A1131" s="14" t="s">
        <v>17</v>
      </c>
      <c r="B1131" s="14">
        <v>2003.0</v>
      </c>
      <c r="C1131" s="14" t="s">
        <v>13962</v>
      </c>
      <c r="D1131" s="14" t="s">
        <v>13963</v>
      </c>
      <c r="E1131" s="150" t="str">
        <f t="shared" si="26"/>
        <v>http://dx.doi.org/10.1109/VISUAL.2003.1250429</v>
      </c>
      <c r="F1131" s="14">
        <v>615.0</v>
      </c>
      <c r="G1131" s="14">
        <v>617.0</v>
      </c>
      <c r="H1131" s="14" t="s">
        <v>21</v>
      </c>
      <c r="I1131" s="14"/>
      <c r="J1131" s="130" t="s">
        <v>13967</v>
      </c>
      <c r="K1131" s="152" t="s">
        <v>13968</v>
      </c>
      <c r="L1131" s="20"/>
      <c r="M1131" s="16"/>
      <c r="N1131" s="152" t="s">
        <v>13968</v>
      </c>
      <c r="O1131" s="84"/>
      <c r="P1131" s="84"/>
      <c r="Q1131" s="84"/>
      <c r="R1131" s="84"/>
      <c r="S1131" s="84"/>
      <c r="T1131" s="84"/>
      <c r="U1131" s="84"/>
      <c r="V1131" s="84"/>
      <c r="W1131" s="84"/>
      <c r="X1131" s="84"/>
    </row>
    <row r="1132" ht="15.75" customHeight="1">
      <c r="A1132" s="14" t="s">
        <v>17</v>
      </c>
      <c r="B1132" s="14">
        <v>2003.0</v>
      </c>
      <c r="C1132" s="14" t="s">
        <v>13969</v>
      </c>
      <c r="D1132" s="14" t="s">
        <v>13970</v>
      </c>
      <c r="E1132" s="150" t="str">
        <f t="shared" si="26"/>
        <v>http://dx.doi.org/10.1109/VISUAL.2003.1250430</v>
      </c>
      <c r="F1132" s="14">
        <v>619.0</v>
      </c>
      <c r="G1132" s="14">
        <v>621.0</v>
      </c>
      <c r="H1132" s="14" t="s">
        <v>21</v>
      </c>
      <c r="I1132" s="14"/>
      <c r="J1132" s="130" t="s">
        <v>15396</v>
      </c>
      <c r="K1132" s="152" t="s">
        <v>13977</v>
      </c>
      <c r="L1132" s="20"/>
      <c r="M1132" s="16"/>
      <c r="N1132" s="152" t="s">
        <v>13977</v>
      </c>
      <c r="O1132" s="84"/>
      <c r="P1132" s="84"/>
      <c r="Q1132" s="84"/>
      <c r="R1132" s="84"/>
      <c r="S1132" s="84"/>
      <c r="T1132" s="84"/>
      <c r="U1132" s="84"/>
      <c r="V1132" s="84"/>
      <c r="W1132" s="84"/>
      <c r="X1132" s="84"/>
    </row>
    <row r="1133" ht="15.75" customHeight="1">
      <c r="A1133" s="14" t="s">
        <v>2137</v>
      </c>
      <c r="B1133" s="14">
        <v>2004.0</v>
      </c>
      <c r="C1133" s="14" t="s">
        <v>13978</v>
      </c>
      <c r="D1133" s="14" t="s">
        <v>13979</v>
      </c>
      <c r="E1133" s="150" t="str">
        <f t="shared" si="26"/>
        <v>http://dx.doi.org/10.1109/INFVIS.2004.1</v>
      </c>
      <c r="F1133" s="14">
        <v>17.0</v>
      </c>
      <c r="G1133" s="14">
        <v>24.0</v>
      </c>
      <c r="H1133" s="14" t="s">
        <v>28</v>
      </c>
      <c r="I1133" s="14"/>
      <c r="J1133" s="219" t="s">
        <v>40769</v>
      </c>
      <c r="K1133" s="152" t="s">
        <v>13984</v>
      </c>
      <c r="L1133" s="20" t="s">
        <v>12870</v>
      </c>
      <c r="M1133" s="174" t="s">
        <v>13986</v>
      </c>
      <c r="N1133" s="130" t="s">
        <v>40775</v>
      </c>
      <c r="O1133" s="84"/>
      <c r="P1133" s="84"/>
      <c r="Q1133" s="84"/>
      <c r="R1133" s="84"/>
      <c r="S1133" s="84"/>
      <c r="T1133" s="84"/>
      <c r="U1133" s="84"/>
      <c r="V1133" s="84"/>
      <c r="W1133" s="84"/>
      <c r="X1133" s="84"/>
    </row>
    <row r="1134" ht="15.75" customHeight="1">
      <c r="A1134" s="14" t="s">
        <v>2137</v>
      </c>
      <c r="B1134" s="14">
        <v>2004.0</v>
      </c>
      <c r="C1134" s="14" t="s">
        <v>13989</v>
      </c>
      <c r="D1134" s="14" t="s">
        <v>13990</v>
      </c>
      <c r="E1134" s="150" t="str">
        <f t="shared" si="26"/>
        <v>http://dx.doi.org/10.1109/INFVIS.2004.10</v>
      </c>
      <c r="F1134" s="14">
        <v>143.0</v>
      </c>
      <c r="G1134" s="14">
        <v>150.0</v>
      </c>
      <c r="H1134" s="14" t="s">
        <v>28</v>
      </c>
      <c r="I1134" s="14"/>
      <c r="J1134" s="130" t="s">
        <v>13983</v>
      </c>
      <c r="K1134" s="152" t="s">
        <v>13992</v>
      </c>
      <c r="L1134" s="20" t="s">
        <v>13993</v>
      </c>
      <c r="M1134" s="174" t="s">
        <v>13994</v>
      </c>
      <c r="N1134" s="130" t="s">
        <v>40776</v>
      </c>
      <c r="O1134" s="84"/>
      <c r="P1134" s="84"/>
      <c r="Q1134" s="84"/>
      <c r="R1134" s="84"/>
      <c r="S1134" s="84"/>
      <c r="T1134" s="84"/>
      <c r="U1134" s="84"/>
      <c r="V1134" s="84"/>
      <c r="W1134" s="84"/>
      <c r="X1134" s="84"/>
    </row>
    <row r="1135" ht="15.75" customHeight="1">
      <c r="A1135" s="14" t="s">
        <v>2137</v>
      </c>
      <c r="B1135" s="14">
        <v>2004.0</v>
      </c>
      <c r="C1135" s="14" t="s">
        <v>13995</v>
      </c>
      <c r="D1135" s="14" t="s">
        <v>13997</v>
      </c>
      <c r="E1135" s="150" t="str">
        <f t="shared" si="26"/>
        <v>http://dx.doi.org/10.1109/INFVIS.2004.11</v>
      </c>
      <c r="F1135" s="14">
        <v>2.0</v>
      </c>
      <c r="G1135" s="14">
        <v>2.0</v>
      </c>
      <c r="H1135" s="14" t="s">
        <v>21</v>
      </c>
      <c r="I1135" s="14"/>
      <c r="J1135" s="130" t="s">
        <v>14080</v>
      </c>
      <c r="K1135" s="152" t="s">
        <v>14081</v>
      </c>
      <c r="L1135" s="20"/>
      <c r="M1135" s="16"/>
      <c r="N1135" s="152" t="s">
        <v>14081</v>
      </c>
      <c r="O1135" s="84"/>
      <c r="P1135" s="84"/>
      <c r="Q1135" s="84"/>
      <c r="R1135" s="84"/>
      <c r="S1135" s="84"/>
      <c r="T1135" s="84"/>
      <c r="U1135" s="84"/>
      <c r="V1135" s="84"/>
      <c r="W1135" s="84"/>
      <c r="X1135" s="84"/>
    </row>
    <row r="1136" ht="15.75" customHeight="1">
      <c r="A1136" s="14" t="s">
        <v>2137</v>
      </c>
      <c r="B1136" s="14">
        <v>2004.0</v>
      </c>
      <c r="C1136" s="14" t="s">
        <v>14082</v>
      </c>
      <c r="D1136" s="14" t="s">
        <v>14083</v>
      </c>
      <c r="E1136" s="150" t="str">
        <f t="shared" si="26"/>
        <v>http://dx.doi.org/10.1109/INFVIS.2004.12</v>
      </c>
      <c r="F1136" s="14">
        <v>159.0</v>
      </c>
      <c r="G1136" s="14">
        <v>166.0</v>
      </c>
      <c r="H1136" s="14" t="s">
        <v>28</v>
      </c>
      <c r="I1136" s="14"/>
      <c r="J1136" s="130" t="s">
        <v>14085</v>
      </c>
      <c r="K1136" s="152" t="s">
        <v>14086</v>
      </c>
      <c r="L1136" s="20" t="s">
        <v>14087</v>
      </c>
      <c r="M1136" s="174" t="s">
        <v>14088</v>
      </c>
      <c r="N1136" s="130" t="s">
        <v>40778</v>
      </c>
      <c r="O1136" s="84"/>
      <c r="P1136" s="84"/>
      <c r="Q1136" s="84"/>
      <c r="R1136" s="84"/>
      <c r="S1136" s="84"/>
      <c r="T1136" s="84"/>
      <c r="U1136" s="84"/>
      <c r="V1136" s="84"/>
      <c r="W1136" s="84"/>
      <c r="X1136" s="84"/>
    </row>
    <row r="1137" ht="15.75" customHeight="1">
      <c r="A1137" s="14" t="s">
        <v>2137</v>
      </c>
      <c r="B1137" s="14">
        <v>2004.0</v>
      </c>
      <c r="C1137" s="14" t="s">
        <v>14089</v>
      </c>
      <c r="D1137" s="14" t="s">
        <v>14090</v>
      </c>
      <c r="E1137" s="150" t="str">
        <f t="shared" si="26"/>
        <v>http://dx.doi.org/10.1109/INFVIS.2004.13</v>
      </c>
      <c r="F1137" s="14" t="s">
        <v>14092</v>
      </c>
      <c r="G1137" s="14" t="s">
        <v>14092</v>
      </c>
      <c r="H1137" s="14" t="s">
        <v>21</v>
      </c>
      <c r="I1137" s="14"/>
      <c r="J1137" s="130" t="s">
        <v>14093</v>
      </c>
      <c r="K1137" s="152"/>
      <c r="L1137" s="20"/>
      <c r="M1137" s="16"/>
      <c r="N1137" s="130"/>
      <c r="O1137" s="84"/>
      <c r="P1137" s="84"/>
      <c r="Q1137" s="84"/>
      <c r="R1137" s="84"/>
      <c r="S1137" s="84"/>
      <c r="T1137" s="84"/>
      <c r="U1137" s="84"/>
      <c r="V1137" s="84"/>
      <c r="W1137" s="84"/>
      <c r="X1137" s="84"/>
    </row>
    <row r="1138" ht="15.75" customHeight="1">
      <c r="A1138" s="14" t="s">
        <v>2137</v>
      </c>
      <c r="B1138" s="14">
        <v>2004.0</v>
      </c>
      <c r="C1138" s="14" t="s">
        <v>14094</v>
      </c>
      <c r="D1138" s="14" t="s">
        <v>14095</v>
      </c>
      <c r="E1138" s="150" t="str">
        <f t="shared" si="26"/>
        <v>http://dx.doi.org/10.1109/INFVIS.2004.14</v>
      </c>
      <c r="F1138" s="14" t="s">
        <v>14097</v>
      </c>
      <c r="G1138" s="14" t="s">
        <v>14097</v>
      </c>
      <c r="H1138" s="14" t="s">
        <v>21</v>
      </c>
      <c r="I1138" s="14"/>
      <c r="J1138" s="130" t="s">
        <v>13152</v>
      </c>
      <c r="K1138" s="152" t="s">
        <v>14098</v>
      </c>
      <c r="L1138" s="20"/>
      <c r="M1138" s="16"/>
      <c r="N1138" s="152" t="s">
        <v>14098</v>
      </c>
      <c r="O1138" s="84"/>
      <c r="P1138" s="84"/>
      <c r="Q1138" s="84"/>
      <c r="R1138" s="84"/>
      <c r="S1138" s="84"/>
      <c r="T1138" s="84"/>
      <c r="U1138" s="84"/>
      <c r="V1138" s="84"/>
      <c r="W1138" s="84"/>
      <c r="X1138" s="84"/>
    </row>
    <row r="1139" ht="15.75" customHeight="1">
      <c r="A1139" s="14" t="s">
        <v>2137</v>
      </c>
      <c r="B1139" s="14">
        <v>2004.0</v>
      </c>
      <c r="C1139" s="14" t="s">
        <v>14099</v>
      </c>
      <c r="D1139" s="14" t="s">
        <v>14100</v>
      </c>
      <c r="E1139" s="150" t="str">
        <f t="shared" si="26"/>
        <v>http://dx.doi.org/10.1109/INFVIS.2004.15</v>
      </c>
      <c r="F1139" s="14">
        <v>89.0</v>
      </c>
      <c r="G1139" s="14">
        <v>96.0</v>
      </c>
      <c r="H1139" s="14" t="s">
        <v>28</v>
      </c>
      <c r="I1139" s="14"/>
      <c r="J1139" s="130" t="s">
        <v>14102</v>
      </c>
      <c r="K1139" s="152" t="s">
        <v>14103</v>
      </c>
      <c r="L1139" s="20" t="s">
        <v>14104</v>
      </c>
      <c r="M1139" s="174" t="s">
        <v>14105</v>
      </c>
      <c r="N1139" s="130" t="s">
        <v>40782</v>
      </c>
      <c r="O1139" s="84"/>
      <c r="P1139" s="84"/>
      <c r="Q1139" s="84"/>
      <c r="R1139" s="84"/>
      <c r="S1139" s="84"/>
      <c r="T1139" s="84"/>
      <c r="U1139" s="84"/>
      <c r="V1139" s="84"/>
      <c r="W1139" s="84"/>
      <c r="X1139" s="84"/>
    </row>
    <row r="1140" ht="15.75" customHeight="1">
      <c r="A1140" s="14" t="s">
        <v>2137</v>
      </c>
      <c r="B1140" s="14">
        <v>2004.0</v>
      </c>
      <c r="C1140" s="14" t="s">
        <v>14106</v>
      </c>
      <c r="D1140" s="14" t="s">
        <v>14107</v>
      </c>
      <c r="E1140" s="150" t="str">
        <f t="shared" si="26"/>
        <v>http://dx.doi.org/10.1109/INFVIS.2004.16</v>
      </c>
      <c r="F1140" s="14">
        <v>19.0</v>
      </c>
      <c r="G1140" s="14">
        <v>19.0</v>
      </c>
      <c r="H1140" s="14" t="s">
        <v>21</v>
      </c>
      <c r="I1140" s="14"/>
      <c r="J1140" s="130" t="s">
        <v>14109</v>
      </c>
      <c r="K1140" s="152" t="s">
        <v>14110</v>
      </c>
      <c r="L1140" s="20"/>
      <c r="M1140" s="16"/>
      <c r="N1140" s="152" t="s">
        <v>14110</v>
      </c>
      <c r="O1140" s="84"/>
      <c r="P1140" s="84"/>
      <c r="Q1140" s="84"/>
      <c r="R1140" s="84"/>
      <c r="S1140" s="84"/>
      <c r="T1140" s="84"/>
      <c r="U1140" s="84"/>
      <c r="V1140" s="84"/>
      <c r="W1140" s="84"/>
      <c r="X1140" s="84"/>
    </row>
    <row r="1141" ht="15.75" customHeight="1">
      <c r="A1141" s="14" t="s">
        <v>2137</v>
      </c>
      <c r="B1141" s="14">
        <v>2004.0</v>
      </c>
      <c r="C1141" s="14" t="s">
        <v>14111</v>
      </c>
      <c r="D1141" s="14" t="s">
        <v>14112</v>
      </c>
      <c r="E1141" s="150" t="str">
        <f t="shared" si="26"/>
        <v>http://dx.doi.org/10.1109/INFVIS.2004.17</v>
      </c>
      <c r="F1141" s="14">
        <v>21.0</v>
      </c>
      <c r="G1141" s="14">
        <v>21.0</v>
      </c>
      <c r="H1141" s="14" t="s">
        <v>21</v>
      </c>
      <c r="I1141" s="14"/>
      <c r="J1141" s="130" t="s">
        <v>14114</v>
      </c>
      <c r="K1141" s="152" t="s">
        <v>14115</v>
      </c>
      <c r="L1141" s="20"/>
      <c r="M1141" s="16"/>
      <c r="N1141" s="130"/>
      <c r="O1141" s="84"/>
      <c r="P1141" s="84"/>
      <c r="Q1141" s="84"/>
      <c r="R1141" s="84"/>
      <c r="S1141" s="84"/>
      <c r="T1141" s="84"/>
      <c r="U1141" s="84"/>
      <c r="V1141" s="84"/>
      <c r="W1141" s="84"/>
      <c r="X1141" s="84"/>
    </row>
    <row r="1142" ht="15.75" customHeight="1">
      <c r="A1142" s="14" t="s">
        <v>2137</v>
      </c>
      <c r="B1142" s="14">
        <v>2004.0</v>
      </c>
      <c r="C1142" s="14" t="s">
        <v>14116</v>
      </c>
      <c r="D1142" s="14" t="s">
        <v>14117</v>
      </c>
      <c r="E1142" s="150" t="str">
        <f t="shared" si="26"/>
        <v>http://dx.doi.org/10.1109/INFVIS.2004.18</v>
      </c>
      <c r="F1142" s="14">
        <v>191.0</v>
      </c>
      <c r="G1142" s="14">
        <v>198.0</v>
      </c>
      <c r="H1142" s="14" t="s">
        <v>28</v>
      </c>
      <c r="I1142" s="14"/>
      <c r="J1142" s="130" t="s">
        <v>14119</v>
      </c>
      <c r="K1142" s="152" t="s">
        <v>14121</v>
      </c>
      <c r="L1142" s="20" t="s">
        <v>4821</v>
      </c>
      <c r="M1142" s="174" t="s">
        <v>14122</v>
      </c>
      <c r="N1142" s="130" t="s">
        <v>40790</v>
      </c>
      <c r="O1142" s="84"/>
      <c r="P1142" s="84"/>
      <c r="Q1142" s="84"/>
      <c r="R1142" s="84"/>
      <c r="S1142" s="84"/>
      <c r="T1142" s="84"/>
      <c r="U1142" s="84"/>
      <c r="V1142" s="84"/>
      <c r="W1142" s="84"/>
      <c r="X1142" s="84"/>
    </row>
    <row r="1143" ht="15.75" customHeight="1">
      <c r="A1143" s="14" t="s">
        <v>2137</v>
      </c>
      <c r="B1143" s="14">
        <v>2004.0</v>
      </c>
      <c r="C1143" s="14" t="s">
        <v>14125</v>
      </c>
      <c r="D1143" s="14" t="s">
        <v>14126</v>
      </c>
      <c r="E1143" s="150" t="str">
        <f t="shared" si="26"/>
        <v>http://dx.doi.org/10.1109/INFVIS.2004.19</v>
      </c>
      <c r="F1143" s="14">
        <v>127.0</v>
      </c>
      <c r="G1143" s="14">
        <v>134.0</v>
      </c>
      <c r="H1143" s="14" t="s">
        <v>28</v>
      </c>
      <c r="I1143" s="14"/>
      <c r="J1143" s="130" t="s">
        <v>14131</v>
      </c>
      <c r="K1143" s="152" t="s">
        <v>14132</v>
      </c>
      <c r="L1143" s="20" t="s">
        <v>14133</v>
      </c>
      <c r="M1143" s="174" t="s">
        <v>14134</v>
      </c>
      <c r="N1143" s="130" t="s">
        <v>40792</v>
      </c>
      <c r="O1143" s="84"/>
      <c r="P1143" s="84"/>
      <c r="Q1143" s="84"/>
      <c r="R1143" s="84"/>
      <c r="S1143" s="84"/>
      <c r="T1143" s="84"/>
      <c r="U1143" s="84"/>
      <c r="V1143" s="84"/>
      <c r="W1143" s="84"/>
      <c r="X1143" s="84"/>
    </row>
    <row r="1144" ht="15.75" customHeight="1">
      <c r="A1144" s="14" t="s">
        <v>2137</v>
      </c>
      <c r="B1144" s="14">
        <v>2004.0</v>
      </c>
      <c r="C1144" s="14" t="s">
        <v>14135</v>
      </c>
      <c r="D1144" s="14" t="s">
        <v>14136</v>
      </c>
      <c r="E1144" s="150" t="str">
        <f t="shared" si="26"/>
        <v>http://dx.doi.org/10.1109/INFVIS.2004.2</v>
      </c>
      <c r="F1144" s="14">
        <v>49.0</v>
      </c>
      <c r="G1144" s="14">
        <v>56.0</v>
      </c>
      <c r="H1144" s="14" t="s">
        <v>28</v>
      </c>
      <c r="I1144" s="14"/>
      <c r="J1144" s="130" t="s">
        <v>40795</v>
      </c>
      <c r="K1144" s="152" t="s">
        <v>14141</v>
      </c>
      <c r="L1144" s="20" t="s">
        <v>14142</v>
      </c>
      <c r="M1144" s="174" t="s">
        <v>14144</v>
      </c>
      <c r="N1144" s="130" t="s">
        <v>40796</v>
      </c>
      <c r="O1144" s="84"/>
      <c r="P1144" s="84"/>
      <c r="Q1144" s="84"/>
      <c r="R1144" s="84"/>
      <c r="S1144" s="84"/>
      <c r="T1144" s="84"/>
      <c r="U1144" s="84"/>
      <c r="V1144" s="84"/>
      <c r="W1144" s="84"/>
      <c r="X1144" s="84"/>
    </row>
    <row r="1145" ht="15.75" customHeight="1">
      <c r="A1145" s="14" t="s">
        <v>2137</v>
      </c>
      <c r="B1145" s="14">
        <v>2004.0</v>
      </c>
      <c r="C1145" s="14" t="s">
        <v>14147</v>
      </c>
      <c r="D1145" s="14" t="s">
        <v>14148</v>
      </c>
      <c r="E1145" s="150" t="str">
        <f t="shared" si="26"/>
        <v>http://dx.doi.org/10.1109/INFVIS.2004.20</v>
      </c>
      <c r="F1145" s="14">
        <v>16.0</v>
      </c>
      <c r="G1145" s="14">
        <v>16.0</v>
      </c>
      <c r="H1145" s="14" t="s">
        <v>21</v>
      </c>
      <c r="I1145" s="14"/>
      <c r="J1145" s="16" t="s">
        <v>40797</v>
      </c>
      <c r="K1145" s="152" t="s">
        <v>14154</v>
      </c>
      <c r="L1145" s="20"/>
      <c r="M1145" s="16"/>
      <c r="N1145" s="152" t="s">
        <v>14154</v>
      </c>
      <c r="O1145" s="84"/>
      <c r="P1145" s="84"/>
      <c r="Q1145" s="84"/>
      <c r="R1145" s="84"/>
      <c r="S1145" s="84"/>
      <c r="T1145" s="84"/>
      <c r="U1145" s="84"/>
      <c r="V1145" s="84"/>
      <c r="W1145" s="84"/>
      <c r="X1145" s="84"/>
    </row>
    <row r="1146" ht="15.75" customHeight="1">
      <c r="A1146" s="14" t="s">
        <v>2137</v>
      </c>
      <c r="B1146" s="14">
        <v>2004.0</v>
      </c>
      <c r="C1146" s="14" t="s">
        <v>14155</v>
      </c>
      <c r="D1146" s="14" t="s">
        <v>14156</v>
      </c>
      <c r="E1146" s="150" t="str">
        <f t="shared" si="26"/>
        <v>http://dx.doi.org/10.1109/INFVIS.2004.21</v>
      </c>
      <c r="F1146" s="14">
        <v>119.0</v>
      </c>
      <c r="G1146" s="14">
        <v>126.0</v>
      </c>
      <c r="H1146" s="14" t="s">
        <v>28</v>
      </c>
      <c r="I1146" s="14"/>
      <c r="J1146" s="130" t="s">
        <v>14160</v>
      </c>
      <c r="K1146" s="152" t="s">
        <v>14161</v>
      </c>
      <c r="L1146" s="20" t="s">
        <v>14162</v>
      </c>
      <c r="M1146" s="174" t="s">
        <v>14163</v>
      </c>
      <c r="N1146" s="130" t="s">
        <v>37668</v>
      </c>
      <c r="O1146" s="84"/>
      <c r="P1146" s="84"/>
      <c r="Q1146" s="84"/>
      <c r="R1146" s="84"/>
      <c r="S1146" s="84"/>
      <c r="T1146" s="84"/>
      <c r="U1146" s="84"/>
      <c r="V1146" s="84"/>
      <c r="W1146" s="84"/>
      <c r="X1146" s="84"/>
    </row>
    <row r="1147" ht="15.75" customHeight="1">
      <c r="A1147" s="14" t="s">
        <v>2137</v>
      </c>
      <c r="B1147" s="14">
        <v>2004.0</v>
      </c>
      <c r="C1147" s="14" t="s">
        <v>14164</v>
      </c>
      <c r="D1147" s="14" t="s">
        <v>14165</v>
      </c>
      <c r="E1147" s="150" t="str">
        <f t="shared" si="26"/>
        <v>http://dx.doi.org/10.1109/INFVIS.2004.22</v>
      </c>
      <c r="F1147" s="14" t="s">
        <v>14171</v>
      </c>
      <c r="G1147" s="14" t="s">
        <v>14171</v>
      </c>
      <c r="H1147" s="14" t="s">
        <v>21</v>
      </c>
      <c r="I1147" s="14"/>
      <c r="J1147" s="130" t="s">
        <v>15439</v>
      </c>
      <c r="K1147" s="152" t="s">
        <v>14174</v>
      </c>
      <c r="L1147" s="20"/>
      <c r="M1147" s="16"/>
      <c r="N1147" s="152" t="s">
        <v>14174</v>
      </c>
      <c r="O1147" s="84"/>
      <c r="P1147" s="84"/>
      <c r="Q1147" s="84"/>
      <c r="R1147" s="84"/>
      <c r="S1147" s="84"/>
      <c r="T1147" s="84"/>
      <c r="U1147" s="84"/>
      <c r="V1147" s="84"/>
      <c r="W1147" s="84"/>
      <c r="X1147" s="84"/>
    </row>
    <row r="1148" ht="15.75" customHeight="1">
      <c r="A1148" s="14" t="s">
        <v>2137</v>
      </c>
      <c r="B1148" s="14">
        <v>2004.0</v>
      </c>
      <c r="C1148" s="14" t="s">
        <v>14175</v>
      </c>
      <c r="D1148" s="14" t="s">
        <v>14176</v>
      </c>
      <c r="E1148" s="150" t="str">
        <f t="shared" si="26"/>
        <v>http://dx.doi.org/10.1109/INFVIS.2004.23</v>
      </c>
      <c r="F1148" s="14" t="s">
        <v>14180</v>
      </c>
      <c r="G1148" s="14" t="s">
        <v>14180</v>
      </c>
      <c r="H1148" s="14" t="s">
        <v>21</v>
      </c>
      <c r="I1148" s="14"/>
      <c r="J1148" s="130" t="s">
        <v>14181</v>
      </c>
      <c r="K1148" s="220" t="s">
        <v>40809</v>
      </c>
      <c r="L1148" s="20"/>
      <c r="M1148" s="16"/>
      <c r="N1148" s="220" t="s">
        <v>40809</v>
      </c>
      <c r="O1148" s="84"/>
      <c r="P1148" s="84"/>
      <c r="Q1148" s="84"/>
      <c r="R1148" s="84"/>
      <c r="S1148" s="84"/>
      <c r="T1148" s="84"/>
      <c r="U1148" s="84"/>
      <c r="V1148" s="84"/>
      <c r="W1148" s="84"/>
      <c r="X1148" s="84"/>
    </row>
    <row r="1149" ht="15.75" customHeight="1">
      <c r="A1149" s="14" t="s">
        <v>2137</v>
      </c>
      <c r="B1149" s="14">
        <v>2004.0</v>
      </c>
      <c r="C1149" s="14" t="s">
        <v>14183</v>
      </c>
      <c r="D1149" s="14" t="s">
        <v>14184</v>
      </c>
      <c r="E1149" s="150" t="str">
        <f t="shared" si="26"/>
        <v>http://dx.doi.org/10.1109/INFVIS.2004.25</v>
      </c>
      <c r="F1149" s="14">
        <v>41.0</v>
      </c>
      <c r="G1149" s="14">
        <v>48.0</v>
      </c>
      <c r="H1149" s="14" t="s">
        <v>28</v>
      </c>
      <c r="I1149" s="14"/>
      <c r="J1149" s="130" t="s">
        <v>14188</v>
      </c>
      <c r="K1149" s="152" t="s">
        <v>14189</v>
      </c>
      <c r="L1149" s="20" t="s">
        <v>14190</v>
      </c>
      <c r="M1149" s="174" t="s">
        <v>14191</v>
      </c>
      <c r="N1149" s="130" t="s">
        <v>40820</v>
      </c>
      <c r="O1149" s="84"/>
      <c r="P1149" s="84"/>
      <c r="Q1149" s="84"/>
      <c r="R1149" s="84"/>
      <c r="S1149" s="84"/>
      <c r="T1149" s="84"/>
      <c r="U1149" s="84"/>
      <c r="V1149" s="84"/>
      <c r="W1149" s="84"/>
      <c r="X1149" s="84"/>
    </row>
    <row r="1150" ht="15.75" customHeight="1">
      <c r="A1150" s="14" t="s">
        <v>2137</v>
      </c>
      <c r="B1150" s="14">
        <v>2004.0</v>
      </c>
      <c r="C1150" s="14" t="s">
        <v>14192</v>
      </c>
      <c r="D1150" s="14" t="s">
        <v>14193</v>
      </c>
      <c r="E1150" s="150" t="str">
        <f t="shared" si="26"/>
        <v>http://dx.doi.org/10.1109/INFVIS.2004.26</v>
      </c>
      <c r="F1150" s="14">
        <v>14.0</v>
      </c>
      <c r="G1150" s="14">
        <v>14.0</v>
      </c>
      <c r="H1150" s="14" t="s">
        <v>21</v>
      </c>
      <c r="I1150" s="14"/>
      <c r="J1150" s="130" t="s">
        <v>14198</v>
      </c>
      <c r="K1150" s="152" t="s">
        <v>14199</v>
      </c>
      <c r="L1150" s="20"/>
      <c r="M1150" s="16"/>
      <c r="N1150" s="152" t="s">
        <v>14199</v>
      </c>
      <c r="O1150" s="84"/>
      <c r="P1150" s="84"/>
      <c r="Q1150" s="84"/>
      <c r="R1150" s="84"/>
      <c r="S1150" s="84"/>
      <c r="T1150" s="84"/>
      <c r="U1150" s="84"/>
      <c r="V1150" s="84"/>
      <c r="W1150" s="84"/>
      <c r="X1150" s="84"/>
    </row>
    <row r="1151" ht="15.75" customHeight="1">
      <c r="A1151" s="14" t="s">
        <v>2137</v>
      </c>
      <c r="B1151" s="14">
        <v>2004.0</v>
      </c>
      <c r="C1151" s="14" t="s">
        <v>14200</v>
      </c>
      <c r="D1151" s="14" t="s">
        <v>14202</v>
      </c>
      <c r="E1151" s="150" t="str">
        <f t="shared" si="26"/>
        <v>http://dx.doi.org/10.1109/INFVIS.2004.27</v>
      </c>
      <c r="F1151" s="14">
        <v>25.0</v>
      </c>
      <c r="G1151" s="14">
        <v>32.0</v>
      </c>
      <c r="H1151" s="14" t="s">
        <v>28</v>
      </c>
      <c r="I1151" s="14"/>
      <c r="J1151" s="130" t="s">
        <v>14209</v>
      </c>
      <c r="K1151" s="152" t="s">
        <v>178</v>
      </c>
      <c r="L1151" s="20" t="s">
        <v>12884</v>
      </c>
      <c r="M1151" s="174" t="s">
        <v>14210</v>
      </c>
      <c r="N1151" s="130" t="s">
        <v>40824</v>
      </c>
      <c r="O1151" s="84"/>
      <c r="P1151" s="84"/>
      <c r="Q1151" s="84"/>
      <c r="R1151" s="84"/>
      <c r="S1151" s="84"/>
      <c r="T1151" s="84"/>
      <c r="U1151" s="84"/>
      <c r="V1151" s="84"/>
      <c r="W1151" s="84"/>
      <c r="X1151" s="84"/>
    </row>
    <row r="1152" ht="15.75" customHeight="1">
      <c r="A1152" s="14" t="s">
        <v>2137</v>
      </c>
      <c r="B1152" s="14">
        <v>2004.0</v>
      </c>
      <c r="C1152" s="14" t="s">
        <v>14211</v>
      </c>
      <c r="D1152" s="14" t="s">
        <v>14212</v>
      </c>
      <c r="E1152" s="150" t="str">
        <f t="shared" si="26"/>
        <v>http://dx.doi.org/10.1109/INFVIS.2004.28</v>
      </c>
      <c r="F1152" s="14">
        <v>17.0</v>
      </c>
      <c r="G1152" s="14">
        <v>17.0</v>
      </c>
      <c r="H1152" s="14" t="s">
        <v>21</v>
      </c>
      <c r="I1152" s="14"/>
      <c r="J1152" s="130" t="s">
        <v>14217</v>
      </c>
      <c r="K1152" s="152" t="s">
        <v>14218</v>
      </c>
      <c r="L1152" s="20"/>
      <c r="M1152" s="16"/>
      <c r="N1152" s="152" t="s">
        <v>14218</v>
      </c>
      <c r="O1152" s="84"/>
      <c r="P1152" s="84"/>
      <c r="Q1152" s="84"/>
      <c r="R1152" s="84"/>
      <c r="S1152" s="84"/>
      <c r="T1152" s="84"/>
      <c r="U1152" s="84"/>
      <c r="V1152" s="84"/>
      <c r="W1152" s="84"/>
      <c r="X1152" s="84"/>
    </row>
    <row r="1153" ht="15.75" customHeight="1">
      <c r="A1153" s="14" t="s">
        <v>2137</v>
      </c>
      <c r="B1153" s="14">
        <v>2004.0</v>
      </c>
      <c r="C1153" s="14" t="s">
        <v>14220</v>
      </c>
      <c r="D1153" s="14" t="s">
        <v>14222</v>
      </c>
      <c r="E1153" s="150" t="str">
        <f t="shared" si="26"/>
        <v>http://dx.doi.org/10.1109/INFVIS.2004.29</v>
      </c>
      <c r="F1153" s="14">
        <v>4.0</v>
      </c>
      <c r="G1153" s="14">
        <v>4.0</v>
      </c>
      <c r="H1153" s="14" t="s">
        <v>21</v>
      </c>
      <c r="I1153" s="14"/>
      <c r="J1153" s="130" t="s">
        <v>14140</v>
      </c>
      <c r="K1153" s="152" t="s">
        <v>14228</v>
      </c>
      <c r="L1153" s="20"/>
      <c r="M1153" s="16"/>
      <c r="N1153" s="152" t="s">
        <v>14228</v>
      </c>
      <c r="O1153" s="84"/>
      <c r="P1153" s="84"/>
      <c r="Q1153" s="84"/>
      <c r="R1153" s="84"/>
      <c r="S1153" s="84"/>
      <c r="T1153" s="84"/>
      <c r="U1153" s="84"/>
      <c r="V1153" s="84"/>
      <c r="W1153" s="84"/>
      <c r="X1153" s="84"/>
    </row>
    <row r="1154" ht="15.75" customHeight="1">
      <c r="A1154" s="14" t="s">
        <v>2137</v>
      </c>
      <c r="B1154" s="14">
        <v>2004.0</v>
      </c>
      <c r="C1154" s="14" t="s">
        <v>14229</v>
      </c>
      <c r="D1154" s="14" t="s">
        <v>14230</v>
      </c>
      <c r="E1154" s="150" t="str">
        <f t="shared" si="26"/>
        <v>http://dx.doi.org/10.1109/INFVIS.2004.3</v>
      </c>
      <c r="F1154" s="14">
        <v>65.0</v>
      </c>
      <c r="G1154" s="14">
        <v>72.0</v>
      </c>
      <c r="H1154" s="14" t="s">
        <v>28</v>
      </c>
      <c r="I1154" s="14"/>
      <c r="J1154" s="130" t="s">
        <v>40833</v>
      </c>
      <c r="K1154" s="152" t="s">
        <v>14236</v>
      </c>
      <c r="L1154" s="20" t="s">
        <v>14238</v>
      </c>
      <c r="M1154" s="174" t="s">
        <v>14239</v>
      </c>
      <c r="N1154" s="130" t="s">
        <v>40316</v>
      </c>
      <c r="O1154" s="84"/>
      <c r="P1154" s="84"/>
      <c r="Q1154" s="84"/>
      <c r="R1154" s="84"/>
      <c r="S1154" s="84"/>
      <c r="T1154" s="84"/>
      <c r="U1154" s="84"/>
      <c r="V1154" s="84"/>
      <c r="W1154" s="84"/>
      <c r="X1154" s="84"/>
    </row>
    <row r="1155" ht="15.75" customHeight="1">
      <c r="A1155" s="14" t="s">
        <v>2137</v>
      </c>
      <c r="B1155" s="14">
        <v>2004.0</v>
      </c>
      <c r="C1155" s="14" t="s">
        <v>14242</v>
      </c>
      <c r="D1155" s="14" t="s">
        <v>14243</v>
      </c>
      <c r="E1155" s="150" t="str">
        <f t="shared" si="26"/>
        <v>http://dx.doi.org/10.1109/INFVIS.2004.37</v>
      </c>
      <c r="F1155" s="14" t="s">
        <v>14248</v>
      </c>
      <c r="G1155" s="14" t="s">
        <v>14248</v>
      </c>
      <c r="H1155" s="14" t="s">
        <v>21</v>
      </c>
      <c r="I1155" s="14"/>
      <c r="J1155" s="130" t="s">
        <v>14249</v>
      </c>
      <c r="K1155" s="152" t="s">
        <v>14250</v>
      </c>
      <c r="L1155" s="20"/>
      <c r="M1155" s="16"/>
      <c r="N1155" s="152" t="s">
        <v>14250</v>
      </c>
      <c r="O1155" s="84"/>
      <c r="P1155" s="84"/>
      <c r="Q1155" s="84"/>
      <c r="R1155" s="84"/>
      <c r="S1155" s="84"/>
      <c r="T1155" s="84"/>
      <c r="U1155" s="84"/>
      <c r="V1155" s="84"/>
      <c r="W1155" s="84"/>
      <c r="X1155" s="84"/>
    </row>
    <row r="1156" ht="15.75" customHeight="1">
      <c r="A1156" s="14" t="s">
        <v>2137</v>
      </c>
      <c r="B1156" s="14">
        <v>2004.0</v>
      </c>
      <c r="C1156" s="14" t="s">
        <v>14251</v>
      </c>
      <c r="D1156" s="14" t="s">
        <v>14252</v>
      </c>
      <c r="E1156" s="150" t="str">
        <f t="shared" si="26"/>
        <v>http://dx.doi.org/10.1109/INFVIS.2004.38</v>
      </c>
      <c r="F1156" s="14" t="s">
        <v>14259</v>
      </c>
      <c r="G1156" s="14" t="s">
        <v>14259</v>
      </c>
      <c r="H1156" s="14" t="s">
        <v>21</v>
      </c>
      <c r="I1156" s="14"/>
      <c r="J1156" s="130" t="s">
        <v>6845</v>
      </c>
      <c r="K1156" s="152" t="s">
        <v>14261</v>
      </c>
      <c r="L1156" s="20"/>
      <c r="M1156" s="16"/>
      <c r="N1156" s="152" t="s">
        <v>14261</v>
      </c>
      <c r="O1156" s="84"/>
      <c r="P1156" s="84"/>
      <c r="Q1156" s="84"/>
      <c r="R1156" s="84"/>
      <c r="S1156" s="84"/>
      <c r="T1156" s="84"/>
      <c r="U1156" s="84"/>
      <c r="V1156" s="84"/>
      <c r="W1156" s="84"/>
      <c r="X1156" s="84"/>
    </row>
    <row r="1157" ht="15.75" customHeight="1">
      <c r="A1157" s="14" t="s">
        <v>2137</v>
      </c>
      <c r="B1157" s="14">
        <v>2004.0</v>
      </c>
      <c r="C1157" s="14" t="s">
        <v>14262</v>
      </c>
      <c r="D1157" s="14" t="s">
        <v>14263</v>
      </c>
      <c r="E1157" s="150" t="str">
        <f t="shared" si="26"/>
        <v>http://dx.doi.org/10.1109/INFVIS.2004.39</v>
      </c>
      <c r="F1157" s="14" t="s">
        <v>14267</v>
      </c>
      <c r="G1157" s="14" t="s">
        <v>14267</v>
      </c>
      <c r="H1157" s="14" t="s">
        <v>21</v>
      </c>
      <c r="I1157" s="14"/>
      <c r="J1157" s="130" t="s">
        <v>14268</v>
      </c>
      <c r="K1157" s="152" t="s">
        <v>14269</v>
      </c>
      <c r="L1157" s="20"/>
      <c r="M1157" s="16"/>
      <c r="N1157" s="152" t="s">
        <v>14269</v>
      </c>
      <c r="O1157" s="84"/>
      <c r="P1157" s="84"/>
      <c r="Q1157" s="84"/>
      <c r="R1157" s="84"/>
      <c r="S1157" s="84"/>
      <c r="T1157" s="84"/>
      <c r="U1157" s="84"/>
      <c r="V1157" s="84"/>
      <c r="W1157" s="84"/>
      <c r="X1157" s="84"/>
    </row>
    <row r="1158" ht="15.75" customHeight="1">
      <c r="A1158" s="14" t="s">
        <v>2137</v>
      </c>
      <c r="B1158" s="14">
        <v>2004.0</v>
      </c>
      <c r="C1158" s="14" t="s">
        <v>14270</v>
      </c>
      <c r="D1158" s="14" t="s">
        <v>14271</v>
      </c>
      <c r="E1158" s="150" t="str">
        <f t="shared" si="26"/>
        <v>http://dx.doi.org/10.1109/INFVIS.2004.4</v>
      </c>
      <c r="F1158" s="14" t="s">
        <v>14278</v>
      </c>
      <c r="G1158" s="14" t="s">
        <v>14278</v>
      </c>
      <c r="H1158" s="14" t="s">
        <v>21</v>
      </c>
      <c r="I1158" s="14"/>
      <c r="J1158" s="130" t="s">
        <v>40841</v>
      </c>
      <c r="K1158" s="152" t="s">
        <v>14280</v>
      </c>
      <c r="L1158" s="20"/>
      <c r="M1158" s="16"/>
      <c r="N1158" s="152" t="s">
        <v>14280</v>
      </c>
      <c r="O1158" s="84"/>
      <c r="P1158" s="84"/>
      <c r="Q1158" s="84"/>
      <c r="R1158" s="84"/>
      <c r="S1158" s="84"/>
      <c r="T1158" s="84"/>
      <c r="U1158" s="84"/>
      <c r="V1158" s="84"/>
      <c r="W1158" s="84"/>
      <c r="X1158" s="84"/>
    </row>
    <row r="1159" ht="15.75" customHeight="1">
      <c r="A1159" s="14" t="s">
        <v>2137</v>
      </c>
      <c r="B1159" s="14">
        <v>2004.0</v>
      </c>
      <c r="C1159" s="14" t="s">
        <v>14281</v>
      </c>
      <c r="D1159" s="14" t="s">
        <v>14282</v>
      </c>
      <c r="E1159" s="150" t="str">
        <f t="shared" si="26"/>
        <v>http://dx.doi.org/10.1109/INFVIS.2004.40</v>
      </c>
      <c r="F1159" s="14">
        <v>7.0</v>
      </c>
      <c r="G1159" s="14">
        <v>7.0</v>
      </c>
      <c r="H1159" s="14" t="s">
        <v>21</v>
      </c>
      <c r="I1159" s="14"/>
      <c r="J1159" s="130" t="s">
        <v>14285</v>
      </c>
      <c r="K1159" s="152" t="s">
        <v>14286</v>
      </c>
      <c r="L1159" s="20"/>
      <c r="M1159" s="16"/>
      <c r="N1159" s="152" t="s">
        <v>14286</v>
      </c>
      <c r="O1159" s="84"/>
      <c r="P1159" s="84"/>
      <c r="Q1159" s="84"/>
      <c r="R1159" s="84"/>
      <c r="S1159" s="84"/>
      <c r="T1159" s="84"/>
      <c r="U1159" s="84"/>
      <c r="V1159" s="84"/>
      <c r="W1159" s="84"/>
      <c r="X1159" s="84"/>
    </row>
    <row r="1160" ht="15.75" customHeight="1">
      <c r="A1160" s="14" t="s">
        <v>2137</v>
      </c>
      <c r="B1160" s="14">
        <v>2004.0</v>
      </c>
      <c r="C1160" s="14" t="s">
        <v>14287</v>
      </c>
      <c r="D1160" s="14" t="s">
        <v>14288</v>
      </c>
      <c r="E1160" s="150" t="str">
        <f t="shared" si="26"/>
        <v>http://dx.doi.org/10.1109/INFVIS.2004.41</v>
      </c>
      <c r="F1160" s="14">
        <v>10.0</v>
      </c>
      <c r="G1160" s="14">
        <v>10.0</v>
      </c>
      <c r="H1160" s="14" t="s">
        <v>21</v>
      </c>
      <c r="I1160" s="14"/>
      <c r="J1160" s="130" t="s">
        <v>15472</v>
      </c>
      <c r="K1160" s="152" t="s">
        <v>14294</v>
      </c>
      <c r="L1160" s="20"/>
      <c r="M1160" s="16"/>
      <c r="N1160" s="152" t="s">
        <v>14294</v>
      </c>
      <c r="O1160" s="84"/>
      <c r="P1160" s="84"/>
      <c r="Q1160" s="84"/>
      <c r="R1160" s="84"/>
      <c r="S1160" s="84"/>
      <c r="T1160" s="84"/>
      <c r="U1160" s="84"/>
      <c r="V1160" s="84"/>
      <c r="W1160" s="84"/>
      <c r="X1160" s="84"/>
    </row>
    <row r="1161" ht="15.75" customHeight="1">
      <c r="A1161" s="14" t="s">
        <v>2137</v>
      </c>
      <c r="B1161" s="14">
        <v>2004.0</v>
      </c>
      <c r="C1161" s="14" t="s">
        <v>14295</v>
      </c>
      <c r="D1161" s="14" t="s">
        <v>14296</v>
      </c>
      <c r="E1161" s="150" t="str">
        <f t="shared" si="26"/>
        <v>http://dx.doi.org/10.1109/INFVIS.2004.42</v>
      </c>
      <c r="F1161" s="14">
        <v>11.0</v>
      </c>
      <c r="G1161" s="14">
        <v>11.0</v>
      </c>
      <c r="H1161" s="14" t="s">
        <v>21</v>
      </c>
      <c r="I1161" s="14"/>
      <c r="J1161" s="130" t="s">
        <v>14301</v>
      </c>
      <c r="K1161" s="152" t="s">
        <v>14302</v>
      </c>
      <c r="L1161" s="20"/>
      <c r="M1161" s="16"/>
      <c r="N1161" s="152" t="s">
        <v>14302</v>
      </c>
      <c r="O1161" s="84"/>
      <c r="P1161" s="84"/>
      <c r="Q1161" s="84"/>
      <c r="R1161" s="84"/>
      <c r="S1161" s="84"/>
      <c r="T1161" s="84"/>
      <c r="U1161" s="84"/>
      <c r="V1161" s="84"/>
      <c r="W1161" s="84"/>
      <c r="X1161" s="84"/>
    </row>
    <row r="1162" ht="15.75" customHeight="1">
      <c r="A1162" s="14" t="s">
        <v>2137</v>
      </c>
      <c r="B1162" s="14">
        <v>2004.0</v>
      </c>
      <c r="C1162" s="14" t="s">
        <v>14305</v>
      </c>
      <c r="D1162" s="14" t="s">
        <v>14306</v>
      </c>
      <c r="E1162" s="150" t="str">
        <f t="shared" si="26"/>
        <v>http://dx.doi.org/10.1109/INFVIS.2004.43</v>
      </c>
      <c r="F1162" s="14">
        <v>199.0</v>
      </c>
      <c r="G1162" s="14">
        <v>206.0</v>
      </c>
      <c r="H1162" s="14" t="s">
        <v>28</v>
      </c>
      <c r="I1162" s="14"/>
      <c r="J1162" s="130" t="s">
        <v>11885</v>
      </c>
      <c r="K1162" s="152" t="s">
        <v>14311</v>
      </c>
      <c r="L1162" s="20" t="s">
        <v>14312</v>
      </c>
      <c r="M1162" s="174" t="s">
        <v>14313</v>
      </c>
      <c r="N1162" s="130" t="s">
        <v>40848</v>
      </c>
      <c r="O1162" s="84"/>
      <c r="P1162" s="84"/>
      <c r="Q1162" s="84"/>
      <c r="R1162" s="84"/>
      <c r="S1162" s="84"/>
      <c r="T1162" s="84"/>
      <c r="U1162" s="84"/>
      <c r="V1162" s="84"/>
      <c r="W1162" s="84"/>
      <c r="X1162" s="84"/>
    </row>
    <row r="1163" ht="15.75" customHeight="1">
      <c r="A1163" s="14" t="s">
        <v>2137</v>
      </c>
      <c r="B1163" s="14">
        <v>2004.0</v>
      </c>
      <c r="C1163" s="14" t="s">
        <v>14314</v>
      </c>
      <c r="D1163" s="14" t="s">
        <v>14315</v>
      </c>
      <c r="E1163" s="150" t="str">
        <f t="shared" si="26"/>
        <v>http://dx.doi.org/10.1109/INFVIS.2004.44</v>
      </c>
      <c r="F1163" s="14" t="s">
        <v>14321</v>
      </c>
      <c r="G1163" s="14" t="s">
        <v>14321</v>
      </c>
      <c r="H1163" s="14" t="s">
        <v>21</v>
      </c>
      <c r="I1163" s="14"/>
      <c r="J1163" s="130" t="s">
        <v>14323</v>
      </c>
      <c r="K1163" s="152"/>
      <c r="L1163" s="20"/>
      <c r="M1163" s="16"/>
      <c r="N1163" s="130"/>
      <c r="O1163" s="84"/>
      <c r="P1163" s="84"/>
      <c r="Q1163" s="84"/>
      <c r="R1163" s="84"/>
      <c r="S1163" s="84"/>
      <c r="T1163" s="84"/>
      <c r="U1163" s="84"/>
      <c r="V1163" s="84"/>
      <c r="W1163" s="84"/>
      <c r="X1163" s="84"/>
    </row>
    <row r="1164" ht="15.75" customHeight="1">
      <c r="A1164" s="14" t="s">
        <v>2137</v>
      </c>
      <c r="B1164" s="14">
        <v>2004.0</v>
      </c>
      <c r="C1164" s="14" t="s">
        <v>14325</v>
      </c>
      <c r="D1164" s="14" t="s">
        <v>14326</v>
      </c>
      <c r="E1164" s="150" t="str">
        <f t="shared" si="26"/>
        <v>http://dx.doi.org/10.1109/INFVIS.2004.45</v>
      </c>
      <c r="F1164" s="14" t="s">
        <v>14331</v>
      </c>
      <c r="G1164" s="14" t="s">
        <v>14331</v>
      </c>
      <c r="H1164" s="14" t="s">
        <v>21</v>
      </c>
      <c r="I1164" s="14"/>
      <c r="J1164" s="130" t="s">
        <v>15482</v>
      </c>
      <c r="K1164" s="152" t="s">
        <v>14333</v>
      </c>
      <c r="L1164" s="20"/>
      <c r="M1164" s="16"/>
      <c r="N1164" s="152" t="s">
        <v>14333</v>
      </c>
      <c r="O1164" s="84"/>
      <c r="P1164" s="84"/>
      <c r="Q1164" s="84"/>
      <c r="R1164" s="84"/>
      <c r="S1164" s="84"/>
      <c r="T1164" s="84"/>
      <c r="U1164" s="84"/>
      <c r="V1164" s="84"/>
      <c r="W1164" s="84"/>
      <c r="X1164" s="84"/>
    </row>
    <row r="1165" ht="15.75" customHeight="1">
      <c r="A1165" s="14" t="s">
        <v>2137</v>
      </c>
      <c r="B1165" s="14">
        <v>2004.0</v>
      </c>
      <c r="C1165" s="14" t="s">
        <v>14334</v>
      </c>
      <c r="D1165" s="14" t="s">
        <v>14335</v>
      </c>
      <c r="E1165" s="150" t="str">
        <f t="shared" si="26"/>
        <v>http://dx.doi.org/10.1109/INFVIS.2004.46</v>
      </c>
      <c r="F1165" s="14">
        <v>183.0</v>
      </c>
      <c r="G1165" s="14">
        <v>190.0</v>
      </c>
      <c r="H1165" s="14" t="s">
        <v>28</v>
      </c>
      <c r="I1165" s="14"/>
      <c r="J1165" s="130" t="s">
        <v>14279</v>
      </c>
      <c r="K1165" s="152" t="s">
        <v>14341</v>
      </c>
      <c r="L1165" s="20" t="s">
        <v>12870</v>
      </c>
      <c r="M1165" s="174" t="s">
        <v>14342</v>
      </c>
      <c r="N1165" s="130" t="s">
        <v>40861</v>
      </c>
      <c r="O1165" s="84"/>
      <c r="P1165" s="84"/>
      <c r="Q1165" s="84"/>
      <c r="R1165" s="84"/>
      <c r="S1165" s="84"/>
      <c r="T1165" s="84"/>
      <c r="U1165" s="84"/>
      <c r="V1165" s="84"/>
      <c r="W1165" s="84"/>
      <c r="X1165" s="84"/>
    </row>
    <row r="1166" ht="15.75" customHeight="1">
      <c r="A1166" s="14" t="s">
        <v>2137</v>
      </c>
      <c r="B1166" s="14">
        <v>2004.0</v>
      </c>
      <c r="C1166" s="14" t="s">
        <v>14343</v>
      </c>
      <c r="D1166" s="14" t="s">
        <v>14344</v>
      </c>
      <c r="E1166" s="150" t="str">
        <f t="shared" si="26"/>
        <v>http://dx.doi.org/10.1109/INFVIS.2004.47</v>
      </c>
      <c r="F1166" s="14">
        <v>135.0</v>
      </c>
      <c r="G1166" s="14">
        <v>142.0</v>
      </c>
      <c r="H1166" s="14" t="s">
        <v>28</v>
      </c>
      <c r="I1166" s="14"/>
      <c r="J1166" s="130" t="s">
        <v>15489</v>
      </c>
      <c r="K1166" s="152" t="s">
        <v>14352</v>
      </c>
      <c r="L1166" s="20" t="s">
        <v>14353</v>
      </c>
      <c r="M1166" s="174" t="s">
        <v>14354</v>
      </c>
      <c r="N1166" s="130" t="s">
        <v>40865</v>
      </c>
      <c r="O1166" s="84"/>
      <c r="P1166" s="84"/>
      <c r="Q1166" s="84"/>
      <c r="R1166" s="84"/>
      <c r="S1166" s="84"/>
      <c r="T1166" s="84"/>
      <c r="U1166" s="84"/>
      <c r="V1166" s="84"/>
      <c r="W1166" s="84"/>
      <c r="X1166" s="84"/>
    </row>
    <row r="1167" ht="15.75" customHeight="1">
      <c r="A1167" s="14" t="s">
        <v>2137</v>
      </c>
      <c r="B1167" s="14">
        <v>2004.0</v>
      </c>
      <c r="C1167" s="14" t="s">
        <v>14355</v>
      </c>
      <c r="D1167" s="14" t="s">
        <v>14356</v>
      </c>
      <c r="E1167" s="150" t="str">
        <f t="shared" si="26"/>
        <v>http://dx.doi.org/10.1109/INFVIS.2004.48</v>
      </c>
      <c r="F1167" s="14" t="s">
        <v>14360</v>
      </c>
      <c r="G1167" s="14" t="s">
        <v>14360</v>
      </c>
      <c r="H1167" s="14" t="s">
        <v>21</v>
      </c>
      <c r="I1167" s="14"/>
      <c r="J1167" s="130" t="s">
        <v>14362</v>
      </c>
      <c r="K1167" s="152" t="s">
        <v>14363</v>
      </c>
      <c r="L1167" s="20"/>
      <c r="M1167" s="16"/>
      <c r="N1167" s="152" t="s">
        <v>14363</v>
      </c>
      <c r="O1167" s="84"/>
      <c r="P1167" s="84"/>
      <c r="Q1167" s="84"/>
      <c r="R1167" s="84"/>
      <c r="S1167" s="84"/>
      <c r="T1167" s="84"/>
      <c r="U1167" s="84"/>
      <c r="V1167" s="84"/>
      <c r="W1167" s="84"/>
      <c r="X1167" s="84"/>
    </row>
    <row r="1168" ht="15.75" customHeight="1">
      <c r="A1168" s="14" t="s">
        <v>2137</v>
      </c>
      <c r="B1168" s="14">
        <v>2004.0</v>
      </c>
      <c r="C1168" s="14" t="s">
        <v>14364</v>
      </c>
      <c r="D1168" s="14" t="s">
        <v>14365</v>
      </c>
      <c r="E1168" s="150" t="str">
        <f t="shared" si="26"/>
        <v>http://dx.doi.org/10.1109/INFVIS.2004.49</v>
      </c>
      <c r="F1168" s="14">
        <v>207.0</v>
      </c>
      <c r="G1168" s="14">
        <v>214.0</v>
      </c>
      <c r="H1168" s="14" t="s">
        <v>28</v>
      </c>
      <c r="I1168" s="14"/>
      <c r="J1168" s="130" t="s">
        <v>14368</v>
      </c>
      <c r="K1168" s="152" t="s">
        <v>14370</v>
      </c>
      <c r="L1168" s="20" t="s">
        <v>14371</v>
      </c>
      <c r="M1168" s="174" t="s">
        <v>14372</v>
      </c>
      <c r="N1168" s="130" t="s">
        <v>40869</v>
      </c>
      <c r="O1168" s="84"/>
      <c r="P1168" s="84"/>
      <c r="Q1168" s="84"/>
      <c r="R1168" s="84"/>
      <c r="S1168" s="84"/>
      <c r="T1168" s="84"/>
      <c r="U1168" s="84"/>
      <c r="V1168" s="84"/>
      <c r="W1168" s="84"/>
      <c r="X1168" s="84"/>
    </row>
    <row r="1169" ht="15.75" customHeight="1">
      <c r="A1169" s="14" t="s">
        <v>2137</v>
      </c>
      <c r="B1169" s="14">
        <v>2004.0</v>
      </c>
      <c r="C1169" s="14" t="s">
        <v>14373</v>
      </c>
      <c r="D1169" s="14" t="s">
        <v>14374</v>
      </c>
      <c r="E1169" s="150" t="str">
        <f t="shared" si="26"/>
        <v>http://dx.doi.org/10.1109/INFVIS.2004.5</v>
      </c>
      <c r="F1169" s="14">
        <v>1.0</v>
      </c>
      <c r="G1169" s="14">
        <v>8.0</v>
      </c>
      <c r="H1169" s="14" t="s">
        <v>28</v>
      </c>
      <c r="I1169" s="14"/>
      <c r="J1169" s="130" t="s">
        <v>40870</v>
      </c>
      <c r="K1169" s="152" t="s">
        <v>14380</v>
      </c>
      <c r="L1169" s="20" t="s">
        <v>6913</v>
      </c>
      <c r="M1169" s="174" t="s">
        <v>14381</v>
      </c>
      <c r="N1169" s="130" t="s">
        <v>40299</v>
      </c>
      <c r="O1169" s="84"/>
      <c r="P1169" s="84"/>
      <c r="Q1169" s="84"/>
      <c r="R1169" s="84"/>
      <c r="S1169" s="84"/>
      <c r="T1169" s="84"/>
      <c r="U1169" s="84"/>
      <c r="V1169" s="84"/>
      <c r="W1169" s="84"/>
      <c r="X1169" s="84"/>
    </row>
    <row r="1170" ht="15.75" customHeight="1">
      <c r="A1170" s="14" t="s">
        <v>2137</v>
      </c>
      <c r="B1170" s="14">
        <v>2004.0</v>
      </c>
      <c r="C1170" s="14" t="s">
        <v>14382</v>
      </c>
      <c r="D1170" s="14" t="s">
        <v>14383</v>
      </c>
      <c r="E1170" s="150" t="str">
        <f t="shared" si="26"/>
        <v>http://dx.doi.org/10.1109/INFVIS.2004.50</v>
      </c>
      <c r="F1170" s="14" t="s">
        <v>14391</v>
      </c>
      <c r="G1170" s="14" t="s">
        <v>14391</v>
      </c>
      <c r="H1170" s="14" t="s">
        <v>21</v>
      </c>
      <c r="I1170" s="14"/>
      <c r="J1170" s="130" t="s">
        <v>14392</v>
      </c>
      <c r="K1170" s="152" t="s">
        <v>14393</v>
      </c>
      <c r="L1170" s="20"/>
      <c r="M1170" s="16"/>
      <c r="N1170" s="130"/>
      <c r="O1170" s="84"/>
      <c r="P1170" s="84"/>
      <c r="Q1170" s="84"/>
      <c r="R1170" s="84"/>
      <c r="S1170" s="84"/>
      <c r="T1170" s="84"/>
      <c r="U1170" s="84"/>
      <c r="V1170" s="84"/>
      <c r="W1170" s="84"/>
      <c r="X1170" s="84"/>
    </row>
    <row r="1171" ht="15.75" customHeight="1">
      <c r="A1171" s="14" t="s">
        <v>2137</v>
      </c>
      <c r="B1171" s="14">
        <v>2004.0</v>
      </c>
      <c r="C1171" s="14" t="s">
        <v>14394</v>
      </c>
      <c r="D1171" s="14" t="s">
        <v>14395</v>
      </c>
      <c r="E1171" s="150" t="str">
        <f t="shared" si="26"/>
        <v>http://dx.doi.org/10.1109/INFVIS.2004.52</v>
      </c>
      <c r="F1171" s="14">
        <v>113.0</v>
      </c>
      <c r="G1171" s="14">
        <v>118.0</v>
      </c>
      <c r="H1171" s="14" t="s">
        <v>28</v>
      </c>
      <c r="I1171" s="14"/>
      <c r="J1171" s="130" t="s">
        <v>14401</v>
      </c>
      <c r="K1171" s="152" t="s">
        <v>14402</v>
      </c>
      <c r="L1171" s="20" t="s">
        <v>13285</v>
      </c>
      <c r="M1171" s="174" t="s">
        <v>14404</v>
      </c>
      <c r="N1171" s="130" t="s">
        <v>40135</v>
      </c>
      <c r="O1171" s="84"/>
      <c r="P1171" s="84"/>
      <c r="Q1171" s="84"/>
      <c r="R1171" s="84"/>
      <c r="S1171" s="84"/>
      <c r="T1171" s="84"/>
      <c r="U1171" s="84"/>
      <c r="V1171" s="84"/>
      <c r="W1171" s="84"/>
      <c r="X1171" s="84"/>
    </row>
    <row r="1172" ht="15.75" customHeight="1">
      <c r="A1172" s="14" t="s">
        <v>2137</v>
      </c>
      <c r="B1172" s="14">
        <v>2004.0</v>
      </c>
      <c r="C1172" s="42" t="s">
        <v>14405</v>
      </c>
      <c r="D1172" s="14" t="s">
        <v>14406</v>
      </c>
      <c r="E1172" s="150" t="str">
        <f t="shared" si="26"/>
        <v>http://dx.doi.org/10.1109/INFVIS.2004.53</v>
      </c>
      <c r="F1172" s="14">
        <v>3.0</v>
      </c>
      <c r="G1172" s="14">
        <v>3.0</v>
      </c>
      <c r="H1172" s="14" t="s">
        <v>21</v>
      </c>
      <c r="I1172" s="14"/>
      <c r="J1172" s="130" t="s">
        <v>40877</v>
      </c>
      <c r="K1172" s="152" t="s">
        <v>14411</v>
      </c>
      <c r="L1172" s="20"/>
      <c r="M1172" s="16"/>
      <c r="N1172" s="152" t="s">
        <v>14411</v>
      </c>
      <c r="O1172" s="84"/>
      <c r="P1172" s="84"/>
      <c r="Q1172" s="84"/>
      <c r="R1172" s="84"/>
      <c r="S1172" s="84"/>
      <c r="T1172" s="84"/>
      <c r="U1172" s="84"/>
      <c r="V1172" s="84"/>
      <c r="W1172" s="84"/>
      <c r="X1172" s="84"/>
    </row>
    <row r="1173" ht="15.75" customHeight="1">
      <c r="A1173" s="14" t="s">
        <v>2137</v>
      </c>
      <c r="B1173" s="14">
        <v>2004.0</v>
      </c>
      <c r="C1173" s="14" t="s">
        <v>14413</v>
      </c>
      <c r="D1173" s="14" t="s">
        <v>14414</v>
      </c>
      <c r="E1173" s="150" t="str">
        <f t="shared" si="26"/>
        <v>http://dx.doi.org/10.1109/INFVIS.2004.56</v>
      </c>
      <c r="F1173" s="14">
        <v>18.0</v>
      </c>
      <c r="G1173" s="14">
        <v>18.0</v>
      </c>
      <c r="H1173" s="14" t="s">
        <v>21</v>
      </c>
      <c r="I1173" s="14"/>
      <c r="J1173" s="130" t="s">
        <v>1467</v>
      </c>
      <c r="K1173" s="152" t="s">
        <v>14422</v>
      </c>
      <c r="L1173" s="20"/>
      <c r="M1173" s="16"/>
      <c r="N1173" s="152" t="s">
        <v>14422</v>
      </c>
      <c r="O1173" s="84"/>
      <c r="P1173" s="84"/>
      <c r="Q1173" s="84"/>
      <c r="R1173" s="84"/>
      <c r="S1173" s="84"/>
      <c r="T1173" s="84"/>
      <c r="U1173" s="84"/>
      <c r="V1173" s="84"/>
      <c r="W1173" s="84"/>
      <c r="X1173" s="84"/>
    </row>
    <row r="1174" ht="15.75" customHeight="1">
      <c r="A1174" s="14" t="s">
        <v>2137</v>
      </c>
      <c r="B1174" s="14">
        <v>2004.0</v>
      </c>
      <c r="C1174" s="14" t="s">
        <v>14423</v>
      </c>
      <c r="D1174" s="14" t="s">
        <v>14424</v>
      </c>
      <c r="E1174" s="150" t="str">
        <f t="shared" si="26"/>
        <v>http://dx.doi.org/10.1109/INFVIS.2004.57</v>
      </c>
      <c r="F1174" s="14">
        <v>33.0</v>
      </c>
      <c r="G1174" s="14">
        <v>40.0</v>
      </c>
      <c r="H1174" s="14" t="s">
        <v>28</v>
      </c>
      <c r="I1174" s="14"/>
      <c r="J1174" s="130" t="s">
        <v>14429</v>
      </c>
      <c r="K1174" s="152" t="s">
        <v>5349</v>
      </c>
      <c r="L1174" s="20" t="s">
        <v>14430</v>
      </c>
      <c r="M1174" s="174" t="s">
        <v>14431</v>
      </c>
      <c r="N1174" s="130" t="s">
        <v>40882</v>
      </c>
      <c r="O1174" s="84"/>
      <c r="P1174" s="84"/>
      <c r="Q1174" s="84"/>
      <c r="R1174" s="84"/>
      <c r="S1174" s="84"/>
      <c r="T1174" s="84"/>
      <c r="U1174" s="84"/>
      <c r="V1174" s="84"/>
      <c r="W1174" s="84"/>
      <c r="X1174" s="84"/>
    </row>
    <row r="1175" ht="15.75" customHeight="1">
      <c r="A1175" s="14" t="s">
        <v>2137</v>
      </c>
      <c r="B1175" s="14">
        <v>2004.0</v>
      </c>
      <c r="C1175" s="14" t="s">
        <v>14432</v>
      </c>
      <c r="D1175" s="14" t="s">
        <v>14433</v>
      </c>
      <c r="E1175" s="150" t="str">
        <f t="shared" si="26"/>
        <v>http://dx.doi.org/10.1109/INFVIS.2004.58</v>
      </c>
      <c r="F1175" s="14">
        <v>13.0</v>
      </c>
      <c r="G1175" s="14">
        <v>13.0</v>
      </c>
      <c r="H1175" s="14" t="s">
        <v>21</v>
      </c>
      <c r="I1175" s="14"/>
      <c r="J1175" s="130" t="s">
        <v>14437</v>
      </c>
      <c r="K1175" s="152" t="s">
        <v>14439</v>
      </c>
      <c r="L1175" s="20"/>
      <c r="M1175" s="16"/>
      <c r="N1175" s="152" t="s">
        <v>14439</v>
      </c>
      <c r="O1175" s="84"/>
      <c r="P1175" s="84"/>
      <c r="Q1175" s="84"/>
      <c r="R1175" s="84"/>
      <c r="S1175" s="84"/>
      <c r="T1175" s="84"/>
      <c r="U1175" s="84"/>
      <c r="V1175" s="84"/>
      <c r="W1175" s="84"/>
      <c r="X1175" s="84"/>
    </row>
    <row r="1176" ht="15.75" customHeight="1">
      <c r="A1176" s="14" t="s">
        <v>2137</v>
      </c>
      <c r="B1176" s="14">
        <v>2004.0</v>
      </c>
      <c r="C1176" s="14" t="s">
        <v>14440</v>
      </c>
      <c r="D1176" s="14" t="s">
        <v>14441</v>
      </c>
      <c r="E1176" s="150" t="str">
        <f t="shared" si="26"/>
        <v>http://dx.doi.org/10.1109/INFVIS.2004.59</v>
      </c>
      <c r="F1176" s="14">
        <v>151.0</v>
      </c>
      <c r="G1176" s="14">
        <v>158.0</v>
      </c>
      <c r="H1176" s="14" t="s">
        <v>28</v>
      </c>
      <c r="I1176" s="14"/>
      <c r="J1176" s="130" t="s">
        <v>15515</v>
      </c>
      <c r="K1176" s="152" t="s">
        <v>14446</v>
      </c>
      <c r="L1176" s="20" t="s">
        <v>14447</v>
      </c>
      <c r="M1176" s="174" t="s">
        <v>14448</v>
      </c>
      <c r="N1176" s="130" t="s">
        <v>39712</v>
      </c>
      <c r="O1176" s="84"/>
      <c r="P1176" s="84"/>
      <c r="Q1176" s="84"/>
      <c r="R1176" s="84"/>
      <c r="S1176" s="84"/>
      <c r="T1176" s="84"/>
      <c r="U1176" s="84"/>
      <c r="V1176" s="84"/>
      <c r="W1176" s="84"/>
      <c r="X1176" s="84"/>
    </row>
    <row r="1177" ht="15.75" customHeight="1">
      <c r="A1177" s="14" t="s">
        <v>2137</v>
      </c>
      <c r="B1177" s="14">
        <v>2004.0</v>
      </c>
      <c r="C1177" s="14" t="s">
        <v>14449</v>
      </c>
      <c r="D1177" s="14" t="s">
        <v>14450</v>
      </c>
      <c r="E1177" s="150" t="str">
        <f t="shared" si="26"/>
        <v>http://dx.doi.org/10.1109/INFVIS.2004.6</v>
      </c>
      <c r="F1177" s="14">
        <v>5.0</v>
      </c>
      <c r="G1177" s="14">
        <v>5.0</v>
      </c>
      <c r="H1177" s="14" t="s">
        <v>21</v>
      </c>
      <c r="I1177" s="14"/>
      <c r="J1177" s="130" t="s">
        <v>40883</v>
      </c>
      <c r="K1177" s="152" t="s">
        <v>14456</v>
      </c>
      <c r="L1177" s="20"/>
      <c r="M1177" s="16"/>
      <c r="N1177" s="152" t="s">
        <v>14456</v>
      </c>
      <c r="O1177" s="84"/>
      <c r="P1177" s="84"/>
      <c r="Q1177" s="84"/>
      <c r="R1177" s="84"/>
      <c r="S1177" s="84"/>
      <c r="T1177" s="84"/>
      <c r="U1177" s="84"/>
      <c r="V1177" s="84"/>
      <c r="W1177" s="84"/>
      <c r="X1177" s="84"/>
    </row>
    <row r="1178" ht="15.75" customHeight="1">
      <c r="A1178" s="14" t="s">
        <v>2137</v>
      </c>
      <c r="B1178" s="14">
        <v>2004.0</v>
      </c>
      <c r="C1178" s="14" t="s">
        <v>14457</v>
      </c>
      <c r="D1178" s="14" t="s">
        <v>14458</v>
      </c>
      <c r="E1178" s="150" t="str">
        <f t="shared" si="26"/>
        <v>http://dx.doi.org/10.1109/INFVIS.2004.60</v>
      </c>
      <c r="F1178" s="14">
        <v>57.0</v>
      </c>
      <c r="G1178" s="14">
        <v>64.0</v>
      </c>
      <c r="H1178" s="14" t="s">
        <v>28</v>
      </c>
      <c r="I1178" s="14"/>
      <c r="J1178" s="130" t="s">
        <v>14462</v>
      </c>
      <c r="K1178" s="152" t="s">
        <v>14463</v>
      </c>
      <c r="L1178" s="20" t="s">
        <v>14464</v>
      </c>
      <c r="M1178" s="174" t="s">
        <v>14465</v>
      </c>
      <c r="N1178" s="130" t="s">
        <v>40731</v>
      </c>
      <c r="O1178" s="84"/>
      <c r="P1178" s="84"/>
      <c r="Q1178" s="84"/>
      <c r="R1178" s="84"/>
      <c r="S1178" s="84"/>
      <c r="T1178" s="84"/>
      <c r="U1178" s="84"/>
      <c r="V1178" s="84"/>
      <c r="W1178" s="84"/>
      <c r="X1178" s="84"/>
    </row>
    <row r="1179" ht="15.75" customHeight="1">
      <c r="A1179" s="14" t="s">
        <v>2137</v>
      </c>
      <c r="B1179" s="14">
        <v>2004.0</v>
      </c>
      <c r="C1179" s="14" t="s">
        <v>14467</v>
      </c>
      <c r="D1179" s="14" t="s">
        <v>14468</v>
      </c>
      <c r="E1179" s="150" t="str">
        <f t="shared" si="26"/>
        <v>http://dx.doi.org/10.1109/INFVIS.2004.63</v>
      </c>
      <c r="F1179" s="14">
        <v>1.0</v>
      </c>
      <c r="G1179" s="14">
        <v>1.0</v>
      </c>
      <c r="H1179" s="14" t="s">
        <v>21</v>
      </c>
      <c r="I1179" s="14"/>
      <c r="J1179" s="130" t="s">
        <v>14455</v>
      </c>
      <c r="K1179" s="152" t="s">
        <v>14474</v>
      </c>
      <c r="L1179" s="20"/>
      <c r="M1179" s="16"/>
      <c r="N1179" s="152" t="s">
        <v>14474</v>
      </c>
      <c r="O1179" s="84"/>
      <c r="P1179" s="84"/>
      <c r="Q1179" s="84"/>
      <c r="R1179" s="84"/>
      <c r="S1179" s="84"/>
      <c r="T1179" s="84"/>
      <c r="U1179" s="84"/>
      <c r="V1179" s="84"/>
      <c r="W1179" s="84"/>
      <c r="X1179" s="84"/>
    </row>
    <row r="1180" ht="15.75" customHeight="1">
      <c r="A1180" s="14" t="s">
        <v>2137</v>
      </c>
      <c r="B1180" s="14">
        <v>2004.0</v>
      </c>
      <c r="C1180" s="14" t="s">
        <v>14476</v>
      </c>
      <c r="D1180" s="14" t="s">
        <v>14478</v>
      </c>
      <c r="E1180" s="150" t="str">
        <f t="shared" si="26"/>
        <v>http://dx.doi.org/10.1109/INFVIS.2004.64</v>
      </c>
      <c r="F1180" s="14">
        <v>167.0</v>
      </c>
      <c r="G1180" s="14">
        <v>174.0</v>
      </c>
      <c r="H1180" s="14" t="s">
        <v>28</v>
      </c>
      <c r="I1180" s="14"/>
      <c r="J1180" s="130" t="s">
        <v>14484</v>
      </c>
      <c r="K1180" s="152" t="s">
        <v>14485</v>
      </c>
      <c r="L1180" s="20" t="s">
        <v>14486</v>
      </c>
      <c r="M1180" s="174" t="s">
        <v>14487</v>
      </c>
      <c r="N1180" s="130" t="s">
        <v>15527</v>
      </c>
      <c r="O1180" s="84"/>
      <c r="P1180" s="84"/>
      <c r="Q1180" s="84"/>
      <c r="R1180" s="84"/>
      <c r="S1180" s="84"/>
      <c r="T1180" s="84"/>
      <c r="U1180" s="84"/>
      <c r="V1180" s="84"/>
      <c r="W1180" s="84"/>
      <c r="X1180" s="84"/>
    </row>
    <row r="1181" ht="15.75" customHeight="1">
      <c r="A1181" s="14" t="s">
        <v>2137</v>
      </c>
      <c r="B1181" s="14">
        <v>2004.0</v>
      </c>
      <c r="C1181" s="14" t="s">
        <v>14491</v>
      </c>
      <c r="D1181" s="14" t="s">
        <v>14492</v>
      </c>
      <c r="E1181" s="150" t="str">
        <f t="shared" si="26"/>
        <v>http://dx.doi.org/10.1109/INFVIS.2004.65</v>
      </c>
      <c r="F1181" s="14">
        <v>97.0</v>
      </c>
      <c r="G1181" s="14">
        <v>104.0</v>
      </c>
      <c r="H1181" s="14" t="s">
        <v>28</v>
      </c>
      <c r="I1181" s="14"/>
      <c r="J1181" s="130" t="s">
        <v>14497</v>
      </c>
      <c r="K1181" s="152" t="s">
        <v>14498</v>
      </c>
      <c r="L1181" s="20"/>
      <c r="M1181" s="174" t="s">
        <v>14500</v>
      </c>
      <c r="N1181" s="130" t="s">
        <v>15530</v>
      </c>
      <c r="O1181" s="84"/>
      <c r="P1181" s="84"/>
      <c r="Q1181" s="84"/>
      <c r="R1181" s="84"/>
      <c r="S1181" s="84"/>
      <c r="T1181" s="84"/>
      <c r="U1181" s="84"/>
      <c r="V1181" s="84"/>
      <c r="W1181" s="84"/>
      <c r="X1181" s="84"/>
    </row>
    <row r="1182" ht="15.75" customHeight="1">
      <c r="A1182" s="14" t="s">
        <v>2137</v>
      </c>
      <c r="B1182" s="14">
        <v>2004.0</v>
      </c>
      <c r="C1182" s="14" t="s">
        <v>14501</v>
      </c>
      <c r="D1182" s="14" t="s">
        <v>14502</v>
      </c>
      <c r="E1182" s="150" t="str">
        <f t="shared" si="26"/>
        <v>http://dx.doi.org/10.1109/INFVIS.2004.66</v>
      </c>
      <c r="F1182" s="14">
        <v>175.0</v>
      </c>
      <c r="G1182" s="14">
        <v>182.0</v>
      </c>
      <c r="H1182" s="14" t="s">
        <v>28</v>
      </c>
      <c r="I1182" s="14"/>
      <c r="J1182" s="130" t="s">
        <v>14506</v>
      </c>
      <c r="K1182" s="152" t="s">
        <v>14507</v>
      </c>
      <c r="L1182" s="20" t="s">
        <v>14508</v>
      </c>
      <c r="M1182" s="174" t="s">
        <v>14509</v>
      </c>
      <c r="N1182" s="152" t="s">
        <v>14507</v>
      </c>
      <c r="O1182" s="84"/>
      <c r="P1182" s="84"/>
      <c r="Q1182" s="84"/>
      <c r="R1182" s="84"/>
      <c r="S1182" s="84"/>
      <c r="T1182" s="84"/>
      <c r="U1182" s="84"/>
      <c r="V1182" s="84"/>
      <c r="W1182" s="84"/>
      <c r="X1182" s="84"/>
    </row>
    <row r="1183" ht="15.75" customHeight="1">
      <c r="A1183" s="14" t="s">
        <v>2137</v>
      </c>
      <c r="B1183" s="14">
        <v>2004.0</v>
      </c>
      <c r="C1183" s="14" t="s">
        <v>14510</v>
      </c>
      <c r="D1183" s="14" t="s">
        <v>14511</v>
      </c>
      <c r="E1183" s="150" t="str">
        <f t="shared" si="26"/>
        <v>http://dx.doi.org/10.1109/INFVIS.2004.67</v>
      </c>
      <c r="F1183" s="14">
        <v>9.0</v>
      </c>
      <c r="G1183" s="14">
        <v>9.0</v>
      </c>
      <c r="H1183" s="14" t="s">
        <v>21</v>
      </c>
      <c r="I1183" s="14"/>
      <c r="J1183" s="130" t="s">
        <v>14516</v>
      </c>
      <c r="K1183" s="152" t="s">
        <v>14517</v>
      </c>
      <c r="L1183" s="20"/>
      <c r="M1183" s="16"/>
      <c r="N1183" s="152" t="s">
        <v>14517</v>
      </c>
      <c r="O1183" s="84"/>
      <c r="P1183" s="84"/>
      <c r="Q1183" s="84"/>
      <c r="R1183" s="84"/>
      <c r="S1183" s="84"/>
      <c r="T1183" s="84"/>
      <c r="U1183" s="84"/>
      <c r="V1183" s="84"/>
      <c r="W1183" s="84"/>
      <c r="X1183" s="84"/>
    </row>
    <row r="1184" ht="15.75" customHeight="1">
      <c r="A1184" s="14" t="s">
        <v>2137</v>
      </c>
      <c r="B1184" s="14">
        <v>2004.0</v>
      </c>
      <c r="C1184" s="14" t="s">
        <v>14518</v>
      </c>
      <c r="D1184" s="14" t="s">
        <v>14519</v>
      </c>
      <c r="E1184" s="150" t="str">
        <f t="shared" si="26"/>
        <v>http://dx.doi.org/10.1109/INFVIS.2004.68</v>
      </c>
      <c r="F1184" s="14">
        <v>81.0</v>
      </c>
      <c r="G1184" s="14">
        <v>88.0</v>
      </c>
      <c r="H1184" s="14" t="s">
        <v>28</v>
      </c>
      <c r="I1184" s="14"/>
      <c r="J1184" s="130" t="s">
        <v>14521</v>
      </c>
      <c r="K1184" s="152" t="s">
        <v>14522</v>
      </c>
      <c r="L1184" s="20" t="s">
        <v>1842</v>
      </c>
      <c r="M1184" s="174" t="s">
        <v>14523</v>
      </c>
      <c r="N1184" s="130" t="s">
        <v>40901</v>
      </c>
      <c r="O1184" s="84"/>
      <c r="P1184" s="84"/>
      <c r="Q1184" s="84"/>
      <c r="R1184" s="84"/>
      <c r="S1184" s="84"/>
      <c r="T1184" s="84"/>
      <c r="U1184" s="84"/>
      <c r="V1184" s="84"/>
      <c r="W1184" s="84"/>
      <c r="X1184" s="84"/>
    </row>
    <row r="1185" ht="15.75" customHeight="1">
      <c r="A1185" s="14" t="s">
        <v>2137</v>
      </c>
      <c r="B1185" s="14">
        <v>2004.0</v>
      </c>
      <c r="C1185" s="14" t="s">
        <v>14528</v>
      </c>
      <c r="D1185" s="14" t="s">
        <v>14529</v>
      </c>
      <c r="E1185" s="150" t="str">
        <f t="shared" si="26"/>
        <v>http://dx.doi.org/10.1109/INFVIS.2004.69</v>
      </c>
      <c r="F1185" s="14" t="s">
        <v>14531</v>
      </c>
      <c r="G1185" s="14" t="s">
        <v>14531</v>
      </c>
      <c r="H1185" s="14" t="s">
        <v>21</v>
      </c>
      <c r="I1185" s="14"/>
      <c r="J1185" s="130" t="s">
        <v>14532</v>
      </c>
      <c r="K1185" s="152" t="s">
        <v>14533</v>
      </c>
      <c r="L1185" s="20"/>
      <c r="M1185" s="16"/>
      <c r="N1185" s="152" t="s">
        <v>14533</v>
      </c>
      <c r="O1185" s="84"/>
      <c r="P1185" s="84"/>
      <c r="Q1185" s="84"/>
      <c r="R1185" s="84"/>
      <c r="S1185" s="84"/>
      <c r="T1185" s="84"/>
      <c r="U1185" s="84"/>
      <c r="V1185" s="84"/>
      <c r="W1185" s="84"/>
      <c r="X1185" s="84"/>
    </row>
    <row r="1186" ht="15.75" customHeight="1">
      <c r="A1186" s="14" t="s">
        <v>2137</v>
      </c>
      <c r="B1186" s="14">
        <v>2004.0</v>
      </c>
      <c r="C1186" s="14" t="s">
        <v>14534</v>
      </c>
      <c r="D1186" s="14" t="s">
        <v>14535</v>
      </c>
      <c r="E1186" s="150" t="str">
        <f t="shared" si="26"/>
        <v>http://dx.doi.org/10.1109/INFVIS.2004.7</v>
      </c>
      <c r="F1186" s="14">
        <v>8.0</v>
      </c>
      <c r="G1186" s="14">
        <v>8.0</v>
      </c>
      <c r="H1186" s="14" t="s">
        <v>21</v>
      </c>
      <c r="I1186" s="14"/>
      <c r="J1186" s="130" t="s">
        <v>40905</v>
      </c>
      <c r="K1186" s="152" t="s">
        <v>14538</v>
      </c>
      <c r="L1186" s="20"/>
      <c r="M1186" s="16"/>
      <c r="N1186" s="152" t="s">
        <v>14538</v>
      </c>
      <c r="O1186" s="84"/>
      <c r="P1186" s="84"/>
      <c r="Q1186" s="84"/>
      <c r="R1186" s="84"/>
      <c r="S1186" s="84"/>
      <c r="T1186" s="84"/>
      <c r="U1186" s="84"/>
      <c r="V1186" s="84"/>
      <c r="W1186" s="84"/>
      <c r="X1186" s="84"/>
    </row>
    <row r="1187" ht="15.75" customHeight="1">
      <c r="A1187" s="14" t="s">
        <v>2137</v>
      </c>
      <c r="B1187" s="14">
        <v>2004.0</v>
      </c>
      <c r="C1187" s="14" t="s">
        <v>14539</v>
      </c>
      <c r="D1187" s="14" t="s">
        <v>14540</v>
      </c>
      <c r="E1187" s="150" t="str">
        <f t="shared" si="26"/>
        <v>http://dx.doi.org/10.1109/INFVIS.2004.70</v>
      </c>
      <c r="F1187" s="14">
        <v>9.0</v>
      </c>
      <c r="G1187" s="14">
        <v>16.0</v>
      </c>
      <c r="H1187" s="14" t="s">
        <v>28</v>
      </c>
      <c r="I1187" s="14"/>
      <c r="J1187" s="130" t="s">
        <v>6926</v>
      </c>
      <c r="K1187" s="152" t="s">
        <v>14542</v>
      </c>
      <c r="L1187" s="20" t="s">
        <v>14543</v>
      </c>
      <c r="M1187" s="174" t="s">
        <v>14544</v>
      </c>
      <c r="N1187" s="130" t="s">
        <v>13140</v>
      </c>
      <c r="O1187" s="84"/>
      <c r="P1187" s="84"/>
      <c r="Q1187" s="84"/>
      <c r="R1187" s="84"/>
      <c r="S1187" s="84"/>
      <c r="T1187" s="84"/>
      <c r="U1187" s="84"/>
      <c r="V1187" s="84"/>
      <c r="W1187" s="84"/>
      <c r="X1187" s="84"/>
    </row>
    <row r="1188" ht="15.75" customHeight="1">
      <c r="A1188" s="14" t="s">
        <v>2137</v>
      </c>
      <c r="B1188" s="14">
        <v>2004.0</v>
      </c>
      <c r="C1188" s="14" t="s">
        <v>14545</v>
      </c>
      <c r="D1188" s="14" t="s">
        <v>14546</v>
      </c>
      <c r="E1188" s="150" t="str">
        <f t="shared" si="26"/>
        <v>http://dx.doi.org/10.1109/INFVIS.2004.71</v>
      </c>
      <c r="F1188" s="14">
        <v>73.0</v>
      </c>
      <c r="G1188" s="14">
        <v>80.0</v>
      </c>
      <c r="H1188" s="14" t="s">
        <v>28</v>
      </c>
      <c r="I1188" s="14"/>
      <c r="J1188" s="130" t="s">
        <v>14551</v>
      </c>
      <c r="K1188" s="152" t="s">
        <v>14552</v>
      </c>
      <c r="L1188" s="20" t="s">
        <v>14553</v>
      </c>
      <c r="M1188" s="174" t="s">
        <v>14554</v>
      </c>
      <c r="N1188" s="152" t="s">
        <v>14552</v>
      </c>
      <c r="O1188" s="84"/>
      <c r="P1188" s="84"/>
      <c r="Q1188" s="84"/>
      <c r="R1188" s="84"/>
      <c r="S1188" s="84"/>
      <c r="T1188" s="84"/>
      <c r="U1188" s="84"/>
      <c r="V1188" s="84"/>
      <c r="W1188" s="84"/>
      <c r="X1188" s="84"/>
    </row>
    <row r="1189" ht="15.75" customHeight="1">
      <c r="A1189" s="14" t="s">
        <v>2137</v>
      </c>
      <c r="B1189" s="14">
        <v>2004.0</v>
      </c>
      <c r="C1189" s="14" t="s">
        <v>14555</v>
      </c>
      <c r="D1189" s="14" t="s">
        <v>14556</v>
      </c>
      <c r="E1189" s="150" t="str">
        <f t="shared" si="26"/>
        <v>http://dx.doi.org/10.1109/INFVIS.2004.72</v>
      </c>
      <c r="F1189" s="14">
        <v>22.0</v>
      </c>
      <c r="G1189" s="14">
        <v>22.0</v>
      </c>
      <c r="H1189" s="14" t="s">
        <v>21</v>
      </c>
      <c r="I1189" s="14"/>
      <c r="J1189" s="130" t="s">
        <v>14558</v>
      </c>
      <c r="K1189" s="152" t="s">
        <v>14559</v>
      </c>
      <c r="L1189" s="20"/>
      <c r="M1189" s="16"/>
      <c r="N1189" s="152" t="s">
        <v>14559</v>
      </c>
      <c r="O1189" s="84"/>
      <c r="P1189" s="84"/>
      <c r="Q1189" s="84"/>
      <c r="R1189" s="84"/>
      <c r="S1189" s="84"/>
      <c r="T1189" s="84"/>
      <c r="U1189" s="84"/>
      <c r="V1189" s="84"/>
      <c r="W1189" s="84"/>
      <c r="X1189" s="84"/>
    </row>
    <row r="1190" ht="15.75" customHeight="1">
      <c r="A1190" s="14" t="s">
        <v>2137</v>
      </c>
      <c r="B1190" s="14">
        <v>2004.0</v>
      </c>
      <c r="C1190" s="14" t="s">
        <v>14560</v>
      </c>
      <c r="D1190" s="14" t="s">
        <v>14561</v>
      </c>
      <c r="E1190" s="150" t="str">
        <f t="shared" si="26"/>
        <v>http://dx.doi.org/10.1109/INFVIS.2004.73</v>
      </c>
      <c r="F1190" s="14">
        <v>12.0</v>
      </c>
      <c r="G1190" s="14">
        <v>12.0</v>
      </c>
      <c r="H1190" s="14" t="s">
        <v>21</v>
      </c>
      <c r="I1190" s="14"/>
      <c r="J1190" s="16" t="s">
        <v>14568</v>
      </c>
      <c r="K1190" s="152" t="s">
        <v>14569</v>
      </c>
      <c r="L1190" s="20"/>
      <c r="M1190" s="16"/>
      <c r="N1190" s="152" t="s">
        <v>14569</v>
      </c>
      <c r="O1190" s="84"/>
      <c r="P1190" s="84"/>
      <c r="Q1190" s="84"/>
      <c r="R1190" s="84"/>
      <c r="S1190" s="84"/>
      <c r="T1190" s="84"/>
      <c r="U1190" s="84"/>
      <c r="V1190" s="84"/>
      <c r="W1190" s="84"/>
      <c r="X1190" s="84"/>
    </row>
    <row r="1191" ht="15.75" customHeight="1">
      <c r="A1191" s="14" t="s">
        <v>2137</v>
      </c>
      <c r="B1191" s="14">
        <v>2004.0</v>
      </c>
      <c r="C1191" s="14" t="s">
        <v>14570</v>
      </c>
      <c r="D1191" s="14" t="s">
        <v>14571</v>
      </c>
      <c r="E1191" s="150" t="str">
        <f t="shared" si="26"/>
        <v>http://dx.doi.org/10.1109/INFVIS.2004.74</v>
      </c>
      <c r="F1191" s="14">
        <v>15.0</v>
      </c>
      <c r="G1191" s="14">
        <v>15.0</v>
      </c>
      <c r="H1191" s="14" t="s">
        <v>21</v>
      </c>
      <c r="I1191" s="14"/>
      <c r="J1191" s="130" t="s">
        <v>14576</v>
      </c>
      <c r="K1191" s="152" t="s">
        <v>14577</v>
      </c>
      <c r="L1191" s="20"/>
      <c r="M1191" s="16"/>
      <c r="N1191" s="152" t="s">
        <v>14577</v>
      </c>
      <c r="O1191" s="84"/>
      <c r="P1191" s="84"/>
      <c r="Q1191" s="84"/>
      <c r="R1191" s="84"/>
      <c r="S1191" s="84"/>
      <c r="T1191" s="84"/>
      <c r="U1191" s="84"/>
      <c r="V1191" s="84"/>
      <c r="W1191" s="84"/>
      <c r="X1191" s="84"/>
    </row>
    <row r="1192" ht="15.75" customHeight="1">
      <c r="A1192" s="14" t="s">
        <v>2137</v>
      </c>
      <c r="B1192" s="14">
        <v>2004.0</v>
      </c>
      <c r="C1192" s="14" t="s">
        <v>14578</v>
      </c>
      <c r="D1192" s="14" t="s">
        <v>14579</v>
      </c>
      <c r="E1192" s="150" t="str">
        <f t="shared" si="26"/>
        <v>http://dx.doi.org/10.1109/INFVIS.2004.75</v>
      </c>
      <c r="F1192" s="14">
        <v>6.0</v>
      </c>
      <c r="G1192" s="14">
        <v>6.0</v>
      </c>
      <c r="H1192" s="14" t="s">
        <v>21</v>
      </c>
      <c r="I1192" s="14"/>
      <c r="J1192" s="130" t="s">
        <v>14584</v>
      </c>
      <c r="K1192" s="152" t="s">
        <v>14585</v>
      </c>
      <c r="L1192" s="20"/>
      <c r="M1192" s="16"/>
      <c r="N1192" s="152" t="s">
        <v>14585</v>
      </c>
      <c r="O1192" s="84"/>
      <c r="P1192" s="84"/>
      <c r="Q1192" s="84"/>
      <c r="R1192" s="84"/>
      <c r="S1192" s="84"/>
      <c r="T1192" s="84"/>
      <c r="U1192" s="84"/>
      <c r="V1192" s="84"/>
      <c r="W1192" s="84"/>
      <c r="X1192" s="84"/>
    </row>
    <row r="1193" ht="15.75" customHeight="1">
      <c r="A1193" s="14" t="s">
        <v>2137</v>
      </c>
      <c r="B1193" s="14">
        <v>2004.0</v>
      </c>
      <c r="C1193" s="14" t="s">
        <v>14586</v>
      </c>
      <c r="D1193" s="14" t="s">
        <v>14587</v>
      </c>
      <c r="E1193" s="150" t="str">
        <f t="shared" si="26"/>
        <v>http://dx.doi.org/10.1109/INFVIS.2004.76</v>
      </c>
      <c r="F1193" s="14">
        <v>20.0</v>
      </c>
      <c r="G1193" s="14">
        <v>20.0</v>
      </c>
      <c r="H1193" s="14" t="s">
        <v>21</v>
      </c>
      <c r="I1193" s="14"/>
      <c r="J1193" s="130" t="s">
        <v>14589</v>
      </c>
      <c r="K1193" s="152" t="s">
        <v>14590</v>
      </c>
      <c r="L1193" s="20"/>
      <c r="M1193" s="16"/>
      <c r="N1193" s="152" t="s">
        <v>14590</v>
      </c>
      <c r="O1193" s="84"/>
      <c r="P1193" s="84"/>
      <c r="Q1193" s="84"/>
      <c r="R1193" s="84"/>
      <c r="S1193" s="84"/>
      <c r="T1193" s="84"/>
      <c r="U1193" s="84"/>
      <c r="V1193" s="84"/>
      <c r="W1193" s="84"/>
      <c r="X1193" s="84"/>
    </row>
    <row r="1194" ht="15.75" customHeight="1">
      <c r="A1194" s="14" t="s">
        <v>2137</v>
      </c>
      <c r="B1194" s="14">
        <v>2004.0</v>
      </c>
      <c r="C1194" s="14" t="s">
        <v>14591</v>
      </c>
      <c r="D1194" s="14" t="s">
        <v>14592</v>
      </c>
      <c r="E1194" s="150" t="str">
        <f t="shared" si="26"/>
        <v>http://dx.doi.org/10.1109/INFVIS.2004.77</v>
      </c>
      <c r="F1194" s="14" t="s">
        <v>14597</v>
      </c>
      <c r="G1194" s="14" t="s">
        <v>14597</v>
      </c>
      <c r="H1194" s="14" t="s">
        <v>21</v>
      </c>
      <c r="I1194" s="14"/>
      <c r="J1194" s="130" t="s">
        <v>14537</v>
      </c>
      <c r="K1194" s="152" t="s">
        <v>14598</v>
      </c>
      <c r="L1194" s="20"/>
      <c r="M1194" s="16"/>
      <c r="N1194" s="152" t="s">
        <v>14598</v>
      </c>
      <c r="O1194" s="84"/>
      <c r="P1194" s="84"/>
      <c r="Q1194" s="84"/>
      <c r="R1194" s="84"/>
      <c r="S1194" s="84"/>
      <c r="T1194" s="84"/>
      <c r="U1194" s="84"/>
      <c r="V1194" s="84"/>
      <c r="W1194" s="84"/>
      <c r="X1194" s="84"/>
    </row>
    <row r="1195" ht="15.75" customHeight="1">
      <c r="A1195" s="14" t="s">
        <v>2137</v>
      </c>
      <c r="B1195" s="14">
        <v>2004.0</v>
      </c>
      <c r="C1195" s="14" t="s">
        <v>14599</v>
      </c>
      <c r="D1195" s="14" t="s">
        <v>14600</v>
      </c>
      <c r="E1195" s="150" t="str">
        <f t="shared" si="26"/>
        <v>http://dx.doi.org/10.1109/INFVIS.2004.8</v>
      </c>
      <c r="F1195" s="14">
        <v>105.0</v>
      </c>
      <c r="G1195" s="14">
        <v>111.0</v>
      </c>
      <c r="H1195" s="14" t="s">
        <v>28</v>
      </c>
      <c r="I1195" s="14"/>
      <c r="J1195" s="130" t="s">
        <v>15567</v>
      </c>
      <c r="K1195" s="152" t="s">
        <v>14606</v>
      </c>
      <c r="L1195" s="20"/>
      <c r="M1195" s="174" t="s">
        <v>14607</v>
      </c>
      <c r="N1195" s="152" t="s">
        <v>14606</v>
      </c>
      <c r="O1195" s="84"/>
      <c r="P1195" s="84"/>
      <c r="Q1195" s="84"/>
      <c r="R1195" s="84"/>
      <c r="S1195" s="84"/>
      <c r="T1195" s="84"/>
      <c r="U1195" s="84"/>
      <c r="V1195" s="84"/>
      <c r="W1195" s="84"/>
      <c r="X1195" s="84"/>
    </row>
    <row r="1196" ht="15.75" customHeight="1">
      <c r="A1196" s="14" t="s">
        <v>17</v>
      </c>
      <c r="B1196" s="14">
        <v>2004.0</v>
      </c>
      <c r="C1196" s="14" t="s">
        <v>14608</v>
      </c>
      <c r="D1196" s="14" t="s">
        <v>14609</v>
      </c>
      <c r="E1196" s="150" t="str">
        <f t="shared" si="26"/>
        <v>http://dx.doi.org/10.1109/VISUAL.2004.10</v>
      </c>
      <c r="F1196" s="14">
        <v>7.0</v>
      </c>
      <c r="G1196" s="14">
        <v>7.0</v>
      </c>
      <c r="H1196" s="14" t="s">
        <v>21</v>
      </c>
      <c r="I1196" s="14"/>
      <c r="J1196" s="130" t="s">
        <v>40923</v>
      </c>
      <c r="K1196" s="152" t="s">
        <v>14615</v>
      </c>
      <c r="L1196" s="20"/>
      <c r="M1196" s="16"/>
      <c r="N1196" s="152" t="s">
        <v>14615</v>
      </c>
      <c r="O1196" s="84"/>
      <c r="P1196" s="84"/>
      <c r="Q1196" s="84"/>
      <c r="R1196" s="84"/>
      <c r="S1196" s="84"/>
      <c r="T1196" s="84"/>
      <c r="U1196" s="84"/>
      <c r="V1196" s="84"/>
      <c r="W1196" s="84"/>
      <c r="X1196" s="84"/>
    </row>
    <row r="1197" ht="15.75" customHeight="1">
      <c r="A1197" s="14" t="s">
        <v>17</v>
      </c>
      <c r="B1197" s="14">
        <v>2004.0</v>
      </c>
      <c r="C1197" s="14" t="s">
        <v>14616</v>
      </c>
      <c r="D1197" s="14" t="s">
        <v>14617</v>
      </c>
      <c r="E1197" s="150" t="str">
        <f t="shared" si="26"/>
        <v>http://dx.doi.org/10.1109/VISUAL.2004.101</v>
      </c>
      <c r="F1197" s="14">
        <v>259.0</v>
      </c>
      <c r="G1197" s="14">
        <v>266.0</v>
      </c>
      <c r="H1197" s="14" t="s">
        <v>28</v>
      </c>
      <c r="I1197" s="14"/>
      <c r="J1197" s="130" t="s">
        <v>40924</v>
      </c>
      <c r="K1197" s="152" t="s">
        <v>753</v>
      </c>
      <c r="L1197" s="20" t="s">
        <v>13266</v>
      </c>
      <c r="M1197" s="174" t="s">
        <v>14687</v>
      </c>
      <c r="N1197" s="130" t="s">
        <v>38584</v>
      </c>
      <c r="O1197" s="84"/>
      <c r="P1197" s="84"/>
      <c r="Q1197" s="84"/>
      <c r="R1197" s="84"/>
      <c r="S1197" s="84"/>
      <c r="T1197" s="84"/>
      <c r="U1197" s="84"/>
      <c r="V1197" s="84"/>
      <c r="W1197" s="84"/>
      <c r="X1197" s="84"/>
    </row>
    <row r="1198" ht="15.75" customHeight="1">
      <c r="A1198" s="14" t="s">
        <v>17</v>
      </c>
      <c r="B1198" s="14">
        <v>2004.0</v>
      </c>
      <c r="C1198" s="14" t="s">
        <v>14688</v>
      </c>
      <c r="D1198" s="14" t="s">
        <v>14689</v>
      </c>
      <c r="E1198" s="150" t="str">
        <f t="shared" si="26"/>
        <v>http://dx.doi.org/10.1109/VISUAL.2004.102</v>
      </c>
      <c r="F1198" s="14">
        <v>433.0</v>
      </c>
      <c r="G1198" s="14">
        <v>440.0</v>
      </c>
      <c r="H1198" s="14" t="s">
        <v>28</v>
      </c>
      <c r="I1198" s="14"/>
      <c r="J1198" s="130" t="s">
        <v>14691</v>
      </c>
      <c r="K1198" s="152" t="s">
        <v>14692</v>
      </c>
      <c r="L1198" s="20" t="s">
        <v>14693</v>
      </c>
      <c r="M1198" s="174" t="s">
        <v>14694</v>
      </c>
      <c r="N1198" s="130" t="s">
        <v>40927</v>
      </c>
      <c r="O1198" s="84"/>
      <c r="P1198" s="84"/>
      <c r="Q1198" s="84"/>
      <c r="R1198" s="84"/>
      <c r="S1198" s="84"/>
      <c r="T1198" s="84"/>
      <c r="U1198" s="84"/>
      <c r="V1198" s="84"/>
      <c r="W1198" s="84"/>
      <c r="X1198" s="84"/>
    </row>
    <row r="1199" ht="15.75" customHeight="1">
      <c r="A1199" s="14" t="s">
        <v>17</v>
      </c>
      <c r="B1199" s="14">
        <v>2004.0</v>
      </c>
      <c r="C1199" s="14" t="s">
        <v>14695</v>
      </c>
      <c r="D1199" s="14" t="s">
        <v>14696</v>
      </c>
      <c r="E1199" s="150" t="str">
        <f t="shared" si="26"/>
        <v>http://dx.doi.org/10.1109/VISUAL.2004.103</v>
      </c>
      <c r="F1199" s="14">
        <v>243.0</v>
      </c>
      <c r="G1199" s="14">
        <v>250.0</v>
      </c>
      <c r="H1199" s="14" t="s">
        <v>28</v>
      </c>
      <c r="I1199" s="14"/>
      <c r="J1199" s="130" t="s">
        <v>14614</v>
      </c>
      <c r="K1199" s="152" t="s">
        <v>14698</v>
      </c>
      <c r="L1199" s="20" t="s">
        <v>14699</v>
      </c>
      <c r="M1199" s="174" t="s">
        <v>14700</v>
      </c>
      <c r="N1199" s="130" t="s">
        <v>40928</v>
      </c>
      <c r="O1199" s="84"/>
      <c r="P1199" s="84"/>
      <c r="Q1199" s="84"/>
      <c r="R1199" s="84"/>
      <c r="S1199" s="84"/>
      <c r="T1199" s="84"/>
      <c r="U1199" s="84"/>
      <c r="V1199" s="84"/>
      <c r="W1199" s="84"/>
      <c r="X1199" s="84"/>
    </row>
    <row r="1200" ht="15.75" customHeight="1">
      <c r="A1200" s="14" t="s">
        <v>17</v>
      </c>
      <c r="B1200" s="14">
        <v>2004.0</v>
      </c>
      <c r="C1200" s="14" t="s">
        <v>14701</v>
      </c>
      <c r="D1200" s="14" t="s">
        <v>14702</v>
      </c>
      <c r="E1200" s="150" t="str">
        <f t="shared" si="26"/>
        <v>http://dx.doi.org/10.1109/VISUAL.2004.104</v>
      </c>
      <c r="F1200" s="14">
        <v>385.0</v>
      </c>
      <c r="G1200" s="14">
        <v>392.0</v>
      </c>
      <c r="H1200" s="14" t="s">
        <v>28</v>
      </c>
      <c r="I1200" s="14"/>
      <c r="J1200" s="130" t="s">
        <v>40932</v>
      </c>
      <c r="K1200" s="152" t="s">
        <v>14705</v>
      </c>
      <c r="L1200" s="20" t="s">
        <v>14706</v>
      </c>
      <c r="M1200" s="174" t="s">
        <v>14707</v>
      </c>
      <c r="N1200" s="130" t="s">
        <v>40933</v>
      </c>
      <c r="O1200" s="84"/>
      <c r="P1200" s="84"/>
      <c r="Q1200" s="84"/>
      <c r="R1200" s="84"/>
      <c r="S1200" s="84"/>
      <c r="T1200" s="84"/>
      <c r="U1200" s="84"/>
      <c r="V1200" s="84"/>
      <c r="W1200" s="84"/>
      <c r="X1200" s="84"/>
    </row>
    <row r="1201" ht="15.75" customHeight="1">
      <c r="A1201" s="14" t="s">
        <v>17</v>
      </c>
      <c r="B1201" s="14">
        <v>2004.0</v>
      </c>
      <c r="C1201" s="14" t="s">
        <v>14708</v>
      </c>
      <c r="D1201" s="14" t="s">
        <v>14709</v>
      </c>
      <c r="E1201" s="150" t="str">
        <f t="shared" si="26"/>
        <v>http://dx.doi.org/10.1109/VISUAL.2004.105</v>
      </c>
      <c r="F1201" s="14">
        <v>313.0</v>
      </c>
      <c r="G1201" s="14">
        <v>320.0</v>
      </c>
      <c r="H1201" s="14" t="s">
        <v>28</v>
      </c>
      <c r="I1201" s="14"/>
      <c r="J1201" s="130" t="s">
        <v>12502</v>
      </c>
      <c r="K1201" s="152" t="s">
        <v>3182</v>
      </c>
      <c r="L1201" s="20" t="s">
        <v>14711</v>
      </c>
      <c r="M1201" s="174" t="s">
        <v>14712</v>
      </c>
      <c r="N1201" s="130" t="s">
        <v>35935</v>
      </c>
      <c r="O1201" s="84"/>
      <c r="P1201" s="84"/>
      <c r="Q1201" s="84"/>
      <c r="R1201" s="84"/>
      <c r="S1201" s="84"/>
      <c r="T1201" s="84"/>
      <c r="U1201" s="84"/>
      <c r="V1201" s="84"/>
      <c r="W1201" s="84"/>
      <c r="X1201" s="84"/>
    </row>
    <row r="1202" ht="15.75" customHeight="1">
      <c r="A1202" s="14" t="s">
        <v>17</v>
      </c>
      <c r="B1202" s="14">
        <v>2004.0</v>
      </c>
      <c r="C1202" s="14" t="s">
        <v>14713</v>
      </c>
      <c r="D1202" s="14" t="s">
        <v>14714</v>
      </c>
      <c r="E1202" s="150" t="str">
        <f t="shared" si="26"/>
        <v>http://dx.doi.org/10.1109/VISUAL.2004.106</v>
      </c>
      <c r="F1202" s="14">
        <v>337.0</v>
      </c>
      <c r="G1202" s="14">
        <v>344.0</v>
      </c>
      <c r="H1202" s="14" t="s">
        <v>28</v>
      </c>
      <c r="I1202" s="14"/>
      <c r="J1202" s="130" t="s">
        <v>14716</v>
      </c>
      <c r="K1202" s="152" t="s">
        <v>14717</v>
      </c>
      <c r="L1202" s="20" t="s">
        <v>5005</v>
      </c>
      <c r="M1202" s="174" t="s">
        <v>14718</v>
      </c>
      <c r="N1202" s="130" t="s">
        <v>39753</v>
      </c>
      <c r="O1202" s="84"/>
      <c r="P1202" s="84"/>
      <c r="Q1202" s="84"/>
      <c r="R1202" s="84"/>
      <c r="S1202" s="84"/>
      <c r="T1202" s="84"/>
      <c r="U1202" s="84"/>
      <c r="V1202" s="84"/>
      <c r="W1202" s="84"/>
      <c r="X1202" s="84"/>
    </row>
    <row r="1203" ht="15.75" customHeight="1">
      <c r="A1203" s="14" t="s">
        <v>17</v>
      </c>
      <c r="B1203" s="14">
        <v>2004.0</v>
      </c>
      <c r="C1203" s="14" t="s">
        <v>14719</v>
      </c>
      <c r="D1203" s="14" t="s">
        <v>14720</v>
      </c>
      <c r="E1203" s="150" t="str">
        <f t="shared" si="26"/>
        <v>http://dx.doi.org/10.1109/VISUAL.2004.107</v>
      </c>
      <c r="F1203" s="14">
        <v>329.0</v>
      </c>
      <c r="G1203" s="14">
        <v>336.0</v>
      </c>
      <c r="H1203" s="14" t="s">
        <v>28</v>
      </c>
      <c r="I1203" s="14"/>
      <c r="J1203" s="130" t="s">
        <v>14722</v>
      </c>
      <c r="K1203" s="152" t="s">
        <v>5181</v>
      </c>
      <c r="L1203" s="20" t="s">
        <v>14723</v>
      </c>
      <c r="M1203" s="174" t="s">
        <v>14724</v>
      </c>
      <c r="N1203" s="130" t="s">
        <v>39842</v>
      </c>
      <c r="O1203" s="84"/>
      <c r="P1203" s="84"/>
      <c r="Q1203" s="84"/>
      <c r="R1203" s="84"/>
      <c r="S1203" s="84"/>
      <c r="T1203" s="84"/>
      <c r="U1203" s="84"/>
      <c r="V1203" s="84"/>
      <c r="W1203" s="84"/>
      <c r="X1203" s="84"/>
    </row>
    <row r="1204" ht="15.75" customHeight="1">
      <c r="A1204" s="14" t="s">
        <v>17</v>
      </c>
      <c r="B1204" s="14">
        <v>2004.0</v>
      </c>
      <c r="C1204" s="14" t="s">
        <v>14725</v>
      </c>
      <c r="D1204" s="14" t="s">
        <v>14726</v>
      </c>
      <c r="E1204" s="150" t="str">
        <f t="shared" si="26"/>
        <v>http://dx.doi.org/10.1109/VISUAL.2004.108</v>
      </c>
      <c r="F1204" s="14">
        <v>25.0</v>
      </c>
      <c r="G1204" s="14">
        <v>25.0</v>
      </c>
      <c r="H1204" s="14" t="s">
        <v>21</v>
      </c>
      <c r="I1204" s="14"/>
      <c r="J1204" s="130" t="s">
        <v>14728</v>
      </c>
      <c r="K1204" s="152" t="s">
        <v>14729</v>
      </c>
      <c r="L1204" s="20"/>
      <c r="M1204" s="16"/>
      <c r="N1204" s="152" t="s">
        <v>14729</v>
      </c>
      <c r="O1204" s="84"/>
      <c r="P1204" s="84"/>
      <c r="Q1204" s="84"/>
      <c r="R1204" s="84"/>
      <c r="S1204" s="84"/>
      <c r="T1204" s="84"/>
      <c r="U1204" s="84"/>
      <c r="V1204" s="84"/>
      <c r="W1204" s="84"/>
      <c r="X1204" s="84"/>
    </row>
    <row r="1205" ht="15.75" customHeight="1">
      <c r="A1205" s="14" t="s">
        <v>17</v>
      </c>
      <c r="B1205" s="14">
        <v>2004.0</v>
      </c>
      <c r="C1205" s="14" t="s">
        <v>14730</v>
      </c>
      <c r="D1205" s="14" t="s">
        <v>14731</v>
      </c>
      <c r="E1205" s="150" t="str">
        <f t="shared" si="26"/>
        <v>http://dx.doi.org/10.1109/VISUAL.2004.109</v>
      </c>
      <c r="F1205" s="14">
        <v>1.0</v>
      </c>
      <c r="G1205" s="14">
        <v>1.0</v>
      </c>
      <c r="H1205" s="14" t="s">
        <v>21</v>
      </c>
      <c r="I1205" s="14"/>
      <c r="J1205" s="130" t="s">
        <v>14733</v>
      </c>
      <c r="K1205" s="152" t="s">
        <v>14734</v>
      </c>
      <c r="L1205" s="20"/>
      <c r="M1205" s="16"/>
      <c r="N1205" s="152" t="s">
        <v>14734</v>
      </c>
      <c r="O1205" s="84"/>
      <c r="P1205" s="84"/>
      <c r="Q1205" s="84"/>
      <c r="R1205" s="84"/>
      <c r="S1205" s="84"/>
      <c r="T1205" s="84"/>
      <c r="U1205" s="84"/>
      <c r="V1205" s="84"/>
      <c r="W1205" s="84"/>
      <c r="X1205" s="84"/>
    </row>
    <row r="1206" ht="15.75" customHeight="1">
      <c r="A1206" s="14" t="s">
        <v>17</v>
      </c>
      <c r="B1206" s="14">
        <v>2004.0</v>
      </c>
      <c r="C1206" s="14" t="s">
        <v>14735</v>
      </c>
      <c r="D1206" s="14" t="s">
        <v>14736</v>
      </c>
      <c r="E1206" s="150" t="str">
        <f t="shared" si="26"/>
        <v>http://dx.doi.org/10.1109/VISUAL.2004.11</v>
      </c>
      <c r="F1206" s="14">
        <v>30.0</v>
      </c>
      <c r="G1206" s="14">
        <v>30.0</v>
      </c>
      <c r="H1206" s="14" t="s">
        <v>21</v>
      </c>
      <c r="I1206" s="14"/>
      <c r="J1206" s="130" t="s">
        <v>40947</v>
      </c>
      <c r="K1206" s="152" t="s">
        <v>14739</v>
      </c>
      <c r="L1206" s="20"/>
      <c r="M1206" s="16"/>
      <c r="N1206" s="152" t="s">
        <v>14739</v>
      </c>
      <c r="O1206" s="84"/>
      <c r="P1206" s="84"/>
      <c r="Q1206" s="84"/>
      <c r="R1206" s="84"/>
      <c r="S1206" s="84"/>
      <c r="T1206" s="84"/>
      <c r="U1206" s="84"/>
      <c r="V1206" s="84"/>
      <c r="W1206" s="84"/>
      <c r="X1206" s="84"/>
    </row>
    <row r="1207" ht="15.75" customHeight="1">
      <c r="A1207" s="14" t="s">
        <v>17</v>
      </c>
      <c r="B1207" s="14">
        <v>2004.0</v>
      </c>
      <c r="C1207" s="14" t="s">
        <v>14740</v>
      </c>
      <c r="D1207" s="14" t="s">
        <v>14741</v>
      </c>
      <c r="E1207" s="150" t="str">
        <f t="shared" si="26"/>
        <v>http://dx.doi.org/10.1109/VISUAL.2004.110</v>
      </c>
      <c r="F1207" s="14">
        <v>147.0</v>
      </c>
      <c r="G1207" s="14">
        <v>154.0</v>
      </c>
      <c r="H1207" s="14" t="s">
        <v>28</v>
      </c>
      <c r="I1207" s="14"/>
      <c r="J1207" s="130" t="s">
        <v>40951</v>
      </c>
      <c r="K1207" s="152" t="s">
        <v>14744</v>
      </c>
      <c r="L1207" s="20" t="s">
        <v>14745</v>
      </c>
      <c r="M1207" s="174" t="s">
        <v>14746</v>
      </c>
      <c r="N1207" s="130" t="s">
        <v>40952</v>
      </c>
      <c r="O1207" s="84"/>
      <c r="P1207" s="84"/>
      <c r="Q1207" s="84"/>
      <c r="R1207" s="84"/>
      <c r="S1207" s="84"/>
      <c r="T1207" s="84"/>
      <c r="U1207" s="84"/>
      <c r="V1207" s="84"/>
      <c r="W1207" s="84"/>
      <c r="X1207" s="84"/>
    </row>
    <row r="1208" ht="15.75" customHeight="1">
      <c r="A1208" s="14" t="s">
        <v>17</v>
      </c>
      <c r="B1208" s="14">
        <v>2004.0</v>
      </c>
      <c r="C1208" s="14" t="s">
        <v>14747</v>
      </c>
      <c r="D1208" s="14" t="s">
        <v>14748</v>
      </c>
      <c r="E1208" s="150" t="str">
        <f t="shared" si="26"/>
        <v>http://dx.doi.org/10.1109/VISUAL.2004.111</v>
      </c>
      <c r="F1208" s="14">
        <v>3.0</v>
      </c>
      <c r="G1208" s="14">
        <v>3.0</v>
      </c>
      <c r="H1208" s="14" t="s">
        <v>21</v>
      </c>
      <c r="I1208" s="14"/>
      <c r="J1208" s="130" t="s">
        <v>15600</v>
      </c>
      <c r="K1208" s="152" t="s">
        <v>14751</v>
      </c>
      <c r="L1208" s="20"/>
      <c r="M1208" s="16"/>
      <c r="N1208" s="152" t="s">
        <v>14751</v>
      </c>
      <c r="O1208" s="84"/>
      <c r="P1208" s="84"/>
      <c r="Q1208" s="84"/>
      <c r="R1208" s="84"/>
      <c r="S1208" s="84"/>
      <c r="T1208" s="84"/>
      <c r="U1208" s="84"/>
      <c r="V1208" s="84"/>
      <c r="W1208" s="84"/>
      <c r="X1208" s="84"/>
    </row>
    <row r="1209" ht="15.75" customHeight="1">
      <c r="A1209" s="14" t="s">
        <v>17</v>
      </c>
      <c r="B1209" s="14">
        <v>2004.0</v>
      </c>
      <c r="C1209" s="14" t="s">
        <v>14752</v>
      </c>
      <c r="D1209" s="14" t="s">
        <v>14753</v>
      </c>
      <c r="E1209" s="150" t="str">
        <f t="shared" si="26"/>
        <v>http://dx.doi.org/10.1109/VISUAL.2004.112</v>
      </c>
      <c r="F1209" s="14">
        <v>155.0</v>
      </c>
      <c r="G1209" s="14">
        <v>162.0</v>
      </c>
      <c r="H1209" s="14" t="s">
        <v>28</v>
      </c>
      <c r="I1209" s="14"/>
      <c r="J1209" s="130" t="s">
        <v>14755</v>
      </c>
      <c r="K1209" s="152" t="s">
        <v>14756</v>
      </c>
      <c r="L1209" s="20" t="s">
        <v>3639</v>
      </c>
      <c r="M1209" s="174" t="s">
        <v>14757</v>
      </c>
      <c r="N1209" s="130" t="s">
        <v>40956</v>
      </c>
      <c r="O1209" s="84"/>
      <c r="P1209" s="84"/>
      <c r="Q1209" s="84"/>
      <c r="R1209" s="84"/>
      <c r="S1209" s="84"/>
      <c r="T1209" s="84"/>
      <c r="U1209" s="84"/>
      <c r="V1209" s="84"/>
      <c r="W1209" s="84"/>
      <c r="X1209" s="84"/>
    </row>
    <row r="1210" ht="15.75" customHeight="1">
      <c r="A1210" s="14" t="s">
        <v>17</v>
      </c>
      <c r="B1210" s="14">
        <v>2004.0</v>
      </c>
      <c r="C1210" s="14" t="s">
        <v>14758</v>
      </c>
      <c r="D1210" s="14" t="s">
        <v>14759</v>
      </c>
      <c r="E1210" s="150" t="str">
        <f t="shared" si="26"/>
        <v>http://dx.doi.org/10.1109/VISUAL.2004.113</v>
      </c>
      <c r="F1210" s="14">
        <v>187.0</v>
      </c>
      <c r="G1210" s="14">
        <v>194.0</v>
      </c>
      <c r="H1210" s="14" t="s">
        <v>28</v>
      </c>
      <c r="I1210" s="14"/>
      <c r="J1210" s="130" t="s">
        <v>15607</v>
      </c>
      <c r="K1210" s="152" t="s">
        <v>14762</v>
      </c>
      <c r="L1210" s="20" t="s">
        <v>14763</v>
      </c>
      <c r="M1210" s="174" t="s">
        <v>14764</v>
      </c>
      <c r="N1210" s="130" t="s">
        <v>35575</v>
      </c>
      <c r="O1210" s="84"/>
      <c r="P1210" s="84"/>
      <c r="Q1210" s="84"/>
      <c r="R1210" s="84"/>
      <c r="S1210" s="84"/>
      <c r="T1210" s="84"/>
      <c r="U1210" s="84"/>
      <c r="V1210" s="84"/>
      <c r="W1210" s="84"/>
      <c r="X1210" s="84"/>
    </row>
    <row r="1211" ht="15.75" customHeight="1">
      <c r="A1211" s="14" t="s">
        <v>17</v>
      </c>
      <c r="B1211" s="14">
        <v>2004.0</v>
      </c>
      <c r="C1211" s="14" t="s">
        <v>14765</v>
      </c>
      <c r="D1211" s="14" t="s">
        <v>14766</v>
      </c>
      <c r="E1211" s="150" t="str">
        <f t="shared" si="26"/>
        <v>http://dx.doi.org/10.1109/VISUAL.2004.114</v>
      </c>
      <c r="F1211" s="14">
        <v>23.0</v>
      </c>
      <c r="G1211" s="14">
        <v>23.0</v>
      </c>
      <c r="H1211" s="14" t="s">
        <v>21</v>
      </c>
      <c r="I1211" s="14"/>
      <c r="J1211" s="130" t="s">
        <v>14768</v>
      </c>
      <c r="K1211" s="152" t="s">
        <v>14769</v>
      </c>
      <c r="L1211" s="20"/>
      <c r="M1211" s="16"/>
      <c r="N1211" s="152" t="s">
        <v>14769</v>
      </c>
      <c r="O1211" s="84"/>
      <c r="P1211" s="84"/>
      <c r="Q1211" s="84"/>
      <c r="R1211" s="84"/>
      <c r="S1211" s="84"/>
      <c r="T1211" s="84"/>
      <c r="U1211" s="84"/>
      <c r="V1211" s="84"/>
      <c r="W1211" s="84"/>
      <c r="X1211" s="84"/>
    </row>
    <row r="1212" ht="15.75" customHeight="1">
      <c r="A1212" s="14" t="s">
        <v>17</v>
      </c>
      <c r="B1212" s="14">
        <v>2004.0</v>
      </c>
      <c r="C1212" s="14" t="s">
        <v>14770</v>
      </c>
      <c r="D1212" s="14" t="s">
        <v>14771</v>
      </c>
      <c r="E1212" s="150" t="str">
        <f t="shared" si="26"/>
        <v>http://dx.doi.org/10.1109/VISUAL.2004.115</v>
      </c>
      <c r="F1212" s="14">
        <v>369.0</v>
      </c>
      <c r="G1212" s="14">
        <v>376.0</v>
      </c>
      <c r="H1212" s="14" t="s">
        <v>28</v>
      </c>
      <c r="I1212" s="14"/>
      <c r="J1212" s="130" t="s">
        <v>14773</v>
      </c>
      <c r="K1212" s="152" t="s">
        <v>14774</v>
      </c>
      <c r="L1212" s="20" t="s">
        <v>14775</v>
      </c>
      <c r="M1212" s="174" t="s">
        <v>14776</v>
      </c>
      <c r="N1212" s="152" t="s">
        <v>14774</v>
      </c>
      <c r="O1212" s="84"/>
      <c r="P1212" s="84"/>
      <c r="Q1212" s="84"/>
      <c r="R1212" s="84"/>
      <c r="S1212" s="84"/>
      <c r="T1212" s="84"/>
      <c r="U1212" s="84"/>
      <c r="V1212" s="84"/>
      <c r="W1212" s="84"/>
      <c r="X1212" s="84"/>
    </row>
    <row r="1213" ht="15.75" customHeight="1">
      <c r="A1213" s="14" t="s">
        <v>17</v>
      </c>
      <c r="B1213" s="14">
        <v>2004.0</v>
      </c>
      <c r="C1213" s="14" t="s">
        <v>14777</v>
      </c>
      <c r="D1213" s="14" t="s">
        <v>14778</v>
      </c>
      <c r="E1213" s="150" t="str">
        <f t="shared" si="26"/>
        <v>http://dx.doi.org/10.1109/VISUAL.2004.116</v>
      </c>
      <c r="F1213" s="14">
        <v>29.0</v>
      </c>
      <c r="G1213" s="14">
        <v>29.0</v>
      </c>
      <c r="H1213" s="14" t="s">
        <v>21</v>
      </c>
      <c r="I1213" s="14"/>
      <c r="J1213" s="130" t="s">
        <v>14780</v>
      </c>
      <c r="K1213" s="152" t="s">
        <v>14781</v>
      </c>
      <c r="L1213" s="20"/>
      <c r="M1213" s="16"/>
      <c r="N1213" s="152" t="s">
        <v>14781</v>
      </c>
      <c r="O1213" s="84"/>
      <c r="P1213" s="84"/>
      <c r="Q1213" s="84"/>
      <c r="R1213" s="84"/>
      <c r="S1213" s="84"/>
      <c r="T1213" s="84"/>
      <c r="U1213" s="84"/>
      <c r="V1213" s="84"/>
      <c r="W1213" s="84"/>
      <c r="X1213" s="84"/>
    </row>
    <row r="1214" ht="15.75" customHeight="1">
      <c r="A1214" s="14" t="s">
        <v>17</v>
      </c>
      <c r="B1214" s="14">
        <v>2004.0</v>
      </c>
      <c r="C1214" s="14" t="s">
        <v>14782</v>
      </c>
      <c r="D1214" s="14" t="s">
        <v>14783</v>
      </c>
      <c r="E1214" s="150" t="str">
        <f t="shared" si="26"/>
        <v>http://dx.doi.org/10.1109/VISUAL.2004.117</v>
      </c>
      <c r="F1214" s="14">
        <v>21.0</v>
      </c>
      <c r="G1214" s="14">
        <v>21.0</v>
      </c>
      <c r="H1214" s="14" t="s">
        <v>21</v>
      </c>
      <c r="I1214" s="14"/>
      <c r="J1214" s="130" t="s">
        <v>14785</v>
      </c>
      <c r="K1214" s="152" t="s">
        <v>14786</v>
      </c>
      <c r="L1214" s="20"/>
      <c r="M1214" s="16"/>
      <c r="N1214" s="152" t="s">
        <v>14786</v>
      </c>
      <c r="O1214" s="84"/>
      <c r="P1214" s="84"/>
      <c r="Q1214" s="84"/>
      <c r="R1214" s="84"/>
      <c r="S1214" s="84"/>
      <c r="T1214" s="84"/>
      <c r="U1214" s="84"/>
      <c r="V1214" s="84"/>
      <c r="W1214" s="84"/>
      <c r="X1214" s="84"/>
    </row>
    <row r="1215" ht="15.75" customHeight="1">
      <c r="A1215" s="14" t="s">
        <v>17</v>
      </c>
      <c r="B1215" s="14">
        <v>2004.0</v>
      </c>
      <c r="C1215" s="14" t="s">
        <v>14787</v>
      </c>
      <c r="D1215" s="14" t="s">
        <v>14788</v>
      </c>
      <c r="E1215" s="150" t="str">
        <f t="shared" si="26"/>
        <v>http://dx.doi.org/10.1109/VISUAL.2004.118</v>
      </c>
      <c r="F1215" s="14">
        <v>20.0</v>
      </c>
      <c r="G1215" s="14">
        <v>20.0</v>
      </c>
      <c r="H1215" s="14" t="s">
        <v>21</v>
      </c>
      <c r="I1215" s="14"/>
      <c r="J1215" s="130" t="s">
        <v>14790</v>
      </c>
      <c r="K1215" s="152" t="s">
        <v>14786</v>
      </c>
      <c r="L1215" s="20"/>
      <c r="M1215" s="16"/>
      <c r="N1215" s="152" t="s">
        <v>14786</v>
      </c>
      <c r="O1215" s="84"/>
      <c r="P1215" s="84"/>
      <c r="Q1215" s="84"/>
      <c r="R1215" s="84"/>
      <c r="S1215" s="84"/>
      <c r="T1215" s="84"/>
      <c r="U1215" s="84"/>
      <c r="V1215" s="84"/>
      <c r="W1215" s="84"/>
      <c r="X1215" s="84"/>
    </row>
    <row r="1216" ht="15.75" customHeight="1">
      <c r="A1216" s="14" t="s">
        <v>17</v>
      </c>
      <c r="B1216" s="14">
        <v>2004.0</v>
      </c>
      <c r="C1216" s="14" t="s">
        <v>14791</v>
      </c>
      <c r="D1216" s="14" t="s">
        <v>14792</v>
      </c>
      <c r="E1216" s="150" t="str">
        <f t="shared" si="26"/>
        <v>http://dx.doi.org/10.1109/VISUAL.2004.119</v>
      </c>
      <c r="F1216" s="14">
        <v>13.0</v>
      </c>
      <c r="G1216" s="14">
        <v>13.0</v>
      </c>
      <c r="H1216" s="14" t="s">
        <v>21</v>
      </c>
      <c r="I1216" s="14"/>
      <c r="J1216" s="130" t="s">
        <v>14738</v>
      </c>
      <c r="K1216" s="152" t="s">
        <v>14794</v>
      </c>
      <c r="L1216" s="20"/>
      <c r="M1216" s="16"/>
      <c r="N1216" s="152" t="s">
        <v>14794</v>
      </c>
      <c r="O1216" s="84"/>
      <c r="P1216" s="84"/>
      <c r="Q1216" s="84"/>
      <c r="R1216" s="84"/>
      <c r="S1216" s="84"/>
      <c r="T1216" s="84"/>
      <c r="U1216" s="84"/>
      <c r="V1216" s="84"/>
      <c r="W1216" s="84"/>
      <c r="X1216" s="84"/>
    </row>
    <row r="1217" ht="15.75" customHeight="1">
      <c r="A1217" s="14" t="s">
        <v>17</v>
      </c>
      <c r="B1217" s="14">
        <v>2004.0</v>
      </c>
      <c r="C1217" s="14" t="s">
        <v>14795</v>
      </c>
      <c r="D1217" s="14" t="s">
        <v>14796</v>
      </c>
      <c r="E1217" s="150" t="str">
        <f t="shared" si="26"/>
        <v>http://dx.doi.org/10.1109/VISUAL.2004.12</v>
      </c>
      <c r="F1217" s="14" t="s">
        <v>14798</v>
      </c>
      <c r="G1217" s="14"/>
      <c r="H1217" s="14" t="s">
        <v>21</v>
      </c>
      <c r="I1217" s="14"/>
      <c r="J1217" s="130" t="s">
        <v>6118</v>
      </c>
      <c r="K1217" s="152" t="s">
        <v>14799</v>
      </c>
      <c r="L1217" s="20"/>
      <c r="M1217" s="16"/>
      <c r="N1217" s="152" t="s">
        <v>14799</v>
      </c>
      <c r="O1217" s="84"/>
      <c r="P1217" s="84"/>
      <c r="Q1217" s="84"/>
      <c r="R1217" s="84"/>
      <c r="S1217" s="84"/>
      <c r="T1217" s="84"/>
      <c r="U1217" s="84"/>
      <c r="V1217" s="84"/>
      <c r="W1217" s="84"/>
      <c r="X1217" s="84"/>
    </row>
    <row r="1218" ht="15.75" customHeight="1">
      <c r="A1218" s="14" t="s">
        <v>17</v>
      </c>
      <c r="B1218" s="14">
        <v>2004.0</v>
      </c>
      <c r="C1218" s="14" t="s">
        <v>14800</v>
      </c>
      <c r="D1218" s="14" t="s">
        <v>14801</v>
      </c>
      <c r="E1218" s="150" t="str">
        <f t="shared" si="26"/>
        <v>http://dx.doi.org/10.1109/VISUAL.2004.120</v>
      </c>
      <c r="F1218" s="14">
        <v>163.0</v>
      </c>
      <c r="G1218" s="14">
        <v>170.0</v>
      </c>
      <c r="H1218" s="14" t="s">
        <v>28</v>
      </c>
      <c r="I1218" s="14"/>
      <c r="J1218" s="130" t="s">
        <v>14803</v>
      </c>
      <c r="K1218" s="152" t="s">
        <v>14804</v>
      </c>
      <c r="L1218" s="20"/>
      <c r="M1218" s="174" t="s">
        <v>14805</v>
      </c>
      <c r="N1218" s="130" t="s">
        <v>40965</v>
      </c>
      <c r="O1218" s="84"/>
      <c r="P1218" s="84"/>
      <c r="Q1218" s="84"/>
      <c r="R1218" s="84"/>
      <c r="S1218" s="84"/>
      <c r="T1218" s="84"/>
      <c r="U1218" s="84"/>
      <c r="V1218" s="84"/>
      <c r="W1218" s="84"/>
      <c r="X1218" s="84"/>
    </row>
    <row r="1219" ht="15.75" customHeight="1">
      <c r="A1219" s="14" t="s">
        <v>17</v>
      </c>
      <c r="B1219" s="14">
        <v>2004.0</v>
      </c>
      <c r="C1219" s="14" t="s">
        <v>14806</v>
      </c>
      <c r="D1219" s="14" t="s">
        <v>14807</v>
      </c>
      <c r="E1219" s="150" t="str">
        <f t="shared" si="26"/>
        <v>http://dx.doi.org/10.1109/VISUAL.2004.121</v>
      </c>
      <c r="F1219" s="14">
        <v>401.0</v>
      </c>
      <c r="G1219" s="14">
        <v>408.0</v>
      </c>
      <c r="H1219" s="14" t="s">
        <v>28</v>
      </c>
      <c r="I1219" s="14"/>
      <c r="J1219" s="130" t="s">
        <v>14809</v>
      </c>
      <c r="K1219" s="152" t="s">
        <v>14810</v>
      </c>
      <c r="L1219" s="20" t="s">
        <v>14811</v>
      </c>
      <c r="M1219" s="174" t="s">
        <v>14812</v>
      </c>
      <c r="N1219" s="130" t="s">
        <v>40968</v>
      </c>
      <c r="O1219" s="84"/>
      <c r="P1219" s="84"/>
      <c r="Q1219" s="84"/>
      <c r="R1219" s="84"/>
      <c r="S1219" s="84"/>
      <c r="T1219" s="84"/>
      <c r="U1219" s="84"/>
      <c r="V1219" s="84"/>
      <c r="W1219" s="84"/>
      <c r="X1219" s="84"/>
    </row>
    <row r="1220" ht="15.75" customHeight="1">
      <c r="A1220" s="14" t="s">
        <v>17</v>
      </c>
      <c r="B1220" s="14">
        <v>2004.0</v>
      </c>
      <c r="C1220" s="14" t="s">
        <v>14813</v>
      </c>
      <c r="D1220" s="14" t="s">
        <v>14814</v>
      </c>
      <c r="E1220" s="150" t="str">
        <f t="shared" si="26"/>
        <v>http://dx.doi.org/10.1109/VISUAL.2004.122</v>
      </c>
      <c r="F1220" s="14">
        <v>59.0</v>
      </c>
      <c r="G1220" s="14">
        <v>66.0</v>
      </c>
      <c r="H1220" s="14" t="s">
        <v>28</v>
      </c>
      <c r="I1220" s="14"/>
      <c r="J1220" s="130" t="s">
        <v>15631</v>
      </c>
      <c r="K1220" s="152" t="s">
        <v>14817</v>
      </c>
      <c r="L1220" s="20" t="s">
        <v>14818</v>
      </c>
      <c r="M1220" s="174" t="s">
        <v>14819</v>
      </c>
      <c r="N1220" s="130" t="s">
        <v>40971</v>
      </c>
      <c r="O1220" s="84"/>
      <c r="P1220" s="84"/>
      <c r="Q1220" s="84"/>
      <c r="R1220" s="84"/>
      <c r="S1220" s="84"/>
      <c r="T1220" s="84"/>
      <c r="U1220" s="84"/>
      <c r="V1220" s="84"/>
      <c r="W1220" s="84"/>
      <c r="X1220" s="84"/>
    </row>
    <row r="1221" ht="15.75" customHeight="1">
      <c r="A1221" s="14" t="s">
        <v>17</v>
      </c>
      <c r="B1221" s="14">
        <v>2004.0</v>
      </c>
      <c r="C1221" s="14" t="s">
        <v>14820</v>
      </c>
      <c r="D1221" s="14" t="s">
        <v>14821</v>
      </c>
      <c r="E1221" s="150" t="str">
        <f t="shared" si="26"/>
        <v>http://dx.doi.org/10.1109/VISUAL.2004.123</v>
      </c>
      <c r="F1221" s="14">
        <v>15.0</v>
      </c>
      <c r="G1221" s="14">
        <v>15.0</v>
      </c>
      <c r="H1221" s="14" t="s">
        <v>21</v>
      </c>
      <c r="I1221" s="14"/>
      <c r="J1221" s="130" t="s">
        <v>14823</v>
      </c>
      <c r="K1221" s="152" t="s">
        <v>14824</v>
      </c>
      <c r="L1221" s="20"/>
      <c r="M1221" s="16"/>
      <c r="N1221" s="152" t="s">
        <v>14824</v>
      </c>
      <c r="O1221" s="84"/>
      <c r="P1221" s="84"/>
      <c r="Q1221" s="84"/>
      <c r="R1221" s="84"/>
      <c r="S1221" s="84"/>
      <c r="T1221" s="84"/>
      <c r="U1221" s="84"/>
      <c r="V1221" s="84"/>
      <c r="W1221" s="84"/>
      <c r="X1221" s="84"/>
    </row>
    <row r="1222" ht="15.75" customHeight="1">
      <c r="A1222" s="14" t="s">
        <v>17</v>
      </c>
      <c r="B1222" s="14">
        <v>2004.0</v>
      </c>
      <c r="C1222" s="14" t="s">
        <v>14825</v>
      </c>
      <c r="D1222" s="14" t="s">
        <v>14826</v>
      </c>
      <c r="E1222" s="150" t="str">
        <f t="shared" si="26"/>
        <v>http://dx.doi.org/10.1109/VISUAL.2004.124</v>
      </c>
      <c r="F1222" s="14">
        <v>16.0</v>
      </c>
      <c r="G1222" s="14">
        <v>16.0</v>
      </c>
      <c r="H1222" s="14" t="s">
        <v>21</v>
      </c>
      <c r="I1222" s="14"/>
      <c r="J1222" s="130" t="s">
        <v>14828</v>
      </c>
      <c r="K1222" s="152" t="s">
        <v>14829</v>
      </c>
      <c r="L1222" s="20"/>
      <c r="M1222" s="16"/>
      <c r="N1222" s="152" t="s">
        <v>14829</v>
      </c>
      <c r="O1222" s="84"/>
      <c r="P1222" s="84"/>
      <c r="Q1222" s="84"/>
      <c r="R1222" s="84"/>
      <c r="S1222" s="84"/>
      <c r="T1222" s="84"/>
      <c r="U1222" s="84"/>
      <c r="V1222" s="84"/>
      <c r="W1222" s="84"/>
      <c r="X1222" s="84"/>
    </row>
    <row r="1223" ht="15.75" customHeight="1">
      <c r="A1223" s="14" t="s">
        <v>17</v>
      </c>
      <c r="B1223" s="14">
        <v>2004.0</v>
      </c>
      <c r="C1223" s="14" t="s">
        <v>14830</v>
      </c>
      <c r="D1223" s="14" t="s">
        <v>14831</v>
      </c>
      <c r="E1223" s="150" t="str">
        <f t="shared" si="26"/>
        <v>http://dx.doi.org/10.1109/VISUAL.2004.125</v>
      </c>
      <c r="F1223" s="14">
        <v>22.0</v>
      </c>
      <c r="G1223" s="14">
        <v>22.0</v>
      </c>
      <c r="H1223" s="14" t="s">
        <v>21</v>
      </c>
      <c r="I1223" s="14"/>
      <c r="J1223" s="130" t="s">
        <v>14833</v>
      </c>
      <c r="K1223" s="152" t="s">
        <v>14829</v>
      </c>
      <c r="L1223" s="20"/>
      <c r="M1223" s="16"/>
      <c r="N1223" s="152" t="s">
        <v>14829</v>
      </c>
      <c r="O1223" s="84"/>
      <c r="P1223" s="84"/>
      <c r="Q1223" s="84"/>
      <c r="R1223" s="84"/>
      <c r="S1223" s="84"/>
      <c r="T1223" s="84"/>
      <c r="U1223" s="84"/>
      <c r="V1223" s="84"/>
      <c r="W1223" s="84"/>
      <c r="X1223" s="84"/>
    </row>
    <row r="1224" ht="15.75" customHeight="1">
      <c r="A1224" s="14" t="s">
        <v>17</v>
      </c>
      <c r="B1224" s="14">
        <v>2004.0</v>
      </c>
      <c r="C1224" s="42" t="s">
        <v>14834</v>
      </c>
      <c r="D1224" s="14" t="s">
        <v>14835</v>
      </c>
      <c r="E1224" s="150" t="str">
        <f t="shared" si="26"/>
        <v>http://dx.doi.org/10.1109/VISUAL.2004.126</v>
      </c>
      <c r="F1224" s="14">
        <v>19.0</v>
      </c>
      <c r="G1224" s="14">
        <v>19.0</v>
      </c>
      <c r="H1224" s="14" t="s">
        <v>21</v>
      </c>
      <c r="I1224" s="14"/>
      <c r="J1224" s="130" t="s">
        <v>14837</v>
      </c>
      <c r="K1224" s="152" t="s">
        <v>14838</v>
      </c>
      <c r="L1224" s="20"/>
      <c r="M1224" s="16"/>
      <c r="N1224" s="152" t="s">
        <v>14838</v>
      </c>
      <c r="O1224" s="84"/>
      <c r="P1224" s="84"/>
      <c r="Q1224" s="84"/>
      <c r="R1224" s="84"/>
      <c r="S1224" s="84"/>
      <c r="T1224" s="84"/>
      <c r="U1224" s="84"/>
      <c r="V1224" s="84"/>
      <c r="W1224" s="84"/>
      <c r="X1224" s="84"/>
    </row>
    <row r="1225" ht="15.75" customHeight="1">
      <c r="A1225" s="14" t="s">
        <v>17</v>
      </c>
      <c r="B1225" s="14">
        <v>2004.0</v>
      </c>
      <c r="C1225" s="14" t="s">
        <v>14839</v>
      </c>
      <c r="D1225" s="14" t="s">
        <v>14840</v>
      </c>
      <c r="E1225" s="150" t="str">
        <f t="shared" si="26"/>
        <v>http://dx.doi.org/10.1109/VISUAL.2004.127</v>
      </c>
      <c r="F1225" s="14">
        <v>449.0</v>
      </c>
      <c r="G1225" s="14">
        <v>455.0</v>
      </c>
      <c r="H1225" s="14" t="s">
        <v>28</v>
      </c>
      <c r="I1225" s="14"/>
      <c r="J1225" s="130" t="s">
        <v>13656</v>
      </c>
      <c r="K1225" s="152" t="s">
        <v>14842</v>
      </c>
      <c r="L1225" s="20" t="s">
        <v>14843</v>
      </c>
      <c r="M1225" s="174" t="s">
        <v>14844</v>
      </c>
      <c r="N1225" s="152" t="s">
        <v>14842</v>
      </c>
      <c r="O1225" s="84"/>
      <c r="P1225" s="84"/>
      <c r="Q1225" s="84"/>
      <c r="R1225" s="84"/>
      <c r="S1225" s="84"/>
      <c r="T1225" s="84"/>
      <c r="U1225" s="84"/>
      <c r="V1225" s="84"/>
      <c r="W1225" s="84"/>
      <c r="X1225" s="84"/>
    </row>
    <row r="1226" ht="15.75" customHeight="1">
      <c r="A1226" s="14" t="s">
        <v>17</v>
      </c>
      <c r="B1226" s="14">
        <v>2004.0</v>
      </c>
      <c r="C1226" s="14" t="s">
        <v>14845</v>
      </c>
      <c r="D1226" s="14" t="s">
        <v>14846</v>
      </c>
      <c r="E1226" s="150" t="str">
        <f t="shared" si="26"/>
        <v>http://dx.doi.org/10.1109/VISUAL.2004.128</v>
      </c>
      <c r="F1226" s="14">
        <v>179.0</v>
      </c>
      <c r="G1226" s="14">
        <v>186.0</v>
      </c>
      <c r="H1226" s="14" t="s">
        <v>28</v>
      </c>
      <c r="I1226" s="14"/>
      <c r="J1226" s="130" t="s">
        <v>14848</v>
      </c>
      <c r="K1226" s="152" t="s">
        <v>14849</v>
      </c>
      <c r="L1226" s="20" t="s">
        <v>14850</v>
      </c>
      <c r="M1226" s="174" t="s">
        <v>14851</v>
      </c>
      <c r="N1226" s="130" t="s">
        <v>40981</v>
      </c>
      <c r="O1226" s="84"/>
      <c r="P1226" s="84"/>
      <c r="Q1226" s="84"/>
      <c r="R1226" s="84"/>
      <c r="S1226" s="84"/>
      <c r="T1226" s="84"/>
      <c r="U1226" s="84"/>
      <c r="V1226" s="84"/>
      <c r="W1226" s="84"/>
      <c r="X1226" s="84"/>
    </row>
    <row r="1227" ht="15.75" customHeight="1">
      <c r="A1227" s="14" t="s">
        <v>17</v>
      </c>
      <c r="B1227" s="14">
        <v>2004.0</v>
      </c>
      <c r="C1227" s="14" t="s">
        <v>14852</v>
      </c>
      <c r="D1227" s="14" t="s">
        <v>14853</v>
      </c>
      <c r="E1227" s="150" t="str">
        <f t="shared" si="26"/>
        <v>http://dx.doi.org/10.1109/VISUAL.2004.13</v>
      </c>
      <c r="F1227" s="14">
        <v>43.0</v>
      </c>
      <c r="G1227" s="14">
        <v>50.0</v>
      </c>
      <c r="H1227" s="14" t="s">
        <v>28</v>
      </c>
      <c r="I1227" s="14"/>
      <c r="J1227" s="130" t="s">
        <v>14855</v>
      </c>
      <c r="K1227" s="152" t="s">
        <v>14856</v>
      </c>
      <c r="L1227" s="20" t="s">
        <v>14857</v>
      </c>
      <c r="M1227" s="174" t="s">
        <v>14858</v>
      </c>
      <c r="N1227" s="152" t="s">
        <v>14856</v>
      </c>
      <c r="O1227" s="84"/>
      <c r="P1227" s="84"/>
      <c r="Q1227" s="84"/>
      <c r="R1227" s="84"/>
      <c r="S1227" s="84"/>
      <c r="T1227" s="84"/>
      <c r="U1227" s="84"/>
      <c r="V1227" s="84"/>
      <c r="W1227" s="84"/>
      <c r="X1227" s="84"/>
    </row>
    <row r="1228" ht="15.75" customHeight="1">
      <c r="A1228" s="14" t="s">
        <v>17</v>
      </c>
      <c r="B1228" s="14">
        <v>2004.0</v>
      </c>
      <c r="C1228" s="14" t="s">
        <v>14859</v>
      </c>
      <c r="D1228" s="14" t="s">
        <v>14860</v>
      </c>
      <c r="E1228" s="150" t="str">
        <f t="shared" si="26"/>
        <v>http://dx.doi.org/10.1109/VISUAL.2004.14</v>
      </c>
      <c r="F1228" s="14">
        <v>10.0</v>
      </c>
      <c r="G1228" s="14">
        <v>10.0</v>
      </c>
      <c r="H1228" s="14" t="s">
        <v>21</v>
      </c>
      <c r="I1228" s="14"/>
      <c r="J1228" s="130" t="s">
        <v>14862</v>
      </c>
      <c r="K1228" s="152" t="s">
        <v>14863</v>
      </c>
      <c r="L1228" s="20"/>
      <c r="M1228" s="16"/>
      <c r="N1228" s="152" t="s">
        <v>14863</v>
      </c>
      <c r="O1228" s="84"/>
      <c r="P1228" s="84"/>
      <c r="Q1228" s="84"/>
      <c r="R1228" s="84"/>
      <c r="S1228" s="84"/>
      <c r="T1228" s="84"/>
      <c r="U1228" s="84"/>
      <c r="V1228" s="84"/>
      <c r="W1228" s="84"/>
      <c r="X1228" s="84"/>
    </row>
    <row r="1229" ht="15.75" customHeight="1">
      <c r="A1229" s="14" t="s">
        <v>17</v>
      </c>
      <c r="B1229" s="14">
        <v>2004.0</v>
      </c>
      <c r="C1229" s="14" t="s">
        <v>14864</v>
      </c>
      <c r="D1229" s="14" t="s">
        <v>14865</v>
      </c>
      <c r="E1229" s="150" t="str">
        <f t="shared" si="26"/>
        <v>http://dx.doi.org/10.1109/VISUAL.2004.15</v>
      </c>
      <c r="F1229" s="14">
        <v>211.0</v>
      </c>
      <c r="G1229" s="14">
        <v>217.0</v>
      </c>
      <c r="H1229" s="14" t="s">
        <v>28</v>
      </c>
      <c r="I1229" s="14"/>
      <c r="J1229" s="130" t="s">
        <v>14867</v>
      </c>
      <c r="K1229" s="152" t="s">
        <v>494</v>
      </c>
      <c r="L1229" s="20" t="s">
        <v>14868</v>
      </c>
      <c r="M1229" s="174" t="s">
        <v>14869</v>
      </c>
      <c r="N1229" s="130" t="s">
        <v>40987</v>
      </c>
      <c r="O1229" s="84"/>
      <c r="P1229" s="84"/>
      <c r="Q1229" s="84"/>
      <c r="R1229" s="84"/>
      <c r="S1229" s="84"/>
      <c r="T1229" s="84"/>
      <c r="U1229" s="84"/>
      <c r="V1229" s="84"/>
      <c r="W1229" s="84"/>
      <c r="X1229" s="84"/>
    </row>
    <row r="1230" ht="15.75" customHeight="1">
      <c r="A1230" s="14" t="s">
        <v>17</v>
      </c>
      <c r="B1230" s="14">
        <v>2004.0</v>
      </c>
      <c r="C1230" s="14" t="s">
        <v>14870</v>
      </c>
      <c r="D1230" s="14" t="s">
        <v>14871</v>
      </c>
      <c r="E1230" s="150" t="str">
        <f t="shared" si="26"/>
        <v>http://dx.doi.org/10.1109/VISUAL.2004.16</v>
      </c>
      <c r="F1230" s="14">
        <v>31.0</v>
      </c>
      <c r="G1230" s="14">
        <v>31.0</v>
      </c>
      <c r="H1230" s="14" t="s">
        <v>21</v>
      </c>
      <c r="I1230" s="14"/>
      <c r="J1230" s="130" t="s">
        <v>14873</v>
      </c>
      <c r="K1230" s="152" t="s">
        <v>14874</v>
      </c>
      <c r="L1230" s="20"/>
      <c r="M1230" s="16"/>
      <c r="N1230" s="152" t="s">
        <v>14874</v>
      </c>
      <c r="O1230" s="84"/>
      <c r="P1230" s="84"/>
      <c r="Q1230" s="84"/>
      <c r="R1230" s="84"/>
      <c r="S1230" s="84"/>
      <c r="T1230" s="84"/>
      <c r="U1230" s="84"/>
      <c r="V1230" s="84"/>
      <c r="W1230" s="84"/>
      <c r="X1230" s="84"/>
    </row>
    <row r="1231" ht="15.75" customHeight="1">
      <c r="A1231" s="14" t="s">
        <v>17</v>
      </c>
      <c r="B1231" s="14">
        <v>2004.0</v>
      </c>
      <c r="C1231" s="14" t="s">
        <v>14875</v>
      </c>
      <c r="D1231" s="14" t="s">
        <v>14876</v>
      </c>
      <c r="E1231" s="150" t="str">
        <f t="shared" si="26"/>
        <v>http://dx.doi.org/10.1109/VISUAL.2004.18</v>
      </c>
      <c r="F1231" s="14">
        <v>83.0</v>
      </c>
      <c r="G1231" s="14">
        <v>90.0</v>
      </c>
      <c r="H1231" s="14" t="s">
        <v>28</v>
      </c>
      <c r="I1231" s="14"/>
      <c r="J1231" s="130" t="s">
        <v>14878</v>
      </c>
      <c r="K1231" s="152" t="s">
        <v>5349</v>
      </c>
      <c r="L1231" s="20"/>
      <c r="M1231" s="174" t="s">
        <v>14879</v>
      </c>
      <c r="N1231" s="130" t="s">
        <v>40996</v>
      </c>
      <c r="O1231" s="84"/>
      <c r="P1231" s="84"/>
      <c r="Q1231" s="84"/>
      <c r="R1231" s="84"/>
      <c r="S1231" s="84"/>
      <c r="T1231" s="84"/>
      <c r="U1231" s="84"/>
      <c r="V1231" s="84"/>
      <c r="W1231" s="84"/>
      <c r="X1231" s="84"/>
    </row>
    <row r="1232" ht="15.75" customHeight="1">
      <c r="A1232" s="14" t="s">
        <v>17</v>
      </c>
      <c r="B1232" s="14">
        <v>2004.0</v>
      </c>
      <c r="C1232" s="14" t="s">
        <v>14880</v>
      </c>
      <c r="D1232" s="14" t="s">
        <v>14881</v>
      </c>
      <c r="E1232" s="150" t="str">
        <f t="shared" si="26"/>
        <v>http://dx.doi.org/10.1109/VISUAL.2004.19</v>
      </c>
      <c r="F1232" s="14">
        <v>8.0</v>
      </c>
      <c r="G1232" s="14">
        <v>8.0</v>
      </c>
      <c r="H1232" s="14" t="s">
        <v>21</v>
      </c>
      <c r="I1232" s="14"/>
      <c r="J1232" s="130" t="s">
        <v>14883</v>
      </c>
      <c r="K1232" s="152" t="s">
        <v>14884</v>
      </c>
      <c r="L1232" s="20"/>
      <c r="M1232" s="16"/>
      <c r="N1232" s="152" t="s">
        <v>14884</v>
      </c>
      <c r="O1232" s="84"/>
      <c r="P1232" s="84"/>
      <c r="Q1232" s="84"/>
      <c r="R1232" s="84"/>
      <c r="S1232" s="84"/>
      <c r="T1232" s="84"/>
      <c r="U1232" s="84"/>
      <c r="V1232" s="84"/>
      <c r="W1232" s="84"/>
      <c r="X1232" s="84"/>
    </row>
    <row r="1233" ht="15.75" customHeight="1">
      <c r="A1233" s="14" t="s">
        <v>17</v>
      </c>
      <c r="B1233" s="14">
        <v>2004.0</v>
      </c>
      <c r="C1233" s="14" t="s">
        <v>14885</v>
      </c>
      <c r="D1233" s="14" t="s">
        <v>14886</v>
      </c>
      <c r="E1233" s="150" t="str">
        <f t="shared" si="26"/>
        <v>http://dx.doi.org/10.1109/VISUAL.2004.2</v>
      </c>
      <c r="F1233" s="14">
        <v>2.0</v>
      </c>
      <c r="G1233" s="14">
        <v>2.0</v>
      </c>
      <c r="H1233" s="14" t="s">
        <v>21</v>
      </c>
      <c r="I1233" s="14"/>
      <c r="J1233" s="130" t="s">
        <v>41000</v>
      </c>
      <c r="K1233" s="152" t="s">
        <v>14889</v>
      </c>
      <c r="L1233" s="20"/>
      <c r="M1233" s="16"/>
      <c r="N1233" s="152" t="s">
        <v>14889</v>
      </c>
      <c r="O1233" s="84"/>
      <c r="P1233" s="84"/>
      <c r="Q1233" s="84"/>
      <c r="R1233" s="84"/>
      <c r="S1233" s="84"/>
      <c r="T1233" s="84"/>
      <c r="U1233" s="84"/>
      <c r="V1233" s="84"/>
      <c r="W1233" s="84"/>
      <c r="X1233" s="84"/>
    </row>
    <row r="1234" ht="15.75" customHeight="1">
      <c r="A1234" s="14" t="s">
        <v>17</v>
      </c>
      <c r="B1234" s="14">
        <v>2004.0</v>
      </c>
      <c r="C1234" s="14" t="s">
        <v>14890</v>
      </c>
      <c r="D1234" s="14" t="s">
        <v>14891</v>
      </c>
      <c r="E1234" s="150" t="str">
        <f t="shared" si="26"/>
        <v>http://dx.doi.org/10.1109/VISUAL.2004.21</v>
      </c>
      <c r="F1234" s="14">
        <v>9.0</v>
      </c>
      <c r="G1234" s="14">
        <v>9.0</v>
      </c>
      <c r="H1234" s="14" t="s">
        <v>21</v>
      </c>
      <c r="I1234" s="14"/>
      <c r="J1234" s="130" t="s">
        <v>15662</v>
      </c>
      <c r="K1234" s="152" t="s">
        <v>14894</v>
      </c>
      <c r="L1234" s="20"/>
      <c r="M1234" s="16"/>
      <c r="N1234" s="152" t="s">
        <v>14894</v>
      </c>
      <c r="O1234" s="84"/>
      <c r="P1234" s="84"/>
      <c r="Q1234" s="84"/>
      <c r="R1234" s="84"/>
      <c r="S1234" s="84"/>
      <c r="T1234" s="84"/>
      <c r="U1234" s="84"/>
      <c r="V1234" s="84"/>
      <c r="W1234" s="84"/>
      <c r="X1234" s="84"/>
    </row>
    <row r="1235" ht="15.75" customHeight="1">
      <c r="A1235" s="14" t="s">
        <v>17</v>
      </c>
      <c r="B1235" s="14">
        <v>2004.0</v>
      </c>
      <c r="C1235" s="14" t="s">
        <v>14895</v>
      </c>
      <c r="D1235" s="14" t="s">
        <v>14896</v>
      </c>
      <c r="E1235" s="150" t="str">
        <f t="shared" si="26"/>
        <v>http://dx.doi.org/10.1109/VISUAL.2004.22</v>
      </c>
      <c r="F1235" s="14">
        <v>11.0</v>
      </c>
      <c r="G1235" s="14">
        <v>11.0</v>
      </c>
      <c r="H1235" s="14" t="s">
        <v>21</v>
      </c>
      <c r="I1235" s="14"/>
      <c r="J1235" s="130" t="s">
        <v>14888</v>
      </c>
      <c r="K1235" s="152" t="s">
        <v>14898</v>
      </c>
      <c r="L1235" s="20"/>
      <c r="M1235" s="16"/>
      <c r="N1235" s="152" t="s">
        <v>14898</v>
      </c>
      <c r="O1235" s="84"/>
      <c r="P1235" s="84"/>
      <c r="Q1235" s="84"/>
      <c r="R1235" s="84"/>
      <c r="S1235" s="84"/>
      <c r="T1235" s="84"/>
      <c r="U1235" s="84"/>
      <c r="V1235" s="84"/>
      <c r="W1235" s="84"/>
      <c r="X1235" s="84"/>
    </row>
    <row r="1236" ht="15.75" customHeight="1">
      <c r="A1236" s="14" t="s">
        <v>17</v>
      </c>
      <c r="B1236" s="14">
        <v>2004.0</v>
      </c>
      <c r="C1236" s="14" t="s">
        <v>14899</v>
      </c>
      <c r="D1236" s="14" t="s">
        <v>14900</v>
      </c>
      <c r="E1236" s="150" t="str">
        <f t="shared" si="26"/>
        <v>http://dx.doi.org/10.1109/VISUAL.2004.23</v>
      </c>
      <c r="F1236" s="14">
        <v>465.0</v>
      </c>
      <c r="G1236" s="14">
        <v>472.0</v>
      </c>
      <c r="H1236" s="14" t="s">
        <v>28</v>
      </c>
      <c r="I1236" s="14"/>
      <c r="J1236" s="130" t="s">
        <v>14902</v>
      </c>
      <c r="K1236" s="152" t="s">
        <v>14903</v>
      </c>
      <c r="L1236" s="20" t="s">
        <v>14904</v>
      </c>
      <c r="M1236" s="174" t="s">
        <v>14905</v>
      </c>
      <c r="N1236" s="130" t="s">
        <v>41005</v>
      </c>
      <c r="O1236" s="84"/>
      <c r="P1236" s="84"/>
      <c r="Q1236" s="84"/>
      <c r="R1236" s="84"/>
      <c r="S1236" s="84"/>
      <c r="T1236" s="84"/>
      <c r="U1236" s="84"/>
      <c r="V1236" s="84"/>
      <c r="W1236" s="84"/>
      <c r="X1236" s="84"/>
    </row>
    <row r="1237" ht="15.75" customHeight="1">
      <c r="A1237" s="14" t="s">
        <v>17</v>
      </c>
      <c r="B1237" s="14">
        <v>2004.0</v>
      </c>
      <c r="C1237" s="14" t="s">
        <v>14906</v>
      </c>
      <c r="D1237" s="14" t="s">
        <v>14907</v>
      </c>
      <c r="E1237" s="150" t="str">
        <f t="shared" si="26"/>
        <v>http://dx.doi.org/10.1109/VISUAL.2004.24</v>
      </c>
      <c r="F1237" s="14">
        <v>553.0</v>
      </c>
      <c r="G1237" s="14">
        <v>560.0</v>
      </c>
      <c r="H1237" s="14" t="s">
        <v>28</v>
      </c>
      <c r="I1237" s="14"/>
      <c r="J1237" s="130" t="s">
        <v>14909</v>
      </c>
      <c r="K1237" s="152" t="s">
        <v>14910</v>
      </c>
      <c r="L1237" s="20" t="s">
        <v>14911</v>
      </c>
      <c r="M1237" s="174" t="s">
        <v>14912</v>
      </c>
      <c r="N1237" s="130" t="s">
        <v>41009</v>
      </c>
      <c r="O1237" s="84"/>
      <c r="P1237" s="84"/>
      <c r="Q1237" s="84"/>
      <c r="R1237" s="84"/>
      <c r="S1237" s="84"/>
      <c r="T1237" s="84"/>
      <c r="U1237" s="84"/>
      <c r="V1237" s="84"/>
      <c r="W1237" s="84"/>
      <c r="X1237" s="84"/>
    </row>
    <row r="1238" ht="15.75" customHeight="1">
      <c r="A1238" s="14" t="s">
        <v>17</v>
      </c>
      <c r="B1238" s="14">
        <v>2004.0</v>
      </c>
      <c r="C1238" s="14" t="s">
        <v>14913</v>
      </c>
      <c r="D1238" s="14" t="s">
        <v>14914</v>
      </c>
      <c r="E1238" s="150" t="str">
        <f t="shared" si="26"/>
        <v>http://dx.doi.org/10.1109/VISUAL.2004.25</v>
      </c>
      <c r="F1238" s="14">
        <v>115.0</v>
      </c>
      <c r="G1238" s="14">
        <v>122.0</v>
      </c>
      <c r="H1238" s="14" t="s">
        <v>28</v>
      </c>
      <c r="I1238" s="14"/>
      <c r="J1238" s="130" t="s">
        <v>14916</v>
      </c>
      <c r="K1238" s="152" t="s">
        <v>14917</v>
      </c>
      <c r="L1238" s="20" t="s">
        <v>14918</v>
      </c>
      <c r="M1238" s="174" t="s">
        <v>14919</v>
      </c>
      <c r="N1238" s="130" t="s">
        <v>38682</v>
      </c>
      <c r="O1238" s="84"/>
      <c r="P1238" s="84"/>
      <c r="Q1238" s="84"/>
      <c r="R1238" s="84"/>
      <c r="S1238" s="84"/>
      <c r="T1238" s="84"/>
      <c r="U1238" s="84"/>
      <c r="V1238" s="84"/>
      <c r="W1238" s="84"/>
      <c r="X1238" s="84"/>
    </row>
    <row r="1239" ht="15.75" customHeight="1">
      <c r="A1239" s="14" t="s">
        <v>17</v>
      </c>
      <c r="B1239" s="14">
        <v>2004.0</v>
      </c>
      <c r="C1239" s="14" t="s">
        <v>14920</v>
      </c>
      <c r="D1239" s="14" t="s">
        <v>14921</v>
      </c>
      <c r="E1239" s="150" t="str">
        <f t="shared" si="26"/>
        <v>http://dx.doi.org/10.1109/VISUAL.2004.26</v>
      </c>
      <c r="F1239" s="14">
        <v>28.0</v>
      </c>
      <c r="G1239" s="14">
        <v>28.0</v>
      </c>
      <c r="H1239" s="14" t="s">
        <v>21</v>
      </c>
      <c r="I1239" s="14"/>
      <c r="J1239" s="130" t="s">
        <v>14923</v>
      </c>
      <c r="K1239" s="152" t="s">
        <v>14924</v>
      </c>
      <c r="L1239" s="20"/>
      <c r="M1239" s="16"/>
      <c r="N1239" s="152" t="s">
        <v>14924</v>
      </c>
      <c r="O1239" s="84"/>
      <c r="P1239" s="84"/>
      <c r="Q1239" s="84"/>
      <c r="R1239" s="84"/>
      <c r="S1239" s="84"/>
      <c r="T1239" s="84"/>
      <c r="U1239" s="84"/>
      <c r="V1239" s="84"/>
      <c r="W1239" s="84"/>
      <c r="X1239" s="84"/>
    </row>
    <row r="1240" ht="15.75" customHeight="1">
      <c r="A1240" s="14" t="s">
        <v>17</v>
      </c>
      <c r="B1240" s="14">
        <v>2004.0</v>
      </c>
      <c r="C1240" s="14" t="s">
        <v>14925</v>
      </c>
      <c r="D1240" s="14" t="s">
        <v>14926</v>
      </c>
      <c r="E1240" s="150" t="str">
        <f t="shared" si="26"/>
        <v>http://dx.doi.org/10.1109/VISUAL.2004.27</v>
      </c>
      <c r="F1240" s="14">
        <v>505.0</v>
      </c>
      <c r="G1240" s="14">
        <v>512.0</v>
      </c>
      <c r="H1240" s="14" t="s">
        <v>28</v>
      </c>
      <c r="I1240" s="14"/>
      <c r="J1240" s="130" t="s">
        <v>14928</v>
      </c>
      <c r="K1240" s="152" t="s">
        <v>753</v>
      </c>
      <c r="L1240" s="20" t="s">
        <v>14929</v>
      </c>
      <c r="M1240" s="174" t="s">
        <v>14930</v>
      </c>
      <c r="N1240" s="130" t="s">
        <v>40667</v>
      </c>
      <c r="O1240" s="84"/>
      <c r="P1240" s="84"/>
      <c r="Q1240" s="84"/>
      <c r="R1240" s="84"/>
      <c r="S1240" s="84"/>
      <c r="T1240" s="84"/>
      <c r="U1240" s="84"/>
      <c r="V1240" s="84"/>
      <c r="W1240" s="84"/>
      <c r="X1240" s="84"/>
    </row>
    <row r="1241" ht="15.75" customHeight="1">
      <c r="A1241" s="14" t="s">
        <v>17</v>
      </c>
      <c r="B1241" s="14">
        <v>2004.0</v>
      </c>
      <c r="C1241" s="14" t="s">
        <v>14931</v>
      </c>
      <c r="D1241" s="14" t="s">
        <v>14932</v>
      </c>
      <c r="E1241" s="150" t="str">
        <f t="shared" si="26"/>
        <v>http://dx.doi.org/10.1109/VISUAL.2004.28</v>
      </c>
      <c r="F1241" s="14">
        <v>489.0</v>
      </c>
      <c r="G1241" s="14">
        <v>496.0</v>
      </c>
      <c r="H1241" s="14" t="s">
        <v>28</v>
      </c>
      <c r="I1241" s="14"/>
      <c r="J1241" s="130" t="s">
        <v>13224</v>
      </c>
      <c r="K1241" s="152" t="s">
        <v>14934</v>
      </c>
      <c r="L1241" s="20" t="s">
        <v>14935</v>
      </c>
      <c r="M1241" s="174" t="s">
        <v>14936</v>
      </c>
      <c r="N1241" s="130" t="s">
        <v>13231</v>
      </c>
      <c r="O1241" s="84"/>
      <c r="P1241" s="84"/>
      <c r="Q1241" s="84"/>
      <c r="R1241" s="84"/>
      <c r="S1241" s="84"/>
      <c r="T1241" s="84"/>
      <c r="U1241" s="84"/>
      <c r="V1241" s="84"/>
      <c r="W1241" s="84"/>
      <c r="X1241" s="84"/>
    </row>
    <row r="1242" ht="15.75" customHeight="1">
      <c r="A1242" s="14" t="s">
        <v>17</v>
      </c>
      <c r="B1242" s="14">
        <v>2004.0</v>
      </c>
      <c r="C1242" s="14" t="s">
        <v>14937</v>
      </c>
      <c r="D1242" s="14" t="s">
        <v>14938</v>
      </c>
      <c r="E1242" s="150" t="str">
        <f t="shared" si="26"/>
        <v>http://dx.doi.org/10.1109/VISUAL.2004.29</v>
      </c>
      <c r="F1242" s="14">
        <v>441.0</v>
      </c>
      <c r="G1242" s="14">
        <v>448.0</v>
      </c>
      <c r="H1242" s="14" t="s">
        <v>28</v>
      </c>
      <c r="I1242" s="14"/>
      <c r="J1242" s="130" t="s">
        <v>14940</v>
      </c>
      <c r="K1242" s="152" t="s">
        <v>880</v>
      </c>
      <c r="L1242" s="20" t="s">
        <v>14941</v>
      </c>
      <c r="M1242" s="174" t="s">
        <v>14942</v>
      </c>
      <c r="N1242" s="130"/>
      <c r="O1242" s="84"/>
      <c r="P1242" s="84"/>
      <c r="Q1242" s="84"/>
      <c r="R1242" s="84"/>
      <c r="S1242" s="84"/>
      <c r="T1242" s="84"/>
      <c r="U1242" s="84"/>
      <c r="V1242" s="84"/>
      <c r="W1242" s="84"/>
      <c r="X1242" s="84"/>
    </row>
    <row r="1243" ht="15.75" customHeight="1">
      <c r="A1243" s="14" t="s">
        <v>17</v>
      </c>
      <c r="B1243" s="14">
        <v>2004.0</v>
      </c>
      <c r="C1243" s="14" t="s">
        <v>14943</v>
      </c>
      <c r="D1243" s="14" t="s">
        <v>14944</v>
      </c>
      <c r="E1243" s="150" t="str">
        <f t="shared" si="26"/>
        <v>http://dx.doi.org/10.1109/VISUAL.2004.3</v>
      </c>
      <c r="F1243" s="14">
        <v>195.0</v>
      </c>
      <c r="G1243" s="14">
        <v>202.0</v>
      </c>
      <c r="H1243" s="14" t="s">
        <v>28</v>
      </c>
      <c r="I1243" s="14"/>
      <c r="J1243" s="130" t="s">
        <v>41023</v>
      </c>
      <c r="K1243" s="152" t="s">
        <v>14947</v>
      </c>
      <c r="L1243" s="20" t="s">
        <v>14948</v>
      </c>
      <c r="M1243" s="174" t="s">
        <v>14949</v>
      </c>
      <c r="N1243" s="130" t="s">
        <v>40204</v>
      </c>
      <c r="O1243" s="84"/>
      <c r="P1243" s="84"/>
      <c r="Q1243" s="84"/>
      <c r="R1243" s="84"/>
      <c r="S1243" s="84"/>
      <c r="T1243" s="84"/>
      <c r="U1243" s="84"/>
      <c r="V1243" s="84"/>
      <c r="W1243" s="84"/>
      <c r="X1243" s="84"/>
    </row>
    <row r="1244" ht="15.75" customHeight="1">
      <c r="A1244" s="14" t="s">
        <v>17</v>
      </c>
      <c r="B1244" s="14">
        <v>2004.0</v>
      </c>
      <c r="C1244" s="14" t="s">
        <v>14950</v>
      </c>
      <c r="D1244" s="14" t="s">
        <v>14951</v>
      </c>
      <c r="E1244" s="150" t="str">
        <f t="shared" si="26"/>
        <v>http://dx.doi.org/10.1109/VISUAL.2004.30</v>
      </c>
      <c r="F1244" s="14">
        <v>377.0</v>
      </c>
      <c r="G1244" s="14">
        <v>384.0</v>
      </c>
      <c r="H1244" s="14" t="s">
        <v>28</v>
      </c>
      <c r="I1244" s="14"/>
      <c r="J1244" s="130" t="s">
        <v>14946</v>
      </c>
      <c r="K1244" s="152" t="s">
        <v>14953</v>
      </c>
      <c r="L1244" s="20" t="s">
        <v>14954</v>
      </c>
      <c r="M1244" s="174" t="s">
        <v>14955</v>
      </c>
      <c r="N1244" s="130" t="s">
        <v>41024</v>
      </c>
      <c r="O1244" s="84"/>
      <c r="P1244" s="84"/>
      <c r="Q1244" s="84"/>
      <c r="R1244" s="84"/>
      <c r="S1244" s="84"/>
      <c r="T1244" s="84"/>
      <c r="U1244" s="84"/>
      <c r="V1244" s="84"/>
      <c r="W1244" s="84"/>
      <c r="X1244" s="84"/>
    </row>
    <row r="1245" ht="15.75" customHeight="1">
      <c r="A1245" s="14" t="s">
        <v>17</v>
      </c>
      <c r="B1245" s="14">
        <v>2004.0</v>
      </c>
      <c r="C1245" s="14" t="s">
        <v>14956</v>
      </c>
      <c r="D1245" s="14" t="s">
        <v>14957</v>
      </c>
      <c r="E1245" s="150" t="str">
        <f t="shared" si="26"/>
        <v>http://dx.doi.org/10.1109/VISUAL.2004.31</v>
      </c>
      <c r="F1245" s="14">
        <v>26.0</v>
      </c>
      <c r="G1245" s="14">
        <v>26.0</v>
      </c>
      <c r="H1245" s="14" t="s">
        <v>21</v>
      </c>
      <c r="I1245" s="14"/>
      <c r="J1245" s="130" t="s">
        <v>14959</v>
      </c>
      <c r="K1245" s="152" t="s">
        <v>14960</v>
      </c>
      <c r="L1245" s="20"/>
      <c r="M1245" s="16"/>
      <c r="N1245" s="152" t="s">
        <v>14960</v>
      </c>
      <c r="O1245" s="84"/>
      <c r="P1245" s="84"/>
      <c r="Q1245" s="84"/>
      <c r="R1245" s="84"/>
      <c r="S1245" s="84"/>
      <c r="T1245" s="84"/>
      <c r="U1245" s="84"/>
      <c r="V1245" s="84"/>
      <c r="W1245" s="84"/>
      <c r="X1245" s="84"/>
    </row>
    <row r="1246" ht="15.75" customHeight="1">
      <c r="A1246" s="14" t="s">
        <v>17</v>
      </c>
      <c r="B1246" s="14">
        <v>2004.0</v>
      </c>
      <c r="C1246" s="14" t="s">
        <v>14961</v>
      </c>
      <c r="D1246" s="14" t="s">
        <v>14962</v>
      </c>
      <c r="E1246" s="150" t="str">
        <f t="shared" si="26"/>
        <v>http://dx.doi.org/10.1109/VISUAL.2004.32</v>
      </c>
      <c r="F1246" s="14">
        <v>35.0</v>
      </c>
      <c r="G1246" s="14">
        <v>42.0</v>
      </c>
      <c r="H1246" s="14" t="s">
        <v>28</v>
      </c>
      <c r="I1246" s="14"/>
      <c r="J1246" s="130" t="s">
        <v>15691</v>
      </c>
      <c r="K1246" s="152" t="s">
        <v>14965</v>
      </c>
      <c r="L1246" s="20" t="s">
        <v>14966</v>
      </c>
      <c r="M1246" s="174" t="s">
        <v>14967</v>
      </c>
      <c r="N1246" s="152" t="s">
        <v>14965</v>
      </c>
      <c r="O1246" s="84"/>
      <c r="P1246" s="84"/>
      <c r="Q1246" s="84"/>
      <c r="R1246" s="84"/>
      <c r="S1246" s="84"/>
      <c r="T1246" s="84"/>
      <c r="U1246" s="84"/>
      <c r="V1246" s="84"/>
      <c r="W1246" s="84"/>
      <c r="X1246" s="84"/>
    </row>
    <row r="1247" ht="15.75" customHeight="1">
      <c r="A1247" s="14" t="s">
        <v>17</v>
      </c>
      <c r="B1247" s="14">
        <v>2004.0</v>
      </c>
      <c r="C1247" s="14" t="s">
        <v>14968</v>
      </c>
      <c r="D1247" s="14" t="s">
        <v>14969</v>
      </c>
      <c r="E1247" s="150" t="str">
        <f t="shared" si="26"/>
        <v>http://dx.doi.org/10.1109/VISUAL.2004.33</v>
      </c>
      <c r="F1247" s="14">
        <v>32.0</v>
      </c>
      <c r="G1247" s="14">
        <v>32.0</v>
      </c>
      <c r="H1247" s="14" t="s">
        <v>21</v>
      </c>
      <c r="I1247" s="14"/>
      <c r="J1247" s="130" t="s">
        <v>15695</v>
      </c>
      <c r="K1247" s="152" t="s">
        <v>14972</v>
      </c>
      <c r="L1247" s="20"/>
      <c r="M1247" s="16"/>
      <c r="N1247" s="152" t="s">
        <v>14972</v>
      </c>
      <c r="O1247" s="84"/>
      <c r="P1247" s="84"/>
      <c r="Q1247" s="84"/>
      <c r="R1247" s="84"/>
      <c r="S1247" s="84"/>
      <c r="T1247" s="84"/>
      <c r="U1247" s="84"/>
      <c r="V1247" s="84"/>
      <c r="W1247" s="84"/>
      <c r="X1247" s="84"/>
    </row>
    <row r="1248" ht="15.75" customHeight="1">
      <c r="A1248" s="14" t="s">
        <v>17</v>
      </c>
      <c r="B1248" s="14">
        <v>2004.0</v>
      </c>
      <c r="C1248" s="14" t="s">
        <v>14973</v>
      </c>
      <c r="D1248" s="14" t="s">
        <v>14974</v>
      </c>
      <c r="E1248" s="150" t="str">
        <f t="shared" si="26"/>
        <v>http://dx.doi.org/10.1109/VISUAL.2004.34</v>
      </c>
      <c r="F1248" s="14">
        <v>91.0</v>
      </c>
      <c r="G1248" s="14">
        <v>98.0</v>
      </c>
      <c r="H1248" s="14" t="s">
        <v>28</v>
      </c>
      <c r="I1248" s="14"/>
      <c r="J1248" s="130" t="s">
        <v>14976</v>
      </c>
      <c r="K1248" s="152" t="s">
        <v>14977</v>
      </c>
      <c r="L1248" s="20" t="s">
        <v>14978</v>
      </c>
      <c r="M1248" s="174" t="s">
        <v>14979</v>
      </c>
      <c r="N1248" s="130" t="s">
        <v>41030</v>
      </c>
      <c r="O1248" s="84"/>
      <c r="P1248" s="84"/>
      <c r="Q1248" s="84"/>
      <c r="R1248" s="84"/>
      <c r="S1248" s="84"/>
      <c r="T1248" s="84"/>
      <c r="U1248" s="84"/>
      <c r="V1248" s="84"/>
      <c r="W1248" s="84"/>
      <c r="X1248" s="84"/>
    </row>
    <row r="1249" ht="15.75" customHeight="1">
      <c r="A1249" s="14" t="s">
        <v>17</v>
      </c>
      <c r="B1249" s="14">
        <v>2004.0</v>
      </c>
      <c r="C1249" s="14" t="s">
        <v>14980</v>
      </c>
      <c r="D1249" s="14" t="s">
        <v>14981</v>
      </c>
      <c r="E1249" s="150" t="str">
        <f t="shared" si="26"/>
        <v>http://dx.doi.org/10.1109/VISUAL.2004.35</v>
      </c>
      <c r="F1249" s="14">
        <v>75.0</v>
      </c>
      <c r="G1249" s="14">
        <v>82.0</v>
      </c>
      <c r="H1249" s="14" t="s">
        <v>28</v>
      </c>
      <c r="I1249" s="14"/>
      <c r="J1249" s="130" t="s">
        <v>14983</v>
      </c>
      <c r="K1249" s="152" t="s">
        <v>178</v>
      </c>
      <c r="L1249" s="20"/>
      <c r="M1249" s="174" t="s">
        <v>14984</v>
      </c>
      <c r="N1249" s="130" t="s">
        <v>41034</v>
      </c>
      <c r="O1249" s="84"/>
      <c r="P1249" s="84"/>
      <c r="Q1249" s="84"/>
      <c r="R1249" s="84"/>
      <c r="S1249" s="84"/>
      <c r="T1249" s="84"/>
      <c r="U1249" s="84"/>
      <c r="V1249" s="84"/>
      <c r="W1249" s="84"/>
      <c r="X1249" s="84"/>
    </row>
    <row r="1250" ht="15.75" customHeight="1">
      <c r="A1250" s="14" t="s">
        <v>17</v>
      </c>
      <c r="B1250" s="14">
        <v>2004.0</v>
      </c>
      <c r="C1250" s="14" t="s">
        <v>14985</v>
      </c>
      <c r="D1250" s="14" t="s">
        <v>14986</v>
      </c>
      <c r="E1250" s="150" t="str">
        <f t="shared" si="26"/>
        <v>http://dx.doi.org/10.1109/VISUAL.2004.36</v>
      </c>
      <c r="F1250" s="14">
        <v>481.0</v>
      </c>
      <c r="G1250" s="14">
        <v>488.0</v>
      </c>
      <c r="H1250" s="14" t="s">
        <v>28</v>
      </c>
      <c r="I1250" s="14"/>
      <c r="J1250" s="130" t="s">
        <v>14988</v>
      </c>
      <c r="K1250" s="152" t="s">
        <v>14989</v>
      </c>
      <c r="L1250" s="20"/>
      <c r="M1250" s="174" t="s">
        <v>14990</v>
      </c>
      <c r="N1250" s="130" t="s">
        <v>41038</v>
      </c>
      <c r="O1250" s="84"/>
      <c r="P1250" s="84"/>
      <c r="Q1250" s="84"/>
      <c r="R1250" s="84"/>
      <c r="S1250" s="84"/>
      <c r="T1250" s="84"/>
      <c r="U1250" s="84"/>
      <c r="V1250" s="84"/>
      <c r="W1250" s="84"/>
      <c r="X1250" s="84"/>
    </row>
    <row r="1251" ht="15.75" customHeight="1">
      <c r="A1251" s="14" t="s">
        <v>17</v>
      </c>
      <c r="B1251" s="14">
        <v>2004.0</v>
      </c>
      <c r="C1251" s="14" t="s">
        <v>14991</v>
      </c>
      <c r="D1251" s="14" t="s">
        <v>14992</v>
      </c>
      <c r="E1251" s="150" t="str">
        <f t="shared" si="26"/>
        <v>http://dx.doi.org/10.1109/VISUAL.2004.37</v>
      </c>
      <c r="F1251" s="14">
        <v>297.0</v>
      </c>
      <c r="G1251" s="14">
        <v>304.0</v>
      </c>
      <c r="H1251" s="14" t="s">
        <v>28</v>
      </c>
      <c r="I1251" s="14"/>
      <c r="J1251" s="130" t="s">
        <v>14994</v>
      </c>
      <c r="K1251" s="152" t="s">
        <v>3047</v>
      </c>
      <c r="L1251" s="20" t="s">
        <v>13478</v>
      </c>
      <c r="M1251" s="174" t="s">
        <v>14995</v>
      </c>
      <c r="N1251" s="130" t="s">
        <v>40572</v>
      </c>
      <c r="O1251" s="84"/>
      <c r="P1251" s="84"/>
      <c r="Q1251" s="84"/>
      <c r="R1251" s="84"/>
      <c r="S1251" s="84"/>
      <c r="T1251" s="84"/>
      <c r="U1251" s="84"/>
      <c r="V1251" s="84"/>
      <c r="W1251" s="84"/>
      <c r="X1251" s="84"/>
    </row>
    <row r="1252" ht="15.75" customHeight="1">
      <c r="A1252" s="14" t="s">
        <v>17</v>
      </c>
      <c r="B1252" s="14">
        <v>2004.0</v>
      </c>
      <c r="C1252" s="14" t="s">
        <v>14996</v>
      </c>
      <c r="D1252" s="14" t="s">
        <v>14997</v>
      </c>
      <c r="E1252" s="150" t="str">
        <f t="shared" si="26"/>
        <v>http://dx.doi.org/10.1109/VISUAL.2004.38</v>
      </c>
      <c r="F1252" s="14">
        <v>67.0</v>
      </c>
      <c r="G1252" s="14">
        <v>74.0</v>
      </c>
      <c r="H1252" s="14" t="s">
        <v>28</v>
      </c>
      <c r="I1252" s="14"/>
      <c r="J1252" s="155" t="s">
        <v>41043</v>
      </c>
      <c r="K1252" s="152" t="s">
        <v>15000</v>
      </c>
      <c r="L1252" s="20" t="s">
        <v>15001</v>
      </c>
      <c r="M1252" s="174" t="s">
        <v>15002</v>
      </c>
      <c r="N1252" s="130" t="s">
        <v>41044</v>
      </c>
      <c r="O1252" s="84"/>
      <c r="P1252" s="84"/>
      <c r="Q1252" s="84"/>
      <c r="R1252" s="84"/>
      <c r="S1252" s="84"/>
      <c r="T1252" s="84"/>
      <c r="U1252" s="84"/>
      <c r="V1252" s="84"/>
      <c r="W1252" s="84"/>
      <c r="X1252" s="84"/>
    </row>
    <row r="1253" ht="15.75" customHeight="1">
      <c r="A1253" s="14" t="s">
        <v>17</v>
      </c>
      <c r="B1253" s="14">
        <v>2004.0</v>
      </c>
      <c r="C1253" s="14" t="s">
        <v>15003</v>
      </c>
      <c r="D1253" s="14" t="s">
        <v>15004</v>
      </c>
      <c r="E1253" s="150" t="str">
        <f t="shared" si="26"/>
        <v>http://dx.doi.org/10.1109/VISUAL.2004.39</v>
      </c>
      <c r="F1253" s="14">
        <v>4.0</v>
      </c>
      <c r="G1253" s="14">
        <v>4.0</v>
      </c>
      <c r="H1253" s="14" t="s">
        <v>21</v>
      </c>
      <c r="I1253" s="14"/>
      <c r="J1253" s="130" t="s">
        <v>15006</v>
      </c>
      <c r="K1253" s="152" t="s">
        <v>15007</v>
      </c>
      <c r="L1253" s="20"/>
      <c r="M1253" s="16"/>
      <c r="N1253" s="152" t="s">
        <v>15007</v>
      </c>
      <c r="O1253" s="84"/>
      <c r="P1253" s="84"/>
      <c r="Q1253" s="84"/>
      <c r="R1253" s="84"/>
      <c r="S1253" s="84"/>
      <c r="T1253" s="84"/>
      <c r="U1253" s="84"/>
      <c r="V1253" s="84"/>
      <c r="W1253" s="84"/>
      <c r="X1253" s="84"/>
    </row>
    <row r="1254" ht="15.75" customHeight="1">
      <c r="A1254" s="14" t="s">
        <v>17</v>
      </c>
      <c r="B1254" s="14">
        <v>2004.0</v>
      </c>
      <c r="C1254" s="14" t="s">
        <v>15008</v>
      </c>
      <c r="D1254" s="14" t="s">
        <v>15009</v>
      </c>
      <c r="E1254" s="150" t="str">
        <f t="shared" si="26"/>
        <v>http://dx.doi.org/10.1109/VISUAL.2004.4</v>
      </c>
      <c r="F1254" s="14">
        <v>219.0</v>
      </c>
      <c r="G1254" s="14">
        <v>226.0</v>
      </c>
      <c r="H1254" s="14" t="s">
        <v>28</v>
      </c>
      <c r="I1254" s="14"/>
      <c r="J1254" s="130" t="s">
        <v>15011</v>
      </c>
      <c r="K1254" s="152" t="s">
        <v>15012</v>
      </c>
      <c r="L1254" s="20" t="s">
        <v>15013</v>
      </c>
      <c r="M1254" s="174" t="s">
        <v>15014</v>
      </c>
      <c r="N1254" s="130" t="s">
        <v>35935</v>
      </c>
      <c r="O1254" s="84"/>
      <c r="P1254" s="84"/>
      <c r="Q1254" s="84"/>
      <c r="R1254" s="84"/>
      <c r="S1254" s="84"/>
      <c r="T1254" s="84"/>
      <c r="U1254" s="84"/>
      <c r="V1254" s="84"/>
      <c r="W1254" s="84"/>
      <c r="X1254" s="84"/>
    </row>
    <row r="1255" ht="15.75" customHeight="1">
      <c r="A1255" s="14" t="s">
        <v>17</v>
      </c>
      <c r="B1255" s="14">
        <v>2004.0</v>
      </c>
      <c r="C1255" s="14" t="s">
        <v>15015</v>
      </c>
      <c r="D1255" s="14" t="s">
        <v>15016</v>
      </c>
      <c r="E1255" s="150" t="str">
        <f t="shared" si="26"/>
        <v>http://dx.doi.org/10.1109/VISUAL.2004.46</v>
      </c>
      <c r="F1255" s="14">
        <v>529.0</v>
      </c>
      <c r="G1255" s="14">
        <v>536.0</v>
      </c>
      <c r="H1255" s="14" t="s">
        <v>28</v>
      </c>
      <c r="I1255" s="14"/>
      <c r="J1255" s="130" t="s">
        <v>15018</v>
      </c>
      <c r="K1255" s="152" t="s">
        <v>15019</v>
      </c>
      <c r="L1255" s="20" t="s">
        <v>15020</v>
      </c>
      <c r="M1255" s="174" t="s">
        <v>15021</v>
      </c>
      <c r="N1255" s="130" t="s">
        <v>41051</v>
      </c>
      <c r="O1255" s="84"/>
      <c r="P1255" s="84"/>
      <c r="Q1255" s="84"/>
      <c r="R1255" s="84"/>
      <c r="S1255" s="84"/>
      <c r="T1255" s="84"/>
      <c r="U1255" s="84"/>
      <c r="V1255" s="84"/>
      <c r="W1255" s="84"/>
      <c r="X1255" s="84"/>
    </row>
    <row r="1256" ht="15.75" customHeight="1">
      <c r="A1256" s="14" t="s">
        <v>17</v>
      </c>
      <c r="B1256" s="14">
        <v>2004.0</v>
      </c>
      <c r="C1256" s="14" t="s">
        <v>15022</v>
      </c>
      <c r="D1256" s="14" t="s">
        <v>15023</v>
      </c>
      <c r="E1256" s="150" t="str">
        <f t="shared" si="26"/>
        <v>http://dx.doi.org/10.1109/VISUAL.2004.47</v>
      </c>
      <c r="F1256" s="14">
        <v>227.0</v>
      </c>
      <c r="G1256" s="14">
        <v>234.0</v>
      </c>
      <c r="H1256" s="14" t="s">
        <v>28</v>
      </c>
      <c r="I1256" s="14"/>
      <c r="J1256" s="130" t="s">
        <v>41055</v>
      </c>
      <c r="K1256" s="152" t="s">
        <v>494</v>
      </c>
      <c r="L1256" s="20"/>
      <c r="M1256" s="174" t="s">
        <v>15026</v>
      </c>
      <c r="N1256" s="130"/>
      <c r="O1256" s="84"/>
      <c r="P1256" s="84"/>
      <c r="Q1256" s="84"/>
      <c r="R1256" s="84"/>
      <c r="S1256" s="84"/>
      <c r="T1256" s="84"/>
      <c r="U1256" s="84"/>
      <c r="V1256" s="84"/>
      <c r="W1256" s="84"/>
      <c r="X1256" s="84"/>
    </row>
    <row r="1257" ht="15.75" customHeight="1">
      <c r="A1257" s="14" t="s">
        <v>17</v>
      </c>
      <c r="B1257" s="14">
        <v>2004.0</v>
      </c>
      <c r="C1257" s="14" t="s">
        <v>15027</v>
      </c>
      <c r="D1257" s="14" t="s">
        <v>15028</v>
      </c>
      <c r="E1257" s="150" t="str">
        <f t="shared" si="26"/>
        <v>http://dx.doi.org/10.1109/VISUAL.2004.48</v>
      </c>
      <c r="F1257" s="14">
        <v>139.0</v>
      </c>
      <c r="G1257" s="14">
        <v>145.0</v>
      </c>
      <c r="H1257" s="14" t="s">
        <v>28</v>
      </c>
      <c r="I1257" s="14"/>
      <c r="J1257" s="130" t="s">
        <v>40662</v>
      </c>
      <c r="K1257" s="152" t="s">
        <v>13553</v>
      </c>
      <c r="L1257" s="20" t="s">
        <v>15030</v>
      </c>
      <c r="M1257" s="174" t="s">
        <v>15031</v>
      </c>
      <c r="N1257" s="130" t="s">
        <v>38889</v>
      </c>
      <c r="O1257" s="84"/>
      <c r="P1257" s="84"/>
      <c r="Q1257" s="84"/>
      <c r="R1257" s="84"/>
      <c r="S1257" s="84"/>
      <c r="T1257" s="84"/>
      <c r="U1257" s="84"/>
      <c r="V1257" s="84"/>
      <c r="W1257" s="84"/>
      <c r="X1257" s="84"/>
    </row>
    <row r="1258" ht="15.75" customHeight="1">
      <c r="A1258" s="14" t="s">
        <v>17</v>
      </c>
      <c r="B1258" s="14">
        <v>2004.0</v>
      </c>
      <c r="C1258" s="14" t="s">
        <v>15032</v>
      </c>
      <c r="D1258" s="14" t="s">
        <v>15033</v>
      </c>
      <c r="E1258" s="150" t="str">
        <f t="shared" si="26"/>
        <v>http://dx.doi.org/10.1109/VISUAL.2004.5</v>
      </c>
      <c r="F1258" s="14">
        <v>107.0</v>
      </c>
      <c r="G1258" s="14">
        <v>114.0</v>
      </c>
      <c r="H1258" s="14" t="s">
        <v>28</v>
      </c>
      <c r="I1258" s="14"/>
      <c r="J1258" s="130" t="s">
        <v>41060</v>
      </c>
      <c r="K1258" s="152" t="s">
        <v>15036</v>
      </c>
      <c r="L1258" s="20"/>
      <c r="M1258" s="174" t="s">
        <v>15037</v>
      </c>
      <c r="N1258" s="130" t="s">
        <v>41061</v>
      </c>
      <c r="O1258" s="84"/>
      <c r="P1258" s="84"/>
      <c r="Q1258" s="84"/>
      <c r="R1258" s="84"/>
      <c r="S1258" s="84"/>
      <c r="T1258" s="84"/>
      <c r="U1258" s="84"/>
      <c r="V1258" s="84"/>
      <c r="W1258" s="84"/>
      <c r="X1258" s="84"/>
    </row>
    <row r="1259" ht="15.75" customHeight="1">
      <c r="A1259" s="14" t="s">
        <v>17</v>
      </c>
      <c r="B1259" s="14">
        <v>2004.0</v>
      </c>
      <c r="C1259" s="14" t="s">
        <v>15038</v>
      </c>
      <c r="D1259" s="14" t="s">
        <v>15039</v>
      </c>
      <c r="E1259" s="150" t="str">
        <f t="shared" si="26"/>
        <v>http://dx.doi.org/10.1109/VISUAL.2004.50</v>
      </c>
      <c r="F1259" s="14">
        <v>537.0</v>
      </c>
      <c r="G1259" s="14">
        <v>544.0</v>
      </c>
      <c r="H1259" s="14" t="s">
        <v>28</v>
      </c>
      <c r="I1259" s="14"/>
      <c r="J1259" s="130" t="s">
        <v>15728</v>
      </c>
      <c r="K1259" s="152" t="s">
        <v>15045</v>
      </c>
      <c r="L1259" s="20"/>
      <c r="M1259" s="174" t="s">
        <v>15046</v>
      </c>
      <c r="N1259" s="130" t="s">
        <v>41063</v>
      </c>
      <c r="O1259" s="84"/>
      <c r="P1259" s="84"/>
      <c r="Q1259" s="84"/>
      <c r="R1259" s="84"/>
      <c r="S1259" s="84"/>
      <c r="T1259" s="84"/>
      <c r="U1259" s="84"/>
      <c r="V1259" s="84"/>
      <c r="W1259" s="84"/>
      <c r="X1259" s="84"/>
    </row>
    <row r="1260" ht="15.75" customHeight="1">
      <c r="A1260" s="14" t="s">
        <v>17</v>
      </c>
      <c r="B1260" s="14">
        <v>2004.0</v>
      </c>
      <c r="C1260" s="14" t="s">
        <v>15047</v>
      </c>
      <c r="D1260" s="14" t="s">
        <v>15048</v>
      </c>
      <c r="E1260" s="150" t="str">
        <f t="shared" si="26"/>
        <v>http://dx.doi.org/10.1109/VISUAL.2004.51</v>
      </c>
      <c r="F1260" s="14">
        <v>345.0</v>
      </c>
      <c r="G1260" s="14">
        <v>352.0</v>
      </c>
      <c r="H1260" s="14" t="s">
        <v>28</v>
      </c>
      <c r="I1260" s="14"/>
      <c r="J1260" s="130" t="s">
        <v>15737</v>
      </c>
      <c r="K1260" s="152" t="s">
        <v>15053</v>
      </c>
      <c r="L1260" s="20" t="s">
        <v>15055</v>
      </c>
      <c r="M1260" s="174" t="s">
        <v>15056</v>
      </c>
      <c r="N1260" s="130" t="s">
        <v>41066</v>
      </c>
      <c r="O1260" s="84"/>
      <c r="P1260" s="84"/>
      <c r="Q1260" s="84"/>
      <c r="R1260" s="84"/>
      <c r="S1260" s="84"/>
      <c r="T1260" s="84"/>
      <c r="U1260" s="84"/>
      <c r="V1260" s="84"/>
      <c r="W1260" s="84"/>
      <c r="X1260" s="84"/>
    </row>
    <row r="1261" ht="15.75" customHeight="1">
      <c r="A1261" s="14" t="s">
        <v>17</v>
      </c>
      <c r="B1261" s="14">
        <v>2004.0</v>
      </c>
      <c r="C1261" s="14" t="s">
        <v>15057</v>
      </c>
      <c r="D1261" s="14" t="s">
        <v>15058</v>
      </c>
      <c r="E1261" s="150" t="str">
        <f t="shared" si="26"/>
        <v>http://dx.doi.org/10.1109/VISUAL.2004.52</v>
      </c>
      <c r="F1261" s="14">
        <v>457.0</v>
      </c>
      <c r="G1261" s="14">
        <v>464.0</v>
      </c>
      <c r="H1261" s="14" t="s">
        <v>28</v>
      </c>
      <c r="I1261" s="14"/>
      <c r="J1261" s="130" t="s">
        <v>15061</v>
      </c>
      <c r="K1261" s="152" t="s">
        <v>12013</v>
      </c>
      <c r="L1261" s="20" t="s">
        <v>15062</v>
      </c>
      <c r="M1261" s="174" t="s">
        <v>15063</v>
      </c>
      <c r="N1261" s="130" t="s">
        <v>39602</v>
      </c>
      <c r="O1261" s="84"/>
      <c r="P1261" s="84"/>
      <c r="Q1261" s="84"/>
      <c r="R1261" s="84"/>
      <c r="S1261" s="84"/>
      <c r="T1261" s="84"/>
      <c r="U1261" s="84"/>
      <c r="V1261" s="84"/>
      <c r="W1261" s="84"/>
      <c r="X1261" s="84"/>
    </row>
    <row r="1262" ht="15.75" customHeight="1">
      <c r="A1262" s="14" t="s">
        <v>17</v>
      </c>
      <c r="B1262" s="14">
        <v>2004.0</v>
      </c>
      <c r="C1262" s="14" t="s">
        <v>15064</v>
      </c>
      <c r="D1262" s="14" t="s">
        <v>15065</v>
      </c>
      <c r="E1262" s="150" t="str">
        <f t="shared" si="26"/>
        <v>http://dx.doi.org/10.1109/VISUAL.2004.53</v>
      </c>
      <c r="F1262" s="14">
        <v>18.0</v>
      </c>
      <c r="G1262" s="14">
        <v>18.0</v>
      </c>
      <c r="H1262" s="14" t="s">
        <v>21</v>
      </c>
      <c r="I1262" s="14"/>
      <c r="J1262" s="130" t="s">
        <v>15070</v>
      </c>
      <c r="K1262" s="152" t="s">
        <v>15071</v>
      </c>
      <c r="L1262" s="20"/>
      <c r="M1262" s="16"/>
      <c r="N1262" s="152" t="s">
        <v>15071</v>
      </c>
      <c r="O1262" s="84"/>
      <c r="P1262" s="84"/>
      <c r="Q1262" s="84"/>
      <c r="R1262" s="84"/>
      <c r="S1262" s="84"/>
      <c r="T1262" s="84"/>
      <c r="U1262" s="84"/>
      <c r="V1262" s="84"/>
      <c r="W1262" s="84"/>
      <c r="X1262" s="84"/>
    </row>
    <row r="1263" ht="15.75" customHeight="1">
      <c r="A1263" s="14" t="s">
        <v>17</v>
      </c>
      <c r="B1263" s="14">
        <v>2004.0</v>
      </c>
      <c r="C1263" s="14" t="s">
        <v>15072</v>
      </c>
      <c r="D1263" s="14" t="s">
        <v>15073</v>
      </c>
      <c r="E1263" s="150" t="str">
        <f t="shared" si="26"/>
        <v>http://dx.doi.org/10.1109/VISUAL.2004.54</v>
      </c>
      <c r="F1263" s="14">
        <v>24.0</v>
      </c>
      <c r="G1263" s="14">
        <v>24.0</v>
      </c>
      <c r="H1263" s="14" t="s">
        <v>21</v>
      </c>
      <c r="I1263" s="14"/>
      <c r="J1263" s="130" t="s">
        <v>15075</v>
      </c>
      <c r="K1263" s="152" t="s">
        <v>15076</v>
      </c>
      <c r="L1263" s="20"/>
      <c r="M1263" s="16"/>
      <c r="N1263" s="152" t="s">
        <v>15076</v>
      </c>
      <c r="O1263" s="84"/>
      <c r="P1263" s="84"/>
      <c r="Q1263" s="84"/>
      <c r="R1263" s="84"/>
      <c r="S1263" s="84"/>
      <c r="T1263" s="84"/>
      <c r="U1263" s="84"/>
      <c r="V1263" s="84"/>
      <c r="W1263" s="84"/>
      <c r="X1263" s="84"/>
    </row>
    <row r="1264" ht="15.75" customHeight="1">
      <c r="A1264" s="14" t="s">
        <v>17</v>
      </c>
      <c r="B1264" s="14">
        <v>2004.0</v>
      </c>
      <c r="C1264" s="14" t="s">
        <v>15077</v>
      </c>
      <c r="D1264" s="14" t="s">
        <v>15079</v>
      </c>
      <c r="E1264" s="150" t="str">
        <f t="shared" si="26"/>
        <v>http://dx.doi.org/10.1109/VISUAL.2004.55</v>
      </c>
      <c r="F1264" s="14">
        <v>353.0</v>
      </c>
      <c r="G1264" s="14">
        <v>360.0</v>
      </c>
      <c r="H1264" s="14" t="s">
        <v>28</v>
      </c>
      <c r="I1264" s="14"/>
      <c r="J1264" s="130" t="s">
        <v>15035</v>
      </c>
      <c r="K1264" s="152" t="s">
        <v>10945</v>
      </c>
      <c r="L1264" s="20" t="s">
        <v>15082</v>
      </c>
      <c r="M1264" s="174" t="s">
        <v>15083</v>
      </c>
      <c r="N1264" s="130" t="s">
        <v>41074</v>
      </c>
      <c r="O1264" s="84"/>
      <c r="P1264" s="84"/>
      <c r="Q1264" s="84"/>
      <c r="R1264" s="84"/>
      <c r="S1264" s="84"/>
      <c r="T1264" s="84"/>
      <c r="U1264" s="84"/>
      <c r="V1264" s="84"/>
      <c r="W1264" s="84"/>
      <c r="X1264" s="84"/>
    </row>
    <row r="1265" ht="15.75" customHeight="1">
      <c r="A1265" s="14" t="s">
        <v>17</v>
      </c>
      <c r="B1265" s="14">
        <v>2004.0</v>
      </c>
      <c r="C1265" s="14" t="s">
        <v>15084</v>
      </c>
      <c r="D1265" s="14" t="s">
        <v>15085</v>
      </c>
      <c r="E1265" s="150" t="str">
        <f t="shared" si="26"/>
        <v>http://dx.doi.org/10.1109/VISUAL.2004.56</v>
      </c>
      <c r="F1265" s="14">
        <v>521.0</v>
      </c>
      <c r="G1265" s="14">
        <v>527.0</v>
      </c>
      <c r="H1265" s="14" t="s">
        <v>28</v>
      </c>
      <c r="I1265" s="14"/>
      <c r="J1265" s="130" t="s">
        <v>41078</v>
      </c>
      <c r="K1265" s="152" t="s">
        <v>15091</v>
      </c>
      <c r="L1265" s="20" t="s">
        <v>15092</v>
      </c>
      <c r="M1265" s="174" t="s">
        <v>15093</v>
      </c>
      <c r="N1265" s="130" t="s">
        <v>41079</v>
      </c>
      <c r="O1265" s="84"/>
      <c r="P1265" s="84"/>
      <c r="Q1265" s="84"/>
      <c r="R1265" s="84"/>
      <c r="S1265" s="84"/>
      <c r="T1265" s="84"/>
      <c r="U1265" s="84"/>
      <c r="V1265" s="84"/>
      <c r="W1265" s="84"/>
      <c r="X1265" s="84"/>
    </row>
    <row r="1266" ht="15.75" customHeight="1">
      <c r="A1266" s="14" t="s">
        <v>17</v>
      </c>
      <c r="B1266" s="14">
        <v>2004.0</v>
      </c>
      <c r="C1266" s="14" t="s">
        <v>15094</v>
      </c>
      <c r="D1266" s="14" t="s">
        <v>15095</v>
      </c>
      <c r="E1266" s="150" t="str">
        <f t="shared" si="26"/>
        <v>http://dx.doi.org/10.1109/VISUAL.2004.57</v>
      </c>
      <c r="F1266" s="14">
        <v>6.0</v>
      </c>
      <c r="G1266" s="14">
        <v>6.0</v>
      </c>
      <c r="H1266" s="14" t="s">
        <v>21</v>
      </c>
      <c r="I1266" s="14"/>
      <c r="J1266" s="130" t="s">
        <v>15100</v>
      </c>
      <c r="K1266" s="152" t="s">
        <v>15101</v>
      </c>
      <c r="L1266" s="20"/>
      <c r="M1266" s="16"/>
      <c r="N1266" s="152" t="s">
        <v>15101</v>
      </c>
      <c r="O1266" s="84"/>
      <c r="P1266" s="84"/>
      <c r="Q1266" s="84"/>
      <c r="R1266" s="84"/>
      <c r="S1266" s="84"/>
      <c r="T1266" s="84"/>
      <c r="U1266" s="84"/>
      <c r="V1266" s="84"/>
      <c r="W1266" s="84"/>
      <c r="X1266" s="84"/>
    </row>
    <row r="1267" ht="15.75" customHeight="1">
      <c r="A1267" s="14" t="s">
        <v>17</v>
      </c>
      <c r="B1267" s="14">
        <v>2004.0</v>
      </c>
      <c r="C1267" s="14" t="s">
        <v>15102</v>
      </c>
      <c r="D1267" s="14" t="s">
        <v>15104</v>
      </c>
      <c r="E1267" s="150" t="str">
        <f t="shared" si="26"/>
        <v>http://dx.doi.org/10.1109/VISUAL.2004.58</v>
      </c>
      <c r="F1267" s="14">
        <v>361.0</v>
      </c>
      <c r="G1267" s="14">
        <v>368.0</v>
      </c>
      <c r="H1267" s="14" t="s">
        <v>28</v>
      </c>
      <c r="I1267" s="14"/>
      <c r="J1267" s="130" t="s">
        <v>15110</v>
      </c>
      <c r="K1267" s="152" t="s">
        <v>5704</v>
      </c>
      <c r="L1267" s="20" t="s">
        <v>12819</v>
      </c>
      <c r="M1267" s="174" t="s">
        <v>15111</v>
      </c>
      <c r="N1267" s="130" t="s">
        <v>39819</v>
      </c>
      <c r="O1267" s="84"/>
      <c r="P1267" s="84"/>
      <c r="Q1267" s="84"/>
      <c r="R1267" s="84"/>
      <c r="S1267" s="84"/>
      <c r="T1267" s="84"/>
      <c r="U1267" s="84"/>
      <c r="V1267" s="84"/>
      <c r="W1267" s="84"/>
      <c r="X1267" s="84"/>
    </row>
    <row r="1268" ht="15.75" customHeight="1">
      <c r="A1268" s="14" t="s">
        <v>17</v>
      </c>
      <c r="B1268" s="14">
        <v>2004.0</v>
      </c>
      <c r="C1268" s="14" t="s">
        <v>15112</v>
      </c>
      <c r="D1268" s="14" t="s">
        <v>15113</v>
      </c>
      <c r="E1268" s="150" t="str">
        <f t="shared" si="26"/>
        <v>http://dx.doi.org/10.1109/VISUAL.2004.59</v>
      </c>
      <c r="F1268" s="14">
        <v>51.0</v>
      </c>
      <c r="G1268" s="14">
        <v>58.0</v>
      </c>
      <c r="H1268" s="14" t="s">
        <v>28</v>
      </c>
      <c r="I1268" s="14"/>
      <c r="J1268" s="130" t="s">
        <v>15803</v>
      </c>
      <c r="K1268" s="152" t="s">
        <v>15120</v>
      </c>
      <c r="L1268" s="20" t="s">
        <v>15121</v>
      </c>
      <c r="M1268" s="174" t="s">
        <v>15122</v>
      </c>
      <c r="N1268" s="130" t="s">
        <v>41085</v>
      </c>
      <c r="O1268" s="84"/>
      <c r="P1268" s="84"/>
      <c r="Q1268" s="84"/>
      <c r="R1268" s="84"/>
      <c r="S1268" s="84"/>
      <c r="T1268" s="84"/>
      <c r="U1268" s="84"/>
      <c r="V1268" s="84"/>
      <c r="W1268" s="84"/>
      <c r="X1268" s="84"/>
    </row>
    <row r="1269" ht="15.75" customHeight="1">
      <c r="A1269" s="14" t="s">
        <v>17</v>
      </c>
      <c r="B1269" s="14">
        <v>2004.0</v>
      </c>
      <c r="C1269" s="14" t="s">
        <v>15123</v>
      </c>
      <c r="D1269" s="14" t="s">
        <v>15124</v>
      </c>
      <c r="E1269" s="150" t="str">
        <f t="shared" si="26"/>
        <v>http://dx.doi.org/10.1109/VISUAL.2004.6</v>
      </c>
      <c r="F1269" s="14">
        <v>27.0</v>
      </c>
      <c r="G1269" s="14">
        <v>27.0</v>
      </c>
      <c r="H1269" s="14" t="s">
        <v>21</v>
      </c>
      <c r="I1269" s="14"/>
      <c r="J1269" s="130" t="s">
        <v>41088</v>
      </c>
      <c r="K1269" s="152" t="s">
        <v>14924</v>
      </c>
      <c r="L1269" s="20"/>
      <c r="M1269" s="16"/>
      <c r="N1269" s="152" t="s">
        <v>14924</v>
      </c>
      <c r="O1269" s="84"/>
      <c r="P1269" s="84"/>
      <c r="Q1269" s="84"/>
      <c r="R1269" s="84"/>
      <c r="S1269" s="84"/>
      <c r="T1269" s="84"/>
      <c r="U1269" s="84"/>
      <c r="V1269" s="84"/>
      <c r="W1269" s="84"/>
      <c r="X1269" s="84"/>
    </row>
    <row r="1270" ht="15.75" customHeight="1">
      <c r="A1270" s="14" t="s">
        <v>17</v>
      </c>
      <c r="B1270" s="14">
        <v>2004.0</v>
      </c>
      <c r="C1270" s="42" t="s">
        <v>15130</v>
      </c>
      <c r="D1270" s="14" t="s">
        <v>15131</v>
      </c>
      <c r="E1270" s="150" t="str">
        <f t="shared" si="26"/>
        <v>http://dx.doi.org/10.1109/VISUAL.2004.60</v>
      </c>
      <c r="F1270" s="14">
        <v>35.0</v>
      </c>
      <c r="G1270" s="14">
        <v>35.0</v>
      </c>
      <c r="H1270" s="14" t="s">
        <v>21</v>
      </c>
      <c r="I1270" s="14"/>
      <c r="J1270" s="130" t="s">
        <v>15840</v>
      </c>
      <c r="K1270" s="152" t="s">
        <v>15137</v>
      </c>
      <c r="L1270" s="20"/>
      <c r="M1270" s="16"/>
      <c r="N1270" s="152" t="s">
        <v>15137</v>
      </c>
      <c r="O1270" s="84"/>
      <c r="P1270" s="84"/>
      <c r="Q1270" s="84"/>
      <c r="R1270" s="84"/>
      <c r="S1270" s="84"/>
      <c r="T1270" s="84"/>
      <c r="U1270" s="84"/>
      <c r="V1270" s="84"/>
      <c r="W1270" s="84"/>
      <c r="X1270" s="84"/>
    </row>
    <row r="1271" ht="15.75" customHeight="1">
      <c r="A1271" s="14" t="s">
        <v>17</v>
      </c>
      <c r="B1271" s="14">
        <v>2004.0</v>
      </c>
      <c r="C1271" s="14" t="s">
        <v>15138</v>
      </c>
      <c r="D1271" s="14" t="s">
        <v>15139</v>
      </c>
      <c r="E1271" s="150" t="str">
        <f t="shared" si="26"/>
        <v>http://dx.doi.org/10.1109/VISUAL.2004.61</v>
      </c>
      <c r="F1271" s="14" t="s">
        <v>15144</v>
      </c>
      <c r="G1271" s="14"/>
      <c r="H1271" s="14" t="s">
        <v>21</v>
      </c>
      <c r="I1271" s="14"/>
      <c r="J1271" s="16" t="s">
        <v>15145</v>
      </c>
      <c r="K1271" s="152" t="s">
        <v>15146</v>
      </c>
      <c r="L1271" s="20"/>
      <c r="M1271" s="16"/>
      <c r="N1271" s="152" t="s">
        <v>15146</v>
      </c>
      <c r="O1271" s="84"/>
      <c r="P1271" s="84"/>
      <c r="Q1271" s="84"/>
      <c r="R1271" s="84"/>
      <c r="S1271" s="84"/>
      <c r="T1271" s="84"/>
      <c r="U1271" s="84"/>
      <c r="V1271" s="84"/>
      <c r="W1271" s="84"/>
      <c r="X1271" s="84"/>
    </row>
    <row r="1272" ht="15.75" customHeight="1">
      <c r="A1272" s="14" t="s">
        <v>17</v>
      </c>
      <c r="B1272" s="14">
        <v>2004.0</v>
      </c>
      <c r="C1272" s="14" t="s">
        <v>15147</v>
      </c>
      <c r="D1272" s="14" t="s">
        <v>15148</v>
      </c>
      <c r="E1272" s="150" t="str">
        <f t="shared" si="26"/>
        <v>http://dx.doi.org/10.1109/VISUAL.2004.62</v>
      </c>
      <c r="F1272" s="14">
        <v>281.0</v>
      </c>
      <c r="G1272" s="14">
        <v>288.0</v>
      </c>
      <c r="H1272" s="14" t="s">
        <v>28</v>
      </c>
      <c r="I1272" s="14"/>
      <c r="J1272" s="130" t="s">
        <v>15151</v>
      </c>
      <c r="K1272" s="152" t="s">
        <v>3397</v>
      </c>
      <c r="L1272" s="20" t="s">
        <v>15154</v>
      </c>
      <c r="M1272" s="174" t="s">
        <v>15155</v>
      </c>
      <c r="N1272" s="130" t="s">
        <v>41095</v>
      </c>
      <c r="O1272" s="84"/>
      <c r="P1272" s="84"/>
      <c r="Q1272" s="84"/>
      <c r="R1272" s="84"/>
      <c r="S1272" s="84"/>
      <c r="T1272" s="84"/>
      <c r="U1272" s="84"/>
      <c r="V1272" s="84"/>
      <c r="W1272" s="84"/>
      <c r="X1272" s="84"/>
    </row>
    <row r="1273" ht="15.75" customHeight="1">
      <c r="A1273" s="14" t="s">
        <v>17</v>
      </c>
      <c r="B1273" s="14">
        <v>2004.0</v>
      </c>
      <c r="C1273" s="14" t="s">
        <v>15156</v>
      </c>
      <c r="D1273" s="14" t="s">
        <v>15157</v>
      </c>
      <c r="E1273" s="150" t="str">
        <f t="shared" si="26"/>
        <v>http://dx.doi.org/10.1109/VISUAL.2004.63</v>
      </c>
      <c r="F1273" s="14">
        <v>19.0</v>
      </c>
      <c r="G1273" s="14">
        <v>26.0</v>
      </c>
      <c r="H1273" s="14" t="s">
        <v>28</v>
      </c>
      <c r="I1273" s="14"/>
      <c r="J1273" s="130" t="s">
        <v>15161</v>
      </c>
      <c r="K1273" s="152" t="s">
        <v>15162</v>
      </c>
      <c r="L1273" s="20" t="s">
        <v>15163</v>
      </c>
      <c r="M1273" s="174" t="s">
        <v>15164</v>
      </c>
      <c r="N1273" s="130" t="s">
        <v>41097</v>
      </c>
      <c r="O1273" s="84"/>
      <c r="P1273" s="84"/>
      <c r="Q1273" s="84"/>
      <c r="R1273" s="84"/>
      <c r="S1273" s="84"/>
      <c r="T1273" s="84"/>
      <c r="U1273" s="84"/>
      <c r="V1273" s="84"/>
      <c r="W1273" s="84"/>
      <c r="X1273" s="84"/>
    </row>
    <row r="1274" ht="15.75" customHeight="1">
      <c r="A1274" s="14" t="s">
        <v>17</v>
      </c>
      <c r="B1274" s="14">
        <v>2004.0</v>
      </c>
      <c r="C1274" s="14" t="s">
        <v>15166</v>
      </c>
      <c r="D1274" s="14" t="s">
        <v>15168</v>
      </c>
      <c r="E1274" s="150" t="str">
        <f t="shared" si="26"/>
        <v>http://dx.doi.org/10.1109/VISUAL.2004.64</v>
      </c>
      <c r="F1274" s="14">
        <v>289.0</v>
      </c>
      <c r="G1274" s="14">
        <v>296.0</v>
      </c>
      <c r="H1274" s="14" t="s">
        <v>28</v>
      </c>
      <c r="I1274" s="14"/>
      <c r="J1274" s="130" t="s">
        <v>15173</v>
      </c>
      <c r="K1274" s="152" t="s">
        <v>15174</v>
      </c>
      <c r="L1274" s="20" t="s">
        <v>15175</v>
      </c>
      <c r="M1274" s="174" t="s">
        <v>15176</v>
      </c>
      <c r="N1274" s="130" t="s">
        <v>41102</v>
      </c>
      <c r="O1274" s="84"/>
      <c r="P1274" s="84"/>
      <c r="Q1274" s="84"/>
      <c r="R1274" s="84"/>
      <c r="S1274" s="84"/>
      <c r="T1274" s="84"/>
      <c r="U1274" s="84"/>
      <c r="V1274" s="84"/>
      <c r="W1274" s="84"/>
      <c r="X1274" s="84"/>
    </row>
    <row r="1275" ht="15.75" customHeight="1">
      <c r="A1275" s="14" t="s">
        <v>17</v>
      </c>
      <c r="B1275" s="14">
        <v>2004.0</v>
      </c>
      <c r="C1275" s="14" t="s">
        <v>15177</v>
      </c>
      <c r="D1275" s="14" t="s">
        <v>15178</v>
      </c>
      <c r="E1275" s="150" t="str">
        <f t="shared" si="26"/>
        <v>http://dx.doi.org/10.1109/VISUAL.2004.65</v>
      </c>
      <c r="F1275" s="14">
        <v>11.0</v>
      </c>
      <c r="G1275" s="14">
        <v>18.0</v>
      </c>
      <c r="H1275" s="14" t="s">
        <v>28</v>
      </c>
      <c r="I1275" s="14"/>
      <c r="J1275" s="130" t="s">
        <v>15874</v>
      </c>
      <c r="K1275" s="152" t="s">
        <v>15183</v>
      </c>
      <c r="L1275" s="20" t="s">
        <v>15184</v>
      </c>
      <c r="M1275" s="174" t="s">
        <v>15185</v>
      </c>
      <c r="N1275" s="130" t="s">
        <v>36498</v>
      </c>
      <c r="O1275" s="84"/>
      <c r="P1275" s="84"/>
      <c r="Q1275" s="84"/>
      <c r="R1275" s="84"/>
      <c r="S1275" s="84"/>
      <c r="T1275" s="84"/>
      <c r="U1275" s="84"/>
      <c r="V1275" s="84"/>
      <c r="W1275" s="84"/>
      <c r="X1275" s="84"/>
    </row>
    <row r="1276" ht="15.75" customHeight="1">
      <c r="A1276" s="14" t="s">
        <v>17</v>
      </c>
      <c r="B1276" s="14">
        <v>2004.0</v>
      </c>
      <c r="C1276" s="14" t="s">
        <v>15186</v>
      </c>
      <c r="D1276" s="14" t="s">
        <v>15187</v>
      </c>
      <c r="E1276" s="150" t="str">
        <f t="shared" si="26"/>
        <v>http://dx.doi.org/10.1109/VISUAL.2004.66</v>
      </c>
      <c r="F1276" s="14">
        <v>5.0</v>
      </c>
      <c r="G1276" s="14">
        <v>5.0</v>
      </c>
      <c r="H1276" s="14" t="s">
        <v>21</v>
      </c>
      <c r="I1276" s="14"/>
      <c r="J1276" s="130" t="s">
        <v>15191</v>
      </c>
      <c r="K1276" s="152" t="s">
        <v>15192</v>
      </c>
      <c r="L1276" s="20"/>
      <c r="M1276" s="16"/>
      <c r="N1276" s="152" t="s">
        <v>15192</v>
      </c>
      <c r="O1276" s="84"/>
      <c r="P1276" s="84"/>
      <c r="Q1276" s="84"/>
      <c r="R1276" s="84"/>
      <c r="S1276" s="84"/>
      <c r="T1276" s="84"/>
      <c r="U1276" s="84"/>
      <c r="V1276" s="84"/>
      <c r="W1276" s="84"/>
      <c r="X1276" s="84"/>
    </row>
    <row r="1277" ht="15.75" customHeight="1">
      <c r="A1277" s="14" t="s">
        <v>17</v>
      </c>
      <c r="B1277" s="14">
        <v>2004.0</v>
      </c>
      <c r="C1277" s="14" t="s">
        <v>15194</v>
      </c>
      <c r="D1277" s="14" t="s">
        <v>15195</v>
      </c>
      <c r="E1277" s="150" t="str">
        <f t="shared" si="26"/>
        <v>http://dx.doi.org/10.1109/VISUAL.2004.67</v>
      </c>
      <c r="F1277" s="14">
        <v>12.0</v>
      </c>
      <c r="G1277" s="14">
        <v>12.0</v>
      </c>
      <c r="H1277" s="14" t="s">
        <v>21</v>
      </c>
      <c r="I1277" s="14"/>
      <c r="J1277" s="130" t="s">
        <v>15129</v>
      </c>
      <c r="K1277" s="152" t="s">
        <v>14972</v>
      </c>
      <c r="L1277" s="20"/>
      <c r="M1277" s="16"/>
      <c r="N1277" s="152" t="s">
        <v>14972</v>
      </c>
      <c r="O1277" s="84"/>
      <c r="P1277" s="84"/>
      <c r="Q1277" s="84"/>
      <c r="R1277" s="84"/>
      <c r="S1277" s="84"/>
      <c r="T1277" s="84"/>
      <c r="U1277" s="84"/>
      <c r="V1277" s="84"/>
      <c r="W1277" s="84"/>
      <c r="X1277" s="84"/>
    </row>
    <row r="1278" ht="15.75" customHeight="1">
      <c r="A1278" s="14" t="s">
        <v>17</v>
      </c>
      <c r="B1278" s="14">
        <v>2004.0</v>
      </c>
      <c r="C1278" s="14" t="s">
        <v>15202</v>
      </c>
      <c r="D1278" s="14" t="s">
        <v>15203</v>
      </c>
      <c r="E1278" s="150" t="str">
        <f t="shared" si="26"/>
        <v>http://dx.doi.org/10.1109/VISUAL.2004.68</v>
      </c>
      <c r="F1278" s="14">
        <v>275.0</v>
      </c>
      <c r="G1278" s="14">
        <v>280.0</v>
      </c>
      <c r="H1278" s="14" t="s">
        <v>28</v>
      </c>
      <c r="I1278" s="14"/>
      <c r="J1278" s="130" t="s">
        <v>15208</v>
      </c>
      <c r="K1278" s="152" t="s">
        <v>15209</v>
      </c>
      <c r="L1278" s="20"/>
      <c r="M1278" s="174" t="s">
        <v>15210</v>
      </c>
      <c r="N1278" s="152" t="s">
        <v>15209</v>
      </c>
      <c r="O1278" s="84"/>
      <c r="P1278" s="84"/>
      <c r="Q1278" s="84"/>
      <c r="R1278" s="84"/>
      <c r="S1278" s="84"/>
      <c r="T1278" s="84"/>
      <c r="U1278" s="84"/>
      <c r="V1278" s="84"/>
      <c r="W1278" s="84"/>
      <c r="X1278" s="84"/>
    </row>
    <row r="1279" ht="15.75" customHeight="1">
      <c r="A1279" s="14" t="s">
        <v>17</v>
      </c>
      <c r="B1279" s="14">
        <v>2004.0</v>
      </c>
      <c r="C1279" s="14" t="s">
        <v>15211</v>
      </c>
      <c r="D1279" s="14" t="s">
        <v>15212</v>
      </c>
      <c r="E1279" s="150" t="str">
        <f t="shared" si="26"/>
        <v>http://dx.doi.org/10.1109/VISUAL.2004.69</v>
      </c>
      <c r="F1279" s="14">
        <v>417.0</v>
      </c>
      <c r="G1279" s="14">
        <v>424.0</v>
      </c>
      <c r="H1279" s="14" t="s">
        <v>28</v>
      </c>
      <c r="I1279" s="14"/>
      <c r="J1279" s="130" t="s">
        <v>15217</v>
      </c>
      <c r="K1279" s="152" t="s">
        <v>15218</v>
      </c>
      <c r="L1279" s="20" t="s">
        <v>15219</v>
      </c>
      <c r="M1279" s="174" t="s">
        <v>15220</v>
      </c>
      <c r="N1279" s="130" t="s">
        <v>41110</v>
      </c>
      <c r="O1279" s="84"/>
      <c r="P1279" s="84"/>
      <c r="Q1279" s="84"/>
      <c r="R1279" s="84"/>
      <c r="S1279" s="84"/>
      <c r="T1279" s="84"/>
      <c r="U1279" s="84"/>
      <c r="V1279" s="84"/>
      <c r="W1279" s="84"/>
      <c r="X1279" s="84"/>
    </row>
    <row r="1280" ht="15.75" customHeight="1">
      <c r="A1280" s="14" t="s">
        <v>17</v>
      </c>
      <c r="B1280" s="14">
        <v>2004.0</v>
      </c>
      <c r="C1280" s="14" t="s">
        <v>15222</v>
      </c>
      <c r="D1280" s="14" t="s">
        <v>15223</v>
      </c>
      <c r="E1280" s="150" t="str">
        <f t="shared" si="26"/>
        <v>http://dx.doi.org/10.1109/VISUAL.2004.7</v>
      </c>
      <c r="F1280" s="14">
        <v>235.0</v>
      </c>
      <c r="G1280" s="14">
        <v>241.0</v>
      </c>
      <c r="H1280" s="14" t="s">
        <v>28</v>
      </c>
      <c r="I1280" s="14"/>
      <c r="J1280" s="130" t="s">
        <v>41115</v>
      </c>
      <c r="K1280" s="152" t="s">
        <v>880</v>
      </c>
      <c r="L1280" s="20"/>
      <c r="M1280" s="174" t="s">
        <v>15232</v>
      </c>
      <c r="N1280" s="130" t="s">
        <v>41116</v>
      </c>
      <c r="O1280" s="84"/>
      <c r="P1280" s="84"/>
      <c r="Q1280" s="84"/>
      <c r="R1280" s="84"/>
      <c r="S1280" s="84"/>
      <c r="T1280" s="84"/>
      <c r="U1280" s="84"/>
      <c r="V1280" s="84"/>
      <c r="W1280" s="84"/>
      <c r="X1280" s="84"/>
    </row>
    <row r="1281" ht="15.75" customHeight="1">
      <c r="A1281" s="14" t="s">
        <v>17</v>
      </c>
      <c r="B1281" s="14">
        <v>2004.0</v>
      </c>
      <c r="C1281" s="14" t="s">
        <v>15233</v>
      </c>
      <c r="D1281" s="14" t="s">
        <v>15234</v>
      </c>
      <c r="E1281" s="150" t="str">
        <f t="shared" si="26"/>
        <v>http://dx.doi.org/10.1109/VISUAL.2004.70</v>
      </c>
      <c r="F1281" s="14">
        <v>3.0</v>
      </c>
      <c r="G1281" s="14">
        <v>10.0</v>
      </c>
      <c r="H1281" s="14" t="s">
        <v>28</v>
      </c>
      <c r="I1281" s="14"/>
      <c r="J1281" s="130" t="s">
        <v>15239</v>
      </c>
      <c r="K1281" s="152" t="s">
        <v>15240</v>
      </c>
      <c r="L1281" s="20" t="s">
        <v>2052</v>
      </c>
      <c r="M1281" s="174" t="s">
        <v>15241</v>
      </c>
      <c r="N1281" s="152" t="s">
        <v>15240</v>
      </c>
      <c r="O1281" s="84"/>
      <c r="P1281" s="84"/>
      <c r="Q1281" s="84"/>
      <c r="R1281" s="84"/>
      <c r="S1281" s="84"/>
      <c r="T1281" s="84"/>
      <c r="U1281" s="84"/>
      <c r="V1281" s="84"/>
      <c r="W1281" s="84"/>
      <c r="X1281" s="84"/>
    </row>
    <row r="1282" ht="15.75" customHeight="1">
      <c r="A1282" s="14" t="s">
        <v>17</v>
      </c>
      <c r="B1282" s="14">
        <v>2004.0</v>
      </c>
      <c r="C1282" s="14" t="s">
        <v>15242</v>
      </c>
      <c r="D1282" s="14" t="s">
        <v>15243</v>
      </c>
      <c r="E1282" s="150" t="str">
        <f t="shared" si="26"/>
        <v>http://dx.doi.org/10.1109/VISUAL.2004.71</v>
      </c>
      <c r="F1282" s="14">
        <v>14.0</v>
      </c>
      <c r="G1282" s="14">
        <v>14.0</v>
      </c>
      <c r="H1282" s="14" t="s">
        <v>21</v>
      </c>
      <c r="I1282" s="14"/>
      <c r="J1282" s="130" t="s">
        <v>15249</v>
      </c>
      <c r="K1282" s="152" t="s">
        <v>14199</v>
      </c>
      <c r="L1282" s="20"/>
      <c r="M1282" s="16"/>
      <c r="N1282" s="152" t="s">
        <v>14199</v>
      </c>
      <c r="O1282" s="84"/>
      <c r="P1282" s="84"/>
      <c r="Q1282" s="84"/>
      <c r="R1282" s="84"/>
      <c r="S1282" s="84"/>
      <c r="T1282" s="84"/>
      <c r="U1282" s="84"/>
      <c r="V1282" s="84"/>
      <c r="W1282" s="84"/>
      <c r="X1282" s="84"/>
    </row>
    <row r="1283" ht="15.75" customHeight="1">
      <c r="A1283" s="14" t="s">
        <v>17</v>
      </c>
      <c r="B1283" s="14">
        <v>2004.0</v>
      </c>
      <c r="C1283" s="14" t="s">
        <v>15250</v>
      </c>
      <c r="D1283" s="14" t="s">
        <v>15251</v>
      </c>
      <c r="E1283" s="150" t="str">
        <f t="shared" si="26"/>
        <v>http://dx.doi.org/10.1109/VISUAL.2004.72</v>
      </c>
      <c r="F1283" s="14">
        <v>393.0</v>
      </c>
      <c r="G1283" s="14">
        <v>400.0</v>
      </c>
      <c r="H1283" s="14" t="s">
        <v>28</v>
      </c>
      <c r="I1283" s="14"/>
      <c r="J1283" s="130" t="s">
        <v>41120</v>
      </c>
      <c r="K1283" s="152" t="s">
        <v>15257</v>
      </c>
      <c r="L1283" s="20" t="s">
        <v>11129</v>
      </c>
      <c r="M1283" s="174" t="s">
        <v>15258</v>
      </c>
      <c r="N1283" s="130" t="s">
        <v>41121</v>
      </c>
      <c r="O1283" s="84"/>
      <c r="P1283" s="84"/>
      <c r="Q1283" s="84"/>
      <c r="R1283" s="84"/>
      <c r="S1283" s="84"/>
      <c r="T1283" s="84"/>
      <c r="U1283" s="84"/>
      <c r="V1283" s="84"/>
      <c r="W1283" s="84"/>
      <c r="X1283" s="84"/>
    </row>
    <row r="1284" ht="15.75" customHeight="1">
      <c r="A1284" s="14" t="s">
        <v>17</v>
      </c>
      <c r="B1284" s="14">
        <v>2004.0</v>
      </c>
      <c r="C1284" s="14" t="s">
        <v>15259</v>
      </c>
      <c r="D1284" s="14" t="s">
        <v>15262</v>
      </c>
      <c r="E1284" s="150" t="str">
        <f t="shared" si="26"/>
        <v>http://dx.doi.org/10.1109/VISUAL.2004.73</v>
      </c>
      <c r="F1284" s="14">
        <v>305.0</v>
      </c>
      <c r="G1284" s="14">
        <v>312.0</v>
      </c>
      <c r="H1284" s="14" t="s">
        <v>28</v>
      </c>
      <c r="I1284" s="14"/>
      <c r="J1284" s="130" t="s">
        <v>5975</v>
      </c>
      <c r="K1284" s="152" t="s">
        <v>15266</v>
      </c>
      <c r="L1284" s="20" t="s">
        <v>15267</v>
      </c>
      <c r="M1284" s="174" t="s">
        <v>15268</v>
      </c>
      <c r="N1284" s="130" t="s">
        <v>15593</v>
      </c>
      <c r="O1284" s="84"/>
      <c r="P1284" s="84"/>
      <c r="Q1284" s="84"/>
      <c r="R1284" s="84"/>
      <c r="S1284" s="84"/>
      <c r="T1284" s="84"/>
      <c r="U1284" s="84"/>
      <c r="V1284" s="84"/>
      <c r="W1284" s="84"/>
      <c r="X1284" s="84"/>
    </row>
    <row r="1285" ht="15.75" customHeight="1">
      <c r="A1285" s="14" t="s">
        <v>17</v>
      </c>
      <c r="B1285" s="14">
        <v>2004.0</v>
      </c>
      <c r="C1285" s="14" t="s">
        <v>15270</v>
      </c>
      <c r="D1285" s="14" t="s">
        <v>15272</v>
      </c>
      <c r="E1285" s="150" t="str">
        <f t="shared" si="26"/>
        <v>http://dx.doi.org/10.1109/VISUAL.2004.74</v>
      </c>
      <c r="F1285" s="14">
        <v>17.0</v>
      </c>
      <c r="G1285" s="14">
        <v>17.0</v>
      </c>
      <c r="H1285" s="14" t="s">
        <v>21</v>
      </c>
      <c r="I1285" s="14"/>
      <c r="J1285" s="130" t="s">
        <v>15231</v>
      </c>
      <c r="K1285" s="152" t="s">
        <v>15278</v>
      </c>
      <c r="L1285" s="20"/>
      <c r="M1285" s="16"/>
      <c r="N1285" s="152" t="s">
        <v>15278</v>
      </c>
      <c r="O1285" s="84"/>
      <c r="P1285" s="84"/>
      <c r="Q1285" s="84"/>
      <c r="R1285" s="84"/>
      <c r="S1285" s="84"/>
      <c r="T1285" s="84"/>
      <c r="U1285" s="84"/>
      <c r="V1285" s="84"/>
      <c r="W1285" s="84"/>
      <c r="X1285" s="84"/>
    </row>
    <row r="1286" ht="15.75" customHeight="1">
      <c r="A1286" s="14" t="s">
        <v>17</v>
      </c>
      <c r="B1286" s="14">
        <v>2004.0</v>
      </c>
      <c r="C1286" s="14" t="s">
        <v>15279</v>
      </c>
      <c r="D1286" s="14" t="s">
        <v>15280</v>
      </c>
      <c r="E1286" s="150" t="str">
        <f t="shared" si="26"/>
        <v>http://dx.doi.org/10.1109/VISUAL.2004.75</v>
      </c>
      <c r="F1286" s="14">
        <v>267.0</v>
      </c>
      <c r="G1286" s="14">
        <v>274.0</v>
      </c>
      <c r="H1286" s="14" t="s">
        <v>28</v>
      </c>
      <c r="I1286" s="14"/>
      <c r="J1286" s="130" t="s">
        <v>41125</v>
      </c>
      <c r="K1286" s="152" t="s">
        <v>184</v>
      </c>
      <c r="L1286" s="20"/>
      <c r="M1286" s="174" t="s">
        <v>15286</v>
      </c>
      <c r="N1286" s="130" t="s">
        <v>41126</v>
      </c>
      <c r="O1286" s="84"/>
      <c r="P1286" s="84"/>
      <c r="Q1286" s="84"/>
      <c r="R1286" s="84"/>
      <c r="S1286" s="84"/>
      <c r="T1286" s="84"/>
      <c r="U1286" s="84"/>
      <c r="V1286" s="84"/>
      <c r="W1286" s="84"/>
      <c r="X1286" s="84"/>
    </row>
    <row r="1287" ht="15.75" customHeight="1">
      <c r="A1287" s="14" t="s">
        <v>17</v>
      </c>
      <c r="B1287" s="14">
        <v>2004.0</v>
      </c>
      <c r="C1287" s="14" t="s">
        <v>15287</v>
      </c>
      <c r="D1287" s="14" t="s">
        <v>15288</v>
      </c>
      <c r="E1287" s="150" t="str">
        <f t="shared" si="26"/>
        <v>http://dx.doi.org/10.1109/VISUAL.2004.76</v>
      </c>
      <c r="F1287" s="14">
        <v>563.0</v>
      </c>
      <c r="G1287" s="14">
        <v>566.0</v>
      </c>
      <c r="H1287" s="14" t="s">
        <v>21</v>
      </c>
      <c r="I1287" s="14"/>
      <c r="J1287" s="130" t="s">
        <v>15294</v>
      </c>
      <c r="K1287" s="152" t="s">
        <v>15296</v>
      </c>
      <c r="L1287" s="20"/>
      <c r="M1287" s="16"/>
      <c r="N1287" s="152" t="s">
        <v>15296</v>
      </c>
      <c r="O1287" s="84"/>
      <c r="P1287" s="84"/>
      <c r="Q1287" s="84"/>
      <c r="R1287" s="84"/>
      <c r="S1287" s="84"/>
      <c r="T1287" s="84"/>
      <c r="U1287" s="84"/>
      <c r="V1287" s="84"/>
      <c r="W1287" s="84"/>
      <c r="X1287" s="84"/>
    </row>
    <row r="1288" ht="15.75" customHeight="1">
      <c r="A1288" s="14" t="s">
        <v>17</v>
      </c>
      <c r="B1288" s="14">
        <v>2004.0</v>
      </c>
      <c r="C1288" s="14" t="s">
        <v>15298</v>
      </c>
      <c r="D1288" s="14" t="s">
        <v>15299</v>
      </c>
      <c r="E1288" s="150" t="str">
        <f t="shared" si="26"/>
        <v>http://dx.doi.org/10.1109/VISUAL.2004.77</v>
      </c>
      <c r="F1288" s="14">
        <v>567.0</v>
      </c>
      <c r="G1288" s="14">
        <v>568.0</v>
      </c>
      <c r="H1288" s="14" t="s">
        <v>21</v>
      </c>
      <c r="I1288" s="14"/>
      <c r="J1288" s="130" t="s">
        <v>15720</v>
      </c>
      <c r="K1288" s="152" t="s">
        <v>14824</v>
      </c>
      <c r="L1288" s="20"/>
      <c r="M1288" s="16"/>
      <c r="N1288" s="152" t="s">
        <v>14824</v>
      </c>
      <c r="O1288" s="84"/>
      <c r="P1288" s="84"/>
      <c r="Q1288" s="84"/>
      <c r="R1288" s="84"/>
      <c r="S1288" s="84"/>
      <c r="T1288" s="84"/>
      <c r="U1288" s="84"/>
      <c r="V1288" s="84"/>
      <c r="W1288" s="84"/>
      <c r="X1288" s="84"/>
    </row>
    <row r="1289" ht="15.75" customHeight="1">
      <c r="A1289" s="14" t="s">
        <v>17</v>
      </c>
      <c r="B1289" s="14">
        <v>2004.0</v>
      </c>
      <c r="C1289" s="14" t="s">
        <v>15721</v>
      </c>
      <c r="D1289" s="14" t="s">
        <v>15722</v>
      </c>
      <c r="E1289" s="150" t="str">
        <f t="shared" si="26"/>
        <v>http://dx.doi.org/10.1109/VISUAL.2004.78</v>
      </c>
      <c r="F1289" s="14">
        <v>569.0</v>
      </c>
      <c r="G1289" s="14">
        <v>571.0</v>
      </c>
      <c r="H1289" s="14" t="s">
        <v>21</v>
      </c>
      <c r="I1289" s="14"/>
      <c r="J1289" s="130" t="s">
        <v>15731</v>
      </c>
      <c r="K1289" s="152" t="s">
        <v>15732</v>
      </c>
      <c r="L1289" s="20"/>
      <c r="M1289" s="16"/>
      <c r="N1289" s="152" t="s">
        <v>15732</v>
      </c>
      <c r="O1289" s="84"/>
      <c r="P1289" s="84"/>
      <c r="Q1289" s="84"/>
      <c r="R1289" s="84"/>
      <c r="S1289" s="84"/>
      <c r="T1289" s="84"/>
      <c r="U1289" s="84"/>
      <c r="V1289" s="84"/>
      <c r="W1289" s="84"/>
      <c r="X1289" s="84"/>
    </row>
    <row r="1290" ht="15.75" customHeight="1">
      <c r="A1290" s="14" t="s">
        <v>17</v>
      </c>
      <c r="B1290" s="14">
        <v>2004.0</v>
      </c>
      <c r="C1290" s="14" t="s">
        <v>15733</v>
      </c>
      <c r="D1290" s="14" t="s">
        <v>15734</v>
      </c>
      <c r="E1290" s="150" t="str">
        <f t="shared" si="26"/>
        <v>http://dx.doi.org/10.1109/VISUAL.2004.79</v>
      </c>
      <c r="F1290" s="14">
        <v>573.0</v>
      </c>
      <c r="G1290" s="14">
        <v>575.0</v>
      </c>
      <c r="H1290" s="14" t="s">
        <v>21</v>
      </c>
      <c r="I1290" s="14"/>
      <c r="J1290" s="130" t="s">
        <v>15740</v>
      </c>
      <c r="K1290" s="152" t="s">
        <v>15741</v>
      </c>
      <c r="L1290" s="20"/>
      <c r="M1290" s="16"/>
      <c r="N1290" s="152" t="s">
        <v>15741</v>
      </c>
      <c r="O1290" s="84"/>
      <c r="P1290" s="84"/>
      <c r="Q1290" s="84"/>
      <c r="R1290" s="84"/>
      <c r="S1290" s="84"/>
      <c r="T1290" s="84"/>
      <c r="U1290" s="84"/>
      <c r="V1290" s="84"/>
      <c r="W1290" s="84"/>
      <c r="X1290" s="84"/>
    </row>
    <row r="1291" ht="15.75" customHeight="1">
      <c r="A1291" s="14" t="s">
        <v>17</v>
      </c>
      <c r="B1291" s="14">
        <v>2004.0</v>
      </c>
      <c r="C1291" s="14" t="s">
        <v>15742</v>
      </c>
      <c r="D1291" s="14" t="s">
        <v>15743</v>
      </c>
      <c r="E1291" s="150" t="str">
        <f t="shared" si="26"/>
        <v>http://dx.doi.org/10.1109/VISUAL.2004.80</v>
      </c>
      <c r="F1291" s="14">
        <v>123.0</v>
      </c>
      <c r="G1291" s="14">
        <v>130.0</v>
      </c>
      <c r="H1291" s="14" t="s">
        <v>28</v>
      </c>
      <c r="I1291" s="14"/>
      <c r="J1291" s="130" t="s">
        <v>15745</v>
      </c>
      <c r="K1291" s="152" t="s">
        <v>15746</v>
      </c>
      <c r="L1291" s="20" t="s">
        <v>15747</v>
      </c>
      <c r="M1291" s="174" t="s">
        <v>15748</v>
      </c>
      <c r="N1291" s="130" t="s">
        <v>41133</v>
      </c>
      <c r="O1291" s="84"/>
      <c r="P1291" s="84"/>
      <c r="Q1291" s="84"/>
      <c r="R1291" s="84"/>
      <c r="S1291" s="84"/>
      <c r="T1291" s="84"/>
      <c r="U1291" s="84"/>
      <c r="V1291" s="84"/>
      <c r="W1291" s="84"/>
      <c r="X1291" s="84"/>
    </row>
    <row r="1292" ht="15.75" customHeight="1">
      <c r="A1292" s="14" t="s">
        <v>17</v>
      </c>
      <c r="B1292" s="14">
        <v>2004.0</v>
      </c>
      <c r="C1292" s="14" t="s">
        <v>15749</v>
      </c>
      <c r="D1292" s="14" t="s">
        <v>15750</v>
      </c>
      <c r="E1292" s="150" t="str">
        <f t="shared" si="26"/>
        <v>http://dx.doi.org/10.1109/VISUAL.2004.81</v>
      </c>
      <c r="F1292" s="14">
        <v>425.0</v>
      </c>
      <c r="G1292" s="14">
        <v>432.0</v>
      </c>
      <c r="H1292" s="14" t="s">
        <v>28</v>
      </c>
      <c r="I1292" s="14"/>
      <c r="J1292" s="130" t="s">
        <v>15757</v>
      </c>
      <c r="K1292" s="152" t="s">
        <v>15758</v>
      </c>
      <c r="L1292" s="20" t="s">
        <v>15759</v>
      </c>
      <c r="M1292" s="174" t="s">
        <v>15760</v>
      </c>
      <c r="N1292" s="130" t="s">
        <v>41137</v>
      </c>
      <c r="O1292" s="84"/>
      <c r="P1292" s="84"/>
      <c r="Q1292" s="84"/>
      <c r="R1292" s="84"/>
      <c r="S1292" s="84"/>
      <c r="T1292" s="84"/>
      <c r="U1292" s="84"/>
      <c r="V1292" s="84"/>
      <c r="W1292" s="84"/>
      <c r="X1292" s="84"/>
    </row>
    <row r="1293" ht="15.75" customHeight="1">
      <c r="A1293" s="14" t="s">
        <v>17</v>
      </c>
      <c r="B1293" s="14">
        <v>2004.0</v>
      </c>
      <c r="C1293" s="14" t="s">
        <v>15761</v>
      </c>
      <c r="D1293" s="14" t="s">
        <v>15762</v>
      </c>
      <c r="E1293" s="150" t="str">
        <f t="shared" si="26"/>
        <v>http://dx.doi.org/10.1109/VISUAL.2004.82</v>
      </c>
      <c r="F1293" s="14">
        <v>473.0</v>
      </c>
      <c r="G1293" s="14">
        <v>480.0</v>
      </c>
      <c r="H1293" s="14" t="s">
        <v>28</v>
      </c>
      <c r="I1293" s="14"/>
      <c r="J1293" s="130" t="s">
        <v>15766</v>
      </c>
      <c r="K1293" s="152" t="s">
        <v>15767</v>
      </c>
      <c r="L1293" s="20" t="s">
        <v>2170</v>
      </c>
      <c r="M1293" s="174" t="s">
        <v>15768</v>
      </c>
      <c r="N1293" s="152" t="s">
        <v>15767</v>
      </c>
      <c r="O1293" s="84"/>
      <c r="P1293" s="84"/>
      <c r="Q1293" s="84"/>
      <c r="R1293" s="84"/>
      <c r="S1293" s="84"/>
      <c r="T1293" s="84"/>
      <c r="U1293" s="84"/>
      <c r="V1293" s="84"/>
      <c r="W1293" s="84"/>
      <c r="X1293" s="84"/>
    </row>
    <row r="1294" ht="15.75" customHeight="1">
      <c r="A1294" s="14" t="s">
        <v>17</v>
      </c>
      <c r="B1294" s="14">
        <v>2004.0</v>
      </c>
      <c r="C1294" s="14" t="s">
        <v>15769</v>
      </c>
      <c r="D1294" s="14" t="s">
        <v>15770</v>
      </c>
      <c r="E1294" s="150" t="str">
        <f t="shared" si="26"/>
        <v>http://dx.doi.org/10.1109/VISUAL.2004.85</v>
      </c>
      <c r="F1294" s="14">
        <v>27.0</v>
      </c>
      <c r="G1294" s="14">
        <v>34.0</v>
      </c>
      <c r="H1294" s="14" t="s">
        <v>28</v>
      </c>
      <c r="I1294" s="14"/>
      <c r="J1294" s="130" t="s">
        <v>15775</v>
      </c>
      <c r="K1294" s="152" t="s">
        <v>15776</v>
      </c>
      <c r="L1294" s="20" t="s">
        <v>15777</v>
      </c>
      <c r="M1294" s="174" t="s">
        <v>15778</v>
      </c>
      <c r="N1294" s="130" t="s">
        <v>41139</v>
      </c>
      <c r="O1294" s="84"/>
      <c r="P1294" s="84"/>
      <c r="Q1294" s="84"/>
      <c r="R1294" s="84"/>
      <c r="S1294" s="84"/>
      <c r="T1294" s="84"/>
      <c r="U1294" s="84"/>
      <c r="V1294" s="84"/>
      <c r="W1294" s="84"/>
      <c r="X1294" s="84"/>
    </row>
    <row r="1295" ht="15.75" customHeight="1">
      <c r="A1295" s="14" t="s">
        <v>17</v>
      </c>
      <c r="B1295" s="14">
        <v>2004.0</v>
      </c>
      <c r="C1295" s="14" t="s">
        <v>15779</v>
      </c>
      <c r="D1295" s="14" t="s">
        <v>15780</v>
      </c>
      <c r="E1295" s="150" t="str">
        <f t="shared" si="26"/>
        <v>http://dx.doi.org/10.1109/VISUAL.2004.86</v>
      </c>
      <c r="F1295" s="14">
        <v>131.0</v>
      </c>
      <c r="G1295" s="14">
        <v>138.0</v>
      </c>
      <c r="H1295" s="14" t="s">
        <v>28</v>
      </c>
      <c r="I1295" s="14"/>
      <c r="J1295" s="130" t="s">
        <v>15786</v>
      </c>
      <c r="K1295" s="152" t="s">
        <v>3047</v>
      </c>
      <c r="L1295" s="20" t="s">
        <v>15787</v>
      </c>
      <c r="M1295" s="174" t="s">
        <v>15788</v>
      </c>
      <c r="N1295" s="152" t="s">
        <v>3047</v>
      </c>
      <c r="O1295" s="84"/>
      <c r="P1295" s="84"/>
      <c r="Q1295" s="84"/>
      <c r="R1295" s="84"/>
      <c r="S1295" s="84"/>
      <c r="T1295" s="84"/>
      <c r="U1295" s="84"/>
      <c r="V1295" s="84"/>
      <c r="W1295" s="84"/>
      <c r="X1295" s="84"/>
    </row>
    <row r="1296" ht="15.75" customHeight="1">
      <c r="A1296" s="14" t="s">
        <v>17</v>
      </c>
      <c r="B1296" s="14">
        <v>2004.0</v>
      </c>
      <c r="C1296" s="14" t="s">
        <v>15789</v>
      </c>
      <c r="D1296" s="14" t="s">
        <v>15790</v>
      </c>
      <c r="E1296" s="150" t="str">
        <f t="shared" si="26"/>
        <v>http://dx.doi.org/10.1109/VISUAL.2004.87</v>
      </c>
      <c r="F1296" s="14">
        <v>203.0</v>
      </c>
      <c r="G1296" s="14">
        <v>210.0</v>
      </c>
      <c r="H1296" s="14" t="s">
        <v>28</v>
      </c>
      <c r="I1296" s="14"/>
      <c r="J1296" s="130" t="s">
        <v>13224</v>
      </c>
      <c r="K1296" s="152" t="s">
        <v>15794</v>
      </c>
      <c r="L1296" s="20" t="s">
        <v>15795</v>
      </c>
      <c r="M1296" s="174" t="s">
        <v>15796</v>
      </c>
      <c r="N1296" s="130" t="s">
        <v>13231</v>
      </c>
      <c r="O1296" s="84"/>
      <c r="P1296" s="84"/>
      <c r="Q1296" s="84"/>
      <c r="R1296" s="84"/>
      <c r="S1296" s="84"/>
      <c r="T1296" s="84"/>
      <c r="U1296" s="84"/>
      <c r="V1296" s="84"/>
      <c r="W1296" s="84"/>
      <c r="X1296" s="84"/>
    </row>
    <row r="1297" ht="15.75" customHeight="1">
      <c r="A1297" s="14" t="s">
        <v>17</v>
      </c>
      <c r="B1297" s="14">
        <v>2004.0</v>
      </c>
      <c r="C1297" s="14" t="s">
        <v>15798</v>
      </c>
      <c r="D1297" s="14" t="s">
        <v>15800</v>
      </c>
      <c r="E1297" s="150" t="str">
        <f t="shared" si="26"/>
        <v>http://dx.doi.org/10.1109/VISUAL.2004.88</v>
      </c>
      <c r="F1297" s="14">
        <v>545.0</v>
      </c>
      <c r="G1297" s="14">
        <v>552.0</v>
      </c>
      <c r="H1297" s="14" t="s">
        <v>28</v>
      </c>
      <c r="I1297" s="14"/>
      <c r="J1297" s="130" t="s">
        <v>15805</v>
      </c>
      <c r="K1297" s="152" t="s">
        <v>15807</v>
      </c>
      <c r="L1297" s="20" t="s">
        <v>15808</v>
      </c>
      <c r="M1297" s="174" t="s">
        <v>15809</v>
      </c>
      <c r="N1297" s="152" t="s">
        <v>15807</v>
      </c>
      <c r="O1297" s="84"/>
      <c r="P1297" s="84"/>
      <c r="Q1297" s="84"/>
      <c r="R1297" s="84"/>
      <c r="S1297" s="84"/>
      <c r="T1297" s="84"/>
      <c r="U1297" s="84"/>
      <c r="V1297" s="84"/>
      <c r="W1297" s="84"/>
      <c r="X1297" s="84"/>
    </row>
    <row r="1298" ht="15.75" customHeight="1">
      <c r="A1298" s="14" t="s">
        <v>17</v>
      </c>
      <c r="B1298" s="14">
        <v>2004.0</v>
      </c>
      <c r="C1298" s="14" t="s">
        <v>15810</v>
      </c>
      <c r="D1298" s="14" t="s">
        <v>15811</v>
      </c>
      <c r="E1298" s="150" t="str">
        <f t="shared" si="26"/>
        <v>http://dx.doi.org/10.1109/VISUAL.2004.89</v>
      </c>
      <c r="F1298" s="14">
        <v>34.0</v>
      </c>
      <c r="G1298" s="14">
        <v>34.0</v>
      </c>
      <c r="H1298" s="14" t="s">
        <v>21</v>
      </c>
      <c r="I1298" s="14"/>
      <c r="J1298" s="130" t="s">
        <v>16016</v>
      </c>
      <c r="K1298" s="152" t="s">
        <v>14924</v>
      </c>
      <c r="L1298" s="20"/>
      <c r="M1298" s="16"/>
      <c r="N1298" s="152" t="s">
        <v>14924</v>
      </c>
      <c r="O1298" s="84"/>
      <c r="P1298" s="84"/>
      <c r="Q1298" s="84"/>
      <c r="R1298" s="84"/>
      <c r="S1298" s="84"/>
      <c r="T1298" s="84"/>
      <c r="U1298" s="84"/>
      <c r="V1298" s="84"/>
      <c r="W1298" s="84"/>
      <c r="X1298" s="84"/>
    </row>
    <row r="1299" ht="15.75" customHeight="1">
      <c r="A1299" s="14" t="s">
        <v>17</v>
      </c>
      <c r="B1299" s="14">
        <v>2004.0</v>
      </c>
      <c r="C1299" s="14" t="s">
        <v>15814</v>
      </c>
      <c r="D1299" s="14" t="s">
        <v>15815</v>
      </c>
      <c r="E1299" s="150" t="str">
        <f t="shared" si="26"/>
        <v>http://dx.doi.org/10.1109/VISUAL.2004.9</v>
      </c>
      <c r="F1299" s="14">
        <v>33.0</v>
      </c>
      <c r="G1299" s="14">
        <v>33.0</v>
      </c>
      <c r="H1299" s="14" t="s">
        <v>21</v>
      </c>
      <c r="I1299" s="14"/>
      <c r="J1299" s="130" t="s">
        <v>41146</v>
      </c>
      <c r="K1299" s="152" t="s">
        <v>15818</v>
      </c>
      <c r="L1299" s="20"/>
      <c r="M1299" s="16"/>
      <c r="N1299" s="152" t="s">
        <v>15818</v>
      </c>
      <c r="O1299" s="84"/>
      <c r="P1299" s="84"/>
      <c r="Q1299" s="84"/>
      <c r="R1299" s="84"/>
      <c r="S1299" s="84"/>
      <c r="T1299" s="84"/>
      <c r="U1299" s="84"/>
      <c r="V1299" s="84"/>
      <c r="W1299" s="84"/>
      <c r="X1299" s="84"/>
    </row>
    <row r="1300" ht="15.75" customHeight="1">
      <c r="A1300" s="14" t="s">
        <v>17</v>
      </c>
      <c r="B1300" s="14">
        <v>2004.0</v>
      </c>
      <c r="C1300" s="14" t="s">
        <v>15819</v>
      </c>
      <c r="D1300" s="14" t="s">
        <v>15820</v>
      </c>
      <c r="E1300" s="150" t="str">
        <f t="shared" si="26"/>
        <v>http://dx.doi.org/10.1109/VISUAL.2004.90</v>
      </c>
      <c r="F1300" s="14">
        <v>99.0</v>
      </c>
      <c r="G1300" s="14">
        <v>106.0</v>
      </c>
      <c r="H1300" s="14" t="s">
        <v>28</v>
      </c>
      <c r="I1300" s="14"/>
      <c r="J1300" s="130" t="s">
        <v>15822</v>
      </c>
      <c r="K1300" s="152" t="s">
        <v>15823</v>
      </c>
      <c r="L1300" s="20" t="s">
        <v>15824</v>
      </c>
      <c r="M1300" s="174" t="s">
        <v>15825</v>
      </c>
      <c r="N1300" s="130" t="s">
        <v>39861</v>
      </c>
      <c r="O1300" s="84"/>
      <c r="P1300" s="84"/>
      <c r="Q1300" s="84"/>
      <c r="R1300" s="84"/>
      <c r="S1300" s="84"/>
      <c r="T1300" s="84"/>
      <c r="U1300" s="84"/>
      <c r="V1300" s="84"/>
      <c r="W1300" s="84"/>
      <c r="X1300" s="84"/>
    </row>
    <row r="1301" ht="15.75" customHeight="1">
      <c r="A1301" s="14" t="s">
        <v>17</v>
      </c>
      <c r="B1301" s="14">
        <v>2004.0</v>
      </c>
      <c r="C1301" s="14" t="s">
        <v>15826</v>
      </c>
      <c r="D1301" s="14" t="s">
        <v>15827</v>
      </c>
      <c r="E1301" s="150" t="str">
        <f t="shared" si="26"/>
        <v>http://dx.doi.org/10.1109/VISUAL.2004.91</v>
      </c>
      <c r="F1301" s="14">
        <v>409.0</v>
      </c>
      <c r="G1301" s="14">
        <v>416.0</v>
      </c>
      <c r="H1301" s="14" t="s">
        <v>28</v>
      </c>
      <c r="I1301" s="14"/>
      <c r="J1301" s="130" t="s">
        <v>15817</v>
      </c>
      <c r="K1301" s="152" t="s">
        <v>15829</v>
      </c>
      <c r="L1301" s="20"/>
      <c r="M1301" s="174" t="s">
        <v>15830</v>
      </c>
      <c r="N1301" s="130" t="s">
        <v>35540</v>
      </c>
      <c r="O1301" s="84"/>
      <c r="P1301" s="84"/>
      <c r="Q1301" s="84"/>
      <c r="R1301" s="84"/>
      <c r="S1301" s="84"/>
      <c r="T1301" s="84"/>
      <c r="U1301" s="84"/>
      <c r="V1301" s="84"/>
      <c r="W1301" s="84"/>
      <c r="X1301" s="84"/>
    </row>
    <row r="1302" ht="15.75" customHeight="1">
      <c r="A1302" s="14" t="s">
        <v>17</v>
      </c>
      <c r="B1302" s="14">
        <v>2004.0</v>
      </c>
      <c r="C1302" s="14" t="s">
        <v>15831</v>
      </c>
      <c r="D1302" s="14" t="s">
        <v>15832</v>
      </c>
      <c r="E1302" s="150" t="str">
        <f t="shared" si="26"/>
        <v>http://dx.doi.org/10.1109/VISUAL.2004.94</v>
      </c>
      <c r="F1302" s="14">
        <v>251.0</v>
      </c>
      <c r="G1302" s="14">
        <v>258.0</v>
      </c>
      <c r="H1302" s="14" t="s">
        <v>28</v>
      </c>
      <c r="I1302" s="14"/>
      <c r="J1302" s="130" t="s">
        <v>15835</v>
      </c>
      <c r="K1302" s="152" t="s">
        <v>12380</v>
      </c>
      <c r="L1302" s="20"/>
      <c r="M1302" s="174" t="s">
        <v>15836</v>
      </c>
      <c r="N1302" s="130" t="s">
        <v>39861</v>
      </c>
      <c r="O1302" s="84"/>
      <c r="P1302" s="84"/>
      <c r="Q1302" s="84"/>
      <c r="R1302" s="84"/>
      <c r="S1302" s="84"/>
      <c r="T1302" s="84"/>
      <c r="U1302" s="84"/>
      <c r="V1302" s="84"/>
      <c r="W1302" s="84"/>
      <c r="X1302" s="84"/>
    </row>
    <row r="1303" ht="15.75" customHeight="1">
      <c r="A1303" s="14" t="s">
        <v>17</v>
      </c>
      <c r="B1303" s="14">
        <v>2004.0</v>
      </c>
      <c r="C1303" s="14" t="s">
        <v>15837</v>
      </c>
      <c r="D1303" s="14" t="s">
        <v>15838</v>
      </c>
      <c r="E1303" s="150" t="str">
        <f t="shared" si="26"/>
        <v>http://dx.doi.org/10.1109/VISUAL.2004.95</v>
      </c>
      <c r="F1303" s="14">
        <v>171.0</v>
      </c>
      <c r="G1303" s="14">
        <v>178.0</v>
      </c>
      <c r="H1303" s="14" t="s">
        <v>28</v>
      </c>
      <c r="I1303" s="14"/>
      <c r="J1303" s="130" t="s">
        <v>15842</v>
      </c>
      <c r="K1303" s="152" t="s">
        <v>15843</v>
      </c>
      <c r="L1303" s="20" t="s">
        <v>15844</v>
      </c>
      <c r="M1303" s="174" t="s">
        <v>15845</v>
      </c>
      <c r="N1303" s="152" t="s">
        <v>15843</v>
      </c>
      <c r="O1303" s="84"/>
      <c r="P1303" s="84"/>
      <c r="Q1303" s="84"/>
      <c r="R1303" s="84"/>
      <c r="S1303" s="84"/>
      <c r="T1303" s="84"/>
      <c r="U1303" s="84"/>
      <c r="V1303" s="84"/>
      <c r="W1303" s="84"/>
      <c r="X1303" s="84"/>
    </row>
    <row r="1304" ht="15.75" customHeight="1">
      <c r="A1304" s="14" t="s">
        <v>17</v>
      </c>
      <c r="B1304" s="14">
        <v>2004.0</v>
      </c>
      <c r="C1304" s="14" t="s">
        <v>15846</v>
      </c>
      <c r="D1304" s="14" t="s">
        <v>15847</v>
      </c>
      <c r="E1304" s="150" t="str">
        <f t="shared" si="26"/>
        <v>http://dx.doi.org/10.1109/VISUAL.2004.96</v>
      </c>
      <c r="F1304" s="14">
        <v>497.0</v>
      </c>
      <c r="G1304" s="14">
        <v>504.0</v>
      </c>
      <c r="H1304" s="14" t="s">
        <v>28</v>
      </c>
      <c r="I1304" s="14"/>
      <c r="J1304" s="130" t="s">
        <v>41154</v>
      </c>
      <c r="K1304" s="152" t="s">
        <v>7837</v>
      </c>
      <c r="L1304" s="20" t="s">
        <v>15853</v>
      </c>
      <c r="M1304" s="174" t="s">
        <v>15854</v>
      </c>
      <c r="N1304" s="130" t="s">
        <v>41155</v>
      </c>
      <c r="O1304" s="84"/>
      <c r="P1304" s="84"/>
      <c r="Q1304" s="84"/>
      <c r="R1304" s="84"/>
      <c r="S1304" s="84"/>
      <c r="T1304" s="84"/>
      <c r="U1304" s="84"/>
      <c r="V1304" s="84"/>
      <c r="W1304" s="84"/>
      <c r="X1304" s="84"/>
    </row>
    <row r="1305" ht="15.75" customHeight="1">
      <c r="A1305" s="14" t="s">
        <v>17</v>
      </c>
      <c r="B1305" s="14">
        <v>2004.0</v>
      </c>
      <c r="C1305" s="14" t="s">
        <v>15856</v>
      </c>
      <c r="D1305" s="14" t="s">
        <v>15857</v>
      </c>
      <c r="E1305" s="150" t="str">
        <f t="shared" si="26"/>
        <v>http://dx.doi.org/10.1109/VISUAL.2004.98</v>
      </c>
      <c r="F1305" s="14">
        <v>513.0</v>
      </c>
      <c r="G1305" s="14">
        <v>520.0</v>
      </c>
      <c r="H1305" s="14" t="s">
        <v>28</v>
      </c>
      <c r="I1305" s="14"/>
      <c r="J1305" s="130" t="s">
        <v>41157</v>
      </c>
      <c r="K1305" s="152" t="s">
        <v>15865</v>
      </c>
      <c r="L1305" s="20" t="s">
        <v>15866</v>
      </c>
      <c r="M1305" s="174" t="s">
        <v>15867</v>
      </c>
      <c r="N1305" s="130" t="s">
        <v>41158</v>
      </c>
      <c r="O1305" s="84"/>
      <c r="P1305" s="84"/>
      <c r="Q1305" s="84"/>
      <c r="R1305" s="84"/>
      <c r="S1305" s="84"/>
      <c r="T1305" s="84"/>
      <c r="U1305" s="84"/>
      <c r="V1305" s="84"/>
      <c r="W1305" s="84"/>
      <c r="X1305" s="84"/>
    </row>
    <row r="1306" ht="15.75" customHeight="1">
      <c r="A1306" s="14" t="s">
        <v>17</v>
      </c>
      <c r="B1306" s="14">
        <v>2004.0</v>
      </c>
      <c r="C1306" s="14" t="s">
        <v>15868</v>
      </c>
      <c r="D1306" s="14" t="s">
        <v>15869</v>
      </c>
      <c r="E1306" s="150" t="str">
        <f t="shared" si="26"/>
        <v>http://dx.doi.org/10.1109/VISUAL.2004.99</v>
      </c>
      <c r="F1306" s="14">
        <v>321.0</v>
      </c>
      <c r="G1306" s="14">
        <v>328.0</v>
      </c>
      <c r="H1306" s="14" t="s">
        <v>28</v>
      </c>
      <c r="I1306" s="14"/>
      <c r="J1306" s="130" t="s">
        <v>13442</v>
      </c>
      <c r="K1306" s="152" t="s">
        <v>9852</v>
      </c>
      <c r="L1306" s="20" t="s">
        <v>15877</v>
      </c>
      <c r="M1306" s="174" t="s">
        <v>15878</v>
      </c>
      <c r="N1306" s="130" t="s">
        <v>41159</v>
      </c>
      <c r="O1306" s="84"/>
      <c r="P1306" s="84"/>
      <c r="Q1306" s="84"/>
      <c r="R1306" s="84"/>
      <c r="S1306" s="84"/>
      <c r="T1306" s="84"/>
      <c r="U1306" s="84"/>
      <c r="V1306" s="84"/>
      <c r="W1306" s="84"/>
      <c r="X1306" s="84"/>
    </row>
    <row r="1307" ht="15.75" customHeight="1">
      <c r="A1307" s="14" t="s">
        <v>2137</v>
      </c>
      <c r="B1307" s="14">
        <v>2005.0</v>
      </c>
      <c r="C1307" s="14" t="s">
        <v>15879</v>
      </c>
      <c r="D1307" s="14" t="s">
        <v>15880</v>
      </c>
      <c r="E1307" s="150" t="str">
        <f t="shared" si="26"/>
        <v>http://dx.doi.org/10.1109/INFVIS.2005.1532122</v>
      </c>
      <c r="F1307" s="14">
        <v>1.0</v>
      </c>
      <c r="G1307" s="14">
        <v>7.0</v>
      </c>
      <c r="H1307" s="14" t="s">
        <v>28</v>
      </c>
      <c r="I1307" s="14"/>
      <c r="J1307" s="130" t="s">
        <v>11897</v>
      </c>
      <c r="K1307" s="152" t="s">
        <v>15884</v>
      </c>
      <c r="L1307" s="20" t="s">
        <v>15885</v>
      </c>
      <c r="M1307" s="174" t="s">
        <v>15886</v>
      </c>
      <c r="N1307" s="130" t="s">
        <v>20172</v>
      </c>
      <c r="O1307" s="84"/>
      <c r="P1307" s="84"/>
      <c r="Q1307" s="84"/>
      <c r="R1307" s="84"/>
      <c r="S1307" s="84"/>
      <c r="T1307" s="84"/>
      <c r="U1307" s="84"/>
      <c r="V1307" s="84"/>
      <c r="W1307" s="84"/>
      <c r="X1307" s="84"/>
    </row>
    <row r="1308" ht="15.75" customHeight="1">
      <c r="A1308" s="14" t="s">
        <v>2137</v>
      </c>
      <c r="B1308" s="14">
        <v>2005.0</v>
      </c>
      <c r="C1308" s="14" t="s">
        <v>15887</v>
      </c>
      <c r="D1308" s="14" t="s">
        <v>15888</v>
      </c>
      <c r="E1308" s="150" t="str">
        <f t="shared" si="26"/>
        <v>http://dx.doi.org/10.1109/INFVIS.2005.1532123</v>
      </c>
      <c r="F1308" s="14">
        <v>8.0</v>
      </c>
      <c r="G1308" s="14">
        <v>15.0</v>
      </c>
      <c r="H1308" s="14" t="s">
        <v>28</v>
      </c>
      <c r="I1308" s="14"/>
      <c r="J1308" s="130" t="s">
        <v>16081</v>
      </c>
      <c r="K1308" s="152" t="s">
        <v>15894</v>
      </c>
      <c r="L1308" s="20"/>
      <c r="M1308" s="174" t="s">
        <v>15896</v>
      </c>
      <c r="N1308" s="130" t="s">
        <v>39045</v>
      </c>
      <c r="O1308" s="84"/>
      <c r="P1308" s="84"/>
      <c r="Q1308" s="84"/>
      <c r="R1308" s="84"/>
      <c r="S1308" s="84"/>
      <c r="T1308" s="84"/>
      <c r="U1308" s="84"/>
      <c r="V1308" s="84"/>
      <c r="W1308" s="84"/>
      <c r="X1308" s="84"/>
    </row>
    <row r="1309" ht="15.75" customHeight="1">
      <c r="A1309" s="14" t="s">
        <v>2137</v>
      </c>
      <c r="B1309" s="14">
        <v>2005.0</v>
      </c>
      <c r="C1309" s="14" t="s">
        <v>15898</v>
      </c>
      <c r="D1309" s="14" t="s">
        <v>15899</v>
      </c>
      <c r="E1309" s="150" t="str">
        <f t="shared" si="26"/>
        <v>http://dx.doi.org/10.1109/INFVIS.2005.1532124</v>
      </c>
      <c r="F1309" s="14">
        <v>16.0</v>
      </c>
      <c r="G1309" s="14">
        <v>23.0</v>
      </c>
      <c r="H1309" s="14" t="s">
        <v>28</v>
      </c>
      <c r="I1309" s="14"/>
      <c r="J1309" s="130" t="s">
        <v>15903</v>
      </c>
      <c r="K1309" s="152" t="s">
        <v>15904</v>
      </c>
      <c r="L1309" s="20" t="s">
        <v>15905</v>
      </c>
      <c r="M1309" s="174" t="s">
        <v>15906</v>
      </c>
      <c r="N1309" s="130" t="s">
        <v>41165</v>
      </c>
      <c r="O1309" s="84"/>
      <c r="P1309" s="84"/>
      <c r="Q1309" s="84"/>
      <c r="R1309" s="84"/>
      <c r="S1309" s="84"/>
      <c r="T1309" s="84"/>
      <c r="U1309" s="84"/>
      <c r="V1309" s="84"/>
      <c r="W1309" s="84"/>
      <c r="X1309" s="84"/>
    </row>
    <row r="1310" ht="15.75" customHeight="1">
      <c r="A1310" s="14" t="s">
        <v>2137</v>
      </c>
      <c r="B1310" s="14">
        <v>2005.0</v>
      </c>
      <c r="C1310" s="14" t="s">
        <v>15907</v>
      </c>
      <c r="D1310" s="14" t="s">
        <v>15908</v>
      </c>
      <c r="E1310" s="150" t="str">
        <f t="shared" si="26"/>
        <v>http://dx.doi.org/10.1109/INFVIS.2005.1532125</v>
      </c>
      <c r="F1310" s="14">
        <v>24.0</v>
      </c>
      <c r="G1310" s="14">
        <v>31.0</v>
      </c>
      <c r="H1310" s="14" t="s">
        <v>28</v>
      </c>
      <c r="I1310" s="14"/>
      <c r="J1310" s="130" t="s">
        <v>15912</v>
      </c>
      <c r="K1310" s="152" t="s">
        <v>15913</v>
      </c>
      <c r="L1310" s="20" t="s">
        <v>15914</v>
      </c>
      <c r="M1310" s="174" t="s">
        <v>15915</v>
      </c>
      <c r="N1310" s="130" t="s">
        <v>41166</v>
      </c>
      <c r="O1310" s="84"/>
      <c r="P1310" s="84"/>
      <c r="Q1310" s="84"/>
      <c r="R1310" s="84"/>
      <c r="S1310" s="84"/>
      <c r="T1310" s="84"/>
      <c r="U1310" s="84"/>
      <c r="V1310" s="84"/>
      <c r="W1310" s="84"/>
      <c r="X1310" s="84"/>
    </row>
    <row r="1311" ht="15.75" customHeight="1">
      <c r="A1311" s="14" t="s">
        <v>2137</v>
      </c>
      <c r="B1311" s="14">
        <v>2005.0</v>
      </c>
      <c r="C1311" s="14" t="s">
        <v>15916</v>
      </c>
      <c r="D1311" s="14" t="s">
        <v>15917</v>
      </c>
      <c r="E1311" s="150" t="str">
        <f t="shared" si="26"/>
        <v>http://dx.doi.org/10.1109/INFVIS.2005.1532126</v>
      </c>
      <c r="F1311" s="14">
        <v>32.0</v>
      </c>
      <c r="G1311" s="14">
        <v>39.0</v>
      </c>
      <c r="H1311" s="14" t="s">
        <v>28</v>
      </c>
      <c r="I1311" s="14"/>
      <c r="J1311" s="130" t="s">
        <v>15922</v>
      </c>
      <c r="K1311" s="152" t="s">
        <v>15923</v>
      </c>
      <c r="L1311" s="20" t="s">
        <v>13979</v>
      </c>
      <c r="M1311" s="174" t="s">
        <v>15924</v>
      </c>
      <c r="N1311" s="130" t="s">
        <v>13140</v>
      </c>
      <c r="O1311" s="84"/>
      <c r="P1311" s="84"/>
      <c r="Q1311" s="84"/>
      <c r="R1311" s="84"/>
      <c r="S1311" s="84"/>
      <c r="T1311" s="84"/>
      <c r="U1311" s="84"/>
      <c r="V1311" s="84"/>
      <c r="W1311" s="84"/>
      <c r="X1311" s="84"/>
    </row>
    <row r="1312" ht="15.75" customHeight="1">
      <c r="A1312" s="14" t="s">
        <v>2137</v>
      </c>
      <c r="B1312" s="14">
        <v>2005.0</v>
      </c>
      <c r="C1312" s="14" t="s">
        <v>15925</v>
      </c>
      <c r="D1312" s="14" t="s">
        <v>15926</v>
      </c>
      <c r="E1312" s="150" t="str">
        <f t="shared" si="26"/>
        <v>http://dx.doi.org/10.1109/INFVIS.2005.1532127</v>
      </c>
      <c r="F1312" s="14">
        <v>41.0</v>
      </c>
      <c r="G1312" s="14">
        <v>48.0</v>
      </c>
      <c r="H1312" s="14" t="s">
        <v>28</v>
      </c>
      <c r="I1312" s="14"/>
      <c r="J1312" s="130" t="s">
        <v>15929</v>
      </c>
      <c r="K1312" s="152" t="s">
        <v>15930</v>
      </c>
      <c r="L1312" s="20" t="s">
        <v>15931</v>
      </c>
      <c r="M1312" s="174" t="s">
        <v>15933</v>
      </c>
      <c r="N1312" s="152" t="s">
        <v>15930</v>
      </c>
      <c r="O1312" s="84"/>
      <c r="P1312" s="84"/>
      <c r="Q1312" s="84"/>
      <c r="R1312" s="84"/>
      <c r="S1312" s="84"/>
      <c r="T1312" s="84"/>
      <c r="U1312" s="84"/>
      <c r="V1312" s="84"/>
      <c r="W1312" s="84"/>
      <c r="X1312" s="84"/>
    </row>
    <row r="1313" ht="15.75" customHeight="1">
      <c r="A1313" s="14" t="s">
        <v>2137</v>
      </c>
      <c r="B1313" s="14">
        <v>2005.0</v>
      </c>
      <c r="C1313" s="14" t="s">
        <v>15934</v>
      </c>
      <c r="D1313" s="14" t="s">
        <v>15935</v>
      </c>
      <c r="E1313" s="150" t="str">
        <f t="shared" si="26"/>
        <v>http://dx.doi.org/10.1109/INFVIS.2005.1532128</v>
      </c>
      <c r="F1313" s="14">
        <v>49.0</v>
      </c>
      <c r="G1313" s="14">
        <v>56.0</v>
      </c>
      <c r="H1313" s="14" t="s">
        <v>28</v>
      </c>
      <c r="I1313" s="14"/>
      <c r="J1313" s="130" t="s">
        <v>15006</v>
      </c>
      <c r="K1313" s="152" t="s">
        <v>11929</v>
      </c>
      <c r="L1313" s="20" t="s">
        <v>15941</v>
      </c>
      <c r="M1313" s="174" t="s">
        <v>15942</v>
      </c>
      <c r="N1313" s="130" t="s">
        <v>40321</v>
      </c>
      <c r="O1313" s="84"/>
      <c r="P1313" s="84"/>
      <c r="Q1313" s="84"/>
      <c r="R1313" s="84"/>
      <c r="S1313" s="84"/>
      <c r="T1313" s="84"/>
      <c r="U1313" s="84"/>
      <c r="V1313" s="84"/>
      <c r="W1313" s="84"/>
      <c r="X1313" s="84"/>
    </row>
    <row r="1314" ht="15.75" customHeight="1">
      <c r="A1314" s="14" t="s">
        <v>2137</v>
      </c>
      <c r="B1314" s="14">
        <v>2005.0</v>
      </c>
      <c r="C1314" s="14" t="s">
        <v>15943</v>
      </c>
      <c r="D1314" s="14" t="s">
        <v>15944</v>
      </c>
      <c r="E1314" s="150" t="str">
        <f t="shared" si="26"/>
        <v>http://dx.doi.org/10.1109/INFVIS.2005.1532129</v>
      </c>
      <c r="F1314" s="14">
        <v>57.0</v>
      </c>
      <c r="G1314" s="14">
        <v>64.0</v>
      </c>
      <c r="H1314" s="14" t="s">
        <v>28</v>
      </c>
      <c r="I1314" s="14"/>
      <c r="J1314" s="130" t="s">
        <v>15947</v>
      </c>
      <c r="K1314" s="152" t="s">
        <v>15948</v>
      </c>
      <c r="L1314" s="20" t="s">
        <v>15949</v>
      </c>
      <c r="M1314" s="174" t="s">
        <v>15950</v>
      </c>
      <c r="N1314" s="130" t="s">
        <v>37668</v>
      </c>
      <c r="O1314" s="84"/>
      <c r="P1314" s="84"/>
      <c r="Q1314" s="84"/>
      <c r="R1314" s="84"/>
      <c r="S1314" s="84"/>
      <c r="T1314" s="84"/>
      <c r="U1314" s="84"/>
      <c r="V1314" s="84"/>
      <c r="W1314" s="84"/>
      <c r="X1314" s="84"/>
    </row>
    <row r="1315" ht="15.75" customHeight="1">
      <c r="A1315" s="14" t="s">
        <v>2137</v>
      </c>
      <c r="B1315" s="14">
        <v>2005.0</v>
      </c>
      <c r="C1315" s="14" t="s">
        <v>15954</v>
      </c>
      <c r="D1315" s="14" t="s">
        <v>15955</v>
      </c>
      <c r="E1315" s="150" t="str">
        <f t="shared" si="26"/>
        <v>http://dx.doi.org/10.1109/INFVIS.2005.1532130</v>
      </c>
      <c r="F1315" s="14">
        <v>65.0</v>
      </c>
      <c r="G1315" s="14">
        <v>72.0</v>
      </c>
      <c r="H1315" s="14" t="s">
        <v>28</v>
      </c>
      <c r="I1315" s="14"/>
      <c r="J1315" s="130" t="s">
        <v>15959</v>
      </c>
      <c r="K1315" s="152" t="s">
        <v>15960</v>
      </c>
      <c r="L1315" s="20"/>
      <c r="M1315" s="16"/>
      <c r="N1315" s="130" t="s">
        <v>41178</v>
      </c>
      <c r="O1315" s="84"/>
      <c r="P1315" s="84"/>
      <c r="Q1315" s="84"/>
      <c r="R1315" s="84"/>
      <c r="S1315" s="84"/>
      <c r="T1315" s="84"/>
      <c r="U1315" s="84"/>
      <c r="V1315" s="84"/>
      <c r="W1315" s="84"/>
      <c r="X1315" s="84"/>
    </row>
    <row r="1316" ht="15.75" customHeight="1">
      <c r="A1316" s="14" t="s">
        <v>2137</v>
      </c>
      <c r="B1316" s="14">
        <v>2005.0</v>
      </c>
      <c r="C1316" s="14" t="s">
        <v>15961</v>
      </c>
      <c r="D1316" s="14" t="s">
        <v>15962</v>
      </c>
      <c r="E1316" s="150" t="str">
        <f t="shared" si="26"/>
        <v>http://dx.doi.org/10.1109/INFVIS.2005.1532131</v>
      </c>
      <c r="F1316" s="14">
        <v>73.0</v>
      </c>
      <c r="G1316" s="14">
        <v>80.0</v>
      </c>
      <c r="H1316" s="14" t="s">
        <v>28</v>
      </c>
      <c r="I1316" s="14"/>
      <c r="J1316" s="130" t="s">
        <v>15973</v>
      </c>
      <c r="K1316" s="152" t="s">
        <v>15976</v>
      </c>
      <c r="L1316" s="20"/>
      <c r="M1316" s="174" t="s">
        <v>15978</v>
      </c>
      <c r="N1316" s="130" t="s">
        <v>41179</v>
      </c>
      <c r="O1316" s="84"/>
      <c r="P1316" s="84"/>
      <c r="Q1316" s="84"/>
      <c r="R1316" s="84"/>
      <c r="S1316" s="84"/>
      <c r="T1316" s="84"/>
      <c r="U1316" s="84"/>
      <c r="V1316" s="84"/>
      <c r="W1316" s="84"/>
      <c r="X1316" s="84"/>
    </row>
    <row r="1317" ht="15.75" customHeight="1">
      <c r="A1317" s="14" t="s">
        <v>2137</v>
      </c>
      <c r="B1317" s="14">
        <v>2005.0</v>
      </c>
      <c r="C1317" s="14" t="s">
        <v>15979</v>
      </c>
      <c r="D1317" s="14" t="s">
        <v>15980</v>
      </c>
      <c r="E1317" s="150" t="str">
        <f t="shared" si="26"/>
        <v>http://dx.doi.org/10.1109/INFVIS.2005.1532132</v>
      </c>
      <c r="F1317" s="14">
        <v>81.0</v>
      </c>
      <c r="G1317" s="14">
        <v>88.0</v>
      </c>
      <c r="H1317" s="14" t="s">
        <v>28</v>
      </c>
      <c r="I1317" s="14"/>
      <c r="J1317" s="130" t="s">
        <v>15984</v>
      </c>
      <c r="K1317" s="152" t="s">
        <v>15985</v>
      </c>
      <c r="L1317" s="20" t="s">
        <v>15986</v>
      </c>
      <c r="M1317" s="174" t="s">
        <v>15987</v>
      </c>
      <c r="N1317" s="130" t="s">
        <v>41184</v>
      </c>
      <c r="O1317" s="84"/>
      <c r="P1317" s="84"/>
      <c r="Q1317" s="84"/>
      <c r="R1317" s="84"/>
      <c r="S1317" s="84"/>
      <c r="T1317" s="84"/>
      <c r="U1317" s="84"/>
      <c r="V1317" s="84"/>
      <c r="W1317" s="84"/>
      <c r="X1317" s="84"/>
    </row>
    <row r="1318" ht="15.75" customHeight="1">
      <c r="A1318" s="14" t="s">
        <v>2137</v>
      </c>
      <c r="B1318" s="14">
        <v>2005.0</v>
      </c>
      <c r="C1318" s="14" t="s">
        <v>15989</v>
      </c>
      <c r="D1318" s="14" t="s">
        <v>15990</v>
      </c>
      <c r="E1318" s="150" t="str">
        <f t="shared" si="26"/>
        <v>http://dx.doi.org/10.1109/INFVIS.2005.1532133</v>
      </c>
      <c r="F1318" s="14">
        <v>89.0</v>
      </c>
      <c r="G1318" s="14">
        <v>94.0</v>
      </c>
      <c r="H1318" s="14" t="s">
        <v>28</v>
      </c>
      <c r="I1318" s="14"/>
      <c r="J1318" s="130" t="s">
        <v>15997</v>
      </c>
      <c r="K1318" s="152" t="s">
        <v>15767</v>
      </c>
      <c r="L1318" s="20" t="s">
        <v>15998</v>
      </c>
      <c r="M1318" s="174" t="s">
        <v>15999</v>
      </c>
      <c r="N1318" s="152" t="s">
        <v>15767</v>
      </c>
      <c r="O1318" s="84"/>
      <c r="P1318" s="84"/>
      <c r="Q1318" s="84"/>
      <c r="R1318" s="84"/>
      <c r="S1318" s="84"/>
      <c r="T1318" s="84"/>
      <c r="U1318" s="84"/>
      <c r="V1318" s="84"/>
      <c r="W1318" s="84"/>
      <c r="X1318" s="84"/>
    </row>
    <row r="1319" ht="15.75" customHeight="1">
      <c r="A1319" s="14" t="s">
        <v>2137</v>
      </c>
      <c r="B1319" s="14">
        <v>2005.0</v>
      </c>
      <c r="C1319" s="14" t="s">
        <v>16000</v>
      </c>
      <c r="D1319" s="14" t="s">
        <v>16001</v>
      </c>
      <c r="E1319" s="150" t="str">
        <f t="shared" si="26"/>
        <v>http://dx.doi.org/10.1109/INFVIS.2005.1532134</v>
      </c>
      <c r="F1319" s="14">
        <v>95.0</v>
      </c>
      <c r="G1319" s="14">
        <v>102.0</v>
      </c>
      <c r="H1319" s="14" t="s">
        <v>28</v>
      </c>
      <c r="I1319" s="14"/>
      <c r="J1319" s="130" t="s">
        <v>16007</v>
      </c>
      <c r="K1319" s="152" t="s">
        <v>13494</v>
      </c>
      <c r="L1319" s="20" t="s">
        <v>13780</v>
      </c>
      <c r="M1319" s="174" t="s">
        <v>16008</v>
      </c>
      <c r="N1319" s="130" t="s">
        <v>40364</v>
      </c>
      <c r="O1319" s="84"/>
      <c r="P1319" s="84"/>
      <c r="Q1319" s="84"/>
      <c r="R1319" s="84"/>
      <c r="S1319" s="84"/>
      <c r="T1319" s="84"/>
      <c r="U1319" s="84"/>
      <c r="V1319" s="84"/>
      <c r="W1319" s="84"/>
      <c r="X1319" s="84"/>
    </row>
    <row r="1320" ht="15.75" customHeight="1">
      <c r="A1320" s="14" t="s">
        <v>2137</v>
      </c>
      <c r="B1320" s="14">
        <v>2005.0</v>
      </c>
      <c r="C1320" s="14" t="s">
        <v>16009</v>
      </c>
      <c r="D1320" s="14" t="s">
        <v>16010</v>
      </c>
      <c r="E1320" s="150" t="str">
        <f t="shared" si="26"/>
        <v>http://dx.doi.org/10.1109/INFVIS.2005.1532135</v>
      </c>
      <c r="F1320" s="14">
        <v>103.0</v>
      </c>
      <c r="G1320" s="14">
        <v>110.0</v>
      </c>
      <c r="H1320" s="14" t="s">
        <v>28</v>
      </c>
      <c r="I1320" s="14"/>
      <c r="J1320" s="130" t="s">
        <v>16169</v>
      </c>
      <c r="K1320" s="152" t="s">
        <v>16019</v>
      </c>
      <c r="L1320" s="20"/>
      <c r="M1320" s="174" t="s">
        <v>16021</v>
      </c>
      <c r="N1320" s="130" t="s">
        <v>41186</v>
      </c>
      <c r="O1320" s="84"/>
      <c r="P1320" s="84"/>
      <c r="Q1320" s="84"/>
      <c r="R1320" s="84"/>
      <c r="S1320" s="84"/>
      <c r="T1320" s="84"/>
      <c r="U1320" s="84"/>
      <c r="V1320" s="84"/>
      <c r="W1320" s="84"/>
      <c r="X1320" s="84"/>
    </row>
    <row r="1321" ht="15.75" customHeight="1">
      <c r="A1321" s="14" t="s">
        <v>2137</v>
      </c>
      <c r="B1321" s="14">
        <v>2005.0</v>
      </c>
      <c r="C1321" s="14" t="s">
        <v>16023</v>
      </c>
      <c r="D1321" s="14" t="s">
        <v>16024</v>
      </c>
      <c r="E1321" s="150" t="str">
        <f t="shared" si="26"/>
        <v>http://dx.doi.org/10.1109/INFVIS.2005.1532136</v>
      </c>
      <c r="F1321" s="14">
        <v>111.0</v>
      </c>
      <c r="G1321" s="14">
        <v>117.0</v>
      </c>
      <c r="H1321" s="14" t="s">
        <v>28</v>
      </c>
      <c r="I1321" s="14"/>
      <c r="J1321" s="130" t="s">
        <v>16029</v>
      </c>
      <c r="K1321" s="152" t="s">
        <v>16030</v>
      </c>
      <c r="L1321" s="20" t="s">
        <v>16031</v>
      </c>
      <c r="M1321" s="174" t="s">
        <v>16032</v>
      </c>
      <c r="N1321" s="130" t="s">
        <v>41190</v>
      </c>
      <c r="O1321" s="84"/>
      <c r="P1321" s="84"/>
      <c r="Q1321" s="84"/>
      <c r="R1321" s="84"/>
      <c r="S1321" s="84"/>
      <c r="T1321" s="84"/>
      <c r="U1321" s="84"/>
      <c r="V1321" s="84"/>
      <c r="W1321" s="84"/>
      <c r="X1321" s="84"/>
    </row>
    <row r="1322" ht="15.75" customHeight="1">
      <c r="A1322" s="14" t="s">
        <v>2137</v>
      </c>
      <c r="B1322" s="14">
        <v>2005.0</v>
      </c>
      <c r="C1322" s="14" t="s">
        <v>16033</v>
      </c>
      <c r="D1322" s="14" t="s">
        <v>16035</v>
      </c>
      <c r="E1322" s="150" t="str">
        <f t="shared" si="26"/>
        <v>http://dx.doi.org/10.1109/INFVIS.2005.1532137</v>
      </c>
      <c r="F1322" s="14">
        <v>119.0</v>
      </c>
      <c r="G1322" s="14">
        <v>124.0</v>
      </c>
      <c r="H1322" s="14" t="s">
        <v>28</v>
      </c>
      <c r="I1322" s="14"/>
      <c r="J1322" s="130" t="s">
        <v>16039</v>
      </c>
      <c r="K1322" s="152" t="s">
        <v>11839</v>
      </c>
      <c r="L1322" s="20"/>
      <c r="M1322" s="174" t="s">
        <v>16040</v>
      </c>
      <c r="N1322" s="130" t="s">
        <v>41196</v>
      </c>
      <c r="O1322" s="84"/>
      <c r="P1322" s="84"/>
      <c r="Q1322" s="84"/>
      <c r="R1322" s="84"/>
      <c r="S1322" s="84"/>
      <c r="T1322" s="84"/>
      <c r="U1322" s="84"/>
      <c r="V1322" s="84"/>
      <c r="W1322" s="84"/>
      <c r="X1322" s="84"/>
    </row>
    <row r="1323" ht="15.75" customHeight="1">
      <c r="A1323" s="14" t="s">
        <v>2137</v>
      </c>
      <c r="B1323" s="14">
        <v>2005.0</v>
      </c>
      <c r="C1323" s="14" t="s">
        <v>16041</v>
      </c>
      <c r="D1323" s="14" t="s">
        <v>16042</v>
      </c>
      <c r="E1323" s="150" t="str">
        <f t="shared" si="26"/>
        <v>http://dx.doi.org/10.1109/INFVIS.2005.1532138</v>
      </c>
      <c r="F1323" s="14">
        <v>125.0</v>
      </c>
      <c r="G1323" s="14">
        <v>132.0</v>
      </c>
      <c r="H1323" s="14" t="s">
        <v>28</v>
      </c>
      <c r="I1323" s="14"/>
      <c r="J1323" s="130" t="s">
        <v>16046</v>
      </c>
      <c r="K1323" s="152" t="s">
        <v>16047</v>
      </c>
      <c r="L1323" s="20" t="s">
        <v>16048</v>
      </c>
      <c r="M1323" s="174" t="s">
        <v>16049</v>
      </c>
      <c r="N1323" s="152" t="s">
        <v>16047</v>
      </c>
      <c r="O1323" s="84"/>
      <c r="P1323" s="84"/>
      <c r="Q1323" s="84"/>
      <c r="R1323" s="84"/>
      <c r="S1323" s="84"/>
      <c r="T1323" s="84"/>
      <c r="U1323" s="84"/>
      <c r="V1323" s="84"/>
      <c r="W1323" s="84"/>
      <c r="X1323" s="84"/>
    </row>
    <row r="1324" ht="15.75" customHeight="1">
      <c r="A1324" s="14" t="s">
        <v>2137</v>
      </c>
      <c r="B1324" s="14">
        <v>2005.0</v>
      </c>
      <c r="C1324" s="14" t="s">
        <v>16050</v>
      </c>
      <c r="D1324" s="14" t="s">
        <v>16051</v>
      </c>
      <c r="E1324" s="150" t="str">
        <f t="shared" si="26"/>
        <v>http://dx.doi.org/10.1109/INFVIS.2005.1532139</v>
      </c>
      <c r="F1324" s="14">
        <v>133.0</v>
      </c>
      <c r="G1324" s="14">
        <v>140.0</v>
      </c>
      <c r="H1324" s="14" t="s">
        <v>28</v>
      </c>
      <c r="I1324" s="14"/>
      <c r="J1324" s="130" t="s">
        <v>16056</v>
      </c>
      <c r="K1324" s="152" t="s">
        <v>11911</v>
      </c>
      <c r="L1324" s="20" t="s">
        <v>16057</v>
      </c>
      <c r="M1324" s="174" t="s">
        <v>16058</v>
      </c>
      <c r="N1324" s="152" t="s">
        <v>11911</v>
      </c>
      <c r="O1324" s="84"/>
      <c r="P1324" s="84"/>
      <c r="Q1324" s="84"/>
      <c r="R1324" s="84"/>
      <c r="S1324" s="84"/>
      <c r="T1324" s="84"/>
      <c r="U1324" s="84"/>
      <c r="V1324" s="84"/>
      <c r="W1324" s="84"/>
      <c r="X1324" s="84"/>
    </row>
    <row r="1325" ht="15.75" customHeight="1">
      <c r="A1325" s="14" t="s">
        <v>2137</v>
      </c>
      <c r="B1325" s="14">
        <v>2005.0</v>
      </c>
      <c r="C1325" s="14" t="s">
        <v>16060</v>
      </c>
      <c r="D1325" s="14" t="s">
        <v>16062</v>
      </c>
      <c r="E1325" s="150" t="str">
        <f t="shared" si="26"/>
        <v>http://dx.doi.org/10.1109/INFVIS.2005.1532140</v>
      </c>
      <c r="F1325" s="14">
        <v>141.0</v>
      </c>
      <c r="G1325" s="14">
        <v>148.0</v>
      </c>
      <c r="H1325" s="14" t="s">
        <v>28</v>
      </c>
      <c r="I1325" s="14"/>
      <c r="J1325" s="130" t="s">
        <v>16069</v>
      </c>
      <c r="K1325" s="152" t="s">
        <v>16070</v>
      </c>
      <c r="L1325" s="20" t="s">
        <v>16071</v>
      </c>
      <c r="M1325" s="174" t="s">
        <v>16072</v>
      </c>
      <c r="N1325" s="130" t="s">
        <v>39065</v>
      </c>
      <c r="O1325" s="84"/>
      <c r="P1325" s="84"/>
      <c r="Q1325" s="84"/>
      <c r="R1325" s="84"/>
      <c r="S1325" s="84"/>
      <c r="T1325" s="84"/>
      <c r="U1325" s="84"/>
      <c r="V1325" s="84"/>
      <c r="W1325" s="84"/>
      <c r="X1325" s="84"/>
    </row>
    <row r="1326" ht="15.75" customHeight="1">
      <c r="A1326" s="14" t="s">
        <v>2137</v>
      </c>
      <c r="B1326" s="14">
        <v>2005.0</v>
      </c>
      <c r="C1326" s="14" t="s">
        <v>16073</v>
      </c>
      <c r="D1326" s="14" t="s">
        <v>16074</v>
      </c>
      <c r="E1326" s="150" t="str">
        <f t="shared" si="26"/>
        <v>http://dx.doi.org/10.1109/INFVIS.2005.1532141</v>
      </c>
      <c r="F1326" s="14">
        <v>149.0</v>
      </c>
      <c r="G1326" s="14">
        <v>156.0</v>
      </c>
      <c r="H1326" s="14" t="s">
        <v>28</v>
      </c>
      <c r="I1326" s="14"/>
      <c r="J1326" s="130" t="s">
        <v>16083</v>
      </c>
      <c r="K1326" s="152" t="s">
        <v>12914</v>
      </c>
      <c r="L1326" s="20" t="s">
        <v>16084</v>
      </c>
      <c r="M1326" s="174" t="s">
        <v>16085</v>
      </c>
      <c r="N1326" s="130" t="s">
        <v>40475</v>
      </c>
      <c r="O1326" s="84"/>
      <c r="P1326" s="84"/>
      <c r="Q1326" s="84"/>
      <c r="R1326" s="84"/>
      <c r="S1326" s="84"/>
      <c r="T1326" s="84"/>
      <c r="U1326" s="84"/>
      <c r="V1326" s="84"/>
      <c r="W1326" s="84"/>
      <c r="X1326" s="84"/>
    </row>
    <row r="1327" ht="15.75" customHeight="1">
      <c r="A1327" s="14" t="s">
        <v>2137</v>
      </c>
      <c r="B1327" s="14">
        <v>2005.0</v>
      </c>
      <c r="C1327" s="14" t="s">
        <v>16086</v>
      </c>
      <c r="D1327" s="14" t="s">
        <v>16087</v>
      </c>
      <c r="E1327" s="150" t="str">
        <f t="shared" si="26"/>
        <v>http://dx.doi.org/10.1109/INFVIS.2005.1532142</v>
      </c>
      <c r="F1327" s="14">
        <v>157.0</v>
      </c>
      <c r="G1327" s="14">
        <v>164.0</v>
      </c>
      <c r="H1327" s="14" t="s">
        <v>28</v>
      </c>
      <c r="I1327" s="14"/>
      <c r="J1327" s="130" t="s">
        <v>16091</v>
      </c>
      <c r="K1327" s="152" t="s">
        <v>16092</v>
      </c>
      <c r="L1327" s="20" t="s">
        <v>16093</v>
      </c>
      <c r="M1327" s="174" t="s">
        <v>16094</v>
      </c>
      <c r="N1327" s="130" t="s">
        <v>41203</v>
      </c>
      <c r="O1327" s="84"/>
      <c r="P1327" s="84"/>
      <c r="Q1327" s="84"/>
      <c r="R1327" s="84"/>
      <c r="S1327" s="84"/>
      <c r="T1327" s="84"/>
      <c r="U1327" s="84"/>
      <c r="V1327" s="84"/>
      <c r="W1327" s="84"/>
      <c r="X1327" s="84"/>
    </row>
    <row r="1328" ht="15.75" customHeight="1">
      <c r="A1328" s="14" t="s">
        <v>2137</v>
      </c>
      <c r="B1328" s="14">
        <v>2005.0</v>
      </c>
      <c r="C1328" s="14" t="s">
        <v>16095</v>
      </c>
      <c r="D1328" s="14" t="s">
        <v>16096</v>
      </c>
      <c r="E1328" s="150" t="str">
        <f t="shared" si="26"/>
        <v>http://dx.doi.org/10.1109/INFVIS.2005.1532143</v>
      </c>
      <c r="F1328" s="14">
        <v>165.0</v>
      </c>
      <c r="G1328" s="14">
        <v>172.0</v>
      </c>
      <c r="H1328" s="14" t="s">
        <v>28</v>
      </c>
      <c r="I1328" s="14"/>
      <c r="J1328" s="130" t="s">
        <v>14085</v>
      </c>
      <c r="K1328" s="152" t="s">
        <v>16102</v>
      </c>
      <c r="L1328" s="20" t="s">
        <v>16103</v>
      </c>
      <c r="M1328" s="174" t="s">
        <v>16104</v>
      </c>
      <c r="N1328" s="130" t="s">
        <v>40778</v>
      </c>
      <c r="O1328" s="84"/>
      <c r="P1328" s="84"/>
      <c r="Q1328" s="84"/>
      <c r="R1328" s="84"/>
      <c r="S1328" s="84"/>
      <c r="T1328" s="84"/>
      <c r="U1328" s="84"/>
      <c r="V1328" s="84"/>
      <c r="W1328" s="84"/>
      <c r="X1328" s="84"/>
    </row>
    <row r="1329" ht="15.75" customHeight="1">
      <c r="A1329" s="14" t="s">
        <v>2137</v>
      </c>
      <c r="B1329" s="14">
        <v>2005.0</v>
      </c>
      <c r="C1329" s="14" t="s">
        <v>16105</v>
      </c>
      <c r="D1329" s="14" t="s">
        <v>16106</v>
      </c>
      <c r="E1329" s="150" t="str">
        <f t="shared" si="26"/>
        <v>http://dx.doi.org/10.1109/INFVIS.2005.1532144</v>
      </c>
      <c r="F1329" s="14">
        <v>173.0</v>
      </c>
      <c r="G1329" s="14">
        <v>180.0</v>
      </c>
      <c r="H1329" s="14" t="s">
        <v>28</v>
      </c>
      <c r="I1329" s="14"/>
      <c r="J1329" s="130" t="s">
        <v>16111</v>
      </c>
      <c r="K1329" s="152" t="s">
        <v>16113</v>
      </c>
      <c r="L1329" s="20"/>
      <c r="M1329" s="174" t="s">
        <v>16114</v>
      </c>
      <c r="N1329" s="130" t="s">
        <v>41211</v>
      </c>
      <c r="O1329" s="84"/>
      <c r="P1329" s="84"/>
      <c r="Q1329" s="84"/>
      <c r="R1329" s="84"/>
      <c r="S1329" s="84"/>
      <c r="T1329" s="84"/>
      <c r="U1329" s="84"/>
      <c r="V1329" s="84"/>
      <c r="W1329" s="84"/>
      <c r="X1329" s="84"/>
    </row>
    <row r="1330" ht="15.75" customHeight="1">
      <c r="A1330" s="14" t="s">
        <v>2137</v>
      </c>
      <c r="B1330" s="14">
        <v>2005.0</v>
      </c>
      <c r="C1330" s="14" t="s">
        <v>16116</v>
      </c>
      <c r="D1330" s="14" t="s">
        <v>16117</v>
      </c>
      <c r="E1330" s="150" t="str">
        <f t="shared" si="26"/>
        <v>http://dx.doi.org/10.1109/INFVIS.2005.1532145</v>
      </c>
      <c r="F1330" s="14">
        <v>181.0</v>
      </c>
      <c r="G1330" s="14">
        <v>186.0</v>
      </c>
      <c r="H1330" s="14" t="s">
        <v>28</v>
      </c>
      <c r="I1330" s="14"/>
      <c r="J1330" s="130" t="s">
        <v>11897</v>
      </c>
      <c r="K1330" s="152" t="s">
        <v>16122</v>
      </c>
      <c r="L1330" s="20" t="s">
        <v>16123</v>
      </c>
      <c r="M1330" s="174" t="s">
        <v>16124</v>
      </c>
      <c r="N1330" s="130" t="s">
        <v>20172</v>
      </c>
      <c r="O1330" s="84"/>
      <c r="P1330" s="84"/>
      <c r="Q1330" s="84"/>
      <c r="R1330" s="84"/>
      <c r="S1330" s="84"/>
      <c r="T1330" s="84"/>
      <c r="U1330" s="84"/>
      <c r="V1330" s="84"/>
      <c r="W1330" s="84"/>
      <c r="X1330" s="84"/>
    </row>
    <row r="1331" ht="15.75" customHeight="1">
      <c r="A1331" s="14" t="s">
        <v>2137</v>
      </c>
      <c r="B1331" s="14">
        <v>2005.0</v>
      </c>
      <c r="C1331" s="14" t="s">
        <v>16125</v>
      </c>
      <c r="D1331" s="14" t="s">
        <v>16126</v>
      </c>
      <c r="E1331" s="150" t="str">
        <f t="shared" si="26"/>
        <v>http://dx.doi.org/10.1109/INFVIS.2005.1532146</v>
      </c>
      <c r="F1331" s="14">
        <v>187.0</v>
      </c>
      <c r="G1331" s="14">
        <v>194.0</v>
      </c>
      <c r="H1331" s="14" t="s">
        <v>28</v>
      </c>
      <c r="I1331" s="14"/>
      <c r="J1331" s="130" t="s">
        <v>16131</v>
      </c>
      <c r="K1331" s="152" t="s">
        <v>16132</v>
      </c>
      <c r="L1331" s="20" t="s">
        <v>16133</v>
      </c>
      <c r="M1331" s="174" t="s">
        <v>16134</v>
      </c>
      <c r="N1331" s="152" t="s">
        <v>16132</v>
      </c>
      <c r="O1331" s="84"/>
      <c r="P1331" s="84"/>
      <c r="Q1331" s="84"/>
      <c r="R1331" s="84"/>
      <c r="S1331" s="84"/>
      <c r="T1331" s="84"/>
      <c r="U1331" s="84"/>
      <c r="V1331" s="84"/>
      <c r="W1331" s="84"/>
      <c r="X1331" s="84"/>
    </row>
    <row r="1332" ht="15.75" customHeight="1">
      <c r="A1332" s="14" t="s">
        <v>2137</v>
      </c>
      <c r="B1332" s="14">
        <v>2005.0</v>
      </c>
      <c r="C1332" s="14" t="s">
        <v>16135</v>
      </c>
      <c r="D1332" s="14" t="s">
        <v>16136</v>
      </c>
      <c r="E1332" s="150" t="str">
        <f t="shared" si="26"/>
        <v>http://dx.doi.org/10.1109/INFVIS.2005.1532147</v>
      </c>
      <c r="F1332" s="14">
        <v>195.0</v>
      </c>
      <c r="G1332" s="14">
        <v>202.0</v>
      </c>
      <c r="H1332" s="14" t="s">
        <v>28</v>
      </c>
      <c r="I1332" s="14"/>
      <c r="J1332" s="130" t="s">
        <v>16141</v>
      </c>
      <c r="K1332" s="152" t="s">
        <v>16142</v>
      </c>
      <c r="L1332" s="20"/>
      <c r="M1332" s="174" t="s">
        <v>16143</v>
      </c>
      <c r="N1332" s="152" t="s">
        <v>16142</v>
      </c>
      <c r="O1332" s="84"/>
      <c r="P1332" s="84"/>
      <c r="Q1332" s="84"/>
      <c r="R1332" s="84"/>
      <c r="S1332" s="84"/>
      <c r="T1332" s="84"/>
      <c r="U1332" s="84"/>
      <c r="V1332" s="84"/>
      <c r="W1332" s="84"/>
      <c r="X1332" s="84"/>
    </row>
    <row r="1333" ht="15.75" customHeight="1">
      <c r="A1333" s="14" t="s">
        <v>2137</v>
      </c>
      <c r="B1333" s="14">
        <v>2005.0</v>
      </c>
      <c r="C1333" s="14" t="s">
        <v>16144</v>
      </c>
      <c r="D1333" s="14" t="s">
        <v>16145</v>
      </c>
      <c r="E1333" s="150" t="str">
        <f t="shared" si="26"/>
        <v>http://dx.doi.org/10.1109/INFVIS.2005.1532148</v>
      </c>
      <c r="F1333" s="14">
        <v>203.0</v>
      </c>
      <c r="G1333" s="14">
        <v>210.0</v>
      </c>
      <c r="H1333" s="14" t="s">
        <v>28</v>
      </c>
      <c r="I1333" s="14"/>
      <c r="J1333" s="130" t="s">
        <v>16152</v>
      </c>
      <c r="K1333" s="152" t="s">
        <v>16153</v>
      </c>
      <c r="L1333" s="20" t="s">
        <v>16154</v>
      </c>
      <c r="M1333" s="174" t="s">
        <v>16155</v>
      </c>
      <c r="N1333" s="130" t="s">
        <v>41215</v>
      </c>
      <c r="O1333" s="84"/>
      <c r="P1333" s="84"/>
      <c r="Q1333" s="84"/>
      <c r="R1333" s="84"/>
      <c r="S1333" s="84"/>
      <c r="T1333" s="84"/>
      <c r="U1333" s="84"/>
      <c r="V1333" s="84"/>
      <c r="W1333" s="84"/>
      <c r="X1333" s="84"/>
    </row>
    <row r="1334" ht="15.75" customHeight="1">
      <c r="A1334" s="14" t="s">
        <v>2137</v>
      </c>
      <c r="B1334" s="14">
        <v>2005.0</v>
      </c>
      <c r="C1334" s="14" t="s">
        <v>16156</v>
      </c>
      <c r="D1334" s="14" t="s">
        <v>16157</v>
      </c>
      <c r="E1334" s="150" t="str">
        <f t="shared" si="26"/>
        <v>http://dx.doi.org/10.1109/INFVIS.2005.1532149</v>
      </c>
      <c r="F1334" s="14">
        <v>211.0</v>
      </c>
      <c r="G1334" s="14">
        <v>218.0</v>
      </c>
      <c r="H1334" s="14" t="s">
        <v>28</v>
      </c>
      <c r="I1334" s="14"/>
      <c r="J1334" s="130" t="s">
        <v>16162</v>
      </c>
      <c r="K1334" s="152" t="s">
        <v>12815</v>
      </c>
      <c r="L1334" s="20" t="s">
        <v>16163</v>
      </c>
      <c r="M1334" s="174" t="s">
        <v>16164</v>
      </c>
      <c r="N1334" s="130" t="s">
        <v>41219</v>
      </c>
      <c r="O1334" s="84"/>
      <c r="P1334" s="84"/>
      <c r="Q1334" s="84"/>
      <c r="R1334" s="84"/>
      <c r="S1334" s="84"/>
      <c r="T1334" s="84"/>
      <c r="U1334" s="84"/>
      <c r="V1334" s="84"/>
      <c r="W1334" s="84"/>
      <c r="X1334" s="84"/>
    </row>
    <row r="1335" ht="15.75" customHeight="1">
      <c r="A1335" s="14" t="s">
        <v>2137</v>
      </c>
      <c r="B1335" s="14">
        <v>2005.0</v>
      </c>
      <c r="C1335" s="14" t="s">
        <v>16165</v>
      </c>
      <c r="D1335" s="14" t="s">
        <v>16166</v>
      </c>
      <c r="E1335" s="150" t="str">
        <f t="shared" si="26"/>
        <v>http://dx.doi.org/10.1109/INFVIS.2005.1532150</v>
      </c>
      <c r="F1335" s="14">
        <v>219.0</v>
      </c>
      <c r="G1335" s="14">
        <v>224.0</v>
      </c>
      <c r="H1335" s="14" t="s">
        <v>28</v>
      </c>
      <c r="I1335" s="14"/>
      <c r="J1335" s="130" t="s">
        <v>16173</v>
      </c>
      <c r="K1335" s="152" t="s">
        <v>2823</v>
      </c>
      <c r="L1335" s="20" t="s">
        <v>16175</v>
      </c>
      <c r="M1335" s="174" t="s">
        <v>16177</v>
      </c>
      <c r="N1335" s="130" t="s">
        <v>41024</v>
      </c>
      <c r="O1335" s="84"/>
      <c r="P1335" s="84"/>
      <c r="Q1335" s="84"/>
      <c r="R1335" s="84"/>
      <c r="S1335" s="84"/>
      <c r="T1335" s="84"/>
      <c r="U1335" s="84"/>
      <c r="V1335" s="84"/>
      <c r="W1335" s="84"/>
      <c r="X1335" s="84"/>
    </row>
    <row r="1336" ht="15.75" customHeight="1">
      <c r="A1336" s="14" t="s">
        <v>2137</v>
      </c>
      <c r="B1336" s="14">
        <v>2005.0</v>
      </c>
      <c r="C1336" s="14" t="s">
        <v>16178</v>
      </c>
      <c r="D1336" s="14" t="s">
        <v>16179</v>
      </c>
      <c r="E1336" s="150" t="str">
        <f t="shared" si="26"/>
        <v>http://dx.doi.org/10.1109/INFVIS.2005.1532151</v>
      </c>
      <c r="F1336" s="14">
        <v>225.0</v>
      </c>
      <c r="G1336" s="14">
        <v>232.0</v>
      </c>
      <c r="H1336" s="14" t="s">
        <v>28</v>
      </c>
      <c r="I1336" s="14"/>
      <c r="J1336" s="130" t="s">
        <v>16184</v>
      </c>
      <c r="K1336" s="152" t="s">
        <v>4680</v>
      </c>
      <c r="L1336" s="20" t="s">
        <v>16186</v>
      </c>
      <c r="M1336" s="174" t="s">
        <v>16188</v>
      </c>
      <c r="N1336" s="130" t="s">
        <v>40299</v>
      </c>
      <c r="O1336" s="84"/>
      <c r="P1336" s="84"/>
      <c r="Q1336" s="84"/>
      <c r="R1336" s="84"/>
      <c r="S1336" s="84"/>
      <c r="T1336" s="84"/>
      <c r="U1336" s="84"/>
      <c r="V1336" s="84"/>
      <c r="W1336" s="84"/>
      <c r="X1336" s="84"/>
    </row>
    <row r="1337" ht="15.75" customHeight="1">
      <c r="A1337" s="14" t="s">
        <v>2137</v>
      </c>
      <c r="B1337" s="14">
        <v>2005.0</v>
      </c>
      <c r="C1337" s="14" t="s">
        <v>16189</v>
      </c>
      <c r="D1337" s="14" t="s">
        <v>16190</v>
      </c>
      <c r="E1337" s="150" t="str">
        <f t="shared" si="26"/>
        <v>http://dx.doi.org/10.1109/INFVIS.2005.1532152</v>
      </c>
      <c r="F1337" s="14">
        <v>233.0</v>
      </c>
      <c r="G1337" s="14">
        <v>240.0</v>
      </c>
      <c r="H1337" s="14" t="s">
        <v>28</v>
      </c>
      <c r="I1337" s="14"/>
      <c r="J1337" s="130" t="s">
        <v>16257</v>
      </c>
      <c r="K1337" s="152" t="s">
        <v>16198</v>
      </c>
      <c r="L1337" s="20" t="s">
        <v>16199</v>
      </c>
      <c r="M1337" s="174" t="s">
        <v>16200</v>
      </c>
      <c r="N1337" s="130" t="s">
        <v>41221</v>
      </c>
      <c r="O1337" s="84"/>
      <c r="P1337" s="84"/>
      <c r="Q1337" s="84"/>
      <c r="R1337" s="84"/>
      <c r="S1337" s="84"/>
      <c r="T1337" s="84"/>
      <c r="U1337" s="84"/>
      <c r="V1337" s="84"/>
      <c r="W1337" s="84"/>
      <c r="X1337" s="84"/>
    </row>
    <row r="1338" ht="15.75" customHeight="1">
      <c r="A1338" s="14" t="s">
        <v>2137</v>
      </c>
      <c r="B1338" s="14">
        <v>2005.0</v>
      </c>
      <c r="C1338" s="14" t="s">
        <v>16201</v>
      </c>
      <c r="D1338" s="14" t="s">
        <v>16202</v>
      </c>
      <c r="E1338" s="150" t="str">
        <f t="shared" si="26"/>
        <v>http://dx.doi.org/10.1109/INFVIS.2005.1532153</v>
      </c>
      <c r="F1338" s="14">
        <v>241.0</v>
      </c>
      <c r="G1338" s="14">
        <v>244.0</v>
      </c>
      <c r="H1338" s="14" t="s">
        <v>21</v>
      </c>
      <c r="I1338" s="14"/>
      <c r="J1338" s="16" t="s">
        <v>16212</v>
      </c>
      <c r="K1338" s="152" t="s">
        <v>16213</v>
      </c>
      <c r="L1338" s="20"/>
      <c r="M1338" s="16"/>
      <c r="N1338" s="152" t="s">
        <v>16213</v>
      </c>
      <c r="O1338" s="84"/>
      <c r="P1338" s="84"/>
      <c r="Q1338" s="84"/>
      <c r="R1338" s="84"/>
      <c r="S1338" s="84"/>
      <c r="T1338" s="84"/>
      <c r="U1338" s="84"/>
      <c r="V1338" s="84"/>
      <c r="W1338" s="84"/>
      <c r="X1338" s="84"/>
    </row>
    <row r="1339" ht="15.75" customHeight="1">
      <c r="A1339" s="14" t="s">
        <v>17</v>
      </c>
      <c r="B1339" s="14">
        <v>2005.0</v>
      </c>
      <c r="C1339" s="14" t="s">
        <v>16215</v>
      </c>
      <c r="D1339" s="14" t="s">
        <v>16217</v>
      </c>
      <c r="E1339" s="150" t="str">
        <f t="shared" si="26"/>
        <v>http://dx.doi.org/10.1109/VISUAL.2005.1532770</v>
      </c>
      <c r="F1339" s="14">
        <v>3.0</v>
      </c>
      <c r="G1339" s="14">
        <v>10.0</v>
      </c>
      <c r="H1339" s="14" t="s">
        <v>28</v>
      </c>
      <c r="I1339" s="14"/>
      <c r="J1339" s="130" t="s">
        <v>12502</v>
      </c>
      <c r="K1339" s="152" t="s">
        <v>13474</v>
      </c>
      <c r="L1339" s="20" t="s">
        <v>16225</v>
      </c>
      <c r="M1339" s="174" t="s">
        <v>16226</v>
      </c>
      <c r="N1339" s="130" t="s">
        <v>35935</v>
      </c>
      <c r="O1339" s="84"/>
      <c r="P1339" s="84"/>
      <c r="Q1339" s="84"/>
      <c r="R1339" s="84"/>
      <c r="S1339" s="84"/>
      <c r="T1339" s="84"/>
      <c r="U1339" s="84"/>
      <c r="V1339" s="84"/>
      <c r="W1339" s="84"/>
      <c r="X1339" s="84"/>
    </row>
    <row r="1340" ht="15.75" customHeight="1">
      <c r="A1340" s="14" t="s">
        <v>17</v>
      </c>
      <c r="B1340" s="14">
        <v>2005.0</v>
      </c>
      <c r="C1340" s="14" t="s">
        <v>16227</v>
      </c>
      <c r="D1340" s="14" t="s">
        <v>16228</v>
      </c>
      <c r="E1340" s="150" t="str">
        <f t="shared" si="26"/>
        <v>http://dx.doi.org/10.1109/VISUAL.2005.1532771</v>
      </c>
      <c r="F1340" s="14">
        <v>11.0</v>
      </c>
      <c r="G1340" s="14">
        <v>18.0</v>
      </c>
      <c r="H1340" s="14" t="s">
        <v>28</v>
      </c>
      <c r="I1340" s="14"/>
      <c r="J1340" s="130" t="s">
        <v>16238</v>
      </c>
      <c r="K1340" s="152" t="s">
        <v>10625</v>
      </c>
      <c r="L1340" s="20" t="s">
        <v>16240</v>
      </c>
      <c r="M1340" s="174" t="s">
        <v>16241</v>
      </c>
      <c r="N1340" s="152" t="s">
        <v>10625</v>
      </c>
      <c r="O1340" s="84"/>
      <c r="P1340" s="84"/>
      <c r="Q1340" s="84"/>
      <c r="R1340" s="84"/>
      <c r="S1340" s="84"/>
      <c r="T1340" s="84"/>
      <c r="U1340" s="84"/>
      <c r="V1340" s="84"/>
      <c r="W1340" s="84"/>
      <c r="X1340" s="84"/>
    </row>
    <row r="1341" ht="15.75" customHeight="1">
      <c r="A1341" s="14" t="s">
        <v>17</v>
      </c>
      <c r="B1341" s="14">
        <v>2005.0</v>
      </c>
      <c r="C1341" s="14" t="s">
        <v>16242</v>
      </c>
      <c r="D1341" s="14" t="s">
        <v>16243</v>
      </c>
      <c r="E1341" s="150" t="str">
        <f t="shared" si="26"/>
        <v>http://dx.doi.org/10.1109/VISUAL.2005.1532772</v>
      </c>
      <c r="F1341" s="14">
        <v>19.0</v>
      </c>
      <c r="G1341" s="14">
        <v>26.0</v>
      </c>
      <c r="H1341" s="14" t="s">
        <v>28</v>
      </c>
      <c r="I1341" s="14"/>
      <c r="J1341" s="130" t="s">
        <v>16250</v>
      </c>
      <c r="K1341" s="152" t="s">
        <v>7158</v>
      </c>
      <c r="L1341" s="20" t="s">
        <v>16251</v>
      </c>
      <c r="M1341" s="174" t="s">
        <v>16252</v>
      </c>
      <c r="N1341" s="152" t="s">
        <v>7158</v>
      </c>
      <c r="O1341" s="84"/>
      <c r="P1341" s="84"/>
      <c r="Q1341" s="84"/>
      <c r="R1341" s="84"/>
      <c r="S1341" s="84"/>
      <c r="T1341" s="84"/>
      <c r="U1341" s="84"/>
      <c r="V1341" s="84"/>
      <c r="W1341" s="84"/>
      <c r="X1341" s="84"/>
    </row>
    <row r="1342" ht="15.75" customHeight="1">
      <c r="A1342" s="14" t="s">
        <v>17</v>
      </c>
      <c r="B1342" s="14">
        <v>2005.0</v>
      </c>
      <c r="C1342" s="14" t="s">
        <v>16253</v>
      </c>
      <c r="D1342" s="14" t="s">
        <v>16254</v>
      </c>
      <c r="E1342" s="150" t="str">
        <f t="shared" si="26"/>
        <v>http://dx.doi.org/10.1109/VISUAL.2005.1532773</v>
      </c>
      <c r="F1342" s="14">
        <v>27.0</v>
      </c>
      <c r="G1342" s="14">
        <v>34.0</v>
      </c>
      <c r="H1342" s="14" t="s">
        <v>28</v>
      </c>
      <c r="I1342" s="14"/>
      <c r="J1342" s="130" t="s">
        <v>16263</v>
      </c>
      <c r="K1342" s="152" t="s">
        <v>16264</v>
      </c>
      <c r="L1342" s="20" t="s">
        <v>16265</v>
      </c>
      <c r="M1342" s="174" t="s">
        <v>16266</v>
      </c>
      <c r="N1342" s="130" t="s">
        <v>41233</v>
      </c>
      <c r="O1342" s="84"/>
      <c r="P1342" s="84"/>
      <c r="Q1342" s="84"/>
      <c r="R1342" s="84"/>
      <c r="S1342" s="84"/>
      <c r="T1342" s="84"/>
      <c r="U1342" s="84"/>
      <c r="V1342" s="84"/>
      <c r="W1342" s="84"/>
      <c r="X1342" s="84"/>
    </row>
    <row r="1343" ht="15.75" customHeight="1">
      <c r="A1343" s="14" t="s">
        <v>17</v>
      </c>
      <c r="B1343" s="14">
        <v>2005.0</v>
      </c>
      <c r="C1343" s="14" t="s">
        <v>16267</v>
      </c>
      <c r="D1343" s="14" t="s">
        <v>16268</v>
      </c>
      <c r="E1343" s="150" t="str">
        <f t="shared" si="26"/>
        <v>http://dx.doi.org/10.1109/VISUAL.2005.1532774</v>
      </c>
      <c r="F1343" s="14">
        <v>35.0</v>
      </c>
      <c r="G1343" s="14">
        <v>42.0</v>
      </c>
      <c r="H1343" s="14" t="s">
        <v>28</v>
      </c>
      <c r="I1343" s="14"/>
      <c r="J1343" s="130" t="s">
        <v>16275</v>
      </c>
      <c r="K1343" s="152" t="s">
        <v>16276</v>
      </c>
      <c r="L1343" s="20" t="s">
        <v>16277</v>
      </c>
      <c r="M1343" s="174" t="s">
        <v>16278</v>
      </c>
      <c r="N1343" s="130" t="s">
        <v>39271</v>
      </c>
      <c r="O1343" s="84"/>
      <c r="P1343" s="84"/>
      <c r="Q1343" s="84"/>
      <c r="R1343" s="84"/>
      <c r="S1343" s="84"/>
      <c r="T1343" s="84"/>
      <c r="U1343" s="84"/>
      <c r="V1343" s="84"/>
      <c r="W1343" s="84"/>
      <c r="X1343" s="84"/>
    </row>
    <row r="1344" ht="15.75" customHeight="1">
      <c r="A1344" s="14" t="s">
        <v>17</v>
      </c>
      <c r="B1344" s="14">
        <v>2005.0</v>
      </c>
      <c r="C1344" s="14" t="s">
        <v>16279</v>
      </c>
      <c r="D1344" s="14" t="s">
        <v>16280</v>
      </c>
      <c r="E1344" s="150" t="str">
        <f t="shared" si="26"/>
        <v>http://dx.doi.org/10.1109/VISUAL.2005.1532776</v>
      </c>
      <c r="F1344" s="14">
        <v>43.0</v>
      </c>
      <c r="G1344" s="14">
        <v>50.0</v>
      </c>
      <c r="H1344" s="14" t="s">
        <v>28</v>
      </c>
      <c r="I1344" s="14"/>
      <c r="J1344" s="130" t="s">
        <v>41238</v>
      </c>
      <c r="K1344" s="152" t="s">
        <v>1253</v>
      </c>
      <c r="L1344" s="20" t="s">
        <v>16289</v>
      </c>
      <c r="M1344" s="174" t="s">
        <v>16290</v>
      </c>
      <c r="N1344" s="130" t="s">
        <v>41242</v>
      </c>
      <c r="O1344" s="84"/>
      <c r="P1344" s="84"/>
      <c r="Q1344" s="84"/>
      <c r="R1344" s="84"/>
      <c r="S1344" s="84"/>
      <c r="T1344" s="84"/>
      <c r="U1344" s="84"/>
      <c r="V1344" s="84"/>
      <c r="W1344" s="84"/>
      <c r="X1344" s="84"/>
    </row>
    <row r="1345" ht="15.75" customHeight="1">
      <c r="A1345" s="14" t="s">
        <v>17</v>
      </c>
      <c r="B1345" s="14">
        <v>2005.0</v>
      </c>
      <c r="C1345" s="14" t="s">
        <v>16291</v>
      </c>
      <c r="D1345" s="14" t="s">
        <v>16292</v>
      </c>
      <c r="E1345" s="150" t="str">
        <f t="shared" si="26"/>
        <v>http://dx.doi.org/10.1109/VISUAL.2005.1532777</v>
      </c>
      <c r="F1345" s="14">
        <v>51.0</v>
      </c>
      <c r="G1345" s="14">
        <v>58.0</v>
      </c>
      <c r="H1345" s="14" t="s">
        <v>28</v>
      </c>
      <c r="I1345" s="14"/>
      <c r="J1345" s="130" t="s">
        <v>16298</v>
      </c>
      <c r="K1345" s="152" t="s">
        <v>16303</v>
      </c>
      <c r="L1345" s="20" t="s">
        <v>16301</v>
      </c>
      <c r="M1345" s="174" t="s">
        <v>16302</v>
      </c>
      <c r="N1345" s="152" t="s">
        <v>16303</v>
      </c>
      <c r="O1345" s="84"/>
      <c r="P1345" s="84"/>
      <c r="Q1345" s="84"/>
      <c r="R1345" s="84"/>
      <c r="S1345" s="84"/>
      <c r="T1345" s="84"/>
      <c r="U1345" s="84"/>
      <c r="V1345" s="84"/>
      <c r="W1345" s="84"/>
      <c r="X1345" s="84"/>
    </row>
    <row r="1346" ht="15.75" customHeight="1">
      <c r="A1346" s="14" t="s">
        <v>17</v>
      </c>
      <c r="B1346" s="14">
        <v>2005.0</v>
      </c>
      <c r="C1346" s="14" t="s">
        <v>16304</v>
      </c>
      <c r="D1346" s="14" t="s">
        <v>16305</v>
      </c>
      <c r="E1346" s="150" t="str">
        <f t="shared" si="26"/>
        <v>http://dx.doi.org/10.1109/VISUAL.2005.1532778</v>
      </c>
      <c r="F1346" s="14">
        <v>59.0</v>
      </c>
      <c r="G1346" s="14">
        <v>64.0</v>
      </c>
      <c r="H1346" s="14" t="s">
        <v>28</v>
      </c>
      <c r="I1346" s="14"/>
      <c r="J1346" s="130" t="s">
        <v>16308</v>
      </c>
      <c r="K1346" s="152" t="s">
        <v>16322</v>
      </c>
      <c r="L1346" s="20" t="s">
        <v>16311</v>
      </c>
      <c r="M1346" s="174" t="s">
        <v>16312</v>
      </c>
      <c r="N1346" s="130" t="s">
        <v>41252</v>
      </c>
      <c r="O1346" s="84"/>
      <c r="P1346" s="84"/>
      <c r="Q1346" s="84"/>
      <c r="R1346" s="84"/>
      <c r="S1346" s="84"/>
      <c r="T1346" s="84"/>
      <c r="U1346" s="84"/>
      <c r="V1346" s="84"/>
      <c r="W1346" s="84"/>
      <c r="X1346" s="84"/>
    </row>
    <row r="1347" ht="15.75" customHeight="1">
      <c r="A1347" s="14" t="s">
        <v>17</v>
      </c>
      <c r="B1347" s="14">
        <v>2005.0</v>
      </c>
      <c r="C1347" s="14" t="s">
        <v>16313</v>
      </c>
      <c r="D1347" s="14" t="s">
        <v>16314</v>
      </c>
      <c r="E1347" s="150" t="str">
        <f t="shared" si="26"/>
        <v>http://dx.doi.org/10.1109/VISUAL.2005.1532779</v>
      </c>
      <c r="F1347" s="14">
        <v>65.0</v>
      </c>
      <c r="G1347" s="14">
        <v>72.0</v>
      </c>
      <c r="H1347" s="14" t="s">
        <v>28</v>
      </c>
      <c r="I1347" s="14"/>
      <c r="J1347" s="130" t="s">
        <v>16316</v>
      </c>
      <c r="K1347" s="152" t="s">
        <v>16337</v>
      </c>
      <c r="L1347" s="20" t="s">
        <v>10867</v>
      </c>
      <c r="M1347" s="174" t="s">
        <v>16319</v>
      </c>
      <c r="N1347" s="130" t="s">
        <v>41254</v>
      </c>
      <c r="O1347" s="84"/>
      <c r="P1347" s="84"/>
      <c r="Q1347" s="84"/>
      <c r="R1347" s="84"/>
      <c r="S1347" s="84"/>
      <c r="T1347" s="84"/>
      <c r="U1347" s="84"/>
      <c r="V1347" s="84"/>
      <c r="W1347" s="84"/>
      <c r="X1347" s="84"/>
    </row>
    <row r="1348" ht="15.75" customHeight="1">
      <c r="A1348" s="14" t="s">
        <v>17</v>
      </c>
      <c r="B1348" s="14">
        <v>2005.0</v>
      </c>
      <c r="C1348" s="14" t="s">
        <v>16320</v>
      </c>
      <c r="D1348" s="14" t="s">
        <v>16321</v>
      </c>
      <c r="E1348" s="150" t="str">
        <f t="shared" si="26"/>
        <v>http://dx.doi.org/10.1109/VISUAL.2005.1532780</v>
      </c>
      <c r="F1348" s="14">
        <v>73.0</v>
      </c>
      <c r="G1348" s="14">
        <v>78.0</v>
      </c>
      <c r="H1348" s="14" t="s">
        <v>28</v>
      </c>
      <c r="I1348" s="14"/>
      <c r="J1348" s="130" t="s">
        <v>16324</v>
      </c>
      <c r="K1348" s="152" t="s">
        <v>16356</v>
      </c>
      <c r="L1348" s="20" t="s">
        <v>16327</v>
      </c>
      <c r="M1348" s="174" t="s">
        <v>16328</v>
      </c>
      <c r="N1348" s="130" t="s">
        <v>41258</v>
      </c>
      <c r="O1348" s="84"/>
      <c r="P1348" s="84"/>
      <c r="Q1348" s="84"/>
      <c r="R1348" s="84"/>
      <c r="S1348" s="84"/>
      <c r="T1348" s="84"/>
      <c r="U1348" s="84"/>
      <c r="V1348" s="84"/>
      <c r="W1348" s="84"/>
      <c r="X1348" s="84"/>
    </row>
    <row r="1349" ht="15.75" customHeight="1">
      <c r="A1349" s="14" t="s">
        <v>17</v>
      </c>
      <c r="B1349" s="14">
        <v>2005.0</v>
      </c>
      <c r="C1349" s="14" t="s">
        <v>16329</v>
      </c>
      <c r="D1349" s="14" t="s">
        <v>16331</v>
      </c>
      <c r="E1349" s="150" t="str">
        <f t="shared" si="26"/>
        <v>http://dx.doi.org/10.1109/VISUAL.2005.1532781</v>
      </c>
      <c r="F1349" s="14">
        <v>79.0</v>
      </c>
      <c r="G1349" s="14">
        <v>86.0</v>
      </c>
      <c r="H1349" s="14" t="s">
        <v>28</v>
      </c>
      <c r="I1349" s="14"/>
      <c r="J1349" s="130" t="s">
        <v>1304</v>
      </c>
      <c r="K1349" s="152" t="s">
        <v>16371</v>
      </c>
      <c r="L1349" s="20" t="s">
        <v>16333</v>
      </c>
      <c r="M1349" s="174" t="s">
        <v>16334</v>
      </c>
      <c r="N1349" s="130" t="s">
        <v>15415</v>
      </c>
      <c r="O1349" s="84"/>
      <c r="P1349" s="84"/>
      <c r="Q1349" s="84"/>
      <c r="R1349" s="84"/>
      <c r="S1349" s="84"/>
      <c r="T1349" s="84"/>
      <c r="U1349" s="84"/>
      <c r="V1349" s="84"/>
      <c r="W1349" s="84"/>
      <c r="X1349" s="84"/>
    </row>
    <row r="1350" ht="15.75" customHeight="1">
      <c r="A1350" s="14" t="s">
        <v>17</v>
      </c>
      <c r="B1350" s="14">
        <v>2005.0</v>
      </c>
      <c r="C1350" s="14" t="s">
        <v>16335</v>
      </c>
      <c r="D1350" s="14" t="s">
        <v>16336</v>
      </c>
      <c r="E1350" s="150" t="str">
        <f t="shared" si="26"/>
        <v>http://dx.doi.org/10.1109/VISUAL.2005.1532782</v>
      </c>
      <c r="F1350" s="14">
        <v>87.0</v>
      </c>
      <c r="G1350" s="14">
        <v>94.0</v>
      </c>
      <c r="H1350" s="14" t="s">
        <v>28</v>
      </c>
      <c r="I1350" s="14"/>
      <c r="J1350" s="130" t="s">
        <v>16340</v>
      </c>
      <c r="K1350" s="152" t="s">
        <v>16387</v>
      </c>
      <c r="L1350" s="20" t="s">
        <v>16343</v>
      </c>
      <c r="M1350" s="174" t="s">
        <v>16344</v>
      </c>
      <c r="N1350" s="130" t="s">
        <v>41264</v>
      </c>
      <c r="O1350" s="84"/>
      <c r="P1350" s="84"/>
      <c r="Q1350" s="84"/>
      <c r="R1350" s="84"/>
      <c r="S1350" s="84"/>
      <c r="T1350" s="84"/>
      <c r="U1350" s="84"/>
      <c r="V1350" s="84"/>
      <c r="W1350" s="84"/>
      <c r="X1350" s="84"/>
    </row>
    <row r="1351" ht="15.75" customHeight="1">
      <c r="A1351" s="14" t="s">
        <v>17</v>
      </c>
      <c r="B1351" s="14">
        <v>2005.0</v>
      </c>
      <c r="C1351" s="14" t="s">
        <v>16345</v>
      </c>
      <c r="D1351" s="14" t="s">
        <v>16346</v>
      </c>
      <c r="E1351" s="150" t="str">
        <f t="shared" si="26"/>
        <v>http://dx.doi.org/10.1109/VISUAL.2005.1532783</v>
      </c>
      <c r="F1351" s="14">
        <v>95.0</v>
      </c>
      <c r="G1351" s="14">
        <v>102.0</v>
      </c>
      <c r="H1351" s="14" t="s">
        <v>28</v>
      </c>
      <c r="I1351" s="14"/>
      <c r="J1351" s="130" t="s">
        <v>16348</v>
      </c>
      <c r="K1351" s="152" t="s">
        <v>16405</v>
      </c>
      <c r="L1351" s="20" t="s">
        <v>16351</v>
      </c>
      <c r="M1351" s="174" t="s">
        <v>16352</v>
      </c>
      <c r="N1351" s="130" t="s">
        <v>41267</v>
      </c>
      <c r="O1351" s="84"/>
      <c r="P1351" s="84"/>
      <c r="Q1351" s="84"/>
      <c r="R1351" s="84"/>
      <c r="S1351" s="84"/>
      <c r="T1351" s="84"/>
      <c r="U1351" s="84"/>
      <c r="V1351" s="84"/>
      <c r="W1351" s="84"/>
      <c r="X1351" s="84"/>
    </row>
    <row r="1352" ht="15.75" customHeight="1">
      <c r="A1352" s="14" t="s">
        <v>17</v>
      </c>
      <c r="B1352" s="14">
        <v>2005.0</v>
      </c>
      <c r="C1352" s="14" t="s">
        <v>16353</v>
      </c>
      <c r="D1352" s="14" t="s">
        <v>16354</v>
      </c>
      <c r="E1352" s="150" t="str">
        <f t="shared" si="26"/>
        <v>http://dx.doi.org/10.1109/VISUAL.2005.1532784</v>
      </c>
      <c r="F1352" s="14">
        <v>103.0</v>
      </c>
      <c r="G1352" s="14">
        <v>110.0</v>
      </c>
      <c r="H1352" s="14" t="s">
        <v>28</v>
      </c>
      <c r="I1352" s="14"/>
      <c r="J1352" s="130" t="s">
        <v>16358</v>
      </c>
      <c r="K1352" s="152" t="s">
        <v>16420</v>
      </c>
      <c r="L1352" s="20"/>
      <c r="M1352" s="174" t="s">
        <v>16362</v>
      </c>
      <c r="N1352" s="130" t="s">
        <v>41278</v>
      </c>
      <c r="O1352" s="84"/>
      <c r="P1352" s="84"/>
      <c r="Q1352" s="84"/>
      <c r="R1352" s="84"/>
      <c r="S1352" s="84"/>
      <c r="T1352" s="84"/>
      <c r="U1352" s="84"/>
      <c r="V1352" s="84"/>
      <c r="W1352" s="84"/>
      <c r="X1352" s="84"/>
    </row>
    <row r="1353" ht="15.75" customHeight="1">
      <c r="A1353" s="14" t="s">
        <v>17</v>
      </c>
      <c r="B1353" s="14">
        <v>2005.0</v>
      </c>
      <c r="C1353" s="14" t="s">
        <v>16363</v>
      </c>
      <c r="D1353" s="14" t="s">
        <v>16364</v>
      </c>
      <c r="E1353" s="150" t="str">
        <f t="shared" si="26"/>
        <v>http://dx.doi.org/10.1109/VISUAL.2005.1532785</v>
      </c>
      <c r="F1353" s="14">
        <v>111.0</v>
      </c>
      <c r="G1353" s="14">
        <v>118.0</v>
      </c>
      <c r="H1353" s="14" t="s">
        <v>28</v>
      </c>
      <c r="I1353" s="14"/>
      <c r="J1353" s="130" t="s">
        <v>16366</v>
      </c>
      <c r="K1353" s="152" t="s">
        <v>494</v>
      </c>
      <c r="L1353" s="20"/>
      <c r="M1353" s="174" t="s">
        <v>16368</v>
      </c>
      <c r="N1353" s="130"/>
      <c r="O1353" s="84"/>
      <c r="P1353" s="84"/>
      <c r="Q1353" s="84"/>
      <c r="R1353" s="84"/>
      <c r="S1353" s="84"/>
      <c r="T1353" s="84"/>
      <c r="U1353" s="84"/>
      <c r="V1353" s="84"/>
      <c r="W1353" s="84"/>
      <c r="X1353" s="84"/>
    </row>
    <row r="1354" ht="15.75" customHeight="1">
      <c r="A1354" s="14" t="s">
        <v>17</v>
      </c>
      <c r="B1354" s="14">
        <v>2005.0</v>
      </c>
      <c r="C1354" s="14" t="s">
        <v>16369</v>
      </c>
      <c r="D1354" s="14" t="s">
        <v>16370</v>
      </c>
      <c r="E1354" s="150" t="str">
        <f t="shared" si="26"/>
        <v>http://dx.doi.org/10.1109/VISUAL.2005.1532786</v>
      </c>
      <c r="F1354" s="14">
        <v>119.0</v>
      </c>
      <c r="G1354" s="14">
        <v>126.0</v>
      </c>
      <c r="H1354" s="14" t="s">
        <v>28</v>
      </c>
      <c r="I1354" s="14" t="s">
        <v>16372</v>
      </c>
      <c r="J1354" s="130" t="s">
        <v>16373</v>
      </c>
      <c r="K1354" s="152" t="s">
        <v>494</v>
      </c>
      <c r="L1354" s="20" t="s">
        <v>5110</v>
      </c>
      <c r="M1354" s="174" t="s">
        <v>16376</v>
      </c>
      <c r="N1354" s="130"/>
      <c r="O1354" s="84"/>
      <c r="P1354" s="84"/>
      <c r="Q1354" s="84"/>
      <c r="R1354" s="84"/>
      <c r="S1354" s="84"/>
      <c r="T1354" s="84"/>
      <c r="U1354" s="84"/>
      <c r="V1354" s="84"/>
      <c r="W1354" s="84"/>
      <c r="X1354" s="84"/>
    </row>
    <row r="1355" ht="15.75" customHeight="1">
      <c r="A1355" s="14" t="s">
        <v>17</v>
      </c>
      <c r="B1355" s="14">
        <v>2005.0</v>
      </c>
      <c r="C1355" s="14" t="s">
        <v>16377</v>
      </c>
      <c r="D1355" s="14" t="s">
        <v>16378</v>
      </c>
      <c r="E1355" s="150" t="str">
        <f t="shared" si="26"/>
        <v>http://dx.doi.org/10.1109/VISUAL.2005.1532787</v>
      </c>
      <c r="F1355" s="14">
        <v>127.0</v>
      </c>
      <c r="G1355" s="14">
        <v>134.0</v>
      </c>
      <c r="H1355" s="14" t="s">
        <v>28</v>
      </c>
      <c r="I1355" s="14" t="s">
        <v>16379</v>
      </c>
      <c r="J1355" s="130" t="s">
        <v>16380</v>
      </c>
      <c r="K1355" s="152" t="s">
        <v>16453</v>
      </c>
      <c r="L1355" s="20" t="s">
        <v>16383</v>
      </c>
      <c r="M1355" s="174" t="s">
        <v>16384</v>
      </c>
      <c r="N1355" s="130" t="s">
        <v>41297</v>
      </c>
      <c r="O1355" s="84"/>
      <c r="P1355" s="84"/>
      <c r="Q1355" s="84"/>
      <c r="R1355" s="84"/>
      <c r="S1355" s="84"/>
      <c r="T1355" s="84"/>
      <c r="U1355" s="84"/>
      <c r="V1355" s="84"/>
      <c r="W1355" s="84"/>
      <c r="X1355" s="84"/>
    </row>
    <row r="1356" ht="15.75" customHeight="1">
      <c r="A1356" s="14" t="s">
        <v>17</v>
      </c>
      <c r="B1356" s="14">
        <v>2005.0</v>
      </c>
      <c r="C1356" s="14" t="s">
        <v>16385</v>
      </c>
      <c r="D1356" s="14" t="s">
        <v>16386</v>
      </c>
      <c r="E1356" s="150" t="str">
        <f t="shared" si="26"/>
        <v>http://dx.doi.org/10.1109/VISUAL.2005.1532788</v>
      </c>
      <c r="F1356" s="14">
        <v>135.0</v>
      </c>
      <c r="G1356" s="14">
        <v>142.0</v>
      </c>
      <c r="H1356" s="14" t="s">
        <v>28</v>
      </c>
      <c r="I1356" s="14" t="s">
        <v>16388</v>
      </c>
      <c r="J1356" s="130" t="s">
        <v>16389</v>
      </c>
      <c r="K1356" s="152" t="s">
        <v>16456</v>
      </c>
      <c r="L1356" s="20" t="s">
        <v>16391</v>
      </c>
      <c r="M1356" s="174" t="s">
        <v>16392</v>
      </c>
      <c r="N1356" s="130" t="s">
        <v>41298</v>
      </c>
      <c r="O1356" s="84"/>
      <c r="P1356" s="84"/>
      <c r="Q1356" s="84"/>
      <c r="R1356" s="84"/>
      <c r="S1356" s="84"/>
      <c r="T1356" s="84"/>
      <c r="U1356" s="84"/>
      <c r="V1356" s="84"/>
      <c r="W1356" s="84"/>
      <c r="X1356" s="84"/>
    </row>
    <row r="1357" ht="15.75" customHeight="1">
      <c r="A1357" s="14" t="s">
        <v>17</v>
      </c>
      <c r="B1357" s="14">
        <v>2005.0</v>
      </c>
      <c r="C1357" s="14" t="s">
        <v>16394</v>
      </c>
      <c r="D1357" s="14" t="s">
        <v>16395</v>
      </c>
      <c r="E1357" s="150" t="str">
        <f t="shared" si="26"/>
        <v>http://dx.doi.org/10.1109/VISUAL.2005.1532789</v>
      </c>
      <c r="F1357" s="14">
        <v>143.0</v>
      </c>
      <c r="G1357" s="14">
        <v>150.0</v>
      </c>
      <c r="H1357" s="14" t="s">
        <v>28</v>
      </c>
      <c r="I1357" s="14" t="s">
        <v>16396</v>
      </c>
      <c r="J1357" s="130" t="s">
        <v>16397</v>
      </c>
      <c r="K1357" s="152" t="s">
        <v>2087</v>
      </c>
      <c r="L1357" s="20"/>
      <c r="M1357" s="16"/>
      <c r="N1357" s="130" t="s">
        <v>41307</v>
      </c>
      <c r="O1357" s="84"/>
      <c r="P1357" s="84"/>
      <c r="Q1357" s="84"/>
      <c r="R1357" s="84"/>
      <c r="S1357" s="84"/>
      <c r="T1357" s="84"/>
      <c r="U1357" s="84"/>
      <c r="V1357" s="84"/>
      <c r="W1357" s="84"/>
      <c r="X1357" s="84"/>
    </row>
    <row r="1358" ht="15.75" customHeight="1">
      <c r="A1358" s="14" t="s">
        <v>17</v>
      </c>
      <c r="B1358" s="14">
        <v>2005.0</v>
      </c>
      <c r="C1358" s="14" t="s">
        <v>16399</v>
      </c>
      <c r="D1358" s="14" t="s">
        <v>16400</v>
      </c>
      <c r="E1358" s="150" t="str">
        <f t="shared" si="26"/>
        <v>http://dx.doi.org/10.1109/VISUAL.2005.1532790</v>
      </c>
      <c r="F1358" s="14">
        <v>151.0</v>
      </c>
      <c r="G1358" s="14">
        <v>158.0</v>
      </c>
      <c r="H1358" s="14" t="s">
        <v>28</v>
      </c>
      <c r="I1358" s="14" t="s">
        <v>16401</v>
      </c>
      <c r="J1358" s="130" t="s">
        <v>16402</v>
      </c>
      <c r="K1358" s="152" t="s">
        <v>16459</v>
      </c>
      <c r="L1358" s="20"/>
      <c r="M1358" s="174" t="s">
        <v>16406</v>
      </c>
      <c r="N1358" s="130" t="s">
        <v>41314</v>
      </c>
      <c r="O1358" s="84"/>
      <c r="P1358" s="84"/>
      <c r="Q1358" s="84"/>
      <c r="R1358" s="84"/>
      <c r="S1358" s="84"/>
      <c r="T1358" s="84"/>
      <c r="U1358" s="84"/>
      <c r="V1358" s="84"/>
      <c r="W1358" s="84"/>
      <c r="X1358" s="84"/>
    </row>
    <row r="1359" ht="15.75" customHeight="1">
      <c r="A1359" s="14" t="s">
        <v>17</v>
      </c>
      <c r="B1359" s="14">
        <v>2005.0</v>
      </c>
      <c r="C1359" s="14" t="s">
        <v>16408</v>
      </c>
      <c r="D1359" s="14" t="s">
        <v>16409</v>
      </c>
      <c r="E1359" s="150" t="str">
        <f t="shared" si="26"/>
        <v>http://dx.doi.org/10.1109/VISUAL.2005.1532791</v>
      </c>
      <c r="F1359" s="14">
        <v>159.0</v>
      </c>
      <c r="G1359" s="14">
        <v>165.0</v>
      </c>
      <c r="H1359" s="14" t="s">
        <v>28</v>
      </c>
      <c r="I1359" s="14" t="s">
        <v>16410</v>
      </c>
      <c r="J1359" s="130" t="s">
        <v>16411</v>
      </c>
      <c r="K1359" s="152" t="s">
        <v>16461</v>
      </c>
      <c r="L1359" s="20"/>
      <c r="M1359" s="174" t="s">
        <v>16414</v>
      </c>
      <c r="N1359" s="130" t="s">
        <v>40094</v>
      </c>
      <c r="O1359" s="84"/>
      <c r="P1359" s="84"/>
      <c r="Q1359" s="84"/>
      <c r="R1359" s="84"/>
      <c r="S1359" s="84"/>
      <c r="T1359" s="84"/>
      <c r="U1359" s="84"/>
      <c r="V1359" s="84"/>
      <c r="W1359" s="84"/>
      <c r="X1359" s="84"/>
    </row>
    <row r="1360" ht="15.75" customHeight="1">
      <c r="A1360" s="14" t="s">
        <v>17</v>
      </c>
      <c r="B1360" s="14">
        <v>2005.0</v>
      </c>
      <c r="C1360" s="14" t="s">
        <v>16415</v>
      </c>
      <c r="D1360" s="14" t="s">
        <v>16416</v>
      </c>
      <c r="E1360" s="150" t="str">
        <f t="shared" si="26"/>
        <v>http://dx.doi.org/10.1109/VISUAL.2005.1532792</v>
      </c>
      <c r="F1360" s="14">
        <v>167.0</v>
      </c>
      <c r="G1360" s="14">
        <v>174.0</v>
      </c>
      <c r="H1360" s="14" t="s">
        <v>28</v>
      </c>
      <c r="I1360" s="14" t="s">
        <v>35766</v>
      </c>
      <c r="J1360" s="130" t="s">
        <v>16418</v>
      </c>
      <c r="K1360" s="152" t="s">
        <v>16464</v>
      </c>
      <c r="L1360" s="20" t="s">
        <v>16422</v>
      </c>
      <c r="M1360" s="174" t="s">
        <v>16424</v>
      </c>
      <c r="N1360" s="130" t="s">
        <v>37593</v>
      </c>
      <c r="O1360" s="84"/>
      <c r="P1360" s="84"/>
      <c r="Q1360" s="84"/>
      <c r="R1360" s="84"/>
      <c r="S1360" s="84"/>
      <c r="T1360" s="84"/>
      <c r="U1360" s="84"/>
      <c r="V1360" s="84"/>
      <c r="W1360" s="84"/>
      <c r="X1360" s="84"/>
    </row>
    <row r="1361" ht="15.75" customHeight="1">
      <c r="A1361" s="14" t="s">
        <v>17</v>
      </c>
      <c r="B1361" s="14">
        <v>2005.0</v>
      </c>
      <c r="C1361" s="14" t="s">
        <v>16425</v>
      </c>
      <c r="D1361" s="14" t="s">
        <v>16426</v>
      </c>
      <c r="E1361" s="150" t="str">
        <f t="shared" si="26"/>
        <v>http://dx.doi.org/10.1109/VISUAL.2005.1532793</v>
      </c>
      <c r="F1361" s="14">
        <v>175.0</v>
      </c>
      <c r="G1361" s="14">
        <v>182.0</v>
      </c>
      <c r="H1361" s="14" t="s">
        <v>28</v>
      </c>
      <c r="I1361" s="14" t="s">
        <v>16427</v>
      </c>
      <c r="J1361" s="130" t="s">
        <v>16428</v>
      </c>
      <c r="K1361" s="152" t="s">
        <v>16467</v>
      </c>
      <c r="L1361" s="20" t="s">
        <v>16431</v>
      </c>
      <c r="M1361" s="174" t="s">
        <v>16432</v>
      </c>
      <c r="N1361" s="130" t="s">
        <v>41319</v>
      </c>
      <c r="O1361" s="84"/>
      <c r="P1361" s="84"/>
      <c r="Q1361" s="84"/>
      <c r="R1361" s="84"/>
      <c r="S1361" s="84"/>
      <c r="T1361" s="84"/>
      <c r="U1361" s="84"/>
      <c r="V1361" s="84"/>
      <c r="W1361" s="84"/>
      <c r="X1361" s="84"/>
    </row>
    <row r="1362" ht="15.75" customHeight="1">
      <c r="A1362" s="14" t="s">
        <v>17</v>
      </c>
      <c r="B1362" s="14">
        <v>2005.0</v>
      </c>
      <c r="C1362" s="14" t="s">
        <v>16433</v>
      </c>
      <c r="D1362" s="14" t="s">
        <v>16434</v>
      </c>
      <c r="E1362" s="150" t="str">
        <f t="shared" si="26"/>
        <v>http://dx.doi.org/10.1109/VISUAL.2005.1532794</v>
      </c>
      <c r="F1362" s="14">
        <v>183.0</v>
      </c>
      <c r="G1362" s="14">
        <v>189.0</v>
      </c>
      <c r="H1362" s="14" t="s">
        <v>28</v>
      </c>
      <c r="I1362" s="14" t="s">
        <v>16435</v>
      </c>
      <c r="J1362" s="130" t="s">
        <v>41323</v>
      </c>
      <c r="K1362" s="152" t="s">
        <v>16469</v>
      </c>
      <c r="L1362" s="20" t="s">
        <v>16440</v>
      </c>
      <c r="M1362" s="174" t="s">
        <v>16441</v>
      </c>
      <c r="N1362" s="130" t="s">
        <v>41327</v>
      </c>
      <c r="O1362" s="84"/>
      <c r="P1362" s="84"/>
      <c r="Q1362" s="84"/>
      <c r="R1362" s="84"/>
      <c r="S1362" s="84"/>
      <c r="T1362" s="84"/>
      <c r="U1362" s="84"/>
      <c r="V1362" s="84"/>
      <c r="W1362" s="84"/>
      <c r="X1362" s="84"/>
    </row>
    <row r="1363" ht="15.75" customHeight="1">
      <c r="A1363" s="14" t="s">
        <v>17</v>
      </c>
      <c r="B1363" s="14">
        <v>2005.0</v>
      </c>
      <c r="C1363" s="14" t="s">
        <v>16442</v>
      </c>
      <c r="D1363" s="14" t="s">
        <v>16443</v>
      </c>
      <c r="E1363" s="150" t="str">
        <f t="shared" si="26"/>
        <v>http://dx.doi.org/10.1109/VISUAL.2005.1532795</v>
      </c>
      <c r="F1363" s="14">
        <v>191.0</v>
      </c>
      <c r="G1363" s="14">
        <v>198.0</v>
      </c>
      <c r="H1363" s="14" t="s">
        <v>28</v>
      </c>
      <c r="I1363" s="14" t="s">
        <v>16444</v>
      </c>
      <c r="J1363" s="130" t="s">
        <v>16445</v>
      </c>
      <c r="K1363" s="152" t="s">
        <v>16471</v>
      </c>
      <c r="L1363" s="20" t="s">
        <v>16447</v>
      </c>
      <c r="M1363" s="174" t="s">
        <v>16448</v>
      </c>
      <c r="N1363" s="130" t="s">
        <v>41331</v>
      </c>
      <c r="O1363" s="84"/>
      <c r="P1363" s="84"/>
      <c r="Q1363" s="84"/>
      <c r="R1363" s="84"/>
      <c r="S1363" s="84"/>
      <c r="T1363" s="84"/>
      <c r="U1363" s="84"/>
      <c r="V1363" s="84"/>
      <c r="W1363" s="84"/>
      <c r="X1363" s="84"/>
    </row>
    <row r="1364" ht="15.75" customHeight="1">
      <c r="A1364" s="14" t="s">
        <v>17</v>
      </c>
      <c r="B1364" s="14">
        <v>2005.0</v>
      </c>
      <c r="C1364" s="14" t="s">
        <v>16449</v>
      </c>
      <c r="D1364" s="14" t="s">
        <v>16450</v>
      </c>
      <c r="E1364" s="150" t="str">
        <f t="shared" si="26"/>
        <v>http://dx.doi.org/10.1109/VISUAL.2005.1532796</v>
      </c>
      <c r="F1364" s="14">
        <v>199.0</v>
      </c>
      <c r="G1364" s="14">
        <v>206.0</v>
      </c>
      <c r="H1364" s="14" t="s">
        <v>28</v>
      </c>
      <c r="I1364" s="14" t="s">
        <v>16473</v>
      </c>
      <c r="J1364" s="130" t="s">
        <v>16704</v>
      </c>
      <c r="K1364" s="152" t="s">
        <v>16475</v>
      </c>
      <c r="L1364" s="20" t="s">
        <v>16476</v>
      </c>
      <c r="M1364" s="174" t="s">
        <v>16477</v>
      </c>
      <c r="N1364" s="130" t="s">
        <v>41334</v>
      </c>
      <c r="O1364" s="84"/>
      <c r="P1364" s="84"/>
      <c r="Q1364" s="84"/>
      <c r="R1364" s="84"/>
      <c r="S1364" s="84"/>
      <c r="T1364" s="84"/>
      <c r="U1364" s="84"/>
      <c r="V1364" s="84"/>
      <c r="W1364" s="84"/>
      <c r="X1364" s="84"/>
    </row>
    <row r="1365" ht="15.75" customHeight="1">
      <c r="A1365" s="14" t="s">
        <v>17</v>
      </c>
      <c r="B1365" s="14">
        <v>2005.0</v>
      </c>
      <c r="C1365" s="14" t="s">
        <v>16478</v>
      </c>
      <c r="D1365" s="14" t="s">
        <v>16479</v>
      </c>
      <c r="E1365" s="150" t="str">
        <f t="shared" si="26"/>
        <v>http://dx.doi.org/10.1109/VISUAL.2005.1532797</v>
      </c>
      <c r="F1365" s="14">
        <v>207.0</v>
      </c>
      <c r="G1365" s="14">
        <v>214.0</v>
      </c>
      <c r="H1365" s="14" t="s">
        <v>28</v>
      </c>
      <c r="I1365" s="14" t="s">
        <v>16481</v>
      </c>
      <c r="J1365" s="130" t="s">
        <v>13338</v>
      </c>
      <c r="K1365" s="152" t="s">
        <v>16482</v>
      </c>
      <c r="L1365" s="20" t="s">
        <v>16483</v>
      </c>
      <c r="M1365" s="16"/>
      <c r="N1365" s="152" t="s">
        <v>16482</v>
      </c>
      <c r="O1365" s="84"/>
      <c r="P1365" s="84"/>
      <c r="Q1365" s="84"/>
      <c r="R1365" s="84"/>
      <c r="S1365" s="84"/>
      <c r="T1365" s="84"/>
      <c r="U1365" s="84"/>
      <c r="V1365" s="84"/>
      <c r="W1365" s="84"/>
      <c r="X1365" s="84"/>
    </row>
    <row r="1366" ht="15.75" customHeight="1">
      <c r="A1366" s="14" t="s">
        <v>17</v>
      </c>
      <c r="B1366" s="14">
        <v>2005.0</v>
      </c>
      <c r="C1366" s="14" t="s">
        <v>16484</v>
      </c>
      <c r="D1366" s="14" t="s">
        <v>16485</v>
      </c>
      <c r="E1366" s="150" t="str">
        <f t="shared" si="26"/>
        <v>http://dx.doi.org/10.1109/VISUAL.2005.1532798</v>
      </c>
      <c r="F1366" s="14">
        <v>215.0</v>
      </c>
      <c r="G1366" s="14">
        <v>222.0</v>
      </c>
      <c r="H1366" s="14" t="s">
        <v>28</v>
      </c>
      <c r="I1366" s="14" t="s">
        <v>16487</v>
      </c>
      <c r="J1366" s="130" t="s">
        <v>16717</v>
      </c>
      <c r="K1366" s="152" t="s">
        <v>16489</v>
      </c>
      <c r="L1366" s="20" t="s">
        <v>16490</v>
      </c>
      <c r="M1366" s="174" t="s">
        <v>16491</v>
      </c>
      <c r="N1366" s="130" t="s">
        <v>41338</v>
      </c>
      <c r="O1366" s="84"/>
      <c r="P1366" s="84"/>
      <c r="Q1366" s="84"/>
      <c r="R1366" s="84"/>
      <c r="S1366" s="84"/>
      <c r="T1366" s="84"/>
      <c r="U1366" s="84"/>
      <c r="V1366" s="84"/>
      <c r="W1366" s="84"/>
      <c r="X1366" s="84"/>
    </row>
    <row r="1367" ht="15.75" customHeight="1">
      <c r="A1367" s="14" t="s">
        <v>17</v>
      </c>
      <c r="B1367" s="14">
        <v>2005.0</v>
      </c>
      <c r="C1367" s="14" t="s">
        <v>16492</v>
      </c>
      <c r="D1367" s="14" t="s">
        <v>16493</v>
      </c>
      <c r="E1367" s="150" t="str">
        <f t="shared" si="26"/>
        <v>http://dx.doi.org/10.1109/VISUAL.2005.1532799</v>
      </c>
      <c r="F1367" s="14">
        <v>223.0</v>
      </c>
      <c r="G1367" s="14">
        <v>230.0</v>
      </c>
      <c r="H1367" s="14" t="s">
        <v>28</v>
      </c>
      <c r="I1367" s="14" t="s">
        <v>16495</v>
      </c>
      <c r="J1367" s="130" t="s">
        <v>16496</v>
      </c>
      <c r="K1367" s="152" t="s">
        <v>16497</v>
      </c>
      <c r="L1367" s="20" t="s">
        <v>16498</v>
      </c>
      <c r="M1367" s="174" t="s">
        <v>16499</v>
      </c>
      <c r="N1367" s="130" t="s">
        <v>40677</v>
      </c>
      <c r="O1367" s="84"/>
      <c r="P1367" s="84"/>
      <c r="Q1367" s="84"/>
      <c r="R1367" s="84"/>
      <c r="S1367" s="84"/>
      <c r="T1367" s="84"/>
      <c r="U1367" s="84"/>
      <c r="V1367" s="84"/>
      <c r="W1367" s="84"/>
      <c r="X1367" s="84"/>
    </row>
    <row r="1368" ht="15.75" customHeight="1">
      <c r="A1368" s="14" t="s">
        <v>17</v>
      </c>
      <c r="B1368" s="14">
        <v>2005.0</v>
      </c>
      <c r="C1368" s="14" t="s">
        <v>16500</v>
      </c>
      <c r="D1368" s="14" t="s">
        <v>16501</v>
      </c>
      <c r="E1368" s="150" t="str">
        <f t="shared" si="26"/>
        <v>http://dx.doi.org/10.1109/VISUAL.2005.1532800</v>
      </c>
      <c r="F1368" s="14">
        <v>231.0</v>
      </c>
      <c r="G1368" s="14">
        <v>238.0</v>
      </c>
      <c r="H1368" s="14" t="s">
        <v>28</v>
      </c>
      <c r="I1368" s="14" t="s">
        <v>16503</v>
      </c>
      <c r="J1368" s="130" t="s">
        <v>16504</v>
      </c>
      <c r="K1368" s="152" t="s">
        <v>12135</v>
      </c>
      <c r="L1368" s="20" t="s">
        <v>16505</v>
      </c>
      <c r="M1368" s="16"/>
      <c r="N1368" s="130" t="s">
        <v>37962</v>
      </c>
      <c r="O1368" s="84"/>
      <c r="P1368" s="84"/>
      <c r="Q1368" s="84"/>
      <c r="R1368" s="84"/>
      <c r="S1368" s="84"/>
      <c r="T1368" s="84"/>
      <c r="U1368" s="84"/>
      <c r="V1368" s="84"/>
      <c r="W1368" s="84"/>
      <c r="X1368" s="84"/>
    </row>
    <row r="1369" ht="15.75" customHeight="1">
      <c r="A1369" s="14" t="s">
        <v>17</v>
      </c>
      <c r="B1369" s="14">
        <v>2005.0</v>
      </c>
      <c r="C1369" s="14" t="s">
        <v>16506</v>
      </c>
      <c r="D1369" s="14" t="s">
        <v>16507</v>
      </c>
      <c r="E1369" s="150" t="str">
        <f t="shared" si="26"/>
        <v>http://dx.doi.org/10.1109/VISUAL.2005.1532801</v>
      </c>
      <c r="F1369" s="14">
        <v>239.0</v>
      </c>
      <c r="G1369" s="14">
        <v>246.0</v>
      </c>
      <c r="H1369" s="14" t="s">
        <v>28</v>
      </c>
      <c r="I1369" s="14" t="s">
        <v>16509</v>
      </c>
      <c r="J1369" s="130" t="s">
        <v>4101</v>
      </c>
      <c r="K1369" s="152" t="s">
        <v>16510</v>
      </c>
      <c r="L1369" s="20" t="s">
        <v>16511</v>
      </c>
      <c r="M1369" s="174" t="s">
        <v>16512</v>
      </c>
      <c r="N1369" s="130" t="s">
        <v>41343</v>
      </c>
      <c r="O1369" s="84"/>
      <c r="P1369" s="84"/>
      <c r="Q1369" s="84"/>
      <c r="R1369" s="84"/>
      <c r="S1369" s="84"/>
      <c r="T1369" s="84"/>
      <c r="U1369" s="84"/>
      <c r="V1369" s="84"/>
      <c r="W1369" s="84"/>
      <c r="X1369" s="84"/>
    </row>
    <row r="1370" ht="15.75" customHeight="1">
      <c r="A1370" s="14" t="s">
        <v>17</v>
      </c>
      <c r="B1370" s="14">
        <v>2005.0</v>
      </c>
      <c r="C1370" s="14" t="s">
        <v>16513</v>
      </c>
      <c r="D1370" s="14" t="s">
        <v>16514</v>
      </c>
      <c r="E1370" s="150" t="str">
        <f t="shared" si="26"/>
        <v>http://dx.doi.org/10.1109/VISUAL.2005.1532802</v>
      </c>
      <c r="F1370" s="14">
        <v>247.0</v>
      </c>
      <c r="G1370" s="14">
        <v>254.0</v>
      </c>
      <c r="H1370" s="14" t="s">
        <v>28</v>
      </c>
      <c r="I1370" s="14" t="s">
        <v>16516</v>
      </c>
      <c r="J1370" s="130" t="s">
        <v>16746</v>
      </c>
      <c r="K1370" s="152" t="s">
        <v>494</v>
      </c>
      <c r="L1370" s="20" t="s">
        <v>16518</v>
      </c>
      <c r="M1370" s="174" t="s">
        <v>16519</v>
      </c>
      <c r="N1370" s="130"/>
      <c r="O1370" s="84"/>
      <c r="P1370" s="84"/>
      <c r="Q1370" s="84"/>
      <c r="R1370" s="84"/>
      <c r="S1370" s="84"/>
      <c r="T1370" s="84"/>
      <c r="U1370" s="84"/>
      <c r="V1370" s="84"/>
      <c r="W1370" s="84"/>
      <c r="X1370" s="84"/>
    </row>
    <row r="1371" ht="15.75" customHeight="1">
      <c r="A1371" s="14" t="s">
        <v>17</v>
      </c>
      <c r="B1371" s="14">
        <v>2005.0</v>
      </c>
      <c r="C1371" s="14" t="s">
        <v>16520</v>
      </c>
      <c r="D1371" s="14" t="s">
        <v>16521</v>
      </c>
      <c r="E1371" s="150" t="str">
        <f t="shared" si="26"/>
        <v>http://dx.doi.org/10.1109/VISUAL.2005.1532803</v>
      </c>
      <c r="F1371" s="14">
        <v>255.0</v>
      </c>
      <c r="G1371" s="14">
        <v>262.0</v>
      </c>
      <c r="H1371" s="14" t="s">
        <v>28</v>
      </c>
      <c r="I1371" s="14" t="s">
        <v>16523</v>
      </c>
      <c r="J1371" s="130" t="s">
        <v>16524</v>
      </c>
      <c r="K1371" s="152" t="s">
        <v>5349</v>
      </c>
      <c r="L1371" s="20" t="s">
        <v>16525</v>
      </c>
      <c r="M1371" s="174" t="s">
        <v>16526</v>
      </c>
      <c r="N1371" s="130" t="s">
        <v>41351</v>
      </c>
      <c r="O1371" s="84"/>
      <c r="P1371" s="84"/>
      <c r="Q1371" s="84"/>
      <c r="R1371" s="84"/>
      <c r="S1371" s="84"/>
      <c r="T1371" s="84"/>
      <c r="U1371" s="84"/>
      <c r="V1371" s="84"/>
      <c r="W1371" s="84"/>
      <c r="X1371" s="84"/>
    </row>
    <row r="1372" ht="15.75" customHeight="1">
      <c r="A1372" s="14" t="s">
        <v>17</v>
      </c>
      <c r="B1372" s="14">
        <v>2005.0</v>
      </c>
      <c r="C1372" s="14" t="s">
        <v>16527</v>
      </c>
      <c r="D1372" s="14" t="s">
        <v>16528</v>
      </c>
      <c r="E1372" s="150" t="str">
        <f t="shared" si="26"/>
        <v>http://dx.doi.org/10.1109/VISUAL.2005.1532804</v>
      </c>
      <c r="F1372" s="14">
        <v>263.0</v>
      </c>
      <c r="G1372" s="14">
        <v>270.0</v>
      </c>
      <c r="H1372" s="14" t="s">
        <v>28</v>
      </c>
      <c r="I1372" s="14" t="s">
        <v>16530</v>
      </c>
      <c r="J1372" s="130" t="s">
        <v>16531</v>
      </c>
      <c r="K1372" s="152" t="s">
        <v>855</v>
      </c>
      <c r="L1372" s="20" t="s">
        <v>2387</v>
      </c>
      <c r="M1372" s="174" t="s">
        <v>16532</v>
      </c>
      <c r="N1372" s="130" t="s">
        <v>38009</v>
      </c>
      <c r="O1372" s="84"/>
      <c r="P1372" s="84"/>
      <c r="Q1372" s="84"/>
      <c r="R1372" s="84"/>
      <c r="S1372" s="84"/>
      <c r="T1372" s="84"/>
      <c r="U1372" s="84"/>
      <c r="V1372" s="84"/>
      <c r="W1372" s="84"/>
      <c r="X1372" s="84"/>
    </row>
    <row r="1373" ht="15.75" customHeight="1">
      <c r="A1373" s="14" t="s">
        <v>17</v>
      </c>
      <c r="B1373" s="14">
        <v>2005.0</v>
      </c>
      <c r="C1373" s="14" t="s">
        <v>16533</v>
      </c>
      <c r="D1373" s="14" t="s">
        <v>16534</v>
      </c>
      <c r="E1373" s="150" t="str">
        <f t="shared" si="26"/>
        <v>http://dx.doi.org/10.1109/VISUAL.2005.1532805</v>
      </c>
      <c r="F1373" s="14">
        <v>271.0</v>
      </c>
      <c r="G1373" s="14">
        <v>278.0</v>
      </c>
      <c r="H1373" s="14" t="s">
        <v>28</v>
      </c>
      <c r="I1373" s="14" t="s">
        <v>16536</v>
      </c>
      <c r="J1373" s="130" t="s">
        <v>16761</v>
      </c>
      <c r="K1373" s="152" t="s">
        <v>16538</v>
      </c>
      <c r="L1373" s="20" t="s">
        <v>16539</v>
      </c>
      <c r="M1373" s="174" t="s">
        <v>16540</v>
      </c>
      <c r="N1373" s="130" t="s">
        <v>41359</v>
      </c>
      <c r="O1373" s="84"/>
      <c r="P1373" s="84"/>
      <c r="Q1373" s="84"/>
      <c r="R1373" s="84"/>
      <c r="S1373" s="84"/>
      <c r="T1373" s="84"/>
      <c r="U1373" s="84"/>
      <c r="V1373" s="84"/>
      <c r="W1373" s="84"/>
      <c r="X1373" s="84"/>
    </row>
    <row r="1374" ht="15.75" customHeight="1">
      <c r="A1374" s="14" t="s">
        <v>17</v>
      </c>
      <c r="B1374" s="14">
        <v>2005.0</v>
      </c>
      <c r="C1374" s="14" t="s">
        <v>16541</v>
      </c>
      <c r="D1374" s="14" t="s">
        <v>16542</v>
      </c>
      <c r="E1374" s="150" t="str">
        <f t="shared" si="26"/>
        <v>http://dx.doi.org/10.1109/VISUAL.2005.1532806</v>
      </c>
      <c r="F1374" s="14">
        <v>279.0</v>
      </c>
      <c r="G1374" s="14">
        <v>285.0</v>
      </c>
      <c r="H1374" s="14" t="s">
        <v>28</v>
      </c>
      <c r="I1374" s="14" t="s">
        <v>16544</v>
      </c>
      <c r="J1374" s="130" t="s">
        <v>16545</v>
      </c>
      <c r="K1374" s="152" t="s">
        <v>16546</v>
      </c>
      <c r="L1374" s="20" t="s">
        <v>16547</v>
      </c>
      <c r="M1374" s="174" t="s">
        <v>16548</v>
      </c>
      <c r="N1374" s="152" t="s">
        <v>16546</v>
      </c>
      <c r="O1374" s="84"/>
      <c r="P1374" s="84"/>
      <c r="Q1374" s="84"/>
      <c r="R1374" s="84"/>
      <c r="S1374" s="84"/>
      <c r="T1374" s="84"/>
      <c r="U1374" s="84"/>
      <c r="V1374" s="84"/>
      <c r="W1374" s="84"/>
      <c r="X1374" s="84"/>
    </row>
    <row r="1375" ht="15.75" customHeight="1">
      <c r="A1375" s="14" t="s">
        <v>17</v>
      </c>
      <c r="B1375" s="14">
        <v>2005.0</v>
      </c>
      <c r="C1375" s="14" t="s">
        <v>16549</v>
      </c>
      <c r="D1375" s="14" t="s">
        <v>16550</v>
      </c>
      <c r="E1375" s="150" t="str">
        <f t="shared" si="26"/>
        <v>http://dx.doi.org/10.1109/VISUAL.2005.1532807</v>
      </c>
      <c r="F1375" s="14">
        <v>287.0</v>
      </c>
      <c r="G1375" s="14">
        <v>294.0</v>
      </c>
      <c r="H1375" s="14" t="s">
        <v>28</v>
      </c>
      <c r="I1375" s="14" t="s">
        <v>16552</v>
      </c>
      <c r="J1375" s="130" t="s">
        <v>16553</v>
      </c>
      <c r="K1375" s="152" t="s">
        <v>16554</v>
      </c>
      <c r="L1375" s="20" t="s">
        <v>16555</v>
      </c>
      <c r="M1375" s="174" t="s">
        <v>16556</v>
      </c>
      <c r="N1375" s="130" t="s">
        <v>39996</v>
      </c>
      <c r="O1375" s="84"/>
      <c r="P1375" s="84"/>
      <c r="Q1375" s="84"/>
      <c r="R1375" s="84"/>
      <c r="S1375" s="84"/>
      <c r="T1375" s="84"/>
      <c r="U1375" s="84"/>
      <c r="V1375" s="84"/>
      <c r="W1375" s="84"/>
      <c r="X1375" s="84"/>
    </row>
    <row r="1376" ht="15.75" customHeight="1">
      <c r="A1376" s="14" t="s">
        <v>17</v>
      </c>
      <c r="B1376" s="14">
        <v>2005.0</v>
      </c>
      <c r="C1376" s="14" t="s">
        <v>16557</v>
      </c>
      <c r="D1376" s="14" t="s">
        <v>16558</v>
      </c>
      <c r="E1376" s="150" t="str">
        <f t="shared" si="26"/>
        <v>http://dx.doi.org/10.1109/VISUAL.2005.1532808</v>
      </c>
      <c r="F1376" s="14">
        <v>295.0</v>
      </c>
      <c r="G1376" s="14">
        <v>302.0</v>
      </c>
      <c r="H1376" s="14" t="s">
        <v>28</v>
      </c>
      <c r="I1376" s="14" t="s">
        <v>16560</v>
      </c>
      <c r="J1376" s="130" t="s">
        <v>16561</v>
      </c>
      <c r="K1376" s="152"/>
      <c r="L1376" s="20" t="s">
        <v>16562</v>
      </c>
      <c r="M1376" s="174" t="s">
        <v>16563</v>
      </c>
      <c r="N1376" s="130"/>
      <c r="O1376" s="84"/>
      <c r="P1376" s="84"/>
      <c r="Q1376" s="84"/>
      <c r="R1376" s="84"/>
      <c r="S1376" s="84"/>
      <c r="T1376" s="84"/>
      <c r="U1376" s="84"/>
      <c r="V1376" s="84"/>
      <c r="W1376" s="84"/>
      <c r="X1376" s="84"/>
    </row>
    <row r="1377" ht="15.75" customHeight="1">
      <c r="A1377" s="14" t="s">
        <v>17</v>
      </c>
      <c r="B1377" s="14">
        <v>2005.0</v>
      </c>
      <c r="C1377" s="14" t="s">
        <v>16564</v>
      </c>
      <c r="D1377" s="14" t="s">
        <v>16565</v>
      </c>
      <c r="E1377" s="150" t="str">
        <f t="shared" si="26"/>
        <v>http://dx.doi.org/10.1109/VISUAL.2005.1532809</v>
      </c>
      <c r="F1377" s="14">
        <v>303.0</v>
      </c>
      <c r="G1377" s="14">
        <v>310.0</v>
      </c>
      <c r="H1377" s="14" t="s">
        <v>28</v>
      </c>
      <c r="I1377" s="14" t="s">
        <v>16567</v>
      </c>
      <c r="J1377" s="130" t="s">
        <v>16568</v>
      </c>
      <c r="K1377" s="152" t="s">
        <v>16569</v>
      </c>
      <c r="L1377" s="20" t="s">
        <v>16570</v>
      </c>
      <c r="M1377" s="174" t="s">
        <v>16571</v>
      </c>
      <c r="N1377" s="130" t="s">
        <v>41366</v>
      </c>
      <c r="O1377" s="84"/>
      <c r="P1377" s="84"/>
      <c r="Q1377" s="84"/>
      <c r="R1377" s="84"/>
      <c r="S1377" s="84"/>
      <c r="T1377" s="84"/>
      <c r="U1377" s="84"/>
      <c r="V1377" s="84"/>
      <c r="W1377" s="84"/>
      <c r="X1377" s="84"/>
    </row>
    <row r="1378" ht="15.75" customHeight="1">
      <c r="A1378" s="14" t="s">
        <v>17</v>
      </c>
      <c r="B1378" s="14">
        <v>2005.0</v>
      </c>
      <c r="C1378" s="14" t="s">
        <v>16572</v>
      </c>
      <c r="D1378" s="14" t="s">
        <v>16573</v>
      </c>
      <c r="E1378" s="150" t="str">
        <f t="shared" si="26"/>
        <v>http://dx.doi.org/10.1109/VISUAL.2005.1532810</v>
      </c>
      <c r="F1378" s="14">
        <v>311.0</v>
      </c>
      <c r="G1378" s="14">
        <v>318.0</v>
      </c>
      <c r="H1378" s="14" t="s">
        <v>28</v>
      </c>
      <c r="I1378" s="14" t="s">
        <v>16575</v>
      </c>
      <c r="J1378" s="130" t="s">
        <v>16795</v>
      </c>
      <c r="K1378" s="152" t="s">
        <v>16577</v>
      </c>
      <c r="L1378" s="20" t="s">
        <v>16578</v>
      </c>
      <c r="M1378" s="174" t="s">
        <v>16579</v>
      </c>
      <c r="N1378" s="152" t="s">
        <v>16577</v>
      </c>
      <c r="O1378" s="84"/>
      <c r="P1378" s="84"/>
      <c r="Q1378" s="84"/>
      <c r="R1378" s="84"/>
      <c r="S1378" s="84"/>
      <c r="T1378" s="84"/>
      <c r="U1378" s="84"/>
      <c r="V1378" s="84"/>
      <c r="W1378" s="84"/>
      <c r="X1378" s="84"/>
    </row>
    <row r="1379" ht="15.75" customHeight="1">
      <c r="A1379" s="14" t="s">
        <v>17</v>
      </c>
      <c r="B1379" s="14">
        <v>2005.0</v>
      </c>
      <c r="C1379" s="14" t="s">
        <v>16580</v>
      </c>
      <c r="D1379" s="14" t="s">
        <v>16581</v>
      </c>
      <c r="E1379" s="150" t="str">
        <f t="shared" si="26"/>
        <v>http://dx.doi.org/10.1109/VISUAL.2005.1532811</v>
      </c>
      <c r="F1379" s="14">
        <v>319.0</v>
      </c>
      <c r="G1379" s="14">
        <v>326.0</v>
      </c>
      <c r="H1379" s="14" t="s">
        <v>28</v>
      </c>
      <c r="I1379" s="14" t="s">
        <v>16583</v>
      </c>
      <c r="J1379" s="130" t="s">
        <v>16584</v>
      </c>
      <c r="K1379" s="152" t="s">
        <v>12225</v>
      </c>
      <c r="L1379" s="20" t="s">
        <v>16585</v>
      </c>
      <c r="M1379" s="174" t="s">
        <v>16586</v>
      </c>
      <c r="N1379" s="130" t="s">
        <v>41369</v>
      </c>
      <c r="O1379" s="84"/>
      <c r="P1379" s="84"/>
      <c r="Q1379" s="84"/>
      <c r="R1379" s="84"/>
      <c r="S1379" s="84"/>
      <c r="T1379" s="84"/>
      <c r="U1379" s="84"/>
      <c r="V1379" s="84"/>
      <c r="W1379" s="84"/>
      <c r="X1379" s="84"/>
    </row>
    <row r="1380" ht="15.75" customHeight="1">
      <c r="A1380" s="14" t="s">
        <v>17</v>
      </c>
      <c r="B1380" s="14">
        <v>2005.0</v>
      </c>
      <c r="C1380" s="14" t="s">
        <v>16587</v>
      </c>
      <c r="D1380" s="14" t="s">
        <v>16588</v>
      </c>
      <c r="E1380" s="150" t="str">
        <f t="shared" si="26"/>
        <v>http://dx.doi.org/10.1109/VISUAL.2005.1532812</v>
      </c>
      <c r="F1380" s="14">
        <v>327.0</v>
      </c>
      <c r="G1380" s="14">
        <v>334.0</v>
      </c>
      <c r="H1380" s="14" t="s">
        <v>28</v>
      </c>
      <c r="I1380" s="14" t="s">
        <v>16590</v>
      </c>
      <c r="J1380" s="130" t="s">
        <v>16591</v>
      </c>
      <c r="K1380" s="152" t="s">
        <v>16592</v>
      </c>
      <c r="L1380" s="20" t="s">
        <v>16593</v>
      </c>
      <c r="M1380" s="174" t="s">
        <v>16594</v>
      </c>
      <c r="N1380" s="130" t="s">
        <v>41370</v>
      </c>
      <c r="O1380" s="84"/>
      <c r="P1380" s="84"/>
      <c r="Q1380" s="84"/>
      <c r="R1380" s="84"/>
      <c r="S1380" s="84"/>
      <c r="T1380" s="84"/>
      <c r="U1380" s="84"/>
      <c r="V1380" s="84"/>
      <c r="W1380" s="84"/>
      <c r="X1380" s="84"/>
    </row>
    <row r="1381" ht="15.75" customHeight="1">
      <c r="A1381" s="14" t="s">
        <v>17</v>
      </c>
      <c r="B1381" s="14">
        <v>2005.0</v>
      </c>
      <c r="C1381" s="14" t="s">
        <v>16595</v>
      </c>
      <c r="D1381" s="14" t="s">
        <v>16596</v>
      </c>
      <c r="E1381" s="150" t="str">
        <f t="shared" si="26"/>
        <v>http://dx.doi.org/10.1109/VISUAL.2005.1532813</v>
      </c>
      <c r="F1381" s="14">
        <v>335.0</v>
      </c>
      <c r="G1381" s="14">
        <v>341.0</v>
      </c>
      <c r="H1381" s="14" t="s">
        <v>28</v>
      </c>
      <c r="I1381" s="14" t="s">
        <v>16598</v>
      </c>
      <c r="J1381" s="130" t="s">
        <v>16599</v>
      </c>
      <c r="K1381" s="152" t="s">
        <v>16600</v>
      </c>
      <c r="L1381" s="20" t="s">
        <v>16601</v>
      </c>
      <c r="M1381" s="174" t="s">
        <v>16602</v>
      </c>
      <c r="N1381" s="152" t="s">
        <v>16600</v>
      </c>
      <c r="O1381" s="84"/>
      <c r="P1381" s="84"/>
      <c r="Q1381" s="84"/>
      <c r="R1381" s="84"/>
      <c r="S1381" s="84"/>
      <c r="T1381" s="84"/>
      <c r="U1381" s="84"/>
      <c r="V1381" s="84"/>
      <c r="W1381" s="84"/>
      <c r="X1381" s="84"/>
    </row>
    <row r="1382" ht="15.75" customHeight="1">
      <c r="A1382" s="14" t="s">
        <v>17</v>
      </c>
      <c r="B1382" s="14">
        <v>2005.0</v>
      </c>
      <c r="C1382" s="14" t="s">
        <v>16603</v>
      </c>
      <c r="D1382" s="14" t="s">
        <v>16604</v>
      </c>
      <c r="E1382" s="150" t="str">
        <f t="shared" si="26"/>
        <v>http://dx.doi.org/10.1109/VISUAL.2005.1532815</v>
      </c>
      <c r="F1382" s="14">
        <v>343.0</v>
      </c>
      <c r="G1382" s="14">
        <v>350.0</v>
      </c>
      <c r="H1382" s="14" t="s">
        <v>28</v>
      </c>
      <c r="I1382" s="14" t="s">
        <v>16606</v>
      </c>
      <c r="J1382" s="130" t="s">
        <v>16817</v>
      </c>
      <c r="K1382" s="152" t="s">
        <v>16608</v>
      </c>
      <c r="L1382" s="20" t="s">
        <v>16609</v>
      </c>
      <c r="M1382" s="174" t="s">
        <v>16610</v>
      </c>
      <c r="N1382" s="130" t="s">
        <v>41374</v>
      </c>
      <c r="O1382" s="84"/>
      <c r="P1382" s="84"/>
      <c r="Q1382" s="84"/>
      <c r="R1382" s="84"/>
      <c r="S1382" s="84"/>
      <c r="T1382" s="84"/>
      <c r="U1382" s="84"/>
      <c r="V1382" s="84"/>
      <c r="W1382" s="84"/>
      <c r="X1382" s="84"/>
    </row>
    <row r="1383" ht="15.75" customHeight="1">
      <c r="A1383" s="14" t="s">
        <v>17</v>
      </c>
      <c r="B1383" s="14">
        <v>2005.0</v>
      </c>
      <c r="C1383" s="14" t="s">
        <v>16611</v>
      </c>
      <c r="D1383" s="14" t="s">
        <v>16612</v>
      </c>
      <c r="E1383" s="150" t="str">
        <f t="shared" si="26"/>
        <v>http://dx.doi.org/10.1109/VISUAL.2005.1532816</v>
      </c>
      <c r="F1383" s="14">
        <v>351.0</v>
      </c>
      <c r="G1383" s="14">
        <v>358.0</v>
      </c>
      <c r="H1383" s="14" t="s">
        <v>28</v>
      </c>
      <c r="I1383" s="14" t="s">
        <v>16614</v>
      </c>
      <c r="J1383" s="130" t="s">
        <v>16827</v>
      </c>
      <c r="K1383" s="152" t="s">
        <v>16616</v>
      </c>
      <c r="L1383" s="20" t="s">
        <v>16617</v>
      </c>
      <c r="M1383" s="174" t="s">
        <v>16618</v>
      </c>
      <c r="N1383" s="130" t="s">
        <v>41379</v>
      </c>
      <c r="O1383" s="84"/>
      <c r="P1383" s="84"/>
      <c r="Q1383" s="84"/>
      <c r="R1383" s="84"/>
      <c r="S1383" s="84"/>
      <c r="T1383" s="84"/>
      <c r="U1383" s="84"/>
      <c r="V1383" s="84"/>
      <c r="W1383" s="84"/>
      <c r="X1383" s="84"/>
    </row>
    <row r="1384" ht="15.75" customHeight="1">
      <c r="A1384" s="14" t="s">
        <v>17</v>
      </c>
      <c r="B1384" s="14">
        <v>2005.0</v>
      </c>
      <c r="C1384" s="14" t="s">
        <v>16619</v>
      </c>
      <c r="D1384" s="14" t="s">
        <v>16620</v>
      </c>
      <c r="E1384" s="150" t="str">
        <f t="shared" si="26"/>
        <v>http://dx.doi.org/10.1109/VISUAL.2005.1532817</v>
      </c>
      <c r="F1384" s="14">
        <v>359.0</v>
      </c>
      <c r="G1384" s="14">
        <v>366.0</v>
      </c>
      <c r="H1384" s="14" t="s">
        <v>28</v>
      </c>
      <c r="I1384" s="14" t="s">
        <v>16622</v>
      </c>
      <c r="J1384" s="130" t="s">
        <v>16623</v>
      </c>
      <c r="K1384" s="152" t="s">
        <v>16624</v>
      </c>
      <c r="L1384" s="20" t="s">
        <v>16625</v>
      </c>
      <c r="M1384" s="174" t="s">
        <v>16626</v>
      </c>
      <c r="N1384" s="130" t="s">
        <v>41380</v>
      </c>
      <c r="O1384" s="84"/>
      <c r="P1384" s="84"/>
      <c r="Q1384" s="84"/>
      <c r="R1384" s="84"/>
      <c r="S1384" s="84"/>
      <c r="T1384" s="84"/>
      <c r="U1384" s="84"/>
      <c r="V1384" s="84"/>
      <c r="W1384" s="84"/>
      <c r="X1384" s="84"/>
    </row>
    <row r="1385" ht="15.75" customHeight="1">
      <c r="A1385" s="14" t="s">
        <v>17</v>
      </c>
      <c r="B1385" s="14">
        <v>2005.0</v>
      </c>
      <c r="C1385" s="14" t="s">
        <v>16627</v>
      </c>
      <c r="D1385" s="14" t="s">
        <v>16628</v>
      </c>
      <c r="E1385" s="150" t="str">
        <f t="shared" si="26"/>
        <v>http://dx.doi.org/10.1109/VISUAL.2005.1532818</v>
      </c>
      <c r="F1385" s="14">
        <v>367.0</v>
      </c>
      <c r="G1385" s="14">
        <v>374.0</v>
      </c>
      <c r="H1385" s="14" t="s">
        <v>28</v>
      </c>
      <c r="I1385" s="14" t="s">
        <v>16630</v>
      </c>
      <c r="J1385" s="130" t="s">
        <v>16631</v>
      </c>
      <c r="K1385" s="152" t="s">
        <v>16632</v>
      </c>
      <c r="L1385" s="20" t="s">
        <v>16633</v>
      </c>
      <c r="M1385" s="174" t="s">
        <v>16634</v>
      </c>
      <c r="N1385" s="130" t="s">
        <v>40720</v>
      </c>
      <c r="O1385" s="84"/>
      <c r="P1385" s="84"/>
      <c r="Q1385" s="84"/>
      <c r="R1385" s="84"/>
      <c r="S1385" s="84"/>
      <c r="T1385" s="84"/>
      <c r="U1385" s="84"/>
      <c r="V1385" s="84"/>
      <c r="W1385" s="84"/>
      <c r="X1385" s="84"/>
    </row>
    <row r="1386" ht="15.75" customHeight="1">
      <c r="A1386" s="14" t="s">
        <v>17</v>
      </c>
      <c r="B1386" s="14">
        <v>2005.0</v>
      </c>
      <c r="C1386" s="14" t="s">
        <v>16635</v>
      </c>
      <c r="D1386" s="14" t="s">
        <v>16636</v>
      </c>
      <c r="E1386" s="150" t="str">
        <f t="shared" si="26"/>
        <v>http://dx.doi.org/10.1109/VISUAL.2005.1532819</v>
      </c>
      <c r="F1386" s="14">
        <v>375.0</v>
      </c>
      <c r="G1386" s="14">
        <v>382.0</v>
      </c>
      <c r="H1386" s="14" t="s">
        <v>28</v>
      </c>
      <c r="I1386" s="14" t="s">
        <v>16638</v>
      </c>
      <c r="J1386" s="130" t="s">
        <v>16639</v>
      </c>
      <c r="K1386" s="152" t="s">
        <v>16640</v>
      </c>
      <c r="L1386" s="20" t="s">
        <v>16641</v>
      </c>
      <c r="M1386" s="174" t="s">
        <v>16642</v>
      </c>
      <c r="N1386" s="130" t="s">
        <v>41388</v>
      </c>
      <c r="O1386" s="84"/>
      <c r="P1386" s="84"/>
      <c r="Q1386" s="84"/>
      <c r="R1386" s="84"/>
      <c r="S1386" s="84"/>
      <c r="T1386" s="84"/>
      <c r="U1386" s="84"/>
      <c r="V1386" s="84"/>
      <c r="W1386" s="84"/>
      <c r="X1386" s="84"/>
    </row>
    <row r="1387" ht="15.75" customHeight="1">
      <c r="A1387" s="14" t="s">
        <v>17</v>
      </c>
      <c r="B1387" s="14">
        <v>2005.0</v>
      </c>
      <c r="C1387" s="14" t="s">
        <v>16643</v>
      </c>
      <c r="D1387" s="14" t="s">
        <v>16644</v>
      </c>
      <c r="E1387" s="150" t="str">
        <f t="shared" si="26"/>
        <v>http://dx.doi.org/10.1109/VISUAL.2005.1532820</v>
      </c>
      <c r="F1387" s="14">
        <v>383.0</v>
      </c>
      <c r="G1387" s="14">
        <v>390.0</v>
      </c>
      <c r="H1387" s="14" t="s">
        <v>28</v>
      </c>
      <c r="I1387" s="14" t="s">
        <v>16646</v>
      </c>
      <c r="J1387" s="130" t="s">
        <v>16647</v>
      </c>
      <c r="K1387" s="152" t="s">
        <v>5673</v>
      </c>
      <c r="L1387" s="20" t="s">
        <v>16648</v>
      </c>
      <c r="M1387" s="174" t="s">
        <v>16649</v>
      </c>
      <c r="N1387" s="130" t="s">
        <v>41061</v>
      </c>
      <c r="O1387" s="84"/>
      <c r="P1387" s="84"/>
      <c r="Q1387" s="84"/>
      <c r="R1387" s="84"/>
      <c r="S1387" s="84"/>
      <c r="T1387" s="84"/>
      <c r="U1387" s="84"/>
      <c r="V1387" s="84"/>
      <c r="W1387" s="84"/>
      <c r="X1387" s="84"/>
    </row>
    <row r="1388" ht="15.75" customHeight="1">
      <c r="A1388" s="14" t="s">
        <v>17</v>
      </c>
      <c r="B1388" s="14">
        <v>2005.0</v>
      </c>
      <c r="C1388" s="14" t="s">
        <v>16650</v>
      </c>
      <c r="D1388" s="14" t="s">
        <v>16651</v>
      </c>
      <c r="E1388" s="150" t="str">
        <f t="shared" si="26"/>
        <v>http://dx.doi.org/10.1109/VISUAL.2005.1532821</v>
      </c>
      <c r="F1388" s="14">
        <v>391.0</v>
      </c>
      <c r="G1388" s="14">
        <v>398.0</v>
      </c>
      <c r="H1388" s="14" t="s">
        <v>28</v>
      </c>
      <c r="I1388" s="14" t="s">
        <v>16653</v>
      </c>
      <c r="J1388" s="130" t="s">
        <v>16654</v>
      </c>
      <c r="K1388" s="152" t="s">
        <v>16655</v>
      </c>
      <c r="L1388" s="20" t="s">
        <v>16656</v>
      </c>
      <c r="M1388" s="174" t="s">
        <v>16657</v>
      </c>
      <c r="N1388" s="152" t="s">
        <v>16655</v>
      </c>
      <c r="O1388" s="84"/>
      <c r="P1388" s="84"/>
      <c r="Q1388" s="84"/>
      <c r="R1388" s="84"/>
      <c r="S1388" s="84"/>
      <c r="T1388" s="84"/>
      <c r="U1388" s="84"/>
      <c r="V1388" s="84"/>
      <c r="W1388" s="84"/>
      <c r="X1388" s="84"/>
    </row>
    <row r="1389" ht="15.75" customHeight="1">
      <c r="A1389" s="14" t="s">
        <v>17</v>
      </c>
      <c r="B1389" s="14">
        <v>2005.0</v>
      </c>
      <c r="C1389" s="14" t="s">
        <v>16658</v>
      </c>
      <c r="D1389" s="14" t="s">
        <v>16659</v>
      </c>
      <c r="E1389" s="150" t="str">
        <f t="shared" si="26"/>
        <v>http://dx.doi.org/10.1109/VISUAL.2005.1532822</v>
      </c>
      <c r="F1389" s="14">
        <v>399.0</v>
      </c>
      <c r="G1389" s="14">
        <v>405.0</v>
      </c>
      <c r="H1389" s="14" t="s">
        <v>28</v>
      </c>
      <c r="I1389" s="14" t="s">
        <v>35762</v>
      </c>
      <c r="J1389" s="130" t="s">
        <v>14988</v>
      </c>
      <c r="K1389" s="152" t="s">
        <v>14989</v>
      </c>
      <c r="L1389" s="20" t="s">
        <v>14986</v>
      </c>
      <c r="M1389" s="174" t="s">
        <v>16662</v>
      </c>
      <c r="N1389" s="130" t="s">
        <v>41038</v>
      </c>
      <c r="O1389" s="84"/>
      <c r="P1389" s="84"/>
      <c r="Q1389" s="84"/>
      <c r="R1389" s="84"/>
      <c r="S1389" s="84"/>
      <c r="T1389" s="84"/>
      <c r="U1389" s="84"/>
      <c r="V1389" s="84"/>
      <c r="W1389" s="84"/>
      <c r="X1389" s="84"/>
    </row>
    <row r="1390" ht="15.75" customHeight="1">
      <c r="A1390" s="14" t="s">
        <v>17</v>
      </c>
      <c r="B1390" s="14">
        <v>2005.0</v>
      </c>
      <c r="C1390" s="14" t="s">
        <v>16663</v>
      </c>
      <c r="D1390" s="14" t="s">
        <v>16664</v>
      </c>
      <c r="E1390" s="150" t="str">
        <f t="shared" si="26"/>
        <v>http://dx.doi.org/10.1109/VISUAL.2005.1532823</v>
      </c>
      <c r="F1390" s="14">
        <v>407.0</v>
      </c>
      <c r="G1390" s="14">
        <v>414.0</v>
      </c>
      <c r="H1390" s="14" t="s">
        <v>28</v>
      </c>
      <c r="I1390" s="14" t="s">
        <v>16666</v>
      </c>
      <c r="J1390" s="130" t="s">
        <v>16667</v>
      </c>
      <c r="K1390" s="152" t="s">
        <v>16668</v>
      </c>
      <c r="L1390" s="20" t="s">
        <v>16669</v>
      </c>
      <c r="M1390" s="174" t="s">
        <v>16670</v>
      </c>
      <c r="N1390" s="130" t="s">
        <v>41398</v>
      </c>
      <c r="O1390" s="84"/>
      <c r="P1390" s="84"/>
      <c r="Q1390" s="84"/>
      <c r="R1390" s="84"/>
      <c r="S1390" s="84"/>
      <c r="T1390" s="84"/>
      <c r="U1390" s="84"/>
      <c r="V1390" s="84"/>
      <c r="W1390" s="84"/>
      <c r="X1390" s="84"/>
    </row>
    <row r="1391" ht="15.75" customHeight="1">
      <c r="A1391" s="14" t="s">
        <v>17</v>
      </c>
      <c r="B1391" s="14">
        <v>2005.0</v>
      </c>
      <c r="C1391" s="14" t="s">
        <v>16671</v>
      </c>
      <c r="D1391" s="14" t="s">
        <v>16672</v>
      </c>
      <c r="E1391" s="150" t="str">
        <f t="shared" si="26"/>
        <v>http://dx.doi.org/10.1109/VISUAL.2005.1532824</v>
      </c>
      <c r="F1391" s="14">
        <v>415.0</v>
      </c>
      <c r="G1391" s="14">
        <v>422.0</v>
      </c>
      <c r="H1391" s="14" t="s">
        <v>28</v>
      </c>
      <c r="I1391" s="14" t="s">
        <v>16674</v>
      </c>
      <c r="J1391" s="130" t="s">
        <v>16675</v>
      </c>
      <c r="K1391" s="152" t="s">
        <v>16676</v>
      </c>
      <c r="L1391" s="20" t="s">
        <v>16677</v>
      </c>
      <c r="M1391" s="174" t="s">
        <v>16678</v>
      </c>
      <c r="N1391" s="130" t="s">
        <v>41401</v>
      </c>
      <c r="O1391" s="84"/>
      <c r="P1391" s="84"/>
      <c r="Q1391" s="84"/>
      <c r="R1391" s="84"/>
      <c r="S1391" s="84"/>
      <c r="T1391" s="84"/>
      <c r="U1391" s="84"/>
      <c r="V1391" s="84"/>
      <c r="W1391" s="84"/>
      <c r="X1391" s="84"/>
    </row>
    <row r="1392" ht="15.75" customHeight="1">
      <c r="A1392" s="14" t="s">
        <v>17</v>
      </c>
      <c r="B1392" s="14">
        <v>2005.0</v>
      </c>
      <c r="C1392" s="14" t="s">
        <v>16679</v>
      </c>
      <c r="D1392" s="14" t="s">
        <v>16680</v>
      </c>
      <c r="E1392" s="150" t="str">
        <f t="shared" si="26"/>
        <v>http://dx.doi.org/10.1109/VISUAL.2005.1532825</v>
      </c>
      <c r="F1392" s="14">
        <v>423.0</v>
      </c>
      <c r="G1392" s="14">
        <v>429.0</v>
      </c>
      <c r="H1392" s="14" t="s">
        <v>28</v>
      </c>
      <c r="I1392" s="14" t="s">
        <v>16682</v>
      </c>
      <c r="J1392" s="130" t="s">
        <v>16683</v>
      </c>
      <c r="K1392" s="152" t="s">
        <v>12404</v>
      </c>
      <c r="L1392" s="20" t="s">
        <v>16684</v>
      </c>
      <c r="M1392" s="174" t="s">
        <v>16685</v>
      </c>
      <c r="N1392" s="130" t="s">
        <v>38483</v>
      </c>
      <c r="O1392" s="84"/>
      <c r="P1392" s="84"/>
      <c r="Q1392" s="84"/>
      <c r="R1392" s="84"/>
      <c r="S1392" s="84"/>
      <c r="T1392" s="84"/>
      <c r="U1392" s="84"/>
      <c r="V1392" s="84"/>
      <c r="W1392" s="84"/>
      <c r="X1392" s="84"/>
    </row>
    <row r="1393" ht="15.75" customHeight="1">
      <c r="A1393" s="14" t="s">
        <v>17</v>
      </c>
      <c r="B1393" s="14">
        <v>2005.0</v>
      </c>
      <c r="C1393" s="14" t="s">
        <v>16686</v>
      </c>
      <c r="D1393" s="14" t="s">
        <v>16687</v>
      </c>
      <c r="E1393" s="150" t="str">
        <f t="shared" si="26"/>
        <v>http://dx.doi.org/10.1109/VISUAL.2005.1532826</v>
      </c>
      <c r="F1393" s="14">
        <v>431.0</v>
      </c>
      <c r="G1393" s="14">
        <v>438.0</v>
      </c>
      <c r="H1393" s="14" t="s">
        <v>28</v>
      </c>
      <c r="I1393" s="14" t="s">
        <v>16689</v>
      </c>
      <c r="J1393" s="130" t="s">
        <v>16690</v>
      </c>
      <c r="K1393" s="152" t="s">
        <v>16691</v>
      </c>
      <c r="L1393" s="20"/>
      <c r="M1393" s="174" t="s">
        <v>16692</v>
      </c>
      <c r="N1393" s="130" t="s">
        <v>41407</v>
      </c>
      <c r="O1393" s="84"/>
      <c r="P1393" s="84"/>
      <c r="Q1393" s="84"/>
      <c r="R1393" s="84"/>
      <c r="S1393" s="84"/>
      <c r="T1393" s="84"/>
      <c r="U1393" s="84"/>
      <c r="V1393" s="84"/>
      <c r="W1393" s="84"/>
      <c r="X1393" s="84"/>
    </row>
    <row r="1394" ht="15.75" customHeight="1">
      <c r="A1394" s="14" t="s">
        <v>17</v>
      </c>
      <c r="B1394" s="14">
        <v>2005.0</v>
      </c>
      <c r="C1394" s="14" t="s">
        <v>16693</v>
      </c>
      <c r="D1394" s="14" t="s">
        <v>16694</v>
      </c>
      <c r="E1394" s="150" t="str">
        <f t="shared" si="26"/>
        <v>http://dx.doi.org/10.1109/VISUAL.2005.1532827</v>
      </c>
      <c r="F1394" s="14">
        <v>439.0</v>
      </c>
      <c r="G1394" s="14">
        <v>446.0</v>
      </c>
      <c r="H1394" s="14" t="s">
        <v>28</v>
      </c>
      <c r="I1394" s="14" t="s">
        <v>16696</v>
      </c>
      <c r="J1394" s="130" t="s">
        <v>16697</v>
      </c>
      <c r="K1394" s="152" t="s">
        <v>16698</v>
      </c>
      <c r="L1394" s="20" t="s">
        <v>16699</v>
      </c>
      <c r="M1394" s="174" t="s">
        <v>16700</v>
      </c>
      <c r="N1394" s="130" t="s">
        <v>41408</v>
      </c>
      <c r="O1394" s="84"/>
      <c r="P1394" s="84"/>
      <c r="Q1394" s="84"/>
      <c r="R1394" s="84"/>
      <c r="S1394" s="84"/>
      <c r="T1394" s="84"/>
      <c r="U1394" s="84"/>
      <c r="V1394" s="84"/>
      <c r="W1394" s="84"/>
      <c r="X1394" s="84"/>
    </row>
    <row r="1395" ht="15.75" customHeight="1">
      <c r="A1395" s="14" t="s">
        <v>17</v>
      </c>
      <c r="B1395" s="14">
        <v>2005.0</v>
      </c>
      <c r="C1395" s="14" t="s">
        <v>16701</v>
      </c>
      <c r="D1395" s="14" t="s">
        <v>16702</v>
      </c>
      <c r="E1395" s="150" t="str">
        <f t="shared" si="26"/>
        <v>http://dx.doi.org/10.1109/VISUAL.2005.1532828</v>
      </c>
      <c r="F1395" s="14">
        <v>447.0</v>
      </c>
      <c r="G1395" s="14">
        <v>454.0</v>
      </c>
      <c r="H1395" s="14" t="s">
        <v>28</v>
      </c>
      <c r="I1395" s="14" t="s">
        <v>16707</v>
      </c>
      <c r="J1395" s="130" t="s">
        <v>16907</v>
      </c>
      <c r="K1395" s="152" t="s">
        <v>16709</v>
      </c>
      <c r="L1395" s="20" t="s">
        <v>3730</v>
      </c>
      <c r="M1395" s="174" t="s">
        <v>16710</v>
      </c>
      <c r="N1395" s="130" t="s">
        <v>41410</v>
      </c>
      <c r="O1395" s="84"/>
      <c r="P1395" s="84"/>
      <c r="Q1395" s="84"/>
      <c r="R1395" s="84"/>
      <c r="S1395" s="84"/>
      <c r="T1395" s="84"/>
      <c r="U1395" s="84"/>
      <c r="V1395" s="84"/>
      <c r="W1395" s="84"/>
      <c r="X1395" s="84"/>
    </row>
    <row r="1396" ht="15.75" customHeight="1">
      <c r="A1396" s="14" t="s">
        <v>17</v>
      </c>
      <c r="B1396" s="14">
        <v>2005.0</v>
      </c>
      <c r="C1396" s="14" t="s">
        <v>16711</v>
      </c>
      <c r="D1396" s="14" t="s">
        <v>16712</v>
      </c>
      <c r="E1396" s="150" t="str">
        <f t="shared" si="26"/>
        <v>http://dx.doi.org/10.1109/VISUAL.2005.1532829</v>
      </c>
      <c r="F1396" s="14">
        <v>455.0</v>
      </c>
      <c r="G1396" s="14">
        <v>462.0</v>
      </c>
      <c r="H1396" s="14" t="s">
        <v>28</v>
      </c>
      <c r="I1396" s="14" t="s">
        <v>16715</v>
      </c>
      <c r="J1396" s="130" t="s">
        <v>16716</v>
      </c>
      <c r="K1396" s="152" t="s">
        <v>16718</v>
      </c>
      <c r="L1396" s="20" t="s">
        <v>16719</v>
      </c>
      <c r="M1396" s="174" t="s">
        <v>16720</v>
      </c>
      <c r="N1396" s="130" t="s">
        <v>41414</v>
      </c>
      <c r="O1396" s="84"/>
      <c r="P1396" s="84"/>
      <c r="Q1396" s="84"/>
      <c r="R1396" s="84"/>
      <c r="S1396" s="84"/>
      <c r="T1396" s="84"/>
      <c r="U1396" s="84"/>
      <c r="V1396" s="84"/>
      <c r="W1396" s="84"/>
      <c r="X1396" s="84"/>
    </row>
    <row r="1397" ht="15.75" customHeight="1">
      <c r="A1397" s="14" t="s">
        <v>17</v>
      </c>
      <c r="B1397" s="14">
        <v>2005.0</v>
      </c>
      <c r="C1397" s="14" t="s">
        <v>16723</v>
      </c>
      <c r="D1397" s="14" t="s">
        <v>16724</v>
      </c>
      <c r="E1397" s="150" t="str">
        <f t="shared" si="26"/>
        <v>http://dx.doi.org/10.1109/VISUAL.2005.1532830</v>
      </c>
      <c r="F1397" s="14">
        <v>463.0</v>
      </c>
      <c r="G1397" s="14">
        <v>470.0</v>
      </c>
      <c r="H1397" s="14" t="s">
        <v>28</v>
      </c>
      <c r="I1397" s="14" t="s">
        <v>35746</v>
      </c>
      <c r="J1397" s="130" t="s">
        <v>16729</v>
      </c>
      <c r="K1397" s="152" t="s">
        <v>16730</v>
      </c>
      <c r="L1397" s="20" t="s">
        <v>16731</v>
      </c>
      <c r="M1397" s="174" t="s">
        <v>16732</v>
      </c>
      <c r="N1397" s="130" t="s">
        <v>39819</v>
      </c>
      <c r="O1397" s="84"/>
      <c r="P1397" s="84"/>
      <c r="Q1397" s="84"/>
      <c r="R1397" s="84"/>
      <c r="S1397" s="84"/>
      <c r="T1397" s="84"/>
      <c r="U1397" s="84"/>
      <c r="V1397" s="84"/>
      <c r="W1397" s="84"/>
      <c r="X1397" s="84"/>
    </row>
    <row r="1398" ht="15.75" customHeight="1">
      <c r="A1398" s="14" t="s">
        <v>17</v>
      </c>
      <c r="B1398" s="14">
        <v>2005.0</v>
      </c>
      <c r="C1398" s="14" t="s">
        <v>16733</v>
      </c>
      <c r="D1398" s="14" t="s">
        <v>16734</v>
      </c>
      <c r="E1398" s="150" t="str">
        <f t="shared" si="26"/>
        <v>http://dx.doi.org/10.1109/VISUAL.2005.1532831</v>
      </c>
      <c r="F1398" s="14">
        <v>471.0</v>
      </c>
      <c r="G1398" s="14">
        <v>478.0</v>
      </c>
      <c r="H1398" s="14" t="s">
        <v>28</v>
      </c>
      <c r="I1398" s="14" t="s">
        <v>35793</v>
      </c>
      <c r="J1398" s="130" t="s">
        <v>41416</v>
      </c>
      <c r="K1398" s="152" t="s">
        <v>16740</v>
      </c>
      <c r="L1398" s="20" t="s">
        <v>16741</v>
      </c>
      <c r="M1398" s="174" t="s">
        <v>16742</v>
      </c>
      <c r="N1398" s="130" t="s">
        <v>39271</v>
      </c>
      <c r="O1398" s="84"/>
      <c r="P1398" s="84"/>
      <c r="Q1398" s="84"/>
      <c r="R1398" s="84"/>
      <c r="S1398" s="84"/>
      <c r="T1398" s="84"/>
      <c r="U1398" s="84"/>
      <c r="V1398" s="84"/>
      <c r="W1398" s="84"/>
      <c r="X1398" s="84"/>
    </row>
    <row r="1399" ht="15.75" customHeight="1">
      <c r="A1399" s="14" t="s">
        <v>17</v>
      </c>
      <c r="B1399" s="14">
        <v>2005.0</v>
      </c>
      <c r="C1399" s="14" t="s">
        <v>16743</v>
      </c>
      <c r="D1399" s="14" t="s">
        <v>16744</v>
      </c>
      <c r="E1399" s="150" t="str">
        <f t="shared" si="26"/>
        <v>http://dx.doi.org/10.1109/VISUAL.2005.1532832</v>
      </c>
      <c r="F1399" s="14">
        <v>479.0</v>
      </c>
      <c r="G1399" s="14">
        <v>486.0</v>
      </c>
      <c r="H1399" s="14" t="s">
        <v>28</v>
      </c>
      <c r="I1399" s="14" t="s">
        <v>16749</v>
      </c>
      <c r="J1399" s="130" t="s">
        <v>16750</v>
      </c>
      <c r="K1399" s="152" t="s">
        <v>16751</v>
      </c>
      <c r="L1399" s="20" t="s">
        <v>5746</v>
      </c>
      <c r="M1399" s="174" t="s">
        <v>16752</v>
      </c>
      <c r="N1399" s="130" t="s">
        <v>41421</v>
      </c>
      <c r="O1399" s="84"/>
      <c r="P1399" s="84"/>
      <c r="Q1399" s="84"/>
      <c r="R1399" s="84"/>
      <c r="S1399" s="84"/>
      <c r="T1399" s="84"/>
      <c r="U1399" s="84"/>
      <c r="V1399" s="84"/>
      <c r="W1399" s="84"/>
      <c r="X1399" s="84"/>
    </row>
    <row r="1400" ht="15.75" customHeight="1">
      <c r="A1400" s="14" t="s">
        <v>17</v>
      </c>
      <c r="B1400" s="14">
        <v>2005.0</v>
      </c>
      <c r="C1400" s="14" t="s">
        <v>16753</v>
      </c>
      <c r="D1400" s="14" t="s">
        <v>16754</v>
      </c>
      <c r="E1400" s="150" t="str">
        <f t="shared" si="26"/>
        <v>http://dx.doi.org/10.1109/VISUAL.2005.1532833</v>
      </c>
      <c r="F1400" s="14">
        <v>487.0</v>
      </c>
      <c r="G1400" s="14">
        <v>494.0</v>
      </c>
      <c r="H1400" s="14" t="s">
        <v>28</v>
      </c>
      <c r="I1400" s="14" t="s">
        <v>16757</v>
      </c>
      <c r="J1400" s="130" t="s">
        <v>13403</v>
      </c>
      <c r="K1400" s="152" t="s">
        <v>12159</v>
      </c>
      <c r="L1400" s="20" t="s">
        <v>16758</v>
      </c>
      <c r="M1400" s="174" t="s">
        <v>16759</v>
      </c>
      <c r="N1400" s="130" t="s">
        <v>41422</v>
      </c>
      <c r="O1400" s="84"/>
      <c r="P1400" s="84"/>
      <c r="Q1400" s="84"/>
      <c r="R1400" s="84"/>
      <c r="S1400" s="84"/>
      <c r="T1400" s="84"/>
      <c r="U1400" s="84"/>
      <c r="V1400" s="84"/>
      <c r="W1400" s="84"/>
      <c r="X1400" s="84"/>
    </row>
    <row r="1401" ht="15.75" customHeight="1">
      <c r="A1401" s="14" t="s">
        <v>17</v>
      </c>
      <c r="B1401" s="14">
        <v>2005.0</v>
      </c>
      <c r="C1401" s="14" t="s">
        <v>16760</v>
      </c>
      <c r="D1401" s="14" t="s">
        <v>16762</v>
      </c>
      <c r="E1401" s="150" t="str">
        <f t="shared" si="26"/>
        <v>http://dx.doi.org/10.1109/VISUAL.2005.1532834</v>
      </c>
      <c r="F1401" s="14">
        <v>495.0</v>
      </c>
      <c r="G1401" s="14">
        <v>502.0</v>
      </c>
      <c r="H1401" s="14" t="s">
        <v>28</v>
      </c>
      <c r="I1401" s="14" t="s">
        <v>16768</v>
      </c>
      <c r="J1401" s="130" t="s">
        <v>16769</v>
      </c>
      <c r="K1401" s="152" t="s">
        <v>16770</v>
      </c>
      <c r="L1401" s="20" t="s">
        <v>16771</v>
      </c>
      <c r="M1401" s="174" t="s">
        <v>16772</v>
      </c>
      <c r="N1401" s="130" t="s">
        <v>41426</v>
      </c>
      <c r="O1401" s="84"/>
      <c r="P1401" s="84"/>
      <c r="Q1401" s="84"/>
      <c r="R1401" s="84"/>
      <c r="S1401" s="84"/>
      <c r="T1401" s="84"/>
      <c r="U1401" s="84"/>
      <c r="V1401" s="84"/>
      <c r="W1401" s="84"/>
      <c r="X1401" s="84"/>
    </row>
    <row r="1402" ht="15.75" customHeight="1">
      <c r="A1402" s="14" t="s">
        <v>17</v>
      </c>
      <c r="B1402" s="14">
        <v>2005.0</v>
      </c>
      <c r="C1402" s="14" t="s">
        <v>16773</v>
      </c>
      <c r="D1402" s="14" t="s">
        <v>16774</v>
      </c>
      <c r="E1402" s="150" t="str">
        <f t="shared" si="26"/>
        <v>http://dx.doi.org/10.1109/VISUAL.2005.1532835</v>
      </c>
      <c r="F1402" s="14">
        <v>503.0</v>
      </c>
      <c r="G1402" s="14">
        <v>510.0</v>
      </c>
      <c r="H1402" s="14" t="s">
        <v>28</v>
      </c>
      <c r="I1402" s="14" t="s">
        <v>16777</v>
      </c>
      <c r="J1402" s="130" t="s">
        <v>16778</v>
      </c>
      <c r="K1402" s="152" t="s">
        <v>1596</v>
      </c>
      <c r="L1402" s="20" t="s">
        <v>16779</v>
      </c>
      <c r="M1402" s="174" t="s">
        <v>16780</v>
      </c>
      <c r="N1402" s="130" t="s">
        <v>39060</v>
      </c>
      <c r="O1402" s="84"/>
      <c r="P1402" s="84"/>
      <c r="Q1402" s="84"/>
      <c r="R1402" s="84"/>
      <c r="S1402" s="84"/>
      <c r="T1402" s="84"/>
      <c r="U1402" s="84"/>
      <c r="V1402" s="84"/>
      <c r="W1402" s="84"/>
      <c r="X1402" s="84"/>
    </row>
    <row r="1403" ht="15.75" customHeight="1">
      <c r="A1403" s="14" t="s">
        <v>17</v>
      </c>
      <c r="B1403" s="14">
        <v>2005.0</v>
      </c>
      <c r="C1403" s="14" t="s">
        <v>16781</v>
      </c>
      <c r="D1403" s="14" t="s">
        <v>16782</v>
      </c>
      <c r="E1403" s="150" t="str">
        <f t="shared" si="26"/>
        <v>http://dx.doi.org/10.1109/VISUAL.2005.1532836</v>
      </c>
      <c r="F1403" s="14">
        <v>511.0</v>
      </c>
      <c r="G1403" s="14">
        <v>518.0</v>
      </c>
      <c r="H1403" s="14" t="s">
        <v>28</v>
      </c>
      <c r="I1403" s="14" t="s">
        <v>16787</v>
      </c>
      <c r="J1403" s="130" t="s">
        <v>16788</v>
      </c>
      <c r="K1403" s="152" t="s">
        <v>16789</v>
      </c>
      <c r="L1403" s="20" t="s">
        <v>16790</v>
      </c>
      <c r="M1403" s="174" t="s">
        <v>16791</v>
      </c>
      <c r="N1403" s="130" t="s">
        <v>41430</v>
      </c>
      <c r="O1403" s="84"/>
      <c r="P1403" s="84"/>
      <c r="Q1403" s="84"/>
      <c r="R1403" s="84"/>
      <c r="S1403" s="84"/>
      <c r="T1403" s="84"/>
      <c r="U1403" s="84"/>
      <c r="V1403" s="84"/>
      <c r="W1403" s="84"/>
      <c r="X1403" s="84"/>
    </row>
    <row r="1404" ht="15.75" customHeight="1">
      <c r="A1404" s="14" t="s">
        <v>17</v>
      </c>
      <c r="B1404" s="14">
        <v>2005.0</v>
      </c>
      <c r="C1404" s="14" t="s">
        <v>16792</v>
      </c>
      <c r="D1404" s="14" t="s">
        <v>16793</v>
      </c>
      <c r="E1404" s="150" t="str">
        <f t="shared" si="26"/>
        <v>http://dx.doi.org/10.1109/VISUAL.2005.1532837</v>
      </c>
      <c r="F1404" s="14">
        <v>519.0</v>
      </c>
      <c r="G1404" s="14">
        <v>526.0</v>
      </c>
      <c r="H1404" s="14" t="s">
        <v>28</v>
      </c>
      <c r="I1404" s="14" t="s">
        <v>16799</v>
      </c>
      <c r="J1404" s="130" t="s">
        <v>16800</v>
      </c>
      <c r="K1404" s="152" t="s">
        <v>16801</v>
      </c>
      <c r="L1404" s="20" t="s">
        <v>16802</v>
      </c>
      <c r="M1404" s="174" t="s">
        <v>16803</v>
      </c>
      <c r="N1404" s="130" t="s">
        <v>41432</v>
      </c>
      <c r="O1404" s="84"/>
      <c r="P1404" s="84"/>
      <c r="Q1404" s="84"/>
      <c r="R1404" s="84"/>
      <c r="S1404" s="84"/>
      <c r="T1404" s="84"/>
      <c r="U1404" s="84"/>
      <c r="V1404" s="84"/>
      <c r="W1404" s="84"/>
      <c r="X1404" s="84"/>
    </row>
    <row r="1405" ht="15.75" customHeight="1">
      <c r="A1405" s="14" t="s">
        <v>17</v>
      </c>
      <c r="B1405" s="14">
        <v>2005.0</v>
      </c>
      <c r="C1405" s="14" t="s">
        <v>16804</v>
      </c>
      <c r="D1405" s="14" t="s">
        <v>16805</v>
      </c>
      <c r="E1405" s="150" t="str">
        <f t="shared" si="26"/>
        <v>http://dx.doi.org/10.1109/VISUAL.2005.1532838</v>
      </c>
      <c r="F1405" s="14">
        <v>527.0</v>
      </c>
      <c r="G1405" s="14">
        <v>534.0</v>
      </c>
      <c r="H1405" s="14" t="s">
        <v>28</v>
      </c>
      <c r="I1405" s="14" t="s">
        <v>35943</v>
      </c>
      <c r="J1405" s="130" t="s">
        <v>16811</v>
      </c>
      <c r="K1405" s="152" t="s">
        <v>178</v>
      </c>
      <c r="L1405" s="20" t="s">
        <v>151</v>
      </c>
      <c r="M1405" s="174" t="s">
        <v>16813</v>
      </c>
      <c r="N1405" s="130" t="s">
        <v>41434</v>
      </c>
      <c r="O1405" s="84"/>
      <c r="P1405" s="84"/>
      <c r="Q1405" s="84"/>
      <c r="R1405" s="84"/>
      <c r="S1405" s="84"/>
      <c r="T1405" s="84"/>
      <c r="U1405" s="84"/>
      <c r="V1405" s="84"/>
      <c r="W1405" s="84"/>
      <c r="X1405" s="84"/>
    </row>
    <row r="1406" ht="15.75" customHeight="1">
      <c r="A1406" s="14" t="s">
        <v>17</v>
      </c>
      <c r="B1406" s="14">
        <v>2005.0</v>
      </c>
      <c r="C1406" s="14" t="s">
        <v>16814</v>
      </c>
      <c r="D1406" s="14" t="s">
        <v>16815</v>
      </c>
      <c r="E1406" s="150" t="str">
        <f t="shared" si="26"/>
        <v>http://dx.doi.org/10.1109/VISUAL.2005.1532839</v>
      </c>
      <c r="F1406" s="14">
        <v>535.0</v>
      </c>
      <c r="G1406" s="14">
        <v>542.0</v>
      </c>
      <c r="H1406" s="14" t="s">
        <v>28</v>
      </c>
      <c r="I1406" s="14" t="s">
        <v>16820</v>
      </c>
      <c r="J1406" s="130" t="s">
        <v>16821</v>
      </c>
      <c r="K1406" s="152" t="s">
        <v>5673</v>
      </c>
      <c r="L1406" s="20" t="s">
        <v>16822</v>
      </c>
      <c r="M1406" s="174" t="s">
        <v>16823</v>
      </c>
      <c r="N1406" s="152" t="s">
        <v>5673</v>
      </c>
      <c r="O1406" s="84"/>
      <c r="P1406" s="84"/>
      <c r="Q1406" s="84"/>
      <c r="R1406" s="84"/>
      <c r="S1406" s="84"/>
      <c r="T1406" s="84"/>
      <c r="U1406" s="84"/>
      <c r="V1406" s="84"/>
      <c r="W1406" s="84"/>
      <c r="X1406" s="84"/>
    </row>
    <row r="1407" ht="15.75" customHeight="1">
      <c r="A1407" s="14" t="s">
        <v>17</v>
      </c>
      <c r="B1407" s="14">
        <v>2005.0</v>
      </c>
      <c r="C1407" s="14" t="s">
        <v>16824</v>
      </c>
      <c r="D1407" s="14" t="s">
        <v>16825</v>
      </c>
      <c r="E1407" s="150" t="str">
        <f t="shared" si="26"/>
        <v>http://dx.doi.org/10.1109/VISUAL.2005.1532840</v>
      </c>
      <c r="F1407" s="14">
        <v>543.0</v>
      </c>
      <c r="G1407" s="14">
        <v>550.0</v>
      </c>
      <c r="H1407" s="14" t="s">
        <v>28</v>
      </c>
      <c r="I1407" s="14" t="s">
        <v>16830</v>
      </c>
      <c r="J1407" s="130" t="s">
        <v>16831</v>
      </c>
      <c r="K1407" s="152" t="s">
        <v>16832</v>
      </c>
      <c r="L1407" s="20" t="s">
        <v>12442</v>
      </c>
      <c r="M1407" s="174" t="s">
        <v>16833</v>
      </c>
      <c r="N1407" s="130" t="s">
        <v>40720</v>
      </c>
      <c r="O1407" s="84"/>
      <c r="P1407" s="84"/>
      <c r="Q1407" s="84"/>
      <c r="R1407" s="84"/>
      <c r="S1407" s="84"/>
      <c r="T1407" s="84"/>
      <c r="U1407" s="84"/>
      <c r="V1407" s="84"/>
      <c r="W1407" s="84"/>
      <c r="X1407" s="84"/>
    </row>
    <row r="1408" ht="15.75" customHeight="1">
      <c r="A1408" s="14" t="s">
        <v>17</v>
      </c>
      <c r="B1408" s="14">
        <v>2005.0</v>
      </c>
      <c r="C1408" s="14" t="s">
        <v>16834</v>
      </c>
      <c r="D1408" s="14" t="s">
        <v>16835</v>
      </c>
      <c r="E1408" s="150" t="str">
        <f t="shared" si="26"/>
        <v>http://dx.doi.org/10.1109/VISUAL.2005.1532841</v>
      </c>
      <c r="F1408" s="14">
        <v>551.0</v>
      </c>
      <c r="G1408" s="14">
        <v>558.0</v>
      </c>
      <c r="H1408" s="14" t="s">
        <v>28</v>
      </c>
      <c r="I1408" s="14" t="s">
        <v>16841</v>
      </c>
      <c r="J1408" s="130" t="s">
        <v>16842</v>
      </c>
      <c r="K1408" s="152" t="s">
        <v>16843</v>
      </c>
      <c r="L1408" s="20" t="s">
        <v>16844</v>
      </c>
      <c r="M1408" s="174" t="s">
        <v>16845</v>
      </c>
      <c r="N1408" s="130" t="s">
        <v>39870</v>
      </c>
      <c r="O1408" s="84"/>
      <c r="P1408" s="84"/>
      <c r="Q1408" s="84"/>
      <c r="R1408" s="84"/>
      <c r="S1408" s="84"/>
      <c r="T1408" s="84"/>
      <c r="U1408" s="84"/>
      <c r="V1408" s="84"/>
      <c r="W1408" s="84"/>
      <c r="X1408" s="84"/>
    </row>
    <row r="1409" ht="15.75" customHeight="1">
      <c r="A1409" s="14" t="s">
        <v>17</v>
      </c>
      <c r="B1409" s="14">
        <v>2005.0</v>
      </c>
      <c r="C1409" s="14" t="s">
        <v>16846</v>
      </c>
      <c r="D1409" s="14" t="s">
        <v>16847</v>
      </c>
      <c r="E1409" s="150" t="str">
        <f t="shared" si="26"/>
        <v>http://dx.doi.org/10.1109/VISUAL.2005.1532842</v>
      </c>
      <c r="F1409" s="14">
        <v>559.0</v>
      </c>
      <c r="G1409" s="14">
        <v>566.0</v>
      </c>
      <c r="H1409" s="14" t="s">
        <v>28</v>
      </c>
      <c r="I1409" s="14" t="s">
        <v>16852</v>
      </c>
      <c r="J1409" s="130" t="s">
        <v>16853</v>
      </c>
      <c r="K1409" s="152" t="s">
        <v>16854</v>
      </c>
      <c r="L1409" s="20" t="s">
        <v>16855</v>
      </c>
      <c r="M1409" s="16"/>
      <c r="N1409" s="152" t="s">
        <v>16854</v>
      </c>
      <c r="O1409" s="84"/>
      <c r="P1409" s="84"/>
      <c r="Q1409" s="84"/>
      <c r="R1409" s="84"/>
      <c r="S1409" s="84"/>
      <c r="T1409" s="84"/>
      <c r="U1409" s="84"/>
      <c r="V1409" s="84"/>
      <c r="W1409" s="84"/>
      <c r="X1409" s="84"/>
    </row>
    <row r="1410" ht="15.75" customHeight="1">
      <c r="A1410" s="14" t="s">
        <v>17</v>
      </c>
      <c r="B1410" s="14">
        <v>2005.0</v>
      </c>
      <c r="C1410" s="14" t="s">
        <v>16856</v>
      </c>
      <c r="D1410" s="14" t="s">
        <v>16857</v>
      </c>
      <c r="E1410" s="150" t="str">
        <f t="shared" si="26"/>
        <v>http://dx.doi.org/10.1109/VISUAL.2005.1532843</v>
      </c>
      <c r="F1410" s="14">
        <v>567.0</v>
      </c>
      <c r="G1410" s="14">
        <v>574.0</v>
      </c>
      <c r="H1410" s="14" t="s">
        <v>28</v>
      </c>
      <c r="I1410" s="14" t="s">
        <v>16860</v>
      </c>
      <c r="J1410" s="130" t="s">
        <v>16861</v>
      </c>
      <c r="K1410" s="152" t="s">
        <v>4713</v>
      </c>
      <c r="L1410" s="20"/>
      <c r="M1410" s="174" t="s">
        <v>16862</v>
      </c>
      <c r="N1410" s="130" t="s">
        <v>40628</v>
      </c>
      <c r="O1410" s="84"/>
      <c r="P1410" s="84"/>
      <c r="Q1410" s="84"/>
      <c r="R1410" s="84"/>
      <c r="S1410" s="84"/>
      <c r="T1410" s="84"/>
      <c r="U1410" s="84"/>
      <c r="V1410" s="84"/>
      <c r="W1410" s="84"/>
      <c r="X1410" s="84"/>
    </row>
    <row r="1411" ht="15.75" customHeight="1">
      <c r="A1411" s="14" t="s">
        <v>17</v>
      </c>
      <c r="B1411" s="14">
        <v>2005.0</v>
      </c>
      <c r="C1411" s="14" t="s">
        <v>16863</v>
      </c>
      <c r="D1411" s="14" t="s">
        <v>16864</v>
      </c>
      <c r="E1411" s="150" t="str">
        <f t="shared" si="26"/>
        <v>http://dx.doi.org/10.1109/VISUAL.2005.1532844</v>
      </c>
      <c r="F1411" s="14">
        <v>575.0</v>
      </c>
      <c r="G1411" s="14">
        <v>582.0</v>
      </c>
      <c r="H1411" s="14" t="s">
        <v>28</v>
      </c>
      <c r="I1411" s="14" t="s">
        <v>16868</v>
      </c>
      <c r="J1411" s="130" t="s">
        <v>16869</v>
      </c>
      <c r="K1411" s="152" t="s">
        <v>16870</v>
      </c>
      <c r="L1411" s="20"/>
      <c r="M1411" s="174" t="s">
        <v>16872</v>
      </c>
      <c r="N1411" s="130" t="s">
        <v>41443</v>
      </c>
      <c r="O1411" s="84"/>
      <c r="P1411" s="84"/>
      <c r="Q1411" s="84"/>
      <c r="R1411" s="84"/>
      <c r="S1411" s="84"/>
      <c r="T1411" s="84"/>
      <c r="U1411" s="84"/>
      <c r="V1411" s="84"/>
      <c r="W1411" s="84"/>
      <c r="X1411" s="84"/>
    </row>
    <row r="1412" ht="15.75" customHeight="1">
      <c r="A1412" s="14" t="s">
        <v>17</v>
      </c>
      <c r="B1412" s="14">
        <v>2005.0</v>
      </c>
      <c r="C1412" s="14" t="s">
        <v>16874</v>
      </c>
      <c r="D1412" s="14" t="s">
        <v>16875</v>
      </c>
      <c r="E1412" s="150" t="str">
        <f t="shared" si="26"/>
        <v>http://dx.doi.org/10.1109/VISUAL.2005.1532845</v>
      </c>
      <c r="F1412" s="14">
        <v>583.0</v>
      </c>
      <c r="G1412" s="14">
        <v>590.0</v>
      </c>
      <c r="H1412" s="14" t="s">
        <v>28</v>
      </c>
      <c r="I1412" s="14" t="s">
        <v>16879</v>
      </c>
      <c r="J1412" s="130" t="s">
        <v>17015</v>
      </c>
      <c r="K1412" s="152" t="s">
        <v>16881</v>
      </c>
      <c r="L1412" s="20" t="s">
        <v>16882</v>
      </c>
      <c r="M1412" s="174" t="s">
        <v>16883</v>
      </c>
      <c r="N1412" s="130" t="s">
        <v>41445</v>
      </c>
      <c r="O1412" s="84"/>
      <c r="P1412" s="84"/>
      <c r="Q1412" s="84"/>
      <c r="R1412" s="84"/>
      <c r="S1412" s="84"/>
      <c r="T1412" s="84"/>
      <c r="U1412" s="84"/>
      <c r="V1412" s="84"/>
      <c r="W1412" s="84"/>
      <c r="X1412" s="84"/>
    </row>
    <row r="1413" ht="15.75" customHeight="1">
      <c r="A1413" s="14" t="s">
        <v>17</v>
      </c>
      <c r="B1413" s="14">
        <v>2005.0</v>
      </c>
      <c r="C1413" s="14" t="s">
        <v>16884</v>
      </c>
      <c r="D1413" s="14" t="s">
        <v>16885</v>
      </c>
      <c r="E1413" s="150" t="str">
        <f t="shared" si="26"/>
        <v>http://dx.doi.org/10.1109/VISUAL.2005.1532846</v>
      </c>
      <c r="F1413" s="14">
        <v>591.0</v>
      </c>
      <c r="G1413" s="14">
        <v>597.0</v>
      </c>
      <c r="H1413" s="14" t="s">
        <v>28</v>
      </c>
      <c r="I1413" s="14" t="s">
        <v>16889</v>
      </c>
      <c r="J1413" s="130" t="s">
        <v>16891</v>
      </c>
      <c r="K1413" s="152" t="s">
        <v>16892</v>
      </c>
      <c r="L1413" s="20" t="s">
        <v>16893</v>
      </c>
      <c r="M1413" s="174" t="s">
        <v>16894</v>
      </c>
      <c r="N1413" s="130" t="s">
        <v>40507</v>
      </c>
      <c r="O1413" s="84"/>
      <c r="P1413" s="84"/>
      <c r="Q1413" s="84"/>
      <c r="R1413" s="84"/>
      <c r="S1413" s="84"/>
      <c r="T1413" s="84"/>
      <c r="U1413" s="84"/>
      <c r="V1413" s="84"/>
      <c r="W1413" s="84"/>
      <c r="X1413" s="84"/>
    </row>
    <row r="1414" ht="15.75" customHeight="1">
      <c r="A1414" s="14" t="s">
        <v>17</v>
      </c>
      <c r="B1414" s="14">
        <v>2005.0</v>
      </c>
      <c r="C1414" s="14" t="s">
        <v>16895</v>
      </c>
      <c r="D1414" s="14" t="s">
        <v>16896</v>
      </c>
      <c r="E1414" s="150" t="str">
        <f t="shared" si="26"/>
        <v>http://dx.doi.org/10.1109/VISUAL.2005.1532847</v>
      </c>
      <c r="F1414" s="14">
        <v>599.0</v>
      </c>
      <c r="G1414" s="14">
        <v>606.0</v>
      </c>
      <c r="H1414" s="14" t="s">
        <v>28</v>
      </c>
      <c r="I1414" s="14" t="s">
        <v>16900</v>
      </c>
      <c r="J1414" s="130" t="s">
        <v>41448</v>
      </c>
      <c r="K1414" s="152" t="s">
        <v>16902</v>
      </c>
      <c r="L1414" s="20" t="s">
        <v>16903</v>
      </c>
      <c r="M1414" s="174" t="s">
        <v>15093</v>
      </c>
      <c r="N1414" s="152" t="s">
        <v>16902</v>
      </c>
      <c r="O1414" s="84"/>
      <c r="P1414" s="84"/>
      <c r="Q1414" s="84"/>
      <c r="R1414" s="84"/>
      <c r="S1414" s="84"/>
      <c r="T1414" s="84"/>
      <c r="U1414" s="84"/>
      <c r="V1414" s="84"/>
      <c r="W1414" s="84"/>
      <c r="X1414" s="84"/>
    </row>
    <row r="1415" ht="15.75" customHeight="1">
      <c r="A1415" s="14" t="s">
        <v>17</v>
      </c>
      <c r="B1415" s="14">
        <v>2005.0</v>
      </c>
      <c r="C1415" s="14" t="s">
        <v>16904</v>
      </c>
      <c r="D1415" s="14" t="s">
        <v>16905</v>
      </c>
      <c r="E1415" s="150" t="str">
        <f t="shared" si="26"/>
        <v>http://dx.doi.org/10.1109/VISUAL.2005.1532848</v>
      </c>
      <c r="F1415" s="14">
        <v>607.0</v>
      </c>
      <c r="G1415" s="14">
        <v>614.0</v>
      </c>
      <c r="H1415" s="14" t="s">
        <v>28</v>
      </c>
      <c r="I1415" s="14" t="s">
        <v>16910</v>
      </c>
      <c r="J1415" s="130" t="s">
        <v>16911</v>
      </c>
      <c r="K1415" s="152" t="s">
        <v>16912</v>
      </c>
      <c r="L1415" s="20" t="s">
        <v>16914</v>
      </c>
      <c r="M1415" s="174" t="s">
        <v>16915</v>
      </c>
      <c r="N1415" s="130" t="s">
        <v>41452</v>
      </c>
      <c r="O1415" s="84"/>
      <c r="P1415" s="84"/>
      <c r="Q1415" s="84"/>
      <c r="R1415" s="84"/>
      <c r="S1415" s="84"/>
      <c r="T1415" s="84"/>
      <c r="U1415" s="84"/>
      <c r="V1415" s="84"/>
      <c r="W1415" s="84"/>
      <c r="X1415" s="84"/>
    </row>
    <row r="1416" ht="15.75" customHeight="1">
      <c r="A1416" s="14" t="s">
        <v>17</v>
      </c>
      <c r="B1416" s="14">
        <v>2005.0</v>
      </c>
      <c r="C1416" s="14" t="s">
        <v>16916</v>
      </c>
      <c r="D1416" s="14" t="s">
        <v>16917</v>
      </c>
      <c r="E1416" s="150" t="str">
        <f t="shared" si="26"/>
        <v>http://dx.doi.org/10.1109/VISUAL.2005.1532849</v>
      </c>
      <c r="F1416" s="14">
        <v>615.0</v>
      </c>
      <c r="G1416" s="14">
        <v>622.0</v>
      </c>
      <c r="H1416" s="14" t="s">
        <v>28</v>
      </c>
      <c r="I1416" s="14" t="s">
        <v>16922</v>
      </c>
      <c r="J1416" s="130" t="s">
        <v>16923</v>
      </c>
      <c r="K1416" s="152" t="s">
        <v>16924</v>
      </c>
      <c r="L1416" s="20" t="s">
        <v>16925</v>
      </c>
      <c r="M1416" s="174" t="s">
        <v>16926</v>
      </c>
      <c r="N1416" s="130" t="s">
        <v>41453</v>
      </c>
      <c r="O1416" s="84"/>
      <c r="P1416" s="84"/>
      <c r="Q1416" s="84"/>
      <c r="R1416" s="84"/>
      <c r="S1416" s="84"/>
      <c r="T1416" s="84"/>
      <c r="U1416" s="84"/>
      <c r="V1416" s="84"/>
      <c r="W1416" s="84"/>
      <c r="X1416" s="84"/>
    </row>
    <row r="1417" ht="15.75" customHeight="1">
      <c r="A1417" s="14" t="s">
        <v>17</v>
      </c>
      <c r="B1417" s="14">
        <v>2005.0</v>
      </c>
      <c r="C1417" s="14" t="s">
        <v>16928</v>
      </c>
      <c r="D1417" s="14" t="s">
        <v>16929</v>
      </c>
      <c r="E1417" s="150" t="str">
        <f t="shared" si="26"/>
        <v>http://dx.doi.org/10.1109/VISUAL.2005.1532850</v>
      </c>
      <c r="F1417" s="14">
        <v>623.0</v>
      </c>
      <c r="G1417" s="14">
        <v>630.0</v>
      </c>
      <c r="H1417" s="14" t="s">
        <v>28</v>
      </c>
      <c r="I1417" s="14" t="s">
        <v>16935</v>
      </c>
      <c r="J1417" s="130" t="s">
        <v>17034</v>
      </c>
      <c r="K1417" s="152" t="s">
        <v>15865</v>
      </c>
      <c r="L1417" s="20" t="s">
        <v>16937</v>
      </c>
      <c r="M1417" s="174" t="s">
        <v>16938</v>
      </c>
      <c r="N1417" s="130" t="s">
        <v>41458</v>
      </c>
      <c r="O1417" s="84"/>
      <c r="P1417" s="84"/>
      <c r="Q1417" s="84"/>
      <c r="R1417" s="84"/>
      <c r="S1417" s="84"/>
      <c r="T1417" s="84"/>
      <c r="U1417" s="84"/>
      <c r="V1417" s="84"/>
      <c r="W1417" s="84"/>
      <c r="X1417" s="84"/>
    </row>
    <row r="1418" ht="15.75" customHeight="1">
      <c r="A1418" s="14" t="s">
        <v>17</v>
      </c>
      <c r="B1418" s="14">
        <v>2005.0</v>
      </c>
      <c r="C1418" s="14" t="s">
        <v>16939</v>
      </c>
      <c r="D1418" s="14" t="s">
        <v>16940</v>
      </c>
      <c r="E1418" s="150" t="str">
        <f t="shared" si="26"/>
        <v>http://dx.doi.org/10.1109/VISUAL.2005.1532851</v>
      </c>
      <c r="F1418" s="14">
        <v>631.0</v>
      </c>
      <c r="G1418" s="14">
        <v>638.0</v>
      </c>
      <c r="H1418" s="14" t="s">
        <v>28</v>
      </c>
      <c r="I1418" s="14" t="s">
        <v>16943</v>
      </c>
      <c r="J1418" s="130" t="s">
        <v>16944</v>
      </c>
      <c r="K1418" s="152" t="s">
        <v>16945</v>
      </c>
      <c r="L1418" s="20" t="s">
        <v>16946</v>
      </c>
      <c r="M1418" s="174" t="s">
        <v>16947</v>
      </c>
      <c r="N1418" s="152" t="s">
        <v>16945</v>
      </c>
      <c r="O1418" s="84"/>
      <c r="P1418" s="84"/>
      <c r="Q1418" s="84"/>
      <c r="R1418" s="84"/>
      <c r="S1418" s="84"/>
      <c r="T1418" s="84"/>
      <c r="U1418" s="84"/>
      <c r="V1418" s="84"/>
      <c r="W1418" s="84"/>
      <c r="X1418" s="84"/>
    </row>
    <row r="1419" ht="15.75" customHeight="1">
      <c r="A1419" s="14" t="s">
        <v>17</v>
      </c>
      <c r="B1419" s="14">
        <v>2005.0</v>
      </c>
      <c r="C1419" s="14" t="s">
        <v>16948</v>
      </c>
      <c r="D1419" s="14" t="s">
        <v>16949</v>
      </c>
      <c r="E1419" s="150" t="str">
        <f t="shared" si="26"/>
        <v>http://dx.doi.org/10.1109/VISUAL.2005.1532852</v>
      </c>
      <c r="F1419" s="14">
        <v>639.0</v>
      </c>
      <c r="G1419" s="14">
        <v>646.0</v>
      </c>
      <c r="H1419" s="14" t="s">
        <v>28</v>
      </c>
      <c r="I1419" s="14" t="s">
        <v>16954</v>
      </c>
      <c r="J1419" s="130" t="s">
        <v>16955</v>
      </c>
      <c r="K1419" s="152" t="s">
        <v>16956</v>
      </c>
      <c r="L1419" s="20" t="s">
        <v>16957</v>
      </c>
      <c r="M1419" s="174" t="s">
        <v>16958</v>
      </c>
      <c r="N1419" s="130" t="s">
        <v>41462</v>
      </c>
      <c r="O1419" s="84"/>
      <c r="P1419" s="84"/>
      <c r="Q1419" s="84"/>
      <c r="R1419" s="84"/>
      <c r="S1419" s="84"/>
      <c r="T1419" s="84"/>
      <c r="U1419" s="84"/>
      <c r="V1419" s="84"/>
      <c r="W1419" s="84"/>
      <c r="X1419" s="84"/>
    </row>
    <row r="1420" ht="15.75" customHeight="1">
      <c r="A1420" s="14" t="s">
        <v>17</v>
      </c>
      <c r="B1420" s="14">
        <v>2005.0</v>
      </c>
      <c r="C1420" s="14" t="s">
        <v>16959</v>
      </c>
      <c r="D1420" s="14" t="s">
        <v>16960</v>
      </c>
      <c r="E1420" s="150" t="str">
        <f t="shared" si="26"/>
        <v>http://dx.doi.org/10.1109/VISUAL.2005.1532853</v>
      </c>
      <c r="F1420" s="14">
        <v>647.0</v>
      </c>
      <c r="G1420" s="14">
        <v>654.0</v>
      </c>
      <c r="H1420" s="14" t="s">
        <v>28</v>
      </c>
      <c r="I1420" s="14" t="s">
        <v>16964</v>
      </c>
      <c r="J1420" s="130" t="s">
        <v>16965</v>
      </c>
      <c r="K1420" s="152" t="s">
        <v>5035</v>
      </c>
      <c r="L1420" s="20" t="s">
        <v>16966</v>
      </c>
      <c r="M1420" s="174" t="s">
        <v>16967</v>
      </c>
      <c r="N1420" s="130" t="s">
        <v>39819</v>
      </c>
      <c r="O1420" s="84"/>
      <c r="P1420" s="84"/>
      <c r="Q1420" s="84"/>
      <c r="R1420" s="84"/>
      <c r="S1420" s="84"/>
      <c r="T1420" s="84"/>
      <c r="U1420" s="84"/>
      <c r="V1420" s="84"/>
      <c r="W1420" s="84"/>
      <c r="X1420" s="84"/>
    </row>
    <row r="1421" ht="15.75" customHeight="1">
      <c r="A1421" s="14" t="s">
        <v>17</v>
      </c>
      <c r="B1421" s="14">
        <v>2005.0</v>
      </c>
      <c r="C1421" s="14" t="s">
        <v>16968</v>
      </c>
      <c r="D1421" s="14" t="s">
        <v>16969</v>
      </c>
      <c r="E1421" s="150" t="str">
        <f t="shared" si="26"/>
        <v>http://dx.doi.org/10.1109/VISUAL.2005.1532854</v>
      </c>
      <c r="F1421" s="14">
        <v>655.0</v>
      </c>
      <c r="G1421" s="14">
        <v>662.0</v>
      </c>
      <c r="H1421" s="14" t="s">
        <v>28</v>
      </c>
      <c r="I1421" s="14" t="s">
        <v>16974</v>
      </c>
      <c r="J1421" s="130" t="s">
        <v>16975</v>
      </c>
      <c r="K1421" s="152" t="s">
        <v>4670</v>
      </c>
      <c r="L1421" s="20" t="s">
        <v>16976</v>
      </c>
      <c r="M1421" s="174" t="s">
        <v>16977</v>
      </c>
      <c r="N1421" s="130" t="s">
        <v>41467</v>
      </c>
      <c r="O1421" s="84"/>
      <c r="P1421" s="84"/>
      <c r="Q1421" s="84"/>
      <c r="R1421" s="84"/>
      <c r="S1421" s="84"/>
      <c r="T1421" s="84"/>
      <c r="U1421" s="84"/>
      <c r="V1421" s="84"/>
      <c r="W1421" s="84"/>
      <c r="X1421" s="84"/>
    </row>
    <row r="1422" ht="15.75" customHeight="1">
      <c r="A1422" s="14" t="s">
        <v>17</v>
      </c>
      <c r="B1422" s="14">
        <v>2005.0</v>
      </c>
      <c r="C1422" s="14" t="s">
        <v>16978</v>
      </c>
      <c r="D1422" s="14" t="s">
        <v>16979</v>
      </c>
      <c r="E1422" s="150" t="str">
        <f t="shared" si="26"/>
        <v>http://dx.doi.org/10.1109/VISUAL.2005.1532855</v>
      </c>
      <c r="F1422" s="14">
        <v>663.0</v>
      </c>
      <c r="G1422" s="14">
        <v>670.0</v>
      </c>
      <c r="H1422" s="14" t="s">
        <v>28</v>
      </c>
      <c r="I1422" s="14" t="s">
        <v>16984</v>
      </c>
      <c r="J1422" s="130" t="s">
        <v>17043</v>
      </c>
      <c r="K1422" s="152" t="s">
        <v>16986</v>
      </c>
      <c r="L1422" s="20" t="s">
        <v>16987</v>
      </c>
      <c r="M1422" s="174" t="s">
        <v>16988</v>
      </c>
      <c r="N1422" s="130" t="s">
        <v>41470</v>
      </c>
      <c r="O1422" s="84"/>
      <c r="P1422" s="84"/>
      <c r="Q1422" s="84"/>
      <c r="R1422" s="84"/>
      <c r="S1422" s="84"/>
      <c r="T1422" s="84"/>
      <c r="U1422" s="84"/>
      <c r="V1422" s="84"/>
      <c r="W1422" s="84"/>
      <c r="X1422" s="84"/>
    </row>
    <row r="1423" ht="15.75" customHeight="1">
      <c r="A1423" s="14" t="s">
        <v>17</v>
      </c>
      <c r="B1423" s="14">
        <v>2005.0</v>
      </c>
      <c r="C1423" s="14" t="s">
        <v>16989</v>
      </c>
      <c r="D1423" s="14" t="s">
        <v>16990</v>
      </c>
      <c r="E1423" s="150" t="str">
        <f t="shared" si="26"/>
        <v>http://dx.doi.org/10.1109/VISUAL.2005.1532856</v>
      </c>
      <c r="F1423" s="14">
        <v>671.0</v>
      </c>
      <c r="G1423" s="14">
        <v>678.0</v>
      </c>
      <c r="H1423" s="14" t="s">
        <v>28</v>
      </c>
      <c r="I1423" s="14" t="s">
        <v>16994</v>
      </c>
      <c r="J1423" s="130" t="s">
        <v>18743</v>
      </c>
      <c r="K1423" s="152" t="s">
        <v>16996</v>
      </c>
      <c r="L1423" s="20" t="s">
        <v>16997</v>
      </c>
      <c r="M1423" s="174" t="s">
        <v>16999</v>
      </c>
      <c r="N1423" s="130" t="s">
        <v>39045</v>
      </c>
      <c r="O1423" s="84"/>
      <c r="P1423" s="84"/>
      <c r="Q1423" s="84"/>
      <c r="R1423" s="84"/>
      <c r="S1423" s="84"/>
      <c r="T1423" s="84"/>
      <c r="U1423" s="84"/>
      <c r="V1423" s="84"/>
      <c r="W1423" s="84"/>
      <c r="X1423" s="84"/>
    </row>
    <row r="1424" ht="15.75" customHeight="1">
      <c r="A1424" s="14" t="s">
        <v>17</v>
      </c>
      <c r="B1424" s="14">
        <v>2005.0</v>
      </c>
      <c r="C1424" s="14" t="s">
        <v>17001</v>
      </c>
      <c r="D1424" s="14" t="s">
        <v>17002</v>
      </c>
      <c r="E1424" s="150" t="str">
        <f t="shared" si="26"/>
        <v>http://dx.doi.org/10.1109/VISUAL.2005.1532857</v>
      </c>
      <c r="F1424" s="14">
        <v>679.0</v>
      </c>
      <c r="G1424" s="14">
        <v>686.0</v>
      </c>
      <c r="H1424" s="14" t="s">
        <v>28</v>
      </c>
      <c r="I1424" s="14" t="s">
        <v>17005</v>
      </c>
      <c r="J1424" s="130" t="s">
        <v>17006</v>
      </c>
      <c r="K1424" s="152" t="s">
        <v>5680</v>
      </c>
      <c r="L1424" s="20" t="s">
        <v>17007</v>
      </c>
      <c r="M1424" s="174" t="s">
        <v>17008</v>
      </c>
      <c r="N1424" s="130" t="s">
        <v>39948</v>
      </c>
      <c r="O1424" s="84"/>
      <c r="P1424" s="84"/>
      <c r="Q1424" s="84"/>
      <c r="R1424" s="84"/>
      <c r="S1424" s="84"/>
      <c r="T1424" s="84"/>
      <c r="U1424" s="84"/>
      <c r="V1424" s="84"/>
      <c r="W1424" s="84"/>
      <c r="X1424" s="84"/>
    </row>
    <row r="1425" ht="15.75" customHeight="1">
      <c r="A1425" s="14" t="s">
        <v>17</v>
      </c>
      <c r="B1425" s="14">
        <v>2005.0</v>
      </c>
      <c r="C1425" s="14" t="s">
        <v>17009</v>
      </c>
      <c r="D1425" s="14" t="s">
        <v>17010</v>
      </c>
      <c r="E1425" s="150" t="str">
        <f t="shared" si="26"/>
        <v>http://dx.doi.org/10.1109/VISUAL.2005.1532858</v>
      </c>
      <c r="F1425" s="14">
        <v>687.0</v>
      </c>
      <c r="G1425" s="14">
        <v>694.0</v>
      </c>
      <c r="H1425" s="14" t="s">
        <v>28</v>
      </c>
      <c r="I1425" s="14" t="s">
        <v>17017</v>
      </c>
      <c r="J1425" s="130" t="s">
        <v>17019</v>
      </c>
      <c r="K1425" s="152" t="s">
        <v>13516</v>
      </c>
      <c r="L1425" s="20" t="s">
        <v>17020</v>
      </c>
      <c r="M1425" s="174" t="s">
        <v>17021</v>
      </c>
      <c r="N1425" s="130" t="s">
        <v>40369</v>
      </c>
      <c r="O1425" s="84"/>
      <c r="P1425" s="84"/>
      <c r="Q1425" s="84"/>
      <c r="R1425" s="84"/>
      <c r="S1425" s="84"/>
      <c r="T1425" s="84"/>
      <c r="U1425" s="84"/>
      <c r="V1425" s="84"/>
      <c r="W1425" s="84"/>
      <c r="X1425" s="84"/>
    </row>
    <row r="1426" ht="15.75" customHeight="1">
      <c r="A1426" s="14" t="s">
        <v>17</v>
      </c>
      <c r="B1426" s="14">
        <v>2005.0</v>
      </c>
      <c r="C1426" s="14" t="s">
        <v>17022</v>
      </c>
      <c r="D1426" s="14" t="s">
        <v>17023</v>
      </c>
      <c r="E1426" s="150" t="str">
        <f t="shared" si="26"/>
        <v>http://dx.doi.org/10.1109/VISUAL.2005.1532859</v>
      </c>
      <c r="F1426" s="14">
        <v>695.0</v>
      </c>
      <c r="G1426" s="14">
        <v>702.0</v>
      </c>
      <c r="H1426" s="14" t="s">
        <v>28</v>
      </c>
      <c r="I1426" s="14" t="s">
        <v>17050</v>
      </c>
      <c r="J1426" s="130" t="s">
        <v>17051</v>
      </c>
      <c r="K1426" s="152" t="s">
        <v>17089</v>
      </c>
      <c r="L1426" s="20" t="s">
        <v>17054</v>
      </c>
      <c r="M1426" s="174" t="s">
        <v>17055</v>
      </c>
      <c r="N1426" s="130"/>
      <c r="O1426" s="84"/>
      <c r="P1426" s="84"/>
      <c r="Q1426" s="84"/>
      <c r="R1426" s="84"/>
      <c r="S1426" s="84"/>
      <c r="T1426" s="84"/>
      <c r="U1426" s="84"/>
      <c r="V1426" s="84"/>
      <c r="W1426" s="84"/>
      <c r="X1426" s="84"/>
    </row>
    <row r="1427" ht="15.75" customHeight="1">
      <c r="A1427" s="14" t="s">
        <v>2137</v>
      </c>
      <c r="B1427" s="14">
        <v>2006.0</v>
      </c>
      <c r="C1427" s="14" t="s">
        <v>17057</v>
      </c>
      <c r="D1427" s="14" t="s">
        <v>17058</v>
      </c>
      <c r="E1427" s="150" t="str">
        <f t="shared" si="26"/>
        <v>http://dx.doi.org/10.1109/TVCG.2006.120</v>
      </c>
      <c r="F1427" s="14">
        <v>669.0</v>
      </c>
      <c r="G1427" s="14">
        <v>676.0</v>
      </c>
      <c r="H1427" s="14" t="s">
        <v>17059</v>
      </c>
      <c r="I1427" s="14" t="s">
        <v>17060</v>
      </c>
      <c r="J1427" s="130" t="s">
        <v>17061</v>
      </c>
      <c r="K1427" s="152" t="s">
        <v>17169</v>
      </c>
      <c r="L1427" s="20" t="s">
        <v>17064</v>
      </c>
      <c r="M1427" s="174" t="s">
        <v>17065</v>
      </c>
      <c r="N1427" s="84"/>
      <c r="O1427" s="84"/>
      <c r="P1427" s="84"/>
      <c r="Q1427" s="84"/>
      <c r="R1427" s="84"/>
      <c r="S1427" s="84"/>
      <c r="T1427" s="84"/>
      <c r="U1427" s="84"/>
      <c r="V1427" s="84"/>
      <c r="W1427" s="84"/>
      <c r="X1427" s="84"/>
    </row>
    <row r="1428" ht="15.75" customHeight="1">
      <c r="A1428" s="14" t="s">
        <v>2137</v>
      </c>
      <c r="B1428" s="14">
        <v>2006.0</v>
      </c>
      <c r="C1428" s="14" t="s">
        <v>17066</v>
      </c>
      <c r="D1428" s="14" t="s">
        <v>17067</v>
      </c>
      <c r="E1428" s="150" t="str">
        <f t="shared" si="26"/>
        <v>http://dx.doi.org/10.1109/TVCG.2006.122</v>
      </c>
      <c r="F1428" s="14">
        <v>693.0</v>
      </c>
      <c r="G1428" s="14">
        <v>700.0</v>
      </c>
      <c r="H1428" s="14" t="s">
        <v>17059</v>
      </c>
      <c r="I1428" s="14" t="s">
        <v>17068</v>
      </c>
      <c r="J1428" s="130" t="s">
        <v>17069</v>
      </c>
      <c r="K1428" s="152" t="s">
        <v>14236</v>
      </c>
      <c r="L1428" s="20" t="s">
        <v>17071</v>
      </c>
      <c r="M1428" s="174" t="s">
        <v>17072</v>
      </c>
      <c r="N1428" s="84"/>
      <c r="O1428" s="84"/>
      <c r="P1428" s="84"/>
      <c r="Q1428" s="84"/>
      <c r="R1428" s="84"/>
      <c r="S1428" s="84"/>
      <c r="T1428" s="84"/>
      <c r="U1428" s="84"/>
      <c r="V1428" s="84"/>
      <c r="W1428" s="84"/>
      <c r="X1428" s="84"/>
    </row>
    <row r="1429" ht="15.75" customHeight="1">
      <c r="A1429" s="14" t="s">
        <v>2137</v>
      </c>
      <c r="B1429" s="14">
        <v>2006.0</v>
      </c>
      <c r="C1429" s="14" t="s">
        <v>17073</v>
      </c>
      <c r="D1429" s="14" t="s">
        <v>17074</v>
      </c>
      <c r="E1429" s="150" t="str">
        <f t="shared" si="26"/>
        <v>http://dx.doi.org/10.1109/TVCG.2006.126</v>
      </c>
      <c r="F1429" s="14">
        <v>845.0</v>
      </c>
      <c r="G1429" s="14">
        <v>852.0</v>
      </c>
      <c r="H1429" s="14" t="s">
        <v>17059</v>
      </c>
      <c r="I1429" s="14" t="s">
        <v>17075</v>
      </c>
      <c r="J1429" s="130" t="s">
        <v>17076</v>
      </c>
      <c r="K1429" s="152" t="s">
        <v>17204</v>
      </c>
      <c r="L1429" s="20" t="s">
        <v>17078</v>
      </c>
      <c r="M1429" s="174" t="s">
        <v>17079</v>
      </c>
      <c r="N1429" s="84"/>
      <c r="O1429" s="84"/>
      <c r="P1429" s="84"/>
      <c r="Q1429" s="84"/>
      <c r="R1429" s="84"/>
      <c r="S1429" s="84"/>
      <c r="T1429" s="84"/>
      <c r="U1429" s="84"/>
      <c r="V1429" s="84"/>
      <c r="W1429" s="84"/>
      <c r="X1429" s="84"/>
    </row>
    <row r="1430" ht="15.75" customHeight="1">
      <c r="A1430" s="14" t="s">
        <v>2137</v>
      </c>
      <c r="B1430" s="14">
        <v>2006.0</v>
      </c>
      <c r="C1430" s="14" t="s">
        <v>17080</v>
      </c>
      <c r="D1430" s="14" t="s">
        <v>17081</v>
      </c>
      <c r="E1430" s="150" t="str">
        <f t="shared" si="26"/>
        <v>http://dx.doi.org/10.1109/TVCG.2006.136</v>
      </c>
      <c r="F1430" s="14">
        <v>773.0</v>
      </c>
      <c r="G1430" s="14">
        <v>780.0</v>
      </c>
      <c r="H1430" s="14" t="s">
        <v>17059</v>
      </c>
      <c r="I1430" s="14" t="s">
        <v>17082</v>
      </c>
      <c r="J1430" s="130" t="s">
        <v>17083</v>
      </c>
      <c r="K1430" s="152" t="s">
        <v>17245</v>
      </c>
      <c r="L1430" s="20"/>
      <c r="M1430" s="174" t="s">
        <v>17086</v>
      </c>
      <c r="N1430" s="84"/>
      <c r="O1430" s="84"/>
      <c r="P1430" s="84"/>
      <c r="Q1430" s="84"/>
      <c r="R1430" s="84"/>
      <c r="S1430" s="84"/>
      <c r="T1430" s="84"/>
      <c r="U1430" s="84"/>
      <c r="V1430" s="84"/>
      <c r="W1430" s="84"/>
      <c r="X1430" s="84"/>
    </row>
    <row r="1431" ht="15.75" customHeight="1">
      <c r="A1431" s="14" t="s">
        <v>2137</v>
      </c>
      <c r="B1431" s="14">
        <v>2006.0</v>
      </c>
      <c r="C1431" s="14" t="s">
        <v>17087</v>
      </c>
      <c r="D1431" s="14" t="s">
        <v>17088</v>
      </c>
      <c r="E1431" s="150" t="str">
        <f t="shared" si="26"/>
        <v>http://dx.doi.org/10.1109/TVCG.2006.138</v>
      </c>
      <c r="F1431" s="14">
        <v>717.0</v>
      </c>
      <c r="G1431" s="14">
        <v>724.0</v>
      </c>
      <c r="H1431" s="14" t="s">
        <v>17059</v>
      </c>
      <c r="I1431" s="14" t="s">
        <v>17255</v>
      </c>
      <c r="J1431" s="130" t="s">
        <v>17256</v>
      </c>
      <c r="K1431" s="152" t="s">
        <v>17442</v>
      </c>
      <c r="L1431" s="20" t="s">
        <v>17258</v>
      </c>
      <c r="M1431" s="174" t="s">
        <v>35152</v>
      </c>
      <c r="N1431" s="84"/>
      <c r="O1431" s="84"/>
      <c r="P1431" s="84"/>
      <c r="Q1431" s="84"/>
      <c r="R1431" s="84"/>
      <c r="S1431" s="84"/>
      <c r="T1431" s="84"/>
      <c r="U1431" s="84"/>
      <c r="V1431" s="84"/>
      <c r="W1431" s="84"/>
      <c r="X1431" s="84"/>
    </row>
    <row r="1432" ht="15.75" customHeight="1">
      <c r="A1432" s="14" t="s">
        <v>2137</v>
      </c>
      <c r="B1432" s="14">
        <v>2006.0</v>
      </c>
      <c r="C1432" s="14" t="s">
        <v>17260</v>
      </c>
      <c r="D1432" s="14" t="s">
        <v>17261</v>
      </c>
      <c r="E1432" s="150" t="str">
        <f t="shared" si="26"/>
        <v>http://dx.doi.org/10.1109/TVCG.2006.142</v>
      </c>
      <c r="F1432" s="14">
        <v>797.0</v>
      </c>
      <c r="G1432" s="14">
        <v>804.0</v>
      </c>
      <c r="H1432" s="14" t="s">
        <v>17059</v>
      </c>
      <c r="I1432" s="14" t="s">
        <v>17262</v>
      </c>
      <c r="J1432" s="130" t="s">
        <v>17263</v>
      </c>
      <c r="K1432" s="152" t="s">
        <v>880</v>
      </c>
      <c r="L1432" s="20" t="s">
        <v>17265</v>
      </c>
      <c r="M1432" s="174" t="s">
        <v>17266</v>
      </c>
      <c r="N1432" s="84"/>
      <c r="O1432" s="84"/>
      <c r="P1432" s="84"/>
      <c r="Q1432" s="84"/>
      <c r="R1432" s="84"/>
      <c r="S1432" s="84"/>
      <c r="T1432" s="84"/>
      <c r="U1432" s="84"/>
      <c r="V1432" s="84"/>
      <c r="W1432" s="84"/>
      <c r="X1432" s="84"/>
    </row>
    <row r="1433" ht="15.75" customHeight="1">
      <c r="A1433" s="14" t="s">
        <v>2137</v>
      </c>
      <c r="B1433" s="14">
        <v>2006.0</v>
      </c>
      <c r="C1433" s="14" t="s">
        <v>17267</v>
      </c>
      <c r="D1433" s="14" t="s">
        <v>17268</v>
      </c>
      <c r="E1433" s="150" t="str">
        <f t="shared" si="26"/>
        <v>http://dx.doi.org/10.1109/TVCG.2006.147</v>
      </c>
      <c r="F1433" s="14">
        <v>741.0</v>
      </c>
      <c r="G1433" s="14">
        <v>748.0</v>
      </c>
      <c r="H1433" s="14" t="s">
        <v>17059</v>
      </c>
      <c r="I1433" s="14" t="s">
        <v>17269</v>
      </c>
      <c r="J1433" s="130" t="s">
        <v>17270</v>
      </c>
      <c r="K1433" s="152" t="s">
        <v>17654</v>
      </c>
      <c r="L1433" s="20" t="s">
        <v>17271</v>
      </c>
      <c r="M1433" s="174" t="s">
        <v>17272</v>
      </c>
      <c r="N1433" s="84"/>
      <c r="O1433" s="84"/>
      <c r="P1433" s="84"/>
      <c r="Q1433" s="84"/>
      <c r="R1433" s="84"/>
      <c r="S1433" s="84"/>
      <c r="T1433" s="84"/>
      <c r="U1433" s="84"/>
      <c r="V1433" s="84"/>
      <c r="W1433" s="84"/>
      <c r="X1433" s="84"/>
    </row>
    <row r="1434" ht="15.75" customHeight="1">
      <c r="A1434" s="14" t="s">
        <v>2137</v>
      </c>
      <c r="B1434" s="14">
        <v>2006.0</v>
      </c>
      <c r="C1434" s="14" t="s">
        <v>17273</v>
      </c>
      <c r="D1434" s="14" t="s">
        <v>17274</v>
      </c>
      <c r="E1434" s="150" t="str">
        <f t="shared" si="26"/>
        <v>http://dx.doi.org/10.1109/TVCG.2006.156</v>
      </c>
      <c r="F1434" s="14">
        <v>821.0</v>
      </c>
      <c r="G1434" s="14">
        <v>828.0</v>
      </c>
      <c r="H1434" s="14" t="s">
        <v>17059</v>
      </c>
      <c r="I1434" s="14" t="s">
        <v>17760</v>
      </c>
      <c r="J1434" s="130" t="s">
        <v>17276</v>
      </c>
      <c r="K1434" s="152" t="s">
        <v>17762</v>
      </c>
      <c r="L1434" s="20" t="s">
        <v>15955</v>
      </c>
      <c r="M1434" s="174" t="s">
        <v>17278</v>
      </c>
      <c r="N1434" s="84"/>
      <c r="O1434" s="84"/>
      <c r="P1434" s="84"/>
      <c r="Q1434" s="84"/>
      <c r="R1434" s="84"/>
      <c r="S1434" s="84"/>
      <c r="T1434" s="84"/>
      <c r="U1434" s="84"/>
      <c r="V1434" s="84"/>
      <c r="W1434" s="84"/>
      <c r="X1434" s="84"/>
    </row>
    <row r="1435" ht="15.75" customHeight="1">
      <c r="A1435" s="14" t="s">
        <v>2137</v>
      </c>
      <c r="B1435" s="14">
        <v>2006.0</v>
      </c>
      <c r="C1435" s="14" t="s">
        <v>17279</v>
      </c>
      <c r="D1435" s="14" t="s">
        <v>17280</v>
      </c>
      <c r="E1435" s="150" t="str">
        <f t="shared" si="26"/>
        <v>http://dx.doi.org/10.1109/TVCG.2006.160</v>
      </c>
      <c r="F1435" s="14">
        <v>677.0</v>
      </c>
      <c r="G1435" s="14">
        <v>684.0</v>
      </c>
      <c r="H1435" s="14" t="s">
        <v>17059</v>
      </c>
      <c r="I1435" s="14" t="s">
        <v>17281</v>
      </c>
      <c r="J1435" s="130" t="s">
        <v>17282</v>
      </c>
      <c r="K1435" s="152" t="s">
        <v>17818</v>
      </c>
      <c r="L1435" s="20" t="s">
        <v>14478</v>
      </c>
      <c r="M1435" s="174" t="s">
        <v>17285</v>
      </c>
      <c r="N1435" s="84"/>
      <c r="O1435" s="84"/>
      <c r="P1435" s="84"/>
      <c r="Q1435" s="84"/>
      <c r="R1435" s="84"/>
      <c r="S1435" s="84"/>
      <c r="T1435" s="84"/>
      <c r="U1435" s="84"/>
      <c r="V1435" s="84"/>
      <c r="W1435" s="84"/>
      <c r="X1435" s="84"/>
    </row>
    <row r="1436" ht="15.75" customHeight="1">
      <c r="A1436" s="14" t="s">
        <v>2137</v>
      </c>
      <c r="B1436" s="14">
        <v>2006.0</v>
      </c>
      <c r="C1436" s="14" t="s">
        <v>17286</v>
      </c>
      <c r="D1436" s="14" t="s">
        <v>17287</v>
      </c>
      <c r="E1436" s="150" t="str">
        <f t="shared" si="26"/>
        <v>http://dx.doi.org/10.1109/TVCG.2006.161</v>
      </c>
      <c r="F1436" s="14">
        <v>709.0</v>
      </c>
      <c r="G1436" s="14">
        <v>716.0</v>
      </c>
      <c r="H1436" s="14" t="s">
        <v>17059</v>
      </c>
      <c r="I1436" s="14" t="s">
        <v>17288</v>
      </c>
      <c r="J1436" s="130" t="s">
        <v>17289</v>
      </c>
      <c r="K1436" s="152" t="s">
        <v>17836</v>
      </c>
      <c r="L1436" s="20" t="s">
        <v>17292</v>
      </c>
      <c r="M1436" s="174" t="s">
        <v>17293</v>
      </c>
      <c r="N1436" s="84"/>
      <c r="O1436" s="84"/>
      <c r="P1436" s="84"/>
      <c r="Q1436" s="84"/>
      <c r="R1436" s="84"/>
      <c r="S1436" s="84"/>
      <c r="T1436" s="84"/>
      <c r="U1436" s="84"/>
      <c r="V1436" s="84"/>
      <c r="W1436" s="84"/>
      <c r="X1436" s="84"/>
    </row>
    <row r="1437" ht="15.75" customHeight="1">
      <c r="A1437" s="14" t="s">
        <v>2137</v>
      </c>
      <c r="B1437" s="14">
        <v>2006.0</v>
      </c>
      <c r="C1437" s="14" t="s">
        <v>17294</v>
      </c>
      <c r="D1437" s="14" t="s">
        <v>17295</v>
      </c>
      <c r="E1437" s="150" t="str">
        <f t="shared" si="26"/>
        <v>http://dx.doi.org/10.1109/TVCG.2006.163</v>
      </c>
      <c r="F1437" s="14">
        <v>701.0</v>
      </c>
      <c r="G1437" s="14">
        <v>708.0</v>
      </c>
      <c r="H1437" s="14" t="s">
        <v>17059</v>
      </c>
      <c r="I1437" s="14" t="s">
        <v>17296</v>
      </c>
      <c r="J1437" s="130" t="s">
        <v>17297</v>
      </c>
      <c r="K1437" s="152" t="s">
        <v>15923</v>
      </c>
      <c r="L1437" s="20"/>
      <c r="M1437" s="174" t="s">
        <v>17299</v>
      </c>
      <c r="N1437" s="84"/>
      <c r="O1437" s="84"/>
      <c r="P1437" s="84"/>
      <c r="Q1437" s="84"/>
      <c r="R1437" s="84"/>
      <c r="S1437" s="84"/>
      <c r="T1437" s="84"/>
      <c r="U1437" s="84"/>
      <c r="V1437" s="84"/>
      <c r="W1437" s="84"/>
      <c r="X1437" s="84"/>
    </row>
    <row r="1438" ht="15.75" customHeight="1">
      <c r="A1438" s="14" t="s">
        <v>2137</v>
      </c>
      <c r="B1438" s="14">
        <v>2006.0</v>
      </c>
      <c r="C1438" s="14" t="s">
        <v>17300</v>
      </c>
      <c r="D1438" s="14" t="s">
        <v>17301</v>
      </c>
      <c r="E1438" s="150" t="str">
        <f t="shared" si="26"/>
        <v>http://dx.doi.org/10.1109/TVCG.2006.166</v>
      </c>
      <c r="F1438" s="14">
        <v>733.0</v>
      </c>
      <c r="G1438" s="14">
        <v>740.0</v>
      </c>
      <c r="H1438" s="14" t="s">
        <v>17059</v>
      </c>
      <c r="I1438" s="14" t="s">
        <v>17302</v>
      </c>
      <c r="J1438" s="130" t="s">
        <v>17303</v>
      </c>
      <c r="K1438" s="152" t="s">
        <v>14236</v>
      </c>
      <c r="L1438" s="20" t="s">
        <v>17305</v>
      </c>
      <c r="M1438" s="174" t="s">
        <v>17306</v>
      </c>
      <c r="N1438" s="84"/>
      <c r="O1438" s="84"/>
      <c r="P1438" s="84"/>
      <c r="Q1438" s="84"/>
      <c r="R1438" s="84"/>
      <c r="S1438" s="84"/>
      <c r="T1438" s="84"/>
      <c r="U1438" s="84"/>
      <c r="V1438" s="84"/>
      <c r="W1438" s="84"/>
      <c r="X1438" s="84"/>
    </row>
    <row r="1439" ht="15.75" customHeight="1">
      <c r="A1439" s="14" t="s">
        <v>2137</v>
      </c>
      <c r="B1439" s="14">
        <v>2006.0</v>
      </c>
      <c r="C1439" s="14" t="s">
        <v>17307</v>
      </c>
      <c r="D1439" s="14" t="s">
        <v>17308</v>
      </c>
      <c r="E1439" s="150" t="str">
        <f t="shared" si="26"/>
        <v>http://dx.doi.org/10.1109/TVCG.2006.177</v>
      </c>
      <c r="F1439" s="14">
        <v>813.0</v>
      </c>
      <c r="G1439" s="14">
        <v>820.0</v>
      </c>
      <c r="H1439" s="14" t="s">
        <v>17059</v>
      </c>
      <c r="I1439" s="14" t="s">
        <v>17309</v>
      </c>
      <c r="J1439" s="130" t="s">
        <v>17311</v>
      </c>
      <c r="K1439" s="152" t="s">
        <v>17925</v>
      </c>
      <c r="L1439" s="20" t="s">
        <v>3293</v>
      </c>
      <c r="M1439" s="174" t="s">
        <v>17313</v>
      </c>
      <c r="N1439" s="84"/>
      <c r="O1439" s="84"/>
      <c r="P1439" s="84"/>
      <c r="Q1439" s="84"/>
      <c r="R1439" s="84"/>
      <c r="S1439" s="84"/>
      <c r="T1439" s="84"/>
      <c r="U1439" s="84"/>
      <c r="V1439" s="84"/>
      <c r="W1439" s="84"/>
      <c r="X1439" s="84"/>
    </row>
    <row r="1440" ht="15.75" customHeight="1">
      <c r="A1440" s="14" t="s">
        <v>2137</v>
      </c>
      <c r="B1440" s="14">
        <v>2006.0</v>
      </c>
      <c r="C1440" s="14" t="s">
        <v>17314</v>
      </c>
      <c r="D1440" s="14" t="s">
        <v>17315</v>
      </c>
      <c r="E1440" s="150" t="str">
        <f t="shared" si="26"/>
        <v>http://dx.doi.org/10.1109/TVCG.2006.178</v>
      </c>
      <c r="F1440" s="14">
        <v>853.0</v>
      </c>
      <c r="G1440" s="14">
        <v>860.0</v>
      </c>
      <c r="H1440" s="14" t="s">
        <v>17059</v>
      </c>
      <c r="I1440" s="14" t="s">
        <v>17316</v>
      </c>
      <c r="J1440" s="130" t="s">
        <v>17297</v>
      </c>
      <c r="K1440" s="152" t="s">
        <v>15923</v>
      </c>
      <c r="L1440" s="20" t="s">
        <v>17318</v>
      </c>
      <c r="M1440" s="174" t="s">
        <v>17319</v>
      </c>
      <c r="N1440" s="84"/>
      <c r="O1440" s="84"/>
      <c r="P1440" s="84"/>
      <c r="Q1440" s="84"/>
      <c r="R1440" s="84"/>
      <c r="S1440" s="84"/>
      <c r="T1440" s="84"/>
      <c r="U1440" s="84"/>
      <c r="V1440" s="84"/>
      <c r="W1440" s="84"/>
      <c r="X1440" s="84"/>
    </row>
    <row r="1441" ht="15.75" customHeight="1">
      <c r="A1441" s="14" t="s">
        <v>2137</v>
      </c>
      <c r="B1441" s="14">
        <v>2006.0</v>
      </c>
      <c r="C1441" s="14" t="s">
        <v>17320</v>
      </c>
      <c r="D1441" s="14" t="s">
        <v>17321</v>
      </c>
      <c r="E1441" s="150" t="str">
        <f t="shared" si="26"/>
        <v>http://dx.doi.org/10.1109/TVCG.2006.179</v>
      </c>
      <c r="F1441" s="14">
        <v>765.0</v>
      </c>
      <c r="G1441" s="14">
        <v>772.0</v>
      </c>
      <c r="H1441" s="14" t="s">
        <v>17059</v>
      </c>
      <c r="I1441" s="14" t="s">
        <v>17322</v>
      </c>
      <c r="J1441" s="130" t="s">
        <v>17323</v>
      </c>
      <c r="K1441" s="152" t="s">
        <v>17928</v>
      </c>
      <c r="L1441" s="20"/>
      <c r="M1441" s="174" t="s">
        <v>17325</v>
      </c>
      <c r="N1441" s="84"/>
      <c r="O1441" s="84"/>
      <c r="P1441" s="84"/>
      <c r="Q1441" s="84"/>
      <c r="R1441" s="84"/>
      <c r="S1441" s="84"/>
      <c r="T1441" s="84"/>
      <c r="U1441" s="84"/>
      <c r="V1441" s="84"/>
      <c r="W1441" s="84"/>
      <c r="X1441" s="84"/>
    </row>
    <row r="1442" ht="15.75" customHeight="1">
      <c r="A1442" s="14" t="s">
        <v>2137</v>
      </c>
      <c r="B1442" s="14">
        <v>2006.0</v>
      </c>
      <c r="C1442" s="14" t="s">
        <v>17326</v>
      </c>
      <c r="D1442" s="14" t="s">
        <v>17327</v>
      </c>
      <c r="E1442" s="150" t="str">
        <f t="shared" si="26"/>
        <v>http://dx.doi.org/10.1109/TVCG.2006.184</v>
      </c>
      <c r="F1442" s="14">
        <v>837.0</v>
      </c>
      <c r="G1442" s="14">
        <v>844.0</v>
      </c>
      <c r="H1442" s="14" t="s">
        <v>17059</v>
      </c>
      <c r="I1442" s="14" t="s">
        <v>17328</v>
      </c>
      <c r="J1442" s="130" t="s">
        <v>17329</v>
      </c>
      <c r="K1442" s="152" t="s">
        <v>17961</v>
      </c>
      <c r="L1442" s="20" t="s">
        <v>11902</v>
      </c>
      <c r="M1442" s="174" t="s">
        <v>17331</v>
      </c>
      <c r="N1442" s="84"/>
      <c r="O1442" s="84"/>
      <c r="P1442" s="84"/>
      <c r="Q1442" s="84"/>
      <c r="R1442" s="84"/>
      <c r="S1442" s="84"/>
      <c r="T1442" s="84"/>
      <c r="U1442" s="84"/>
      <c r="V1442" s="84"/>
      <c r="W1442" s="84"/>
      <c r="X1442" s="84"/>
    </row>
    <row r="1443" ht="15.75" customHeight="1">
      <c r="A1443" s="14" t="s">
        <v>2137</v>
      </c>
      <c r="B1443" s="14">
        <v>2006.0</v>
      </c>
      <c r="C1443" s="14" t="s">
        <v>17332</v>
      </c>
      <c r="D1443" s="14" t="s">
        <v>17333</v>
      </c>
      <c r="E1443" s="150" t="str">
        <f t="shared" si="26"/>
        <v>http://dx.doi.org/10.1109/TVCG.2006.185</v>
      </c>
      <c r="F1443" s="14">
        <v>725.0</v>
      </c>
      <c r="G1443" s="14">
        <v>732.0</v>
      </c>
      <c r="H1443" s="14" t="s">
        <v>17059</v>
      </c>
      <c r="I1443" s="14" t="s">
        <v>17334</v>
      </c>
      <c r="J1443" s="130" t="s">
        <v>17335</v>
      </c>
      <c r="K1443" s="152" t="s">
        <v>17963</v>
      </c>
      <c r="L1443" s="20" t="s">
        <v>17336</v>
      </c>
      <c r="M1443" s="174" t="s">
        <v>17337</v>
      </c>
      <c r="N1443" s="84"/>
      <c r="O1443" s="84"/>
      <c r="P1443" s="84"/>
      <c r="Q1443" s="84"/>
      <c r="R1443" s="84"/>
      <c r="S1443" s="84"/>
      <c r="T1443" s="84"/>
      <c r="U1443" s="84"/>
      <c r="V1443" s="84"/>
      <c r="W1443" s="84"/>
      <c r="X1443" s="84"/>
    </row>
    <row r="1444" ht="15.75" customHeight="1">
      <c r="A1444" s="14" t="s">
        <v>2137</v>
      </c>
      <c r="B1444" s="14">
        <v>2006.0</v>
      </c>
      <c r="C1444" s="14" t="s">
        <v>17338</v>
      </c>
      <c r="D1444" s="14" t="s">
        <v>17339</v>
      </c>
      <c r="E1444" s="150" t="str">
        <f t="shared" si="26"/>
        <v>http://dx.doi.org/10.1109/TVCG.2006.187</v>
      </c>
      <c r="F1444" s="14">
        <v>829.0</v>
      </c>
      <c r="G1444" s="14">
        <v>836.0</v>
      </c>
      <c r="H1444" s="14" t="s">
        <v>17059</v>
      </c>
      <c r="I1444" s="16" t="s">
        <v>41510</v>
      </c>
      <c r="J1444" s="219" t="s">
        <v>17341</v>
      </c>
      <c r="K1444" s="152" t="s">
        <v>17974</v>
      </c>
      <c r="L1444" s="20" t="s">
        <v>17344</v>
      </c>
      <c r="M1444" s="174" t="s">
        <v>17345</v>
      </c>
      <c r="N1444" s="84"/>
      <c r="O1444" s="84"/>
      <c r="P1444" s="84"/>
      <c r="Q1444" s="84"/>
      <c r="R1444" s="84"/>
      <c r="S1444" s="84"/>
      <c r="T1444" s="84"/>
      <c r="U1444" s="84"/>
      <c r="V1444" s="84"/>
      <c r="W1444" s="84"/>
      <c r="X1444" s="84"/>
    </row>
    <row r="1445" ht="15.75" customHeight="1">
      <c r="A1445" s="14" t="s">
        <v>2137</v>
      </c>
      <c r="B1445" s="14">
        <v>2006.0</v>
      </c>
      <c r="C1445" s="14" t="s">
        <v>17346</v>
      </c>
      <c r="D1445" s="14" t="s">
        <v>17347</v>
      </c>
      <c r="E1445" s="150" t="str">
        <f t="shared" si="26"/>
        <v>http://dx.doi.org/10.1109/TVCG.2006.192</v>
      </c>
      <c r="F1445" s="14">
        <v>685.0</v>
      </c>
      <c r="G1445" s="14">
        <v>692.0</v>
      </c>
      <c r="H1445" s="14" t="s">
        <v>17059</v>
      </c>
      <c r="I1445" s="14" t="s">
        <v>17348</v>
      </c>
      <c r="J1445" s="130" t="s">
        <v>17349</v>
      </c>
      <c r="K1445" s="152" t="s">
        <v>17992</v>
      </c>
      <c r="L1445" s="20" t="s">
        <v>17352</v>
      </c>
      <c r="M1445" s="174" t="s">
        <v>17353</v>
      </c>
      <c r="N1445" s="84"/>
      <c r="O1445" s="84"/>
      <c r="P1445" s="84"/>
      <c r="Q1445" s="84"/>
      <c r="R1445" s="84"/>
      <c r="S1445" s="84"/>
      <c r="T1445" s="84"/>
      <c r="U1445" s="84"/>
      <c r="V1445" s="84"/>
      <c r="W1445" s="84"/>
      <c r="X1445" s="84"/>
    </row>
    <row r="1446" ht="15.75" customHeight="1">
      <c r="A1446" s="14" t="s">
        <v>2137</v>
      </c>
      <c r="B1446" s="14">
        <v>2006.0</v>
      </c>
      <c r="C1446" s="14" t="s">
        <v>17354</v>
      </c>
      <c r="D1446" s="14" t="s">
        <v>17355</v>
      </c>
      <c r="E1446" s="150" t="str">
        <f t="shared" si="26"/>
        <v>http://dx.doi.org/10.1109/TVCG.2006.193</v>
      </c>
      <c r="F1446" s="14">
        <v>805.0</v>
      </c>
      <c r="G1446" s="14">
        <v>812.0</v>
      </c>
      <c r="H1446" s="14" t="s">
        <v>17059</v>
      </c>
      <c r="I1446" s="14" t="s">
        <v>41515</v>
      </c>
      <c r="J1446" s="219" t="s">
        <v>17357</v>
      </c>
      <c r="K1446" s="152" t="s">
        <v>17999</v>
      </c>
      <c r="L1446" s="20" t="s">
        <v>17360</v>
      </c>
      <c r="M1446" s="174" t="s">
        <v>17361</v>
      </c>
      <c r="N1446" s="84"/>
      <c r="O1446" s="84"/>
      <c r="P1446" s="84"/>
      <c r="Q1446" s="84"/>
      <c r="R1446" s="84"/>
      <c r="S1446" s="84"/>
      <c r="T1446" s="84"/>
      <c r="U1446" s="84"/>
      <c r="V1446" s="84"/>
      <c r="W1446" s="84"/>
      <c r="X1446" s="84"/>
    </row>
    <row r="1447" ht="15.75" customHeight="1">
      <c r="A1447" s="14" t="s">
        <v>2137</v>
      </c>
      <c r="B1447" s="14">
        <v>2006.0</v>
      </c>
      <c r="C1447" s="14" t="s">
        <v>17362</v>
      </c>
      <c r="D1447" s="14" t="s">
        <v>17363</v>
      </c>
      <c r="E1447" s="150" t="str">
        <f t="shared" si="26"/>
        <v>http://dx.doi.org/10.1109/TVCG.2006.196</v>
      </c>
      <c r="F1447" s="14">
        <v>781.0</v>
      </c>
      <c r="G1447" s="14">
        <v>788.0</v>
      </c>
      <c r="H1447" s="14" t="s">
        <v>17059</v>
      </c>
      <c r="I1447" s="14" t="s">
        <v>17364</v>
      </c>
      <c r="J1447" s="130" t="s">
        <v>17365</v>
      </c>
      <c r="K1447" s="152" t="s">
        <v>18022</v>
      </c>
      <c r="L1447" s="20" t="s">
        <v>14117</v>
      </c>
      <c r="M1447" s="174" t="s">
        <v>17367</v>
      </c>
      <c r="N1447" s="84"/>
      <c r="O1447" s="84"/>
      <c r="P1447" s="84"/>
      <c r="Q1447" s="84"/>
      <c r="R1447" s="84"/>
      <c r="S1447" s="84"/>
      <c r="T1447" s="84"/>
      <c r="U1447" s="84"/>
      <c r="V1447" s="84"/>
      <c r="W1447" s="84"/>
      <c r="X1447" s="84"/>
    </row>
    <row r="1448" ht="15.75" customHeight="1">
      <c r="A1448" s="14" t="s">
        <v>2137</v>
      </c>
      <c r="B1448" s="14">
        <v>2006.0</v>
      </c>
      <c r="C1448" s="14" t="s">
        <v>17368</v>
      </c>
      <c r="D1448" s="14" t="s">
        <v>17369</v>
      </c>
      <c r="E1448" s="150" t="str">
        <f t="shared" si="26"/>
        <v>http://dx.doi.org/10.1109/TVCG.2006.198</v>
      </c>
      <c r="F1448" s="14">
        <v>749.0</v>
      </c>
      <c r="G1448" s="14">
        <v>756.0</v>
      </c>
      <c r="H1448" s="14" t="s">
        <v>17059</v>
      </c>
      <c r="I1448" s="14" t="s">
        <v>17370</v>
      </c>
      <c r="J1448" s="130" t="s">
        <v>17371</v>
      </c>
      <c r="K1448" s="152" t="s">
        <v>18035</v>
      </c>
      <c r="L1448" s="20" t="s">
        <v>17374</v>
      </c>
      <c r="M1448" s="174" t="s">
        <v>17375</v>
      </c>
      <c r="N1448" s="84"/>
      <c r="O1448" s="84"/>
      <c r="P1448" s="84"/>
      <c r="Q1448" s="84"/>
      <c r="R1448" s="84"/>
      <c r="S1448" s="84"/>
      <c r="T1448" s="84"/>
      <c r="U1448" s="84"/>
      <c r="V1448" s="84"/>
      <c r="W1448" s="84"/>
      <c r="X1448" s="84"/>
    </row>
    <row r="1449" ht="15.75" customHeight="1">
      <c r="A1449" s="14" t="s">
        <v>2137</v>
      </c>
      <c r="B1449" s="14">
        <v>2006.0</v>
      </c>
      <c r="C1449" s="14" t="s">
        <v>17376</v>
      </c>
      <c r="D1449" s="14" t="s">
        <v>17377</v>
      </c>
      <c r="E1449" s="150" t="str">
        <f t="shared" si="26"/>
        <v>http://dx.doi.org/10.1109/TVCG.2006.200</v>
      </c>
      <c r="F1449" s="14">
        <v>789.0</v>
      </c>
      <c r="G1449" s="14">
        <v>796.0</v>
      </c>
      <c r="H1449" s="14" t="s">
        <v>17059</v>
      </c>
      <c r="I1449" s="14" t="s">
        <v>17378</v>
      </c>
      <c r="J1449" s="130" t="s">
        <v>17379</v>
      </c>
      <c r="K1449" s="152" t="s">
        <v>18051</v>
      </c>
      <c r="L1449" s="20" t="s">
        <v>17381</v>
      </c>
      <c r="M1449" s="174" t="s">
        <v>17382</v>
      </c>
      <c r="N1449" s="84"/>
      <c r="O1449" s="84"/>
      <c r="P1449" s="84"/>
      <c r="Q1449" s="84"/>
      <c r="R1449" s="84"/>
      <c r="S1449" s="84"/>
      <c r="T1449" s="84"/>
      <c r="U1449" s="84"/>
      <c r="V1449" s="84"/>
      <c r="W1449" s="84"/>
      <c r="X1449" s="84"/>
    </row>
    <row r="1450" ht="15.75" customHeight="1">
      <c r="A1450" s="14" t="s">
        <v>2137</v>
      </c>
      <c r="B1450" s="14">
        <v>2006.0</v>
      </c>
      <c r="C1450" s="14" t="s">
        <v>17383</v>
      </c>
      <c r="D1450" s="14" t="s">
        <v>17384</v>
      </c>
      <c r="E1450" s="150" t="str">
        <f t="shared" si="26"/>
        <v>http://dx.doi.org/10.1109/TVCG.2006.202</v>
      </c>
      <c r="F1450" s="14">
        <v>757.0</v>
      </c>
      <c r="G1450" s="14">
        <v>764.0</v>
      </c>
      <c r="H1450" s="14" t="s">
        <v>17059</v>
      </c>
      <c r="I1450" s="14" t="s">
        <v>17385</v>
      </c>
      <c r="J1450" s="130" t="s">
        <v>17386</v>
      </c>
      <c r="K1450" s="152" t="s">
        <v>18075</v>
      </c>
      <c r="L1450" s="20"/>
      <c r="M1450" s="174" t="s">
        <v>17387</v>
      </c>
      <c r="N1450" s="84"/>
      <c r="O1450" s="84"/>
      <c r="P1450" s="84"/>
      <c r="Q1450" s="84"/>
      <c r="R1450" s="84"/>
      <c r="S1450" s="84"/>
      <c r="T1450" s="84"/>
      <c r="U1450" s="84"/>
      <c r="V1450" s="84"/>
      <c r="W1450" s="84"/>
      <c r="X1450" s="84"/>
    </row>
    <row r="1451" ht="15.75" customHeight="1">
      <c r="A1451" s="14" t="s">
        <v>120</v>
      </c>
      <c r="B1451" s="14">
        <v>2006.0</v>
      </c>
      <c r="C1451" s="14" t="s">
        <v>17388</v>
      </c>
      <c r="D1451" s="14" t="s">
        <v>17389</v>
      </c>
      <c r="E1451" s="150" t="str">
        <f t="shared" si="26"/>
        <v>http://dx.doi.org/10.1109/VAST.2006.261415</v>
      </c>
      <c r="F1451" s="14">
        <v>137.0</v>
      </c>
      <c r="G1451" s="14">
        <v>144.0</v>
      </c>
      <c r="H1451" s="14" t="s">
        <v>28</v>
      </c>
      <c r="I1451" s="14" t="s">
        <v>17390</v>
      </c>
      <c r="J1451" s="130" t="s">
        <v>17391</v>
      </c>
      <c r="K1451" s="152" t="s">
        <v>18083</v>
      </c>
      <c r="L1451" s="20"/>
      <c r="M1451" s="174" t="s">
        <v>35223</v>
      </c>
      <c r="N1451" s="84"/>
      <c r="O1451" s="84"/>
      <c r="P1451" s="84"/>
      <c r="Q1451" s="84"/>
      <c r="R1451" s="84"/>
      <c r="S1451" s="84"/>
      <c r="T1451" s="84"/>
      <c r="U1451" s="84"/>
      <c r="V1451" s="84"/>
      <c r="W1451" s="84"/>
      <c r="X1451" s="84"/>
    </row>
    <row r="1452" ht="15.75" customHeight="1">
      <c r="A1452" s="14" t="s">
        <v>120</v>
      </c>
      <c r="B1452" s="14">
        <v>2006.0</v>
      </c>
      <c r="C1452" s="14" t="s">
        <v>17394</v>
      </c>
      <c r="D1452" s="14" t="s">
        <v>17395</v>
      </c>
      <c r="E1452" s="150" t="str">
        <f t="shared" si="26"/>
        <v>http://dx.doi.org/10.1109/VAST.2006.261416</v>
      </c>
      <c r="F1452" s="14">
        <v>145.0</v>
      </c>
      <c r="G1452" s="14">
        <v>150.0</v>
      </c>
      <c r="H1452" s="14" t="s">
        <v>28</v>
      </c>
      <c r="I1452" s="14" t="s">
        <v>17396</v>
      </c>
      <c r="J1452" s="130" t="s">
        <v>17397</v>
      </c>
      <c r="K1452" s="152" t="s">
        <v>18097</v>
      </c>
      <c r="L1452" s="20" t="s">
        <v>17399</v>
      </c>
      <c r="M1452" s="174" t="s">
        <v>35220</v>
      </c>
      <c r="N1452" s="84"/>
      <c r="O1452" s="84"/>
      <c r="P1452" s="84"/>
      <c r="Q1452" s="84"/>
      <c r="R1452" s="84"/>
      <c r="S1452" s="84"/>
      <c r="T1452" s="84"/>
      <c r="U1452" s="84"/>
      <c r="V1452" s="84"/>
      <c r="W1452" s="84"/>
      <c r="X1452" s="84"/>
    </row>
    <row r="1453" ht="15.75" customHeight="1">
      <c r="A1453" s="14" t="s">
        <v>120</v>
      </c>
      <c r="B1453" s="14">
        <v>2006.0</v>
      </c>
      <c r="C1453" s="14" t="s">
        <v>17401</v>
      </c>
      <c r="D1453" s="14" t="s">
        <v>17402</v>
      </c>
      <c r="E1453" s="150" t="str">
        <f t="shared" si="26"/>
        <v>http://dx.doi.org/10.1109/VAST.2006.261417</v>
      </c>
      <c r="F1453" s="14">
        <v>151.0</v>
      </c>
      <c r="G1453" s="14">
        <v>157.0</v>
      </c>
      <c r="H1453" s="14" t="s">
        <v>28</v>
      </c>
      <c r="I1453" s="14" t="s">
        <v>17403</v>
      </c>
      <c r="J1453" s="130" t="s">
        <v>17404</v>
      </c>
      <c r="K1453" s="152" t="s">
        <v>18108</v>
      </c>
      <c r="L1453" s="20"/>
      <c r="M1453" s="174" t="s">
        <v>35294</v>
      </c>
      <c r="N1453" s="84"/>
      <c r="O1453" s="84"/>
      <c r="P1453" s="84"/>
      <c r="Q1453" s="84"/>
      <c r="R1453" s="84"/>
      <c r="S1453" s="84"/>
      <c r="T1453" s="84"/>
      <c r="U1453" s="84"/>
      <c r="V1453" s="84"/>
      <c r="W1453" s="84"/>
      <c r="X1453" s="84"/>
    </row>
    <row r="1454" ht="15.75" customHeight="1">
      <c r="A1454" s="14" t="s">
        <v>120</v>
      </c>
      <c r="B1454" s="14">
        <v>2006.0</v>
      </c>
      <c r="C1454" s="14" t="s">
        <v>17407</v>
      </c>
      <c r="D1454" s="14" t="s">
        <v>17408</v>
      </c>
      <c r="E1454" s="150" t="str">
        <f t="shared" si="26"/>
        <v>http://dx.doi.org/10.1109/VAST.2006.261418</v>
      </c>
      <c r="F1454" s="14">
        <v>159.0</v>
      </c>
      <c r="G1454" s="14">
        <v>166.0</v>
      </c>
      <c r="H1454" s="14" t="s">
        <v>28</v>
      </c>
      <c r="I1454" s="14" t="s">
        <v>17409</v>
      </c>
      <c r="J1454" s="130" t="s">
        <v>17410</v>
      </c>
      <c r="K1454" s="152" t="s">
        <v>18121</v>
      </c>
      <c r="L1454" s="20"/>
      <c r="M1454" s="174" t="s">
        <v>17413</v>
      </c>
      <c r="N1454" s="84"/>
      <c r="O1454" s="84"/>
      <c r="P1454" s="84"/>
      <c r="Q1454" s="84"/>
      <c r="R1454" s="84"/>
      <c r="S1454" s="84"/>
      <c r="T1454" s="84"/>
      <c r="U1454" s="84"/>
      <c r="V1454" s="84"/>
      <c r="W1454" s="84"/>
      <c r="X1454" s="84"/>
    </row>
    <row r="1455" ht="15.75" customHeight="1">
      <c r="A1455" s="14" t="s">
        <v>120</v>
      </c>
      <c r="B1455" s="14">
        <v>2006.0</v>
      </c>
      <c r="C1455" s="14" t="s">
        <v>17414</v>
      </c>
      <c r="D1455" s="14" t="s">
        <v>17415</v>
      </c>
      <c r="E1455" s="150" t="str">
        <f t="shared" si="26"/>
        <v>http://dx.doi.org/10.1109/VAST.2006.261420</v>
      </c>
      <c r="F1455" s="14">
        <v>215.0</v>
      </c>
      <c r="G1455" s="14">
        <v>216.0</v>
      </c>
      <c r="H1455" s="14" t="s">
        <v>21</v>
      </c>
      <c r="I1455" s="14" t="s">
        <v>17416</v>
      </c>
      <c r="J1455" s="130" t="s">
        <v>17417</v>
      </c>
      <c r="K1455" s="152" t="s">
        <v>18124</v>
      </c>
      <c r="L1455" s="20"/>
      <c r="M1455" s="16"/>
      <c r="N1455" s="84"/>
      <c r="O1455" s="84"/>
      <c r="P1455" s="84"/>
      <c r="Q1455" s="84"/>
      <c r="R1455" s="84"/>
      <c r="S1455" s="84"/>
      <c r="T1455" s="84"/>
      <c r="U1455" s="84"/>
      <c r="V1455" s="84"/>
      <c r="W1455" s="84"/>
      <c r="X1455" s="84"/>
    </row>
    <row r="1456" ht="15.75" customHeight="1">
      <c r="A1456" s="14" t="s">
        <v>120</v>
      </c>
      <c r="B1456" s="14">
        <v>2006.0</v>
      </c>
      <c r="C1456" s="14" t="s">
        <v>17420</v>
      </c>
      <c r="D1456" s="14" t="s">
        <v>17421</v>
      </c>
      <c r="E1456" s="150" t="str">
        <f t="shared" si="26"/>
        <v>http://dx.doi.org/10.1109/VAST.2006.261421</v>
      </c>
      <c r="F1456" s="14">
        <v>167.0</v>
      </c>
      <c r="G1456" s="14">
        <v>174.0</v>
      </c>
      <c r="H1456" s="14" t="s">
        <v>28</v>
      </c>
      <c r="I1456" s="14" t="s">
        <v>17422</v>
      </c>
      <c r="J1456" s="130" t="s">
        <v>17423</v>
      </c>
      <c r="K1456" s="152" t="s">
        <v>18139</v>
      </c>
      <c r="L1456" s="20" t="s">
        <v>6121</v>
      </c>
      <c r="M1456" s="174" t="s">
        <v>35212</v>
      </c>
      <c r="N1456" s="84"/>
      <c r="O1456" s="84"/>
      <c r="P1456" s="84"/>
      <c r="Q1456" s="84"/>
      <c r="R1456" s="84"/>
      <c r="S1456" s="84"/>
      <c r="T1456" s="84"/>
      <c r="U1456" s="84"/>
      <c r="V1456" s="84"/>
      <c r="W1456" s="84"/>
      <c r="X1456" s="84"/>
    </row>
    <row r="1457" ht="15.75" customHeight="1">
      <c r="A1457" s="14" t="s">
        <v>120</v>
      </c>
      <c r="B1457" s="14">
        <v>2006.0</v>
      </c>
      <c r="C1457" s="14" t="s">
        <v>17427</v>
      </c>
      <c r="D1457" s="14" t="s">
        <v>17428</v>
      </c>
      <c r="E1457" s="150" t="str">
        <f t="shared" si="26"/>
        <v>http://dx.doi.org/10.1109/VAST.2006.261422</v>
      </c>
      <c r="F1457" s="14">
        <v>175.0</v>
      </c>
      <c r="G1457" s="14">
        <v>182.0</v>
      </c>
      <c r="H1457" s="14" t="s">
        <v>28</v>
      </c>
      <c r="I1457" s="14" t="s">
        <v>17429</v>
      </c>
      <c r="J1457" s="130" t="s">
        <v>17430</v>
      </c>
      <c r="K1457" s="152" t="s">
        <v>18156</v>
      </c>
      <c r="L1457" s="20" t="s">
        <v>17432</v>
      </c>
      <c r="M1457" s="174" t="s">
        <v>35277</v>
      </c>
      <c r="N1457" s="84"/>
      <c r="O1457" s="84"/>
      <c r="P1457" s="84"/>
      <c r="Q1457" s="84"/>
      <c r="R1457" s="84"/>
      <c r="S1457" s="84"/>
      <c r="T1457" s="84"/>
      <c r="U1457" s="84"/>
      <c r="V1457" s="84"/>
      <c r="W1457" s="84"/>
      <c r="X1457" s="84"/>
    </row>
    <row r="1458" ht="15.75" customHeight="1">
      <c r="A1458" s="14" t="s">
        <v>120</v>
      </c>
      <c r="B1458" s="14">
        <v>2006.0</v>
      </c>
      <c r="C1458" s="14" t="s">
        <v>17434</v>
      </c>
      <c r="D1458" s="14" t="s">
        <v>17435</v>
      </c>
      <c r="E1458" s="150" t="str">
        <f t="shared" si="26"/>
        <v>http://dx.doi.org/10.1109/VAST.2006.261423</v>
      </c>
      <c r="F1458" s="14">
        <v>199.0</v>
      </c>
      <c r="G1458" s="14">
        <v>206.0</v>
      </c>
      <c r="H1458" s="14" t="s">
        <v>28</v>
      </c>
      <c r="I1458" s="14" t="s">
        <v>17436</v>
      </c>
      <c r="J1458" s="130" t="s">
        <v>17437</v>
      </c>
      <c r="K1458" s="152" t="s">
        <v>17762</v>
      </c>
      <c r="L1458" s="20" t="s">
        <v>17440</v>
      </c>
      <c r="M1458" s="174" t="s">
        <v>35262</v>
      </c>
      <c r="N1458" s="84"/>
      <c r="O1458" s="84"/>
      <c r="P1458" s="84"/>
      <c r="Q1458" s="84"/>
      <c r="R1458" s="84"/>
      <c r="S1458" s="84"/>
      <c r="T1458" s="84"/>
      <c r="U1458" s="84"/>
      <c r="V1458" s="84"/>
      <c r="W1458" s="84"/>
      <c r="X1458" s="84"/>
    </row>
    <row r="1459" ht="15.75" customHeight="1">
      <c r="A1459" s="14" t="s">
        <v>120</v>
      </c>
      <c r="B1459" s="14">
        <v>2006.0</v>
      </c>
      <c r="C1459" s="14" t="s">
        <v>17443</v>
      </c>
      <c r="D1459" s="14" t="s">
        <v>17445</v>
      </c>
      <c r="E1459" s="150" t="str">
        <f t="shared" si="26"/>
        <v>http://dx.doi.org/10.1109/VAST.2006.261424</v>
      </c>
      <c r="F1459" s="14">
        <v>183.0</v>
      </c>
      <c r="G1459" s="14">
        <v>190.0</v>
      </c>
      <c r="H1459" s="14" t="s">
        <v>28</v>
      </c>
      <c r="I1459" s="14" t="s">
        <v>17448</v>
      </c>
      <c r="J1459" s="130" t="s">
        <v>17449</v>
      </c>
      <c r="K1459" s="152" t="s">
        <v>18184</v>
      </c>
      <c r="L1459" s="20" t="s">
        <v>17451</v>
      </c>
      <c r="M1459" s="174" t="s">
        <v>35231</v>
      </c>
      <c r="N1459" s="84"/>
      <c r="O1459" s="84"/>
      <c r="P1459" s="84"/>
      <c r="Q1459" s="84"/>
      <c r="R1459" s="84"/>
      <c r="S1459" s="84"/>
      <c r="T1459" s="84"/>
      <c r="U1459" s="84"/>
      <c r="V1459" s="84"/>
      <c r="W1459" s="84"/>
      <c r="X1459" s="84"/>
    </row>
    <row r="1460" ht="15.75" customHeight="1">
      <c r="A1460" s="14" t="s">
        <v>120</v>
      </c>
      <c r="B1460" s="14">
        <v>2006.0</v>
      </c>
      <c r="C1460" s="14" t="s">
        <v>17453</v>
      </c>
      <c r="D1460" s="14" t="s">
        <v>17454</v>
      </c>
      <c r="E1460" s="150" t="str">
        <f t="shared" si="26"/>
        <v>http://dx.doi.org/10.1109/VAST.2006.261425</v>
      </c>
      <c r="F1460" s="14">
        <v>191.0</v>
      </c>
      <c r="G1460" s="14">
        <v>198.0</v>
      </c>
      <c r="H1460" s="14" t="s">
        <v>28</v>
      </c>
      <c r="I1460" s="14" t="s">
        <v>17455</v>
      </c>
      <c r="J1460" s="130" t="s">
        <v>17456</v>
      </c>
      <c r="K1460" s="152" t="s">
        <v>18199</v>
      </c>
      <c r="L1460" s="20" t="s">
        <v>17459</v>
      </c>
      <c r="M1460" s="174" t="s">
        <v>35270</v>
      </c>
      <c r="N1460" s="84"/>
      <c r="O1460" s="84"/>
      <c r="P1460" s="84"/>
      <c r="Q1460" s="84"/>
      <c r="R1460" s="84"/>
      <c r="S1460" s="84"/>
      <c r="T1460" s="84"/>
      <c r="U1460" s="84"/>
      <c r="V1460" s="84"/>
      <c r="W1460" s="84"/>
      <c r="X1460" s="84"/>
    </row>
    <row r="1461" ht="15.75" customHeight="1">
      <c r="A1461" s="14" t="s">
        <v>120</v>
      </c>
      <c r="B1461" s="14">
        <v>2006.0</v>
      </c>
      <c r="C1461" s="14" t="s">
        <v>17461</v>
      </c>
      <c r="D1461" s="14" t="s">
        <v>17462</v>
      </c>
      <c r="E1461" s="150" t="str">
        <f t="shared" si="26"/>
        <v>http://dx.doi.org/10.1109/VAST.2006.261426</v>
      </c>
      <c r="F1461" s="14">
        <v>91.0</v>
      </c>
      <c r="G1461" s="14">
        <v>98.0</v>
      </c>
      <c r="H1461" s="14" t="s">
        <v>28</v>
      </c>
      <c r="I1461" s="14" t="s">
        <v>17467</v>
      </c>
      <c r="J1461" s="130" t="s">
        <v>17469</v>
      </c>
      <c r="K1461" s="152" t="s">
        <v>18209</v>
      </c>
      <c r="L1461" s="20" t="s">
        <v>17472</v>
      </c>
      <c r="M1461" s="174" t="s">
        <v>35258</v>
      </c>
      <c r="N1461" s="84"/>
      <c r="O1461" s="84"/>
      <c r="P1461" s="84"/>
      <c r="Q1461" s="84"/>
      <c r="R1461" s="84"/>
      <c r="S1461" s="84"/>
      <c r="T1461" s="84"/>
      <c r="U1461" s="84"/>
      <c r="V1461" s="84"/>
      <c r="W1461" s="84"/>
      <c r="X1461" s="84"/>
    </row>
    <row r="1462" ht="15.75" customHeight="1">
      <c r="A1462" s="14" t="s">
        <v>120</v>
      </c>
      <c r="B1462" s="14">
        <v>2006.0</v>
      </c>
      <c r="C1462" s="14" t="s">
        <v>17475</v>
      </c>
      <c r="D1462" s="14" t="s">
        <v>17476</v>
      </c>
      <c r="E1462" s="150" t="str">
        <f t="shared" si="26"/>
        <v>http://dx.doi.org/10.1109/VAST.2006.261427</v>
      </c>
      <c r="F1462" s="14">
        <v>27.0</v>
      </c>
      <c r="G1462" s="14">
        <v>34.0</v>
      </c>
      <c r="H1462" s="14" t="s">
        <v>28</v>
      </c>
      <c r="I1462" s="14" t="s">
        <v>17477</v>
      </c>
      <c r="J1462" s="130" t="s">
        <v>17478</v>
      </c>
      <c r="K1462" s="152" t="s">
        <v>18222</v>
      </c>
      <c r="L1462" s="20" t="s">
        <v>14202</v>
      </c>
      <c r="M1462" s="174" t="s">
        <v>35219</v>
      </c>
      <c r="N1462" s="84"/>
      <c r="O1462" s="84"/>
      <c r="P1462" s="84"/>
      <c r="Q1462" s="84"/>
      <c r="R1462" s="84"/>
      <c r="S1462" s="84"/>
      <c r="T1462" s="84"/>
      <c r="U1462" s="84"/>
      <c r="V1462" s="84"/>
      <c r="W1462" s="84"/>
      <c r="X1462" s="84"/>
    </row>
    <row r="1463" ht="15.75" customHeight="1">
      <c r="A1463" s="14" t="s">
        <v>120</v>
      </c>
      <c r="B1463" s="14">
        <v>2006.0</v>
      </c>
      <c r="C1463" s="14" t="s">
        <v>17482</v>
      </c>
      <c r="D1463" s="14" t="s">
        <v>17483</v>
      </c>
      <c r="E1463" s="150" t="str">
        <f t="shared" si="26"/>
        <v>http://dx.doi.org/10.1109/VAST.2006.261428</v>
      </c>
      <c r="F1463" s="14">
        <v>35.0</v>
      </c>
      <c r="G1463" s="14">
        <v>42.0</v>
      </c>
      <c r="H1463" s="14" t="s">
        <v>28</v>
      </c>
      <c r="I1463" s="14" t="s">
        <v>17490</v>
      </c>
      <c r="J1463" s="130" t="s">
        <v>17491</v>
      </c>
      <c r="K1463" s="152" t="s">
        <v>18305</v>
      </c>
      <c r="L1463" s="20" t="s">
        <v>17494</v>
      </c>
      <c r="M1463" s="174" t="s">
        <v>35286</v>
      </c>
      <c r="N1463" s="84"/>
      <c r="O1463" s="84"/>
      <c r="P1463" s="84"/>
      <c r="Q1463" s="84"/>
      <c r="R1463" s="84"/>
      <c r="S1463" s="84"/>
      <c r="T1463" s="84"/>
      <c r="U1463" s="84"/>
      <c r="V1463" s="84"/>
      <c r="W1463" s="84"/>
      <c r="X1463" s="84"/>
    </row>
    <row r="1464" ht="15.75" customHeight="1">
      <c r="A1464" s="14" t="s">
        <v>120</v>
      </c>
      <c r="B1464" s="14">
        <v>2006.0</v>
      </c>
      <c r="C1464" s="14" t="s">
        <v>17496</v>
      </c>
      <c r="D1464" s="14" t="s">
        <v>17497</v>
      </c>
      <c r="E1464" s="150" t="str">
        <f t="shared" si="26"/>
        <v>http://dx.doi.org/10.1109/VAST.2006.261429</v>
      </c>
      <c r="F1464" s="14">
        <v>43.0</v>
      </c>
      <c r="G1464" s="14">
        <v>50.0</v>
      </c>
      <c r="H1464" s="14" t="s">
        <v>28</v>
      </c>
      <c r="I1464" s="14" t="s">
        <v>17498</v>
      </c>
      <c r="J1464" s="130" t="s">
        <v>17499</v>
      </c>
      <c r="K1464" s="152" t="s">
        <v>18321</v>
      </c>
      <c r="L1464" s="20"/>
      <c r="M1464" s="174" t="s">
        <v>35226</v>
      </c>
      <c r="N1464" s="84"/>
      <c r="O1464" s="84"/>
      <c r="P1464" s="84"/>
      <c r="Q1464" s="84"/>
      <c r="R1464" s="84"/>
      <c r="S1464" s="84"/>
      <c r="T1464" s="84"/>
      <c r="U1464" s="84"/>
      <c r="V1464" s="84"/>
      <c r="W1464" s="84"/>
      <c r="X1464" s="84"/>
    </row>
    <row r="1465" ht="15.75" customHeight="1">
      <c r="A1465" s="14" t="s">
        <v>120</v>
      </c>
      <c r="B1465" s="14">
        <v>2006.0</v>
      </c>
      <c r="C1465" s="14" t="s">
        <v>17503</v>
      </c>
      <c r="D1465" s="14" t="s">
        <v>17504</v>
      </c>
      <c r="E1465" s="150" t="str">
        <f t="shared" si="26"/>
        <v>http://dx.doi.org/10.1109/VAST.2006.261430</v>
      </c>
      <c r="F1465" s="14">
        <v>51.0</v>
      </c>
      <c r="G1465" s="14">
        <v>58.0</v>
      </c>
      <c r="H1465" s="14" t="s">
        <v>28</v>
      </c>
      <c r="I1465" s="14" t="s">
        <v>17505</v>
      </c>
      <c r="J1465" s="130" t="s">
        <v>17506</v>
      </c>
      <c r="K1465" s="152" t="s">
        <v>18336</v>
      </c>
      <c r="L1465" s="20" t="s">
        <v>17508</v>
      </c>
      <c r="M1465" s="174" t="s">
        <v>35241</v>
      </c>
      <c r="N1465" s="84"/>
      <c r="O1465" s="84"/>
      <c r="P1465" s="84"/>
      <c r="Q1465" s="84"/>
      <c r="R1465" s="84"/>
      <c r="S1465" s="84"/>
      <c r="T1465" s="84"/>
      <c r="U1465" s="84"/>
      <c r="V1465" s="84"/>
      <c r="W1465" s="84"/>
      <c r="X1465" s="84"/>
    </row>
    <row r="1466" ht="15.75" customHeight="1">
      <c r="A1466" s="14" t="s">
        <v>120</v>
      </c>
      <c r="B1466" s="14">
        <v>2006.0</v>
      </c>
      <c r="C1466" s="14" t="s">
        <v>17510</v>
      </c>
      <c r="D1466" s="14" t="s">
        <v>17511</v>
      </c>
      <c r="E1466" s="150" t="str">
        <f t="shared" si="26"/>
        <v>http://dx.doi.org/10.1109/VAST.2006.261431</v>
      </c>
      <c r="F1466" s="14">
        <v>59.0</v>
      </c>
      <c r="G1466" s="14">
        <v>66.0</v>
      </c>
      <c r="H1466" s="14" t="s">
        <v>28</v>
      </c>
      <c r="I1466" s="14" t="s">
        <v>17512</v>
      </c>
      <c r="J1466" s="130" t="s">
        <v>17513</v>
      </c>
      <c r="K1466" s="152" t="s">
        <v>18347</v>
      </c>
      <c r="L1466" s="20" t="s">
        <v>11895</v>
      </c>
      <c r="M1466" s="174" t="s">
        <v>35283</v>
      </c>
      <c r="N1466" s="84"/>
      <c r="O1466" s="84"/>
      <c r="P1466" s="84"/>
      <c r="Q1466" s="84"/>
      <c r="R1466" s="84"/>
      <c r="S1466" s="84"/>
      <c r="T1466" s="84"/>
      <c r="U1466" s="84"/>
      <c r="V1466" s="84"/>
      <c r="W1466" s="84"/>
      <c r="X1466" s="84"/>
    </row>
    <row r="1467" ht="15.75" customHeight="1">
      <c r="A1467" s="14" t="s">
        <v>120</v>
      </c>
      <c r="B1467" s="14">
        <v>2006.0</v>
      </c>
      <c r="C1467" s="14" t="s">
        <v>17517</v>
      </c>
      <c r="D1467" s="14" t="s">
        <v>17518</v>
      </c>
      <c r="E1467" s="150" t="str">
        <f t="shared" si="26"/>
        <v>http://dx.doi.org/10.1109/VAST.2006.261432</v>
      </c>
      <c r="F1467" s="14">
        <v>67.0</v>
      </c>
      <c r="G1467" s="14">
        <v>74.0</v>
      </c>
      <c r="H1467" s="14" t="s">
        <v>28</v>
      </c>
      <c r="I1467" s="14" t="s">
        <v>17519</v>
      </c>
      <c r="J1467" s="130" t="s">
        <v>17520</v>
      </c>
      <c r="K1467" s="152" t="s">
        <v>18363</v>
      </c>
      <c r="L1467" s="20" t="s">
        <v>17523</v>
      </c>
      <c r="M1467" s="174" t="s">
        <v>17524</v>
      </c>
      <c r="N1467" s="84"/>
      <c r="O1467" s="84"/>
      <c r="P1467" s="84"/>
      <c r="Q1467" s="84"/>
      <c r="R1467" s="84"/>
      <c r="S1467" s="84"/>
      <c r="T1467" s="84"/>
      <c r="U1467" s="84"/>
      <c r="V1467" s="84"/>
      <c r="W1467" s="84"/>
      <c r="X1467" s="84"/>
    </row>
    <row r="1468" ht="15.75" customHeight="1">
      <c r="A1468" s="14" t="s">
        <v>120</v>
      </c>
      <c r="B1468" s="14">
        <v>2006.0</v>
      </c>
      <c r="C1468" s="14" t="s">
        <v>17525</v>
      </c>
      <c r="D1468" s="14" t="s">
        <v>17526</v>
      </c>
      <c r="E1468" s="150" t="str">
        <f t="shared" si="26"/>
        <v>http://dx.doi.org/10.1109/VAST.2006.261433</v>
      </c>
      <c r="F1468" s="14">
        <v>75.0</v>
      </c>
      <c r="G1468" s="14">
        <v>82.0</v>
      </c>
      <c r="H1468" s="14" t="s">
        <v>28</v>
      </c>
      <c r="I1468" s="14" t="s">
        <v>17527</v>
      </c>
      <c r="J1468" s="130" t="s">
        <v>17528</v>
      </c>
      <c r="K1468" s="152" t="s">
        <v>18476</v>
      </c>
      <c r="L1468" s="20" t="s">
        <v>17531</v>
      </c>
      <c r="M1468" s="174" t="s">
        <v>17532</v>
      </c>
      <c r="N1468" s="84"/>
      <c r="O1468" s="84"/>
      <c r="P1468" s="84"/>
      <c r="Q1468" s="84"/>
      <c r="R1468" s="84"/>
      <c r="S1468" s="84"/>
      <c r="T1468" s="84"/>
      <c r="U1468" s="84"/>
      <c r="V1468" s="84"/>
      <c r="W1468" s="84"/>
      <c r="X1468" s="84"/>
    </row>
    <row r="1469" ht="15.75" customHeight="1">
      <c r="A1469" s="14" t="s">
        <v>120</v>
      </c>
      <c r="B1469" s="14">
        <v>2006.0</v>
      </c>
      <c r="C1469" s="14" t="s">
        <v>17533</v>
      </c>
      <c r="D1469" s="14" t="s">
        <v>17534</v>
      </c>
      <c r="E1469" s="150" t="str">
        <f t="shared" si="26"/>
        <v>http://dx.doi.org/10.1109/VAST.2006.261434</v>
      </c>
      <c r="F1469" s="14">
        <v>83.0</v>
      </c>
      <c r="G1469" s="14">
        <v>90.0</v>
      </c>
      <c r="H1469" s="14" t="s">
        <v>28</v>
      </c>
      <c r="I1469" s="14" t="s">
        <v>17535</v>
      </c>
      <c r="J1469" s="130" t="s">
        <v>17536</v>
      </c>
      <c r="K1469" s="152" t="s">
        <v>18544</v>
      </c>
      <c r="L1469" s="20" t="s">
        <v>17539</v>
      </c>
      <c r="M1469" s="174" t="s">
        <v>17540</v>
      </c>
      <c r="N1469" s="84"/>
      <c r="O1469" s="84"/>
      <c r="P1469" s="84"/>
      <c r="Q1469" s="84"/>
      <c r="R1469" s="84"/>
      <c r="S1469" s="84"/>
      <c r="T1469" s="84"/>
      <c r="U1469" s="84"/>
      <c r="V1469" s="84"/>
      <c r="W1469" s="84"/>
      <c r="X1469" s="84"/>
    </row>
    <row r="1470" ht="15.75" customHeight="1">
      <c r="A1470" s="14" t="s">
        <v>120</v>
      </c>
      <c r="B1470" s="14">
        <v>2006.0</v>
      </c>
      <c r="C1470" s="14" t="s">
        <v>17541</v>
      </c>
      <c r="D1470" s="14" t="s">
        <v>17542</v>
      </c>
      <c r="E1470" s="150" t="str">
        <f t="shared" si="26"/>
        <v>http://dx.doi.org/10.1109/VAST.2006.261435</v>
      </c>
      <c r="F1470" s="14">
        <v>99.0</v>
      </c>
      <c r="G1470" s="14">
        <v>106.0</v>
      </c>
      <c r="H1470" s="14" t="s">
        <v>28</v>
      </c>
      <c r="I1470" s="14" t="s">
        <v>17543</v>
      </c>
      <c r="J1470" s="130" t="s">
        <v>17544</v>
      </c>
      <c r="K1470" s="152" t="s">
        <v>18559</v>
      </c>
      <c r="L1470" s="20" t="s">
        <v>17546</v>
      </c>
      <c r="M1470" s="174" t="s">
        <v>35248</v>
      </c>
      <c r="N1470" s="84"/>
      <c r="O1470" s="84"/>
      <c r="P1470" s="84"/>
      <c r="Q1470" s="84"/>
      <c r="R1470" s="84"/>
      <c r="S1470" s="84"/>
      <c r="T1470" s="84"/>
      <c r="U1470" s="84"/>
      <c r="V1470" s="84"/>
      <c r="W1470" s="84"/>
      <c r="X1470" s="84"/>
    </row>
    <row r="1471" ht="15.75" customHeight="1">
      <c r="A1471" s="14" t="s">
        <v>120</v>
      </c>
      <c r="B1471" s="14">
        <v>2006.0</v>
      </c>
      <c r="C1471" s="14" t="s">
        <v>17548</v>
      </c>
      <c r="D1471" s="14" t="s">
        <v>17549</v>
      </c>
      <c r="E1471" s="150" t="str">
        <f t="shared" si="26"/>
        <v>http://dx.doi.org/10.1109/VAST.2006.261436</v>
      </c>
      <c r="F1471" s="14">
        <v>107.0</v>
      </c>
      <c r="G1471" s="14">
        <v>114.0</v>
      </c>
      <c r="H1471" s="14" t="s">
        <v>28</v>
      </c>
      <c r="I1471" s="14" t="s">
        <v>17550</v>
      </c>
      <c r="J1471" s="130" t="s">
        <v>17551</v>
      </c>
      <c r="K1471" s="152" t="s">
        <v>18564</v>
      </c>
      <c r="L1471" s="20" t="s">
        <v>2819</v>
      </c>
      <c r="M1471" s="174" t="s">
        <v>17553</v>
      </c>
      <c r="N1471" s="84"/>
      <c r="O1471" s="84"/>
      <c r="P1471" s="84"/>
      <c r="Q1471" s="84"/>
      <c r="R1471" s="84"/>
      <c r="S1471" s="84"/>
      <c r="T1471" s="84"/>
      <c r="U1471" s="84"/>
      <c r="V1471" s="84"/>
      <c r="W1471" s="84"/>
      <c r="X1471" s="84"/>
    </row>
    <row r="1472" ht="15.75" customHeight="1">
      <c r="A1472" s="14" t="s">
        <v>120</v>
      </c>
      <c r="B1472" s="14">
        <v>2006.0</v>
      </c>
      <c r="C1472" s="14" t="s">
        <v>17554</v>
      </c>
      <c r="D1472" s="14" t="s">
        <v>17555</v>
      </c>
      <c r="E1472" s="150" t="str">
        <f t="shared" si="26"/>
        <v>http://dx.doi.org/10.1109/VAST.2006.261437</v>
      </c>
      <c r="F1472" s="14">
        <v>115.0</v>
      </c>
      <c r="G1472" s="14">
        <v>122.0</v>
      </c>
      <c r="H1472" s="14" t="s">
        <v>28</v>
      </c>
      <c r="I1472" s="14" t="s">
        <v>17556</v>
      </c>
      <c r="J1472" s="130" t="s">
        <v>17557</v>
      </c>
      <c r="K1472" s="152" t="s">
        <v>18578</v>
      </c>
      <c r="L1472" s="20" t="s">
        <v>17559</v>
      </c>
      <c r="M1472" s="174" t="s">
        <v>35215</v>
      </c>
      <c r="N1472" s="84"/>
      <c r="O1472" s="84"/>
      <c r="P1472" s="84"/>
      <c r="Q1472" s="84"/>
      <c r="R1472" s="84"/>
      <c r="S1472" s="84"/>
      <c r="T1472" s="84"/>
      <c r="U1472" s="84"/>
      <c r="V1472" s="84"/>
      <c r="W1472" s="84"/>
      <c r="X1472" s="84"/>
    </row>
    <row r="1473" ht="15.75" customHeight="1">
      <c r="A1473" s="14" t="s">
        <v>120</v>
      </c>
      <c r="B1473" s="14">
        <v>2006.0</v>
      </c>
      <c r="C1473" s="14" t="s">
        <v>17563</v>
      </c>
      <c r="D1473" s="14" t="s">
        <v>17565</v>
      </c>
      <c r="E1473" s="150" t="str">
        <f t="shared" si="26"/>
        <v>http://dx.doi.org/10.1109/VAST.2006.261438</v>
      </c>
      <c r="F1473" s="14">
        <v>123.0</v>
      </c>
      <c r="G1473" s="14">
        <v>128.0</v>
      </c>
      <c r="H1473" s="14" t="s">
        <v>28</v>
      </c>
      <c r="I1473" s="14" t="s">
        <v>17568</v>
      </c>
      <c r="J1473" s="130" t="s">
        <v>17569</v>
      </c>
      <c r="K1473" s="152" t="s">
        <v>18588</v>
      </c>
      <c r="L1473" s="20" t="s">
        <v>17572</v>
      </c>
      <c r="M1473" s="174" t="s">
        <v>35254</v>
      </c>
      <c r="N1473" s="84"/>
      <c r="O1473" s="84"/>
      <c r="P1473" s="84"/>
      <c r="Q1473" s="84"/>
      <c r="R1473" s="84"/>
      <c r="S1473" s="84"/>
      <c r="T1473" s="84"/>
      <c r="U1473" s="84"/>
      <c r="V1473" s="84"/>
      <c r="W1473" s="84"/>
      <c r="X1473" s="84"/>
    </row>
    <row r="1474" ht="15.75" customHeight="1">
      <c r="A1474" s="14" t="s">
        <v>120</v>
      </c>
      <c r="B1474" s="14">
        <v>2006.0</v>
      </c>
      <c r="C1474" s="14" t="s">
        <v>17574</v>
      </c>
      <c r="D1474" s="14" t="s">
        <v>17575</v>
      </c>
      <c r="E1474" s="150" t="str">
        <f t="shared" si="26"/>
        <v>http://dx.doi.org/10.1109/VAST.2006.261439</v>
      </c>
      <c r="F1474" s="14">
        <v>129.0</v>
      </c>
      <c r="G1474" s="14">
        <v>136.0</v>
      </c>
      <c r="H1474" s="14" t="s">
        <v>28</v>
      </c>
      <c r="I1474" s="14" t="s">
        <v>17576</v>
      </c>
      <c r="J1474" s="130" t="s">
        <v>17577</v>
      </c>
      <c r="K1474" s="152" t="s">
        <v>18602</v>
      </c>
      <c r="L1474" s="20"/>
      <c r="M1474" s="174" t="s">
        <v>17580</v>
      </c>
      <c r="N1474" s="84"/>
      <c r="O1474" s="84"/>
      <c r="P1474" s="84"/>
      <c r="Q1474" s="84"/>
      <c r="R1474" s="84"/>
      <c r="S1474" s="84"/>
      <c r="T1474" s="84"/>
      <c r="U1474" s="84"/>
      <c r="V1474" s="84"/>
      <c r="W1474" s="84"/>
      <c r="X1474" s="84"/>
    </row>
    <row r="1475" ht="15.75" customHeight="1">
      <c r="A1475" s="14" t="s">
        <v>120</v>
      </c>
      <c r="B1475" s="14">
        <v>2006.0</v>
      </c>
      <c r="C1475" s="14" t="s">
        <v>17581</v>
      </c>
      <c r="D1475" s="14" t="s">
        <v>17582</v>
      </c>
      <c r="E1475" s="150" t="str">
        <f t="shared" si="26"/>
        <v>http://dx.doi.org/10.1109/VAST.2006.261450</v>
      </c>
      <c r="F1475" s="14">
        <v>3.0</v>
      </c>
      <c r="G1475" s="14">
        <v>10.0</v>
      </c>
      <c r="H1475" s="14" t="s">
        <v>28</v>
      </c>
      <c r="I1475" s="14" t="s">
        <v>17583</v>
      </c>
      <c r="J1475" s="130" t="s">
        <v>17584</v>
      </c>
      <c r="K1475" s="152" t="s">
        <v>18613</v>
      </c>
      <c r="L1475" s="20" t="s">
        <v>17587</v>
      </c>
      <c r="M1475" s="174" t="s">
        <v>17588</v>
      </c>
      <c r="N1475" s="84"/>
      <c r="O1475" s="84"/>
      <c r="P1475" s="84"/>
      <c r="Q1475" s="84"/>
      <c r="R1475" s="84"/>
      <c r="S1475" s="84"/>
      <c r="T1475" s="84"/>
      <c r="U1475" s="84"/>
      <c r="V1475" s="84"/>
      <c r="W1475" s="84"/>
      <c r="X1475" s="84"/>
    </row>
    <row r="1476" ht="15.75" customHeight="1">
      <c r="A1476" s="14" t="s">
        <v>120</v>
      </c>
      <c r="B1476" s="14">
        <v>2006.0</v>
      </c>
      <c r="C1476" s="14" t="s">
        <v>17592</v>
      </c>
      <c r="D1476" s="14" t="s">
        <v>17593</v>
      </c>
      <c r="E1476" s="150" t="str">
        <f t="shared" si="26"/>
        <v>http://dx.doi.org/10.1109/VAST.2006.261451</v>
      </c>
      <c r="F1476" s="14">
        <v>11.0</v>
      </c>
      <c r="G1476" s="14">
        <v>18.0</v>
      </c>
      <c r="H1476" s="14" t="s">
        <v>28</v>
      </c>
      <c r="I1476" s="14" t="s">
        <v>17594</v>
      </c>
      <c r="J1476" s="130" t="s">
        <v>17595</v>
      </c>
      <c r="K1476" s="152" t="s">
        <v>18822</v>
      </c>
      <c r="L1476" s="20" t="s">
        <v>12374</v>
      </c>
      <c r="M1476" s="174" t="s">
        <v>35291</v>
      </c>
      <c r="N1476" s="84"/>
      <c r="O1476" s="84"/>
      <c r="P1476" s="84"/>
      <c r="Q1476" s="84"/>
      <c r="R1476" s="84"/>
      <c r="S1476" s="84"/>
      <c r="T1476" s="84"/>
      <c r="U1476" s="84"/>
      <c r="V1476" s="84"/>
      <c r="W1476" s="84"/>
      <c r="X1476" s="84"/>
    </row>
    <row r="1477" ht="15.75" customHeight="1">
      <c r="A1477" s="14" t="s">
        <v>120</v>
      </c>
      <c r="B1477" s="14">
        <v>2006.0</v>
      </c>
      <c r="C1477" s="14" t="s">
        <v>17599</v>
      </c>
      <c r="D1477" s="14" t="s">
        <v>17600</v>
      </c>
      <c r="E1477" s="150" t="str">
        <f t="shared" si="26"/>
        <v>http://dx.doi.org/10.1109/VAST.2006.261452</v>
      </c>
      <c r="F1477" s="14">
        <v>19.0</v>
      </c>
      <c r="G1477" s="14">
        <v>26.0</v>
      </c>
      <c r="H1477" s="14" t="s">
        <v>28</v>
      </c>
      <c r="I1477" s="14" t="s">
        <v>17601</v>
      </c>
      <c r="J1477" s="130" t="s">
        <v>17602</v>
      </c>
      <c r="K1477" s="152" t="s">
        <v>18836</v>
      </c>
      <c r="L1477" s="20"/>
      <c r="M1477" s="174" t="s">
        <v>35288</v>
      </c>
      <c r="N1477" s="84"/>
      <c r="O1477" s="84"/>
      <c r="P1477" s="84"/>
      <c r="Q1477" s="84"/>
      <c r="R1477" s="84"/>
      <c r="S1477" s="84"/>
      <c r="T1477" s="84"/>
      <c r="U1477" s="84"/>
      <c r="V1477" s="84"/>
      <c r="W1477" s="84"/>
      <c r="X1477" s="84"/>
    </row>
    <row r="1478" ht="15.75" customHeight="1">
      <c r="A1478" s="14" t="s">
        <v>17</v>
      </c>
      <c r="B1478" s="14">
        <v>2006.0</v>
      </c>
      <c r="C1478" s="14" t="s">
        <v>17090</v>
      </c>
      <c r="D1478" s="14" t="s">
        <v>17091</v>
      </c>
      <c r="E1478" s="150" t="str">
        <f t="shared" si="26"/>
        <v>http://dx.doi.org/10.1109/TVCG.2006.110</v>
      </c>
      <c r="F1478" s="14">
        <v>1345.0</v>
      </c>
      <c r="G1478" s="14">
        <v>1352.0</v>
      </c>
      <c r="H1478" s="14" t="s">
        <v>17059</v>
      </c>
      <c r="I1478" s="14" t="s">
        <v>17093</v>
      </c>
      <c r="J1478" s="130" t="s">
        <v>17606</v>
      </c>
      <c r="K1478" s="152" t="s">
        <v>17095</v>
      </c>
      <c r="L1478" s="20" t="s">
        <v>17096</v>
      </c>
      <c r="M1478" s="174" t="s">
        <v>17097</v>
      </c>
      <c r="N1478" s="84"/>
      <c r="O1478" s="84"/>
      <c r="P1478" s="84"/>
      <c r="Q1478" s="84"/>
      <c r="R1478" s="84"/>
      <c r="S1478" s="84"/>
      <c r="T1478" s="84"/>
      <c r="U1478" s="84"/>
      <c r="V1478" s="84"/>
      <c r="W1478" s="84"/>
      <c r="X1478" s="84"/>
    </row>
    <row r="1479" ht="15.75" customHeight="1">
      <c r="A1479" s="14" t="s">
        <v>17</v>
      </c>
      <c r="B1479" s="14">
        <v>2006.0</v>
      </c>
      <c r="C1479" s="14" t="s">
        <v>17098</v>
      </c>
      <c r="D1479" s="14" t="s">
        <v>17099</v>
      </c>
      <c r="E1479" s="150" t="str">
        <f t="shared" si="26"/>
        <v>http://dx.doi.org/10.1109/TVCG.2006.111</v>
      </c>
      <c r="F1479" s="14">
        <v>981.0</v>
      </c>
      <c r="G1479" s="14">
        <v>988.0</v>
      </c>
      <c r="H1479" s="14" t="s">
        <v>17059</v>
      </c>
      <c r="I1479" s="14" t="s">
        <v>17101</v>
      </c>
      <c r="J1479" s="130" t="s">
        <v>17102</v>
      </c>
      <c r="K1479" s="152" t="s">
        <v>17103</v>
      </c>
      <c r="L1479" s="20" t="s">
        <v>17104</v>
      </c>
      <c r="M1479" s="174" t="s">
        <v>17105</v>
      </c>
      <c r="N1479" s="84"/>
      <c r="O1479" s="84"/>
      <c r="P1479" s="84"/>
      <c r="Q1479" s="84"/>
      <c r="R1479" s="84"/>
      <c r="S1479" s="84"/>
      <c r="T1479" s="84"/>
      <c r="U1479" s="84"/>
      <c r="V1479" s="84"/>
      <c r="W1479" s="84"/>
      <c r="X1479" s="84"/>
    </row>
    <row r="1480" ht="15.75" customHeight="1">
      <c r="A1480" s="14" t="s">
        <v>17</v>
      </c>
      <c r="B1480" s="14">
        <v>2006.0</v>
      </c>
      <c r="C1480" s="14" t="s">
        <v>17106</v>
      </c>
      <c r="D1480" s="14" t="s">
        <v>17107</v>
      </c>
      <c r="E1480" s="150" t="str">
        <f t="shared" si="26"/>
        <v>http://dx.doi.org/10.1109/TVCG.2006.112</v>
      </c>
      <c r="F1480" s="14">
        <v>861.0</v>
      </c>
      <c r="G1480" s="14">
        <v>868.0</v>
      </c>
      <c r="H1480" s="14" t="s">
        <v>17059</v>
      </c>
      <c r="I1480" s="14" t="s">
        <v>17109</v>
      </c>
      <c r="J1480" s="130" t="s">
        <v>17110</v>
      </c>
      <c r="K1480" s="152" t="s">
        <v>17111</v>
      </c>
      <c r="L1480" s="20" t="s">
        <v>17112</v>
      </c>
      <c r="M1480" s="174" t="s">
        <v>17113</v>
      </c>
      <c r="N1480" s="84"/>
      <c r="O1480" s="84"/>
      <c r="P1480" s="84"/>
      <c r="Q1480" s="84"/>
      <c r="R1480" s="84"/>
      <c r="S1480" s="84"/>
      <c r="T1480" s="84"/>
      <c r="U1480" s="84"/>
      <c r="V1480" s="84"/>
      <c r="W1480" s="84"/>
      <c r="X1480" s="84"/>
    </row>
    <row r="1481" ht="15.75" customHeight="1">
      <c r="A1481" s="14" t="s">
        <v>17</v>
      </c>
      <c r="B1481" s="14">
        <v>2006.0</v>
      </c>
      <c r="C1481" s="14" t="s">
        <v>17114</v>
      </c>
      <c r="D1481" s="14" t="s">
        <v>17115</v>
      </c>
      <c r="E1481" s="150" t="str">
        <f t="shared" si="26"/>
        <v>http://dx.doi.org/10.1109/TVCG.2006.113</v>
      </c>
      <c r="F1481" s="14">
        <v>1353.0</v>
      </c>
      <c r="G1481" s="14">
        <v>1360.0</v>
      </c>
      <c r="H1481" s="14" t="s">
        <v>17059</v>
      </c>
      <c r="I1481" s="14" t="s">
        <v>17117</v>
      </c>
      <c r="J1481" s="130" t="s">
        <v>17620</v>
      </c>
      <c r="K1481" s="152" t="s">
        <v>17119</v>
      </c>
      <c r="L1481" s="20" t="s">
        <v>17120</v>
      </c>
      <c r="M1481" s="174" t="s">
        <v>17121</v>
      </c>
      <c r="N1481" s="84"/>
      <c r="O1481" s="84"/>
      <c r="P1481" s="84"/>
      <c r="Q1481" s="84"/>
      <c r="R1481" s="84"/>
      <c r="S1481" s="84"/>
      <c r="T1481" s="84"/>
      <c r="U1481" s="84"/>
      <c r="V1481" s="84"/>
      <c r="W1481" s="84"/>
      <c r="X1481" s="84"/>
    </row>
    <row r="1482" ht="15.75" customHeight="1">
      <c r="A1482" s="14" t="s">
        <v>17</v>
      </c>
      <c r="B1482" s="14">
        <v>2006.0</v>
      </c>
      <c r="C1482" s="14" t="s">
        <v>17122</v>
      </c>
      <c r="D1482" s="14" t="s">
        <v>17123</v>
      </c>
      <c r="E1482" s="150" t="str">
        <f t="shared" si="26"/>
        <v>http://dx.doi.org/10.1109/TVCG.2006.114</v>
      </c>
      <c r="F1482" s="14">
        <v>989.0</v>
      </c>
      <c r="G1482" s="14">
        <v>996.0</v>
      </c>
      <c r="H1482" s="14" t="s">
        <v>17059</v>
      </c>
      <c r="I1482" s="14" t="s">
        <v>17125</v>
      </c>
      <c r="J1482" s="130" t="s">
        <v>17126</v>
      </c>
      <c r="K1482" s="152" t="s">
        <v>17127</v>
      </c>
      <c r="L1482" s="20" t="s">
        <v>17128</v>
      </c>
      <c r="M1482" s="174" t="s">
        <v>17129</v>
      </c>
      <c r="N1482" s="84"/>
      <c r="O1482" s="84"/>
      <c r="P1482" s="84"/>
      <c r="Q1482" s="84"/>
      <c r="R1482" s="84"/>
      <c r="S1482" s="84"/>
      <c r="T1482" s="84"/>
      <c r="U1482" s="84"/>
      <c r="V1482" s="84"/>
      <c r="W1482" s="84"/>
      <c r="X1482" s="84"/>
    </row>
    <row r="1483" ht="15.75" customHeight="1">
      <c r="A1483" s="14" t="s">
        <v>17</v>
      </c>
      <c r="B1483" s="14">
        <v>2006.0</v>
      </c>
      <c r="C1483" s="14" t="s">
        <v>17130</v>
      </c>
      <c r="D1483" s="14" t="s">
        <v>17131</v>
      </c>
      <c r="E1483" s="150" t="str">
        <f t="shared" si="26"/>
        <v>http://dx.doi.org/10.1109/TVCG.2006.115</v>
      </c>
      <c r="F1483" s="14">
        <v>1237.0</v>
      </c>
      <c r="G1483" s="14">
        <v>1244.0</v>
      </c>
      <c r="H1483" s="14" t="s">
        <v>17059</v>
      </c>
      <c r="I1483" s="14" t="s">
        <v>17133</v>
      </c>
      <c r="J1483" s="130" t="s">
        <v>17134</v>
      </c>
      <c r="K1483" s="152" t="s">
        <v>17135</v>
      </c>
      <c r="L1483" s="20" t="s">
        <v>17136</v>
      </c>
      <c r="M1483" s="16"/>
      <c r="N1483" s="84"/>
      <c r="O1483" s="84"/>
      <c r="P1483" s="84"/>
      <c r="Q1483" s="84"/>
      <c r="R1483" s="84"/>
      <c r="S1483" s="84"/>
      <c r="T1483" s="84"/>
      <c r="U1483" s="84"/>
      <c r="V1483" s="84"/>
      <c r="W1483" s="84"/>
      <c r="X1483" s="84"/>
    </row>
    <row r="1484" ht="15.75" customHeight="1">
      <c r="A1484" s="14" t="s">
        <v>17</v>
      </c>
      <c r="B1484" s="14">
        <v>2006.0</v>
      </c>
      <c r="C1484" s="14" t="s">
        <v>17137</v>
      </c>
      <c r="D1484" s="14" t="s">
        <v>17138</v>
      </c>
      <c r="E1484" s="150" t="str">
        <f t="shared" si="26"/>
        <v>http://dx.doi.org/10.1109/TVCG.2006.116</v>
      </c>
      <c r="F1484" s="14">
        <v>965.0</v>
      </c>
      <c r="G1484" s="14">
        <v>972.0</v>
      </c>
      <c r="H1484" s="14" t="s">
        <v>17059</v>
      </c>
      <c r="I1484" s="14" t="s">
        <v>17140</v>
      </c>
      <c r="J1484" s="130" t="s">
        <v>17141</v>
      </c>
      <c r="K1484" s="152" t="s">
        <v>17142</v>
      </c>
      <c r="L1484" s="20" t="s">
        <v>17143</v>
      </c>
      <c r="M1484" s="174" t="s">
        <v>17144</v>
      </c>
      <c r="N1484" s="84"/>
      <c r="O1484" s="84"/>
      <c r="P1484" s="84"/>
      <c r="Q1484" s="84"/>
      <c r="R1484" s="84"/>
      <c r="S1484" s="84"/>
      <c r="T1484" s="84"/>
      <c r="U1484" s="84"/>
      <c r="V1484" s="84"/>
      <c r="W1484" s="84"/>
      <c r="X1484" s="84"/>
    </row>
    <row r="1485" ht="15.75" customHeight="1">
      <c r="A1485" s="14" t="s">
        <v>17</v>
      </c>
      <c r="B1485" s="14">
        <v>2006.0</v>
      </c>
      <c r="C1485" s="14" t="s">
        <v>17145</v>
      </c>
      <c r="D1485" s="14" t="s">
        <v>17146</v>
      </c>
      <c r="E1485" s="150" t="str">
        <f t="shared" si="26"/>
        <v>http://dx.doi.org/10.1109/TVCG.2006.117</v>
      </c>
      <c r="F1485" s="14">
        <v>1157.0</v>
      </c>
      <c r="G1485" s="14">
        <v>1164.0</v>
      </c>
      <c r="H1485" s="14" t="s">
        <v>17059</v>
      </c>
      <c r="I1485" s="14" t="s">
        <v>17148</v>
      </c>
      <c r="J1485" s="130" t="s">
        <v>17149</v>
      </c>
      <c r="K1485" s="152" t="s">
        <v>17150</v>
      </c>
      <c r="L1485" s="20" t="s">
        <v>17151</v>
      </c>
      <c r="M1485" s="174" t="s">
        <v>17152</v>
      </c>
      <c r="N1485" s="84"/>
      <c r="O1485" s="84"/>
      <c r="P1485" s="84"/>
      <c r="Q1485" s="84"/>
      <c r="R1485" s="84"/>
      <c r="S1485" s="84"/>
      <c r="T1485" s="84"/>
      <c r="U1485" s="84"/>
      <c r="V1485" s="84"/>
      <c r="W1485" s="84"/>
      <c r="X1485" s="84"/>
    </row>
    <row r="1486" ht="15.75" customHeight="1">
      <c r="A1486" s="14" t="s">
        <v>17</v>
      </c>
      <c r="B1486" s="14">
        <v>2006.0</v>
      </c>
      <c r="C1486" s="14" t="s">
        <v>17153</v>
      </c>
      <c r="D1486" s="14" t="s">
        <v>17154</v>
      </c>
      <c r="E1486" s="150" t="str">
        <f t="shared" si="26"/>
        <v>http://dx.doi.org/10.1109/TVCG.2006.118</v>
      </c>
      <c r="F1486" s="14">
        <v>1037.0</v>
      </c>
      <c r="G1486" s="14">
        <v>1044.0</v>
      </c>
      <c r="H1486" s="14" t="s">
        <v>17059</v>
      </c>
      <c r="I1486" s="14" t="s">
        <v>17156</v>
      </c>
      <c r="J1486" s="130" t="s">
        <v>17157</v>
      </c>
      <c r="K1486" s="152" t="s">
        <v>178</v>
      </c>
      <c r="L1486" s="20" t="s">
        <v>17158</v>
      </c>
      <c r="M1486" s="174" t="s">
        <v>17159</v>
      </c>
      <c r="N1486" s="84"/>
      <c r="O1486" s="84"/>
      <c r="P1486" s="84"/>
      <c r="Q1486" s="84"/>
      <c r="R1486" s="84"/>
      <c r="S1486" s="84"/>
      <c r="T1486" s="84"/>
      <c r="U1486" s="84"/>
      <c r="V1486" s="84"/>
      <c r="W1486" s="84"/>
      <c r="X1486" s="84"/>
    </row>
    <row r="1487" ht="15.75" customHeight="1">
      <c r="A1487" s="14" t="s">
        <v>17</v>
      </c>
      <c r="B1487" s="14">
        <v>2006.0</v>
      </c>
      <c r="C1487" s="14" t="s">
        <v>17160</v>
      </c>
      <c r="D1487" s="14" t="s">
        <v>17161</v>
      </c>
      <c r="E1487" s="150" t="str">
        <f t="shared" si="26"/>
        <v>http://dx.doi.org/10.1109/TVCG.2006.119</v>
      </c>
      <c r="F1487" s="14">
        <v>1189.0</v>
      </c>
      <c r="G1487" s="14">
        <v>1196.0</v>
      </c>
      <c r="H1487" s="14" t="s">
        <v>17059</v>
      </c>
      <c r="I1487" s="14" t="s">
        <v>17163</v>
      </c>
      <c r="J1487" s="130" t="s">
        <v>17656</v>
      </c>
      <c r="K1487" s="152" t="s">
        <v>17165</v>
      </c>
      <c r="L1487" s="20" t="s">
        <v>17166</v>
      </c>
      <c r="M1487" s="174" t="s">
        <v>17167</v>
      </c>
      <c r="N1487" s="84"/>
      <c r="O1487" s="84"/>
      <c r="P1487" s="84"/>
      <c r="Q1487" s="84"/>
      <c r="R1487" s="84"/>
      <c r="S1487" s="84"/>
      <c r="T1487" s="84"/>
      <c r="U1487" s="84"/>
      <c r="V1487" s="84"/>
      <c r="W1487" s="84"/>
      <c r="X1487" s="84"/>
    </row>
    <row r="1488" ht="15.75" customHeight="1">
      <c r="A1488" s="14" t="s">
        <v>17</v>
      </c>
      <c r="B1488" s="14">
        <v>2006.0</v>
      </c>
      <c r="C1488" s="14" t="s">
        <v>17170</v>
      </c>
      <c r="D1488" s="14" t="s">
        <v>17171</v>
      </c>
      <c r="E1488" s="150" t="str">
        <f t="shared" si="26"/>
        <v>http://dx.doi.org/10.1109/TVCG.2006.121</v>
      </c>
      <c r="F1488" s="14">
        <v>1101.0</v>
      </c>
      <c r="G1488" s="14">
        <v>1108.0</v>
      </c>
      <c r="H1488" s="14" t="s">
        <v>17059</v>
      </c>
      <c r="I1488" s="14" t="s">
        <v>17173</v>
      </c>
      <c r="J1488" s="130" t="s">
        <v>17174</v>
      </c>
      <c r="K1488" s="152" t="s">
        <v>17175</v>
      </c>
      <c r="L1488" s="20" t="s">
        <v>17176</v>
      </c>
      <c r="M1488" s="174" t="s">
        <v>17177</v>
      </c>
      <c r="N1488" s="84"/>
      <c r="O1488" s="84"/>
      <c r="P1488" s="84"/>
      <c r="Q1488" s="84"/>
      <c r="R1488" s="84"/>
      <c r="S1488" s="84"/>
      <c r="T1488" s="84"/>
      <c r="U1488" s="84"/>
      <c r="V1488" s="84"/>
      <c r="W1488" s="84"/>
      <c r="X1488" s="84"/>
    </row>
    <row r="1489" ht="15.75" customHeight="1">
      <c r="A1489" s="14" t="s">
        <v>17</v>
      </c>
      <c r="B1489" s="14">
        <v>2006.0</v>
      </c>
      <c r="C1489" s="14" t="s">
        <v>17179</v>
      </c>
      <c r="D1489" s="14" t="s">
        <v>17180</v>
      </c>
      <c r="E1489" s="150" t="str">
        <f t="shared" si="26"/>
        <v>http://dx.doi.org/10.1109/TVCG.2006.123</v>
      </c>
      <c r="F1489" s="14">
        <v>1085.0</v>
      </c>
      <c r="G1489" s="14">
        <v>1092.0</v>
      </c>
      <c r="H1489" s="14" t="s">
        <v>17059</v>
      </c>
      <c r="I1489" s="14" t="s">
        <v>17182</v>
      </c>
      <c r="J1489" s="130" t="s">
        <v>41583</v>
      </c>
      <c r="K1489" s="152" t="s">
        <v>17184</v>
      </c>
      <c r="L1489" s="20" t="s">
        <v>17185</v>
      </c>
      <c r="M1489" s="174" t="s">
        <v>17186</v>
      </c>
      <c r="N1489" s="84"/>
      <c r="O1489" s="84"/>
      <c r="P1489" s="84"/>
      <c r="Q1489" s="84"/>
      <c r="R1489" s="84"/>
      <c r="S1489" s="84"/>
      <c r="T1489" s="84"/>
      <c r="U1489" s="84"/>
      <c r="V1489" s="84"/>
      <c r="W1489" s="84"/>
      <c r="X1489" s="84"/>
    </row>
    <row r="1490" ht="15.75" customHeight="1">
      <c r="A1490" s="14" t="s">
        <v>17</v>
      </c>
      <c r="B1490" s="14">
        <v>2006.0</v>
      </c>
      <c r="C1490" s="14" t="s">
        <v>17187</v>
      </c>
      <c r="D1490" s="14" t="s">
        <v>17188</v>
      </c>
      <c r="E1490" s="150" t="str">
        <f t="shared" si="26"/>
        <v>http://dx.doi.org/10.1109/TVCG.2006.124</v>
      </c>
      <c r="F1490" s="14">
        <v>941.0</v>
      </c>
      <c r="G1490" s="14">
        <v>948.0</v>
      </c>
      <c r="H1490" s="14" t="s">
        <v>17059</v>
      </c>
      <c r="I1490" s="14" t="s">
        <v>17190</v>
      </c>
      <c r="J1490" s="130" t="s">
        <v>17672</v>
      </c>
      <c r="K1490" s="152" t="s">
        <v>17192</v>
      </c>
      <c r="L1490" s="20" t="s">
        <v>17193</v>
      </c>
      <c r="M1490" s="174" t="s">
        <v>17194</v>
      </c>
      <c r="N1490" s="84"/>
      <c r="O1490" s="84"/>
      <c r="P1490" s="84"/>
      <c r="Q1490" s="84"/>
      <c r="R1490" s="84"/>
      <c r="S1490" s="84"/>
      <c r="T1490" s="84"/>
      <c r="U1490" s="84"/>
      <c r="V1490" s="84"/>
      <c r="W1490" s="84"/>
      <c r="X1490" s="84"/>
    </row>
    <row r="1491" ht="15.75" customHeight="1">
      <c r="A1491" s="14" t="s">
        <v>17</v>
      </c>
      <c r="B1491" s="14">
        <v>2006.0</v>
      </c>
      <c r="C1491" s="14" t="s">
        <v>17195</v>
      </c>
      <c r="D1491" s="14" t="s">
        <v>17196</v>
      </c>
      <c r="E1491" s="150" t="str">
        <f t="shared" si="26"/>
        <v>http://dx.doi.org/10.1109/TVCG.2006.125</v>
      </c>
      <c r="F1491" s="14">
        <v>1173.0</v>
      </c>
      <c r="G1491" s="14">
        <v>1180.0</v>
      </c>
      <c r="H1491" s="14" t="s">
        <v>17059</v>
      </c>
      <c r="I1491" s="14" t="s">
        <v>17198</v>
      </c>
      <c r="J1491" s="130" t="s">
        <v>17199</v>
      </c>
      <c r="K1491" s="152" t="s">
        <v>17200</v>
      </c>
      <c r="L1491" s="20" t="s">
        <v>16400</v>
      </c>
      <c r="M1491" s="174" t="s">
        <v>17201</v>
      </c>
      <c r="N1491" s="84"/>
      <c r="O1491" s="84"/>
      <c r="P1491" s="84"/>
      <c r="Q1491" s="84"/>
      <c r="R1491" s="84"/>
      <c r="S1491" s="84"/>
      <c r="T1491" s="84"/>
      <c r="U1491" s="84"/>
      <c r="V1491" s="84"/>
      <c r="W1491" s="84"/>
      <c r="X1491" s="84"/>
    </row>
    <row r="1492" ht="15.75" customHeight="1">
      <c r="A1492" s="14" t="s">
        <v>17</v>
      </c>
      <c r="B1492" s="14">
        <v>2006.0</v>
      </c>
      <c r="C1492" s="14" t="s">
        <v>17205</v>
      </c>
      <c r="D1492" s="14" t="s">
        <v>17206</v>
      </c>
      <c r="E1492" s="150" t="str">
        <f t="shared" si="26"/>
        <v>http://dx.doi.org/10.1109/TVCG.2006.127</v>
      </c>
      <c r="F1492" s="14">
        <v>901.0</v>
      </c>
      <c r="G1492" s="14">
        <v>908.0</v>
      </c>
      <c r="H1492" s="14" t="s">
        <v>17059</v>
      </c>
      <c r="I1492" s="14" t="s">
        <v>17208</v>
      </c>
      <c r="J1492" s="130" t="s">
        <v>17209</v>
      </c>
      <c r="K1492" s="152" t="s">
        <v>17210</v>
      </c>
      <c r="L1492" s="20" t="s">
        <v>17211</v>
      </c>
      <c r="M1492" s="174" t="s">
        <v>17212</v>
      </c>
      <c r="N1492" s="84"/>
      <c r="O1492" s="84"/>
      <c r="P1492" s="84"/>
      <c r="Q1492" s="84"/>
      <c r="R1492" s="84"/>
      <c r="S1492" s="84"/>
      <c r="T1492" s="84"/>
      <c r="U1492" s="84"/>
      <c r="V1492" s="84"/>
      <c r="W1492" s="84"/>
      <c r="X1492" s="84"/>
    </row>
    <row r="1493" ht="15.75" customHeight="1">
      <c r="A1493" s="14" t="s">
        <v>17</v>
      </c>
      <c r="B1493" s="14">
        <v>2006.0</v>
      </c>
      <c r="C1493" s="14" t="s">
        <v>17213</v>
      </c>
      <c r="D1493" s="14" t="s">
        <v>17214</v>
      </c>
      <c r="E1493" s="150" t="str">
        <f t="shared" si="26"/>
        <v>http://dx.doi.org/10.1109/TVCG.2006.128</v>
      </c>
      <c r="F1493" s="14">
        <v>997.0</v>
      </c>
      <c r="G1493" s="14">
        <v>1004.0</v>
      </c>
      <c r="H1493" s="14" t="s">
        <v>17059</v>
      </c>
      <c r="I1493" s="14" t="s">
        <v>17216</v>
      </c>
      <c r="J1493" s="130" t="s">
        <v>17217</v>
      </c>
      <c r="K1493" s="152" t="s">
        <v>17218</v>
      </c>
      <c r="L1493" s="20" t="s">
        <v>16443</v>
      </c>
      <c r="M1493" s="174" t="s">
        <v>17219</v>
      </c>
      <c r="N1493" s="84"/>
      <c r="O1493" s="84"/>
      <c r="P1493" s="84"/>
      <c r="Q1493" s="84"/>
      <c r="R1493" s="84"/>
      <c r="S1493" s="84"/>
      <c r="T1493" s="84"/>
      <c r="U1493" s="84"/>
      <c r="V1493" s="84"/>
      <c r="W1493" s="84"/>
      <c r="X1493" s="84"/>
    </row>
    <row r="1494" ht="15.75" customHeight="1">
      <c r="A1494" s="14" t="s">
        <v>17</v>
      </c>
      <c r="B1494" s="14">
        <v>2006.0</v>
      </c>
      <c r="C1494" s="14" t="s">
        <v>17220</v>
      </c>
      <c r="D1494" s="14" t="s">
        <v>17221</v>
      </c>
      <c r="E1494" s="150" t="str">
        <f t="shared" si="26"/>
        <v>http://dx.doi.org/10.1109/TVCG.2006.133</v>
      </c>
      <c r="F1494" s="14">
        <v>1045.0</v>
      </c>
      <c r="G1494" s="14">
        <v>1052.0</v>
      </c>
      <c r="H1494" s="14" t="s">
        <v>17059</v>
      </c>
      <c r="I1494" s="14" t="s">
        <v>17223</v>
      </c>
      <c r="J1494" s="130" t="s">
        <v>17224</v>
      </c>
      <c r="K1494" s="152" t="s">
        <v>17225</v>
      </c>
      <c r="L1494" s="20" t="s">
        <v>17226</v>
      </c>
      <c r="M1494" s="174" t="s">
        <v>17227</v>
      </c>
      <c r="N1494" s="84"/>
      <c r="O1494" s="84"/>
      <c r="P1494" s="84"/>
      <c r="Q1494" s="84"/>
      <c r="R1494" s="84"/>
      <c r="S1494" s="84"/>
      <c r="T1494" s="84"/>
      <c r="U1494" s="84"/>
      <c r="V1494" s="84"/>
      <c r="W1494" s="84"/>
      <c r="X1494" s="84"/>
    </row>
    <row r="1495" ht="15.75" customHeight="1">
      <c r="A1495" s="14" t="s">
        <v>17</v>
      </c>
      <c r="B1495" s="14">
        <v>2006.0</v>
      </c>
      <c r="C1495" s="14" t="s">
        <v>17228</v>
      </c>
      <c r="D1495" s="14" t="s">
        <v>17229</v>
      </c>
      <c r="E1495" s="150" t="str">
        <f t="shared" si="26"/>
        <v>http://dx.doi.org/10.1109/TVCG.2006.134</v>
      </c>
      <c r="F1495" s="14">
        <v>1329.0</v>
      </c>
      <c r="G1495" s="14">
        <v>1336.0</v>
      </c>
      <c r="H1495" s="14" t="s">
        <v>17059</v>
      </c>
      <c r="I1495" s="14" t="s">
        <v>17231</v>
      </c>
      <c r="J1495" s="130" t="s">
        <v>17232</v>
      </c>
      <c r="K1495" s="152" t="s">
        <v>17233</v>
      </c>
      <c r="L1495" s="20" t="s">
        <v>17234</v>
      </c>
      <c r="M1495" s="174" t="s">
        <v>17235</v>
      </c>
      <c r="N1495" s="84"/>
      <c r="O1495" s="84"/>
      <c r="P1495" s="84"/>
      <c r="Q1495" s="84"/>
      <c r="R1495" s="84"/>
      <c r="S1495" s="84"/>
      <c r="T1495" s="84"/>
      <c r="U1495" s="84"/>
      <c r="V1495" s="84"/>
      <c r="W1495" s="84"/>
      <c r="X1495" s="84"/>
    </row>
    <row r="1496" ht="15.75" customHeight="1">
      <c r="A1496" s="14" t="s">
        <v>17</v>
      </c>
      <c r="B1496" s="14">
        <v>2006.0</v>
      </c>
      <c r="C1496" s="14" t="s">
        <v>17236</v>
      </c>
      <c r="D1496" s="14" t="s">
        <v>17237</v>
      </c>
      <c r="E1496" s="150" t="str">
        <f t="shared" si="26"/>
        <v>http://dx.doi.org/10.1109/TVCG.2006.135</v>
      </c>
      <c r="F1496" s="14">
        <v>1299.0</v>
      </c>
      <c r="G1496" s="14">
        <v>1306.0</v>
      </c>
      <c r="H1496" s="14" t="s">
        <v>17059</v>
      </c>
      <c r="I1496" s="14" t="s">
        <v>17239</v>
      </c>
      <c r="J1496" s="130" t="s">
        <v>17706</v>
      </c>
      <c r="K1496" s="152" t="s">
        <v>17241</v>
      </c>
      <c r="L1496" s="20" t="s">
        <v>17242</v>
      </c>
      <c r="M1496" s="174" t="s">
        <v>17243</v>
      </c>
      <c r="N1496" s="84"/>
      <c r="O1496" s="84"/>
      <c r="P1496" s="84"/>
      <c r="Q1496" s="84"/>
      <c r="R1496" s="84"/>
      <c r="S1496" s="84"/>
      <c r="T1496" s="84"/>
      <c r="U1496" s="84"/>
      <c r="V1496" s="84"/>
      <c r="W1496" s="84"/>
      <c r="X1496" s="84"/>
    </row>
    <row r="1497" ht="15.75" customHeight="1">
      <c r="A1497" s="14" t="s">
        <v>17</v>
      </c>
      <c r="B1497" s="14">
        <v>2006.0</v>
      </c>
      <c r="C1497" s="14" t="s">
        <v>17246</v>
      </c>
      <c r="D1497" s="14" t="s">
        <v>17247</v>
      </c>
      <c r="E1497" s="150" t="str">
        <f t="shared" si="26"/>
        <v>http://dx.doi.org/10.1109/TVCG.2006.137</v>
      </c>
      <c r="F1497" s="14">
        <v>1109.0</v>
      </c>
      <c r="G1497" s="14">
        <v>1116.0</v>
      </c>
      <c r="H1497" s="14" t="s">
        <v>17059</v>
      </c>
      <c r="I1497" s="14" t="s">
        <v>17249</v>
      </c>
      <c r="J1497" s="130" t="s">
        <v>17250</v>
      </c>
      <c r="K1497" s="152" t="s">
        <v>17251</v>
      </c>
      <c r="L1497" s="20" t="s">
        <v>17252</v>
      </c>
      <c r="M1497" s="174" t="s">
        <v>17253</v>
      </c>
      <c r="N1497" s="84"/>
      <c r="O1497" s="84"/>
      <c r="P1497" s="84"/>
      <c r="Q1497" s="84"/>
      <c r="R1497" s="84"/>
      <c r="S1497" s="84"/>
      <c r="T1497" s="84"/>
      <c r="U1497" s="84"/>
      <c r="V1497" s="84"/>
      <c r="W1497" s="84"/>
      <c r="X1497" s="84"/>
    </row>
    <row r="1498" ht="15.75" customHeight="1">
      <c r="A1498" s="14" t="s">
        <v>17</v>
      </c>
      <c r="B1498" s="14">
        <v>2006.0</v>
      </c>
      <c r="C1498" s="14" t="s">
        <v>17444</v>
      </c>
      <c r="D1498" s="14" t="s">
        <v>17446</v>
      </c>
      <c r="E1498" s="150" t="str">
        <f t="shared" si="26"/>
        <v>http://dx.doi.org/10.1109/TVCG.2006.139</v>
      </c>
      <c r="F1498" s="14">
        <v>1117.0</v>
      </c>
      <c r="G1498" s="14">
        <v>1124.0</v>
      </c>
      <c r="H1498" s="14" t="s">
        <v>17059</v>
      </c>
      <c r="I1498" s="14" t="s">
        <v>17463</v>
      </c>
      <c r="J1498" s="130" t="s">
        <v>17464</v>
      </c>
      <c r="K1498" s="152" t="s">
        <v>17465</v>
      </c>
      <c r="L1498" s="20"/>
      <c r="M1498" s="174" t="s">
        <v>17466</v>
      </c>
      <c r="N1498" s="84"/>
      <c r="O1498" s="84"/>
      <c r="P1498" s="84"/>
      <c r="Q1498" s="84"/>
      <c r="R1498" s="84"/>
      <c r="S1498" s="84"/>
      <c r="T1498" s="84"/>
      <c r="U1498" s="84"/>
      <c r="V1498" s="84"/>
      <c r="W1498" s="84"/>
      <c r="X1498" s="84"/>
    </row>
    <row r="1499" ht="15.75" customHeight="1">
      <c r="A1499" s="14" t="s">
        <v>17</v>
      </c>
      <c r="B1499" s="14">
        <v>2006.0</v>
      </c>
      <c r="C1499" s="14" t="s">
        <v>17468</v>
      </c>
      <c r="D1499" s="14" t="s">
        <v>17470</v>
      </c>
      <c r="E1499" s="150" t="str">
        <f t="shared" si="26"/>
        <v>http://dx.doi.org/10.1109/TVCG.2006.140</v>
      </c>
      <c r="F1499" s="14">
        <v>1077.0</v>
      </c>
      <c r="G1499" s="14">
        <v>1084.0</v>
      </c>
      <c r="H1499" s="14" t="s">
        <v>17059</v>
      </c>
      <c r="I1499" s="14" t="s">
        <v>17484</v>
      </c>
      <c r="J1499" s="130" t="s">
        <v>18743</v>
      </c>
      <c r="K1499" s="152" t="s">
        <v>15894</v>
      </c>
      <c r="L1499" s="20" t="s">
        <v>17485</v>
      </c>
      <c r="M1499" s="174" t="s">
        <v>17486</v>
      </c>
      <c r="N1499" s="84"/>
      <c r="O1499" s="84"/>
      <c r="P1499" s="84"/>
      <c r="Q1499" s="84"/>
      <c r="R1499" s="84"/>
      <c r="S1499" s="84"/>
      <c r="T1499" s="84"/>
      <c r="U1499" s="84"/>
      <c r="V1499" s="84"/>
      <c r="W1499" s="84"/>
      <c r="X1499" s="84"/>
    </row>
    <row r="1500" ht="15.75" customHeight="1">
      <c r="A1500" s="14" t="s">
        <v>17</v>
      </c>
      <c r="B1500" s="14">
        <v>2006.0</v>
      </c>
      <c r="C1500" s="14" t="s">
        <v>17487</v>
      </c>
      <c r="D1500" s="14" t="s">
        <v>17488</v>
      </c>
      <c r="E1500" s="150" t="str">
        <f t="shared" si="26"/>
        <v>http://dx.doi.org/10.1109/TVCG.2006.141</v>
      </c>
      <c r="F1500" s="14">
        <v>1337.0</v>
      </c>
      <c r="G1500" s="14">
        <v>1344.0</v>
      </c>
      <c r="H1500" s="14" t="s">
        <v>17059</v>
      </c>
      <c r="I1500" s="14" t="s">
        <v>17561</v>
      </c>
      <c r="J1500" s="130" t="s">
        <v>17732</v>
      </c>
      <c r="K1500" s="152" t="s">
        <v>14446</v>
      </c>
      <c r="L1500" s="20" t="s">
        <v>17564</v>
      </c>
      <c r="M1500" s="174" t="s">
        <v>17566</v>
      </c>
      <c r="N1500" s="84"/>
      <c r="O1500" s="84"/>
      <c r="P1500" s="84"/>
      <c r="Q1500" s="84"/>
      <c r="R1500" s="84"/>
      <c r="S1500" s="84"/>
      <c r="T1500" s="84"/>
      <c r="U1500" s="84"/>
      <c r="V1500" s="84"/>
      <c r="W1500" s="84"/>
      <c r="X1500" s="84"/>
    </row>
    <row r="1501" ht="15.75" customHeight="1">
      <c r="A1501" s="14" t="s">
        <v>17</v>
      </c>
      <c r="B1501" s="14">
        <v>2006.0</v>
      </c>
      <c r="C1501" s="14" t="s">
        <v>17589</v>
      </c>
      <c r="D1501" s="14" t="s">
        <v>17590</v>
      </c>
      <c r="E1501" s="150" t="str">
        <f t="shared" si="26"/>
        <v>http://dx.doi.org/10.1109/TVCG.2006.143</v>
      </c>
      <c r="F1501" s="14">
        <v>1245.0</v>
      </c>
      <c r="G1501" s="14">
        <v>1250.0</v>
      </c>
      <c r="H1501" s="14" t="s">
        <v>17059</v>
      </c>
      <c r="I1501" s="14" t="s">
        <v>17610</v>
      </c>
      <c r="J1501" s="130" t="s">
        <v>17611</v>
      </c>
      <c r="K1501" s="152" t="s">
        <v>17612</v>
      </c>
      <c r="L1501" s="20" t="s">
        <v>17613</v>
      </c>
      <c r="M1501" s="174" t="s">
        <v>17614</v>
      </c>
      <c r="N1501" s="84"/>
      <c r="O1501" s="84"/>
      <c r="P1501" s="84"/>
      <c r="Q1501" s="84"/>
      <c r="R1501" s="84"/>
      <c r="S1501" s="84"/>
      <c r="T1501" s="84"/>
      <c r="U1501" s="84"/>
      <c r="V1501" s="84"/>
      <c r="W1501" s="84"/>
      <c r="X1501" s="84"/>
    </row>
    <row r="1502" ht="15.75" customHeight="1">
      <c r="A1502" s="14" t="s">
        <v>17</v>
      </c>
      <c r="B1502" s="14">
        <v>2006.0</v>
      </c>
      <c r="C1502" s="14" t="s">
        <v>17615</v>
      </c>
      <c r="D1502" s="14" t="s">
        <v>17616</v>
      </c>
      <c r="E1502" s="150" t="str">
        <f t="shared" si="26"/>
        <v>http://dx.doi.org/10.1109/TVCG.2006.144</v>
      </c>
      <c r="F1502" s="14">
        <v>1069.0</v>
      </c>
      <c r="G1502" s="14">
        <v>1076.0</v>
      </c>
      <c r="H1502" s="14" t="s">
        <v>17059</v>
      </c>
      <c r="I1502" s="14" t="s">
        <v>17623</v>
      </c>
      <c r="J1502" s="130" t="s">
        <v>17624</v>
      </c>
      <c r="K1502" s="152" t="s">
        <v>17625</v>
      </c>
      <c r="L1502" s="20" t="s">
        <v>17626</v>
      </c>
      <c r="M1502" s="174" t="s">
        <v>17627</v>
      </c>
      <c r="N1502" s="84"/>
      <c r="O1502" s="84"/>
      <c r="P1502" s="84"/>
      <c r="Q1502" s="84"/>
      <c r="R1502" s="84"/>
      <c r="S1502" s="84"/>
      <c r="T1502" s="84"/>
      <c r="U1502" s="84"/>
      <c r="V1502" s="84"/>
      <c r="W1502" s="84"/>
      <c r="X1502" s="84"/>
    </row>
    <row r="1503" ht="15.75" customHeight="1">
      <c r="A1503" s="14" t="s">
        <v>17</v>
      </c>
      <c r="B1503" s="14">
        <v>2006.0</v>
      </c>
      <c r="C1503" s="14" t="s">
        <v>17628</v>
      </c>
      <c r="D1503" s="14" t="s">
        <v>17629</v>
      </c>
      <c r="E1503" s="150" t="str">
        <f t="shared" si="26"/>
        <v>http://dx.doi.org/10.1109/TVCG.2006.145</v>
      </c>
      <c r="F1503" s="14">
        <v>973.0</v>
      </c>
      <c r="G1503" s="14">
        <v>980.0</v>
      </c>
      <c r="H1503" s="14" t="s">
        <v>17059</v>
      </c>
      <c r="I1503" s="14" t="s">
        <v>17633</v>
      </c>
      <c r="J1503" s="130" t="s">
        <v>17634</v>
      </c>
      <c r="K1503" s="152" t="s">
        <v>17635</v>
      </c>
      <c r="L1503" s="20" t="s">
        <v>17636</v>
      </c>
      <c r="M1503" s="174" t="s">
        <v>17637</v>
      </c>
      <c r="N1503" s="84"/>
      <c r="O1503" s="84"/>
      <c r="P1503" s="84"/>
      <c r="Q1503" s="84"/>
      <c r="R1503" s="84"/>
      <c r="S1503" s="84"/>
      <c r="T1503" s="84"/>
      <c r="U1503" s="84"/>
      <c r="V1503" s="84"/>
      <c r="W1503" s="84"/>
      <c r="X1503" s="84"/>
    </row>
    <row r="1504" ht="15.75" customHeight="1">
      <c r="A1504" s="14" t="s">
        <v>17</v>
      </c>
      <c r="B1504" s="14">
        <v>2006.0</v>
      </c>
      <c r="C1504" s="14" t="s">
        <v>17638</v>
      </c>
      <c r="D1504" s="14" t="s">
        <v>17639</v>
      </c>
      <c r="E1504" s="150" t="str">
        <f t="shared" si="26"/>
        <v>http://dx.doi.org/10.1109/TVCG.2006.146</v>
      </c>
      <c r="F1504" s="14">
        <v>869.0</v>
      </c>
      <c r="G1504" s="14">
        <v>876.0</v>
      </c>
      <c r="H1504" s="14" t="s">
        <v>17059</v>
      </c>
      <c r="I1504" s="14" t="s">
        <v>17645</v>
      </c>
      <c r="J1504" s="130" t="s">
        <v>17749</v>
      </c>
      <c r="K1504" s="152" t="s">
        <v>17647</v>
      </c>
      <c r="L1504" s="20" t="s">
        <v>17648</v>
      </c>
      <c r="M1504" s="174" t="s">
        <v>17649</v>
      </c>
      <c r="N1504" s="84"/>
      <c r="O1504" s="84"/>
      <c r="P1504" s="84"/>
      <c r="Q1504" s="84"/>
      <c r="R1504" s="84"/>
      <c r="S1504" s="84"/>
      <c r="T1504" s="84"/>
      <c r="U1504" s="84"/>
      <c r="V1504" s="84"/>
      <c r="W1504" s="84"/>
      <c r="X1504" s="84"/>
    </row>
    <row r="1505" ht="15.75" customHeight="1">
      <c r="A1505" s="14" t="s">
        <v>17</v>
      </c>
      <c r="B1505" s="14">
        <v>2006.0</v>
      </c>
      <c r="C1505" s="14" t="s">
        <v>17655</v>
      </c>
      <c r="D1505" s="14" t="s">
        <v>17657</v>
      </c>
      <c r="E1505" s="150" t="str">
        <f t="shared" si="26"/>
        <v>http://dx.doi.org/10.1109/TVCG.2006.148</v>
      </c>
      <c r="F1505" s="14">
        <v>1021.0</v>
      </c>
      <c r="G1505" s="14">
        <v>1028.0</v>
      </c>
      <c r="H1505" s="14" t="s">
        <v>17059</v>
      </c>
      <c r="I1505" s="14" t="s">
        <v>17661</v>
      </c>
      <c r="J1505" s="130" t="s">
        <v>17662</v>
      </c>
      <c r="K1505" s="152" t="s">
        <v>17663</v>
      </c>
      <c r="L1505" s="20" t="s">
        <v>17664</v>
      </c>
      <c r="M1505" s="174" t="s">
        <v>17665</v>
      </c>
      <c r="N1505" s="84"/>
      <c r="O1505" s="84"/>
      <c r="P1505" s="84"/>
      <c r="Q1505" s="84"/>
      <c r="R1505" s="84"/>
      <c r="S1505" s="84"/>
      <c r="T1505" s="84"/>
      <c r="U1505" s="84"/>
      <c r="V1505" s="84"/>
      <c r="W1505" s="84"/>
      <c r="X1505" s="84"/>
    </row>
    <row r="1506" ht="15.75" customHeight="1">
      <c r="A1506" s="14" t="s">
        <v>17</v>
      </c>
      <c r="B1506" s="14">
        <v>2006.0</v>
      </c>
      <c r="C1506" s="14" t="s">
        <v>17666</v>
      </c>
      <c r="D1506" s="14" t="s">
        <v>17668</v>
      </c>
      <c r="E1506" s="150" t="str">
        <f t="shared" si="26"/>
        <v>http://dx.doi.org/10.1109/TVCG.2006.149</v>
      </c>
      <c r="F1506" s="14">
        <v>1205.0</v>
      </c>
      <c r="G1506" s="14">
        <v>1212.0</v>
      </c>
      <c r="H1506" s="14" t="s">
        <v>17059</v>
      </c>
      <c r="I1506" s="14" t="s">
        <v>17674</v>
      </c>
      <c r="J1506" s="130" t="s">
        <v>17754</v>
      </c>
      <c r="K1506" s="152" t="s">
        <v>17676</v>
      </c>
      <c r="L1506" s="20" t="s">
        <v>17677</v>
      </c>
      <c r="M1506" s="174" t="s">
        <v>17678</v>
      </c>
      <c r="N1506" s="84"/>
      <c r="O1506" s="84"/>
      <c r="P1506" s="84"/>
      <c r="Q1506" s="84"/>
      <c r="R1506" s="84"/>
      <c r="S1506" s="84"/>
      <c r="T1506" s="84"/>
      <c r="U1506" s="84"/>
      <c r="V1506" s="84"/>
      <c r="W1506" s="84"/>
      <c r="X1506" s="84"/>
    </row>
    <row r="1507" ht="15.75" customHeight="1">
      <c r="A1507" s="14" t="s">
        <v>17</v>
      </c>
      <c r="B1507" s="14">
        <v>2006.0</v>
      </c>
      <c r="C1507" s="14" t="s">
        <v>17680</v>
      </c>
      <c r="D1507" s="14" t="s">
        <v>17681</v>
      </c>
      <c r="E1507" s="150" t="str">
        <f t="shared" si="26"/>
        <v>http://dx.doi.org/10.1109/TVCG.2006.150</v>
      </c>
      <c r="F1507" s="14">
        <v>1061.0</v>
      </c>
      <c r="G1507" s="14">
        <v>1068.0</v>
      </c>
      <c r="H1507" s="14" t="s">
        <v>17059</v>
      </c>
      <c r="I1507" s="14" t="s">
        <v>17684</v>
      </c>
      <c r="J1507" s="130" t="s">
        <v>17685</v>
      </c>
      <c r="K1507" s="152" t="s">
        <v>17686</v>
      </c>
      <c r="L1507" s="20" t="s">
        <v>17687</v>
      </c>
      <c r="M1507" s="174" t="s">
        <v>17688</v>
      </c>
      <c r="N1507" s="84"/>
      <c r="O1507" s="84"/>
      <c r="P1507" s="84"/>
      <c r="Q1507" s="84"/>
      <c r="R1507" s="84"/>
      <c r="S1507" s="84"/>
      <c r="T1507" s="84"/>
      <c r="U1507" s="84"/>
      <c r="V1507" s="84"/>
      <c r="W1507" s="84"/>
      <c r="X1507" s="84"/>
    </row>
    <row r="1508" ht="15.75" customHeight="1">
      <c r="A1508" s="14" t="s">
        <v>17</v>
      </c>
      <c r="B1508" s="14">
        <v>2006.0</v>
      </c>
      <c r="C1508" s="14" t="s">
        <v>17689</v>
      </c>
      <c r="D1508" s="14" t="s">
        <v>17690</v>
      </c>
      <c r="E1508" s="150" t="str">
        <f t="shared" si="26"/>
        <v>http://dx.doi.org/10.1109/TVCG.2006.151</v>
      </c>
      <c r="F1508" s="14">
        <v>1181.0</v>
      </c>
      <c r="G1508" s="14">
        <v>1188.0</v>
      </c>
      <c r="H1508" s="14" t="s">
        <v>17059</v>
      </c>
      <c r="I1508" s="14" t="s">
        <v>17695</v>
      </c>
      <c r="J1508" s="130" t="s">
        <v>17761</v>
      </c>
      <c r="K1508" s="152" t="s">
        <v>17698</v>
      </c>
      <c r="L1508" s="20" t="s">
        <v>17699</v>
      </c>
      <c r="M1508" s="174" t="s">
        <v>17700</v>
      </c>
      <c r="N1508" s="84"/>
      <c r="O1508" s="84"/>
      <c r="P1508" s="84"/>
      <c r="Q1508" s="84"/>
      <c r="R1508" s="84"/>
      <c r="S1508" s="84"/>
      <c r="T1508" s="84"/>
      <c r="U1508" s="84"/>
      <c r="V1508" s="84"/>
      <c r="W1508" s="84"/>
      <c r="X1508" s="84"/>
    </row>
    <row r="1509" ht="15.75" customHeight="1">
      <c r="A1509" s="14" t="s">
        <v>17</v>
      </c>
      <c r="B1509" s="14">
        <v>2006.0</v>
      </c>
      <c r="C1509" s="14" t="s">
        <v>17701</v>
      </c>
      <c r="D1509" s="14" t="s">
        <v>17702</v>
      </c>
      <c r="E1509" s="150" t="str">
        <f t="shared" si="26"/>
        <v>http://dx.doi.org/10.1109/TVCG.2006.152</v>
      </c>
      <c r="F1509" s="14">
        <v>933.0</v>
      </c>
      <c r="G1509" s="14">
        <v>940.0</v>
      </c>
      <c r="H1509" s="14" t="s">
        <v>17059</v>
      </c>
      <c r="I1509" s="14" t="s">
        <v>17705</v>
      </c>
      <c r="J1509" s="130" t="s">
        <v>41599</v>
      </c>
      <c r="K1509" s="152" t="s">
        <v>17709</v>
      </c>
      <c r="L1509" s="20" t="s">
        <v>17710</v>
      </c>
      <c r="M1509" s="174" t="s">
        <v>17711</v>
      </c>
      <c r="N1509" s="84"/>
      <c r="O1509" s="84"/>
      <c r="P1509" s="84"/>
      <c r="Q1509" s="84"/>
      <c r="R1509" s="84"/>
      <c r="S1509" s="84"/>
      <c r="T1509" s="84"/>
      <c r="U1509" s="84"/>
      <c r="V1509" s="84"/>
      <c r="W1509" s="84"/>
      <c r="X1509" s="84"/>
    </row>
    <row r="1510" ht="15.75" customHeight="1">
      <c r="A1510" s="14" t="s">
        <v>17</v>
      </c>
      <c r="B1510" s="14">
        <v>2006.0</v>
      </c>
      <c r="C1510" s="14" t="s">
        <v>17712</v>
      </c>
      <c r="D1510" s="14" t="s">
        <v>17713</v>
      </c>
      <c r="E1510" s="150" t="str">
        <f t="shared" si="26"/>
        <v>http://dx.doi.org/10.1109/TVCG.2006.153</v>
      </c>
      <c r="F1510" s="14">
        <v>1267.0</v>
      </c>
      <c r="G1510" s="14">
        <v>1274.0</v>
      </c>
      <c r="H1510" s="14" t="s">
        <v>17059</v>
      </c>
      <c r="I1510" s="14" t="s">
        <v>17716</v>
      </c>
      <c r="J1510" s="130" t="s">
        <v>17717</v>
      </c>
      <c r="K1510" s="152" t="s">
        <v>17718</v>
      </c>
      <c r="L1510" s="20" t="s">
        <v>17719</v>
      </c>
      <c r="M1510" s="174" t="s">
        <v>17720</v>
      </c>
      <c r="N1510" s="84"/>
      <c r="O1510" s="84"/>
      <c r="P1510" s="84"/>
      <c r="Q1510" s="84"/>
      <c r="R1510" s="84"/>
      <c r="S1510" s="84"/>
      <c r="T1510" s="84"/>
      <c r="U1510" s="84"/>
      <c r="V1510" s="84"/>
      <c r="W1510" s="84"/>
      <c r="X1510" s="84"/>
    </row>
    <row r="1511" ht="15.75" customHeight="1">
      <c r="A1511" s="14" t="s">
        <v>17</v>
      </c>
      <c r="B1511" s="14">
        <v>2006.0</v>
      </c>
      <c r="C1511" s="14" t="s">
        <v>17721</v>
      </c>
      <c r="D1511" s="14" t="s">
        <v>17722</v>
      </c>
      <c r="E1511" s="150" t="str">
        <f t="shared" si="26"/>
        <v>http://dx.doi.org/10.1109/TVCG.2006.154</v>
      </c>
      <c r="F1511" s="14">
        <v>1229.0</v>
      </c>
      <c r="G1511" s="14">
        <v>1236.0</v>
      </c>
      <c r="H1511" s="14" t="s">
        <v>17059</v>
      </c>
      <c r="I1511" s="14" t="s">
        <v>17728</v>
      </c>
      <c r="J1511" s="130" t="s">
        <v>17729</v>
      </c>
      <c r="K1511" s="152" t="s">
        <v>17731</v>
      </c>
      <c r="L1511" s="20" t="s">
        <v>17734</v>
      </c>
      <c r="M1511" s="174" t="s">
        <v>17736</v>
      </c>
      <c r="N1511" s="84"/>
      <c r="O1511" s="84"/>
      <c r="P1511" s="84"/>
      <c r="Q1511" s="84"/>
      <c r="R1511" s="84"/>
      <c r="S1511" s="84"/>
      <c r="T1511" s="84"/>
      <c r="U1511" s="84"/>
      <c r="V1511" s="84"/>
      <c r="W1511" s="84"/>
      <c r="X1511" s="84"/>
    </row>
    <row r="1512" ht="15.75" customHeight="1">
      <c r="A1512" s="14" t="s">
        <v>17</v>
      </c>
      <c r="B1512" s="14">
        <v>2006.0</v>
      </c>
      <c r="C1512" s="14" t="s">
        <v>17737</v>
      </c>
      <c r="D1512" s="14" t="s">
        <v>17738</v>
      </c>
      <c r="E1512" s="150" t="str">
        <f t="shared" si="26"/>
        <v>http://dx.doi.org/10.1109/TVCG.2006.155</v>
      </c>
      <c r="F1512" s="14">
        <v>1149.0</v>
      </c>
      <c r="G1512" s="14">
        <v>1156.0</v>
      </c>
      <c r="H1512" s="14" t="s">
        <v>17059</v>
      </c>
      <c r="I1512" s="14" t="s">
        <v>17741</v>
      </c>
      <c r="J1512" s="130" t="s">
        <v>17742</v>
      </c>
      <c r="K1512" s="152" t="s">
        <v>17743</v>
      </c>
      <c r="L1512" s="20" t="s">
        <v>17745</v>
      </c>
      <c r="M1512" s="174" t="s">
        <v>17747</v>
      </c>
      <c r="N1512" s="84"/>
      <c r="O1512" s="84"/>
      <c r="P1512" s="84"/>
      <c r="Q1512" s="84"/>
      <c r="R1512" s="84"/>
      <c r="S1512" s="84"/>
      <c r="T1512" s="84"/>
      <c r="U1512" s="84"/>
      <c r="V1512" s="84"/>
      <c r="W1512" s="84"/>
      <c r="X1512" s="84"/>
    </row>
    <row r="1513" ht="15.75" customHeight="1">
      <c r="A1513" s="14" t="s">
        <v>17</v>
      </c>
      <c r="B1513" s="14">
        <v>2006.0</v>
      </c>
      <c r="C1513" s="14" t="s">
        <v>17765</v>
      </c>
      <c r="D1513" s="14" t="s">
        <v>17766</v>
      </c>
      <c r="E1513" s="150" t="str">
        <f t="shared" si="26"/>
        <v>http://dx.doi.org/10.1109/TVCG.2006.157</v>
      </c>
      <c r="F1513" s="14">
        <v>1283.0</v>
      </c>
      <c r="G1513" s="14">
        <v>1290.0</v>
      </c>
      <c r="H1513" s="14" t="s">
        <v>17059</v>
      </c>
      <c r="I1513" s="14" t="s">
        <v>17771</v>
      </c>
      <c r="J1513" s="130" t="s">
        <v>17789</v>
      </c>
      <c r="K1513" s="152" t="s">
        <v>17773</v>
      </c>
      <c r="L1513" s="20" t="s">
        <v>17774</v>
      </c>
      <c r="M1513" s="174" t="s">
        <v>17776</v>
      </c>
      <c r="N1513" s="84"/>
      <c r="O1513" s="84"/>
      <c r="P1513" s="84"/>
      <c r="Q1513" s="84"/>
      <c r="R1513" s="84"/>
      <c r="S1513" s="84"/>
      <c r="T1513" s="84"/>
      <c r="U1513" s="84"/>
      <c r="V1513" s="84"/>
      <c r="W1513" s="84"/>
      <c r="X1513" s="84"/>
    </row>
    <row r="1514" ht="15.75" customHeight="1">
      <c r="A1514" s="14" t="s">
        <v>17</v>
      </c>
      <c r="B1514" s="14">
        <v>2006.0</v>
      </c>
      <c r="C1514" s="14" t="s">
        <v>17778</v>
      </c>
      <c r="D1514" s="14" t="s">
        <v>17779</v>
      </c>
      <c r="E1514" s="150" t="str">
        <f t="shared" si="26"/>
        <v>http://dx.doi.org/10.1109/TVCG.2006.158</v>
      </c>
      <c r="F1514" s="14">
        <v>885.0</v>
      </c>
      <c r="G1514" s="14">
        <v>892.0</v>
      </c>
      <c r="H1514" s="14" t="s">
        <v>17059</v>
      </c>
      <c r="I1514" s="14" t="s">
        <v>17781</v>
      </c>
      <c r="J1514" s="130" t="s">
        <v>17782</v>
      </c>
      <c r="K1514" s="152" t="s">
        <v>17783</v>
      </c>
      <c r="L1514" s="20" t="s">
        <v>17784</v>
      </c>
      <c r="M1514" s="174" t="s">
        <v>17785</v>
      </c>
      <c r="N1514" s="84"/>
      <c r="O1514" s="84"/>
      <c r="P1514" s="84"/>
      <c r="Q1514" s="84"/>
      <c r="R1514" s="84"/>
      <c r="S1514" s="84"/>
      <c r="T1514" s="84"/>
      <c r="U1514" s="84"/>
      <c r="V1514" s="84"/>
      <c r="W1514" s="84"/>
      <c r="X1514" s="84"/>
    </row>
    <row r="1515" ht="15.75" customHeight="1">
      <c r="A1515" s="14" t="s">
        <v>17</v>
      </c>
      <c r="B1515" s="14">
        <v>2006.0</v>
      </c>
      <c r="C1515" s="14" t="s">
        <v>17786</v>
      </c>
      <c r="D1515" s="14" t="s">
        <v>17787</v>
      </c>
      <c r="E1515" s="150" t="str">
        <f t="shared" si="26"/>
        <v>http://dx.doi.org/10.1109/TVCG.2006.159</v>
      </c>
      <c r="F1515" s="14">
        <v>1029.0</v>
      </c>
      <c r="G1515" s="14">
        <v>1036.0</v>
      </c>
      <c r="H1515" s="14" t="s">
        <v>17059</v>
      </c>
      <c r="I1515" s="14" t="s">
        <v>17792</v>
      </c>
      <c r="J1515" s="130" t="s">
        <v>17793</v>
      </c>
      <c r="K1515" s="152" t="s">
        <v>17794</v>
      </c>
      <c r="L1515" s="20" t="s">
        <v>17795</v>
      </c>
      <c r="M1515" s="174" t="s">
        <v>17796</v>
      </c>
      <c r="N1515" s="84"/>
      <c r="O1515" s="84"/>
      <c r="P1515" s="84"/>
      <c r="Q1515" s="84"/>
      <c r="R1515" s="84"/>
      <c r="S1515" s="84"/>
      <c r="T1515" s="84"/>
      <c r="U1515" s="84"/>
      <c r="V1515" s="84"/>
      <c r="W1515" s="84"/>
      <c r="X1515" s="84"/>
    </row>
    <row r="1516" ht="15.75" customHeight="1">
      <c r="A1516" s="14" t="s">
        <v>17</v>
      </c>
      <c r="B1516" s="14">
        <v>2006.0</v>
      </c>
      <c r="C1516" s="14" t="s">
        <v>17803</v>
      </c>
      <c r="D1516" s="14" t="s">
        <v>17804</v>
      </c>
      <c r="E1516" s="150" t="str">
        <f t="shared" si="26"/>
        <v>http://dx.doi.org/10.1109/TVCG.2006.162</v>
      </c>
      <c r="F1516" s="14">
        <v>1213.0</v>
      </c>
      <c r="G1516" s="14">
        <v>1220.0</v>
      </c>
      <c r="H1516" s="14" t="s">
        <v>17059</v>
      </c>
      <c r="I1516" s="14" t="s">
        <v>17805</v>
      </c>
      <c r="J1516" s="130" t="s">
        <v>17806</v>
      </c>
      <c r="K1516" s="152" t="s">
        <v>17612</v>
      </c>
      <c r="L1516" s="20" t="s">
        <v>17809</v>
      </c>
      <c r="M1516" s="174" t="s">
        <v>17810</v>
      </c>
      <c r="N1516" s="84"/>
      <c r="O1516" s="84"/>
      <c r="P1516" s="84"/>
      <c r="Q1516" s="84"/>
      <c r="R1516" s="84"/>
      <c r="S1516" s="84"/>
      <c r="T1516" s="84"/>
      <c r="U1516" s="84"/>
      <c r="V1516" s="84"/>
      <c r="W1516" s="84"/>
      <c r="X1516" s="84"/>
    </row>
    <row r="1517" ht="15.75" customHeight="1">
      <c r="A1517" s="14" t="s">
        <v>17</v>
      </c>
      <c r="B1517" s="14">
        <v>2006.0</v>
      </c>
      <c r="C1517" s="14" t="s">
        <v>17811</v>
      </c>
      <c r="D1517" s="14" t="s">
        <v>17812</v>
      </c>
      <c r="E1517" s="150" t="str">
        <f t="shared" si="26"/>
        <v>http://dx.doi.org/10.1109/TVCG.2006.164</v>
      </c>
      <c r="F1517" s="14">
        <v>909.0</v>
      </c>
      <c r="G1517" s="14">
        <v>916.0</v>
      </c>
      <c r="H1517" s="14" t="s">
        <v>17059</v>
      </c>
      <c r="I1517" s="14" t="s">
        <v>17813</v>
      </c>
      <c r="J1517" s="130" t="s">
        <v>17814</v>
      </c>
      <c r="K1517" s="152" t="s">
        <v>17794</v>
      </c>
      <c r="L1517" s="20" t="s">
        <v>17816</v>
      </c>
      <c r="M1517" s="174" t="s">
        <v>17817</v>
      </c>
      <c r="N1517" s="84"/>
      <c r="O1517" s="84"/>
      <c r="P1517" s="84"/>
      <c r="Q1517" s="84"/>
      <c r="R1517" s="84"/>
      <c r="S1517" s="84"/>
      <c r="T1517" s="84"/>
      <c r="U1517" s="84"/>
      <c r="V1517" s="84"/>
      <c r="W1517" s="84"/>
      <c r="X1517" s="84"/>
    </row>
    <row r="1518" ht="15.75" customHeight="1">
      <c r="A1518" s="14" t="s">
        <v>17</v>
      </c>
      <c r="B1518" s="14">
        <v>2006.0</v>
      </c>
      <c r="C1518" s="14" t="s">
        <v>17819</v>
      </c>
      <c r="D1518" s="14" t="s">
        <v>17820</v>
      </c>
      <c r="E1518" s="150" t="str">
        <f t="shared" si="26"/>
        <v>http://dx.doi.org/10.1109/TVCG.2006.165</v>
      </c>
      <c r="F1518" s="14">
        <v>917.0</v>
      </c>
      <c r="G1518" s="14">
        <v>924.0</v>
      </c>
      <c r="H1518" s="14" t="s">
        <v>17059</v>
      </c>
      <c r="I1518" s="14" t="s">
        <v>17822</v>
      </c>
      <c r="J1518" s="130" t="s">
        <v>17823</v>
      </c>
      <c r="K1518" s="152" t="s">
        <v>17883</v>
      </c>
      <c r="L1518" s="20" t="s">
        <v>17825</v>
      </c>
      <c r="M1518" s="174" t="s">
        <v>17826</v>
      </c>
      <c r="N1518" s="84"/>
      <c r="O1518" s="84"/>
      <c r="P1518" s="84"/>
      <c r="Q1518" s="84"/>
      <c r="R1518" s="84"/>
      <c r="S1518" s="84"/>
      <c r="T1518" s="84"/>
      <c r="U1518" s="84"/>
      <c r="V1518" s="84"/>
      <c r="W1518" s="84"/>
      <c r="X1518" s="84"/>
    </row>
    <row r="1519" ht="15.75" customHeight="1">
      <c r="A1519" s="14" t="s">
        <v>17</v>
      </c>
      <c r="B1519" s="14">
        <v>2006.0</v>
      </c>
      <c r="C1519" s="14" t="s">
        <v>17827</v>
      </c>
      <c r="D1519" s="14" t="s">
        <v>17828</v>
      </c>
      <c r="E1519" s="150" t="str">
        <f t="shared" si="26"/>
        <v>http://dx.doi.org/10.1109/TVCG.2006.167</v>
      </c>
      <c r="F1519" s="14">
        <v>1141.0</v>
      </c>
      <c r="G1519" s="14">
        <v>1148.0</v>
      </c>
      <c r="H1519" s="14" t="s">
        <v>17059</v>
      </c>
      <c r="I1519" s="14" t="s">
        <v>17829</v>
      </c>
      <c r="J1519" s="130" t="s">
        <v>17830</v>
      </c>
      <c r="K1519" s="152" t="s">
        <v>17886</v>
      </c>
      <c r="L1519" s="20" t="s">
        <v>17832</v>
      </c>
      <c r="M1519" s="174" t="s">
        <v>17833</v>
      </c>
      <c r="N1519" s="84"/>
      <c r="O1519" s="84"/>
      <c r="P1519" s="84"/>
      <c r="Q1519" s="84"/>
      <c r="R1519" s="84"/>
      <c r="S1519" s="84"/>
      <c r="T1519" s="84"/>
      <c r="U1519" s="84"/>
      <c r="V1519" s="84"/>
      <c r="W1519" s="84"/>
      <c r="X1519" s="84"/>
    </row>
    <row r="1520" ht="15.75" customHeight="1">
      <c r="A1520" s="14" t="s">
        <v>17</v>
      </c>
      <c r="B1520" s="14">
        <v>2006.0</v>
      </c>
      <c r="C1520" s="14" t="s">
        <v>17834</v>
      </c>
      <c r="D1520" s="14" t="s">
        <v>17835</v>
      </c>
      <c r="E1520" s="150" t="str">
        <f t="shared" si="26"/>
        <v>http://dx.doi.org/10.1109/TVCG.2006.168</v>
      </c>
      <c r="F1520" s="14">
        <v>1259.0</v>
      </c>
      <c r="G1520" s="14">
        <v>1266.0</v>
      </c>
      <c r="H1520" s="14" t="s">
        <v>17059</v>
      </c>
      <c r="I1520" s="14" t="s">
        <v>17837</v>
      </c>
      <c r="J1520" s="130" t="s">
        <v>41614</v>
      </c>
      <c r="K1520" s="152" t="s">
        <v>17888</v>
      </c>
      <c r="L1520" s="20" t="s">
        <v>17842</v>
      </c>
      <c r="M1520" s="174" t="s">
        <v>17843</v>
      </c>
      <c r="N1520" s="84"/>
      <c r="O1520" s="84"/>
      <c r="P1520" s="84"/>
      <c r="Q1520" s="84"/>
      <c r="R1520" s="84"/>
      <c r="S1520" s="84"/>
      <c r="T1520" s="84"/>
      <c r="U1520" s="84"/>
      <c r="V1520" s="84"/>
      <c r="W1520" s="84"/>
      <c r="X1520" s="84"/>
    </row>
    <row r="1521" ht="15.75" customHeight="1">
      <c r="A1521" s="14" t="s">
        <v>17</v>
      </c>
      <c r="B1521" s="14">
        <v>2006.0</v>
      </c>
      <c r="C1521" s="14" t="s">
        <v>17844</v>
      </c>
      <c r="D1521" s="14" t="s">
        <v>17845</v>
      </c>
      <c r="E1521" s="150" t="str">
        <f t="shared" si="26"/>
        <v>http://dx.doi.org/10.1109/TVCG.2006.169</v>
      </c>
      <c r="F1521" s="14">
        <v>1221.0</v>
      </c>
      <c r="G1521" s="14">
        <v>1228.0</v>
      </c>
      <c r="H1521" s="14" t="s">
        <v>17059</v>
      </c>
      <c r="I1521" s="14" t="s">
        <v>17846</v>
      </c>
      <c r="J1521" s="130" t="s">
        <v>17847</v>
      </c>
      <c r="K1521" s="152" t="s">
        <v>17890</v>
      </c>
      <c r="L1521" s="20" t="s">
        <v>17849</v>
      </c>
      <c r="M1521" s="174" t="s">
        <v>17850</v>
      </c>
      <c r="N1521" s="84"/>
      <c r="O1521" s="84"/>
      <c r="P1521" s="84"/>
      <c r="Q1521" s="84"/>
      <c r="R1521" s="84"/>
      <c r="S1521" s="84"/>
      <c r="T1521" s="84"/>
      <c r="U1521" s="84"/>
      <c r="V1521" s="84"/>
      <c r="W1521" s="84"/>
      <c r="X1521" s="84"/>
    </row>
    <row r="1522" ht="15.75" customHeight="1">
      <c r="A1522" s="14" t="s">
        <v>17</v>
      </c>
      <c r="B1522" s="14">
        <v>2006.0</v>
      </c>
      <c r="C1522" s="14" t="s">
        <v>17851</v>
      </c>
      <c r="D1522" s="14" t="s">
        <v>17852</v>
      </c>
      <c r="E1522" s="150" t="str">
        <f t="shared" si="26"/>
        <v>http://dx.doi.org/10.1109/TVCG.2006.170</v>
      </c>
      <c r="F1522" s="14">
        <v>893.0</v>
      </c>
      <c r="G1522" s="14">
        <v>900.0</v>
      </c>
      <c r="H1522" s="14" t="s">
        <v>17059</v>
      </c>
      <c r="I1522" s="14" t="s">
        <v>17853</v>
      </c>
      <c r="J1522" s="130" t="s">
        <v>17854</v>
      </c>
      <c r="K1522" s="152" t="s">
        <v>17892</v>
      </c>
      <c r="L1522" s="20" t="s">
        <v>17856</v>
      </c>
      <c r="M1522" s="174" t="s">
        <v>17858</v>
      </c>
      <c r="N1522" s="84"/>
      <c r="O1522" s="84"/>
      <c r="P1522" s="84"/>
      <c r="Q1522" s="84"/>
      <c r="R1522" s="84"/>
      <c r="S1522" s="84"/>
      <c r="T1522" s="84"/>
      <c r="U1522" s="84"/>
      <c r="V1522" s="84"/>
      <c r="W1522" s="84"/>
      <c r="X1522" s="84"/>
    </row>
    <row r="1523" ht="15.75" customHeight="1">
      <c r="A1523" s="14" t="s">
        <v>17</v>
      </c>
      <c r="B1523" s="14">
        <v>2006.0</v>
      </c>
      <c r="C1523" s="14" t="s">
        <v>17859</v>
      </c>
      <c r="D1523" s="14" t="s">
        <v>17860</v>
      </c>
      <c r="E1523" s="150" t="str">
        <f t="shared" si="26"/>
        <v>http://dx.doi.org/10.1109/TVCG.2006.171</v>
      </c>
      <c r="F1523" s="14">
        <v>1307.0</v>
      </c>
      <c r="G1523" s="14">
        <v>1314.0</v>
      </c>
      <c r="H1523" s="14" t="s">
        <v>17059</v>
      </c>
      <c r="I1523" s="14" t="s">
        <v>17861</v>
      </c>
      <c r="J1523" s="130" t="s">
        <v>17862</v>
      </c>
      <c r="K1523" s="152" t="s">
        <v>17895</v>
      </c>
      <c r="L1523" s="20" t="s">
        <v>17865</v>
      </c>
      <c r="M1523" s="174" t="s">
        <v>17866</v>
      </c>
      <c r="N1523" s="84"/>
      <c r="O1523" s="84"/>
      <c r="P1523" s="84"/>
      <c r="Q1523" s="84"/>
      <c r="R1523" s="84"/>
      <c r="S1523" s="84"/>
      <c r="T1523" s="84"/>
      <c r="U1523" s="84"/>
      <c r="V1523" s="84"/>
      <c r="W1523" s="84"/>
      <c r="X1523" s="84"/>
    </row>
    <row r="1524" ht="15.75" customHeight="1">
      <c r="A1524" s="14" t="s">
        <v>17</v>
      </c>
      <c r="B1524" s="14">
        <v>2006.0</v>
      </c>
      <c r="C1524" s="14" t="s">
        <v>17867</v>
      </c>
      <c r="D1524" s="14" t="s">
        <v>17868</v>
      </c>
      <c r="E1524" s="150" t="str">
        <f t="shared" si="26"/>
        <v>http://dx.doi.org/10.1109/TVCG.2006.172</v>
      </c>
      <c r="F1524" s="14">
        <v>877.0</v>
      </c>
      <c r="G1524" s="14">
        <v>884.0</v>
      </c>
      <c r="H1524" s="14" t="s">
        <v>17059</v>
      </c>
      <c r="I1524" s="14" t="s">
        <v>17870</v>
      </c>
      <c r="J1524" s="130" t="s">
        <v>17871</v>
      </c>
      <c r="K1524" s="152" t="s">
        <v>17897</v>
      </c>
      <c r="L1524" s="20" t="s">
        <v>17873</v>
      </c>
      <c r="M1524" s="174" t="s">
        <v>17874</v>
      </c>
      <c r="N1524" s="84"/>
      <c r="O1524" s="84"/>
      <c r="P1524" s="84"/>
      <c r="Q1524" s="84"/>
      <c r="R1524" s="84"/>
      <c r="S1524" s="84"/>
      <c r="T1524" s="84"/>
      <c r="U1524" s="84"/>
      <c r="V1524" s="84"/>
      <c r="W1524" s="84"/>
      <c r="X1524" s="84"/>
    </row>
    <row r="1525" ht="15.75" customHeight="1">
      <c r="A1525" s="14" t="s">
        <v>17</v>
      </c>
      <c r="B1525" s="14">
        <v>2006.0</v>
      </c>
      <c r="C1525" s="14" t="s">
        <v>17875</v>
      </c>
      <c r="D1525" s="14" t="s">
        <v>17876</v>
      </c>
      <c r="E1525" s="150" t="str">
        <f t="shared" si="26"/>
        <v>http://dx.doi.org/10.1109/TVCG.2006.173</v>
      </c>
      <c r="F1525" s="14">
        <v>1315.0</v>
      </c>
      <c r="G1525" s="14">
        <v>1322.0</v>
      </c>
      <c r="H1525" s="14" t="s">
        <v>17059</v>
      </c>
      <c r="I1525" s="14" t="s">
        <v>17877</v>
      </c>
      <c r="J1525" s="130" t="s">
        <v>17878</v>
      </c>
      <c r="K1525" s="152" t="s">
        <v>17900</v>
      </c>
      <c r="L1525" s="20" t="s">
        <v>17880</v>
      </c>
      <c r="M1525" s="174" t="s">
        <v>17881</v>
      </c>
      <c r="N1525" s="84"/>
      <c r="O1525" s="84"/>
      <c r="P1525" s="84"/>
      <c r="Q1525" s="84"/>
      <c r="R1525" s="84"/>
      <c r="S1525" s="84"/>
      <c r="T1525" s="84"/>
      <c r="U1525" s="84"/>
      <c r="V1525" s="84"/>
      <c r="W1525" s="84"/>
      <c r="X1525" s="84"/>
    </row>
    <row r="1526" ht="15.75" customHeight="1">
      <c r="A1526" s="14" t="s">
        <v>17</v>
      </c>
      <c r="B1526" s="14">
        <v>2006.0</v>
      </c>
      <c r="C1526" s="14" t="s">
        <v>17901</v>
      </c>
      <c r="D1526" s="14" t="s">
        <v>17902</v>
      </c>
      <c r="E1526" s="150" t="str">
        <f t="shared" si="26"/>
        <v>http://dx.doi.org/10.1109/TVCG.2006.174</v>
      </c>
      <c r="F1526" s="14">
        <v>925.0</v>
      </c>
      <c r="G1526" s="14">
        <v>932.0</v>
      </c>
      <c r="H1526" s="14" t="s">
        <v>17059</v>
      </c>
      <c r="I1526" s="14" t="s">
        <v>17904</v>
      </c>
      <c r="J1526" s="130" t="s">
        <v>17905</v>
      </c>
      <c r="K1526" s="152" t="s">
        <v>17906</v>
      </c>
      <c r="L1526" s="20" t="s">
        <v>17907</v>
      </c>
      <c r="M1526" s="174" t="s">
        <v>17908</v>
      </c>
      <c r="N1526" s="84"/>
      <c r="O1526" s="84"/>
      <c r="P1526" s="84"/>
      <c r="Q1526" s="84"/>
      <c r="R1526" s="84"/>
      <c r="S1526" s="84"/>
      <c r="T1526" s="84"/>
      <c r="U1526" s="84"/>
      <c r="V1526" s="84"/>
      <c r="W1526" s="84"/>
      <c r="X1526" s="84"/>
    </row>
    <row r="1527" ht="15.75" customHeight="1">
      <c r="A1527" s="14" t="s">
        <v>17</v>
      </c>
      <c r="B1527" s="14">
        <v>2006.0</v>
      </c>
      <c r="C1527" s="14" t="s">
        <v>17909</v>
      </c>
      <c r="D1527" s="14" t="s">
        <v>17910</v>
      </c>
      <c r="E1527" s="150" t="str">
        <f t="shared" si="26"/>
        <v>http://dx.doi.org/10.1109/TVCG.2006.175</v>
      </c>
      <c r="F1527" s="14">
        <v>1291.0</v>
      </c>
      <c r="G1527" s="14">
        <v>1298.0</v>
      </c>
      <c r="H1527" s="14" t="s">
        <v>17059</v>
      </c>
      <c r="I1527" s="14" t="s">
        <v>17912</v>
      </c>
      <c r="J1527" s="130" t="s">
        <v>17994</v>
      </c>
      <c r="K1527" s="152" t="s">
        <v>17914</v>
      </c>
      <c r="L1527" s="20" t="s">
        <v>17915</v>
      </c>
      <c r="M1527" s="174" t="s">
        <v>17916</v>
      </c>
      <c r="N1527" s="84"/>
      <c r="O1527" s="84"/>
      <c r="P1527" s="84"/>
      <c r="Q1527" s="84"/>
      <c r="R1527" s="84"/>
      <c r="S1527" s="84"/>
      <c r="T1527" s="84"/>
      <c r="U1527" s="84"/>
      <c r="V1527" s="84"/>
      <c r="W1527" s="84"/>
      <c r="X1527" s="84"/>
    </row>
    <row r="1528" ht="15.75" customHeight="1">
      <c r="A1528" s="14" t="s">
        <v>17</v>
      </c>
      <c r="B1528" s="14">
        <v>2006.0</v>
      </c>
      <c r="C1528" s="14" t="s">
        <v>17917</v>
      </c>
      <c r="D1528" s="14" t="s">
        <v>17918</v>
      </c>
      <c r="E1528" s="150" t="str">
        <f t="shared" si="26"/>
        <v>http://dx.doi.org/10.1109/TVCG.2006.176</v>
      </c>
      <c r="F1528" s="14">
        <v>1005.0</v>
      </c>
      <c r="G1528" s="14">
        <v>1012.0</v>
      </c>
      <c r="H1528" s="14" t="s">
        <v>17059</v>
      </c>
      <c r="I1528" s="14" t="s">
        <v>17920</v>
      </c>
      <c r="J1528" s="130" t="s">
        <v>17921</v>
      </c>
      <c r="K1528" s="152" t="s">
        <v>17922</v>
      </c>
      <c r="L1528" s="20"/>
      <c r="M1528" s="174" t="s">
        <v>17923</v>
      </c>
      <c r="N1528" s="84"/>
      <c r="O1528" s="84"/>
      <c r="P1528" s="84"/>
      <c r="Q1528" s="84"/>
      <c r="R1528" s="84"/>
      <c r="S1528" s="84"/>
      <c r="T1528" s="84"/>
      <c r="U1528" s="84"/>
      <c r="V1528" s="84"/>
      <c r="W1528" s="84"/>
      <c r="X1528" s="84"/>
    </row>
    <row r="1529" ht="15.75" customHeight="1">
      <c r="A1529" s="14" t="s">
        <v>17</v>
      </c>
      <c r="B1529" s="14">
        <v>2006.0</v>
      </c>
      <c r="C1529" s="14" t="s">
        <v>17929</v>
      </c>
      <c r="D1529" s="14" t="s">
        <v>17930</v>
      </c>
      <c r="E1529" s="150" t="str">
        <f t="shared" si="26"/>
        <v>http://dx.doi.org/10.1109/TVCG.2006.180</v>
      </c>
      <c r="F1529" s="14">
        <v>1133.0</v>
      </c>
      <c r="G1529" s="14">
        <v>1140.0</v>
      </c>
      <c r="H1529" s="14" t="s">
        <v>17059</v>
      </c>
      <c r="I1529" s="14" t="s">
        <v>17932</v>
      </c>
      <c r="J1529" s="130" t="s">
        <v>17933</v>
      </c>
      <c r="K1529" s="152" t="s">
        <v>17934</v>
      </c>
      <c r="L1529" s="20" t="s">
        <v>17935</v>
      </c>
      <c r="M1529" s="174" t="s">
        <v>17936</v>
      </c>
      <c r="N1529" s="84"/>
      <c r="O1529" s="84"/>
      <c r="P1529" s="84"/>
      <c r="Q1529" s="84"/>
      <c r="R1529" s="84"/>
      <c r="S1529" s="84"/>
      <c r="T1529" s="84"/>
      <c r="U1529" s="84"/>
      <c r="V1529" s="84"/>
      <c r="W1529" s="84"/>
      <c r="X1529" s="84"/>
    </row>
    <row r="1530" ht="15.75" customHeight="1">
      <c r="A1530" s="14" t="s">
        <v>17</v>
      </c>
      <c r="B1530" s="14">
        <v>2006.0</v>
      </c>
      <c r="C1530" s="14" t="s">
        <v>17937</v>
      </c>
      <c r="D1530" s="14" t="s">
        <v>17938</v>
      </c>
      <c r="E1530" s="150" t="str">
        <f t="shared" si="26"/>
        <v>http://dx.doi.org/10.1109/TVCG.2006.181</v>
      </c>
      <c r="F1530" s="14">
        <v>1197.0</v>
      </c>
      <c r="G1530" s="14">
        <v>1204.0</v>
      </c>
      <c r="H1530" s="14" t="s">
        <v>17059</v>
      </c>
      <c r="I1530" s="14" t="s">
        <v>17940</v>
      </c>
      <c r="J1530" s="130" t="s">
        <v>17941</v>
      </c>
      <c r="K1530" s="152" t="s">
        <v>17942</v>
      </c>
      <c r="L1530" s="20" t="s">
        <v>17943</v>
      </c>
      <c r="M1530" s="174" t="s">
        <v>17944</v>
      </c>
      <c r="N1530" s="84"/>
      <c r="O1530" s="84"/>
      <c r="P1530" s="84"/>
      <c r="Q1530" s="84"/>
      <c r="R1530" s="84"/>
      <c r="S1530" s="84"/>
      <c r="T1530" s="84"/>
      <c r="U1530" s="84"/>
      <c r="V1530" s="84"/>
      <c r="W1530" s="84"/>
      <c r="X1530" s="84"/>
    </row>
    <row r="1531" ht="15.75" customHeight="1">
      <c r="A1531" s="14" t="s">
        <v>17</v>
      </c>
      <c r="B1531" s="14">
        <v>2006.0</v>
      </c>
      <c r="C1531" s="14" t="s">
        <v>17945</v>
      </c>
      <c r="D1531" s="14" t="s">
        <v>17946</v>
      </c>
      <c r="E1531" s="150" t="str">
        <f t="shared" si="26"/>
        <v>http://dx.doi.org/10.1109/TVCG.2006.182</v>
      </c>
      <c r="F1531" s="14">
        <v>1323.0</v>
      </c>
      <c r="G1531" s="14">
        <v>1328.0</v>
      </c>
      <c r="H1531" s="14" t="s">
        <v>17059</v>
      </c>
      <c r="I1531" s="14" t="s">
        <v>17948</v>
      </c>
      <c r="J1531" s="130" t="s">
        <v>17949</v>
      </c>
      <c r="K1531" s="152" t="s">
        <v>880</v>
      </c>
      <c r="L1531" s="20" t="s">
        <v>17950</v>
      </c>
      <c r="M1531" s="174" t="s">
        <v>17951</v>
      </c>
      <c r="N1531" s="84"/>
      <c r="O1531" s="84"/>
      <c r="P1531" s="84"/>
      <c r="Q1531" s="84"/>
      <c r="R1531" s="84"/>
      <c r="S1531" s="84"/>
      <c r="T1531" s="84"/>
      <c r="U1531" s="84"/>
      <c r="V1531" s="84"/>
      <c r="W1531" s="84"/>
      <c r="X1531" s="84"/>
    </row>
    <row r="1532" ht="15.75" customHeight="1">
      <c r="A1532" s="14" t="s">
        <v>17</v>
      </c>
      <c r="B1532" s="14">
        <v>2006.0</v>
      </c>
      <c r="C1532" s="14" t="s">
        <v>17952</v>
      </c>
      <c r="D1532" s="14" t="s">
        <v>17953</v>
      </c>
      <c r="E1532" s="150" t="str">
        <f t="shared" si="26"/>
        <v>http://dx.doi.org/10.1109/TVCG.2006.183</v>
      </c>
      <c r="F1532" s="14">
        <v>1125.0</v>
      </c>
      <c r="G1532" s="14">
        <v>1132.0</v>
      </c>
      <c r="H1532" s="14" t="s">
        <v>17059</v>
      </c>
      <c r="I1532" s="14" t="s">
        <v>17955</v>
      </c>
      <c r="J1532" s="130" t="s">
        <v>17956</v>
      </c>
      <c r="K1532" s="152" t="s">
        <v>17957</v>
      </c>
      <c r="L1532" s="20" t="s">
        <v>17958</v>
      </c>
      <c r="M1532" s="174" t="s">
        <v>17959</v>
      </c>
      <c r="N1532" s="84"/>
      <c r="O1532" s="84"/>
      <c r="P1532" s="84"/>
      <c r="Q1532" s="84"/>
      <c r="R1532" s="84"/>
      <c r="S1532" s="84"/>
      <c r="T1532" s="84"/>
      <c r="U1532" s="84"/>
      <c r="V1532" s="84"/>
      <c r="W1532" s="84"/>
      <c r="X1532" s="84"/>
    </row>
    <row r="1533" ht="15.75" customHeight="1">
      <c r="A1533" s="14" t="s">
        <v>17</v>
      </c>
      <c r="B1533" s="14">
        <v>2006.0</v>
      </c>
      <c r="C1533" s="14" t="s">
        <v>17964</v>
      </c>
      <c r="D1533" s="14" t="s">
        <v>17965</v>
      </c>
      <c r="E1533" s="150" t="str">
        <f t="shared" si="26"/>
        <v>http://dx.doi.org/10.1109/TVCG.2006.186</v>
      </c>
      <c r="F1533" s="14">
        <v>1053.0</v>
      </c>
      <c r="G1533" s="14">
        <v>1060.0</v>
      </c>
      <c r="H1533" s="14" t="s">
        <v>17059</v>
      </c>
      <c r="I1533" s="14" t="s">
        <v>17967</v>
      </c>
      <c r="J1533" s="130" t="s">
        <v>17968</v>
      </c>
      <c r="K1533" s="152" t="s">
        <v>17969</v>
      </c>
      <c r="L1533" s="20" t="s">
        <v>17970</v>
      </c>
      <c r="M1533" s="174" t="s">
        <v>17971</v>
      </c>
      <c r="N1533" s="84"/>
      <c r="O1533" s="84"/>
      <c r="P1533" s="84"/>
      <c r="Q1533" s="84"/>
      <c r="R1533" s="84"/>
      <c r="S1533" s="84"/>
      <c r="T1533" s="84"/>
      <c r="U1533" s="84"/>
      <c r="V1533" s="84"/>
      <c r="W1533" s="84"/>
      <c r="X1533" s="84"/>
    </row>
    <row r="1534" ht="15.75" customHeight="1">
      <c r="A1534" s="14" t="s">
        <v>17</v>
      </c>
      <c r="B1534" s="14">
        <v>2006.0</v>
      </c>
      <c r="C1534" s="14" t="s">
        <v>17975</v>
      </c>
      <c r="D1534" s="14" t="s">
        <v>17976</v>
      </c>
      <c r="E1534" s="150" t="str">
        <f t="shared" si="26"/>
        <v>http://dx.doi.org/10.1109/TVCG.2006.188</v>
      </c>
      <c r="F1534" s="14">
        <v>1275.0</v>
      </c>
      <c r="G1534" s="14">
        <v>1282.0</v>
      </c>
      <c r="H1534" s="14" t="s">
        <v>17059</v>
      </c>
      <c r="I1534" s="14" t="s">
        <v>17978</v>
      </c>
      <c r="J1534" s="130" t="s">
        <v>17979</v>
      </c>
      <c r="K1534" s="152" t="s">
        <v>17980</v>
      </c>
      <c r="L1534" s="20" t="s">
        <v>17981</v>
      </c>
      <c r="M1534" s="174" t="s">
        <v>17982</v>
      </c>
      <c r="N1534" s="84"/>
      <c r="O1534" s="84"/>
      <c r="P1534" s="84"/>
      <c r="Q1534" s="84"/>
      <c r="R1534" s="84"/>
      <c r="S1534" s="84"/>
      <c r="T1534" s="84"/>
      <c r="U1534" s="84"/>
      <c r="V1534" s="84"/>
      <c r="W1534" s="84"/>
      <c r="X1534" s="84"/>
    </row>
    <row r="1535" ht="15.75" customHeight="1">
      <c r="A1535" s="14" t="s">
        <v>17</v>
      </c>
      <c r="B1535" s="14">
        <v>2006.0</v>
      </c>
      <c r="C1535" s="14" t="s">
        <v>17983</v>
      </c>
      <c r="D1535" s="14" t="s">
        <v>17984</v>
      </c>
      <c r="E1535" s="150" t="str">
        <f t="shared" si="26"/>
        <v>http://dx.doi.org/10.1109/TVCG.2006.189</v>
      </c>
      <c r="F1535" s="14">
        <v>1013.0</v>
      </c>
      <c r="G1535" s="14">
        <v>1020.0</v>
      </c>
      <c r="H1535" s="14" t="s">
        <v>17059</v>
      </c>
      <c r="I1535" s="14" t="s">
        <v>17986</v>
      </c>
      <c r="J1535" s="130" t="s">
        <v>18036</v>
      </c>
      <c r="K1535" s="152" t="s">
        <v>17988</v>
      </c>
      <c r="L1535" s="20" t="s">
        <v>17989</v>
      </c>
      <c r="M1535" s="174" t="s">
        <v>17990</v>
      </c>
      <c r="N1535" s="84"/>
      <c r="O1535" s="84"/>
      <c r="P1535" s="84"/>
      <c r="Q1535" s="84"/>
      <c r="R1535" s="84"/>
      <c r="S1535" s="84"/>
      <c r="T1535" s="84"/>
      <c r="U1535" s="84"/>
      <c r="V1535" s="84"/>
      <c r="W1535" s="84"/>
      <c r="X1535" s="84"/>
    </row>
    <row r="1536" ht="15.75" customHeight="1">
      <c r="A1536" s="14" t="s">
        <v>17</v>
      </c>
      <c r="B1536" s="14">
        <v>2006.0</v>
      </c>
      <c r="C1536" s="14" t="s">
        <v>18000</v>
      </c>
      <c r="D1536" s="14" t="s">
        <v>18001</v>
      </c>
      <c r="E1536" s="150" t="str">
        <f t="shared" si="26"/>
        <v>http://dx.doi.org/10.1109/TVCG.2006.194</v>
      </c>
      <c r="F1536" s="14">
        <v>1093.0</v>
      </c>
      <c r="G1536" s="14">
        <v>1100.0</v>
      </c>
      <c r="H1536" s="14" t="s">
        <v>17059</v>
      </c>
      <c r="I1536" s="14" t="s">
        <v>18004</v>
      </c>
      <c r="J1536" s="130" t="s">
        <v>18005</v>
      </c>
      <c r="K1536" s="152" t="s">
        <v>18006</v>
      </c>
      <c r="L1536" s="20" t="s">
        <v>18007</v>
      </c>
      <c r="M1536" s="174" t="s">
        <v>18008</v>
      </c>
      <c r="N1536" s="84"/>
      <c r="O1536" s="84"/>
      <c r="P1536" s="84"/>
      <c r="Q1536" s="84"/>
      <c r="R1536" s="84"/>
      <c r="S1536" s="84"/>
      <c r="T1536" s="84"/>
      <c r="U1536" s="84"/>
      <c r="V1536" s="84"/>
      <c r="W1536" s="84"/>
      <c r="X1536" s="84"/>
    </row>
    <row r="1537" ht="15.75" customHeight="1">
      <c r="A1537" s="14" t="s">
        <v>17</v>
      </c>
      <c r="B1537" s="14">
        <v>2006.0</v>
      </c>
      <c r="C1537" s="14" t="s">
        <v>18009</v>
      </c>
      <c r="D1537" s="14" t="s">
        <v>18010</v>
      </c>
      <c r="E1537" s="150" t="str">
        <f t="shared" si="26"/>
        <v>http://dx.doi.org/10.1109/TVCG.2006.195</v>
      </c>
      <c r="F1537" s="14">
        <v>1251.0</v>
      </c>
      <c r="G1537" s="14">
        <v>1258.0</v>
      </c>
      <c r="H1537" s="14" t="s">
        <v>17059</v>
      </c>
      <c r="I1537" s="14" t="s">
        <v>18014</v>
      </c>
      <c r="J1537" s="130" t="s">
        <v>18015</v>
      </c>
      <c r="K1537" s="152" t="s">
        <v>18016</v>
      </c>
      <c r="L1537" s="20" t="s">
        <v>18017</v>
      </c>
      <c r="M1537" s="174" t="s">
        <v>18019</v>
      </c>
      <c r="N1537" s="84"/>
      <c r="O1537" s="84"/>
      <c r="P1537" s="84"/>
      <c r="Q1537" s="84"/>
      <c r="R1537" s="84"/>
      <c r="S1537" s="84"/>
      <c r="T1537" s="84"/>
      <c r="U1537" s="84"/>
      <c r="V1537" s="84"/>
      <c r="W1537" s="84"/>
      <c r="X1537" s="84"/>
    </row>
    <row r="1538" ht="15.75" customHeight="1">
      <c r="A1538" s="14" t="s">
        <v>17</v>
      </c>
      <c r="B1538" s="14">
        <v>2006.0</v>
      </c>
      <c r="C1538" s="14" t="s">
        <v>18023</v>
      </c>
      <c r="D1538" s="14" t="s">
        <v>18024</v>
      </c>
      <c r="E1538" s="150" t="str">
        <f t="shared" si="26"/>
        <v>http://dx.doi.org/10.1109/TVCG.2006.197</v>
      </c>
      <c r="F1538" s="14">
        <v>1165.0</v>
      </c>
      <c r="G1538" s="14">
        <v>1172.0</v>
      </c>
      <c r="H1538" s="14" t="s">
        <v>17059</v>
      </c>
      <c r="I1538" s="14" t="s">
        <v>18026</v>
      </c>
      <c r="J1538" s="130" t="s">
        <v>18027</v>
      </c>
      <c r="K1538" s="152" t="s">
        <v>18028</v>
      </c>
      <c r="L1538" s="20" t="s">
        <v>18030</v>
      </c>
      <c r="M1538" s="174" t="s">
        <v>18031</v>
      </c>
      <c r="N1538" s="84"/>
      <c r="O1538" s="84"/>
      <c r="P1538" s="84"/>
      <c r="Q1538" s="84"/>
      <c r="R1538" s="84"/>
      <c r="S1538" s="84"/>
      <c r="T1538" s="84"/>
      <c r="U1538" s="84"/>
      <c r="V1538" s="84"/>
      <c r="W1538" s="84"/>
      <c r="X1538" s="84"/>
    </row>
    <row r="1539" ht="15.75" customHeight="1">
      <c r="A1539" s="14" t="s">
        <v>17</v>
      </c>
      <c r="B1539" s="14">
        <v>2006.0</v>
      </c>
      <c r="C1539" s="14" t="s">
        <v>18038</v>
      </c>
      <c r="D1539" s="14" t="s">
        <v>18039</v>
      </c>
      <c r="E1539" s="150" t="str">
        <f t="shared" si="26"/>
        <v>http://dx.doi.org/10.1109/TVCG.2006.199</v>
      </c>
      <c r="F1539" s="14">
        <v>949.0</v>
      </c>
      <c r="G1539" s="14">
        <v>956.0</v>
      </c>
      <c r="H1539" s="14" t="s">
        <v>17059</v>
      </c>
      <c r="I1539" s="14" t="s">
        <v>18042</v>
      </c>
      <c r="J1539" s="130" t="s">
        <v>18043</v>
      </c>
      <c r="K1539" s="152" t="s">
        <v>18044</v>
      </c>
      <c r="L1539" s="20" t="s">
        <v>18045</v>
      </c>
      <c r="M1539" s="174" t="s">
        <v>18046</v>
      </c>
      <c r="N1539" s="84"/>
      <c r="O1539" s="84"/>
      <c r="P1539" s="84"/>
      <c r="Q1539" s="84"/>
      <c r="R1539" s="84"/>
      <c r="S1539" s="84"/>
      <c r="T1539" s="84"/>
      <c r="U1539" s="84"/>
      <c r="V1539" s="84"/>
      <c r="W1539" s="84"/>
      <c r="X1539" s="84"/>
    </row>
    <row r="1540" ht="15.75" customHeight="1">
      <c r="A1540" s="14" t="s">
        <v>17</v>
      </c>
      <c r="B1540" s="14">
        <v>2006.0</v>
      </c>
      <c r="C1540" s="14" t="s">
        <v>18052</v>
      </c>
      <c r="D1540" s="14" t="s">
        <v>18053</v>
      </c>
      <c r="E1540" s="150" t="str">
        <f t="shared" si="26"/>
        <v>http://dx.doi.org/10.1109/TVCG.2006.201</v>
      </c>
      <c r="F1540" s="14">
        <v>957.0</v>
      </c>
      <c r="G1540" s="14">
        <v>964.0</v>
      </c>
      <c r="H1540" s="14" t="s">
        <v>17059</v>
      </c>
      <c r="I1540" s="14" t="s">
        <v>18056</v>
      </c>
      <c r="J1540" s="130" t="s">
        <v>18057</v>
      </c>
      <c r="K1540" s="152" t="s">
        <v>18058</v>
      </c>
      <c r="L1540" s="20" t="s">
        <v>18060</v>
      </c>
      <c r="M1540" s="174" t="s">
        <v>18061</v>
      </c>
      <c r="N1540" s="84"/>
      <c r="O1540" s="84"/>
      <c r="P1540" s="84"/>
      <c r="Q1540" s="84"/>
      <c r="R1540" s="84"/>
      <c r="S1540" s="84"/>
      <c r="T1540" s="84"/>
      <c r="U1540" s="84"/>
      <c r="V1540" s="84"/>
      <c r="W1540" s="84"/>
      <c r="X1540" s="84"/>
    </row>
    <row r="1541" ht="15.75" customHeight="1">
      <c r="A1541" s="14" t="s">
        <v>2137</v>
      </c>
      <c r="B1541" s="14">
        <v>2007.0</v>
      </c>
      <c r="C1541" s="14" t="s">
        <v>18065</v>
      </c>
      <c r="D1541" s="14" t="s">
        <v>18066</v>
      </c>
      <c r="E1541" s="150" t="str">
        <f t="shared" si="26"/>
        <v>http://dx.doi.org/10.1109/TVCG.2007.70515</v>
      </c>
      <c r="F1541" s="14">
        <v>1224.0</v>
      </c>
      <c r="G1541" s="14">
        <v>1231.0</v>
      </c>
      <c r="H1541" s="14" t="s">
        <v>17059</v>
      </c>
      <c r="I1541" s="14" t="s">
        <v>18067</v>
      </c>
      <c r="J1541" s="130" t="s">
        <v>18068</v>
      </c>
      <c r="K1541" s="152" t="s">
        <v>18850</v>
      </c>
      <c r="L1541" s="20" t="s">
        <v>18071</v>
      </c>
      <c r="M1541" s="174" t="s">
        <v>18072</v>
      </c>
      <c r="N1541" s="84"/>
      <c r="O1541" s="84"/>
      <c r="P1541" s="84"/>
      <c r="Q1541" s="84"/>
      <c r="R1541" s="84"/>
      <c r="S1541" s="84"/>
      <c r="T1541" s="84"/>
      <c r="U1541" s="84"/>
      <c r="V1541" s="84"/>
      <c r="W1541" s="84"/>
      <c r="X1541" s="84"/>
    </row>
    <row r="1542" ht="15.75" customHeight="1">
      <c r="A1542" s="14" t="s">
        <v>2137</v>
      </c>
      <c r="B1542" s="14">
        <v>2007.0</v>
      </c>
      <c r="C1542" s="14" t="s">
        <v>18073</v>
      </c>
      <c r="D1542" s="14" t="s">
        <v>18074</v>
      </c>
      <c r="E1542" s="150" t="str">
        <f t="shared" si="26"/>
        <v>http://dx.doi.org/10.1109/TVCG.2007.70521</v>
      </c>
      <c r="F1542" s="14">
        <v>1192.0</v>
      </c>
      <c r="G1542" s="14">
        <v>1199.0</v>
      </c>
      <c r="H1542" s="14" t="s">
        <v>17059</v>
      </c>
      <c r="I1542" s="14" t="s">
        <v>18077</v>
      </c>
      <c r="J1542" s="130" t="s">
        <v>41637</v>
      </c>
      <c r="K1542" s="152" t="s">
        <v>18920</v>
      </c>
      <c r="L1542" s="20" t="s">
        <v>18080</v>
      </c>
      <c r="M1542" s="174" t="s">
        <v>18081</v>
      </c>
      <c r="N1542" s="84"/>
      <c r="O1542" s="84"/>
      <c r="P1542" s="84"/>
      <c r="Q1542" s="84"/>
      <c r="R1542" s="84"/>
      <c r="S1542" s="84"/>
      <c r="T1542" s="84"/>
      <c r="U1542" s="84"/>
      <c r="V1542" s="84"/>
      <c r="W1542" s="84"/>
      <c r="X1542" s="84"/>
    </row>
    <row r="1543" ht="15.75" customHeight="1">
      <c r="A1543" s="14" t="s">
        <v>2137</v>
      </c>
      <c r="B1543" s="14">
        <v>2007.0</v>
      </c>
      <c r="C1543" s="14" t="s">
        <v>18082</v>
      </c>
      <c r="D1543" s="14" t="s">
        <v>18084</v>
      </c>
      <c r="E1543" s="150" t="str">
        <f t="shared" si="26"/>
        <v>http://dx.doi.org/10.1109/TVCG.2007.70522</v>
      </c>
      <c r="F1543" s="14">
        <v>1105.0</v>
      </c>
      <c r="G1543" s="14">
        <v>1112.0</v>
      </c>
      <c r="H1543" s="14" t="s">
        <v>17059</v>
      </c>
      <c r="I1543" s="14" t="s">
        <v>18086</v>
      </c>
      <c r="J1543" s="130" t="s">
        <v>18087</v>
      </c>
      <c r="K1543" s="152" t="s">
        <v>18942</v>
      </c>
      <c r="L1543" s="20" t="s">
        <v>18088</v>
      </c>
      <c r="M1543" s="174" t="s">
        <v>18089</v>
      </c>
      <c r="N1543" s="84"/>
      <c r="O1543" s="84"/>
      <c r="P1543" s="84"/>
      <c r="Q1543" s="84"/>
      <c r="R1543" s="84"/>
      <c r="S1543" s="84"/>
      <c r="T1543" s="84"/>
      <c r="U1543" s="84"/>
      <c r="V1543" s="84"/>
      <c r="W1543" s="84"/>
      <c r="X1543" s="84"/>
    </row>
    <row r="1544" ht="15.75" customHeight="1">
      <c r="A1544" s="14" t="s">
        <v>2137</v>
      </c>
      <c r="B1544" s="14">
        <v>2007.0</v>
      </c>
      <c r="C1544" s="14" t="s">
        <v>18090</v>
      </c>
      <c r="D1544" s="14" t="s">
        <v>18091</v>
      </c>
      <c r="E1544" s="150" t="str">
        <f t="shared" si="26"/>
        <v>http://dx.doi.org/10.1109/TVCG.2007.70528</v>
      </c>
      <c r="F1544" s="14">
        <v>1254.0</v>
      </c>
      <c r="G1544" s="14">
        <v>1261.0</v>
      </c>
      <c r="H1544" s="14" t="s">
        <v>17059</v>
      </c>
      <c r="I1544" s="14" t="s">
        <v>18092</v>
      </c>
      <c r="J1544" s="130" t="s">
        <v>41641</v>
      </c>
      <c r="K1544" s="152" t="s">
        <v>18975</v>
      </c>
      <c r="L1544" s="20" t="s">
        <v>13096</v>
      </c>
      <c r="M1544" s="174" t="s">
        <v>18096</v>
      </c>
      <c r="N1544" s="84"/>
      <c r="O1544" s="84"/>
      <c r="P1544" s="84"/>
      <c r="Q1544" s="84"/>
      <c r="R1544" s="84"/>
      <c r="S1544" s="84"/>
      <c r="T1544" s="84"/>
      <c r="U1544" s="84"/>
      <c r="V1544" s="84"/>
      <c r="W1544" s="84"/>
      <c r="X1544" s="84"/>
    </row>
    <row r="1545" ht="15.75" customHeight="1">
      <c r="A1545" s="14" t="s">
        <v>2137</v>
      </c>
      <c r="B1545" s="14">
        <v>2007.0</v>
      </c>
      <c r="C1545" s="14" t="s">
        <v>18099</v>
      </c>
      <c r="D1545" s="14" t="s">
        <v>18100</v>
      </c>
      <c r="E1545" s="150" t="str">
        <f t="shared" si="26"/>
        <v>http://dx.doi.org/10.1109/TVCG.2007.70529</v>
      </c>
      <c r="F1545" s="14">
        <v>1286.0</v>
      </c>
      <c r="G1545" s="14">
        <v>1293.0</v>
      </c>
      <c r="H1545" s="14" t="s">
        <v>17059</v>
      </c>
      <c r="I1545" s="14" t="s">
        <v>18101</v>
      </c>
      <c r="J1545" s="130" t="s">
        <v>18102</v>
      </c>
      <c r="K1545" s="152" t="s">
        <v>19019</v>
      </c>
      <c r="L1545" s="20" t="s">
        <v>18104</v>
      </c>
      <c r="M1545" s="174" t="s">
        <v>18105</v>
      </c>
      <c r="N1545" s="84"/>
      <c r="O1545" s="84"/>
      <c r="P1545" s="84"/>
      <c r="Q1545" s="84"/>
      <c r="R1545" s="84"/>
      <c r="S1545" s="84"/>
      <c r="T1545" s="84"/>
      <c r="U1545" s="84"/>
      <c r="V1545" s="84"/>
      <c r="W1545" s="84"/>
      <c r="X1545" s="84"/>
    </row>
    <row r="1546" ht="15.75" customHeight="1">
      <c r="A1546" s="14" t="s">
        <v>2137</v>
      </c>
      <c r="B1546" s="14">
        <v>2007.0</v>
      </c>
      <c r="C1546" s="14" t="s">
        <v>18106</v>
      </c>
      <c r="D1546" s="14" t="s">
        <v>18107</v>
      </c>
      <c r="E1546" s="150" t="str">
        <f t="shared" si="26"/>
        <v>http://dx.doi.org/10.1109/TVCG.2007.70535</v>
      </c>
      <c r="F1546" s="14">
        <v>1216.0</v>
      </c>
      <c r="G1546" s="14">
        <v>1223.0</v>
      </c>
      <c r="H1546" s="14" t="s">
        <v>17059</v>
      </c>
      <c r="I1546" s="14" t="s">
        <v>18110</v>
      </c>
      <c r="J1546" s="130" t="s">
        <v>17256</v>
      </c>
      <c r="K1546" s="152" t="s">
        <v>19059</v>
      </c>
      <c r="L1546" s="20" t="s">
        <v>18111</v>
      </c>
      <c r="M1546" s="174" t="s">
        <v>18112</v>
      </c>
      <c r="N1546" s="84"/>
      <c r="O1546" s="84"/>
      <c r="P1546" s="84"/>
      <c r="Q1546" s="84"/>
      <c r="R1546" s="84"/>
      <c r="S1546" s="84"/>
      <c r="T1546" s="84"/>
      <c r="U1546" s="84"/>
      <c r="V1546" s="84"/>
      <c r="W1546" s="84"/>
      <c r="X1546" s="84"/>
    </row>
    <row r="1547" ht="15.75" customHeight="1">
      <c r="A1547" s="14" t="s">
        <v>2137</v>
      </c>
      <c r="B1547" s="14">
        <v>2007.0</v>
      </c>
      <c r="C1547" s="14" t="s">
        <v>18113</v>
      </c>
      <c r="D1547" s="14" t="s">
        <v>18114</v>
      </c>
      <c r="E1547" s="150" t="str">
        <f t="shared" si="26"/>
        <v>http://dx.doi.org/10.1109/TVCG.2007.70537</v>
      </c>
      <c r="F1547" s="14">
        <v>1113.0</v>
      </c>
      <c r="G1547" s="14">
        <v>1120.0</v>
      </c>
      <c r="H1547" s="14" t="s">
        <v>17059</v>
      </c>
      <c r="I1547" s="14" t="s">
        <v>18115</v>
      </c>
      <c r="J1547" s="130" t="s">
        <v>18116</v>
      </c>
      <c r="K1547" s="152" t="s">
        <v>19078</v>
      </c>
      <c r="L1547" s="20" t="s">
        <v>18118</v>
      </c>
      <c r="M1547" s="174" t="s">
        <v>18119</v>
      </c>
      <c r="N1547" s="84"/>
      <c r="O1547" s="84"/>
      <c r="P1547" s="84"/>
      <c r="Q1547" s="84"/>
      <c r="R1547" s="84"/>
      <c r="S1547" s="84"/>
      <c r="T1547" s="84"/>
      <c r="U1547" s="84"/>
      <c r="V1547" s="84"/>
      <c r="W1547" s="84"/>
      <c r="X1547" s="84"/>
    </row>
    <row r="1548" ht="15.75" customHeight="1">
      <c r="A1548" s="14" t="s">
        <v>2137</v>
      </c>
      <c r="B1548" s="14">
        <v>2007.0</v>
      </c>
      <c r="C1548" s="14" t="s">
        <v>18120</v>
      </c>
      <c r="D1548" s="14" t="s">
        <v>18122</v>
      </c>
      <c r="E1548" s="150" t="str">
        <f t="shared" si="26"/>
        <v>http://dx.doi.org/10.1109/TVCG.2007.70539</v>
      </c>
      <c r="F1548" s="14">
        <v>1240.0</v>
      </c>
      <c r="G1548" s="14">
        <v>1247.0</v>
      </c>
      <c r="H1548" s="14" t="s">
        <v>17059</v>
      </c>
      <c r="I1548" s="14" t="s">
        <v>19105</v>
      </c>
      <c r="J1548" s="130" t="s">
        <v>18127</v>
      </c>
      <c r="K1548" s="152" t="s">
        <v>19106</v>
      </c>
      <c r="L1548" s="20" t="s">
        <v>18130</v>
      </c>
      <c r="M1548" s="174" t="s">
        <v>18131</v>
      </c>
      <c r="N1548" s="84"/>
      <c r="O1548" s="84"/>
      <c r="P1548" s="84"/>
      <c r="Q1548" s="84"/>
      <c r="R1548" s="84"/>
      <c r="S1548" s="84"/>
      <c r="T1548" s="84"/>
      <c r="U1548" s="84"/>
      <c r="V1548" s="84"/>
      <c r="W1548" s="84"/>
      <c r="X1548" s="84"/>
    </row>
    <row r="1549" ht="15.75" customHeight="1">
      <c r="A1549" s="14" t="s">
        <v>2137</v>
      </c>
      <c r="B1549" s="14">
        <v>2007.0</v>
      </c>
      <c r="C1549" s="14" t="s">
        <v>18132</v>
      </c>
      <c r="D1549" s="14" t="s">
        <v>18133</v>
      </c>
      <c r="E1549" s="150" t="str">
        <f t="shared" si="26"/>
        <v>http://dx.doi.org/10.1109/TVCG.2007.70540</v>
      </c>
      <c r="F1549" s="14">
        <v>1248.0</v>
      </c>
      <c r="G1549" s="14">
        <v>1253.0</v>
      </c>
      <c r="H1549" s="14" t="s">
        <v>17059</v>
      </c>
      <c r="I1549" s="14" t="s">
        <v>18134</v>
      </c>
      <c r="J1549" s="130" t="s">
        <v>18135</v>
      </c>
      <c r="K1549" s="152" t="s">
        <v>19120</v>
      </c>
      <c r="L1549" s="20" t="s">
        <v>18136</v>
      </c>
      <c r="M1549" s="174" t="s">
        <v>18137</v>
      </c>
      <c r="N1549" s="84"/>
      <c r="O1549" s="84"/>
      <c r="P1549" s="84"/>
      <c r="Q1549" s="84"/>
      <c r="R1549" s="84"/>
      <c r="S1549" s="84"/>
      <c r="T1549" s="84"/>
      <c r="U1549" s="84"/>
      <c r="V1549" s="84"/>
      <c r="W1549" s="84"/>
      <c r="X1549" s="84"/>
    </row>
    <row r="1550" ht="15.75" customHeight="1">
      <c r="A1550" s="14" t="s">
        <v>2137</v>
      </c>
      <c r="B1550" s="14">
        <v>2007.0</v>
      </c>
      <c r="C1550" s="14" t="s">
        <v>18138</v>
      </c>
      <c r="D1550" s="14" t="s">
        <v>18140</v>
      </c>
      <c r="E1550" s="150" t="str">
        <f t="shared" si="26"/>
        <v>http://dx.doi.org/10.1109/TVCG.2007.70541</v>
      </c>
      <c r="F1550" s="14">
        <v>1145.0</v>
      </c>
      <c r="G1550" s="14">
        <v>1152.0</v>
      </c>
      <c r="H1550" s="14" t="s">
        <v>17059</v>
      </c>
      <c r="I1550" s="14" t="s">
        <v>18142</v>
      </c>
      <c r="J1550" s="130" t="s">
        <v>18143</v>
      </c>
      <c r="K1550" s="152" t="s">
        <v>19135</v>
      </c>
      <c r="L1550" s="20" t="s">
        <v>18146</v>
      </c>
      <c r="M1550" s="174" t="s">
        <v>18147</v>
      </c>
      <c r="N1550" s="84"/>
      <c r="O1550" s="84"/>
      <c r="P1550" s="84"/>
      <c r="Q1550" s="84"/>
      <c r="R1550" s="84"/>
      <c r="S1550" s="84"/>
      <c r="T1550" s="84"/>
      <c r="U1550" s="84"/>
      <c r="V1550" s="84"/>
      <c r="W1550" s="84"/>
      <c r="X1550" s="84"/>
    </row>
    <row r="1551" ht="15.75" customHeight="1">
      <c r="A1551" s="14" t="s">
        <v>2137</v>
      </c>
      <c r="B1551" s="14">
        <v>2007.0</v>
      </c>
      <c r="C1551" s="14" t="s">
        <v>18148</v>
      </c>
      <c r="D1551" s="14" t="s">
        <v>18149</v>
      </c>
      <c r="E1551" s="150" t="str">
        <f t="shared" si="26"/>
        <v>http://dx.doi.org/10.1109/TVCG.2007.70556</v>
      </c>
      <c r="F1551" s="14">
        <v>1294.0</v>
      </c>
      <c r="G1551" s="14">
        <v>1301.0</v>
      </c>
      <c r="H1551" s="14" t="s">
        <v>17059</v>
      </c>
      <c r="I1551" s="14" t="s">
        <v>18150</v>
      </c>
      <c r="J1551" s="130" t="s">
        <v>41647</v>
      </c>
      <c r="K1551" s="152" t="s">
        <v>19378</v>
      </c>
      <c r="L1551" s="20" t="s">
        <v>18152</v>
      </c>
      <c r="M1551" s="174" t="s">
        <v>18153</v>
      </c>
      <c r="N1551" s="84"/>
      <c r="O1551" s="84"/>
      <c r="P1551" s="84"/>
      <c r="Q1551" s="84"/>
      <c r="R1551" s="84"/>
      <c r="S1551" s="84"/>
      <c r="T1551" s="84"/>
      <c r="U1551" s="84"/>
      <c r="V1551" s="84"/>
      <c r="W1551" s="84"/>
      <c r="X1551" s="84"/>
    </row>
    <row r="1552" ht="15.75" customHeight="1">
      <c r="A1552" s="14" t="s">
        <v>2137</v>
      </c>
      <c r="B1552" s="14">
        <v>2007.0</v>
      </c>
      <c r="C1552" s="14" t="s">
        <v>18154</v>
      </c>
      <c r="D1552" s="14" t="s">
        <v>18155</v>
      </c>
      <c r="E1552" s="150" t="str">
        <f t="shared" si="26"/>
        <v>http://dx.doi.org/10.1109/TVCG.2007.70558</v>
      </c>
      <c r="F1552" s="14">
        <v>1161.0</v>
      </c>
      <c r="G1552" s="14">
        <v>1168.0</v>
      </c>
      <c r="H1552" s="14" t="s">
        <v>17059</v>
      </c>
      <c r="I1552" s="14" t="s">
        <v>19382</v>
      </c>
      <c r="J1552" s="130" t="s">
        <v>18158</v>
      </c>
      <c r="K1552" s="152" t="s">
        <v>19383</v>
      </c>
      <c r="L1552" s="20"/>
      <c r="M1552" s="174" t="s">
        <v>18159</v>
      </c>
      <c r="N1552" s="84"/>
      <c r="O1552" s="84"/>
      <c r="P1552" s="84"/>
      <c r="Q1552" s="84"/>
      <c r="R1552" s="84"/>
      <c r="S1552" s="84"/>
      <c r="T1552" s="84"/>
      <c r="U1552" s="84"/>
      <c r="V1552" s="84"/>
      <c r="W1552" s="84"/>
      <c r="X1552" s="84"/>
    </row>
    <row r="1553" ht="15.75" customHeight="1">
      <c r="A1553" s="14" t="s">
        <v>2137</v>
      </c>
      <c r="B1553" s="14">
        <v>2007.0</v>
      </c>
      <c r="C1553" s="14" t="s">
        <v>18161</v>
      </c>
      <c r="D1553" s="14" t="s">
        <v>18162</v>
      </c>
      <c r="E1553" s="150" t="str">
        <f t="shared" si="26"/>
        <v>http://dx.doi.org/10.1109/TVCG.2007.70561</v>
      </c>
      <c r="F1553" s="14">
        <v>1184.0</v>
      </c>
      <c r="G1553" s="14">
        <v>1191.0</v>
      </c>
      <c r="H1553" s="14" t="s">
        <v>17059</v>
      </c>
      <c r="I1553" s="14" t="s">
        <v>18163</v>
      </c>
      <c r="J1553" s="130" t="s">
        <v>18164</v>
      </c>
      <c r="K1553" s="152" t="s">
        <v>19414</v>
      </c>
      <c r="L1553" s="20" t="s">
        <v>18165</v>
      </c>
      <c r="M1553" s="174" t="s">
        <v>18166</v>
      </c>
      <c r="N1553" s="84"/>
      <c r="O1553" s="84"/>
      <c r="P1553" s="84"/>
      <c r="Q1553" s="84"/>
      <c r="R1553" s="84"/>
      <c r="S1553" s="84"/>
      <c r="T1553" s="84"/>
      <c r="U1553" s="84"/>
      <c r="V1553" s="84"/>
      <c r="W1553" s="84"/>
      <c r="X1553" s="84"/>
    </row>
    <row r="1554" ht="15.75" customHeight="1">
      <c r="A1554" s="14" t="s">
        <v>2137</v>
      </c>
      <c r="B1554" s="14">
        <v>2007.0</v>
      </c>
      <c r="C1554" s="14" t="s">
        <v>18167</v>
      </c>
      <c r="D1554" s="14" t="s">
        <v>18168</v>
      </c>
      <c r="E1554" s="150" t="str">
        <f t="shared" si="26"/>
        <v>http://dx.doi.org/10.1109/TVCG.2007.70568</v>
      </c>
      <c r="F1554" s="14">
        <v>1232.0</v>
      </c>
      <c r="G1554" s="14">
        <v>1239.0</v>
      </c>
      <c r="H1554" s="14" t="s">
        <v>17059</v>
      </c>
      <c r="I1554" s="14" t="s">
        <v>18170</v>
      </c>
      <c r="J1554" s="130" t="s">
        <v>41649</v>
      </c>
      <c r="K1554" s="152" t="s">
        <v>19471</v>
      </c>
      <c r="L1554" s="20" t="s">
        <v>18172</v>
      </c>
      <c r="M1554" s="174" t="s">
        <v>18173</v>
      </c>
      <c r="N1554" s="84"/>
      <c r="O1554" s="84"/>
      <c r="P1554" s="84"/>
      <c r="Q1554" s="84"/>
      <c r="R1554" s="84"/>
      <c r="S1554" s="84"/>
      <c r="T1554" s="84"/>
      <c r="U1554" s="84"/>
      <c r="V1554" s="84"/>
      <c r="W1554" s="84"/>
      <c r="X1554" s="84"/>
    </row>
    <row r="1555" ht="15.75" customHeight="1">
      <c r="A1555" s="14" t="s">
        <v>2137</v>
      </c>
      <c r="B1555" s="14">
        <v>2007.0</v>
      </c>
      <c r="C1555" s="14" t="s">
        <v>18175</v>
      </c>
      <c r="D1555" s="14" t="s">
        <v>18176</v>
      </c>
      <c r="E1555" s="150" t="str">
        <f t="shared" si="26"/>
        <v>http://dx.doi.org/10.1109/TVCG.2007.70570</v>
      </c>
      <c r="F1555" s="14">
        <v>1176.0</v>
      </c>
      <c r="G1555" s="14">
        <v>1183.0</v>
      </c>
      <c r="H1555" s="14" t="s">
        <v>17059</v>
      </c>
      <c r="I1555" s="14" t="s">
        <v>18177</v>
      </c>
      <c r="J1555" s="130" t="s">
        <v>18178</v>
      </c>
      <c r="K1555" s="152" t="s">
        <v>19475</v>
      </c>
      <c r="L1555" s="20" t="s">
        <v>18180</v>
      </c>
      <c r="M1555" s="174" t="s">
        <v>18181</v>
      </c>
      <c r="N1555" s="84"/>
      <c r="O1555" s="84"/>
      <c r="P1555" s="84"/>
      <c r="Q1555" s="84"/>
      <c r="R1555" s="84"/>
      <c r="S1555" s="84"/>
      <c r="T1555" s="84"/>
      <c r="U1555" s="84"/>
      <c r="V1555" s="84"/>
      <c r="W1555" s="84"/>
      <c r="X1555" s="84"/>
    </row>
    <row r="1556" ht="15.75" customHeight="1">
      <c r="A1556" s="14" t="s">
        <v>2137</v>
      </c>
      <c r="B1556" s="14">
        <v>2007.0</v>
      </c>
      <c r="C1556" s="14" t="s">
        <v>18182</v>
      </c>
      <c r="D1556" s="14" t="s">
        <v>18183</v>
      </c>
      <c r="E1556" s="150" t="str">
        <f t="shared" si="26"/>
        <v>http://dx.doi.org/10.1109/TVCG.2007.70574</v>
      </c>
      <c r="F1556" s="14">
        <v>1169.0</v>
      </c>
      <c r="G1556" s="14">
        <v>1175.0</v>
      </c>
      <c r="H1556" s="14" t="s">
        <v>17059</v>
      </c>
      <c r="I1556" s="14" t="s">
        <v>18185</v>
      </c>
      <c r="J1556" s="130" t="s">
        <v>18186</v>
      </c>
      <c r="K1556" s="152" t="s">
        <v>19532</v>
      </c>
      <c r="L1556" s="20" t="s">
        <v>18187</v>
      </c>
      <c r="M1556" s="174" t="s">
        <v>18189</v>
      </c>
      <c r="N1556" s="84"/>
      <c r="O1556" s="84"/>
      <c r="P1556" s="84"/>
      <c r="Q1556" s="84"/>
      <c r="R1556" s="84"/>
      <c r="S1556" s="84"/>
      <c r="T1556" s="84"/>
      <c r="U1556" s="84"/>
      <c r="V1556" s="84"/>
      <c r="W1556" s="84"/>
      <c r="X1556" s="84"/>
    </row>
    <row r="1557" ht="15.75" customHeight="1">
      <c r="A1557" s="14" t="s">
        <v>2137</v>
      </c>
      <c r="B1557" s="14">
        <v>2007.0</v>
      </c>
      <c r="C1557" s="14" t="s">
        <v>18190</v>
      </c>
      <c r="D1557" s="14" t="s">
        <v>18191</v>
      </c>
      <c r="E1557" s="150" t="str">
        <f t="shared" si="26"/>
        <v>http://dx.doi.org/10.1109/TVCG.2007.70577</v>
      </c>
      <c r="F1557" s="14">
        <v>1121.0</v>
      </c>
      <c r="G1557" s="14">
        <v>1128.0</v>
      </c>
      <c r="H1557" s="14" t="s">
        <v>17059</v>
      </c>
      <c r="I1557" s="14" t="s">
        <v>18192</v>
      </c>
      <c r="J1557" s="130" t="s">
        <v>18193</v>
      </c>
      <c r="K1557" s="152" t="s">
        <v>19541</v>
      </c>
      <c r="L1557" s="20" t="s">
        <v>18195</v>
      </c>
      <c r="M1557" s="174" t="s">
        <v>18196</v>
      </c>
      <c r="N1557" s="84"/>
      <c r="O1557" s="84"/>
      <c r="P1557" s="84"/>
      <c r="Q1557" s="84"/>
      <c r="R1557" s="84"/>
      <c r="S1557" s="84"/>
      <c r="T1557" s="84"/>
      <c r="U1557" s="84"/>
      <c r="V1557" s="84"/>
      <c r="W1557" s="84"/>
      <c r="X1557" s="84"/>
    </row>
    <row r="1558" ht="15.75" customHeight="1">
      <c r="A1558" s="14" t="s">
        <v>2137</v>
      </c>
      <c r="B1558" s="14">
        <v>2007.0</v>
      </c>
      <c r="C1558" s="14" t="s">
        <v>18197</v>
      </c>
      <c r="D1558" s="14" t="s">
        <v>18198</v>
      </c>
      <c r="E1558" s="150" t="str">
        <f t="shared" si="26"/>
        <v>http://dx.doi.org/10.1109/TVCG.2007.70580</v>
      </c>
      <c r="F1558" s="14">
        <v>1310.0</v>
      </c>
      <c r="G1558" s="14">
        <v>1319.0</v>
      </c>
      <c r="H1558" s="14" t="s">
        <v>17059</v>
      </c>
      <c r="I1558" s="14" t="s">
        <v>18200</v>
      </c>
      <c r="J1558" s="130" t="s">
        <v>14119</v>
      </c>
      <c r="K1558" s="152" t="s">
        <v>19547</v>
      </c>
      <c r="L1558" s="20" t="s">
        <v>14502</v>
      </c>
      <c r="M1558" s="174" t="s">
        <v>18202</v>
      </c>
      <c r="N1558" s="84"/>
      <c r="O1558" s="84"/>
      <c r="P1558" s="84"/>
      <c r="Q1558" s="84"/>
      <c r="R1558" s="84"/>
      <c r="S1558" s="84"/>
      <c r="T1558" s="84"/>
      <c r="U1558" s="84"/>
      <c r="V1558" s="84"/>
      <c r="W1558" s="84"/>
      <c r="X1558" s="84"/>
    </row>
    <row r="1559" ht="15.75" customHeight="1">
      <c r="A1559" s="14" t="s">
        <v>2137</v>
      </c>
      <c r="B1559" s="14">
        <v>2007.0</v>
      </c>
      <c r="C1559" s="14" t="s">
        <v>18204</v>
      </c>
      <c r="D1559" s="14" t="s">
        <v>18205</v>
      </c>
      <c r="E1559" s="150" t="str">
        <f t="shared" si="26"/>
        <v>http://dx.doi.org/10.1109/TVCG.2007.70582</v>
      </c>
      <c r="F1559" s="14">
        <v>1302.0</v>
      </c>
      <c r="G1559" s="14">
        <v>1309.0</v>
      </c>
      <c r="H1559" s="14" t="s">
        <v>17059</v>
      </c>
      <c r="I1559" s="14" t="s">
        <v>18206</v>
      </c>
      <c r="J1559" s="130" t="s">
        <v>18207</v>
      </c>
      <c r="K1559" s="152" t="s">
        <v>19552</v>
      </c>
      <c r="L1559" s="20" t="s">
        <v>18211</v>
      </c>
      <c r="M1559" s="174" t="s">
        <v>18212</v>
      </c>
      <c r="N1559" s="84"/>
      <c r="O1559" s="84"/>
      <c r="P1559" s="84"/>
      <c r="Q1559" s="84"/>
      <c r="R1559" s="84"/>
      <c r="S1559" s="84"/>
      <c r="T1559" s="84"/>
      <c r="U1559" s="84"/>
      <c r="V1559" s="84"/>
      <c r="W1559" s="84"/>
      <c r="X1559" s="84"/>
    </row>
    <row r="1560" ht="15.75" customHeight="1">
      <c r="A1560" s="14" t="s">
        <v>2137</v>
      </c>
      <c r="B1560" s="14">
        <v>2007.0</v>
      </c>
      <c r="C1560" s="14" t="s">
        <v>18214</v>
      </c>
      <c r="D1560" s="14" t="s">
        <v>18215</v>
      </c>
      <c r="E1560" s="150" t="str">
        <f t="shared" si="26"/>
        <v>http://dx.doi.org/10.1109/TVCG.2007.70583</v>
      </c>
      <c r="F1560" s="14">
        <v>1278.0</v>
      </c>
      <c r="G1560" s="14">
        <v>1285.0</v>
      </c>
      <c r="H1560" s="14" t="s">
        <v>17059</v>
      </c>
      <c r="I1560" s="14" t="s">
        <v>18216</v>
      </c>
      <c r="J1560" s="130" t="s">
        <v>18217</v>
      </c>
      <c r="K1560" s="152" t="s">
        <v>19554</v>
      </c>
      <c r="L1560" s="20" t="s">
        <v>18218</v>
      </c>
      <c r="M1560" s="174" t="s">
        <v>18219</v>
      </c>
      <c r="N1560" s="84"/>
      <c r="O1560" s="84"/>
      <c r="P1560" s="84"/>
      <c r="Q1560" s="84"/>
      <c r="R1560" s="84"/>
      <c r="S1560" s="84"/>
      <c r="T1560" s="84"/>
      <c r="U1560" s="84"/>
      <c r="V1560" s="84"/>
      <c r="W1560" s="84"/>
      <c r="X1560" s="84"/>
    </row>
    <row r="1561" ht="15.75" customHeight="1">
      <c r="A1561" s="14" t="s">
        <v>2137</v>
      </c>
      <c r="B1561" s="14">
        <v>2007.0</v>
      </c>
      <c r="C1561" s="14" t="s">
        <v>18220</v>
      </c>
      <c r="D1561" s="14" t="s">
        <v>18221</v>
      </c>
      <c r="E1561" s="150" t="str">
        <f t="shared" si="26"/>
        <v>http://dx.doi.org/10.1109/TVCG.2007.70589</v>
      </c>
      <c r="F1561" s="14">
        <v>1129.0</v>
      </c>
      <c r="G1561" s="14">
        <v>1136.0</v>
      </c>
      <c r="H1561" s="14" t="s">
        <v>17059</v>
      </c>
      <c r="I1561" s="14" t="s">
        <v>18223</v>
      </c>
      <c r="J1561" s="130" t="s">
        <v>18224</v>
      </c>
      <c r="K1561" s="152" t="s">
        <v>19581</v>
      </c>
      <c r="L1561" s="20" t="s">
        <v>4849</v>
      </c>
      <c r="M1561" s="174" t="s">
        <v>18227</v>
      </c>
      <c r="N1561" s="84"/>
      <c r="O1561" s="84"/>
      <c r="P1561" s="84"/>
      <c r="Q1561" s="84"/>
      <c r="R1561" s="84"/>
      <c r="S1561" s="84"/>
      <c r="T1561" s="84"/>
      <c r="U1561" s="84"/>
      <c r="V1561" s="84"/>
      <c r="W1561" s="84"/>
      <c r="X1561" s="84"/>
    </row>
    <row r="1562" ht="15.75" customHeight="1">
      <c r="A1562" s="14" t="s">
        <v>2137</v>
      </c>
      <c r="B1562" s="14">
        <v>2007.0</v>
      </c>
      <c r="C1562" s="14" t="s">
        <v>18228</v>
      </c>
      <c r="D1562" s="14" t="s">
        <v>18229</v>
      </c>
      <c r="E1562" s="150" t="str">
        <f t="shared" si="26"/>
        <v>http://dx.doi.org/10.1109/TVCG.2007.70592</v>
      </c>
      <c r="F1562" s="14">
        <v>1208.0</v>
      </c>
      <c r="G1562" s="14">
        <v>1215.0</v>
      </c>
      <c r="H1562" s="14" t="s">
        <v>17059</v>
      </c>
      <c r="I1562" s="14" t="s">
        <v>18230</v>
      </c>
      <c r="J1562" s="130" t="s">
        <v>18231</v>
      </c>
      <c r="K1562" s="152" t="s">
        <v>19631</v>
      </c>
      <c r="L1562" s="20" t="s">
        <v>18233</v>
      </c>
      <c r="M1562" s="174" t="s">
        <v>18234</v>
      </c>
      <c r="N1562" s="84"/>
      <c r="O1562" s="84"/>
      <c r="P1562" s="84"/>
      <c r="Q1562" s="84"/>
      <c r="R1562" s="84"/>
      <c r="S1562" s="84"/>
      <c r="T1562" s="84"/>
      <c r="U1562" s="84"/>
      <c r="V1562" s="84"/>
      <c r="W1562" s="84"/>
      <c r="X1562" s="84"/>
    </row>
    <row r="1563" ht="15.75" customHeight="1">
      <c r="A1563" s="14" t="s">
        <v>2137</v>
      </c>
      <c r="B1563" s="14">
        <v>2007.0</v>
      </c>
      <c r="C1563" s="14" t="s">
        <v>18235</v>
      </c>
      <c r="D1563" s="14" t="s">
        <v>18236</v>
      </c>
      <c r="E1563" s="150" t="str">
        <f t="shared" si="26"/>
        <v>http://dx.doi.org/10.1109/TVCG.2007.70594</v>
      </c>
      <c r="F1563" s="14">
        <v>1137.0</v>
      </c>
      <c r="G1563" s="14">
        <v>1144.0</v>
      </c>
      <c r="H1563" s="14" t="s">
        <v>17059</v>
      </c>
      <c r="I1563" s="14" t="s">
        <v>18237</v>
      </c>
      <c r="J1563" s="130" t="s">
        <v>18238</v>
      </c>
      <c r="K1563" s="152" t="s">
        <v>19663</v>
      </c>
      <c r="L1563" s="20" t="s">
        <v>5481</v>
      </c>
      <c r="M1563" s="174" t="s">
        <v>18240</v>
      </c>
      <c r="N1563" s="84"/>
      <c r="O1563" s="84"/>
      <c r="P1563" s="84"/>
      <c r="Q1563" s="84"/>
      <c r="R1563" s="84"/>
      <c r="S1563" s="84"/>
      <c r="T1563" s="84"/>
      <c r="U1563" s="84"/>
      <c r="V1563" s="84"/>
      <c r="W1563" s="84"/>
      <c r="X1563" s="84"/>
    </row>
    <row r="1564" ht="15.75" customHeight="1">
      <c r="A1564" s="14" t="s">
        <v>2137</v>
      </c>
      <c r="B1564" s="14">
        <v>2007.0</v>
      </c>
      <c r="C1564" s="14" t="s">
        <v>18241</v>
      </c>
      <c r="D1564" s="14" t="s">
        <v>18242</v>
      </c>
      <c r="E1564" s="150" t="str">
        <f t="shared" si="26"/>
        <v>http://dx.doi.org/10.1109/TVCG.2007.70596</v>
      </c>
      <c r="F1564" s="14">
        <v>1262.0</v>
      </c>
      <c r="G1564" s="14">
        <v>1269.0</v>
      </c>
      <c r="H1564" s="14" t="s">
        <v>17059</v>
      </c>
      <c r="I1564" s="14" t="s">
        <v>18243</v>
      </c>
      <c r="J1564" s="130" t="s">
        <v>18244</v>
      </c>
      <c r="K1564" s="152" t="s">
        <v>19686</v>
      </c>
      <c r="L1564" s="20" t="s">
        <v>18247</v>
      </c>
      <c r="M1564" s="174" t="s">
        <v>18248</v>
      </c>
      <c r="N1564" s="84"/>
      <c r="O1564" s="84"/>
      <c r="P1564" s="84"/>
      <c r="Q1564" s="84"/>
      <c r="R1564" s="84"/>
      <c r="S1564" s="84"/>
      <c r="T1564" s="84"/>
      <c r="U1564" s="84"/>
      <c r="V1564" s="84"/>
      <c r="W1564" s="84"/>
      <c r="X1564" s="84"/>
    </row>
    <row r="1565" ht="15.75" customHeight="1">
      <c r="A1565" s="14" t="s">
        <v>2137</v>
      </c>
      <c r="B1565" s="14">
        <v>2007.0</v>
      </c>
      <c r="C1565" s="14" t="s">
        <v>18249</v>
      </c>
      <c r="D1565" s="14" t="s">
        <v>18250</v>
      </c>
      <c r="E1565" s="150" t="str">
        <f t="shared" si="26"/>
        <v>http://dx.doi.org/10.1109/TVCG.2007.70617</v>
      </c>
      <c r="F1565" s="14">
        <v>1200.0</v>
      </c>
      <c r="G1565" s="14">
        <v>1207.0</v>
      </c>
      <c r="H1565" s="14" t="s">
        <v>17059</v>
      </c>
      <c r="I1565" s="14" t="s">
        <v>18251</v>
      </c>
      <c r="J1565" s="130" t="s">
        <v>18252</v>
      </c>
      <c r="K1565" s="152" t="s">
        <v>19946</v>
      </c>
      <c r="L1565" s="20" t="s">
        <v>18255</v>
      </c>
      <c r="M1565" s="174" t="s">
        <v>18256</v>
      </c>
      <c r="N1565" s="84"/>
      <c r="O1565" s="84"/>
      <c r="P1565" s="84"/>
      <c r="Q1565" s="84"/>
      <c r="R1565" s="84"/>
      <c r="S1565" s="84"/>
      <c r="T1565" s="84"/>
      <c r="U1565" s="84"/>
      <c r="V1565" s="84"/>
      <c r="W1565" s="84"/>
      <c r="X1565" s="84"/>
    </row>
    <row r="1566" ht="15.75" customHeight="1">
      <c r="A1566" s="14" t="s">
        <v>2137</v>
      </c>
      <c r="B1566" s="14">
        <v>2007.0</v>
      </c>
      <c r="C1566" s="14" t="s">
        <v>18257</v>
      </c>
      <c r="D1566" s="14" t="s">
        <v>18258</v>
      </c>
      <c r="E1566" s="150" t="str">
        <f t="shared" si="26"/>
        <v>http://dx.doi.org/10.1109/TVCG.2007.70621</v>
      </c>
      <c r="F1566" s="14">
        <v>1153.0</v>
      </c>
      <c r="G1566" s="14">
        <v>1160.0</v>
      </c>
      <c r="H1566" s="14" t="s">
        <v>17059</v>
      </c>
      <c r="I1566" s="14" t="s">
        <v>18259</v>
      </c>
      <c r="J1566" s="130" t="s">
        <v>18260</v>
      </c>
      <c r="K1566" s="152" t="s">
        <v>19969</v>
      </c>
      <c r="L1566" s="20" t="s">
        <v>18263</v>
      </c>
      <c r="M1566" s="174" t="s">
        <v>18264</v>
      </c>
      <c r="N1566" s="84"/>
      <c r="O1566" s="84"/>
      <c r="P1566" s="84"/>
      <c r="Q1566" s="84"/>
      <c r="R1566" s="84"/>
      <c r="S1566" s="84"/>
      <c r="T1566" s="84"/>
      <c r="U1566" s="84"/>
      <c r="V1566" s="84"/>
      <c r="W1566" s="84"/>
      <c r="X1566" s="84"/>
    </row>
    <row r="1567" ht="15.75" customHeight="1">
      <c r="A1567" s="14" t="s">
        <v>2137</v>
      </c>
      <c r="B1567" s="14">
        <v>2007.0</v>
      </c>
      <c r="C1567" s="14" t="s">
        <v>18265</v>
      </c>
      <c r="D1567" s="14" t="s">
        <v>18266</v>
      </c>
      <c r="E1567" s="150" t="str">
        <f t="shared" si="26"/>
        <v>http://dx.doi.org/10.1109/TVCG.2007.70623</v>
      </c>
      <c r="F1567" s="14">
        <v>1270.0</v>
      </c>
      <c r="G1567" s="14">
        <v>1277.0</v>
      </c>
      <c r="H1567" s="14" t="s">
        <v>17059</v>
      </c>
      <c r="I1567" s="14" t="s">
        <v>19988</v>
      </c>
      <c r="J1567" s="130" t="s">
        <v>18268</v>
      </c>
      <c r="K1567" s="152" t="s">
        <v>19990</v>
      </c>
      <c r="L1567" s="20" t="s">
        <v>18271</v>
      </c>
      <c r="M1567" s="174" t="s">
        <v>18272</v>
      </c>
      <c r="N1567" s="84"/>
      <c r="O1567" s="84"/>
      <c r="P1567" s="84"/>
      <c r="Q1567" s="84"/>
      <c r="R1567" s="84"/>
      <c r="S1567" s="84"/>
      <c r="T1567" s="84"/>
      <c r="U1567" s="84"/>
      <c r="V1567" s="84"/>
      <c r="W1567" s="84"/>
      <c r="X1567" s="84"/>
    </row>
    <row r="1568" ht="15.75" customHeight="1">
      <c r="A1568" s="14" t="s">
        <v>120</v>
      </c>
      <c r="B1568" s="14">
        <v>2007.0</v>
      </c>
      <c r="C1568" s="14" t="s">
        <v>18273</v>
      </c>
      <c r="D1568" s="14" t="s">
        <v>18274</v>
      </c>
      <c r="E1568" s="150" t="str">
        <f t="shared" si="26"/>
        <v>http://dx.doi.org/10.1109/VAST.2007.4388989</v>
      </c>
      <c r="F1568" s="14" t="s">
        <v>18275</v>
      </c>
      <c r="G1568" s="14" t="s">
        <v>18275</v>
      </c>
      <c r="H1568" s="14" t="s">
        <v>21</v>
      </c>
      <c r="I1568" s="14" t="s">
        <v>18276</v>
      </c>
      <c r="J1568" s="130" t="s">
        <v>18277</v>
      </c>
      <c r="K1568" s="152" t="s">
        <v>20021</v>
      </c>
      <c r="L1568" s="20"/>
      <c r="M1568" s="16"/>
      <c r="N1568" s="84"/>
      <c r="O1568" s="84"/>
      <c r="P1568" s="84"/>
      <c r="Q1568" s="84"/>
      <c r="R1568" s="84"/>
      <c r="S1568" s="84"/>
      <c r="T1568" s="84"/>
      <c r="U1568" s="84"/>
      <c r="V1568" s="84"/>
      <c r="W1568" s="84"/>
      <c r="X1568" s="84"/>
    </row>
    <row r="1569" ht="15.75" customHeight="1">
      <c r="A1569" s="14" t="s">
        <v>120</v>
      </c>
      <c r="B1569" s="14">
        <v>2007.0</v>
      </c>
      <c r="C1569" s="14" t="s">
        <v>18279</v>
      </c>
      <c r="D1569" s="14" t="s">
        <v>18280</v>
      </c>
      <c r="E1569" s="150" t="str">
        <f t="shared" si="26"/>
        <v>http://dx.doi.org/10.1109/VAST.2007.4388990</v>
      </c>
      <c r="F1569" s="14">
        <v>3.0</v>
      </c>
      <c r="G1569" s="14">
        <v>10.0</v>
      </c>
      <c r="H1569" s="14" t="s">
        <v>28</v>
      </c>
      <c r="I1569" s="14" t="s">
        <v>18281</v>
      </c>
      <c r="J1569" s="130" t="s">
        <v>18282</v>
      </c>
      <c r="K1569" s="152" t="s">
        <v>20046</v>
      </c>
      <c r="L1569" s="20" t="s">
        <v>18001</v>
      </c>
      <c r="M1569" s="174" t="s">
        <v>18285</v>
      </c>
      <c r="N1569" s="84"/>
      <c r="O1569" s="84"/>
      <c r="P1569" s="84"/>
      <c r="Q1569" s="84"/>
      <c r="R1569" s="84"/>
      <c r="S1569" s="84"/>
      <c r="T1569" s="84"/>
      <c r="U1569" s="84"/>
      <c r="V1569" s="84"/>
      <c r="W1569" s="84"/>
      <c r="X1569" s="84"/>
    </row>
    <row r="1570" ht="15.75" customHeight="1">
      <c r="A1570" s="14" t="s">
        <v>120</v>
      </c>
      <c r="B1570" s="14">
        <v>2007.0</v>
      </c>
      <c r="C1570" s="14" t="s">
        <v>18286</v>
      </c>
      <c r="D1570" s="14" t="s">
        <v>18287</v>
      </c>
      <c r="E1570" s="150" t="str">
        <f t="shared" si="26"/>
        <v>http://dx.doi.org/10.1109/VAST.2007.4388991</v>
      </c>
      <c r="F1570" s="14">
        <v>11.0</v>
      </c>
      <c r="G1570" s="14">
        <v>18.0</v>
      </c>
      <c r="H1570" s="14" t="s">
        <v>28</v>
      </c>
      <c r="I1570" s="14" t="s">
        <v>18288</v>
      </c>
      <c r="J1570" s="130" t="s">
        <v>18289</v>
      </c>
      <c r="K1570" s="152" t="s">
        <v>20056</v>
      </c>
      <c r="L1570" s="20"/>
      <c r="M1570" s="174" t="s">
        <v>18291</v>
      </c>
      <c r="N1570" s="84"/>
      <c r="O1570" s="84"/>
      <c r="P1570" s="84"/>
      <c r="Q1570" s="84"/>
      <c r="R1570" s="84"/>
      <c r="S1570" s="84"/>
      <c r="T1570" s="84"/>
      <c r="U1570" s="84"/>
      <c r="V1570" s="84"/>
      <c r="W1570" s="84"/>
      <c r="X1570" s="84"/>
    </row>
    <row r="1571" ht="15.75" customHeight="1">
      <c r="A1571" s="14" t="s">
        <v>120</v>
      </c>
      <c r="B1571" s="14">
        <v>2007.0</v>
      </c>
      <c r="C1571" s="14" t="s">
        <v>18292</v>
      </c>
      <c r="D1571" s="14" t="s">
        <v>18293</v>
      </c>
      <c r="E1571" s="150" t="str">
        <f t="shared" si="26"/>
        <v>http://dx.doi.org/10.1109/VAST.2007.4388992</v>
      </c>
      <c r="F1571" s="14">
        <v>19.0</v>
      </c>
      <c r="G1571" s="14">
        <v>26.0</v>
      </c>
      <c r="H1571" s="14" t="s">
        <v>28</v>
      </c>
      <c r="I1571" s="14" t="s">
        <v>18294</v>
      </c>
      <c r="J1571" s="130" t="s">
        <v>18295</v>
      </c>
      <c r="K1571" s="152" t="s">
        <v>20065</v>
      </c>
      <c r="L1571" s="20" t="s">
        <v>18298</v>
      </c>
      <c r="M1571" s="174" t="s">
        <v>18299</v>
      </c>
      <c r="N1571" s="84"/>
      <c r="O1571" s="84"/>
      <c r="P1571" s="84"/>
      <c r="Q1571" s="84"/>
      <c r="R1571" s="84"/>
      <c r="S1571" s="84"/>
      <c r="T1571" s="84"/>
      <c r="U1571" s="84"/>
      <c r="V1571" s="84"/>
      <c r="W1571" s="84"/>
      <c r="X1571" s="84"/>
    </row>
    <row r="1572" ht="15.75" customHeight="1">
      <c r="A1572" s="14" t="s">
        <v>120</v>
      </c>
      <c r="B1572" s="14">
        <v>2007.0</v>
      </c>
      <c r="C1572" s="14" t="s">
        <v>18300</v>
      </c>
      <c r="D1572" s="14" t="s">
        <v>18301</v>
      </c>
      <c r="E1572" s="150" t="str">
        <f t="shared" si="26"/>
        <v>http://dx.doi.org/10.1109/VAST.2007.4388993</v>
      </c>
      <c r="F1572" s="14">
        <v>27.0</v>
      </c>
      <c r="G1572" s="14">
        <v>34.0</v>
      </c>
      <c r="H1572" s="14" t="s">
        <v>28</v>
      </c>
      <c r="I1572" s="14" t="s">
        <v>18302</v>
      </c>
      <c r="J1572" s="130" t="s">
        <v>18303</v>
      </c>
      <c r="K1572" s="152" t="s">
        <v>20087</v>
      </c>
      <c r="L1572" s="20"/>
      <c r="M1572" s="16"/>
      <c r="N1572" s="84"/>
      <c r="O1572" s="84"/>
      <c r="P1572" s="84"/>
      <c r="Q1572" s="84"/>
      <c r="R1572" s="84"/>
      <c r="S1572" s="84"/>
      <c r="T1572" s="84"/>
      <c r="U1572" s="84"/>
      <c r="V1572" s="84"/>
      <c r="W1572" s="84"/>
      <c r="X1572" s="84"/>
    </row>
    <row r="1573" ht="15.75" customHeight="1">
      <c r="A1573" s="14" t="s">
        <v>120</v>
      </c>
      <c r="B1573" s="14">
        <v>2007.0</v>
      </c>
      <c r="C1573" s="14" t="s">
        <v>18306</v>
      </c>
      <c r="D1573" s="14" t="s">
        <v>18307</v>
      </c>
      <c r="E1573" s="150" t="str">
        <f t="shared" si="26"/>
        <v>http://dx.doi.org/10.1109/VAST.2007.4388994</v>
      </c>
      <c r="F1573" s="14">
        <v>35.0</v>
      </c>
      <c r="G1573" s="14">
        <v>42.0</v>
      </c>
      <c r="H1573" s="14" t="s">
        <v>28</v>
      </c>
      <c r="I1573" s="14" t="s">
        <v>18309</v>
      </c>
      <c r="J1573" s="130" t="s">
        <v>18310</v>
      </c>
      <c r="K1573" s="152" t="s">
        <v>20102</v>
      </c>
      <c r="L1573" s="20" t="s">
        <v>17534</v>
      </c>
      <c r="M1573" s="174" t="s">
        <v>18313</v>
      </c>
      <c r="N1573" s="84"/>
      <c r="O1573" s="84"/>
      <c r="P1573" s="84"/>
      <c r="Q1573" s="84"/>
      <c r="R1573" s="84"/>
      <c r="S1573" s="84"/>
      <c r="T1573" s="84"/>
      <c r="U1573" s="84"/>
      <c r="V1573" s="84"/>
      <c r="W1573" s="84"/>
      <c r="X1573" s="84"/>
    </row>
    <row r="1574" ht="15.75" customHeight="1">
      <c r="A1574" s="14" t="s">
        <v>120</v>
      </c>
      <c r="B1574" s="14">
        <v>2007.0</v>
      </c>
      <c r="C1574" s="14" t="s">
        <v>18314</v>
      </c>
      <c r="D1574" s="14" t="s">
        <v>18315</v>
      </c>
      <c r="E1574" s="150" t="str">
        <f t="shared" si="26"/>
        <v>http://dx.doi.org/10.1109/VAST.2007.4388995</v>
      </c>
      <c r="F1574" s="14">
        <v>43.0</v>
      </c>
      <c r="G1574" s="14">
        <v>50.0</v>
      </c>
      <c r="H1574" s="14" t="s">
        <v>28</v>
      </c>
      <c r="I1574" s="14" t="s">
        <v>18316</v>
      </c>
      <c r="J1574" s="130" t="s">
        <v>18317</v>
      </c>
      <c r="K1574" s="152" t="s">
        <v>20122</v>
      </c>
      <c r="L1574" s="20"/>
      <c r="M1574" s="174" t="s">
        <v>18320</v>
      </c>
      <c r="N1574" s="84"/>
      <c r="O1574" s="84"/>
      <c r="P1574" s="84"/>
      <c r="Q1574" s="84"/>
      <c r="R1574" s="84"/>
      <c r="S1574" s="84"/>
      <c r="T1574" s="84"/>
      <c r="U1574" s="84"/>
      <c r="V1574" s="84"/>
      <c r="W1574" s="84"/>
      <c r="X1574" s="84"/>
    </row>
    <row r="1575" ht="15.75" customHeight="1">
      <c r="A1575" s="14" t="s">
        <v>120</v>
      </c>
      <c r="B1575" s="14">
        <v>2007.0</v>
      </c>
      <c r="C1575" s="14" t="s">
        <v>18322</v>
      </c>
      <c r="D1575" s="14" t="s">
        <v>18323</v>
      </c>
      <c r="E1575" s="150" t="str">
        <f t="shared" si="26"/>
        <v>http://dx.doi.org/10.1109/VAST.2007.4388996</v>
      </c>
      <c r="F1575" s="14">
        <v>51.0</v>
      </c>
      <c r="G1575" s="14">
        <v>58.0</v>
      </c>
      <c r="H1575" s="14" t="s">
        <v>28</v>
      </c>
      <c r="I1575" s="14" t="s">
        <v>18325</v>
      </c>
      <c r="J1575" s="130" t="s">
        <v>18326</v>
      </c>
      <c r="K1575" s="152" t="s">
        <v>20140</v>
      </c>
      <c r="L1575" s="20"/>
      <c r="M1575" s="174" t="s">
        <v>18328</v>
      </c>
      <c r="N1575" s="84"/>
      <c r="O1575" s="84"/>
      <c r="P1575" s="84"/>
      <c r="Q1575" s="84"/>
      <c r="R1575" s="84"/>
      <c r="S1575" s="84"/>
      <c r="T1575" s="84"/>
      <c r="U1575" s="84"/>
      <c r="V1575" s="84"/>
      <c r="W1575" s="84"/>
      <c r="X1575" s="84"/>
    </row>
    <row r="1576" ht="15.75" customHeight="1">
      <c r="A1576" s="14" t="s">
        <v>120</v>
      </c>
      <c r="B1576" s="14">
        <v>2007.0</v>
      </c>
      <c r="C1576" s="14" t="s">
        <v>18329</v>
      </c>
      <c r="D1576" s="14" t="s">
        <v>18330</v>
      </c>
      <c r="E1576" s="150" t="str">
        <f t="shared" si="26"/>
        <v>http://dx.doi.org/10.1109/VAST.2007.4388997</v>
      </c>
      <c r="F1576" s="14">
        <v>59.0</v>
      </c>
      <c r="G1576" s="14">
        <v>66.0</v>
      </c>
      <c r="H1576" s="14" t="s">
        <v>28</v>
      </c>
      <c r="I1576" s="14" t="s">
        <v>18331</v>
      </c>
      <c r="J1576" s="130" t="s">
        <v>18332</v>
      </c>
      <c r="K1576" s="152" t="s">
        <v>20148</v>
      </c>
      <c r="L1576" s="20"/>
      <c r="M1576" s="174" t="s">
        <v>18335</v>
      </c>
      <c r="N1576" s="84"/>
      <c r="O1576" s="84"/>
      <c r="P1576" s="84"/>
      <c r="Q1576" s="84"/>
      <c r="R1576" s="84"/>
      <c r="S1576" s="84"/>
      <c r="T1576" s="84"/>
      <c r="U1576" s="84"/>
      <c r="V1576" s="84"/>
      <c r="W1576" s="84"/>
      <c r="X1576" s="84"/>
    </row>
    <row r="1577" ht="15.75" customHeight="1">
      <c r="A1577" s="14" t="s">
        <v>120</v>
      </c>
      <c r="B1577" s="14">
        <v>2007.0</v>
      </c>
      <c r="C1577" s="14" t="s">
        <v>18337</v>
      </c>
      <c r="D1577" s="14" t="s">
        <v>18338</v>
      </c>
      <c r="E1577" s="150" t="str">
        <f t="shared" si="26"/>
        <v>http://dx.doi.org/10.1109/VAST.2007.4388998</v>
      </c>
      <c r="F1577" s="14">
        <v>67.0</v>
      </c>
      <c r="G1577" s="14">
        <v>74.0</v>
      </c>
      <c r="H1577" s="14" t="s">
        <v>28</v>
      </c>
      <c r="I1577" s="14" t="s">
        <v>18340</v>
      </c>
      <c r="J1577" s="130" t="s">
        <v>18341</v>
      </c>
      <c r="K1577" s="152" t="s">
        <v>20157</v>
      </c>
      <c r="L1577" s="20" t="s">
        <v>18343</v>
      </c>
      <c r="M1577" s="174" t="s">
        <v>18344</v>
      </c>
      <c r="N1577" s="84"/>
      <c r="O1577" s="84"/>
      <c r="P1577" s="84"/>
      <c r="Q1577" s="84"/>
      <c r="R1577" s="84"/>
      <c r="S1577" s="84"/>
      <c r="T1577" s="84"/>
      <c r="U1577" s="84"/>
      <c r="V1577" s="84"/>
      <c r="W1577" s="84"/>
      <c r="X1577" s="84"/>
    </row>
    <row r="1578" ht="15.75" customHeight="1">
      <c r="A1578" s="14" t="s">
        <v>120</v>
      </c>
      <c r="B1578" s="14">
        <v>2007.0</v>
      </c>
      <c r="C1578" s="14" t="s">
        <v>18345</v>
      </c>
      <c r="D1578" s="14" t="s">
        <v>18346</v>
      </c>
      <c r="E1578" s="150" t="str">
        <f t="shared" si="26"/>
        <v>http://dx.doi.org/10.1109/VAST.2007.4388999</v>
      </c>
      <c r="F1578" s="14">
        <v>75.0</v>
      </c>
      <c r="G1578" s="14">
        <v>82.0</v>
      </c>
      <c r="H1578" s="14" t="s">
        <v>28</v>
      </c>
      <c r="I1578" s="14" t="s">
        <v>18348</v>
      </c>
      <c r="J1578" s="130" t="s">
        <v>18349</v>
      </c>
      <c r="K1578" s="152" t="s">
        <v>20164</v>
      </c>
      <c r="L1578" s="20" t="s">
        <v>18351</v>
      </c>
      <c r="M1578" s="174" t="s">
        <v>18353</v>
      </c>
      <c r="N1578" s="84"/>
      <c r="O1578" s="84"/>
      <c r="P1578" s="84"/>
      <c r="Q1578" s="84"/>
      <c r="R1578" s="84"/>
      <c r="S1578" s="84"/>
      <c r="T1578" s="84"/>
      <c r="U1578" s="84"/>
      <c r="V1578" s="84"/>
      <c r="W1578" s="84"/>
      <c r="X1578" s="84"/>
    </row>
    <row r="1579" ht="15.75" customHeight="1">
      <c r="A1579" s="14" t="s">
        <v>120</v>
      </c>
      <c r="B1579" s="14">
        <v>2007.0</v>
      </c>
      <c r="C1579" s="14" t="s">
        <v>18354</v>
      </c>
      <c r="D1579" s="14" t="s">
        <v>18355</v>
      </c>
      <c r="E1579" s="150" t="str">
        <f t="shared" si="26"/>
        <v>http://dx.doi.org/10.1109/VAST.2007.4389000</v>
      </c>
      <c r="F1579" s="14">
        <v>83.0</v>
      </c>
      <c r="G1579" s="14">
        <v>90.0</v>
      </c>
      <c r="H1579" s="14" t="s">
        <v>28</v>
      </c>
      <c r="I1579" s="14" t="s">
        <v>18356</v>
      </c>
      <c r="J1579" s="130" t="s">
        <v>18357</v>
      </c>
      <c r="K1579" s="152" t="s">
        <v>20179</v>
      </c>
      <c r="L1579" s="20" t="s">
        <v>18359</v>
      </c>
      <c r="M1579" s="174" t="s">
        <v>18360</v>
      </c>
      <c r="N1579" s="84"/>
      <c r="O1579" s="84"/>
      <c r="P1579" s="84"/>
      <c r="Q1579" s="84"/>
      <c r="R1579" s="84"/>
      <c r="S1579" s="84"/>
      <c r="T1579" s="84"/>
      <c r="U1579" s="84"/>
      <c r="V1579" s="84"/>
      <c r="W1579" s="84"/>
      <c r="X1579" s="84"/>
    </row>
    <row r="1580" ht="15.75" customHeight="1">
      <c r="A1580" s="14" t="s">
        <v>120</v>
      </c>
      <c r="B1580" s="14">
        <v>2007.0</v>
      </c>
      <c r="C1580" s="14" t="s">
        <v>18361</v>
      </c>
      <c r="D1580" s="14" t="s">
        <v>18362</v>
      </c>
      <c r="E1580" s="150" t="str">
        <f t="shared" si="26"/>
        <v>http://dx.doi.org/10.1109/VAST.2007.4389001</v>
      </c>
      <c r="F1580" s="14">
        <v>91.0</v>
      </c>
      <c r="G1580" s="14">
        <v>98.0</v>
      </c>
      <c r="H1580" s="14" t="s">
        <v>28</v>
      </c>
      <c r="I1580" s="14" t="s">
        <v>18365</v>
      </c>
      <c r="J1580" s="130" t="s">
        <v>18366</v>
      </c>
      <c r="K1580" s="152" t="s">
        <v>20223</v>
      </c>
      <c r="L1580" s="20" t="s">
        <v>18369</v>
      </c>
      <c r="M1580" s="174" t="s">
        <v>18370</v>
      </c>
      <c r="N1580" s="84"/>
      <c r="O1580" s="84"/>
      <c r="P1580" s="84"/>
      <c r="Q1580" s="84"/>
      <c r="R1580" s="84"/>
      <c r="S1580" s="84"/>
      <c r="T1580" s="84"/>
      <c r="U1580" s="84"/>
      <c r="V1580" s="84"/>
      <c r="W1580" s="84"/>
      <c r="X1580" s="84"/>
    </row>
    <row r="1581" ht="15.75" customHeight="1">
      <c r="A1581" s="14" t="s">
        <v>120</v>
      </c>
      <c r="B1581" s="14">
        <v>2007.0</v>
      </c>
      <c r="C1581" s="14" t="s">
        <v>18371</v>
      </c>
      <c r="D1581" s="14" t="s">
        <v>18372</v>
      </c>
      <c r="E1581" s="150" t="str">
        <f t="shared" si="26"/>
        <v>http://dx.doi.org/10.1109/VAST.2007.4389002</v>
      </c>
      <c r="F1581" s="14">
        <v>99.0</v>
      </c>
      <c r="G1581" s="14">
        <v>106.0</v>
      </c>
      <c r="H1581" s="14" t="s">
        <v>28</v>
      </c>
      <c r="I1581" s="14" t="s">
        <v>18373</v>
      </c>
      <c r="J1581" s="130" t="s">
        <v>18374</v>
      </c>
      <c r="K1581" s="152" t="s">
        <v>20244</v>
      </c>
      <c r="L1581" s="20" t="s">
        <v>18377</v>
      </c>
      <c r="M1581" s="174" t="s">
        <v>18378</v>
      </c>
      <c r="N1581" s="84"/>
      <c r="O1581" s="84"/>
      <c r="P1581" s="84"/>
      <c r="Q1581" s="84"/>
      <c r="R1581" s="84"/>
      <c r="S1581" s="84"/>
      <c r="T1581" s="84"/>
      <c r="U1581" s="84"/>
      <c r="V1581" s="84"/>
      <c r="W1581" s="84"/>
      <c r="X1581" s="84"/>
    </row>
    <row r="1582" ht="15.75" customHeight="1">
      <c r="A1582" s="14" t="s">
        <v>120</v>
      </c>
      <c r="B1582" s="14">
        <v>2007.0</v>
      </c>
      <c r="C1582" s="14" t="s">
        <v>18379</v>
      </c>
      <c r="D1582" s="14" t="s">
        <v>18380</v>
      </c>
      <c r="E1582" s="150" t="str">
        <f t="shared" si="26"/>
        <v>http://dx.doi.org/10.1109/VAST.2007.4389003</v>
      </c>
      <c r="F1582" s="14">
        <v>107.0</v>
      </c>
      <c r="G1582" s="14">
        <v>114.0</v>
      </c>
      <c r="H1582" s="14" t="s">
        <v>28</v>
      </c>
      <c r="I1582" s="14" t="s">
        <v>18381</v>
      </c>
      <c r="J1582" s="130" t="s">
        <v>17528</v>
      </c>
      <c r="K1582" s="152" t="s">
        <v>20294</v>
      </c>
      <c r="L1582" s="20" t="s">
        <v>18383</v>
      </c>
      <c r="M1582" s="174" t="s">
        <v>18384</v>
      </c>
      <c r="N1582" s="84"/>
      <c r="O1582" s="84"/>
      <c r="P1582" s="84"/>
      <c r="Q1582" s="84"/>
      <c r="R1582" s="84"/>
      <c r="S1582" s="84"/>
      <c r="T1582" s="84"/>
      <c r="U1582" s="84"/>
      <c r="V1582" s="84"/>
      <c r="W1582" s="84"/>
      <c r="X1582" s="84"/>
    </row>
    <row r="1583" ht="15.75" customHeight="1">
      <c r="A1583" s="14" t="s">
        <v>120</v>
      </c>
      <c r="B1583" s="14">
        <v>2007.0</v>
      </c>
      <c r="C1583" s="14" t="s">
        <v>18385</v>
      </c>
      <c r="D1583" s="14" t="s">
        <v>18386</v>
      </c>
      <c r="E1583" s="173" t="str">
        <f t="shared" si="26"/>
        <v>http://dx.doi.org/10.1109/VAST.2007.4389004</v>
      </c>
      <c r="F1583" s="14">
        <v>115.0</v>
      </c>
      <c r="G1583" s="14">
        <v>122.0</v>
      </c>
      <c r="H1583" s="14" t="s">
        <v>28</v>
      </c>
      <c r="I1583" s="14" t="s">
        <v>18387</v>
      </c>
      <c r="J1583" s="130" t="s">
        <v>18388</v>
      </c>
      <c r="K1583" s="152" t="s">
        <v>20327</v>
      </c>
      <c r="L1583" s="20"/>
      <c r="M1583" s="174" t="s">
        <v>18390</v>
      </c>
      <c r="N1583" s="84"/>
      <c r="O1583" s="84"/>
      <c r="P1583" s="84"/>
      <c r="Q1583" s="84"/>
      <c r="R1583" s="84"/>
      <c r="S1583" s="84"/>
      <c r="T1583" s="84"/>
      <c r="U1583" s="84"/>
      <c r="V1583" s="84"/>
      <c r="W1583" s="84"/>
      <c r="X1583" s="84"/>
    </row>
    <row r="1584" ht="15.75" customHeight="1">
      <c r="A1584" s="14" t="s">
        <v>120</v>
      </c>
      <c r="B1584" s="14">
        <v>2007.0</v>
      </c>
      <c r="C1584" s="14" t="s">
        <v>18391</v>
      </c>
      <c r="D1584" s="14" t="s">
        <v>18392</v>
      </c>
      <c r="E1584" s="150" t="str">
        <f t="shared" si="26"/>
        <v>http://dx.doi.org/10.1109/VAST.2007.4389005</v>
      </c>
      <c r="F1584" s="14">
        <v>123.0</v>
      </c>
      <c r="G1584" s="14">
        <v>130.0</v>
      </c>
      <c r="H1584" s="14" t="s">
        <v>28</v>
      </c>
      <c r="I1584" s="14" t="s">
        <v>18393</v>
      </c>
      <c r="J1584" s="130" t="s">
        <v>18394</v>
      </c>
      <c r="K1584" s="152" t="s">
        <v>20344</v>
      </c>
      <c r="L1584" s="20" t="s">
        <v>18397</v>
      </c>
      <c r="M1584" s="174" t="s">
        <v>18398</v>
      </c>
      <c r="N1584" s="84"/>
      <c r="O1584" s="84"/>
      <c r="P1584" s="84"/>
      <c r="Q1584" s="84"/>
      <c r="R1584" s="84"/>
      <c r="S1584" s="84"/>
      <c r="T1584" s="84"/>
      <c r="U1584" s="84"/>
      <c r="V1584" s="84"/>
      <c r="W1584" s="84"/>
      <c r="X1584" s="84"/>
    </row>
    <row r="1585" ht="15.75" customHeight="1">
      <c r="A1585" s="14" t="s">
        <v>120</v>
      </c>
      <c r="B1585" s="14">
        <v>2007.0</v>
      </c>
      <c r="C1585" s="14" t="s">
        <v>18399</v>
      </c>
      <c r="D1585" s="14" t="s">
        <v>18400</v>
      </c>
      <c r="E1585" s="150" t="str">
        <f t="shared" si="26"/>
        <v>http://dx.doi.org/10.1109/VAST.2007.4389006</v>
      </c>
      <c r="F1585" s="14">
        <v>131.0</v>
      </c>
      <c r="G1585" s="14">
        <v>138.0</v>
      </c>
      <c r="H1585" s="14" t="s">
        <v>28</v>
      </c>
      <c r="I1585" s="14" t="s">
        <v>18401</v>
      </c>
      <c r="J1585" s="130" t="s">
        <v>18402</v>
      </c>
      <c r="K1585" s="152" t="s">
        <v>18850</v>
      </c>
      <c r="L1585" s="20" t="s">
        <v>18405</v>
      </c>
      <c r="M1585" s="174" t="s">
        <v>18406</v>
      </c>
      <c r="N1585" s="84"/>
      <c r="O1585" s="84"/>
      <c r="P1585" s="84"/>
      <c r="Q1585" s="84"/>
      <c r="R1585" s="84"/>
      <c r="S1585" s="84"/>
      <c r="T1585" s="84"/>
      <c r="U1585" s="84"/>
      <c r="V1585" s="84"/>
      <c r="W1585" s="84"/>
      <c r="X1585" s="84"/>
    </row>
    <row r="1586" ht="15.75" customHeight="1">
      <c r="A1586" s="14" t="s">
        <v>120</v>
      </c>
      <c r="B1586" s="14">
        <v>2007.0</v>
      </c>
      <c r="C1586" s="14" t="s">
        <v>18407</v>
      </c>
      <c r="D1586" s="14" t="s">
        <v>18408</v>
      </c>
      <c r="E1586" s="150" t="str">
        <f t="shared" si="26"/>
        <v>http://dx.doi.org/10.1109/VAST.2007.4389007</v>
      </c>
      <c r="F1586" s="14">
        <v>139.0</v>
      </c>
      <c r="G1586" s="14">
        <v>146.0</v>
      </c>
      <c r="H1586" s="14" t="s">
        <v>28</v>
      </c>
      <c r="I1586" s="14" t="s">
        <v>18409</v>
      </c>
      <c r="J1586" s="130" t="s">
        <v>18410</v>
      </c>
      <c r="K1586" s="152" t="s">
        <v>20348</v>
      </c>
      <c r="L1586" s="20" t="s">
        <v>18412</v>
      </c>
      <c r="M1586" s="174" t="s">
        <v>18413</v>
      </c>
      <c r="N1586" s="84"/>
      <c r="O1586" s="84"/>
      <c r="P1586" s="84"/>
      <c r="Q1586" s="84"/>
      <c r="R1586" s="84"/>
      <c r="S1586" s="84"/>
      <c r="T1586" s="84"/>
      <c r="U1586" s="84"/>
      <c r="V1586" s="84"/>
      <c r="W1586" s="84"/>
      <c r="X1586" s="84"/>
    </row>
    <row r="1587" ht="15.75" customHeight="1">
      <c r="A1587" s="14" t="s">
        <v>120</v>
      </c>
      <c r="B1587" s="14">
        <v>2007.0</v>
      </c>
      <c r="C1587" s="14" t="s">
        <v>18414</v>
      </c>
      <c r="D1587" s="14" t="s">
        <v>18415</v>
      </c>
      <c r="E1587" s="150" t="str">
        <f t="shared" si="26"/>
        <v>http://dx.doi.org/10.1109/VAST.2007.4389008</v>
      </c>
      <c r="F1587" s="14">
        <v>147.0</v>
      </c>
      <c r="G1587" s="14">
        <v>154.0</v>
      </c>
      <c r="H1587" s="14" t="s">
        <v>28</v>
      </c>
      <c r="I1587" s="14" t="s">
        <v>18416</v>
      </c>
      <c r="J1587" s="130" t="s">
        <v>18417</v>
      </c>
      <c r="K1587" s="152" t="s">
        <v>20350</v>
      </c>
      <c r="L1587" s="20" t="s">
        <v>18420</v>
      </c>
      <c r="M1587" s="174" t="s">
        <v>18421</v>
      </c>
      <c r="N1587" s="84"/>
      <c r="O1587" s="84"/>
      <c r="P1587" s="84"/>
      <c r="Q1587" s="84"/>
      <c r="R1587" s="84"/>
      <c r="S1587" s="84"/>
      <c r="T1587" s="84"/>
      <c r="U1587" s="84"/>
      <c r="V1587" s="84"/>
      <c r="W1587" s="84"/>
      <c r="X1587" s="84"/>
    </row>
    <row r="1588" ht="15.75" customHeight="1">
      <c r="A1588" s="14" t="s">
        <v>120</v>
      </c>
      <c r="B1588" s="14">
        <v>2007.0</v>
      </c>
      <c r="C1588" s="14" t="s">
        <v>18422</v>
      </c>
      <c r="D1588" s="14" t="s">
        <v>18423</v>
      </c>
      <c r="E1588" s="150" t="str">
        <f t="shared" si="26"/>
        <v>http://dx.doi.org/10.1109/VAST.2007.4389009</v>
      </c>
      <c r="F1588" s="14">
        <v>155.0</v>
      </c>
      <c r="G1588" s="14">
        <v>162.0</v>
      </c>
      <c r="H1588" s="14" t="s">
        <v>28</v>
      </c>
      <c r="I1588" s="14" t="s">
        <v>18424</v>
      </c>
      <c r="J1588" s="130" t="s">
        <v>18425</v>
      </c>
      <c r="K1588" s="152" t="s">
        <v>20358</v>
      </c>
      <c r="L1588" s="20" t="s">
        <v>18428</v>
      </c>
      <c r="M1588" s="174" t="s">
        <v>18429</v>
      </c>
      <c r="N1588" s="84"/>
      <c r="O1588" s="84"/>
      <c r="P1588" s="84"/>
      <c r="Q1588" s="84"/>
      <c r="R1588" s="84"/>
      <c r="S1588" s="84"/>
      <c r="T1588" s="84"/>
      <c r="U1588" s="84"/>
      <c r="V1588" s="84"/>
      <c r="W1588" s="84"/>
      <c r="X1588" s="84"/>
    </row>
    <row r="1589" ht="15.75" customHeight="1">
      <c r="A1589" s="14" t="s">
        <v>120</v>
      </c>
      <c r="B1589" s="14">
        <v>2007.0</v>
      </c>
      <c r="C1589" s="14" t="s">
        <v>18430</v>
      </c>
      <c r="D1589" s="14" t="s">
        <v>18431</v>
      </c>
      <c r="E1589" s="150" t="str">
        <f t="shared" si="26"/>
        <v>http://dx.doi.org/10.1109/VAST.2007.4389010</v>
      </c>
      <c r="F1589" s="14">
        <v>163.0</v>
      </c>
      <c r="G1589" s="14">
        <v>170.0</v>
      </c>
      <c r="H1589" s="14" t="s">
        <v>28</v>
      </c>
      <c r="I1589" s="14" t="s">
        <v>18432</v>
      </c>
      <c r="J1589" s="130" t="s">
        <v>18433</v>
      </c>
      <c r="K1589" s="152" t="s">
        <v>20371</v>
      </c>
      <c r="L1589" s="20" t="s">
        <v>18436</v>
      </c>
      <c r="M1589" s="174" t="s">
        <v>18437</v>
      </c>
      <c r="N1589" s="84"/>
      <c r="O1589" s="84"/>
      <c r="P1589" s="84"/>
      <c r="Q1589" s="84"/>
      <c r="R1589" s="84"/>
      <c r="S1589" s="84"/>
      <c r="T1589" s="84"/>
      <c r="U1589" s="84"/>
      <c r="V1589" s="84"/>
      <c r="W1589" s="84"/>
      <c r="X1589" s="84"/>
    </row>
    <row r="1590" ht="15.75" customHeight="1">
      <c r="A1590" s="14" t="s">
        <v>120</v>
      </c>
      <c r="B1590" s="14">
        <v>2007.0</v>
      </c>
      <c r="C1590" s="14" t="s">
        <v>18438</v>
      </c>
      <c r="D1590" s="14" t="s">
        <v>18439</v>
      </c>
      <c r="E1590" s="150" t="str">
        <f t="shared" si="26"/>
        <v>http://dx.doi.org/10.1109/VAST.2007.4389011</v>
      </c>
      <c r="F1590" s="14">
        <v>171.0</v>
      </c>
      <c r="G1590" s="14">
        <v>178.0</v>
      </c>
      <c r="H1590" s="14" t="s">
        <v>28</v>
      </c>
      <c r="I1590" s="14" t="s">
        <v>18440</v>
      </c>
      <c r="J1590" s="130" t="s">
        <v>17297</v>
      </c>
      <c r="K1590" s="152" t="s">
        <v>20422</v>
      </c>
      <c r="L1590" s="20" t="s">
        <v>18442</v>
      </c>
      <c r="M1590" s="174" t="s">
        <v>18443</v>
      </c>
      <c r="N1590" s="84"/>
      <c r="O1590" s="84"/>
      <c r="P1590" s="84"/>
      <c r="Q1590" s="84"/>
      <c r="R1590" s="84"/>
      <c r="S1590" s="84"/>
      <c r="T1590" s="84"/>
      <c r="U1590" s="84"/>
      <c r="V1590" s="84"/>
      <c r="W1590" s="84"/>
      <c r="X1590" s="84"/>
    </row>
    <row r="1591" ht="15.75" customHeight="1">
      <c r="A1591" s="14" t="s">
        <v>120</v>
      </c>
      <c r="B1591" s="14">
        <v>2007.0</v>
      </c>
      <c r="C1591" s="14" t="s">
        <v>18444</v>
      </c>
      <c r="D1591" s="14" t="s">
        <v>18445</v>
      </c>
      <c r="E1591" s="150" t="str">
        <f t="shared" si="26"/>
        <v>http://dx.doi.org/10.1109/VAST.2007.4389012</v>
      </c>
      <c r="F1591" s="14">
        <v>179.0</v>
      </c>
      <c r="G1591" s="14">
        <v>186.0</v>
      </c>
      <c r="H1591" s="14" t="s">
        <v>28</v>
      </c>
      <c r="I1591" s="14" t="s">
        <v>18446</v>
      </c>
      <c r="J1591" s="130" t="s">
        <v>18447</v>
      </c>
      <c r="K1591" s="152" t="s">
        <v>20327</v>
      </c>
      <c r="L1591" s="20" t="s">
        <v>17511</v>
      </c>
      <c r="M1591" s="174" t="s">
        <v>18450</v>
      </c>
      <c r="N1591" s="84"/>
      <c r="O1591" s="84"/>
      <c r="P1591" s="84"/>
      <c r="Q1591" s="84"/>
      <c r="R1591" s="84"/>
      <c r="S1591" s="84"/>
      <c r="T1591" s="84"/>
      <c r="U1591" s="84"/>
      <c r="V1591" s="84"/>
      <c r="W1591" s="84"/>
      <c r="X1591" s="84"/>
    </row>
    <row r="1592" ht="15.75" customHeight="1">
      <c r="A1592" s="14" t="s">
        <v>120</v>
      </c>
      <c r="B1592" s="14">
        <v>2007.0</v>
      </c>
      <c r="C1592" s="14" t="s">
        <v>18451</v>
      </c>
      <c r="D1592" s="14" t="s">
        <v>18452</v>
      </c>
      <c r="E1592" s="150" t="str">
        <f t="shared" si="26"/>
        <v>http://dx.doi.org/10.1109/VAST.2007.4389013</v>
      </c>
      <c r="F1592" s="14">
        <v>187.0</v>
      </c>
      <c r="G1592" s="14">
        <v>194.0</v>
      </c>
      <c r="H1592" s="14" t="s">
        <v>28</v>
      </c>
      <c r="I1592" s="14" t="s">
        <v>18453</v>
      </c>
      <c r="J1592" s="130" t="s">
        <v>18454</v>
      </c>
      <c r="K1592" s="152" t="s">
        <v>20464</v>
      </c>
      <c r="L1592" s="20" t="s">
        <v>18457</v>
      </c>
      <c r="M1592" s="174" t="s">
        <v>18458</v>
      </c>
      <c r="N1592" s="84"/>
      <c r="O1592" s="84"/>
      <c r="P1592" s="84"/>
      <c r="Q1592" s="84"/>
      <c r="R1592" s="84"/>
      <c r="S1592" s="84"/>
      <c r="T1592" s="84"/>
      <c r="U1592" s="84"/>
      <c r="V1592" s="84"/>
      <c r="W1592" s="84"/>
      <c r="X1592" s="84"/>
    </row>
    <row r="1593" ht="15.75" customHeight="1">
      <c r="A1593" s="14" t="s">
        <v>120</v>
      </c>
      <c r="B1593" s="14">
        <v>2007.0</v>
      </c>
      <c r="C1593" s="14" t="s">
        <v>18459</v>
      </c>
      <c r="D1593" s="14" t="s">
        <v>18460</v>
      </c>
      <c r="E1593" s="150" t="str">
        <f t="shared" si="26"/>
        <v>http://dx.doi.org/10.1109/VAST.2007.4389015</v>
      </c>
      <c r="F1593" s="14">
        <v>197.0</v>
      </c>
      <c r="G1593" s="14">
        <v>198.0</v>
      </c>
      <c r="H1593" s="14" t="s">
        <v>21</v>
      </c>
      <c r="I1593" s="14" t="s">
        <v>18461</v>
      </c>
      <c r="J1593" s="130" t="s">
        <v>18462</v>
      </c>
      <c r="K1593" s="152" t="s">
        <v>20485</v>
      </c>
      <c r="L1593" s="20"/>
      <c r="M1593" s="16"/>
      <c r="N1593" s="84"/>
      <c r="O1593" s="84"/>
      <c r="P1593" s="84"/>
      <c r="Q1593" s="84"/>
      <c r="R1593" s="84"/>
      <c r="S1593" s="84"/>
      <c r="T1593" s="84"/>
      <c r="U1593" s="84"/>
      <c r="V1593" s="84"/>
      <c r="W1593" s="84"/>
      <c r="X1593" s="84"/>
    </row>
    <row r="1594" ht="15.75" customHeight="1">
      <c r="A1594" s="14" t="s">
        <v>120</v>
      </c>
      <c r="B1594" s="14">
        <v>2007.0</v>
      </c>
      <c r="C1594" s="14" t="s">
        <v>18465</v>
      </c>
      <c r="D1594" s="67" t="s">
        <v>18466</v>
      </c>
      <c r="E1594" s="165" t="str">
        <f>"http://ieeexplore.ieee.org/xpl/articleDetails.jsp?arnumber=4389016"</f>
        <v>http://ieeexplore.ieee.org/xpl/articleDetails.jsp?arnumber=4389016</v>
      </c>
      <c r="F1594" s="14">
        <v>199.0</v>
      </c>
      <c r="G1594" s="14">
        <v>200.0</v>
      </c>
      <c r="H1594" s="14" t="s">
        <v>21</v>
      </c>
      <c r="I1594" s="14" t="s">
        <v>18467</v>
      </c>
      <c r="J1594" s="130" t="s">
        <v>18468</v>
      </c>
      <c r="K1594" s="152" t="s">
        <v>20511</v>
      </c>
      <c r="L1594" s="20"/>
      <c r="M1594" s="16"/>
      <c r="N1594" s="84"/>
      <c r="O1594" s="84"/>
      <c r="P1594" s="84"/>
      <c r="Q1594" s="84"/>
      <c r="R1594" s="84"/>
      <c r="S1594" s="84"/>
      <c r="T1594" s="84"/>
      <c r="U1594" s="84"/>
      <c r="V1594" s="84"/>
      <c r="W1594" s="84"/>
      <c r="X1594" s="84"/>
    </row>
    <row r="1595" ht="15.75" customHeight="1">
      <c r="A1595" s="14" t="s">
        <v>120</v>
      </c>
      <c r="B1595" s="14">
        <v>2007.0</v>
      </c>
      <c r="C1595" s="14" t="s">
        <v>18470</v>
      </c>
      <c r="D1595" s="14" t="s">
        <v>18471</v>
      </c>
      <c r="E1595" s="150" t="str">
        <f t="shared" ref="E1595:E1979" si="27">"http://dx.doi.org/" &amp; D1595</f>
        <v>http://dx.doi.org/10.1109/VAST.2007.4389017</v>
      </c>
      <c r="F1595" s="14">
        <v>201.0</v>
      </c>
      <c r="G1595" s="14">
        <v>202.0</v>
      </c>
      <c r="H1595" s="14" t="s">
        <v>21</v>
      </c>
      <c r="I1595" s="14" t="s">
        <v>18472</v>
      </c>
      <c r="J1595" s="130" t="s">
        <v>18473</v>
      </c>
      <c r="K1595" s="152" t="s">
        <v>20531</v>
      </c>
      <c r="L1595" s="20"/>
      <c r="M1595" s="16"/>
      <c r="N1595" s="84"/>
      <c r="O1595" s="84"/>
      <c r="P1595" s="84"/>
      <c r="Q1595" s="84"/>
      <c r="R1595" s="84"/>
      <c r="S1595" s="84"/>
      <c r="T1595" s="84"/>
      <c r="U1595" s="84"/>
      <c r="V1595" s="84"/>
      <c r="W1595" s="84"/>
      <c r="X1595" s="84"/>
    </row>
    <row r="1596" ht="15.75" customHeight="1">
      <c r="A1596" s="14" t="s">
        <v>120</v>
      </c>
      <c r="B1596" s="14">
        <v>2007.0</v>
      </c>
      <c r="C1596" s="14" t="s">
        <v>18478</v>
      </c>
      <c r="D1596" s="14" t="s">
        <v>18479</v>
      </c>
      <c r="E1596" s="150" t="str">
        <f t="shared" si="27"/>
        <v>http://dx.doi.org/10.1109/VAST.2007.4389018</v>
      </c>
      <c r="F1596" s="14">
        <v>203.0</v>
      </c>
      <c r="G1596" s="14">
        <v>204.0</v>
      </c>
      <c r="H1596" s="14" t="s">
        <v>21</v>
      </c>
      <c r="I1596" s="14" t="s">
        <v>18480</v>
      </c>
      <c r="J1596" s="130" t="s">
        <v>18481</v>
      </c>
      <c r="K1596" s="152" t="s">
        <v>494</v>
      </c>
      <c r="L1596" s="20"/>
      <c r="M1596" s="16"/>
      <c r="N1596" s="84"/>
      <c r="O1596" s="84"/>
      <c r="P1596" s="84"/>
      <c r="Q1596" s="84"/>
      <c r="R1596" s="84"/>
      <c r="S1596" s="84"/>
      <c r="T1596" s="84"/>
      <c r="U1596" s="84"/>
      <c r="V1596" s="84"/>
      <c r="W1596" s="84"/>
      <c r="X1596" s="84"/>
    </row>
    <row r="1597" ht="15.75" customHeight="1">
      <c r="A1597" s="14" t="s">
        <v>120</v>
      </c>
      <c r="B1597" s="14">
        <v>2007.0</v>
      </c>
      <c r="C1597" s="14" t="s">
        <v>18483</v>
      </c>
      <c r="D1597" s="14" t="s">
        <v>18484</v>
      </c>
      <c r="E1597" s="150" t="str">
        <f t="shared" si="27"/>
        <v>http://dx.doi.org/10.1109/VAST.2007.4389019</v>
      </c>
      <c r="F1597" s="14">
        <v>205.0</v>
      </c>
      <c r="G1597" s="14">
        <v>206.0</v>
      </c>
      <c r="H1597" s="14" t="s">
        <v>21</v>
      </c>
      <c r="I1597" s="14" t="s">
        <v>18485</v>
      </c>
      <c r="J1597" s="130" t="s">
        <v>18486</v>
      </c>
      <c r="K1597" s="152" t="s">
        <v>20564</v>
      </c>
      <c r="L1597" s="20"/>
      <c r="M1597" s="16"/>
      <c r="N1597" s="84"/>
      <c r="O1597" s="84"/>
      <c r="P1597" s="84"/>
      <c r="Q1597" s="84"/>
      <c r="R1597" s="84"/>
      <c r="S1597" s="84"/>
      <c r="T1597" s="84"/>
      <c r="U1597" s="84"/>
      <c r="V1597" s="84"/>
      <c r="W1597" s="84"/>
      <c r="X1597" s="84"/>
    </row>
    <row r="1598" ht="15.75" customHeight="1">
      <c r="A1598" s="14" t="s">
        <v>120</v>
      </c>
      <c r="B1598" s="14">
        <v>2007.0</v>
      </c>
      <c r="C1598" s="42" t="s">
        <v>18489</v>
      </c>
      <c r="D1598" s="14" t="s">
        <v>18490</v>
      </c>
      <c r="E1598" s="150" t="str">
        <f t="shared" si="27"/>
        <v>http://dx.doi.org/10.1109/VAST.2007.4389020</v>
      </c>
      <c r="F1598" s="14">
        <v>207.0</v>
      </c>
      <c r="G1598" s="14">
        <v>208.0</v>
      </c>
      <c r="H1598" s="14" t="s">
        <v>21</v>
      </c>
      <c r="I1598" s="14" t="s">
        <v>20579</v>
      </c>
      <c r="J1598" s="130" t="s">
        <v>18492</v>
      </c>
      <c r="K1598" s="152" t="s">
        <v>20582</v>
      </c>
      <c r="L1598" s="20"/>
      <c r="M1598" s="16"/>
      <c r="N1598" s="84"/>
      <c r="O1598" s="84"/>
      <c r="P1598" s="84"/>
      <c r="Q1598" s="84"/>
      <c r="R1598" s="84"/>
      <c r="S1598" s="84"/>
      <c r="T1598" s="84"/>
      <c r="U1598" s="84"/>
      <c r="V1598" s="84"/>
      <c r="W1598" s="84"/>
      <c r="X1598" s="84"/>
    </row>
    <row r="1599" ht="15.75" customHeight="1">
      <c r="A1599" s="14" t="s">
        <v>120</v>
      </c>
      <c r="B1599" s="14">
        <v>2007.0</v>
      </c>
      <c r="C1599" s="14" t="s">
        <v>18495</v>
      </c>
      <c r="D1599" s="14" t="s">
        <v>18496</v>
      </c>
      <c r="E1599" s="150" t="str">
        <f t="shared" si="27"/>
        <v>http://dx.doi.org/10.1109/VAST.2007.4389021</v>
      </c>
      <c r="F1599" s="14">
        <v>209.0</v>
      </c>
      <c r="G1599" s="14">
        <v>210.0</v>
      </c>
      <c r="H1599" s="14" t="s">
        <v>21</v>
      </c>
      <c r="I1599" s="14" t="s">
        <v>18497</v>
      </c>
      <c r="J1599" s="130" t="s">
        <v>18498</v>
      </c>
      <c r="K1599" s="152" t="s">
        <v>20596</v>
      </c>
      <c r="L1599" s="20"/>
      <c r="M1599" s="16"/>
      <c r="N1599" s="84"/>
      <c r="O1599" s="84"/>
      <c r="P1599" s="84"/>
      <c r="Q1599" s="84"/>
      <c r="R1599" s="84"/>
      <c r="S1599" s="84"/>
      <c r="T1599" s="84"/>
      <c r="U1599" s="84"/>
      <c r="V1599" s="84"/>
      <c r="W1599" s="84"/>
      <c r="X1599" s="84"/>
    </row>
    <row r="1600" ht="15.75" customHeight="1">
      <c r="A1600" s="14" t="s">
        <v>120</v>
      </c>
      <c r="B1600" s="14">
        <v>2007.0</v>
      </c>
      <c r="C1600" s="14" t="s">
        <v>18501</v>
      </c>
      <c r="D1600" s="14" t="s">
        <v>18502</v>
      </c>
      <c r="E1600" s="150" t="str">
        <f t="shared" si="27"/>
        <v>http://dx.doi.org/10.1109/VAST.2007.4389022</v>
      </c>
      <c r="F1600" s="14">
        <v>211.0</v>
      </c>
      <c r="G1600" s="14">
        <v>212.0</v>
      </c>
      <c r="H1600" s="14" t="s">
        <v>21</v>
      </c>
      <c r="I1600" s="14" t="s">
        <v>18503</v>
      </c>
      <c r="J1600" s="130" t="s">
        <v>18504</v>
      </c>
      <c r="K1600" s="152" t="s">
        <v>20617</v>
      </c>
      <c r="L1600" s="20"/>
      <c r="M1600" s="16"/>
      <c r="N1600" s="84"/>
      <c r="O1600" s="84"/>
      <c r="P1600" s="84"/>
      <c r="Q1600" s="84"/>
      <c r="R1600" s="84"/>
      <c r="S1600" s="84"/>
      <c r="T1600" s="84"/>
      <c r="U1600" s="84"/>
      <c r="V1600" s="84"/>
      <c r="W1600" s="84"/>
      <c r="X1600" s="84"/>
    </row>
    <row r="1601" ht="15.75" customHeight="1">
      <c r="A1601" s="14" t="s">
        <v>120</v>
      </c>
      <c r="B1601" s="14">
        <v>2007.0</v>
      </c>
      <c r="C1601" s="14" t="s">
        <v>18506</v>
      </c>
      <c r="D1601" s="14" t="s">
        <v>18507</v>
      </c>
      <c r="E1601" s="150" t="str">
        <f t="shared" si="27"/>
        <v>http://dx.doi.org/10.1109/VAST.2007.4389023</v>
      </c>
      <c r="F1601" s="14">
        <v>213.0</v>
      </c>
      <c r="G1601" s="14">
        <v>214.0</v>
      </c>
      <c r="H1601" s="14" t="s">
        <v>21</v>
      </c>
      <c r="I1601" s="14" t="s">
        <v>18508</v>
      </c>
      <c r="J1601" s="130" t="s">
        <v>18509</v>
      </c>
      <c r="K1601" s="152" t="s">
        <v>20631</v>
      </c>
      <c r="L1601" s="20"/>
      <c r="M1601" s="16"/>
      <c r="N1601" s="84"/>
      <c r="O1601" s="84"/>
      <c r="P1601" s="84"/>
      <c r="Q1601" s="84"/>
      <c r="R1601" s="84"/>
      <c r="S1601" s="84"/>
      <c r="T1601" s="84"/>
      <c r="U1601" s="84"/>
      <c r="V1601" s="84"/>
      <c r="W1601" s="84"/>
      <c r="X1601" s="84"/>
    </row>
    <row r="1602" ht="15.75" customHeight="1">
      <c r="A1602" s="14" t="s">
        <v>120</v>
      </c>
      <c r="B1602" s="14">
        <v>2007.0</v>
      </c>
      <c r="C1602" s="14" t="s">
        <v>18511</v>
      </c>
      <c r="D1602" s="14" t="s">
        <v>18512</v>
      </c>
      <c r="E1602" s="150" t="str">
        <f t="shared" si="27"/>
        <v>http://dx.doi.org/10.1109/VAST.2007.4389024</v>
      </c>
      <c r="F1602" s="14">
        <v>215.0</v>
      </c>
      <c r="G1602" s="14">
        <v>216.0</v>
      </c>
      <c r="H1602" s="14" t="s">
        <v>21</v>
      </c>
      <c r="I1602" s="14" t="s">
        <v>18513</v>
      </c>
      <c r="J1602" s="130" t="s">
        <v>18514</v>
      </c>
      <c r="K1602" s="152" t="s">
        <v>20648</v>
      </c>
      <c r="L1602" s="20"/>
      <c r="M1602" s="16"/>
      <c r="N1602" s="84"/>
      <c r="O1602" s="84"/>
      <c r="P1602" s="84"/>
      <c r="Q1602" s="84"/>
      <c r="R1602" s="84"/>
      <c r="S1602" s="84"/>
      <c r="T1602" s="84"/>
      <c r="U1602" s="84"/>
      <c r="V1602" s="84"/>
      <c r="W1602" s="84"/>
      <c r="X1602" s="84"/>
    </row>
    <row r="1603" ht="15.75" customHeight="1">
      <c r="A1603" s="14" t="s">
        <v>120</v>
      </c>
      <c r="B1603" s="14">
        <v>2007.0</v>
      </c>
      <c r="C1603" s="14" t="s">
        <v>18516</v>
      </c>
      <c r="D1603" s="14" t="s">
        <v>18517</v>
      </c>
      <c r="E1603" s="150" t="str">
        <f t="shared" si="27"/>
        <v>http://dx.doi.org/10.1109/VAST.2007.4389025</v>
      </c>
      <c r="F1603" s="14">
        <v>217.0</v>
      </c>
      <c r="G1603" s="14">
        <v>218.0</v>
      </c>
      <c r="H1603" s="14" t="s">
        <v>21</v>
      </c>
      <c r="I1603" s="14" t="s">
        <v>18518</v>
      </c>
      <c r="J1603" s="130" t="s">
        <v>7951</v>
      </c>
      <c r="K1603" s="152" t="s">
        <v>20665</v>
      </c>
      <c r="L1603" s="20"/>
      <c r="M1603" s="16"/>
      <c r="N1603" s="84"/>
      <c r="O1603" s="84"/>
      <c r="P1603" s="84"/>
      <c r="Q1603" s="84"/>
      <c r="R1603" s="84"/>
      <c r="S1603" s="84"/>
      <c r="T1603" s="84"/>
      <c r="U1603" s="84"/>
      <c r="V1603" s="84"/>
      <c r="W1603" s="84"/>
      <c r="X1603" s="84"/>
    </row>
    <row r="1604" ht="15.75" customHeight="1">
      <c r="A1604" s="14" t="s">
        <v>120</v>
      </c>
      <c r="B1604" s="14">
        <v>2007.0</v>
      </c>
      <c r="C1604" s="14" t="s">
        <v>18520</v>
      </c>
      <c r="D1604" s="14" t="s">
        <v>18521</v>
      </c>
      <c r="E1604" s="150" t="str">
        <f t="shared" si="27"/>
        <v>http://dx.doi.org/10.1109/VAST.2007.4389026</v>
      </c>
      <c r="F1604" s="14">
        <v>219.0</v>
      </c>
      <c r="G1604" s="14">
        <v>220.0</v>
      </c>
      <c r="H1604" s="14" t="s">
        <v>21</v>
      </c>
      <c r="I1604" s="14" t="s">
        <v>18522</v>
      </c>
      <c r="J1604" s="130" t="s">
        <v>18523</v>
      </c>
      <c r="K1604" s="152" t="s">
        <v>20678</v>
      </c>
      <c r="L1604" s="20"/>
      <c r="M1604" s="16"/>
      <c r="N1604" s="84"/>
      <c r="O1604" s="84"/>
      <c r="P1604" s="84"/>
      <c r="Q1604" s="84"/>
      <c r="R1604" s="84"/>
      <c r="S1604" s="84"/>
      <c r="T1604" s="84"/>
      <c r="U1604" s="84"/>
      <c r="V1604" s="84"/>
      <c r="W1604" s="84"/>
      <c r="X1604" s="84"/>
    </row>
    <row r="1605" ht="15.75" customHeight="1">
      <c r="A1605" s="14" t="s">
        <v>120</v>
      </c>
      <c r="B1605" s="14">
        <v>2007.0</v>
      </c>
      <c r="C1605" s="14" t="s">
        <v>18526</v>
      </c>
      <c r="D1605" s="14" t="s">
        <v>18527</v>
      </c>
      <c r="E1605" s="150" t="str">
        <f t="shared" si="27"/>
        <v>http://dx.doi.org/10.1109/VAST.2007.4389027</v>
      </c>
      <c r="F1605" s="14">
        <v>221.0</v>
      </c>
      <c r="G1605" s="14">
        <v>222.0</v>
      </c>
      <c r="H1605" s="14" t="s">
        <v>21</v>
      </c>
      <c r="I1605" s="14" t="s">
        <v>18528</v>
      </c>
      <c r="J1605" s="130" t="s">
        <v>18530</v>
      </c>
      <c r="K1605" s="152" t="s">
        <v>880</v>
      </c>
      <c r="L1605" s="20"/>
      <c r="M1605" s="16"/>
      <c r="N1605" s="84"/>
      <c r="O1605" s="84"/>
      <c r="P1605" s="84"/>
      <c r="Q1605" s="84"/>
      <c r="R1605" s="84"/>
      <c r="S1605" s="84"/>
      <c r="T1605" s="84"/>
      <c r="U1605" s="84"/>
      <c r="V1605" s="84"/>
      <c r="W1605" s="84"/>
      <c r="X1605" s="84"/>
    </row>
    <row r="1606" ht="15.75" customHeight="1">
      <c r="A1606" s="14" t="s">
        <v>120</v>
      </c>
      <c r="B1606" s="14">
        <v>2007.0</v>
      </c>
      <c r="C1606" s="14" t="s">
        <v>18532</v>
      </c>
      <c r="D1606" s="14" t="s">
        <v>18533</v>
      </c>
      <c r="E1606" s="150" t="str">
        <f t="shared" si="27"/>
        <v>http://dx.doi.org/10.1109/VAST.2007.4389028</v>
      </c>
      <c r="F1606" s="14">
        <v>223.0</v>
      </c>
      <c r="G1606" s="14">
        <v>224.0</v>
      </c>
      <c r="H1606" s="14" t="s">
        <v>21</v>
      </c>
      <c r="I1606" s="14" t="s">
        <v>18534</v>
      </c>
      <c r="J1606" s="130" t="s">
        <v>18535</v>
      </c>
      <c r="K1606" s="152" t="s">
        <v>20706</v>
      </c>
      <c r="L1606" s="20"/>
      <c r="M1606" s="16"/>
      <c r="N1606" s="84"/>
      <c r="O1606" s="84"/>
      <c r="P1606" s="84"/>
      <c r="Q1606" s="84"/>
      <c r="R1606" s="84"/>
      <c r="S1606" s="84"/>
      <c r="T1606" s="84"/>
      <c r="U1606" s="84"/>
      <c r="V1606" s="84"/>
      <c r="W1606" s="84"/>
      <c r="X1606" s="84"/>
    </row>
    <row r="1607" ht="15.75" customHeight="1">
      <c r="A1607" s="14" t="s">
        <v>120</v>
      </c>
      <c r="B1607" s="14">
        <v>2007.0</v>
      </c>
      <c r="C1607" s="14" t="s">
        <v>18538</v>
      </c>
      <c r="D1607" s="14" t="s">
        <v>18539</v>
      </c>
      <c r="E1607" s="150" t="str">
        <f t="shared" si="27"/>
        <v>http://dx.doi.org/10.1109/VAST.2007.4389030</v>
      </c>
      <c r="F1607" s="14">
        <v>227.0</v>
      </c>
      <c r="G1607" s="14">
        <v>227.0</v>
      </c>
      <c r="H1607" s="14" t="s">
        <v>21</v>
      </c>
      <c r="I1607" s="14" t="s">
        <v>18540</v>
      </c>
      <c r="J1607" s="155" t="s">
        <v>41691</v>
      </c>
      <c r="K1607" s="152" t="s">
        <v>20708</v>
      </c>
      <c r="L1607" s="20"/>
      <c r="M1607" s="16"/>
      <c r="N1607" s="84"/>
      <c r="O1607" s="84"/>
      <c r="P1607" s="84"/>
      <c r="Q1607" s="84"/>
      <c r="R1607" s="84"/>
      <c r="S1607" s="84"/>
      <c r="T1607" s="84"/>
      <c r="U1607" s="84"/>
      <c r="V1607" s="84"/>
      <c r="W1607" s="84"/>
      <c r="X1607" s="84"/>
    </row>
    <row r="1608" ht="15.75" customHeight="1">
      <c r="A1608" s="14" t="s">
        <v>120</v>
      </c>
      <c r="B1608" s="14">
        <v>2007.0</v>
      </c>
      <c r="C1608" s="14" t="s">
        <v>18545</v>
      </c>
      <c r="D1608" s="14" t="s">
        <v>18546</v>
      </c>
      <c r="E1608" s="150" t="str">
        <f t="shared" si="27"/>
        <v>http://dx.doi.org/10.1109/VAST.2007.4389032</v>
      </c>
      <c r="F1608" s="14">
        <v>231.0</v>
      </c>
      <c r="G1608" s="14">
        <v>232.0</v>
      </c>
      <c r="H1608" s="14" t="s">
        <v>21</v>
      </c>
      <c r="I1608" s="14" t="s">
        <v>18548</v>
      </c>
      <c r="J1608" s="130" t="s">
        <v>18549</v>
      </c>
      <c r="K1608" s="152" t="s">
        <v>20710</v>
      </c>
      <c r="L1608" s="20"/>
      <c r="M1608" s="16"/>
      <c r="N1608" s="84"/>
      <c r="O1608" s="84"/>
      <c r="P1608" s="84"/>
      <c r="Q1608" s="84"/>
      <c r="R1608" s="84"/>
      <c r="S1608" s="84"/>
      <c r="T1608" s="84"/>
      <c r="U1608" s="84"/>
      <c r="V1608" s="84"/>
      <c r="W1608" s="84"/>
      <c r="X1608" s="84"/>
    </row>
    <row r="1609" ht="15.75" customHeight="1">
      <c r="A1609" s="14" t="s">
        <v>120</v>
      </c>
      <c r="B1609" s="14">
        <v>2007.0</v>
      </c>
      <c r="C1609" s="14" t="s">
        <v>18552</v>
      </c>
      <c r="D1609" s="14" t="s">
        <v>18553</v>
      </c>
      <c r="E1609" s="150" t="str">
        <f t="shared" si="27"/>
        <v>http://dx.doi.org/10.1109/VAST.2007.4389033</v>
      </c>
      <c r="F1609" s="14">
        <v>233.0</v>
      </c>
      <c r="G1609" s="14">
        <v>234.0</v>
      </c>
      <c r="H1609" s="14" t="s">
        <v>21</v>
      </c>
      <c r="I1609" s="14" t="s">
        <v>18554</v>
      </c>
      <c r="J1609" s="130" t="s">
        <v>18555</v>
      </c>
      <c r="K1609" s="152" t="s">
        <v>20712</v>
      </c>
      <c r="L1609" s="20"/>
      <c r="M1609" s="16"/>
      <c r="N1609" s="84"/>
      <c r="O1609" s="84"/>
      <c r="P1609" s="84"/>
      <c r="Q1609" s="84"/>
      <c r="R1609" s="84"/>
      <c r="S1609" s="84"/>
      <c r="T1609" s="84"/>
      <c r="U1609" s="84"/>
      <c r="V1609" s="84"/>
      <c r="W1609" s="84"/>
      <c r="X1609" s="84"/>
    </row>
    <row r="1610" ht="15.75" customHeight="1">
      <c r="A1610" s="14" t="s">
        <v>120</v>
      </c>
      <c r="B1610" s="14">
        <v>2007.0</v>
      </c>
      <c r="C1610" s="14" t="s">
        <v>18557</v>
      </c>
      <c r="D1610" s="14" t="s">
        <v>18558</v>
      </c>
      <c r="E1610" s="150" t="str">
        <f t="shared" si="27"/>
        <v>http://dx.doi.org/10.1109/VAST.2007.4389034</v>
      </c>
      <c r="F1610" s="14">
        <v>235.0</v>
      </c>
      <c r="G1610" s="14">
        <v>236.0</v>
      </c>
      <c r="H1610" s="14" t="s">
        <v>21</v>
      </c>
      <c r="I1610" s="14" t="s">
        <v>18560</v>
      </c>
      <c r="J1610" s="130" t="s">
        <v>18562</v>
      </c>
      <c r="K1610" s="152" t="s">
        <v>20531</v>
      </c>
      <c r="L1610" s="20"/>
      <c r="M1610" s="16"/>
      <c r="N1610" s="84"/>
      <c r="O1610" s="84"/>
      <c r="P1610" s="84"/>
      <c r="Q1610" s="84"/>
      <c r="R1610" s="84"/>
      <c r="S1610" s="84"/>
      <c r="T1610" s="84"/>
      <c r="U1610" s="84"/>
      <c r="V1610" s="84"/>
      <c r="W1610" s="84"/>
      <c r="X1610" s="84"/>
    </row>
    <row r="1611" ht="15.75" customHeight="1">
      <c r="A1611" s="14" t="s">
        <v>120</v>
      </c>
      <c r="B1611" s="14">
        <v>2007.0</v>
      </c>
      <c r="C1611" s="14" t="s">
        <v>18459</v>
      </c>
      <c r="D1611" s="14" t="s">
        <v>18563</v>
      </c>
      <c r="E1611" s="150" t="str">
        <f t="shared" si="27"/>
        <v>http://dx.doi.org/10.1109/VAST.2007.4389035</v>
      </c>
      <c r="F1611" s="14">
        <v>237.0</v>
      </c>
      <c r="G1611" s="14">
        <v>238.0</v>
      </c>
      <c r="H1611" s="14" t="s">
        <v>21</v>
      </c>
      <c r="I1611" s="14" t="s">
        <v>18461</v>
      </c>
      <c r="J1611" s="130" t="s">
        <v>18462</v>
      </c>
      <c r="K1611" s="152" t="s">
        <v>20716</v>
      </c>
      <c r="L1611" s="20"/>
      <c r="M1611" s="16"/>
      <c r="N1611" s="84"/>
      <c r="O1611" s="84"/>
      <c r="P1611" s="84"/>
      <c r="Q1611" s="84"/>
      <c r="R1611" s="84"/>
      <c r="S1611" s="84"/>
      <c r="T1611" s="84"/>
      <c r="U1611" s="84"/>
      <c r="V1611" s="84"/>
      <c r="W1611" s="84"/>
      <c r="X1611" s="84"/>
    </row>
    <row r="1612" ht="15.75" customHeight="1">
      <c r="A1612" s="14" t="s">
        <v>120</v>
      </c>
      <c r="B1612" s="14">
        <v>2007.0</v>
      </c>
      <c r="C1612" s="14" t="s">
        <v>18565</v>
      </c>
      <c r="D1612" s="14" t="s">
        <v>18566</v>
      </c>
      <c r="E1612" s="150" t="str">
        <f t="shared" si="27"/>
        <v>http://dx.doi.org/10.1109/VAST.2007.4389036</v>
      </c>
      <c r="F1612" s="14">
        <v>241.0</v>
      </c>
      <c r="G1612" s="14">
        <v>242.0</v>
      </c>
      <c r="H1612" s="14" t="s">
        <v>21</v>
      </c>
      <c r="I1612" s="14" t="s">
        <v>18568</v>
      </c>
      <c r="J1612" s="130" t="s">
        <v>18569</v>
      </c>
      <c r="K1612" s="152" t="s">
        <v>20718</v>
      </c>
      <c r="L1612" s="20"/>
      <c r="M1612" s="16"/>
      <c r="N1612" s="84"/>
      <c r="O1612" s="84"/>
      <c r="P1612" s="84"/>
      <c r="Q1612" s="84"/>
      <c r="R1612" s="84"/>
      <c r="S1612" s="84"/>
      <c r="T1612" s="84"/>
      <c r="U1612" s="84"/>
      <c r="V1612" s="84"/>
      <c r="W1612" s="84"/>
      <c r="X1612" s="84"/>
    </row>
    <row r="1613" ht="15.75" customHeight="1">
      <c r="A1613" s="14" t="s">
        <v>120</v>
      </c>
      <c r="B1613" s="14">
        <v>2007.0</v>
      </c>
      <c r="C1613" s="14" t="s">
        <v>18572</v>
      </c>
      <c r="D1613" s="14" t="s">
        <v>18573</v>
      </c>
      <c r="E1613" s="150" t="str">
        <f t="shared" si="27"/>
        <v>http://dx.doi.org/10.1109/VAST.2007.4389037</v>
      </c>
      <c r="F1613" s="14">
        <v>243.0</v>
      </c>
      <c r="G1613" s="14">
        <v>244.0</v>
      </c>
      <c r="H1613" s="14" t="s">
        <v>21</v>
      </c>
      <c r="I1613" s="14" t="s">
        <v>18574</v>
      </c>
      <c r="J1613" s="130" t="s">
        <v>18575</v>
      </c>
      <c r="K1613" s="152" t="s">
        <v>20720</v>
      </c>
      <c r="L1613" s="20"/>
      <c r="M1613" s="16"/>
      <c r="N1613" s="84"/>
      <c r="O1613" s="84"/>
      <c r="P1613" s="84"/>
      <c r="Q1613" s="84"/>
      <c r="R1613" s="84"/>
      <c r="S1613" s="84"/>
      <c r="T1613" s="84"/>
      <c r="U1613" s="84"/>
      <c r="V1613" s="84"/>
      <c r="W1613" s="84"/>
      <c r="X1613" s="84"/>
    </row>
    <row r="1614" ht="15.75" customHeight="1">
      <c r="A1614" s="14" t="s">
        <v>120</v>
      </c>
      <c r="B1614" s="14">
        <v>2007.0</v>
      </c>
      <c r="C1614" s="14" t="s">
        <v>18579</v>
      </c>
      <c r="D1614" s="14" t="s">
        <v>18580</v>
      </c>
      <c r="E1614" s="150" t="str">
        <f t="shared" si="27"/>
        <v>http://dx.doi.org/10.1109/VAST.2007.4389038</v>
      </c>
      <c r="F1614" s="14">
        <v>245.0</v>
      </c>
      <c r="G1614" s="14">
        <v>246.0</v>
      </c>
      <c r="H1614" s="14" t="s">
        <v>21</v>
      </c>
      <c r="I1614" s="14" t="s">
        <v>18582</v>
      </c>
      <c r="J1614" s="130" t="s">
        <v>18468</v>
      </c>
      <c r="K1614" s="152" t="s">
        <v>20722</v>
      </c>
      <c r="L1614" s="20"/>
      <c r="M1614" s="16"/>
      <c r="N1614" s="84"/>
      <c r="O1614" s="84"/>
      <c r="P1614" s="84"/>
      <c r="Q1614" s="84"/>
      <c r="R1614" s="84"/>
      <c r="S1614" s="84"/>
      <c r="T1614" s="84"/>
      <c r="U1614" s="84"/>
      <c r="V1614" s="84"/>
      <c r="W1614" s="84"/>
      <c r="X1614" s="84"/>
    </row>
    <row r="1615" ht="15.75" customHeight="1">
      <c r="A1615" s="14" t="s">
        <v>120</v>
      </c>
      <c r="B1615" s="14">
        <v>2007.0</v>
      </c>
      <c r="C1615" s="14" t="s">
        <v>18489</v>
      </c>
      <c r="D1615" s="14" t="s">
        <v>18583</v>
      </c>
      <c r="E1615" s="150" t="str">
        <f t="shared" si="27"/>
        <v>http://dx.doi.org/10.1109/VAST.2007.4470207</v>
      </c>
      <c r="F1615" s="14">
        <v>239.0</v>
      </c>
      <c r="G1615" s="14">
        <v>240.0</v>
      </c>
      <c r="H1615" s="14" t="s">
        <v>21</v>
      </c>
      <c r="I1615" s="14" t="s">
        <v>20579</v>
      </c>
      <c r="J1615" s="130" t="s">
        <v>18584</v>
      </c>
      <c r="K1615" s="152" t="s">
        <v>1253</v>
      </c>
      <c r="L1615" s="20"/>
      <c r="M1615" s="16"/>
      <c r="N1615" s="84"/>
      <c r="O1615" s="84"/>
      <c r="P1615" s="84"/>
      <c r="Q1615" s="84"/>
      <c r="R1615" s="84"/>
      <c r="S1615" s="84"/>
      <c r="T1615" s="84"/>
      <c r="U1615" s="84"/>
      <c r="V1615" s="84"/>
      <c r="W1615" s="84"/>
      <c r="X1615" s="84"/>
    </row>
    <row r="1616" ht="15.75" customHeight="1">
      <c r="A1616" s="14" t="s">
        <v>17</v>
      </c>
      <c r="B1616" s="14">
        <v>2007.0</v>
      </c>
      <c r="C1616" s="14" t="s">
        <v>18585</v>
      </c>
      <c r="D1616" s="14" t="s">
        <v>18586</v>
      </c>
      <c r="E1616" s="150" t="str">
        <f t="shared" si="27"/>
        <v>http://dx.doi.org/10.1109/TVCG.2007.70516</v>
      </c>
      <c r="F1616" s="14">
        <v>1600.0</v>
      </c>
      <c r="G1616" s="14">
        <v>1607.0</v>
      </c>
      <c r="H1616" s="14" t="s">
        <v>17059</v>
      </c>
      <c r="I1616" s="14" t="s">
        <v>18590</v>
      </c>
      <c r="J1616" s="130" t="s">
        <v>18591</v>
      </c>
      <c r="K1616" s="152" t="s">
        <v>18869</v>
      </c>
      <c r="L1616" s="20" t="s">
        <v>18593</v>
      </c>
      <c r="M1616" s="174" t="s">
        <v>18594</v>
      </c>
      <c r="N1616" s="84"/>
      <c r="O1616" s="84"/>
      <c r="P1616" s="84"/>
      <c r="Q1616" s="84"/>
      <c r="R1616" s="84"/>
      <c r="S1616" s="84"/>
      <c r="T1616" s="84"/>
      <c r="U1616" s="84"/>
      <c r="V1616" s="84"/>
      <c r="W1616" s="84"/>
      <c r="X1616" s="84"/>
    </row>
    <row r="1617" ht="15.75" customHeight="1">
      <c r="A1617" s="14" t="s">
        <v>17</v>
      </c>
      <c r="B1617" s="14">
        <v>2007.0</v>
      </c>
      <c r="C1617" s="14" t="s">
        <v>18595</v>
      </c>
      <c r="D1617" s="14" t="s">
        <v>18596</v>
      </c>
      <c r="E1617" s="150" t="str">
        <f t="shared" si="27"/>
        <v>http://dx.doi.org/10.1109/TVCG.2007.70517</v>
      </c>
      <c r="F1617" s="14">
        <v>1616.0</v>
      </c>
      <c r="G1617" s="14">
        <v>1623.0</v>
      </c>
      <c r="H1617" s="14" t="s">
        <v>17059</v>
      </c>
      <c r="I1617" s="14" t="s">
        <v>18597</v>
      </c>
      <c r="J1617" s="130" t="s">
        <v>18598</v>
      </c>
      <c r="K1617" s="152" t="s">
        <v>18879</v>
      </c>
      <c r="L1617" s="20" t="s">
        <v>18600</v>
      </c>
      <c r="M1617" s="174" t="s">
        <v>18601</v>
      </c>
      <c r="N1617" s="84"/>
      <c r="O1617" s="84"/>
      <c r="P1617" s="84"/>
      <c r="Q1617" s="84"/>
      <c r="R1617" s="84"/>
      <c r="S1617" s="84"/>
      <c r="T1617" s="84"/>
      <c r="U1617" s="84"/>
      <c r="V1617" s="84"/>
      <c r="W1617" s="84"/>
      <c r="X1617" s="84"/>
    </row>
    <row r="1618" ht="15.75" customHeight="1">
      <c r="A1618" s="14" t="s">
        <v>17</v>
      </c>
      <c r="B1618" s="14">
        <v>2007.0</v>
      </c>
      <c r="C1618" s="14" t="s">
        <v>18604</v>
      </c>
      <c r="D1618" s="14" t="s">
        <v>18605</v>
      </c>
      <c r="E1618" s="150" t="str">
        <f t="shared" si="27"/>
        <v>http://dx.doi.org/10.1109/TVCG.2007.70518</v>
      </c>
      <c r="F1618" s="14">
        <v>1648.0</v>
      </c>
      <c r="G1618" s="14">
        <v>1655.0</v>
      </c>
      <c r="H1618" s="14" t="s">
        <v>17059</v>
      </c>
      <c r="I1618" s="14" t="s">
        <v>18606</v>
      </c>
      <c r="J1618" s="130" t="s">
        <v>18607</v>
      </c>
      <c r="K1618" s="152" t="s">
        <v>18895</v>
      </c>
      <c r="L1618" s="20" t="s">
        <v>18609</v>
      </c>
      <c r="M1618" s="174" t="s">
        <v>18610</v>
      </c>
      <c r="N1618" s="84"/>
      <c r="O1618" s="84"/>
      <c r="P1618" s="84"/>
      <c r="Q1618" s="84"/>
      <c r="R1618" s="84"/>
      <c r="S1618" s="84"/>
      <c r="T1618" s="84"/>
      <c r="U1618" s="84"/>
      <c r="V1618" s="84"/>
      <c r="W1618" s="84"/>
      <c r="X1618" s="84"/>
    </row>
    <row r="1619" ht="15.75" customHeight="1">
      <c r="A1619" s="14" t="s">
        <v>17</v>
      </c>
      <c r="B1619" s="14">
        <v>2007.0</v>
      </c>
      <c r="C1619" s="14" t="s">
        <v>18611</v>
      </c>
      <c r="D1619" s="14" t="s">
        <v>18612</v>
      </c>
      <c r="E1619" s="150" t="str">
        <f t="shared" si="27"/>
        <v>http://dx.doi.org/10.1109/TVCG.2007.70519</v>
      </c>
      <c r="F1619" s="14">
        <v>1400.0</v>
      </c>
      <c r="G1619" s="14">
        <v>1407.0</v>
      </c>
      <c r="H1619" s="14" t="s">
        <v>17059</v>
      </c>
      <c r="I1619" s="14" t="s">
        <v>18615</v>
      </c>
      <c r="J1619" s="130" t="s">
        <v>18616</v>
      </c>
      <c r="K1619" s="152" t="s">
        <v>18909</v>
      </c>
      <c r="L1619" s="20" t="s">
        <v>18619</v>
      </c>
      <c r="M1619" s="174" t="s">
        <v>18620</v>
      </c>
      <c r="N1619" s="84"/>
      <c r="O1619" s="84"/>
      <c r="P1619" s="84"/>
      <c r="Q1619" s="84"/>
      <c r="R1619" s="84"/>
      <c r="S1619" s="84"/>
      <c r="T1619" s="84"/>
      <c r="U1619" s="84"/>
      <c r="V1619" s="84"/>
      <c r="W1619" s="84"/>
      <c r="X1619" s="84"/>
    </row>
    <row r="1620" ht="15.75" customHeight="1">
      <c r="A1620" s="14" t="s">
        <v>17</v>
      </c>
      <c r="B1620" s="14">
        <v>2007.0</v>
      </c>
      <c r="C1620" s="14" t="s">
        <v>18621</v>
      </c>
      <c r="D1620" s="14" t="s">
        <v>18622</v>
      </c>
      <c r="E1620" s="150" t="str">
        <f t="shared" si="27"/>
        <v>http://dx.doi.org/10.1109/TVCG.2007.70523</v>
      </c>
      <c r="F1620" s="14">
        <v>1408.0</v>
      </c>
      <c r="G1620" s="14">
        <v>1415.0</v>
      </c>
      <c r="H1620" s="14" t="s">
        <v>17059</v>
      </c>
      <c r="I1620" s="14" t="s">
        <v>18623</v>
      </c>
      <c r="J1620" s="130" t="s">
        <v>18624</v>
      </c>
      <c r="K1620" s="152" t="s">
        <v>18954</v>
      </c>
      <c r="L1620" s="20" t="s">
        <v>18627</v>
      </c>
      <c r="M1620" s="174" t="s">
        <v>18628</v>
      </c>
      <c r="N1620" s="84"/>
      <c r="O1620" s="84"/>
      <c r="P1620" s="84"/>
      <c r="Q1620" s="84"/>
      <c r="R1620" s="84"/>
      <c r="S1620" s="84"/>
      <c r="T1620" s="84"/>
      <c r="U1620" s="84"/>
      <c r="V1620" s="84"/>
      <c r="W1620" s="84"/>
      <c r="X1620" s="84"/>
    </row>
    <row r="1621" ht="15.75" customHeight="1">
      <c r="A1621" s="14" t="s">
        <v>17</v>
      </c>
      <c r="B1621" s="14">
        <v>2007.0</v>
      </c>
      <c r="C1621" s="14" t="s">
        <v>18629</v>
      </c>
      <c r="D1621" s="14" t="s">
        <v>18630</v>
      </c>
      <c r="E1621" s="150" t="str">
        <f t="shared" si="27"/>
        <v>http://dx.doi.org/10.1109/TVCG.2007.70526</v>
      </c>
      <c r="F1621" s="14">
        <v>1712.0</v>
      </c>
      <c r="G1621" s="14">
        <v>1718.0</v>
      </c>
      <c r="H1621" s="14" t="s">
        <v>17059</v>
      </c>
      <c r="I1621" s="14" t="s">
        <v>18631</v>
      </c>
      <c r="J1621" s="130" t="s">
        <v>18632</v>
      </c>
      <c r="K1621" s="152" t="s">
        <v>18972</v>
      </c>
      <c r="L1621" s="20" t="s">
        <v>18635</v>
      </c>
      <c r="M1621" s="174" t="s">
        <v>18636</v>
      </c>
      <c r="N1621" s="84"/>
      <c r="O1621" s="84"/>
      <c r="P1621" s="84"/>
      <c r="Q1621" s="84"/>
      <c r="R1621" s="84"/>
      <c r="S1621" s="84"/>
      <c r="T1621" s="84"/>
      <c r="U1621" s="84"/>
      <c r="V1621" s="84"/>
      <c r="W1621" s="84"/>
      <c r="X1621" s="84"/>
    </row>
    <row r="1622" ht="15.75" customHeight="1">
      <c r="A1622" s="14" t="s">
        <v>17</v>
      </c>
      <c r="B1622" s="14">
        <v>2007.0</v>
      </c>
      <c r="C1622" s="14" t="s">
        <v>18637</v>
      </c>
      <c r="D1622" s="14" t="s">
        <v>18638</v>
      </c>
      <c r="E1622" s="150" t="str">
        <f t="shared" si="27"/>
        <v>http://dx.doi.org/10.1109/TVCG.2007.70530</v>
      </c>
      <c r="F1622" s="14">
        <v>1640.0</v>
      </c>
      <c r="G1622" s="14">
        <v>1647.0</v>
      </c>
      <c r="H1622" s="14" t="s">
        <v>17059</v>
      </c>
      <c r="I1622" s="14" t="s">
        <v>18639</v>
      </c>
      <c r="J1622" s="130" t="s">
        <v>18640</v>
      </c>
      <c r="K1622" s="152" t="s">
        <v>19034</v>
      </c>
      <c r="L1622" s="20" t="s">
        <v>18643</v>
      </c>
      <c r="M1622" s="174" t="s">
        <v>18644</v>
      </c>
      <c r="N1622" s="84"/>
      <c r="O1622" s="84"/>
      <c r="P1622" s="84"/>
      <c r="Q1622" s="84"/>
      <c r="R1622" s="84"/>
      <c r="S1622" s="84"/>
      <c r="T1622" s="84"/>
      <c r="U1622" s="84"/>
      <c r="V1622" s="84"/>
      <c r="W1622" s="84"/>
      <c r="X1622" s="84"/>
    </row>
    <row r="1623" ht="15.75" customHeight="1">
      <c r="A1623" s="14" t="s">
        <v>17</v>
      </c>
      <c r="B1623" s="14">
        <v>2007.0</v>
      </c>
      <c r="C1623" s="14" t="s">
        <v>18645</v>
      </c>
      <c r="D1623" s="14" t="s">
        <v>18646</v>
      </c>
      <c r="E1623" s="150" t="str">
        <f t="shared" si="27"/>
        <v>http://dx.doi.org/10.1109/TVCG.2007.70532</v>
      </c>
      <c r="F1623" s="14">
        <v>1488.0</v>
      </c>
      <c r="G1623" s="14">
        <v>1495.0</v>
      </c>
      <c r="H1623" s="14" t="s">
        <v>17059</v>
      </c>
      <c r="I1623" s="14" t="s">
        <v>18647</v>
      </c>
      <c r="J1623" s="130" t="s">
        <v>18648</v>
      </c>
      <c r="K1623" s="152" t="s">
        <v>19053</v>
      </c>
      <c r="L1623" s="20" t="s">
        <v>18651</v>
      </c>
      <c r="M1623" s="174" t="s">
        <v>18652</v>
      </c>
      <c r="N1623" s="84"/>
      <c r="O1623" s="84"/>
      <c r="P1623" s="84"/>
      <c r="Q1623" s="84"/>
      <c r="R1623" s="84"/>
      <c r="S1623" s="84"/>
      <c r="T1623" s="84"/>
      <c r="U1623" s="84"/>
      <c r="V1623" s="84"/>
      <c r="W1623" s="84"/>
      <c r="X1623" s="84"/>
    </row>
    <row r="1624" ht="15.75" customHeight="1">
      <c r="A1624" s="14" t="s">
        <v>17</v>
      </c>
      <c r="B1624" s="14">
        <v>2007.0</v>
      </c>
      <c r="C1624" s="14" t="s">
        <v>18653</v>
      </c>
      <c r="D1624" s="14" t="s">
        <v>18654</v>
      </c>
      <c r="E1624" s="150" t="str">
        <f t="shared" si="27"/>
        <v>http://dx.doi.org/10.1109/TVCG.2007.70534</v>
      </c>
      <c r="F1624" s="14">
        <v>1584.0</v>
      </c>
      <c r="G1624" s="14">
        <v>1591.0</v>
      </c>
      <c r="H1624" s="14" t="s">
        <v>17059</v>
      </c>
      <c r="I1624" s="14" t="s">
        <v>18655</v>
      </c>
      <c r="J1624" s="130" t="s">
        <v>18656</v>
      </c>
      <c r="K1624" s="152" t="s">
        <v>19057</v>
      </c>
      <c r="L1624" s="20" t="s">
        <v>18658</v>
      </c>
      <c r="M1624" s="174" t="s">
        <v>18659</v>
      </c>
      <c r="N1624" s="84"/>
      <c r="O1624" s="84"/>
      <c r="P1624" s="84"/>
      <c r="Q1624" s="84"/>
      <c r="R1624" s="84"/>
      <c r="S1624" s="84"/>
      <c r="T1624" s="84"/>
      <c r="U1624" s="84"/>
      <c r="V1624" s="84"/>
      <c r="W1624" s="84"/>
      <c r="X1624" s="84"/>
    </row>
    <row r="1625" ht="15.75" customHeight="1">
      <c r="A1625" s="14" t="s">
        <v>17</v>
      </c>
      <c r="B1625" s="14">
        <v>2007.0</v>
      </c>
      <c r="C1625" s="14" t="s">
        <v>18660</v>
      </c>
      <c r="D1625" s="14" t="s">
        <v>18661</v>
      </c>
      <c r="E1625" s="150" t="str">
        <f t="shared" si="27"/>
        <v>http://dx.doi.org/10.1109/TVCG.2007.70536</v>
      </c>
      <c r="F1625" s="14">
        <v>1360.0</v>
      </c>
      <c r="G1625" s="14">
        <v>1367.0</v>
      </c>
      <c r="H1625" s="14" t="s">
        <v>17059</v>
      </c>
      <c r="I1625" s="14" t="s">
        <v>18662</v>
      </c>
      <c r="J1625" s="130" t="s">
        <v>18663</v>
      </c>
      <c r="K1625" s="152" t="s">
        <v>19062</v>
      </c>
      <c r="L1625" s="20" t="s">
        <v>5057</v>
      </c>
      <c r="M1625" s="174" t="s">
        <v>18666</v>
      </c>
      <c r="N1625" s="84"/>
      <c r="O1625" s="84"/>
      <c r="P1625" s="84"/>
      <c r="Q1625" s="84"/>
      <c r="R1625" s="84"/>
      <c r="S1625" s="84"/>
      <c r="T1625" s="84"/>
      <c r="U1625" s="84"/>
      <c r="V1625" s="84"/>
      <c r="W1625" s="84"/>
      <c r="X1625" s="84"/>
    </row>
    <row r="1626" ht="15.75" customHeight="1">
      <c r="A1626" s="14" t="s">
        <v>17</v>
      </c>
      <c r="B1626" s="14">
        <v>2007.0</v>
      </c>
      <c r="C1626" s="14" t="s">
        <v>18667</v>
      </c>
      <c r="D1626" s="14" t="s">
        <v>18668</v>
      </c>
      <c r="E1626" s="150" t="str">
        <f t="shared" si="27"/>
        <v>http://dx.doi.org/10.1109/TVCG.2007.70538</v>
      </c>
      <c r="F1626" s="14">
        <v>1328.0</v>
      </c>
      <c r="G1626" s="14">
        <v>1335.0</v>
      </c>
      <c r="H1626" s="14" t="s">
        <v>17059</v>
      </c>
      <c r="I1626" s="14" t="s">
        <v>18669</v>
      </c>
      <c r="J1626" s="130" t="s">
        <v>41692</v>
      </c>
      <c r="K1626" s="152" t="s">
        <v>19089</v>
      </c>
      <c r="L1626" s="20" t="s">
        <v>18673</v>
      </c>
      <c r="M1626" s="174" t="s">
        <v>18674</v>
      </c>
      <c r="N1626" s="84"/>
      <c r="O1626" s="84"/>
      <c r="P1626" s="84"/>
      <c r="Q1626" s="84"/>
      <c r="R1626" s="84"/>
      <c r="S1626" s="84"/>
      <c r="T1626" s="84"/>
      <c r="U1626" s="84"/>
      <c r="V1626" s="84"/>
      <c r="W1626" s="84"/>
      <c r="X1626" s="84"/>
    </row>
    <row r="1627" ht="15.75" customHeight="1">
      <c r="A1627" s="14" t="s">
        <v>17</v>
      </c>
      <c r="B1627" s="14">
        <v>2007.0</v>
      </c>
      <c r="C1627" s="14" t="s">
        <v>18675</v>
      </c>
      <c r="D1627" s="14" t="s">
        <v>18676</v>
      </c>
      <c r="E1627" s="150" t="str">
        <f t="shared" si="27"/>
        <v>http://dx.doi.org/10.1109/TVCG.2007.70542</v>
      </c>
      <c r="F1627" s="14">
        <v>1664.0</v>
      </c>
      <c r="G1627" s="14">
        <v>1671.0</v>
      </c>
      <c r="H1627" s="14" t="s">
        <v>17059</v>
      </c>
      <c r="I1627" s="14" t="s">
        <v>18677</v>
      </c>
      <c r="J1627" s="130" t="s">
        <v>18678</v>
      </c>
      <c r="K1627" s="152" t="s">
        <v>19151</v>
      </c>
      <c r="L1627" s="20" t="s">
        <v>18680</v>
      </c>
      <c r="M1627" s="174" t="s">
        <v>18681</v>
      </c>
      <c r="N1627" s="84"/>
      <c r="O1627" s="84"/>
      <c r="P1627" s="84"/>
      <c r="Q1627" s="84"/>
      <c r="R1627" s="84"/>
      <c r="S1627" s="84"/>
      <c r="T1627" s="84"/>
      <c r="U1627" s="84"/>
      <c r="V1627" s="84"/>
      <c r="W1627" s="84"/>
      <c r="X1627" s="84"/>
    </row>
    <row r="1628" ht="15.75" customHeight="1">
      <c r="A1628" s="14" t="s">
        <v>17</v>
      </c>
      <c r="B1628" s="14">
        <v>2007.0</v>
      </c>
      <c r="C1628" s="14" t="s">
        <v>18682</v>
      </c>
      <c r="D1628" s="14" t="s">
        <v>18683</v>
      </c>
      <c r="E1628" s="150" t="str">
        <f t="shared" si="27"/>
        <v>http://dx.doi.org/10.1109/TVCG.2007.70543</v>
      </c>
      <c r="F1628" s="14">
        <v>1528.0</v>
      </c>
      <c r="G1628" s="14">
        <v>1535.0</v>
      </c>
      <c r="H1628" s="14" t="s">
        <v>17059</v>
      </c>
      <c r="I1628" s="14" t="s">
        <v>18684</v>
      </c>
      <c r="J1628" s="130" t="s">
        <v>18685</v>
      </c>
      <c r="K1628" s="152" t="s">
        <v>18909</v>
      </c>
      <c r="L1628" s="20" t="s">
        <v>18688</v>
      </c>
      <c r="M1628" s="174" t="s">
        <v>18689</v>
      </c>
      <c r="N1628" s="84"/>
      <c r="O1628" s="84"/>
      <c r="P1628" s="84"/>
      <c r="Q1628" s="84"/>
      <c r="R1628" s="84"/>
      <c r="S1628" s="84"/>
      <c r="T1628" s="84"/>
      <c r="U1628" s="84"/>
      <c r="V1628" s="84"/>
      <c r="W1628" s="84"/>
      <c r="X1628" s="84"/>
    </row>
    <row r="1629" ht="15.75" customHeight="1">
      <c r="A1629" s="14" t="s">
        <v>17</v>
      </c>
      <c r="B1629" s="14">
        <v>2007.0</v>
      </c>
      <c r="C1629" s="14" t="s">
        <v>18690</v>
      </c>
      <c r="D1629" s="14" t="s">
        <v>18691</v>
      </c>
      <c r="E1629" s="150" t="str">
        <f t="shared" si="27"/>
        <v>http://dx.doi.org/10.1109/TVCG.2007.70544</v>
      </c>
      <c r="F1629" s="14">
        <v>1568.0</v>
      </c>
      <c r="G1629" s="14">
        <v>1575.0</v>
      </c>
      <c r="H1629" s="14" t="s">
        <v>17059</v>
      </c>
      <c r="I1629" s="14" t="s">
        <v>18692</v>
      </c>
      <c r="J1629" s="130" t="s">
        <v>18693</v>
      </c>
      <c r="K1629" s="152" t="s">
        <v>19217</v>
      </c>
      <c r="L1629" s="20" t="s">
        <v>18696</v>
      </c>
      <c r="M1629" s="174" t="s">
        <v>18697</v>
      </c>
      <c r="N1629" s="84"/>
      <c r="O1629" s="84"/>
      <c r="P1629" s="84"/>
      <c r="Q1629" s="84"/>
      <c r="R1629" s="84"/>
      <c r="S1629" s="84"/>
      <c r="T1629" s="84"/>
      <c r="U1629" s="84"/>
      <c r="V1629" s="84"/>
      <c r="W1629" s="84"/>
      <c r="X1629" s="84"/>
    </row>
    <row r="1630" ht="15.75" customHeight="1">
      <c r="A1630" s="14" t="s">
        <v>17</v>
      </c>
      <c r="B1630" s="14">
        <v>2007.0</v>
      </c>
      <c r="C1630" s="14" t="s">
        <v>18698</v>
      </c>
      <c r="D1630" s="14" t="s">
        <v>18699</v>
      </c>
      <c r="E1630" s="150" t="str">
        <f t="shared" si="27"/>
        <v>http://dx.doi.org/10.1109/TVCG.2007.70545</v>
      </c>
      <c r="F1630" s="14">
        <v>1759.0</v>
      </c>
      <c r="G1630" s="14">
        <v>1766.0</v>
      </c>
      <c r="H1630" s="14" t="s">
        <v>17059</v>
      </c>
      <c r="I1630" s="14" t="s">
        <v>18700</v>
      </c>
      <c r="J1630" s="130" t="s">
        <v>18701</v>
      </c>
      <c r="K1630" s="152" t="s">
        <v>19235</v>
      </c>
      <c r="L1630" s="20" t="s">
        <v>18703</v>
      </c>
      <c r="M1630" s="174" t="s">
        <v>18704</v>
      </c>
      <c r="N1630" s="84"/>
      <c r="O1630" s="84"/>
      <c r="P1630" s="84"/>
      <c r="Q1630" s="84"/>
      <c r="R1630" s="84"/>
      <c r="S1630" s="84"/>
      <c r="T1630" s="84"/>
      <c r="U1630" s="84"/>
      <c r="V1630" s="84"/>
      <c r="W1630" s="84"/>
      <c r="X1630" s="84"/>
    </row>
    <row r="1631" ht="15.75" customHeight="1">
      <c r="A1631" s="14" t="s">
        <v>17</v>
      </c>
      <c r="B1631" s="14">
        <v>2007.0</v>
      </c>
      <c r="C1631" s="14" t="s">
        <v>18705</v>
      </c>
      <c r="D1631" s="14" t="s">
        <v>18706</v>
      </c>
      <c r="E1631" s="150" t="str">
        <f t="shared" si="27"/>
        <v>http://dx.doi.org/10.1109/TVCG.2007.70550</v>
      </c>
      <c r="F1631" s="14">
        <v>1632.0</v>
      </c>
      <c r="G1631" s="14">
        <v>1639.0</v>
      </c>
      <c r="H1631" s="14" t="s">
        <v>17059</v>
      </c>
      <c r="I1631" s="14" t="s">
        <v>18707</v>
      </c>
      <c r="J1631" s="130" t="s">
        <v>41693</v>
      </c>
      <c r="K1631" s="152" t="s">
        <v>19367</v>
      </c>
      <c r="L1631" s="20" t="s">
        <v>18711</v>
      </c>
      <c r="M1631" s="174" t="s">
        <v>18712</v>
      </c>
      <c r="N1631" s="84"/>
      <c r="O1631" s="84"/>
      <c r="P1631" s="84"/>
      <c r="Q1631" s="84"/>
      <c r="R1631" s="84"/>
      <c r="S1631" s="84"/>
      <c r="T1631" s="84"/>
      <c r="U1631" s="84"/>
      <c r="V1631" s="84"/>
      <c r="W1631" s="84"/>
      <c r="X1631" s="84"/>
    </row>
    <row r="1632" ht="15.75" customHeight="1">
      <c r="A1632" s="14" t="s">
        <v>17</v>
      </c>
      <c r="B1632" s="14">
        <v>2007.0</v>
      </c>
      <c r="C1632" s="14" t="s">
        <v>18713</v>
      </c>
      <c r="D1632" s="14" t="s">
        <v>18714</v>
      </c>
      <c r="E1632" s="150" t="str">
        <f t="shared" si="27"/>
        <v>http://dx.doi.org/10.1109/TVCG.2007.70551</v>
      </c>
      <c r="F1632" s="14">
        <v>1464.0</v>
      </c>
      <c r="G1632" s="14">
        <v>1471.0</v>
      </c>
      <c r="H1632" s="14" t="s">
        <v>17059</v>
      </c>
      <c r="I1632" s="14" t="s">
        <v>18715</v>
      </c>
      <c r="J1632" s="130" t="s">
        <v>18716</v>
      </c>
      <c r="K1632" s="152" t="s">
        <v>19369</v>
      </c>
      <c r="L1632" s="20" t="s">
        <v>14759</v>
      </c>
      <c r="M1632" s="174" t="s">
        <v>18719</v>
      </c>
      <c r="N1632" s="84"/>
      <c r="O1632" s="84"/>
      <c r="P1632" s="84"/>
      <c r="Q1632" s="84"/>
      <c r="R1632" s="84"/>
      <c r="S1632" s="84"/>
      <c r="T1632" s="84"/>
      <c r="U1632" s="84"/>
      <c r="V1632" s="84"/>
      <c r="W1632" s="84"/>
      <c r="X1632" s="84"/>
    </row>
    <row r="1633" ht="15.75" customHeight="1">
      <c r="A1633" s="14" t="s">
        <v>17</v>
      </c>
      <c r="B1633" s="14">
        <v>2007.0</v>
      </c>
      <c r="C1633" s="14" t="s">
        <v>18720</v>
      </c>
      <c r="D1633" s="14" t="s">
        <v>18721</v>
      </c>
      <c r="E1633" s="150" t="str">
        <f t="shared" si="27"/>
        <v>http://dx.doi.org/10.1109/TVCG.2007.70552</v>
      </c>
      <c r="F1633" s="14">
        <v>1440.0</v>
      </c>
      <c r="G1633" s="14">
        <v>1447.0</v>
      </c>
      <c r="H1633" s="14" t="s">
        <v>17059</v>
      </c>
      <c r="I1633" s="14" t="s">
        <v>18722</v>
      </c>
      <c r="J1633" s="130" t="s">
        <v>18723</v>
      </c>
      <c r="K1633" s="152" t="s">
        <v>18909</v>
      </c>
      <c r="L1633" s="20" t="s">
        <v>18725</v>
      </c>
      <c r="M1633" s="174" t="s">
        <v>16823</v>
      </c>
      <c r="N1633" s="84"/>
      <c r="O1633" s="84"/>
      <c r="P1633" s="84"/>
      <c r="Q1633" s="84"/>
      <c r="R1633" s="84"/>
      <c r="S1633" s="84"/>
      <c r="T1633" s="84"/>
      <c r="U1633" s="84"/>
      <c r="V1633" s="84"/>
      <c r="W1633" s="84"/>
      <c r="X1633" s="84"/>
    </row>
    <row r="1634" ht="15.75" customHeight="1">
      <c r="A1634" s="14" t="s">
        <v>17</v>
      </c>
      <c r="B1634" s="14">
        <v>2007.0</v>
      </c>
      <c r="C1634" s="14" t="s">
        <v>18726</v>
      </c>
      <c r="D1634" s="14" t="s">
        <v>18727</v>
      </c>
      <c r="E1634" s="150" t="str">
        <f t="shared" si="27"/>
        <v>http://dx.doi.org/10.1109/TVCG.2007.70553</v>
      </c>
      <c r="F1634" s="14">
        <v>1512.0</v>
      </c>
      <c r="G1634" s="14">
        <v>1519.0</v>
      </c>
      <c r="H1634" s="14" t="s">
        <v>17059</v>
      </c>
      <c r="I1634" s="14" t="s">
        <v>18728</v>
      </c>
      <c r="J1634" s="130" t="s">
        <v>41694</v>
      </c>
      <c r="K1634" s="152" t="s">
        <v>19372</v>
      </c>
      <c r="L1634" s="20"/>
      <c r="M1634" s="174" t="s">
        <v>18732</v>
      </c>
      <c r="N1634" s="84"/>
      <c r="O1634" s="84"/>
      <c r="P1634" s="84"/>
      <c r="Q1634" s="84"/>
      <c r="R1634" s="84"/>
      <c r="S1634" s="84"/>
      <c r="T1634" s="84"/>
      <c r="U1634" s="84"/>
      <c r="V1634" s="84"/>
      <c r="W1634" s="84"/>
      <c r="X1634" s="84"/>
    </row>
    <row r="1635" ht="15.75" customHeight="1">
      <c r="A1635" s="14" t="s">
        <v>17</v>
      </c>
      <c r="B1635" s="14">
        <v>2007.0</v>
      </c>
      <c r="C1635" s="14" t="s">
        <v>18733</v>
      </c>
      <c r="D1635" s="14" t="s">
        <v>18734</v>
      </c>
      <c r="E1635" s="150" t="str">
        <f t="shared" si="27"/>
        <v>http://dx.doi.org/10.1109/TVCG.2007.70554</v>
      </c>
      <c r="F1635" s="14">
        <v>1456.0</v>
      </c>
      <c r="G1635" s="14">
        <v>1463.0</v>
      </c>
      <c r="H1635" s="14" t="s">
        <v>17059</v>
      </c>
      <c r="I1635" s="14" t="s">
        <v>18735</v>
      </c>
      <c r="J1635" s="130" t="s">
        <v>18736</v>
      </c>
      <c r="K1635" s="152" t="s">
        <v>19374</v>
      </c>
      <c r="L1635" s="20" t="s">
        <v>18738</v>
      </c>
      <c r="M1635" s="174" t="s">
        <v>18739</v>
      </c>
      <c r="N1635" s="84"/>
      <c r="O1635" s="84"/>
      <c r="P1635" s="84"/>
      <c r="Q1635" s="84"/>
      <c r="R1635" s="84"/>
      <c r="S1635" s="84"/>
      <c r="T1635" s="84"/>
      <c r="U1635" s="84"/>
      <c r="V1635" s="84"/>
      <c r="W1635" s="84"/>
      <c r="X1635" s="84"/>
    </row>
    <row r="1636" ht="15.75" customHeight="1">
      <c r="A1636" s="14" t="s">
        <v>17</v>
      </c>
      <c r="B1636" s="14">
        <v>2007.0</v>
      </c>
      <c r="C1636" s="14" t="s">
        <v>18740</v>
      </c>
      <c r="D1636" s="14" t="s">
        <v>18741</v>
      </c>
      <c r="E1636" s="150" t="str">
        <f t="shared" si="27"/>
        <v>http://dx.doi.org/10.1109/TVCG.2007.70555</v>
      </c>
      <c r="F1636" s="14">
        <v>1344.0</v>
      </c>
      <c r="G1636" s="14">
        <v>1351.0</v>
      </c>
      <c r="H1636" s="14" t="s">
        <v>17059</v>
      </c>
      <c r="I1636" s="14" t="s">
        <v>18742</v>
      </c>
      <c r="J1636" s="130" t="s">
        <v>18743</v>
      </c>
      <c r="K1636" s="152" t="s">
        <v>19376</v>
      </c>
      <c r="L1636" s="20" t="s">
        <v>18745</v>
      </c>
      <c r="M1636" s="174" t="s">
        <v>18746</v>
      </c>
      <c r="N1636" s="84"/>
      <c r="O1636" s="84"/>
      <c r="P1636" s="84"/>
      <c r="Q1636" s="84"/>
      <c r="R1636" s="84"/>
      <c r="S1636" s="84"/>
      <c r="T1636" s="84"/>
      <c r="U1636" s="84"/>
      <c r="V1636" s="84"/>
      <c r="W1636" s="84"/>
      <c r="X1636" s="84"/>
    </row>
    <row r="1637" ht="15.75" customHeight="1">
      <c r="A1637" s="14" t="s">
        <v>17</v>
      </c>
      <c r="B1637" s="14">
        <v>2007.0</v>
      </c>
      <c r="C1637" s="14" t="s">
        <v>18747</v>
      </c>
      <c r="D1637" s="14" t="s">
        <v>18748</v>
      </c>
      <c r="E1637" s="150" t="str">
        <f t="shared" si="27"/>
        <v>http://dx.doi.org/10.1109/TVCG.2007.70557</v>
      </c>
      <c r="F1637" s="14">
        <v>1735.0</v>
      </c>
      <c r="G1637" s="14">
        <v>1742.0</v>
      </c>
      <c r="H1637" s="14" t="s">
        <v>17059</v>
      </c>
      <c r="I1637" s="14" t="s">
        <v>18749</v>
      </c>
      <c r="J1637" s="130" t="s">
        <v>18750</v>
      </c>
      <c r="K1637" s="152" t="s">
        <v>19380</v>
      </c>
      <c r="L1637" s="20" t="s">
        <v>18752</v>
      </c>
      <c r="M1637" s="174" t="s">
        <v>18753</v>
      </c>
      <c r="N1637" s="84"/>
      <c r="O1637" s="84"/>
      <c r="P1637" s="84"/>
      <c r="Q1637" s="84"/>
      <c r="R1637" s="84"/>
      <c r="S1637" s="84"/>
      <c r="T1637" s="84"/>
      <c r="U1637" s="84"/>
      <c r="V1637" s="84"/>
      <c r="W1637" s="84"/>
      <c r="X1637" s="84"/>
    </row>
    <row r="1638" ht="15.75" customHeight="1">
      <c r="A1638" s="14" t="s">
        <v>17</v>
      </c>
      <c r="B1638" s="14">
        <v>2007.0</v>
      </c>
      <c r="C1638" s="14" t="s">
        <v>18754</v>
      </c>
      <c r="D1638" s="14" t="s">
        <v>18755</v>
      </c>
      <c r="E1638" s="150" t="str">
        <f t="shared" si="27"/>
        <v>http://dx.doi.org/10.1109/TVCG.2007.70559</v>
      </c>
      <c r="F1638" s="14">
        <v>1656.0</v>
      </c>
      <c r="G1638" s="14">
        <v>1663.0</v>
      </c>
      <c r="H1638" s="14" t="s">
        <v>17059</v>
      </c>
      <c r="I1638" s="14" t="s">
        <v>18756</v>
      </c>
      <c r="J1638" s="130" t="s">
        <v>18757</v>
      </c>
      <c r="K1638" s="152" t="s">
        <v>19385</v>
      </c>
      <c r="L1638" s="20" t="s">
        <v>18760</v>
      </c>
      <c r="M1638" s="174" t="s">
        <v>18761</v>
      </c>
      <c r="N1638" s="84"/>
      <c r="O1638" s="84"/>
      <c r="P1638" s="84"/>
      <c r="Q1638" s="84"/>
      <c r="R1638" s="84"/>
      <c r="S1638" s="84"/>
      <c r="T1638" s="84"/>
      <c r="U1638" s="84"/>
      <c r="V1638" s="84"/>
      <c r="W1638" s="84"/>
      <c r="X1638" s="84"/>
    </row>
    <row r="1639" ht="15.75" customHeight="1">
      <c r="A1639" s="14" t="s">
        <v>17</v>
      </c>
      <c r="B1639" s="14">
        <v>2007.0</v>
      </c>
      <c r="C1639" s="14" t="s">
        <v>18762</v>
      </c>
      <c r="D1639" s="14" t="s">
        <v>18763</v>
      </c>
      <c r="E1639" s="150" t="str">
        <f t="shared" si="27"/>
        <v>http://dx.doi.org/10.1109/TVCG.2007.70560</v>
      </c>
      <c r="F1639" s="14">
        <v>1696.0</v>
      </c>
      <c r="G1639" s="14">
        <v>1703.0</v>
      </c>
      <c r="H1639" s="14" t="s">
        <v>17059</v>
      </c>
      <c r="I1639" s="14" t="s">
        <v>18764</v>
      </c>
      <c r="J1639" s="130" t="s">
        <v>18765</v>
      </c>
      <c r="K1639" s="152" t="s">
        <v>19405</v>
      </c>
      <c r="L1639" s="20" t="s">
        <v>18766</v>
      </c>
      <c r="M1639" s="174" t="s">
        <v>18767</v>
      </c>
      <c r="N1639" s="84"/>
      <c r="O1639" s="84"/>
      <c r="P1639" s="84"/>
      <c r="Q1639" s="84"/>
      <c r="R1639" s="84"/>
      <c r="S1639" s="84"/>
      <c r="T1639" s="84"/>
      <c r="U1639" s="84"/>
      <c r="V1639" s="84"/>
      <c r="W1639" s="84"/>
      <c r="X1639" s="84"/>
    </row>
    <row r="1640" ht="15.75" customHeight="1">
      <c r="A1640" s="14" t="s">
        <v>17</v>
      </c>
      <c r="B1640" s="14">
        <v>2007.0</v>
      </c>
      <c r="C1640" s="14" t="s">
        <v>18768</v>
      </c>
      <c r="D1640" s="14" t="s">
        <v>18769</v>
      </c>
      <c r="E1640" s="150" t="str">
        <f t="shared" si="27"/>
        <v>http://dx.doi.org/10.1109/TVCG.2007.70565</v>
      </c>
      <c r="F1640" s="14">
        <v>1320.0</v>
      </c>
      <c r="G1640" s="14">
        <v>1327.0</v>
      </c>
      <c r="H1640" s="14" t="s">
        <v>17059</v>
      </c>
      <c r="I1640" s="14" t="s">
        <v>18770</v>
      </c>
      <c r="J1640" s="130" t="s">
        <v>18771</v>
      </c>
      <c r="K1640" s="152" t="s">
        <v>19416</v>
      </c>
      <c r="L1640" s="20" t="s">
        <v>18773</v>
      </c>
      <c r="M1640" s="174" t="s">
        <v>18774</v>
      </c>
      <c r="N1640" s="84"/>
      <c r="O1640" s="84"/>
      <c r="P1640" s="84"/>
      <c r="Q1640" s="84"/>
      <c r="R1640" s="84"/>
      <c r="S1640" s="84"/>
      <c r="T1640" s="84"/>
      <c r="U1640" s="84"/>
      <c r="V1640" s="84"/>
      <c r="W1640" s="84"/>
      <c r="X1640" s="84"/>
    </row>
    <row r="1641" ht="15.75" customHeight="1">
      <c r="A1641" s="14" t="s">
        <v>17</v>
      </c>
      <c r="B1641" s="14">
        <v>2007.0</v>
      </c>
      <c r="C1641" s="14" t="s">
        <v>18775</v>
      </c>
      <c r="D1641" s="14" t="s">
        <v>18776</v>
      </c>
      <c r="E1641" s="150" t="str">
        <f t="shared" si="27"/>
        <v>http://dx.doi.org/10.1109/TVCG.2007.70566</v>
      </c>
      <c r="F1641" s="14">
        <v>1727.0</v>
      </c>
      <c r="G1641" s="14">
        <v>1734.0</v>
      </c>
      <c r="H1641" s="14" t="s">
        <v>17059</v>
      </c>
      <c r="I1641" s="14" t="s">
        <v>18777</v>
      </c>
      <c r="J1641" s="130" t="s">
        <v>18778</v>
      </c>
      <c r="K1641" s="152" t="s">
        <v>19418</v>
      </c>
      <c r="L1641" s="20" t="s">
        <v>18780</v>
      </c>
      <c r="M1641" s="174" t="s">
        <v>18781</v>
      </c>
      <c r="N1641" s="84"/>
      <c r="O1641" s="84"/>
      <c r="P1641" s="84"/>
      <c r="Q1641" s="84"/>
      <c r="R1641" s="84"/>
      <c r="S1641" s="84"/>
      <c r="T1641" s="84"/>
      <c r="U1641" s="84"/>
      <c r="V1641" s="84"/>
      <c r="W1641" s="84"/>
      <c r="X1641" s="84"/>
    </row>
    <row r="1642" ht="15.75" customHeight="1">
      <c r="A1642" s="14" t="s">
        <v>17</v>
      </c>
      <c r="B1642" s="14">
        <v>2007.0</v>
      </c>
      <c r="C1642" s="14" t="s">
        <v>18782</v>
      </c>
      <c r="D1642" s="14" t="s">
        <v>18783</v>
      </c>
      <c r="E1642" s="150" t="str">
        <f t="shared" si="27"/>
        <v>http://dx.doi.org/10.1109/TVCG.2007.70567</v>
      </c>
      <c r="F1642" s="14">
        <v>1672.0</v>
      </c>
      <c r="G1642" s="14">
        <v>1679.0</v>
      </c>
      <c r="H1642" s="14" t="s">
        <v>17059</v>
      </c>
      <c r="I1642" s="14" t="s">
        <v>18784</v>
      </c>
      <c r="J1642" s="130" t="s">
        <v>18785</v>
      </c>
      <c r="K1642" s="152" t="s">
        <v>19469</v>
      </c>
      <c r="L1642" s="20" t="s">
        <v>18787</v>
      </c>
      <c r="M1642" s="174" t="s">
        <v>18788</v>
      </c>
      <c r="N1642" s="84"/>
      <c r="O1642" s="84"/>
      <c r="P1642" s="84"/>
      <c r="Q1642" s="84"/>
      <c r="R1642" s="84"/>
      <c r="S1642" s="84"/>
      <c r="T1642" s="84"/>
      <c r="U1642" s="84"/>
      <c r="V1642" s="84"/>
      <c r="W1642" s="84"/>
      <c r="X1642" s="84"/>
    </row>
    <row r="1643" ht="15.75" customHeight="1">
      <c r="A1643" s="14" t="s">
        <v>17</v>
      </c>
      <c r="B1643" s="14">
        <v>2007.0</v>
      </c>
      <c r="C1643" s="14" t="s">
        <v>18789</v>
      </c>
      <c r="D1643" s="14" t="s">
        <v>18790</v>
      </c>
      <c r="E1643" s="150" t="str">
        <f t="shared" si="27"/>
        <v>http://dx.doi.org/10.1109/TVCG.2007.70569</v>
      </c>
      <c r="F1643" s="14">
        <v>1392.0</v>
      </c>
      <c r="G1643" s="14">
        <v>1399.0</v>
      </c>
      <c r="H1643" s="14" t="s">
        <v>17059</v>
      </c>
      <c r="I1643" s="14" t="s">
        <v>18791</v>
      </c>
      <c r="J1643" s="130" t="s">
        <v>18792</v>
      </c>
      <c r="K1643" s="152" t="s">
        <v>19473</v>
      </c>
      <c r="L1643" s="20" t="s">
        <v>6057</v>
      </c>
      <c r="M1643" s="174" t="s">
        <v>18795</v>
      </c>
      <c r="N1643" s="84"/>
      <c r="O1643" s="84"/>
      <c r="P1643" s="84"/>
      <c r="Q1643" s="84"/>
      <c r="R1643" s="84"/>
      <c r="S1643" s="84"/>
      <c r="T1643" s="84"/>
      <c r="U1643" s="84"/>
      <c r="V1643" s="84"/>
      <c r="W1643" s="84"/>
      <c r="X1643" s="84"/>
    </row>
    <row r="1644" ht="15.75" customHeight="1">
      <c r="A1644" s="14" t="s">
        <v>17</v>
      </c>
      <c r="B1644" s="14">
        <v>2007.0</v>
      </c>
      <c r="C1644" s="14" t="s">
        <v>18796</v>
      </c>
      <c r="D1644" s="14" t="s">
        <v>18797</v>
      </c>
      <c r="E1644" s="150" t="str">
        <f t="shared" si="27"/>
        <v>http://dx.doi.org/10.1109/TVCG.2007.70571</v>
      </c>
      <c r="F1644" s="14">
        <v>1480.0</v>
      </c>
      <c r="G1644" s="14">
        <v>1487.0</v>
      </c>
      <c r="H1644" s="14" t="s">
        <v>17059</v>
      </c>
      <c r="I1644" s="14" t="s">
        <v>18798</v>
      </c>
      <c r="J1644" s="130" t="s">
        <v>18799</v>
      </c>
      <c r="K1644" s="152" t="s">
        <v>19477</v>
      </c>
      <c r="L1644" s="20" t="s">
        <v>18802</v>
      </c>
      <c r="M1644" s="174" t="s">
        <v>18803</v>
      </c>
      <c r="N1644" s="84"/>
      <c r="O1644" s="84"/>
      <c r="P1644" s="84"/>
      <c r="Q1644" s="84"/>
      <c r="R1644" s="84"/>
      <c r="S1644" s="84"/>
      <c r="T1644" s="84"/>
      <c r="U1644" s="84"/>
      <c r="V1644" s="84"/>
      <c r="W1644" s="84"/>
      <c r="X1644" s="84"/>
    </row>
    <row r="1645" ht="15.75" customHeight="1">
      <c r="A1645" s="14" t="s">
        <v>17</v>
      </c>
      <c r="B1645" s="14">
        <v>2007.0</v>
      </c>
      <c r="C1645" s="14" t="s">
        <v>18804</v>
      </c>
      <c r="D1645" s="14" t="s">
        <v>18805</v>
      </c>
      <c r="E1645" s="150" t="str">
        <f t="shared" si="27"/>
        <v>http://dx.doi.org/10.1109/TVCG.2007.70572</v>
      </c>
      <c r="F1645" s="14">
        <v>1424.0</v>
      </c>
      <c r="G1645" s="14">
        <v>1431.0</v>
      </c>
      <c r="H1645" s="14" t="s">
        <v>17059</v>
      </c>
      <c r="I1645" s="14" t="s">
        <v>18806</v>
      </c>
      <c r="J1645" s="130" t="s">
        <v>18807</v>
      </c>
      <c r="K1645" s="152" t="s">
        <v>19500</v>
      </c>
      <c r="L1645" s="20" t="s">
        <v>18810</v>
      </c>
      <c r="M1645" s="174" t="s">
        <v>18811</v>
      </c>
      <c r="N1645" s="84"/>
      <c r="O1645" s="84"/>
      <c r="P1645" s="84"/>
      <c r="Q1645" s="84"/>
      <c r="R1645" s="84"/>
      <c r="S1645" s="84"/>
      <c r="T1645" s="84"/>
      <c r="U1645" s="84"/>
      <c r="V1645" s="84"/>
      <c r="W1645" s="84"/>
      <c r="X1645" s="84"/>
    </row>
    <row r="1646" ht="15.75" customHeight="1">
      <c r="A1646" s="14" t="s">
        <v>17</v>
      </c>
      <c r="B1646" s="14">
        <v>2007.0</v>
      </c>
      <c r="C1646" s="14" t="s">
        <v>18812</v>
      </c>
      <c r="D1646" s="14" t="s">
        <v>18813</v>
      </c>
      <c r="E1646" s="150" t="str">
        <f t="shared" si="27"/>
        <v>http://dx.doi.org/10.1109/TVCG.2007.70573</v>
      </c>
      <c r="F1646" s="14">
        <v>1576.0</v>
      </c>
      <c r="G1646" s="14">
        <v>1583.0</v>
      </c>
      <c r="H1646" s="14" t="s">
        <v>17059</v>
      </c>
      <c r="I1646" s="14" t="s">
        <v>18814</v>
      </c>
      <c r="J1646" s="130" t="s">
        <v>18815</v>
      </c>
      <c r="K1646" s="152" t="s">
        <v>19530</v>
      </c>
      <c r="L1646" s="20" t="s">
        <v>18818</v>
      </c>
      <c r="M1646" s="174" t="s">
        <v>18819</v>
      </c>
      <c r="N1646" s="84"/>
      <c r="O1646" s="84"/>
      <c r="P1646" s="84"/>
      <c r="Q1646" s="84"/>
      <c r="R1646" s="84"/>
      <c r="S1646" s="84"/>
      <c r="T1646" s="84"/>
      <c r="U1646" s="84"/>
      <c r="V1646" s="84"/>
      <c r="W1646" s="84"/>
      <c r="X1646" s="84"/>
    </row>
    <row r="1647" ht="15.75" customHeight="1">
      <c r="A1647" s="14" t="s">
        <v>17</v>
      </c>
      <c r="B1647" s="14">
        <v>2007.0</v>
      </c>
      <c r="C1647" s="14" t="s">
        <v>18820</v>
      </c>
      <c r="D1647" s="14" t="s">
        <v>18821</v>
      </c>
      <c r="E1647" s="150" t="str">
        <f t="shared" si="27"/>
        <v>http://dx.doi.org/10.1109/TVCG.2007.70575</v>
      </c>
      <c r="F1647" s="14">
        <v>1680.0</v>
      </c>
      <c r="G1647" s="14">
        <v>1687.0</v>
      </c>
      <c r="H1647" s="14" t="s">
        <v>17059</v>
      </c>
      <c r="I1647" s="14" t="s">
        <v>19534</v>
      </c>
      <c r="J1647" s="130" t="s">
        <v>18825</v>
      </c>
      <c r="K1647" s="152" t="s">
        <v>19535</v>
      </c>
      <c r="L1647" s="20" t="s">
        <v>18787</v>
      </c>
      <c r="M1647" s="174" t="s">
        <v>18827</v>
      </c>
      <c r="N1647" s="84"/>
      <c r="O1647" s="84"/>
      <c r="P1647" s="84"/>
      <c r="Q1647" s="84"/>
      <c r="R1647" s="84"/>
      <c r="S1647" s="84"/>
      <c r="T1647" s="84"/>
      <c r="U1647" s="84"/>
      <c r="V1647" s="84"/>
      <c r="W1647" s="84"/>
      <c r="X1647" s="84"/>
    </row>
    <row r="1648" ht="15.75" customHeight="1">
      <c r="A1648" s="14" t="s">
        <v>17</v>
      </c>
      <c r="B1648" s="14">
        <v>2007.0</v>
      </c>
      <c r="C1648" s="14" t="s">
        <v>18828</v>
      </c>
      <c r="D1648" s="14" t="s">
        <v>18829</v>
      </c>
      <c r="E1648" s="150" t="str">
        <f t="shared" si="27"/>
        <v>http://dx.doi.org/10.1109/TVCG.2007.70576</v>
      </c>
      <c r="F1648" s="14">
        <v>1544.0</v>
      </c>
      <c r="G1648" s="14">
        <v>1551.0</v>
      </c>
      <c r="H1648" s="14" t="s">
        <v>17059</v>
      </c>
      <c r="I1648" s="14" t="s">
        <v>18830</v>
      </c>
      <c r="J1648" s="130" t="s">
        <v>18832</v>
      </c>
      <c r="K1648" s="152" t="s">
        <v>19538</v>
      </c>
      <c r="L1648" s="20" t="s">
        <v>18833</v>
      </c>
      <c r="M1648" s="174" t="s">
        <v>18834</v>
      </c>
      <c r="N1648" s="84"/>
      <c r="O1648" s="84"/>
      <c r="P1648" s="84"/>
      <c r="Q1648" s="84"/>
      <c r="R1648" s="84"/>
      <c r="S1648" s="84"/>
      <c r="T1648" s="84"/>
      <c r="U1648" s="84"/>
      <c r="V1648" s="84"/>
      <c r="W1648" s="84"/>
      <c r="X1648" s="84"/>
    </row>
    <row r="1649" ht="15.75" customHeight="1">
      <c r="A1649" s="14" t="s">
        <v>17</v>
      </c>
      <c r="B1649" s="14">
        <v>2007.0</v>
      </c>
      <c r="C1649" s="14" t="s">
        <v>18837</v>
      </c>
      <c r="D1649" s="14" t="s">
        <v>18838</v>
      </c>
      <c r="E1649" s="150" t="str">
        <f t="shared" si="27"/>
        <v>http://dx.doi.org/10.1109/TVCG.2007.70578</v>
      </c>
      <c r="F1649" s="14">
        <v>1608.0</v>
      </c>
      <c r="G1649" s="14">
        <v>1615.0</v>
      </c>
      <c r="H1649" s="14" t="s">
        <v>17059</v>
      </c>
      <c r="I1649" s="14" t="s">
        <v>18840</v>
      </c>
      <c r="J1649" s="130" t="s">
        <v>18841</v>
      </c>
      <c r="K1649" s="152" t="s">
        <v>19543</v>
      </c>
      <c r="L1649" s="20" t="s">
        <v>18843</v>
      </c>
      <c r="M1649" s="174" t="s">
        <v>18844</v>
      </c>
      <c r="N1649" s="84"/>
      <c r="O1649" s="84"/>
      <c r="P1649" s="84"/>
      <c r="Q1649" s="84"/>
      <c r="R1649" s="84"/>
      <c r="S1649" s="84"/>
      <c r="T1649" s="84"/>
      <c r="U1649" s="84"/>
      <c r="V1649" s="84"/>
      <c r="W1649" s="84"/>
      <c r="X1649" s="84"/>
    </row>
    <row r="1650" ht="15.75" customHeight="1">
      <c r="A1650" s="14" t="s">
        <v>17</v>
      </c>
      <c r="B1650" s="14">
        <v>2007.0</v>
      </c>
      <c r="C1650" s="14" t="s">
        <v>18845</v>
      </c>
      <c r="D1650" s="14" t="s">
        <v>18846</v>
      </c>
      <c r="E1650" s="150" t="str">
        <f t="shared" si="27"/>
        <v>http://dx.doi.org/10.1109/TVCG.2007.70579</v>
      </c>
      <c r="F1650" s="14">
        <v>1743.0</v>
      </c>
      <c r="G1650" s="14">
        <v>1750.0</v>
      </c>
      <c r="H1650" s="14" t="s">
        <v>17059</v>
      </c>
      <c r="I1650" s="14" t="s">
        <v>18847</v>
      </c>
      <c r="J1650" s="130" t="s">
        <v>18848</v>
      </c>
      <c r="K1650" s="152" t="s">
        <v>19545</v>
      </c>
      <c r="L1650" s="20" t="s">
        <v>18851</v>
      </c>
      <c r="M1650" s="174" t="s">
        <v>18852</v>
      </c>
      <c r="N1650" s="84"/>
      <c r="O1650" s="84"/>
      <c r="P1650" s="84"/>
      <c r="Q1650" s="84"/>
      <c r="R1650" s="84"/>
      <c r="S1650" s="84"/>
      <c r="T1650" s="84"/>
      <c r="U1650" s="84"/>
      <c r="V1650" s="84"/>
      <c r="W1650" s="84"/>
      <c r="X1650" s="84"/>
    </row>
    <row r="1651" ht="15.75" customHeight="1">
      <c r="A1651" s="14" t="s">
        <v>17</v>
      </c>
      <c r="B1651" s="14">
        <v>2007.0</v>
      </c>
      <c r="C1651" s="14" t="s">
        <v>18853</v>
      </c>
      <c r="D1651" s="14" t="s">
        <v>18854</v>
      </c>
      <c r="E1651" s="150" t="str">
        <f t="shared" si="27"/>
        <v>http://dx.doi.org/10.1109/TVCG.2007.70581</v>
      </c>
      <c r="F1651" s="14">
        <v>1552.0</v>
      </c>
      <c r="G1651" s="14">
        <v>1559.0</v>
      </c>
      <c r="H1651" s="14" t="s">
        <v>17059</v>
      </c>
      <c r="I1651" s="14" t="s">
        <v>18856</v>
      </c>
      <c r="J1651" s="130" t="s">
        <v>18857</v>
      </c>
      <c r="K1651" s="152" t="s">
        <v>19550</v>
      </c>
      <c r="L1651" s="20"/>
      <c r="M1651" s="174" t="s">
        <v>18860</v>
      </c>
      <c r="N1651" s="84"/>
      <c r="O1651" s="84"/>
      <c r="P1651" s="84"/>
      <c r="Q1651" s="84"/>
      <c r="R1651" s="84"/>
      <c r="S1651" s="84"/>
      <c r="T1651" s="84"/>
      <c r="U1651" s="84"/>
      <c r="V1651" s="84"/>
      <c r="W1651" s="84"/>
      <c r="X1651" s="84"/>
    </row>
    <row r="1652" ht="15.75" customHeight="1">
      <c r="A1652" s="14" t="s">
        <v>17</v>
      </c>
      <c r="B1652" s="14">
        <v>2007.0</v>
      </c>
      <c r="C1652" s="14" t="s">
        <v>18861</v>
      </c>
      <c r="D1652" s="14" t="s">
        <v>18862</v>
      </c>
      <c r="E1652" s="150" t="str">
        <f t="shared" si="27"/>
        <v>http://dx.doi.org/10.1109/TVCG.2007.70584</v>
      </c>
      <c r="F1652" s="14">
        <v>1560.0</v>
      </c>
      <c r="G1652" s="14">
        <v>1567.0</v>
      </c>
      <c r="H1652" s="14" t="s">
        <v>17059</v>
      </c>
      <c r="I1652" s="14" t="s">
        <v>18863</v>
      </c>
      <c r="J1652" s="130" t="s">
        <v>18864</v>
      </c>
      <c r="K1652" s="152" t="s">
        <v>19557</v>
      </c>
      <c r="L1652" s="20" t="s">
        <v>18867</v>
      </c>
      <c r="M1652" s="174" t="s">
        <v>18868</v>
      </c>
      <c r="N1652" s="84"/>
      <c r="O1652" s="84"/>
      <c r="P1652" s="84"/>
      <c r="Q1652" s="84"/>
      <c r="R1652" s="84"/>
      <c r="S1652" s="84"/>
      <c r="T1652" s="84"/>
      <c r="U1652" s="84"/>
      <c r="V1652" s="84"/>
      <c r="W1652" s="84"/>
      <c r="X1652" s="84"/>
    </row>
    <row r="1653" ht="15.75" customHeight="1">
      <c r="A1653" s="14" t="s">
        <v>17</v>
      </c>
      <c r="B1653" s="14">
        <v>2007.0</v>
      </c>
      <c r="C1653" s="14" t="s">
        <v>18871</v>
      </c>
      <c r="D1653" s="14" t="s">
        <v>18872</v>
      </c>
      <c r="E1653" s="150" t="str">
        <f t="shared" si="27"/>
        <v>http://dx.doi.org/10.1109/TVCG.2007.70585</v>
      </c>
      <c r="F1653" s="14">
        <v>1536.0</v>
      </c>
      <c r="G1653" s="14">
        <v>1543.0</v>
      </c>
      <c r="H1653" s="14" t="s">
        <v>17059</v>
      </c>
      <c r="I1653" s="14" t="s">
        <v>18873</v>
      </c>
      <c r="J1653" s="130" t="s">
        <v>17806</v>
      </c>
      <c r="K1653" s="152" t="s">
        <v>19559</v>
      </c>
      <c r="L1653" s="20" t="s">
        <v>18875</v>
      </c>
      <c r="M1653" s="174" t="s">
        <v>18876</v>
      </c>
      <c r="N1653" s="84"/>
      <c r="O1653" s="84"/>
      <c r="P1653" s="84"/>
      <c r="Q1653" s="84"/>
      <c r="R1653" s="84"/>
      <c r="S1653" s="84"/>
      <c r="T1653" s="84"/>
      <c r="U1653" s="84"/>
      <c r="V1653" s="84"/>
      <c r="W1653" s="84"/>
      <c r="X1653" s="84"/>
    </row>
    <row r="1654" ht="15.75" customHeight="1">
      <c r="A1654" s="14" t="s">
        <v>17</v>
      </c>
      <c r="B1654" s="14">
        <v>2007.0</v>
      </c>
      <c r="C1654" s="14" t="s">
        <v>18877</v>
      </c>
      <c r="D1654" s="14" t="s">
        <v>18878</v>
      </c>
      <c r="E1654" s="150" t="str">
        <f t="shared" si="27"/>
        <v>http://dx.doi.org/10.1109/TVCG.2007.70586</v>
      </c>
      <c r="F1654" s="14">
        <v>1368.0</v>
      </c>
      <c r="G1654" s="14">
        <v>1375.0</v>
      </c>
      <c r="H1654" s="14" t="s">
        <v>17059</v>
      </c>
      <c r="I1654" s="14" t="s">
        <v>18880</v>
      </c>
      <c r="J1654" s="130" t="s">
        <v>18881</v>
      </c>
      <c r="K1654" s="152" t="s">
        <v>19561</v>
      </c>
      <c r="L1654" s="20" t="s">
        <v>18884</v>
      </c>
      <c r="M1654" s="174" t="s">
        <v>18886</v>
      </c>
      <c r="N1654" s="84"/>
      <c r="O1654" s="84"/>
      <c r="P1654" s="84"/>
      <c r="Q1654" s="84"/>
      <c r="R1654" s="84"/>
      <c r="S1654" s="84"/>
      <c r="T1654" s="84"/>
      <c r="U1654" s="84"/>
      <c r="V1654" s="84"/>
      <c r="W1654" s="84"/>
      <c r="X1654" s="84"/>
    </row>
    <row r="1655" ht="15.75" customHeight="1">
      <c r="A1655" s="14" t="s">
        <v>17</v>
      </c>
      <c r="B1655" s="14">
        <v>2007.0</v>
      </c>
      <c r="C1655" s="54" t="s">
        <v>18887</v>
      </c>
      <c r="D1655" s="14" t="s">
        <v>18888</v>
      </c>
      <c r="E1655" s="150" t="str">
        <f t="shared" si="27"/>
        <v>http://dx.doi.org/10.1109/TVCG.2007.70587</v>
      </c>
      <c r="F1655" s="14">
        <v>1352.0</v>
      </c>
      <c r="G1655" s="14">
        <v>1359.0</v>
      </c>
      <c r="H1655" s="14" t="s">
        <v>17059</v>
      </c>
      <c r="I1655" s="14" t="s">
        <v>18889</v>
      </c>
      <c r="J1655" s="130" t="s">
        <v>18890</v>
      </c>
      <c r="K1655" s="152" t="s">
        <v>19564</v>
      </c>
      <c r="L1655" s="20" t="s">
        <v>16370</v>
      </c>
      <c r="M1655" s="174" t="s">
        <v>18886</v>
      </c>
      <c r="N1655" s="84"/>
      <c r="O1655" s="84"/>
      <c r="P1655" s="84"/>
      <c r="Q1655" s="84"/>
      <c r="R1655" s="84"/>
      <c r="S1655" s="84"/>
      <c r="T1655" s="84"/>
      <c r="U1655" s="84"/>
      <c r="V1655" s="84"/>
      <c r="W1655" s="84"/>
      <c r="X1655" s="84"/>
    </row>
    <row r="1656" ht="15.75" customHeight="1">
      <c r="A1656" s="14" t="s">
        <v>17</v>
      </c>
      <c r="B1656" s="14">
        <v>2007.0</v>
      </c>
      <c r="C1656" s="14" t="s">
        <v>18892</v>
      </c>
      <c r="D1656" s="14" t="s">
        <v>18893</v>
      </c>
      <c r="E1656" s="150" t="str">
        <f t="shared" si="27"/>
        <v>http://dx.doi.org/10.1109/TVCG.2007.70588</v>
      </c>
      <c r="F1656" s="14">
        <v>1592.0</v>
      </c>
      <c r="G1656" s="14">
        <v>1599.0</v>
      </c>
      <c r="H1656" s="14" t="s">
        <v>17059</v>
      </c>
      <c r="I1656" s="14" t="s">
        <v>18897</v>
      </c>
      <c r="J1656" s="130" t="s">
        <v>18898</v>
      </c>
      <c r="K1656" s="152" t="s">
        <v>19571</v>
      </c>
      <c r="L1656" s="20" t="s">
        <v>18900</v>
      </c>
      <c r="M1656" s="174" t="s">
        <v>18901</v>
      </c>
      <c r="N1656" s="84"/>
      <c r="O1656" s="84"/>
      <c r="P1656" s="84"/>
      <c r="Q1656" s="84"/>
      <c r="R1656" s="84"/>
      <c r="S1656" s="84"/>
      <c r="T1656" s="84"/>
      <c r="U1656" s="84"/>
      <c r="V1656" s="84"/>
      <c r="W1656" s="84"/>
      <c r="X1656" s="84"/>
    </row>
    <row r="1657" ht="15.75" customHeight="1">
      <c r="A1657" s="14" t="s">
        <v>17</v>
      </c>
      <c r="B1657" s="14">
        <v>2007.0</v>
      </c>
      <c r="C1657" s="14" t="s">
        <v>18902</v>
      </c>
      <c r="D1657" s="14" t="s">
        <v>18903</v>
      </c>
      <c r="E1657" s="150" t="str">
        <f t="shared" si="27"/>
        <v>http://dx.doi.org/10.1109/TVCG.2007.70590</v>
      </c>
      <c r="F1657" s="14">
        <v>1719.0</v>
      </c>
      <c r="G1657" s="14">
        <v>1726.0</v>
      </c>
      <c r="H1657" s="14" t="s">
        <v>17059</v>
      </c>
      <c r="I1657" s="14" t="s">
        <v>18904</v>
      </c>
      <c r="J1657" s="130" t="s">
        <v>41695</v>
      </c>
      <c r="K1657" s="152" t="s">
        <v>19596</v>
      </c>
      <c r="L1657" s="20" t="s">
        <v>18907</v>
      </c>
      <c r="M1657" s="174" t="s">
        <v>18908</v>
      </c>
      <c r="N1657" s="84"/>
      <c r="O1657" s="84"/>
      <c r="P1657" s="84"/>
      <c r="Q1657" s="84"/>
      <c r="R1657" s="84"/>
      <c r="S1657" s="84"/>
      <c r="T1657" s="84"/>
      <c r="U1657" s="84"/>
      <c r="V1657" s="84"/>
      <c r="W1657" s="84"/>
      <c r="X1657" s="84"/>
    </row>
    <row r="1658" ht="15.75" customHeight="1">
      <c r="A1658" s="14" t="s">
        <v>17</v>
      </c>
      <c r="B1658" s="14">
        <v>2007.0</v>
      </c>
      <c r="C1658" s="14" t="s">
        <v>18910</v>
      </c>
      <c r="D1658" s="14" t="s">
        <v>18911</v>
      </c>
      <c r="E1658" s="150" t="str">
        <f t="shared" si="27"/>
        <v>http://dx.doi.org/10.1109/TVCG.2007.70591</v>
      </c>
      <c r="F1658" s="14">
        <v>1336.0</v>
      </c>
      <c r="G1658" s="14">
        <v>1343.0</v>
      </c>
      <c r="H1658" s="14" t="s">
        <v>17059</v>
      </c>
      <c r="I1658" s="14" t="s">
        <v>18913</v>
      </c>
      <c r="J1658" s="130" t="s">
        <v>41696</v>
      </c>
      <c r="K1658" s="152" t="s">
        <v>19612</v>
      </c>
      <c r="L1658" s="20" t="s">
        <v>18916</v>
      </c>
      <c r="M1658" s="174" t="s">
        <v>17186</v>
      </c>
      <c r="N1658" s="84"/>
      <c r="O1658" s="84"/>
      <c r="P1658" s="84"/>
      <c r="Q1658" s="84"/>
      <c r="R1658" s="84"/>
      <c r="S1658" s="84"/>
      <c r="T1658" s="84"/>
      <c r="U1658" s="84"/>
      <c r="V1658" s="84"/>
      <c r="W1658" s="84"/>
      <c r="X1658" s="84"/>
    </row>
    <row r="1659" ht="15.75" customHeight="1">
      <c r="A1659" s="14" t="s">
        <v>17</v>
      </c>
      <c r="B1659" s="14">
        <v>2007.0</v>
      </c>
      <c r="C1659" s="14" t="s">
        <v>18917</v>
      </c>
      <c r="D1659" s="14" t="s">
        <v>18918</v>
      </c>
      <c r="E1659" s="150" t="str">
        <f t="shared" si="27"/>
        <v>http://dx.doi.org/10.1109/TVCG.2007.70593</v>
      </c>
      <c r="F1659" s="14">
        <v>1688.0</v>
      </c>
      <c r="G1659" s="14">
        <v>1695.0</v>
      </c>
      <c r="H1659" s="14" t="s">
        <v>17059</v>
      </c>
      <c r="I1659" s="14" t="s">
        <v>18919</v>
      </c>
      <c r="J1659" s="130" t="s">
        <v>18921</v>
      </c>
      <c r="K1659" s="152" t="s">
        <v>19641</v>
      </c>
      <c r="L1659" s="20" t="s">
        <v>18924</v>
      </c>
      <c r="M1659" s="174" t="s">
        <v>18925</v>
      </c>
      <c r="N1659" s="84"/>
      <c r="O1659" s="84"/>
      <c r="P1659" s="84"/>
      <c r="Q1659" s="84"/>
      <c r="R1659" s="84"/>
      <c r="S1659" s="84"/>
      <c r="T1659" s="84"/>
      <c r="U1659" s="84"/>
      <c r="V1659" s="84"/>
      <c r="W1659" s="84"/>
      <c r="X1659" s="84"/>
    </row>
    <row r="1660" ht="15.75" customHeight="1">
      <c r="A1660" s="14" t="s">
        <v>17</v>
      </c>
      <c r="B1660" s="14">
        <v>2007.0</v>
      </c>
      <c r="C1660" s="14" t="s">
        <v>18927</v>
      </c>
      <c r="D1660" s="14" t="s">
        <v>18928</v>
      </c>
      <c r="E1660" s="150" t="str">
        <f t="shared" si="27"/>
        <v>http://dx.doi.org/10.1109/TVCG.2007.70595</v>
      </c>
      <c r="F1660" s="14">
        <v>1448.0</v>
      </c>
      <c r="G1660" s="14">
        <v>1455.0</v>
      </c>
      <c r="H1660" s="14" t="s">
        <v>17059</v>
      </c>
      <c r="I1660" s="14" t="s">
        <v>18929</v>
      </c>
      <c r="J1660" s="130" t="s">
        <v>18930</v>
      </c>
      <c r="K1660" s="152" t="s">
        <v>19679</v>
      </c>
      <c r="L1660" s="20" t="s">
        <v>18933</v>
      </c>
      <c r="M1660" s="174" t="s">
        <v>18934</v>
      </c>
      <c r="N1660" s="84"/>
      <c r="O1660" s="84"/>
      <c r="P1660" s="84"/>
      <c r="Q1660" s="84"/>
      <c r="R1660" s="84"/>
      <c r="S1660" s="84"/>
      <c r="T1660" s="84"/>
      <c r="U1660" s="84"/>
      <c r="V1660" s="84"/>
      <c r="W1660" s="84"/>
      <c r="X1660" s="84"/>
    </row>
    <row r="1661" ht="15.75" customHeight="1">
      <c r="A1661" s="14" t="s">
        <v>17</v>
      </c>
      <c r="B1661" s="14">
        <v>2007.0</v>
      </c>
      <c r="C1661" s="14" t="s">
        <v>18935</v>
      </c>
      <c r="D1661" s="14" t="s">
        <v>18936</v>
      </c>
      <c r="E1661" s="150" t="str">
        <f t="shared" si="27"/>
        <v>http://dx.doi.org/10.1109/TVCG.2007.70597</v>
      </c>
      <c r="F1661" s="14">
        <v>1504.0</v>
      </c>
      <c r="G1661" s="14">
        <v>1511.0</v>
      </c>
      <c r="H1661" s="14" t="s">
        <v>17059</v>
      </c>
      <c r="I1661" s="14" t="s">
        <v>18937</v>
      </c>
      <c r="J1661" s="130" t="s">
        <v>18938</v>
      </c>
      <c r="K1661" s="152" t="s">
        <v>19708</v>
      </c>
      <c r="L1661" s="20" t="s">
        <v>18941</v>
      </c>
      <c r="M1661" s="174" t="s">
        <v>18943</v>
      </c>
      <c r="N1661" s="84"/>
      <c r="O1661" s="84"/>
      <c r="P1661" s="84"/>
      <c r="Q1661" s="84"/>
      <c r="R1661" s="84"/>
      <c r="S1661" s="84"/>
      <c r="T1661" s="84"/>
      <c r="U1661" s="84"/>
      <c r="V1661" s="84"/>
      <c r="W1661" s="84"/>
      <c r="X1661" s="84"/>
    </row>
    <row r="1662" ht="15.75" customHeight="1">
      <c r="A1662" s="14" t="s">
        <v>17</v>
      </c>
      <c r="B1662" s="14">
        <v>2007.0</v>
      </c>
      <c r="C1662" s="14" t="s">
        <v>18945</v>
      </c>
      <c r="D1662" s="14" t="s">
        <v>18946</v>
      </c>
      <c r="E1662" s="150" t="str">
        <f t="shared" si="27"/>
        <v>http://dx.doi.org/10.1109/TVCG.2007.70598</v>
      </c>
      <c r="F1662" s="14">
        <v>1520.0</v>
      </c>
      <c r="G1662" s="14">
        <v>1527.0</v>
      </c>
      <c r="H1662" s="14" t="s">
        <v>17059</v>
      </c>
      <c r="I1662" s="14" t="s">
        <v>18947</v>
      </c>
      <c r="J1662" s="130" t="s">
        <v>18949</v>
      </c>
      <c r="K1662" s="152" t="s">
        <v>19731</v>
      </c>
      <c r="L1662" s="20" t="s">
        <v>18950</v>
      </c>
      <c r="M1662" s="174" t="s">
        <v>18951</v>
      </c>
      <c r="N1662" s="84"/>
      <c r="O1662" s="84"/>
      <c r="P1662" s="84"/>
      <c r="Q1662" s="84"/>
      <c r="R1662" s="84"/>
      <c r="S1662" s="84"/>
      <c r="T1662" s="84"/>
      <c r="U1662" s="84"/>
      <c r="V1662" s="84"/>
      <c r="W1662" s="84"/>
      <c r="X1662" s="84"/>
    </row>
    <row r="1663" ht="15.75" customHeight="1">
      <c r="A1663" s="14" t="s">
        <v>17</v>
      </c>
      <c r="B1663" s="14">
        <v>2007.0</v>
      </c>
      <c r="C1663" s="14" t="s">
        <v>18952</v>
      </c>
      <c r="D1663" s="14" t="s">
        <v>18953</v>
      </c>
      <c r="E1663" s="150" t="str">
        <f t="shared" si="27"/>
        <v>http://dx.doi.org/10.1109/TVCG.2007.70599</v>
      </c>
      <c r="F1663" s="14">
        <v>1472.0</v>
      </c>
      <c r="G1663" s="14">
        <v>1479.0</v>
      </c>
      <c r="H1663" s="14" t="s">
        <v>17059</v>
      </c>
      <c r="I1663" s="14" t="s">
        <v>18955</v>
      </c>
      <c r="J1663" s="130" t="s">
        <v>18956</v>
      </c>
      <c r="K1663" s="152" t="s">
        <v>19752</v>
      </c>
      <c r="L1663" s="20" t="s">
        <v>18959</v>
      </c>
      <c r="M1663" s="174" t="s">
        <v>18960</v>
      </c>
      <c r="N1663" s="84"/>
      <c r="O1663" s="84"/>
      <c r="P1663" s="84"/>
      <c r="Q1663" s="84"/>
      <c r="R1663" s="84"/>
      <c r="S1663" s="84"/>
      <c r="T1663" s="84"/>
      <c r="U1663" s="84"/>
      <c r="V1663" s="84"/>
      <c r="W1663" s="84"/>
      <c r="X1663" s="84"/>
    </row>
    <row r="1664" ht="15.75" customHeight="1">
      <c r="A1664" s="14" t="s">
        <v>17</v>
      </c>
      <c r="B1664" s="14">
        <v>2007.0</v>
      </c>
      <c r="C1664" s="14" t="s">
        <v>18962</v>
      </c>
      <c r="D1664" s="14" t="s">
        <v>18963</v>
      </c>
      <c r="E1664" s="150" t="str">
        <f t="shared" si="27"/>
        <v>http://dx.doi.org/10.1109/TVCG.2007.70600</v>
      </c>
      <c r="F1664" s="14">
        <v>1376.0</v>
      </c>
      <c r="G1664" s="14">
        <v>1383.0</v>
      </c>
      <c r="H1664" s="14" t="s">
        <v>17059</v>
      </c>
      <c r="I1664" s="14" t="s">
        <v>18964</v>
      </c>
      <c r="J1664" s="130" t="s">
        <v>41697</v>
      </c>
      <c r="K1664" s="152" t="s">
        <v>19771</v>
      </c>
      <c r="L1664" s="20" t="s">
        <v>18968</v>
      </c>
      <c r="M1664" s="174" t="s">
        <v>18969</v>
      </c>
      <c r="N1664" s="84"/>
      <c r="O1664" s="84"/>
      <c r="P1664" s="84"/>
      <c r="Q1664" s="84"/>
      <c r="R1664" s="84"/>
      <c r="S1664" s="84"/>
      <c r="T1664" s="84"/>
      <c r="U1664" s="84"/>
      <c r="V1664" s="84"/>
      <c r="W1664" s="84"/>
      <c r="X1664" s="84"/>
    </row>
    <row r="1665" ht="15.75" customHeight="1">
      <c r="A1665" s="14" t="s">
        <v>17</v>
      </c>
      <c r="B1665" s="14">
        <v>2007.0</v>
      </c>
      <c r="C1665" s="14" t="s">
        <v>18971</v>
      </c>
      <c r="D1665" s="14" t="s">
        <v>18973</v>
      </c>
      <c r="E1665" s="150" t="str">
        <f t="shared" si="27"/>
        <v>http://dx.doi.org/10.1109/TVCG.2007.70601</v>
      </c>
      <c r="F1665" s="14">
        <v>1416.0</v>
      </c>
      <c r="G1665" s="14">
        <v>1423.0</v>
      </c>
      <c r="H1665" s="14" t="s">
        <v>17059</v>
      </c>
      <c r="I1665" s="14" t="s">
        <v>18976</v>
      </c>
      <c r="J1665" s="130" t="s">
        <v>18977</v>
      </c>
      <c r="K1665" s="152" t="s">
        <v>19796</v>
      </c>
      <c r="L1665" s="20" t="s">
        <v>18980</v>
      </c>
      <c r="M1665" s="174" t="s">
        <v>18981</v>
      </c>
      <c r="N1665" s="84"/>
      <c r="O1665" s="84"/>
      <c r="P1665" s="84"/>
      <c r="Q1665" s="84"/>
      <c r="R1665" s="84"/>
      <c r="S1665" s="84"/>
      <c r="T1665" s="84"/>
      <c r="U1665" s="84"/>
      <c r="V1665" s="84"/>
      <c r="W1665" s="84"/>
      <c r="X1665" s="84"/>
    </row>
    <row r="1666" ht="15.75" customHeight="1">
      <c r="A1666" s="14" t="s">
        <v>17</v>
      </c>
      <c r="B1666" s="14">
        <v>2007.0</v>
      </c>
      <c r="C1666" s="14" t="s">
        <v>18982</v>
      </c>
      <c r="D1666" s="14" t="s">
        <v>18983</v>
      </c>
      <c r="E1666" s="150" t="str">
        <f t="shared" si="27"/>
        <v>http://dx.doi.org/10.1109/TVCG.2007.70602</v>
      </c>
      <c r="F1666" s="14">
        <v>1496.0</v>
      </c>
      <c r="G1666" s="14">
        <v>1503.0</v>
      </c>
      <c r="H1666" s="14" t="s">
        <v>17059</v>
      </c>
      <c r="I1666" s="14" t="s">
        <v>18984</v>
      </c>
      <c r="J1666" s="130" t="s">
        <v>18985</v>
      </c>
      <c r="K1666" s="152" t="s">
        <v>19817</v>
      </c>
      <c r="L1666" s="20" t="s">
        <v>18987</v>
      </c>
      <c r="M1666" s="174" t="s">
        <v>18988</v>
      </c>
      <c r="N1666" s="84"/>
      <c r="O1666" s="84"/>
      <c r="P1666" s="84"/>
      <c r="Q1666" s="84"/>
      <c r="R1666" s="84"/>
      <c r="S1666" s="84"/>
      <c r="T1666" s="84"/>
      <c r="U1666" s="84"/>
      <c r="V1666" s="84"/>
      <c r="W1666" s="84"/>
      <c r="X1666" s="84"/>
    </row>
    <row r="1667" ht="15.75" customHeight="1">
      <c r="A1667" s="14" t="s">
        <v>17</v>
      </c>
      <c r="B1667" s="14">
        <v>2007.0</v>
      </c>
      <c r="C1667" s="14" t="s">
        <v>18989</v>
      </c>
      <c r="D1667" s="14" t="s">
        <v>18990</v>
      </c>
      <c r="E1667" s="150" t="str">
        <f t="shared" si="27"/>
        <v>http://dx.doi.org/10.1109/TVCG.2007.70603</v>
      </c>
      <c r="F1667" s="14">
        <v>1432.0</v>
      </c>
      <c r="G1667" s="14">
        <v>1439.0</v>
      </c>
      <c r="H1667" s="14" t="s">
        <v>17059</v>
      </c>
      <c r="I1667" s="14" t="s">
        <v>18991</v>
      </c>
      <c r="J1667" s="130" t="s">
        <v>18992</v>
      </c>
      <c r="K1667" s="152" t="s">
        <v>19840</v>
      </c>
      <c r="L1667" s="20" t="s">
        <v>18995</v>
      </c>
      <c r="M1667" s="174" t="s">
        <v>18996</v>
      </c>
      <c r="N1667" s="84"/>
      <c r="O1667" s="84"/>
      <c r="P1667" s="84"/>
      <c r="Q1667" s="84"/>
      <c r="R1667" s="84"/>
      <c r="S1667" s="84"/>
      <c r="T1667" s="84"/>
      <c r="U1667" s="84"/>
      <c r="V1667" s="84"/>
      <c r="W1667" s="84"/>
      <c r="X1667" s="84"/>
    </row>
    <row r="1668" ht="15.75" customHeight="1">
      <c r="A1668" s="14" t="s">
        <v>17</v>
      </c>
      <c r="B1668" s="14">
        <v>2007.0</v>
      </c>
      <c r="C1668" s="14" t="s">
        <v>18997</v>
      </c>
      <c r="D1668" s="14" t="s">
        <v>18998</v>
      </c>
      <c r="E1668" s="150" t="str">
        <f t="shared" si="27"/>
        <v>http://dx.doi.org/10.1109/TVCG.2007.70604</v>
      </c>
      <c r="F1668" s="14">
        <v>1704.0</v>
      </c>
      <c r="G1668" s="14">
        <v>1711.0</v>
      </c>
      <c r="H1668" s="14" t="s">
        <v>17059</v>
      </c>
      <c r="I1668" s="14" t="s">
        <v>18999</v>
      </c>
      <c r="J1668" s="130" t="s">
        <v>19000</v>
      </c>
      <c r="K1668" s="152" t="s">
        <v>19864</v>
      </c>
      <c r="L1668" s="20" t="s">
        <v>19003</v>
      </c>
      <c r="M1668" s="174" t="s">
        <v>19004</v>
      </c>
      <c r="N1668" s="84"/>
      <c r="O1668" s="84"/>
      <c r="P1668" s="84"/>
      <c r="Q1668" s="84"/>
      <c r="R1668" s="84"/>
      <c r="S1668" s="84"/>
      <c r="T1668" s="84"/>
      <c r="U1668" s="84"/>
      <c r="V1668" s="84"/>
      <c r="W1668" s="84"/>
      <c r="X1668" s="84"/>
    </row>
    <row r="1669" ht="15.75" customHeight="1">
      <c r="A1669" s="14" t="s">
        <v>17</v>
      </c>
      <c r="B1669" s="14">
        <v>2007.0</v>
      </c>
      <c r="C1669" s="14" t="s">
        <v>19005</v>
      </c>
      <c r="D1669" s="14" t="s">
        <v>19006</v>
      </c>
      <c r="E1669" s="150" t="str">
        <f t="shared" si="27"/>
        <v>http://dx.doi.org/10.1109/TVCG.2007.70610</v>
      </c>
      <c r="F1669" s="14">
        <v>1751.0</v>
      </c>
      <c r="G1669" s="14">
        <v>1758.0</v>
      </c>
      <c r="H1669" s="14" t="s">
        <v>17059</v>
      </c>
      <c r="I1669" s="14" t="s">
        <v>19007</v>
      </c>
      <c r="J1669" s="130" t="s">
        <v>19008</v>
      </c>
      <c r="K1669" s="152" t="s">
        <v>19877</v>
      </c>
      <c r="L1669" s="20" t="s">
        <v>15033</v>
      </c>
      <c r="M1669" s="174" t="s">
        <v>19012</v>
      </c>
      <c r="N1669" s="84"/>
      <c r="O1669" s="84"/>
      <c r="P1669" s="84"/>
      <c r="Q1669" s="84"/>
      <c r="R1669" s="84"/>
      <c r="S1669" s="84"/>
      <c r="T1669" s="84"/>
      <c r="U1669" s="84"/>
      <c r="V1669" s="84"/>
      <c r="W1669" s="84"/>
      <c r="X1669" s="84"/>
    </row>
    <row r="1670" ht="15.75" customHeight="1">
      <c r="A1670" s="14" t="s">
        <v>17</v>
      </c>
      <c r="B1670" s="14">
        <v>2007.0</v>
      </c>
      <c r="C1670" s="14" t="s">
        <v>19013</v>
      </c>
      <c r="D1670" s="14" t="s">
        <v>19014</v>
      </c>
      <c r="E1670" s="150" t="str">
        <f t="shared" si="27"/>
        <v>http://dx.doi.org/10.1109/TVCG.2007.70614</v>
      </c>
      <c r="F1670" s="14">
        <v>1624.0</v>
      </c>
      <c r="G1670" s="14">
        <v>1631.0</v>
      </c>
      <c r="H1670" s="14" t="s">
        <v>17059</v>
      </c>
      <c r="I1670" s="14" t="s">
        <v>19015</v>
      </c>
      <c r="J1670" s="130" t="s">
        <v>19016</v>
      </c>
      <c r="K1670" s="152" t="s">
        <v>19896</v>
      </c>
      <c r="L1670" s="20" t="s">
        <v>19017</v>
      </c>
      <c r="M1670" s="174" t="s">
        <v>19018</v>
      </c>
      <c r="N1670" s="84"/>
      <c r="O1670" s="84"/>
      <c r="P1670" s="84"/>
      <c r="Q1670" s="84"/>
      <c r="R1670" s="84"/>
      <c r="S1670" s="84"/>
      <c r="T1670" s="84"/>
      <c r="U1670" s="84"/>
      <c r="V1670" s="84"/>
      <c r="W1670" s="84"/>
      <c r="X1670" s="84"/>
    </row>
    <row r="1671" ht="15.75" customHeight="1">
      <c r="A1671" s="14" t="s">
        <v>17</v>
      </c>
      <c r="B1671" s="14">
        <v>2007.0</v>
      </c>
      <c r="C1671" s="14" t="s">
        <v>19020</v>
      </c>
      <c r="D1671" s="14" t="s">
        <v>19021</v>
      </c>
      <c r="E1671" s="150" t="str">
        <f t="shared" si="27"/>
        <v>http://dx.doi.org/10.1109/TVCG.2007.70615</v>
      </c>
      <c r="F1671" s="14">
        <v>1384.0</v>
      </c>
      <c r="G1671" s="14">
        <v>1391.0</v>
      </c>
      <c r="H1671" s="14" t="s">
        <v>17059</v>
      </c>
      <c r="I1671" s="14" t="s">
        <v>19023</v>
      </c>
      <c r="J1671" s="130" t="s">
        <v>19024</v>
      </c>
      <c r="K1671" s="152" t="s">
        <v>19927</v>
      </c>
      <c r="L1671" s="20" t="s">
        <v>19027</v>
      </c>
      <c r="M1671" s="174" t="s">
        <v>19028</v>
      </c>
      <c r="N1671" s="84"/>
      <c r="O1671" s="84"/>
      <c r="P1671" s="84"/>
      <c r="Q1671" s="84"/>
      <c r="R1671" s="84"/>
      <c r="S1671" s="84"/>
      <c r="T1671" s="84"/>
      <c r="U1671" s="84"/>
      <c r="V1671" s="84"/>
      <c r="W1671" s="84"/>
      <c r="X1671" s="84"/>
    </row>
    <row r="1672" ht="15.75" customHeight="1">
      <c r="A1672" s="14" t="s">
        <v>2137</v>
      </c>
      <c r="B1672" s="14">
        <v>2008.0</v>
      </c>
      <c r="C1672" s="14" t="s">
        <v>19030</v>
      </c>
      <c r="D1672" s="14" t="s">
        <v>19031</v>
      </c>
      <c r="E1672" s="150" t="str">
        <f t="shared" si="27"/>
        <v>http://dx.doi.org/10.1109/TVCG.2008.109</v>
      </c>
      <c r="F1672" s="14">
        <v>1149.0</v>
      </c>
      <c r="G1672" s="14">
        <v>1156.0</v>
      </c>
      <c r="H1672" s="14" t="s">
        <v>17059</v>
      </c>
      <c r="I1672" s="14" t="s">
        <v>19032</v>
      </c>
      <c r="J1672" s="130" t="s">
        <v>19033</v>
      </c>
      <c r="K1672" s="152" t="s">
        <v>20727</v>
      </c>
      <c r="L1672" s="20" t="s">
        <v>19035</v>
      </c>
      <c r="M1672" s="174" t="s">
        <v>19036</v>
      </c>
      <c r="N1672" s="84"/>
      <c r="O1672" s="84"/>
      <c r="P1672" s="84"/>
      <c r="Q1672" s="84"/>
      <c r="R1672" s="84"/>
      <c r="S1672" s="84"/>
      <c r="T1672" s="84"/>
      <c r="U1672" s="84"/>
      <c r="V1672" s="84"/>
      <c r="W1672" s="84"/>
      <c r="X1672" s="84"/>
    </row>
    <row r="1673" ht="15.75" customHeight="1">
      <c r="A1673" s="14" t="s">
        <v>2137</v>
      </c>
      <c r="B1673" s="14">
        <v>2008.0</v>
      </c>
      <c r="C1673" s="14" t="s">
        <v>19039</v>
      </c>
      <c r="D1673" s="14" t="s">
        <v>19040</v>
      </c>
      <c r="E1673" s="150" t="str">
        <f t="shared" si="27"/>
        <v>http://dx.doi.org/10.1109/TVCG.2008.114</v>
      </c>
      <c r="F1673" s="14">
        <v>1157.0</v>
      </c>
      <c r="G1673" s="14">
        <v>1164.0</v>
      </c>
      <c r="H1673" s="14" t="s">
        <v>17059</v>
      </c>
      <c r="I1673" s="14" t="s">
        <v>19041</v>
      </c>
      <c r="J1673" s="130" t="s">
        <v>18102</v>
      </c>
      <c r="K1673" s="152" t="s">
        <v>20736</v>
      </c>
      <c r="L1673" s="20" t="s">
        <v>19043</v>
      </c>
      <c r="M1673" s="174" t="s">
        <v>19044</v>
      </c>
      <c r="N1673" s="84"/>
      <c r="O1673" s="84"/>
      <c r="P1673" s="84"/>
      <c r="Q1673" s="84"/>
      <c r="R1673" s="84"/>
      <c r="S1673" s="84"/>
      <c r="T1673" s="84"/>
      <c r="U1673" s="84"/>
      <c r="V1673" s="84"/>
      <c r="W1673" s="84"/>
      <c r="X1673" s="84"/>
    </row>
    <row r="1674" ht="15.75" customHeight="1">
      <c r="A1674" s="14" t="s">
        <v>2137</v>
      </c>
      <c r="B1674" s="14">
        <v>2008.0</v>
      </c>
      <c r="C1674" s="14" t="s">
        <v>19045</v>
      </c>
      <c r="D1674" s="14" t="s">
        <v>19046</v>
      </c>
      <c r="E1674" s="150" t="str">
        <f t="shared" si="27"/>
        <v>http://dx.doi.org/10.1109/TVCG.2008.117</v>
      </c>
      <c r="F1674" s="14">
        <v>1253.0</v>
      </c>
      <c r="G1674" s="14">
        <v>1260.0</v>
      </c>
      <c r="H1674" s="14" t="s">
        <v>17059</v>
      </c>
      <c r="I1674" s="14" t="s">
        <v>19047</v>
      </c>
      <c r="J1674" s="130" t="s">
        <v>19048</v>
      </c>
      <c r="K1674" s="152" t="s">
        <v>20744</v>
      </c>
      <c r="L1674" s="20" t="s">
        <v>19051</v>
      </c>
      <c r="M1674" s="174" t="s">
        <v>19052</v>
      </c>
      <c r="N1674" s="84"/>
      <c r="O1674" s="84"/>
      <c r="P1674" s="84"/>
      <c r="Q1674" s="84"/>
      <c r="R1674" s="84"/>
      <c r="S1674" s="84"/>
      <c r="T1674" s="84"/>
      <c r="U1674" s="84"/>
      <c r="V1674" s="84"/>
      <c r="W1674" s="84"/>
      <c r="X1674" s="84"/>
    </row>
    <row r="1675" ht="15.75" customHeight="1">
      <c r="A1675" s="14" t="s">
        <v>2137</v>
      </c>
      <c r="B1675" s="14">
        <v>2008.0</v>
      </c>
      <c r="C1675" s="14" t="s">
        <v>19054</v>
      </c>
      <c r="D1675" s="14" t="s">
        <v>19061</v>
      </c>
      <c r="E1675" s="150" t="str">
        <f t="shared" si="27"/>
        <v>http://dx.doi.org/10.1109/TVCG.2008.121</v>
      </c>
      <c r="F1675" s="14">
        <v>1173.0</v>
      </c>
      <c r="G1675" s="14">
        <v>1180.0</v>
      </c>
      <c r="H1675" s="14" t="s">
        <v>17059</v>
      </c>
      <c r="I1675" s="14" t="s">
        <v>19063</v>
      </c>
      <c r="J1675" s="130" t="s">
        <v>19064</v>
      </c>
      <c r="K1675" s="152" t="s">
        <v>20753</v>
      </c>
      <c r="L1675" s="20" t="s">
        <v>19067</v>
      </c>
      <c r="M1675" s="174" t="s">
        <v>19068</v>
      </c>
      <c r="N1675" s="84"/>
      <c r="O1675" s="84"/>
      <c r="P1675" s="84"/>
      <c r="Q1675" s="84"/>
      <c r="R1675" s="84"/>
      <c r="S1675" s="84"/>
      <c r="T1675" s="84"/>
      <c r="U1675" s="84"/>
      <c r="V1675" s="84"/>
      <c r="W1675" s="84"/>
      <c r="X1675" s="84"/>
    </row>
    <row r="1676" ht="15.75" customHeight="1">
      <c r="A1676" s="14" t="s">
        <v>2137</v>
      </c>
      <c r="B1676" s="14">
        <v>2008.0</v>
      </c>
      <c r="C1676" s="14" t="s">
        <v>19070</v>
      </c>
      <c r="D1676" s="14" t="s">
        <v>19071</v>
      </c>
      <c r="E1676" s="150" t="str">
        <f t="shared" si="27"/>
        <v>http://dx.doi.org/10.1109/TVCG.2008.125</v>
      </c>
      <c r="F1676" s="14">
        <v>1325.0</v>
      </c>
      <c r="G1676" s="14">
        <v>1332.0</v>
      </c>
      <c r="H1676" s="14" t="s">
        <v>17059</v>
      </c>
      <c r="I1676" s="14" t="s">
        <v>19072</v>
      </c>
      <c r="J1676" s="130" t="s">
        <v>19073</v>
      </c>
      <c r="K1676" s="152" t="s">
        <v>20762</v>
      </c>
      <c r="L1676" s="20" t="s">
        <v>19076</v>
      </c>
      <c r="M1676" s="174" t="s">
        <v>19077</v>
      </c>
      <c r="N1676" s="84"/>
      <c r="O1676" s="84"/>
      <c r="P1676" s="84"/>
      <c r="Q1676" s="84"/>
      <c r="R1676" s="84"/>
      <c r="S1676" s="84"/>
      <c r="T1676" s="84"/>
      <c r="U1676" s="84"/>
      <c r="V1676" s="84"/>
      <c r="W1676" s="84"/>
      <c r="X1676" s="84"/>
    </row>
    <row r="1677" ht="15.75" customHeight="1">
      <c r="A1677" s="14" t="s">
        <v>2137</v>
      </c>
      <c r="B1677" s="14">
        <v>2008.0</v>
      </c>
      <c r="C1677" s="14" t="s">
        <v>19079</v>
      </c>
      <c r="D1677" s="14" t="s">
        <v>19080</v>
      </c>
      <c r="E1677" s="150" t="str">
        <f t="shared" si="27"/>
        <v>http://dx.doi.org/10.1109/TVCG.2008.127</v>
      </c>
      <c r="F1677" s="14">
        <v>1181.0</v>
      </c>
      <c r="G1677" s="14">
        <v>1188.0</v>
      </c>
      <c r="H1677" s="14" t="s">
        <v>17059</v>
      </c>
      <c r="I1677" s="14" t="s">
        <v>19082</v>
      </c>
      <c r="J1677" s="130" t="s">
        <v>41698</v>
      </c>
      <c r="K1677" s="152" t="s">
        <v>20766</v>
      </c>
      <c r="L1677" s="20" t="s">
        <v>19085</v>
      </c>
      <c r="M1677" s="174" t="s">
        <v>19086</v>
      </c>
      <c r="N1677" s="84"/>
      <c r="O1677" s="84"/>
      <c r="P1677" s="84"/>
      <c r="Q1677" s="84"/>
      <c r="R1677" s="84"/>
      <c r="S1677" s="84"/>
      <c r="T1677" s="84"/>
      <c r="U1677" s="84"/>
      <c r="V1677" s="84"/>
      <c r="W1677" s="84"/>
      <c r="X1677" s="84"/>
    </row>
    <row r="1678" ht="15.75" customHeight="1">
      <c r="A1678" s="14" t="s">
        <v>2137</v>
      </c>
      <c r="B1678" s="14">
        <v>2008.0</v>
      </c>
      <c r="C1678" s="14" t="s">
        <v>19087</v>
      </c>
      <c r="D1678" s="14" t="s">
        <v>19088</v>
      </c>
      <c r="E1678" s="150" t="str">
        <f t="shared" si="27"/>
        <v>http://dx.doi.org/10.1109/TVCG.2008.129</v>
      </c>
      <c r="F1678" s="14">
        <v>1309.0</v>
      </c>
      <c r="G1678" s="14">
        <v>1316.0</v>
      </c>
      <c r="H1678" s="14" t="s">
        <v>17059</v>
      </c>
      <c r="I1678" s="14" t="s">
        <v>19090</v>
      </c>
      <c r="J1678" s="130" t="s">
        <v>19092</v>
      </c>
      <c r="K1678" s="152" t="s">
        <v>20770</v>
      </c>
      <c r="L1678" s="20" t="s">
        <v>19095</v>
      </c>
      <c r="M1678" s="174" t="s">
        <v>19096</v>
      </c>
      <c r="N1678" s="84"/>
      <c r="O1678" s="84"/>
      <c r="P1678" s="84"/>
      <c r="Q1678" s="84"/>
      <c r="R1678" s="84"/>
      <c r="S1678" s="84"/>
      <c r="T1678" s="84"/>
      <c r="U1678" s="84"/>
      <c r="V1678" s="84"/>
      <c r="W1678" s="84"/>
      <c r="X1678" s="84"/>
    </row>
    <row r="1679" ht="15.75" customHeight="1">
      <c r="A1679" s="14" t="s">
        <v>2137</v>
      </c>
      <c r="B1679" s="14">
        <v>2008.0</v>
      </c>
      <c r="C1679" s="14" t="s">
        <v>19097</v>
      </c>
      <c r="D1679" s="14" t="s">
        <v>19098</v>
      </c>
      <c r="E1679" s="150" t="str">
        <f t="shared" si="27"/>
        <v>http://dx.doi.org/10.1109/TVCG.2008.130</v>
      </c>
      <c r="F1679" s="14">
        <v>1293.0</v>
      </c>
      <c r="G1679" s="14">
        <v>1300.0</v>
      </c>
      <c r="H1679" s="14" t="s">
        <v>17059</v>
      </c>
      <c r="I1679" s="14" t="s">
        <v>19099</v>
      </c>
      <c r="J1679" s="130" t="s">
        <v>19100</v>
      </c>
      <c r="K1679" s="152" t="s">
        <v>20772</v>
      </c>
      <c r="L1679" s="20" t="s">
        <v>19103</v>
      </c>
      <c r="M1679" s="174" t="s">
        <v>19104</v>
      </c>
      <c r="N1679" s="84"/>
      <c r="O1679" s="84"/>
      <c r="P1679" s="84"/>
      <c r="Q1679" s="84"/>
      <c r="R1679" s="84"/>
      <c r="S1679" s="84"/>
      <c r="T1679" s="84"/>
      <c r="U1679" s="84"/>
      <c r="V1679" s="84"/>
      <c r="W1679" s="84"/>
      <c r="X1679" s="84"/>
    </row>
    <row r="1680" ht="15.75" customHeight="1">
      <c r="A1680" s="14" t="s">
        <v>2137</v>
      </c>
      <c r="B1680" s="14">
        <v>2008.0</v>
      </c>
      <c r="C1680" s="14" t="s">
        <v>19107</v>
      </c>
      <c r="D1680" s="14" t="s">
        <v>19108</v>
      </c>
      <c r="E1680" s="150" t="str">
        <f t="shared" si="27"/>
        <v>http://dx.doi.org/10.1109/TVCG.2008.135</v>
      </c>
      <c r="F1680" s="14">
        <v>1277.0</v>
      </c>
      <c r="G1680" s="14">
        <v>1284.0</v>
      </c>
      <c r="H1680" s="14" t="s">
        <v>17059</v>
      </c>
      <c r="I1680" s="14" t="s">
        <v>19110</v>
      </c>
      <c r="J1680" s="130" t="s">
        <v>19111</v>
      </c>
      <c r="K1680" s="152" t="s">
        <v>20782</v>
      </c>
      <c r="L1680" s="20" t="s">
        <v>19113</v>
      </c>
      <c r="M1680" s="174" t="s">
        <v>19114</v>
      </c>
      <c r="N1680" s="84"/>
      <c r="O1680" s="84"/>
      <c r="P1680" s="84"/>
      <c r="Q1680" s="84"/>
      <c r="R1680" s="84"/>
      <c r="S1680" s="84"/>
      <c r="T1680" s="84"/>
      <c r="U1680" s="84"/>
      <c r="V1680" s="84"/>
      <c r="W1680" s="84"/>
      <c r="X1680" s="84"/>
    </row>
    <row r="1681" ht="15.75" customHeight="1">
      <c r="A1681" s="14" t="s">
        <v>2137</v>
      </c>
      <c r="B1681" s="14">
        <v>2008.0</v>
      </c>
      <c r="C1681" s="14" t="s">
        <v>19115</v>
      </c>
      <c r="D1681" s="14" t="s">
        <v>19116</v>
      </c>
      <c r="E1681" s="150" t="str">
        <f t="shared" si="27"/>
        <v>http://dx.doi.org/10.1109/TVCG.2008.137</v>
      </c>
      <c r="F1681" s="14">
        <v>1189.0</v>
      </c>
      <c r="G1681" s="14">
        <v>1196.0</v>
      </c>
      <c r="H1681" s="14" t="s">
        <v>17059</v>
      </c>
      <c r="I1681" s="14" t="s">
        <v>19117</v>
      </c>
      <c r="J1681" s="130" t="s">
        <v>19118</v>
      </c>
      <c r="K1681" s="152" t="s">
        <v>20787</v>
      </c>
      <c r="L1681" s="20" t="s">
        <v>19122</v>
      </c>
      <c r="M1681" s="174" t="s">
        <v>19123</v>
      </c>
      <c r="N1681" s="84"/>
      <c r="O1681" s="84"/>
      <c r="P1681" s="84"/>
      <c r="Q1681" s="84"/>
      <c r="R1681" s="84"/>
      <c r="S1681" s="84"/>
      <c r="T1681" s="84"/>
      <c r="U1681" s="84"/>
      <c r="V1681" s="84"/>
      <c r="W1681" s="84"/>
      <c r="X1681" s="84"/>
    </row>
    <row r="1682" ht="15.75" customHeight="1">
      <c r="A1682" s="14" t="s">
        <v>2137</v>
      </c>
      <c r="B1682" s="14">
        <v>2008.0</v>
      </c>
      <c r="C1682" s="14" t="s">
        <v>19125</v>
      </c>
      <c r="D1682" s="14" t="s">
        <v>19126</v>
      </c>
      <c r="E1682" s="150" t="str">
        <f t="shared" si="27"/>
        <v>http://dx.doi.org/10.1109/TVCG.2008.138</v>
      </c>
      <c r="F1682" s="14">
        <v>1229.0</v>
      </c>
      <c r="G1682" s="14">
        <v>1236.0</v>
      </c>
      <c r="H1682" s="14" t="s">
        <v>17059</v>
      </c>
      <c r="I1682" s="14" t="s">
        <v>19127</v>
      </c>
      <c r="J1682" s="130" t="s">
        <v>19128</v>
      </c>
      <c r="K1682" s="152" t="s">
        <v>20789</v>
      </c>
      <c r="L1682" s="20" t="s">
        <v>19131</v>
      </c>
      <c r="M1682" s="174" t="s">
        <v>19132</v>
      </c>
      <c r="N1682" s="84"/>
      <c r="O1682" s="84"/>
      <c r="P1682" s="84"/>
      <c r="Q1682" s="84"/>
      <c r="R1682" s="84"/>
      <c r="S1682" s="84"/>
      <c r="T1682" s="84"/>
      <c r="U1682" s="84"/>
      <c r="V1682" s="84"/>
      <c r="W1682" s="84"/>
      <c r="X1682" s="84"/>
    </row>
    <row r="1683" ht="15.75" customHeight="1">
      <c r="A1683" s="14" t="s">
        <v>2137</v>
      </c>
      <c r="B1683" s="14">
        <v>2008.0</v>
      </c>
      <c r="C1683" s="14" t="s">
        <v>19133</v>
      </c>
      <c r="D1683" s="14" t="s">
        <v>19134</v>
      </c>
      <c r="E1683" s="150" t="str">
        <f t="shared" si="27"/>
        <v>http://dx.doi.org/10.1109/TVCG.2008.141</v>
      </c>
      <c r="F1683" s="14">
        <v>1317.0</v>
      </c>
      <c r="G1683" s="14">
        <v>1324.0</v>
      </c>
      <c r="H1683" s="14" t="s">
        <v>17059</v>
      </c>
      <c r="I1683" s="14" t="s">
        <v>19136</v>
      </c>
      <c r="J1683" s="130" t="s">
        <v>19137</v>
      </c>
      <c r="K1683" s="152" t="s">
        <v>20796</v>
      </c>
      <c r="L1683" s="20" t="s">
        <v>19141</v>
      </c>
      <c r="M1683" s="174" t="s">
        <v>19142</v>
      </c>
      <c r="N1683" s="84"/>
      <c r="O1683" s="84"/>
      <c r="P1683" s="84"/>
      <c r="Q1683" s="84"/>
      <c r="R1683" s="84"/>
      <c r="S1683" s="84"/>
      <c r="T1683" s="84"/>
      <c r="U1683" s="84"/>
      <c r="V1683" s="84"/>
      <c r="W1683" s="84"/>
      <c r="X1683" s="84"/>
    </row>
    <row r="1684" ht="15.75" customHeight="1">
      <c r="A1684" s="14" t="s">
        <v>2137</v>
      </c>
      <c r="B1684" s="14">
        <v>2008.0</v>
      </c>
      <c r="C1684" s="14" t="s">
        <v>19143</v>
      </c>
      <c r="D1684" s="14" t="s">
        <v>19144</v>
      </c>
      <c r="E1684" s="150" t="str">
        <f t="shared" si="27"/>
        <v>http://dx.doi.org/10.1109/TVCG.2008.144</v>
      </c>
      <c r="F1684" s="14">
        <v>1340.0</v>
      </c>
      <c r="G1684" s="14">
        <v>1347.0</v>
      </c>
      <c r="H1684" s="14" t="s">
        <v>17059</v>
      </c>
      <c r="I1684" s="14" t="s">
        <v>19145</v>
      </c>
      <c r="J1684" s="130" t="s">
        <v>19146</v>
      </c>
      <c r="K1684" s="152" t="s">
        <v>20802</v>
      </c>
      <c r="L1684" s="20" t="s">
        <v>19148</v>
      </c>
      <c r="M1684" s="174" t="s">
        <v>19149</v>
      </c>
      <c r="N1684" s="84"/>
      <c r="O1684" s="84"/>
      <c r="P1684" s="84"/>
      <c r="Q1684" s="84"/>
      <c r="R1684" s="84"/>
      <c r="S1684" s="84"/>
      <c r="T1684" s="84"/>
      <c r="U1684" s="84"/>
      <c r="V1684" s="84"/>
      <c r="W1684" s="84"/>
      <c r="X1684" s="84"/>
    </row>
    <row r="1685" ht="15.75" customHeight="1">
      <c r="A1685" s="14" t="s">
        <v>2137</v>
      </c>
      <c r="B1685" s="14">
        <v>2008.0</v>
      </c>
      <c r="C1685" s="14" t="s">
        <v>19150</v>
      </c>
      <c r="D1685" s="14" t="s">
        <v>19152</v>
      </c>
      <c r="E1685" s="150" t="str">
        <f t="shared" si="27"/>
        <v>http://dx.doi.org/10.1109/TVCG.2008.149</v>
      </c>
      <c r="F1685" s="14">
        <v>1165.0</v>
      </c>
      <c r="G1685" s="14">
        <v>1172.0</v>
      </c>
      <c r="H1685" s="14" t="s">
        <v>17059</v>
      </c>
      <c r="I1685" s="14" t="s">
        <v>19153</v>
      </c>
      <c r="J1685" s="130" t="s">
        <v>19154</v>
      </c>
      <c r="K1685" s="152" t="s">
        <v>20812</v>
      </c>
      <c r="L1685" s="20" t="s">
        <v>19157</v>
      </c>
      <c r="M1685" s="174" t="s">
        <v>19158</v>
      </c>
      <c r="N1685" s="84"/>
      <c r="O1685" s="84"/>
      <c r="P1685" s="84"/>
      <c r="Q1685" s="84"/>
      <c r="R1685" s="84"/>
      <c r="S1685" s="84"/>
      <c r="T1685" s="84"/>
      <c r="U1685" s="84"/>
      <c r="V1685" s="84"/>
      <c r="W1685" s="84"/>
      <c r="X1685" s="84"/>
    </row>
    <row r="1686" ht="15.75" customHeight="1">
      <c r="A1686" s="14" t="s">
        <v>2137</v>
      </c>
      <c r="B1686" s="14">
        <v>2008.0</v>
      </c>
      <c r="C1686" s="14" t="s">
        <v>19159</v>
      </c>
      <c r="D1686" s="14" t="s">
        <v>19160</v>
      </c>
      <c r="E1686" s="150" t="str">
        <f t="shared" si="27"/>
        <v>http://dx.doi.org/10.1109/TVCG.2008.151</v>
      </c>
      <c r="F1686" s="14">
        <v>1285.0</v>
      </c>
      <c r="G1686" s="14">
        <v>1292.0</v>
      </c>
      <c r="H1686" s="14" t="s">
        <v>17059</v>
      </c>
      <c r="I1686" s="14" t="s">
        <v>19161</v>
      </c>
      <c r="J1686" s="130" t="s">
        <v>19162</v>
      </c>
      <c r="K1686" s="152" t="s">
        <v>20832</v>
      </c>
      <c r="L1686" s="20" t="s">
        <v>19165</v>
      </c>
      <c r="M1686" s="174" t="s">
        <v>19166</v>
      </c>
      <c r="N1686" s="84"/>
      <c r="O1686" s="84"/>
      <c r="P1686" s="84"/>
      <c r="Q1686" s="84"/>
      <c r="R1686" s="84"/>
      <c r="S1686" s="84"/>
      <c r="T1686" s="84"/>
      <c r="U1686" s="84"/>
      <c r="V1686" s="84"/>
      <c r="W1686" s="84"/>
      <c r="X1686" s="84"/>
    </row>
    <row r="1687" ht="15.75" customHeight="1">
      <c r="A1687" s="14" t="s">
        <v>2137</v>
      </c>
      <c r="B1687" s="14">
        <v>2008.0</v>
      </c>
      <c r="C1687" s="14" t="s">
        <v>19167</v>
      </c>
      <c r="D1687" s="14" t="s">
        <v>19168</v>
      </c>
      <c r="E1687" s="150" t="str">
        <f t="shared" si="27"/>
        <v>http://dx.doi.org/10.1109/TVCG.2008.152</v>
      </c>
      <c r="F1687" s="14">
        <v>1237.0</v>
      </c>
      <c r="G1687" s="14">
        <v>1244.0</v>
      </c>
      <c r="H1687" s="14" t="s">
        <v>17059</v>
      </c>
      <c r="I1687" s="14" t="s">
        <v>19169</v>
      </c>
      <c r="J1687" s="130" t="s">
        <v>19170</v>
      </c>
      <c r="K1687" s="152" t="s">
        <v>20850</v>
      </c>
      <c r="L1687" s="20" t="s">
        <v>19172</v>
      </c>
      <c r="M1687" s="174" t="s">
        <v>19173</v>
      </c>
      <c r="N1687" s="84"/>
      <c r="O1687" s="84"/>
      <c r="P1687" s="84"/>
      <c r="Q1687" s="84"/>
      <c r="R1687" s="84"/>
      <c r="S1687" s="84"/>
      <c r="T1687" s="84"/>
      <c r="U1687" s="84"/>
      <c r="V1687" s="84"/>
      <c r="W1687" s="84"/>
      <c r="X1687" s="84"/>
    </row>
    <row r="1688" ht="15.75" customHeight="1">
      <c r="A1688" s="14" t="s">
        <v>2137</v>
      </c>
      <c r="B1688" s="14">
        <v>2008.0</v>
      </c>
      <c r="C1688" s="14" t="s">
        <v>19174</v>
      </c>
      <c r="D1688" s="14" t="s">
        <v>19175</v>
      </c>
      <c r="E1688" s="150" t="str">
        <f t="shared" si="27"/>
        <v>http://dx.doi.org/10.1109/TVCG.2008.153</v>
      </c>
      <c r="F1688" s="95">
        <v>1141.0</v>
      </c>
      <c r="G1688" s="14">
        <v>1148.0</v>
      </c>
      <c r="H1688" s="14" t="s">
        <v>17059</v>
      </c>
      <c r="I1688" s="14" t="s">
        <v>19176</v>
      </c>
      <c r="J1688" s="130" t="s">
        <v>19177</v>
      </c>
      <c r="K1688" s="152" t="s">
        <v>20875</v>
      </c>
      <c r="L1688" s="20" t="s">
        <v>19178</v>
      </c>
      <c r="M1688" s="174" t="s">
        <v>19179</v>
      </c>
      <c r="N1688" s="84"/>
      <c r="O1688" s="84"/>
      <c r="P1688" s="84"/>
      <c r="Q1688" s="84"/>
      <c r="R1688" s="84"/>
      <c r="S1688" s="84"/>
      <c r="T1688" s="84"/>
      <c r="U1688" s="84"/>
      <c r="V1688" s="84"/>
      <c r="W1688" s="84"/>
      <c r="X1688" s="84"/>
    </row>
    <row r="1689" ht="15.75" customHeight="1">
      <c r="A1689" s="14" t="s">
        <v>2137</v>
      </c>
      <c r="B1689" s="14">
        <v>2008.0</v>
      </c>
      <c r="C1689" s="14" t="s">
        <v>19180</v>
      </c>
      <c r="D1689" s="14" t="s">
        <v>19181</v>
      </c>
      <c r="E1689" s="150" t="str">
        <f t="shared" si="27"/>
        <v>http://dx.doi.org/10.1109/TVCG.2008.155</v>
      </c>
      <c r="F1689" s="14">
        <v>1333.0</v>
      </c>
      <c r="G1689" s="14">
        <v>1339.0</v>
      </c>
      <c r="H1689" s="14" t="s">
        <v>17059</v>
      </c>
      <c r="I1689" s="14" t="s">
        <v>19182</v>
      </c>
      <c r="J1689" s="130" t="s">
        <v>19183</v>
      </c>
      <c r="K1689" s="152" t="s">
        <v>20914</v>
      </c>
      <c r="L1689" s="20" t="s">
        <v>19186</v>
      </c>
      <c r="M1689" s="174" t="s">
        <v>19187</v>
      </c>
      <c r="N1689" s="84"/>
      <c r="O1689" s="84"/>
      <c r="P1689" s="84"/>
      <c r="Q1689" s="84"/>
      <c r="R1689" s="84"/>
      <c r="S1689" s="84"/>
      <c r="T1689" s="84"/>
      <c r="U1689" s="84"/>
      <c r="V1689" s="84"/>
      <c r="W1689" s="84"/>
      <c r="X1689" s="84"/>
    </row>
    <row r="1690" ht="15.75" customHeight="1">
      <c r="A1690" s="14" t="s">
        <v>2137</v>
      </c>
      <c r="B1690" s="14">
        <v>2008.0</v>
      </c>
      <c r="C1690" s="14" t="s">
        <v>19188</v>
      </c>
      <c r="D1690" s="14" t="s">
        <v>19189</v>
      </c>
      <c r="E1690" s="150" t="str">
        <f t="shared" si="27"/>
        <v>http://dx.doi.org/10.1109/TVCG.2008.158</v>
      </c>
      <c r="F1690" s="14">
        <v>1301.0</v>
      </c>
      <c r="G1690" s="14">
        <v>1308.0</v>
      </c>
      <c r="H1690" s="14" t="s">
        <v>17059</v>
      </c>
      <c r="I1690" s="14" t="s">
        <v>19190</v>
      </c>
      <c r="J1690" s="130" t="s">
        <v>19191</v>
      </c>
      <c r="K1690" s="152" t="s">
        <v>20944</v>
      </c>
      <c r="L1690" s="20" t="s">
        <v>19193</v>
      </c>
      <c r="M1690" s="174" t="s">
        <v>19194</v>
      </c>
      <c r="N1690" s="84"/>
      <c r="O1690" s="84"/>
      <c r="P1690" s="84"/>
      <c r="Q1690" s="84"/>
      <c r="R1690" s="84"/>
      <c r="S1690" s="84"/>
      <c r="T1690" s="84"/>
      <c r="U1690" s="84"/>
      <c r="V1690" s="84"/>
      <c r="W1690" s="84"/>
      <c r="X1690" s="84"/>
    </row>
    <row r="1691" ht="15.75" customHeight="1">
      <c r="A1691" s="14" t="s">
        <v>2137</v>
      </c>
      <c r="B1691" s="14">
        <v>2008.0</v>
      </c>
      <c r="C1691" s="14" t="s">
        <v>19195</v>
      </c>
      <c r="D1691" s="14" t="s">
        <v>19196</v>
      </c>
      <c r="E1691" s="150" t="str">
        <f t="shared" si="27"/>
        <v>http://dx.doi.org/10.1109/TVCG.2008.165</v>
      </c>
      <c r="F1691" s="14">
        <v>1348.0</v>
      </c>
      <c r="G1691" s="14">
        <v>1355.0</v>
      </c>
      <c r="H1691" s="14" t="s">
        <v>17059</v>
      </c>
      <c r="I1691" s="14" t="s">
        <v>19197</v>
      </c>
      <c r="J1691" s="130" t="s">
        <v>19198</v>
      </c>
      <c r="K1691" s="152" t="s">
        <v>21059</v>
      </c>
      <c r="L1691" s="20" t="s">
        <v>19200</v>
      </c>
      <c r="M1691" s="174" t="s">
        <v>19201</v>
      </c>
      <c r="N1691" s="84"/>
      <c r="O1691" s="84"/>
      <c r="P1691" s="84"/>
      <c r="Q1691" s="84"/>
      <c r="R1691" s="84"/>
      <c r="S1691" s="84"/>
      <c r="T1691" s="84"/>
      <c r="U1691" s="84"/>
      <c r="V1691" s="84"/>
      <c r="W1691" s="84"/>
      <c r="X1691" s="84"/>
    </row>
    <row r="1692" ht="15.75" customHeight="1">
      <c r="A1692" s="14" t="s">
        <v>2137</v>
      </c>
      <c r="B1692" s="14">
        <v>2008.0</v>
      </c>
      <c r="C1692" s="14" t="s">
        <v>19203</v>
      </c>
      <c r="D1692" s="14" t="s">
        <v>19204</v>
      </c>
      <c r="E1692" s="150" t="str">
        <f t="shared" si="27"/>
        <v>http://dx.doi.org/10.1109/TVCG.2008.166</v>
      </c>
      <c r="F1692" s="14">
        <v>1245.0</v>
      </c>
      <c r="G1692" s="14">
        <v>1252.0</v>
      </c>
      <c r="H1692" s="14" t="s">
        <v>17059</v>
      </c>
      <c r="I1692" s="14" t="s">
        <v>19205</v>
      </c>
      <c r="J1692" s="130" t="s">
        <v>19206</v>
      </c>
      <c r="K1692" s="152" t="s">
        <v>21077</v>
      </c>
      <c r="L1692" s="20" t="s">
        <v>19208</v>
      </c>
      <c r="M1692" s="174" t="s">
        <v>19209</v>
      </c>
      <c r="N1692" s="84"/>
      <c r="O1692" s="84"/>
      <c r="P1692" s="84"/>
      <c r="Q1692" s="84"/>
      <c r="R1692" s="84"/>
      <c r="S1692" s="84"/>
      <c r="T1692" s="84"/>
      <c r="U1692" s="84"/>
      <c r="V1692" s="84"/>
      <c r="W1692" s="84"/>
      <c r="X1692" s="84"/>
    </row>
    <row r="1693" ht="15.75" customHeight="1">
      <c r="A1693" s="14" t="s">
        <v>2137</v>
      </c>
      <c r="B1693" s="14">
        <v>2008.0</v>
      </c>
      <c r="C1693" s="14" t="s">
        <v>19210</v>
      </c>
      <c r="D1693" s="14" t="s">
        <v>19211</v>
      </c>
      <c r="E1693" s="150" t="str">
        <f t="shared" si="27"/>
        <v>http://dx.doi.org/10.1109/TVCG.2008.171</v>
      </c>
      <c r="F1693" s="14">
        <v>1269.0</v>
      </c>
      <c r="G1693" s="14">
        <v>1276.0</v>
      </c>
      <c r="H1693" s="14" t="s">
        <v>17059</v>
      </c>
      <c r="I1693" s="14" t="s">
        <v>19212</v>
      </c>
      <c r="J1693" s="130" t="s">
        <v>19213</v>
      </c>
      <c r="K1693" s="152" t="s">
        <v>21169</v>
      </c>
      <c r="L1693" s="20" t="s">
        <v>19215</v>
      </c>
      <c r="M1693" s="174" t="s">
        <v>19216</v>
      </c>
      <c r="N1693" s="84"/>
      <c r="O1693" s="84"/>
      <c r="P1693" s="84"/>
      <c r="Q1693" s="84"/>
      <c r="R1693" s="84"/>
      <c r="S1693" s="84"/>
      <c r="T1693" s="84"/>
      <c r="U1693" s="84"/>
      <c r="V1693" s="84"/>
      <c r="W1693" s="84"/>
      <c r="X1693" s="84"/>
    </row>
    <row r="1694" ht="15.75" customHeight="1">
      <c r="A1694" s="14" t="s">
        <v>2137</v>
      </c>
      <c r="B1694" s="14">
        <v>2008.0</v>
      </c>
      <c r="C1694" s="14" t="s">
        <v>19218</v>
      </c>
      <c r="D1694" s="14" t="s">
        <v>19219</v>
      </c>
      <c r="E1694" s="150" t="str">
        <f t="shared" si="27"/>
        <v>http://dx.doi.org/10.1109/TVCG.2008.172</v>
      </c>
      <c r="F1694" s="14">
        <v>1221.0</v>
      </c>
      <c r="G1694" s="14">
        <v>1228.0</v>
      </c>
      <c r="H1694" s="14" t="s">
        <v>17059</v>
      </c>
      <c r="I1694" s="14" t="s">
        <v>19221</v>
      </c>
      <c r="J1694" s="130" t="s">
        <v>19222</v>
      </c>
      <c r="K1694" s="152" t="s">
        <v>21190</v>
      </c>
      <c r="L1694" s="20" t="s">
        <v>19223</v>
      </c>
      <c r="M1694" s="174" t="s">
        <v>19224</v>
      </c>
      <c r="N1694" s="84"/>
      <c r="O1694" s="84"/>
      <c r="P1694" s="84"/>
      <c r="Q1694" s="84"/>
      <c r="R1694" s="84"/>
      <c r="S1694" s="84"/>
      <c r="T1694" s="84"/>
      <c r="U1694" s="84"/>
      <c r="V1694" s="84"/>
      <c r="W1694" s="84"/>
      <c r="X1694" s="84"/>
    </row>
    <row r="1695" ht="15.75" customHeight="1">
      <c r="A1695" s="14" t="s">
        <v>2137</v>
      </c>
      <c r="B1695" s="14">
        <v>2008.0</v>
      </c>
      <c r="C1695" s="14" t="s">
        <v>19225</v>
      </c>
      <c r="D1695" s="14" t="s">
        <v>19226</v>
      </c>
      <c r="E1695" s="150" t="str">
        <f t="shared" si="27"/>
        <v>http://dx.doi.org/10.1109/TVCG.2008.175</v>
      </c>
      <c r="F1695" s="14">
        <v>1205.0</v>
      </c>
      <c r="G1695" s="14">
        <v>1212.0</v>
      </c>
      <c r="H1695" s="14" t="s">
        <v>17059</v>
      </c>
      <c r="I1695" s="14" t="s">
        <v>19227</v>
      </c>
      <c r="J1695" s="130" t="s">
        <v>41699</v>
      </c>
      <c r="K1695" s="152" t="s">
        <v>21254</v>
      </c>
      <c r="L1695" s="20" t="s">
        <v>19231</v>
      </c>
      <c r="M1695" s="174" t="s">
        <v>19232</v>
      </c>
      <c r="N1695" s="84"/>
      <c r="O1695" s="84"/>
      <c r="P1695" s="84"/>
      <c r="Q1695" s="84"/>
      <c r="R1695" s="84"/>
      <c r="S1695" s="84"/>
      <c r="T1695" s="84"/>
      <c r="U1695" s="84"/>
      <c r="V1695" s="84"/>
      <c r="W1695" s="84"/>
      <c r="X1695" s="84"/>
    </row>
    <row r="1696" ht="15.75" customHeight="1">
      <c r="A1696" s="14" t="s">
        <v>2137</v>
      </c>
      <c r="B1696" s="14">
        <v>2008.0</v>
      </c>
      <c r="C1696" s="14" t="s">
        <v>19233</v>
      </c>
      <c r="D1696" s="14" t="s">
        <v>19234</v>
      </c>
      <c r="E1696" s="150" t="str">
        <f t="shared" si="27"/>
        <v>http://dx.doi.org/10.1109/TVCG.2008.178</v>
      </c>
      <c r="F1696" s="14">
        <v>1213.0</v>
      </c>
      <c r="G1696" s="14">
        <v>1220.0</v>
      </c>
      <c r="H1696" s="14" t="s">
        <v>17059</v>
      </c>
      <c r="I1696" s="14" t="s">
        <v>19236</v>
      </c>
      <c r="J1696" s="130" t="s">
        <v>19237</v>
      </c>
      <c r="K1696" s="152" t="s">
        <v>21305</v>
      </c>
      <c r="L1696" s="20" t="s">
        <v>19239</v>
      </c>
      <c r="M1696" s="174" t="s">
        <v>19240</v>
      </c>
      <c r="N1696" s="84"/>
      <c r="O1696" s="84"/>
      <c r="P1696" s="84"/>
      <c r="Q1696" s="84"/>
      <c r="R1696" s="84"/>
      <c r="S1696" s="84"/>
      <c r="T1696" s="84"/>
      <c r="U1696" s="84"/>
      <c r="V1696" s="84"/>
      <c r="W1696" s="84"/>
      <c r="X1696" s="84"/>
    </row>
    <row r="1697" ht="15.75" customHeight="1">
      <c r="A1697" s="14" t="s">
        <v>2137</v>
      </c>
      <c r="B1697" s="14">
        <v>2008.0</v>
      </c>
      <c r="C1697" s="14" t="s">
        <v>19242</v>
      </c>
      <c r="D1697" s="14" t="s">
        <v>19243</v>
      </c>
      <c r="E1697" s="150" t="str">
        <f t="shared" si="27"/>
        <v>http://dx.doi.org/10.1109/TVCG.2008.181</v>
      </c>
      <c r="F1697" s="14">
        <v>1356.0</v>
      </c>
      <c r="G1697" s="14">
        <v>1363.0</v>
      </c>
      <c r="H1697" s="14" t="s">
        <v>17059</v>
      </c>
      <c r="I1697" s="14" t="s">
        <v>19244</v>
      </c>
      <c r="J1697" s="130" t="s">
        <v>19245</v>
      </c>
      <c r="K1697" s="152" t="s">
        <v>21366</v>
      </c>
      <c r="L1697" s="20"/>
      <c r="M1697" s="174" t="s">
        <v>19248</v>
      </c>
      <c r="N1697" s="84"/>
      <c r="O1697" s="84"/>
      <c r="P1697" s="84"/>
      <c r="Q1697" s="84"/>
      <c r="R1697" s="84"/>
      <c r="S1697" s="84"/>
      <c r="T1697" s="84"/>
      <c r="U1697" s="84"/>
      <c r="V1697" s="84"/>
      <c r="W1697" s="84"/>
      <c r="X1697" s="84"/>
    </row>
    <row r="1698" ht="15.75" customHeight="1">
      <c r="A1698" s="14" t="s">
        <v>2137</v>
      </c>
      <c r="B1698" s="14">
        <v>2008.0</v>
      </c>
      <c r="C1698" s="14" t="s">
        <v>19249</v>
      </c>
      <c r="D1698" s="14" t="s">
        <v>19250</v>
      </c>
      <c r="E1698" s="150" t="str">
        <f t="shared" si="27"/>
        <v>http://dx.doi.org/10.1109/TVCG.2008.185</v>
      </c>
      <c r="F1698" s="14">
        <v>1261.0</v>
      </c>
      <c r="G1698" s="14">
        <v>1268.0</v>
      </c>
      <c r="H1698" s="14" t="s">
        <v>17059</v>
      </c>
      <c r="I1698" s="14" t="s">
        <v>19252</v>
      </c>
      <c r="J1698" s="130" t="s">
        <v>19253</v>
      </c>
      <c r="K1698" s="152" t="s">
        <v>21417</v>
      </c>
      <c r="L1698" s="20" t="s">
        <v>19256</v>
      </c>
      <c r="M1698" s="174" t="s">
        <v>19257</v>
      </c>
      <c r="N1698" s="84"/>
      <c r="O1698" s="84"/>
      <c r="P1698" s="84"/>
      <c r="Q1698" s="84"/>
      <c r="R1698" s="84"/>
      <c r="S1698" s="84"/>
      <c r="T1698" s="84"/>
      <c r="U1698" s="84"/>
      <c r="V1698" s="84"/>
      <c r="W1698" s="84"/>
      <c r="X1698" s="84"/>
    </row>
    <row r="1699" ht="15.75" customHeight="1">
      <c r="A1699" s="14" t="s">
        <v>2137</v>
      </c>
      <c r="B1699" s="14">
        <v>2008.0</v>
      </c>
      <c r="C1699" s="14" t="s">
        <v>19258</v>
      </c>
      <c r="D1699" s="14" t="s">
        <v>19259</v>
      </c>
      <c r="E1699" s="150" t="str">
        <f t="shared" si="27"/>
        <v>http://dx.doi.org/10.1109/TVCG.2008.187</v>
      </c>
      <c r="F1699" s="14">
        <v>1197.0</v>
      </c>
      <c r="G1699" s="14">
        <v>1204.0</v>
      </c>
      <c r="H1699" s="14" t="s">
        <v>17059</v>
      </c>
      <c r="I1699" s="14" t="s">
        <v>19260</v>
      </c>
      <c r="J1699" s="130" t="s">
        <v>19261</v>
      </c>
      <c r="K1699" s="152" t="s">
        <v>21444</v>
      </c>
      <c r="L1699" s="20" t="s">
        <v>19264</v>
      </c>
      <c r="M1699" s="174" t="s">
        <v>19265</v>
      </c>
      <c r="N1699" s="84"/>
      <c r="O1699" s="84"/>
      <c r="P1699" s="84"/>
      <c r="Q1699" s="84"/>
      <c r="R1699" s="84"/>
      <c r="S1699" s="84"/>
      <c r="T1699" s="84"/>
      <c r="U1699" s="84"/>
      <c r="V1699" s="84"/>
      <c r="W1699" s="84"/>
      <c r="X1699" s="84"/>
    </row>
    <row r="1700" ht="15.75" customHeight="1">
      <c r="A1700" s="14" t="s">
        <v>120</v>
      </c>
      <c r="B1700" s="14">
        <v>2008.0</v>
      </c>
      <c r="C1700" s="14" t="s">
        <v>19266</v>
      </c>
      <c r="D1700" s="14" t="s">
        <v>19267</v>
      </c>
      <c r="E1700" s="150" t="str">
        <f t="shared" si="27"/>
        <v>http://dx.doi.org/10.1109/VAST.2008.4677350</v>
      </c>
      <c r="F1700" s="14">
        <v>3.0</v>
      </c>
      <c r="G1700" s="14">
        <v>10.0</v>
      </c>
      <c r="H1700" s="14" t="s">
        <v>28</v>
      </c>
      <c r="I1700" s="14" t="s">
        <v>19268</v>
      </c>
      <c r="J1700" s="130" t="s">
        <v>19269</v>
      </c>
      <c r="K1700" s="152" t="s">
        <v>21447</v>
      </c>
      <c r="L1700" s="20" t="s">
        <v>18258</v>
      </c>
      <c r="M1700" s="16"/>
      <c r="N1700" s="84"/>
      <c r="O1700" s="84"/>
      <c r="P1700" s="84"/>
      <c r="Q1700" s="84"/>
      <c r="R1700" s="84"/>
      <c r="S1700" s="84"/>
      <c r="T1700" s="84"/>
      <c r="U1700" s="84"/>
      <c r="V1700" s="84"/>
      <c r="W1700" s="84"/>
      <c r="X1700" s="84"/>
    </row>
    <row r="1701" ht="15.75" customHeight="1">
      <c r="A1701" s="14" t="s">
        <v>120</v>
      </c>
      <c r="B1701" s="14">
        <v>2008.0</v>
      </c>
      <c r="C1701" s="14" t="s">
        <v>19272</v>
      </c>
      <c r="D1701" s="14" t="s">
        <v>19273</v>
      </c>
      <c r="E1701" s="150" t="str">
        <f t="shared" si="27"/>
        <v>http://dx.doi.org/10.1109/VAST.2008.4677351</v>
      </c>
      <c r="F1701" s="14">
        <v>11.0</v>
      </c>
      <c r="G1701" s="14">
        <v>18.0</v>
      </c>
      <c r="H1701" s="14" t="s">
        <v>28</v>
      </c>
      <c r="I1701" s="14" t="s">
        <v>19274</v>
      </c>
      <c r="J1701" s="130" t="s">
        <v>19275</v>
      </c>
      <c r="K1701" s="152" t="s">
        <v>21454</v>
      </c>
      <c r="L1701" s="20"/>
      <c r="M1701" s="16"/>
      <c r="N1701" s="84"/>
      <c r="O1701" s="84"/>
      <c r="P1701" s="84"/>
      <c r="Q1701" s="84"/>
      <c r="R1701" s="84"/>
      <c r="S1701" s="84"/>
      <c r="T1701" s="84"/>
      <c r="U1701" s="84"/>
      <c r="V1701" s="84"/>
      <c r="W1701" s="84"/>
      <c r="X1701" s="84"/>
    </row>
    <row r="1702" ht="15.75" customHeight="1">
      <c r="A1702" s="14" t="s">
        <v>120</v>
      </c>
      <c r="B1702" s="14">
        <v>2008.0</v>
      </c>
      <c r="C1702" s="14" t="s">
        <v>19277</v>
      </c>
      <c r="D1702" s="14" t="s">
        <v>19278</v>
      </c>
      <c r="E1702" s="150" t="str">
        <f t="shared" si="27"/>
        <v>http://dx.doi.org/10.1109/VAST.2008.4677352</v>
      </c>
      <c r="F1702" s="14">
        <v>19.0</v>
      </c>
      <c r="G1702" s="14">
        <v>26.0</v>
      </c>
      <c r="H1702" s="14" t="s">
        <v>28</v>
      </c>
      <c r="I1702" s="14" t="s">
        <v>19279</v>
      </c>
      <c r="J1702" s="130" t="s">
        <v>19280</v>
      </c>
      <c r="K1702" s="152" t="s">
        <v>21486</v>
      </c>
      <c r="L1702" s="20" t="s">
        <v>19283</v>
      </c>
      <c r="M1702" s="174" t="s">
        <v>19284</v>
      </c>
      <c r="N1702" s="84"/>
      <c r="O1702" s="84"/>
      <c r="P1702" s="84"/>
      <c r="Q1702" s="84"/>
      <c r="R1702" s="84"/>
      <c r="S1702" s="84"/>
      <c r="T1702" s="84"/>
      <c r="U1702" s="84"/>
      <c r="V1702" s="84"/>
      <c r="W1702" s="84"/>
      <c r="X1702" s="84"/>
    </row>
    <row r="1703" ht="15.75" customHeight="1">
      <c r="A1703" s="14" t="s">
        <v>120</v>
      </c>
      <c r="B1703" s="14">
        <v>2008.0</v>
      </c>
      <c r="C1703" s="14" t="s">
        <v>19285</v>
      </c>
      <c r="D1703" s="14" t="s">
        <v>19286</v>
      </c>
      <c r="E1703" s="150" t="str">
        <f t="shared" si="27"/>
        <v>http://dx.doi.org/10.1109/VAST.2008.4677353</v>
      </c>
      <c r="F1703" s="14">
        <v>27.0</v>
      </c>
      <c r="G1703" s="14">
        <v>34.0</v>
      </c>
      <c r="H1703" s="14" t="s">
        <v>28</v>
      </c>
      <c r="I1703" s="14" t="s">
        <v>19287</v>
      </c>
      <c r="J1703" s="130" t="s">
        <v>19288</v>
      </c>
      <c r="K1703" s="152" t="s">
        <v>21506</v>
      </c>
      <c r="L1703" s="20" t="s">
        <v>19290</v>
      </c>
      <c r="M1703" s="174" t="s">
        <v>19291</v>
      </c>
      <c r="N1703" s="84"/>
      <c r="O1703" s="84"/>
      <c r="P1703" s="84"/>
      <c r="Q1703" s="84"/>
      <c r="R1703" s="84"/>
      <c r="S1703" s="84"/>
      <c r="T1703" s="84"/>
      <c r="U1703" s="84"/>
      <c r="V1703" s="84"/>
      <c r="W1703" s="84"/>
      <c r="X1703" s="84"/>
    </row>
    <row r="1704" ht="15.75" customHeight="1">
      <c r="A1704" s="14" t="s">
        <v>120</v>
      </c>
      <c r="B1704" s="14">
        <v>2008.0</v>
      </c>
      <c r="C1704" s="14" t="s">
        <v>19292</v>
      </c>
      <c r="D1704" s="14" t="s">
        <v>19293</v>
      </c>
      <c r="E1704" s="150" t="str">
        <f t="shared" si="27"/>
        <v>http://dx.doi.org/10.1109/VAST.2008.4677354</v>
      </c>
      <c r="F1704" s="14">
        <v>35.0</v>
      </c>
      <c r="G1704" s="14">
        <v>42.0</v>
      </c>
      <c r="H1704" s="14" t="s">
        <v>28</v>
      </c>
      <c r="I1704" s="14" t="s">
        <v>19294</v>
      </c>
      <c r="J1704" s="130" t="s">
        <v>19295</v>
      </c>
      <c r="K1704" s="152" t="s">
        <v>10709</v>
      </c>
      <c r="L1704" s="20" t="s">
        <v>19298</v>
      </c>
      <c r="M1704" s="16"/>
      <c r="N1704" s="84"/>
      <c r="O1704" s="84"/>
      <c r="P1704" s="84"/>
      <c r="Q1704" s="84"/>
      <c r="R1704" s="84"/>
      <c r="S1704" s="84"/>
      <c r="T1704" s="84"/>
      <c r="U1704" s="84"/>
      <c r="V1704" s="84"/>
      <c r="W1704" s="84"/>
      <c r="X1704" s="84"/>
    </row>
    <row r="1705" ht="15.75" customHeight="1">
      <c r="A1705" s="14" t="s">
        <v>120</v>
      </c>
      <c r="B1705" s="14">
        <v>2008.0</v>
      </c>
      <c r="C1705" s="14" t="s">
        <v>19299</v>
      </c>
      <c r="D1705" s="14" t="s">
        <v>19300</v>
      </c>
      <c r="E1705" s="150" t="str">
        <f t="shared" si="27"/>
        <v>http://dx.doi.org/10.1109/VAST.2008.4677355</v>
      </c>
      <c r="F1705" s="14">
        <v>43.0</v>
      </c>
      <c r="G1705" s="14">
        <v>50.0</v>
      </c>
      <c r="H1705" s="14" t="s">
        <v>28</v>
      </c>
      <c r="I1705" s="14" t="s">
        <v>19301</v>
      </c>
      <c r="J1705" s="130" t="s">
        <v>19302</v>
      </c>
      <c r="K1705" s="152" t="s">
        <v>5349</v>
      </c>
      <c r="L1705" s="20" t="s">
        <v>19305</v>
      </c>
      <c r="M1705" s="174" t="s">
        <v>19306</v>
      </c>
      <c r="N1705" s="84"/>
      <c r="O1705" s="84"/>
      <c r="P1705" s="84"/>
      <c r="Q1705" s="84"/>
      <c r="R1705" s="84"/>
      <c r="S1705" s="84"/>
      <c r="T1705" s="84"/>
      <c r="U1705" s="84"/>
      <c r="V1705" s="84"/>
      <c r="W1705" s="84"/>
      <c r="X1705" s="84"/>
    </row>
    <row r="1706" ht="15.75" customHeight="1">
      <c r="A1706" s="14" t="s">
        <v>120</v>
      </c>
      <c r="B1706" s="14">
        <v>2008.0</v>
      </c>
      <c r="C1706" s="14" t="s">
        <v>19307</v>
      </c>
      <c r="D1706" s="14" t="s">
        <v>19308</v>
      </c>
      <c r="E1706" s="150" t="str">
        <f t="shared" si="27"/>
        <v>http://dx.doi.org/10.1109/VAST.2008.4677356</v>
      </c>
      <c r="F1706" s="14">
        <v>51.0</v>
      </c>
      <c r="G1706" s="14">
        <v>58.0</v>
      </c>
      <c r="H1706" s="14" t="s">
        <v>28</v>
      </c>
      <c r="I1706" s="14" t="s">
        <v>19309</v>
      </c>
      <c r="J1706" s="130" t="s">
        <v>19310</v>
      </c>
      <c r="K1706" s="152" t="s">
        <v>21567</v>
      </c>
      <c r="L1706" s="20"/>
      <c r="M1706" s="174" t="s">
        <v>19313</v>
      </c>
      <c r="N1706" s="84"/>
      <c r="O1706" s="84"/>
      <c r="P1706" s="84"/>
      <c r="Q1706" s="84"/>
      <c r="R1706" s="84"/>
      <c r="S1706" s="84"/>
      <c r="T1706" s="84"/>
      <c r="U1706" s="84"/>
      <c r="V1706" s="84"/>
      <c r="W1706" s="84"/>
      <c r="X1706" s="84"/>
    </row>
    <row r="1707" ht="15.75" customHeight="1">
      <c r="A1707" s="14" t="s">
        <v>120</v>
      </c>
      <c r="B1707" s="14">
        <v>2008.0</v>
      </c>
      <c r="C1707" s="14" t="s">
        <v>19314</v>
      </c>
      <c r="D1707" s="14" t="s">
        <v>19315</v>
      </c>
      <c r="E1707" s="150" t="str">
        <f t="shared" si="27"/>
        <v>http://dx.doi.org/10.1109/VAST.2008.4677357</v>
      </c>
      <c r="F1707" s="14">
        <v>59.0</v>
      </c>
      <c r="G1707" s="14">
        <v>66.0</v>
      </c>
      <c r="H1707" s="14" t="s">
        <v>28</v>
      </c>
      <c r="I1707" s="14" t="s">
        <v>21583</v>
      </c>
      <c r="J1707" s="130" t="s">
        <v>19317</v>
      </c>
      <c r="K1707" s="152" t="s">
        <v>21584</v>
      </c>
      <c r="L1707" s="20" t="s">
        <v>19319</v>
      </c>
      <c r="M1707" s="16"/>
      <c r="N1707" s="84"/>
      <c r="O1707" s="84"/>
      <c r="P1707" s="84"/>
      <c r="Q1707" s="84"/>
      <c r="R1707" s="84"/>
      <c r="S1707" s="84"/>
      <c r="T1707" s="84"/>
      <c r="U1707" s="84"/>
      <c r="V1707" s="84"/>
      <c r="W1707" s="84"/>
      <c r="X1707" s="84"/>
    </row>
    <row r="1708" ht="15.75" customHeight="1">
      <c r="A1708" s="14" t="s">
        <v>120</v>
      </c>
      <c r="B1708" s="14">
        <v>2008.0</v>
      </c>
      <c r="C1708" s="14" t="s">
        <v>19320</v>
      </c>
      <c r="D1708" s="14" t="s">
        <v>19321</v>
      </c>
      <c r="E1708" s="150" t="str">
        <f t="shared" si="27"/>
        <v>http://dx.doi.org/10.1109/VAST.2008.4677358</v>
      </c>
      <c r="F1708" s="14">
        <v>67.0</v>
      </c>
      <c r="G1708" s="14">
        <v>74.0</v>
      </c>
      <c r="H1708" s="14" t="s">
        <v>28</v>
      </c>
      <c r="I1708" s="14" t="s">
        <v>19322</v>
      </c>
      <c r="J1708" s="130" t="s">
        <v>19323</v>
      </c>
      <c r="K1708" s="152" t="s">
        <v>21593</v>
      </c>
      <c r="L1708" s="20" t="s">
        <v>19325</v>
      </c>
      <c r="M1708" s="174" t="s">
        <v>19313</v>
      </c>
      <c r="N1708" s="84"/>
      <c r="O1708" s="84"/>
      <c r="P1708" s="84"/>
      <c r="Q1708" s="84"/>
      <c r="R1708" s="84"/>
      <c r="S1708" s="84"/>
      <c r="T1708" s="84"/>
      <c r="U1708" s="84"/>
      <c r="V1708" s="84"/>
      <c r="W1708" s="84"/>
      <c r="X1708" s="84"/>
    </row>
    <row r="1709" ht="15.75" customHeight="1">
      <c r="A1709" s="14" t="s">
        <v>120</v>
      </c>
      <c r="B1709" s="14">
        <v>2008.0</v>
      </c>
      <c r="C1709" s="14" t="s">
        <v>19326</v>
      </c>
      <c r="D1709" s="14" t="s">
        <v>19327</v>
      </c>
      <c r="E1709" s="150" t="str">
        <f t="shared" si="27"/>
        <v>http://dx.doi.org/10.1109/VAST.2008.4677359</v>
      </c>
      <c r="F1709" s="14">
        <v>75.0</v>
      </c>
      <c r="G1709" s="14">
        <v>82.0</v>
      </c>
      <c r="H1709" s="14" t="s">
        <v>28</v>
      </c>
      <c r="I1709" s="14" t="s">
        <v>19328</v>
      </c>
      <c r="J1709" s="130" t="s">
        <v>19329</v>
      </c>
      <c r="K1709" s="152" t="s">
        <v>18942</v>
      </c>
      <c r="L1709" s="20" t="s">
        <v>19331</v>
      </c>
      <c r="M1709" s="16"/>
      <c r="N1709" s="84"/>
      <c r="O1709" s="84"/>
      <c r="P1709" s="84"/>
      <c r="Q1709" s="84"/>
      <c r="R1709" s="84"/>
      <c r="S1709" s="84"/>
      <c r="T1709" s="84"/>
      <c r="U1709" s="84"/>
      <c r="V1709" s="84"/>
      <c r="W1709" s="84"/>
      <c r="X1709" s="84"/>
    </row>
    <row r="1710" ht="15.75" customHeight="1">
      <c r="A1710" s="14" t="s">
        <v>120</v>
      </c>
      <c r="B1710" s="14">
        <v>2008.0</v>
      </c>
      <c r="C1710" s="14" t="s">
        <v>19332</v>
      </c>
      <c r="D1710" s="14" t="s">
        <v>19333</v>
      </c>
      <c r="E1710" s="150" t="str">
        <f t="shared" si="27"/>
        <v>http://dx.doi.org/10.1109/VAST.2008.4677360</v>
      </c>
      <c r="F1710" s="14">
        <v>83.0</v>
      </c>
      <c r="G1710" s="14">
        <v>90.0</v>
      </c>
      <c r="H1710" s="14" t="s">
        <v>28</v>
      </c>
      <c r="I1710" s="14" t="s">
        <v>19334</v>
      </c>
      <c r="J1710" s="130" t="s">
        <v>19335</v>
      </c>
      <c r="K1710" s="152" t="s">
        <v>860</v>
      </c>
      <c r="L1710" s="20" t="s">
        <v>18423</v>
      </c>
      <c r="M1710" s="16"/>
      <c r="N1710" s="84"/>
      <c r="O1710" s="84"/>
      <c r="P1710" s="84"/>
      <c r="Q1710" s="84"/>
      <c r="R1710" s="84"/>
      <c r="S1710" s="84"/>
      <c r="T1710" s="84"/>
      <c r="U1710" s="84"/>
      <c r="V1710" s="84"/>
      <c r="W1710" s="84"/>
      <c r="X1710" s="84"/>
    </row>
    <row r="1711" ht="15.75" customHeight="1">
      <c r="A1711" s="14" t="s">
        <v>120</v>
      </c>
      <c r="B1711" s="14">
        <v>2008.0</v>
      </c>
      <c r="C1711" s="14" t="s">
        <v>19338</v>
      </c>
      <c r="D1711" s="14" t="s">
        <v>19339</v>
      </c>
      <c r="E1711" s="150" t="str">
        <f t="shared" si="27"/>
        <v>http://dx.doi.org/10.1109/VAST.2008.4677361</v>
      </c>
      <c r="F1711" s="14">
        <v>91.0</v>
      </c>
      <c r="G1711" s="14">
        <v>98.0</v>
      </c>
      <c r="H1711" s="14" t="s">
        <v>28</v>
      </c>
      <c r="I1711" s="14" t="s">
        <v>19340</v>
      </c>
      <c r="J1711" s="130" t="s">
        <v>19341</v>
      </c>
      <c r="K1711" s="152" t="s">
        <v>21643</v>
      </c>
      <c r="L1711" s="20" t="s">
        <v>19344</v>
      </c>
      <c r="M1711" s="174" t="s">
        <v>19345</v>
      </c>
      <c r="N1711" s="84"/>
      <c r="O1711" s="84"/>
      <c r="P1711" s="84"/>
      <c r="Q1711" s="84"/>
      <c r="R1711" s="84"/>
      <c r="S1711" s="84"/>
      <c r="T1711" s="84"/>
      <c r="U1711" s="84"/>
      <c r="V1711" s="84"/>
      <c r="W1711" s="84"/>
      <c r="X1711" s="84"/>
    </row>
    <row r="1712" ht="15.75" customHeight="1">
      <c r="A1712" s="14" t="s">
        <v>120</v>
      </c>
      <c r="B1712" s="14">
        <v>2008.0</v>
      </c>
      <c r="C1712" s="14" t="s">
        <v>19346</v>
      </c>
      <c r="D1712" s="14" t="s">
        <v>19347</v>
      </c>
      <c r="E1712" s="150" t="str">
        <f t="shared" si="27"/>
        <v>http://dx.doi.org/10.1109/VAST.2008.4677362</v>
      </c>
      <c r="F1712" s="14">
        <v>99.0</v>
      </c>
      <c r="G1712" s="14">
        <v>106.0</v>
      </c>
      <c r="H1712" s="14" t="s">
        <v>28</v>
      </c>
      <c r="I1712" s="14" t="s">
        <v>19348</v>
      </c>
      <c r="J1712" s="130" t="s">
        <v>19349</v>
      </c>
      <c r="K1712" s="152" t="s">
        <v>21658</v>
      </c>
      <c r="L1712" s="20" t="s">
        <v>19351</v>
      </c>
      <c r="M1712" s="174" t="s">
        <v>19352</v>
      </c>
      <c r="N1712" s="84"/>
      <c r="O1712" s="84"/>
      <c r="P1712" s="84"/>
      <c r="Q1712" s="84"/>
      <c r="R1712" s="84"/>
      <c r="S1712" s="84"/>
      <c r="T1712" s="84"/>
      <c r="U1712" s="84"/>
      <c r="V1712" s="84"/>
      <c r="W1712" s="84"/>
      <c r="X1712" s="84"/>
    </row>
    <row r="1713" ht="15.75" customHeight="1">
      <c r="A1713" s="14" t="s">
        <v>120</v>
      </c>
      <c r="B1713" s="14">
        <v>2008.0</v>
      </c>
      <c r="C1713" s="14" t="s">
        <v>19353</v>
      </c>
      <c r="D1713" s="14" t="s">
        <v>19354</v>
      </c>
      <c r="E1713" s="150" t="str">
        <f t="shared" si="27"/>
        <v>http://dx.doi.org/10.1109/VAST.2008.4677363</v>
      </c>
      <c r="F1713" s="14">
        <v>107.0</v>
      </c>
      <c r="G1713" s="14">
        <v>114.0</v>
      </c>
      <c r="H1713" s="14" t="s">
        <v>28</v>
      </c>
      <c r="I1713" s="14" t="s">
        <v>19355</v>
      </c>
      <c r="J1713" s="130" t="s">
        <v>19356</v>
      </c>
      <c r="K1713" s="152" t="s">
        <v>21677</v>
      </c>
      <c r="L1713" s="20"/>
      <c r="M1713" s="16"/>
      <c r="N1713" s="84"/>
      <c r="O1713" s="84"/>
      <c r="P1713" s="84"/>
      <c r="Q1713" s="84"/>
      <c r="R1713" s="84"/>
      <c r="S1713" s="84"/>
      <c r="T1713" s="84"/>
      <c r="U1713" s="84"/>
      <c r="V1713" s="84"/>
      <c r="W1713" s="84"/>
      <c r="X1713" s="84"/>
    </row>
    <row r="1714" ht="15.75" customHeight="1">
      <c r="A1714" s="14" t="s">
        <v>120</v>
      </c>
      <c r="B1714" s="14">
        <v>2008.0</v>
      </c>
      <c r="C1714" s="14" t="s">
        <v>19359</v>
      </c>
      <c r="D1714" s="14" t="s">
        <v>19360</v>
      </c>
      <c r="E1714" s="150" t="str">
        <f t="shared" si="27"/>
        <v>http://dx.doi.org/10.1109/VAST.2008.4677364</v>
      </c>
      <c r="F1714" s="14">
        <v>115.0</v>
      </c>
      <c r="G1714" s="14">
        <v>122.0</v>
      </c>
      <c r="H1714" s="14" t="s">
        <v>28</v>
      </c>
      <c r="I1714" s="14" t="s">
        <v>19361</v>
      </c>
      <c r="J1714" s="130" t="s">
        <v>19362</v>
      </c>
      <c r="K1714" s="152" t="s">
        <v>5349</v>
      </c>
      <c r="L1714" s="20" t="s">
        <v>19365</v>
      </c>
      <c r="M1714" s="174" t="s">
        <v>34488</v>
      </c>
      <c r="N1714" s="84"/>
      <c r="O1714" s="84"/>
      <c r="P1714" s="84"/>
      <c r="Q1714" s="84"/>
      <c r="R1714" s="84"/>
      <c r="S1714" s="84"/>
      <c r="T1714" s="84"/>
      <c r="U1714" s="84"/>
      <c r="V1714" s="84"/>
      <c r="W1714" s="84"/>
      <c r="X1714" s="84"/>
    </row>
    <row r="1715" ht="15.75" customHeight="1">
      <c r="A1715" s="14" t="s">
        <v>120</v>
      </c>
      <c r="B1715" s="14">
        <v>2008.0</v>
      </c>
      <c r="C1715" s="14" t="s">
        <v>19387</v>
      </c>
      <c r="D1715" s="14" t="s">
        <v>19388</v>
      </c>
      <c r="E1715" s="150" t="str">
        <f t="shared" si="27"/>
        <v>http://dx.doi.org/10.1109/VAST.2008.4677365</v>
      </c>
      <c r="F1715" s="14">
        <v>123.0</v>
      </c>
      <c r="G1715" s="14">
        <v>130.0</v>
      </c>
      <c r="H1715" s="14" t="s">
        <v>28</v>
      </c>
      <c r="I1715" s="14" t="s">
        <v>19389</v>
      </c>
      <c r="J1715" s="130" t="s">
        <v>19390</v>
      </c>
      <c r="K1715" s="152" t="s">
        <v>178</v>
      </c>
      <c r="L1715" s="20" t="s">
        <v>19392</v>
      </c>
      <c r="M1715" s="174" t="s">
        <v>19393</v>
      </c>
      <c r="N1715" s="84"/>
      <c r="O1715" s="84"/>
      <c r="P1715" s="84"/>
      <c r="Q1715" s="84"/>
      <c r="R1715" s="84"/>
      <c r="S1715" s="84"/>
      <c r="T1715" s="84"/>
      <c r="U1715" s="84"/>
      <c r="V1715" s="84"/>
      <c r="W1715" s="84"/>
      <c r="X1715" s="84"/>
    </row>
    <row r="1716" ht="15.75" customHeight="1">
      <c r="A1716" s="14" t="s">
        <v>120</v>
      </c>
      <c r="B1716" s="14">
        <v>2008.0</v>
      </c>
      <c r="C1716" s="14" t="s">
        <v>19394</v>
      </c>
      <c r="D1716" s="14" t="s">
        <v>19395</v>
      </c>
      <c r="E1716" s="150" t="str">
        <f t="shared" si="27"/>
        <v>http://dx.doi.org/10.1109/VAST.2008.4677366</v>
      </c>
      <c r="F1716" s="14">
        <v>131.0</v>
      </c>
      <c r="G1716" s="14">
        <v>138.0</v>
      </c>
      <c r="H1716" s="14" t="s">
        <v>28</v>
      </c>
      <c r="I1716" s="14" t="s">
        <v>19396</v>
      </c>
      <c r="J1716" s="130" t="s">
        <v>19397</v>
      </c>
      <c r="K1716" s="152" t="s">
        <v>13886</v>
      </c>
      <c r="L1716" s="20" t="s">
        <v>19400</v>
      </c>
      <c r="M1716" s="174" t="s">
        <v>19401</v>
      </c>
      <c r="N1716" s="84"/>
      <c r="O1716" s="84"/>
      <c r="P1716" s="84"/>
      <c r="Q1716" s="84"/>
      <c r="R1716" s="84"/>
      <c r="S1716" s="84"/>
      <c r="T1716" s="84"/>
      <c r="U1716" s="84"/>
      <c r="V1716" s="84"/>
      <c r="W1716" s="84"/>
      <c r="X1716" s="84"/>
    </row>
    <row r="1717" ht="15.75" customHeight="1">
      <c r="A1717" s="14" t="s">
        <v>120</v>
      </c>
      <c r="B1717" s="14">
        <v>2008.0</v>
      </c>
      <c r="C1717" s="14" t="s">
        <v>19402</v>
      </c>
      <c r="D1717" s="14" t="s">
        <v>19403</v>
      </c>
      <c r="E1717" s="150" t="str">
        <f t="shared" si="27"/>
        <v>http://dx.doi.org/10.1109/VAST.2008.4677367</v>
      </c>
      <c r="F1717" s="14">
        <v>139.0</v>
      </c>
      <c r="G1717" s="14">
        <v>146.0</v>
      </c>
      <c r="H1717" s="14" t="s">
        <v>28</v>
      </c>
      <c r="I1717" s="14" t="s">
        <v>19407</v>
      </c>
      <c r="J1717" s="130" t="s">
        <v>19408</v>
      </c>
      <c r="K1717" s="152" t="s">
        <v>494</v>
      </c>
      <c r="L1717" s="20" t="s">
        <v>18346</v>
      </c>
      <c r="M1717" s="16"/>
      <c r="N1717" s="84"/>
      <c r="O1717" s="84"/>
      <c r="P1717" s="84"/>
      <c r="Q1717" s="84"/>
      <c r="R1717" s="84"/>
      <c r="S1717" s="84"/>
      <c r="T1717" s="84"/>
      <c r="U1717" s="84"/>
      <c r="V1717" s="84"/>
      <c r="W1717" s="84"/>
      <c r="X1717" s="84"/>
    </row>
    <row r="1718" ht="15.75" customHeight="1">
      <c r="A1718" s="14" t="s">
        <v>120</v>
      </c>
      <c r="B1718" s="14">
        <v>2008.0</v>
      </c>
      <c r="C1718" s="14" t="s">
        <v>19410</v>
      </c>
      <c r="D1718" s="14" t="s">
        <v>19411</v>
      </c>
      <c r="E1718" s="150" t="str">
        <f t="shared" si="27"/>
        <v>http://dx.doi.org/10.1109/VAST.2008.4677368</v>
      </c>
      <c r="F1718" s="14">
        <v>147.0</v>
      </c>
      <c r="G1718" s="14">
        <v>154.0</v>
      </c>
      <c r="H1718" s="14" t="s">
        <v>28</v>
      </c>
      <c r="I1718" s="14" t="s">
        <v>19412</v>
      </c>
      <c r="J1718" s="130" t="s">
        <v>19413</v>
      </c>
      <c r="K1718" s="152" t="s">
        <v>21757</v>
      </c>
      <c r="L1718" s="20" t="s">
        <v>19422</v>
      </c>
      <c r="M1718" s="174" t="s">
        <v>19423</v>
      </c>
      <c r="N1718" s="84"/>
      <c r="O1718" s="84"/>
      <c r="P1718" s="84"/>
      <c r="Q1718" s="84"/>
      <c r="R1718" s="84"/>
      <c r="S1718" s="84"/>
      <c r="T1718" s="84"/>
      <c r="U1718" s="84"/>
      <c r="V1718" s="84"/>
      <c r="W1718" s="84"/>
      <c r="X1718" s="84"/>
    </row>
    <row r="1719" ht="15.75" customHeight="1">
      <c r="A1719" s="14" t="s">
        <v>120</v>
      </c>
      <c r="B1719" s="14">
        <v>2008.0</v>
      </c>
      <c r="C1719" s="14" t="s">
        <v>19424</v>
      </c>
      <c r="D1719" s="14" t="s">
        <v>19425</v>
      </c>
      <c r="E1719" s="150" t="str">
        <f t="shared" si="27"/>
        <v>http://dx.doi.org/10.1109/VAST.2008.4677369</v>
      </c>
      <c r="F1719" s="14">
        <v>155.0</v>
      </c>
      <c r="G1719" s="14">
        <v>162.0</v>
      </c>
      <c r="H1719" s="14" t="s">
        <v>28</v>
      </c>
      <c r="I1719" s="14" t="s">
        <v>21776</v>
      </c>
      <c r="J1719" s="130" t="s">
        <v>19427</v>
      </c>
      <c r="K1719" s="152" t="s">
        <v>880</v>
      </c>
      <c r="L1719" s="20" t="s">
        <v>19430</v>
      </c>
      <c r="M1719" s="174" t="s">
        <v>34518</v>
      </c>
      <c r="N1719" s="84"/>
      <c r="O1719" s="84"/>
      <c r="P1719" s="84"/>
      <c r="Q1719" s="84"/>
      <c r="R1719" s="84"/>
      <c r="S1719" s="84"/>
      <c r="T1719" s="84"/>
      <c r="U1719" s="84"/>
      <c r="V1719" s="84"/>
      <c r="W1719" s="84"/>
      <c r="X1719" s="84"/>
    </row>
    <row r="1720" ht="15.75" customHeight="1">
      <c r="A1720" s="14" t="s">
        <v>120</v>
      </c>
      <c r="B1720" s="14">
        <v>2008.0</v>
      </c>
      <c r="C1720" s="14" t="s">
        <v>19432</v>
      </c>
      <c r="D1720" s="14" t="s">
        <v>19433</v>
      </c>
      <c r="E1720" s="150" t="str">
        <f t="shared" si="27"/>
        <v>http://dx.doi.org/10.1109/VAST.2008.4677370</v>
      </c>
      <c r="F1720" s="14">
        <v>163.0</v>
      </c>
      <c r="G1720" s="14">
        <v>170.0</v>
      </c>
      <c r="H1720" s="14" t="s">
        <v>28</v>
      </c>
      <c r="I1720" s="14" t="s">
        <v>19434</v>
      </c>
      <c r="J1720" s="130" t="s">
        <v>14085</v>
      </c>
      <c r="K1720" s="152" t="s">
        <v>21796</v>
      </c>
      <c r="L1720" s="20" t="s">
        <v>19436</v>
      </c>
      <c r="M1720" s="16"/>
      <c r="N1720" s="84"/>
      <c r="O1720" s="84"/>
      <c r="P1720" s="84"/>
      <c r="Q1720" s="84"/>
      <c r="R1720" s="84"/>
      <c r="S1720" s="84"/>
      <c r="T1720" s="84"/>
      <c r="U1720" s="84"/>
      <c r="V1720" s="84"/>
      <c r="W1720" s="84"/>
      <c r="X1720" s="84"/>
    </row>
    <row r="1721" ht="15.75" customHeight="1">
      <c r="A1721" s="14" t="s">
        <v>120</v>
      </c>
      <c r="B1721" s="14">
        <v>2008.0</v>
      </c>
      <c r="C1721" s="14" t="s">
        <v>21797</v>
      </c>
      <c r="D1721" s="14" t="s">
        <v>19438</v>
      </c>
      <c r="E1721" s="150" t="str">
        <f t="shared" si="27"/>
        <v>http://dx.doi.org/10.1109/VAST.2008.4677372</v>
      </c>
      <c r="F1721" s="14">
        <v>173.0</v>
      </c>
      <c r="G1721" s="14">
        <v>174.0</v>
      </c>
      <c r="H1721" s="14" t="s">
        <v>21</v>
      </c>
      <c r="I1721" s="14" t="s">
        <v>21803</v>
      </c>
      <c r="J1721" s="130" t="s">
        <v>19440</v>
      </c>
      <c r="K1721" s="152" t="s">
        <v>20810</v>
      </c>
      <c r="L1721" s="20"/>
      <c r="M1721" s="16"/>
      <c r="N1721" s="84"/>
      <c r="O1721" s="84"/>
      <c r="P1721" s="84"/>
      <c r="Q1721" s="84"/>
      <c r="R1721" s="84"/>
      <c r="S1721" s="84"/>
      <c r="T1721" s="84"/>
      <c r="U1721" s="84"/>
      <c r="V1721" s="84"/>
      <c r="W1721" s="84"/>
      <c r="X1721" s="84"/>
    </row>
    <row r="1722" ht="15.75" customHeight="1">
      <c r="A1722" s="14" t="s">
        <v>120</v>
      </c>
      <c r="B1722" s="14">
        <v>2008.0</v>
      </c>
      <c r="C1722" s="14" t="s">
        <v>19443</v>
      </c>
      <c r="D1722" s="14" t="s">
        <v>19444</v>
      </c>
      <c r="E1722" s="150" t="str">
        <f t="shared" si="27"/>
        <v>http://dx.doi.org/10.1109/VAST.2008.4677373</v>
      </c>
      <c r="F1722" s="14">
        <v>175.0</v>
      </c>
      <c r="G1722" s="14">
        <v>176.0</v>
      </c>
      <c r="H1722" s="14" t="s">
        <v>21</v>
      </c>
      <c r="I1722" s="14" t="s">
        <v>19445</v>
      </c>
      <c r="J1722" s="130" t="s">
        <v>19446</v>
      </c>
      <c r="K1722" s="152" t="s">
        <v>21825</v>
      </c>
      <c r="L1722" s="20"/>
      <c r="M1722" s="16"/>
      <c r="N1722" s="84"/>
      <c r="O1722" s="84"/>
      <c r="P1722" s="84"/>
      <c r="Q1722" s="84"/>
      <c r="R1722" s="84"/>
      <c r="S1722" s="84"/>
      <c r="T1722" s="84"/>
      <c r="U1722" s="84"/>
      <c r="V1722" s="84"/>
      <c r="W1722" s="84"/>
      <c r="X1722" s="84"/>
    </row>
    <row r="1723" ht="15.75" customHeight="1">
      <c r="A1723" s="14" t="s">
        <v>120</v>
      </c>
      <c r="B1723" s="14">
        <v>2008.0</v>
      </c>
      <c r="C1723" s="14" t="s">
        <v>19448</v>
      </c>
      <c r="D1723" s="14" t="s">
        <v>19449</v>
      </c>
      <c r="E1723" s="150" t="str">
        <f t="shared" si="27"/>
        <v>http://dx.doi.org/10.1109/VAST.2008.4677374</v>
      </c>
      <c r="F1723" s="14">
        <v>177.0</v>
      </c>
      <c r="G1723" s="14">
        <v>178.0</v>
      </c>
      <c r="H1723" s="14" t="s">
        <v>21</v>
      </c>
      <c r="I1723" s="14" t="s">
        <v>19450</v>
      </c>
      <c r="J1723" s="130" t="s">
        <v>19451</v>
      </c>
      <c r="K1723" s="152" t="s">
        <v>21845</v>
      </c>
      <c r="L1723" s="20"/>
      <c r="M1723" s="16"/>
      <c r="N1723" s="84"/>
      <c r="O1723" s="84"/>
      <c r="P1723" s="84"/>
      <c r="Q1723" s="84"/>
      <c r="R1723" s="84"/>
      <c r="S1723" s="84"/>
      <c r="T1723" s="84"/>
      <c r="U1723" s="84"/>
      <c r="V1723" s="84"/>
      <c r="W1723" s="84"/>
      <c r="X1723" s="84"/>
    </row>
    <row r="1724" ht="15.75" customHeight="1">
      <c r="A1724" s="14" t="s">
        <v>120</v>
      </c>
      <c r="B1724" s="14">
        <v>2008.0</v>
      </c>
      <c r="C1724" s="14" t="s">
        <v>19453</v>
      </c>
      <c r="D1724" s="14" t="s">
        <v>19454</v>
      </c>
      <c r="E1724" s="150" t="str">
        <f t="shared" si="27"/>
        <v>http://dx.doi.org/10.1109/VAST.2008.4677375</v>
      </c>
      <c r="F1724" s="14">
        <v>179.0</v>
      </c>
      <c r="G1724" s="14">
        <v>180.0</v>
      </c>
      <c r="H1724" s="14" t="s">
        <v>21</v>
      </c>
      <c r="I1724" s="14" t="s">
        <v>19455</v>
      </c>
      <c r="J1724" s="130" t="s">
        <v>19456</v>
      </c>
      <c r="K1724" s="152" t="s">
        <v>21860</v>
      </c>
      <c r="L1724" s="20"/>
      <c r="M1724" s="16"/>
      <c r="N1724" s="84"/>
      <c r="O1724" s="84"/>
      <c r="P1724" s="84"/>
      <c r="Q1724" s="84"/>
      <c r="R1724" s="84"/>
      <c r="S1724" s="84"/>
      <c r="T1724" s="84"/>
      <c r="U1724" s="84"/>
      <c r="V1724" s="84"/>
      <c r="W1724" s="84"/>
      <c r="X1724" s="84"/>
    </row>
    <row r="1725" ht="15.75" customHeight="1">
      <c r="A1725" s="14" t="s">
        <v>120</v>
      </c>
      <c r="B1725" s="14">
        <v>2008.0</v>
      </c>
      <c r="C1725" s="14" t="s">
        <v>19459</v>
      </c>
      <c r="D1725" s="14" t="s">
        <v>19460</v>
      </c>
      <c r="E1725" s="150" t="str">
        <f t="shared" si="27"/>
        <v>http://dx.doi.org/10.1109/VAST.2008.4677376</v>
      </c>
      <c r="F1725" s="14">
        <v>181.0</v>
      </c>
      <c r="G1725" s="14">
        <v>182.0</v>
      </c>
      <c r="H1725" s="14" t="s">
        <v>21</v>
      </c>
      <c r="I1725" s="14" t="s">
        <v>19461</v>
      </c>
      <c r="J1725" s="130" t="s">
        <v>19462</v>
      </c>
      <c r="K1725" s="152" t="s">
        <v>21881</v>
      </c>
      <c r="L1725" s="20"/>
      <c r="M1725" s="16"/>
      <c r="N1725" s="84"/>
      <c r="O1725" s="84"/>
      <c r="P1725" s="84"/>
      <c r="Q1725" s="84"/>
      <c r="R1725" s="84"/>
      <c r="S1725" s="84"/>
      <c r="T1725" s="84"/>
      <c r="U1725" s="84"/>
      <c r="V1725" s="84"/>
      <c r="W1725" s="84"/>
      <c r="X1725" s="84"/>
    </row>
    <row r="1726" ht="15.75" customHeight="1">
      <c r="A1726" s="14" t="s">
        <v>120</v>
      </c>
      <c r="B1726" s="14">
        <v>2008.0</v>
      </c>
      <c r="C1726" s="14" t="s">
        <v>19464</v>
      </c>
      <c r="D1726" s="14" t="s">
        <v>19465</v>
      </c>
      <c r="E1726" s="150" t="str">
        <f t="shared" si="27"/>
        <v>http://dx.doi.org/10.1109/VAST.2008.4677377</v>
      </c>
      <c r="F1726" s="14">
        <v>183.0</v>
      </c>
      <c r="G1726" s="14">
        <v>184.0</v>
      </c>
      <c r="H1726" s="14" t="s">
        <v>21</v>
      </c>
      <c r="I1726" s="14" t="s">
        <v>19466</v>
      </c>
      <c r="J1726" s="130" t="s">
        <v>19467</v>
      </c>
      <c r="K1726" s="152" t="s">
        <v>21901</v>
      </c>
      <c r="L1726" s="20"/>
      <c r="M1726" s="16"/>
      <c r="N1726" s="84"/>
      <c r="O1726" s="84"/>
      <c r="P1726" s="84"/>
      <c r="Q1726" s="84"/>
      <c r="R1726" s="84"/>
      <c r="S1726" s="84"/>
      <c r="T1726" s="84"/>
      <c r="U1726" s="84"/>
      <c r="V1726" s="84"/>
      <c r="W1726" s="84"/>
      <c r="X1726" s="84"/>
    </row>
    <row r="1727" ht="15.75" customHeight="1">
      <c r="A1727" s="14" t="s">
        <v>120</v>
      </c>
      <c r="B1727" s="14">
        <v>2008.0</v>
      </c>
      <c r="C1727" s="14" t="s">
        <v>19479</v>
      </c>
      <c r="D1727" s="14" t="s">
        <v>19480</v>
      </c>
      <c r="E1727" s="150" t="str">
        <f t="shared" si="27"/>
        <v>http://dx.doi.org/10.1109/VAST.2008.4677378</v>
      </c>
      <c r="F1727" s="14">
        <v>185.0</v>
      </c>
      <c r="G1727" s="14">
        <v>186.0</v>
      </c>
      <c r="H1727" s="14" t="s">
        <v>21</v>
      </c>
      <c r="I1727" s="14" t="s">
        <v>19481</v>
      </c>
      <c r="J1727" s="130" t="s">
        <v>18498</v>
      </c>
      <c r="K1727" s="152" t="s">
        <v>21919</v>
      </c>
      <c r="L1727" s="20"/>
      <c r="M1727" s="16"/>
      <c r="N1727" s="84"/>
      <c r="O1727" s="84"/>
      <c r="P1727" s="84"/>
      <c r="Q1727" s="84"/>
      <c r="R1727" s="84"/>
      <c r="S1727" s="84"/>
      <c r="T1727" s="84"/>
      <c r="U1727" s="84"/>
      <c r="V1727" s="84"/>
      <c r="W1727" s="84"/>
      <c r="X1727" s="84"/>
    </row>
    <row r="1728" ht="15.75" customHeight="1">
      <c r="A1728" s="14" t="s">
        <v>120</v>
      </c>
      <c r="B1728" s="14">
        <v>2008.0</v>
      </c>
      <c r="C1728" s="14" t="s">
        <v>19483</v>
      </c>
      <c r="D1728" s="14" t="s">
        <v>19484</v>
      </c>
      <c r="E1728" s="150" t="str">
        <f t="shared" si="27"/>
        <v>http://dx.doi.org/10.1109/VAST.2008.4677379</v>
      </c>
      <c r="F1728" s="14">
        <v>187.0</v>
      </c>
      <c r="G1728" s="14">
        <v>188.0</v>
      </c>
      <c r="H1728" s="14" t="s">
        <v>21</v>
      </c>
      <c r="I1728" s="14" t="s">
        <v>19485</v>
      </c>
      <c r="J1728" s="130" t="s">
        <v>19486</v>
      </c>
      <c r="K1728" s="152" t="s">
        <v>21948</v>
      </c>
      <c r="L1728" s="20"/>
      <c r="M1728" s="16"/>
      <c r="N1728" s="84"/>
      <c r="O1728" s="84"/>
      <c r="P1728" s="84"/>
      <c r="Q1728" s="84"/>
      <c r="R1728" s="84"/>
      <c r="S1728" s="84"/>
      <c r="T1728" s="84"/>
      <c r="U1728" s="84"/>
      <c r="V1728" s="84"/>
      <c r="W1728" s="84"/>
      <c r="X1728" s="84"/>
    </row>
    <row r="1729" ht="15.75" customHeight="1">
      <c r="A1729" s="14" t="s">
        <v>120</v>
      </c>
      <c r="B1729" s="14">
        <v>2008.0</v>
      </c>
      <c r="C1729" s="14" t="s">
        <v>19488</v>
      </c>
      <c r="D1729" s="14" t="s">
        <v>19489</v>
      </c>
      <c r="E1729" s="150" t="str">
        <f t="shared" si="27"/>
        <v>http://dx.doi.org/10.1109/VAST.2008.4677380</v>
      </c>
      <c r="F1729" s="14">
        <v>189.0</v>
      </c>
      <c r="G1729" s="14">
        <v>190.0</v>
      </c>
      <c r="H1729" s="14" t="s">
        <v>21</v>
      </c>
      <c r="I1729" s="14" t="s">
        <v>19490</v>
      </c>
      <c r="J1729" s="130" t="s">
        <v>19491</v>
      </c>
      <c r="K1729" s="152" t="s">
        <v>21964</v>
      </c>
      <c r="L1729" s="20"/>
      <c r="M1729" s="16"/>
      <c r="N1729" s="84"/>
      <c r="O1729" s="84"/>
      <c r="P1729" s="84"/>
      <c r="Q1729" s="84"/>
      <c r="R1729" s="84"/>
      <c r="S1729" s="84"/>
      <c r="T1729" s="84"/>
      <c r="U1729" s="84"/>
      <c r="V1729" s="84"/>
      <c r="W1729" s="84"/>
      <c r="X1729" s="84"/>
    </row>
    <row r="1730" ht="15.75" customHeight="1">
      <c r="A1730" s="14" t="s">
        <v>120</v>
      </c>
      <c r="B1730" s="14">
        <v>2008.0</v>
      </c>
      <c r="C1730" s="14" t="s">
        <v>19493</v>
      </c>
      <c r="D1730" s="14" t="s">
        <v>19494</v>
      </c>
      <c r="E1730" s="150" t="str">
        <f t="shared" si="27"/>
        <v>http://dx.doi.org/10.1109/VAST.2008.4677381</v>
      </c>
      <c r="F1730" s="14">
        <v>191.0</v>
      </c>
      <c r="G1730" s="14">
        <v>192.0</v>
      </c>
      <c r="H1730" s="14" t="s">
        <v>21</v>
      </c>
      <c r="I1730" s="14" t="s">
        <v>19495</v>
      </c>
      <c r="J1730" s="130" t="s">
        <v>19496</v>
      </c>
      <c r="K1730" s="152" t="s">
        <v>21981</v>
      </c>
      <c r="L1730" s="20"/>
      <c r="M1730" s="16"/>
      <c r="N1730" s="84"/>
      <c r="O1730" s="84"/>
      <c r="P1730" s="84"/>
      <c r="Q1730" s="84"/>
      <c r="R1730" s="84"/>
      <c r="S1730" s="84"/>
      <c r="T1730" s="84"/>
      <c r="U1730" s="84"/>
      <c r="V1730" s="84"/>
      <c r="W1730" s="84"/>
      <c r="X1730" s="84"/>
    </row>
    <row r="1731" ht="15.75" customHeight="1">
      <c r="A1731" s="14" t="s">
        <v>120</v>
      </c>
      <c r="B1731" s="14">
        <v>2008.0</v>
      </c>
      <c r="C1731" s="14" t="s">
        <v>19499</v>
      </c>
      <c r="D1731" s="14" t="s">
        <v>19502</v>
      </c>
      <c r="E1731" s="150" t="str">
        <f t="shared" si="27"/>
        <v>http://dx.doi.org/10.1109/VAST.2008.4677383</v>
      </c>
      <c r="F1731" s="14"/>
      <c r="G1731" s="14"/>
      <c r="H1731" s="14" t="s">
        <v>21</v>
      </c>
      <c r="I1731" s="14" t="s">
        <v>19503</v>
      </c>
      <c r="J1731" s="130" t="s">
        <v>19504</v>
      </c>
      <c r="K1731" s="152" t="s">
        <v>860</v>
      </c>
      <c r="L1731" s="20"/>
      <c r="M1731" s="16"/>
      <c r="N1731" s="84"/>
      <c r="O1731" s="84"/>
      <c r="P1731" s="84"/>
      <c r="Q1731" s="84"/>
      <c r="R1731" s="84"/>
      <c r="S1731" s="84"/>
      <c r="T1731" s="84"/>
      <c r="U1731" s="84"/>
      <c r="V1731" s="84"/>
      <c r="W1731" s="84"/>
      <c r="X1731" s="84"/>
    </row>
    <row r="1732" ht="15.75" customHeight="1">
      <c r="A1732" s="14" t="s">
        <v>120</v>
      </c>
      <c r="B1732" s="14">
        <v>2008.0</v>
      </c>
      <c r="C1732" s="14" t="s">
        <v>19506</v>
      </c>
      <c r="D1732" s="14" t="s">
        <v>19507</v>
      </c>
      <c r="E1732" s="150" t="str">
        <f t="shared" si="27"/>
        <v>http://dx.doi.org/10.1109/VAST.2008.4677384</v>
      </c>
      <c r="F1732" s="14"/>
      <c r="G1732" s="14"/>
      <c r="H1732" s="14" t="s">
        <v>21</v>
      </c>
      <c r="I1732" s="14" t="s">
        <v>19508</v>
      </c>
      <c r="J1732" s="130" t="s">
        <v>41700</v>
      </c>
      <c r="K1732" s="152" t="s">
        <v>10709</v>
      </c>
      <c r="L1732" s="20"/>
      <c r="M1732" s="16"/>
      <c r="N1732" s="84"/>
      <c r="O1732" s="84"/>
      <c r="P1732" s="84"/>
      <c r="Q1732" s="84"/>
      <c r="R1732" s="84"/>
      <c r="S1732" s="84"/>
      <c r="T1732" s="84"/>
      <c r="U1732" s="84"/>
      <c r="V1732" s="84"/>
      <c r="W1732" s="84"/>
      <c r="X1732" s="84"/>
    </row>
    <row r="1733" ht="15.75" customHeight="1">
      <c r="A1733" s="14" t="s">
        <v>120</v>
      </c>
      <c r="B1733" s="14">
        <v>2008.0</v>
      </c>
      <c r="C1733" s="14" t="s">
        <v>19512</v>
      </c>
      <c r="D1733" s="14" t="s">
        <v>19513</v>
      </c>
      <c r="E1733" s="150" t="str">
        <f t="shared" si="27"/>
        <v>http://dx.doi.org/10.1109/VAST.2008.4677385</v>
      </c>
      <c r="F1733" s="14"/>
      <c r="G1733" s="14"/>
      <c r="H1733" s="14" t="s">
        <v>21</v>
      </c>
      <c r="I1733" s="14" t="s">
        <v>19514</v>
      </c>
      <c r="J1733" s="130" t="s">
        <v>19515</v>
      </c>
      <c r="K1733" s="152" t="s">
        <v>880</v>
      </c>
      <c r="L1733" s="20"/>
      <c r="M1733" s="16"/>
      <c r="N1733" s="84"/>
      <c r="O1733" s="84"/>
      <c r="P1733" s="84"/>
      <c r="Q1733" s="84"/>
      <c r="R1733" s="84"/>
      <c r="S1733" s="84"/>
      <c r="T1733" s="84"/>
      <c r="U1733" s="84"/>
      <c r="V1733" s="84"/>
      <c r="W1733" s="84"/>
      <c r="X1733" s="84"/>
    </row>
    <row r="1734" ht="15.75" customHeight="1">
      <c r="A1734" s="14" t="s">
        <v>120</v>
      </c>
      <c r="B1734" s="14">
        <v>2008.0</v>
      </c>
      <c r="C1734" s="14" t="s">
        <v>19517</v>
      </c>
      <c r="D1734" s="14" t="s">
        <v>19518</v>
      </c>
      <c r="E1734" s="150" t="str">
        <f t="shared" si="27"/>
        <v>http://dx.doi.org/10.1109/VAST.2008.4677386</v>
      </c>
      <c r="F1734" s="14"/>
      <c r="G1734" s="14"/>
      <c r="H1734" s="14" t="s">
        <v>21</v>
      </c>
      <c r="I1734" s="14" t="s">
        <v>19519</v>
      </c>
      <c r="J1734" s="130" t="s">
        <v>19520</v>
      </c>
      <c r="K1734" s="152" t="s">
        <v>5349</v>
      </c>
      <c r="L1734" s="20"/>
      <c r="M1734" s="16"/>
      <c r="N1734" s="84"/>
      <c r="O1734" s="84"/>
      <c r="P1734" s="84"/>
      <c r="Q1734" s="84"/>
      <c r="R1734" s="84"/>
      <c r="S1734" s="84"/>
      <c r="T1734" s="84"/>
      <c r="U1734" s="84"/>
      <c r="V1734" s="84"/>
      <c r="W1734" s="84"/>
      <c r="X1734" s="84"/>
    </row>
    <row r="1735" ht="15.75" customHeight="1">
      <c r="A1735" s="14" t="s">
        <v>120</v>
      </c>
      <c r="B1735" s="14">
        <v>2008.0</v>
      </c>
      <c r="C1735" s="14" t="s">
        <v>19522</v>
      </c>
      <c r="D1735" s="14" t="s">
        <v>19523</v>
      </c>
      <c r="E1735" s="150" t="str">
        <f t="shared" si="27"/>
        <v>http://dx.doi.org/10.1109/VAST.2008.4677387</v>
      </c>
      <c r="F1735" s="14"/>
      <c r="G1735" s="14"/>
      <c r="H1735" s="14" t="s">
        <v>21</v>
      </c>
      <c r="I1735" s="14" t="s">
        <v>19524</v>
      </c>
      <c r="J1735" s="130" t="s">
        <v>19525</v>
      </c>
      <c r="K1735" s="152" t="s">
        <v>22052</v>
      </c>
      <c r="L1735" s="20"/>
      <c r="M1735" s="16"/>
      <c r="N1735" s="84"/>
      <c r="O1735" s="84"/>
      <c r="P1735" s="84"/>
      <c r="Q1735" s="84"/>
      <c r="R1735" s="84"/>
      <c r="S1735" s="84"/>
      <c r="T1735" s="84"/>
      <c r="U1735" s="84"/>
      <c r="V1735" s="84"/>
      <c r="W1735" s="84"/>
      <c r="X1735" s="84"/>
    </row>
    <row r="1736" ht="15.75" customHeight="1">
      <c r="A1736" s="14" t="s">
        <v>120</v>
      </c>
      <c r="B1736" s="14">
        <v>2008.0</v>
      </c>
      <c r="C1736" s="14" t="s">
        <v>19528</v>
      </c>
      <c r="D1736" s="14" t="s">
        <v>19529</v>
      </c>
      <c r="E1736" s="150" t="str">
        <f t="shared" si="27"/>
        <v>http://dx.doi.org/10.1109/VAST.2008.4677388</v>
      </c>
      <c r="F1736" s="14"/>
      <c r="G1736" s="14"/>
      <c r="H1736" s="14" t="s">
        <v>21</v>
      </c>
      <c r="I1736" s="14" t="s">
        <v>19566</v>
      </c>
      <c r="J1736" s="130" t="s">
        <v>19567</v>
      </c>
      <c r="K1736" s="152" t="s">
        <v>21567</v>
      </c>
      <c r="L1736" s="20"/>
      <c r="M1736" s="16"/>
      <c r="N1736" s="84"/>
      <c r="O1736" s="84"/>
      <c r="P1736" s="84"/>
      <c r="Q1736" s="84"/>
      <c r="R1736" s="84"/>
      <c r="S1736" s="84"/>
      <c r="T1736" s="84"/>
      <c r="U1736" s="84"/>
      <c r="V1736" s="84"/>
      <c r="W1736" s="84"/>
      <c r="X1736" s="84"/>
    </row>
    <row r="1737" ht="15.75" customHeight="1">
      <c r="A1737" s="14" t="s">
        <v>120</v>
      </c>
      <c r="B1737" s="14">
        <v>2008.0</v>
      </c>
      <c r="C1737" s="42" t="s">
        <v>19569</v>
      </c>
      <c r="D1737" s="14" t="s">
        <v>19570</v>
      </c>
      <c r="E1737" s="150" t="str">
        <f t="shared" si="27"/>
        <v>http://dx.doi.org/10.1109/VAST.2008.4677389</v>
      </c>
      <c r="F1737" s="14"/>
      <c r="G1737" s="14"/>
      <c r="H1737" s="14" t="s">
        <v>21</v>
      </c>
      <c r="I1737" s="14" t="s">
        <v>19573</v>
      </c>
      <c r="J1737" s="130" t="s">
        <v>19575</v>
      </c>
      <c r="K1737" s="152" t="s">
        <v>22055</v>
      </c>
      <c r="L1737" s="20"/>
      <c r="M1737" s="16"/>
      <c r="N1737" s="84"/>
      <c r="O1737" s="84"/>
      <c r="P1737" s="84"/>
      <c r="Q1737" s="84"/>
      <c r="R1737" s="84"/>
      <c r="S1737" s="84"/>
      <c r="T1737" s="84"/>
      <c r="U1737" s="84"/>
      <c r="V1737" s="84"/>
      <c r="W1737" s="84"/>
      <c r="X1737" s="84"/>
    </row>
    <row r="1738" ht="15.75" customHeight="1">
      <c r="A1738" s="14" t="s">
        <v>120</v>
      </c>
      <c r="B1738" s="14">
        <v>2008.0</v>
      </c>
      <c r="C1738" s="14" t="s">
        <v>19577</v>
      </c>
      <c r="D1738" s="14" t="s">
        <v>19578</v>
      </c>
      <c r="E1738" s="150" t="str">
        <f t="shared" si="27"/>
        <v>http://dx.doi.org/10.1109/VAST.2008.4677390</v>
      </c>
      <c r="F1738" s="14"/>
      <c r="G1738" s="14"/>
      <c r="H1738" s="14" t="s">
        <v>21</v>
      </c>
      <c r="I1738" s="14" t="s">
        <v>19579</v>
      </c>
      <c r="J1738" s="130" t="s">
        <v>19580</v>
      </c>
      <c r="K1738" s="152" t="s">
        <v>22057</v>
      </c>
      <c r="L1738" s="20"/>
      <c r="M1738" s="16"/>
      <c r="N1738" s="84"/>
      <c r="O1738" s="84"/>
      <c r="P1738" s="84"/>
      <c r="Q1738" s="84"/>
      <c r="R1738" s="84"/>
      <c r="S1738" s="84"/>
      <c r="T1738" s="84"/>
      <c r="U1738" s="84"/>
      <c r="V1738" s="84"/>
      <c r="W1738" s="84"/>
      <c r="X1738" s="84"/>
    </row>
    <row r="1739" ht="15.75" customHeight="1">
      <c r="A1739" s="14" t="s">
        <v>120</v>
      </c>
      <c r="B1739" s="14">
        <v>2008.0</v>
      </c>
      <c r="C1739" s="14" t="s">
        <v>19584</v>
      </c>
      <c r="D1739" s="14" t="s">
        <v>19586</v>
      </c>
      <c r="E1739" s="150" t="str">
        <f t="shared" si="27"/>
        <v>http://dx.doi.org/10.1109/VAST.2008.4677391</v>
      </c>
      <c r="F1739" s="14"/>
      <c r="G1739" s="14"/>
      <c r="H1739" s="14" t="s">
        <v>21</v>
      </c>
      <c r="I1739" s="14" t="s">
        <v>19587</v>
      </c>
      <c r="J1739" s="130" t="s">
        <v>19588</v>
      </c>
      <c r="K1739" s="152" t="s">
        <v>22059</v>
      </c>
      <c r="L1739" s="20"/>
      <c r="M1739" s="16"/>
      <c r="N1739" s="84"/>
      <c r="O1739" s="84"/>
      <c r="P1739" s="84"/>
      <c r="Q1739" s="84"/>
      <c r="R1739" s="84"/>
      <c r="S1739" s="84"/>
      <c r="T1739" s="84"/>
      <c r="U1739" s="84"/>
      <c r="V1739" s="84"/>
      <c r="W1739" s="84"/>
      <c r="X1739" s="84"/>
    </row>
    <row r="1740" ht="15.75" customHeight="1">
      <c r="A1740" s="14" t="s">
        <v>120</v>
      </c>
      <c r="B1740" s="14">
        <v>2008.0</v>
      </c>
      <c r="C1740" s="14" t="s">
        <v>19591</v>
      </c>
      <c r="D1740" s="14" t="s">
        <v>19592</v>
      </c>
      <c r="E1740" s="150" t="str">
        <f t="shared" si="27"/>
        <v>http://dx.doi.org/10.1109/VAST.2008.4677392</v>
      </c>
      <c r="F1740" s="14"/>
      <c r="G1740" s="14"/>
      <c r="H1740" s="14" t="s">
        <v>21</v>
      </c>
      <c r="I1740" s="14" t="s">
        <v>19593</v>
      </c>
      <c r="J1740" s="130" t="s">
        <v>19594</v>
      </c>
      <c r="K1740" s="152" t="s">
        <v>22061</v>
      </c>
      <c r="L1740" s="20"/>
      <c r="M1740" s="16"/>
      <c r="N1740" s="84"/>
      <c r="O1740" s="84"/>
      <c r="P1740" s="84"/>
      <c r="Q1740" s="84"/>
      <c r="R1740" s="84"/>
      <c r="S1740" s="84"/>
      <c r="T1740" s="84"/>
      <c r="U1740" s="84"/>
      <c r="V1740" s="84"/>
      <c r="W1740" s="84"/>
      <c r="X1740" s="84"/>
    </row>
    <row r="1741" ht="15.75" customHeight="1">
      <c r="A1741" s="14" t="s">
        <v>120</v>
      </c>
      <c r="B1741" s="14">
        <v>2008.0</v>
      </c>
      <c r="C1741" s="14" t="s">
        <v>19598</v>
      </c>
      <c r="D1741" s="14" t="s">
        <v>19599</v>
      </c>
      <c r="E1741" s="150" t="str">
        <f t="shared" si="27"/>
        <v>http://dx.doi.org/10.1109/VAST.2008.4677393</v>
      </c>
      <c r="F1741" s="14"/>
      <c r="G1741" s="14"/>
      <c r="H1741" s="14" t="s">
        <v>21</v>
      </c>
      <c r="I1741" s="14" t="s">
        <v>19600</v>
      </c>
      <c r="J1741" s="130" t="s">
        <v>19601</v>
      </c>
      <c r="K1741" s="152" t="s">
        <v>22063</v>
      </c>
      <c r="L1741" s="20"/>
      <c r="M1741" s="16"/>
      <c r="N1741" s="84"/>
      <c r="O1741" s="84"/>
      <c r="P1741" s="84"/>
      <c r="Q1741" s="84"/>
      <c r="R1741" s="84"/>
      <c r="S1741" s="84"/>
      <c r="T1741" s="84"/>
      <c r="U1741" s="84"/>
      <c r="V1741" s="84"/>
      <c r="W1741" s="84"/>
      <c r="X1741" s="84"/>
    </row>
    <row r="1742" ht="15.75" customHeight="1">
      <c r="A1742" s="14" t="s">
        <v>120</v>
      </c>
      <c r="B1742" s="14">
        <v>2008.0</v>
      </c>
      <c r="C1742" s="14" t="s">
        <v>19604</v>
      </c>
      <c r="D1742" s="14" t="s">
        <v>19605</v>
      </c>
      <c r="E1742" s="150" t="str">
        <f t="shared" si="27"/>
        <v>http://dx.doi.org/10.1109/VAST.2008.4677394</v>
      </c>
      <c r="F1742" s="14"/>
      <c r="G1742" s="14"/>
      <c r="H1742" s="14" t="s">
        <v>21</v>
      </c>
      <c r="I1742" s="14" t="s">
        <v>19606</v>
      </c>
      <c r="J1742" s="130" t="s">
        <v>19607</v>
      </c>
      <c r="K1742" s="152" t="s">
        <v>494</v>
      </c>
      <c r="L1742" s="20"/>
      <c r="M1742" s="16"/>
      <c r="N1742" s="84"/>
      <c r="O1742" s="84"/>
      <c r="P1742" s="84"/>
      <c r="Q1742" s="84"/>
      <c r="R1742" s="84"/>
      <c r="S1742" s="84"/>
      <c r="T1742" s="84"/>
      <c r="U1742" s="84"/>
      <c r="V1742" s="84"/>
      <c r="W1742" s="84"/>
      <c r="X1742" s="84"/>
    </row>
    <row r="1743" ht="15.75" customHeight="1">
      <c r="A1743" s="14" t="s">
        <v>120</v>
      </c>
      <c r="B1743" s="14">
        <v>2008.0</v>
      </c>
      <c r="C1743" s="14" t="s">
        <v>19609</v>
      </c>
      <c r="D1743" s="14" t="s">
        <v>19611</v>
      </c>
      <c r="E1743" s="150" t="str">
        <f t="shared" si="27"/>
        <v>http://dx.doi.org/10.1109/VAST.2008.4677395</v>
      </c>
      <c r="F1743" s="14"/>
      <c r="G1743" s="14"/>
      <c r="H1743" s="14" t="s">
        <v>21</v>
      </c>
      <c r="I1743" s="14" t="s">
        <v>19613</v>
      </c>
      <c r="J1743" s="130" t="s">
        <v>19614</v>
      </c>
      <c r="K1743" s="152" t="s">
        <v>22066</v>
      </c>
      <c r="L1743" s="20"/>
      <c r="M1743" s="16"/>
      <c r="N1743" s="84"/>
      <c r="O1743" s="84"/>
      <c r="P1743" s="84"/>
      <c r="Q1743" s="84"/>
      <c r="R1743" s="84"/>
      <c r="S1743" s="84"/>
      <c r="T1743" s="84"/>
      <c r="U1743" s="84"/>
      <c r="V1743" s="84"/>
      <c r="W1743" s="84"/>
      <c r="X1743" s="84"/>
    </row>
    <row r="1744" ht="15.75" customHeight="1">
      <c r="A1744" s="14" t="s">
        <v>120</v>
      </c>
      <c r="B1744" s="14">
        <v>2008.0</v>
      </c>
      <c r="C1744" s="14" t="s">
        <v>19618</v>
      </c>
      <c r="D1744" s="14" t="s">
        <v>19619</v>
      </c>
      <c r="E1744" s="150" t="str">
        <f t="shared" si="27"/>
        <v>http://dx.doi.org/10.1109/VAST.2008.4677396</v>
      </c>
      <c r="F1744" s="14"/>
      <c r="G1744" s="14"/>
      <c r="H1744" s="14" t="s">
        <v>21</v>
      </c>
      <c r="I1744" s="14" t="s">
        <v>19620</v>
      </c>
      <c r="J1744" s="130" t="s">
        <v>19621</v>
      </c>
      <c r="K1744" s="152"/>
      <c r="L1744" s="20"/>
      <c r="M1744" s="16"/>
      <c r="N1744" s="84"/>
      <c r="O1744" s="84"/>
      <c r="P1744" s="84"/>
      <c r="Q1744" s="84"/>
      <c r="R1744" s="84"/>
      <c r="S1744" s="84"/>
      <c r="T1744" s="84"/>
      <c r="U1744" s="84"/>
      <c r="V1744" s="84"/>
      <c r="W1744" s="84"/>
      <c r="X1744" s="84"/>
    </row>
    <row r="1745" ht="15.75" customHeight="1">
      <c r="A1745" s="14" t="s">
        <v>17</v>
      </c>
      <c r="B1745" s="14">
        <v>2008.0</v>
      </c>
      <c r="C1745" s="14" t="s">
        <v>19623</v>
      </c>
      <c r="D1745" s="14" t="s">
        <v>19624</v>
      </c>
      <c r="E1745" s="150" t="str">
        <f t="shared" si="27"/>
        <v>http://dx.doi.org/10.1109/TVCG.2008.108</v>
      </c>
      <c r="F1745" s="14">
        <v>1723.0</v>
      </c>
      <c r="G1745" s="14">
        <v>1730.0</v>
      </c>
      <c r="H1745" s="14" t="s">
        <v>17059</v>
      </c>
      <c r="I1745" s="14" t="s">
        <v>19625</v>
      </c>
      <c r="J1745" s="130" t="s">
        <v>2994</v>
      </c>
      <c r="K1745" s="152" t="s">
        <v>20725</v>
      </c>
      <c r="L1745" s="20" t="s">
        <v>19628</v>
      </c>
      <c r="M1745" s="174" t="s">
        <v>19629</v>
      </c>
      <c r="N1745" s="84"/>
      <c r="O1745" s="84"/>
      <c r="P1745" s="84"/>
      <c r="Q1745" s="84"/>
      <c r="R1745" s="84"/>
      <c r="S1745" s="84"/>
      <c r="T1745" s="84"/>
      <c r="U1745" s="84"/>
      <c r="V1745" s="84"/>
      <c r="W1745" s="84"/>
      <c r="X1745" s="84"/>
    </row>
    <row r="1746" ht="15.75" customHeight="1">
      <c r="A1746" s="14" t="s">
        <v>17</v>
      </c>
      <c r="B1746" s="14">
        <v>2008.0</v>
      </c>
      <c r="C1746" s="14" t="s">
        <v>19630</v>
      </c>
      <c r="D1746" s="14" t="s">
        <v>19632</v>
      </c>
      <c r="E1746" s="150" t="str">
        <f t="shared" si="27"/>
        <v>http://dx.doi.org/10.1109/TVCG.2008.110</v>
      </c>
      <c r="F1746" s="14">
        <v>1619.0</v>
      </c>
      <c r="G1746" s="14">
        <v>1626.0</v>
      </c>
      <c r="H1746" s="14" t="s">
        <v>17059</v>
      </c>
      <c r="I1746" s="14" t="s">
        <v>20729</v>
      </c>
      <c r="J1746" s="130" t="s">
        <v>19635</v>
      </c>
      <c r="K1746" s="152" t="s">
        <v>20730</v>
      </c>
      <c r="L1746" s="20" t="s">
        <v>19637</v>
      </c>
      <c r="M1746" s="174" t="s">
        <v>19638</v>
      </c>
      <c r="N1746" s="84"/>
      <c r="O1746" s="84"/>
      <c r="P1746" s="84"/>
      <c r="Q1746" s="84"/>
      <c r="R1746" s="84"/>
      <c r="S1746" s="84"/>
      <c r="T1746" s="84"/>
      <c r="U1746" s="84"/>
      <c r="V1746" s="84"/>
      <c r="W1746" s="84"/>
      <c r="X1746" s="84"/>
    </row>
    <row r="1747" ht="15.75" customHeight="1">
      <c r="A1747" s="14" t="s">
        <v>17</v>
      </c>
      <c r="B1747" s="14">
        <v>2008.0</v>
      </c>
      <c r="C1747" s="14" t="s">
        <v>19639</v>
      </c>
      <c r="D1747" s="14" t="s">
        <v>19640</v>
      </c>
      <c r="E1747" s="150" t="str">
        <f t="shared" si="27"/>
        <v>http://dx.doi.org/10.1109/TVCG.2008.111</v>
      </c>
      <c r="F1747" s="14">
        <v>1707.0</v>
      </c>
      <c r="G1747" s="14">
        <v>1722.0</v>
      </c>
      <c r="H1747" s="14" t="s">
        <v>17059</v>
      </c>
      <c r="I1747" s="14" t="s">
        <v>19642</v>
      </c>
      <c r="J1747" s="130" t="s">
        <v>19643</v>
      </c>
      <c r="K1747" s="152" t="s">
        <v>20732</v>
      </c>
      <c r="L1747" s="20" t="s">
        <v>19647</v>
      </c>
      <c r="M1747" s="174" t="s">
        <v>19648</v>
      </c>
      <c r="N1747" s="84"/>
      <c r="O1747" s="84"/>
      <c r="P1747" s="84"/>
      <c r="Q1747" s="84"/>
      <c r="R1747" s="84"/>
      <c r="S1747" s="84"/>
      <c r="T1747" s="84"/>
      <c r="U1747" s="84"/>
      <c r="V1747" s="84"/>
      <c r="W1747" s="84"/>
      <c r="X1747" s="84"/>
    </row>
    <row r="1748" ht="15.75" customHeight="1">
      <c r="A1748" s="14" t="s">
        <v>17</v>
      </c>
      <c r="B1748" s="14">
        <v>2008.0</v>
      </c>
      <c r="C1748" s="14" t="s">
        <v>19649</v>
      </c>
      <c r="D1748" s="14" t="s">
        <v>19650</v>
      </c>
      <c r="E1748" s="150" t="str">
        <f t="shared" si="27"/>
        <v>http://dx.doi.org/10.1109/TVCG.2008.112</v>
      </c>
      <c r="F1748" s="14">
        <v>1747.0</v>
      </c>
      <c r="G1748" s="14">
        <v>1754.0</v>
      </c>
      <c r="H1748" s="14" t="s">
        <v>17059</v>
      </c>
      <c r="I1748" s="14" t="s">
        <v>19651</v>
      </c>
      <c r="J1748" s="130" t="s">
        <v>19652</v>
      </c>
      <c r="K1748" s="152" t="s">
        <v>20734</v>
      </c>
      <c r="L1748" s="20"/>
      <c r="M1748" s="174" t="s">
        <v>19654</v>
      </c>
      <c r="N1748" s="84"/>
      <c r="O1748" s="84"/>
      <c r="P1748" s="84"/>
      <c r="Q1748" s="84"/>
      <c r="R1748" s="84"/>
      <c r="S1748" s="84"/>
      <c r="T1748" s="84"/>
      <c r="U1748" s="84"/>
      <c r="V1748" s="84"/>
      <c r="W1748" s="84"/>
      <c r="X1748" s="84"/>
    </row>
    <row r="1749" ht="15.75" customHeight="1">
      <c r="A1749" s="14" t="s">
        <v>17</v>
      </c>
      <c r="B1749" s="14">
        <v>2008.0</v>
      </c>
      <c r="C1749" s="14" t="s">
        <v>19655</v>
      </c>
      <c r="D1749" s="14" t="s">
        <v>19656</v>
      </c>
      <c r="E1749" s="150" t="str">
        <f t="shared" si="27"/>
        <v>http://dx.doi.org/10.1109/TVCG.2008.115</v>
      </c>
      <c r="F1749" s="14">
        <v>1523.0</v>
      </c>
      <c r="G1749" s="14">
        <v>1530.0</v>
      </c>
      <c r="H1749" s="14" t="s">
        <v>17059</v>
      </c>
      <c r="I1749" s="14" t="s">
        <v>19657</v>
      </c>
      <c r="J1749" s="130" t="s">
        <v>41701</v>
      </c>
      <c r="K1749" s="152" t="s">
        <v>20739</v>
      </c>
      <c r="L1749" s="20" t="s">
        <v>19660</v>
      </c>
      <c r="M1749" s="174" t="s">
        <v>19661</v>
      </c>
      <c r="N1749" s="84"/>
      <c r="O1749" s="84"/>
      <c r="P1749" s="84"/>
      <c r="Q1749" s="84"/>
      <c r="R1749" s="84"/>
      <c r="S1749" s="84"/>
      <c r="T1749" s="84"/>
      <c r="U1749" s="84"/>
      <c r="V1749" s="84"/>
      <c r="W1749" s="84"/>
      <c r="X1749" s="84"/>
    </row>
    <row r="1750" ht="15.75" customHeight="1">
      <c r="A1750" s="14" t="s">
        <v>17</v>
      </c>
      <c r="B1750" s="14">
        <v>2008.0</v>
      </c>
      <c r="C1750" s="14" t="s">
        <v>19662</v>
      </c>
      <c r="D1750" s="14" t="s">
        <v>19664</v>
      </c>
      <c r="E1750" s="150" t="str">
        <f t="shared" si="27"/>
        <v>http://dx.doi.org/10.1109/TVCG.2008.116</v>
      </c>
      <c r="F1750" s="14">
        <v>1459.0</v>
      </c>
      <c r="G1750" s="14">
        <v>1466.0</v>
      </c>
      <c r="H1750" s="14" t="s">
        <v>17059</v>
      </c>
      <c r="I1750" s="14" t="s">
        <v>19665</v>
      </c>
      <c r="J1750" s="130" t="s">
        <v>19667</v>
      </c>
      <c r="K1750" s="152" t="s">
        <v>20742</v>
      </c>
      <c r="L1750" s="20" t="s">
        <v>19670</v>
      </c>
      <c r="M1750" s="174" t="s">
        <v>19671</v>
      </c>
      <c r="N1750" s="84"/>
      <c r="O1750" s="84"/>
      <c r="P1750" s="84"/>
      <c r="Q1750" s="84"/>
      <c r="R1750" s="84"/>
      <c r="S1750" s="84"/>
      <c r="T1750" s="84"/>
      <c r="U1750" s="84"/>
      <c r="V1750" s="84"/>
      <c r="W1750" s="84"/>
      <c r="X1750" s="84"/>
    </row>
    <row r="1751" ht="15.75" customHeight="1">
      <c r="A1751" s="14" t="s">
        <v>17</v>
      </c>
      <c r="B1751" s="14">
        <v>2008.0</v>
      </c>
      <c r="C1751" s="14" t="s">
        <v>19672</v>
      </c>
      <c r="D1751" s="14" t="s">
        <v>19673</v>
      </c>
      <c r="E1751" s="150" t="str">
        <f t="shared" si="27"/>
        <v>http://dx.doi.org/10.1109/TVCG.2008.118</v>
      </c>
      <c r="F1751" s="14">
        <v>1739.0</v>
      </c>
      <c r="G1751" s="14">
        <v>1754.0</v>
      </c>
      <c r="H1751" s="14" t="s">
        <v>17059</v>
      </c>
      <c r="I1751" s="14" t="s">
        <v>19674</v>
      </c>
      <c r="J1751" s="130" t="s">
        <v>19675</v>
      </c>
      <c r="K1751" s="152" t="s">
        <v>20746</v>
      </c>
      <c r="L1751" s="20" t="s">
        <v>19677</v>
      </c>
      <c r="M1751" s="174" t="s">
        <v>19678</v>
      </c>
      <c r="N1751" s="84"/>
      <c r="O1751" s="84"/>
      <c r="P1751" s="84"/>
      <c r="Q1751" s="84"/>
      <c r="R1751" s="84"/>
      <c r="S1751" s="84"/>
      <c r="T1751" s="84"/>
      <c r="U1751" s="84"/>
      <c r="V1751" s="84"/>
      <c r="W1751" s="84"/>
      <c r="X1751" s="84"/>
    </row>
    <row r="1752" ht="15.75" customHeight="1">
      <c r="A1752" s="14" t="s">
        <v>17</v>
      </c>
      <c r="B1752" s="14">
        <v>2008.0</v>
      </c>
      <c r="C1752" s="14" t="s">
        <v>19681</v>
      </c>
      <c r="D1752" s="14" t="s">
        <v>19682</v>
      </c>
      <c r="E1752" s="150" t="str">
        <f t="shared" si="27"/>
        <v>http://dx.doi.org/10.1109/TVCG.2008.119</v>
      </c>
      <c r="F1752" s="14">
        <v>1428.0</v>
      </c>
      <c r="G1752" s="14">
        <v>1435.0</v>
      </c>
      <c r="H1752" s="14" t="s">
        <v>17059</v>
      </c>
      <c r="I1752" s="14" t="s">
        <v>19683</v>
      </c>
      <c r="J1752" s="130" t="s">
        <v>19684</v>
      </c>
      <c r="K1752" s="152" t="s">
        <v>20748</v>
      </c>
      <c r="L1752" s="20" t="s">
        <v>19687</v>
      </c>
      <c r="M1752" s="174" t="s">
        <v>19688</v>
      </c>
      <c r="N1752" s="84"/>
      <c r="O1752" s="84"/>
      <c r="P1752" s="84"/>
      <c r="Q1752" s="84"/>
      <c r="R1752" s="84"/>
      <c r="S1752" s="84"/>
      <c r="T1752" s="84"/>
      <c r="U1752" s="84"/>
      <c r="V1752" s="84"/>
      <c r="W1752" s="84"/>
      <c r="X1752" s="84"/>
    </row>
    <row r="1753" ht="15.75" customHeight="1">
      <c r="A1753" s="14" t="s">
        <v>17</v>
      </c>
      <c r="B1753" s="14">
        <v>2008.0</v>
      </c>
      <c r="C1753" s="14" t="s">
        <v>19689</v>
      </c>
      <c r="D1753" s="14" t="s">
        <v>19690</v>
      </c>
      <c r="E1753" s="150" t="str">
        <f t="shared" si="27"/>
        <v>http://dx.doi.org/10.1109/TVCG.2008.120</v>
      </c>
      <c r="F1753" s="14">
        <v>1388.0</v>
      </c>
      <c r="G1753" s="14">
        <v>1395.0</v>
      </c>
      <c r="H1753" s="14" t="s">
        <v>17059</v>
      </c>
      <c r="I1753" s="14" t="s">
        <v>19692</v>
      </c>
      <c r="J1753" s="130" t="s">
        <v>19693</v>
      </c>
      <c r="K1753" s="152" t="s">
        <v>20751</v>
      </c>
      <c r="L1753" s="20" t="s">
        <v>19696</v>
      </c>
      <c r="M1753" s="174" t="s">
        <v>19697</v>
      </c>
      <c r="N1753" s="84"/>
      <c r="O1753" s="84"/>
      <c r="P1753" s="84"/>
      <c r="Q1753" s="84"/>
      <c r="R1753" s="84"/>
      <c r="S1753" s="84"/>
      <c r="T1753" s="84"/>
      <c r="U1753" s="84"/>
      <c r="V1753" s="84"/>
      <c r="W1753" s="84"/>
      <c r="X1753" s="84"/>
    </row>
    <row r="1754" ht="15.75" customHeight="1">
      <c r="A1754" s="14" t="s">
        <v>17</v>
      </c>
      <c r="B1754" s="14">
        <v>2008.0</v>
      </c>
      <c r="C1754" s="14" t="s">
        <v>19698</v>
      </c>
      <c r="D1754" s="14" t="s">
        <v>19699</v>
      </c>
      <c r="E1754" s="150" t="str">
        <f t="shared" si="27"/>
        <v>http://dx.doi.org/10.1109/TVCG.2008.122</v>
      </c>
      <c r="F1754" s="14">
        <v>1651.0</v>
      </c>
      <c r="G1754" s="14">
        <v>1666.0</v>
      </c>
      <c r="H1754" s="14" t="s">
        <v>17059</v>
      </c>
      <c r="I1754" s="14" t="s">
        <v>19700</v>
      </c>
      <c r="J1754" s="130" t="s">
        <v>19701</v>
      </c>
      <c r="K1754" s="152" t="s">
        <v>20756</v>
      </c>
      <c r="L1754" s="20" t="s">
        <v>19704</v>
      </c>
      <c r="M1754" s="174" t="s">
        <v>19705</v>
      </c>
      <c r="N1754" s="84"/>
      <c r="O1754" s="84"/>
      <c r="P1754" s="84"/>
      <c r="Q1754" s="84"/>
      <c r="R1754" s="84"/>
      <c r="S1754" s="84"/>
      <c r="T1754" s="84"/>
      <c r="U1754" s="84"/>
      <c r="V1754" s="84"/>
      <c r="W1754" s="84"/>
      <c r="X1754" s="84"/>
    </row>
    <row r="1755" ht="15.75" customHeight="1">
      <c r="A1755" s="14" t="s">
        <v>17</v>
      </c>
      <c r="B1755" s="14">
        <v>2008.0</v>
      </c>
      <c r="C1755" s="14" t="s">
        <v>19706</v>
      </c>
      <c r="D1755" s="14" t="s">
        <v>19707</v>
      </c>
      <c r="E1755" s="150" t="str">
        <f t="shared" si="27"/>
        <v>http://dx.doi.org/10.1109/TVCG.2008.123</v>
      </c>
      <c r="F1755" s="14">
        <v>1603.0</v>
      </c>
      <c r="G1755" s="14">
        <v>1610.0</v>
      </c>
      <c r="H1755" s="14" t="s">
        <v>17059</v>
      </c>
      <c r="I1755" s="14" t="s">
        <v>19709</v>
      </c>
      <c r="J1755" s="130" t="s">
        <v>19710</v>
      </c>
      <c r="K1755" s="152" t="s">
        <v>20758</v>
      </c>
      <c r="L1755" s="20" t="s">
        <v>19713</v>
      </c>
      <c r="M1755" s="174" t="s">
        <v>19714</v>
      </c>
      <c r="N1755" s="84"/>
      <c r="O1755" s="84"/>
      <c r="P1755" s="84"/>
      <c r="Q1755" s="84"/>
      <c r="R1755" s="84"/>
      <c r="S1755" s="84"/>
      <c r="T1755" s="84"/>
      <c r="U1755" s="84"/>
      <c r="V1755" s="84"/>
      <c r="W1755" s="84"/>
      <c r="X1755" s="84"/>
    </row>
    <row r="1756" ht="15.75" customHeight="1">
      <c r="A1756" s="14" t="s">
        <v>17</v>
      </c>
      <c r="B1756" s="14">
        <v>2008.0</v>
      </c>
      <c r="C1756" s="14" t="s">
        <v>19716</v>
      </c>
      <c r="D1756" s="14" t="s">
        <v>19717</v>
      </c>
      <c r="E1756" s="150" t="str">
        <f t="shared" si="27"/>
        <v>http://dx.doi.org/10.1109/TVCG.2008.124</v>
      </c>
      <c r="F1756" s="14">
        <v>1452.0</v>
      </c>
      <c r="G1756" s="14">
        <v>1458.0</v>
      </c>
      <c r="H1756" s="14" t="s">
        <v>17059</v>
      </c>
      <c r="I1756" s="14" t="s">
        <v>19718</v>
      </c>
      <c r="J1756" s="130" t="s">
        <v>19719</v>
      </c>
      <c r="K1756" s="152" t="s">
        <v>20760</v>
      </c>
      <c r="L1756" s="20"/>
      <c r="M1756" s="174" t="s">
        <v>19721</v>
      </c>
      <c r="N1756" s="84"/>
      <c r="O1756" s="84"/>
      <c r="P1756" s="84"/>
      <c r="Q1756" s="84"/>
      <c r="R1756" s="84"/>
      <c r="S1756" s="84"/>
      <c r="T1756" s="84"/>
      <c r="U1756" s="84"/>
      <c r="V1756" s="84"/>
      <c r="W1756" s="84"/>
      <c r="X1756" s="84"/>
    </row>
    <row r="1757" ht="15.75" customHeight="1">
      <c r="A1757" s="14" t="s">
        <v>17</v>
      </c>
      <c r="B1757" s="14">
        <v>2008.0</v>
      </c>
      <c r="C1757" s="14" t="s">
        <v>19722</v>
      </c>
      <c r="D1757" s="14" t="s">
        <v>19723</v>
      </c>
      <c r="E1757" s="150" t="str">
        <f t="shared" si="27"/>
        <v>http://dx.doi.org/10.1109/TVCG.2008.126</v>
      </c>
      <c r="F1757" s="14">
        <v>1755.0</v>
      </c>
      <c r="G1757" s="14">
        <v>1762.0</v>
      </c>
      <c r="H1757" s="14" t="s">
        <v>17059</v>
      </c>
      <c r="I1757" s="14" t="s">
        <v>19724</v>
      </c>
      <c r="J1757" s="130" t="s">
        <v>19725</v>
      </c>
      <c r="K1757" s="152" t="s">
        <v>20764</v>
      </c>
      <c r="L1757" s="20" t="s">
        <v>19728</v>
      </c>
      <c r="M1757" s="174" t="s">
        <v>19729</v>
      </c>
      <c r="N1757" s="84"/>
      <c r="O1757" s="84"/>
      <c r="P1757" s="84"/>
      <c r="Q1757" s="84"/>
      <c r="R1757" s="84"/>
      <c r="S1757" s="84"/>
      <c r="T1757" s="84"/>
      <c r="U1757" s="84"/>
      <c r="V1757" s="84"/>
      <c r="W1757" s="84"/>
      <c r="X1757" s="84"/>
    </row>
    <row r="1758" ht="15.75" customHeight="1">
      <c r="A1758" s="14" t="s">
        <v>17</v>
      </c>
      <c r="B1758" s="14">
        <v>2008.0</v>
      </c>
      <c r="C1758" s="14" t="s">
        <v>19732</v>
      </c>
      <c r="D1758" s="14" t="s">
        <v>19733</v>
      </c>
      <c r="E1758" s="150" t="str">
        <f t="shared" si="27"/>
        <v>http://dx.doi.org/10.1109/TVCG.2008.128</v>
      </c>
      <c r="F1758" s="14">
        <v>1635.0</v>
      </c>
      <c r="G1758" s="14">
        <v>1642.0</v>
      </c>
      <c r="H1758" s="14" t="s">
        <v>17059</v>
      </c>
      <c r="I1758" s="14" t="s">
        <v>19734</v>
      </c>
      <c r="J1758" s="130" t="s">
        <v>19735</v>
      </c>
      <c r="K1758" s="152" t="s">
        <v>20768</v>
      </c>
      <c r="L1758" s="20" t="s">
        <v>16254</v>
      </c>
      <c r="M1758" s="174" t="s">
        <v>19738</v>
      </c>
      <c r="N1758" s="84"/>
      <c r="O1758" s="84"/>
      <c r="P1758" s="84"/>
      <c r="Q1758" s="84"/>
      <c r="R1758" s="84"/>
      <c r="S1758" s="84"/>
      <c r="T1758" s="84"/>
      <c r="U1758" s="84"/>
      <c r="V1758" s="84"/>
      <c r="W1758" s="84"/>
      <c r="X1758" s="84"/>
    </row>
    <row r="1759" ht="15.75" customHeight="1">
      <c r="A1759" s="14" t="s">
        <v>17</v>
      </c>
      <c r="B1759" s="14">
        <v>2008.0</v>
      </c>
      <c r="C1759" s="14" t="s">
        <v>19740</v>
      </c>
      <c r="D1759" s="14" t="s">
        <v>19741</v>
      </c>
      <c r="E1759" s="150" t="str">
        <f t="shared" si="27"/>
        <v>http://dx.doi.org/10.1109/TVCG.2008.131</v>
      </c>
      <c r="F1759" s="14">
        <v>1436.0</v>
      </c>
      <c r="G1759" s="14">
        <v>1451.0</v>
      </c>
      <c r="H1759" s="14" t="s">
        <v>17059</v>
      </c>
      <c r="I1759" s="14" t="s">
        <v>19742</v>
      </c>
      <c r="J1759" s="130" t="s">
        <v>19743</v>
      </c>
      <c r="K1759" s="152" t="s">
        <v>20774</v>
      </c>
      <c r="L1759" s="20" t="s">
        <v>19746</v>
      </c>
      <c r="M1759" s="174" t="s">
        <v>19747</v>
      </c>
      <c r="N1759" s="84"/>
      <c r="O1759" s="84"/>
      <c r="P1759" s="84"/>
      <c r="Q1759" s="84"/>
      <c r="R1759" s="84"/>
      <c r="S1759" s="84"/>
      <c r="T1759" s="84"/>
      <c r="U1759" s="84"/>
      <c r="V1759" s="84"/>
      <c r="W1759" s="84"/>
      <c r="X1759" s="84"/>
    </row>
    <row r="1760" ht="15.75" customHeight="1">
      <c r="A1760" s="14" t="s">
        <v>17</v>
      </c>
      <c r="B1760" s="14">
        <v>2008.0</v>
      </c>
      <c r="C1760" s="14" t="s">
        <v>19748</v>
      </c>
      <c r="D1760" s="14" t="s">
        <v>19749</v>
      </c>
      <c r="E1760" s="150" t="str">
        <f t="shared" si="27"/>
        <v>http://dx.doi.org/10.1109/TVCG.2008.132</v>
      </c>
      <c r="F1760" s="14">
        <v>1731.0</v>
      </c>
      <c r="G1760" s="14">
        <v>1738.0</v>
      </c>
      <c r="H1760" s="14" t="s">
        <v>17059</v>
      </c>
      <c r="I1760" s="14" t="s">
        <v>19750</v>
      </c>
      <c r="J1760" s="130" t="s">
        <v>19751</v>
      </c>
      <c r="K1760" s="152" t="s">
        <v>20776</v>
      </c>
      <c r="L1760" s="20" t="s">
        <v>19754</v>
      </c>
      <c r="M1760" s="174" t="s">
        <v>19755</v>
      </c>
      <c r="N1760" s="84"/>
      <c r="O1760" s="84"/>
      <c r="P1760" s="84"/>
      <c r="Q1760" s="84"/>
      <c r="R1760" s="84"/>
      <c r="S1760" s="84"/>
      <c r="T1760" s="84"/>
      <c r="U1760" s="84"/>
      <c r="V1760" s="84"/>
      <c r="W1760" s="84"/>
      <c r="X1760" s="84"/>
    </row>
    <row r="1761" ht="15.75" customHeight="1">
      <c r="A1761" s="14" t="s">
        <v>17</v>
      </c>
      <c r="B1761" s="14">
        <v>2008.0</v>
      </c>
      <c r="C1761" s="14" t="s">
        <v>19756</v>
      </c>
      <c r="D1761" s="14" t="s">
        <v>19757</v>
      </c>
      <c r="E1761" s="150" t="str">
        <f t="shared" si="27"/>
        <v>http://dx.doi.org/10.1109/TVCG.2008.133</v>
      </c>
      <c r="F1761" s="14">
        <v>1404.0</v>
      </c>
      <c r="G1761" s="14">
        <v>1411.0</v>
      </c>
      <c r="H1761" s="14" t="s">
        <v>17059</v>
      </c>
      <c r="I1761" s="14" t="s">
        <v>19759</v>
      </c>
      <c r="J1761" s="130" t="s">
        <v>19760</v>
      </c>
      <c r="K1761" s="152" t="s">
        <v>20778</v>
      </c>
      <c r="L1761" s="20" t="s">
        <v>19762</v>
      </c>
      <c r="M1761" s="174" t="s">
        <v>19763</v>
      </c>
      <c r="N1761" s="84"/>
      <c r="O1761" s="84"/>
      <c r="P1761" s="84"/>
      <c r="Q1761" s="84"/>
      <c r="R1761" s="84"/>
      <c r="S1761" s="84"/>
      <c r="T1761" s="84"/>
      <c r="U1761" s="84"/>
      <c r="V1761" s="84"/>
      <c r="W1761" s="84"/>
      <c r="X1761" s="84"/>
    </row>
    <row r="1762" ht="15.75" customHeight="1">
      <c r="A1762" s="14" t="s">
        <v>17</v>
      </c>
      <c r="B1762" s="14">
        <v>2008.0</v>
      </c>
      <c r="C1762" s="14" t="s">
        <v>19764</v>
      </c>
      <c r="D1762" s="14" t="s">
        <v>19765</v>
      </c>
      <c r="E1762" s="150" t="str">
        <f t="shared" si="27"/>
        <v>http://dx.doi.org/10.1109/TVCG.2008.134</v>
      </c>
      <c r="F1762" s="14">
        <v>1643.0</v>
      </c>
      <c r="G1762" s="14">
        <v>1650.0</v>
      </c>
      <c r="H1762" s="14" t="s">
        <v>17059</v>
      </c>
      <c r="I1762" s="14" t="s">
        <v>19766</v>
      </c>
      <c r="J1762" s="130" t="s">
        <v>19767</v>
      </c>
      <c r="K1762" s="152" t="s">
        <v>20780</v>
      </c>
      <c r="L1762" s="20"/>
      <c r="M1762" s="174" t="s">
        <v>19768</v>
      </c>
      <c r="N1762" s="84"/>
      <c r="O1762" s="84"/>
      <c r="P1762" s="84"/>
      <c r="Q1762" s="84"/>
      <c r="R1762" s="84"/>
      <c r="S1762" s="84"/>
      <c r="T1762" s="84"/>
      <c r="U1762" s="84"/>
      <c r="V1762" s="84"/>
      <c r="W1762" s="84"/>
      <c r="X1762" s="84"/>
    </row>
    <row r="1763" ht="15.75" customHeight="1">
      <c r="A1763" s="14" t="s">
        <v>17</v>
      </c>
      <c r="B1763" s="14">
        <v>2008.0</v>
      </c>
      <c r="C1763" s="14" t="s">
        <v>19769</v>
      </c>
      <c r="D1763" s="14" t="s">
        <v>19770</v>
      </c>
      <c r="E1763" s="150" t="str">
        <f t="shared" si="27"/>
        <v>http://dx.doi.org/10.1109/TVCG.2008.136</v>
      </c>
      <c r="F1763" s="14">
        <v>1499.0</v>
      </c>
      <c r="G1763" s="14">
        <v>1506.0</v>
      </c>
      <c r="H1763" s="14" t="s">
        <v>17059</v>
      </c>
      <c r="I1763" s="14" t="s">
        <v>19772</v>
      </c>
      <c r="J1763" s="130" t="s">
        <v>19773</v>
      </c>
      <c r="K1763" s="152" t="s">
        <v>20785</v>
      </c>
      <c r="L1763" s="20" t="s">
        <v>19776</v>
      </c>
      <c r="M1763" s="174" t="s">
        <v>19777</v>
      </c>
      <c r="N1763" s="84"/>
      <c r="O1763" s="84"/>
      <c r="P1763" s="84"/>
      <c r="Q1763" s="84"/>
      <c r="R1763" s="84"/>
      <c r="S1763" s="84"/>
      <c r="T1763" s="84"/>
      <c r="U1763" s="84"/>
      <c r="V1763" s="84"/>
      <c r="W1763" s="84"/>
      <c r="X1763" s="84"/>
    </row>
    <row r="1764" ht="15.75" customHeight="1">
      <c r="A1764" s="14" t="s">
        <v>17</v>
      </c>
      <c r="B1764" s="14">
        <v>2008.0</v>
      </c>
      <c r="C1764" s="14" t="s">
        <v>19779</v>
      </c>
      <c r="D1764" s="14" t="s">
        <v>19780</v>
      </c>
      <c r="E1764" s="150" t="str">
        <f t="shared" si="27"/>
        <v>http://dx.doi.org/10.1109/TVCG.2008.139</v>
      </c>
      <c r="F1764" s="14">
        <v>1579.0</v>
      </c>
      <c r="G1764" s="14">
        <v>1586.0</v>
      </c>
      <c r="H1764" s="14" t="s">
        <v>17059</v>
      </c>
      <c r="I1764" s="14" t="s">
        <v>19781</v>
      </c>
      <c r="J1764" s="130" t="s">
        <v>19783</v>
      </c>
      <c r="K1764" s="152" t="s">
        <v>20792</v>
      </c>
      <c r="L1764" s="20" t="s">
        <v>19785</v>
      </c>
      <c r="M1764" s="174" t="s">
        <v>19786</v>
      </c>
      <c r="N1764" s="84"/>
      <c r="O1764" s="84"/>
      <c r="P1764" s="84"/>
      <c r="Q1764" s="84"/>
      <c r="R1764" s="84"/>
      <c r="S1764" s="84"/>
      <c r="T1764" s="84"/>
      <c r="U1764" s="84"/>
      <c r="V1764" s="84"/>
      <c r="W1764" s="84"/>
      <c r="X1764" s="84"/>
    </row>
    <row r="1765" ht="15.75" customHeight="1">
      <c r="A1765" s="14" t="s">
        <v>17</v>
      </c>
      <c r="B1765" s="14">
        <v>2008.0</v>
      </c>
      <c r="C1765" s="14" t="s">
        <v>19787</v>
      </c>
      <c r="D1765" s="14" t="s">
        <v>19788</v>
      </c>
      <c r="E1765" s="150" t="str">
        <f t="shared" si="27"/>
        <v>http://dx.doi.org/10.1109/TVCG.2008.140</v>
      </c>
      <c r="F1765" s="14">
        <v>1547.0</v>
      </c>
      <c r="G1765" s="14">
        <v>1554.0</v>
      </c>
      <c r="H1765" s="14" t="s">
        <v>17059</v>
      </c>
      <c r="I1765" s="14" t="s">
        <v>19789</v>
      </c>
      <c r="J1765" s="130" t="s">
        <v>19790</v>
      </c>
      <c r="K1765" s="152" t="s">
        <v>20794</v>
      </c>
      <c r="L1765" s="20" t="s">
        <v>19792</v>
      </c>
      <c r="M1765" s="174" t="s">
        <v>19793</v>
      </c>
      <c r="N1765" s="84"/>
      <c r="O1765" s="84"/>
      <c r="P1765" s="84"/>
      <c r="Q1765" s="84"/>
      <c r="R1765" s="84"/>
      <c r="S1765" s="84"/>
      <c r="T1765" s="84"/>
      <c r="U1765" s="84"/>
      <c r="V1765" s="84"/>
      <c r="W1765" s="84"/>
      <c r="X1765" s="84"/>
    </row>
    <row r="1766" ht="15.75" customHeight="1">
      <c r="A1766" s="14" t="s">
        <v>17</v>
      </c>
      <c r="B1766" s="14">
        <v>2008.0</v>
      </c>
      <c r="C1766" s="14" t="s">
        <v>19794</v>
      </c>
      <c r="D1766" s="14" t="s">
        <v>19795</v>
      </c>
      <c r="E1766" s="150" t="str">
        <f t="shared" si="27"/>
        <v>http://dx.doi.org/10.1109/TVCG.2008.142</v>
      </c>
      <c r="F1766" s="14">
        <v>1515.0</v>
      </c>
      <c r="G1766" s="14">
        <v>1522.0</v>
      </c>
      <c r="H1766" s="14" t="s">
        <v>17059</v>
      </c>
      <c r="I1766" s="14" t="s">
        <v>19797</v>
      </c>
      <c r="J1766" s="130" t="s">
        <v>41702</v>
      </c>
      <c r="K1766" s="152" t="s">
        <v>20798</v>
      </c>
      <c r="L1766" s="20" t="s">
        <v>19802</v>
      </c>
      <c r="M1766" s="174" t="s">
        <v>19803</v>
      </c>
      <c r="N1766" s="84"/>
      <c r="O1766" s="84"/>
      <c r="P1766" s="84"/>
      <c r="Q1766" s="84"/>
      <c r="R1766" s="84"/>
      <c r="S1766" s="84"/>
      <c r="T1766" s="84"/>
      <c r="U1766" s="84"/>
      <c r="V1766" s="84"/>
      <c r="W1766" s="84"/>
      <c r="X1766" s="84"/>
    </row>
    <row r="1767" ht="15.75" customHeight="1">
      <c r="A1767" s="14" t="s">
        <v>17</v>
      </c>
      <c r="B1767" s="14">
        <v>2008.0</v>
      </c>
      <c r="C1767" s="14" t="s">
        <v>19804</v>
      </c>
      <c r="D1767" s="14" t="s">
        <v>19805</v>
      </c>
      <c r="E1767" s="150" t="str">
        <f t="shared" si="27"/>
        <v>http://dx.doi.org/10.1109/TVCG.2008.143</v>
      </c>
      <c r="F1767" s="14">
        <v>1475.0</v>
      </c>
      <c r="G1767" s="14">
        <v>1482.0</v>
      </c>
      <c r="H1767" s="14" t="s">
        <v>17059</v>
      </c>
      <c r="I1767" s="14" t="s">
        <v>19806</v>
      </c>
      <c r="J1767" s="130" t="s">
        <v>19808</v>
      </c>
      <c r="K1767" s="152" t="s">
        <v>20800</v>
      </c>
      <c r="L1767" s="20" t="s">
        <v>19810</v>
      </c>
      <c r="M1767" s="174" t="s">
        <v>19811</v>
      </c>
      <c r="N1767" s="84"/>
      <c r="O1767" s="84"/>
      <c r="P1767" s="84"/>
      <c r="Q1767" s="84"/>
      <c r="R1767" s="84"/>
      <c r="S1767" s="84"/>
      <c r="T1767" s="84"/>
      <c r="U1767" s="84"/>
      <c r="V1767" s="84"/>
      <c r="W1767" s="84"/>
      <c r="X1767" s="84"/>
    </row>
    <row r="1768" ht="15.75" customHeight="1">
      <c r="A1768" s="14" t="s">
        <v>17</v>
      </c>
      <c r="B1768" s="14">
        <v>2008.0</v>
      </c>
      <c r="C1768" s="14" t="s">
        <v>19812</v>
      </c>
      <c r="D1768" s="14" t="s">
        <v>19813</v>
      </c>
      <c r="E1768" s="150" t="str">
        <f t="shared" si="27"/>
        <v>http://dx.doi.org/10.1109/TVCG.2008.145</v>
      </c>
      <c r="F1768" s="14">
        <v>1699.0</v>
      </c>
      <c r="G1768" s="14">
        <v>1706.0</v>
      </c>
      <c r="H1768" s="14" t="s">
        <v>17059</v>
      </c>
      <c r="I1768" s="14" t="s">
        <v>19814</v>
      </c>
      <c r="J1768" s="130" t="s">
        <v>19815</v>
      </c>
      <c r="K1768" s="152" t="s">
        <v>19405</v>
      </c>
      <c r="L1768" s="20" t="s">
        <v>19818</v>
      </c>
      <c r="M1768" s="174" t="s">
        <v>19819</v>
      </c>
      <c r="N1768" s="84"/>
      <c r="O1768" s="84"/>
      <c r="P1768" s="84"/>
      <c r="Q1768" s="84"/>
      <c r="R1768" s="84"/>
      <c r="S1768" s="84"/>
      <c r="T1768" s="84"/>
      <c r="U1768" s="84"/>
      <c r="V1768" s="84"/>
      <c r="W1768" s="84"/>
      <c r="X1768" s="84"/>
    </row>
    <row r="1769" ht="15.75" customHeight="1">
      <c r="A1769" s="14" t="s">
        <v>17</v>
      </c>
      <c r="B1769" s="14">
        <v>2008.0</v>
      </c>
      <c r="C1769" s="14" t="s">
        <v>19820</v>
      </c>
      <c r="D1769" s="14" t="s">
        <v>19821</v>
      </c>
      <c r="E1769" s="150" t="str">
        <f t="shared" si="27"/>
        <v>http://dx.doi.org/10.1109/TVCG.2008.146</v>
      </c>
      <c r="F1769" s="14">
        <v>1420.0</v>
      </c>
      <c r="G1769" s="14">
        <v>1427.0</v>
      </c>
      <c r="H1769" s="14" t="s">
        <v>17059</v>
      </c>
      <c r="I1769" s="14" t="s">
        <v>19822</v>
      </c>
      <c r="J1769" s="130" t="s">
        <v>19823</v>
      </c>
      <c r="K1769" s="152" t="s">
        <v>20805</v>
      </c>
      <c r="L1769" s="20" t="s">
        <v>19827</v>
      </c>
      <c r="M1769" s="174" t="s">
        <v>19828</v>
      </c>
      <c r="N1769" s="84"/>
      <c r="O1769" s="84"/>
      <c r="P1769" s="84"/>
      <c r="Q1769" s="84"/>
      <c r="R1769" s="84"/>
      <c r="S1769" s="84"/>
      <c r="T1769" s="84"/>
      <c r="U1769" s="84"/>
      <c r="V1769" s="84"/>
      <c r="W1769" s="84"/>
      <c r="X1769" s="84"/>
    </row>
    <row r="1770" ht="15.75" customHeight="1">
      <c r="A1770" s="14" t="s">
        <v>17</v>
      </c>
      <c r="B1770" s="14">
        <v>2008.0</v>
      </c>
      <c r="C1770" s="14" t="s">
        <v>19829</v>
      </c>
      <c r="D1770" s="14" t="s">
        <v>19830</v>
      </c>
      <c r="E1770" s="150" t="str">
        <f t="shared" si="27"/>
        <v>http://dx.doi.org/10.1109/TVCG.2008.147</v>
      </c>
      <c r="F1770" s="14">
        <v>1507.0</v>
      </c>
      <c r="G1770" s="14">
        <v>1514.0</v>
      </c>
      <c r="H1770" s="14" t="s">
        <v>17059</v>
      </c>
      <c r="I1770" s="14" t="s">
        <v>19831</v>
      </c>
      <c r="J1770" s="130" t="s">
        <v>19832</v>
      </c>
      <c r="K1770" s="152" t="s">
        <v>20808</v>
      </c>
      <c r="L1770" s="20" t="s">
        <v>19835</v>
      </c>
      <c r="M1770" s="174" t="s">
        <v>19836</v>
      </c>
      <c r="N1770" s="84"/>
      <c r="O1770" s="84"/>
      <c r="P1770" s="84"/>
      <c r="Q1770" s="84"/>
      <c r="R1770" s="84"/>
      <c r="S1770" s="84"/>
      <c r="T1770" s="84"/>
      <c r="U1770" s="84"/>
      <c r="V1770" s="84"/>
      <c r="W1770" s="84"/>
      <c r="X1770" s="84"/>
    </row>
    <row r="1771" ht="15.75" customHeight="1">
      <c r="A1771" s="14" t="s">
        <v>17</v>
      </c>
      <c r="B1771" s="14">
        <v>2008.0</v>
      </c>
      <c r="C1771" s="14" t="s">
        <v>19837</v>
      </c>
      <c r="D1771" s="14" t="s">
        <v>19838</v>
      </c>
      <c r="E1771" s="150" t="str">
        <f t="shared" si="27"/>
        <v>http://dx.doi.org/10.1109/TVCG.2008.148</v>
      </c>
      <c r="F1771" s="14">
        <v>1627.0</v>
      </c>
      <c r="G1771" s="14">
        <v>1634.0</v>
      </c>
      <c r="H1771" s="14" t="s">
        <v>17059</v>
      </c>
      <c r="I1771" s="14" t="s">
        <v>19839</v>
      </c>
      <c r="J1771" s="130" t="s">
        <v>19841</v>
      </c>
      <c r="K1771" s="152" t="s">
        <v>20810</v>
      </c>
      <c r="L1771" s="20" t="s">
        <v>19844</v>
      </c>
      <c r="M1771" s="174" t="s">
        <v>19845</v>
      </c>
      <c r="N1771" s="84"/>
      <c r="O1771" s="84"/>
      <c r="P1771" s="84"/>
      <c r="Q1771" s="84"/>
      <c r="R1771" s="84"/>
      <c r="S1771" s="84"/>
      <c r="T1771" s="84"/>
      <c r="U1771" s="84"/>
      <c r="V1771" s="84"/>
      <c r="W1771" s="84"/>
      <c r="X1771" s="84"/>
    </row>
    <row r="1772" ht="15.75" customHeight="1">
      <c r="A1772" s="14" t="s">
        <v>17</v>
      </c>
      <c r="B1772" s="14">
        <v>2008.0</v>
      </c>
      <c r="C1772" s="14" t="s">
        <v>19847</v>
      </c>
      <c r="D1772" s="14" t="s">
        <v>19848</v>
      </c>
      <c r="E1772" s="150" t="str">
        <f t="shared" si="27"/>
        <v>http://dx.doi.org/10.1109/TVCG.2008.150</v>
      </c>
      <c r="F1772" s="14">
        <v>1587.0</v>
      </c>
      <c r="G1772" s="14">
        <v>1594.0</v>
      </c>
      <c r="H1772" s="14" t="s">
        <v>17059</v>
      </c>
      <c r="I1772" s="14" t="s">
        <v>19849</v>
      </c>
      <c r="J1772" s="130" t="s">
        <v>19850</v>
      </c>
      <c r="K1772" s="152" t="s">
        <v>20819</v>
      </c>
      <c r="L1772" s="20" t="s">
        <v>19853</v>
      </c>
      <c r="M1772" s="174" t="s">
        <v>19854</v>
      </c>
      <c r="N1772" s="84"/>
      <c r="O1772" s="84"/>
      <c r="P1772" s="84"/>
      <c r="Q1772" s="84"/>
      <c r="R1772" s="84"/>
      <c r="S1772" s="84"/>
      <c r="T1772" s="84"/>
      <c r="U1772" s="84"/>
      <c r="V1772" s="84"/>
      <c r="W1772" s="84"/>
      <c r="X1772" s="84"/>
    </row>
    <row r="1773" ht="15.75" customHeight="1">
      <c r="A1773" s="14" t="s">
        <v>17</v>
      </c>
      <c r="B1773" s="14">
        <v>2008.0</v>
      </c>
      <c r="C1773" s="14" t="s">
        <v>19855</v>
      </c>
      <c r="D1773" s="14" t="s">
        <v>19856</v>
      </c>
      <c r="E1773" s="150" t="str">
        <f t="shared" si="27"/>
        <v>http://dx.doi.org/10.1109/TVCG.2008.154</v>
      </c>
      <c r="F1773" s="14">
        <v>1539.0</v>
      </c>
      <c r="G1773" s="14">
        <v>1546.0</v>
      </c>
      <c r="H1773" s="14" t="s">
        <v>17059</v>
      </c>
      <c r="I1773" s="14" t="s">
        <v>19857</v>
      </c>
      <c r="J1773" s="130" t="s">
        <v>19858</v>
      </c>
      <c r="K1773" s="152" t="s">
        <v>20890</v>
      </c>
      <c r="L1773" s="20" t="s">
        <v>19860</v>
      </c>
      <c r="M1773" s="174" t="s">
        <v>19861</v>
      </c>
      <c r="N1773" s="84"/>
      <c r="O1773" s="84"/>
      <c r="P1773" s="84"/>
      <c r="Q1773" s="84"/>
      <c r="R1773" s="84"/>
      <c r="S1773" s="84"/>
      <c r="T1773" s="84"/>
      <c r="U1773" s="84"/>
      <c r="V1773" s="84"/>
      <c r="W1773" s="84"/>
      <c r="X1773" s="84"/>
    </row>
    <row r="1774" ht="15.75" customHeight="1">
      <c r="A1774" s="14" t="s">
        <v>17</v>
      </c>
      <c r="B1774" s="14">
        <v>2008.0</v>
      </c>
      <c r="C1774" s="14" t="s">
        <v>19862</v>
      </c>
      <c r="D1774" s="14" t="s">
        <v>19863</v>
      </c>
      <c r="E1774" s="150" t="str">
        <f t="shared" si="27"/>
        <v>http://dx.doi.org/10.1109/TVCG.2008.157</v>
      </c>
      <c r="F1774" s="14">
        <v>1715.0</v>
      </c>
      <c r="G1774" s="14">
        <v>1722.0</v>
      </c>
      <c r="H1774" s="14" t="s">
        <v>17059</v>
      </c>
      <c r="I1774" s="14" t="s">
        <v>19865</v>
      </c>
      <c r="J1774" s="130" t="s">
        <v>18616</v>
      </c>
      <c r="K1774" s="152" t="s">
        <v>20932</v>
      </c>
      <c r="L1774" s="20" t="s">
        <v>19868</v>
      </c>
      <c r="M1774" s="174" t="s">
        <v>19869</v>
      </c>
      <c r="N1774" s="84"/>
      <c r="O1774" s="84"/>
      <c r="P1774" s="84"/>
      <c r="Q1774" s="84"/>
      <c r="R1774" s="84"/>
      <c r="S1774" s="84"/>
      <c r="T1774" s="84"/>
      <c r="U1774" s="84"/>
      <c r="V1774" s="84"/>
      <c r="W1774" s="84"/>
      <c r="X1774" s="84"/>
    </row>
    <row r="1775" ht="15.75" customHeight="1">
      <c r="A1775" s="14" t="s">
        <v>17</v>
      </c>
      <c r="B1775" s="14">
        <v>2008.0</v>
      </c>
      <c r="C1775" s="14" t="s">
        <v>19870</v>
      </c>
      <c r="D1775" s="14" t="s">
        <v>19871</v>
      </c>
      <c r="E1775" s="150" t="str">
        <f t="shared" si="27"/>
        <v>http://dx.doi.org/10.1109/TVCG.2008.159</v>
      </c>
      <c r="F1775" s="14">
        <v>1683.0</v>
      </c>
      <c r="G1775" s="14">
        <v>1690.0</v>
      </c>
      <c r="H1775" s="14" t="s">
        <v>17059</v>
      </c>
      <c r="I1775" s="14" t="s">
        <v>19872</v>
      </c>
      <c r="J1775" s="130" t="s">
        <v>19873</v>
      </c>
      <c r="K1775" s="152" t="s">
        <v>20964</v>
      </c>
      <c r="L1775" s="20" t="s">
        <v>19875</v>
      </c>
      <c r="M1775" s="174" t="s">
        <v>19876</v>
      </c>
      <c r="N1775" s="84"/>
      <c r="O1775" s="84"/>
      <c r="P1775" s="84"/>
      <c r="Q1775" s="84"/>
      <c r="R1775" s="84"/>
      <c r="S1775" s="84"/>
      <c r="T1775" s="84"/>
      <c r="U1775" s="84"/>
      <c r="V1775" s="84"/>
      <c r="W1775" s="84"/>
      <c r="X1775" s="84"/>
    </row>
    <row r="1776" ht="15.75" customHeight="1">
      <c r="A1776" s="14" t="s">
        <v>17</v>
      </c>
      <c r="B1776" s="14">
        <v>2008.0</v>
      </c>
      <c r="C1776" s="14" t="s">
        <v>19878</v>
      </c>
      <c r="D1776" s="14" t="s">
        <v>19879</v>
      </c>
      <c r="E1776" s="150" t="str">
        <f t="shared" si="27"/>
        <v>http://dx.doi.org/10.1109/TVCG.2008.160</v>
      </c>
      <c r="F1776" s="14">
        <v>1659.0</v>
      </c>
      <c r="G1776" s="14">
        <v>1666.0</v>
      </c>
      <c r="H1776" s="14" t="s">
        <v>17059</v>
      </c>
      <c r="I1776" s="14" t="s">
        <v>19881</v>
      </c>
      <c r="J1776" s="130" t="s">
        <v>41703</v>
      </c>
      <c r="K1776" s="152" t="s">
        <v>20967</v>
      </c>
      <c r="L1776" s="20" t="s">
        <v>19884</v>
      </c>
      <c r="M1776" s="174" t="s">
        <v>19885</v>
      </c>
      <c r="N1776" s="84"/>
      <c r="O1776" s="84"/>
      <c r="P1776" s="84"/>
      <c r="Q1776" s="84"/>
      <c r="R1776" s="84"/>
      <c r="S1776" s="84"/>
      <c r="T1776" s="84"/>
      <c r="U1776" s="84"/>
      <c r="V1776" s="84"/>
      <c r="W1776" s="84"/>
      <c r="X1776" s="84"/>
    </row>
    <row r="1777" ht="15.75" customHeight="1">
      <c r="A1777" s="14" t="s">
        <v>17</v>
      </c>
      <c r="B1777" s="14">
        <v>2008.0</v>
      </c>
      <c r="C1777" s="14" t="s">
        <v>19886</v>
      </c>
      <c r="D1777" s="14" t="s">
        <v>19887</v>
      </c>
      <c r="E1777" s="150" t="str">
        <f t="shared" si="27"/>
        <v>http://dx.doi.org/10.1109/TVCG.2008.161</v>
      </c>
      <c r="F1777" s="14">
        <v>1491.0</v>
      </c>
      <c r="G1777" s="14">
        <v>1498.0</v>
      </c>
      <c r="H1777" s="14" t="s">
        <v>17059</v>
      </c>
      <c r="I1777" s="14" t="s">
        <v>19888</v>
      </c>
      <c r="J1777" s="130" t="s">
        <v>19889</v>
      </c>
      <c r="K1777" s="152" t="s">
        <v>20983</v>
      </c>
      <c r="L1777" s="20" t="s">
        <v>19892</v>
      </c>
      <c r="M1777" s="174" t="s">
        <v>19893</v>
      </c>
      <c r="N1777" s="84"/>
      <c r="O1777" s="84"/>
      <c r="P1777" s="84"/>
      <c r="Q1777" s="84"/>
      <c r="R1777" s="84"/>
      <c r="S1777" s="84"/>
      <c r="T1777" s="84"/>
      <c r="U1777" s="84"/>
      <c r="V1777" s="84"/>
      <c r="W1777" s="84"/>
      <c r="X1777" s="84"/>
    </row>
    <row r="1778" ht="15.75" customHeight="1">
      <c r="A1778" s="14" t="s">
        <v>17</v>
      </c>
      <c r="B1778" s="14">
        <v>2008.0</v>
      </c>
      <c r="C1778" s="14" t="s">
        <v>19894</v>
      </c>
      <c r="D1778" s="14" t="s">
        <v>19895</v>
      </c>
      <c r="E1778" s="150" t="str">
        <f t="shared" si="27"/>
        <v>http://dx.doi.org/10.1109/TVCG.2008.162</v>
      </c>
      <c r="F1778" s="14">
        <v>1380.0</v>
      </c>
      <c r="G1778" s="14">
        <v>1387.0</v>
      </c>
      <c r="H1778" s="14" t="s">
        <v>17059</v>
      </c>
      <c r="I1778" s="14" t="s">
        <v>19897</v>
      </c>
      <c r="J1778" s="130" t="s">
        <v>19898</v>
      </c>
      <c r="K1778" s="152" t="s">
        <v>20944</v>
      </c>
      <c r="L1778" s="20" t="s">
        <v>19901</v>
      </c>
      <c r="M1778" s="174" t="s">
        <v>19902</v>
      </c>
      <c r="N1778" s="84"/>
      <c r="O1778" s="84"/>
      <c r="P1778" s="84"/>
      <c r="Q1778" s="84"/>
      <c r="R1778" s="84"/>
      <c r="S1778" s="84"/>
      <c r="T1778" s="84"/>
      <c r="U1778" s="84"/>
      <c r="V1778" s="84"/>
      <c r="W1778" s="84"/>
      <c r="X1778" s="84"/>
    </row>
    <row r="1779" ht="15.75" customHeight="1">
      <c r="A1779" s="14" t="s">
        <v>17</v>
      </c>
      <c r="B1779" s="14">
        <v>2008.0</v>
      </c>
      <c r="C1779" s="14" t="s">
        <v>19904</v>
      </c>
      <c r="D1779" s="14" t="s">
        <v>19905</v>
      </c>
      <c r="E1779" s="150" t="str">
        <f t="shared" si="27"/>
        <v>http://dx.doi.org/10.1109/TVCG.2008.163</v>
      </c>
      <c r="F1779" s="14">
        <v>1396.0</v>
      </c>
      <c r="G1779" s="14">
        <v>1403.0</v>
      </c>
      <c r="H1779" s="14" t="s">
        <v>17059</v>
      </c>
      <c r="I1779" s="14" t="s">
        <v>19906</v>
      </c>
      <c r="J1779" s="130" t="s">
        <v>19907</v>
      </c>
      <c r="K1779" s="152" t="s">
        <v>21022</v>
      </c>
      <c r="L1779" s="20" t="s">
        <v>19909</v>
      </c>
      <c r="M1779" s="174" t="s">
        <v>19910</v>
      </c>
      <c r="N1779" s="84"/>
      <c r="O1779" s="84"/>
      <c r="P1779" s="84"/>
      <c r="Q1779" s="84"/>
      <c r="R1779" s="84"/>
      <c r="S1779" s="84"/>
      <c r="T1779" s="84"/>
      <c r="U1779" s="84"/>
      <c r="V1779" s="84"/>
      <c r="W1779" s="84"/>
      <c r="X1779" s="84"/>
    </row>
    <row r="1780" ht="15.75" customHeight="1">
      <c r="A1780" s="14" t="s">
        <v>17</v>
      </c>
      <c r="B1780" s="14">
        <v>2008.0</v>
      </c>
      <c r="C1780" s="14" t="s">
        <v>19911</v>
      </c>
      <c r="D1780" s="14" t="s">
        <v>19912</v>
      </c>
      <c r="E1780" s="150" t="str">
        <f t="shared" si="27"/>
        <v>http://dx.doi.org/10.1109/TVCG.2008.164</v>
      </c>
      <c r="F1780" s="14">
        <v>1531.0</v>
      </c>
      <c r="G1780" s="14">
        <v>1546.0</v>
      </c>
      <c r="H1780" s="14" t="s">
        <v>17059</v>
      </c>
      <c r="I1780" s="14" t="s">
        <v>21041</v>
      </c>
      <c r="J1780" s="130" t="s">
        <v>19914</v>
      </c>
      <c r="K1780" s="152" t="s">
        <v>21044</v>
      </c>
      <c r="L1780" s="20" t="s">
        <v>19916</v>
      </c>
      <c r="M1780" s="174" t="s">
        <v>19917</v>
      </c>
      <c r="N1780" s="84"/>
      <c r="O1780" s="84"/>
      <c r="P1780" s="84"/>
      <c r="Q1780" s="84"/>
      <c r="R1780" s="84"/>
      <c r="S1780" s="84"/>
      <c r="T1780" s="84"/>
      <c r="U1780" s="84"/>
      <c r="V1780" s="84"/>
      <c r="W1780" s="84"/>
      <c r="X1780" s="84"/>
    </row>
    <row r="1781" ht="15.75" customHeight="1">
      <c r="A1781" s="14" t="s">
        <v>17</v>
      </c>
      <c r="B1781" s="14">
        <v>2008.0</v>
      </c>
      <c r="C1781" s="14" t="s">
        <v>19918</v>
      </c>
      <c r="D1781" s="14" t="s">
        <v>19919</v>
      </c>
      <c r="E1781" s="150" t="str">
        <f t="shared" si="27"/>
        <v>http://dx.doi.org/10.1109/TVCG.2008.167</v>
      </c>
      <c r="F1781" s="14">
        <v>1483.0</v>
      </c>
      <c r="G1781" s="14">
        <v>1490.0</v>
      </c>
      <c r="H1781" s="14" t="s">
        <v>17059</v>
      </c>
      <c r="I1781" s="14" t="s">
        <v>19920</v>
      </c>
      <c r="J1781" s="130" t="s">
        <v>19921</v>
      </c>
      <c r="K1781" s="152" t="s">
        <v>21090</v>
      </c>
      <c r="L1781" s="20" t="s">
        <v>19923</v>
      </c>
      <c r="M1781" s="174" t="s">
        <v>19924</v>
      </c>
      <c r="N1781" s="84"/>
      <c r="O1781" s="84"/>
      <c r="P1781" s="84"/>
      <c r="Q1781" s="84"/>
      <c r="R1781" s="84"/>
      <c r="S1781" s="84"/>
      <c r="T1781" s="84"/>
      <c r="U1781" s="84"/>
      <c r="V1781" s="84"/>
      <c r="W1781" s="84"/>
      <c r="X1781" s="84"/>
    </row>
    <row r="1782" ht="15.75" customHeight="1">
      <c r="A1782" s="14" t="s">
        <v>17</v>
      </c>
      <c r="B1782" s="14">
        <v>2008.0</v>
      </c>
      <c r="C1782" s="14" t="s">
        <v>19925</v>
      </c>
      <c r="D1782" s="14" t="s">
        <v>19926</v>
      </c>
      <c r="E1782" s="150" t="str">
        <f t="shared" si="27"/>
        <v>http://dx.doi.org/10.1109/TVCG.2008.168</v>
      </c>
      <c r="F1782" s="14">
        <v>1675.0</v>
      </c>
      <c r="G1782" s="14">
        <v>1682.0</v>
      </c>
      <c r="H1782" s="14" t="s">
        <v>17059</v>
      </c>
      <c r="I1782" s="14" t="s">
        <v>19928</v>
      </c>
      <c r="J1782" s="130" t="s">
        <v>18841</v>
      </c>
      <c r="K1782" s="152" t="s">
        <v>21110</v>
      </c>
      <c r="L1782" s="20" t="s">
        <v>5832</v>
      </c>
      <c r="M1782" s="174" t="s">
        <v>19930</v>
      </c>
      <c r="N1782" s="84"/>
      <c r="O1782" s="84"/>
      <c r="P1782" s="84"/>
      <c r="Q1782" s="84"/>
      <c r="R1782" s="84"/>
      <c r="S1782" s="84"/>
      <c r="T1782" s="84"/>
      <c r="U1782" s="84"/>
      <c r="V1782" s="84"/>
      <c r="W1782" s="84"/>
      <c r="X1782" s="84"/>
    </row>
    <row r="1783" ht="15.75" customHeight="1">
      <c r="A1783" s="14" t="s">
        <v>17</v>
      </c>
      <c r="B1783" s="14">
        <v>2008.0</v>
      </c>
      <c r="C1783" s="14" t="s">
        <v>19932</v>
      </c>
      <c r="D1783" s="14" t="s">
        <v>19933</v>
      </c>
      <c r="E1783" s="150" t="str">
        <f t="shared" si="27"/>
        <v>http://dx.doi.org/10.1109/TVCG.2008.169</v>
      </c>
      <c r="F1783" s="14">
        <v>1364.0</v>
      </c>
      <c r="G1783" s="14">
        <v>1371.0</v>
      </c>
      <c r="H1783" s="14" t="s">
        <v>17059</v>
      </c>
      <c r="I1783" s="14" t="s">
        <v>19934</v>
      </c>
      <c r="J1783" s="130" t="s">
        <v>19935</v>
      </c>
      <c r="K1783" s="152" t="s">
        <v>14236</v>
      </c>
      <c r="L1783" s="20" t="s">
        <v>19936</v>
      </c>
      <c r="M1783" s="174" t="s">
        <v>19937</v>
      </c>
      <c r="N1783" s="84"/>
      <c r="O1783" s="84"/>
      <c r="P1783" s="84"/>
      <c r="Q1783" s="84"/>
      <c r="R1783" s="84"/>
      <c r="S1783" s="84"/>
      <c r="T1783" s="84"/>
      <c r="U1783" s="84"/>
      <c r="V1783" s="84"/>
      <c r="W1783" s="84"/>
      <c r="X1783" s="84"/>
    </row>
    <row r="1784" ht="15.75" customHeight="1">
      <c r="A1784" s="14" t="s">
        <v>17</v>
      </c>
      <c r="B1784" s="14">
        <v>2008.0</v>
      </c>
      <c r="C1784" s="14" t="s">
        <v>19938</v>
      </c>
      <c r="D1784" s="14" t="s">
        <v>19939</v>
      </c>
      <c r="E1784" s="150" t="str">
        <f t="shared" si="27"/>
        <v>http://dx.doi.org/10.1109/TVCG.2008.170</v>
      </c>
      <c r="F1784" s="14">
        <v>1571.0</v>
      </c>
      <c r="G1784" s="14">
        <v>1578.0</v>
      </c>
      <c r="H1784" s="14" t="s">
        <v>17059</v>
      </c>
      <c r="I1784" s="14" t="s">
        <v>19940</v>
      </c>
      <c r="J1784" s="130" t="s">
        <v>41704</v>
      </c>
      <c r="K1784" s="152" t="s">
        <v>21147</v>
      </c>
      <c r="L1784" s="20" t="s">
        <v>19944</v>
      </c>
      <c r="M1784" s="174" t="s">
        <v>19945</v>
      </c>
      <c r="N1784" s="84"/>
      <c r="O1784" s="84"/>
      <c r="P1784" s="84"/>
      <c r="Q1784" s="84"/>
      <c r="R1784" s="84"/>
      <c r="S1784" s="84"/>
      <c r="T1784" s="84"/>
      <c r="U1784" s="84"/>
      <c r="V1784" s="84"/>
      <c r="W1784" s="84"/>
      <c r="X1784" s="84"/>
    </row>
    <row r="1785" ht="15.75" customHeight="1">
      <c r="A1785" s="14" t="s">
        <v>17</v>
      </c>
      <c r="B1785" s="14">
        <v>2008.0</v>
      </c>
      <c r="C1785" s="14" t="s">
        <v>19947</v>
      </c>
      <c r="D1785" s="14" t="s">
        <v>19948</v>
      </c>
      <c r="E1785" s="150" t="str">
        <f t="shared" si="27"/>
        <v>http://dx.doi.org/10.1109/TVCG.2008.173</v>
      </c>
      <c r="F1785" s="14">
        <v>1444.0</v>
      </c>
      <c r="G1785" s="14">
        <v>1427.0</v>
      </c>
      <c r="H1785" s="14" t="s">
        <v>17059</v>
      </c>
      <c r="I1785" s="14" t="s">
        <v>19950</v>
      </c>
      <c r="J1785" s="130" t="s">
        <v>19951</v>
      </c>
      <c r="K1785" s="152" t="s">
        <v>21210</v>
      </c>
      <c r="L1785" s="20" t="s">
        <v>19953</v>
      </c>
      <c r="M1785" s="174" t="s">
        <v>19954</v>
      </c>
      <c r="N1785" s="84"/>
      <c r="O1785" s="84"/>
      <c r="P1785" s="84"/>
      <c r="Q1785" s="84"/>
      <c r="R1785" s="84"/>
      <c r="S1785" s="84"/>
      <c r="T1785" s="84"/>
      <c r="U1785" s="84"/>
      <c r="V1785" s="84"/>
      <c r="W1785" s="84"/>
      <c r="X1785" s="84"/>
    </row>
    <row r="1786" ht="15.75" customHeight="1">
      <c r="A1786" s="14" t="s">
        <v>17</v>
      </c>
      <c r="B1786" s="14">
        <v>2008.0</v>
      </c>
      <c r="C1786" s="14" t="s">
        <v>19955</v>
      </c>
      <c r="D1786" s="14" t="s">
        <v>19956</v>
      </c>
      <c r="E1786" s="150" t="str">
        <f t="shared" si="27"/>
        <v>http://dx.doi.org/10.1109/TVCG.2008.174</v>
      </c>
      <c r="F1786" s="14">
        <v>1691.0</v>
      </c>
      <c r="G1786" s="14">
        <v>1698.0</v>
      </c>
      <c r="H1786" s="14" t="s">
        <v>17059</v>
      </c>
      <c r="I1786" s="14" t="s">
        <v>19957</v>
      </c>
      <c r="J1786" s="130" t="s">
        <v>19958</v>
      </c>
      <c r="K1786" s="152" t="s">
        <v>21229</v>
      </c>
      <c r="L1786" s="20" t="s">
        <v>19961</v>
      </c>
      <c r="M1786" s="174" t="s">
        <v>19962</v>
      </c>
      <c r="N1786" s="84"/>
      <c r="O1786" s="84"/>
      <c r="P1786" s="84"/>
      <c r="Q1786" s="84"/>
      <c r="R1786" s="84"/>
      <c r="S1786" s="84"/>
      <c r="T1786" s="84"/>
      <c r="U1786" s="84"/>
      <c r="V1786" s="84"/>
      <c r="W1786" s="84"/>
      <c r="X1786" s="84"/>
    </row>
    <row r="1787" ht="15.75" customHeight="1">
      <c r="A1787" s="14" t="s">
        <v>17</v>
      </c>
      <c r="B1787" s="14">
        <v>2008.0</v>
      </c>
      <c r="C1787" s="14" t="s">
        <v>19963</v>
      </c>
      <c r="D1787" s="14" t="s">
        <v>19964</v>
      </c>
      <c r="E1787" s="150" t="str">
        <f t="shared" si="27"/>
        <v>http://dx.doi.org/10.1109/TVCG.2008.176</v>
      </c>
      <c r="F1787" s="14">
        <v>1667.0</v>
      </c>
      <c r="G1787" s="14">
        <v>1674.0</v>
      </c>
      <c r="H1787" s="14" t="s">
        <v>17059</v>
      </c>
      <c r="I1787" s="14" t="s">
        <v>19965</v>
      </c>
      <c r="J1787" s="130" t="s">
        <v>19966</v>
      </c>
      <c r="K1787" s="152" t="s">
        <v>21284</v>
      </c>
      <c r="L1787" s="20" t="s">
        <v>12326</v>
      </c>
      <c r="M1787" s="174" t="s">
        <v>19970</v>
      </c>
      <c r="N1787" s="84"/>
      <c r="O1787" s="84"/>
      <c r="P1787" s="84"/>
      <c r="Q1787" s="84"/>
      <c r="R1787" s="84"/>
      <c r="S1787" s="84"/>
      <c r="T1787" s="84"/>
      <c r="U1787" s="84"/>
      <c r="V1787" s="84"/>
      <c r="W1787" s="84"/>
      <c r="X1787" s="84"/>
    </row>
    <row r="1788" ht="15.75" customHeight="1">
      <c r="A1788" s="14" t="s">
        <v>17</v>
      </c>
      <c r="B1788" s="14">
        <v>2008.0</v>
      </c>
      <c r="C1788" s="42" t="s">
        <v>19971</v>
      </c>
      <c r="D1788" s="14" t="s">
        <v>19972</v>
      </c>
      <c r="E1788" s="150" t="str">
        <f t="shared" si="27"/>
        <v>http://dx.doi.org/10.1109/TVCG.2008.177</v>
      </c>
      <c r="F1788" s="14">
        <v>1563.0</v>
      </c>
      <c r="G1788" s="14">
        <v>1570.0</v>
      </c>
      <c r="H1788" s="14" t="s">
        <v>17059</v>
      </c>
      <c r="I1788" s="14" t="s">
        <v>19974</v>
      </c>
      <c r="J1788" s="130" t="s">
        <v>19975</v>
      </c>
      <c r="K1788" s="152" t="s">
        <v>21298</v>
      </c>
      <c r="L1788" s="20" t="s">
        <v>19977</v>
      </c>
      <c r="M1788" s="174" t="s">
        <v>19978</v>
      </c>
      <c r="N1788" s="84"/>
      <c r="O1788" s="84"/>
      <c r="P1788" s="84"/>
      <c r="Q1788" s="84"/>
      <c r="R1788" s="84"/>
      <c r="S1788" s="84"/>
      <c r="T1788" s="84"/>
      <c r="U1788" s="84"/>
      <c r="V1788" s="84"/>
      <c r="W1788" s="84"/>
      <c r="X1788" s="84"/>
    </row>
    <row r="1789" ht="15.75" customHeight="1">
      <c r="A1789" s="14" t="s">
        <v>17</v>
      </c>
      <c r="B1789" s="14">
        <v>2008.0</v>
      </c>
      <c r="C1789" s="14" t="s">
        <v>19979</v>
      </c>
      <c r="D1789" s="14" t="s">
        <v>19980</v>
      </c>
      <c r="E1789" s="150" t="str">
        <f t="shared" si="27"/>
        <v>http://dx.doi.org/10.1109/TVCG.2008.179</v>
      </c>
      <c r="F1789" s="14">
        <v>1611.0</v>
      </c>
      <c r="G1789" s="14">
        <v>1618.0</v>
      </c>
      <c r="H1789" s="14" t="s">
        <v>17059</v>
      </c>
      <c r="I1789" s="14" t="s">
        <v>19981</v>
      </c>
      <c r="J1789" s="130" t="s">
        <v>19982</v>
      </c>
      <c r="K1789" s="152" t="s">
        <v>21324</v>
      </c>
      <c r="L1789" s="20" t="s">
        <v>19985</v>
      </c>
      <c r="M1789" s="174" t="s">
        <v>19986</v>
      </c>
      <c r="N1789" s="84"/>
      <c r="O1789" s="84"/>
      <c r="P1789" s="84"/>
      <c r="Q1789" s="84"/>
      <c r="R1789" s="84"/>
      <c r="S1789" s="84"/>
      <c r="T1789" s="84"/>
      <c r="U1789" s="84"/>
      <c r="V1789" s="84"/>
      <c r="W1789" s="84"/>
      <c r="X1789" s="84"/>
    </row>
    <row r="1790" ht="15.75" customHeight="1">
      <c r="A1790" s="14" t="s">
        <v>17</v>
      </c>
      <c r="B1790" s="14">
        <v>2008.0</v>
      </c>
      <c r="C1790" s="14" t="s">
        <v>19987</v>
      </c>
      <c r="D1790" s="14" t="s">
        <v>19989</v>
      </c>
      <c r="E1790" s="150" t="str">
        <f t="shared" si="27"/>
        <v>http://dx.doi.org/10.1109/TVCG.2008.180</v>
      </c>
      <c r="F1790" s="14">
        <v>1595.0</v>
      </c>
      <c r="G1790" s="14">
        <v>1602.0</v>
      </c>
      <c r="H1790" s="14" t="s">
        <v>17059</v>
      </c>
      <c r="I1790" s="14" t="s">
        <v>19991</v>
      </c>
      <c r="J1790" s="130" t="s">
        <v>41705</v>
      </c>
      <c r="K1790" s="152" t="s">
        <v>21346</v>
      </c>
      <c r="L1790" s="20" t="s">
        <v>19996</v>
      </c>
      <c r="M1790" s="174" t="s">
        <v>19997</v>
      </c>
      <c r="N1790" s="84"/>
      <c r="O1790" s="84"/>
      <c r="P1790" s="84"/>
      <c r="Q1790" s="84"/>
      <c r="R1790" s="84"/>
      <c r="S1790" s="84"/>
      <c r="T1790" s="84"/>
      <c r="U1790" s="84"/>
      <c r="V1790" s="84"/>
      <c r="W1790" s="84"/>
      <c r="X1790" s="84"/>
    </row>
    <row r="1791" ht="15.75" customHeight="1">
      <c r="A1791" s="14" t="s">
        <v>17</v>
      </c>
      <c r="B1791" s="14">
        <v>2008.0</v>
      </c>
      <c r="C1791" s="14" t="s">
        <v>19998</v>
      </c>
      <c r="D1791" s="14" t="s">
        <v>19999</v>
      </c>
      <c r="E1791" s="150" t="str">
        <f t="shared" si="27"/>
        <v>http://dx.doi.org/10.1109/TVCG.2008.182</v>
      </c>
      <c r="F1791" s="14">
        <v>1555.0</v>
      </c>
      <c r="G1791" s="14">
        <v>1562.0</v>
      </c>
      <c r="H1791" s="14" t="s">
        <v>17059</v>
      </c>
      <c r="I1791" s="14" t="s">
        <v>20000</v>
      </c>
      <c r="J1791" s="130" t="s">
        <v>20001</v>
      </c>
      <c r="K1791" s="152" t="s">
        <v>21373</v>
      </c>
      <c r="L1791" s="20" t="s">
        <v>20004</v>
      </c>
      <c r="M1791" s="174" t="s">
        <v>20005</v>
      </c>
      <c r="N1791" s="84"/>
      <c r="O1791" s="84"/>
      <c r="P1791" s="84"/>
      <c r="Q1791" s="84"/>
      <c r="R1791" s="84"/>
      <c r="S1791" s="84"/>
      <c r="T1791" s="84"/>
      <c r="U1791" s="84"/>
      <c r="V1791" s="84"/>
      <c r="W1791" s="84"/>
      <c r="X1791" s="84"/>
    </row>
    <row r="1792" ht="15.75" customHeight="1">
      <c r="A1792" s="14" t="s">
        <v>17</v>
      </c>
      <c r="B1792" s="14">
        <v>2008.0</v>
      </c>
      <c r="C1792" s="14" t="s">
        <v>20006</v>
      </c>
      <c r="D1792" s="14" t="s">
        <v>20007</v>
      </c>
      <c r="E1792" s="150" t="str">
        <f t="shared" si="27"/>
        <v>http://dx.doi.org/10.1109/TVCG.2008.183</v>
      </c>
      <c r="F1792" s="14">
        <v>1412.0</v>
      </c>
      <c r="G1792" s="14">
        <v>1427.0</v>
      </c>
      <c r="H1792" s="14" t="s">
        <v>17059</v>
      </c>
      <c r="I1792" s="14" t="s">
        <v>20008</v>
      </c>
      <c r="J1792" s="130" t="s">
        <v>20009</v>
      </c>
      <c r="K1792" s="152" t="s">
        <v>21391</v>
      </c>
      <c r="L1792" s="20" t="s">
        <v>20012</v>
      </c>
      <c r="M1792" s="174" t="s">
        <v>20013</v>
      </c>
      <c r="N1792" s="84"/>
      <c r="O1792" s="84"/>
      <c r="P1792" s="84"/>
      <c r="Q1792" s="84"/>
      <c r="R1792" s="84"/>
      <c r="S1792" s="84"/>
      <c r="T1792" s="84"/>
      <c r="U1792" s="84"/>
      <c r="V1792" s="84"/>
      <c r="W1792" s="84"/>
      <c r="X1792" s="84"/>
    </row>
    <row r="1793" ht="15.75" customHeight="1">
      <c r="A1793" s="14" t="s">
        <v>17</v>
      </c>
      <c r="B1793" s="14">
        <v>2008.0</v>
      </c>
      <c r="C1793" s="14" t="s">
        <v>20014</v>
      </c>
      <c r="D1793" s="14" t="s">
        <v>20015</v>
      </c>
      <c r="E1793" s="150" t="str">
        <f t="shared" si="27"/>
        <v>http://dx.doi.org/10.1109/TVCG.2008.184</v>
      </c>
      <c r="F1793" s="14">
        <v>1467.0</v>
      </c>
      <c r="G1793" s="14">
        <v>1474.0</v>
      </c>
      <c r="H1793" s="14" t="s">
        <v>17059</v>
      </c>
      <c r="I1793" s="14" t="s">
        <v>20016</v>
      </c>
      <c r="J1793" s="130" t="s">
        <v>20018</v>
      </c>
      <c r="K1793" s="152" t="s">
        <v>21404</v>
      </c>
      <c r="L1793" s="20" t="s">
        <v>20020</v>
      </c>
      <c r="M1793" s="174" t="s">
        <v>20022</v>
      </c>
      <c r="N1793" s="84"/>
      <c r="O1793" s="84"/>
      <c r="P1793" s="84"/>
      <c r="Q1793" s="84"/>
      <c r="R1793" s="84"/>
      <c r="S1793" s="84"/>
      <c r="T1793" s="84"/>
      <c r="U1793" s="84"/>
      <c r="V1793" s="84"/>
      <c r="W1793" s="84"/>
      <c r="X1793" s="84"/>
    </row>
    <row r="1794" ht="15.75" customHeight="1">
      <c r="A1794" s="14" t="s">
        <v>17</v>
      </c>
      <c r="B1794" s="14">
        <v>2008.0</v>
      </c>
      <c r="C1794" s="14" t="s">
        <v>20023</v>
      </c>
      <c r="D1794" s="14" t="s">
        <v>20024</v>
      </c>
      <c r="E1794" s="150" t="str">
        <f t="shared" si="27"/>
        <v>http://dx.doi.org/10.1109/TVCG.2008.186</v>
      </c>
      <c r="F1794" s="14">
        <v>1372.0</v>
      </c>
      <c r="G1794" s="14">
        <v>1379.0</v>
      </c>
      <c r="H1794" s="14" t="s">
        <v>17059</v>
      </c>
      <c r="I1794" s="14" t="s">
        <v>20026</v>
      </c>
      <c r="J1794" s="130" t="s">
        <v>20027</v>
      </c>
      <c r="K1794" s="152" t="s">
        <v>21442</v>
      </c>
      <c r="L1794" s="20" t="s">
        <v>20030</v>
      </c>
      <c r="M1794" s="174" t="s">
        <v>20031</v>
      </c>
      <c r="N1794" s="84"/>
      <c r="O1794" s="84"/>
      <c r="P1794" s="84"/>
      <c r="Q1794" s="84"/>
      <c r="R1794" s="84"/>
      <c r="S1794" s="84"/>
      <c r="T1794" s="84"/>
      <c r="U1794" s="84"/>
      <c r="V1794" s="84"/>
      <c r="W1794" s="84"/>
      <c r="X1794" s="84"/>
    </row>
    <row r="1795" ht="15.75" customHeight="1">
      <c r="A1795" s="14" t="s">
        <v>2137</v>
      </c>
      <c r="B1795" s="14">
        <v>2009.0</v>
      </c>
      <c r="C1795" s="14" t="s">
        <v>20033</v>
      </c>
      <c r="D1795" s="14" t="s">
        <v>20034</v>
      </c>
      <c r="E1795" s="150" t="str">
        <f t="shared" si="27"/>
        <v>http://dx.doi.org/10.1109/TVCG.2009.108</v>
      </c>
      <c r="F1795" s="14">
        <v>953.0</v>
      </c>
      <c r="G1795" s="14">
        <v>960.0</v>
      </c>
      <c r="H1795" s="14" t="s">
        <v>17059</v>
      </c>
      <c r="I1795" s="14" t="s">
        <v>20035</v>
      </c>
      <c r="J1795" s="130" t="s">
        <v>20036</v>
      </c>
      <c r="K1795" s="152" t="s">
        <v>22069</v>
      </c>
      <c r="L1795" s="20" t="s">
        <v>20038</v>
      </c>
      <c r="M1795" s="174" t="s">
        <v>20039</v>
      </c>
      <c r="N1795" s="84"/>
      <c r="O1795" s="84"/>
      <c r="P1795" s="84"/>
      <c r="Q1795" s="84"/>
      <c r="R1795" s="84"/>
      <c r="S1795" s="84"/>
      <c r="T1795" s="84"/>
      <c r="U1795" s="84"/>
      <c r="V1795" s="84"/>
      <c r="W1795" s="84"/>
      <c r="X1795" s="84"/>
    </row>
    <row r="1796" ht="15.75" customHeight="1">
      <c r="A1796" s="14" t="s">
        <v>2137</v>
      </c>
      <c r="B1796" s="14">
        <v>2009.0</v>
      </c>
      <c r="C1796" s="14" t="s">
        <v>20040</v>
      </c>
      <c r="D1796" s="14" t="s">
        <v>20041</v>
      </c>
      <c r="E1796" s="150" t="str">
        <f t="shared" si="27"/>
        <v>http://dx.doi.org/10.1109/TVCG.2009.109</v>
      </c>
      <c r="F1796" s="14">
        <v>961.0</v>
      </c>
      <c r="G1796" s="14">
        <v>968.0</v>
      </c>
      <c r="H1796" s="14" t="s">
        <v>17059</v>
      </c>
      <c r="I1796" s="14" t="s">
        <v>20042</v>
      </c>
      <c r="J1796" s="130" t="s">
        <v>20043</v>
      </c>
      <c r="K1796" s="152" t="s">
        <v>1253</v>
      </c>
      <c r="L1796" s="20" t="s">
        <v>19181</v>
      </c>
      <c r="M1796" s="174" t="s">
        <v>20047</v>
      </c>
      <c r="N1796" s="84"/>
      <c r="O1796" s="84"/>
      <c r="P1796" s="84"/>
      <c r="Q1796" s="84"/>
      <c r="R1796" s="84"/>
      <c r="S1796" s="84"/>
      <c r="T1796" s="84"/>
      <c r="U1796" s="84"/>
      <c r="V1796" s="84"/>
      <c r="W1796" s="84"/>
      <c r="X1796" s="84"/>
    </row>
    <row r="1797" ht="15.75" customHeight="1">
      <c r="A1797" s="14" t="s">
        <v>2137</v>
      </c>
      <c r="B1797" s="14">
        <v>2009.0</v>
      </c>
      <c r="C1797" s="14" t="s">
        <v>20048</v>
      </c>
      <c r="D1797" s="14" t="s">
        <v>20049</v>
      </c>
      <c r="E1797" s="150" t="str">
        <f t="shared" si="27"/>
        <v>http://dx.doi.org/10.1109/TVCG.2009.110</v>
      </c>
      <c r="F1797" s="14">
        <v>1113.0</v>
      </c>
      <c r="G1797" s="14">
        <v>1120.0</v>
      </c>
      <c r="H1797" s="14" t="s">
        <v>17059</v>
      </c>
      <c r="I1797" s="14" t="s">
        <v>20051</v>
      </c>
      <c r="J1797" s="130" t="s">
        <v>20052</v>
      </c>
      <c r="K1797" s="152" t="s">
        <v>11861</v>
      </c>
      <c r="L1797" s="20" t="s">
        <v>20054</v>
      </c>
      <c r="M1797" s="174" t="s">
        <v>20055</v>
      </c>
      <c r="N1797" s="84"/>
      <c r="O1797" s="84"/>
      <c r="P1797" s="84"/>
      <c r="Q1797" s="84"/>
      <c r="R1797" s="84"/>
      <c r="S1797" s="84"/>
      <c r="T1797" s="84"/>
      <c r="U1797" s="84"/>
      <c r="V1797" s="84"/>
      <c r="W1797" s="84"/>
      <c r="X1797" s="84"/>
    </row>
    <row r="1798" ht="15.75" customHeight="1">
      <c r="A1798" s="14" t="s">
        <v>2137</v>
      </c>
      <c r="B1798" s="14">
        <v>2009.0</v>
      </c>
      <c r="C1798" s="14" t="s">
        <v>20057</v>
      </c>
      <c r="D1798" s="14" t="s">
        <v>20058</v>
      </c>
      <c r="E1798" s="150" t="str">
        <f t="shared" si="27"/>
        <v>http://dx.doi.org/10.1109/TVCG.2009.111</v>
      </c>
      <c r="F1798" s="14">
        <v>921.0</v>
      </c>
      <c r="G1798" s="14">
        <v>928.0</v>
      </c>
      <c r="H1798" s="14" t="s">
        <v>17059</v>
      </c>
      <c r="I1798" s="14" t="s">
        <v>20060</v>
      </c>
      <c r="J1798" s="130" t="s">
        <v>3299</v>
      </c>
      <c r="K1798" s="152" t="s">
        <v>22073</v>
      </c>
      <c r="L1798" s="20" t="s">
        <v>20061</v>
      </c>
      <c r="M1798" s="174" t="s">
        <v>20062</v>
      </c>
      <c r="N1798" s="84"/>
      <c r="O1798" s="84"/>
      <c r="P1798" s="84"/>
      <c r="Q1798" s="84"/>
      <c r="R1798" s="84"/>
      <c r="S1798" s="84"/>
      <c r="T1798" s="84"/>
      <c r="U1798" s="84"/>
      <c r="V1798" s="84"/>
      <c r="W1798" s="84"/>
      <c r="X1798" s="84"/>
    </row>
    <row r="1799" ht="15.75" customHeight="1">
      <c r="A1799" s="14" t="s">
        <v>2137</v>
      </c>
      <c r="B1799" s="14">
        <v>2009.0</v>
      </c>
      <c r="C1799" s="14" t="s">
        <v>20063</v>
      </c>
      <c r="D1799" s="14" t="s">
        <v>20064</v>
      </c>
      <c r="E1799" s="150" t="str">
        <f t="shared" si="27"/>
        <v>http://dx.doi.org/10.1109/TVCG.2009.116</v>
      </c>
      <c r="F1799" s="14">
        <v>881.0</v>
      </c>
      <c r="G1799" s="14">
        <v>888.0</v>
      </c>
      <c r="H1799" s="14" t="s">
        <v>17059</v>
      </c>
      <c r="I1799" s="14" t="s">
        <v>20066</v>
      </c>
      <c r="J1799" s="130" t="s">
        <v>20067</v>
      </c>
      <c r="K1799" s="152" t="s">
        <v>22085</v>
      </c>
      <c r="L1799" s="20" t="s">
        <v>17268</v>
      </c>
      <c r="M1799" s="174" t="s">
        <v>20070</v>
      </c>
      <c r="N1799" s="84"/>
      <c r="O1799" s="84"/>
      <c r="P1799" s="84"/>
      <c r="Q1799" s="84"/>
      <c r="R1799" s="84"/>
      <c r="S1799" s="84"/>
      <c r="T1799" s="84"/>
      <c r="U1799" s="84"/>
      <c r="V1799" s="84"/>
      <c r="W1799" s="84"/>
      <c r="X1799" s="84"/>
    </row>
    <row r="1800" ht="15.75" customHeight="1">
      <c r="A1800" s="14" t="s">
        <v>2137</v>
      </c>
      <c r="B1800" s="14">
        <v>2009.0</v>
      </c>
      <c r="C1800" s="14" t="s">
        <v>20072</v>
      </c>
      <c r="D1800" s="14" t="s">
        <v>20073</v>
      </c>
      <c r="E1800" s="150" t="str">
        <f t="shared" si="27"/>
        <v>http://dx.doi.org/10.1109/TVCG.2009.117</v>
      </c>
      <c r="F1800" s="14">
        <v>945.0</v>
      </c>
      <c r="G1800" s="14">
        <v>952.0</v>
      </c>
      <c r="H1800" s="14" t="s">
        <v>17059</v>
      </c>
      <c r="I1800" s="14" t="s">
        <v>20074</v>
      </c>
      <c r="J1800" s="130" t="s">
        <v>20075</v>
      </c>
      <c r="K1800" s="152" t="s">
        <v>22087</v>
      </c>
      <c r="L1800" s="20" t="s">
        <v>20078</v>
      </c>
      <c r="M1800" s="174" t="s">
        <v>20079</v>
      </c>
      <c r="N1800" s="84"/>
      <c r="O1800" s="84"/>
      <c r="P1800" s="84"/>
      <c r="Q1800" s="84"/>
      <c r="R1800" s="84"/>
      <c r="S1800" s="84"/>
      <c r="T1800" s="84"/>
      <c r="U1800" s="84"/>
      <c r="V1800" s="84"/>
      <c r="W1800" s="84"/>
      <c r="X1800" s="84"/>
    </row>
    <row r="1801" ht="15.75" customHeight="1">
      <c r="A1801" s="14" t="s">
        <v>2137</v>
      </c>
      <c r="B1801" s="14">
        <v>2009.0</v>
      </c>
      <c r="C1801" s="14" t="s">
        <v>20080</v>
      </c>
      <c r="D1801" s="14" t="s">
        <v>20081</v>
      </c>
      <c r="E1801" s="150" t="str">
        <f t="shared" si="27"/>
        <v>http://dx.doi.org/10.1109/TVCG.2009.122</v>
      </c>
      <c r="F1801" s="14">
        <v>1009.0</v>
      </c>
      <c r="G1801" s="14">
        <v>1016.0</v>
      </c>
      <c r="H1801" s="14" t="s">
        <v>17059</v>
      </c>
      <c r="I1801" s="14" t="s">
        <v>20082</v>
      </c>
      <c r="J1801" s="130" t="s">
        <v>41706</v>
      </c>
      <c r="K1801" s="152" t="s">
        <v>22099</v>
      </c>
      <c r="L1801" s="20" t="s">
        <v>20085</v>
      </c>
      <c r="M1801" s="174" t="s">
        <v>20086</v>
      </c>
      <c r="N1801" s="84"/>
      <c r="O1801" s="84"/>
      <c r="P1801" s="84"/>
      <c r="Q1801" s="84"/>
      <c r="R1801" s="84"/>
      <c r="S1801" s="84"/>
      <c r="T1801" s="84"/>
      <c r="U1801" s="84"/>
      <c r="V1801" s="84"/>
      <c r="W1801" s="84"/>
      <c r="X1801" s="84"/>
    </row>
    <row r="1802" ht="15.75" customHeight="1">
      <c r="A1802" s="14" t="s">
        <v>2137</v>
      </c>
      <c r="B1802" s="14">
        <v>2009.0</v>
      </c>
      <c r="C1802" s="14" t="s">
        <v>20088</v>
      </c>
      <c r="D1802" s="14" t="s">
        <v>20089</v>
      </c>
      <c r="E1802" s="150" t="str">
        <f t="shared" si="27"/>
        <v>http://dx.doi.org/10.1109/TVCG.2009.123</v>
      </c>
      <c r="F1802" s="14">
        <v>1097.0</v>
      </c>
      <c r="G1802" s="14">
        <v>1104.0</v>
      </c>
      <c r="H1802" s="14" t="s">
        <v>17059</v>
      </c>
      <c r="I1802" s="14" t="s">
        <v>20091</v>
      </c>
      <c r="J1802" s="130" t="s">
        <v>20092</v>
      </c>
      <c r="K1802" s="152" t="s">
        <v>22101</v>
      </c>
      <c r="L1802" s="20" t="s">
        <v>20093</v>
      </c>
      <c r="M1802" s="174" t="s">
        <v>20094</v>
      </c>
      <c r="N1802" s="84"/>
      <c r="O1802" s="84"/>
      <c r="P1802" s="84"/>
      <c r="Q1802" s="84"/>
      <c r="R1802" s="84"/>
      <c r="S1802" s="84"/>
      <c r="T1802" s="84"/>
      <c r="U1802" s="84"/>
      <c r="V1802" s="84"/>
      <c r="W1802" s="84"/>
      <c r="X1802" s="84"/>
    </row>
    <row r="1803" ht="15.75" customHeight="1">
      <c r="A1803" s="14" t="s">
        <v>2137</v>
      </c>
      <c r="B1803" s="14">
        <v>2009.0</v>
      </c>
      <c r="C1803" s="14" t="s">
        <v>20095</v>
      </c>
      <c r="D1803" s="14" t="s">
        <v>20096</v>
      </c>
      <c r="E1803" s="150" t="str">
        <f t="shared" si="27"/>
        <v>http://dx.doi.org/10.1109/TVCG.2009.127</v>
      </c>
      <c r="F1803" s="14">
        <v>1033.0</v>
      </c>
      <c r="G1803" s="14">
        <v>1040.0</v>
      </c>
      <c r="H1803" s="14" t="s">
        <v>17059</v>
      </c>
      <c r="I1803" s="14" t="s">
        <v>20097</v>
      </c>
      <c r="J1803" s="130" t="s">
        <v>20098</v>
      </c>
      <c r="K1803" s="152" t="s">
        <v>22110</v>
      </c>
      <c r="L1803" s="20" t="s">
        <v>20100</v>
      </c>
      <c r="M1803" s="174" t="s">
        <v>20101</v>
      </c>
      <c r="N1803" s="84"/>
      <c r="O1803" s="84"/>
      <c r="P1803" s="84"/>
      <c r="Q1803" s="84"/>
      <c r="R1803" s="84"/>
      <c r="S1803" s="84"/>
      <c r="T1803" s="84"/>
      <c r="U1803" s="84"/>
      <c r="V1803" s="84"/>
      <c r="W1803" s="84"/>
      <c r="X1803" s="84"/>
    </row>
    <row r="1804" ht="15.75" customHeight="1">
      <c r="A1804" s="14" t="s">
        <v>2137</v>
      </c>
      <c r="B1804" s="14">
        <v>2009.0</v>
      </c>
      <c r="C1804" s="14" t="s">
        <v>20103</v>
      </c>
      <c r="D1804" s="14" t="s">
        <v>20104</v>
      </c>
      <c r="E1804" s="150" t="str">
        <f t="shared" si="27"/>
        <v>http://dx.doi.org/10.1109/TVCG.2009.128</v>
      </c>
      <c r="F1804" s="14">
        <v>977.0</v>
      </c>
      <c r="G1804" s="14">
        <v>984.0</v>
      </c>
      <c r="H1804" s="14" t="s">
        <v>17059</v>
      </c>
      <c r="I1804" s="14" t="s">
        <v>20106</v>
      </c>
      <c r="J1804" s="130" t="s">
        <v>20107</v>
      </c>
      <c r="K1804" s="152" t="s">
        <v>22112</v>
      </c>
      <c r="L1804" s="20" t="s">
        <v>20109</v>
      </c>
      <c r="M1804" s="174" t="s">
        <v>20110</v>
      </c>
      <c r="N1804" s="84"/>
      <c r="O1804" s="84"/>
      <c r="P1804" s="84"/>
      <c r="Q1804" s="84"/>
      <c r="R1804" s="84"/>
      <c r="S1804" s="84"/>
      <c r="T1804" s="84"/>
      <c r="U1804" s="84"/>
      <c r="V1804" s="84"/>
      <c r="W1804" s="84"/>
      <c r="X1804" s="84"/>
    </row>
    <row r="1805" ht="15.75" customHeight="1">
      <c r="A1805" s="14" t="s">
        <v>2137</v>
      </c>
      <c r="B1805" s="14">
        <v>2009.0</v>
      </c>
      <c r="C1805" s="14" t="s">
        <v>20111</v>
      </c>
      <c r="D1805" s="14" t="s">
        <v>20112</v>
      </c>
      <c r="E1805" s="150" t="str">
        <f t="shared" si="27"/>
        <v>http://dx.doi.org/10.1109/TVCG.2009.129</v>
      </c>
      <c r="F1805" s="14">
        <v>929.0</v>
      </c>
      <c r="G1805" s="14">
        <v>936.0</v>
      </c>
      <c r="H1805" s="14" t="s">
        <v>17059</v>
      </c>
      <c r="I1805" s="14" t="s">
        <v>20113</v>
      </c>
      <c r="J1805" s="130" t="s">
        <v>14085</v>
      </c>
      <c r="K1805" s="152" t="s">
        <v>22114</v>
      </c>
      <c r="L1805" s="20" t="s">
        <v>20115</v>
      </c>
      <c r="M1805" s="174" t="s">
        <v>20116</v>
      </c>
      <c r="N1805" s="84"/>
      <c r="O1805" s="84"/>
      <c r="P1805" s="84"/>
      <c r="Q1805" s="84"/>
      <c r="R1805" s="84"/>
      <c r="S1805" s="84"/>
      <c r="T1805" s="84"/>
      <c r="U1805" s="84"/>
      <c r="V1805" s="84"/>
      <c r="W1805" s="84"/>
      <c r="X1805" s="84"/>
    </row>
    <row r="1806" ht="15.75" customHeight="1">
      <c r="A1806" s="14" t="s">
        <v>2137</v>
      </c>
      <c r="B1806" s="14">
        <v>2009.0</v>
      </c>
      <c r="C1806" s="14" t="s">
        <v>20117</v>
      </c>
      <c r="D1806" s="14" t="s">
        <v>20118</v>
      </c>
      <c r="E1806" s="150" t="str">
        <f t="shared" si="27"/>
        <v>http://dx.doi.org/10.1109/TVCG.2009.130</v>
      </c>
      <c r="F1806" s="14">
        <v>889.0</v>
      </c>
      <c r="G1806" s="14">
        <v>896.0</v>
      </c>
      <c r="H1806" s="14" t="s">
        <v>17059</v>
      </c>
      <c r="I1806" s="14" t="s">
        <v>20119</v>
      </c>
      <c r="J1806" s="130" t="s">
        <v>20120</v>
      </c>
      <c r="K1806" s="152" t="s">
        <v>22116</v>
      </c>
      <c r="L1806" s="20" t="s">
        <v>20124</v>
      </c>
      <c r="M1806" s="174" t="s">
        <v>20125</v>
      </c>
      <c r="N1806" s="84"/>
      <c r="O1806" s="84"/>
      <c r="P1806" s="84"/>
      <c r="Q1806" s="84"/>
      <c r="R1806" s="84"/>
      <c r="S1806" s="84"/>
      <c r="T1806" s="84"/>
      <c r="U1806" s="84"/>
      <c r="V1806" s="84"/>
      <c r="W1806" s="84"/>
      <c r="X1806" s="84"/>
    </row>
    <row r="1807" ht="15.75" customHeight="1">
      <c r="A1807" s="14" t="s">
        <v>2137</v>
      </c>
      <c r="B1807" s="14">
        <v>2009.0</v>
      </c>
      <c r="C1807" s="14" t="s">
        <v>20127</v>
      </c>
      <c r="D1807" s="14" t="s">
        <v>20128</v>
      </c>
      <c r="E1807" s="150" t="str">
        <f t="shared" si="27"/>
        <v>http://dx.doi.org/10.1109/TVCG.2009.139</v>
      </c>
      <c r="F1807" s="14">
        <v>1145.0</v>
      </c>
      <c r="G1807" s="14">
        <v>1152.0</v>
      </c>
      <c r="H1807" s="14" t="s">
        <v>17059</v>
      </c>
      <c r="I1807" s="14" t="s">
        <v>20129</v>
      </c>
      <c r="J1807" s="130" t="s">
        <v>20130</v>
      </c>
      <c r="K1807" s="152" t="s">
        <v>22126</v>
      </c>
      <c r="L1807" s="20"/>
      <c r="M1807" s="174" t="s">
        <v>20132</v>
      </c>
      <c r="N1807" s="84"/>
      <c r="O1807" s="84"/>
      <c r="P1807" s="84"/>
      <c r="Q1807" s="84"/>
      <c r="R1807" s="84"/>
      <c r="S1807" s="84"/>
      <c r="T1807" s="84"/>
      <c r="U1807" s="84"/>
      <c r="V1807" s="84"/>
      <c r="W1807" s="84"/>
      <c r="X1807" s="84"/>
    </row>
    <row r="1808" ht="15.75" customHeight="1">
      <c r="A1808" s="14" t="s">
        <v>2137</v>
      </c>
      <c r="B1808" s="14">
        <v>2009.0</v>
      </c>
      <c r="C1808" s="14" t="s">
        <v>20133</v>
      </c>
      <c r="D1808" s="14" t="s">
        <v>20134</v>
      </c>
      <c r="E1808" s="150" t="str">
        <f t="shared" si="27"/>
        <v>http://dx.doi.org/10.1109/TVCG.2009.140</v>
      </c>
      <c r="F1808" s="14">
        <v>1161.0</v>
      </c>
      <c r="G1808" s="14">
        <v>1168.0</v>
      </c>
      <c r="H1808" s="14" t="s">
        <v>17059</v>
      </c>
      <c r="I1808" s="14" t="s">
        <v>20135</v>
      </c>
      <c r="J1808" s="130" t="s">
        <v>20136</v>
      </c>
      <c r="K1808" s="152" t="s">
        <v>22128</v>
      </c>
      <c r="L1808" s="20" t="s">
        <v>20138</v>
      </c>
      <c r="M1808" s="174" t="s">
        <v>20139</v>
      </c>
      <c r="N1808" s="84"/>
      <c r="O1808" s="84"/>
      <c r="P1808" s="84"/>
      <c r="Q1808" s="84"/>
      <c r="R1808" s="84"/>
      <c r="S1808" s="84"/>
      <c r="T1808" s="84"/>
      <c r="U1808" s="84"/>
      <c r="V1808" s="84"/>
      <c r="W1808" s="84"/>
      <c r="X1808" s="84"/>
    </row>
    <row r="1809" ht="15.75" customHeight="1">
      <c r="A1809" s="14" t="s">
        <v>2137</v>
      </c>
      <c r="B1809" s="14">
        <v>2009.0</v>
      </c>
      <c r="C1809" s="14" t="s">
        <v>20142</v>
      </c>
      <c r="D1809" s="14" t="s">
        <v>20143</v>
      </c>
      <c r="E1809" s="150" t="str">
        <f t="shared" si="27"/>
        <v>http://dx.doi.org/10.1109/TVCG.2009.143</v>
      </c>
      <c r="F1809" s="14">
        <v>1041.0</v>
      </c>
      <c r="G1809" s="14">
        <v>1048.0</v>
      </c>
      <c r="H1809" s="14" t="s">
        <v>17059</v>
      </c>
      <c r="I1809" s="14" t="s">
        <v>20144</v>
      </c>
      <c r="J1809" s="130" t="s">
        <v>7228</v>
      </c>
      <c r="K1809" s="152" t="s">
        <v>22135</v>
      </c>
      <c r="L1809" s="20" t="s">
        <v>20146</v>
      </c>
      <c r="M1809" s="174" t="s">
        <v>20147</v>
      </c>
      <c r="N1809" s="84"/>
      <c r="O1809" s="84"/>
      <c r="P1809" s="84"/>
      <c r="Q1809" s="84"/>
      <c r="R1809" s="84"/>
      <c r="S1809" s="84"/>
      <c r="T1809" s="84"/>
      <c r="U1809" s="84"/>
      <c r="V1809" s="84"/>
      <c r="W1809" s="84"/>
      <c r="X1809" s="84"/>
    </row>
    <row r="1810" ht="15.75" customHeight="1">
      <c r="A1810" s="14" t="s">
        <v>2137</v>
      </c>
      <c r="B1810" s="14">
        <v>2009.0</v>
      </c>
      <c r="C1810" s="14" t="s">
        <v>20149</v>
      </c>
      <c r="D1810" s="14" t="s">
        <v>20150</v>
      </c>
      <c r="E1810" s="150" t="str">
        <f t="shared" si="27"/>
        <v>http://dx.doi.org/10.1109/TVCG.2009.145</v>
      </c>
      <c r="F1810" s="14">
        <v>1017.0</v>
      </c>
      <c r="G1810" s="14">
        <v>1024.0</v>
      </c>
      <c r="H1810" s="14" t="s">
        <v>17059</v>
      </c>
      <c r="I1810" s="14" t="s">
        <v>20151</v>
      </c>
      <c r="J1810" s="130" t="s">
        <v>20152</v>
      </c>
      <c r="K1810" s="152" t="s">
        <v>22140</v>
      </c>
      <c r="L1810" s="20" t="s">
        <v>20154</v>
      </c>
      <c r="M1810" s="174" t="s">
        <v>20155</v>
      </c>
      <c r="N1810" s="84"/>
      <c r="O1810" s="84"/>
      <c r="P1810" s="84"/>
      <c r="Q1810" s="84"/>
      <c r="R1810" s="84"/>
      <c r="S1810" s="84"/>
      <c r="T1810" s="84"/>
      <c r="U1810" s="84"/>
      <c r="V1810" s="84"/>
      <c r="W1810" s="84"/>
      <c r="X1810" s="84"/>
    </row>
    <row r="1811" ht="15.75" customHeight="1">
      <c r="A1811" s="14" t="s">
        <v>2137</v>
      </c>
      <c r="B1811" s="14">
        <v>2009.0</v>
      </c>
      <c r="C1811" s="14" t="s">
        <v>20159</v>
      </c>
      <c r="D1811" s="14" t="s">
        <v>20160</v>
      </c>
      <c r="E1811" s="150" t="str">
        <f t="shared" si="27"/>
        <v>http://dx.doi.org/10.1109/TVCG.2009.146</v>
      </c>
      <c r="F1811" s="14">
        <v>905.0</v>
      </c>
      <c r="G1811" s="14">
        <v>912.0</v>
      </c>
      <c r="H1811" s="14" t="s">
        <v>17059</v>
      </c>
      <c r="I1811" s="14" t="s">
        <v>20161</v>
      </c>
      <c r="J1811" s="130" t="s">
        <v>20162</v>
      </c>
      <c r="K1811" s="152" t="s">
        <v>22142</v>
      </c>
      <c r="L1811" s="20"/>
      <c r="M1811" s="174" t="s">
        <v>20166</v>
      </c>
      <c r="N1811" s="84"/>
      <c r="O1811" s="84"/>
      <c r="P1811" s="84"/>
      <c r="Q1811" s="84"/>
      <c r="R1811" s="84"/>
      <c r="S1811" s="84"/>
      <c r="T1811" s="84"/>
      <c r="U1811" s="84"/>
      <c r="V1811" s="84"/>
      <c r="W1811" s="84"/>
      <c r="X1811" s="84"/>
    </row>
    <row r="1812" ht="15.75" customHeight="1">
      <c r="A1812" s="14" t="s">
        <v>2137</v>
      </c>
      <c r="B1812" s="14">
        <v>2009.0</v>
      </c>
      <c r="C1812" s="14" t="s">
        <v>20168</v>
      </c>
      <c r="D1812" s="14" t="s">
        <v>20169</v>
      </c>
      <c r="E1812" s="150" t="str">
        <f t="shared" si="27"/>
        <v>http://dx.doi.org/10.1109/TVCG.2009.148</v>
      </c>
      <c r="F1812" s="14">
        <v>1081.0</v>
      </c>
      <c r="G1812" s="14">
        <v>1088.0</v>
      </c>
      <c r="H1812" s="14" t="s">
        <v>17059</v>
      </c>
      <c r="I1812" s="14" t="s">
        <v>20170</v>
      </c>
      <c r="J1812" s="130" t="s">
        <v>20171</v>
      </c>
      <c r="K1812" s="152" t="s">
        <v>22146</v>
      </c>
      <c r="L1812" s="20" t="s">
        <v>20173</v>
      </c>
      <c r="M1812" s="174" t="s">
        <v>20174</v>
      </c>
      <c r="N1812" s="84"/>
      <c r="O1812" s="84"/>
      <c r="P1812" s="84"/>
      <c r="Q1812" s="84"/>
      <c r="R1812" s="84"/>
      <c r="S1812" s="84"/>
      <c r="T1812" s="84"/>
      <c r="U1812" s="84"/>
      <c r="V1812" s="84"/>
      <c r="W1812" s="84"/>
      <c r="X1812" s="84"/>
    </row>
    <row r="1813" ht="15.75" customHeight="1">
      <c r="A1813" s="14" t="s">
        <v>2137</v>
      </c>
      <c r="B1813" s="14">
        <v>2009.0</v>
      </c>
      <c r="C1813" s="14" t="s">
        <v>20175</v>
      </c>
      <c r="D1813" s="14" t="s">
        <v>20176</v>
      </c>
      <c r="E1813" s="150" t="str">
        <f t="shared" si="27"/>
        <v>http://dx.doi.org/10.1109/TVCG.2009.151</v>
      </c>
      <c r="F1813" s="14">
        <v>937.0</v>
      </c>
      <c r="G1813" s="14">
        <v>944.0</v>
      </c>
      <c r="H1813" s="14" t="s">
        <v>17059</v>
      </c>
      <c r="I1813" s="14" t="s">
        <v>20177</v>
      </c>
      <c r="J1813" s="130" t="s">
        <v>20178</v>
      </c>
      <c r="K1813" s="152" t="s">
        <v>22154</v>
      </c>
      <c r="L1813" s="20" t="s">
        <v>20181</v>
      </c>
      <c r="M1813" s="174" t="s">
        <v>20182</v>
      </c>
      <c r="N1813" s="84"/>
      <c r="O1813" s="84"/>
      <c r="P1813" s="84"/>
      <c r="Q1813" s="84"/>
      <c r="R1813" s="84"/>
      <c r="S1813" s="84"/>
      <c r="T1813" s="84"/>
      <c r="U1813" s="84"/>
      <c r="V1813" s="84"/>
      <c r="W1813" s="84"/>
      <c r="X1813" s="84"/>
    </row>
    <row r="1814" ht="15.75" customHeight="1">
      <c r="A1814" s="14" t="s">
        <v>2137</v>
      </c>
      <c r="B1814" s="14">
        <v>2009.0</v>
      </c>
      <c r="C1814" s="14" t="s">
        <v>20184</v>
      </c>
      <c r="D1814" s="14" t="s">
        <v>20185</v>
      </c>
      <c r="E1814" s="150" t="str">
        <f t="shared" si="27"/>
        <v>http://dx.doi.org/10.1109/TVCG.2009.153</v>
      </c>
      <c r="F1814" s="14">
        <v>993.0</v>
      </c>
      <c r="G1814" s="14">
        <v>1000.0</v>
      </c>
      <c r="H1814" s="14" t="s">
        <v>17059</v>
      </c>
      <c r="I1814" s="14" t="s">
        <v>20186</v>
      </c>
      <c r="J1814" s="130" t="s">
        <v>20187</v>
      </c>
      <c r="K1814" s="152" t="s">
        <v>22684</v>
      </c>
      <c r="L1814" s="20" t="s">
        <v>20188</v>
      </c>
      <c r="M1814" s="174" t="s">
        <v>20189</v>
      </c>
      <c r="N1814" s="84"/>
      <c r="O1814" s="84"/>
      <c r="P1814" s="84"/>
      <c r="Q1814" s="84"/>
      <c r="R1814" s="84"/>
      <c r="S1814" s="84"/>
      <c r="T1814" s="84"/>
      <c r="U1814" s="84"/>
      <c r="V1814" s="84"/>
      <c r="W1814" s="84"/>
      <c r="X1814" s="84"/>
    </row>
    <row r="1815" ht="15.75" customHeight="1">
      <c r="A1815" s="14" t="s">
        <v>2137</v>
      </c>
      <c r="B1815" s="14">
        <v>2009.0</v>
      </c>
      <c r="C1815" s="14" t="s">
        <v>20190</v>
      </c>
      <c r="D1815" s="14" t="s">
        <v>20191</v>
      </c>
      <c r="E1815" s="150" t="str">
        <f t="shared" si="27"/>
        <v>http://dx.doi.org/10.1109/TVCG.2009.162</v>
      </c>
      <c r="F1815" s="14">
        <v>1065.0</v>
      </c>
      <c r="G1815" s="14">
        <v>1072.0</v>
      </c>
      <c r="H1815" s="14" t="s">
        <v>17059</v>
      </c>
      <c r="I1815" s="14" t="s">
        <v>20192</v>
      </c>
      <c r="J1815" s="130" t="s">
        <v>41707</v>
      </c>
      <c r="K1815" s="152" t="s">
        <v>22877</v>
      </c>
      <c r="L1815" s="20" t="s">
        <v>20195</v>
      </c>
      <c r="M1815" s="174" t="s">
        <v>20196</v>
      </c>
      <c r="N1815" s="84"/>
      <c r="O1815" s="84"/>
      <c r="P1815" s="84"/>
      <c r="Q1815" s="84"/>
      <c r="R1815" s="84"/>
      <c r="S1815" s="84"/>
      <c r="T1815" s="84"/>
      <c r="U1815" s="84"/>
      <c r="V1815" s="84"/>
      <c r="W1815" s="84"/>
      <c r="X1815" s="84"/>
    </row>
    <row r="1816" ht="15.75" customHeight="1">
      <c r="A1816" s="14" t="s">
        <v>2137</v>
      </c>
      <c r="B1816" s="14">
        <v>2009.0</v>
      </c>
      <c r="C1816" s="14" t="s">
        <v>20197</v>
      </c>
      <c r="D1816" s="14" t="s">
        <v>20198</v>
      </c>
      <c r="E1816" s="150" t="str">
        <f t="shared" si="27"/>
        <v>http://dx.doi.org/10.1109/TVCG.2009.165</v>
      </c>
      <c r="F1816" s="14">
        <v>1169.0</v>
      </c>
      <c r="G1816" s="14">
        <v>1176.0</v>
      </c>
      <c r="H1816" s="14" t="s">
        <v>17059</v>
      </c>
      <c r="I1816" s="14" t="s">
        <v>20199</v>
      </c>
      <c r="J1816" s="130" t="s">
        <v>20200</v>
      </c>
      <c r="K1816" s="152" t="s">
        <v>494</v>
      </c>
      <c r="L1816" s="20" t="s">
        <v>20203</v>
      </c>
      <c r="M1816" s="174" t="s">
        <v>20204</v>
      </c>
      <c r="N1816" s="84"/>
      <c r="O1816" s="84"/>
      <c r="P1816" s="84"/>
      <c r="Q1816" s="84"/>
      <c r="R1816" s="84"/>
      <c r="S1816" s="84"/>
      <c r="T1816" s="84"/>
      <c r="U1816" s="84"/>
      <c r="V1816" s="84"/>
      <c r="W1816" s="84"/>
      <c r="X1816" s="84"/>
    </row>
    <row r="1817" ht="15.75" customHeight="1">
      <c r="A1817" s="14" t="s">
        <v>2137</v>
      </c>
      <c r="B1817" s="14">
        <v>2009.0</v>
      </c>
      <c r="C1817" s="14" t="s">
        <v>20205</v>
      </c>
      <c r="D1817" s="14" t="s">
        <v>20206</v>
      </c>
      <c r="E1817" s="150" t="str">
        <f t="shared" si="27"/>
        <v>http://dx.doi.org/10.1109/TVCG.2009.167</v>
      </c>
      <c r="F1817" s="14">
        <v>897.0</v>
      </c>
      <c r="G1817" s="14">
        <v>904.0</v>
      </c>
      <c r="H1817" s="14" t="s">
        <v>17059</v>
      </c>
      <c r="I1817" s="14" t="s">
        <v>20207</v>
      </c>
      <c r="J1817" s="130" t="s">
        <v>20208</v>
      </c>
      <c r="K1817" s="152" t="s">
        <v>837</v>
      </c>
      <c r="L1817" s="20" t="s">
        <v>20211</v>
      </c>
      <c r="M1817" s="174" t="s">
        <v>20212</v>
      </c>
      <c r="N1817" s="84"/>
      <c r="O1817" s="84"/>
      <c r="P1817" s="84"/>
      <c r="Q1817" s="84"/>
      <c r="R1817" s="84"/>
      <c r="S1817" s="84"/>
      <c r="T1817" s="84"/>
      <c r="U1817" s="84"/>
      <c r="V1817" s="84"/>
      <c r="W1817" s="84"/>
      <c r="X1817" s="84"/>
    </row>
    <row r="1818" ht="15.75" customHeight="1">
      <c r="A1818" s="14" t="s">
        <v>2137</v>
      </c>
      <c r="B1818" s="14">
        <v>2009.0</v>
      </c>
      <c r="C1818" s="14" t="s">
        <v>20213</v>
      </c>
      <c r="D1818" s="14" t="s">
        <v>20214</v>
      </c>
      <c r="E1818" s="150" t="str">
        <f t="shared" si="27"/>
        <v>http://dx.doi.org/10.1109/TVCG.2009.171</v>
      </c>
      <c r="F1818" s="14">
        <v>1137.0</v>
      </c>
      <c r="G1818" s="14">
        <v>1144.0</v>
      </c>
      <c r="H1818" s="14" t="s">
        <v>17059</v>
      </c>
      <c r="I1818" s="14" t="s">
        <v>20215</v>
      </c>
      <c r="J1818" s="130" t="s">
        <v>20216</v>
      </c>
      <c r="K1818" s="152" t="s">
        <v>22950</v>
      </c>
      <c r="L1818" s="20" t="s">
        <v>20218</v>
      </c>
      <c r="M1818" s="174" t="s">
        <v>20219</v>
      </c>
      <c r="N1818" s="84"/>
      <c r="O1818" s="84"/>
      <c r="P1818" s="84"/>
      <c r="Q1818" s="84"/>
      <c r="R1818" s="84"/>
      <c r="S1818" s="84"/>
      <c r="T1818" s="84"/>
      <c r="U1818" s="84"/>
      <c r="V1818" s="84"/>
      <c r="W1818" s="84"/>
      <c r="X1818" s="84"/>
    </row>
    <row r="1819" ht="15.75" customHeight="1">
      <c r="A1819" s="14" t="s">
        <v>2137</v>
      </c>
      <c r="B1819" s="14">
        <v>2009.0</v>
      </c>
      <c r="C1819" s="14" t="s">
        <v>20220</v>
      </c>
      <c r="D1819" s="14" t="s">
        <v>20221</v>
      </c>
      <c r="E1819" s="150" t="str">
        <f t="shared" si="27"/>
        <v>http://dx.doi.org/10.1109/TVCG.2009.174</v>
      </c>
      <c r="F1819" s="14">
        <v>1121.0</v>
      </c>
      <c r="G1819" s="14">
        <v>1128.0</v>
      </c>
      <c r="H1819" s="14" t="s">
        <v>17059</v>
      </c>
      <c r="I1819" s="14" t="s">
        <v>20224</v>
      </c>
      <c r="J1819" s="130" t="s">
        <v>20225</v>
      </c>
      <c r="K1819" s="152" t="s">
        <v>22981</v>
      </c>
      <c r="L1819" s="20" t="s">
        <v>20227</v>
      </c>
      <c r="M1819" s="174" t="s">
        <v>20228</v>
      </c>
      <c r="N1819" s="84"/>
      <c r="O1819" s="84"/>
      <c r="P1819" s="84"/>
      <c r="Q1819" s="84"/>
      <c r="R1819" s="84"/>
      <c r="S1819" s="84"/>
      <c r="T1819" s="84"/>
      <c r="U1819" s="84"/>
      <c r="V1819" s="84"/>
      <c r="W1819" s="84"/>
      <c r="X1819" s="84"/>
    </row>
    <row r="1820" ht="15.75" customHeight="1">
      <c r="A1820" s="14" t="s">
        <v>2137</v>
      </c>
      <c r="B1820" s="14">
        <v>2009.0</v>
      </c>
      <c r="C1820" s="14" t="s">
        <v>20230</v>
      </c>
      <c r="D1820" s="14" t="s">
        <v>20231</v>
      </c>
      <c r="E1820" s="150" t="str">
        <f t="shared" si="27"/>
        <v>http://dx.doi.org/10.1109/TVCG.2009.176</v>
      </c>
      <c r="F1820" s="14">
        <v>1057.0</v>
      </c>
      <c r="G1820" s="14">
        <v>1064.0</v>
      </c>
      <c r="H1820" s="14" t="s">
        <v>17059</v>
      </c>
      <c r="I1820" s="14" t="s">
        <v>20232</v>
      </c>
      <c r="J1820" s="130" t="s">
        <v>20233</v>
      </c>
      <c r="K1820" s="152" t="s">
        <v>23000</v>
      </c>
      <c r="L1820" s="20" t="s">
        <v>20236</v>
      </c>
      <c r="M1820" s="174" t="s">
        <v>20237</v>
      </c>
      <c r="N1820" s="84"/>
      <c r="O1820" s="84"/>
      <c r="P1820" s="84"/>
      <c r="Q1820" s="84"/>
      <c r="R1820" s="84"/>
      <c r="S1820" s="84"/>
      <c r="T1820" s="84"/>
      <c r="U1820" s="84"/>
      <c r="V1820" s="84"/>
      <c r="W1820" s="84"/>
      <c r="X1820" s="84"/>
    </row>
    <row r="1821" ht="15.75" customHeight="1">
      <c r="A1821" s="14" t="s">
        <v>2137</v>
      </c>
      <c r="B1821" s="14">
        <v>2009.0</v>
      </c>
      <c r="C1821" s="14" t="s">
        <v>20238</v>
      </c>
      <c r="D1821" s="14" t="s">
        <v>20239</v>
      </c>
      <c r="E1821" s="150" t="str">
        <f t="shared" si="27"/>
        <v>http://dx.doi.org/10.1109/TVCG.2009.179</v>
      </c>
      <c r="F1821" s="14">
        <v>1001.0</v>
      </c>
      <c r="G1821" s="14">
        <v>1008.0</v>
      </c>
      <c r="H1821" s="14" t="s">
        <v>17059</v>
      </c>
      <c r="I1821" s="14" t="s">
        <v>20240</v>
      </c>
      <c r="J1821" s="130" t="s">
        <v>20241</v>
      </c>
      <c r="K1821" s="152" t="s">
        <v>23032</v>
      </c>
      <c r="L1821" s="20" t="s">
        <v>20242</v>
      </c>
      <c r="M1821" s="174" t="s">
        <v>20243</v>
      </c>
      <c r="N1821" s="84"/>
      <c r="O1821" s="84"/>
      <c r="P1821" s="84"/>
      <c r="Q1821" s="84"/>
      <c r="R1821" s="84"/>
      <c r="S1821" s="84"/>
      <c r="T1821" s="84"/>
      <c r="U1821" s="84"/>
      <c r="V1821" s="84"/>
      <c r="W1821" s="84"/>
      <c r="X1821" s="84"/>
    </row>
    <row r="1822" ht="15.75" customHeight="1">
      <c r="A1822" s="14" t="s">
        <v>2137</v>
      </c>
      <c r="B1822" s="14">
        <v>2009.0</v>
      </c>
      <c r="C1822" s="14" t="s">
        <v>20245</v>
      </c>
      <c r="D1822" s="14" t="s">
        <v>20246</v>
      </c>
      <c r="E1822" s="150" t="str">
        <f t="shared" si="27"/>
        <v>http://dx.doi.org/10.1109/TVCG.2009.180</v>
      </c>
      <c r="F1822" s="14">
        <v>1025.0</v>
      </c>
      <c r="G1822" s="14">
        <v>1032.0</v>
      </c>
      <c r="H1822" s="14" t="s">
        <v>17059</v>
      </c>
      <c r="I1822" s="14" t="s">
        <v>20248</v>
      </c>
      <c r="J1822" s="130" t="s">
        <v>20249</v>
      </c>
      <c r="K1822" s="152" t="s">
        <v>23044</v>
      </c>
      <c r="L1822" s="20" t="s">
        <v>20252</v>
      </c>
      <c r="M1822" s="174" t="s">
        <v>20253</v>
      </c>
      <c r="N1822" s="84"/>
      <c r="O1822" s="84"/>
      <c r="P1822" s="84"/>
      <c r="Q1822" s="84"/>
      <c r="R1822" s="84"/>
      <c r="S1822" s="84"/>
      <c r="T1822" s="84"/>
      <c r="U1822" s="84"/>
      <c r="V1822" s="84"/>
      <c r="W1822" s="84"/>
      <c r="X1822" s="84"/>
    </row>
    <row r="1823" ht="15.75" customHeight="1">
      <c r="A1823" s="14" t="s">
        <v>2137</v>
      </c>
      <c r="B1823" s="14">
        <v>2009.0</v>
      </c>
      <c r="C1823" s="14" t="s">
        <v>20254</v>
      </c>
      <c r="D1823" s="14" t="s">
        <v>20255</v>
      </c>
      <c r="E1823" s="150" t="str">
        <f t="shared" si="27"/>
        <v>http://dx.doi.org/10.1109/TVCG.2009.181</v>
      </c>
      <c r="F1823" s="14">
        <v>969.0</v>
      </c>
      <c r="G1823" s="14">
        <v>976.0</v>
      </c>
      <c r="H1823" s="14" t="s">
        <v>17059</v>
      </c>
      <c r="I1823" s="14" t="s">
        <v>20256</v>
      </c>
      <c r="J1823" s="130" t="s">
        <v>20257</v>
      </c>
      <c r="K1823" s="152" t="s">
        <v>23056</v>
      </c>
      <c r="L1823" s="20" t="s">
        <v>20260</v>
      </c>
      <c r="M1823" s="174" t="s">
        <v>20261</v>
      </c>
      <c r="N1823" s="84"/>
      <c r="O1823" s="84"/>
      <c r="P1823" s="84"/>
      <c r="Q1823" s="84"/>
      <c r="R1823" s="84"/>
      <c r="S1823" s="84"/>
      <c r="T1823" s="84"/>
      <c r="U1823" s="84"/>
      <c r="V1823" s="84"/>
      <c r="W1823" s="84"/>
      <c r="X1823" s="84"/>
    </row>
    <row r="1824" ht="15.75" customHeight="1">
      <c r="A1824" s="14" t="s">
        <v>2137</v>
      </c>
      <c r="B1824" s="14">
        <v>2009.0</v>
      </c>
      <c r="C1824" s="14" t="s">
        <v>20262</v>
      </c>
      <c r="D1824" s="14" t="s">
        <v>20263</v>
      </c>
      <c r="E1824" s="150" t="str">
        <f t="shared" si="27"/>
        <v>http://dx.doi.org/10.1109/TVCG.2009.182</v>
      </c>
      <c r="F1824" s="14">
        <v>913.0</v>
      </c>
      <c r="G1824" s="14">
        <v>920.0</v>
      </c>
      <c r="H1824" s="14" t="s">
        <v>17059</v>
      </c>
      <c r="I1824" s="14" t="s">
        <v>20264</v>
      </c>
      <c r="J1824" s="130" t="s">
        <v>20265</v>
      </c>
      <c r="K1824" s="152" t="s">
        <v>23066</v>
      </c>
      <c r="L1824" s="20" t="s">
        <v>20268</v>
      </c>
      <c r="M1824" s="174" t="s">
        <v>20269</v>
      </c>
      <c r="N1824" s="84"/>
      <c r="O1824" s="84"/>
      <c r="P1824" s="84"/>
      <c r="Q1824" s="84"/>
      <c r="R1824" s="84"/>
      <c r="S1824" s="84"/>
      <c r="T1824" s="84"/>
      <c r="U1824" s="84"/>
      <c r="V1824" s="84"/>
      <c r="W1824" s="84"/>
      <c r="X1824" s="84"/>
    </row>
    <row r="1825" ht="15.75" customHeight="1">
      <c r="A1825" s="14" t="s">
        <v>2137</v>
      </c>
      <c r="B1825" s="14">
        <v>2009.0</v>
      </c>
      <c r="C1825" s="14" t="s">
        <v>20270</v>
      </c>
      <c r="D1825" s="14" t="s">
        <v>20271</v>
      </c>
      <c r="E1825" s="150" t="str">
        <f t="shared" si="27"/>
        <v>http://dx.doi.org/10.1109/TVCG.2009.183</v>
      </c>
      <c r="F1825" s="14">
        <v>1089.0</v>
      </c>
      <c r="G1825" s="14">
        <v>1096.0</v>
      </c>
      <c r="H1825" s="14" t="s">
        <v>17059</v>
      </c>
      <c r="I1825" s="14" t="s">
        <v>20272</v>
      </c>
      <c r="J1825" s="130" t="s">
        <v>20273</v>
      </c>
      <c r="K1825" s="152" t="s">
        <v>880</v>
      </c>
      <c r="L1825" s="20" t="s">
        <v>20275</v>
      </c>
      <c r="M1825" s="174" t="s">
        <v>20276</v>
      </c>
      <c r="N1825" s="84"/>
      <c r="O1825" s="84"/>
      <c r="P1825" s="84"/>
      <c r="Q1825" s="84"/>
      <c r="R1825" s="84"/>
      <c r="S1825" s="84"/>
      <c r="T1825" s="84"/>
      <c r="U1825" s="84"/>
      <c r="V1825" s="84"/>
      <c r="W1825" s="84"/>
      <c r="X1825" s="84"/>
    </row>
    <row r="1826" ht="15.75" customHeight="1">
      <c r="A1826" s="14" t="s">
        <v>2137</v>
      </c>
      <c r="B1826" s="14">
        <v>2009.0</v>
      </c>
      <c r="C1826" s="14" t="s">
        <v>20277</v>
      </c>
      <c r="D1826" s="14" t="s">
        <v>20278</v>
      </c>
      <c r="E1826" s="150" t="str">
        <f t="shared" si="27"/>
        <v>http://dx.doi.org/10.1109/TVCG.2009.187</v>
      </c>
      <c r="F1826" s="14">
        <v>1049.0</v>
      </c>
      <c r="G1826" s="14">
        <v>1056.0</v>
      </c>
      <c r="H1826" s="14" t="s">
        <v>17059</v>
      </c>
      <c r="I1826" s="14" t="s">
        <v>20279</v>
      </c>
      <c r="J1826" s="130" t="s">
        <v>20280</v>
      </c>
      <c r="K1826" s="152" t="s">
        <v>23118</v>
      </c>
      <c r="L1826" s="20" t="s">
        <v>20283</v>
      </c>
      <c r="M1826" s="174" t="s">
        <v>20284</v>
      </c>
      <c r="N1826" s="84"/>
      <c r="O1826" s="84"/>
      <c r="P1826" s="84"/>
      <c r="Q1826" s="84"/>
      <c r="R1826" s="84"/>
      <c r="S1826" s="84"/>
      <c r="T1826" s="84"/>
      <c r="U1826" s="84"/>
      <c r="V1826" s="84"/>
      <c r="W1826" s="84"/>
      <c r="X1826" s="84"/>
    </row>
    <row r="1827" ht="15.75" customHeight="1">
      <c r="A1827" s="14" t="s">
        <v>2137</v>
      </c>
      <c r="B1827" s="14">
        <v>2009.0</v>
      </c>
      <c r="C1827" s="14" t="s">
        <v>20285</v>
      </c>
      <c r="D1827" s="14" t="s">
        <v>20286</v>
      </c>
      <c r="E1827" s="150" t="str">
        <f t="shared" si="27"/>
        <v>http://dx.doi.org/10.1109/TVCG.2009.188</v>
      </c>
      <c r="F1827" s="14">
        <v>1073.0</v>
      </c>
      <c r="G1827" s="14">
        <v>1080.0</v>
      </c>
      <c r="H1827" s="14" t="s">
        <v>17059</v>
      </c>
      <c r="I1827" s="14" t="s">
        <v>23135</v>
      </c>
      <c r="J1827" s="130" t="s">
        <v>20288</v>
      </c>
      <c r="K1827" s="152" t="s">
        <v>23136</v>
      </c>
      <c r="L1827" s="20" t="s">
        <v>20290</v>
      </c>
      <c r="M1827" s="174" t="s">
        <v>20291</v>
      </c>
      <c r="N1827" s="84"/>
      <c r="O1827" s="84"/>
      <c r="P1827" s="84"/>
      <c r="Q1827" s="84"/>
      <c r="R1827" s="84"/>
      <c r="S1827" s="84"/>
      <c r="T1827" s="84"/>
      <c r="U1827" s="84"/>
      <c r="V1827" s="84"/>
      <c r="W1827" s="84"/>
      <c r="X1827" s="84"/>
    </row>
    <row r="1828" ht="15.75" customHeight="1">
      <c r="A1828" s="14" t="s">
        <v>2137</v>
      </c>
      <c r="B1828" s="14">
        <v>2009.0</v>
      </c>
      <c r="C1828" s="14" t="s">
        <v>20292</v>
      </c>
      <c r="D1828" s="14" t="s">
        <v>20293</v>
      </c>
      <c r="E1828" s="150" t="str">
        <f t="shared" si="27"/>
        <v>http://dx.doi.org/10.1109/TVCG.2009.191</v>
      </c>
      <c r="F1828" s="14">
        <v>1105.0</v>
      </c>
      <c r="G1828" s="14">
        <v>1112.0</v>
      </c>
      <c r="H1828" s="14" t="s">
        <v>17059</v>
      </c>
      <c r="I1828" s="14" t="s">
        <v>20295</v>
      </c>
      <c r="J1828" s="130" t="s">
        <v>20296</v>
      </c>
      <c r="K1828" s="152" t="s">
        <v>4670</v>
      </c>
      <c r="L1828" s="20" t="s">
        <v>20298</v>
      </c>
      <c r="M1828" s="174" t="s">
        <v>20299</v>
      </c>
      <c r="N1828" s="84"/>
      <c r="O1828" s="84"/>
      <c r="P1828" s="84"/>
      <c r="Q1828" s="84"/>
      <c r="R1828" s="84"/>
      <c r="S1828" s="84"/>
      <c r="T1828" s="84"/>
      <c r="U1828" s="84"/>
      <c r="V1828" s="84"/>
      <c r="W1828" s="84"/>
      <c r="X1828" s="84"/>
    </row>
    <row r="1829" ht="15.75" customHeight="1">
      <c r="A1829" s="14" t="s">
        <v>2137</v>
      </c>
      <c r="B1829" s="14">
        <v>2009.0</v>
      </c>
      <c r="C1829" s="14" t="s">
        <v>20301</v>
      </c>
      <c r="D1829" s="14" t="s">
        <v>20302</v>
      </c>
      <c r="E1829" s="150" t="str">
        <f t="shared" si="27"/>
        <v>http://dx.doi.org/10.1109/TVCG.2009.196</v>
      </c>
      <c r="F1829" s="14">
        <v>1129.0</v>
      </c>
      <c r="G1829" s="14">
        <v>1136.0</v>
      </c>
      <c r="H1829" s="14" t="s">
        <v>17059</v>
      </c>
      <c r="I1829" s="14" t="s">
        <v>20303</v>
      </c>
      <c r="J1829" s="130" t="s">
        <v>20304</v>
      </c>
      <c r="K1829" s="152" t="s">
        <v>23188</v>
      </c>
      <c r="L1829" s="20" t="s">
        <v>20306</v>
      </c>
      <c r="M1829" s="174" t="s">
        <v>20307</v>
      </c>
      <c r="N1829" s="84"/>
      <c r="O1829" s="84"/>
      <c r="P1829" s="84"/>
      <c r="Q1829" s="84"/>
      <c r="R1829" s="84"/>
      <c r="S1829" s="84"/>
      <c r="T1829" s="84"/>
      <c r="U1829" s="84"/>
      <c r="V1829" s="84"/>
      <c r="W1829" s="84"/>
      <c r="X1829" s="84"/>
    </row>
    <row r="1830" ht="15.75" customHeight="1">
      <c r="A1830" s="14" t="s">
        <v>2137</v>
      </c>
      <c r="B1830" s="14">
        <v>2009.0</v>
      </c>
      <c r="C1830" s="14" t="s">
        <v>20308</v>
      </c>
      <c r="D1830" s="14" t="s">
        <v>20309</v>
      </c>
      <c r="E1830" s="150" t="str">
        <f t="shared" si="27"/>
        <v>http://dx.doi.org/10.1109/TVCG.2009.201</v>
      </c>
      <c r="F1830" s="14">
        <v>985.0</v>
      </c>
      <c r="G1830" s="14">
        <v>992.0</v>
      </c>
      <c r="H1830" s="14" t="s">
        <v>17059</v>
      </c>
      <c r="I1830" s="14" t="s">
        <v>20310</v>
      </c>
      <c r="J1830" s="130" t="s">
        <v>20311</v>
      </c>
      <c r="K1830" s="152" t="s">
        <v>23221</v>
      </c>
      <c r="L1830" s="20"/>
      <c r="M1830" s="174" t="s">
        <v>20313</v>
      </c>
      <c r="N1830" s="84"/>
      <c r="O1830" s="84"/>
      <c r="P1830" s="84"/>
      <c r="Q1830" s="84"/>
      <c r="R1830" s="84"/>
      <c r="S1830" s="84"/>
      <c r="T1830" s="84"/>
      <c r="U1830" s="84"/>
      <c r="V1830" s="84"/>
      <c r="W1830" s="84"/>
      <c r="X1830" s="84"/>
    </row>
    <row r="1831" ht="15.75" customHeight="1">
      <c r="A1831" s="14" t="s">
        <v>2137</v>
      </c>
      <c r="B1831" s="14">
        <v>2009.0</v>
      </c>
      <c r="C1831" s="14" t="s">
        <v>20314</v>
      </c>
      <c r="D1831" s="14" t="s">
        <v>20315</v>
      </c>
      <c r="E1831" s="150" t="str">
        <f t="shared" si="27"/>
        <v>http://dx.doi.org/10.1109/TVCG.2009.202</v>
      </c>
      <c r="F1831" s="14">
        <v>1153.0</v>
      </c>
      <c r="G1831" s="14">
        <v>1160.0</v>
      </c>
      <c r="H1831" s="14" t="s">
        <v>17059</v>
      </c>
      <c r="I1831" s="14" t="s">
        <v>20316</v>
      </c>
      <c r="J1831" s="130" t="s">
        <v>20317</v>
      </c>
      <c r="K1831" s="152" t="s">
        <v>23237</v>
      </c>
      <c r="L1831" s="20" t="s">
        <v>20320</v>
      </c>
      <c r="M1831" s="174" t="s">
        <v>20321</v>
      </c>
      <c r="N1831" s="84"/>
      <c r="O1831" s="84"/>
      <c r="P1831" s="84"/>
      <c r="Q1831" s="84"/>
      <c r="R1831" s="84"/>
      <c r="S1831" s="84"/>
      <c r="T1831" s="84"/>
      <c r="U1831" s="84"/>
      <c r="V1831" s="84"/>
      <c r="W1831" s="84"/>
      <c r="X1831" s="84"/>
    </row>
    <row r="1832" ht="15.75" customHeight="1">
      <c r="A1832" s="14" t="s">
        <v>120</v>
      </c>
      <c r="B1832" s="14">
        <v>2009.0</v>
      </c>
      <c r="C1832" s="14" t="s">
        <v>20322</v>
      </c>
      <c r="D1832" s="14" t="s">
        <v>20323</v>
      </c>
      <c r="E1832" s="150" t="str">
        <f t="shared" si="27"/>
        <v>http://dx.doi.org/10.1109/VAST.2009.5332481</v>
      </c>
      <c r="F1832" s="14"/>
      <c r="G1832" s="14"/>
      <c r="H1832" s="14" t="s">
        <v>21</v>
      </c>
      <c r="I1832" s="14" t="s">
        <v>20324</v>
      </c>
      <c r="J1832" s="130" t="s">
        <v>19621</v>
      </c>
      <c r="K1832" s="152" t="s">
        <v>23300</v>
      </c>
      <c r="L1832" s="20"/>
      <c r="M1832" s="16"/>
      <c r="N1832" s="84"/>
      <c r="O1832" s="84"/>
      <c r="P1832" s="84"/>
      <c r="Q1832" s="84"/>
      <c r="R1832" s="84"/>
      <c r="S1832" s="84"/>
      <c r="T1832" s="84"/>
      <c r="U1832" s="84"/>
      <c r="V1832" s="84"/>
      <c r="W1832" s="84"/>
      <c r="X1832" s="84"/>
    </row>
    <row r="1833" ht="15.75" customHeight="1">
      <c r="A1833" s="14" t="s">
        <v>120</v>
      </c>
      <c r="B1833" s="14">
        <v>2009.0</v>
      </c>
      <c r="C1833" s="14" t="s">
        <v>20325</v>
      </c>
      <c r="D1833" s="14" t="s">
        <v>20326</v>
      </c>
      <c r="E1833" s="150" t="str">
        <f t="shared" si="27"/>
        <v>http://dx.doi.org/10.1109/VAST.2009.5332485</v>
      </c>
      <c r="F1833" s="14"/>
      <c r="G1833" s="14"/>
      <c r="H1833" s="14" t="s">
        <v>21</v>
      </c>
      <c r="I1833" s="14" t="s">
        <v>20328</v>
      </c>
      <c r="J1833" s="130" t="s">
        <v>20329</v>
      </c>
      <c r="K1833" s="152" t="s">
        <v>23316</v>
      </c>
      <c r="L1833" s="20"/>
      <c r="M1833" s="16"/>
      <c r="N1833" s="84"/>
      <c r="O1833" s="84"/>
      <c r="P1833" s="84"/>
      <c r="Q1833" s="84"/>
      <c r="R1833" s="84"/>
      <c r="S1833" s="84"/>
      <c r="T1833" s="84"/>
      <c r="U1833" s="84"/>
      <c r="V1833" s="84"/>
      <c r="W1833" s="84"/>
      <c r="X1833" s="84"/>
    </row>
    <row r="1834" ht="15.75" customHeight="1">
      <c r="A1834" s="14" t="s">
        <v>120</v>
      </c>
      <c r="B1834" s="14">
        <v>2009.0</v>
      </c>
      <c r="C1834" s="14" t="s">
        <v>20331</v>
      </c>
      <c r="D1834" s="14" t="s">
        <v>20333</v>
      </c>
      <c r="E1834" s="150" t="str">
        <f t="shared" si="27"/>
        <v>http://dx.doi.org/10.1109/VAST.2009.5332584</v>
      </c>
      <c r="F1834" s="14">
        <v>3.0</v>
      </c>
      <c r="G1834" s="14">
        <v>10.0</v>
      </c>
      <c r="H1834" s="14" t="s">
        <v>28</v>
      </c>
      <c r="I1834" s="14" t="s">
        <v>20334</v>
      </c>
      <c r="J1834" s="130" t="s">
        <v>20335</v>
      </c>
      <c r="K1834" s="152" t="s">
        <v>23336</v>
      </c>
      <c r="L1834" s="20" t="s">
        <v>20338</v>
      </c>
      <c r="M1834" s="174" t="s">
        <v>20339</v>
      </c>
      <c r="N1834" s="84"/>
      <c r="O1834" s="84"/>
      <c r="P1834" s="84"/>
      <c r="Q1834" s="84"/>
      <c r="R1834" s="84"/>
      <c r="S1834" s="84"/>
      <c r="T1834" s="84"/>
      <c r="U1834" s="84"/>
      <c r="V1834" s="84"/>
      <c r="W1834" s="84"/>
      <c r="X1834" s="84"/>
    </row>
    <row r="1835" ht="15.75" customHeight="1">
      <c r="A1835" s="14" t="s">
        <v>120</v>
      </c>
      <c r="B1835" s="14">
        <v>2009.0</v>
      </c>
      <c r="C1835" s="14" t="s">
        <v>20340</v>
      </c>
      <c r="D1835" s="14" t="s">
        <v>20341</v>
      </c>
      <c r="E1835" s="150" t="str">
        <f t="shared" si="27"/>
        <v>http://dx.doi.org/10.1109/VAST.2009.5332586</v>
      </c>
      <c r="F1835" s="14">
        <v>19.0</v>
      </c>
      <c r="G1835" s="14">
        <v>26.0</v>
      </c>
      <c r="H1835" s="14" t="s">
        <v>28</v>
      </c>
      <c r="I1835" s="14" t="s">
        <v>20342</v>
      </c>
      <c r="J1835" s="130" t="s">
        <v>41708</v>
      </c>
      <c r="K1835" s="152" t="s">
        <v>23354</v>
      </c>
      <c r="L1835" s="20" t="s">
        <v>20354</v>
      </c>
      <c r="M1835" s="174" t="s">
        <v>20355</v>
      </c>
      <c r="N1835" s="84"/>
      <c r="O1835" s="84"/>
      <c r="P1835" s="84"/>
      <c r="Q1835" s="84"/>
      <c r="R1835" s="84"/>
      <c r="S1835" s="84"/>
      <c r="T1835" s="84"/>
      <c r="U1835" s="84"/>
      <c r="V1835" s="84"/>
      <c r="W1835" s="84"/>
      <c r="X1835" s="84"/>
    </row>
    <row r="1836" ht="15.75" customHeight="1">
      <c r="A1836" s="14" t="s">
        <v>120</v>
      </c>
      <c r="B1836" s="14">
        <v>2009.0</v>
      </c>
      <c r="C1836" s="14" t="s">
        <v>20356</v>
      </c>
      <c r="D1836" s="14" t="s">
        <v>20357</v>
      </c>
      <c r="E1836" s="150" t="str">
        <f t="shared" si="27"/>
        <v>http://dx.doi.org/10.1109/VAST.2009.5332593</v>
      </c>
      <c r="F1836" s="14">
        <v>11.0</v>
      </c>
      <c r="G1836" s="14">
        <v>18.0</v>
      </c>
      <c r="H1836" s="14" t="s">
        <v>28</v>
      </c>
      <c r="I1836" s="14" t="s">
        <v>20359</v>
      </c>
      <c r="J1836" s="130" t="s">
        <v>20360</v>
      </c>
      <c r="K1836" s="152" t="s">
        <v>23373</v>
      </c>
      <c r="L1836" s="20" t="s">
        <v>20364</v>
      </c>
      <c r="M1836" s="174" t="s">
        <v>20365</v>
      </c>
      <c r="N1836" s="84"/>
      <c r="O1836" s="84"/>
      <c r="P1836" s="84"/>
      <c r="Q1836" s="84"/>
      <c r="R1836" s="84"/>
      <c r="S1836" s="84"/>
      <c r="T1836" s="84"/>
      <c r="U1836" s="84"/>
      <c r="V1836" s="84"/>
      <c r="W1836" s="84"/>
      <c r="X1836" s="84"/>
    </row>
    <row r="1837" ht="15.75" customHeight="1">
      <c r="A1837" s="14" t="s">
        <v>120</v>
      </c>
      <c r="B1837" s="14">
        <v>2009.0</v>
      </c>
      <c r="C1837" s="14" t="s">
        <v>20366</v>
      </c>
      <c r="D1837" s="14" t="s">
        <v>20367</v>
      </c>
      <c r="E1837" s="150" t="str">
        <f t="shared" si="27"/>
        <v>http://dx.doi.org/10.1109/VAST.2009.5332595</v>
      </c>
      <c r="F1837" s="14">
        <v>27.0</v>
      </c>
      <c r="G1837" s="14">
        <v>34.0</v>
      </c>
      <c r="H1837" s="14" t="s">
        <v>28</v>
      </c>
      <c r="I1837" s="14" t="s">
        <v>23393</v>
      </c>
      <c r="J1837" s="130" t="s">
        <v>20369</v>
      </c>
      <c r="K1837" s="152" t="s">
        <v>23394</v>
      </c>
      <c r="L1837" s="20" t="s">
        <v>17421</v>
      </c>
      <c r="M1837" s="174" t="s">
        <v>20372</v>
      </c>
      <c r="N1837" s="84"/>
      <c r="O1837" s="84"/>
      <c r="P1837" s="84"/>
      <c r="Q1837" s="84"/>
      <c r="R1837" s="84"/>
      <c r="S1837" s="84"/>
      <c r="T1837" s="84"/>
      <c r="U1837" s="84"/>
      <c r="V1837" s="84"/>
      <c r="W1837" s="84"/>
      <c r="X1837" s="84"/>
    </row>
    <row r="1838" ht="15.75" customHeight="1">
      <c r="A1838" s="14" t="s">
        <v>120</v>
      </c>
      <c r="B1838" s="14">
        <v>2009.0</v>
      </c>
      <c r="C1838" s="14" t="s">
        <v>20373</v>
      </c>
      <c r="D1838" s="14" t="s">
        <v>20374</v>
      </c>
      <c r="E1838" s="150" t="str">
        <f t="shared" si="27"/>
        <v>http://dx.doi.org/10.1109/VAST.2009.5332596</v>
      </c>
      <c r="F1838" s="14">
        <v>35.0</v>
      </c>
      <c r="G1838" s="14">
        <v>42.0</v>
      </c>
      <c r="H1838" s="14" t="s">
        <v>28</v>
      </c>
      <c r="I1838" s="14" t="s">
        <v>20376</v>
      </c>
      <c r="J1838" s="130" t="s">
        <v>20377</v>
      </c>
      <c r="K1838" s="152" t="s">
        <v>23416</v>
      </c>
      <c r="L1838" s="20" t="s">
        <v>3421</v>
      </c>
      <c r="M1838" s="174" t="s">
        <v>33408</v>
      </c>
      <c r="N1838" s="84"/>
      <c r="O1838" s="84"/>
      <c r="P1838" s="84"/>
      <c r="Q1838" s="84"/>
      <c r="R1838" s="84"/>
      <c r="S1838" s="84"/>
      <c r="T1838" s="84"/>
      <c r="U1838" s="84"/>
      <c r="V1838" s="84"/>
      <c r="W1838" s="84"/>
      <c r="X1838" s="84"/>
    </row>
    <row r="1839" ht="15.75" customHeight="1">
      <c r="A1839" s="14" t="s">
        <v>120</v>
      </c>
      <c r="B1839" s="14">
        <v>2009.0</v>
      </c>
      <c r="C1839" s="14" t="s">
        <v>20379</v>
      </c>
      <c r="D1839" s="14" t="s">
        <v>20380</v>
      </c>
      <c r="E1839" s="150" t="str">
        <f t="shared" si="27"/>
        <v>http://dx.doi.org/10.1109/VAST.2009.5332610</v>
      </c>
      <c r="F1839" s="14">
        <v>43.0</v>
      </c>
      <c r="G1839" s="14">
        <v>50.0</v>
      </c>
      <c r="H1839" s="14" t="s">
        <v>28</v>
      </c>
      <c r="I1839" s="14" t="s">
        <v>20381</v>
      </c>
      <c r="J1839" s="130" t="s">
        <v>20382</v>
      </c>
      <c r="K1839" s="152" t="s">
        <v>23435</v>
      </c>
      <c r="L1839" s="20" t="s">
        <v>5419</v>
      </c>
      <c r="M1839" s="174" t="s">
        <v>20385</v>
      </c>
      <c r="N1839" s="84"/>
      <c r="O1839" s="84"/>
      <c r="P1839" s="84"/>
      <c r="Q1839" s="84"/>
      <c r="R1839" s="84"/>
      <c r="S1839" s="84"/>
      <c r="T1839" s="84"/>
      <c r="U1839" s="84"/>
      <c r="V1839" s="84"/>
      <c r="W1839" s="84"/>
      <c r="X1839" s="84"/>
    </row>
    <row r="1840" ht="15.75" customHeight="1">
      <c r="A1840" s="14" t="s">
        <v>120</v>
      </c>
      <c r="B1840" s="14">
        <v>2009.0</v>
      </c>
      <c r="C1840" s="14" t="s">
        <v>20386</v>
      </c>
      <c r="D1840" s="14" t="s">
        <v>20387</v>
      </c>
      <c r="E1840" s="150" t="str">
        <f t="shared" si="27"/>
        <v>http://dx.doi.org/10.1109/VAST.2009.5332611</v>
      </c>
      <c r="F1840" s="14">
        <v>51.0</v>
      </c>
      <c r="G1840" s="14">
        <v>58.0</v>
      </c>
      <c r="H1840" s="14" t="s">
        <v>28</v>
      </c>
      <c r="I1840" s="14" t="s">
        <v>20388</v>
      </c>
      <c r="J1840" s="130" t="s">
        <v>20389</v>
      </c>
      <c r="K1840" s="152" t="s">
        <v>23453</v>
      </c>
      <c r="L1840" s="20" t="s">
        <v>20391</v>
      </c>
      <c r="M1840" s="174" t="s">
        <v>20392</v>
      </c>
      <c r="N1840" s="84"/>
      <c r="O1840" s="84"/>
      <c r="P1840" s="84"/>
      <c r="Q1840" s="84"/>
      <c r="R1840" s="84"/>
      <c r="S1840" s="84"/>
      <c r="T1840" s="84"/>
      <c r="U1840" s="84"/>
      <c r="V1840" s="84"/>
      <c r="W1840" s="84"/>
      <c r="X1840" s="84"/>
    </row>
    <row r="1841" ht="15.75" customHeight="1">
      <c r="A1841" s="14" t="s">
        <v>120</v>
      </c>
      <c r="B1841" s="14">
        <v>2009.0</v>
      </c>
      <c r="C1841" s="14" t="s">
        <v>20393</v>
      </c>
      <c r="D1841" s="14" t="s">
        <v>20394</v>
      </c>
      <c r="E1841" s="150" t="str">
        <f t="shared" si="27"/>
        <v>http://dx.doi.org/10.1109/VAST.2009.5332628</v>
      </c>
      <c r="F1841" s="14">
        <v>59.0</v>
      </c>
      <c r="G1841" s="14">
        <v>66.0</v>
      </c>
      <c r="H1841" s="14" t="s">
        <v>28</v>
      </c>
      <c r="I1841" s="14" t="s">
        <v>20395</v>
      </c>
      <c r="J1841" s="130" t="s">
        <v>20396</v>
      </c>
      <c r="K1841" s="152" t="s">
        <v>23476</v>
      </c>
      <c r="L1841" s="20" t="s">
        <v>20399</v>
      </c>
      <c r="M1841" s="174" t="s">
        <v>33408</v>
      </c>
      <c r="N1841" s="84"/>
      <c r="O1841" s="84"/>
      <c r="P1841" s="84"/>
      <c r="Q1841" s="84"/>
      <c r="R1841" s="84"/>
      <c r="S1841" s="84"/>
      <c r="T1841" s="84"/>
      <c r="U1841" s="84"/>
      <c r="V1841" s="84"/>
      <c r="W1841" s="84"/>
      <c r="X1841" s="84"/>
    </row>
    <row r="1842" ht="15.75" customHeight="1">
      <c r="A1842" s="14" t="s">
        <v>120</v>
      </c>
      <c r="B1842" s="14">
        <v>2009.0</v>
      </c>
      <c r="C1842" s="14" t="s">
        <v>20400</v>
      </c>
      <c r="D1842" s="14" t="s">
        <v>20401</v>
      </c>
      <c r="E1842" s="150" t="str">
        <f t="shared" si="27"/>
        <v>http://dx.doi.org/10.1109/VAST.2009.5332629</v>
      </c>
      <c r="F1842" s="14">
        <v>67.0</v>
      </c>
      <c r="G1842" s="14">
        <v>74.0</v>
      </c>
      <c r="H1842" s="14" t="s">
        <v>28</v>
      </c>
      <c r="I1842" s="14" t="s">
        <v>20402</v>
      </c>
      <c r="J1842" s="130" t="s">
        <v>20403</v>
      </c>
      <c r="K1842" s="152" t="s">
        <v>16030</v>
      </c>
      <c r="L1842" s="20" t="s">
        <v>13005</v>
      </c>
      <c r="M1842" s="174" t="s">
        <v>20405</v>
      </c>
      <c r="N1842" s="84"/>
      <c r="O1842" s="84"/>
      <c r="P1842" s="84"/>
      <c r="Q1842" s="84"/>
      <c r="R1842" s="84"/>
      <c r="S1842" s="84"/>
      <c r="T1842" s="84"/>
      <c r="U1842" s="84"/>
      <c r="V1842" s="84"/>
      <c r="W1842" s="84"/>
      <c r="X1842" s="84"/>
    </row>
    <row r="1843" ht="15.75" customHeight="1">
      <c r="A1843" s="14" t="s">
        <v>120</v>
      </c>
      <c r="B1843" s="14">
        <v>2009.0</v>
      </c>
      <c r="C1843" s="14" t="s">
        <v>20406</v>
      </c>
      <c r="D1843" s="14" t="s">
        <v>20407</v>
      </c>
      <c r="E1843" s="150" t="str">
        <f t="shared" si="27"/>
        <v>http://dx.doi.org/10.1109/VAST.2009.5333020</v>
      </c>
      <c r="F1843" s="14">
        <v>131.0</v>
      </c>
      <c r="G1843" s="14">
        <v>138.0</v>
      </c>
      <c r="H1843" s="14" t="s">
        <v>28</v>
      </c>
      <c r="I1843" s="14" t="s">
        <v>20408</v>
      </c>
      <c r="J1843" s="130" t="s">
        <v>20409</v>
      </c>
      <c r="K1843" s="152" t="s">
        <v>23510</v>
      </c>
      <c r="L1843" s="20" t="s">
        <v>20412</v>
      </c>
      <c r="M1843" s="174" t="s">
        <v>20413</v>
      </c>
      <c r="N1843" s="84"/>
      <c r="O1843" s="84"/>
      <c r="P1843" s="84"/>
      <c r="Q1843" s="84"/>
      <c r="R1843" s="84"/>
      <c r="S1843" s="84"/>
      <c r="T1843" s="84"/>
      <c r="U1843" s="84"/>
      <c r="V1843" s="84"/>
      <c r="W1843" s="84"/>
      <c r="X1843" s="84"/>
    </row>
    <row r="1844" ht="15.75" customHeight="1">
      <c r="A1844" s="14" t="s">
        <v>120</v>
      </c>
      <c r="B1844" s="14">
        <v>2009.0</v>
      </c>
      <c r="C1844" s="14" t="s">
        <v>20414</v>
      </c>
      <c r="D1844" s="14" t="s">
        <v>20415</v>
      </c>
      <c r="E1844" s="150" t="str">
        <f t="shared" si="27"/>
        <v>http://dx.doi.org/10.1109/VAST.2009.5333023</v>
      </c>
      <c r="F1844" s="14">
        <v>123.0</v>
      </c>
      <c r="G1844" s="14">
        <v>130.0</v>
      </c>
      <c r="H1844" s="14" t="s">
        <v>28</v>
      </c>
      <c r="I1844" s="14" t="s">
        <v>20416</v>
      </c>
      <c r="J1844" s="130" t="s">
        <v>20417</v>
      </c>
      <c r="K1844" s="152" t="s">
        <v>23514</v>
      </c>
      <c r="L1844" s="20" t="s">
        <v>20420</v>
      </c>
      <c r="M1844" s="16"/>
      <c r="N1844" s="84"/>
      <c r="O1844" s="84"/>
      <c r="P1844" s="84"/>
      <c r="Q1844" s="84"/>
      <c r="R1844" s="84"/>
      <c r="S1844" s="84"/>
      <c r="T1844" s="84"/>
      <c r="U1844" s="84"/>
      <c r="V1844" s="84"/>
      <c r="W1844" s="84"/>
      <c r="X1844" s="84"/>
    </row>
    <row r="1845" ht="15.75" customHeight="1">
      <c r="A1845" s="14" t="s">
        <v>120</v>
      </c>
      <c r="B1845" s="14">
        <v>2009.0</v>
      </c>
      <c r="C1845" s="14" t="s">
        <v>20421</v>
      </c>
      <c r="D1845" s="14" t="s">
        <v>20423</v>
      </c>
      <c r="E1845" s="150" t="str">
        <f t="shared" si="27"/>
        <v>http://dx.doi.org/10.1109/VAST.2009.5333081</v>
      </c>
      <c r="F1845" s="14">
        <v>237.0</v>
      </c>
      <c r="G1845" s="14">
        <v>238.0</v>
      </c>
      <c r="H1845" s="14" t="s">
        <v>21</v>
      </c>
      <c r="I1845" s="14" t="s">
        <v>20424</v>
      </c>
      <c r="J1845" s="130" t="s">
        <v>20426</v>
      </c>
      <c r="K1845" s="152" t="s">
        <v>23535</v>
      </c>
      <c r="L1845" s="20"/>
      <c r="M1845" s="16"/>
      <c r="N1845" s="84"/>
      <c r="O1845" s="84"/>
      <c r="P1845" s="84"/>
      <c r="Q1845" s="84"/>
      <c r="R1845" s="84"/>
      <c r="S1845" s="84"/>
      <c r="T1845" s="84"/>
      <c r="U1845" s="84"/>
      <c r="V1845" s="84"/>
      <c r="W1845" s="84"/>
      <c r="X1845" s="84"/>
    </row>
    <row r="1846" ht="15.75" customHeight="1">
      <c r="A1846" s="14" t="s">
        <v>120</v>
      </c>
      <c r="B1846" s="14">
        <v>2009.0</v>
      </c>
      <c r="C1846" s="14" t="s">
        <v>20428</v>
      </c>
      <c r="D1846" s="14" t="s">
        <v>20429</v>
      </c>
      <c r="E1846" s="150" t="str">
        <f t="shared" si="27"/>
        <v>http://dx.doi.org/10.1109/VAST.2009.5333082</v>
      </c>
      <c r="F1846" s="14">
        <v>239.0</v>
      </c>
      <c r="G1846" s="14">
        <v>240.0</v>
      </c>
      <c r="H1846" s="14" t="s">
        <v>21</v>
      </c>
      <c r="I1846" s="14" t="s">
        <v>20430</v>
      </c>
      <c r="J1846" s="130" t="s">
        <v>20431</v>
      </c>
      <c r="K1846" s="152" t="s">
        <v>23554</v>
      </c>
      <c r="L1846" s="20"/>
      <c r="M1846" s="16"/>
      <c r="N1846" s="84"/>
      <c r="O1846" s="84"/>
      <c r="P1846" s="84"/>
      <c r="Q1846" s="84"/>
      <c r="R1846" s="84"/>
      <c r="S1846" s="84"/>
      <c r="T1846" s="84"/>
      <c r="U1846" s="84"/>
      <c r="V1846" s="84"/>
      <c r="W1846" s="84"/>
      <c r="X1846" s="84"/>
    </row>
    <row r="1847" ht="15.75" customHeight="1">
      <c r="A1847" s="14" t="s">
        <v>120</v>
      </c>
      <c r="B1847" s="14">
        <v>2009.0</v>
      </c>
      <c r="C1847" s="14" t="s">
        <v>20434</v>
      </c>
      <c r="D1847" s="14" t="s">
        <v>20435</v>
      </c>
      <c r="E1847" s="150" t="str">
        <f t="shared" si="27"/>
        <v>http://dx.doi.org/10.1109/VAST.2009.5333099</v>
      </c>
      <c r="F1847" s="14">
        <v>233.0</v>
      </c>
      <c r="G1847" s="14">
        <v>234.0</v>
      </c>
      <c r="H1847" s="14" t="s">
        <v>21</v>
      </c>
      <c r="I1847" s="14" t="s">
        <v>20436</v>
      </c>
      <c r="J1847" s="130" t="s">
        <v>20437</v>
      </c>
      <c r="K1847" s="152" t="s">
        <v>23574</v>
      </c>
      <c r="L1847" s="20"/>
      <c r="M1847" s="16"/>
      <c r="N1847" s="84"/>
      <c r="O1847" s="84"/>
      <c r="P1847" s="84"/>
      <c r="Q1847" s="84"/>
      <c r="R1847" s="84"/>
      <c r="S1847" s="84"/>
      <c r="T1847" s="84"/>
      <c r="U1847" s="84"/>
      <c r="V1847" s="84"/>
      <c r="W1847" s="84"/>
      <c r="X1847" s="84"/>
    </row>
    <row r="1848" ht="15.75" customHeight="1">
      <c r="A1848" s="14" t="s">
        <v>120</v>
      </c>
      <c r="B1848" s="14">
        <v>2009.0</v>
      </c>
      <c r="C1848" s="14" t="s">
        <v>20440</v>
      </c>
      <c r="D1848" s="14" t="s">
        <v>20441</v>
      </c>
      <c r="E1848" s="150" t="str">
        <f t="shared" si="27"/>
        <v>http://dx.doi.org/10.1109/VAST.2009.5333245</v>
      </c>
      <c r="F1848" s="14">
        <v>115.0</v>
      </c>
      <c r="G1848" s="14">
        <v>122.0</v>
      </c>
      <c r="H1848" s="14" t="s">
        <v>28</v>
      </c>
      <c r="I1848" s="14" t="s">
        <v>20443</v>
      </c>
      <c r="J1848" s="130" t="s">
        <v>20444</v>
      </c>
      <c r="K1848" s="152" t="s">
        <v>1253</v>
      </c>
      <c r="L1848" s="20" t="s">
        <v>17395</v>
      </c>
      <c r="M1848" s="174" t="s">
        <v>20447</v>
      </c>
      <c r="N1848" s="84"/>
      <c r="O1848" s="84"/>
      <c r="P1848" s="84"/>
      <c r="Q1848" s="84"/>
      <c r="R1848" s="84"/>
      <c r="S1848" s="84"/>
      <c r="T1848" s="84"/>
      <c r="U1848" s="84"/>
      <c r="V1848" s="84"/>
      <c r="W1848" s="84"/>
      <c r="X1848" s="84"/>
    </row>
    <row r="1849" ht="15.75" customHeight="1">
      <c r="A1849" s="14" t="s">
        <v>120</v>
      </c>
      <c r="B1849" s="14">
        <v>2009.0</v>
      </c>
      <c r="C1849" s="14" t="s">
        <v>20449</v>
      </c>
      <c r="D1849" s="14" t="s">
        <v>20450</v>
      </c>
      <c r="E1849" s="150" t="str">
        <f t="shared" si="27"/>
        <v>http://dx.doi.org/10.1109/VAST.2009.5333248</v>
      </c>
      <c r="F1849" s="14">
        <v>107.0</v>
      </c>
      <c r="G1849" s="14">
        <v>114.0</v>
      </c>
      <c r="H1849" s="14" t="s">
        <v>28</v>
      </c>
      <c r="I1849" s="14" t="s">
        <v>20451</v>
      </c>
      <c r="J1849" s="130" t="s">
        <v>20452</v>
      </c>
      <c r="K1849" s="152" t="s">
        <v>23615</v>
      </c>
      <c r="L1849" s="20" t="s">
        <v>20455</v>
      </c>
      <c r="M1849" s="174" t="s">
        <v>20456</v>
      </c>
      <c r="N1849" s="84"/>
      <c r="O1849" s="84"/>
      <c r="P1849" s="84"/>
      <c r="Q1849" s="84"/>
      <c r="R1849" s="84"/>
      <c r="S1849" s="84"/>
      <c r="T1849" s="84"/>
      <c r="U1849" s="84"/>
      <c r="V1849" s="84"/>
      <c r="W1849" s="84"/>
      <c r="X1849" s="84"/>
    </row>
    <row r="1850" ht="15.75" customHeight="1">
      <c r="A1850" s="14" t="s">
        <v>120</v>
      </c>
      <c r="B1850" s="14">
        <v>2009.0</v>
      </c>
      <c r="C1850" s="14" t="s">
        <v>20457</v>
      </c>
      <c r="D1850" s="14" t="s">
        <v>20458</v>
      </c>
      <c r="E1850" s="150" t="str">
        <f t="shared" si="27"/>
        <v>http://dx.doi.org/10.1109/VAST.2009.5333417</v>
      </c>
      <c r="F1850" s="14">
        <v>235.0</v>
      </c>
      <c r="G1850" s="14">
        <v>236.0</v>
      </c>
      <c r="H1850" s="14" t="s">
        <v>21</v>
      </c>
      <c r="I1850" s="14" t="s">
        <v>20459</v>
      </c>
      <c r="J1850" s="130" t="s">
        <v>20460</v>
      </c>
      <c r="K1850" s="152" t="s">
        <v>23633</v>
      </c>
      <c r="L1850" s="20"/>
      <c r="M1850" s="16"/>
      <c r="N1850" s="84"/>
      <c r="O1850" s="84"/>
      <c r="P1850" s="84"/>
      <c r="Q1850" s="84"/>
      <c r="R1850" s="84"/>
      <c r="S1850" s="84"/>
      <c r="T1850" s="84"/>
      <c r="U1850" s="84"/>
      <c r="V1850" s="84"/>
      <c r="W1850" s="84"/>
      <c r="X1850" s="84"/>
    </row>
    <row r="1851" ht="15.75" customHeight="1">
      <c r="A1851" s="14" t="s">
        <v>120</v>
      </c>
      <c r="B1851" s="14">
        <v>2009.0</v>
      </c>
      <c r="C1851" s="14" t="s">
        <v>20462</v>
      </c>
      <c r="D1851" s="14" t="s">
        <v>20463</v>
      </c>
      <c r="E1851" s="150" t="str">
        <f t="shared" si="27"/>
        <v>http://dx.doi.org/10.1109/VAST.2009.5333420</v>
      </c>
      <c r="F1851" s="14">
        <v>229.0</v>
      </c>
      <c r="G1851" s="14">
        <v>230.0</v>
      </c>
      <c r="H1851" s="14" t="s">
        <v>21</v>
      </c>
      <c r="I1851" s="14" t="s">
        <v>20465</v>
      </c>
      <c r="J1851" s="130" t="s">
        <v>20466</v>
      </c>
      <c r="K1851" s="152" t="s">
        <v>23653</v>
      </c>
      <c r="L1851" s="20"/>
      <c r="M1851" s="16"/>
      <c r="N1851" s="84"/>
      <c r="O1851" s="84"/>
      <c r="P1851" s="84"/>
      <c r="Q1851" s="84"/>
      <c r="R1851" s="84"/>
      <c r="S1851" s="84"/>
      <c r="T1851" s="84"/>
      <c r="U1851" s="84"/>
      <c r="V1851" s="84"/>
      <c r="W1851" s="84"/>
      <c r="X1851" s="84"/>
    </row>
    <row r="1852" ht="15.75" customHeight="1">
      <c r="A1852" s="14" t="s">
        <v>120</v>
      </c>
      <c r="B1852" s="14">
        <v>2009.0</v>
      </c>
      <c r="C1852" s="14" t="s">
        <v>20470</v>
      </c>
      <c r="D1852" s="14" t="s">
        <v>20471</v>
      </c>
      <c r="E1852" s="150" t="str">
        <f t="shared" si="27"/>
        <v>http://dx.doi.org/10.1109/VAST.2009.5333421</v>
      </c>
      <c r="F1852" s="14">
        <v>231.0</v>
      </c>
      <c r="G1852" s="14">
        <v>232.0</v>
      </c>
      <c r="H1852" s="14" t="s">
        <v>21</v>
      </c>
      <c r="I1852" s="14" t="s">
        <v>20472</v>
      </c>
      <c r="J1852" s="130" t="s">
        <v>41709</v>
      </c>
      <c r="K1852" s="152" t="s">
        <v>23670</v>
      </c>
      <c r="L1852" s="20"/>
      <c r="M1852" s="16"/>
      <c r="N1852" s="84"/>
      <c r="O1852" s="84"/>
      <c r="P1852" s="84"/>
      <c r="Q1852" s="84"/>
      <c r="R1852" s="84"/>
      <c r="S1852" s="84"/>
      <c r="T1852" s="84"/>
      <c r="U1852" s="84"/>
      <c r="V1852" s="84"/>
      <c r="W1852" s="84"/>
      <c r="X1852" s="84"/>
    </row>
    <row r="1853" ht="15.75" customHeight="1">
      <c r="A1853" s="14" t="s">
        <v>120</v>
      </c>
      <c r="B1853" s="14">
        <v>2009.0</v>
      </c>
      <c r="C1853" s="14" t="s">
        <v>20476</v>
      </c>
      <c r="D1853" s="14" t="s">
        <v>20477</v>
      </c>
      <c r="E1853" s="150" t="str">
        <f t="shared" si="27"/>
        <v>http://dx.doi.org/10.1109/VAST.2009.5333428</v>
      </c>
      <c r="F1853" s="14">
        <v>83.0</v>
      </c>
      <c r="G1853" s="14">
        <v>90.0</v>
      </c>
      <c r="H1853" s="14" t="s">
        <v>28</v>
      </c>
      <c r="I1853" s="14" t="s">
        <v>20478</v>
      </c>
      <c r="J1853" s="130" t="s">
        <v>20479</v>
      </c>
      <c r="K1853" s="152" t="s">
        <v>23693</v>
      </c>
      <c r="L1853" s="20"/>
      <c r="M1853" s="16"/>
      <c r="N1853" s="84"/>
      <c r="O1853" s="84"/>
      <c r="P1853" s="84"/>
      <c r="Q1853" s="84"/>
      <c r="R1853" s="84"/>
      <c r="S1853" s="84"/>
      <c r="T1853" s="84"/>
      <c r="U1853" s="84"/>
      <c r="V1853" s="84"/>
      <c r="W1853" s="84"/>
      <c r="X1853" s="84"/>
    </row>
    <row r="1854" ht="15.75" customHeight="1">
      <c r="A1854" s="14" t="s">
        <v>120</v>
      </c>
      <c r="B1854" s="14">
        <v>2009.0</v>
      </c>
      <c r="C1854" s="14" t="s">
        <v>20482</v>
      </c>
      <c r="D1854" s="14" t="s">
        <v>20483</v>
      </c>
      <c r="E1854" s="150" t="str">
        <f t="shared" si="27"/>
        <v>http://dx.doi.org/10.1109/VAST.2009.5333431</v>
      </c>
      <c r="F1854" s="14">
        <v>75.0</v>
      </c>
      <c r="G1854" s="14">
        <v>82.0</v>
      </c>
      <c r="H1854" s="14" t="s">
        <v>28</v>
      </c>
      <c r="I1854" s="14" t="s">
        <v>20486</v>
      </c>
      <c r="J1854" s="130" t="s">
        <v>20487</v>
      </c>
      <c r="K1854" s="152" t="s">
        <v>23711</v>
      </c>
      <c r="L1854" s="20" t="s">
        <v>20490</v>
      </c>
      <c r="M1854" s="174" t="s">
        <v>20491</v>
      </c>
      <c r="N1854" s="84"/>
      <c r="O1854" s="84"/>
      <c r="P1854" s="84"/>
      <c r="Q1854" s="84"/>
      <c r="R1854" s="84"/>
      <c r="S1854" s="84"/>
      <c r="T1854" s="84"/>
      <c r="U1854" s="84"/>
      <c r="V1854" s="84"/>
      <c r="W1854" s="84"/>
      <c r="X1854" s="84"/>
    </row>
    <row r="1855" ht="15.75" customHeight="1">
      <c r="A1855" s="14" t="s">
        <v>120</v>
      </c>
      <c r="B1855" s="14">
        <v>2009.0</v>
      </c>
      <c r="C1855" s="14" t="s">
        <v>20492</v>
      </c>
      <c r="D1855" s="14" t="s">
        <v>20493</v>
      </c>
      <c r="E1855" s="150" t="str">
        <f t="shared" si="27"/>
        <v>http://dx.doi.org/10.1109/VAST.2009.5333436</v>
      </c>
      <c r="F1855" s="14">
        <v>225.0</v>
      </c>
      <c r="G1855" s="14">
        <v>226.0</v>
      </c>
      <c r="H1855" s="14" t="s">
        <v>21</v>
      </c>
      <c r="I1855" s="14" t="s">
        <v>20494</v>
      </c>
      <c r="J1855" s="130" t="s">
        <v>20495</v>
      </c>
      <c r="K1855" s="152" t="s">
        <v>23732</v>
      </c>
      <c r="L1855" s="20"/>
      <c r="M1855" s="16"/>
      <c r="N1855" s="84"/>
      <c r="O1855" s="84"/>
      <c r="P1855" s="84"/>
      <c r="Q1855" s="84"/>
      <c r="R1855" s="84"/>
      <c r="S1855" s="84"/>
      <c r="T1855" s="84"/>
      <c r="U1855" s="84"/>
      <c r="V1855" s="84"/>
      <c r="W1855" s="84"/>
      <c r="X1855" s="84"/>
    </row>
    <row r="1856" ht="15.75" customHeight="1">
      <c r="A1856" s="14" t="s">
        <v>120</v>
      </c>
      <c r="B1856" s="14">
        <v>2009.0</v>
      </c>
      <c r="C1856" s="14" t="s">
        <v>20497</v>
      </c>
      <c r="D1856" s="14" t="s">
        <v>20498</v>
      </c>
      <c r="E1856" s="150" t="str">
        <f t="shared" si="27"/>
        <v>http://dx.doi.org/10.1109/VAST.2009.5333437</v>
      </c>
      <c r="F1856" s="14">
        <v>99.0</v>
      </c>
      <c r="G1856" s="14">
        <v>106.0</v>
      </c>
      <c r="H1856" s="14" t="s">
        <v>28</v>
      </c>
      <c r="I1856" s="14" t="s">
        <v>20499</v>
      </c>
      <c r="J1856" s="130" t="s">
        <v>20500</v>
      </c>
      <c r="K1856" s="152" t="s">
        <v>23754</v>
      </c>
      <c r="L1856" s="20" t="s">
        <v>20503</v>
      </c>
      <c r="M1856" s="16"/>
      <c r="N1856" s="84"/>
      <c r="O1856" s="84"/>
      <c r="P1856" s="84"/>
      <c r="Q1856" s="84"/>
      <c r="R1856" s="84"/>
      <c r="S1856" s="84"/>
      <c r="T1856" s="84"/>
      <c r="U1856" s="84"/>
      <c r="V1856" s="84"/>
      <c r="W1856" s="84"/>
      <c r="X1856" s="84"/>
    </row>
    <row r="1857" ht="15.75" customHeight="1">
      <c r="A1857" s="14" t="s">
        <v>120</v>
      </c>
      <c r="B1857" s="14">
        <v>2009.0</v>
      </c>
      <c r="C1857" s="14" t="s">
        <v>20504</v>
      </c>
      <c r="D1857" s="14" t="s">
        <v>20505</v>
      </c>
      <c r="E1857" s="150" t="str">
        <f t="shared" si="27"/>
        <v>http://dx.doi.org/10.1109/VAST.2009.5333438</v>
      </c>
      <c r="F1857" s="14">
        <v>227.0</v>
      </c>
      <c r="G1857" s="14">
        <v>228.0</v>
      </c>
      <c r="H1857" s="14" t="s">
        <v>21</v>
      </c>
      <c r="I1857" s="14" t="s">
        <v>20506</v>
      </c>
      <c r="J1857" s="130" t="s">
        <v>20507</v>
      </c>
      <c r="K1857" s="152" t="s">
        <v>23764</v>
      </c>
      <c r="L1857" s="20"/>
      <c r="M1857" s="16"/>
      <c r="N1857" s="84"/>
      <c r="O1857" s="84"/>
      <c r="P1857" s="84"/>
      <c r="Q1857" s="84"/>
      <c r="R1857" s="84"/>
      <c r="S1857" s="84"/>
      <c r="T1857" s="84"/>
      <c r="U1857" s="84"/>
      <c r="V1857" s="84"/>
      <c r="W1857" s="84"/>
      <c r="X1857" s="84"/>
    </row>
    <row r="1858" ht="15.75" customHeight="1">
      <c r="A1858" s="14" t="s">
        <v>120</v>
      </c>
      <c r="B1858" s="14">
        <v>2009.0</v>
      </c>
      <c r="C1858" s="14" t="s">
        <v>20509</v>
      </c>
      <c r="D1858" s="14" t="s">
        <v>20510</v>
      </c>
      <c r="E1858" s="150" t="str">
        <f t="shared" si="27"/>
        <v>http://dx.doi.org/10.1109/VAST.2009.5333443</v>
      </c>
      <c r="F1858" s="14">
        <v>91.0</v>
      </c>
      <c r="G1858" s="14">
        <v>98.0</v>
      </c>
      <c r="H1858" s="14" t="s">
        <v>28</v>
      </c>
      <c r="I1858" s="14" t="s">
        <v>20512</v>
      </c>
      <c r="J1858" s="130" t="s">
        <v>20513</v>
      </c>
      <c r="K1858" s="152" t="s">
        <v>22099</v>
      </c>
      <c r="L1858" s="20" t="s">
        <v>20516</v>
      </c>
      <c r="M1858" s="174" t="s">
        <v>20517</v>
      </c>
      <c r="N1858" s="84"/>
      <c r="O1858" s="84"/>
      <c r="P1858" s="84"/>
      <c r="Q1858" s="84"/>
      <c r="R1858" s="84"/>
      <c r="S1858" s="84"/>
      <c r="T1858" s="84"/>
      <c r="U1858" s="84"/>
      <c r="V1858" s="84"/>
      <c r="W1858" s="84"/>
      <c r="X1858" s="84"/>
    </row>
    <row r="1859" ht="15.75" customHeight="1">
      <c r="A1859" s="14" t="s">
        <v>120</v>
      </c>
      <c r="B1859" s="14">
        <v>2009.0</v>
      </c>
      <c r="C1859" s="14" t="s">
        <v>20519</v>
      </c>
      <c r="D1859" s="14" t="s">
        <v>20520</v>
      </c>
      <c r="E1859" s="150" t="str">
        <f t="shared" si="27"/>
        <v>http://dx.doi.org/10.1109/VAST.2009.5333451</v>
      </c>
      <c r="F1859" s="14">
        <v>221.0</v>
      </c>
      <c r="G1859" s="14">
        <v>222.0</v>
      </c>
      <c r="H1859" s="14" t="s">
        <v>21</v>
      </c>
      <c r="I1859" s="14" t="s">
        <v>20521</v>
      </c>
      <c r="J1859" s="130" t="s">
        <v>20522</v>
      </c>
      <c r="K1859" s="152" t="s">
        <v>5349</v>
      </c>
      <c r="L1859" s="20"/>
      <c r="M1859" s="16"/>
      <c r="N1859" s="84"/>
      <c r="O1859" s="84"/>
      <c r="P1859" s="84"/>
      <c r="Q1859" s="84"/>
      <c r="R1859" s="84"/>
      <c r="S1859" s="84"/>
      <c r="T1859" s="84"/>
      <c r="U1859" s="84"/>
      <c r="V1859" s="84"/>
      <c r="W1859" s="84"/>
      <c r="X1859" s="84"/>
    </row>
    <row r="1860" ht="15.75" customHeight="1">
      <c r="A1860" s="14" t="s">
        <v>120</v>
      </c>
      <c r="B1860" s="14">
        <v>2009.0</v>
      </c>
      <c r="C1860" s="14" t="s">
        <v>20525</v>
      </c>
      <c r="D1860" s="14" t="s">
        <v>20526</v>
      </c>
      <c r="E1860" s="150" t="str">
        <f t="shared" si="27"/>
        <v>http://dx.doi.org/10.1109/VAST.2009.5333453</v>
      </c>
      <c r="F1860" s="14">
        <v>223.0</v>
      </c>
      <c r="G1860" s="14">
        <v>224.0</v>
      </c>
      <c r="H1860" s="14" t="s">
        <v>21</v>
      </c>
      <c r="I1860" s="14" t="s">
        <v>20527</v>
      </c>
      <c r="J1860" s="130" t="s">
        <v>20528</v>
      </c>
      <c r="K1860" s="152" t="s">
        <v>23820</v>
      </c>
      <c r="L1860" s="20"/>
      <c r="M1860" s="16"/>
      <c r="N1860" s="84"/>
      <c r="O1860" s="84"/>
      <c r="P1860" s="84"/>
      <c r="Q1860" s="84"/>
      <c r="R1860" s="84"/>
      <c r="S1860" s="84"/>
      <c r="T1860" s="84"/>
      <c r="U1860" s="84"/>
      <c r="V1860" s="84"/>
      <c r="W1860" s="84"/>
      <c r="X1860" s="84"/>
    </row>
    <row r="1861" ht="15.75" customHeight="1">
      <c r="A1861" s="14" t="s">
        <v>120</v>
      </c>
      <c r="B1861" s="14">
        <v>2009.0</v>
      </c>
      <c r="C1861" s="14" t="s">
        <v>20532</v>
      </c>
      <c r="D1861" s="14" t="s">
        <v>20533</v>
      </c>
      <c r="E1861" s="150" t="str">
        <f t="shared" si="27"/>
        <v>http://dx.doi.org/10.1109/VAST.2009.5333468</v>
      </c>
      <c r="F1861" s="14">
        <v>217.0</v>
      </c>
      <c r="G1861" s="14">
        <v>218.0</v>
      </c>
      <c r="H1861" s="14" t="s">
        <v>21</v>
      </c>
      <c r="I1861" s="14" t="s">
        <v>20535</v>
      </c>
      <c r="J1861" s="130" t="s">
        <v>20536</v>
      </c>
      <c r="K1861" s="152" t="s">
        <v>14774</v>
      </c>
      <c r="L1861" s="20"/>
      <c r="M1861" s="16"/>
      <c r="N1861" s="84"/>
      <c r="O1861" s="84"/>
      <c r="P1861" s="84"/>
      <c r="Q1861" s="84"/>
      <c r="R1861" s="84"/>
      <c r="S1861" s="84"/>
      <c r="T1861" s="84"/>
      <c r="U1861" s="84"/>
      <c r="V1861" s="84"/>
      <c r="W1861" s="84"/>
      <c r="X1861" s="84"/>
    </row>
    <row r="1862" ht="15.75" customHeight="1">
      <c r="A1862" s="14" t="s">
        <v>120</v>
      </c>
      <c r="B1862" s="14">
        <v>2009.0</v>
      </c>
      <c r="C1862" s="14" t="s">
        <v>20538</v>
      </c>
      <c r="D1862" s="14" t="s">
        <v>20539</v>
      </c>
      <c r="E1862" s="150" t="str">
        <f t="shared" si="27"/>
        <v>http://dx.doi.org/10.1109/VAST.2009.5333469</v>
      </c>
      <c r="F1862" s="14">
        <v>219.0</v>
      </c>
      <c r="G1862" s="14">
        <v>220.0</v>
      </c>
      <c r="H1862" s="14" t="s">
        <v>21</v>
      </c>
      <c r="I1862" s="14" t="s">
        <v>20540</v>
      </c>
      <c r="J1862" s="130" t="s">
        <v>20541</v>
      </c>
      <c r="K1862" s="152" t="s">
        <v>23866</v>
      </c>
      <c r="L1862" s="20"/>
      <c r="M1862" s="16"/>
      <c r="N1862" s="84"/>
      <c r="O1862" s="84"/>
      <c r="P1862" s="84"/>
      <c r="Q1862" s="84"/>
      <c r="R1862" s="84"/>
      <c r="S1862" s="84"/>
      <c r="T1862" s="84"/>
      <c r="U1862" s="84"/>
      <c r="V1862" s="84"/>
      <c r="W1862" s="84"/>
      <c r="X1862" s="84"/>
    </row>
    <row r="1863" ht="15.75" customHeight="1">
      <c r="A1863" s="14" t="s">
        <v>120</v>
      </c>
      <c r="B1863" s="14">
        <v>2009.0</v>
      </c>
      <c r="C1863" s="14" t="s">
        <v>20543</v>
      </c>
      <c r="D1863" s="14" t="s">
        <v>20544</v>
      </c>
      <c r="E1863" s="150" t="str">
        <f t="shared" si="27"/>
        <v>http://dx.doi.org/10.1109/VAST.2009.5333472</v>
      </c>
      <c r="F1863" s="14">
        <v>213.0</v>
      </c>
      <c r="G1863" s="14">
        <v>214.0</v>
      </c>
      <c r="H1863" s="14" t="s">
        <v>21</v>
      </c>
      <c r="I1863" s="14" t="s">
        <v>20545</v>
      </c>
      <c r="J1863" s="130" t="s">
        <v>20546</v>
      </c>
      <c r="K1863" s="152" t="s">
        <v>23882</v>
      </c>
      <c r="L1863" s="20"/>
      <c r="M1863" s="16"/>
      <c r="N1863" s="84"/>
      <c r="O1863" s="84"/>
      <c r="P1863" s="84"/>
      <c r="Q1863" s="84"/>
      <c r="R1863" s="84"/>
      <c r="S1863" s="84"/>
      <c r="T1863" s="84"/>
      <c r="U1863" s="84"/>
      <c r="V1863" s="84"/>
      <c r="W1863" s="84"/>
      <c r="X1863" s="84"/>
    </row>
    <row r="1864" ht="15.75" customHeight="1">
      <c r="A1864" s="14" t="s">
        <v>120</v>
      </c>
      <c r="B1864" s="14">
        <v>2009.0</v>
      </c>
      <c r="C1864" s="14" t="s">
        <v>20549</v>
      </c>
      <c r="D1864" s="14" t="s">
        <v>20550</v>
      </c>
      <c r="E1864" s="150" t="str">
        <f t="shared" si="27"/>
        <v>http://dx.doi.org/10.1109/VAST.2009.5333474</v>
      </c>
      <c r="F1864" s="14">
        <v>215.0</v>
      </c>
      <c r="G1864" s="14">
        <v>216.0</v>
      </c>
      <c r="H1864" s="14" t="s">
        <v>21</v>
      </c>
      <c r="I1864" s="14" t="s">
        <v>20552</v>
      </c>
      <c r="J1864" s="130" t="s">
        <v>17397</v>
      </c>
      <c r="K1864" s="152" t="s">
        <v>23886</v>
      </c>
      <c r="L1864" s="20"/>
      <c r="M1864" s="16"/>
      <c r="N1864" s="84"/>
      <c r="O1864" s="84"/>
      <c r="P1864" s="84"/>
      <c r="Q1864" s="84"/>
      <c r="R1864" s="84"/>
      <c r="S1864" s="84"/>
      <c r="T1864" s="84"/>
      <c r="U1864" s="84"/>
      <c r="V1864" s="84"/>
      <c r="W1864" s="84"/>
      <c r="X1864" s="84"/>
    </row>
    <row r="1865" ht="15.75" customHeight="1">
      <c r="A1865" s="14" t="s">
        <v>120</v>
      </c>
      <c r="B1865" s="14">
        <v>2009.0</v>
      </c>
      <c r="C1865" s="14" t="s">
        <v>20554</v>
      </c>
      <c r="D1865" s="14" t="s">
        <v>20555</v>
      </c>
      <c r="E1865" s="150" t="str">
        <f t="shared" si="27"/>
        <v>http://dx.doi.org/10.1109/VAST.2009.5333564</v>
      </c>
      <c r="F1865" s="14">
        <v>203.0</v>
      </c>
      <c r="G1865" s="14">
        <v>210.0</v>
      </c>
      <c r="H1865" s="14" t="s">
        <v>28</v>
      </c>
      <c r="I1865" s="14" t="s">
        <v>20556</v>
      </c>
      <c r="J1865" s="130" t="s">
        <v>20557</v>
      </c>
      <c r="K1865" s="152" t="s">
        <v>23888</v>
      </c>
      <c r="L1865" s="20" t="s">
        <v>20559</v>
      </c>
      <c r="M1865" s="174" t="s">
        <v>20560</v>
      </c>
      <c r="N1865" s="84"/>
      <c r="O1865" s="84"/>
      <c r="P1865" s="84"/>
      <c r="Q1865" s="84"/>
      <c r="R1865" s="84"/>
      <c r="S1865" s="84"/>
      <c r="T1865" s="84"/>
      <c r="U1865" s="84"/>
      <c r="V1865" s="84"/>
      <c r="W1865" s="84"/>
      <c r="X1865" s="84"/>
    </row>
    <row r="1866" ht="15.75" customHeight="1">
      <c r="A1866" s="14" t="s">
        <v>120</v>
      </c>
      <c r="B1866" s="14">
        <v>2009.0</v>
      </c>
      <c r="C1866" s="14" t="s">
        <v>20561</v>
      </c>
      <c r="D1866" s="14" t="s">
        <v>20562</v>
      </c>
      <c r="E1866" s="150" t="str">
        <f t="shared" si="27"/>
        <v>http://dx.doi.org/10.1109/VAST.2009.5333878</v>
      </c>
      <c r="F1866" s="14">
        <v>139.0</v>
      </c>
      <c r="G1866" s="14">
        <v>146.0</v>
      </c>
      <c r="H1866" s="14" t="s">
        <v>28</v>
      </c>
      <c r="I1866" s="14" t="s">
        <v>20563</v>
      </c>
      <c r="J1866" s="130" t="s">
        <v>20565</v>
      </c>
      <c r="K1866" s="152" t="s">
        <v>23891</v>
      </c>
      <c r="L1866" s="20" t="s">
        <v>20568</v>
      </c>
      <c r="M1866" s="16"/>
      <c r="N1866" s="84"/>
      <c r="O1866" s="84"/>
      <c r="P1866" s="84"/>
      <c r="Q1866" s="84"/>
      <c r="R1866" s="84"/>
      <c r="S1866" s="84"/>
      <c r="T1866" s="84"/>
      <c r="U1866" s="84"/>
      <c r="V1866" s="84"/>
      <c r="W1866" s="84"/>
      <c r="X1866" s="84"/>
    </row>
    <row r="1867" ht="15.75" customHeight="1">
      <c r="A1867" s="14" t="s">
        <v>120</v>
      </c>
      <c r="B1867" s="14">
        <v>2009.0</v>
      </c>
      <c r="C1867" s="14" t="s">
        <v>20570</v>
      </c>
      <c r="D1867" s="14" t="s">
        <v>20571</v>
      </c>
      <c r="E1867" s="150" t="str">
        <f t="shared" si="27"/>
        <v>http://dx.doi.org/10.1109/VAST.2009.5333880</v>
      </c>
      <c r="F1867" s="14">
        <v>147.0</v>
      </c>
      <c r="G1867" s="14">
        <v>154.0</v>
      </c>
      <c r="H1867" s="14" t="s">
        <v>28</v>
      </c>
      <c r="I1867" s="14" t="s">
        <v>20572</v>
      </c>
      <c r="J1867" s="130" t="s">
        <v>20573</v>
      </c>
      <c r="K1867" s="152" t="s">
        <v>15976</v>
      </c>
      <c r="L1867" s="20" t="s">
        <v>20575</v>
      </c>
      <c r="M1867" s="174" t="s">
        <v>20576</v>
      </c>
      <c r="N1867" s="84"/>
      <c r="O1867" s="84"/>
      <c r="P1867" s="84"/>
      <c r="Q1867" s="84"/>
      <c r="R1867" s="84"/>
      <c r="S1867" s="84"/>
      <c r="T1867" s="84"/>
      <c r="U1867" s="84"/>
      <c r="V1867" s="84"/>
      <c r="W1867" s="84"/>
      <c r="X1867" s="84"/>
    </row>
    <row r="1868" ht="15.75" customHeight="1">
      <c r="A1868" s="14" t="s">
        <v>120</v>
      </c>
      <c r="B1868" s="14">
        <v>2009.0</v>
      </c>
      <c r="C1868" s="14" t="s">
        <v>20577</v>
      </c>
      <c r="D1868" s="14" t="s">
        <v>20578</v>
      </c>
      <c r="E1868" s="150" t="str">
        <f t="shared" si="27"/>
        <v>http://dx.doi.org/10.1109/VAST.2009.5333893</v>
      </c>
      <c r="F1868" s="14">
        <v>155.0</v>
      </c>
      <c r="G1868" s="14">
        <v>162.0</v>
      </c>
      <c r="H1868" s="14" t="s">
        <v>28</v>
      </c>
      <c r="I1868" s="14" t="s">
        <v>20580</v>
      </c>
      <c r="J1868" s="130" t="s">
        <v>20581</v>
      </c>
      <c r="K1868" s="152" t="s">
        <v>23895</v>
      </c>
      <c r="L1868" s="20" t="s">
        <v>20585</v>
      </c>
      <c r="M1868" s="16"/>
      <c r="N1868" s="84"/>
      <c r="O1868" s="84"/>
      <c r="P1868" s="84"/>
      <c r="Q1868" s="84"/>
      <c r="R1868" s="84"/>
      <c r="S1868" s="84"/>
      <c r="T1868" s="84"/>
      <c r="U1868" s="84"/>
      <c r="V1868" s="84"/>
      <c r="W1868" s="84"/>
      <c r="X1868" s="84"/>
    </row>
    <row r="1869" ht="15.75" customHeight="1">
      <c r="A1869" s="14" t="s">
        <v>120</v>
      </c>
      <c r="B1869" s="14">
        <v>2009.0</v>
      </c>
      <c r="C1869" s="14" t="s">
        <v>20587</v>
      </c>
      <c r="D1869" s="14" t="s">
        <v>20588</v>
      </c>
      <c r="E1869" s="150" t="str">
        <f t="shared" si="27"/>
        <v>http://dx.doi.org/10.1109/VAST.2009.5333895</v>
      </c>
      <c r="F1869" s="14">
        <v>163.0</v>
      </c>
      <c r="G1869" s="14">
        <v>170.0</v>
      </c>
      <c r="H1869" s="14" t="s">
        <v>28</v>
      </c>
      <c r="I1869" s="14" t="s">
        <v>20589</v>
      </c>
      <c r="J1869" s="130" t="s">
        <v>20590</v>
      </c>
      <c r="K1869" s="152" t="s">
        <v>178</v>
      </c>
      <c r="L1869" s="20" t="s">
        <v>20592</v>
      </c>
      <c r="M1869" s="174" t="s">
        <v>20593</v>
      </c>
      <c r="N1869" s="84"/>
      <c r="O1869" s="84"/>
      <c r="P1869" s="84"/>
      <c r="Q1869" s="84"/>
      <c r="R1869" s="84"/>
      <c r="S1869" s="84"/>
      <c r="T1869" s="84"/>
      <c r="U1869" s="84"/>
      <c r="V1869" s="84"/>
      <c r="W1869" s="84"/>
      <c r="X1869" s="84"/>
    </row>
    <row r="1870" ht="15.75" customHeight="1">
      <c r="A1870" s="14" t="s">
        <v>120</v>
      </c>
      <c r="B1870" s="14">
        <v>2009.0</v>
      </c>
      <c r="C1870" s="14" t="s">
        <v>20594</v>
      </c>
      <c r="D1870" s="14" t="s">
        <v>20595</v>
      </c>
      <c r="E1870" s="150" t="str">
        <f t="shared" si="27"/>
        <v>http://dx.doi.org/10.1109/VAST.2009.5333911</v>
      </c>
      <c r="F1870" s="14">
        <v>179.0</v>
      </c>
      <c r="G1870" s="14">
        <v>186.0</v>
      </c>
      <c r="H1870" s="14" t="s">
        <v>28</v>
      </c>
      <c r="I1870" s="14" t="s">
        <v>20597</v>
      </c>
      <c r="J1870" s="130" t="s">
        <v>20598</v>
      </c>
      <c r="K1870" s="152" t="s">
        <v>23898</v>
      </c>
      <c r="L1870" s="20" t="s">
        <v>20601</v>
      </c>
      <c r="M1870" s="174" t="s">
        <v>20602</v>
      </c>
      <c r="N1870" s="84"/>
      <c r="O1870" s="84"/>
      <c r="P1870" s="84"/>
      <c r="Q1870" s="84"/>
      <c r="R1870" s="84"/>
      <c r="S1870" s="84"/>
      <c r="T1870" s="84"/>
      <c r="U1870" s="84"/>
      <c r="V1870" s="84"/>
      <c r="W1870" s="84"/>
      <c r="X1870" s="84"/>
    </row>
    <row r="1871" ht="15.75" customHeight="1">
      <c r="A1871" s="14" t="s">
        <v>120</v>
      </c>
      <c r="B1871" s="14">
        <v>2009.0</v>
      </c>
      <c r="C1871" s="14" t="s">
        <v>20603</v>
      </c>
      <c r="D1871" s="14" t="s">
        <v>20604</v>
      </c>
      <c r="E1871" s="150" t="str">
        <f t="shared" si="27"/>
        <v>http://dx.doi.org/10.1109/VAST.2009.5333917</v>
      </c>
      <c r="F1871" s="14">
        <v>171.0</v>
      </c>
      <c r="G1871" s="14">
        <v>178.0</v>
      </c>
      <c r="H1871" s="14" t="s">
        <v>28</v>
      </c>
      <c r="I1871" s="14" t="s">
        <v>20605</v>
      </c>
      <c r="J1871" s="130" t="s">
        <v>20606</v>
      </c>
      <c r="K1871" s="152" t="s">
        <v>23900</v>
      </c>
      <c r="L1871" s="20" t="s">
        <v>1437</v>
      </c>
      <c r="M1871" s="174" t="s">
        <v>20609</v>
      </c>
      <c r="N1871" s="84"/>
      <c r="O1871" s="84"/>
      <c r="P1871" s="84"/>
      <c r="Q1871" s="84"/>
      <c r="R1871" s="84"/>
      <c r="S1871" s="84"/>
      <c r="T1871" s="84"/>
      <c r="U1871" s="84"/>
      <c r="V1871" s="84"/>
      <c r="W1871" s="84"/>
      <c r="X1871" s="84"/>
    </row>
    <row r="1872" ht="15.75" customHeight="1">
      <c r="A1872" s="14" t="s">
        <v>120</v>
      </c>
      <c r="B1872" s="14">
        <v>2009.0</v>
      </c>
      <c r="C1872" s="14" t="s">
        <v>20610</v>
      </c>
      <c r="D1872" s="14" t="s">
        <v>20611</v>
      </c>
      <c r="E1872" s="150" t="str">
        <f t="shared" si="27"/>
        <v>http://dx.doi.org/10.1109/VAST.2009.5333919</v>
      </c>
      <c r="F1872" s="14">
        <v>187.0</v>
      </c>
      <c r="G1872" s="14">
        <v>194.0</v>
      </c>
      <c r="H1872" s="14" t="s">
        <v>28</v>
      </c>
      <c r="I1872" s="14" t="s">
        <v>20612</v>
      </c>
      <c r="J1872" s="130" t="s">
        <v>20613</v>
      </c>
      <c r="K1872" s="152" t="s">
        <v>23476</v>
      </c>
      <c r="L1872" s="20"/>
      <c r="M1872" s="174" t="s">
        <v>20616</v>
      </c>
      <c r="N1872" s="84"/>
      <c r="O1872" s="84"/>
      <c r="P1872" s="84"/>
      <c r="Q1872" s="84"/>
      <c r="R1872" s="84"/>
      <c r="S1872" s="84"/>
      <c r="T1872" s="84"/>
      <c r="U1872" s="84"/>
      <c r="V1872" s="84"/>
      <c r="W1872" s="84"/>
      <c r="X1872" s="84"/>
    </row>
    <row r="1873" ht="15.75" customHeight="1">
      <c r="A1873" s="14" t="s">
        <v>120</v>
      </c>
      <c r="B1873" s="14">
        <v>2009.0</v>
      </c>
      <c r="C1873" s="14" t="s">
        <v>20618</v>
      </c>
      <c r="D1873" s="14" t="s">
        <v>20620</v>
      </c>
      <c r="E1873" s="150" t="str">
        <f t="shared" si="27"/>
        <v>http://dx.doi.org/10.1109/VAST.2009.5333920</v>
      </c>
      <c r="F1873" s="14">
        <v>195.0</v>
      </c>
      <c r="G1873" s="14">
        <v>202.0</v>
      </c>
      <c r="H1873" s="14" t="s">
        <v>28</v>
      </c>
      <c r="I1873" s="14" t="s">
        <v>20621</v>
      </c>
      <c r="J1873" s="130" t="s">
        <v>20622</v>
      </c>
      <c r="K1873" s="152" t="s">
        <v>23904</v>
      </c>
      <c r="L1873" s="20" t="s">
        <v>20625</v>
      </c>
      <c r="M1873" s="174" t="s">
        <v>20626</v>
      </c>
      <c r="N1873" s="84"/>
      <c r="O1873" s="84"/>
      <c r="P1873" s="84"/>
      <c r="Q1873" s="84"/>
      <c r="R1873" s="84"/>
      <c r="S1873" s="84"/>
      <c r="T1873" s="84"/>
      <c r="U1873" s="84"/>
      <c r="V1873" s="84"/>
      <c r="W1873" s="84"/>
      <c r="X1873" s="84"/>
    </row>
    <row r="1874" ht="15.75" customHeight="1">
      <c r="A1874" s="14" t="s">
        <v>120</v>
      </c>
      <c r="B1874" s="14">
        <v>2009.0</v>
      </c>
      <c r="C1874" s="14" t="s">
        <v>20627</v>
      </c>
      <c r="D1874" s="14" t="s">
        <v>20628</v>
      </c>
      <c r="E1874" s="150" t="str">
        <f t="shared" si="27"/>
        <v>http://dx.doi.org/10.1109/VAST.2009.5333946</v>
      </c>
      <c r="F1874" s="14"/>
      <c r="G1874" s="14"/>
      <c r="H1874" s="14" t="s">
        <v>21</v>
      </c>
      <c r="I1874" s="14" t="s">
        <v>20629</v>
      </c>
      <c r="J1874" s="130" t="s">
        <v>20630</v>
      </c>
      <c r="K1874" s="152" t="s">
        <v>23906</v>
      </c>
      <c r="L1874" s="20"/>
      <c r="M1874" s="16"/>
      <c r="N1874" s="84"/>
      <c r="O1874" s="84"/>
      <c r="P1874" s="84"/>
      <c r="Q1874" s="84"/>
      <c r="R1874" s="84"/>
      <c r="S1874" s="84"/>
      <c r="T1874" s="84"/>
      <c r="U1874" s="84"/>
      <c r="V1874" s="84"/>
      <c r="W1874" s="84"/>
      <c r="X1874" s="84"/>
    </row>
    <row r="1875" ht="15.75" customHeight="1">
      <c r="A1875" s="14" t="s">
        <v>120</v>
      </c>
      <c r="B1875" s="14">
        <v>2009.0</v>
      </c>
      <c r="C1875" s="14" t="s">
        <v>20635</v>
      </c>
      <c r="D1875" s="14" t="s">
        <v>20636</v>
      </c>
      <c r="E1875" s="150" t="str">
        <f t="shared" si="27"/>
        <v>http://dx.doi.org/10.1109/VAST.2009.5333950</v>
      </c>
      <c r="F1875" s="14"/>
      <c r="G1875" s="14"/>
      <c r="H1875" s="14" t="s">
        <v>21</v>
      </c>
      <c r="I1875" s="14" t="s">
        <v>20637</v>
      </c>
      <c r="J1875" s="130" t="s">
        <v>20638</v>
      </c>
      <c r="K1875" s="152" t="s">
        <v>23908</v>
      </c>
      <c r="L1875" s="20"/>
      <c r="M1875" s="16"/>
      <c r="N1875" s="84"/>
      <c r="O1875" s="84"/>
      <c r="P1875" s="84"/>
      <c r="Q1875" s="84"/>
      <c r="R1875" s="84"/>
      <c r="S1875" s="84"/>
      <c r="T1875" s="84"/>
      <c r="U1875" s="84"/>
      <c r="V1875" s="84"/>
      <c r="W1875" s="84"/>
      <c r="X1875" s="84"/>
    </row>
    <row r="1876" ht="15.75" customHeight="1">
      <c r="A1876" s="14" t="s">
        <v>120</v>
      </c>
      <c r="B1876" s="14">
        <v>2009.0</v>
      </c>
      <c r="C1876" s="14" t="s">
        <v>20640</v>
      </c>
      <c r="D1876" s="14" t="s">
        <v>20641</v>
      </c>
      <c r="E1876" s="150" t="str">
        <f t="shared" si="27"/>
        <v>http://dx.doi.org/10.1109/VAST.2009.5333961</v>
      </c>
      <c r="F1876" s="14"/>
      <c r="G1876" s="14"/>
      <c r="H1876" s="14" t="s">
        <v>21</v>
      </c>
      <c r="I1876" s="14" t="s">
        <v>20642</v>
      </c>
      <c r="J1876" s="130" t="s">
        <v>20643</v>
      </c>
      <c r="K1876" s="152" t="s">
        <v>23910</v>
      </c>
      <c r="L1876" s="20"/>
      <c r="M1876" s="16"/>
      <c r="N1876" s="84"/>
      <c r="O1876" s="84"/>
      <c r="P1876" s="84"/>
      <c r="Q1876" s="84"/>
      <c r="R1876" s="84"/>
      <c r="S1876" s="84"/>
      <c r="T1876" s="84"/>
      <c r="U1876" s="84"/>
      <c r="V1876" s="84"/>
      <c r="W1876" s="84"/>
      <c r="X1876" s="84"/>
    </row>
    <row r="1877" ht="15.75" customHeight="1">
      <c r="A1877" s="14" t="s">
        <v>120</v>
      </c>
      <c r="B1877" s="14">
        <v>2009.0</v>
      </c>
      <c r="C1877" s="14" t="s">
        <v>20646</v>
      </c>
      <c r="D1877" s="14" t="s">
        <v>20647</v>
      </c>
      <c r="E1877" s="150" t="str">
        <f t="shared" si="27"/>
        <v>http://dx.doi.org/10.1109/VAST.2009.5333965</v>
      </c>
      <c r="F1877" s="14"/>
      <c r="G1877" s="14"/>
      <c r="H1877" s="14" t="s">
        <v>21</v>
      </c>
      <c r="I1877" s="14" t="s">
        <v>20649</v>
      </c>
      <c r="J1877" s="130" t="s">
        <v>20650</v>
      </c>
      <c r="K1877" s="152" t="s">
        <v>23912</v>
      </c>
      <c r="L1877" s="20"/>
      <c r="M1877" s="16"/>
      <c r="N1877" s="84"/>
      <c r="O1877" s="84"/>
      <c r="P1877" s="84"/>
      <c r="Q1877" s="84"/>
      <c r="R1877" s="84"/>
      <c r="S1877" s="84"/>
      <c r="T1877" s="84"/>
      <c r="U1877" s="84"/>
      <c r="V1877" s="84"/>
      <c r="W1877" s="84"/>
      <c r="X1877" s="84"/>
    </row>
    <row r="1878" ht="15.75" customHeight="1">
      <c r="A1878" s="14" t="s">
        <v>120</v>
      </c>
      <c r="B1878" s="14">
        <v>2009.0</v>
      </c>
      <c r="C1878" s="14" t="s">
        <v>20654</v>
      </c>
      <c r="D1878" s="14" t="s">
        <v>20655</v>
      </c>
      <c r="E1878" s="150" t="str">
        <f t="shared" si="27"/>
        <v>http://dx.doi.org/10.1109/VAST.2009.5333967</v>
      </c>
      <c r="F1878" s="14"/>
      <c r="G1878" s="14"/>
      <c r="H1878" s="14" t="s">
        <v>21</v>
      </c>
      <c r="I1878" s="14" t="s">
        <v>20656</v>
      </c>
      <c r="J1878" s="130" t="s">
        <v>20657</v>
      </c>
      <c r="K1878" s="152"/>
      <c r="L1878" s="20"/>
      <c r="M1878" s="16"/>
      <c r="N1878" s="84"/>
      <c r="O1878" s="84"/>
      <c r="P1878" s="84"/>
      <c r="Q1878" s="84"/>
      <c r="R1878" s="84"/>
      <c r="S1878" s="84"/>
      <c r="T1878" s="84"/>
      <c r="U1878" s="84"/>
      <c r="V1878" s="84"/>
      <c r="W1878" s="84"/>
      <c r="X1878" s="84"/>
    </row>
    <row r="1879" ht="15.75" customHeight="1">
      <c r="A1879" s="14" t="s">
        <v>120</v>
      </c>
      <c r="B1879" s="14">
        <v>2009.0</v>
      </c>
      <c r="C1879" s="14" t="s">
        <v>20659</v>
      </c>
      <c r="D1879" s="14" t="s">
        <v>20660</v>
      </c>
      <c r="E1879" s="150" t="str">
        <f t="shared" si="27"/>
        <v>http://dx.doi.org/10.1109/VAST.2009.5333968</v>
      </c>
      <c r="F1879" s="14"/>
      <c r="G1879" s="14"/>
      <c r="H1879" s="14" t="s">
        <v>21</v>
      </c>
      <c r="I1879" s="14" t="s">
        <v>20661</v>
      </c>
      <c r="J1879" s="130" t="s">
        <v>20662</v>
      </c>
      <c r="K1879" s="152" t="s">
        <v>23916</v>
      </c>
      <c r="L1879" s="20"/>
      <c r="M1879" s="16"/>
      <c r="N1879" s="84"/>
      <c r="O1879" s="84"/>
      <c r="P1879" s="84"/>
      <c r="Q1879" s="84"/>
      <c r="R1879" s="84"/>
      <c r="S1879" s="84"/>
      <c r="T1879" s="84"/>
      <c r="U1879" s="84"/>
      <c r="V1879" s="84"/>
      <c r="W1879" s="84"/>
      <c r="X1879" s="84"/>
    </row>
    <row r="1880" ht="15.75" customHeight="1">
      <c r="A1880" s="14" t="s">
        <v>120</v>
      </c>
      <c r="B1880" s="14">
        <v>2009.0</v>
      </c>
      <c r="C1880" s="14" t="s">
        <v>20666</v>
      </c>
      <c r="D1880" s="14" t="s">
        <v>20668</v>
      </c>
      <c r="E1880" s="150" t="str">
        <f t="shared" si="27"/>
        <v>http://dx.doi.org/10.1109/VAST.2009.5334300</v>
      </c>
      <c r="F1880" s="14"/>
      <c r="G1880" s="14"/>
      <c r="H1880" s="14" t="s">
        <v>21</v>
      </c>
      <c r="I1880" s="14" t="s">
        <v>20669</v>
      </c>
      <c r="J1880" s="130" t="s">
        <v>41710</v>
      </c>
      <c r="K1880" s="152" t="s">
        <v>23919</v>
      </c>
      <c r="L1880" s="20"/>
      <c r="M1880" s="16"/>
      <c r="N1880" s="84"/>
      <c r="O1880" s="84"/>
      <c r="P1880" s="84"/>
      <c r="Q1880" s="84"/>
      <c r="R1880" s="84"/>
      <c r="S1880" s="84"/>
      <c r="T1880" s="84"/>
      <c r="U1880" s="84"/>
      <c r="V1880" s="84"/>
      <c r="W1880" s="84"/>
      <c r="X1880" s="84"/>
    </row>
    <row r="1881" ht="15.75" customHeight="1">
      <c r="A1881" s="14" t="s">
        <v>120</v>
      </c>
      <c r="B1881" s="14">
        <v>2009.0</v>
      </c>
      <c r="C1881" s="14" t="s">
        <v>20673</v>
      </c>
      <c r="D1881" s="14" t="s">
        <v>20674</v>
      </c>
      <c r="E1881" s="150" t="str">
        <f t="shared" si="27"/>
        <v>http://dx.doi.org/10.1109/VAST.2009.5334301</v>
      </c>
      <c r="F1881" s="14"/>
      <c r="G1881" s="14"/>
      <c r="H1881" s="14" t="s">
        <v>21</v>
      </c>
      <c r="I1881" s="14" t="s">
        <v>20675</v>
      </c>
      <c r="J1881" s="130" t="s">
        <v>20676</v>
      </c>
      <c r="K1881" s="152" t="s">
        <v>23921</v>
      </c>
      <c r="L1881" s="20"/>
      <c r="M1881" s="16"/>
      <c r="N1881" s="84"/>
      <c r="O1881" s="84"/>
      <c r="P1881" s="84"/>
      <c r="Q1881" s="84"/>
      <c r="R1881" s="84"/>
      <c r="S1881" s="84"/>
      <c r="T1881" s="84"/>
      <c r="U1881" s="84"/>
      <c r="V1881" s="84"/>
      <c r="W1881" s="84"/>
      <c r="X1881" s="84"/>
    </row>
    <row r="1882" ht="15.75" customHeight="1">
      <c r="A1882" s="14" t="s">
        <v>120</v>
      </c>
      <c r="B1882" s="14">
        <v>2009.0</v>
      </c>
      <c r="C1882" s="14" t="s">
        <v>20679</v>
      </c>
      <c r="D1882" s="14" t="s">
        <v>20680</v>
      </c>
      <c r="E1882" s="150" t="str">
        <f t="shared" si="27"/>
        <v>http://dx.doi.org/10.1109/VAST.2009.5334426</v>
      </c>
      <c r="F1882" s="14"/>
      <c r="G1882" s="14"/>
      <c r="H1882" s="14" t="s">
        <v>21</v>
      </c>
      <c r="I1882" s="14" t="s">
        <v>20682</v>
      </c>
      <c r="J1882" s="130" t="s">
        <v>20684</v>
      </c>
      <c r="K1882" s="152" t="s">
        <v>494</v>
      </c>
      <c r="L1882" s="20"/>
      <c r="M1882" s="16"/>
      <c r="N1882" s="84"/>
      <c r="O1882" s="84"/>
      <c r="P1882" s="84"/>
      <c r="Q1882" s="84"/>
      <c r="R1882" s="84"/>
      <c r="S1882" s="84"/>
      <c r="T1882" s="84"/>
      <c r="U1882" s="84"/>
      <c r="V1882" s="84"/>
      <c r="W1882" s="84"/>
      <c r="X1882" s="84"/>
    </row>
    <row r="1883" ht="15.75" customHeight="1">
      <c r="A1883" s="14" t="s">
        <v>120</v>
      </c>
      <c r="B1883" s="14">
        <v>2009.0</v>
      </c>
      <c r="C1883" s="14" t="s">
        <v>20686</v>
      </c>
      <c r="D1883" s="14" t="s">
        <v>20687</v>
      </c>
      <c r="E1883" s="150" t="str">
        <f t="shared" si="27"/>
        <v>http://dx.doi.org/10.1109/VAST.2009.5334430</v>
      </c>
      <c r="F1883" s="14"/>
      <c r="G1883" s="14"/>
      <c r="H1883" s="14" t="s">
        <v>21</v>
      </c>
      <c r="I1883" s="14" t="s">
        <v>20688</v>
      </c>
      <c r="J1883" s="130" t="s">
        <v>20689</v>
      </c>
      <c r="K1883" s="152" t="s">
        <v>23924</v>
      </c>
      <c r="L1883" s="20"/>
      <c r="M1883" s="16"/>
      <c r="N1883" s="84"/>
      <c r="O1883" s="84"/>
      <c r="P1883" s="84"/>
      <c r="Q1883" s="84"/>
      <c r="R1883" s="84"/>
      <c r="S1883" s="84"/>
      <c r="T1883" s="84"/>
      <c r="U1883" s="84"/>
      <c r="V1883" s="84"/>
      <c r="W1883" s="84"/>
      <c r="X1883" s="84"/>
    </row>
    <row r="1884" ht="15.75" customHeight="1">
      <c r="A1884" s="14" t="s">
        <v>120</v>
      </c>
      <c r="B1884" s="14">
        <v>2009.0</v>
      </c>
      <c r="C1884" s="14" t="s">
        <v>20691</v>
      </c>
      <c r="D1884" s="14" t="s">
        <v>20692</v>
      </c>
      <c r="E1884" s="150" t="str">
        <f t="shared" si="27"/>
        <v>http://dx.doi.org/10.1109/VAST.2009.5334454</v>
      </c>
      <c r="F1884" s="14"/>
      <c r="G1884" s="14"/>
      <c r="H1884" s="14" t="s">
        <v>21</v>
      </c>
      <c r="I1884" s="14" t="s">
        <v>23926</v>
      </c>
      <c r="J1884" s="130" t="s">
        <v>20694</v>
      </c>
      <c r="K1884" s="152" t="s">
        <v>23927</v>
      </c>
      <c r="L1884" s="20"/>
      <c r="M1884" s="16"/>
      <c r="N1884" s="84"/>
      <c r="O1884" s="84"/>
      <c r="P1884" s="84"/>
      <c r="Q1884" s="84"/>
      <c r="R1884" s="84"/>
      <c r="S1884" s="84"/>
      <c r="T1884" s="84"/>
      <c r="U1884" s="84"/>
      <c r="V1884" s="84"/>
      <c r="W1884" s="84"/>
      <c r="X1884" s="84"/>
    </row>
    <row r="1885" ht="15.75" customHeight="1">
      <c r="A1885" s="14" t="s">
        <v>120</v>
      </c>
      <c r="B1885" s="14">
        <v>2009.0</v>
      </c>
      <c r="C1885" s="14" t="s">
        <v>20697</v>
      </c>
      <c r="D1885" s="14" t="s">
        <v>20698</v>
      </c>
      <c r="E1885" s="150" t="str">
        <f t="shared" si="27"/>
        <v>http://dx.doi.org/10.1109/VAST.2009.5334456</v>
      </c>
      <c r="F1885" s="14"/>
      <c r="G1885" s="14"/>
      <c r="H1885" s="14" t="s">
        <v>21</v>
      </c>
      <c r="I1885" s="14" t="s">
        <v>20700</v>
      </c>
      <c r="J1885" s="130" t="s">
        <v>41711</v>
      </c>
      <c r="K1885" s="152" t="s">
        <v>23930</v>
      </c>
      <c r="L1885" s="20"/>
      <c r="M1885" s="16"/>
      <c r="N1885" s="84"/>
      <c r="O1885" s="84"/>
      <c r="P1885" s="84"/>
      <c r="Q1885" s="84"/>
      <c r="R1885" s="84"/>
      <c r="S1885" s="84"/>
      <c r="T1885" s="84"/>
      <c r="U1885" s="84"/>
      <c r="V1885" s="84"/>
      <c r="W1885" s="84"/>
      <c r="X1885" s="84"/>
    </row>
    <row r="1886" ht="15.75" customHeight="1">
      <c r="A1886" s="14" t="s">
        <v>120</v>
      </c>
      <c r="B1886" s="14">
        <v>2009.0</v>
      </c>
      <c r="C1886" s="14" t="s">
        <v>20704</v>
      </c>
      <c r="D1886" s="14" t="s">
        <v>20705</v>
      </c>
      <c r="E1886" s="150" t="str">
        <f t="shared" si="27"/>
        <v>http://dx.doi.org/10.1109/VAST.2009.5334460</v>
      </c>
      <c r="F1886" s="14"/>
      <c r="G1886" s="14"/>
      <c r="H1886" s="14" t="s">
        <v>21</v>
      </c>
      <c r="I1886" s="14" t="s">
        <v>20814</v>
      </c>
      <c r="J1886" s="130" t="s">
        <v>20815</v>
      </c>
      <c r="K1886" s="152" t="s">
        <v>23932</v>
      </c>
      <c r="L1886" s="20"/>
      <c r="M1886" s="16"/>
      <c r="N1886" s="84"/>
      <c r="O1886" s="84"/>
      <c r="P1886" s="84"/>
      <c r="Q1886" s="84"/>
      <c r="R1886" s="84"/>
      <c r="S1886" s="84"/>
      <c r="T1886" s="84"/>
      <c r="U1886" s="84"/>
      <c r="V1886" s="84"/>
      <c r="W1886" s="84"/>
      <c r="X1886" s="84"/>
    </row>
    <row r="1887" ht="15.75" customHeight="1">
      <c r="A1887" s="14" t="s">
        <v>120</v>
      </c>
      <c r="B1887" s="14">
        <v>2009.0</v>
      </c>
      <c r="C1887" s="14" t="s">
        <v>20817</v>
      </c>
      <c r="D1887" s="14" t="s">
        <v>20818</v>
      </c>
      <c r="E1887" s="150" t="str">
        <f t="shared" si="27"/>
        <v>http://dx.doi.org/10.1109/VAST.2009.5334462</v>
      </c>
      <c r="F1887" s="14"/>
      <c r="G1887" s="14"/>
      <c r="H1887" s="14" t="s">
        <v>21</v>
      </c>
      <c r="I1887" s="14" t="s">
        <v>20821</v>
      </c>
      <c r="J1887" s="130" t="s">
        <v>20822</v>
      </c>
      <c r="K1887" s="152" t="s">
        <v>23934</v>
      </c>
      <c r="L1887" s="20"/>
      <c r="M1887" s="16"/>
      <c r="N1887" s="84"/>
      <c r="O1887" s="84"/>
      <c r="P1887" s="84"/>
      <c r="Q1887" s="84"/>
      <c r="R1887" s="84"/>
      <c r="S1887" s="84"/>
      <c r="T1887" s="84"/>
      <c r="U1887" s="84"/>
      <c r="V1887" s="84"/>
      <c r="W1887" s="84"/>
      <c r="X1887" s="84"/>
    </row>
    <row r="1888" ht="15.75" customHeight="1">
      <c r="A1888" s="14" t="s">
        <v>120</v>
      </c>
      <c r="B1888" s="14">
        <v>2009.0</v>
      </c>
      <c r="C1888" s="14" t="s">
        <v>20824</v>
      </c>
      <c r="D1888" s="14" t="s">
        <v>20825</v>
      </c>
      <c r="E1888" s="150" t="str">
        <f t="shared" si="27"/>
        <v>http://dx.doi.org/10.1109/VAST.2009.5334463</v>
      </c>
      <c r="F1888" s="14"/>
      <c r="G1888" s="14"/>
      <c r="H1888" s="14" t="s">
        <v>21</v>
      </c>
      <c r="I1888" s="14" t="s">
        <v>20826</v>
      </c>
      <c r="J1888" s="130" t="s">
        <v>20827</v>
      </c>
      <c r="K1888" s="152" t="s">
        <v>178</v>
      </c>
      <c r="L1888" s="20"/>
      <c r="M1888" s="16"/>
      <c r="N1888" s="84"/>
      <c r="O1888" s="84"/>
      <c r="P1888" s="84"/>
      <c r="Q1888" s="84"/>
      <c r="R1888" s="84"/>
      <c r="S1888" s="84"/>
      <c r="T1888" s="84"/>
      <c r="U1888" s="84"/>
      <c r="V1888" s="84"/>
      <c r="W1888" s="84"/>
      <c r="X1888" s="84"/>
    </row>
    <row r="1889" ht="15.75" customHeight="1">
      <c r="A1889" s="14" t="s">
        <v>17</v>
      </c>
      <c r="B1889" s="14">
        <v>2009.0</v>
      </c>
      <c r="C1889" s="14" t="s">
        <v>20830</v>
      </c>
      <c r="D1889" s="14" t="s">
        <v>20831</v>
      </c>
      <c r="E1889" s="150" t="str">
        <f t="shared" si="27"/>
        <v>http://dx.doi.org/10.1109/TVCG.2009.112</v>
      </c>
      <c r="F1889" s="14">
        <v>1433.0</v>
      </c>
      <c r="G1889" s="14">
        <v>1440.0</v>
      </c>
      <c r="H1889" s="14" t="s">
        <v>17059</v>
      </c>
      <c r="I1889" s="14" t="s">
        <v>20833</v>
      </c>
      <c r="J1889" s="155" t="s">
        <v>41712</v>
      </c>
      <c r="K1889" s="152" t="s">
        <v>22075</v>
      </c>
      <c r="L1889" s="20" t="s">
        <v>20838</v>
      </c>
      <c r="M1889" s="174" t="s">
        <v>20839</v>
      </c>
      <c r="N1889" s="84"/>
      <c r="O1889" s="84"/>
      <c r="P1889" s="84"/>
      <c r="Q1889" s="84"/>
      <c r="R1889" s="84"/>
      <c r="S1889" s="84"/>
      <c r="T1889" s="84"/>
      <c r="U1889" s="84"/>
      <c r="V1889" s="84"/>
      <c r="W1889" s="84"/>
      <c r="X1889" s="84"/>
    </row>
    <row r="1890" ht="15.75" customHeight="1">
      <c r="A1890" s="14" t="s">
        <v>17</v>
      </c>
      <c r="B1890" s="14">
        <v>2009.0</v>
      </c>
      <c r="C1890" s="14" t="s">
        <v>20840</v>
      </c>
      <c r="D1890" s="14" t="s">
        <v>20841</v>
      </c>
      <c r="E1890" s="150" t="str">
        <f t="shared" si="27"/>
        <v>http://dx.doi.org/10.1109/TVCG.2009.113</v>
      </c>
      <c r="F1890" s="14">
        <v>1291.0</v>
      </c>
      <c r="G1890" s="14">
        <v>1298.0</v>
      </c>
      <c r="H1890" s="14" t="s">
        <v>17059</v>
      </c>
      <c r="I1890" s="14" t="s">
        <v>20842</v>
      </c>
      <c r="J1890" s="130" t="s">
        <v>20843</v>
      </c>
      <c r="K1890" s="152" t="s">
        <v>22077</v>
      </c>
      <c r="L1890" s="20" t="s">
        <v>20846</v>
      </c>
      <c r="M1890" s="174" t="s">
        <v>20847</v>
      </c>
      <c r="N1890" s="84"/>
      <c r="O1890" s="84"/>
      <c r="P1890" s="84"/>
      <c r="Q1890" s="84"/>
      <c r="R1890" s="84"/>
      <c r="S1890" s="84"/>
      <c r="T1890" s="84"/>
      <c r="U1890" s="84"/>
      <c r="V1890" s="84"/>
      <c r="W1890" s="84"/>
      <c r="X1890" s="84"/>
    </row>
    <row r="1891" ht="15.75" customHeight="1">
      <c r="A1891" s="14" t="s">
        <v>17</v>
      </c>
      <c r="B1891" s="14">
        <v>2009.0</v>
      </c>
      <c r="C1891" s="14" t="s">
        <v>20848</v>
      </c>
      <c r="D1891" s="14" t="s">
        <v>20849</v>
      </c>
      <c r="E1891" s="150" t="str">
        <f t="shared" si="27"/>
        <v>http://dx.doi.org/10.1109/TVCG.2009.114</v>
      </c>
      <c r="F1891" s="14">
        <v>1209.0</v>
      </c>
      <c r="G1891" s="14">
        <v>1218.0</v>
      </c>
      <c r="H1891" s="14" t="s">
        <v>17059</v>
      </c>
      <c r="I1891" s="14" t="s">
        <v>22079</v>
      </c>
      <c r="J1891" s="130" t="s">
        <v>20852</v>
      </c>
      <c r="K1891" s="152" t="s">
        <v>22080</v>
      </c>
      <c r="L1891" s="20" t="s">
        <v>20855</v>
      </c>
      <c r="M1891" s="174" t="s">
        <v>20856</v>
      </c>
      <c r="N1891" s="84"/>
      <c r="O1891" s="84"/>
      <c r="P1891" s="84"/>
      <c r="Q1891" s="84"/>
      <c r="R1891" s="84"/>
      <c r="S1891" s="84"/>
      <c r="T1891" s="84"/>
      <c r="U1891" s="84"/>
      <c r="V1891" s="84"/>
      <c r="W1891" s="84"/>
      <c r="X1891" s="84"/>
    </row>
    <row r="1892" ht="15.75" customHeight="1">
      <c r="A1892" s="14" t="s">
        <v>17</v>
      </c>
      <c r="B1892" s="14">
        <v>2009.0</v>
      </c>
      <c r="C1892" s="14" t="s">
        <v>20858</v>
      </c>
      <c r="D1892" s="14" t="s">
        <v>20859</v>
      </c>
      <c r="E1892" s="150" t="str">
        <f t="shared" si="27"/>
        <v>http://dx.doi.org/10.1109/TVCG.2009.115</v>
      </c>
      <c r="F1892" s="14">
        <v>1343.0</v>
      </c>
      <c r="G1892" s="14">
        <v>1350.0</v>
      </c>
      <c r="H1892" s="14" t="s">
        <v>17059</v>
      </c>
      <c r="I1892" s="14" t="s">
        <v>20860</v>
      </c>
      <c r="J1892" s="130" t="s">
        <v>41713</v>
      </c>
      <c r="K1892" s="152" t="s">
        <v>16655</v>
      </c>
      <c r="L1892" s="20" t="s">
        <v>20864</v>
      </c>
      <c r="M1892" s="174" t="s">
        <v>20865</v>
      </c>
      <c r="N1892" s="84"/>
      <c r="O1892" s="84"/>
      <c r="P1892" s="84"/>
      <c r="Q1892" s="84"/>
      <c r="R1892" s="84"/>
      <c r="S1892" s="84"/>
      <c r="T1892" s="84"/>
      <c r="U1892" s="84"/>
      <c r="V1892" s="84"/>
      <c r="W1892" s="84"/>
      <c r="X1892" s="84"/>
    </row>
    <row r="1893" ht="15.75" customHeight="1">
      <c r="A1893" s="14" t="s">
        <v>17</v>
      </c>
      <c r="B1893" s="14">
        <v>2009.0</v>
      </c>
      <c r="C1893" s="14" t="s">
        <v>20866</v>
      </c>
      <c r="D1893" s="14" t="s">
        <v>20867</v>
      </c>
      <c r="E1893" s="150" t="str">
        <f t="shared" si="27"/>
        <v>http://dx.doi.org/10.1109/TVCG.2009.118</v>
      </c>
      <c r="F1893" s="14">
        <v>1489.0</v>
      </c>
      <c r="G1893" s="14">
        <v>1496.0</v>
      </c>
      <c r="H1893" s="14" t="s">
        <v>17059</v>
      </c>
      <c r="I1893" s="14" t="s">
        <v>20868</v>
      </c>
      <c r="J1893" s="130" t="s">
        <v>20869</v>
      </c>
      <c r="K1893" s="152" t="s">
        <v>22089</v>
      </c>
      <c r="L1893" s="20" t="s">
        <v>20872</v>
      </c>
      <c r="M1893" s="174" t="s">
        <v>20873</v>
      </c>
      <c r="N1893" s="84"/>
      <c r="O1893" s="84"/>
      <c r="P1893" s="84"/>
      <c r="Q1893" s="84"/>
      <c r="R1893" s="84"/>
      <c r="S1893" s="84"/>
      <c r="T1893" s="84"/>
      <c r="U1893" s="84"/>
      <c r="V1893" s="84"/>
      <c r="W1893" s="84"/>
      <c r="X1893" s="84"/>
    </row>
    <row r="1894" ht="15.75" customHeight="1">
      <c r="A1894" s="14" t="s">
        <v>17</v>
      </c>
      <c r="B1894" s="14">
        <v>2009.0</v>
      </c>
      <c r="C1894" s="14" t="s">
        <v>20874</v>
      </c>
      <c r="D1894" s="14" t="s">
        <v>20877</v>
      </c>
      <c r="E1894" s="150" t="str">
        <f t="shared" si="27"/>
        <v>http://dx.doi.org/10.1109/TVCG.2009.119</v>
      </c>
      <c r="F1894" s="14">
        <v>1185.0</v>
      </c>
      <c r="G1894" s="14">
        <v>1192.0</v>
      </c>
      <c r="H1894" s="14" t="s">
        <v>17059</v>
      </c>
      <c r="I1894" s="14" t="s">
        <v>20878</v>
      </c>
      <c r="J1894" s="130" t="s">
        <v>20879</v>
      </c>
      <c r="K1894" s="152" t="s">
        <v>22091</v>
      </c>
      <c r="L1894" s="20" t="s">
        <v>20881</v>
      </c>
      <c r="M1894" s="174" t="s">
        <v>20882</v>
      </c>
      <c r="N1894" s="84"/>
      <c r="O1894" s="84"/>
      <c r="P1894" s="84"/>
      <c r="Q1894" s="84"/>
      <c r="R1894" s="84"/>
      <c r="S1894" s="84"/>
      <c r="T1894" s="84"/>
      <c r="U1894" s="84"/>
      <c r="V1894" s="84"/>
      <c r="W1894" s="84"/>
      <c r="X1894" s="84"/>
    </row>
    <row r="1895" ht="15.75" customHeight="1">
      <c r="A1895" s="14" t="s">
        <v>17</v>
      </c>
      <c r="B1895" s="14">
        <v>2009.0</v>
      </c>
      <c r="C1895" s="14" t="s">
        <v>20883</v>
      </c>
      <c r="D1895" s="14" t="s">
        <v>20884</v>
      </c>
      <c r="E1895" s="150" t="str">
        <f t="shared" si="27"/>
        <v>http://dx.doi.org/10.1109/TVCG.2009.120</v>
      </c>
      <c r="F1895" s="14">
        <v>1481.0</v>
      </c>
      <c r="G1895" s="14">
        <v>1488.0</v>
      </c>
      <c r="H1895" s="14" t="s">
        <v>17059</v>
      </c>
      <c r="I1895" s="14" t="s">
        <v>20885</v>
      </c>
      <c r="J1895" s="130" t="s">
        <v>20886</v>
      </c>
      <c r="K1895" s="152" t="s">
        <v>22093</v>
      </c>
      <c r="L1895" s="20" t="s">
        <v>20888</v>
      </c>
      <c r="M1895" s="174" t="s">
        <v>20889</v>
      </c>
      <c r="N1895" s="84"/>
      <c r="O1895" s="84"/>
      <c r="P1895" s="84"/>
      <c r="Q1895" s="84"/>
      <c r="R1895" s="84"/>
      <c r="S1895" s="84"/>
      <c r="T1895" s="84"/>
      <c r="U1895" s="84"/>
      <c r="V1895" s="84"/>
      <c r="W1895" s="84"/>
      <c r="X1895" s="84"/>
    </row>
    <row r="1896" ht="15.75" customHeight="1">
      <c r="A1896" s="14" t="s">
        <v>17</v>
      </c>
      <c r="B1896" s="14">
        <v>2009.0</v>
      </c>
      <c r="C1896" s="14" t="s">
        <v>20891</v>
      </c>
      <c r="D1896" s="14" t="s">
        <v>20892</v>
      </c>
      <c r="E1896" s="150" t="str">
        <f t="shared" si="27"/>
        <v>http://dx.doi.org/10.1109/TVCG.2009.121</v>
      </c>
      <c r="F1896" s="14">
        <v>1497.0</v>
      </c>
      <c r="G1896" s="14">
        <v>1504.0</v>
      </c>
      <c r="H1896" s="14" t="s">
        <v>17059</v>
      </c>
      <c r="I1896" s="14" t="s">
        <v>22095</v>
      </c>
      <c r="J1896" s="130" t="s">
        <v>41714</v>
      </c>
      <c r="K1896" s="152" t="s">
        <v>22097</v>
      </c>
      <c r="L1896" s="20" t="s">
        <v>20898</v>
      </c>
      <c r="M1896" s="174" t="s">
        <v>20899</v>
      </c>
      <c r="N1896" s="84"/>
      <c r="O1896" s="84"/>
      <c r="P1896" s="84"/>
      <c r="Q1896" s="84"/>
      <c r="R1896" s="84"/>
      <c r="S1896" s="84"/>
      <c r="T1896" s="84"/>
      <c r="U1896" s="84"/>
      <c r="V1896" s="84"/>
      <c r="W1896" s="84"/>
      <c r="X1896" s="84"/>
    </row>
    <row r="1897" ht="15.75" customHeight="1">
      <c r="A1897" s="14" t="s">
        <v>17</v>
      </c>
      <c r="B1897" s="14">
        <v>2009.0</v>
      </c>
      <c r="C1897" s="14" t="s">
        <v>20900</v>
      </c>
      <c r="D1897" s="14" t="s">
        <v>20901</v>
      </c>
      <c r="E1897" s="150" t="str">
        <f t="shared" si="27"/>
        <v>http://dx.doi.org/10.1109/TVCG.2009.124</v>
      </c>
      <c r="F1897" s="14">
        <v>1317.0</v>
      </c>
      <c r="G1897" s="14">
        <v>1326.0</v>
      </c>
      <c r="H1897" s="14" t="s">
        <v>17059</v>
      </c>
      <c r="I1897" s="14" t="s">
        <v>20902</v>
      </c>
      <c r="J1897" s="130" t="s">
        <v>20903</v>
      </c>
      <c r="K1897" s="152" t="s">
        <v>22103</v>
      </c>
      <c r="L1897" s="20" t="s">
        <v>20906</v>
      </c>
      <c r="M1897" s="174" t="s">
        <v>20907</v>
      </c>
      <c r="N1897" s="84"/>
      <c r="O1897" s="84"/>
      <c r="P1897" s="84"/>
      <c r="Q1897" s="84"/>
      <c r="R1897" s="84"/>
      <c r="S1897" s="84"/>
      <c r="T1897" s="84"/>
      <c r="U1897" s="84"/>
      <c r="V1897" s="84"/>
      <c r="W1897" s="84"/>
      <c r="X1897" s="84"/>
    </row>
    <row r="1898" ht="15.75" customHeight="1">
      <c r="A1898" s="14" t="s">
        <v>17</v>
      </c>
      <c r="B1898" s="14">
        <v>2009.0</v>
      </c>
      <c r="C1898" s="14" t="s">
        <v>20908</v>
      </c>
      <c r="D1898" s="14" t="s">
        <v>20909</v>
      </c>
      <c r="E1898" s="150" t="str">
        <f t="shared" si="27"/>
        <v>http://dx.doi.org/10.1109/TVCG.2009.125</v>
      </c>
      <c r="F1898" s="14">
        <v>1457.0</v>
      </c>
      <c r="G1898" s="14">
        <v>1464.0</v>
      </c>
      <c r="H1898" s="14" t="s">
        <v>17059</v>
      </c>
      <c r="I1898" s="14" t="s">
        <v>20910</v>
      </c>
      <c r="J1898" s="130" t="s">
        <v>20911</v>
      </c>
      <c r="K1898" s="152" t="s">
        <v>22106</v>
      </c>
      <c r="L1898" s="20" t="s">
        <v>20915</v>
      </c>
      <c r="M1898" s="174" t="s">
        <v>20916</v>
      </c>
      <c r="N1898" s="84"/>
      <c r="O1898" s="84"/>
      <c r="P1898" s="84"/>
      <c r="Q1898" s="84"/>
      <c r="R1898" s="84"/>
      <c r="S1898" s="84"/>
      <c r="T1898" s="84"/>
      <c r="U1898" s="84"/>
      <c r="V1898" s="84"/>
      <c r="W1898" s="84"/>
      <c r="X1898" s="84"/>
    </row>
    <row r="1899" ht="15.75" customHeight="1">
      <c r="A1899" s="14" t="s">
        <v>17</v>
      </c>
      <c r="B1899" s="14">
        <v>2009.0</v>
      </c>
      <c r="C1899" s="14" t="s">
        <v>20918</v>
      </c>
      <c r="D1899" s="14" t="s">
        <v>20919</v>
      </c>
      <c r="E1899" s="150" t="str">
        <f t="shared" si="27"/>
        <v>http://dx.doi.org/10.1109/TVCG.2009.126</v>
      </c>
      <c r="F1899" s="14">
        <v>1219.0</v>
      </c>
      <c r="G1899" s="14">
        <v>1226.0</v>
      </c>
      <c r="H1899" s="14" t="s">
        <v>17059</v>
      </c>
      <c r="I1899" s="14" t="s">
        <v>20920</v>
      </c>
      <c r="J1899" s="130" t="s">
        <v>20921</v>
      </c>
      <c r="K1899" s="152" t="s">
        <v>22108</v>
      </c>
      <c r="L1899" s="20" t="s">
        <v>20923</v>
      </c>
      <c r="M1899" s="174" t="s">
        <v>20924</v>
      </c>
      <c r="N1899" s="84"/>
      <c r="O1899" s="84"/>
      <c r="P1899" s="84"/>
      <c r="Q1899" s="84"/>
      <c r="R1899" s="84"/>
      <c r="S1899" s="84"/>
      <c r="T1899" s="84"/>
      <c r="U1899" s="84"/>
      <c r="V1899" s="84"/>
      <c r="W1899" s="84"/>
      <c r="X1899" s="84"/>
    </row>
    <row r="1900" ht="15.75" customHeight="1">
      <c r="A1900" s="14" t="s">
        <v>17</v>
      </c>
      <c r="B1900" s="14">
        <v>2009.0</v>
      </c>
      <c r="C1900" s="14" t="s">
        <v>20925</v>
      </c>
      <c r="D1900" s="14" t="s">
        <v>20926</v>
      </c>
      <c r="E1900" s="150" t="str">
        <f t="shared" si="27"/>
        <v>http://dx.doi.org/10.1109/TVCG.2009.131</v>
      </c>
      <c r="F1900" s="14">
        <v>1531.0</v>
      </c>
      <c r="G1900" s="14">
        <v>1538.0</v>
      </c>
      <c r="H1900" s="14" t="s">
        <v>17059</v>
      </c>
      <c r="I1900" s="14" t="s">
        <v>20927</v>
      </c>
      <c r="J1900" s="130" t="s">
        <v>20928</v>
      </c>
      <c r="K1900" s="152" t="s">
        <v>22118</v>
      </c>
      <c r="L1900" s="20" t="s">
        <v>20930</v>
      </c>
      <c r="M1900" s="174" t="s">
        <v>20931</v>
      </c>
      <c r="N1900" s="84"/>
      <c r="O1900" s="84"/>
      <c r="P1900" s="84"/>
      <c r="Q1900" s="84"/>
      <c r="R1900" s="84"/>
      <c r="S1900" s="84"/>
      <c r="T1900" s="84"/>
      <c r="U1900" s="84"/>
      <c r="V1900" s="84"/>
      <c r="W1900" s="84"/>
      <c r="X1900" s="84"/>
    </row>
    <row r="1901" ht="15.75" customHeight="1">
      <c r="A1901" s="14" t="s">
        <v>17</v>
      </c>
      <c r="B1901" s="14">
        <v>2009.0</v>
      </c>
      <c r="C1901" s="14" t="s">
        <v>20933</v>
      </c>
      <c r="D1901" s="14" t="s">
        <v>20934</v>
      </c>
      <c r="E1901" s="150" t="str">
        <f t="shared" si="27"/>
        <v>http://dx.doi.org/10.1109/TVCG.2009.136</v>
      </c>
      <c r="F1901" s="14">
        <v>1235.0</v>
      </c>
      <c r="G1901" s="14">
        <v>1242.0</v>
      </c>
      <c r="H1901" s="14" t="s">
        <v>17059</v>
      </c>
      <c r="I1901" s="14" t="s">
        <v>20936</v>
      </c>
      <c r="J1901" s="130" t="s">
        <v>20937</v>
      </c>
      <c r="K1901" s="152" t="s">
        <v>22120</v>
      </c>
      <c r="L1901" s="20" t="s">
        <v>20940</v>
      </c>
      <c r="M1901" s="174" t="s">
        <v>20941</v>
      </c>
      <c r="N1901" s="84"/>
      <c r="O1901" s="84"/>
      <c r="P1901" s="84"/>
      <c r="Q1901" s="84"/>
      <c r="R1901" s="84"/>
      <c r="S1901" s="84"/>
      <c r="T1901" s="84"/>
      <c r="U1901" s="84"/>
      <c r="V1901" s="84"/>
      <c r="W1901" s="84"/>
      <c r="X1901" s="84"/>
    </row>
    <row r="1902" ht="15.75" customHeight="1">
      <c r="A1902" s="14" t="s">
        <v>17</v>
      </c>
      <c r="B1902" s="14">
        <v>2009.0</v>
      </c>
      <c r="C1902" s="14" t="s">
        <v>20942</v>
      </c>
      <c r="D1902" s="14" t="s">
        <v>20943</v>
      </c>
      <c r="E1902" s="150" t="str">
        <f t="shared" si="27"/>
        <v>http://dx.doi.org/10.1109/TVCG.2009.137</v>
      </c>
      <c r="F1902" s="14">
        <v>1595.0</v>
      </c>
      <c r="G1902" s="14">
        <v>1602.0</v>
      </c>
      <c r="H1902" s="14" t="s">
        <v>17059</v>
      </c>
      <c r="I1902" s="14" t="s">
        <v>20945</v>
      </c>
      <c r="J1902" s="130" t="s">
        <v>20946</v>
      </c>
      <c r="K1902" s="152" t="s">
        <v>22122</v>
      </c>
      <c r="L1902" s="20" t="s">
        <v>20948</v>
      </c>
      <c r="M1902" s="174" t="s">
        <v>20949</v>
      </c>
      <c r="N1902" s="84"/>
      <c r="O1902" s="84"/>
      <c r="P1902" s="84"/>
      <c r="Q1902" s="84"/>
      <c r="R1902" s="84"/>
      <c r="S1902" s="84"/>
      <c r="T1902" s="84"/>
      <c r="U1902" s="84"/>
      <c r="V1902" s="84"/>
      <c r="W1902" s="84"/>
      <c r="X1902" s="84"/>
    </row>
    <row r="1903" ht="15.75" customHeight="1">
      <c r="A1903" s="14" t="s">
        <v>17</v>
      </c>
      <c r="B1903" s="14">
        <v>2009.0</v>
      </c>
      <c r="C1903" s="14" t="s">
        <v>20951</v>
      </c>
      <c r="D1903" s="14" t="s">
        <v>20952</v>
      </c>
      <c r="E1903" s="150" t="str">
        <f t="shared" si="27"/>
        <v>http://dx.doi.org/10.1109/TVCG.2009.138</v>
      </c>
      <c r="F1903" s="14">
        <v>1299.0</v>
      </c>
      <c r="G1903" s="14">
        <v>1306.0</v>
      </c>
      <c r="H1903" s="14" t="s">
        <v>17059</v>
      </c>
      <c r="I1903" s="14" t="s">
        <v>20953</v>
      </c>
      <c r="J1903" s="130" t="s">
        <v>20954</v>
      </c>
      <c r="K1903" s="152" t="s">
        <v>22124</v>
      </c>
      <c r="L1903" s="20" t="s">
        <v>20957</v>
      </c>
      <c r="M1903" s="174" t="s">
        <v>20958</v>
      </c>
      <c r="N1903" s="84"/>
      <c r="O1903" s="84"/>
      <c r="P1903" s="84"/>
      <c r="Q1903" s="84"/>
      <c r="R1903" s="84"/>
      <c r="S1903" s="84"/>
      <c r="T1903" s="84"/>
      <c r="U1903" s="84"/>
      <c r="V1903" s="84"/>
      <c r="W1903" s="84"/>
      <c r="X1903" s="84"/>
    </row>
    <row r="1904" ht="15.75" customHeight="1">
      <c r="A1904" s="14" t="s">
        <v>17</v>
      </c>
      <c r="B1904" s="14">
        <v>2009.0</v>
      </c>
      <c r="C1904" s="14" t="s">
        <v>20959</v>
      </c>
      <c r="D1904" s="14" t="s">
        <v>20960</v>
      </c>
      <c r="E1904" s="150" t="str">
        <f t="shared" si="27"/>
        <v>http://dx.doi.org/10.1109/TVCG.2009.141</v>
      </c>
      <c r="F1904" s="14">
        <v>1449.0</v>
      </c>
      <c r="G1904" s="14">
        <v>1456.0</v>
      </c>
      <c r="H1904" s="14" t="s">
        <v>17059</v>
      </c>
      <c r="I1904" s="14" t="s">
        <v>20961</v>
      </c>
      <c r="J1904" s="130" t="s">
        <v>20962</v>
      </c>
      <c r="K1904" s="152" t="s">
        <v>22106</v>
      </c>
      <c r="L1904" s="20" t="s">
        <v>20968</v>
      </c>
      <c r="M1904" s="174" t="s">
        <v>20969</v>
      </c>
      <c r="N1904" s="84"/>
      <c r="O1904" s="84"/>
      <c r="P1904" s="84"/>
      <c r="Q1904" s="84"/>
      <c r="R1904" s="84"/>
      <c r="S1904" s="84"/>
      <c r="T1904" s="84"/>
      <c r="U1904" s="84"/>
      <c r="V1904" s="84"/>
      <c r="W1904" s="84"/>
      <c r="X1904" s="84"/>
    </row>
    <row r="1905" ht="15.75" customHeight="1">
      <c r="A1905" s="14" t="s">
        <v>17</v>
      </c>
      <c r="B1905" s="14">
        <v>2009.0</v>
      </c>
      <c r="C1905" s="14" t="s">
        <v>20971</v>
      </c>
      <c r="D1905" s="14" t="s">
        <v>20972</v>
      </c>
      <c r="E1905" s="150" t="str">
        <f t="shared" si="27"/>
        <v>http://dx.doi.org/10.1109/TVCG.2009.142</v>
      </c>
      <c r="F1905" s="14">
        <v>1251.0</v>
      </c>
      <c r="G1905" s="14">
        <v>1258.0</v>
      </c>
      <c r="H1905" s="14" t="s">
        <v>17059</v>
      </c>
      <c r="I1905" s="14" t="s">
        <v>20973</v>
      </c>
      <c r="J1905" s="130" t="s">
        <v>20974</v>
      </c>
      <c r="K1905" s="152" t="s">
        <v>22133</v>
      </c>
      <c r="L1905" s="20" t="s">
        <v>20976</v>
      </c>
      <c r="M1905" s="174" t="s">
        <v>20977</v>
      </c>
      <c r="N1905" s="84"/>
      <c r="O1905" s="84"/>
      <c r="P1905" s="84"/>
      <c r="Q1905" s="84"/>
      <c r="R1905" s="84"/>
      <c r="S1905" s="84"/>
      <c r="T1905" s="84"/>
      <c r="U1905" s="84"/>
      <c r="V1905" s="84"/>
      <c r="W1905" s="84"/>
      <c r="X1905" s="84"/>
    </row>
    <row r="1906" ht="15.75" customHeight="1">
      <c r="A1906" s="14" t="s">
        <v>17</v>
      </c>
      <c r="B1906" s="14">
        <v>2009.0</v>
      </c>
      <c r="C1906" s="14" t="s">
        <v>20978</v>
      </c>
      <c r="D1906" s="14" t="s">
        <v>20979</v>
      </c>
      <c r="E1906" s="150" t="str">
        <f t="shared" si="27"/>
        <v>http://dx.doi.org/10.1109/TVCG.2009.144</v>
      </c>
      <c r="F1906" s="14">
        <v>1547.0</v>
      </c>
      <c r="G1906" s="14">
        <v>1554.0</v>
      </c>
      <c r="H1906" s="14" t="s">
        <v>17059</v>
      </c>
      <c r="I1906" s="14" t="s">
        <v>20980</v>
      </c>
      <c r="J1906" s="130" t="s">
        <v>20981</v>
      </c>
      <c r="K1906" s="152" t="s">
        <v>22137</v>
      </c>
      <c r="L1906" s="20" t="s">
        <v>20985</v>
      </c>
      <c r="M1906" s="174" t="s">
        <v>20986</v>
      </c>
      <c r="N1906" s="84"/>
      <c r="O1906" s="84"/>
      <c r="P1906" s="84"/>
      <c r="Q1906" s="84"/>
      <c r="R1906" s="84"/>
      <c r="S1906" s="84"/>
      <c r="T1906" s="84"/>
      <c r="U1906" s="84"/>
      <c r="V1906" s="84"/>
      <c r="W1906" s="84"/>
      <c r="X1906" s="84"/>
    </row>
    <row r="1907" ht="15.75" customHeight="1">
      <c r="A1907" s="14" t="s">
        <v>17</v>
      </c>
      <c r="B1907" s="14">
        <v>2009.0</v>
      </c>
      <c r="C1907" s="14" t="s">
        <v>20987</v>
      </c>
      <c r="D1907" s="14" t="s">
        <v>20989</v>
      </c>
      <c r="E1907" s="150" t="str">
        <f t="shared" si="27"/>
        <v>http://dx.doi.org/10.1109/TVCG.2009.147</v>
      </c>
      <c r="F1907" s="14">
        <v>1587.0</v>
      </c>
      <c r="G1907" s="14">
        <v>1594.0</v>
      </c>
      <c r="H1907" s="14" t="s">
        <v>17059</v>
      </c>
      <c r="I1907" s="14" t="s">
        <v>20990</v>
      </c>
      <c r="J1907" s="130" t="s">
        <v>20991</v>
      </c>
      <c r="K1907" s="152" t="s">
        <v>22144</v>
      </c>
      <c r="L1907" s="20" t="s">
        <v>20994</v>
      </c>
      <c r="M1907" s="174" t="s">
        <v>20995</v>
      </c>
      <c r="N1907" s="84"/>
      <c r="O1907" s="84"/>
      <c r="P1907" s="84"/>
      <c r="Q1907" s="84"/>
      <c r="R1907" s="84"/>
      <c r="S1907" s="84"/>
      <c r="T1907" s="84"/>
      <c r="U1907" s="84"/>
      <c r="V1907" s="84"/>
      <c r="W1907" s="84"/>
      <c r="X1907" s="84"/>
    </row>
    <row r="1908" ht="15.75" customHeight="1">
      <c r="A1908" s="14" t="s">
        <v>17</v>
      </c>
      <c r="B1908" s="14">
        <v>2009.0</v>
      </c>
      <c r="C1908" s="14" t="s">
        <v>20996</v>
      </c>
      <c r="D1908" s="14" t="s">
        <v>20997</v>
      </c>
      <c r="E1908" s="150" t="str">
        <f t="shared" si="27"/>
        <v>http://dx.doi.org/10.1109/TVCG.2009.149</v>
      </c>
      <c r="F1908" s="14">
        <v>1611.0</v>
      </c>
      <c r="G1908" s="14">
        <v>1618.0</v>
      </c>
      <c r="H1908" s="14" t="s">
        <v>17059</v>
      </c>
      <c r="I1908" s="14" t="s">
        <v>20998</v>
      </c>
      <c r="J1908" s="54" t="s">
        <v>20999</v>
      </c>
      <c r="K1908" s="152" t="s">
        <v>22149</v>
      </c>
      <c r="L1908" s="20" t="s">
        <v>21001</v>
      </c>
      <c r="M1908" s="174" t="s">
        <v>21002</v>
      </c>
      <c r="N1908" s="84"/>
      <c r="O1908" s="84"/>
      <c r="P1908" s="84"/>
      <c r="Q1908" s="84"/>
      <c r="R1908" s="84"/>
      <c r="S1908" s="84"/>
      <c r="T1908" s="84"/>
      <c r="U1908" s="84"/>
      <c r="V1908" s="84"/>
      <c r="W1908" s="84"/>
      <c r="X1908" s="84"/>
    </row>
    <row r="1909" ht="15.75" customHeight="1">
      <c r="A1909" s="14" t="s">
        <v>17</v>
      </c>
      <c r="B1909" s="14">
        <v>2009.0</v>
      </c>
      <c r="C1909" s="14" t="s">
        <v>21003</v>
      </c>
      <c r="D1909" s="14" t="s">
        <v>21004</v>
      </c>
      <c r="E1909" s="150" t="str">
        <f t="shared" si="27"/>
        <v>http://dx.doi.org/10.1109/TVCG.2009.150</v>
      </c>
      <c r="F1909" s="14">
        <v>1275.0</v>
      </c>
      <c r="G1909" s="14">
        <v>1282.0</v>
      </c>
      <c r="H1909" s="14" t="s">
        <v>17059</v>
      </c>
      <c r="I1909" s="14" t="s">
        <v>21006</v>
      </c>
      <c r="J1909" s="130" t="s">
        <v>21007</v>
      </c>
      <c r="K1909" s="152" t="s">
        <v>22152</v>
      </c>
      <c r="L1909" s="20" t="s">
        <v>21010</v>
      </c>
      <c r="M1909" s="174" t="s">
        <v>21011</v>
      </c>
      <c r="N1909" s="84"/>
      <c r="O1909" s="84"/>
      <c r="P1909" s="84"/>
      <c r="Q1909" s="84"/>
      <c r="R1909" s="84"/>
      <c r="S1909" s="84"/>
      <c r="T1909" s="84"/>
      <c r="U1909" s="84"/>
      <c r="V1909" s="84"/>
      <c r="W1909" s="84"/>
      <c r="X1909" s="84"/>
    </row>
    <row r="1910" ht="15.75" customHeight="1">
      <c r="A1910" s="14" t="s">
        <v>17</v>
      </c>
      <c r="B1910" s="14">
        <v>2009.0</v>
      </c>
      <c r="C1910" s="14" t="s">
        <v>21012</v>
      </c>
      <c r="D1910" s="14" t="s">
        <v>21013</v>
      </c>
      <c r="E1910" s="150" t="str">
        <f t="shared" si="27"/>
        <v>http://dx.doi.org/10.1109/TVCG.2009.152</v>
      </c>
      <c r="F1910" s="14">
        <v>1383.0</v>
      </c>
      <c r="G1910" s="14">
        <v>1390.0</v>
      </c>
      <c r="H1910" s="14" t="s">
        <v>17059</v>
      </c>
      <c r="I1910" s="14" t="s">
        <v>21014</v>
      </c>
      <c r="J1910" s="130" t="s">
        <v>21015</v>
      </c>
      <c r="K1910" s="152" t="s">
        <v>22661</v>
      </c>
      <c r="L1910" s="20" t="s">
        <v>21018</v>
      </c>
      <c r="M1910" s="174" t="s">
        <v>21019</v>
      </c>
      <c r="N1910" s="84"/>
      <c r="O1910" s="84"/>
      <c r="P1910" s="84"/>
      <c r="Q1910" s="84"/>
      <c r="R1910" s="84"/>
      <c r="S1910" s="84"/>
      <c r="T1910" s="84"/>
      <c r="U1910" s="84"/>
      <c r="V1910" s="84"/>
      <c r="W1910" s="84"/>
      <c r="X1910" s="84"/>
    </row>
    <row r="1911" ht="15.75" customHeight="1">
      <c r="A1911" s="14" t="s">
        <v>17</v>
      </c>
      <c r="B1911" s="14">
        <v>2009.0</v>
      </c>
      <c r="C1911" s="14" t="s">
        <v>21020</v>
      </c>
      <c r="D1911" s="14" t="s">
        <v>21021</v>
      </c>
      <c r="E1911" s="150" t="str">
        <f t="shared" si="27"/>
        <v>http://dx.doi.org/10.1109/TVCG.2009.154</v>
      </c>
      <c r="F1911" s="14">
        <v>1259.0</v>
      </c>
      <c r="G1911" s="14">
        <v>1266.0</v>
      </c>
      <c r="H1911" s="14" t="s">
        <v>17059</v>
      </c>
      <c r="I1911" s="14" t="s">
        <v>21023</v>
      </c>
      <c r="J1911" s="130" t="s">
        <v>21024</v>
      </c>
      <c r="K1911" s="152" t="s">
        <v>22704</v>
      </c>
      <c r="L1911" s="20" t="s">
        <v>21027</v>
      </c>
      <c r="M1911" s="174" t="s">
        <v>21028</v>
      </c>
      <c r="N1911" s="84"/>
      <c r="O1911" s="84"/>
      <c r="P1911" s="84"/>
      <c r="Q1911" s="84"/>
      <c r="R1911" s="84"/>
      <c r="S1911" s="84"/>
      <c r="T1911" s="84"/>
      <c r="U1911" s="84"/>
      <c r="V1911" s="84"/>
      <c r="W1911" s="84"/>
      <c r="X1911" s="84"/>
    </row>
    <row r="1912" ht="15.75" customHeight="1">
      <c r="A1912" s="14" t="s">
        <v>17</v>
      </c>
      <c r="B1912" s="14">
        <v>2009.0</v>
      </c>
      <c r="C1912" s="14" t="s">
        <v>21030</v>
      </c>
      <c r="D1912" s="14" t="s">
        <v>21031</v>
      </c>
      <c r="E1912" s="150" t="str">
        <f t="shared" si="27"/>
        <v>http://dx.doi.org/10.1109/TVCG.2009.155</v>
      </c>
      <c r="F1912" s="14">
        <v>1351.0</v>
      </c>
      <c r="G1912" s="14">
        <v>1358.0</v>
      </c>
      <c r="H1912" s="14" t="s">
        <v>17059</v>
      </c>
      <c r="I1912" s="14" t="s">
        <v>21032</v>
      </c>
      <c r="J1912" s="130" t="s">
        <v>21033</v>
      </c>
      <c r="K1912" s="152" t="s">
        <v>11861</v>
      </c>
      <c r="L1912" s="20" t="s">
        <v>21035</v>
      </c>
      <c r="M1912" s="174" t="s">
        <v>21036</v>
      </c>
      <c r="N1912" s="84"/>
      <c r="O1912" s="84"/>
      <c r="P1912" s="84"/>
      <c r="Q1912" s="84"/>
      <c r="R1912" s="84"/>
      <c r="S1912" s="84"/>
      <c r="T1912" s="84"/>
      <c r="U1912" s="84"/>
      <c r="V1912" s="84"/>
      <c r="W1912" s="84"/>
      <c r="X1912" s="84"/>
    </row>
    <row r="1913" ht="15.75" customHeight="1">
      <c r="A1913" s="14" t="s">
        <v>17</v>
      </c>
      <c r="B1913" s="14">
        <v>2009.0</v>
      </c>
      <c r="C1913" s="14" t="s">
        <v>21037</v>
      </c>
      <c r="D1913" s="14" t="s">
        <v>21038</v>
      </c>
      <c r="E1913" s="150" t="str">
        <f t="shared" si="27"/>
        <v>http://dx.doi.org/10.1109/TVCG.2009.156</v>
      </c>
      <c r="F1913" s="14">
        <v>1335.0</v>
      </c>
      <c r="G1913" s="14">
        <v>1342.0</v>
      </c>
      <c r="H1913" s="14" t="s">
        <v>17059</v>
      </c>
      <c r="I1913" s="14" t="s">
        <v>21039</v>
      </c>
      <c r="J1913" s="130" t="s">
        <v>21040</v>
      </c>
      <c r="K1913" s="152" t="s">
        <v>22742</v>
      </c>
      <c r="L1913" s="20" t="s">
        <v>21045</v>
      </c>
      <c r="M1913" s="174" t="s">
        <v>21046</v>
      </c>
      <c r="N1913" s="84"/>
      <c r="O1913" s="84"/>
      <c r="P1913" s="84"/>
      <c r="Q1913" s="84"/>
      <c r="R1913" s="84"/>
      <c r="S1913" s="84"/>
      <c r="T1913" s="84"/>
      <c r="U1913" s="84"/>
      <c r="V1913" s="84"/>
      <c r="W1913" s="84"/>
      <c r="X1913" s="84"/>
    </row>
    <row r="1914" ht="15.75" customHeight="1">
      <c r="A1914" s="14" t="s">
        <v>17</v>
      </c>
      <c r="B1914" s="14">
        <v>2009.0</v>
      </c>
      <c r="C1914" s="14" t="s">
        <v>21047</v>
      </c>
      <c r="D1914" s="14" t="s">
        <v>21048</v>
      </c>
      <c r="E1914" s="150" t="str">
        <f t="shared" si="27"/>
        <v>http://dx.doi.org/10.1109/TVCG.2009.157</v>
      </c>
      <c r="F1914" s="14">
        <v>1391.0</v>
      </c>
      <c r="G1914" s="14">
        <v>1398.0</v>
      </c>
      <c r="H1914" s="14" t="s">
        <v>17059</v>
      </c>
      <c r="I1914" s="14" t="s">
        <v>21050</v>
      </c>
      <c r="J1914" s="130" t="s">
        <v>21051</v>
      </c>
      <c r="K1914" s="152" t="s">
        <v>22764</v>
      </c>
      <c r="L1914" s="20" t="s">
        <v>21053</v>
      </c>
      <c r="M1914" s="174" t="s">
        <v>21054</v>
      </c>
      <c r="N1914" s="84"/>
      <c r="O1914" s="84"/>
      <c r="P1914" s="84"/>
      <c r="Q1914" s="84"/>
      <c r="R1914" s="84"/>
      <c r="S1914" s="84"/>
      <c r="T1914" s="84"/>
      <c r="U1914" s="84"/>
      <c r="V1914" s="84"/>
      <c r="W1914" s="84"/>
      <c r="X1914" s="84"/>
    </row>
    <row r="1915" ht="15.75" customHeight="1">
      <c r="A1915" s="14" t="s">
        <v>17</v>
      </c>
      <c r="B1915" s="14">
        <v>2009.0</v>
      </c>
      <c r="C1915" s="14" t="s">
        <v>21055</v>
      </c>
      <c r="D1915" s="14" t="s">
        <v>21056</v>
      </c>
      <c r="E1915" s="150" t="str">
        <f t="shared" si="27"/>
        <v>http://dx.doi.org/10.1109/TVCG.2009.158</v>
      </c>
      <c r="F1915" s="14">
        <v>1579.0</v>
      </c>
      <c r="G1915" s="14">
        <v>5186.0</v>
      </c>
      <c r="H1915" s="14" t="s">
        <v>17059</v>
      </c>
      <c r="I1915" s="14" t="s">
        <v>21057</v>
      </c>
      <c r="J1915" s="130" t="s">
        <v>21058</v>
      </c>
      <c r="K1915" s="152" t="s">
        <v>22784</v>
      </c>
      <c r="L1915" s="20" t="s">
        <v>21061</v>
      </c>
      <c r="M1915" s="174" t="s">
        <v>21062</v>
      </c>
      <c r="N1915" s="84"/>
      <c r="O1915" s="84"/>
      <c r="P1915" s="84"/>
      <c r="Q1915" s="84"/>
      <c r="R1915" s="84"/>
      <c r="S1915" s="84"/>
      <c r="T1915" s="84"/>
      <c r="U1915" s="84"/>
      <c r="V1915" s="84"/>
      <c r="W1915" s="84"/>
      <c r="X1915" s="84"/>
    </row>
    <row r="1916" ht="15.75" customHeight="1">
      <c r="A1916" s="14" t="s">
        <v>17</v>
      </c>
      <c r="B1916" s="14">
        <v>2009.0</v>
      </c>
      <c r="C1916" s="14" t="s">
        <v>21064</v>
      </c>
      <c r="D1916" s="14" t="s">
        <v>21065</v>
      </c>
      <c r="E1916" s="150" t="str">
        <f t="shared" si="27"/>
        <v>http://dx.doi.org/10.1109/TVCG.2009.159</v>
      </c>
      <c r="F1916" s="14">
        <v>1193.0</v>
      </c>
      <c r="G1916" s="14">
        <v>1200.0</v>
      </c>
      <c r="H1916" s="14" t="s">
        <v>17059</v>
      </c>
      <c r="I1916" s="14" t="s">
        <v>21066</v>
      </c>
      <c r="J1916" s="130" t="s">
        <v>21067</v>
      </c>
      <c r="K1916" s="152" t="s">
        <v>22803</v>
      </c>
      <c r="L1916" s="20" t="s">
        <v>19765</v>
      </c>
      <c r="M1916" s="174" t="s">
        <v>21069</v>
      </c>
      <c r="N1916" s="84"/>
      <c r="O1916" s="84"/>
      <c r="P1916" s="84"/>
      <c r="Q1916" s="84"/>
      <c r="R1916" s="84"/>
      <c r="S1916" s="84"/>
      <c r="T1916" s="84"/>
      <c r="U1916" s="84"/>
      <c r="V1916" s="84"/>
      <c r="W1916" s="84"/>
      <c r="X1916" s="84"/>
    </row>
    <row r="1917" ht="15.75" customHeight="1">
      <c r="A1917" s="14" t="s">
        <v>17</v>
      </c>
      <c r="B1917" s="14">
        <v>2009.0</v>
      </c>
      <c r="C1917" s="14" t="s">
        <v>21070</v>
      </c>
      <c r="D1917" s="14" t="s">
        <v>21071</v>
      </c>
      <c r="E1917" s="150" t="str">
        <f t="shared" si="27"/>
        <v>http://dx.doi.org/10.1109/TVCG.2009.160</v>
      </c>
      <c r="F1917" s="14">
        <v>1367.0</v>
      </c>
      <c r="G1917" s="14">
        <v>1374.0</v>
      </c>
      <c r="H1917" s="14" t="s">
        <v>17059</v>
      </c>
      <c r="I1917" s="14" t="s">
        <v>22825</v>
      </c>
      <c r="J1917" s="130" t="s">
        <v>21073</v>
      </c>
      <c r="K1917" s="152" t="s">
        <v>22826</v>
      </c>
      <c r="L1917" s="20" t="s">
        <v>21075</v>
      </c>
      <c r="M1917" s="174" t="s">
        <v>21076</v>
      </c>
      <c r="N1917" s="84"/>
      <c r="O1917" s="84"/>
      <c r="P1917" s="84"/>
      <c r="Q1917" s="84"/>
      <c r="R1917" s="84"/>
      <c r="S1917" s="84"/>
      <c r="T1917" s="84"/>
      <c r="U1917" s="84"/>
      <c r="V1917" s="84"/>
      <c r="W1917" s="84"/>
      <c r="X1917" s="84"/>
    </row>
    <row r="1918" ht="15.75" customHeight="1">
      <c r="A1918" s="14" t="s">
        <v>17</v>
      </c>
      <c r="B1918" s="14">
        <v>2009.0</v>
      </c>
      <c r="C1918" s="14" t="s">
        <v>21078</v>
      </c>
      <c r="D1918" s="14" t="s">
        <v>21079</v>
      </c>
      <c r="E1918" s="150" t="str">
        <f t="shared" si="27"/>
        <v>http://dx.doi.org/10.1109/TVCG.2009.161</v>
      </c>
      <c r="F1918" s="14">
        <v>1555.0</v>
      </c>
      <c r="G1918" s="14">
        <v>1562.0</v>
      </c>
      <c r="H1918" s="14" t="s">
        <v>17059</v>
      </c>
      <c r="I1918" s="14" t="s">
        <v>21081</v>
      </c>
      <c r="J1918" s="130" t="s">
        <v>21082</v>
      </c>
      <c r="K1918" s="152" t="s">
        <v>22856</v>
      </c>
      <c r="L1918" s="20" t="s">
        <v>15028</v>
      </c>
      <c r="M1918" s="174" t="s">
        <v>21085</v>
      </c>
      <c r="N1918" s="84"/>
      <c r="O1918" s="84"/>
      <c r="P1918" s="84"/>
      <c r="Q1918" s="84"/>
      <c r="R1918" s="84"/>
      <c r="S1918" s="84"/>
      <c r="T1918" s="84"/>
      <c r="U1918" s="84"/>
      <c r="V1918" s="84"/>
      <c r="W1918" s="84"/>
      <c r="X1918" s="84"/>
    </row>
    <row r="1919" ht="15.75" customHeight="1">
      <c r="A1919" s="14" t="s">
        <v>17</v>
      </c>
      <c r="B1919" s="14">
        <v>2009.0</v>
      </c>
      <c r="C1919" s="14" t="s">
        <v>21086</v>
      </c>
      <c r="D1919" s="14" t="s">
        <v>21087</v>
      </c>
      <c r="E1919" s="150" t="str">
        <f t="shared" si="27"/>
        <v>http://dx.doi.org/10.1109/TVCG.2009.163</v>
      </c>
      <c r="F1919" s="14">
        <v>1177.0</v>
      </c>
      <c r="G1919" s="14">
        <v>1184.0</v>
      </c>
      <c r="H1919" s="14" t="s">
        <v>17059</v>
      </c>
      <c r="I1919" s="14" t="s">
        <v>22894</v>
      </c>
      <c r="J1919" s="130" t="s">
        <v>21089</v>
      </c>
      <c r="K1919" s="152" t="s">
        <v>22895</v>
      </c>
      <c r="L1919" s="20" t="s">
        <v>21092</v>
      </c>
      <c r="M1919" s="174" t="s">
        <v>21093</v>
      </c>
      <c r="N1919" s="84"/>
      <c r="O1919" s="84"/>
      <c r="P1919" s="84"/>
      <c r="Q1919" s="84"/>
      <c r="R1919" s="84"/>
      <c r="S1919" s="84"/>
      <c r="T1919" s="84"/>
      <c r="U1919" s="84"/>
      <c r="V1919" s="84"/>
      <c r="W1919" s="84"/>
      <c r="X1919" s="84"/>
    </row>
    <row r="1920" ht="15.75" customHeight="1">
      <c r="A1920" s="14" t="s">
        <v>17</v>
      </c>
      <c r="B1920" s="14">
        <v>2009.0</v>
      </c>
      <c r="C1920" s="14" t="s">
        <v>21094</v>
      </c>
      <c r="D1920" s="14" t="s">
        <v>21096</v>
      </c>
      <c r="E1920" s="150" t="str">
        <f t="shared" si="27"/>
        <v>http://dx.doi.org/10.1109/TVCG.2009.164</v>
      </c>
      <c r="F1920" s="14">
        <v>1563.0</v>
      </c>
      <c r="G1920" s="14">
        <v>1570.0</v>
      </c>
      <c r="H1920" s="14" t="s">
        <v>17059</v>
      </c>
      <c r="I1920" s="14" t="s">
        <v>22900</v>
      </c>
      <c r="J1920" s="130" t="s">
        <v>21098</v>
      </c>
      <c r="K1920" s="152" t="s">
        <v>22902</v>
      </c>
      <c r="L1920" s="20" t="s">
        <v>21101</v>
      </c>
      <c r="M1920" s="174" t="s">
        <v>21102</v>
      </c>
      <c r="N1920" s="84"/>
      <c r="O1920" s="84"/>
      <c r="P1920" s="84"/>
      <c r="Q1920" s="84"/>
      <c r="R1920" s="84"/>
      <c r="S1920" s="84"/>
      <c r="T1920" s="84"/>
      <c r="U1920" s="84"/>
      <c r="V1920" s="84"/>
      <c r="W1920" s="84"/>
      <c r="X1920" s="84"/>
    </row>
    <row r="1921" ht="15.75" customHeight="1">
      <c r="A1921" s="14" t="s">
        <v>17</v>
      </c>
      <c r="B1921" s="14">
        <v>2009.0</v>
      </c>
      <c r="C1921" s="14" t="s">
        <v>21103</v>
      </c>
      <c r="D1921" s="14" t="s">
        <v>21104</v>
      </c>
      <c r="E1921" s="150" t="str">
        <f t="shared" si="27"/>
        <v>http://dx.doi.org/10.1109/TVCG.2009.166</v>
      </c>
      <c r="F1921" s="14">
        <v>1307.0</v>
      </c>
      <c r="G1921" s="14">
        <v>1316.0</v>
      </c>
      <c r="H1921" s="14" t="s">
        <v>17059</v>
      </c>
      <c r="I1921" s="14" t="s">
        <v>21105</v>
      </c>
      <c r="J1921" s="130" t="s">
        <v>21106</v>
      </c>
      <c r="K1921" s="152" t="s">
        <v>22920</v>
      </c>
      <c r="L1921" s="20" t="s">
        <v>21108</v>
      </c>
      <c r="M1921" s="174" t="s">
        <v>21109</v>
      </c>
      <c r="N1921" s="84"/>
      <c r="O1921" s="84"/>
      <c r="P1921" s="84"/>
      <c r="Q1921" s="84"/>
      <c r="R1921" s="84"/>
      <c r="S1921" s="84"/>
      <c r="T1921" s="84"/>
      <c r="U1921" s="84"/>
      <c r="V1921" s="84"/>
      <c r="W1921" s="84"/>
      <c r="X1921" s="84"/>
    </row>
    <row r="1922" ht="15.75" customHeight="1">
      <c r="A1922" s="14" t="s">
        <v>17</v>
      </c>
      <c r="B1922" s="14">
        <v>2009.0</v>
      </c>
      <c r="C1922" s="14" t="s">
        <v>21111</v>
      </c>
      <c r="D1922" s="14" t="s">
        <v>21112</v>
      </c>
      <c r="E1922" s="150" t="str">
        <f t="shared" si="27"/>
        <v>http://dx.doi.org/10.1109/TVCG.2009.168</v>
      </c>
      <c r="F1922" s="14">
        <v>1201.0</v>
      </c>
      <c r="G1922" s="14">
        <v>1208.0</v>
      </c>
      <c r="H1922" s="14" t="s">
        <v>17059</v>
      </c>
      <c r="I1922" s="14" t="s">
        <v>21113</v>
      </c>
      <c r="J1922" s="130" t="s">
        <v>21114</v>
      </c>
      <c r="K1922" s="152" t="s">
        <v>22923</v>
      </c>
      <c r="L1922" s="20" t="s">
        <v>21117</v>
      </c>
      <c r="M1922" s="174" t="s">
        <v>21118</v>
      </c>
      <c r="N1922" s="84"/>
      <c r="O1922" s="84"/>
      <c r="P1922" s="84"/>
      <c r="Q1922" s="84"/>
      <c r="R1922" s="84"/>
      <c r="S1922" s="84"/>
      <c r="T1922" s="84"/>
      <c r="U1922" s="84"/>
      <c r="V1922" s="84"/>
      <c r="W1922" s="84"/>
      <c r="X1922" s="84"/>
    </row>
    <row r="1923" ht="15.75" customHeight="1">
      <c r="A1923" s="14" t="s">
        <v>17</v>
      </c>
      <c r="B1923" s="14">
        <v>2009.0</v>
      </c>
      <c r="C1923" s="14" t="s">
        <v>21119</v>
      </c>
      <c r="D1923" s="14" t="s">
        <v>21120</v>
      </c>
      <c r="E1923" s="150" t="str">
        <f t="shared" si="27"/>
        <v>http://dx.doi.org/10.1109/TVCG.2009.169</v>
      </c>
      <c r="F1923" s="14">
        <v>1515.0</v>
      </c>
      <c r="G1923" s="14">
        <v>1522.0</v>
      </c>
      <c r="H1923" s="14" t="s">
        <v>17059</v>
      </c>
      <c r="I1923" s="14" t="s">
        <v>21121</v>
      </c>
      <c r="J1923" s="130" t="s">
        <v>21122</v>
      </c>
      <c r="K1923" s="152" t="s">
        <v>22926</v>
      </c>
      <c r="L1923" s="20" t="s">
        <v>21125</v>
      </c>
      <c r="M1923" s="174" t="s">
        <v>21126</v>
      </c>
      <c r="N1923" s="84"/>
      <c r="O1923" s="84"/>
      <c r="P1923" s="84"/>
      <c r="Q1923" s="84"/>
      <c r="R1923" s="84"/>
      <c r="S1923" s="84"/>
      <c r="T1923" s="84"/>
      <c r="U1923" s="84"/>
      <c r="V1923" s="84"/>
      <c r="W1923" s="84"/>
      <c r="X1923" s="84"/>
    </row>
    <row r="1924" ht="15.75" customHeight="1">
      <c r="A1924" s="14" t="s">
        <v>17</v>
      </c>
      <c r="B1924" s="14">
        <v>2009.0</v>
      </c>
      <c r="C1924" s="14" t="s">
        <v>21127</v>
      </c>
      <c r="D1924" s="14" t="s">
        <v>21128</v>
      </c>
      <c r="E1924" s="150" t="str">
        <f t="shared" si="27"/>
        <v>http://dx.doi.org/10.1109/TVCG.2009.170</v>
      </c>
      <c r="F1924" s="14">
        <v>1441.0</v>
      </c>
      <c r="G1924" s="14">
        <v>1448.0</v>
      </c>
      <c r="H1924" s="14" t="s">
        <v>17059</v>
      </c>
      <c r="I1924" s="14" t="s">
        <v>21130</v>
      </c>
      <c r="J1924" s="130" t="s">
        <v>21131</v>
      </c>
      <c r="K1924" s="152" t="s">
        <v>22935</v>
      </c>
      <c r="L1924" s="20" t="s">
        <v>21134</v>
      </c>
      <c r="M1924" s="174" t="s">
        <v>21135</v>
      </c>
      <c r="N1924" s="84"/>
      <c r="O1924" s="84"/>
      <c r="P1924" s="84"/>
      <c r="Q1924" s="84"/>
      <c r="R1924" s="84"/>
      <c r="S1924" s="84"/>
      <c r="T1924" s="84"/>
      <c r="U1924" s="84"/>
      <c r="V1924" s="84"/>
      <c r="W1924" s="84"/>
      <c r="X1924" s="84"/>
    </row>
    <row r="1925" ht="15.75" customHeight="1">
      <c r="A1925" s="14" t="s">
        <v>17</v>
      </c>
      <c r="B1925" s="14">
        <v>2009.0</v>
      </c>
      <c r="C1925" s="14" t="s">
        <v>21136</v>
      </c>
      <c r="D1925" s="14" t="s">
        <v>21137</v>
      </c>
      <c r="E1925" s="150" t="str">
        <f t="shared" si="27"/>
        <v>http://dx.doi.org/10.1109/TVCG.2009.172</v>
      </c>
      <c r="F1925" s="14">
        <v>1283.0</v>
      </c>
      <c r="G1925" s="14">
        <v>1290.0</v>
      </c>
      <c r="H1925" s="14" t="s">
        <v>17059</v>
      </c>
      <c r="I1925" s="14" t="s">
        <v>21138</v>
      </c>
      <c r="J1925" s="155" t="s">
        <v>21140</v>
      </c>
      <c r="K1925" s="152" t="s">
        <v>22968</v>
      </c>
      <c r="L1925" s="20" t="s">
        <v>21142</v>
      </c>
      <c r="M1925" s="174" t="s">
        <v>21143</v>
      </c>
      <c r="N1925" s="84"/>
      <c r="O1925" s="84"/>
      <c r="P1925" s="84"/>
      <c r="Q1925" s="84"/>
      <c r="R1925" s="84"/>
      <c r="S1925" s="84"/>
      <c r="T1925" s="84"/>
      <c r="U1925" s="84"/>
      <c r="V1925" s="84"/>
      <c r="W1925" s="84"/>
      <c r="X1925" s="84"/>
    </row>
    <row r="1926" ht="15.75" customHeight="1">
      <c r="A1926" s="14" t="s">
        <v>17</v>
      </c>
      <c r="B1926" s="14">
        <v>2009.0</v>
      </c>
      <c r="C1926" s="14" t="s">
        <v>21144</v>
      </c>
      <c r="D1926" s="14" t="s">
        <v>21145</v>
      </c>
      <c r="E1926" s="150" t="str">
        <f t="shared" si="27"/>
        <v>http://dx.doi.org/10.1109/TVCG.2009.173</v>
      </c>
      <c r="F1926" s="14">
        <v>1243.0</v>
      </c>
      <c r="G1926" s="14">
        <v>1250.0</v>
      </c>
      <c r="H1926" s="14" t="s">
        <v>17059</v>
      </c>
      <c r="I1926" s="14" t="s">
        <v>21148</v>
      </c>
      <c r="J1926" s="130" t="s">
        <v>21149</v>
      </c>
      <c r="K1926" s="152" t="s">
        <v>22976</v>
      </c>
      <c r="L1926" s="20" t="s">
        <v>21151</v>
      </c>
      <c r="M1926" s="174" t="s">
        <v>21152</v>
      </c>
      <c r="N1926" s="84"/>
      <c r="O1926" s="84"/>
      <c r="P1926" s="84"/>
      <c r="Q1926" s="84"/>
      <c r="R1926" s="84"/>
      <c r="S1926" s="84"/>
      <c r="T1926" s="84"/>
      <c r="U1926" s="84"/>
      <c r="V1926" s="84"/>
      <c r="W1926" s="84"/>
      <c r="X1926" s="84"/>
    </row>
    <row r="1927" ht="15.75" customHeight="1">
      <c r="A1927" s="14" t="s">
        <v>17</v>
      </c>
      <c r="B1927" s="14">
        <v>2009.0</v>
      </c>
      <c r="C1927" s="14" t="s">
        <v>21154</v>
      </c>
      <c r="D1927" s="14" t="s">
        <v>21155</v>
      </c>
      <c r="E1927" s="150" t="str">
        <f t="shared" si="27"/>
        <v>http://dx.doi.org/10.1109/TVCG.2009.175</v>
      </c>
      <c r="F1927" s="14">
        <v>1523.0</v>
      </c>
      <c r="G1927" s="14">
        <v>1530.0</v>
      </c>
      <c r="H1927" s="14" t="s">
        <v>17059</v>
      </c>
      <c r="I1927" s="14" t="s">
        <v>21156</v>
      </c>
      <c r="J1927" s="130" t="s">
        <v>12848</v>
      </c>
      <c r="K1927" s="152" t="s">
        <v>22991</v>
      </c>
      <c r="L1927" s="20" t="s">
        <v>21158</v>
      </c>
      <c r="M1927" s="174" t="s">
        <v>21159</v>
      </c>
      <c r="N1927" s="84"/>
      <c r="O1927" s="84"/>
      <c r="P1927" s="84"/>
      <c r="Q1927" s="84"/>
      <c r="R1927" s="84"/>
      <c r="S1927" s="84"/>
      <c r="T1927" s="84"/>
      <c r="U1927" s="84"/>
      <c r="V1927" s="84"/>
      <c r="W1927" s="84"/>
      <c r="X1927" s="84"/>
    </row>
    <row r="1928" ht="15.75" customHeight="1">
      <c r="A1928" s="14" t="s">
        <v>17</v>
      </c>
      <c r="B1928" s="14">
        <v>2009.0</v>
      </c>
      <c r="C1928" s="14" t="s">
        <v>21160</v>
      </c>
      <c r="D1928" s="14" t="s">
        <v>21161</v>
      </c>
      <c r="E1928" s="150" t="str">
        <f t="shared" si="27"/>
        <v>http://dx.doi.org/10.1109/TVCG.2009.177</v>
      </c>
      <c r="F1928" s="14">
        <v>1415.0</v>
      </c>
      <c r="G1928" s="14">
        <v>1424.0</v>
      </c>
      <c r="H1928" s="14" t="s">
        <v>17059</v>
      </c>
      <c r="I1928" s="14" t="s">
        <v>21162</v>
      </c>
      <c r="J1928" s="130" t="s">
        <v>21163</v>
      </c>
      <c r="K1928" s="152" t="s">
        <v>23010</v>
      </c>
      <c r="L1928" s="20" t="s">
        <v>21166</v>
      </c>
      <c r="M1928" s="174" t="s">
        <v>21167</v>
      </c>
      <c r="N1928" s="84"/>
      <c r="O1928" s="84"/>
      <c r="P1928" s="84"/>
      <c r="Q1928" s="84"/>
      <c r="R1928" s="84"/>
      <c r="S1928" s="84"/>
      <c r="T1928" s="84"/>
      <c r="U1928" s="84"/>
      <c r="V1928" s="84"/>
      <c r="W1928" s="84"/>
      <c r="X1928" s="84"/>
    </row>
    <row r="1929" ht="15.75" customHeight="1">
      <c r="A1929" s="14" t="s">
        <v>17</v>
      </c>
      <c r="B1929" s="14">
        <v>2009.0</v>
      </c>
      <c r="C1929" s="14" t="s">
        <v>21168</v>
      </c>
      <c r="D1929" s="14" t="s">
        <v>21170</v>
      </c>
      <c r="E1929" s="150" t="str">
        <f t="shared" si="27"/>
        <v>http://dx.doi.org/10.1109/TVCG.2009.178</v>
      </c>
      <c r="F1929" s="14">
        <v>1505.0</v>
      </c>
      <c r="G1929" s="14">
        <v>1514.0</v>
      </c>
      <c r="H1929" s="14" t="s">
        <v>17059</v>
      </c>
      <c r="I1929" s="14" t="s">
        <v>21171</v>
      </c>
      <c r="J1929" s="130" t="s">
        <v>21172</v>
      </c>
      <c r="K1929" s="152" t="s">
        <v>23021</v>
      </c>
      <c r="L1929" s="20" t="s">
        <v>21176</v>
      </c>
      <c r="M1929" s="174" t="s">
        <v>21177</v>
      </c>
      <c r="N1929" s="84"/>
      <c r="O1929" s="84"/>
      <c r="P1929" s="84"/>
      <c r="Q1929" s="84"/>
      <c r="R1929" s="84"/>
      <c r="S1929" s="84"/>
      <c r="T1929" s="84"/>
      <c r="U1929" s="84"/>
      <c r="V1929" s="84"/>
      <c r="W1929" s="84"/>
      <c r="X1929" s="84"/>
    </row>
    <row r="1930" ht="15.75" customHeight="1">
      <c r="A1930" s="14" t="s">
        <v>17</v>
      </c>
      <c r="B1930" s="14">
        <v>2009.0</v>
      </c>
      <c r="C1930" s="14" t="s">
        <v>21178</v>
      </c>
      <c r="D1930" s="14" t="s">
        <v>21179</v>
      </c>
      <c r="E1930" s="150" t="str">
        <f t="shared" si="27"/>
        <v>http://dx.doi.org/10.1109/TVCG.2009.184</v>
      </c>
      <c r="F1930" s="14">
        <v>1399.0</v>
      </c>
      <c r="G1930" s="14">
        <v>1406.0</v>
      </c>
      <c r="H1930" s="14" t="s">
        <v>17059</v>
      </c>
      <c r="I1930" s="14" t="s">
        <v>21180</v>
      </c>
      <c r="J1930" s="130" t="s">
        <v>21181</v>
      </c>
      <c r="K1930" s="152" t="s">
        <v>23086</v>
      </c>
      <c r="L1930" s="20" t="s">
        <v>21183</v>
      </c>
      <c r="M1930" s="174" t="s">
        <v>21184</v>
      </c>
      <c r="N1930" s="84"/>
      <c r="O1930" s="84"/>
      <c r="P1930" s="84"/>
      <c r="Q1930" s="84"/>
      <c r="R1930" s="84"/>
      <c r="S1930" s="84"/>
      <c r="T1930" s="84"/>
      <c r="U1930" s="84"/>
      <c r="V1930" s="84"/>
      <c r="W1930" s="84"/>
      <c r="X1930" s="84"/>
    </row>
    <row r="1931" ht="15.75" customHeight="1">
      <c r="A1931" s="14" t="s">
        <v>17</v>
      </c>
      <c r="B1931" s="14">
        <v>2009.0</v>
      </c>
      <c r="C1931" s="14" t="s">
        <v>21185</v>
      </c>
      <c r="D1931" s="14" t="s">
        <v>21186</v>
      </c>
      <c r="E1931" s="150" t="str">
        <f t="shared" si="27"/>
        <v>http://dx.doi.org/10.1109/TVCG.2009.185</v>
      </c>
      <c r="F1931" s="14">
        <v>1473.0</v>
      </c>
      <c r="G1931" s="14">
        <v>1480.0</v>
      </c>
      <c r="H1931" s="14" t="s">
        <v>17059</v>
      </c>
      <c r="I1931" s="14" t="s">
        <v>23094</v>
      </c>
      <c r="J1931" s="155" t="s">
        <v>41715</v>
      </c>
      <c r="K1931" s="152" t="s">
        <v>23095</v>
      </c>
      <c r="L1931" s="20" t="s">
        <v>21193</v>
      </c>
      <c r="M1931" s="174" t="s">
        <v>21194</v>
      </c>
      <c r="N1931" s="84"/>
      <c r="O1931" s="84"/>
      <c r="P1931" s="84"/>
      <c r="Q1931" s="84"/>
      <c r="R1931" s="84"/>
      <c r="S1931" s="84"/>
      <c r="T1931" s="84"/>
      <c r="U1931" s="84"/>
      <c r="V1931" s="84"/>
      <c r="W1931" s="84"/>
      <c r="X1931" s="84"/>
    </row>
    <row r="1932" ht="15.75" customHeight="1">
      <c r="A1932" s="14" t="s">
        <v>17</v>
      </c>
      <c r="B1932" s="14">
        <v>2009.0</v>
      </c>
      <c r="C1932" s="14" t="s">
        <v>21196</v>
      </c>
      <c r="D1932" s="14" t="s">
        <v>21197</v>
      </c>
      <c r="E1932" s="150" t="str">
        <f t="shared" si="27"/>
        <v>http://dx.doi.org/10.1109/TVCG.2009.186</v>
      </c>
      <c r="F1932" s="14">
        <v>1603.0</v>
      </c>
      <c r="G1932" s="14">
        <v>1610.0</v>
      </c>
      <c r="H1932" s="14" t="s">
        <v>17059</v>
      </c>
      <c r="I1932" s="14" t="s">
        <v>21198</v>
      </c>
      <c r="J1932" s="130" t="s">
        <v>21199</v>
      </c>
      <c r="K1932" s="152" t="s">
        <v>23105</v>
      </c>
      <c r="L1932" s="20" t="s">
        <v>21201</v>
      </c>
      <c r="M1932" s="174" t="s">
        <v>21202</v>
      </c>
      <c r="N1932" s="84"/>
      <c r="O1932" s="84"/>
      <c r="P1932" s="84"/>
      <c r="Q1932" s="84"/>
      <c r="R1932" s="84"/>
      <c r="S1932" s="84"/>
      <c r="T1932" s="84"/>
      <c r="U1932" s="84"/>
      <c r="V1932" s="84"/>
      <c r="W1932" s="84"/>
      <c r="X1932" s="84"/>
    </row>
    <row r="1933" ht="15.75" customHeight="1">
      <c r="A1933" s="14" t="s">
        <v>17</v>
      </c>
      <c r="B1933" s="14">
        <v>2009.0</v>
      </c>
      <c r="C1933" s="14" t="s">
        <v>21203</v>
      </c>
      <c r="D1933" s="14" t="s">
        <v>21204</v>
      </c>
      <c r="E1933" s="150" t="str">
        <f t="shared" si="27"/>
        <v>http://dx.doi.org/10.1109/TVCG.2009.189</v>
      </c>
      <c r="F1933" s="14">
        <v>1465.0</v>
      </c>
      <c r="G1933" s="14">
        <v>1472.0</v>
      </c>
      <c r="H1933" s="14" t="s">
        <v>17059</v>
      </c>
      <c r="I1933" s="14" t="s">
        <v>21205</v>
      </c>
      <c r="J1933" s="130" t="s">
        <v>19898</v>
      </c>
      <c r="K1933" s="152" t="s">
        <v>23155</v>
      </c>
      <c r="L1933" s="20" t="s">
        <v>21206</v>
      </c>
      <c r="M1933" s="174" t="s">
        <v>21207</v>
      </c>
      <c r="N1933" s="84"/>
      <c r="O1933" s="84"/>
      <c r="P1933" s="84"/>
      <c r="Q1933" s="84"/>
      <c r="R1933" s="84"/>
      <c r="S1933" s="84"/>
      <c r="T1933" s="84"/>
      <c r="U1933" s="84"/>
      <c r="V1933" s="84"/>
      <c r="W1933" s="84"/>
      <c r="X1933" s="84"/>
    </row>
    <row r="1934" ht="15.75" customHeight="1">
      <c r="A1934" s="14" t="s">
        <v>17</v>
      </c>
      <c r="B1934" s="14">
        <v>2009.0</v>
      </c>
      <c r="C1934" s="14" t="s">
        <v>21208</v>
      </c>
      <c r="D1934" s="14" t="s">
        <v>21209</v>
      </c>
      <c r="E1934" s="150" t="str">
        <f t="shared" si="27"/>
        <v>http://dx.doi.org/10.1109/TVCG.2009.190</v>
      </c>
      <c r="F1934" s="14">
        <v>1267.0</v>
      </c>
      <c r="G1934" s="14">
        <v>1274.0</v>
      </c>
      <c r="H1934" s="14" t="s">
        <v>17059</v>
      </c>
      <c r="I1934" s="14" t="s">
        <v>21211</v>
      </c>
      <c r="J1934" s="130" t="s">
        <v>21213</v>
      </c>
      <c r="K1934" s="152" t="s">
        <v>23178</v>
      </c>
      <c r="L1934" s="20" t="s">
        <v>21215</v>
      </c>
      <c r="M1934" s="174" t="s">
        <v>21216</v>
      </c>
      <c r="N1934" s="84"/>
      <c r="O1934" s="84"/>
      <c r="P1934" s="84"/>
      <c r="Q1934" s="84"/>
      <c r="R1934" s="84"/>
      <c r="S1934" s="84"/>
      <c r="T1934" s="84"/>
      <c r="U1934" s="84"/>
      <c r="V1934" s="84"/>
      <c r="W1934" s="84"/>
      <c r="X1934" s="84"/>
    </row>
    <row r="1935" ht="15.75" customHeight="1">
      <c r="A1935" s="14" t="s">
        <v>17</v>
      </c>
      <c r="B1935" s="14">
        <v>2009.0</v>
      </c>
      <c r="C1935" s="14" t="s">
        <v>21217</v>
      </c>
      <c r="D1935" s="14" t="s">
        <v>21218</v>
      </c>
      <c r="E1935" s="150" t="str">
        <f t="shared" si="27"/>
        <v>http://dx.doi.org/10.1109/TVCG.2009.194</v>
      </c>
      <c r="F1935" s="14">
        <v>1227.0</v>
      </c>
      <c r="G1935" s="14">
        <v>1234.0</v>
      </c>
      <c r="H1935" s="14" t="s">
        <v>17059</v>
      </c>
      <c r="I1935" s="14" t="s">
        <v>21219</v>
      </c>
      <c r="J1935" s="130" t="s">
        <v>21220</v>
      </c>
      <c r="K1935" s="152" t="s">
        <v>23182</v>
      </c>
      <c r="L1935" s="20" t="s">
        <v>21223</v>
      </c>
      <c r="M1935" s="174" t="s">
        <v>21224</v>
      </c>
      <c r="N1935" s="84"/>
      <c r="O1935" s="84"/>
      <c r="P1935" s="84"/>
      <c r="Q1935" s="84"/>
      <c r="R1935" s="84"/>
      <c r="S1935" s="84"/>
      <c r="T1935" s="84"/>
      <c r="U1935" s="84"/>
      <c r="V1935" s="84"/>
      <c r="W1935" s="84"/>
      <c r="X1935" s="84"/>
    </row>
    <row r="1936" ht="15.75" customHeight="1">
      <c r="A1936" s="14" t="s">
        <v>17</v>
      </c>
      <c r="B1936" s="14">
        <v>2009.0</v>
      </c>
      <c r="C1936" s="14" t="s">
        <v>21225</v>
      </c>
      <c r="D1936" s="14" t="s">
        <v>21226</v>
      </c>
      <c r="E1936" s="150" t="str">
        <f t="shared" si="27"/>
        <v>http://dx.doi.org/10.1109/TVCG.2009.195</v>
      </c>
      <c r="F1936" s="14">
        <v>1539.0</v>
      </c>
      <c r="G1936" s="14">
        <v>1546.0</v>
      </c>
      <c r="H1936" s="14" t="s">
        <v>17059</v>
      </c>
      <c r="I1936" s="14" t="s">
        <v>21228</v>
      </c>
      <c r="J1936" s="130" t="s">
        <v>21230</v>
      </c>
      <c r="K1936" s="152" t="s">
        <v>23185</v>
      </c>
      <c r="L1936" s="20" t="s">
        <v>21233</v>
      </c>
      <c r="M1936" s="174" t="s">
        <v>21234</v>
      </c>
      <c r="N1936" s="84"/>
      <c r="O1936" s="84"/>
      <c r="P1936" s="84"/>
      <c r="Q1936" s="84"/>
      <c r="R1936" s="84"/>
      <c r="S1936" s="84"/>
      <c r="T1936" s="84"/>
      <c r="U1936" s="84"/>
      <c r="V1936" s="84"/>
      <c r="W1936" s="84"/>
      <c r="X1936" s="84"/>
    </row>
    <row r="1937" ht="15.75" customHeight="1">
      <c r="A1937" s="14" t="s">
        <v>17</v>
      </c>
      <c r="B1937" s="14">
        <v>2009.0</v>
      </c>
      <c r="C1937" s="14" t="s">
        <v>21235</v>
      </c>
      <c r="D1937" s="14" t="s">
        <v>21237</v>
      </c>
      <c r="E1937" s="150" t="str">
        <f t="shared" si="27"/>
        <v>http://dx.doi.org/10.1109/TVCG.2009.197</v>
      </c>
      <c r="F1937" s="14">
        <v>1375.0</v>
      </c>
      <c r="G1937" s="14">
        <v>1382.0</v>
      </c>
      <c r="H1937" s="14" t="s">
        <v>17059</v>
      </c>
      <c r="I1937" s="14" t="s">
        <v>21238</v>
      </c>
      <c r="J1937" s="130" t="s">
        <v>21239</v>
      </c>
      <c r="K1937" s="152" t="s">
        <v>23191</v>
      </c>
      <c r="L1937" s="20" t="s">
        <v>21242</v>
      </c>
      <c r="M1937" s="174" t="s">
        <v>21243</v>
      </c>
      <c r="N1937" s="84"/>
      <c r="O1937" s="84"/>
      <c r="P1937" s="84"/>
      <c r="Q1937" s="84"/>
      <c r="R1937" s="84"/>
      <c r="S1937" s="84"/>
      <c r="T1937" s="84"/>
      <c r="U1937" s="84"/>
      <c r="V1937" s="84"/>
      <c r="W1937" s="84"/>
      <c r="X1937" s="84"/>
    </row>
    <row r="1938" ht="15.75" customHeight="1">
      <c r="A1938" s="14" t="s">
        <v>17</v>
      </c>
      <c r="B1938" s="14">
        <v>2009.0</v>
      </c>
      <c r="C1938" s="14" t="s">
        <v>21244</v>
      </c>
      <c r="D1938" s="14" t="s">
        <v>21245</v>
      </c>
      <c r="E1938" s="150" t="str">
        <f t="shared" si="27"/>
        <v>http://dx.doi.org/10.1109/TVCG.2009.198</v>
      </c>
      <c r="F1938" s="14">
        <v>1407.0</v>
      </c>
      <c r="G1938" s="14">
        <v>1414.0</v>
      </c>
      <c r="H1938" s="14" t="s">
        <v>17059</v>
      </c>
      <c r="I1938" s="14" t="s">
        <v>21246</v>
      </c>
      <c r="J1938" s="130" t="s">
        <v>21247</v>
      </c>
      <c r="K1938" s="152" t="s">
        <v>23193</v>
      </c>
      <c r="L1938" s="20" t="s">
        <v>21249</v>
      </c>
      <c r="M1938" s="174" t="s">
        <v>21250</v>
      </c>
      <c r="N1938" s="84"/>
      <c r="O1938" s="84"/>
      <c r="P1938" s="84"/>
      <c r="Q1938" s="84"/>
      <c r="R1938" s="84"/>
      <c r="S1938" s="84"/>
      <c r="T1938" s="84"/>
      <c r="U1938" s="84"/>
      <c r="V1938" s="84"/>
      <c r="W1938" s="84"/>
      <c r="X1938" s="84"/>
    </row>
    <row r="1939" ht="15.75" customHeight="1">
      <c r="A1939" s="14" t="s">
        <v>17</v>
      </c>
      <c r="B1939" s="14">
        <v>2009.0</v>
      </c>
      <c r="C1939" s="14" t="s">
        <v>21251</v>
      </c>
      <c r="D1939" s="14" t="s">
        <v>21252</v>
      </c>
      <c r="E1939" s="150" t="str">
        <f t="shared" si="27"/>
        <v>http://dx.doi.org/10.1109/TVCG.2009.199</v>
      </c>
      <c r="F1939" s="14">
        <v>1327.0</v>
      </c>
      <c r="G1939" s="14">
        <v>1334.0</v>
      </c>
      <c r="H1939" s="14" t="s">
        <v>17059</v>
      </c>
      <c r="I1939" s="14" t="s">
        <v>21255</v>
      </c>
      <c r="J1939" s="130" t="s">
        <v>41716</v>
      </c>
      <c r="K1939" s="152" t="s">
        <v>23196</v>
      </c>
      <c r="L1939" s="20" t="s">
        <v>21259</v>
      </c>
      <c r="M1939" s="174" t="s">
        <v>21260</v>
      </c>
      <c r="N1939" s="84"/>
      <c r="O1939" s="84"/>
      <c r="P1939" s="84"/>
      <c r="Q1939" s="84"/>
      <c r="R1939" s="84"/>
      <c r="S1939" s="84"/>
      <c r="T1939" s="84"/>
      <c r="U1939" s="84"/>
      <c r="V1939" s="84"/>
      <c r="W1939" s="84"/>
      <c r="X1939" s="84"/>
    </row>
    <row r="1940" ht="15.75" customHeight="1">
      <c r="A1940" s="14" t="s">
        <v>17</v>
      </c>
      <c r="B1940" s="14">
        <v>2009.0</v>
      </c>
      <c r="C1940" s="14" t="s">
        <v>21261</v>
      </c>
      <c r="D1940" s="14" t="s">
        <v>21262</v>
      </c>
      <c r="E1940" s="150" t="str">
        <f t="shared" si="27"/>
        <v>http://dx.doi.org/10.1109/TVCG.2009.200</v>
      </c>
      <c r="F1940" s="14">
        <v>1359.0</v>
      </c>
      <c r="G1940" s="14">
        <v>1366.0</v>
      </c>
      <c r="H1940" s="14" t="s">
        <v>17059</v>
      </c>
      <c r="I1940" s="14" t="s">
        <v>21263</v>
      </c>
      <c r="J1940" s="130" t="s">
        <v>21264</v>
      </c>
      <c r="K1940" s="152" t="s">
        <v>12159</v>
      </c>
      <c r="L1940" s="20" t="s">
        <v>21267</v>
      </c>
      <c r="M1940" s="174" t="s">
        <v>21268</v>
      </c>
      <c r="N1940" s="84"/>
      <c r="O1940" s="84"/>
      <c r="P1940" s="84"/>
      <c r="Q1940" s="84"/>
      <c r="R1940" s="84"/>
      <c r="S1940" s="84"/>
      <c r="T1940" s="84"/>
      <c r="U1940" s="84"/>
      <c r="V1940" s="84"/>
      <c r="W1940" s="84"/>
      <c r="X1940" s="84"/>
    </row>
    <row r="1941" ht="15.75" customHeight="1">
      <c r="A1941" s="14" t="s">
        <v>17</v>
      </c>
      <c r="B1941" s="14">
        <v>2009.0</v>
      </c>
      <c r="C1941" s="14" t="s">
        <v>21269</v>
      </c>
      <c r="D1941" s="14" t="s">
        <v>21270</v>
      </c>
      <c r="E1941" s="150" t="str">
        <f t="shared" si="27"/>
        <v>http://dx.doi.org/10.1109/TVCG.2009.203</v>
      </c>
      <c r="F1941" s="14">
        <v>1425.0</v>
      </c>
      <c r="G1941" s="14">
        <v>1432.0</v>
      </c>
      <c r="H1941" s="14" t="s">
        <v>17059</v>
      </c>
      <c r="I1941" s="14" t="s">
        <v>21271</v>
      </c>
      <c r="J1941" s="155" t="s">
        <v>21273</v>
      </c>
      <c r="K1941" s="152" t="s">
        <v>22075</v>
      </c>
      <c r="L1941" s="20" t="s">
        <v>21275</v>
      </c>
      <c r="M1941" s="174" t="s">
        <v>21276</v>
      </c>
      <c r="N1941" s="84"/>
      <c r="O1941" s="84"/>
      <c r="P1941" s="84"/>
      <c r="Q1941" s="84"/>
      <c r="R1941" s="84"/>
      <c r="S1941" s="84"/>
      <c r="T1941" s="84"/>
      <c r="U1941" s="84"/>
      <c r="V1941" s="84"/>
      <c r="W1941" s="84"/>
      <c r="X1941" s="84"/>
    </row>
    <row r="1942" ht="15.75" customHeight="1">
      <c r="A1942" s="14" t="s">
        <v>17</v>
      </c>
      <c r="B1942" s="14">
        <v>2009.0</v>
      </c>
      <c r="C1942" s="14" t="s">
        <v>21277</v>
      </c>
      <c r="D1942" s="14" t="s">
        <v>21278</v>
      </c>
      <c r="E1942" s="150" t="str">
        <f t="shared" si="27"/>
        <v>http://dx.doi.org/10.1109/TVCG.2009.204</v>
      </c>
      <c r="F1942" s="14">
        <v>1571.0</v>
      </c>
      <c r="G1942" s="14">
        <v>1578.0</v>
      </c>
      <c r="H1942" s="14" t="s">
        <v>17059</v>
      </c>
      <c r="I1942" s="14" t="s">
        <v>23276</v>
      </c>
      <c r="J1942" s="130" t="s">
        <v>21280</v>
      </c>
      <c r="K1942" s="152" t="s">
        <v>23277</v>
      </c>
      <c r="L1942" s="20" t="s">
        <v>21285</v>
      </c>
      <c r="M1942" s="174" t="s">
        <v>21286</v>
      </c>
      <c r="N1942" s="84"/>
      <c r="O1942" s="84"/>
      <c r="P1942" s="84"/>
      <c r="Q1942" s="84"/>
      <c r="R1942" s="84"/>
      <c r="S1942" s="84"/>
      <c r="T1942" s="84"/>
      <c r="U1942" s="84"/>
      <c r="V1942" s="84"/>
      <c r="W1942" s="84"/>
      <c r="X1942" s="84"/>
    </row>
    <row r="1943" ht="15.75" customHeight="1">
      <c r="A1943" s="14" t="s">
        <v>2137</v>
      </c>
      <c r="B1943" s="14">
        <v>2010.0</v>
      </c>
      <c r="C1943" s="14" t="s">
        <v>21290</v>
      </c>
      <c r="D1943" s="14" t="s">
        <v>21291</v>
      </c>
      <c r="E1943" s="150" t="str">
        <f t="shared" si="27"/>
        <v>http://dx.doi.org/10.1109/TVCG.2010.126</v>
      </c>
      <c r="F1943" s="14">
        <v>1164.0</v>
      </c>
      <c r="G1943" s="14">
        <v>1171.0</v>
      </c>
      <c r="H1943" s="14" t="s">
        <v>17059</v>
      </c>
      <c r="I1943" s="14" t="s">
        <v>21292</v>
      </c>
      <c r="J1943" s="130" t="s">
        <v>21293</v>
      </c>
      <c r="K1943" s="152" t="s">
        <v>23939</v>
      </c>
      <c r="L1943" s="20" t="s">
        <v>21296</v>
      </c>
      <c r="M1943" s="221" t="s">
        <v>21297</v>
      </c>
      <c r="N1943" s="84"/>
      <c r="O1943" s="84"/>
      <c r="P1943" s="84"/>
      <c r="Q1943" s="84"/>
      <c r="R1943" s="84"/>
      <c r="S1943" s="84"/>
      <c r="T1943" s="84"/>
      <c r="U1943" s="84"/>
      <c r="V1943" s="84"/>
      <c r="W1943" s="84"/>
      <c r="X1943" s="84"/>
    </row>
    <row r="1944" ht="15.75" customHeight="1">
      <c r="A1944" s="14" t="s">
        <v>2137</v>
      </c>
      <c r="B1944" s="14">
        <v>2010.0</v>
      </c>
      <c r="C1944" s="14" t="s">
        <v>21300</v>
      </c>
      <c r="D1944" s="14" t="s">
        <v>21301</v>
      </c>
      <c r="E1944" s="150" t="str">
        <f t="shared" si="27"/>
        <v>http://dx.doi.org/10.1109/TVCG.2010.129</v>
      </c>
      <c r="F1944" s="14">
        <v>1129.0</v>
      </c>
      <c r="G1944" s="14">
        <v>1138.0</v>
      </c>
      <c r="H1944" s="14" t="s">
        <v>17059</v>
      </c>
      <c r="I1944" s="14" t="s">
        <v>21302</v>
      </c>
      <c r="J1944" s="130" t="s">
        <v>41717</v>
      </c>
      <c r="K1944" s="152" t="s">
        <v>5349</v>
      </c>
      <c r="L1944" s="20" t="s">
        <v>21306</v>
      </c>
      <c r="M1944" s="174" t="s">
        <v>21307</v>
      </c>
      <c r="N1944" s="84"/>
      <c r="O1944" s="84"/>
      <c r="P1944" s="84"/>
      <c r="Q1944" s="84"/>
      <c r="R1944" s="84"/>
      <c r="S1944" s="84"/>
      <c r="T1944" s="84"/>
      <c r="U1944" s="84"/>
      <c r="V1944" s="84"/>
      <c r="W1944" s="84"/>
      <c r="X1944" s="84"/>
    </row>
    <row r="1945" ht="15.75" customHeight="1">
      <c r="A1945" s="14" t="s">
        <v>2137</v>
      </c>
      <c r="B1945" s="14">
        <v>2010.0</v>
      </c>
      <c r="C1945" s="14" t="s">
        <v>21308</v>
      </c>
      <c r="D1945" s="14" t="s">
        <v>21309</v>
      </c>
      <c r="E1945" s="150" t="str">
        <f t="shared" si="27"/>
        <v>http://dx.doi.org/10.1109/TVCG.2010.130</v>
      </c>
      <c r="F1945" s="14">
        <v>1036.0</v>
      </c>
      <c r="G1945" s="14">
        <v>1043.0</v>
      </c>
      <c r="H1945" s="14" t="s">
        <v>17059</v>
      </c>
      <c r="I1945" s="14" t="s">
        <v>21311</v>
      </c>
      <c r="J1945" s="130" t="s">
        <v>21312</v>
      </c>
      <c r="K1945" s="152" t="s">
        <v>494</v>
      </c>
      <c r="L1945" s="20"/>
      <c r="M1945" s="174" t="s">
        <v>21314</v>
      </c>
      <c r="N1945" s="84"/>
      <c r="O1945" s="84"/>
      <c r="P1945" s="84"/>
      <c r="Q1945" s="84"/>
      <c r="R1945" s="84"/>
      <c r="S1945" s="84"/>
      <c r="T1945" s="84"/>
      <c r="U1945" s="84"/>
      <c r="V1945" s="84"/>
      <c r="W1945" s="84"/>
      <c r="X1945" s="84"/>
    </row>
    <row r="1946" ht="15.75" customHeight="1">
      <c r="A1946" s="14" t="s">
        <v>2137</v>
      </c>
      <c r="B1946" s="14">
        <v>2010.0</v>
      </c>
      <c r="C1946" s="14" t="s">
        <v>21315</v>
      </c>
      <c r="D1946" s="14" t="s">
        <v>21316</v>
      </c>
      <c r="E1946" s="150" t="str">
        <f t="shared" si="27"/>
        <v>http://dx.doi.org/10.1109/TVCG.2010.137</v>
      </c>
      <c r="F1946" s="14">
        <v>908.0</v>
      </c>
      <c r="G1946" s="14">
        <v>917.0</v>
      </c>
      <c r="H1946" s="14" t="s">
        <v>17059</v>
      </c>
      <c r="I1946" s="14" t="s">
        <v>21317</v>
      </c>
      <c r="J1946" s="130" t="s">
        <v>21318</v>
      </c>
      <c r="K1946" s="152" t="s">
        <v>5349</v>
      </c>
      <c r="L1946" s="20" t="s">
        <v>21320</v>
      </c>
      <c r="M1946" s="174" t="s">
        <v>21321</v>
      </c>
      <c r="N1946" s="84"/>
      <c r="O1946" s="84"/>
      <c r="P1946" s="84"/>
      <c r="Q1946" s="84"/>
      <c r="R1946" s="84"/>
      <c r="S1946" s="84"/>
      <c r="T1946" s="84"/>
      <c r="U1946" s="84"/>
      <c r="V1946" s="84"/>
      <c r="W1946" s="84"/>
      <c r="X1946" s="84"/>
    </row>
    <row r="1947" ht="15.75" customHeight="1">
      <c r="A1947" s="14" t="s">
        <v>2137</v>
      </c>
      <c r="B1947" s="14">
        <v>2010.0</v>
      </c>
      <c r="C1947" s="14" t="s">
        <v>21322</v>
      </c>
      <c r="D1947" s="14" t="s">
        <v>21323</v>
      </c>
      <c r="E1947" s="150" t="str">
        <f t="shared" si="27"/>
        <v>http://dx.doi.org/10.1109/TVCG.2010.138</v>
      </c>
      <c r="F1947" s="14">
        <v>1027.0</v>
      </c>
      <c r="G1947" s="14">
        <v>1035.0</v>
      </c>
      <c r="H1947" s="14" t="s">
        <v>17059</v>
      </c>
      <c r="I1947" s="14" t="s">
        <v>21325</v>
      </c>
      <c r="J1947" s="130" t="s">
        <v>21326</v>
      </c>
      <c r="K1947" s="152" t="s">
        <v>880</v>
      </c>
      <c r="L1947" s="20" t="s">
        <v>21327</v>
      </c>
      <c r="M1947" s="174" t="s">
        <v>21328</v>
      </c>
      <c r="N1947" s="84"/>
      <c r="O1947" s="84"/>
      <c r="P1947" s="84"/>
      <c r="Q1947" s="84"/>
      <c r="R1947" s="84"/>
      <c r="S1947" s="84"/>
      <c r="T1947" s="84"/>
      <c r="U1947" s="84"/>
      <c r="V1947" s="84"/>
      <c r="W1947" s="84"/>
      <c r="X1947" s="84"/>
    </row>
    <row r="1948" ht="15.75" customHeight="1">
      <c r="A1948" s="14" t="s">
        <v>2137</v>
      </c>
      <c r="B1948" s="14">
        <v>2010.0</v>
      </c>
      <c r="C1948" s="14" t="s">
        <v>21330</v>
      </c>
      <c r="D1948" s="14" t="s">
        <v>21331</v>
      </c>
      <c r="E1948" s="150" t="str">
        <f t="shared" si="27"/>
        <v>http://dx.doi.org/10.1109/TVCG.2010.144</v>
      </c>
      <c r="F1948" s="14">
        <v>1149.0</v>
      </c>
      <c r="G1948" s="14">
        <v>1156.0</v>
      </c>
      <c r="H1948" s="14" t="s">
        <v>17059</v>
      </c>
      <c r="I1948" s="14" t="s">
        <v>21332</v>
      </c>
      <c r="J1948" s="130" t="s">
        <v>21333</v>
      </c>
      <c r="K1948" s="152" t="s">
        <v>22981</v>
      </c>
      <c r="L1948" s="20" t="s">
        <v>21334</v>
      </c>
      <c r="M1948" s="174" t="s">
        <v>21335</v>
      </c>
      <c r="N1948" s="84"/>
      <c r="O1948" s="84"/>
      <c r="P1948" s="84"/>
      <c r="Q1948" s="84"/>
      <c r="R1948" s="84"/>
      <c r="S1948" s="84"/>
      <c r="T1948" s="84"/>
      <c r="U1948" s="84"/>
      <c r="V1948" s="84"/>
      <c r="W1948" s="84"/>
      <c r="X1948" s="84"/>
    </row>
    <row r="1949" ht="15.75" customHeight="1">
      <c r="A1949" s="14" t="s">
        <v>2137</v>
      </c>
      <c r="B1949" s="14">
        <v>2010.0</v>
      </c>
      <c r="C1949" s="14" t="s">
        <v>24258</v>
      </c>
      <c r="D1949" s="14" t="s">
        <v>21337</v>
      </c>
      <c r="E1949" s="150" t="str">
        <f t="shared" si="27"/>
        <v>http://dx.doi.org/10.1109/TVCG.2010.149</v>
      </c>
      <c r="F1949" s="14">
        <v>953.0</v>
      </c>
      <c r="G1949" s="14">
        <v>962.0</v>
      </c>
      <c r="H1949" s="14" t="s">
        <v>17059</v>
      </c>
      <c r="I1949" s="14" t="s">
        <v>21338</v>
      </c>
      <c r="J1949" s="130" t="s">
        <v>21339</v>
      </c>
      <c r="K1949" s="152" t="s">
        <v>494</v>
      </c>
      <c r="L1949" s="20" t="s">
        <v>21341</v>
      </c>
      <c r="M1949" s="16"/>
      <c r="N1949" s="84"/>
      <c r="O1949" s="84"/>
      <c r="P1949" s="84"/>
      <c r="Q1949" s="84"/>
      <c r="R1949" s="84"/>
      <c r="S1949" s="84"/>
      <c r="T1949" s="84"/>
      <c r="U1949" s="84"/>
      <c r="V1949" s="84"/>
      <c r="W1949" s="84"/>
      <c r="X1949" s="84"/>
    </row>
    <row r="1950" ht="15.75" customHeight="1">
      <c r="A1950" s="14" t="s">
        <v>2137</v>
      </c>
      <c r="B1950" s="14">
        <v>2010.0</v>
      </c>
      <c r="C1950" s="14" t="s">
        <v>21342</v>
      </c>
      <c r="D1950" s="14" t="s">
        <v>21343</v>
      </c>
      <c r="E1950" s="150" t="str">
        <f t="shared" si="27"/>
        <v>http://dx.doi.org/10.1109/TVCG.2010.150</v>
      </c>
      <c r="F1950" s="14">
        <v>963.0</v>
      </c>
      <c r="G1950" s="14">
        <v>972.0</v>
      </c>
      <c r="H1950" s="14" t="s">
        <v>17059</v>
      </c>
      <c r="I1950" s="14" t="s">
        <v>21345</v>
      </c>
      <c r="J1950" s="130" t="s">
        <v>21347</v>
      </c>
      <c r="K1950" s="152" t="s">
        <v>24283</v>
      </c>
      <c r="L1950" s="20" t="s">
        <v>2378</v>
      </c>
      <c r="M1950" s="174" t="s">
        <v>21350</v>
      </c>
      <c r="N1950" s="84"/>
      <c r="O1950" s="84"/>
      <c r="P1950" s="84"/>
      <c r="Q1950" s="84"/>
      <c r="R1950" s="84"/>
      <c r="S1950" s="84"/>
      <c r="T1950" s="84"/>
      <c r="U1950" s="84"/>
      <c r="V1950" s="84"/>
      <c r="W1950" s="84"/>
      <c r="X1950" s="84"/>
    </row>
    <row r="1951" ht="15.75" customHeight="1">
      <c r="A1951" s="14" t="s">
        <v>2137</v>
      </c>
      <c r="B1951" s="14">
        <v>2010.0</v>
      </c>
      <c r="C1951" s="14" t="s">
        <v>21352</v>
      </c>
      <c r="D1951" s="14" t="s">
        <v>21353</v>
      </c>
      <c r="E1951" s="150" t="str">
        <f t="shared" si="27"/>
        <v>http://dx.doi.org/10.1109/TVCG.2010.154</v>
      </c>
      <c r="F1951" s="14">
        <v>1172.0</v>
      </c>
      <c r="G1951" s="14">
        <v>1181.0</v>
      </c>
      <c r="H1951" s="14" t="s">
        <v>17059</v>
      </c>
      <c r="I1951" s="14" t="s">
        <v>21354</v>
      </c>
      <c r="J1951" s="130" t="s">
        <v>21355</v>
      </c>
      <c r="K1951" s="152" t="s">
        <v>24359</v>
      </c>
      <c r="L1951" s="20" t="s">
        <v>21357</v>
      </c>
      <c r="M1951" s="174" t="s">
        <v>21358</v>
      </c>
      <c r="N1951" s="84"/>
      <c r="O1951" s="84"/>
      <c r="P1951" s="84"/>
      <c r="Q1951" s="84"/>
      <c r="R1951" s="84"/>
      <c r="S1951" s="84"/>
      <c r="T1951" s="84"/>
      <c r="U1951" s="84"/>
      <c r="V1951" s="84"/>
      <c r="W1951" s="84"/>
      <c r="X1951" s="84"/>
    </row>
    <row r="1952" ht="15.75" customHeight="1">
      <c r="A1952" s="14" t="s">
        <v>2137</v>
      </c>
      <c r="B1952" s="14">
        <v>2010.0</v>
      </c>
      <c r="C1952" s="14" t="s">
        <v>21359</v>
      </c>
      <c r="D1952" s="14" t="s">
        <v>21360</v>
      </c>
      <c r="E1952" s="150" t="str">
        <f t="shared" si="27"/>
        <v>http://dx.doi.org/10.1109/TVCG.2010.159</v>
      </c>
      <c r="F1952" s="14">
        <v>1073.0</v>
      </c>
      <c r="G1952" s="14">
        <v>1081.0</v>
      </c>
      <c r="H1952" s="14" t="s">
        <v>17059</v>
      </c>
      <c r="I1952" s="14" t="s">
        <v>24439</v>
      </c>
      <c r="J1952" s="130" t="s">
        <v>21362</v>
      </c>
      <c r="K1952" s="152" t="s">
        <v>880</v>
      </c>
      <c r="L1952" s="20" t="s">
        <v>21364</v>
      </c>
      <c r="M1952" s="174" t="s">
        <v>21365</v>
      </c>
      <c r="N1952" s="84"/>
      <c r="O1952" s="84"/>
      <c r="P1952" s="84"/>
      <c r="Q1952" s="84"/>
      <c r="R1952" s="84"/>
      <c r="S1952" s="84"/>
      <c r="T1952" s="84"/>
      <c r="U1952" s="84"/>
      <c r="V1952" s="84"/>
      <c r="W1952" s="84"/>
      <c r="X1952" s="84"/>
    </row>
    <row r="1953" ht="15.75" customHeight="1">
      <c r="A1953" s="14" t="s">
        <v>2137</v>
      </c>
      <c r="B1953" s="14">
        <v>2010.0</v>
      </c>
      <c r="C1953" s="14" t="s">
        <v>21368</v>
      </c>
      <c r="D1953" s="14" t="s">
        <v>21369</v>
      </c>
      <c r="E1953" s="150" t="str">
        <f t="shared" si="27"/>
        <v>http://dx.doi.org/10.1109/TVCG.2010.161</v>
      </c>
      <c r="F1953" s="14">
        <v>973.0</v>
      </c>
      <c r="G1953" s="14">
        <v>979.0</v>
      </c>
      <c r="H1953" s="14" t="s">
        <v>17059</v>
      </c>
      <c r="I1953" s="14" t="s">
        <v>21370</v>
      </c>
      <c r="J1953" s="130" t="s">
        <v>21371</v>
      </c>
      <c r="K1953" s="152" t="s">
        <v>24474</v>
      </c>
      <c r="L1953" s="20" t="s">
        <v>18191</v>
      </c>
      <c r="M1953" s="174" t="s">
        <v>21374</v>
      </c>
      <c r="N1953" s="84"/>
      <c r="O1953" s="84"/>
      <c r="P1953" s="84"/>
      <c r="Q1953" s="84"/>
      <c r="R1953" s="84"/>
      <c r="S1953" s="84"/>
      <c r="T1953" s="84"/>
      <c r="U1953" s="84"/>
      <c r="V1953" s="84"/>
      <c r="W1953" s="84"/>
      <c r="X1953" s="84"/>
    </row>
    <row r="1954" ht="15.75" customHeight="1">
      <c r="A1954" s="14" t="s">
        <v>2137</v>
      </c>
      <c r="B1954" s="14">
        <v>2010.0</v>
      </c>
      <c r="C1954" s="14" t="s">
        <v>21375</v>
      </c>
      <c r="D1954" s="14" t="s">
        <v>21376</v>
      </c>
      <c r="E1954" s="150" t="str">
        <f t="shared" si="27"/>
        <v>http://dx.doi.org/10.1109/TVCG.2010.162</v>
      </c>
      <c r="F1954" s="14">
        <v>927.0</v>
      </c>
      <c r="G1954" s="14">
        <v>934.0</v>
      </c>
      <c r="H1954" s="14" t="s">
        <v>17059</v>
      </c>
      <c r="I1954" s="14" t="s">
        <v>21378</v>
      </c>
      <c r="J1954" s="130" t="s">
        <v>21379</v>
      </c>
      <c r="K1954" s="152" t="s">
        <v>24490</v>
      </c>
      <c r="L1954" s="20" t="s">
        <v>21381</v>
      </c>
      <c r="M1954" s="174" t="s">
        <v>21382</v>
      </c>
      <c r="N1954" s="84"/>
      <c r="O1954" s="84"/>
      <c r="P1954" s="84"/>
      <c r="Q1954" s="84"/>
      <c r="R1954" s="84"/>
      <c r="S1954" s="84"/>
      <c r="T1954" s="84"/>
      <c r="U1954" s="84"/>
      <c r="V1954" s="84"/>
      <c r="W1954" s="84"/>
      <c r="X1954" s="84"/>
    </row>
    <row r="1955" ht="15.75" customHeight="1">
      <c r="A1955" s="14" t="s">
        <v>2137</v>
      </c>
      <c r="B1955" s="14">
        <v>2010.0</v>
      </c>
      <c r="C1955" s="14" t="s">
        <v>21383</v>
      </c>
      <c r="D1955" s="14" t="s">
        <v>21384</v>
      </c>
      <c r="E1955" s="150" t="str">
        <f t="shared" si="27"/>
        <v>http://dx.doi.org/10.1109/TVCG.2010.163</v>
      </c>
      <c r="F1955" s="14">
        <v>918.0</v>
      </c>
      <c r="G1955" s="14">
        <v>926.0</v>
      </c>
      <c r="H1955" s="14" t="s">
        <v>17059</v>
      </c>
      <c r="I1955" s="14" t="s">
        <v>21385</v>
      </c>
      <c r="J1955" s="130" t="s">
        <v>21386</v>
      </c>
      <c r="K1955" s="152" t="s">
        <v>24507</v>
      </c>
      <c r="L1955" s="20" t="s">
        <v>21389</v>
      </c>
      <c r="M1955" s="174" t="s">
        <v>21390</v>
      </c>
      <c r="N1955" s="84"/>
      <c r="O1955" s="84"/>
      <c r="P1955" s="84"/>
      <c r="Q1955" s="84"/>
      <c r="R1955" s="84"/>
      <c r="S1955" s="84"/>
      <c r="T1955" s="84"/>
      <c r="U1955" s="84"/>
      <c r="V1955" s="84"/>
      <c r="W1955" s="84"/>
      <c r="X1955" s="84"/>
    </row>
    <row r="1956" ht="15.75" customHeight="1">
      <c r="A1956" s="14" t="s">
        <v>2137</v>
      </c>
      <c r="B1956" s="14">
        <v>2010.0</v>
      </c>
      <c r="C1956" s="14" t="s">
        <v>21392</v>
      </c>
      <c r="D1956" s="14" t="s">
        <v>21393</v>
      </c>
      <c r="E1956" s="150" t="str">
        <f t="shared" si="27"/>
        <v>http://dx.doi.org/10.1109/TVCG.2010.164</v>
      </c>
      <c r="F1956" s="14">
        <v>943.0</v>
      </c>
      <c r="G1956" s="14">
        <v>952.0</v>
      </c>
      <c r="H1956" s="14" t="s">
        <v>17059</v>
      </c>
      <c r="I1956" s="14" t="s">
        <v>21395</v>
      </c>
      <c r="J1956" s="130" t="s">
        <v>21396</v>
      </c>
      <c r="K1956" s="152" t="s">
        <v>22110</v>
      </c>
      <c r="L1956" s="20" t="s">
        <v>21399</v>
      </c>
      <c r="M1956" s="174" t="s">
        <v>21400</v>
      </c>
      <c r="N1956" s="84"/>
      <c r="O1956" s="84"/>
      <c r="P1956" s="84"/>
      <c r="Q1956" s="84"/>
      <c r="R1956" s="84"/>
      <c r="S1956" s="84"/>
      <c r="T1956" s="84"/>
      <c r="U1956" s="84"/>
      <c r="V1956" s="84"/>
      <c r="W1956" s="84"/>
      <c r="X1956" s="84"/>
    </row>
    <row r="1957" ht="15.75" customHeight="1">
      <c r="A1957" s="14" t="s">
        <v>2137</v>
      </c>
      <c r="B1957" s="14">
        <v>2010.0</v>
      </c>
      <c r="C1957" s="14" t="s">
        <v>21401</v>
      </c>
      <c r="D1957" s="14" t="s">
        <v>21402</v>
      </c>
      <c r="E1957" s="150" t="str">
        <f t="shared" si="27"/>
        <v>http://dx.doi.org/10.1109/TVCG.2010.174</v>
      </c>
      <c r="F1957" s="14">
        <v>1009.0</v>
      </c>
      <c r="G1957" s="14">
        <v>1016.0</v>
      </c>
      <c r="H1957" s="14" t="s">
        <v>17059</v>
      </c>
      <c r="I1957" s="14" t="s">
        <v>21403</v>
      </c>
      <c r="J1957" s="130" t="s">
        <v>19213</v>
      </c>
      <c r="K1957" s="152" t="s">
        <v>178</v>
      </c>
      <c r="L1957" s="20" t="s">
        <v>19071</v>
      </c>
      <c r="M1957" s="174" t="s">
        <v>21405</v>
      </c>
      <c r="N1957" s="84"/>
      <c r="O1957" s="84"/>
      <c r="P1957" s="84"/>
      <c r="Q1957" s="84"/>
      <c r="R1957" s="84"/>
      <c r="S1957" s="84"/>
      <c r="T1957" s="84"/>
      <c r="U1957" s="84"/>
      <c r="V1957" s="84"/>
      <c r="W1957" s="84"/>
      <c r="X1957" s="84"/>
    </row>
    <row r="1958" ht="15.75" customHeight="1">
      <c r="A1958" s="14" t="s">
        <v>2137</v>
      </c>
      <c r="B1958" s="14">
        <v>2010.0</v>
      </c>
      <c r="C1958" s="14" t="s">
        <v>21406</v>
      </c>
      <c r="D1958" s="14" t="s">
        <v>21408</v>
      </c>
      <c r="E1958" s="150" t="str">
        <f t="shared" si="27"/>
        <v>http://dx.doi.org/10.1109/TVCG.2010.175</v>
      </c>
      <c r="F1958" s="14">
        <v>1190.0</v>
      </c>
      <c r="G1958" s="14">
        <v>1197.0</v>
      </c>
      <c r="H1958" s="14" t="s">
        <v>17059</v>
      </c>
      <c r="I1958" s="14" t="s">
        <v>21409</v>
      </c>
      <c r="J1958" s="130" t="s">
        <v>21410</v>
      </c>
      <c r="K1958" s="152" t="s">
        <v>24725</v>
      </c>
      <c r="L1958" s="20" t="s">
        <v>21413</v>
      </c>
      <c r="M1958" s="174" t="s">
        <v>21414</v>
      </c>
      <c r="N1958" s="84"/>
      <c r="O1958" s="84"/>
      <c r="P1958" s="84"/>
      <c r="Q1958" s="84"/>
      <c r="R1958" s="84"/>
      <c r="S1958" s="84"/>
      <c r="T1958" s="84"/>
      <c r="U1958" s="84"/>
      <c r="V1958" s="84"/>
      <c r="W1958" s="84"/>
      <c r="X1958" s="84"/>
    </row>
    <row r="1959" ht="15.75" customHeight="1">
      <c r="A1959" s="14" t="s">
        <v>2137</v>
      </c>
      <c r="B1959" s="14">
        <v>2010.0</v>
      </c>
      <c r="C1959" s="14" t="s">
        <v>21415</v>
      </c>
      <c r="D1959" s="14" t="s">
        <v>21416</v>
      </c>
      <c r="E1959" s="150" t="str">
        <f t="shared" si="27"/>
        <v>http://dx.doi.org/10.1109/TVCG.2010.176</v>
      </c>
      <c r="F1959" s="14">
        <v>980.0</v>
      </c>
      <c r="G1959" s="14">
        <v>989.0</v>
      </c>
      <c r="H1959" s="14" t="s">
        <v>17059</v>
      </c>
      <c r="I1959" s="14" t="s">
        <v>21418</v>
      </c>
      <c r="J1959" s="130" t="s">
        <v>21419</v>
      </c>
      <c r="K1959" s="152" t="s">
        <v>24749</v>
      </c>
      <c r="L1959" s="20" t="s">
        <v>21422</v>
      </c>
      <c r="M1959" s="174" t="s">
        <v>21423</v>
      </c>
      <c r="N1959" s="84"/>
      <c r="O1959" s="84"/>
      <c r="P1959" s="84"/>
      <c r="Q1959" s="84"/>
      <c r="R1959" s="84"/>
      <c r="S1959" s="84"/>
      <c r="T1959" s="84"/>
      <c r="U1959" s="84"/>
      <c r="V1959" s="84"/>
      <c r="W1959" s="84"/>
      <c r="X1959" s="84"/>
    </row>
    <row r="1960" ht="15.75" customHeight="1">
      <c r="A1960" s="14" t="s">
        <v>2137</v>
      </c>
      <c r="B1960" s="14">
        <v>2010.0</v>
      </c>
      <c r="C1960" s="14" t="s">
        <v>21425</v>
      </c>
      <c r="D1960" s="14" t="s">
        <v>21426</v>
      </c>
      <c r="E1960" s="150" t="str">
        <f t="shared" si="27"/>
        <v>http://dx.doi.org/10.1109/TVCG.2010.177</v>
      </c>
      <c r="F1960" s="14">
        <v>999.0</v>
      </c>
      <c r="G1960" s="14">
        <v>1008.0</v>
      </c>
      <c r="H1960" s="14" t="s">
        <v>17059</v>
      </c>
      <c r="I1960" s="14" t="s">
        <v>21427</v>
      </c>
      <c r="J1960" s="130" t="s">
        <v>21428</v>
      </c>
      <c r="K1960" s="152" t="s">
        <v>24771</v>
      </c>
      <c r="L1960" s="20" t="s">
        <v>21431</v>
      </c>
      <c r="M1960" s="174" t="s">
        <v>21432</v>
      </c>
      <c r="N1960" s="84"/>
      <c r="O1960" s="84"/>
      <c r="P1960" s="84"/>
      <c r="Q1960" s="84"/>
      <c r="R1960" s="84"/>
      <c r="S1960" s="84"/>
      <c r="T1960" s="84"/>
      <c r="U1960" s="84"/>
      <c r="V1960" s="84"/>
      <c r="W1960" s="84"/>
      <c r="X1960" s="84"/>
    </row>
    <row r="1961" ht="15.75" customHeight="1">
      <c r="A1961" s="14" t="s">
        <v>2137</v>
      </c>
      <c r="B1961" s="14">
        <v>2010.0</v>
      </c>
      <c r="C1961" s="14" t="s">
        <v>21433</v>
      </c>
      <c r="D1961" s="14" t="s">
        <v>21434</v>
      </c>
      <c r="E1961" s="150" t="str">
        <f t="shared" si="27"/>
        <v>http://dx.doi.org/10.1109/TVCG.2010.179</v>
      </c>
      <c r="F1961" s="14">
        <v>1139.0</v>
      </c>
      <c r="G1961" s="14">
        <v>1148.0</v>
      </c>
      <c r="H1961" s="14" t="s">
        <v>17059</v>
      </c>
      <c r="I1961" s="14" t="s">
        <v>32059</v>
      </c>
      <c r="J1961" s="130" t="s">
        <v>21436</v>
      </c>
      <c r="K1961" s="152" t="s">
        <v>24791</v>
      </c>
      <c r="L1961" s="20" t="s">
        <v>21437</v>
      </c>
      <c r="M1961" s="174" t="s">
        <v>21438</v>
      </c>
      <c r="N1961" s="84"/>
      <c r="O1961" s="84"/>
      <c r="P1961" s="84"/>
      <c r="Q1961" s="84"/>
      <c r="R1961" s="84"/>
      <c r="S1961" s="84"/>
      <c r="T1961" s="84"/>
      <c r="U1961" s="84"/>
      <c r="V1961" s="84"/>
      <c r="W1961" s="84"/>
      <c r="X1961" s="84"/>
    </row>
    <row r="1962" ht="15.75" customHeight="1">
      <c r="A1962" s="14" t="s">
        <v>2137</v>
      </c>
      <c r="B1962" s="14">
        <v>2010.0</v>
      </c>
      <c r="C1962" s="14" t="s">
        <v>21439</v>
      </c>
      <c r="D1962" s="14" t="s">
        <v>21440</v>
      </c>
      <c r="E1962" s="150" t="str">
        <f t="shared" si="27"/>
        <v>http://dx.doi.org/10.1109/TVCG.2010.180</v>
      </c>
      <c r="F1962" s="14">
        <v>881.0</v>
      </c>
      <c r="G1962" s="14">
        <v>889.0</v>
      </c>
      <c r="H1962" s="14" t="s">
        <v>17059</v>
      </c>
      <c r="I1962" s="14" t="s">
        <v>21449</v>
      </c>
      <c r="J1962" s="130" t="s">
        <v>21450</v>
      </c>
      <c r="K1962" s="152" t="s">
        <v>24810</v>
      </c>
      <c r="L1962" s="20" t="s">
        <v>21452</v>
      </c>
      <c r="M1962" s="174" t="s">
        <v>21453</v>
      </c>
      <c r="N1962" s="84"/>
      <c r="O1962" s="84"/>
      <c r="P1962" s="84"/>
      <c r="Q1962" s="84"/>
      <c r="R1962" s="84"/>
      <c r="S1962" s="84"/>
      <c r="T1962" s="84"/>
      <c r="U1962" s="84"/>
      <c r="V1962" s="84"/>
      <c r="W1962" s="84"/>
      <c r="X1962" s="84"/>
    </row>
    <row r="1963" ht="15.75" customHeight="1">
      <c r="A1963" s="14" t="s">
        <v>2137</v>
      </c>
      <c r="B1963" s="14">
        <v>2010.0</v>
      </c>
      <c r="C1963" s="14" t="s">
        <v>21455</v>
      </c>
      <c r="D1963" s="14" t="s">
        <v>21456</v>
      </c>
      <c r="E1963" s="150" t="str">
        <f t="shared" si="27"/>
        <v>http://dx.doi.org/10.1109/TVCG.2010.183</v>
      </c>
      <c r="F1963" s="14">
        <v>1109.0</v>
      </c>
      <c r="G1963" s="14">
        <v>1118.0</v>
      </c>
      <c r="H1963" s="14" t="s">
        <v>17059</v>
      </c>
      <c r="I1963" s="14" t="s">
        <v>21458</v>
      </c>
      <c r="J1963" s="130" t="s">
        <v>21459</v>
      </c>
      <c r="K1963" s="152" t="s">
        <v>24861</v>
      </c>
      <c r="L1963" s="20" t="s">
        <v>21460</v>
      </c>
      <c r="M1963" s="174" t="s">
        <v>21461</v>
      </c>
      <c r="N1963" s="84"/>
      <c r="O1963" s="84"/>
      <c r="P1963" s="84"/>
      <c r="Q1963" s="84"/>
      <c r="R1963" s="84"/>
      <c r="S1963" s="84"/>
      <c r="T1963" s="84"/>
      <c r="U1963" s="84"/>
      <c r="V1963" s="84"/>
      <c r="W1963" s="84"/>
      <c r="X1963" s="84"/>
    </row>
    <row r="1964" ht="15.75" customHeight="1">
      <c r="A1964" s="14" t="s">
        <v>2137</v>
      </c>
      <c r="B1964" s="14">
        <v>2010.0</v>
      </c>
      <c r="C1964" s="14" t="s">
        <v>21462</v>
      </c>
      <c r="D1964" s="14" t="s">
        <v>21463</v>
      </c>
      <c r="E1964" s="150" t="str">
        <f t="shared" si="27"/>
        <v>http://dx.doi.org/10.1109/TVCG.2010.184</v>
      </c>
      <c r="F1964" s="14">
        <v>1017.0</v>
      </c>
      <c r="G1964" s="14">
        <v>1026.0</v>
      </c>
      <c r="H1964" s="14" t="s">
        <v>17059</v>
      </c>
      <c r="I1964" s="14" t="s">
        <v>21464</v>
      </c>
      <c r="J1964" s="130" t="s">
        <v>21465</v>
      </c>
      <c r="K1964" s="152" t="s">
        <v>24879</v>
      </c>
      <c r="L1964" s="20" t="s">
        <v>21467</v>
      </c>
      <c r="M1964" s="174" t="s">
        <v>21468</v>
      </c>
      <c r="N1964" s="84"/>
      <c r="O1964" s="84"/>
      <c r="P1964" s="84"/>
      <c r="Q1964" s="84"/>
      <c r="R1964" s="84"/>
      <c r="S1964" s="84"/>
      <c r="T1964" s="84"/>
      <c r="U1964" s="84"/>
      <c r="V1964" s="84"/>
      <c r="W1964" s="84"/>
      <c r="X1964" s="84"/>
    </row>
    <row r="1965" ht="15.75" customHeight="1">
      <c r="A1965" s="14" t="s">
        <v>2137</v>
      </c>
      <c r="B1965" s="14">
        <v>2010.0</v>
      </c>
      <c r="C1965" s="14" t="s">
        <v>21469</v>
      </c>
      <c r="D1965" s="14" t="s">
        <v>21470</v>
      </c>
      <c r="E1965" s="150" t="str">
        <f t="shared" si="27"/>
        <v>http://dx.doi.org/10.1109/TVCG.2010.185</v>
      </c>
      <c r="F1965" s="14">
        <v>1063.0</v>
      </c>
      <c r="G1965" s="14">
        <v>1072.0</v>
      </c>
      <c r="H1965" s="14" t="s">
        <v>17059</v>
      </c>
      <c r="I1965" s="14" t="s">
        <v>21471</v>
      </c>
      <c r="J1965" s="130" t="s">
        <v>21472</v>
      </c>
      <c r="K1965" s="152" t="s">
        <v>24898</v>
      </c>
      <c r="L1965" s="20" t="s">
        <v>21475</v>
      </c>
      <c r="M1965" s="174" t="s">
        <v>21476</v>
      </c>
      <c r="N1965" s="84"/>
      <c r="O1965" s="84"/>
      <c r="P1965" s="84"/>
      <c r="Q1965" s="84"/>
      <c r="R1965" s="84"/>
      <c r="S1965" s="84"/>
      <c r="T1965" s="84"/>
      <c r="U1965" s="84"/>
      <c r="V1965" s="84"/>
      <c r="W1965" s="84"/>
      <c r="X1965" s="84"/>
    </row>
    <row r="1966" ht="15.75" customHeight="1">
      <c r="A1966" s="14" t="s">
        <v>2137</v>
      </c>
      <c r="B1966" s="14">
        <v>2010.0</v>
      </c>
      <c r="C1966" s="14" t="s">
        <v>21477</v>
      </c>
      <c r="D1966" s="14" t="s">
        <v>21478</v>
      </c>
      <c r="E1966" s="150" t="str">
        <f t="shared" si="27"/>
        <v>http://dx.doi.org/10.1109/TVCG.2010.186</v>
      </c>
      <c r="F1966" s="14">
        <v>990.0</v>
      </c>
      <c r="G1966" s="14">
        <v>998.0</v>
      </c>
      <c r="H1966" s="14" t="s">
        <v>17059</v>
      </c>
      <c r="I1966" s="14" t="s">
        <v>21479</v>
      </c>
      <c r="J1966" s="130" t="s">
        <v>21480</v>
      </c>
      <c r="K1966" s="152" t="s">
        <v>24923</v>
      </c>
      <c r="L1966" s="20" t="s">
        <v>21482</v>
      </c>
      <c r="M1966" s="174" t="s">
        <v>21483</v>
      </c>
      <c r="N1966" s="84"/>
      <c r="O1966" s="84"/>
      <c r="P1966" s="84"/>
      <c r="Q1966" s="84"/>
      <c r="R1966" s="84"/>
      <c r="S1966" s="84"/>
      <c r="T1966" s="84"/>
      <c r="U1966" s="84"/>
      <c r="V1966" s="84"/>
      <c r="W1966" s="84"/>
      <c r="X1966" s="84"/>
    </row>
    <row r="1967" ht="15.75" customHeight="1">
      <c r="A1967" s="14" t="s">
        <v>2137</v>
      </c>
      <c r="B1967" s="14">
        <v>2010.0</v>
      </c>
      <c r="C1967" s="14" t="s">
        <v>21484</v>
      </c>
      <c r="D1967" s="14" t="s">
        <v>21485</v>
      </c>
      <c r="E1967" s="150" t="str">
        <f t="shared" si="27"/>
        <v>http://dx.doi.org/10.1109/TVCG.2010.191</v>
      </c>
      <c r="F1967" s="14">
        <v>890.0</v>
      </c>
      <c r="G1967" s="14">
        <v>899.0</v>
      </c>
      <c r="H1967" s="14" t="s">
        <v>17059</v>
      </c>
      <c r="I1967" s="14" t="s">
        <v>21487</v>
      </c>
      <c r="J1967" s="130" t="s">
        <v>21488</v>
      </c>
      <c r="K1967" s="152" t="s">
        <v>22112</v>
      </c>
      <c r="L1967" s="20" t="s">
        <v>21489</v>
      </c>
      <c r="M1967" s="174" t="s">
        <v>21490</v>
      </c>
      <c r="N1967" s="84"/>
      <c r="O1967" s="84"/>
      <c r="P1967" s="84"/>
      <c r="Q1967" s="84"/>
      <c r="R1967" s="84"/>
      <c r="S1967" s="84"/>
      <c r="T1967" s="84"/>
      <c r="U1967" s="84"/>
      <c r="V1967" s="84"/>
      <c r="W1967" s="84"/>
      <c r="X1967" s="84"/>
    </row>
    <row r="1968" ht="15.75" customHeight="1">
      <c r="A1968" s="14" t="s">
        <v>2137</v>
      </c>
      <c r="B1968" s="14">
        <v>2010.0</v>
      </c>
      <c r="C1968" s="14" t="s">
        <v>21492</v>
      </c>
      <c r="D1968" s="14" t="s">
        <v>21493</v>
      </c>
      <c r="E1968" s="150" t="str">
        <f t="shared" si="27"/>
        <v>http://dx.doi.org/10.1109/TVCG.2010.193</v>
      </c>
      <c r="F1968" s="14">
        <v>900.0</v>
      </c>
      <c r="G1968" s="14">
        <v>907.0</v>
      </c>
      <c r="H1968" s="14" t="s">
        <v>17059</v>
      </c>
      <c r="I1968" s="14" t="s">
        <v>21494</v>
      </c>
      <c r="J1968" s="130" t="s">
        <v>21495</v>
      </c>
      <c r="K1968" s="152" t="s">
        <v>25262</v>
      </c>
      <c r="L1968" s="20" t="s">
        <v>20588</v>
      </c>
      <c r="M1968" s="174" t="s">
        <v>21497</v>
      </c>
      <c r="N1968" s="84"/>
      <c r="O1968" s="84"/>
      <c r="P1968" s="84"/>
      <c r="Q1968" s="84"/>
      <c r="R1968" s="84"/>
      <c r="S1968" s="84"/>
      <c r="T1968" s="84"/>
      <c r="U1968" s="84"/>
      <c r="V1968" s="84"/>
      <c r="W1968" s="84"/>
      <c r="X1968" s="84"/>
    </row>
    <row r="1969" ht="15.75" customHeight="1">
      <c r="A1969" s="14" t="s">
        <v>2137</v>
      </c>
      <c r="B1969" s="14">
        <v>2010.0</v>
      </c>
      <c r="C1969" s="14" t="s">
        <v>21498</v>
      </c>
      <c r="D1969" s="14" t="s">
        <v>21499</v>
      </c>
      <c r="E1969" s="150" t="str">
        <f t="shared" si="27"/>
        <v>http://dx.doi.org/10.1109/TVCG.2010.194</v>
      </c>
      <c r="F1969" s="14">
        <v>1182.0</v>
      </c>
      <c r="G1969" s="14">
        <v>1189.0</v>
      </c>
      <c r="H1969" s="14" t="s">
        <v>17059</v>
      </c>
      <c r="I1969" s="14" t="s">
        <v>21500</v>
      </c>
      <c r="J1969" s="130" t="s">
        <v>41718</v>
      </c>
      <c r="K1969" s="152" t="s">
        <v>5349</v>
      </c>
      <c r="L1969" s="20" t="s">
        <v>21504</v>
      </c>
      <c r="M1969" s="174" t="s">
        <v>21505</v>
      </c>
      <c r="N1969" s="84"/>
      <c r="O1969" s="84"/>
      <c r="P1969" s="84"/>
      <c r="Q1969" s="84"/>
      <c r="R1969" s="84"/>
      <c r="S1969" s="84"/>
      <c r="T1969" s="84"/>
      <c r="U1969" s="84"/>
      <c r="V1969" s="84"/>
      <c r="W1969" s="84"/>
      <c r="X1969" s="84"/>
    </row>
    <row r="1970" ht="15.75" customHeight="1">
      <c r="A1970" s="14" t="s">
        <v>2137</v>
      </c>
      <c r="B1970" s="14">
        <v>2010.0</v>
      </c>
      <c r="C1970" s="14" t="s">
        <v>21507</v>
      </c>
      <c r="D1970" s="14" t="s">
        <v>21508</v>
      </c>
      <c r="E1970" s="150" t="str">
        <f t="shared" si="27"/>
        <v>http://dx.doi.org/10.1109/TVCG.2010.197</v>
      </c>
      <c r="F1970" s="14">
        <v>1044.0</v>
      </c>
      <c r="G1970" s="14">
        <v>1052.0</v>
      </c>
      <c r="H1970" s="14" t="s">
        <v>17059</v>
      </c>
      <c r="I1970" s="14" t="s">
        <v>21510</v>
      </c>
      <c r="J1970" s="130" t="s">
        <v>21511</v>
      </c>
      <c r="K1970" s="152" t="s">
        <v>25331</v>
      </c>
      <c r="L1970" s="20" t="s">
        <v>21513</v>
      </c>
      <c r="M1970" s="174" t="s">
        <v>21514</v>
      </c>
      <c r="N1970" s="84"/>
      <c r="O1970" s="84"/>
      <c r="P1970" s="84"/>
      <c r="Q1970" s="84"/>
      <c r="R1970" s="84"/>
      <c r="S1970" s="84"/>
      <c r="T1970" s="84"/>
      <c r="U1970" s="84"/>
      <c r="V1970" s="84"/>
      <c r="W1970" s="84"/>
      <c r="X1970" s="84"/>
    </row>
    <row r="1971" ht="15.75" customHeight="1">
      <c r="A1971" s="14" t="s">
        <v>2137</v>
      </c>
      <c r="B1971" s="14">
        <v>2010.0</v>
      </c>
      <c r="C1971" s="14" t="s">
        <v>21515</v>
      </c>
      <c r="D1971" s="14" t="s">
        <v>21516</v>
      </c>
      <c r="E1971" s="150" t="str">
        <f t="shared" si="27"/>
        <v>http://dx.doi.org/10.1109/TVCG.2010.205</v>
      </c>
      <c r="F1971" s="14">
        <v>1100.0</v>
      </c>
      <c r="G1971" s="14">
        <v>1108.0</v>
      </c>
      <c r="H1971" s="14" t="s">
        <v>17059</v>
      </c>
      <c r="I1971" s="14" t="s">
        <v>21517</v>
      </c>
      <c r="J1971" s="130" t="s">
        <v>21518</v>
      </c>
      <c r="K1971" s="152" t="s">
        <v>25430</v>
      </c>
      <c r="L1971" s="20" t="s">
        <v>21520</v>
      </c>
      <c r="M1971" s="174" t="s">
        <v>21521</v>
      </c>
      <c r="N1971" s="84"/>
      <c r="O1971" s="84"/>
      <c r="P1971" s="84"/>
      <c r="Q1971" s="84"/>
      <c r="R1971" s="84"/>
      <c r="S1971" s="84"/>
      <c r="T1971" s="84"/>
      <c r="U1971" s="84"/>
      <c r="V1971" s="84"/>
      <c r="W1971" s="84"/>
      <c r="X1971" s="84"/>
    </row>
    <row r="1972" ht="15.75" customHeight="1">
      <c r="A1972" s="14" t="s">
        <v>2137</v>
      </c>
      <c r="B1972" s="14">
        <v>2010.0</v>
      </c>
      <c r="C1972" s="14" t="s">
        <v>21522</v>
      </c>
      <c r="D1972" s="14" t="s">
        <v>21523</v>
      </c>
      <c r="E1972" s="150" t="str">
        <f t="shared" si="27"/>
        <v>http://dx.doi.org/10.1109/TVCG.2010.206</v>
      </c>
      <c r="F1972" s="14">
        <v>1119.0</v>
      </c>
      <c r="G1972" s="14">
        <v>1128.0</v>
      </c>
      <c r="H1972" s="14" t="s">
        <v>17059</v>
      </c>
      <c r="I1972" s="14" t="s">
        <v>21524</v>
      </c>
      <c r="J1972" s="130" t="s">
        <v>21525</v>
      </c>
      <c r="K1972" s="152" t="s">
        <v>5349</v>
      </c>
      <c r="L1972" s="20" t="s">
        <v>21527</v>
      </c>
      <c r="M1972" s="174" t="s">
        <v>21528</v>
      </c>
      <c r="N1972" s="84"/>
      <c r="O1972" s="84"/>
      <c r="P1972" s="84"/>
      <c r="Q1972" s="84"/>
      <c r="R1972" s="84"/>
      <c r="S1972" s="84"/>
      <c r="T1972" s="84"/>
      <c r="U1972" s="84"/>
      <c r="V1972" s="84"/>
      <c r="W1972" s="84"/>
      <c r="X1972" s="84"/>
    </row>
    <row r="1973" ht="15.75" customHeight="1">
      <c r="A1973" s="14" t="s">
        <v>2137</v>
      </c>
      <c r="B1973" s="14">
        <v>2010.0</v>
      </c>
      <c r="C1973" s="14" t="s">
        <v>21530</v>
      </c>
      <c r="D1973" s="14" t="s">
        <v>21531</v>
      </c>
      <c r="E1973" s="150" t="str">
        <f t="shared" si="27"/>
        <v>http://dx.doi.org/10.1109/TVCG.2010.209</v>
      </c>
      <c r="F1973" s="14">
        <v>935.0</v>
      </c>
      <c r="G1973" s="14">
        <v>942.0</v>
      </c>
      <c r="H1973" s="14" t="s">
        <v>17059</v>
      </c>
      <c r="I1973" s="14" t="s">
        <v>21532</v>
      </c>
      <c r="J1973" s="130" t="s">
        <v>41719</v>
      </c>
      <c r="K1973" s="152" t="s">
        <v>25476</v>
      </c>
      <c r="L1973" s="20" t="s">
        <v>21536</v>
      </c>
      <c r="M1973" s="174" t="s">
        <v>21537</v>
      </c>
      <c r="N1973" s="84"/>
      <c r="O1973" s="84"/>
      <c r="P1973" s="84"/>
      <c r="Q1973" s="84"/>
      <c r="R1973" s="84"/>
      <c r="S1973" s="84"/>
      <c r="T1973" s="84"/>
      <c r="U1973" s="84"/>
      <c r="V1973" s="84"/>
      <c r="W1973" s="84"/>
      <c r="X1973" s="84"/>
    </row>
    <row r="1974" ht="15.75" customHeight="1">
      <c r="A1974" s="14" t="s">
        <v>2137</v>
      </c>
      <c r="B1974" s="14">
        <v>2010.0</v>
      </c>
      <c r="C1974" s="14" t="s">
        <v>21538</v>
      </c>
      <c r="D1974" s="14" t="s">
        <v>21539</v>
      </c>
      <c r="E1974" s="150" t="str">
        <f t="shared" si="27"/>
        <v>http://dx.doi.org/10.1109/TVCG.2010.210</v>
      </c>
      <c r="F1974" s="14">
        <v>1090.0</v>
      </c>
      <c r="G1974" s="14">
        <v>1099.0</v>
      </c>
      <c r="H1974" s="14" t="s">
        <v>17059</v>
      </c>
      <c r="I1974" s="14" t="s">
        <v>21540</v>
      </c>
      <c r="J1974" s="130" t="s">
        <v>21541</v>
      </c>
      <c r="K1974" s="152" t="s">
        <v>178</v>
      </c>
      <c r="L1974" s="20" t="s">
        <v>21543</v>
      </c>
      <c r="M1974" s="174" t="s">
        <v>21544</v>
      </c>
      <c r="N1974" s="84"/>
      <c r="O1974" s="84"/>
      <c r="P1974" s="84"/>
      <c r="Q1974" s="84"/>
      <c r="R1974" s="84"/>
      <c r="S1974" s="84"/>
      <c r="T1974" s="84"/>
      <c r="U1974" s="84"/>
      <c r="V1974" s="84"/>
      <c r="W1974" s="84"/>
      <c r="X1974" s="84"/>
    </row>
    <row r="1975" ht="15.75" customHeight="1">
      <c r="A1975" s="14" t="s">
        <v>2137</v>
      </c>
      <c r="B1975" s="14">
        <v>2010.0</v>
      </c>
      <c r="C1975" s="14" t="s">
        <v>21545</v>
      </c>
      <c r="D1975" s="14" t="s">
        <v>21546</v>
      </c>
      <c r="E1975" s="150" t="str">
        <f t="shared" si="27"/>
        <v>http://dx.doi.org/10.1109/TVCG.2010.216</v>
      </c>
      <c r="F1975" s="14">
        <v>1053.0</v>
      </c>
      <c r="G1975" s="14">
        <v>1062.0</v>
      </c>
      <c r="H1975" s="14" t="s">
        <v>17059</v>
      </c>
      <c r="I1975" s="14" t="s">
        <v>21547</v>
      </c>
      <c r="J1975" s="130" t="s">
        <v>21548</v>
      </c>
      <c r="K1975" s="152" t="s">
        <v>25558</v>
      </c>
      <c r="L1975" s="20" t="s">
        <v>21551</v>
      </c>
      <c r="M1975" s="174" t="s">
        <v>21552</v>
      </c>
      <c r="N1975" s="84"/>
      <c r="O1975" s="84"/>
      <c r="P1975" s="84"/>
      <c r="Q1975" s="84"/>
      <c r="R1975" s="84"/>
      <c r="S1975" s="84"/>
      <c r="T1975" s="84"/>
      <c r="U1975" s="84"/>
      <c r="V1975" s="84"/>
      <c r="W1975" s="84"/>
      <c r="X1975" s="84"/>
    </row>
    <row r="1976" ht="15.75" customHeight="1">
      <c r="A1976" s="14" t="s">
        <v>2137</v>
      </c>
      <c r="B1976" s="14">
        <v>2010.0</v>
      </c>
      <c r="C1976" s="14" t="s">
        <v>21554</v>
      </c>
      <c r="D1976" s="14" t="s">
        <v>21555</v>
      </c>
      <c r="E1976" s="150" t="str">
        <f t="shared" si="27"/>
        <v>http://dx.doi.org/10.1109/TVCG.2010.217</v>
      </c>
      <c r="F1976" s="14">
        <v>1082.0</v>
      </c>
      <c r="G1976" s="14">
        <v>1089.0</v>
      </c>
      <c r="H1976" s="14" t="s">
        <v>17059</v>
      </c>
      <c r="I1976" s="14" t="s">
        <v>21556</v>
      </c>
      <c r="J1976" s="130" t="s">
        <v>21557</v>
      </c>
      <c r="K1976" s="152" t="s">
        <v>25572</v>
      </c>
      <c r="L1976" s="20" t="s">
        <v>18198</v>
      </c>
      <c r="M1976" s="174" t="s">
        <v>21560</v>
      </c>
      <c r="N1976" s="84"/>
      <c r="O1976" s="84"/>
      <c r="P1976" s="84"/>
      <c r="Q1976" s="84"/>
      <c r="R1976" s="84"/>
      <c r="S1976" s="84"/>
      <c r="T1976" s="84"/>
      <c r="U1976" s="84"/>
      <c r="V1976" s="84"/>
      <c r="W1976" s="84"/>
      <c r="X1976" s="84"/>
    </row>
    <row r="1977" ht="15.75" customHeight="1">
      <c r="A1977" s="14" t="s">
        <v>2137</v>
      </c>
      <c r="B1977" s="14">
        <v>2010.0</v>
      </c>
      <c r="C1977" s="14" t="s">
        <v>21561</v>
      </c>
      <c r="D1977" s="14" t="s">
        <v>21562</v>
      </c>
      <c r="E1977" s="150" t="str">
        <f t="shared" si="27"/>
        <v>http://dx.doi.org/10.1109/TVCG.2010.222</v>
      </c>
      <c r="F1977" s="14">
        <v>1157.0</v>
      </c>
      <c r="G1977" s="14">
        <v>1163.0</v>
      </c>
      <c r="H1977" s="14" t="s">
        <v>17059</v>
      </c>
      <c r="I1977" s="14" t="s">
        <v>21563</v>
      </c>
      <c r="J1977" s="130" t="s">
        <v>21564</v>
      </c>
      <c r="K1977" s="152" t="s">
        <v>5349</v>
      </c>
      <c r="L1977" s="20" t="s">
        <v>21568</v>
      </c>
      <c r="M1977" s="174" t="s">
        <v>21569</v>
      </c>
      <c r="N1977" s="84"/>
      <c r="O1977" s="84"/>
      <c r="P1977" s="84"/>
      <c r="Q1977" s="84"/>
      <c r="R1977" s="84"/>
      <c r="S1977" s="84"/>
      <c r="T1977" s="84"/>
      <c r="U1977" s="84"/>
      <c r="V1977" s="84"/>
      <c r="W1977" s="84"/>
      <c r="X1977" s="84"/>
    </row>
    <row r="1978" ht="15.75" customHeight="1">
      <c r="A1978" s="14" t="s">
        <v>120</v>
      </c>
      <c r="B1978" s="14">
        <v>2010.0</v>
      </c>
      <c r="C1978" s="14" t="s">
        <v>21570</v>
      </c>
      <c r="D1978" s="14" t="s">
        <v>21572</v>
      </c>
      <c r="E1978" s="150" t="str">
        <f t="shared" si="27"/>
        <v>http://dx.doi.org/10.1109/VAST.2010.5649831</v>
      </c>
      <c r="F1978" s="14">
        <v>253.0</v>
      </c>
      <c r="G1978" s="14">
        <v>254.0</v>
      </c>
      <c r="H1978" s="14" t="s">
        <v>21</v>
      </c>
      <c r="I1978" s="14" t="s">
        <v>21573</v>
      </c>
      <c r="J1978" s="130" t="s">
        <v>21574</v>
      </c>
      <c r="K1978" s="152" t="s">
        <v>22981</v>
      </c>
      <c r="L1978" s="20"/>
      <c r="M1978" s="16"/>
      <c r="N1978" s="84"/>
      <c r="O1978" s="84"/>
      <c r="P1978" s="84"/>
      <c r="Q1978" s="84"/>
      <c r="R1978" s="84"/>
      <c r="S1978" s="84"/>
      <c r="T1978" s="84"/>
      <c r="U1978" s="84"/>
      <c r="V1978" s="84"/>
      <c r="W1978" s="84"/>
      <c r="X1978" s="84"/>
    </row>
    <row r="1979" ht="15.75" customHeight="1">
      <c r="A1979" s="14" t="s">
        <v>120</v>
      </c>
      <c r="B1979" s="14">
        <v>2010.0</v>
      </c>
      <c r="C1979" s="14" t="s">
        <v>21576</v>
      </c>
      <c r="D1979" s="14" t="s">
        <v>21577</v>
      </c>
      <c r="E1979" s="150" t="str">
        <f t="shared" si="27"/>
        <v>http://dx.doi.org/10.1109/VAST.2010.5649905</v>
      </c>
      <c r="F1979" s="14">
        <v>235.0</v>
      </c>
      <c r="G1979" s="14">
        <v>236.0</v>
      </c>
      <c r="H1979" s="14" t="s">
        <v>21</v>
      </c>
      <c r="I1979" s="14" t="s">
        <v>21578</v>
      </c>
      <c r="J1979" s="130" t="s">
        <v>21579</v>
      </c>
      <c r="K1979" s="152" t="s">
        <v>25654</v>
      </c>
      <c r="L1979" s="20"/>
      <c r="M1979" s="174" t="s">
        <v>21582</v>
      </c>
      <c r="N1979" s="84"/>
      <c r="O1979" s="84"/>
      <c r="P1979" s="84"/>
      <c r="Q1979" s="84"/>
      <c r="R1979" s="84"/>
      <c r="S1979" s="84"/>
      <c r="T1979" s="84"/>
      <c r="U1979" s="84"/>
      <c r="V1979" s="84"/>
      <c r="W1979" s="84"/>
      <c r="X1979" s="84"/>
    </row>
    <row r="1980" ht="15.75" customHeight="1">
      <c r="A1980" s="14" t="s">
        <v>120</v>
      </c>
      <c r="B1980" s="14">
        <v>2010.0</v>
      </c>
      <c r="C1980" s="14" t="s">
        <v>21585</v>
      </c>
      <c r="D1980" s="67" t="s">
        <v>21586</v>
      </c>
      <c r="E1980" s="165" t="str">
        <f>"http://ieeexplore.ieee.org/xpl/articleDetails.jsp?arnumber=5650177"</f>
        <v>http://ieeexplore.ieee.org/xpl/articleDetails.jsp?arnumber=5650177</v>
      </c>
      <c r="F1980" s="14">
        <v>251.0</v>
      </c>
      <c r="G1980" s="14">
        <v>252.0</v>
      </c>
      <c r="H1980" s="14" t="s">
        <v>21</v>
      </c>
      <c r="I1980" s="14" t="s">
        <v>21588</v>
      </c>
      <c r="J1980" s="130" t="s">
        <v>21589</v>
      </c>
      <c r="K1980" s="152" t="s">
        <v>25657</v>
      </c>
      <c r="L1980" s="20"/>
      <c r="M1980" s="16"/>
      <c r="N1980" s="84"/>
      <c r="O1980" s="84"/>
      <c r="P1980" s="84"/>
      <c r="Q1980" s="84"/>
      <c r="R1980" s="84"/>
      <c r="S1980" s="84"/>
      <c r="T1980" s="84"/>
      <c r="U1980" s="84"/>
      <c r="V1980" s="84"/>
      <c r="W1980" s="84"/>
      <c r="X1980" s="84"/>
    </row>
    <row r="1981" ht="15.75" customHeight="1">
      <c r="A1981" s="14" t="s">
        <v>120</v>
      </c>
      <c r="B1981" s="14">
        <v>2010.0</v>
      </c>
      <c r="C1981" s="14" t="s">
        <v>21591</v>
      </c>
      <c r="D1981" s="14" t="s">
        <v>21592</v>
      </c>
      <c r="E1981" s="150" t="str">
        <f t="shared" ref="E1981:E2153" si="28">"http://dx.doi.org/" &amp; D1981</f>
        <v>http://dx.doi.org/10.1109/VAST.2010.5650199</v>
      </c>
      <c r="F1981" s="14">
        <v>249.0</v>
      </c>
      <c r="G1981" s="14">
        <v>250.0</v>
      </c>
      <c r="H1981" s="14" t="s">
        <v>21</v>
      </c>
      <c r="I1981" s="14" t="s">
        <v>32120</v>
      </c>
      <c r="J1981" s="130" t="s">
        <v>21596</v>
      </c>
      <c r="K1981" s="152" t="s">
        <v>25660</v>
      </c>
      <c r="L1981" s="20"/>
      <c r="M1981" s="174" t="s">
        <v>21598</v>
      </c>
      <c r="N1981" s="84"/>
      <c r="O1981" s="84"/>
      <c r="P1981" s="84"/>
      <c r="Q1981" s="84"/>
      <c r="R1981" s="84"/>
      <c r="S1981" s="84"/>
      <c r="T1981" s="84"/>
      <c r="U1981" s="84"/>
      <c r="V1981" s="84"/>
      <c r="W1981" s="84"/>
      <c r="X1981" s="84"/>
    </row>
    <row r="1982" ht="15.75" customHeight="1">
      <c r="A1982" s="14" t="s">
        <v>120</v>
      </c>
      <c r="B1982" s="14">
        <v>2010.0</v>
      </c>
      <c r="C1982" s="42" t="s">
        <v>21599</v>
      </c>
      <c r="D1982" s="14" t="s">
        <v>21600</v>
      </c>
      <c r="E1982" s="150" t="str">
        <f t="shared" si="28"/>
        <v>http://dx.doi.org/10.1109/VAST.2010.5650219</v>
      </c>
      <c r="F1982" s="14">
        <v>247.0</v>
      </c>
      <c r="G1982" s="14">
        <v>248.0</v>
      </c>
      <c r="H1982" s="14" t="s">
        <v>21</v>
      </c>
      <c r="I1982" s="14" t="s">
        <v>21601</v>
      </c>
      <c r="J1982" s="130" t="s">
        <v>20528</v>
      </c>
      <c r="K1982" s="152" t="s">
        <v>23820</v>
      </c>
      <c r="L1982" s="20"/>
      <c r="M1982" s="174" t="s">
        <v>21603</v>
      </c>
      <c r="N1982" s="84"/>
      <c r="O1982" s="84"/>
      <c r="P1982" s="84"/>
      <c r="Q1982" s="84"/>
      <c r="R1982" s="84"/>
      <c r="S1982" s="84"/>
      <c r="T1982" s="84"/>
      <c r="U1982" s="84"/>
      <c r="V1982" s="84"/>
      <c r="W1982" s="84"/>
      <c r="X1982" s="84"/>
    </row>
    <row r="1983" ht="15.75" customHeight="1">
      <c r="A1983" s="14" t="s">
        <v>120</v>
      </c>
      <c r="B1983" s="14">
        <v>2010.0</v>
      </c>
      <c r="C1983" s="14" t="s">
        <v>21604</v>
      </c>
      <c r="D1983" s="14" t="s">
        <v>21605</v>
      </c>
      <c r="E1983" s="150" t="str">
        <f t="shared" si="28"/>
        <v>http://dx.doi.org/10.1109/VAST.2010.5650251</v>
      </c>
      <c r="F1983" s="14">
        <v>245.0</v>
      </c>
      <c r="G1983" s="14">
        <v>246.0</v>
      </c>
      <c r="H1983" s="14" t="s">
        <v>21</v>
      </c>
      <c r="I1983" s="14" t="s">
        <v>21606</v>
      </c>
      <c r="J1983" s="130" t="s">
        <v>21607</v>
      </c>
      <c r="K1983" s="152" t="s">
        <v>25663</v>
      </c>
      <c r="L1983" s="20"/>
      <c r="M1983" s="222" t="s">
        <v>32862</v>
      </c>
      <c r="N1983" s="84"/>
      <c r="O1983" s="84"/>
      <c r="P1983" s="84"/>
      <c r="Q1983" s="84"/>
      <c r="R1983" s="84"/>
      <c r="S1983" s="84"/>
      <c r="T1983" s="84"/>
      <c r="U1983" s="84"/>
      <c r="V1983" s="84"/>
      <c r="W1983" s="84"/>
      <c r="X1983" s="84"/>
    </row>
    <row r="1984" ht="15.75" customHeight="1">
      <c r="A1984" s="14" t="s">
        <v>120</v>
      </c>
      <c r="B1984" s="14">
        <v>2010.0</v>
      </c>
      <c r="C1984" s="14" t="s">
        <v>21611</v>
      </c>
      <c r="D1984" s="14" t="s">
        <v>21612</v>
      </c>
      <c r="E1984" s="150" t="str">
        <f t="shared" si="28"/>
        <v>http://dx.doi.org/10.1109/VAST.2010.5650766</v>
      </c>
      <c r="F1984" s="14">
        <v>227.0</v>
      </c>
      <c r="G1984" s="14">
        <v>228.0</v>
      </c>
      <c r="H1984" s="14" t="s">
        <v>21</v>
      </c>
      <c r="I1984" s="14" t="s">
        <v>21613</v>
      </c>
      <c r="J1984" s="130" t="s">
        <v>21614</v>
      </c>
      <c r="K1984" s="152" t="s">
        <v>23953</v>
      </c>
      <c r="L1984" s="20"/>
      <c r="M1984" s="16"/>
      <c r="N1984" s="84"/>
      <c r="O1984" s="84"/>
      <c r="P1984" s="84"/>
      <c r="Q1984" s="84"/>
      <c r="R1984" s="84"/>
      <c r="S1984" s="84"/>
      <c r="T1984" s="84"/>
      <c r="U1984" s="84"/>
      <c r="V1984" s="84"/>
      <c r="W1984" s="84"/>
      <c r="X1984" s="84"/>
    </row>
    <row r="1985" ht="15.75" customHeight="1">
      <c r="A1985" s="14" t="s">
        <v>120</v>
      </c>
      <c r="B1985" s="14">
        <v>2010.0</v>
      </c>
      <c r="C1985" s="14" t="s">
        <v>21617</v>
      </c>
      <c r="D1985" s="14" t="s">
        <v>21618</v>
      </c>
      <c r="E1985" s="150" t="str">
        <f t="shared" si="28"/>
        <v>http://dx.doi.org/10.1109/VAST.2010.5650815</v>
      </c>
      <c r="F1985" s="14">
        <v>225.0</v>
      </c>
      <c r="G1985" s="14">
        <v>226.0</v>
      </c>
      <c r="H1985" s="14" t="s">
        <v>21</v>
      </c>
      <c r="I1985" s="14" t="s">
        <v>21619</v>
      </c>
      <c r="J1985" s="130" t="s">
        <v>21620</v>
      </c>
      <c r="K1985" s="152" t="s">
        <v>25667</v>
      </c>
      <c r="L1985" s="20"/>
      <c r="M1985" s="174" t="s">
        <v>32370</v>
      </c>
      <c r="N1985" s="84"/>
      <c r="O1985" s="84"/>
      <c r="P1985" s="84"/>
      <c r="Q1985" s="84"/>
      <c r="R1985" s="84"/>
      <c r="S1985" s="84"/>
      <c r="T1985" s="84"/>
      <c r="U1985" s="84"/>
      <c r="V1985" s="84"/>
      <c r="W1985" s="84"/>
      <c r="X1985" s="84"/>
    </row>
    <row r="1986" ht="15.75" customHeight="1">
      <c r="A1986" s="14" t="s">
        <v>120</v>
      </c>
      <c r="B1986" s="14">
        <v>2010.0</v>
      </c>
      <c r="C1986" s="14" t="s">
        <v>21624</v>
      </c>
      <c r="D1986" s="14" t="s">
        <v>21625</v>
      </c>
      <c r="E1986" s="150" t="str">
        <f t="shared" si="28"/>
        <v>http://dx.doi.org/10.1109/VAST.2010.5650854</v>
      </c>
      <c r="F1986" s="14">
        <v>223.0</v>
      </c>
      <c r="G1986" s="14">
        <v>224.0</v>
      </c>
      <c r="H1986" s="14" t="s">
        <v>21</v>
      </c>
      <c r="I1986" s="14" t="s">
        <v>21626</v>
      </c>
      <c r="J1986" s="130" t="s">
        <v>21627</v>
      </c>
      <c r="K1986" s="152" t="s">
        <v>494</v>
      </c>
      <c r="L1986" s="20"/>
      <c r="M1986" s="174" t="s">
        <v>32332</v>
      </c>
      <c r="N1986" s="84"/>
      <c r="O1986" s="84"/>
      <c r="P1986" s="84"/>
      <c r="Q1986" s="84"/>
      <c r="R1986" s="84"/>
      <c r="S1986" s="84"/>
      <c r="T1986" s="84"/>
      <c r="U1986" s="84"/>
      <c r="V1986" s="84"/>
      <c r="W1986" s="84"/>
      <c r="X1986" s="84"/>
    </row>
    <row r="1987" ht="15.75" customHeight="1">
      <c r="A1987" s="14" t="s">
        <v>120</v>
      </c>
      <c r="B1987" s="14">
        <v>2010.0</v>
      </c>
      <c r="C1987" s="14" t="s">
        <v>21630</v>
      </c>
      <c r="D1987" s="14" t="s">
        <v>21631</v>
      </c>
      <c r="E1987" s="150" t="str">
        <f t="shared" si="28"/>
        <v>http://dx.doi.org/10.1109/VAST.2010.5651192</v>
      </c>
      <c r="F1987" s="14">
        <v>221.0</v>
      </c>
      <c r="G1987" s="14">
        <v>222.0</v>
      </c>
      <c r="H1987" s="14" t="s">
        <v>21</v>
      </c>
      <c r="I1987" s="14" t="s">
        <v>21632</v>
      </c>
      <c r="J1987" s="130" t="s">
        <v>21633</v>
      </c>
      <c r="K1987" s="152" t="s">
        <v>178</v>
      </c>
      <c r="L1987" s="20"/>
      <c r="M1987" s="16"/>
      <c r="N1987" s="84"/>
      <c r="O1987" s="84"/>
      <c r="P1987" s="84"/>
      <c r="Q1987" s="84"/>
      <c r="R1987" s="84"/>
      <c r="S1987" s="84"/>
      <c r="T1987" s="84"/>
      <c r="U1987" s="84"/>
      <c r="V1987" s="84"/>
      <c r="W1987" s="84"/>
      <c r="X1987" s="84"/>
    </row>
    <row r="1988" ht="15.75" customHeight="1">
      <c r="A1988" s="14" t="s">
        <v>120</v>
      </c>
      <c r="B1988" s="14">
        <v>2010.0</v>
      </c>
      <c r="C1988" s="14" t="s">
        <v>21635</v>
      </c>
      <c r="D1988" s="14" t="s">
        <v>21636</v>
      </c>
      <c r="E1988" s="150" t="str">
        <f t="shared" si="28"/>
        <v>http://dx.doi.org/10.1109/VAST.2010.5651617</v>
      </c>
      <c r="F1988" s="14">
        <v>219.0</v>
      </c>
      <c r="G1988" s="14">
        <v>220.0</v>
      </c>
      <c r="H1988" s="14" t="s">
        <v>21</v>
      </c>
      <c r="I1988" s="14" t="s">
        <v>21637</v>
      </c>
      <c r="J1988" s="130" t="s">
        <v>21638</v>
      </c>
      <c r="K1988" s="152" t="s">
        <v>494</v>
      </c>
      <c r="L1988" s="20"/>
      <c r="M1988" s="174" t="s">
        <v>32978</v>
      </c>
      <c r="N1988" s="84"/>
      <c r="O1988" s="84"/>
      <c r="P1988" s="84"/>
      <c r="Q1988" s="84"/>
      <c r="R1988" s="84"/>
      <c r="S1988" s="84"/>
      <c r="T1988" s="84"/>
      <c r="U1988" s="84"/>
      <c r="V1988" s="84"/>
      <c r="W1988" s="84"/>
      <c r="X1988" s="84"/>
    </row>
    <row r="1989" ht="15.75" customHeight="1">
      <c r="A1989" s="14" t="s">
        <v>120</v>
      </c>
      <c r="B1989" s="14">
        <v>2010.0</v>
      </c>
      <c r="C1989" s="14" t="s">
        <v>21641</v>
      </c>
      <c r="D1989" s="14" t="s">
        <v>21642</v>
      </c>
      <c r="E1989" s="150" t="str">
        <f t="shared" si="28"/>
        <v>http://dx.doi.org/10.1109/VAST.2010.5651676</v>
      </c>
      <c r="F1989" s="14">
        <v>217.0</v>
      </c>
      <c r="G1989" s="14">
        <v>218.0</v>
      </c>
      <c r="H1989" s="14" t="s">
        <v>21</v>
      </c>
      <c r="I1989" s="14" t="s">
        <v>21644</v>
      </c>
      <c r="J1989" s="130" t="s">
        <v>21645</v>
      </c>
      <c r="K1989" s="152" t="s">
        <v>25673</v>
      </c>
      <c r="L1989" s="20"/>
      <c r="M1989" s="16"/>
      <c r="N1989" s="84"/>
      <c r="O1989" s="84"/>
      <c r="P1989" s="84"/>
      <c r="Q1989" s="84"/>
      <c r="R1989" s="84"/>
      <c r="S1989" s="84"/>
      <c r="T1989" s="84"/>
      <c r="U1989" s="84"/>
      <c r="V1989" s="84"/>
      <c r="W1989" s="84"/>
      <c r="X1989" s="84"/>
    </row>
    <row r="1990" ht="15.75" customHeight="1">
      <c r="A1990" s="14" t="s">
        <v>120</v>
      </c>
      <c r="B1990" s="14">
        <v>2010.0</v>
      </c>
      <c r="C1990" s="14" t="s">
        <v>21648</v>
      </c>
      <c r="D1990" s="14" t="s">
        <v>21649</v>
      </c>
      <c r="E1990" s="150" t="str">
        <f t="shared" si="28"/>
        <v>http://dx.doi.org/10.1109/VAST.2010.5651694</v>
      </c>
      <c r="F1990" s="14">
        <v>215.0</v>
      </c>
      <c r="G1990" s="14">
        <v>216.0</v>
      </c>
      <c r="H1990" s="14" t="s">
        <v>21</v>
      </c>
      <c r="I1990" s="14" t="s">
        <v>21650</v>
      </c>
      <c r="J1990" s="130" t="s">
        <v>21651</v>
      </c>
      <c r="K1990" s="152" t="s">
        <v>25675</v>
      </c>
      <c r="L1990" s="20"/>
      <c r="M1990" s="16"/>
      <c r="N1990" s="84"/>
      <c r="O1990" s="84"/>
      <c r="P1990" s="84"/>
      <c r="Q1990" s="84"/>
      <c r="R1990" s="84"/>
      <c r="S1990" s="84"/>
      <c r="T1990" s="84"/>
      <c r="U1990" s="84"/>
      <c r="V1990" s="84"/>
      <c r="W1990" s="84"/>
      <c r="X1990" s="84"/>
    </row>
    <row r="1991" ht="15.75" customHeight="1">
      <c r="A1991" s="14" t="s">
        <v>120</v>
      </c>
      <c r="B1991" s="14">
        <v>2010.0</v>
      </c>
      <c r="C1991" s="14" t="s">
        <v>21652</v>
      </c>
      <c r="D1991" s="14" t="s">
        <v>21653</v>
      </c>
      <c r="E1991" s="150" t="str">
        <f t="shared" si="28"/>
        <v>http://dx.doi.org/10.1109/VAST.2010.5652392</v>
      </c>
      <c r="F1991" s="14">
        <v>3.0</v>
      </c>
      <c r="G1991" s="14">
        <v>10.0</v>
      </c>
      <c r="H1991" s="14" t="s">
        <v>28</v>
      </c>
      <c r="I1991" s="14" t="s">
        <v>21654</v>
      </c>
      <c r="J1991" s="130" t="s">
        <v>21655</v>
      </c>
      <c r="K1991" s="152" t="s">
        <v>25678</v>
      </c>
      <c r="L1991" s="20" t="s">
        <v>21657</v>
      </c>
      <c r="M1991" s="16"/>
      <c r="N1991" s="84"/>
      <c r="O1991" s="84"/>
      <c r="P1991" s="84"/>
      <c r="Q1991" s="84"/>
      <c r="R1991" s="84"/>
      <c r="S1991" s="84"/>
      <c r="T1991" s="84"/>
      <c r="U1991" s="84"/>
      <c r="V1991" s="84"/>
      <c r="W1991" s="84"/>
      <c r="X1991" s="84"/>
    </row>
    <row r="1992" ht="15.75" customHeight="1">
      <c r="A1992" s="14" t="s">
        <v>120</v>
      </c>
      <c r="B1992" s="14">
        <v>2010.0</v>
      </c>
      <c r="C1992" s="14" t="s">
        <v>21659</v>
      </c>
      <c r="D1992" s="14" t="s">
        <v>21660</v>
      </c>
      <c r="E1992" s="150" t="str">
        <f t="shared" si="28"/>
        <v>http://dx.doi.org/10.1109/VAST.2010.5652398</v>
      </c>
      <c r="F1992" s="14">
        <v>11.0</v>
      </c>
      <c r="G1992" s="14">
        <v>18.0</v>
      </c>
      <c r="H1992" s="14" t="s">
        <v>28</v>
      </c>
      <c r="I1992" s="14" t="s">
        <v>21662</v>
      </c>
      <c r="J1992" s="130" t="s">
        <v>21663</v>
      </c>
      <c r="K1992" s="152" t="s">
        <v>25680</v>
      </c>
      <c r="L1992" s="20" t="s">
        <v>21665</v>
      </c>
      <c r="M1992" s="174" t="s">
        <v>21666</v>
      </c>
      <c r="N1992" s="84"/>
      <c r="O1992" s="84"/>
      <c r="P1992" s="84"/>
      <c r="Q1992" s="84"/>
      <c r="R1992" s="84"/>
      <c r="S1992" s="84"/>
      <c r="T1992" s="84"/>
      <c r="U1992" s="84"/>
      <c r="V1992" s="84"/>
      <c r="W1992" s="84"/>
      <c r="X1992" s="84"/>
    </row>
    <row r="1993" ht="15.75" customHeight="1">
      <c r="A1993" s="14" t="s">
        <v>120</v>
      </c>
      <c r="B1993" s="14">
        <v>2010.0</v>
      </c>
      <c r="C1993" s="14" t="s">
        <v>21667</v>
      </c>
      <c r="D1993" s="14" t="s">
        <v>21668</v>
      </c>
      <c r="E1993" s="150" t="str">
        <f t="shared" si="28"/>
        <v>http://dx.doi.org/10.1109/VAST.2010.5652433</v>
      </c>
      <c r="F1993" s="14">
        <v>19.0</v>
      </c>
      <c r="G1993" s="14">
        <v>26.0</v>
      </c>
      <c r="H1993" s="14" t="s">
        <v>28</v>
      </c>
      <c r="I1993" s="14" t="s">
        <v>21669</v>
      </c>
      <c r="J1993" s="130" t="s">
        <v>21670</v>
      </c>
      <c r="K1993" s="152" t="s">
        <v>25682</v>
      </c>
      <c r="L1993" s="20" t="s">
        <v>21673</v>
      </c>
      <c r="M1993" s="16"/>
      <c r="N1993" s="84"/>
      <c r="O1993" s="84"/>
      <c r="P1993" s="84"/>
      <c r="Q1993" s="84"/>
      <c r="R1993" s="84"/>
      <c r="S1993" s="84"/>
      <c r="T1993" s="84"/>
      <c r="U1993" s="84"/>
      <c r="V1993" s="84"/>
      <c r="W1993" s="84"/>
      <c r="X1993" s="84"/>
    </row>
    <row r="1994" ht="15.75" customHeight="1">
      <c r="A1994" s="14" t="s">
        <v>120</v>
      </c>
      <c r="B1994" s="14">
        <v>2010.0</v>
      </c>
      <c r="C1994" s="14" t="s">
        <v>21674</v>
      </c>
      <c r="D1994" s="14" t="s">
        <v>21675</v>
      </c>
      <c r="E1994" s="150" t="str">
        <f t="shared" si="28"/>
        <v>http://dx.doi.org/10.1109/VAST.2010.5652443</v>
      </c>
      <c r="F1994" s="14">
        <v>27.0</v>
      </c>
      <c r="G1994" s="14">
        <v>34.0</v>
      </c>
      <c r="H1994" s="14" t="s">
        <v>28</v>
      </c>
      <c r="I1994" s="14" t="s">
        <v>21676</v>
      </c>
      <c r="J1994" s="130" t="s">
        <v>21678</v>
      </c>
      <c r="K1994" s="152" t="s">
        <v>25684</v>
      </c>
      <c r="L1994" s="20" t="s">
        <v>21680</v>
      </c>
      <c r="M1994" s="16"/>
      <c r="N1994" s="84"/>
      <c r="O1994" s="84"/>
      <c r="P1994" s="84"/>
      <c r="Q1994" s="84"/>
      <c r="R1994" s="84"/>
      <c r="S1994" s="84"/>
      <c r="T1994" s="84"/>
      <c r="U1994" s="84"/>
      <c r="V1994" s="84"/>
      <c r="W1994" s="84"/>
      <c r="X1994" s="84"/>
    </row>
    <row r="1995" ht="15.75" customHeight="1">
      <c r="A1995" s="14" t="s">
        <v>120</v>
      </c>
      <c r="B1995" s="14">
        <v>2010.0</v>
      </c>
      <c r="C1995" s="14" t="s">
        <v>21682</v>
      </c>
      <c r="D1995" s="14" t="s">
        <v>21683</v>
      </c>
      <c r="E1995" s="150" t="str">
        <f t="shared" si="28"/>
        <v>http://dx.doi.org/10.1109/VAST.2010.5652450</v>
      </c>
      <c r="F1995" s="14">
        <v>35.0</v>
      </c>
      <c r="G1995" s="14">
        <v>42.0</v>
      </c>
      <c r="H1995" s="14" t="s">
        <v>28</v>
      </c>
      <c r="I1995" s="14" t="s">
        <v>25686</v>
      </c>
      <c r="J1995" s="130" t="s">
        <v>21685</v>
      </c>
      <c r="K1995" s="152" t="s">
        <v>25687</v>
      </c>
      <c r="L1995" s="20"/>
      <c r="M1995" s="174" t="s">
        <v>21688</v>
      </c>
      <c r="N1995" s="84"/>
      <c r="O1995" s="84"/>
      <c r="P1995" s="84"/>
      <c r="Q1995" s="84"/>
      <c r="R1995" s="84"/>
      <c r="S1995" s="84"/>
      <c r="T1995" s="84"/>
      <c r="U1995" s="84"/>
      <c r="V1995" s="84"/>
      <c r="W1995" s="84"/>
      <c r="X1995" s="84"/>
    </row>
    <row r="1996" ht="15.75" customHeight="1">
      <c r="A1996" s="14" t="s">
        <v>120</v>
      </c>
      <c r="B1996" s="14">
        <v>2010.0</v>
      </c>
      <c r="C1996" s="14" t="s">
        <v>21689</v>
      </c>
      <c r="D1996" s="14" t="s">
        <v>21690</v>
      </c>
      <c r="E1996" s="150" t="str">
        <f t="shared" si="28"/>
        <v>http://dx.doi.org/10.1109/VAST.2010.5652460</v>
      </c>
      <c r="F1996" s="14">
        <v>43.0</v>
      </c>
      <c r="G1996" s="14">
        <v>50.0</v>
      </c>
      <c r="H1996" s="14" t="s">
        <v>28</v>
      </c>
      <c r="I1996" s="14" t="s">
        <v>21691</v>
      </c>
      <c r="J1996" s="130" t="s">
        <v>21692</v>
      </c>
      <c r="K1996" s="152" t="s">
        <v>23453</v>
      </c>
      <c r="L1996" s="20" t="s">
        <v>21694</v>
      </c>
      <c r="M1996" s="222" t="s">
        <v>32379</v>
      </c>
      <c r="N1996" s="84"/>
      <c r="O1996" s="84"/>
      <c r="P1996" s="84"/>
      <c r="Q1996" s="84"/>
      <c r="R1996" s="84"/>
      <c r="S1996" s="84"/>
      <c r="T1996" s="84"/>
      <c r="U1996" s="84"/>
      <c r="V1996" s="84"/>
      <c r="W1996" s="84"/>
      <c r="X1996" s="84"/>
    </row>
    <row r="1997" ht="15.75" customHeight="1">
      <c r="A1997" s="14" t="s">
        <v>120</v>
      </c>
      <c r="B1997" s="14">
        <v>2010.0</v>
      </c>
      <c r="C1997" s="14" t="s">
        <v>21695</v>
      </c>
      <c r="D1997" s="14" t="s">
        <v>21696</v>
      </c>
      <c r="E1997" s="150" t="str">
        <f t="shared" si="28"/>
        <v>http://dx.doi.org/10.1109/VAST.2010.5652467</v>
      </c>
      <c r="F1997" s="14">
        <v>51.0</v>
      </c>
      <c r="G1997" s="14">
        <v>58.0</v>
      </c>
      <c r="H1997" s="14" t="s">
        <v>28</v>
      </c>
      <c r="I1997" s="14" t="s">
        <v>21697</v>
      </c>
      <c r="J1997" s="130" t="s">
        <v>21698</v>
      </c>
      <c r="K1997" s="152" t="s">
        <v>25690</v>
      </c>
      <c r="L1997" s="20" t="s">
        <v>20150</v>
      </c>
      <c r="M1997" s="16"/>
      <c r="N1997" s="84"/>
      <c r="O1997" s="84"/>
      <c r="P1997" s="84"/>
      <c r="Q1997" s="84"/>
      <c r="R1997" s="84"/>
      <c r="S1997" s="84"/>
      <c r="T1997" s="84"/>
      <c r="U1997" s="84"/>
      <c r="V1997" s="84"/>
      <c r="W1997" s="84"/>
      <c r="X1997" s="84"/>
    </row>
    <row r="1998" ht="15.75" customHeight="1">
      <c r="A1998" s="14" t="s">
        <v>120</v>
      </c>
      <c r="B1998" s="14">
        <v>2010.0</v>
      </c>
      <c r="C1998" s="14" t="s">
        <v>21701</v>
      </c>
      <c r="D1998" s="14" t="s">
        <v>21702</v>
      </c>
      <c r="E1998" s="150" t="str">
        <f t="shared" si="28"/>
        <v>http://dx.doi.org/10.1109/VAST.2010.5652478</v>
      </c>
      <c r="F1998" s="14">
        <v>59.0</v>
      </c>
      <c r="G1998" s="14">
        <v>66.0</v>
      </c>
      <c r="H1998" s="14" t="s">
        <v>28</v>
      </c>
      <c r="I1998" s="14" t="s">
        <v>21703</v>
      </c>
      <c r="J1998" s="130" t="s">
        <v>21704</v>
      </c>
      <c r="K1998" s="152" t="s">
        <v>25693</v>
      </c>
      <c r="L1998" s="20" t="s">
        <v>21707</v>
      </c>
      <c r="M1998" s="174" t="s">
        <v>32363</v>
      </c>
      <c r="N1998" s="84"/>
      <c r="O1998" s="84"/>
      <c r="P1998" s="84"/>
      <c r="Q1998" s="84"/>
      <c r="R1998" s="84"/>
      <c r="S1998" s="84"/>
      <c r="T1998" s="84"/>
      <c r="U1998" s="84"/>
      <c r="V1998" s="84"/>
      <c r="W1998" s="84"/>
      <c r="X1998" s="84"/>
    </row>
    <row r="1999" ht="15.75" customHeight="1">
      <c r="A1999" s="14" t="s">
        <v>120</v>
      </c>
      <c r="B1999" s="14">
        <v>2010.0</v>
      </c>
      <c r="C1999" s="14" t="s">
        <v>21709</v>
      </c>
      <c r="D1999" s="14" t="s">
        <v>21710</v>
      </c>
      <c r="E1999" s="150" t="str">
        <f t="shared" si="28"/>
        <v>http://dx.doi.org/10.1109/VAST.2010.5652484</v>
      </c>
      <c r="F1999" s="14">
        <v>67.0</v>
      </c>
      <c r="G1999" s="14">
        <v>74.0</v>
      </c>
      <c r="H1999" s="14" t="s">
        <v>28</v>
      </c>
      <c r="I1999" s="14" t="s">
        <v>21712</v>
      </c>
      <c r="J1999" s="130" t="s">
        <v>21713</v>
      </c>
      <c r="K1999" s="152" t="s">
        <v>25695</v>
      </c>
      <c r="L1999" s="20" t="s">
        <v>21715</v>
      </c>
      <c r="M1999" s="174" t="s">
        <v>32124</v>
      </c>
      <c r="N1999" s="84"/>
      <c r="O1999" s="84"/>
      <c r="P1999" s="84"/>
      <c r="Q1999" s="84"/>
      <c r="R1999" s="84"/>
      <c r="S1999" s="84"/>
      <c r="T1999" s="84"/>
      <c r="U1999" s="84"/>
      <c r="V1999" s="84"/>
      <c r="W1999" s="84"/>
      <c r="X1999" s="84"/>
    </row>
    <row r="2000" ht="15.75" customHeight="1">
      <c r="A2000" s="14" t="s">
        <v>120</v>
      </c>
      <c r="B2000" s="14">
        <v>2010.0</v>
      </c>
      <c r="C2000" s="14" t="s">
        <v>21717</v>
      </c>
      <c r="D2000" s="14" t="s">
        <v>21718</v>
      </c>
      <c r="E2000" s="150" t="str">
        <f t="shared" si="28"/>
        <v>http://dx.doi.org/10.1109/VAST.2010.5652520</v>
      </c>
      <c r="F2000" s="14">
        <v>75.0</v>
      </c>
      <c r="G2000" s="14">
        <v>82.0</v>
      </c>
      <c r="H2000" s="14" t="s">
        <v>28</v>
      </c>
      <c r="I2000" s="14" t="s">
        <v>21719</v>
      </c>
      <c r="J2000" s="130" t="s">
        <v>14085</v>
      </c>
      <c r="K2000" s="152" t="s">
        <v>22114</v>
      </c>
      <c r="L2000" s="20" t="s">
        <v>21721</v>
      </c>
      <c r="M2000" s="16"/>
      <c r="N2000" s="84"/>
      <c r="O2000" s="84"/>
      <c r="P2000" s="84"/>
      <c r="Q2000" s="84"/>
      <c r="R2000" s="84"/>
      <c r="S2000" s="84"/>
      <c r="T2000" s="84"/>
      <c r="U2000" s="84"/>
      <c r="V2000" s="84"/>
      <c r="W2000" s="84"/>
      <c r="X2000" s="84"/>
    </row>
    <row r="2001" ht="15.75" customHeight="1">
      <c r="A2001" s="14" t="s">
        <v>120</v>
      </c>
      <c r="B2001" s="14">
        <v>2010.0</v>
      </c>
      <c r="C2001" s="14" t="s">
        <v>21722</v>
      </c>
      <c r="D2001" s="14" t="s">
        <v>21723</v>
      </c>
      <c r="E2001" s="150" t="str">
        <f t="shared" si="28"/>
        <v>http://dx.doi.org/10.1109/VAST.2010.5652530</v>
      </c>
      <c r="F2001" s="14">
        <v>83.0</v>
      </c>
      <c r="G2001" s="14">
        <v>90.0</v>
      </c>
      <c r="H2001" s="14" t="s">
        <v>28</v>
      </c>
      <c r="I2001" s="14" t="s">
        <v>21725</v>
      </c>
      <c r="J2001" s="130" t="s">
        <v>21726</v>
      </c>
      <c r="K2001" s="152" t="s">
        <v>23066</v>
      </c>
      <c r="L2001" s="20" t="s">
        <v>21727</v>
      </c>
      <c r="M2001" s="222" t="s">
        <v>32941</v>
      </c>
      <c r="N2001" s="84"/>
      <c r="O2001" s="84"/>
      <c r="P2001" s="84"/>
      <c r="Q2001" s="84"/>
      <c r="R2001" s="84"/>
      <c r="S2001" s="84"/>
      <c r="T2001" s="84"/>
      <c r="U2001" s="84"/>
      <c r="V2001" s="84"/>
      <c r="W2001" s="84"/>
      <c r="X2001" s="84"/>
    </row>
    <row r="2002" ht="15.75" customHeight="1">
      <c r="A2002" s="14" t="s">
        <v>120</v>
      </c>
      <c r="B2002" s="14">
        <v>2010.0</v>
      </c>
      <c r="C2002" s="14" t="s">
        <v>21729</v>
      </c>
      <c r="D2002" s="14" t="s">
        <v>21730</v>
      </c>
      <c r="E2002" s="150" t="str">
        <f t="shared" si="28"/>
        <v>http://dx.doi.org/10.1109/VAST.2010.5652532</v>
      </c>
      <c r="F2002" s="14">
        <v>237.0</v>
      </c>
      <c r="G2002" s="14">
        <v>238.0</v>
      </c>
      <c r="H2002" s="14" t="s">
        <v>21</v>
      </c>
      <c r="I2002" s="14" t="s">
        <v>21731</v>
      </c>
      <c r="J2002" s="130" t="s">
        <v>21732</v>
      </c>
      <c r="K2002" s="152" t="s">
        <v>25699</v>
      </c>
      <c r="L2002" s="20"/>
      <c r="M2002" s="16"/>
      <c r="N2002" s="84"/>
      <c r="O2002" s="84"/>
      <c r="P2002" s="84"/>
      <c r="Q2002" s="84"/>
      <c r="R2002" s="84"/>
      <c r="S2002" s="84"/>
      <c r="T2002" s="84"/>
      <c r="U2002" s="84"/>
      <c r="V2002" s="84"/>
      <c r="W2002" s="84"/>
      <c r="X2002" s="84"/>
    </row>
    <row r="2003" ht="15.75" customHeight="1">
      <c r="A2003" s="14" t="s">
        <v>120</v>
      </c>
      <c r="B2003" s="14">
        <v>2010.0</v>
      </c>
      <c r="C2003" s="14" t="s">
        <v>21735</v>
      </c>
      <c r="D2003" s="14" t="s">
        <v>21736</v>
      </c>
      <c r="E2003" s="150" t="str">
        <f t="shared" si="28"/>
        <v>http://dx.doi.org/10.1109/VAST.2010.5652879</v>
      </c>
      <c r="F2003" s="14">
        <v>171.0</v>
      </c>
      <c r="G2003" s="14">
        <v>178.0</v>
      </c>
      <c r="H2003" s="14" t="s">
        <v>28</v>
      </c>
      <c r="I2003" s="14" t="s">
        <v>21737</v>
      </c>
      <c r="J2003" s="130" t="s">
        <v>21738</v>
      </c>
      <c r="K2003" s="152" t="s">
        <v>22110</v>
      </c>
      <c r="L2003" s="20" t="s">
        <v>21739</v>
      </c>
      <c r="M2003" s="174" t="s">
        <v>32113</v>
      </c>
      <c r="N2003" s="84"/>
      <c r="O2003" s="84"/>
      <c r="P2003" s="84"/>
      <c r="Q2003" s="84"/>
      <c r="R2003" s="84"/>
      <c r="S2003" s="84"/>
      <c r="T2003" s="84"/>
      <c r="U2003" s="84"/>
      <c r="V2003" s="84"/>
      <c r="W2003" s="84"/>
      <c r="X2003" s="84"/>
    </row>
    <row r="2004" ht="15.75" customHeight="1">
      <c r="A2004" s="14" t="s">
        <v>120</v>
      </c>
      <c r="B2004" s="14">
        <v>2010.0</v>
      </c>
      <c r="C2004" s="14" t="s">
        <v>21742</v>
      </c>
      <c r="D2004" s="14" t="s">
        <v>21743</v>
      </c>
      <c r="E2004" s="150" t="str">
        <f t="shared" si="28"/>
        <v>http://dx.doi.org/10.1109/VAST.2010.5652880</v>
      </c>
      <c r="F2004" s="14">
        <v>179.0</v>
      </c>
      <c r="G2004" s="14">
        <v>186.0</v>
      </c>
      <c r="H2004" s="14" t="s">
        <v>28</v>
      </c>
      <c r="I2004" s="14" t="s">
        <v>21744</v>
      </c>
      <c r="J2004" s="130" t="s">
        <v>21745</v>
      </c>
      <c r="K2004" s="152" t="s">
        <v>880</v>
      </c>
      <c r="L2004" s="20" t="s">
        <v>21748</v>
      </c>
      <c r="M2004" s="16"/>
      <c r="N2004" s="84"/>
      <c r="O2004" s="84"/>
      <c r="P2004" s="84"/>
      <c r="Q2004" s="84"/>
      <c r="R2004" s="84"/>
      <c r="S2004" s="84"/>
      <c r="T2004" s="84"/>
      <c r="U2004" s="84"/>
      <c r="V2004" s="84"/>
      <c r="W2004" s="84"/>
      <c r="X2004" s="84"/>
    </row>
    <row r="2005" ht="15.75" customHeight="1">
      <c r="A2005" s="14" t="s">
        <v>120</v>
      </c>
      <c r="B2005" s="14">
        <v>2010.0</v>
      </c>
      <c r="C2005" s="14" t="s">
        <v>21749</v>
      </c>
      <c r="D2005" s="14" t="s">
        <v>21750</v>
      </c>
      <c r="E2005" s="150" t="str">
        <f t="shared" si="28"/>
        <v>http://dx.doi.org/10.1109/VAST.2010.5652885</v>
      </c>
      <c r="F2005" s="14">
        <v>155.0</v>
      </c>
      <c r="G2005" s="14">
        <v>162.0</v>
      </c>
      <c r="H2005" s="14" t="s">
        <v>28</v>
      </c>
      <c r="I2005" s="14" t="s">
        <v>21751</v>
      </c>
      <c r="J2005" s="130" t="s">
        <v>21752</v>
      </c>
      <c r="K2005" s="152" t="s">
        <v>25703</v>
      </c>
      <c r="L2005" s="20" t="s">
        <v>21755</v>
      </c>
      <c r="M2005" s="174" t="s">
        <v>21756</v>
      </c>
      <c r="N2005" s="84"/>
      <c r="O2005" s="84"/>
      <c r="P2005" s="84"/>
      <c r="Q2005" s="84"/>
      <c r="R2005" s="84"/>
      <c r="S2005" s="84"/>
      <c r="T2005" s="84"/>
      <c r="U2005" s="84"/>
      <c r="V2005" s="84"/>
      <c r="W2005" s="84"/>
      <c r="X2005" s="84"/>
    </row>
    <row r="2006" ht="15.75" customHeight="1">
      <c r="A2006" s="14" t="s">
        <v>120</v>
      </c>
      <c r="B2006" s="14">
        <v>2010.0</v>
      </c>
      <c r="C2006" s="14" t="s">
        <v>21758</v>
      </c>
      <c r="D2006" s="14" t="s">
        <v>21759</v>
      </c>
      <c r="E2006" s="150" t="str">
        <f t="shared" si="28"/>
        <v>http://dx.doi.org/10.1109/VAST.2010.5652890</v>
      </c>
      <c r="F2006" s="14">
        <v>163.0</v>
      </c>
      <c r="G2006" s="14">
        <v>170.0</v>
      </c>
      <c r="H2006" s="14" t="s">
        <v>28</v>
      </c>
      <c r="I2006" s="14" t="s">
        <v>21761</v>
      </c>
      <c r="J2006" s="130" t="s">
        <v>21762</v>
      </c>
      <c r="K2006" s="152" t="s">
        <v>25705</v>
      </c>
      <c r="L2006" s="20" t="s">
        <v>21765</v>
      </c>
      <c r="M2006" s="16"/>
      <c r="N2006" s="84"/>
      <c r="O2006" s="84"/>
      <c r="P2006" s="84"/>
      <c r="Q2006" s="84"/>
      <c r="R2006" s="84"/>
      <c r="S2006" s="84"/>
      <c r="T2006" s="84"/>
      <c r="U2006" s="84"/>
      <c r="V2006" s="84"/>
      <c r="W2006" s="84"/>
      <c r="X2006" s="84"/>
    </row>
    <row r="2007" ht="15.75" customHeight="1">
      <c r="A2007" s="14" t="s">
        <v>120</v>
      </c>
      <c r="B2007" s="14">
        <v>2010.0</v>
      </c>
      <c r="C2007" s="14" t="s">
        <v>21766</v>
      </c>
      <c r="D2007" s="14" t="s">
        <v>21767</v>
      </c>
      <c r="E2007" s="150" t="str">
        <f t="shared" si="28"/>
        <v>http://dx.doi.org/10.1109/VAST.2010.5652895</v>
      </c>
      <c r="F2007" s="14">
        <v>139.0</v>
      </c>
      <c r="G2007" s="14">
        <v>146.0</v>
      </c>
      <c r="H2007" s="14" t="s">
        <v>28</v>
      </c>
      <c r="I2007" s="14" t="s">
        <v>21768</v>
      </c>
      <c r="J2007" s="130" t="s">
        <v>21769</v>
      </c>
      <c r="K2007" s="152" t="s">
        <v>25707</v>
      </c>
      <c r="L2007" s="20"/>
      <c r="M2007" s="174" t="s">
        <v>32383</v>
      </c>
      <c r="N2007" s="84"/>
      <c r="O2007" s="84"/>
      <c r="P2007" s="84"/>
      <c r="Q2007" s="84"/>
      <c r="R2007" s="84"/>
      <c r="S2007" s="84"/>
      <c r="T2007" s="84"/>
      <c r="U2007" s="84"/>
      <c r="V2007" s="84"/>
      <c r="W2007" s="84"/>
      <c r="X2007" s="84"/>
    </row>
    <row r="2008" ht="15.75" customHeight="1">
      <c r="A2008" s="14" t="s">
        <v>120</v>
      </c>
      <c r="B2008" s="14">
        <v>2010.0</v>
      </c>
      <c r="C2008" s="14" t="s">
        <v>21773</v>
      </c>
      <c r="D2008" s="14" t="s">
        <v>21774</v>
      </c>
      <c r="E2008" s="150" t="str">
        <f t="shared" si="28"/>
        <v>http://dx.doi.org/10.1109/VAST.2010.5652896</v>
      </c>
      <c r="F2008" s="14">
        <v>147.0</v>
      </c>
      <c r="G2008" s="14">
        <v>154.0</v>
      </c>
      <c r="H2008" s="14" t="s">
        <v>28</v>
      </c>
      <c r="I2008" s="14" t="s">
        <v>21775</v>
      </c>
      <c r="J2008" s="130" t="s">
        <v>21777</v>
      </c>
      <c r="K2008" s="152" t="s">
        <v>494</v>
      </c>
      <c r="L2008" s="20"/>
      <c r="M2008" s="16"/>
      <c r="N2008" s="84"/>
      <c r="O2008" s="84"/>
      <c r="P2008" s="84"/>
      <c r="Q2008" s="84"/>
      <c r="R2008" s="84"/>
      <c r="S2008" s="84"/>
      <c r="T2008" s="84"/>
      <c r="U2008" s="84"/>
      <c r="V2008" s="84"/>
      <c r="W2008" s="84"/>
      <c r="X2008" s="84"/>
    </row>
    <row r="2009" ht="15.75" customHeight="1">
      <c r="A2009" s="14" t="s">
        <v>120</v>
      </c>
      <c r="B2009" s="14">
        <v>2010.0</v>
      </c>
      <c r="C2009" s="14" t="s">
        <v>21779</v>
      </c>
      <c r="D2009" s="14" t="s">
        <v>21780</v>
      </c>
      <c r="E2009" s="150" t="str">
        <f t="shared" si="28"/>
        <v>http://dx.doi.org/10.1109/VAST.2010.5652910</v>
      </c>
      <c r="F2009" s="14">
        <v>131.0</v>
      </c>
      <c r="G2009" s="14">
        <v>138.0</v>
      </c>
      <c r="H2009" s="14" t="s">
        <v>28</v>
      </c>
      <c r="I2009" s="14" t="s">
        <v>21782</v>
      </c>
      <c r="J2009" s="130" t="s">
        <v>21783</v>
      </c>
      <c r="K2009" s="152" t="s">
        <v>5349</v>
      </c>
      <c r="L2009" s="20" t="s">
        <v>21785</v>
      </c>
      <c r="M2009" s="174" t="s">
        <v>21786</v>
      </c>
      <c r="N2009" s="84"/>
      <c r="O2009" s="84"/>
      <c r="P2009" s="84"/>
      <c r="Q2009" s="84"/>
      <c r="R2009" s="84"/>
      <c r="S2009" s="84"/>
      <c r="T2009" s="84"/>
      <c r="U2009" s="84"/>
      <c r="V2009" s="84"/>
      <c r="W2009" s="84"/>
      <c r="X2009" s="84"/>
    </row>
    <row r="2010" ht="15.75" customHeight="1">
      <c r="A2010" s="14" t="s">
        <v>120</v>
      </c>
      <c r="B2010" s="14">
        <v>2010.0</v>
      </c>
      <c r="C2010" s="14" t="s">
        <v>21787</v>
      </c>
      <c r="D2010" s="14" t="s">
        <v>21788</v>
      </c>
      <c r="E2010" s="150" t="str">
        <f t="shared" si="28"/>
        <v>http://dx.doi.org/10.1109/VAST.2010.5652922</v>
      </c>
      <c r="F2010" s="14">
        <v>115.0</v>
      </c>
      <c r="G2010" s="14">
        <v>122.0</v>
      </c>
      <c r="H2010" s="14" t="s">
        <v>28</v>
      </c>
      <c r="I2010" s="14" t="s">
        <v>21789</v>
      </c>
      <c r="J2010" s="130" t="s">
        <v>21790</v>
      </c>
      <c r="K2010" s="152" t="s">
        <v>494</v>
      </c>
      <c r="L2010" s="20" t="s">
        <v>21792</v>
      </c>
      <c r="M2010" s="222" t="s">
        <v>32355</v>
      </c>
      <c r="N2010" s="84"/>
      <c r="O2010" s="84"/>
      <c r="P2010" s="84"/>
      <c r="Q2010" s="84"/>
      <c r="R2010" s="84"/>
      <c r="S2010" s="84"/>
      <c r="T2010" s="84"/>
      <c r="U2010" s="84"/>
      <c r="V2010" s="84"/>
      <c r="W2010" s="84"/>
      <c r="X2010" s="84"/>
    </row>
    <row r="2011" ht="15.75" customHeight="1">
      <c r="A2011" s="14" t="s">
        <v>120</v>
      </c>
      <c r="B2011" s="14">
        <v>2010.0</v>
      </c>
      <c r="C2011" s="14" t="s">
        <v>21794</v>
      </c>
      <c r="D2011" s="14" t="s">
        <v>21795</v>
      </c>
      <c r="E2011" s="150" t="str">
        <f t="shared" si="28"/>
        <v>http://dx.doi.org/10.1109/VAST.2010.5652926</v>
      </c>
      <c r="F2011" s="14">
        <v>123.0</v>
      </c>
      <c r="G2011" s="14">
        <v>130.0</v>
      </c>
      <c r="H2011" s="14" t="s">
        <v>28</v>
      </c>
      <c r="I2011" s="14" t="s">
        <v>21799</v>
      </c>
      <c r="J2011" s="130" t="s">
        <v>21800</v>
      </c>
      <c r="K2011" s="152" t="s">
        <v>23066</v>
      </c>
      <c r="L2011" s="20" t="s">
        <v>18386</v>
      </c>
      <c r="M2011" s="16"/>
      <c r="N2011" s="84"/>
      <c r="O2011" s="84"/>
      <c r="P2011" s="84"/>
      <c r="Q2011" s="84"/>
      <c r="R2011" s="84"/>
      <c r="S2011" s="84"/>
      <c r="T2011" s="84"/>
      <c r="U2011" s="84"/>
      <c r="V2011" s="84"/>
      <c r="W2011" s="84"/>
      <c r="X2011" s="84"/>
    </row>
    <row r="2012" ht="15.75" customHeight="1">
      <c r="A2012" s="14" t="s">
        <v>120</v>
      </c>
      <c r="B2012" s="14">
        <v>2010.0</v>
      </c>
      <c r="C2012" s="14" t="s">
        <v>21801</v>
      </c>
      <c r="D2012" s="14" t="s">
        <v>21802</v>
      </c>
      <c r="E2012" s="150" t="str">
        <f t="shared" si="28"/>
        <v>http://dx.doi.org/10.1109/VAST.2010.5652931</v>
      </c>
      <c r="F2012" s="14">
        <v>99.0</v>
      </c>
      <c r="G2012" s="14">
        <v>106.0</v>
      </c>
      <c r="H2012" s="14" t="s">
        <v>28</v>
      </c>
      <c r="I2012" s="14" t="s">
        <v>21804</v>
      </c>
      <c r="J2012" s="130" t="s">
        <v>21805</v>
      </c>
      <c r="K2012" s="152" t="s">
        <v>25713</v>
      </c>
      <c r="L2012" s="20" t="s">
        <v>21807</v>
      </c>
      <c r="M2012" s="174" t="s">
        <v>21808</v>
      </c>
      <c r="N2012" s="84"/>
      <c r="O2012" s="84"/>
      <c r="P2012" s="84"/>
      <c r="Q2012" s="84"/>
      <c r="R2012" s="84"/>
      <c r="S2012" s="84"/>
      <c r="T2012" s="84"/>
      <c r="U2012" s="84"/>
      <c r="V2012" s="84"/>
      <c r="W2012" s="84"/>
      <c r="X2012" s="84"/>
    </row>
    <row r="2013" ht="15.75" customHeight="1">
      <c r="A2013" s="14" t="s">
        <v>120</v>
      </c>
      <c r="B2013" s="14">
        <v>2010.0</v>
      </c>
      <c r="C2013" s="14" t="s">
        <v>21810</v>
      </c>
      <c r="D2013" s="14" t="s">
        <v>21811</v>
      </c>
      <c r="E2013" s="150" t="str">
        <f t="shared" si="28"/>
        <v>http://dx.doi.org/10.1109/VAST.2010.5652932</v>
      </c>
      <c r="F2013" s="14">
        <v>107.0</v>
      </c>
      <c r="G2013" s="14">
        <v>114.0</v>
      </c>
      <c r="H2013" s="14" t="s">
        <v>28</v>
      </c>
      <c r="I2013" s="14" t="s">
        <v>21812</v>
      </c>
      <c r="J2013" s="130" t="s">
        <v>21813</v>
      </c>
      <c r="K2013" s="152" t="s">
        <v>25715</v>
      </c>
      <c r="L2013" s="20" t="s">
        <v>21815</v>
      </c>
      <c r="M2013" s="174" t="s">
        <v>21816</v>
      </c>
      <c r="N2013" s="84"/>
      <c r="O2013" s="84"/>
      <c r="P2013" s="84"/>
      <c r="Q2013" s="84"/>
      <c r="R2013" s="84"/>
      <c r="S2013" s="84"/>
      <c r="T2013" s="84"/>
      <c r="U2013" s="84"/>
      <c r="V2013" s="84"/>
      <c r="W2013" s="84"/>
      <c r="X2013" s="84"/>
    </row>
    <row r="2014" ht="15.75" customHeight="1">
      <c r="A2014" s="14" t="s">
        <v>120</v>
      </c>
      <c r="B2014" s="14">
        <v>2010.0</v>
      </c>
      <c r="C2014" s="14" t="s">
        <v>21817</v>
      </c>
      <c r="D2014" s="14" t="s">
        <v>21818</v>
      </c>
      <c r="E2014" s="150" t="str">
        <f t="shared" si="28"/>
        <v>http://dx.doi.org/10.1109/VAST.2010.5652940</v>
      </c>
      <c r="F2014" s="14">
        <v>91.0</v>
      </c>
      <c r="G2014" s="14">
        <v>98.0</v>
      </c>
      <c r="H2014" s="14" t="s">
        <v>28</v>
      </c>
      <c r="I2014" s="14" t="s">
        <v>21819</v>
      </c>
      <c r="J2014" s="130" t="s">
        <v>21820</v>
      </c>
      <c r="K2014" s="152" t="s">
        <v>25717</v>
      </c>
      <c r="L2014" s="20" t="s">
        <v>21822</v>
      </c>
      <c r="M2014" s="16"/>
      <c r="N2014" s="84"/>
      <c r="O2014" s="84"/>
      <c r="P2014" s="84"/>
      <c r="Q2014" s="84"/>
      <c r="R2014" s="84"/>
      <c r="S2014" s="84"/>
      <c r="T2014" s="84"/>
      <c r="U2014" s="84"/>
      <c r="V2014" s="84"/>
      <c r="W2014" s="84"/>
      <c r="X2014" s="84"/>
    </row>
    <row r="2015" ht="15.75" customHeight="1">
      <c r="A2015" s="14" t="s">
        <v>120</v>
      </c>
      <c r="B2015" s="14">
        <v>2010.0</v>
      </c>
      <c r="C2015" s="14" t="s">
        <v>21823</v>
      </c>
      <c r="D2015" s="14" t="s">
        <v>21824</v>
      </c>
      <c r="E2015" s="150" t="str">
        <f t="shared" si="28"/>
        <v>http://dx.doi.org/10.1109/VAST.2010.5652951</v>
      </c>
      <c r="F2015" s="14">
        <v>229.0</v>
      </c>
      <c r="G2015" s="14">
        <v>230.0</v>
      </c>
      <c r="H2015" s="14" t="s">
        <v>21</v>
      </c>
      <c r="I2015" s="14" t="s">
        <v>21826</v>
      </c>
      <c r="J2015" s="130" t="s">
        <v>21827</v>
      </c>
      <c r="K2015" s="152" t="s">
        <v>880</v>
      </c>
      <c r="L2015" s="20"/>
      <c r="M2015" s="16"/>
      <c r="N2015" s="84"/>
      <c r="O2015" s="84"/>
      <c r="P2015" s="84"/>
      <c r="Q2015" s="84"/>
      <c r="R2015" s="84"/>
      <c r="S2015" s="84"/>
      <c r="T2015" s="84"/>
      <c r="U2015" s="84"/>
      <c r="V2015" s="84"/>
      <c r="W2015" s="84"/>
      <c r="X2015" s="84"/>
    </row>
    <row r="2016" ht="15.75" customHeight="1">
      <c r="A2016" s="14" t="s">
        <v>120</v>
      </c>
      <c r="B2016" s="14">
        <v>2010.0</v>
      </c>
      <c r="C2016" s="14" t="s">
        <v>21831</v>
      </c>
      <c r="D2016" s="14" t="s">
        <v>21832</v>
      </c>
      <c r="E2016" s="150" t="str">
        <f t="shared" si="28"/>
        <v>http://dx.doi.org/10.1109/VAST.2010.5652958</v>
      </c>
      <c r="F2016" s="14">
        <v>231.0</v>
      </c>
      <c r="G2016" s="14">
        <v>232.0</v>
      </c>
      <c r="H2016" s="14" t="s">
        <v>21</v>
      </c>
      <c r="I2016" s="14" t="s">
        <v>21833</v>
      </c>
      <c r="J2016" s="130" t="s">
        <v>21834</v>
      </c>
      <c r="K2016" s="152" t="s">
        <v>25721</v>
      </c>
      <c r="L2016" s="20"/>
      <c r="M2016" s="16"/>
      <c r="N2016" s="84"/>
      <c r="O2016" s="84"/>
      <c r="P2016" s="84"/>
      <c r="Q2016" s="84"/>
      <c r="R2016" s="84"/>
      <c r="S2016" s="84"/>
      <c r="T2016" s="84"/>
      <c r="U2016" s="84"/>
      <c r="V2016" s="84"/>
      <c r="W2016" s="84"/>
      <c r="X2016" s="84"/>
    </row>
    <row r="2017" ht="15.75" customHeight="1">
      <c r="A2017" s="14" t="s">
        <v>120</v>
      </c>
      <c r="B2017" s="14">
        <v>2010.0</v>
      </c>
      <c r="C2017" s="14" t="s">
        <v>21837</v>
      </c>
      <c r="D2017" s="14" t="s">
        <v>21838</v>
      </c>
      <c r="E2017" s="150" t="str">
        <f t="shared" si="28"/>
        <v>http://dx.doi.org/10.1109/VAST.2010.5652968</v>
      </c>
      <c r="F2017" s="14">
        <v>233.0</v>
      </c>
      <c r="G2017" s="14">
        <v>234.0</v>
      </c>
      <c r="H2017" s="14" t="s">
        <v>21</v>
      </c>
      <c r="I2017" s="14" t="s">
        <v>21839</v>
      </c>
      <c r="J2017" s="130" t="s">
        <v>21840</v>
      </c>
      <c r="K2017" s="152" t="s">
        <v>494</v>
      </c>
      <c r="L2017" s="20"/>
      <c r="M2017" s="174" t="s">
        <v>21843</v>
      </c>
      <c r="N2017" s="84"/>
      <c r="O2017" s="84"/>
      <c r="P2017" s="84"/>
      <c r="Q2017" s="84"/>
      <c r="R2017" s="84"/>
      <c r="S2017" s="84"/>
      <c r="T2017" s="84"/>
      <c r="U2017" s="84"/>
      <c r="V2017" s="84"/>
      <c r="W2017" s="84"/>
      <c r="X2017" s="84"/>
    </row>
    <row r="2018" ht="15.75" customHeight="1">
      <c r="A2018" s="14" t="s">
        <v>120</v>
      </c>
      <c r="B2018" s="14">
        <v>2010.0</v>
      </c>
      <c r="C2018" s="14" t="s">
        <v>21844</v>
      </c>
      <c r="D2018" s="14" t="s">
        <v>21846</v>
      </c>
      <c r="E2018" s="150" t="str">
        <f t="shared" si="28"/>
        <v>http://dx.doi.org/10.1109/VAST.2010.5653580</v>
      </c>
      <c r="F2018" s="14">
        <v>213.0</v>
      </c>
      <c r="G2018" s="14">
        <v>214.0</v>
      </c>
      <c r="H2018" s="14" t="s">
        <v>21</v>
      </c>
      <c r="I2018" s="14" t="s">
        <v>21848</v>
      </c>
      <c r="J2018" s="130" t="s">
        <v>19310</v>
      </c>
      <c r="K2018" s="152" t="s">
        <v>178</v>
      </c>
      <c r="L2018" s="20"/>
      <c r="M2018" s="16"/>
      <c r="N2018" s="84"/>
      <c r="O2018" s="84"/>
      <c r="P2018" s="84"/>
      <c r="Q2018" s="84"/>
      <c r="R2018" s="84"/>
      <c r="S2018" s="84"/>
      <c r="T2018" s="84"/>
      <c r="U2018" s="84"/>
      <c r="V2018" s="84"/>
      <c r="W2018" s="84"/>
      <c r="X2018" s="84"/>
    </row>
    <row r="2019" ht="15.75" customHeight="1">
      <c r="A2019" s="14" t="s">
        <v>120</v>
      </c>
      <c r="B2019" s="14">
        <v>2010.0</v>
      </c>
      <c r="C2019" s="14" t="s">
        <v>21850</v>
      </c>
      <c r="D2019" s="14" t="s">
        <v>21851</v>
      </c>
      <c r="E2019" s="150" t="str">
        <f t="shared" si="28"/>
        <v>http://dx.doi.org/10.1109/VAST.2010.5653587</v>
      </c>
      <c r="F2019" s="14">
        <v>203.0</v>
      </c>
      <c r="G2019" s="14">
        <v>210.0</v>
      </c>
      <c r="H2019" s="14" t="s">
        <v>28</v>
      </c>
      <c r="I2019" s="14" t="s">
        <v>21852</v>
      </c>
      <c r="J2019" s="130" t="s">
        <v>21853</v>
      </c>
      <c r="K2019" s="152" t="s">
        <v>25725</v>
      </c>
      <c r="L2019" s="20"/>
      <c r="M2019" s="174" t="s">
        <v>32891</v>
      </c>
      <c r="N2019" s="84"/>
      <c r="O2019" s="84"/>
      <c r="P2019" s="84"/>
      <c r="Q2019" s="84"/>
      <c r="R2019" s="84"/>
      <c r="S2019" s="84"/>
      <c r="T2019" s="84"/>
      <c r="U2019" s="84"/>
      <c r="V2019" s="84"/>
      <c r="W2019" s="84"/>
      <c r="X2019" s="84"/>
    </row>
    <row r="2020" ht="15.75" customHeight="1">
      <c r="A2020" s="14" t="s">
        <v>120</v>
      </c>
      <c r="B2020" s="14">
        <v>2010.0</v>
      </c>
      <c r="C2020" s="14" t="s">
        <v>21856</v>
      </c>
      <c r="D2020" s="14" t="s">
        <v>21857</v>
      </c>
      <c r="E2020" s="150" t="str">
        <f t="shared" si="28"/>
        <v>http://dx.doi.org/10.1109/VAST.2010.5653598</v>
      </c>
      <c r="F2020" s="14">
        <v>187.0</v>
      </c>
      <c r="G2020" s="14">
        <v>194.0</v>
      </c>
      <c r="H2020" s="14" t="s">
        <v>28</v>
      </c>
      <c r="I2020" s="14" t="s">
        <v>21858</v>
      </c>
      <c r="J2020" s="130" t="s">
        <v>21859</v>
      </c>
      <c r="K2020" s="152" t="s">
        <v>25727</v>
      </c>
      <c r="L2020" s="20" t="s">
        <v>21863</v>
      </c>
      <c r="M2020" s="174" t="s">
        <v>21864</v>
      </c>
      <c r="N2020" s="84"/>
      <c r="O2020" s="84"/>
      <c r="P2020" s="84"/>
      <c r="Q2020" s="84"/>
      <c r="R2020" s="84"/>
      <c r="S2020" s="84"/>
      <c r="T2020" s="84"/>
      <c r="U2020" s="84"/>
      <c r="V2020" s="84"/>
      <c r="W2020" s="84"/>
      <c r="X2020" s="84"/>
    </row>
    <row r="2021" ht="15.75" customHeight="1">
      <c r="A2021" s="14" t="s">
        <v>120</v>
      </c>
      <c r="B2021" s="14">
        <v>2010.0</v>
      </c>
      <c r="C2021" s="14" t="s">
        <v>21866</v>
      </c>
      <c r="D2021" s="14" t="s">
        <v>21867</v>
      </c>
      <c r="E2021" s="150" t="str">
        <f t="shared" si="28"/>
        <v>http://dx.doi.org/10.1109/VAST.2010.5653599</v>
      </c>
      <c r="F2021" s="14">
        <v>195.0</v>
      </c>
      <c r="G2021" s="14">
        <v>202.0</v>
      </c>
      <c r="H2021" s="14" t="s">
        <v>28</v>
      </c>
      <c r="I2021" s="14" t="s">
        <v>21868</v>
      </c>
      <c r="J2021" s="130" t="s">
        <v>21869</v>
      </c>
      <c r="K2021" s="152" t="s">
        <v>25729</v>
      </c>
      <c r="L2021" s="20" t="s">
        <v>21871</v>
      </c>
      <c r="M2021" s="174" t="s">
        <v>21872</v>
      </c>
      <c r="N2021" s="84"/>
      <c r="O2021" s="84"/>
      <c r="P2021" s="84"/>
      <c r="Q2021" s="84"/>
      <c r="R2021" s="84"/>
      <c r="S2021" s="84"/>
      <c r="T2021" s="84"/>
      <c r="U2021" s="84"/>
      <c r="V2021" s="84"/>
      <c r="W2021" s="84"/>
      <c r="X2021" s="84"/>
    </row>
    <row r="2022" ht="15.75" customHeight="1">
      <c r="A2022" s="14" t="s">
        <v>120</v>
      </c>
      <c r="B2022" s="14">
        <v>2010.0</v>
      </c>
      <c r="C2022" s="14" t="s">
        <v>21873</v>
      </c>
      <c r="D2022" s="14" t="s">
        <v>21874</v>
      </c>
      <c r="E2022" s="150" t="str">
        <f t="shared" si="28"/>
        <v>http://dx.doi.org/10.1109/VAST.2010.5653822</v>
      </c>
      <c r="F2022" s="14">
        <v>243.0</v>
      </c>
      <c r="G2022" s="14">
        <v>244.0</v>
      </c>
      <c r="H2022" s="14" t="s">
        <v>21</v>
      </c>
      <c r="I2022" s="14" t="s">
        <v>21875</v>
      </c>
      <c r="J2022" s="130" t="s">
        <v>21876</v>
      </c>
      <c r="K2022" s="152" t="s">
        <v>5349</v>
      </c>
      <c r="L2022" s="20"/>
      <c r="M2022" s="16"/>
      <c r="N2022" s="84"/>
      <c r="O2022" s="84"/>
      <c r="P2022" s="84"/>
      <c r="Q2022" s="84"/>
      <c r="R2022" s="84"/>
      <c r="S2022" s="84"/>
      <c r="T2022" s="84"/>
      <c r="U2022" s="84"/>
      <c r="V2022" s="84"/>
      <c r="W2022" s="84"/>
      <c r="X2022" s="84"/>
    </row>
    <row r="2023" ht="15.75" customHeight="1">
      <c r="A2023" s="14" t="s">
        <v>120</v>
      </c>
      <c r="B2023" s="14">
        <v>2010.0</v>
      </c>
      <c r="C2023" s="14" t="s">
        <v>21879</v>
      </c>
      <c r="D2023" s="14" t="s">
        <v>21880</v>
      </c>
      <c r="E2023" s="150" t="str">
        <f t="shared" si="28"/>
        <v>http://dx.doi.org/10.1109/VAST.2010.5654445</v>
      </c>
      <c r="F2023" s="14">
        <v>239.0</v>
      </c>
      <c r="G2023" s="14">
        <v>240.0</v>
      </c>
      <c r="H2023" s="14" t="s">
        <v>21</v>
      </c>
      <c r="I2023" s="14" t="s">
        <v>21883</v>
      </c>
      <c r="J2023" s="130" t="s">
        <v>21884</v>
      </c>
      <c r="K2023" s="152" t="s">
        <v>25733</v>
      </c>
      <c r="L2023" s="20"/>
      <c r="M2023" s="16"/>
      <c r="N2023" s="84"/>
      <c r="O2023" s="84"/>
      <c r="P2023" s="84"/>
      <c r="Q2023" s="84"/>
      <c r="R2023" s="84"/>
      <c r="S2023" s="84"/>
      <c r="T2023" s="84"/>
      <c r="U2023" s="84"/>
      <c r="V2023" s="84"/>
      <c r="W2023" s="84"/>
      <c r="X2023" s="84"/>
    </row>
    <row r="2024" ht="15.75" customHeight="1">
      <c r="A2024" s="14" t="s">
        <v>120</v>
      </c>
      <c r="B2024" s="14">
        <v>2010.0</v>
      </c>
      <c r="C2024" s="14" t="s">
        <v>21886</v>
      </c>
      <c r="D2024" s="14" t="s">
        <v>21887</v>
      </c>
      <c r="E2024" s="150" t="str">
        <f t="shared" si="28"/>
        <v>http://dx.doi.org/10.1109/VAST.2010.5654451</v>
      </c>
      <c r="F2024" s="14">
        <v>241.0</v>
      </c>
      <c r="G2024" s="14">
        <v>242.0</v>
      </c>
      <c r="H2024" s="14" t="s">
        <v>21</v>
      </c>
      <c r="I2024" s="14" t="s">
        <v>21888</v>
      </c>
      <c r="J2024" s="130" t="s">
        <v>21889</v>
      </c>
      <c r="K2024" s="152" t="s">
        <v>25735</v>
      </c>
      <c r="L2024" s="20"/>
      <c r="M2024" s="174" t="s">
        <v>32966</v>
      </c>
      <c r="N2024" s="84"/>
      <c r="O2024" s="84"/>
      <c r="P2024" s="84"/>
      <c r="Q2024" s="84"/>
      <c r="R2024" s="84"/>
      <c r="S2024" s="84"/>
      <c r="T2024" s="84"/>
      <c r="U2024" s="84"/>
      <c r="V2024" s="84"/>
      <c r="W2024" s="84"/>
      <c r="X2024" s="84"/>
    </row>
    <row r="2025" ht="15.75" customHeight="1">
      <c r="A2025" s="14" t="s">
        <v>17</v>
      </c>
      <c r="B2025" s="14">
        <v>2010.0</v>
      </c>
      <c r="C2025" s="14" t="s">
        <v>21892</v>
      </c>
      <c r="D2025" s="14" t="s">
        <v>21893</v>
      </c>
      <c r="E2025" s="150" t="str">
        <f t="shared" si="28"/>
        <v>http://dx.doi.org/10.1109/TVCG.2010.127</v>
      </c>
      <c r="F2025" s="14">
        <v>1235.0</v>
      </c>
      <c r="G2025" s="14">
        <v>1242.0</v>
      </c>
      <c r="H2025" s="14" t="s">
        <v>17059</v>
      </c>
      <c r="I2025" s="14" t="s">
        <v>23941</v>
      </c>
      <c r="J2025" s="130" t="s">
        <v>21895</v>
      </c>
      <c r="K2025" s="152" t="s">
        <v>5349</v>
      </c>
      <c r="L2025" s="20" t="s">
        <v>21898</v>
      </c>
      <c r="M2025" s="174" t="s">
        <v>21899</v>
      </c>
      <c r="N2025" s="84"/>
      <c r="O2025" s="84"/>
      <c r="P2025" s="84"/>
      <c r="Q2025" s="84"/>
      <c r="R2025" s="84"/>
      <c r="S2025" s="84"/>
      <c r="T2025" s="84"/>
      <c r="U2025" s="84"/>
      <c r="V2025" s="84"/>
      <c r="W2025" s="84"/>
      <c r="X2025" s="84"/>
    </row>
    <row r="2026" ht="15.75" customHeight="1">
      <c r="A2026" s="14" t="s">
        <v>17</v>
      </c>
      <c r="B2026" s="14">
        <v>2010.0</v>
      </c>
      <c r="C2026" s="14" t="s">
        <v>21900</v>
      </c>
      <c r="D2026" s="14" t="s">
        <v>21902</v>
      </c>
      <c r="E2026" s="150" t="str">
        <f t="shared" si="28"/>
        <v>http://dx.doi.org/10.1109/TVCG.2010.128</v>
      </c>
      <c r="F2026" s="14">
        <v>1623.0</v>
      </c>
      <c r="G2026" s="14">
        <v>1632.0</v>
      </c>
      <c r="H2026" s="14" t="s">
        <v>17059</v>
      </c>
      <c r="I2026" s="14" t="s">
        <v>21904</v>
      </c>
      <c r="J2026" s="130" t="s">
        <v>21905</v>
      </c>
      <c r="K2026" s="152" t="s">
        <v>23943</v>
      </c>
      <c r="L2026" s="20" t="s">
        <v>21907</v>
      </c>
      <c r="M2026" s="174" t="s">
        <v>21908</v>
      </c>
      <c r="N2026" s="84"/>
      <c r="O2026" s="84"/>
      <c r="P2026" s="84"/>
      <c r="Q2026" s="84"/>
      <c r="R2026" s="84"/>
      <c r="S2026" s="84"/>
      <c r="T2026" s="84"/>
      <c r="U2026" s="84"/>
      <c r="V2026" s="84"/>
      <c r="W2026" s="84"/>
      <c r="X2026" s="84"/>
    </row>
    <row r="2027" ht="15.75" customHeight="1">
      <c r="A2027" s="14" t="s">
        <v>17</v>
      </c>
      <c r="B2027" s="14">
        <v>2010.0</v>
      </c>
      <c r="C2027" s="14" t="s">
        <v>21909</v>
      </c>
      <c r="D2027" s="14" t="s">
        <v>21910</v>
      </c>
      <c r="E2027" s="150" t="str">
        <f t="shared" si="28"/>
        <v>http://dx.doi.org/10.1109/TVCG.2010.131</v>
      </c>
      <c r="F2027" s="14">
        <v>1216.0</v>
      </c>
      <c r="G2027" s="14">
        <v>1224.0</v>
      </c>
      <c r="H2027" s="14" t="s">
        <v>17059</v>
      </c>
      <c r="I2027" s="14" t="s">
        <v>21911</v>
      </c>
      <c r="J2027" s="130" t="s">
        <v>21912</v>
      </c>
      <c r="K2027" s="152" t="s">
        <v>12380</v>
      </c>
      <c r="L2027" s="20" t="s">
        <v>21914</v>
      </c>
      <c r="M2027" s="174" t="s">
        <v>21915</v>
      </c>
      <c r="N2027" s="84"/>
      <c r="O2027" s="84"/>
      <c r="P2027" s="84"/>
      <c r="Q2027" s="84"/>
      <c r="R2027" s="84"/>
      <c r="S2027" s="84"/>
      <c r="T2027" s="84"/>
      <c r="U2027" s="84"/>
      <c r="V2027" s="84"/>
      <c r="W2027" s="84"/>
      <c r="X2027" s="84"/>
    </row>
    <row r="2028" ht="15.75" customHeight="1">
      <c r="A2028" s="14" t="s">
        <v>17</v>
      </c>
      <c r="B2028" s="14">
        <v>2010.0</v>
      </c>
      <c r="C2028" s="14" t="s">
        <v>21916</v>
      </c>
      <c r="D2028" s="14" t="s">
        <v>21917</v>
      </c>
      <c r="E2028" s="150" t="str">
        <f t="shared" si="28"/>
        <v>http://dx.doi.org/10.1109/TVCG.2010.132</v>
      </c>
      <c r="F2028" s="14">
        <v>1206.0</v>
      </c>
      <c r="G2028" s="14">
        <v>1215.0</v>
      </c>
      <c r="H2028" s="14" t="s">
        <v>17059</v>
      </c>
      <c r="I2028" s="14" t="s">
        <v>21918</v>
      </c>
      <c r="J2028" s="130" t="s">
        <v>21920</v>
      </c>
      <c r="K2028" s="152" t="s">
        <v>178</v>
      </c>
      <c r="L2028" s="20" t="s">
        <v>21923</v>
      </c>
      <c r="M2028" s="174" t="s">
        <v>21924</v>
      </c>
      <c r="N2028" s="84"/>
      <c r="O2028" s="84"/>
      <c r="P2028" s="84"/>
      <c r="Q2028" s="84"/>
      <c r="R2028" s="84"/>
      <c r="S2028" s="84"/>
      <c r="T2028" s="84"/>
      <c r="U2028" s="84"/>
      <c r="V2028" s="84"/>
      <c r="W2028" s="84"/>
      <c r="X2028" s="84"/>
    </row>
    <row r="2029" ht="15.75" customHeight="1">
      <c r="A2029" s="14" t="s">
        <v>17</v>
      </c>
      <c r="B2029" s="14">
        <v>2010.0</v>
      </c>
      <c r="C2029" s="14" t="s">
        <v>21926</v>
      </c>
      <c r="D2029" s="14" t="s">
        <v>21927</v>
      </c>
      <c r="E2029" s="150" t="str">
        <f t="shared" si="28"/>
        <v>http://dx.doi.org/10.1109/TVCG.2010.133</v>
      </c>
      <c r="F2029" s="14">
        <v>1431.0</v>
      </c>
      <c r="G2029" s="14">
        <v>1440.0</v>
      </c>
      <c r="H2029" s="14" t="s">
        <v>17059</v>
      </c>
      <c r="I2029" s="14" t="s">
        <v>33009</v>
      </c>
      <c r="J2029" s="130" t="s">
        <v>21929</v>
      </c>
      <c r="K2029" s="152" t="s">
        <v>860</v>
      </c>
      <c r="L2029" s="20" t="s">
        <v>21932</v>
      </c>
      <c r="M2029" s="174" t="s">
        <v>21933</v>
      </c>
      <c r="N2029" s="84"/>
      <c r="O2029" s="84"/>
      <c r="P2029" s="84"/>
      <c r="Q2029" s="84"/>
      <c r="R2029" s="84"/>
      <c r="S2029" s="84"/>
      <c r="T2029" s="84"/>
      <c r="U2029" s="84"/>
      <c r="V2029" s="84"/>
      <c r="W2029" s="84"/>
      <c r="X2029" s="84"/>
    </row>
    <row r="2030" ht="15.75" customHeight="1">
      <c r="A2030" s="14" t="s">
        <v>17</v>
      </c>
      <c r="B2030" s="14">
        <v>2010.0</v>
      </c>
      <c r="C2030" s="14" t="s">
        <v>21934</v>
      </c>
      <c r="D2030" s="14" t="s">
        <v>21935</v>
      </c>
      <c r="E2030" s="150" t="str">
        <f t="shared" si="28"/>
        <v>http://dx.doi.org/10.1109/TVCG.2010.134</v>
      </c>
      <c r="F2030" s="14">
        <v>1396.0</v>
      </c>
      <c r="G2030" s="14">
        <v>1404.0</v>
      </c>
      <c r="H2030" s="14" t="s">
        <v>17059</v>
      </c>
      <c r="I2030" s="14" t="s">
        <v>21936</v>
      </c>
      <c r="J2030" s="130" t="s">
        <v>21937</v>
      </c>
      <c r="K2030" s="152" t="s">
        <v>23953</v>
      </c>
      <c r="L2030" s="20" t="s">
        <v>21939</v>
      </c>
      <c r="M2030" s="174" t="s">
        <v>21940</v>
      </c>
      <c r="N2030" s="84"/>
      <c r="O2030" s="84"/>
      <c r="P2030" s="84"/>
      <c r="Q2030" s="84"/>
      <c r="R2030" s="84"/>
      <c r="S2030" s="84"/>
      <c r="T2030" s="84"/>
      <c r="U2030" s="84"/>
      <c r="V2030" s="84"/>
      <c r="W2030" s="84"/>
      <c r="X2030" s="84"/>
    </row>
    <row r="2031" ht="15.75" customHeight="1">
      <c r="A2031" s="14" t="s">
        <v>17</v>
      </c>
      <c r="B2031" s="14">
        <v>2010.0</v>
      </c>
      <c r="C2031" s="14" t="s">
        <v>21941</v>
      </c>
      <c r="D2031" s="14" t="s">
        <v>21942</v>
      </c>
      <c r="E2031" s="150" t="str">
        <f t="shared" si="28"/>
        <v>http://dx.doi.org/10.1109/TVCG.2010.136</v>
      </c>
      <c r="F2031" s="14">
        <v>1261.0</v>
      </c>
      <c r="G2031" s="14">
        <v>1270.0</v>
      </c>
      <c r="H2031" s="14" t="s">
        <v>17059</v>
      </c>
      <c r="I2031" s="14" t="s">
        <v>21943</v>
      </c>
      <c r="J2031" s="130" t="s">
        <v>21944</v>
      </c>
      <c r="K2031" s="152" t="s">
        <v>23962</v>
      </c>
      <c r="L2031" s="20"/>
      <c r="M2031" s="174" t="s">
        <v>21945</v>
      </c>
      <c r="N2031" s="84"/>
      <c r="O2031" s="84"/>
      <c r="P2031" s="84"/>
      <c r="Q2031" s="84"/>
      <c r="R2031" s="84"/>
      <c r="S2031" s="84"/>
      <c r="T2031" s="84"/>
      <c r="U2031" s="84"/>
      <c r="V2031" s="84"/>
      <c r="W2031" s="84"/>
      <c r="X2031" s="84"/>
    </row>
    <row r="2032" ht="15.75" customHeight="1">
      <c r="A2032" s="14" t="s">
        <v>17</v>
      </c>
      <c r="B2032" s="14">
        <v>2010.0</v>
      </c>
      <c r="C2032" s="14" t="s">
        <v>21946</v>
      </c>
      <c r="D2032" s="14" t="s">
        <v>21947</v>
      </c>
      <c r="E2032" s="150" t="str">
        <f t="shared" si="28"/>
        <v>http://dx.doi.org/10.1109/TVCG.2010.139</v>
      </c>
      <c r="F2032" s="14">
        <v>1251.0</v>
      </c>
      <c r="G2032" s="14">
        <v>1260.0</v>
      </c>
      <c r="H2032" s="14" t="s">
        <v>17059</v>
      </c>
      <c r="I2032" s="14" t="s">
        <v>24128</v>
      </c>
      <c r="J2032" s="130" t="s">
        <v>21951</v>
      </c>
      <c r="K2032" s="152" t="s">
        <v>24130</v>
      </c>
      <c r="L2032" s="20" t="s">
        <v>3572</v>
      </c>
      <c r="M2032" s="174" t="s">
        <v>21952</v>
      </c>
      <c r="N2032" s="84"/>
      <c r="O2032" s="84"/>
      <c r="P2032" s="84"/>
      <c r="Q2032" s="84"/>
      <c r="R2032" s="84"/>
      <c r="S2032" s="84"/>
      <c r="T2032" s="84"/>
      <c r="U2032" s="84"/>
      <c r="V2032" s="84"/>
      <c r="W2032" s="84"/>
      <c r="X2032" s="84"/>
    </row>
    <row r="2033" ht="15.75" customHeight="1">
      <c r="A2033" s="14" t="s">
        <v>17</v>
      </c>
      <c r="B2033" s="14">
        <v>2010.0</v>
      </c>
      <c r="C2033" s="14" t="s">
        <v>21953</v>
      </c>
      <c r="D2033" s="14" t="s">
        <v>21954</v>
      </c>
      <c r="E2033" s="150" t="str">
        <f t="shared" si="28"/>
        <v>http://dx.doi.org/10.1109/TVCG.2010.145</v>
      </c>
      <c r="F2033" s="14">
        <v>1505.0</v>
      </c>
      <c r="G2033" s="14">
        <v>1514.0</v>
      </c>
      <c r="H2033" s="14" t="s">
        <v>17059</v>
      </c>
      <c r="I2033" s="14" t="s">
        <v>21955</v>
      </c>
      <c r="J2033" s="130" t="s">
        <v>21957</v>
      </c>
      <c r="K2033" s="152" t="s">
        <v>24180</v>
      </c>
      <c r="L2033" s="20" t="s">
        <v>21959</v>
      </c>
      <c r="M2033" s="174" t="s">
        <v>21960</v>
      </c>
      <c r="N2033" s="84"/>
      <c r="O2033" s="84"/>
      <c r="P2033" s="84"/>
      <c r="Q2033" s="84"/>
      <c r="R2033" s="84"/>
      <c r="S2033" s="84"/>
      <c r="T2033" s="84"/>
      <c r="U2033" s="84"/>
      <c r="V2033" s="84"/>
      <c r="W2033" s="84"/>
      <c r="X2033" s="84"/>
    </row>
    <row r="2034" ht="15.75" customHeight="1">
      <c r="A2034" s="14" t="s">
        <v>17</v>
      </c>
      <c r="B2034" s="14">
        <v>2010.0</v>
      </c>
      <c r="C2034" s="42" t="s">
        <v>21961</v>
      </c>
      <c r="D2034" s="14" t="s">
        <v>21962</v>
      </c>
      <c r="E2034" s="150" t="str">
        <f t="shared" si="28"/>
        <v>http://dx.doi.org/10.1109/TVCG.2010.146</v>
      </c>
      <c r="F2034" s="14">
        <v>1291.0</v>
      </c>
      <c r="G2034" s="14">
        <v>1300.0</v>
      </c>
      <c r="H2034" s="14" t="s">
        <v>17059</v>
      </c>
      <c r="I2034" s="14" t="s">
        <v>24198</v>
      </c>
      <c r="J2034" s="130" t="s">
        <v>21965</v>
      </c>
      <c r="K2034" s="152" t="s">
        <v>24200</v>
      </c>
      <c r="L2034" s="20" t="s">
        <v>21967</v>
      </c>
      <c r="M2034" s="174" t="s">
        <v>21968</v>
      </c>
      <c r="N2034" s="84"/>
      <c r="O2034" s="84"/>
      <c r="P2034" s="84"/>
      <c r="Q2034" s="84"/>
      <c r="R2034" s="84"/>
      <c r="S2034" s="84"/>
      <c r="T2034" s="84"/>
      <c r="U2034" s="84"/>
      <c r="V2034" s="84"/>
      <c r="W2034" s="84"/>
      <c r="X2034" s="84"/>
    </row>
    <row r="2035" ht="15.75" customHeight="1">
      <c r="A2035" s="14" t="s">
        <v>17</v>
      </c>
      <c r="B2035" s="14">
        <v>2010.0</v>
      </c>
      <c r="C2035" s="14" t="s">
        <v>21970</v>
      </c>
      <c r="D2035" s="14" t="s">
        <v>21971</v>
      </c>
      <c r="E2035" s="150" t="str">
        <f t="shared" si="28"/>
        <v>http://dx.doi.org/10.1109/TVCG.2010.147</v>
      </c>
      <c r="F2035" s="14">
        <v>1376.0</v>
      </c>
      <c r="G2035" s="14">
        <v>1385.0</v>
      </c>
      <c r="H2035" s="14" t="s">
        <v>17059</v>
      </c>
      <c r="I2035" s="14" t="s">
        <v>21972</v>
      </c>
      <c r="J2035" s="130" t="s">
        <v>21973</v>
      </c>
      <c r="K2035" s="152" t="s">
        <v>24228</v>
      </c>
      <c r="L2035" s="20" t="s">
        <v>21976</v>
      </c>
      <c r="M2035" s="174" t="s">
        <v>21977</v>
      </c>
      <c r="N2035" s="84"/>
      <c r="O2035" s="84"/>
      <c r="P2035" s="84"/>
      <c r="Q2035" s="84"/>
      <c r="R2035" s="84"/>
      <c r="S2035" s="84"/>
      <c r="T2035" s="84"/>
      <c r="U2035" s="84"/>
      <c r="V2035" s="84"/>
      <c r="W2035" s="84"/>
      <c r="X2035" s="84"/>
    </row>
    <row r="2036" ht="15.75" customHeight="1">
      <c r="A2036" s="14" t="s">
        <v>17</v>
      </c>
      <c r="B2036" s="14">
        <v>2010.0</v>
      </c>
      <c r="C2036" s="14" t="s">
        <v>21978</v>
      </c>
      <c r="D2036" s="14" t="s">
        <v>21979</v>
      </c>
      <c r="E2036" s="150" t="str">
        <f t="shared" si="28"/>
        <v>http://dx.doi.org/10.1109/TVCG.2010.148</v>
      </c>
      <c r="F2036" s="14">
        <v>1533.0</v>
      </c>
      <c r="G2036" s="14">
        <v>1540.0</v>
      </c>
      <c r="H2036" s="14" t="s">
        <v>17059</v>
      </c>
      <c r="I2036" s="14" t="s">
        <v>21982</v>
      </c>
      <c r="J2036" s="130" t="s">
        <v>21983</v>
      </c>
      <c r="K2036" s="152" t="s">
        <v>33030</v>
      </c>
      <c r="L2036" s="20" t="s">
        <v>21986</v>
      </c>
      <c r="M2036" s="174" t="s">
        <v>21987</v>
      </c>
      <c r="N2036" s="84"/>
      <c r="O2036" s="84"/>
      <c r="P2036" s="84"/>
      <c r="Q2036" s="84"/>
      <c r="R2036" s="84"/>
      <c r="S2036" s="84"/>
      <c r="T2036" s="84"/>
      <c r="U2036" s="84"/>
      <c r="V2036" s="84"/>
      <c r="W2036" s="84"/>
      <c r="X2036" s="84"/>
    </row>
    <row r="2037" ht="15.75" customHeight="1">
      <c r="A2037" s="14" t="s">
        <v>17</v>
      </c>
      <c r="B2037" s="14">
        <v>2010.0</v>
      </c>
      <c r="C2037" s="14" t="s">
        <v>21988</v>
      </c>
      <c r="D2037" s="14" t="s">
        <v>21989</v>
      </c>
      <c r="E2037" s="150" t="str">
        <f t="shared" si="28"/>
        <v>http://dx.doi.org/10.1109/TVCG.2010.151</v>
      </c>
      <c r="F2037" s="14">
        <v>1311.0</v>
      </c>
      <c r="G2037" s="14">
        <v>1318.0</v>
      </c>
      <c r="H2037" s="14" t="s">
        <v>17059</v>
      </c>
      <c r="I2037" s="14" t="s">
        <v>21990</v>
      </c>
      <c r="J2037" s="130" t="s">
        <v>21991</v>
      </c>
      <c r="K2037" s="152" t="s">
        <v>5349</v>
      </c>
      <c r="L2037" s="20" t="s">
        <v>21994</v>
      </c>
      <c r="M2037" s="174" t="s">
        <v>21995</v>
      </c>
      <c r="N2037" s="84"/>
      <c r="O2037" s="84"/>
      <c r="P2037" s="84"/>
      <c r="Q2037" s="84"/>
      <c r="R2037" s="84"/>
      <c r="S2037" s="84"/>
      <c r="T2037" s="84"/>
      <c r="U2037" s="84"/>
      <c r="V2037" s="84"/>
      <c r="W2037" s="84"/>
      <c r="X2037" s="84"/>
    </row>
    <row r="2038" ht="15.75" customHeight="1">
      <c r="A2038" s="14" t="s">
        <v>17</v>
      </c>
      <c r="B2038" s="14">
        <v>2010.0</v>
      </c>
      <c r="C2038" s="14" t="s">
        <v>21996</v>
      </c>
      <c r="D2038" s="14" t="s">
        <v>21997</v>
      </c>
      <c r="E2038" s="150" t="str">
        <f t="shared" si="28"/>
        <v>http://dx.doi.org/10.1109/TVCG.2010.152</v>
      </c>
      <c r="F2038" s="14">
        <v>1366.0</v>
      </c>
      <c r="G2038" s="14">
        <v>1375.0</v>
      </c>
      <c r="H2038" s="14" t="s">
        <v>17059</v>
      </c>
      <c r="I2038" s="14" t="s">
        <v>21999</v>
      </c>
      <c r="J2038" s="130" t="s">
        <v>22000</v>
      </c>
      <c r="K2038" s="152" t="s">
        <v>24317</v>
      </c>
      <c r="L2038" s="20" t="s">
        <v>22002</v>
      </c>
      <c r="M2038" s="174" t="s">
        <v>22003</v>
      </c>
      <c r="N2038" s="84"/>
      <c r="O2038" s="84"/>
      <c r="P2038" s="84"/>
      <c r="Q2038" s="84"/>
      <c r="R2038" s="84"/>
      <c r="S2038" s="84"/>
      <c r="T2038" s="84"/>
      <c r="U2038" s="84"/>
      <c r="V2038" s="84"/>
      <c r="W2038" s="84"/>
      <c r="X2038" s="84"/>
    </row>
    <row r="2039" ht="15.75" customHeight="1">
      <c r="A2039" s="14" t="s">
        <v>17</v>
      </c>
      <c r="B2039" s="14">
        <v>2010.0</v>
      </c>
      <c r="C2039" s="14" t="s">
        <v>22004</v>
      </c>
      <c r="D2039" s="14" t="s">
        <v>22005</v>
      </c>
      <c r="E2039" s="150" t="str">
        <f t="shared" si="28"/>
        <v>http://dx.doi.org/10.1109/TVCG.2010.153</v>
      </c>
      <c r="F2039" s="14">
        <v>1339.0</v>
      </c>
      <c r="G2039" s="14">
        <v>1347.0</v>
      </c>
      <c r="H2039" s="14" t="s">
        <v>17059</v>
      </c>
      <c r="I2039" s="14" t="s">
        <v>22006</v>
      </c>
      <c r="J2039" s="130" t="s">
        <v>41720</v>
      </c>
      <c r="K2039" s="152" t="s">
        <v>24338</v>
      </c>
      <c r="L2039" s="20" t="s">
        <v>22010</v>
      </c>
      <c r="M2039" s="174" t="s">
        <v>22011</v>
      </c>
      <c r="N2039" s="84"/>
      <c r="O2039" s="84"/>
      <c r="P2039" s="84"/>
      <c r="Q2039" s="84"/>
      <c r="R2039" s="84"/>
      <c r="S2039" s="84"/>
      <c r="T2039" s="84"/>
      <c r="U2039" s="84"/>
      <c r="V2039" s="84"/>
      <c r="W2039" s="84"/>
      <c r="X2039" s="84"/>
    </row>
    <row r="2040" ht="15.75" customHeight="1">
      <c r="A2040" s="14" t="s">
        <v>17</v>
      </c>
      <c r="B2040" s="14">
        <v>2010.0</v>
      </c>
      <c r="C2040" s="14" t="s">
        <v>22012</v>
      </c>
      <c r="D2040" s="14" t="s">
        <v>22013</v>
      </c>
      <c r="E2040" s="150" t="str">
        <f t="shared" si="28"/>
        <v>http://dx.doi.org/10.1109/TVCG.2010.155</v>
      </c>
      <c r="F2040" s="14">
        <v>1525.0</v>
      </c>
      <c r="G2040" s="14">
        <v>1532.0</v>
      </c>
      <c r="H2040" s="14" t="s">
        <v>17059</v>
      </c>
      <c r="I2040" s="14" t="s">
        <v>22014</v>
      </c>
      <c r="J2040" s="130" t="s">
        <v>22016</v>
      </c>
      <c r="K2040" s="152" t="s">
        <v>24381</v>
      </c>
      <c r="L2040" s="20" t="s">
        <v>22019</v>
      </c>
      <c r="M2040" s="174" t="s">
        <v>22020</v>
      </c>
      <c r="N2040" s="84"/>
      <c r="O2040" s="84"/>
      <c r="P2040" s="84"/>
      <c r="Q2040" s="84"/>
      <c r="R2040" s="84"/>
      <c r="S2040" s="84"/>
      <c r="T2040" s="84"/>
      <c r="U2040" s="84"/>
      <c r="V2040" s="84"/>
      <c r="W2040" s="84"/>
      <c r="X2040" s="84"/>
    </row>
    <row r="2041" ht="15.75" customHeight="1">
      <c r="A2041" s="14" t="s">
        <v>17</v>
      </c>
      <c r="B2041" s="14">
        <v>2010.0</v>
      </c>
      <c r="C2041" s="14" t="s">
        <v>22021</v>
      </c>
      <c r="D2041" s="14" t="s">
        <v>22022</v>
      </c>
      <c r="E2041" s="150" t="str">
        <f t="shared" si="28"/>
        <v>http://dx.doi.org/10.1109/TVCG.2010.156</v>
      </c>
      <c r="F2041" s="14">
        <v>1541.0</v>
      </c>
      <c r="G2041" s="14">
        <v>1550.0</v>
      </c>
      <c r="H2041" s="14" t="s">
        <v>17059</v>
      </c>
      <c r="I2041" s="14" t="s">
        <v>22023</v>
      </c>
      <c r="J2041" s="130" t="s">
        <v>22024</v>
      </c>
      <c r="K2041" s="152" t="s">
        <v>24402</v>
      </c>
      <c r="L2041" s="20" t="s">
        <v>22025</v>
      </c>
      <c r="M2041" s="174" t="s">
        <v>22026</v>
      </c>
      <c r="N2041" s="84"/>
      <c r="O2041" s="84"/>
      <c r="P2041" s="84"/>
      <c r="Q2041" s="84"/>
      <c r="R2041" s="84"/>
      <c r="S2041" s="84"/>
      <c r="T2041" s="84"/>
      <c r="U2041" s="84"/>
      <c r="V2041" s="84"/>
      <c r="W2041" s="84"/>
      <c r="X2041" s="84"/>
    </row>
    <row r="2042" ht="15.75" customHeight="1">
      <c r="A2042" s="14" t="s">
        <v>17</v>
      </c>
      <c r="B2042" s="14">
        <v>2010.0</v>
      </c>
      <c r="C2042" s="14" t="s">
        <v>22027</v>
      </c>
      <c r="D2042" s="14" t="s">
        <v>22028</v>
      </c>
      <c r="E2042" s="150" t="str">
        <f t="shared" si="28"/>
        <v>http://dx.doi.org/10.1109/TVCG.2010.157</v>
      </c>
      <c r="F2042" s="14">
        <v>1613.0</v>
      </c>
      <c r="G2042" s="14">
        <v>1622.0</v>
      </c>
      <c r="H2042" s="14" t="s">
        <v>17059</v>
      </c>
      <c r="I2042" s="14" t="s">
        <v>22030</v>
      </c>
      <c r="J2042" s="130" t="s">
        <v>22031</v>
      </c>
      <c r="K2042" s="152" t="s">
        <v>24419</v>
      </c>
      <c r="L2042" s="20" t="s">
        <v>22034</v>
      </c>
      <c r="M2042" s="174" t="s">
        <v>22035</v>
      </c>
      <c r="N2042" s="84"/>
      <c r="O2042" s="84"/>
      <c r="P2042" s="84"/>
      <c r="Q2042" s="84"/>
      <c r="R2042" s="84"/>
      <c r="S2042" s="84"/>
      <c r="T2042" s="84"/>
      <c r="U2042" s="84"/>
      <c r="V2042" s="84"/>
      <c r="W2042" s="84"/>
      <c r="X2042" s="84"/>
    </row>
    <row r="2043" ht="15.75" customHeight="1">
      <c r="A2043" s="14" t="s">
        <v>17</v>
      </c>
      <c r="B2043" s="14">
        <v>2010.0</v>
      </c>
      <c r="C2043" s="14" t="s">
        <v>22036</v>
      </c>
      <c r="D2043" s="14" t="s">
        <v>22037</v>
      </c>
      <c r="E2043" s="150" t="str">
        <f t="shared" si="28"/>
        <v>http://dx.doi.org/10.1109/TVCG.2010.160</v>
      </c>
      <c r="F2043" s="14">
        <v>1495.0</v>
      </c>
      <c r="G2043" s="14">
        <v>1504.0</v>
      </c>
      <c r="H2043" s="14" t="s">
        <v>17059</v>
      </c>
      <c r="I2043" s="14" t="s">
        <v>22038</v>
      </c>
      <c r="J2043" s="130" t="s">
        <v>22039</v>
      </c>
      <c r="K2043" s="152" t="s">
        <v>22152</v>
      </c>
      <c r="L2043" s="20" t="s">
        <v>22043</v>
      </c>
      <c r="M2043" s="174" t="s">
        <v>22044</v>
      </c>
      <c r="N2043" s="84"/>
      <c r="O2043" s="84"/>
      <c r="P2043" s="84"/>
      <c r="Q2043" s="84"/>
      <c r="R2043" s="84"/>
      <c r="S2043" s="84"/>
      <c r="T2043" s="84"/>
      <c r="U2043" s="84"/>
      <c r="V2043" s="84"/>
      <c r="W2043" s="84"/>
      <c r="X2043" s="84"/>
    </row>
    <row r="2044" ht="15.75" customHeight="1">
      <c r="A2044" s="14" t="s">
        <v>17</v>
      </c>
      <c r="B2044" s="14">
        <v>2010.0</v>
      </c>
      <c r="C2044" s="14" t="s">
        <v>22045</v>
      </c>
      <c r="D2044" s="14" t="s">
        <v>22046</v>
      </c>
      <c r="E2044" s="150" t="str">
        <f t="shared" si="28"/>
        <v>http://dx.doi.org/10.1109/TVCG.2010.166</v>
      </c>
      <c r="F2044" s="14">
        <v>1329.0</v>
      </c>
      <c r="G2044" s="14">
        <v>1338.0</v>
      </c>
      <c r="H2044" s="14" t="s">
        <v>17059</v>
      </c>
      <c r="I2044" s="14" t="s">
        <v>24541</v>
      </c>
      <c r="J2044" s="130" t="s">
        <v>22048</v>
      </c>
      <c r="K2044" s="152" t="s">
        <v>24543</v>
      </c>
      <c r="L2044" s="20" t="s">
        <v>22050</v>
      </c>
      <c r="M2044" s="174" t="s">
        <v>22051</v>
      </c>
      <c r="N2044" s="84"/>
      <c r="O2044" s="84"/>
      <c r="P2044" s="84"/>
      <c r="Q2044" s="84"/>
      <c r="R2044" s="84"/>
      <c r="S2044" s="84"/>
      <c r="T2044" s="84"/>
      <c r="U2044" s="84"/>
      <c r="V2044" s="84"/>
      <c r="W2044" s="84"/>
      <c r="X2044" s="84"/>
    </row>
    <row r="2045" ht="15.75" customHeight="1">
      <c r="A2045" s="14" t="s">
        <v>17</v>
      </c>
      <c r="B2045" s="14">
        <v>2010.0</v>
      </c>
      <c r="C2045" s="14" t="s">
        <v>22155</v>
      </c>
      <c r="D2045" s="14" t="s">
        <v>22156</v>
      </c>
      <c r="E2045" s="150" t="str">
        <f t="shared" si="28"/>
        <v>http://dx.doi.org/10.1109/TVCG.2010.168</v>
      </c>
      <c r="F2045" s="14">
        <v>1386.0</v>
      </c>
      <c r="G2045" s="14">
        <v>1395.0</v>
      </c>
      <c r="H2045" s="14" t="s">
        <v>17059</v>
      </c>
      <c r="I2045" s="14" t="s">
        <v>22157</v>
      </c>
      <c r="J2045" s="130" t="s">
        <v>22158</v>
      </c>
      <c r="K2045" s="152" t="s">
        <v>13886</v>
      </c>
      <c r="L2045" s="20" t="s">
        <v>22161</v>
      </c>
      <c r="M2045" s="174" t="s">
        <v>22162</v>
      </c>
      <c r="N2045" s="84"/>
      <c r="O2045" s="84"/>
      <c r="P2045" s="84"/>
      <c r="Q2045" s="84"/>
      <c r="R2045" s="84"/>
      <c r="S2045" s="84"/>
      <c r="T2045" s="84"/>
      <c r="U2045" s="84"/>
      <c r="V2045" s="84"/>
      <c r="W2045" s="84"/>
      <c r="X2045" s="84"/>
    </row>
    <row r="2046" ht="15.75" customHeight="1">
      <c r="A2046" s="14" t="s">
        <v>17</v>
      </c>
      <c r="B2046" s="14">
        <v>2010.0</v>
      </c>
      <c r="C2046" s="14" t="s">
        <v>22163</v>
      </c>
      <c r="D2046" s="14" t="s">
        <v>22164</v>
      </c>
      <c r="E2046" s="150" t="str">
        <f t="shared" si="28"/>
        <v>http://dx.doi.org/10.1109/TVCG.2010.169</v>
      </c>
      <c r="F2046" s="14">
        <v>1569.0</v>
      </c>
      <c r="G2046" s="14">
        <v>1577.0</v>
      </c>
      <c r="H2046" s="14" t="s">
        <v>17059</v>
      </c>
      <c r="I2046" s="14" t="s">
        <v>22165</v>
      </c>
      <c r="J2046" s="130" t="s">
        <v>22166</v>
      </c>
      <c r="K2046" s="152" t="s">
        <v>33061</v>
      </c>
      <c r="L2046" s="20" t="s">
        <v>22168</v>
      </c>
      <c r="M2046" s="174" t="s">
        <v>22169</v>
      </c>
      <c r="N2046" s="84"/>
      <c r="O2046" s="84"/>
      <c r="P2046" s="84"/>
      <c r="Q2046" s="84"/>
      <c r="R2046" s="84"/>
      <c r="S2046" s="84"/>
      <c r="T2046" s="84"/>
      <c r="U2046" s="84"/>
      <c r="V2046" s="84"/>
      <c r="W2046" s="84"/>
      <c r="X2046" s="84"/>
    </row>
    <row r="2047" ht="15.75" customHeight="1">
      <c r="A2047" s="14" t="s">
        <v>17</v>
      </c>
      <c r="B2047" s="14">
        <v>2010.0</v>
      </c>
      <c r="C2047" s="14" t="s">
        <v>22170</v>
      </c>
      <c r="D2047" s="14" t="s">
        <v>22171</v>
      </c>
      <c r="E2047" s="150" t="str">
        <f t="shared" si="28"/>
        <v>http://dx.doi.org/10.1109/TVCG.2010.170</v>
      </c>
      <c r="F2047" s="14">
        <v>1560.0</v>
      </c>
      <c r="G2047" s="14">
        <v>1568.0</v>
      </c>
      <c r="H2047" s="14" t="s">
        <v>17059</v>
      </c>
      <c r="I2047" s="14" t="s">
        <v>22172</v>
      </c>
      <c r="J2047" s="130" t="s">
        <v>22173</v>
      </c>
      <c r="K2047" s="152" t="s">
        <v>24618</v>
      </c>
      <c r="L2047" s="20" t="s">
        <v>22175</v>
      </c>
      <c r="M2047" s="174" t="s">
        <v>22176</v>
      </c>
      <c r="N2047" s="84"/>
      <c r="O2047" s="84"/>
      <c r="P2047" s="84"/>
      <c r="Q2047" s="84"/>
      <c r="R2047" s="84"/>
      <c r="S2047" s="84"/>
      <c r="T2047" s="84"/>
      <c r="U2047" s="84"/>
      <c r="V2047" s="84"/>
      <c r="W2047" s="84"/>
      <c r="X2047" s="84"/>
    </row>
    <row r="2048" ht="15.75" customHeight="1">
      <c r="A2048" s="14" t="s">
        <v>17</v>
      </c>
      <c r="B2048" s="14">
        <v>2010.0</v>
      </c>
      <c r="C2048" s="14" t="s">
        <v>22177</v>
      </c>
      <c r="D2048" s="14" t="s">
        <v>22178</v>
      </c>
      <c r="E2048" s="150" t="str">
        <f t="shared" si="28"/>
        <v>http://dx.doi.org/10.1109/TVCG.2010.171</v>
      </c>
      <c r="F2048" s="14">
        <v>1449.0</v>
      </c>
      <c r="G2048" s="14">
        <v>1457.0</v>
      </c>
      <c r="H2048" s="14" t="s">
        <v>17059</v>
      </c>
      <c r="I2048" s="14" t="s">
        <v>22179</v>
      </c>
      <c r="J2048" s="130" t="s">
        <v>22180</v>
      </c>
      <c r="K2048" s="152" t="s">
        <v>15865</v>
      </c>
      <c r="L2048" s="20" t="s">
        <v>22182</v>
      </c>
      <c r="M2048" s="174" t="s">
        <v>22183</v>
      </c>
      <c r="N2048" s="84"/>
      <c r="O2048" s="84"/>
      <c r="P2048" s="84"/>
      <c r="Q2048" s="84"/>
      <c r="R2048" s="84"/>
      <c r="S2048" s="84"/>
      <c r="T2048" s="84"/>
      <c r="U2048" s="84"/>
      <c r="V2048" s="84"/>
      <c r="W2048" s="84"/>
      <c r="X2048" s="84"/>
    </row>
    <row r="2049" ht="15.75" customHeight="1">
      <c r="A2049" s="14" t="s">
        <v>17</v>
      </c>
      <c r="B2049" s="14">
        <v>2010.0</v>
      </c>
      <c r="C2049" s="14" t="s">
        <v>22184</v>
      </c>
      <c r="D2049" s="14" t="s">
        <v>22185</v>
      </c>
      <c r="E2049" s="150" t="str">
        <f t="shared" si="28"/>
        <v>http://dx.doi.org/10.1109/TVCG.2010.172</v>
      </c>
      <c r="F2049" s="14">
        <v>1441.0</v>
      </c>
      <c r="G2049" s="14">
        <v>1448.0</v>
      </c>
      <c r="H2049" s="14" t="s">
        <v>17059</v>
      </c>
      <c r="I2049" s="14" t="s">
        <v>22186</v>
      </c>
      <c r="J2049" s="130" t="s">
        <v>22187</v>
      </c>
      <c r="K2049" s="152" t="s">
        <v>24663</v>
      </c>
      <c r="L2049" s="20" t="s">
        <v>22190</v>
      </c>
      <c r="M2049" s="174" t="s">
        <v>22191</v>
      </c>
      <c r="N2049" s="84"/>
      <c r="O2049" s="84"/>
      <c r="P2049" s="84"/>
      <c r="Q2049" s="84"/>
      <c r="R2049" s="84"/>
      <c r="S2049" s="84"/>
      <c r="T2049" s="84"/>
      <c r="U2049" s="84"/>
      <c r="V2049" s="84"/>
      <c r="W2049" s="84"/>
      <c r="X2049" s="84"/>
    </row>
    <row r="2050" ht="15.75" customHeight="1">
      <c r="A2050" s="14" t="s">
        <v>17</v>
      </c>
      <c r="B2050" s="14">
        <v>2010.0</v>
      </c>
      <c r="C2050" s="14" t="s">
        <v>22192</v>
      </c>
      <c r="D2050" s="14" t="s">
        <v>22193</v>
      </c>
      <c r="E2050" s="150" t="str">
        <f t="shared" si="28"/>
        <v>http://dx.doi.org/10.1109/TVCG.2010.173</v>
      </c>
      <c r="F2050" s="14">
        <v>1319.0</v>
      </c>
      <c r="G2050" s="14">
        <v>1328.0</v>
      </c>
      <c r="H2050" s="14" t="s">
        <v>17059</v>
      </c>
      <c r="I2050" s="14" t="s">
        <v>22194</v>
      </c>
      <c r="J2050" s="130" t="s">
        <v>22195</v>
      </c>
      <c r="K2050" s="152" t="s">
        <v>24683</v>
      </c>
      <c r="L2050" s="20" t="s">
        <v>22197</v>
      </c>
      <c r="M2050" s="174" t="s">
        <v>22198</v>
      </c>
      <c r="N2050" s="84"/>
      <c r="O2050" s="84"/>
      <c r="P2050" s="84"/>
      <c r="Q2050" s="84"/>
      <c r="R2050" s="84"/>
      <c r="S2050" s="84"/>
      <c r="T2050" s="84"/>
      <c r="U2050" s="84"/>
      <c r="V2050" s="84"/>
      <c r="W2050" s="84"/>
      <c r="X2050" s="84"/>
    </row>
    <row r="2051" ht="15.75" customHeight="1">
      <c r="A2051" s="14" t="s">
        <v>17</v>
      </c>
      <c r="B2051" s="14">
        <v>2010.0</v>
      </c>
      <c r="C2051" s="14" t="s">
        <v>22199</v>
      </c>
      <c r="D2051" s="14" t="s">
        <v>22200</v>
      </c>
      <c r="E2051" s="150" t="str">
        <f t="shared" si="28"/>
        <v>http://dx.doi.org/10.1109/TVCG.2010.181</v>
      </c>
      <c r="F2051" s="14">
        <v>1421.0</v>
      </c>
      <c r="G2051" s="14">
        <v>1430.0</v>
      </c>
      <c r="H2051" s="14" t="s">
        <v>17059</v>
      </c>
      <c r="I2051" s="14" t="s">
        <v>22201</v>
      </c>
      <c r="J2051" s="130" t="s">
        <v>22202</v>
      </c>
      <c r="K2051" s="152" t="s">
        <v>860</v>
      </c>
      <c r="L2051" s="20" t="s">
        <v>22205</v>
      </c>
      <c r="M2051" s="174" t="s">
        <v>22206</v>
      </c>
      <c r="N2051" s="84"/>
      <c r="O2051" s="84"/>
      <c r="P2051" s="84"/>
      <c r="Q2051" s="84"/>
      <c r="R2051" s="84"/>
      <c r="S2051" s="84"/>
      <c r="T2051" s="84"/>
      <c r="U2051" s="84"/>
      <c r="V2051" s="84"/>
      <c r="W2051" s="84"/>
      <c r="X2051" s="84"/>
    </row>
    <row r="2052" ht="15.75" customHeight="1">
      <c r="A2052" s="14" t="s">
        <v>17</v>
      </c>
      <c r="B2052" s="14">
        <v>2010.0</v>
      </c>
      <c r="C2052" s="14" t="s">
        <v>22207</v>
      </c>
      <c r="D2052" s="14" t="s">
        <v>22208</v>
      </c>
      <c r="E2052" s="150" t="str">
        <f t="shared" si="28"/>
        <v>http://dx.doi.org/10.1109/TVCG.2010.182</v>
      </c>
      <c r="F2052" s="14">
        <v>1198.0</v>
      </c>
      <c r="G2052" s="14">
        <v>1205.0</v>
      </c>
      <c r="H2052" s="14" t="s">
        <v>17059</v>
      </c>
      <c r="I2052" s="14" t="s">
        <v>33079</v>
      </c>
      <c r="J2052" s="130" t="s">
        <v>22210</v>
      </c>
      <c r="K2052" s="152" t="s">
        <v>24845</v>
      </c>
      <c r="L2052" s="20" t="s">
        <v>22212</v>
      </c>
      <c r="M2052" s="174" t="s">
        <v>22213</v>
      </c>
      <c r="N2052" s="84"/>
      <c r="O2052" s="84"/>
      <c r="P2052" s="84"/>
      <c r="Q2052" s="84"/>
      <c r="R2052" s="84"/>
      <c r="S2052" s="84"/>
      <c r="T2052" s="84"/>
      <c r="U2052" s="84"/>
      <c r="V2052" s="84"/>
      <c r="W2052" s="84"/>
      <c r="X2052" s="84"/>
    </row>
    <row r="2053" ht="15.75" customHeight="1">
      <c r="A2053" s="14" t="s">
        <v>17</v>
      </c>
      <c r="B2053" s="14">
        <v>2010.0</v>
      </c>
      <c r="C2053" s="14" t="s">
        <v>22214</v>
      </c>
      <c r="D2053" s="14" t="s">
        <v>22215</v>
      </c>
      <c r="E2053" s="150" t="str">
        <f t="shared" si="28"/>
        <v>http://dx.doi.org/10.1109/TVCG.2010.187</v>
      </c>
      <c r="F2053" s="14">
        <v>1487.0</v>
      </c>
      <c r="G2053" s="14">
        <v>1494.0</v>
      </c>
      <c r="H2053" s="14" t="s">
        <v>17059</v>
      </c>
      <c r="I2053" s="14" t="s">
        <v>22216</v>
      </c>
      <c r="J2053" s="130" t="s">
        <v>22217</v>
      </c>
      <c r="K2053" s="152" t="s">
        <v>5349</v>
      </c>
      <c r="L2053" s="20" t="s">
        <v>22220</v>
      </c>
      <c r="M2053" s="174" t="s">
        <v>22221</v>
      </c>
      <c r="N2053" s="84"/>
      <c r="O2053" s="84"/>
      <c r="P2053" s="84"/>
      <c r="Q2053" s="84"/>
      <c r="R2053" s="84"/>
      <c r="S2053" s="84"/>
      <c r="T2053" s="84"/>
      <c r="U2053" s="84"/>
      <c r="V2053" s="84"/>
      <c r="W2053" s="84"/>
      <c r="X2053" s="84"/>
    </row>
    <row r="2054" ht="15.75" customHeight="1">
      <c r="A2054" s="14" t="s">
        <v>17</v>
      </c>
      <c r="B2054" s="14">
        <v>2010.0</v>
      </c>
      <c r="C2054" s="14" t="s">
        <v>22222</v>
      </c>
      <c r="D2054" s="14" t="s">
        <v>22223</v>
      </c>
      <c r="E2054" s="150" t="str">
        <f t="shared" si="28"/>
        <v>http://dx.doi.org/10.1109/TVCG.2010.189</v>
      </c>
      <c r="F2054" s="14">
        <v>1633.0</v>
      </c>
      <c r="G2054" s="14">
        <v>1641.0</v>
      </c>
      <c r="H2054" s="14" t="s">
        <v>17059</v>
      </c>
      <c r="I2054" s="14" t="s">
        <v>22224</v>
      </c>
      <c r="J2054" s="130" t="s">
        <v>22225</v>
      </c>
      <c r="K2054" s="152" t="s">
        <v>25188</v>
      </c>
      <c r="L2054" s="20" t="s">
        <v>22226</v>
      </c>
      <c r="M2054" s="174" t="s">
        <v>22227</v>
      </c>
      <c r="N2054" s="84"/>
      <c r="O2054" s="84"/>
      <c r="P2054" s="84"/>
      <c r="Q2054" s="84"/>
      <c r="R2054" s="84"/>
      <c r="S2054" s="84"/>
      <c r="T2054" s="84"/>
      <c r="U2054" s="84"/>
      <c r="V2054" s="84"/>
      <c r="W2054" s="84"/>
      <c r="X2054" s="84"/>
    </row>
    <row r="2055" ht="15.75" customHeight="1">
      <c r="A2055" s="14" t="s">
        <v>17</v>
      </c>
      <c r="B2055" s="14">
        <v>2010.0</v>
      </c>
      <c r="C2055" s="14" t="s">
        <v>22228</v>
      </c>
      <c r="D2055" s="14" t="s">
        <v>22229</v>
      </c>
      <c r="E2055" s="150" t="str">
        <f t="shared" si="28"/>
        <v>http://dx.doi.org/10.1109/TVCG.2010.190</v>
      </c>
      <c r="F2055" s="14">
        <v>1468.0</v>
      </c>
      <c r="G2055" s="14">
        <v>1476.0</v>
      </c>
      <c r="H2055" s="14" t="s">
        <v>17059</v>
      </c>
      <c r="I2055" s="14" t="s">
        <v>22230</v>
      </c>
      <c r="J2055" s="130" t="s">
        <v>22231</v>
      </c>
      <c r="K2055" s="152" t="s">
        <v>25206</v>
      </c>
      <c r="L2055" s="20" t="s">
        <v>22234</v>
      </c>
      <c r="M2055" s="174" t="s">
        <v>22235</v>
      </c>
      <c r="N2055" s="84"/>
      <c r="O2055" s="84"/>
      <c r="P2055" s="84"/>
      <c r="Q2055" s="84"/>
      <c r="R2055" s="84"/>
      <c r="S2055" s="84"/>
      <c r="T2055" s="84"/>
      <c r="U2055" s="84"/>
      <c r="V2055" s="84"/>
      <c r="W2055" s="84"/>
      <c r="X2055" s="84"/>
    </row>
    <row r="2056" ht="15.75" customHeight="1">
      <c r="A2056" s="14" t="s">
        <v>17</v>
      </c>
      <c r="B2056" s="14">
        <v>2010.0</v>
      </c>
      <c r="C2056" s="14" t="s">
        <v>22236</v>
      </c>
      <c r="D2056" s="14" t="s">
        <v>22237</v>
      </c>
      <c r="E2056" s="150" t="str">
        <f t="shared" si="28"/>
        <v>http://dx.doi.org/10.1109/TVCG.2010.192</v>
      </c>
      <c r="F2056" s="14">
        <v>1413.0</v>
      </c>
      <c r="G2056" s="14">
        <v>1420.0</v>
      </c>
      <c r="H2056" s="14" t="s">
        <v>17059</v>
      </c>
      <c r="I2056" s="14" t="s">
        <v>22238</v>
      </c>
      <c r="J2056" s="130" t="s">
        <v>22240</v>
      </c>
      <c r="K2056" s="152" t="s">
        <v>25242</v>
      </c>
      <c r="L2056" s="20" t="s">
        <v>22242</v>
      </c>
      <c r="M2056" s="174" t="s">
        <v>22243</v>
      </c>
      <c r="N2056" s="84"/>
      <c r="O2056" s="84"/>
      <c r="P2056" s="84"/>
      <c r="Q2056" s="84"/>
      <c r="R2056" s="84"/>
      <c r="S2056" s="84"/>
      <c r="T2056" s="84"/>
      <c r="U2056" s="84"/>
      <c r="V2056" s="84"/>
      <c r="W2056" s="84"/>
      <c r="X2056" s="84"/>
    </row>
    <row r="2057" ht="15.75" customHeight="1">
      <c r="A2057" s="14" t="s">
        <v>17</v>
      </c>
      <c r="B2057" s="14">
        <v>2010.0</v>
      </c>
      <c r="C2057" s="14" t="s">
        <v>22244</v>
      </c>
      <c r="D2057" s="14" t="s">
        <v>22245</v>
      </c>
      <c r="E2057" s="150" t="str">
        <f t="shared" si="28"/>
        <v>http://dx.doi.org/10.1109/TVCG.2010.195</v>
      </c>
      <c r="F2057" s="14">
        <v>1301.0</v>
      </c>
      <c r="G2057" s="14">
        <v>1310.0</v>
      </c>
      <c r="H2057" s="14" t="s">
        <v>17059</v>
      </c>
      <c r="I2057" s="14" t="s">
        <v>22246</v>
      </c>
      <c r="J2057" s="130" t="s">
        <v>22247</v>
      </c>
      <c r="K2057" s="152" t="s">
        <v>880</v>
      </c>
      <c r="L2057" s="20" t="s">
        <v>22250</v>
      </c>
      <c r="M2057" s="174" t="s">
        <v>22251</v>
      </c>
      <c r="N2057" s="84"/>
      <c r="O2057" s="84"/>
      <c r="P2057" s="84"/>
      <c r="Q2057" s="84"/>
      <c r="R2057" s="84"/>
      <c r="S2057" s="84"/>
      <c r="T2057" s="84"/>
      <c r="U2057" s="84"/>
      <c r="V2057" s="84"/>
      <c r="W2057" s="84"/>
      <c r="X2057" s="84"/>
    </row>
    <row r="2058" ht="15.75" customHeight="1">
      <c r="A2058" s="14" t="s">
        <v>17</v>
      </c>
      <c r="B2058" s="14">
        <v>2010.0</v>
      </c>
      <c r="C2058" s="14" t="s">
        <v>22252</v>
      </c>
      <c r="D2058" s="14" t="s">
        <v>22253</v>
      </c>
      <c r="E2058" s="150" t="str">
        <f t="shared" si="28"/>
        <v>http://dx.doi.org/10.1109/TVCG.2010.196</v>
      </c>
      <c r="F2058" s="14">
        <v>1243.0</v>
      </c>
      <c r="G2058" s="14">
        <v>1250.0</v>
      </c>
      <c r="H2058" s="14" t="s">
        <v>17059</v>
      </c>
      <c r="I2058" s="14" t="s">
        <v>22254</v>
      </c>
      <c r="J2058" s="130" t="s">
        <v>22255</v>
      </c>
      <c r="K2058" s="152" t="s">
        <v>25315</v>
      </c>
      <c r="L2058" s="20" t="s">
        <v>5858</v>
      </c>
      <c r="M2058" s="174" t="s">
        <v>22258</v>
      </c>
      <c r="N2058" s="84"/>
      <c r="O2058" s="84"/>
      <c r="P2058" s="84"/>
      <c r="Q2058" s="84"/>
      <c r="R2058" s="84"/>
      <c r="S2058" s="84"/>
      <c r="T2058" s="84"/>
      <c r="U2058" s="84"/>
      <c r="V2058" s="84"/>
      <c r="W2058" s="84"/>
      <c r="X2058" s="84"/>
    </row>
    <row r="2059" ht="15.75" customHeight="1">
      <c r="A2059" s="14" t="s">
        <v>17</v>
      </c>
      <c r="B2059" s="14">
        <v>2010.0</v>
      </c>
      <c r="C2059" s="14" t="s">
        <v>22259</v>
      </c>
      <c r="D2059" s="14" t="s">
        <v>22260</v>
      </c>
      <c r="E2059" s="150" t="str">
        <f t="shared" si="28"/>
        <v>http://dx.doi.org/10.1109/TVCG.2010.198</v>
      </c>
      <c r="F2059" s="14">
        <v>1225.0</v>
      </c>
      <c r="G2059" s="14">
        <v>1234.0</v>
      </c>
      <c r="H2059" s="14" t="s">
        <v>17059</v>
      </c>
      <c r="I2059" s="14" t="s">
        <v>22261</v>
      </c>
      <c r="J2059" s="130" t="s">
        <v>22262</v>
      </c>
      <c r="K2059" s="152" t="s">
        <v>25349</v>
      </c>
      <c r="L2059" s="20" t="s">
        <v>22264</v>
      </c>
      <c r="M2059" s="174" t="s">
        <v>22265</v>
      </c>
      <c r="N2059" s="84"/>
      <c r="O2059" s="84"/>
      <c r="P2059" s="84"/>
      <c r="Q2059" s="84"/>
      <c r="R2059" s="84"/>
      <c r="S2059" s="84"/>
      <c r="T2059" s="84"/>
      <c r="U2059" s="84"/>
      <c r="V2059" s="84"/>
      <c r="W2059" s="84"/>
      <c r="X2059" s="84"/>
    </row>
    <row r="2060" ht="15.75" customHeight="1">
      <c r="A2060" s="14" t="s">
        <v>17</v>
      </c>
      <c r="B2060" s="14">
        <v>2010.0</v>
      </c>
      <c r="C2060" s="14" t="s">
        <v>22266</v>
      </c>
      <c r="D2060" s="14" t="s">
        <v>22267</v>
      </c>
      <c r="E2060" s="150" t="str">
        <f t="shared" si="28"/>
        <v>http://dx.doi.org/10.1109/TVCG.2010.199</v>
      </c>
      <c r="F2060" s="14">
        <v>1595.0</v>
      </c>
      <c r="G2060" s="14">
        <v>1604.0</v>
      </c>
      <c r="H2060" s="14" t="s">
        <v>17059</v>
      </c>
      <c r="I2060" s="14" t="s">
        <v>22268</v>
      </c>
      <c r="J2060" s="130" t="s">
        <v>22269</v>
      </c>
      <c r="K2060" s="152" t="s">
        <v>25371</v>
      </c>
      <c r="L2060" s="20" t="s">
        <v>22272</v>
      </c>
      <c r="M2060" s="174" t="s">
        <v>22273</v>
      </c>
      <c r="N2060" s="84"/>
      <c r="O2060" s="84"/>
      <c r="P2060" s="84"/>
      <c r="Q2060" s="84"/>
      <c r="R2060" s="84"/>
      <c r="S2060" s="84"/>
      <c r="T2060" s="84"/>
      <c r="U2060" s="84"/>
      <c r="V2060" s="84"/>
      <c r="W2060" s="84"/>
      <c r="X2060" s="84"/>
    </row>
    <row r="2061" ht="15.75" customHeight="1">
      <c r="A2061" s="14" t="s">
        <v>17</v>
      </c>
      <c r="B2061" s="14">
        <v>2010.0</v>
      </c>
      <c r="C2061" s="14" t="s">
        <v>22274</v>
      </c>
      <c r="D2061" s="14" t="s">
        <v>22275</v>
      </c>
      <c r="E2061" s="150" t="str">
        <f t="shared" si="28"/>
        <v>http://dx.doi.org/10.1109/TVCG.2010.200</v>
      </c>
      <c r="F2061" s="14">
        <v>1348.0</v>
      </c>
      <c r="G2061" s="14">
        <v>1357.0</v>
      </c>
      <c r="H2061" s="14" t="s">
        <v>17059</v>
      </c>
      <c r="I2061" s="14" t="s">
        <v>22276</v>
      </c>
      <c r="J2061" s="130" t="s">
        <v>22277</v>
      </c>
      <c r="K2061" s="152" t="s">
        <v>25391</v>
      </c>
      <c r="L2061" s="20" t="s">
        <v>22280</v>
      </c>
      <c r="M2061" s="174" t="s">
        <v>22281</v>
      </c>
      <c r="N2061" s="84"/>
      <c r="O2061" s="84"/>
      <c r="P2061" s="84"/>
      <c r="Q2061" s="84"/>
      <c r="R2061" s="84"/>
      <c r="S2061" s="84"/>
      <c r="T2061" s="84"/>
      <c r="U2061" s="84"/>
      <c r="V2061" s="84"/>
      <c r="W2061" s="84"/>
      <c r="X2061" s="84"/>
    </row>
    <row r="2062" ht="15.75" customHeight="1">
      <c r="A2062" s="14" t="s">
        <v>17</v>
      </c>
      <c r="B2062" s="14">
        <v>2010.0</v>
      </c>
      <c r="C2062" s="14" t="s">
        <v>22282</v>
      </c>
      <c r="D2062" s="14" t="s">
        <v>22283</v>
      </c>
      <c r="E2062" s="150" t="str">
        <f t="shared" si="28"/>
        <v>http://dx.doi.org/10.1109/TVCG.2010.202</v>
      </c>
      <c r="F2062" s="14">
        <v>1605.0</v>
      </c>
      <c r="G2062" s="14">
        <v>1612.0</v>
      </c>
      <c r="H2062" s="14" t="s">
        <v>17059</v>
      </c>
      <c r="I2062" s="14" t="s">
        <v>22284</v>
      </c>
      <c r="J2062" s="130" t="s">
        <v>22285</v>
      </c>
      <c r="K2062" s="152" t="s">
        <v>25411</v>
      </c>
      <c r="L2062" s="20" t="s">
        <v>5110</v>
      </c>
      <c r="M2062" s="174" t="s">
        <v>22288</v>
      </c>
      <c r="N2062" s="84"/>
      <c r="O2062" s="84"/>
      <c r="P2062" s="84"/>
      <c r="Q2062" s="84"/>
      <c r="R2062" s="84"/>
      <c r="S2062" s="84"/>
      <c r="T2062" s="84"/>
      <c r="U2062" s="84"/>
      <c r="V2062" s="84"/>
      <c r="W2062" s="84"/>
      <c r="X2062" s="84"/>
    </row>
    <row r="2063" ht="15.75" customHeight="1">
      <c r="A2063" s="14" t="s">
        <v>17</v>
      </c>
      <c r="B2063" s="14">
        <v>2010.0</v>
      </c>
      <c r="C2063" s="14" t="s">
        <v>22289</v>
      </c>
      <c r="D2063" s="14" t="s">
        <v>22290</v>
      </c>
      <c r="E2063" s="150" t="str">
        <f t="shared" si="28"/>
        <v>http://dx.doi.org/10.1109/TVCG.2010.207</v>
      </c>
      <c r="F2063" s="14">
        <v>1281.0</v>
      </c>
      <c r="G2063" s="14">
        <v>1290.0</v>
      </c>
      <c r="H2063" s="14" t="s">
        <v>17059</v>
      </c>
      <c r="I2063" s="14" t="s">
        <v>22291</v>
      </c>
      <c r="J2063" s="130" t="s">
        <v>22292</v>
      </c>
      <c r="K2063" s="152" t="s">
        <v>25454</v>
      </c>
      <c r="L2063" s="20" t="s">
        <v>22295</v>
      </c>
      <c r="M2063" s="174" t="s">
        <v>22296</v>
      </c>
      <c r="N2063" s="84"/>
      <c r="O2063" s="84"/>
      <c r="P2063" s="84"/>
      <c r="Q2063" s="84"/>
      <c r="R2063" s="84"/>
      <c r="S2063" s="84"/>
      <c r="T2063" s="84"/>
      <c r="U2063" s="84"/>
      <c r="V2063" s="84"/>
      <c r="W2063" s="84"/>
      <c r="X2063" s="84"/>
    </row>
    <row r="2064" ht="15.75" customHeight="1">
      <c r="A2064" s="14" t="s">
        <v>17</v>
      </c>
      <c r="B2064" s="14">
        <v>2010.0</v>
      </c>
      <c r="C2064" s="14" t="s">
        <v>22297</v>
      </c>
      <c r="D2064" s="14" t="s">
        <v>22298</v>
      </c>
      <c r="E2064" s="150" t="str">
        <f t="shared" si="28"/>
        <v>http://dx.doi.org/10.1109/TVCG.2010.208</v>
      </c>
      <c r="F2064" s="14">
        <v>1358.0</v>
      </c>
      <c r="G2064" s="14">
        <v>1365.0</v>
      </c>
      <c r="H2064" s="14" t="s">
        <v>17059</v>
      </c>
      <c r="I2064" s="14" t="s">
        <v>22299</v>
      </c>
      <c r="J2064" s="130" t="s">
        <v>22300</v>
      </c>
      <c r="K2064" s="152" t="s">
        <v>25466</v>
      </c>
      <c r="L2064" s="20" t="s">
        <v>22303</v>
      </c>
      <c r="M2064" s="174" t="s">
        <v>22304</v>
      </c>
      <c r="N2064" s="84"/>
      <c r="O2064" s="84"/>
      <c r="P2064" s="84"/>
      <c r="Q2064" s="84"/>
      <c r="R2064" s="84"/>
      <c r="S2064" s="84"/>
      <c r="T2064" s="84"/>
      <c r="U2064" s="84"/>
      <c r="V2064" s="84"/>
      <c r="W2064" s="84"/>
      <c r="X2064" s="84"/>
    </row>
    <row r="2065" ht="15.75" customHeight="1">
      <c r="A2065" s="14" t="s">
        <v>17</v>
      </c>
      <c r="B2065" s="14">
        <v>2010.0</v>
      </c>
      <c r="C2065" s="14" t="s">
        <v>22305</v>
      </c>
      <c r="D2065" s="14" t="s">
        <v>22306</v>
      </c>
      <c r="E2065" s="150" t="str">
        <f t="shared" si="28"/>
        <v>http://dx.doi.org/10.1109/TVCG.2010.211</v>
      </c>
      <c r="F2065" s="14">
        <v>1515.0</v>
      </c>
      <c r="G2065" s="14">
        <v>1524.0</v>
      </c>
      <c r="H2065" s="14" t="s">
        <v>17059</v>
      </c>
      <c r="I2065" s="14" t="s">
        <v>22307</v>
      </c>
      <c r="J2065" s="130" t="s">
        <v>22308</v>
      </c>
      <c r="K2065" s="152" t="s">
        <v>25500</v>
      </c>
      <c r="L2065" s="20" t="s">
        <v>22310</v>
      </c>
      <c r="M2065" s="174" t="s">
        <v>22311</v>
      </c>
      <c r="N2065" s="84"/>
      <c r="O2065" s="84"/>
      <c r="P2065" s="84"/>
      <c r="Q2065" s="84"/>
      <c r="R2065" s="84"/>
      <c r="S2065" s="84"/>
      <c r="T2065" s="84"/>
      <c r="U2065" s="84"/>
      <c r="V2065" s="84"/>
      <c r="W2065" s="84"/>
      <c r="X2065" s="84"/>
    </row>
    <row r="2066" ht="15.75" customHeight="1">
      <c r="A2066" s="14" t="s">
        <v>17</v>
      </c>
      <c r="B2066" s="14">
        <v>2010.0</v>
      </c>
      <c r="C2066" s="14" t="s">
        <v>22312</v>
      </c>
      <c r="D2066" s="14" t="s">
        <v>22313</v>
      </c>
      <c r="E2066" s="150" t="str">
        <f t="shared" si="28"/>
        <v>http://dx.doi.org/10.1109/TVCG.2010.212</v>
      </c>
      <c r="F2066" s="14">
        <v>1578.0</v>
      </c>
      <c r="G2066" s="14">
        <v>1586.0</v>
      </c>
      <c r="H2066" s="14" t="s">
        <v>17059</v>
      </c>
      <c r="I2066" s="14" t="s">
        <v>22314</v>
      </c>
      <c r="J2066" s="130" t="s">
        <v>22315</v>
      </c>
      <c r="K2066" s="152" t="s">
        <v>23373</v>
      </c>
      <c r="L2066" s="20" t="s">
        <v>22318</v>
      </c>
      <c r="M2066" s="174" t="s">
        <v>22319</v>
      </c>
      <c r="N2066" s="84"/>
      <c r="O2066" s="84"/>
      <c r="P2066" s="84"/>
      <c r="Q2066" s="84"/>
      <c r="R2066" s="84"/>
      <c r="S2066" s="84"/>
      <c r="T2066" s="84"/>
      <c r="U2066" s="84"/>
      <c r="V2066" s="84"/>
      <c r="W2066" s="84"/>
      <c r="X2066" s="84"/>
    </row>
    <row r="2067" ht="15.75" customHeight="1">
      <c r="A2067" s="14" t="s">
        <v>17</v>
      </c>
      <c r="B2067" s="14">
        <v>2010.0</v>
      </c>
      <c r="C2067" s="14" t="s">
        <v>22320</v>
      </c>
      <c r="D2067" s="14" t="s">
        <v>22321</v>
      </c>
      <c r="E2067" s="150" t="str">
        <f t="shared" si="28"/>
        <v>http://dx.doi.org/10.1109/TVCG.2010.213</v>
      </c>
      <c r="F2067" s="14">
        <v>1271.0</v>
      </c>
      <c r="G2067" s="14">
        <v>1280.0</v>
      </c>
      <c r="H2067" s="14" t="s">
        <v>17059</v>
      </c>
      <c r="I2067" s="14" t="s">
        <v>22322</v>
      </c>
      <c r="J2067" s="130" t="s">
        <v>22323</v>
      </c>
      <c r="K2067" s="152" t="s">
        <v>22895</v>
      </c>
      <c r="L2067" s="20" t="s">
        <v>22326</v>
      </c>
      <c r="M2067" s="174" t="s">
        <v>22327</v>
      </c>
      <c r="N2067" s="84"/>
      <c r="O2067" s="84"/>
      <c r="P2067" s="84"/>
      <c r="Q2067" s="84"/>
      <c r="R2067" s="84"/>
      <c r="S2067" s="84"/>
      <c r="T2067" s="84"/>
      <c r="U2067" s="84"/>
      <c r="V2067" s="84"/>
      <c r="W2067" s="84"/>
      <c r="X2067" s="84"/>
    </row>
    <row r="2068" ht="15.75" customHeight="1">
      <c r="A2068" s="14" t="s">
        <v>17</v>
      </c>
      <c r="B2068" s="14">
        <v>2010.0</v>
      </c>
      <c r="C2068" s="14" t="s">
        <v>22328</v>
      </c>
      <c r="D2068" s="14" t="s">
        <v>22329</v>
      </c>
      <c r="E2068" s="150" t="str">
        <f t="shared" si="28"/>
        <v>http://dx.doi.org/10.1109/TVCG.2010.214</v>
      </c>
      <c r="F2068" s="14">
        <v>1477.0</v>
      </c>
      <c r="G2068" s="14">
        <v>1486.0</v>
      </c>
      <c r="H2068" s="14" t="s">
        <v>17059</v>
      </c>
      <c r="I2068" s="14" t="s">
        <v>22330</v>
      </c>
      <c r="J2068" s="130" t="s">
        <v>41721</v>
      </c>
      <c r="K2068" s="152" t="s">
        <v>25533</v>
      </c>
      <c r="L2068" s="20" t="s">
        <v>22334</v>
      </c>
      <c r="M2068" s="16"/>
      <c r="N2068" s="84"/>
      <c r="O2068" s="84"/>
      <c r="P2068" s="84"/>
      <c r="Q2068" s="84"/>
      <c r="R2068" s="84"/>
      <c r="S2068" s="84"/>
      <c r="T2068" s="84"/>
      <c r="U2068" s="84"/>
      <c r="V2068" s="84"/>
      <c r="W2068" s="84"/>
      <c r="X2068" s="84"/>
    </row>
    <row r="2069" ht="15.75" customHeight="1">
      <c r="A2069" s="14" t="s">
        <v>17</v>
      </c>
      <c r="B2069" s="14">
        <v>2010.0</v>
      </c>
      <c r="C2069" s="14" t="s">
        <v>22335</v>
      </c>
      <c r="D2069" s="14" t="s">
        <v>22336</v>
      </c>
      <c r="E2069" s="150" t="str">
        <f t="shared" si="28"/>
        <v>http://dx.doi.org/10.1109/TVCG.2010.215</v>
      </c>
      <c r="F2069" s="14">
        <v>1551.0</v>
      </c>
      <c r="G2069" s="14">
        <v>1559.0</v>
      </c>
      <c r="H2069" s="14" t="s">
        <v>17059</v>
      </c>
      <c r="I2069" s="14" t="s">
        <v>22337</v>
      </c>
      <c r="J2069" s="130" t="s">
        <v>22338</v>
      </c>
      <c r="K2069" s="152" t="s">
        <v>23188</v>
      </c>
      <c r="L2069" s="20" t="s">
        <v>22339</v>
      </c>
      <c r="M2069" s="174" t="s">
        <v>22340</v>
      </c>
      <c r="N2069" s="84"/>
      <c r="O2069" s="84"/>
      <c r="P2069" s="84"/>
      <c r="Q2069" s="84"/>
      <c r="R2069" s="84"/>
      <c r="S2069" s="84"/>
      <c r="T2069" s="84"/>
      <c r="U2069" s="84"/>
      <c r="V2069" s="84"/>
      <c r="W2069" s="84"/>
      <c r="X2069" s="84"/>
    </row>
    <row r="2070" ht="15.75" customHeight="1">
      <c r="A2070" s="14" t="s">
        <v>17</v>
      </c>
      <c r="B2070" s="14">
        <v>2010.0</v>
      </c>
      <c r="C2070" s="14" t="s">
        <v>22341</v>
      </c>
      <c r="D2070" s="14" t="s">
        <v>22342</v>
      </c>
      <c r="E2070" s="150" t="str">
        <f t="shared" si="28"/>
        <v>http://dx.doi.org/10.1109/TVCG.2010.218</v>
      </c>
      <c r="F2070" s="14">
        <v>1587.0</v>
      </c>
      <c r="G2070" s="14">
        <v>1594.0</v>
      </c>
      <c r="H2070" s="14" t="s">
        <v>17059</v>
      </c>
      <c r="I2070" s="14" t="s">
        <v>22343</v>
      </c>
      <c r="J2070" s="130" t="s">
        <v>22344</v>
      </c>
      <c r="K2070" s="152" t="s">
        <v>25582</v>
      </c>
      <c r="L2070" s="20" t="s">
        <v>22345</v>
      </c>
      <c r="M2070" s="174" t="s">
        <v>22346</v>
      </c>
      <c r="N2070" s="84"/>
      <c r="O2070" s="84"/>
      <c r="P2070" s="84"/>
      <c r="Q2070" s="84"/>
      <c r="R2070" s="84"/>
      <c r="S2070" s="84"/>
      <c r="T2070" s="84"/>
      <c r="U2070" s="84"/>
      <c r="V2070" s="84"/>
      <c r="W2070" s="84"/>
      <c r="X2070" s="84"/>
    </row>
    <row r="2071" ht="15.75" customHeight="1">
      <c r="A2071" s="14" t="s">
        <v>17</v>
      </c>
      <c r="B2071" s="14">
        <v>2010.0</v>
      </c>
      <c r="C2071" s="14" t="s">
        <v>22347</v>
      </c>
      <c r="D2071" s="14" t="s">
        <v>22348</v>
      </c>
      <c r="E2071" s="150" t="str">
        <f t="shared" si="28"/>
        <v>http://dx.doi.org/10.1109/TVCG.2010.221</v>
      </c>
      <c r="F2071" s="14">
        <v>1405.0</v>
      </c>
      <c r="G2071" s="14">
        <v>1412.0</v>
      </c>
      <c r="H2071" s="14" t="s">
        <v>17059</v>
      </c>
      <c r="I2071" s="14" t="s">
        <v>22349</v>
      </c>
      <c r="J2071" s="130" t="s">
        <v>22350</v>
      </c>
      <c r="K2071" s="152" t="s">
        <v>25594</v>
      </c>
      <c r="L2071" s="20" t="s">
        <v>22353</v>
      </c>
      <c r="M2071" s="174" t="s">
        <v>22354</v>
      </c>
      <c r="N2071" s="84"/>
      <c r="O2071" s="84"/>
      <c r="P2071" s="84"/>
      <c r="Q2071" s="84"/>
      <c r="R2071" s="84"/>
      <c r="S2071" s="84"/>
      <c r="T2071" s="84"/>
      <c r="U2071" s="84"/>
      <c r="V2071" s="84"/>
      <c r="W2071" s="84"/>
      <c r="X2071" s="84"/>
    </row>
    <row r="2072" ht="15.75" customHeight="1">
      <c r="A2072" s="14" t="s">
        <v>17</v>
      </c>
      <c r="B2072" s="14">
        <v>2010.0</v>
      </c>
      <c r="C2072" s="14" t="s">
        <v>22355</v>
      </c>
      <c r="D2072" s="14" t="s">
        <v>22356</v>
      </c>
      <c r="E2072" s="150" t="str">
        <f t="shared" si="28"/>
        <v>http://dx.doi.org/10.1109/TVCG.2010.223</v>
      </c>
      <c r="F2072" s="14">
        <v>1458.0</v>
      </c>
      <c r="G2072" s="14">
        <v>1467.0</v>
      </c>
      <c r="H2072" s="14" t="s">
        <v>17059</v>
      </c>
      <c r="I2072" s="14" t="s">
        <v>22357</v>
      </c>
      <c r="J2072" s="130" t="s">
        <v>41722</v>
      </c>
      <c r="K2072" s="152" t="s">
        <v>25651</v>
      </c>
      <c r="L2072" s="20" t="s">
        <v>22361</v>
      </c>
      <c r="M2072" s="174" t="s">
        <v>22362</v>
      </c>
      <c r="N2072" s="84"/>
      <c r="O2072" s="84"/>
      <c r="P2072" s="84"/>
      <c r="Q2072" s="84"/>
      <c r="R2072" s="84"/>
      <c r="S2072" s="84"/>
      <c r="T2072" s="84"/>
      <c r="U2072" s="84"/>
      <c r="V2072" s="84"/>
      <c r="W2072" s="84"/>
      <c r="X2072" s="84"/>
    </row>
    <row r="2073" ht="15.75" customHeight="1">
      <c r="A2073" s="14" t="s">
        <v>2137</v>
      </c>
      <c r="B2073" s="14">
        <v>2011.0</v>
      </c>
      <c r="C2073" s="14" t="s">
        <v>22364</v>
      </c>
      <c r="D2073" s="14" t="s">
        <v>22365</v>
      </c>
      <c r="E2073" s="150" t="str">
        <f t="shared" si="28"/>
        <v>http://dx.doi.org/10.1109/TVCG.2011.160</v>
      </c>
      <c r="F2073" s="14">
        <v>2469.0</v>
      </c>
      <c r="G2073" s="14">
        <v>2478.0</v>
      </c>
      <c r="H2073" s="14" t="s">
        <v>17059</v>
      </c>
      <c r="I2073" s="14" t="s">
        <v>22366</v>
      </c>
      <c r="J2073" s="130" t="s">
        <v>22367</v>
      </c>
      <c r="K2073" s="152" t="s">
        <v>25740</v>
      </c>
      <c r="L2073" s="20" t="s">
        <v>22369</v>
      </c>
      <c r="M2073" s="174" t="s">
        <v>22370</v>
      </c>
      <c r="N2073" s="84"/>
      <c r="O2073" s="84"/>
      <c r="P2073" s="84"/>
      <c r="Q2073" s="84"/>
      <c r="R2073" s="84"/>
      <c r="S2073" s="84"/>
      <c r="T2073" s="84"/>
      <c r="U2073" s="84"/>
      <c r="V2073" s="84"/>
      <c r="W2073" s="84"/>
      <c r="X2073" s="84"/>
    </row>
    <row r="2074" ht="15.75" customHeight="1">
      <c r="A2074" s="14" t="s">
        <v>2137</v>
      </c>
      <c r="B2074" s="14">
        <v>2011.0</v>
      </c>
      <c r="C2074" s="14" t="s">
        <v>22371</v>
      </c>
      <c r="D2074" s="14" t="s">
        <v>22372</v>
      </c>
      <c r="E2074" s="150" t="str">
        <f t="shared" si="28"/>
        <v>http://dx.doi.org/10.1109/TVCG.2011.163</v>
      </c>
      <c r="F2074" s="14">
        <v>2241.0</v>
      </c>
      <c r="G2074" s="14">
        <v>2248.0</v>
      </c>
      <c r="H2074" s="14" t="s">
        <v>17059</v>
      </c>
      <c r="I2074" s="14" t="s">
        <v>22373</v>
      </c>
      <c r="J2074" s="130" t="s">
        <v>21465</v>
      </c>
      <c r="K2074" s="152" t="s">
        <v>178</v>
      </c>
      <c r="L2074" s="20" t="s">
        <v>22375</v>
      </c>
      <c r="M2074" s="174" t="s">
        <v>22376</v>
      </c>
      <c r="N2074" s="84"/>
      <c r="O2074" s="84"/>
      <c r="P2074" s="84"/>
      <c r="Q2074" s="84"/>
      <c r="R2074" s="84"/>
      <c r="S2074" s="84"/>
      <c r="T2074" s="84"/>
      <c r="U2074" s="84"/>
      <c r="V2074" s="84"/>
      <c r="W2074" s="84"/>
      <c r="X2074" s="84"/>
    </row>
    <row r="2075" ht="15.75" customHeight="1">
      <c r="A2075" s="14" t="s">
        <v>2137</v>
      </c>
      <c r="B2075" s="14">
        <v>2011.0</v>
      </c>
      <c r="C2075" s="14" t="s">
        <v>22377</v>
      </c>
      <c r="D2075" s="14" t="s">
        <v>22378</v>
      </c>
      <c r="E2075" s="150" t="str">
        <f t="shared" si="28"/>
        <v>http://dx.doi.org/10.1109/TVCG.2011.166</v>
      </c>
      <c r="F2075" s="14">
        <v>2572.0</v>
      </c>
      <c r="G2075" s="14">
        <v>2580.0</v>
      </c>
      <c r="H2075" s="14" t="s">
        <v>17059</v>
      </c>
      <c r="I2075" s="14" t="s">
        <v>22379</v>
      </c>
      <c r="J2075" s="130" t="s">
        <v>22380</v>
      </c>
      <c r="K2075" s="152" t="s">
        <v>25751</v>
      </c>
      <c r="L2075" s="20" t="s">
        <v>22383</v>
      </c>
      <c r="M2075" s="174" t="s">
        <v>22384</v>
      </c>
      <c r="N2075" s="84"/>
      <c r="O2075" s="84"/>
      <c r="P2075" s="84"/>
      <c r="Q2075" s="84"/>
      <c r="R2075" s="84"/>
      <c r="S2075" s="84"/>
      <c r="T2075" s="84"/>
      <c r="U2075" s="84"/>
      <c r="V2075" s="84"/>
      <c r="W2075" s="84"/>
      <c r="X2075" s="84"/>
    </row>
    <row r="2076" ht="15.75" customHeight="1">
      <c r="A2076" s="14" t="s">
        <v>2137</v>
      </c>
      <c r="B2076" s="14">
        <v>2011.0</v>
      </c>
      <c r="C2076" s="14" t="s">
        <v>22385</v>
      </c>
      <c r="D2076" s="14" t="s">
        <v>22386</v>
      </c>
      <c r="E2076" s="150" t="str">
        <f t="shared" si="28"/>
        <v>http://dx.doi.org/10.1109/TVCG.2011.167</v>
      </c>
      <c r="F2076" s="14">
        <v>2276.0</v>
      </c>
      <c r="G2076" s="14">
        <v>2282.0</v>
      </c>
      <c r="H2076" s="14" t="s">
        <v>17059</v>
      </c>
      <c r="I2076" s="14" t="s">
        <v>22387</v>
      </c>
      <c r="J2076" s="54" t="s">
        <v>22388</v>
      </c>
      <c r="K2076" s="152" t="s">
        <v>494</v>
      </c>
      <c r="L2076" s="20" t="s">
        <v>17295</v>
      </c>
      <c r="M2076" s="174" t="s">
        <v>22389</v>
      </c>
      <c r="N2076" s="84"/>
      <c r="O2076" s="84"/>
      <c r="P2076" s="84"/>
      <c r="Q2076" s="84"/>
      <c r="R2076" s="84"/>
      <c r="S2076" s="84"/>
      <c r="T2076" s="84"/>
      <c r="U2076" s="84"/>
      <c r="V2076" s="84"/>
      <c r="W2076" s="84"/>
      <c r="X2076" s="84"/>
    </row>
    <row r="2077" ht="15.75" customHeight="1">
      <c r="A2077" s="14" t="s">
        <v>2137</v>
      </c>
      <c r="B2077" s="14">
        <v>2011.0</v>
      </c>
      <c r="C2077" s="14" t="s">
        <v>22390</v>
      </c>
      <c r="D2077" s="14" t="s">
        <v>22391</v>
      </c>
      <c r="E2077" s="150" t="str">
        <f t="shared" si="28"/>
        <v>http://dx.doi.org/10.1109/TVCG.2011.169</v>
      </c>
      <c r="F2077" s="14">
        <v>2283.0</v>
      </c>
      <c r="G2077" s="14">
        <v>2290.0</v>
      </c>
      <c r="H2077" s="14" t="s">
        <v>17059</v>
      </c>
      <c r="I2077" s="14" t="s">
        <v>22392</v>
      </c>
      <c r="J2077" s="130" t="s">
        <v>22393</v>
      </c>
      <c r="K2077" s="152" t="s">
        <v>25756</v>
      </c>
      <c r="L2077" s="20" t="s">
        <v>22395</v>
      </c>
      <c r="M2077" s="174" t="s">
        <v>22396</v>
      </c>
      <c r="N2077" s="84"/>
      <c r="O2077" s="84"/>
      <c r="P2077" s="84"/>
      <c r="Q2077" s="84"/>
      <c r="R2077" s="84"/>
      <c r="S2077" s="84"/>
      <c r="T2077" s="84"/>
      <c r="U2077" s="84"/>
      <c r="V2077" s="84"/>
      <c r="W2077" s="84"/>
      <c r="X2077" s="84"/>
    </row>
    <row r="2078" ht="15.75" customHeight="1">
      <c r="A2078" s="14" t="s">
        <v>2137</v>
      </c>
      <c r="B2078" s="14">
        <v>2011.0</v>
      </c>
      <c r="C2078" s="14" t="s">
        <v>22397</v>
      </c>
      <c r="D2078" s="14" t="s">
        <v>22398</v>
      </c>
      <c r="E2078" s="150" t="str">
        <f t="shared" si="28"/>
        <v>http://dx.doi.org/10.1109/TVCG.2011.174</v>
      </c>
      <c r="F2078" s="14">
        <v>2384.0</v>
      </c>
      <c r="G2078" s="14">
        <v>2391.0</v>
      </c>
      <c r="H2078" s="14" t="s">
        <v>17059</v>
      </c>
      <c r="I2078" s="14" t="s">
        <v>22399</v>
      </c>
      <c r="J2078" s="130" t="s">
        <v>22400</v>
      </c>
      <c r="K2078" s="152" t="s">
        <v>5349</v>
      </c>
      <c r="L2078" s="20" t="s">
        <v>22402</v>
      </c>
      <c r="M2078" s="174" t="s">
        <v>22403</v>
      </c>
      <c r="N2078" s="84"/>
      <c r="O2078" s="84"/>
      <c r="P2078" s="84"/>
      <c r="Q2078" s="84"/>
      <c r="R2078" s="84"/>
      <c r="S2078" s="84"/>
      <c r="T2078" s="84"/>
      <c r="U2078" s="84"/>
      <c r="V2078" s="84"/>
      <c r="W2078" s="84"/>
      <c r="X2078" s="84"/>
    </row>
    <row r="2079" ht="15.75" customHeight="1">
      <c r="A2079" s="14" t="s">
        <v>2137</v>
      </c>
      <c r="B2079" s="14">
        <v>2011.0</v>
      </c>
      <c r="C2079" s="14" t="s">
        <v>22404</v>
      </c>
      <c r="D2079" s="14" t="s">
        <v>22405</v>
      </c>
      <c r="E2079" s="150" t="str">
        <f t="shared" si="28"/>
        <v>http://dx.doi.org/10.1109/TVCG.2011.175</v>
      </c>
      <c r="F2079" s="14">
        <v>2213.0</v>
      </c>
      <c r="G2079" s="14">
        <v>2222.0</v>
      </c>
      <c r="H2079" s="14" t="s">
        <v>17059</v>
      </c>
      <c r="I2079" s="14" t="s">
        <v>22406</v>
      </c>
      <c r="J2079" s="130" t="s">
        <v>22407</v>
      </c>
      <c r="K2079" s="152" t="s">
        <v>494</v>
      </c>
      <c r="L2079" s="20" t="s">
        <v>22409</v>
      </c>
      <c r="M2079" s="174" t="s">
        <v>22410</v>
      </c>
      <c r="N2079" s="84"/>
      <c r="O2079" s="84"/>
      <c r="P2079" s="84"/>
      <c r="Q2079" s="84"/>
      <c r="R2079" s="84"/>
      <c r="S2079" s="84"/>
      <c r="T2079" s="84"/>
      <c r="U2079" s="84"/>
      <c r="V2079" s="84"/>
      <c r="W2079" s="84"/>
      <c r="X2079" s="84"/>
    </row>
    <row r="2080" ht="15.75" customHeight="1">
      <c r="A2080" s="14" t="s">
        <v>2137</v>
      </c>
      <c r="B2080" s="14">
        <v>2011.0</v>
      </c>
      <c r="C2080" s="14" t="s">
        <v>22411</v>
      </c>
      <c r="D2080" s="14" t="s">
        <v>22412</v>
      </c>
      <c r="E2080" s="150" t="str">
        <f t="shared" si="28"/>
        <v>http://dx.doi.org/10.1109/TVCG.2011.176</v>
      </c>
      <c r="F2080" s="14">
        <v>2374.0</v>
      </c>
      <c r="G2080" s="14">
        <v>2383.0</v>
      </c>
      <c r="H2080" s="14" t="s">
        <v>17059</v>
      </c>
      <c r="I2080" s="14" t="s">
        <v>25765</v>
      </c>
      <c r="J2080" s="130" t="s">
        <v>22414</v>
      </c>
      <c r="K2080" s="152" t="s">
        <v>1253</v>
      </c>
      <c r="L2080" s="20" t="s">
        <v>22417</v>
      </c>
      <c r="M2080" s="174" t="s">
        <v>22418</v>
      </c>
      <c r="N2080" s="84"/>
      <c r="O2080" s="84"/>
      <c r="P2080" s="84"/>
      <c r="Q2080" s="84"/>
      <c r="R2080" s="84"/>
      <c r="S2080" s="84"/>
      <c r="T2080" s="84"/>
      <c r="U2080" s="84"/>
      <c r="V2080" s="84"/>
      <c r="W2080" s="84"/>
      <c r="X2080" s="84"/>
    </row>
    <row r="2081" ht="15.75" customHeight="1">
      <c r="A2081" s="14" t="s">
        <v>2137</v>
      </c>
      <c r="B2081" s="14">
        <v>2011.0</v>
      </c>
      <c r="C2081" s="14" t="s">
        <v>22419</v>
      </c>
      <c r="D2081" s="14" t="s">
        <v>22420</v>
      </c>
      <c r="E2081" s="150" t="str">
        <f t="shared" si="28"/>
        <v>http://dx.doi.org/10.1109/TVCG.2011.178</v>
      </c>
      <c r="F2081" s="14">
        <v>2591.0</v>
      </c>
      <c r="G2081" s="14">
        <v>2599.0</v>
      </c>
      <c r="H2081" s="14" t="s">
        <v>17059</v>
      </c>
      <c r="I2081" s="14" t="s">
        <v>22421</v>
      </c>
      <c r="J2081" s="130" t="s">
        <v>22422</v>
      </c>
      <c r="K2081" s="152" t="s">
        <v>25770</v>
      </c>
      <c r="L2081" s="20" t="s">
        <v>22424</v>
      </c>
      <c r="M2081" s="174" t="s">
        <v>22425</v>
      </c>
      <c r="N2081" s="84"/>
      <c r="O2081" s="84"/>
      <c r="P2081" s="84"/>
      <c r="Q2081" s="84"/>
      <c r="R2081" s="84"/>
      <c r="S2081" s="84"/>
      <c r="T2081" s="84"/>
      <c r="U2081" s="84"/>
      <c r="V2081" s="84"/>
      <c r="W2081" s="84"/>
      <c r="X2081" s="84"/>
    </row>
    <row r="2082" ht="15.75" customHeight="1">
      <c r="A2082" s="14" t="s">
        <v>2137</v>
      </c>
      <c r="B2082" s="14">
        <v>2011.0</v>
      </c>
      <c r="C2082" s="14" t="s">
        <v>22426</v>
      </c>
      <c r="D2082" s="14" t="s">
        <v>22427</v>
      </c>
      <c r="E2082" s="150" t="str">
        <f t="shared" si="28"/>
        <v>http://dx.doi.org/10.1109/TVCG.2011.179</v>
      </c>
      <c r="F2082" s="14">
        <v>2432.0</v>
      </c>
      <c r="G2082" s="14">
        <v>2439.0</v>
      </c>
      <c r="H2082" s="14" t="s">
        <v>17059</v>
      </c>
      <c r="I2082" s="14" t="s">
        <v>22428</v>
      </c>
      <c r="J2082" s="130" t="s">
        <v>22429</v>
      </c>
      <c r="K2082" s="152" t="s">
        <v>25772</v>
      </c>
      <c r="L2082" s="20" t="s">
        <v>22431</v>
      </c>
      <c r="M2082" s="174" t="s">
        <v>22432</v>
      </c>
      <c r="N2082" s="84"/>
      <c r="O2082" s="84"/>
      <c r="P2082" s="84"/>
      <c r="Q2082" s="84"/>
      <c r="R2082" s="84"/>
      <c r="S2082" s="84"/>
      <c r="T2082" s="84"/>
      <c r="U2082" s="84"/>
      <c r="V2082" s="84"/>
      <c r="W2082" s="84"/>
      <c r="X2082" s="84"/>
    </row>
    <row r="2083" ht="15.75" customHeight="1">
      <c r="A2083" s="14" t="s">
        <v>2137</v>
      </c>
      <c r="B2083" s="14">
        <v>2011.0</v>
      </c>
      <c r="C2083" s="14" t="s">
        <v>22433</v>
      </c>
      <c r="D2083" s="14" t="s">
        <v>22434</v>
      </c>
      <c r="E2083" s="150" t="str">
        <f t="shared" si="28"/>
        <v>http://dx.doi.org/10.1109/TVCG.2011.181</v>
      </c>
      <c r="F2083" s="14">
        <v>2518.0</v>
      </c>
      <c r="G2083" s="14">
        <v>2527.0</v>
      </c>
      <c r="H2083" s="14" t="s">
        <v>17059</v>
      </c>
      <c r="I2083" s="14" t="s">
        <v>22435</v>
      </c>
      <c r="J2083" s="130" t="s">
        <v>22436</v>
      </c>
      <c r="K2083" s="152" t="s">
        <v>25774</v>
      </c>
      <c r="L2083" s="20" t="s">
        <v>22439</v>
      </c>
      <c r="M2083" s="174" t="s">
        <v>22440</v>
      </c>
      <c r="N2083" s="84"/>
      <c r="O2083" s="84"/>
      <c r="P2083" s="84"/>
      <c r="Q2083" s="84"/>
      <c r="R2083" s="84"/>
      <c r="S2083" s="84"/>
      <c r="T2083" s="84"/>
      <c r="U2083" s="84"/>
      <c r="V2083" s="84"/>
      <c r="W2083" s="84"/>
      <c r="X2083" s="84"/>
    </row>
    <row r="2084" ht="15.75" customHeight="1">
      <c r="A2084" s="14" t="s">
        <v>2137</v>
      </c>
      <c r="B2084" s="14">
        <v>2011.0</v>
      </c>
      <c r="C2084" s="14" t="s">
        <v>22441</v>
      </c>
      <c r="D2084" s="14" t="s">
        <v>22442</v>
      </c>
      <c r="E2084" s="150" t="str">
        <f t="shared" si="28"/>
        <v>http://dx.doi.org/10.1109/TVCG.2011.183</v>
      </c>
      <c r="F2084" s="14">
        <v>2249.0</v>
      </c>
      <c r="G2084" s="14">
        <v>2258.0</v>
      </c>
      <c r="H2084" s="14" t="s">
        <v>17059</v>
      </c>
      <c r="I2084" s="14" t="s">
        <v>22443</v>
      </c>
      <c r="J2084" s="130" t="s">
        <v>22444</v>
      </c>
      <c r="K2084" s="152" t="s">
        <v>880</v>
      </c>
      <c r="L2084" s="20" t="s">
        <v>22446</v>
      </c>
      <c r="M2084" s="174" t="s">
        <v>22447</v>
      </c>
      <c r="N2084" s="84"/>
      <c r="O2084" s="84"/>
      <c r="P2084" s="84"/>
      <c r="Q2084" s="84"/>
      <c r="R2084" s="84"/>
      <c r="S2084" s="84"/>
      <c r="T2084" s="84"/>
      <c r="U2084" s="84"/>
      <c r="V2084" s="84"/>
      <c r="W2084" s="84"/>
      <c r="X2084" s="84"/>
    </row>
    <row r="2085" ht="15.75" customHeight="1">
      <c r="A2085" s="14" t="s">
        <v>2137</v>
      </c>
      <c r="B2085" s="14">
        <v>2011.0</v>
      </c>
      <c r="C2085" s="42" t="s">
        <v>25800</v>
      </c>
      <c r="D2085" s="14" t="s">
        <v>22449</v>
      </c>
      <c r="E2085" s="150" t="str">
        <f t="shared" si="28"/>
        <v>http://dx.doi.org/10.1109/TVCG.2011.185</v>
      </c>
      <c r="F2085" s="14">
        <v>2301.0</v>
      </c>
      <c r="G2085" s="14">
        <v>2309.0</v>
      </c>
      <c r="H2085" s="14" t="s">
        <v>17059</v>
      </c>
      <c r="I2085" s="14" t="s">
        <v>22450</v>
      </c>
      <c r="J2085" s="130" t="s">
        <v>22451</v>
      </c>
      <c r="K2085" s="152" t="s">
        <v>25807</v>
      </c>
      <c r="L2085" s="20" t="s">
        <v>22452</v>
      </c>
      <c r="M2085" s="174" t="s">
        <v>20228</v>
      </c>
      <c r="N2085" s="84"/>
      <c r="O2085" s="84"/>
      <c r="P2085" s="84"/>
      <c r="Q2085" s="84"/>
      <c r="R2085" s="84"/>
      <c r="S2085" s="84"/>
      <c r="T2085" s="84"/>
      <c r="U2085" s="84"/>
      <c r="V2085" s="84"/>
      <c r="W2085" s="84"/>
      <c r="X2085" s="84"/>
    </row>
    <row r="2086" ht="15.75" customHeight="1">
      <c r="A2086" s="14" t="s">
        <v>2137</v>
      </c>
      <c r="B2086" s="14">
        <v>2011.0</v>
      </c>
      <c r="C2086" s="14" t="s">
        <v>22453</v>
      </c>
      <c r="D2086" s="14" t="s">
        <v>22454</v>
      </c>
      <c r="E2086" s="150" t="str">
        <f t="shared" si="28"/>
        <v>http://dx.doi.org/10.1109/TVCG.2011.186</v>
      </c>
      <c r="F2086" s="14">
        <v>2259.0</v>
      </c>
      <c r="G2086" s="14">
        <v>2267.0</v>
      </c>
      <c r="H2086" s="14" t="s">
        <v>17059</v>
      </c>
      <c r="I2086" s="14" t="s">
        <v>22455</v>
      </c>
      <c r="J2086" s="130" t="s">
        <v>22456</v>
      </c>
      <c r="K2086" s="152" t="s">
        <v>5349</v>
      </c>
      <c r="L2086" s="20" t="s">
        <v>22459</v>
      </c>
      <c r="M2086" s="222" t="s">
        <v>31076</v>
      </c>
      <c r="N2086" s="84"/>
      <c r="O2086" s="84"/>
      <c r="P2086" s="84"/>
      <c r="Q2086" s="84"/>
      <c r="R2086" s="84"/>
      <c r="S2086" s="84"/>
      <c r="T2086" s="84"/>
      <c r="U2086" s="84"/>
      <c r="V2086" s="84"/>
      <c r="W2086" s="84"/>
      <c r="X2086" s="84"/>
    </row>
    <row r="2087" ht="15.75" customHeight="1">
      <c r="A2087" s="14" t="s">
        <v>2137</v>
      </c>
      <c r="B2087" s="14">
        <v>2011.0</v>
      </c>
      <c r="C2087" s="14" t="s">
        <v>22461</v>
      </c>
      <c r="D2087" s="14" t="s">
        <v>22462</v>
      </c>
      <c r="E2087" s="150" t="str">
        <f t="shared" si="28"/>
        <v>http://dx.doi.org/10.1109/TVCG.2011.187</v>
      </c>
      <c r="F2087" s="14">
        <v>2268.0</v>
      </c>
      <c r="G2087" s="14">
        <v>2275.0</v>
      </c>
      <c r="H2087" s="14" t="s">
        <v>17059</v>
      </c>
      <c r="I2087" s="14" t="s">
        <v>22463</v>
      </c>
      <c r="J2087" s="130" t="s">
        <v>22464</v>
      </c>
      <c r="K2087" s="152" t="s">
        <v>178</v>
      </c>
      <c r="L2087" s="20" t="s">
        <v>22466</v>
      </c>
      <c r="M2087" s="174" t="s">
        <v>22467</v>
      </c>
      <c r="N2087" s="84"/>
      <c r="O2087" s="84"/>
      <c r="P2087" s="84"/>
      <c r="Q2087" s="84"/>
      <c r="R2087" s="84"/>
      <c r="S2087" s="84"/>
      <c r="T2087" s="84"/>
      <c r="U2087" s="84"/>
      <c r="V2087" s="84"/>
      <c r="W2087" s="84"/>
      <c r="X2087" s="84"/>
    </row>
    <row r="2088" ht="15.75" customHeight="1">
      <c r="A2088" s="14" t="s">
        <v>2137</v>
      </c>
      <c r="B2088" s="14">
        <v>2011.0</v>
      </c>
      <c r="C2088" s="14" t="s">
        <v>22468</v>
      </c>
      <c r="D2088" s="14" t="s">
        <v>22469</v>
      </c>
      <c r="E2088" s="150" t="str">
        <f t="shared" si="28"/>
        <v>http://dx.doi.org/10.1109/TVCG.2011.188</v>
      </c>
      <c r="F2088" s="14">
        <v>2581.0</v>
      </c>
      <c r="G2088" s="14">
        <v>2590.0</v>
      </c>
      <c r="H2088" s="14" t="s">
        <v>17059</v>
      </c>
      <c r="I2088" s="14" t="s">
        <v>22470</v>
      </c>
      <c r="J2088" s="130" t="s">
        <v>22471</v>
      </c>
      <c r="K2088" s="152" t="s">
        <v>25839</v>
      </c>
      <c r="L2088" s="20" t="s">
        <v>22473</v>
      </c>
      <c r="M2088" s="174" t="s">
        <v>22474</v>
      </c>
      <c r="N2088" s="84"/>
      <c r="O2088" s="84"/>
      <c r="P2088" s="84"/>
      <c r="Q2088" s="84"/>
      <c r="R2088" s="84"/>
      <c r="S2088" s="84"/>
      <c r="T2088" s="84"/>
      <c r="U2088" s="84"/>
      <c r="V2088" s="84"/>
      <c r="W2088" s="84"/>
      <c r="X2088" s="84"/>
    </row>
    <row r="2089" ht="15.75" customHeight="1">
      <c r="A2089" s="14" t="s">
        <v>2137</v>
      </c>
      <c r="B2089" s="14">
        <v>2011.0</v>
      </c>
      <c r="C2089" s="14" t="s">
        <v>22475</v>
      </c>
      <c r="D2089" s="14" t="s">
        <v>22476</v>
      </c>
      <c r="E2089" s="150" t="str">
        <f t="shared" si="28"/>
        <v>http://dx.doi.org/10.1109/TVCG.2011.190</v>
      </c>
      <c r="F2089" s="14">
        <v>2354.0</v>
      </c>
      <c r="G2089" s="14">
        <v>2363.0</v>
      </c>
      <c r="H2089" s="14" t="s">
        <v>17059</v>
      </c>
      <c r="I2089" s="14" t="s">
        <v>25861</v>
      </c>
      <c r="J2089" s="130" t="s">
        <v>22478</v>
      </c>
      <c r="K2089" s="152" t="s">
        <v>25807</v>
      </c>
      <c r="L2089" s="20" t="s">
        <v>22479</v>
      </c>
      <c r="M2089" s="174" t="s">
        <v>22480</v>
      </c>
      <c r="N2089" s="84"/>
      <c r="O2089" s="84"/>
      <c r="P2089" s="84"/>
      <c r="Q2089" s="84"/>
      <c r="R2089" s="84"/>
      <c r="S2089" s="84"/>
      <c r="T2089" s="84"/>
      <c r="U2089" s="84"/>
      <c r="V2089" s="84"/>
      <c r="W2089" s="84"/>
      <c r="X2089" s="84"/>
    </row>
    <row r="2090" ht="15.75" customHeight="1">
      <c r="A2090" s="14" t="s">
        <v>2137</v>
      </c>
      <c r="B2090" s="14">
        <v>2011.0</v>
      </c>
      <c r="C2090" s="14" t="s">
        <v>22481</v>
      </c>
      <c r="D2090" s="14" t="s">
        <v>22482</v>
      </c>
      <c r="E2090" s="150" t="str">
        <f t="shared" si="28"/>
        <v>http://dx.doi.org/10.1109/TVCG.2011.191</v>
      </c>
      <c r="F2090" s="14">
        <v>2555.0</v>
      </c>
      <c r="G2090" s="14">
        <v>2562.0</v>
      </c>
      <c r="H2090" s="14" t="s">
        <v>17059</v>
      </c>
      <c r="I2090" s="14" t="s">
        <v>22483</v>
      </c>
      <c r="J2090" s="130" t="s">
        <v>22484</v>
      </c>
      <c r="K2090" s="152" t="s">
        <v>31095</v>
      </c>
      <c r="L2090" s="20" t="s">
        <v>22486</v>
      </c>
      <c r="M2090" s="174" t="s">
        <v>22487</v>
      </c>
      <c r="N2090" s="84"/>
      <c r="O2090" s="84"/>
      <c r="P2090" s="84"/>
      <c r="Q2090" s="84"/>
      <c r="R2090" s="84"/>
      <c r="S2090" s="84"/>
      <c r="T2090" s="84"/>
      <c r="U2090" s="84"/>
      <c r="V2090" s="84"/>
      <c r="W2090" s="84"/>
      <c r="X2090" s="84"/>
    </row>
    <row r="2091" ht="15.75" customHeight="1">
      <c r="A2091" s="14" t="s">
        <v>2137</v>
      </c>
      <c r="B2091" s="14">
        <v>2011.0</v>
      </c>
      <c r="C2091" s="14" t="s">
        <v>22488</v>
      </c>
      <c r="D2091" s="14" t="s">
        <v>22489</v>
      </c>
      <c r="E2091" s="150" t="str">
        <f t="shared" si="28"/>
        <v>http://dx.doi.org/10.1109/TVCG.2011.192</v>
      </c>
      <c r="F2091" s="14">
        <v>2479.0</v>
      </c>
      <c r="G2091" s="14">
        <v>2488.0</v>
      </c>
      <c r="H2091" s="14" t="s">
        <v>17059</v>
      </c>
      <c r="I2091" s="14" t="s">
        <v>22490</v>
      </c>
      <c r="J2091" s="130" t="s">
        <v>41723</v>
      </c>
      <c r="K2091" s="152" t="s">
        <v>23953</v>
      </c>
      <c r="L2091" s="20" t="s">
        <v>22494</v>
      </c>
      <c r="M2091" s="174" t="s">
        <v>22495</v>
      </c>
      <c r="N2091" s="84"/>
      <c r="O2091" s="84"/>
      <c r="P2091" s="84"/>
      <c r="Q2091" s="84"/>
      <c r="R2091" s="84"/>
      <c r="S2091" s="84"/>
      <c r="T2091" s="84"/>
      <c r="U2091" s="84"/>
      <c r="V2091" s="84"/>
      <c r="W2091" s="84"/>
      <c r="X2091" s="84"/>
    </row>
    <row r="2092" ht="15.75" customHeight="1">
      <c r="A2092" s="14" t="s">
        <v>2137</v>
      </c>
      <c r="B2092" s="14">
        <v>2011.0</v>
      </c>
      <c r="C2092" s="14" t="s">
        <v>22496</v>
      </c>
      <c r="D2092" s="14" t="s">
        <v>22497</v>
      </c>
      <c r="E2092" s="150" t="str">
        <f t="shared" si="28"/>
        <v>http://dx.doi.org/10.1109/TVCG.2011.193</v>
      </c>
      <c r="F2092" s="14">
        <v>2440.0</v>
      </c>
      <c r="G2092" s="14">
        <v>2448.0</v>
      </c>
      <c r="H2092" s="14" t="s">
        <v>17059</v>
      </c>
      <c r="I2092" s="14" t="s">
        <v>22498</v>
      </c>
      <c r="J2092" s="130" t="s">
        <v>22499</v>
      </c>
      <c r="K2092" s="152" t="s">
        <v>25888</v>
      </c>
      <c r="L2092" s="20" t="s">
        <v>22502</v>
      </c>
      <c r="M2092" s="174" t="s">
        <v>22503</v>
      </c>
      <c r="N2092" s="84"/>
      <c r="O2092" s="84"/>
      <c r="P2092" s="84"/>
      <c r="Q2092" s="84"/>
      <c r="R2092" s="84"/>
      <c r="S2092" s="84"/>
      <c r="T2092" s="84"/>
      <c r="U2092" s="84"/>
      <c r="V2092" s="84"/>
      <c r="W2092" s="84"/>
      <c r="X2092" s="84"/>
    </row>
    <row r="2093" ht="15.75" customHeight="1">
      <c r="A2093" s="14" t="s">
        <v>2137</v>
      </c>
      <c r="B2093" s="14">
        <v>2011.0</v>
      </c>
      <c r="C2093" s="14" t="s">
        <v>22504</v>
      </c>
      <c r="D2093" s="14" t="s">
        <v>22505</v>
      </c>
      <c r="E2093" s="150" t="str">
        <f t="shared" si="28"/>
        <v>http://dx.doi.org/10.1109/TVCG.2011.195</v>
      </c>
      <c r="F2093" s="14">
        <v>2422.0</v>
      </c>
      <c r="G2093" s="14">
        <v>2431.0</v>
      </c>
      <c r="H2093" s="14" t="s">
        <v>17059</v>
      </c>
      <c r="I2093" s="14" t="s">
        <v>22506</v>
      </c>
      <c r="J2093" s="130" t="s">
        <v>22507</v>
      </c>
      <c r="K2093" s="152" t="s">
        <v>25912</v>
      </c>
      <c r="L2093" s="20" t="s">
        <v>22509</v>
      </c>
      <c r="M2093" s="174" t="s">
        <v>22510</v>
      </c>
      <c r="N2093" s="84"/>
      <c r="O2093" s="84"/>
      <c r="P2093" s="84"/>
      <c r="Q2093" s="84"/>
      <c r="R2093" s="84"/>
      <c r="S2093" s="84"/>
      <c r="T2093" s="84"/>
      <c r="U2093" s="84"/>
      <c r="V2093" s="84"/>
      <c r="W2093" s="84"/>
      <c r="X2093" s="84"/>
    </row>
    <row r="2094" ht="15.75" customHeight="1">
      <c r="A2094" s="14" t="s">
        <v>2137</v>
      </c>
      <c r="B2094" s="14">
        <v>2011.0</v>
      </c>
      <c r="C2094" s="14" t="s">
        <v>22511</v>
      </c>
      <c r="D2094" s="14" t="s">
        <v>22512</v>
      </c>
      <c r="E2094" s="150" t="str">
        <f t="shared" si="28"/>
        <v>http://dx.doi.org/10.1109/TVCG.2011.196</v>
      </c>
      <c r="F2094" s="14">
        <v>2489.0</v>
      </c>
      <c r="G2094" s="14">
        <v>2497.0</v>
      </c>
      <c r="H2094" s="14" t="s">
        <v>17059</v>
      </c>
      <c r="I2094" s="14" t="s">
        <v>22513</v>
      </c>
      <c r="J2094" s="130" t="s">
        <v>22514</v>
      </c>
      <c r="K2094" s="152" t="s">
        <v>178</v>
      </c>
      <c r="L2094" s="20" t="s">
        <v>22516</v>
      </c>
      <c r="M2094" s="174" t="s">
        <v>22517</v>
      </c>
      <c r="N2094" s="84"/>
      <c r="O2094" s="84"/>
      <c r="P2094" s="84"/>
      <c r="Q2094" s="84"/>
      <c r="R2094" s="84"/>
      <c r="S2094" s="84"/>
      <c r="T2094" s="84"/>
      <c r="U2094" s="84"/>
      <c r="V2094" s="84"/>
      <c r="W2094" s="84"/>
      <c r="X2094" s="84"/>
    </row>
    <row r="2095" ht="15.75" customHeight="1">
      <c r="A2095" s="14" t="s">
        <v>2137</v>
      </c>
      <c r="B2095" s="14">
        <v>2011.0</v>
      </c>
      <c r="C2095" s="14" t="s">
        <v>22518</v>
      </c>
      <c r="D2095" s="14" t="s">
        <v>22519</v>
      </c>
      <c r="E2095" s="150" t="str">
        <f t="shared" si="28"/>
        <v>http://dx.doi.org/10.1109/TVCG.2011.197</v>
      </c>
      <c r="F2095" s="14">
        <v>2545.0</v>
      </c>
      <c r="G2095" s="14">
        <v>2554.0</v>
      </c>
      <c r="H2095" s="14" t="s">
        <v>17059</v>
      </c>
      <c r="I2095" s="14" t="s">
        <v>22520</v>
      </c>
      <c r="J2095" s="130" t="s">
        <v>20107</v>
      </c>
      <c r="K2095" s="152" t="s">
        <v>494</v>
      </c>
      <c r="L2095" s="20" t="s">
        <v>22522</v>
      </c>
      <c r="M2095" s="174" t="s">
        <v>22523</v>
      </c>
      <c r="N2095" s="84"/>
      <c r="O2095" s="84"/>
      <c r="P2095" s="84"/>
      <c r="Q2095" s="84"/>
      <c r="R2095" s="84"/>
      <c r="S2095" s="84"/>
      <c r="T2095" s="84"/>
      <c r="U2095" s="84"/>
      <c r="V2095" s="84"/>
      <c r="W2095" s="84"/>
      <c r="X2095" s="84"/>
    </row>
    <row r="2096" ht="15.75" customHeight="1">
      <c r="A2096" s="14" t="s">
        <v>2137</v>
      </c>
      <c r="B2096" s="14">
        <v>2011.0</v>
      </c>
      <c r="C2096" s="14" t="s">
        <v>22524</v>
      </c>
      <c r="D2096" s="14" t="s">
        <v>22525</v>
      </c>
      <c r="E2096" s="150" t="str">
        <f t="shared" si="28"/>
        <v>http://dx.doi.org/10.1109/TVCG.2011.201</v>
      </c>
      <c r="F2096" s="14">
        <v>2310.0</v>
      </c>
      <c r="G2096" s="14">
        <v>2316.0</v>
      </c>
      <c r="H2096" s="14" t="s">
        <v>17059</v>
      </c>
      <c r="I2096" s="14" t="s">
        <v>22526</v>
      </c>
      <c r="J2096" s="130" t="s">
        <v>22527</v>
      </c>
      <c r="K2096" s="152" t="s">
        <v>25981</v>
      </c>
      <c r="L2096" s="20" t="s">
        <v>22530</v>
      </c>
      <c r="M2096" s="174" t="s">
        <v>22531</v>
      </c>
      <c r="N2096" s="84"/>
      <c r="O2096" s="84"/>
      <c r="P2096" s="84"/>
      <c r="Q2096" s="84"/>
      <c r="R2096" s="84"/>
      <c r="S2096" s="84"/>
      <c r="T2096" s="84"/>
      <c r="U2096" s="84"/>
      <c r="V2096" s="84"/>
      <c r="W2096" s="84"/>
      <c r="X2096" s="84"/>
    </row>
    <row r="2097" ht="15.75" customHeight="1">
      <c r="A2097" s="14" t="s">
        <v>2137</v>
      </c>
      <c r="B2097" s="14">
        <v>2011.0</v>
      </c>
      <c r="C2097" s="14" t="s">
        <v>22532</v>
      </c>
      <c r="D2097" s="14" t="s">
        <v>22533</v>
      </c>
      <c r="E2097" s="150" t="str">
        <f t="shared" si="28"/>
        <v>http://dx.doi.org/10.1109/TVCG.2011.202</v>
      </c>
      <c r="F2097" s="14">
        <v>2536.0</v>
      </c>
      <c r="G2097" s="14">
        <v>2544.0</v>
      </c>
      <c r="H2097" s="14" t="s">
        <v>17059</v>
      </c>
      <c r="I2097" s="14" t="s">
        <v>22534</v>
      </c>
      <c r="J2097" s="130" t="s">
        <v>22535</v>
      </c>
      <c r="K2097" s="152" t="s">
        <v>25999</v>
      </c>
      <c r="L2097" s="20" t="s">
        <v>22537</v>
      </c>
      <c r="M2097" s="174" t="s">
        <v>22538</v>
      </c>
      <c r="N2097" s="84"/>
      <c r="O2097" s="84"/>
      <c r="P2097" s="84"/>
      <c r="Q2097" s="84"/>
      <c r="R2097" s="84"/>
      <c r="S2097" s="84"/>
      <c r="T2097" s="84"/>
      <c r="U2097" s="84"/>
      <c r="V2097" s="84"/>
      <c r="W2097" s="84"/>
      <c r="X2097" s="84"/>
    </row>
    <row r="2098" ht="15.75" customHeight="1">
      <c r="A2098" s="14" t="s">
        <v>2137</v>
      </c>
      <c r="B2098" s="14">
        <v>2011.0</v>
      </c>
      <c r="C2098" s="14" t="s">
        <v>22539</v>
      </c>
      <c r="D2098" s="14" t="s">
        <v>22540</v>
      </c>
      <c r="E2098" s="150" t="str">
        <f t="shared" si="28"/>
        <v>http://dx.doi.org/10.1109/TVCG.2011.205</v>
      </c>
      <c r="F2098" s="14">
        <v>2528.0</v>
      </c>
      <c r="G2098" s="14">
        <v>2535.0</v>
      </c>
      <c r="H2098" s="14" t="s">
        <v>17059</v>
      </c>
      <c r="I2098" s="14" t="s">
        <v>22541</v>
      </c>
      <c r="J2098" s="130" t="s">
        <v>22542</v>
      </c>
      <c r="K2098" s="152" t="s">
        <v>178</v>
      </c>
      <c r="L2098" s="20" t="s">
        <v>22544</v>
      </c>
      <c r="M2098" s="174" t="s">
        <v>22545</v>
      </c>
      <c r="N2098" s="84"/>
      <c r="O2098" s="84"/>
      <c r="P2098" s="84"/>
      <c r="Q2098" s="84"/>
      <c r="R2098" s="84"/>
      <c r="S2098" s="84"/>
      <c r="T2098" s="84"/>
      <c r="U2098" s="84"/>
      <c r="V2098" s="84"/>
      <c r="W2098" s="84"/>
      <c r="X2098" s="84"/>
    </row>
    <row r="2099" ht="15.75" customHeight="1">
      <c r="A2099" s="14" t="s">
        <v>2137</v>
      </c>
      <c r="B2099" s="14">
        <v>2011.0</v>
      </c>
      <c r="C2099" s="14" t="s">
        <v>22546</v>
      </c>
      <c r="D2099" s="14" t="s">
        <v>22547</v>
      </c>
      <c r="E2099" s="150" t="str">
        <f t="shared" si="28"/>
        <v>http://dx.doi.org/10.1109/TVCG.2011.209</v>
      </c>
      <c r="F2099" s="14">
        <v>2498.0</v>
      </c>
      <c r="G2099" s="14">
        <v>2507.0</v>
      </c>
      <c r="H2099" s="14" t="s">
        <v>17059</v>
      </c>
      <c r="I2099" s="14" t="s">
        <v>22548</v>
      </c>
      <c r="J2099" s="130" t="s">
        <v>22549</v>
      </c>
      <c r="K2099" s="152" t="s">
        <v>26087</v>
      </c>
      <c r="L2099" s="20" t="s">
        <v>22550</v>
      </c>
      <c r="M2099" s="174" t="s">
        <v>22551</v>
      </c>
      <c r="N2099" s="84"/>
      <c r="O2099" s="84"/>
      <c r="P2099" s="84"/>
      <c r="Q2099" s="84"/>
      <c r="R2099" s="84"/>
      <c r="S2099" s="84"/>
      <c r="T2099" s="84"/>
      <c r="U2099" s="84"/>
      <c r="V2099" s="84"/>
      <c r="W2099" s="84"/>
      <c r="X2099" s="84"/>
    </row>
    <row r="2100" ht="15.75" customHeight="1">
      <c r="A2100" s="14" t="s">
        <v>2137</v>
      </c>
      <c r="B2100" s="14">
        <v>2011.0</v>
      </c>
      <c r="C2100" s="14" t="s">
        <v>22552</v>
      </c>
      <c r="D2100" s="14" t="s">
        <v>22553</v>
      </c>
      <c r="E2100" s="150" t="str">
        <f t="shared" si="28"/>
        <v>http://dx.doi.org/10.1109/TVCG.2011.212</v>
      </c>
      <c r="F2100" s="14">
        <v>2459.0</v>
      </c>
      <c r="G2100" s="14">
        <v>2468.0</v>
      </c>
      <c r="H2100" s="14" t="s">
        <v>17059</v>
      </c>
      <c r="I2100" s="14" t="s">
        <v>22554</v>
      </c>
      <c r="J2100" s="130" t="s">
        <v>22555</v>
      </c>
      <c r="K2100" s="152" t="s">
        <v>26114</v>
      </c>
      <c r="L2100" s="20" t="s">
        <v>22558</v>
      </c>
      <c r="M2100" s="174" t="s">
        <v>22559</v>
      </c>
      <c r="N2100" s="84"/>
      <c r="O2100" s="84"/>
      <c r="P2100" s="84"/>
      <c r="Q2100" s="84"/>
      <c r="R2100" s="84"/>
      <c r="S2100" s="84"/>
      <c r="T2100" s="84"/>
      <c r="U2100" s="84"/>
      <c r="V2100" s="84"/>
      <c r="W2100" s="84"/>
      <c r="X2100" s="84"/>
    </row>
    <row r="2101" ht="15.75" customHeight="1">
      <c r="A2101" s="14" t="s">
        <v>2137</v>
      </c>
      <c r="B2101" s="14">
        <v>2011.0</v>
      </c>
      <c r="C2101" s="14" t="s">
        <v>22560</v>
      </c>
      <c r="D2101" s="14" t="s">
        <v>22561</v>
      </c>
      <c r="E2101" s="150" t="str">
        <f t="shared" si="28"/>
        <v>http://dx.doi.org/10.1109/TVCG.2011.213</v>
      </c>
      <c r="F2101" s="14">
        <v>2334.0</v>
      </c>
      <c r="G2101" s="14">
        <v>2343.0</v>
      </c>
      <c r="H2101" s="14" t="s">
        <v>17059</v>
      </c>
      <c r="I2101" s="14" t="s">
        <v>22562</v>
      </c>
      <c r="J2101" s="130" t="s">
        <v>22563</v>
      </c>
      <c r="K2101" s="152" t="s">
        <v>494</v>
      </c>
      <c r="L2101" s="20" t="s">
        <v>22566</v>
      </c>
      <c r="M2101" s="174" t="s">
        <v>22567</v>
      </c>
      <c r="N2101" s="84"/>
      <c r="O2101" s="84"/>
      <c r="P2101" s="84"/>
      <c r="Q2101" s="84"/>
      <c r="R2101" s="84"/>
      <c r="S2101" s="84"/>
      <c r="T2101" s="84"/>
      <c r="U2101" s="84"/>
      <c r="V2101" s="84"/>
      <c r="W2101" s="84"/>
      <c r="X2101" s="84"/>
    </row>
    <row r="2102" ht="15.75" customHeight="1">
      <c r="A2102" s="14" t="s">
        <v>2137</v>
      </c>
      <c r="B2102" s="14">
        <v>2011.0</v>
      </c>
      <c r="C2102" s="14" t="s">
        <v>22568</v>
      </c>
      <c r="D2102" s="14" t="s">
        <v>22569</v>
      </c>
      <c r="E2102" s="150" t="str">
        <f t="shared" si="28"/>
        <v>http://dx.doi.org/10.1109/TVCG.2011.220</v>
      </c>
      <c r="F2102" s="14">
        <v>2563.0</v>
      </c>
      <c r="G2102" s="14">
        <v>2571.0</v>
      </c>
      <c r="H2102" s="14" t="s">
        <v>17059</v>
      </c>
      <c r="I2102" s="14" t="s">
        <v>22570</v>
      </c>
      <c r="J2102" s="130" t="s">
        <v>22571</v>
      </c>
      <c r="K2102" s="152" t="s">
        <v>26221</v>
      </c>
      <c r="L2102" s="20" t="s">
        <v>22574</v>
      </c>
      <c r="M2102" s="174" t="s">
        <v>22575</v>
      </c>
      <c r="N2102" s="84"/>
      <c r="O2102" s="84"/>
      <c r="P2102" s="84"/>
      <c r="Q2102" s="84"/>
      <c r="R2102" s="84"/>
      <c r="S2102" s="84"/>
      <c r="T2102" s="84"/>
      <c r="U2102" s="84"/>
      <c r="V2102" s="84"/>
      <c r="W2102" s="84"/>
      <c r="X2102" s="84"/>
    </row>
    <row r="2103" ht="15.75" customHeight="1">
      <c r="A2103" s="14" t="s">
        <v>2137</v>
      </c>
      <c r="B2103" s="14">
        <v>2011.0</v>
      </c>
      <c r="C2103" s="14" t="s">
        <v>22576</v>
      </c>
      <c r="D2103" s="14" t="s">
        <v>22577</v>
      </c>
      <c r="E2103" s="150" t="str">
        <f t="shared" si="28"/>
        <v>http://dx.doi.org/10.1109/TVCG.2011.223</v>
      </c>
      <c r="F2103" s="14">
        <v>2600.0</v>
      </c>
      <c r="G2103" s="14">
        <v>2609.0</v>
      </c>
      <c r="H2103" s="14" t="s">
        <v>17059</v>
      </c>
      <c r="I2103" s="14" t="s">
        <v>22578</v>
      </c>
      <c r="J2103" s="130" t="s">
        <v>22579</v>
      </c>
      <c r="K2103" s="162" t="s">
        <v>26226</v>
      </c>
      <c r="L2103" s="20" t="s">
        <v>22581</v>
      </c>
      <c r="M2103" s="174" t="s">
        <v>22582</v>
      </c>
      <c r="N2103" s="84"/>
      <c r="O2103" s="84"/>
      <c r="P2103" s="84"/>
      <c r="Q2103" s="84"/>
      <c r="R2103" s="84"/>
      <c r="S2103" s="84"/>
      <c r="T2103" s="84"/>
      <c r="U2103" s="84"/>
      <c r="V2103" s="84"/>
      <c r="W2103" s="84"/>
      <c r="X2103" s="84"/>
    </row>
    <row r="2104" ht="15.75" customHeight="1">
      <c r="A2104" s="14" t="s">
        <v>2137</v>
      </c>
      <c r="B2104" s="14">
        <v>2011.0</v>
      </c>
      <c r="C2104" s="14" t="s">
        <v>22583</v>
      </c>
      <c r="D2104" s="14" t="s">
        <v>22584</v>
      </c>
      <c r="E2104" s="150" t="str">
        <f t="shared" si="28"/>
        <v>http://dx.doi.org/10.1109/TVCG.2011.226</v>
      </c>
      <c r="F2104" s="14">
        <v>2344.0</v>
      </c>
      <c r="G2104" s="14">
        <v>2353.0</v>
      </c>
      <c r="H2104" s="14" t="s">
        <v>17059</v>
      </c>
      <c r="I2104" s="14" t="s">
        <v>22585</v>
      </c>
      <c r="J2104" s="130" t="s">
        <v>41724</v>
      </c>
      <c r="K2104" s="152" t="s">
        <v>26258</v>
      </c>
      <c r="L2104" s="20" t="s">
        <v>22589</v>
      </c>
      <c r="M2104" s="174" t="s">
        <v>22590</v>
      </c>
      <c r="N2104" s="84"/>
      <c r="O2104" s="84"/>
      <c r="P2104" s="84"/>
      <c r="Q2104" s="84"/>
      <c r="R2104" s="84"/>
      <c r="S2104" s="84"/>
      <c r="T2104" s="84"/>
      <c r="U2104" s="84"/>
      <c r="V2104" s="84"/>
      <c r="W2104" s="84"/>
      <c r="X2104" s="84"/>
    </row>
    <row r="2105" ht="15.75" customHeight="1">
      <c r="A2105" s="14" t="s">
        <v>2137</v>
      </c>
      <c r="B2105" s="14">
        <v>2011.0</v>
      </c>
      <c r="C2105" s="14" t="s">
        <v>22591</v>
      </c>
      <c r="D2105" s="14" t="s">
        <v>22592</v>
      </c>
      <c r="E2105" s="150" t="str">
        <f t="shared" si="28"/>
        <v>http://dx.doi.org/10.1109/TVCG.2011.227</v>
      </c>
      <c r="F2105" s="14">
        <v>2223.0</v>
      </c>
      <c r="G2105" s="14">
        <v>2230.0</v>
      </c>
      <c r="H2105" s="14" t="s">
        <v>17059</v>
      </c>
      <c r="I2105" s="14" t="s">
        <v>22593</v>
      </c>
      <c r="J2105" s="130" t="s">
        <v>22594</v>
      </c>
      <c r="K2105" s="152" t="s">
        <v>178</v>
      </c>
      <c r="L2105" s="20" t="s">
        <v>22596</v>
      </c>
      <c r="M2105" s="174" t="s">
        <v>22597</v>
      </c>
      <c r="N2105" s="84"/>
      <c r="O2105" s="84"/>
      <c r="P2105" s="84"/>
      <c r="Q2105" s="84"/>
      <c r="R2105" s="84"/>
      <c r="S2105" s="84"/>
      <c r="T2105" s="84"/>
      <c r="U2105" s="84"/>
      <c r="V2105" s="84"/>
      <c r="W2105" s="84"/>
      <c r="X2105" s="84"/>
    </row>
    <row r="2106" ht="15.75" customHeight="1">
      <c r="A2106" s="14" t="s">
        <v>2137</v>
      </c>
      <c r="B2106" s="14">
        <v>2011.0</v>
      </c>
      <c r="C2106" s="14" t="s">
        <v>22598</v>
      </c>
      <c r="D2106" s="14" t="s">
        <v>22599</v>
      </c>
      <c r="E2106" s="150" t="str">
        <f t="shared" si="28"/>
        <v>http://dx.doi.org/10.1109/TVCG.2011.229</v>
      </c>
      <c r="F2106" s="14">
        <v>2203.0</v>
      </c>
      <c r="G2106" s="14">
        <v>2212.0</v>
      </c>
      <c r="H2106" s="14" t="s">
        <v>17059</v>
      </c>
      <c r="I2106" s="14" t="s">
        <v>22600</v>
      </c>
      <c r="J2106" s="130" t="s">
        <v>22601</v>
      </c>
      <c r="K2106" s="152" t="s">
        <v>25772</v>
      </c>
      <c r="L2106" s="20" t="s">
        <v>22603</v>
      </c>
      <c r="M2106" s="174" t="s">
        <v>22604</v>
      </c>
      <c r="N2106" s="84"/>
      <c r="O2106" s="84"/>
      <c r="P2106" s="84"/>
      <c r="Q2106" s="84"/>
      <c r="R2106" s="84"/>
      <c r="S2106" s="84"/>
      <c r="T2106" s="84"/>
      <c r="U2106" s="84"/>
      <c r="V2106" s="84"/>
      <c r="W2106" s="84"/>
      <c r="X2106" s="84"/>
    </row>
    <row r="2107" ht="15.75" customHeight="1">
      <c r="A2107" s="14" t="s">
        <v>2137</v>
      </c>
      <c r="B2107" s="14">
        <v>2011.0</v>
      </c>
      <c r="C2107" s="14" t="s">
        <v>22605</v>
      </c>
      <c r="D2107" s="14" t="s">
        <v>22606</v>
      </c>
      <c r="E2107" s="150" t="str">
        <f t="shared" si="28"/>
        <v>http://dx.doi.org/10.1109/TVCG.2011.232</v>
      </c>
      <c r="F2107" s="14">
        <v>2392.0</v>
      </c>
      <c r="G2107" s="14">
        <v>2401.0</v>
      </c>
      <c r="H2107" s="14" t="s">
        <v>17059</v>
      </c>
      <c r="I2107" s="14" t="s">
        <v>22607</v>
      </c>
      <c r="J2107" s="130" t="s">
        <v>22608</v>
      </c>
      <c r="K2107" s="152" t="s">
        <v>26366</v>
      </c>
      <c r="L2107" s="20" t="s">
        <v>22611</v>
      </c>
      <c r="M2107" s="174" t="s">
        <v>22612</v>
      </c>
      <c r="N2107" s="84"/>
      <c r="O2107" s="84"/>
      <c r="P2107" s="84"/>
      <c r="Q2107" s="84"/>
      <c r="R2107" s="84"/>
      <c r="S2107" s="84"/>
      <c r="T2107" s="84"/>
      <c r="U2107" s="84"/>
      <c r="V2107" s="84"/>
      <c r="W2107" s="84"/>
      <c r="X2107" s="84"/>
    </row>
    <row r="2108" ht="15.75" customHeight="1">
      <c r="A2108" s="14" t="s">
        <v>2137</v>
      </c>
      <c r="B2108" s="14">
        <v>2011.0</v>
      </c>
      <c r="C2108" s="14" t="s">
        <v>22613</v>
      </c>
      <c r="D2108" s="14" t="s">
        <v>22614</v>
      </c>
      <c r="E2108" s="150" t="str">
        <f t="shared" si="28"/>
        <v>http://dx.doi.org/10.1109/TVCG.2011.233</v>
      </c>
      <c r="F2108" s="14">
        <v>2364.0</v>
      </c>
      <c r="G2108" s="14">
        <v>2373.0</v>
      </c>
      <c r="H2108" s="14" t="s">
        <v>17059</v>
      </c>
      <c r="I2108" s="14" t="s">
        <v>22615</v>
      </c>
      <c r="J2108" s="130" t="s">
        <v>22616</v>
      </c>
      <c r="K2108" s="152" t="s">
        <v>24419</v>
      </c>
      <c r="L2108" s="20" t="s">
        <v>22619</v>
      </c>
      <c r="M2108" s="174" t="s">
        <v>22620</v>
      </c>
      <c r="N2108" s="84"/>
      <c r="O2108" s="84"/>
      <c r="P2108" s="84"/>
      <c r="Q2108" s="84"/>
      <c r="R2108" s="84"/>
      <c r="S2108" s="84"/>
      <c r="T2108" s="84"/>
      <c r="U2108" s="84"/>
      <c r="V2108" s="84"/>
      <c r="W2108" s="84"/>
      <c r="X2108" s="84"/>
    </row>
    <row r="2109" ht="15.75" customHeight="1">
      <c r="A2109" s="14" t="s">
        <v>2137</v>
      </c>
      <c r="B2109" s="14">
        <v>2011.0</v>
      </c>
      <c r="C2109" s="14" t="s">
        <v>22621</v>
      </c>
      <c r="D2109" s="14" t="s">
        <v>22622</v>
      </c>
      <c r="E2109" s="150" t="str">
        <f t="shared" si="28"/>
        <v>http://dx.doi.org/10.1109/TVCG.2011.234</v>
      </c>
      <c r="F2109" s="14">
        <v>2325.0</v>
      </c>
      <c r="G2109" s="14">
        <v>2333.0</v>
      </c>
      <c r="H2109" s="14" t="s">
        <v>17059</v>
      </c>
      <c r="I2109" s="14" t="s">
        <v>22623</v>
      </c>
      <c r="J2109" s="130" t="s">
        <v>22624</v>
      </c>
      <c r="K2109" s="152" t="s">
        <v>26395</v>
      </c>
      <c r="L2109" s="20" t="s">
        <v>22627</v>
      </c>
      <c r="M2109" s="174" t="s">
        <v>22628</v>
      </c>
      <c r="N2109" s="84"/>
      <c r="O2109" s="84"/>
      <c r="P2109" s="84"/>
      <c r="Q2109" s="84"/>
      <c r="R2109" s="84"/>
      <c r="S2109" s="84"/>
      <c r="T2109" s="84"/>
      <c r="U2109" s="84"/>
      <c r="V2109" s="84"/>
      <c r="W2109" s="84"/>
      <c r="X2109" s="84"/>
    </row>
    <row r="2110" ht="15.75" customHeight="1">
      <c r="A2110" s="14" t="s">
        <v>2137</v>
      </c>
      <c r="B2110" s="14">
        <v>2011.0</v>
      </c>
      <c r="C2110" s="14" t="s">
        <v>22629</v>
      </c>
      <c r="D2110" s="14" t="s">
        <v>22630</v>
      </c>
      <c r="E2110" s="150" t="str">
        <f t="shared" si="28"/>
        <v>http://dx.doi.org/10.1109/TVCG.2011.237</v>
      </c>
      <c r="F2110" s="14">
        <v>2317.0</v>
      </c>
      <c r="G2110" s="14">
        <v>2324.0</v>
      </c>
      <c r="H2110" s="14" t="s">
        <v>17059</v>
      </c>
      <c r="I2110" s="14" t="s">
        <v>22631</v>
      </c>
      <c r="J2110" s="130" t="s">
        <v>22632</v>
      </c>
      <c r="K2110" s="152" t="s">
        <v>26434</v>
      </c>
      <c r="L2110" s="20" t="s">
        <v>22635</v>
      </c>
      <c r="M2110" s="174" t="s">
        <v>22636</v>
      </c>
      <c r="N2110" s="84"/>
      <c r="O2110" s="84"/>
      <c r="P2110" s="84"/>
      <c r="Q2110" s="84"/>
      <c r="R2110" s="84"/>
      <c r="S2110" s="84"/>
      <c r="T2110" s="84"/>
      <c r="U2110" s="84"/>
      <c r="V2110" s="84"/>
      <c r="W2110" s="84"/>
      <c r="X2110" s="84"/>
    </row>
    <row r="2111" ht="15.75" customHeight="1">
      <c r="A2111" s="14" t="s">
        <v>2137</v>
      </c>
      <c r="B2111" s="14">
        <v>2011.0</v>
      </c>
      <c r="C2111" s="14" t="s">
        <v>22637</v>
      </c>
      <c r="D2111" s="14" t="s">
        <v>22638</v>
      </c>
      <c r="E2111" s="150" t="str">
        <f t="shared" si="28"/>
        <v>http://dx.doi.org/10.1109/TVCG.2011.239</v>
      </c>
      <c r="F2111" s="14">
        <v>2412.0</v>
      </c>
      <c r="G2111" s="14">
        <v>2421.0</v>
      </c>
      <c r="H2111" s="14" t="s">
        <v>17059</v>
      </c>
      <c r="I2111" s="14" t="s">
        <v>22640</v>
      </c>
      <c r="J2111" s="130" t="s">
        <v>22641</v>
      </c>
      <c r="K2111" s="152" t="s">
        <v>26448</v>
      </c>
      <c r="L2111" s="20" t="s">
        <v>22643</v>
      </c>
      <c r="M2111" s="174" t="s">
        <v>22644</v>
      </c>
      <c r="N2111" s="84"/>
      <c r="O2111" s="84"/>
      <c r="P2111" s="84"/>
      <c r="Q2111" s="84"/>
      <c r="R2111" s="84"/>
      <c r="S2111" s="84"/>
      <c r="T2111" s="84"/>
      <c r="U2111" s="84"/>
      <c r="V2111" s="84"/>
      <c r="W2111" s="84"/>
      <c r="X2111" s="84"/>
    </row>
    <row r="2112" ht="15.75" customHeight="1">
      <c r="A2112" s="14" t="s">
        <v>2137</v>
      </c>
      <c r="B2112" s="14">
        <v>2011.0</v>
      </c>
      <c r="C2112" s="14" t="s">
        <v>22645</v>
      </c>
      <c r="D2112" s="14" t="s">
        <v>22646</v>
      </c>
      <c r="E2112" s="150" t="str">
        <f t="shared" si="28"/>
        <v>http://dx.doi.org/10.1109/TVCG.2011.247</v>
      </c>
      <c r="F2112" s="14">
        <v>2449.0</v>
      </c>
      <c r="G2112" s="14">
        <v>2458.0</v>
      </c>
      <c r="H2112" s="14" t="s">
        <v>17059</v>
      </c>
      <c r="I2112" s="14" t="s">
        <v>22647</v>
      </c>
      <c r="J2112" s="130" t="s">
        <v>31169</v>
      </c>
      <c r="K2112" s="152" t="s">
        <v>26533</v>
      </c>
      <c r="L2112" s="20" t="s">
        <v>22651</v>
      </c>
      <c r="M2112" s="174" t="s">
        <v>22652</v>
      </c>
      <c r="N2112" s="84"/>
      <c r="O2112" s="84"/>
      <c r="P2112" s="84"/>
      <c r="Q2112" s="84"/>
      <c r="R2112" s="84"/>
      <c r="S2112" s="84"/>
      <c r="T2112" s="84"/>
      <c r="U2112" s="84"/>
      <c r="V2112" s="84"/>
      <c r="W2112" s="84"/>
      <c r="X2112" s="84"/>
    </row>
    <row r="2113" ht="15.75" customHeight="1">
      <c r="A2113" s="14" t="s">
        <v>2137</v>
      </c>
      <c r="B2113" s="14">
        <v>2011.0</v>
      </c>
      <c r="C2113" s="14" t="s">
        <v>22653</v>
      </c>
      <c r="D2113" s="14" t="s">
        <v>22654</v>
      </c>
      <c r="E2113" s="150" t="str">
        <f t="shared" si="28"/>
        <v>http://dx.doi.org/10.1109/TVCG.2011.250</v>
      </c>
      <c r="F2113" s="14">
        <v>2291.0</v>
      </c>
      <c r="G2113" s="14">
        <v>2300.0</v>
      </c>
      <c r="H2113" s="14" t="s">
        <v>17059</v>
      </c>
      <c r="I2113" s="14" t="s">
        <v>22655</v>
      </c>
      <c r="J2113" s="130" t="s">
        <v>22656</v>
      </c>
      <c r="K2113" s="152" t="s">
        <v>26571</v>
      </c>
      <c r="L2113" s="20" t="s">
        <v>22658</v>
      </c>
      <c r="M2113" s="174" t="s">
        <v>22659</v>
      </c>
      <c r="N2113" s="84"/>
      <c r="O2113" s="84"/>
      <c r="P2113" s="84"/>
      <c r="Q2113" s="84"/>
      <c r="R2113" s="84"/>
      <c r="S2113" s="84"/>
      <c r="T2113" s="84"/>
      <c r="U2113" s="84"/>
      <c r="V2113" s="84"/>
      <c r="W2113" s="84"/>
      <c r="X2113" s="84"/>
    </row>
    <row r="2114" ht="15.75" customHeight="1">
      <c r="A2114" s="14" t="s">
        <v>2137</v>
      </c>
      <c r="B2114" s="14">
        <v>2011.0</v>
      </c>
      <c r="C2114" s="14" t="s">
        <v>22660</v>
      </c>
      <c r="D2114" s="14" t="s">
        <v>22662</v>
      </c>
      <c r="E2114" s="150" t="str">
        <f t="shared" si="28"/>
        <v>http://dx.doi.org/10.1109/TVCG.2011.251</v>
      </c>
      <c r="F2114" s="14">
        <v>2508.0</v>
      </c>
      <c r="G2114" s="14">
        <v>2517.0</v>
      </c>
      <c r="H2114" s="14" t="s">
        <v>17059</v>
      </c>
      <c r="I2114" s="14" t="s">
        <v>22663</v>
      </c>
      <c r="J2114" s="130" t="s">
        <v>41725</v>
      </c>
      <c r="K2114" s="152" t="s">
        <v>26585</v>
      </c>
      <c r="L2114" s="20" t="s">
        <v>22667</v>
      </c>
      <c r="M2114" s="174" t="s">
        <v>22668</v>
      </c>
      <c r="N2114" s="84"/>
      <c r="O2114" s="84"/>
      <c r="P2114" s="84"/>
      <c r="Q2114" s="84"/>
      <c r="R2114" s="84"/>
      <c r="S2114" s="84"/>
      <c r="T2114" s="84"/>
      <c r="U2114" s="84"/>
      <c r="V2114" s="84"/>
      <c r="W2114" s="84"/>
      <c r="X2114" s="84"/>
    </row>
    <row r="2115" ht="15.75" customHeight="1">
      <c r="A2115" s="14" t="s">
        <v>2137</v>
      </c>
      <c r="B2115" s="14">
        <v>2011.0</v>
      </c>
      <c r="C2115" s="14" t="s">
        <v>22669</v>
      </c>
      <c r="D2115" s="14" t="s">
        <v>22670</v>
      </c>
      <c r="E2115" s="150" t="str">
        <f t="shared" si="28"/>
        <v>http://dx.doi.org/10.1109/TVCG.2011.253</v>
      </c>
      <c r="F2115" s="14">
        <v>2402.0</v>
      </c>
      <c r="G2115" s="14">
        <v>2411.0</v>
      </c>
      <c r="H2115" s="14" t="s">
        <v>17059</v>
      </c>
      <c r="I2115" s="14" t="s">
        <v>22671</v>
      </c>
      <c r="J2115" s="130" t="s">
        <v>22672</v>
      </c>
      <c r="K2115" s="152" t="s">
        <v>26613</v>
      </c>
      <c r="L2115" s="20" t="s">
        <v>22674</v>
      </c>
      <c r="M2115" s="174" t="s">
        <v>22675</v>
      </c>
      <c r="N2115" s="84"/>
      <c r="O2115" s="84"/>
      <c r="P2115" s="84"/>
      <c r="Q2115" s="84"/>
      <c r="R2115" s="84"/>
      <c r="S2115" s="84"/>
      <c r="T2115" s="84"/>
      <c r="U2115" s="84"/>
      <c r="V2115" s="84"/>
      <c r="W2115" s="84"/>
      <c r="X2115" s="84"/>
    </row>
    <row r="2116" ht="15.75" customHeight="1">
      <c r="A2116" s="14" t="s">
        <v>2137</v>
      </c>
      <c r="B2116" s="14">
        <v>2011.0</v>
      </c>
      <c r="C2116" s="14" t="s">
        <v>22676</v>
      </c>
      <c r="D2116" s="14" t="s">
        <v>22677</v>
      </c>
      <c r="E2116" s="150" t="str">
        <f t="shared" si="28"/>
        <v>http://dx.doi.org/10.1109/TVCG.2011.255</v>
      </c>
      <c r="F2116" s="14">
        <v>2231.0</v>
      </c>
      <c r="G2116" s="14">
        <v>2240.0</v>
      </c>
      <c r="H2116" s="14" t="s">
        <v>17059</v>
      </c>
      <c r="I2116" s="14" t="s">
        <v>22678</v>
      </c>
      <c r="J2116" s="130" t="s">
        <v>22679</v>
      </c>
      <c r="K2116" s="152" t="s">
        <v>178</v>
      </c>
      <c r="L2116" s="20" t="s">
        <v>22682</v>
      </c>
      <c r="M2116" s="174" t="s">
        <v>22683</v>
      </c>
      <c r="N2116" s="84"/>
      <c r="O2116" s="84"/>
      <c r="P2116" s="84"/>
      <c r="Q2116" s="84"/>
      <c r="R2116" s="84"/>
      <c r="S2116" s="84"/>
      <c r="T2116" s="84"/>
      <c r="U2116" s="84"/>
      <c r="V2116" s="84"/>
      <c r="W2116" s="84"/>
      <c r="X2116" s="84"/>
    </row>
    <row r="2117" ht="15.75" customHeight="1">
      <c r="A2117" s="14" t="s">
        <v>120</v>
      </c>
      <c r="B2117" s="14">
        <v>2011.0</v>
      </c>
      <c r="C2117" s="14" t="s">
        <v>22685</v>
      </c>
      <c r="D2117" s="14" t="s">
        <v>22686</v>
      </c>
      <c r="E2117" s="150" t="str">
        <f t="shared" si="28"/>
        <v>http://dx.doi.org/10.1109/VAST.2011.6102435</v>
      </c>
      <c r="F2117" s="14">
        <v>3.0</v>
      </c>
      <c r="G2117" s="14">
        <v>11.0</v>
      </c>
      <c r="H2117" s="14" t="s">
        <v>28</v>
      </c>
      <c r="I2117" s="14" t="s">
        <v>31509</v>
      </c>
      <c r="J2117" s="130" t="s">
        <v>22689</v>
      </c>
      <c r="K2117" s="152" t="s">
        <v>15776</v>
      </c>
      <c r="L2117" s="20" t="s">
        <v>22692</v>
      </c>
      <c r="M2117" s="222" t="s">
        <v>31513</v>
      </c>
      <c r="N2117" s="84"/>
      <c r="O2117" s="84"/>
      <c r="P2117" s="84"/>
      <c r="Q2117" s="84"/>
      <c r="R2117" s="84"/>
      <c r="S2117" s="84"/>
      <c r="T2117" s="84"/>
      <c r="U2117" s="84"/>
      <c r="V2117" s="84"/>
      <c r="W2117" s="84"/>
      <c r="X2117" s="84"/>
    </row>
    <row r="2118" ht="15.75" customHeight="1">
      <c r="A2118" s="14" t="s">
        <v>120</v>
      </c>
      <c r="B2118" s="14">
        <v>2011.0</v>
      </c>
      <c r="C2118" s="14" t="s">
        <v>22694</v>
      </c>
      <c r="D2118" s="14" t="s">
        <v>22695</v>
      </c>
      <c r="E2118" s="150" t="str">
        <f t="shared" si="28"/>
        <v>http://dx.doi.org/10.1109/VAST.2011.6102437</v>
      </c>
      <c r="F2118" s="14">
        <v>13.0</v>
      </c>
      <c r="G2118" s="14">
        <v>20.0</v>
      </c>
      <c r="H2118" s="14" t="s">
        <v>28</v>
      </c>
      <c r="I2118" s="14" t="s">
        <v>22696</v>
      </c>
      <c r="J2118" s="130" t="s">
        <v>22697</v>
      </c>
      <c r="K2118" s="152" t="s">
        <v>26706</v>
      </c>
      <c r="L2118" s="20" t="s">
        <v>22700</v>
      </c>
      <c r="M2118" s="16"/>
      <c r="N2118" s="84"/>
      <c r="O2118" s="84"/>
      <c r="P2118" s="84"/>
      <c r="Q2118" s="84"/>
      <c r="R2118" s="84"/>
      <c r="S2118" s="84"/>
      <c r="T2118" s="84"/>
      <c r="U2118" s="84"/>
      <c r="V2118" s="84"/>
      <c r="W2118" s="84"/>
      <c r="X2118" s="84"/>
    </row>
    <row r="2119" ht="15.75" customHeight="1">
      <c r="A2119" s="14" t="s">
        <v>120</v>
      </c>
      <c r="B2119" s="14">
        <v>2011.0</v>
      </c>
      <c r="C2119" s="14" t="s">
        <v>22701</v>
      </c>
      <c r="D2119" s="14" t="s">
        <v>22702</v>
      </c>
      <c r="E2119" s="150" t="str">
        <f t="shared" si="28"/>
        <v>http://dx.doi.org/10.1109/VAST.2011.6102438</v>
      </c>
      <c r="F2119" s="14">
        <v>21.0</v>
      </c>
      <c r="G2119" s="14">
        <v>30.0</v>
      </c>
      <c r="H2119" s="14" t="s">
        <v>28</v>
      </c>
      <c r="I2119" s="14" t="s">
        <v>22705</v>
      </c>
      <c r="J2119" s="130" t="s">
        <v>22706</v>
      </c>
      <c r="K2119" s="152" t="s">
        <v>4435</v>
      </c>
      <c r="L2119" s="20" t="s">
        <v>22709</v>
      </c>
      <c r="M2119" s="174" t="s">
        <v>31279</v>
      </c>
      <c r="N2119" s="84"/>
      <c r="O2119" s="84"/>
      <c r="P2119" s="84"/>
      <c r="Q2119" s="84"/>
      <c r="R2119" s="84"/>
      <c r="S2119" s="84"/>
      <c r="T2119" s="84"/>
      <c r="U2119" s="84"/>
      <c r="V2119" s="84"/>
      <c r="W2119" s="84"/>
      <c r="X2119" s="84"/>
    </row>
    <row r="2120" ht="15.75" customHeight="1">
      <c r="A2120" s="14" t="s">
        <v>120</v>
      </c>
      <c r="B2120" s="14">
        <v>2011.0</v>
      </c>
      <c r="C2120" s="14" t="s">
        <v>22712</v>
      </c>
      <c r="D2120" s="14" t="s">
        <v>22713</v>
      </c>
      <c r="E2120" s="150" t="str">
        <f t="shared" si="28"/>
        <v>http://dx.doi.org/10.1109/VAST.2011.6102439</v>
      </c>
      <c r="F2120" s="14">
        <v>31.0</v>
      </c>
      <c r="G2120" s="14">
        <v>40.0</v>
      </c>
      <c r="H2120" s="14" t="s">
        <v>28</v>
      </c>
      <c r="I2120" s="14" t="s">
        <v>22714</v>
      </c>
      <c r="J2120" s="130" t="s">
        <v>22715</v>
      </c>
      <c r="K2120" s="152" t="s">
        <v>26725</v>
      </c>
      <c r="L2120" s="20" t="s">
        <v>22718</v>
      </c>
      <c r="M2120" s="16"/>
      <c r="N2120" s="84"/>
      <c r="O2120" s="84"/>
      <c r="P2120" s="84"/>
      <c r="Q2120" s="84"/>
      <c r="R2120" s="84"/>
      <c r="S2120" s="84"/>
      <c r="T2120" s="84"/>
      <c r="U2120" s="84"/>
      <c r="V2120" s="84"/>
      <c r="W2120" s="84"/>
      <c r="X2120" s="84"/>
    </row>
    <row r="2121" ht="15.75" customHeight="1">
      <c r="A2121" s="14" t="s">
        <v>120</v>
      </c>
      <c r="B2121" s="14">
        <v>2011.0</v>
      </c>
      <c r="C2121" s="14" t="s">
        <v>22719</v>
      </c>
      <c r="D2121" s="14" t="s">
        <v>22720</v>
      </c>
      <c r="E2121" s="150" t="str">
        <f t="shared" si="28"/>
        <v>http://dx.doi.org/10.1109/VAST.2011.6102440</v>
      </c>
      <c r="F2121" s="14">
        <v>41.0</v>
      </c>
      <c r="G2121" s="14">
        <v>50.0</v>
      </c>
      <c r="H2121" s="14" t="s">
        <v>28</v>
      </c>
      <c r="I2121" s="14" t="s">
        <v>22721</v>
      </c>
      <c r="J2121" s="130" t="s">
        <v>22722</v>
      </c>
      <c r="K2121" s="152" t="s">
        <v>26735</v>
      </c>
      <c r="L2121" s="20" t="s">
        <v>22724</v>
      </c>
      <c r="M2121" s="16"/>
      <c r="N2121" s="84"/>
      <c r="O2121" s="84"/>
      <c r="P2121" s="84"/>
      <c r="Q2121" s="84"/>
      <c r="R2121" s="84"/>
      <c r="S2121" s="84"/>
      <c r="T2121" s="84"/>
      <c r="U2121" s="84"/>
      <c r="V2121" s="84"/>
      <c r="W2121" s="84"/>
      <c r="X2121" s="84"/>
    </row>
    <row r="2122" ht="15.75" customHeight="1">
      <c r="A2122" s="14" t="s">
        <v>120</v>
      </c>
      <c r="B2122" s="14">
        <v>2011.0</v>
      </c>
      <c r="C2122" s="14" t="s">
        <v>22725</v>
      </c>
      <c r="D2122" s="14" t="s">
        <v>22726</v>
      </c>
      <c r="E2122" s="150" t="str">
        <f t="shared" si="28"/>
        <v>http://dx.doi.org/10.1109/VAST.2011.6102441</v>
      </c>
      <c r="F2122" s="14">
        <v>51.0</v>
      </c>
      <c r="G2122" s="14">
        <v>60.0</v>
      </c>
      <c r="H2122" s="14" t="s">
        <v>28</v>
      </c>
      <c r="I2122" s="14" t="s">
        <v>22728</v>
      </c>
      <c r="J2122" s="130" t="s">
        <v>22729</v>
      </c>
      <c r="K2122" s="152" t="s">
        <v>24791</v>
      </c>
      <c r="L2122" s="20" t="s">
        <v>22731</v>
      </c>
      <c r="M2122" s="174" t="s">
        <v>31412</v>
      </c>
      <c r="N2122" s="84"/>
      <c r="O2122" s="84"/>
      <c r="P2122" s="84"/>
      <c r="Q2122" s="84"/>
      <c r="R2122" s="84"/>
      <c r="S2122" s="84"/>
      <c r="T2122" s="84"/>
      <c r="U2122" s="84"/>
      <c r="V2122" s="84"/>
      <c r="W2122" s="84"/>
      <c r="X2122" s="84"/>
    </row>
    <row r="2123" ht="15.75" customHeight="1">
      <c r="A2123" s="14" t="s">
        <v>120</v>
      </c>
      <c r="B2123" s="14">
        <v>2011.0</v>
      </c>
      <c r="C2123" s="14" t="s">
        <v>22733</v>
      </c>
      <c r="D2123" s="14" t="s">
        <v>22734</v>
      </c>
      <c r="E2123" s="150" t="str">
        <f t="shared" si="28"/>
        <v>http://dx.doi.org/10.1109/VAST.2011.6102442</v>
      </c>
      <c r="F2123" s="14">
        <v>61.0</v>
      </c>
      <c r="G2123" s="14">
        <v>70.0</v>
      </c>
      <c r="H2123" s="14" t="s">
        <v>28</v>
      </c>
      <c r="I2123" s="14" t="s">
        <v>22735</v>
      </c>
      <c r="J2123" s="130" t="s">
        <v>22736</v>
      </c>
      <c r="K2123" s="152" t="s">
        <v>26760</v>
      </c>
      <c r="L2123" s="20" t="s">
        <v>22738</v>
      </c>
      <c r="M2123" s="174" t="s">
        <v>22739</v>
      </c>
      <c r="N2123" s="84"/>
      <c r="O2123" s="84"/>
      <c r="P2123" s="84"/>
      <c r="Q2123" s="84"/>
      <c r="R2123" s="84"/>
      <c r="S2123" s="84"/>
      <c r="T2123" s="84"/>
      <c r="U2123" s="84"/>
      <c r="V2123" s="84"/>
      <c r="W2123" s="84"/>
      <c r="X2123" s="84"/>
    </row>
    <row r="2124" ht="15.75" customHeight="1">
      <c r="A2124" s="14" t="s">
        <v>120</v>
      </c>
      <c r="B2124" s="14">
        <v>2011.0</v>
      </c>
      <c r="C2124" s="14" t="s">
        <v>22740</v>
      </c>
      <c r="D2124" s="14" t="s">
        <v>22741</v>
      </c>
      <c r="E2124" s="150" t="str">
        <f t="shared" si="28"/>
        <v>http://dx.doi.org/10.1109/VAST.2011.6102443</v>
      </c>
      <c r="F2124" s="14">
        <v>71.0</v>
      </c>
      <c r="G2124" s="14">
        <v>79.0</v>
      </c>
      <c r="H2124" s="14" t="s">
        <v>28</v>
      </c>
      <c r="I2124" s="14" t="s">
        <v>22743</v>
      </c>
      <c r="J2124" s="130" t="s">
        <v>22744</v>
      </c>
      <c r="K2124" s="152" t="s">
        <v>26772</v>
      </c>
      <c r="L2124" s="20" t="s">
        <v>22747</v>
      </c>
      <c r="M2124" s="174" t="s">
        <v>31565</v>
      </c>
      <c r="N2124" s="84"/>
      <c r="O2124" s="84"/>
      <c r="P2124" s="84"/>
      <c r="Q2124" s="84"/>
      <c r="R2124" s="84"/>
      <c r="S2124" s="84"/>
      <c r="T2124" s="84"/>
      <c r="U2124" s="84"/>
      <c r="V2124" s="84"/>
      <c r="W2124" s="84"/>
      <c r="X2124" s="84"/>
    </row>
    <row r="2125" ht="15.75" customHeight="1">
      <c r="A2125" s="14" t="s">
        <v>120</v>
      </c>
      <c r="B2125" s="14">
        <v>2011.0</v>
      </c>
      <c r="C2125" s="14" t="s">
        <v>22749</v>
      </c>
      <c r="D2125" s="14" t="s">
        <v>22750</v>
      </c>
      <c r="E2125" s="150" t="str">
        <f t="shared" si="28"/>
        <v>http://dx.doi.org/10.1109/VAST.2011.6102445</v>
      </c>
      <c r="F2125" s="14">
        <v>81.0</v>
      </c>
      <c r="G2125" s="14">
        <v>90.0</v>
      </c>
      <c r="H2125" s="14" t="s">
        <v>28</v>
      </c>
      <c r="I2125" s="14" t="s">
        <v>31372</v>
      </c>
      <c r="J2125" s="130" t="s">
        <v>22752</v>
      </c>
      <c r="K2125" s="152" t="s">
        <v>26786</v>
      </c>
      <c r="L2125" s="20" t="s">
        <v>22754</v>
      </c>
      <c r="M2125" s="16"/>
      <c r="N2125" s="84"/>
      <c r="O2125" s="84"/>
      <c r="P2125" s="84"/>
      <c r="Q2125" s="84"/>
      <c r="R2125" s="84"/>
      <c r="S2125" s="84"/>
      <c r="T2125" s="84"/>
      <c r="U2125" s="84"/>
      <c r="V2125" s="84"/>
      <c r="W2125" s="84"/>
      <c r="X2125" s="84"/>
    </row>
    <row r="2126" ht="15.75" customHeight="1">
      <c r="A2126" s="14" t="s">
        <v>120</v>
      </c>
      <c r="B2126" s="14">
        <v>2011.0</v>
      </c>
      <c r="C2126" s="14" t="s">
        <v>22755</v>
      </c>
      <c r="D2126" s="14" t="s">
        <v>22756</v>
      </c>
      <c r="E2126" s="150" t="str">
        <f t="shared" si="28"/>
        <v>http://dx.doi.org/10.1109/VAST.2011.6102446</v>
      </c>
      <c r="F2126" s="14">
        <v>91.0</v>
      </c>
      <c r="G2126" s="14">
        <v>100.0</v>
      </c>
      <c r="H2126" s="14" t="s">
        <v>28</v>
      </c>
      <c r="I2126" s="14" t="s">
        <v>31406</v>
      </c>
      <c r="J2126" s="130" t="s">
        <v>22758</v>
      </c>
      <c r="K2126" s="152" t="s">
        <v>26797</v>
      </c>
      <c r="L2126" s="20" t="s">
        <v>22761</v>
      </c>
      <c r="M2126" s="16"/>
      <c r="N2126" s="84"/>
      <c r="O2126" s="84"/>
      <c r="P2126" s="84"/>
      <c r="Q2126" s="84"/>
      <c r="R2126" s="84"/>
      <c r="S2126" s="84"/>
      <c r="T2126" s="84"/>
      <c r="U2126" s="84"/>
      <c r="V2126" s="84"/>
      <c r="W2126" s="84"/>
      <c r="X2126" s="84"/>
    </row>
    <row r="2127" ht="15.75" customHeight="1">
      <c r="A2127" s="14" t="s">
        <v>120</v>
      </c>
      <c r="B2127" s="14">
        <v>2011.0</v>
      </c>
      <c r="C2127" s="14" t="s">
        <v>22762</v>
      </c>
      <c r="D2127" s="14" t="s">
        <v>22763</v>
      </c>
      <c r="E2127" s="150" t="str">
        <f t="shared" si="28"/>
        <v>http://dx.doi.org/10.1109/VAST.2011.6102447</v>
      </c>
      <c r="F2127" s="14">
        <v>101.0</v>
      </c>
      <c r="G2127" s="14">
        <v>110.0</v>
      </c>
      <c r="H2127" s="14" t="s">
        <v>28</v>
      </c>
      <c r="I2127" s="14" t="s">
        <v>22765</v>
      </c>
      <c r="J2127" s="130" t="s">
        <v>22766</v>
      </c>
      <c r="K2127" s="152" t="s">
        <v>25727</v>
      </c>
      <c r="L2127" s="20" t="s">
        <v>22770</v>
      </c>
      <c r="M2127" s="174" t="s">
        <v>22771</v>
      </c>
      <c r="N2127" s="84"/>
      <c r="O2127" s="84"/>
      <c r="P2127" s="84"/>
      <c r="Q2127" s="84"/>
      <c r="R2127" s="84"/>
      <c r="S2127" s="84"/>
      <c r="T2127" s="84"/>
      <c r="U2127" s="84"/>
      <c r="V2127" s="84"/>
      <c r="W2127" s="84"/>
      <c r="X2127" s="84"/>
    </row>
    <row r="2128" ht="15.75" customHeight="1">
      <c r="A2128" s="14" t="s">
        <v>120</v>
      </c>
      <c r="B2128" s="14">
        <v>2011.0</v>
      </c>
      <c r="C2128" s="14" t="s">
        <v>22772</v>
      </c>
      <c r="D2128" s="14" t="s">
        <v>22773</v>
      </c>
      <c r="E2128" s="150" t="str">
        <f t="shared" si="28"/>
        <v>http://dx.doi.org/10.1109/VAST.2011.6102448</v>
      </c>
      <c r="F2128" s="14">
        <v>111.0</v>
      </c>
      <c r="G2128" s="14">
        <v>120.0</v>
      </c>
      <c r="H2128" s="14" t="s">
        <v>28</v>
      </c>
      <c r="I2128" s="14" t="s">
        <v>22774</v>
      </c>
      <c r="J2128" s="130" t="s">
        <v>22775</v>
      </c>
      <c r="K2128" s="152" t="s">
        <v>26821</v>
      </c>
      <c r="L2128" s="20" t="s">
        <v>22777</v>
      </c>
      <c r="M2128" s="16"/>
      <c r="N2128" s="84"/>
      <c r="O2128" s="84"/>
      <c r="P2128" s="84"/>
      <c r="Q2128" s="84"/>
      <c r="R2128" s="84"/>
      <c r="S2128" s="84"/>
      <c r="T2128" s="84"/>
      <c r="U2128" s="84"/>
      <c r="V2128" s="84"/>
      <c r="W2128" s="84"/>
      <c r="X2128" s="84"/>
    </row>
    <row r="2129" ht="15.75" customHeight="1">
      <c r="A2129" s="14" t="s">
        <v>120</v>
      </c>
      <c r="B2129" s="14">
        <v>2011.0</v>
      </c>
      <c r="C2129" s="14" t="s">
        <v>22778</v>
      </c>
      <c r="D2129" s="14" t="s">
        <v>22779</v>
      </c>
      <c r="E2129" s="150" t="str">
        <f t="shared" si="28"/>
        <v>http://dx.doi.org/10.1109/VAST.2011.6102449</v>
      </c>
      <c r="F2129" s="14">
        <v>121.0</v>
      </c>
      <c r="G2129" s="14">
        <v>130.0</v>
      </c>
      <c r="H2129" s="14" t="s">
        <v>28</v>
      </c>
      <c r="I2129" s="14" t="s">
        <v>31403</v>
      </c>
      <c r="J2129" s="130" t="s">
        <v>22781</v>
      </c>
      <c r="K2129" s="152" t="s">
        <v>25715</v>
      </c>
      <c r="L2129" s="20"/>
      <c r="M2129" s="174" t="s">
        <v>22783</v>
      </c>
      <c r="N2129" s="84"/>
      <c r="O2129" s="84"/>
      <c r="P2129" s="84"/>
      <c r="Q2129" s="84"/>
      <c r="R2129" s="84"/>
      <c r="S2129" s="84"/>
      <c r="T2129" s="84"/>
      <c r="U2129" s="84"/>
      <c r="V2129" s="84"/>
      <c r="W2129" s="84"/>
      <c r="X2129" s="84"/>
    </row>
    <row r="2130" ht="15.75" customHeight="1">
      <c r="A2130" s="14" t="s">
        <v>120</v>
      </c>
      <c r="B2130" s="14">
        <v>2011.0</v>
      </c>
      <c r="C2130" s="14" t="s">
        <v>22785</v>
      </c>
      <c r="D2130" s="14" t="s">
        <v>22786</v>
      </c>
      <c r="E2130" s="150" t="str">
        <f t="shared" si="28"/>
        <v>http://dx.doi.org/10.1109/VAST.2011.6102450</v>
      </c>
      <c r="F2130" s="14">
        <v>131.0</v>
      </c>
      <c r="G2130" s="14">
        <v>140.0</v>
      </c>
      <c r="H2130" s="14" t="s">
        <v>28</v>
      </c>
      <c r="I2130" s="14" t="s">
        <v>22788</v>
      </c>
      <c r="J2130" s="130" t="s">
        <v>22789</v>
      </c>
      <c r="K2130" s="152" t="s">
        <v>26846</v>
      </c>
      <c r="L2130" s="20" t="s">
        <v>22791</v>
      </c>
      <c r="M2130" s="174" t="s">
        <v>22792</v>
      </c>
      <c r="N2130" s="84"/>
      <c r="O2130" s="84"/>
      <c r="P2130" s="84"/>
      <c r="Q2130" s="84"/>
      <c r="R2130" s="84"/>
      <c r="S2130" s="84"/>
      <c r="T2130" s="84"/>
      <c r="U2130" s="84"/>
      <c r="V2130" s="84"/>
      <c r="W2130" s="84"/>
      <c r="X2130" s="84"/>
    </row>
    <row r="2131" ht="15.75" customHeight="1">
      <c r="A2131" s="14" t="s">
        <v>120</v>
      </c>
      <c r="B2131" s="14">
        <v>2011.0</v>
      </c>
      <c r="C2131" s="14" t="s">
        <v>22793</v>
      </c>
      <c r="D2131" s="14" t="s">
        <v>22794</v>
      </c>
      <c r="E2131" s="150" t="str">
        <f t="shared" si="28"/>
        <v>http://dx.doi.org/10.1109/VAST.2011.6102451</v>
      </c>
      <c r="F2131" s="14">
        <v>141.0</v>
      </c>
      <c r="G2131" s="14">
        <v>149.0</v>
      </c>
      <c r="H2131" s="14" t="s">
        <v>28</v>
      </c>
      <c r="I2131" s="14" t="s">
        <v>22795</v>
      </c>
      <c r="J2131" s="130" t="s">
        <v>22796</v>
      </c>
      <c r="K2131" s="152" t="s">
        <v>26851</v>
      </c>
      <c r="L2131" s="20" t="s">
        <v>22799</v>
      </c>
      <c r="M2131" s="174" t="s">
        <v>31382</v>
      </c>
      <c r="N2131" s="84"/>
      <c r="O2131" s="84"/>
      <c r="P2131" s="84"/>
      <c r="Q2131" s="84"/>
      <c r="R2131" s="84"/>
      <c r="S2131" s="84"/>
      <c r="T2131" s="84"/>
      <c r="U2131" s="84"/>
      <c r="V2131" s="84"/>
      <c r="W2131" s="84"/>
      <c r="X2131" s="84"/>
    </row>
    <row r="2132" ht="15.75" customHeight="1">
      <c r="A2132" s="14" t="s">
        <v>120</v>
      </c>
      <c r="B2132" s="14">
        <v>2011.0</v>
      </c>
      <c r="C2132" s="14" t="s">
        <v>22801</v>
      </c>
      <c r="D2132" s="14" t="s">
        <v>22802</v>
      </c>
      <c r="E2132" s="150" t="str">
        <f t="shared" si="28"/>
        <v>http://dx.doi.org/10.1109/VAST.2011.6102453</v>
      </c>
      <c r="F2132" s="14">
        <v>151.0</v>
      </c>
      <c r="G2132" s="14">
        <v>160.0</v>
      </c>
      <c r="H2132" s="14" t="s">
        <v>28</v>
      </c>
      <c r="I2132" s="14" t="s">
        <v>22804</v>
      </c>
      <c r="J2132" s="130" t="s">
        <v>22805</v>
      </c>
      <c r="K2132" s="152" t="s">
        <v>25981</v>
      </c>
      <c r="L2132" s="20" t="s">
        <v>22807</v>
      </c>
      <c r="M2132" s="16"/>
      <c r="N2132" s="84"/>
      <c r="O2132" s="84"/>
      <c r="P2132" s="84"/>
      <c r="Q2132" s="84"/>
      <c r="R2132" s="84"/>
      <c r="S2132" s="84"/>
      <c r="T2132" s="84"/>
      <c r="U2132" s="84"/>
      <c r="V2132" s="84"/>
      <c r="W2132" s="84"/>
      <c r="X2132" s="84"/>
    </row>
    <row r="2133" ht="15.75" customHeight="1">
      <c r="A2133" s="14" t="s">
        <v>120</v>
      </c>
      <c r="B2133" s="14">
        <v>2011.0</v>
      </c>
      <c r="C2133" s="14" t="s">
        <v>22809</v>
      </c>
      <c r="D2133" s="14" t="s">
        <v>22810</v>
      </c>
      <c r="E2133" s="150" t="str">
        <f t="shared" si="28"/>
        <v>http://dx.doi.org/10.1109/VAST.2011.6102454</v>
      </c>
      <c r="F2133" s="14">
        <v>161.0</v>
      </c>
      <c r="G2133" s="14">
        <v>170.0</v>
      </c>
      <c r="H2133" s="14" t="s">
        <v>28</v>
      </c>
      <c r="I2133" s="14" t="s">
        <v>22811</v>
      </c>
      <c r="J2133" s="130" t="s">
        <v>22812</v>
      </c>
      <c r="K2133" s="152" t="s">
        <v>26870</v>
      </c>
      <c r="L2133" s="20" t="s">
        <v>22815</v>
      </c>
      <c r="M2133" s="174" t="s">
        <v>31338</v>
      </c>
      <c r="N2133" s="84"/>
      <c r="O2133" s="84"/>
      <c r="P2133" s="84"/>
      <c r="Q2133" s="84"/>
      <c r="R2133" s="84"/>
      <c r="S2133" s="84"/>
      <c r="T2133" s="84"/>
      <c r="U2133" s="84"/>
      <c r="V2133" s="84"/>
      <c r="W2133" s="84"/>
      <c r="X2133" s="84"/>
    </row>
    <row r="2134" ht="15.75" customHeight="1">
      <c r="A2134" s="14" t="s">
        <v>120</v>
      </c>
      <c r="B2134" s="14">
        <v>2011.0</v>
      </c>
      <c r="C2134" s="14" t="s">
        <v>22817</v>
      </c>
      <c r="D2134" s="14" t="s">
        <v>22818</v>
      </c>
      <c r="E2134" s="150" t="str">
        <f t="shared" si="28"/>
        <v>http://dx.doi.org/10.1109/VAST.2011.6102455</v>
      </c>
      <c r="F2134" s="14">
        <v>171.0</v>
      </c>
      <c r="G2134" s="14">
        <v>180.0</v>
      </c>
      <c r="H2134" s="14" t="s">
        <v>28</v>
      </c>
      <c r="I2134" s="14" t="s">
        <v>22819</v>
      </c>
      <c r="J2134" s="130" t="s">
        <v>22820</v>
      </c>
      <c r="K2134" s="152" t="s">
        <v>26881</v>
      </c>
      <c r="L2134" s="20" t="s">
        <v>22822</v>
      </c>
      <c r="M2134" s="16"/>
      <c r="N2134" s="84"/>
      <c r="O2134" s="84"/>
      <c r="P2134" s="84"/>
      <c r="Q2134" s="84"/>
      <c r="R2134" s="84"/>
      <c r="S2134" s="84"/>
      <c r="T2134" s="84"/>
      <c r="U2134" s="84"/>
      <c r="V2134" s="84"/>
      <c r="W2134" s="84"/>
      <c r="X2134" s="84"/>
    </row>
    <row r="2135" ht="15.75" customHeight="1">
      <c r="A2135" s="14" t="s">
        <v>120</v>
      </c>
      <c r="B2135" s="14">
        <v>2011.0</v>
      </c>
      <c r="C2135" s="14" t="s">
        <v>22823</v>
      </c>
      <c r="D2135" s="14" t="s">
        <v>22824</v>
      </c>
      <c r="E2135" s="150" t="str">
        <f t="shared" si="28"/>
        <v>http://dx.doi.org/10.1109/VAST.2011.6102456</v>
      </c>
      <c r="F2135" s="14">
        <v>181.0</v>
      </c>
      <c r="G2135" s="14">
        <v>190.0</v>
      </c>
      <c r="H2135" s="14" t="s">
        <v>28</v>
      </c>
      <c r="I2135" s="14" t="s">
        <v>22827</v>
      </c>
      <c r="J2135" s="130" t="s">
        <v>22828</v>
      </c>
      <c r="K2135" s="152" t="s">
        <v>26892</v>
      </c>
      <c r="L2135" s="20" t="s">
        <v>22831</v>
      </c>
      <c r="M2135" s="174" t="s">
        <v>22832</v>
      </c>
      <c r="N2135" s="84"/>
      <c r="O2135" s="84"/>
      <c r="P2135" s="84"/>
      <c r="Q2135" s="84"/>
      <c r="R2135" s="84"/>
      <c r="S2135" s="84"/>
      <c r="T2135" s="84"/>
      <c r="U2135" s="84"/>
      <c r="V2135" s="84"/>
      <c r="W2135" s="84"/>
      <c r="X2135" s="84"/>
    </row>
    <row r="2136" ht="15.75" customHeight="1">
      <c r="A2136" s="14" t="s">
        <v>120</v>
      </c>
      <c r="B2136" s="14">
        <v>2011.0</v>
      </c>
      <c r="C2136" s="14" t="s">
        <v>22833</v>
      </c>
      <c r="D2136" s="14" t="s">
        <v>22834</v>
      </c>
      <c r="E2136" s="150" t="str">
        <f t="shared" si="28"/>
        <v>http://dx.doi.org/10.1109/VAST.2011.6102457</v>
      </c>
      <c r="F2136" s="14">
        <v>191.0</v>
      </c>
      <c r="G2136" s="14">
        <v>200.0</v>
      </c>
      <c r="H2136" s="14" t="s">
        <v>28</v>
      </c>
      <c r="I2136" s="14" t="s">
        <v>22835</v>
      </c>
      <c r="J2136" s="130" t="s">
        <v>22836</v>
      </c>
      <c r="K2136" s="152" t="s">
        <v>26908</v>
      </c>
      <c r="L2136" s="20" t="s">
        <v>22838</v>
      </c>
      <c r="M2136" s="16"/>
      <c r="N2136" s="84"/>
      <c r="O2136" s="84"/>
      <c r="P2136" s="84"/>
      <c r="Q2136" s="84"/>
      <c r="R2136" s="84"/>
      <c r="S2136" s="84"/>
      <c r="T2136" s="84"/>
      <c r="U2136" s="84"/>
      <c r="V2136" s="84"/>
      <c r="W2136" s="84"/>
      <c r="X2136" s="84"/>
    </row>
    <row r="2137" ht="15.75" customHeight="1">
      <c r="A2137" s="14" t="s">
        <v>120</v>
      </c>
      <c r="B2137" s="14">
        <v>2011.0</v>
      </c>
      <c r="C2137" s="14" t="s">
        <v>22840</v>
      </c>
      <c r="D2137" s="14" t="s">
        <v>22841</v>
      </c>
      <c r="E2137" s="150" t="str">
        <f t="shared" si="28"/>
        <v>http://dx.doi.org/10.1109/VAST.2011.6102458</v>
      </c>
      <c r="F2137" s="14">
        <v>201.0</v>
      </c>
      <c r="G2137" s="14">
        <v>210.0</v>
      </c>
      <c r="H2137" s="14" t="s">
        <v>28</v>
      </c>
      <c r="I2137" s="14" t="s">
        <v>22842</v>
      </c>
      <c r="J2137" s="130" t="s">
        <v>22843</v>
      </c>
      <c r="K2137" s="152" t="s">
        <v>26919</v>
      </c>
      <c r="L2137" s="20" t="s">
        <v>22845</v>
      </c>
      <c r="M2137" s="16"/>
      <c r="N2137" s="84"/>
      <c r="O2137" s="84"/>
      <c r="P2137" s="84"/>
      <c r="Q2137" s="84"/>
      <c r="R2137" s="84"/>
      <c r="S2137" s="84"/>
      <c r="T2137" s="84"/>
      <c r="U2137" s="84"/>
      <c r="V2137" s="84"/>
      <c r="W2137" s="84"/>
      <c r="X2137" s="84"/>
    </row>
    <row r="2138" ht="15.75" customHeight="1">
      <c r="A2138" s="14" t="s">
        <v>120</v>
      </c>
      <c r="B2138" s="14">
        <v>2011.0</v>
      </c>
      <c r="C2138" s="14" t="s">
        <v>22846</v>
      </c>
      <c r="D2138" s="14" t="s">
        <v>22847</v>
      </c>
      <c r="E2138" s="150" t="str">
        <f t="shared" si="28"/>
        <v>http://dx.doi.org/10.1109/VAST.2011.6102459</v>
      </c>
      <c r="F2138" s="14">
        <v>211.0</v>
      </c>
      <c r="G2138" s="14">
        <v>220.0</v>
      </c>
      <c r="H2138" s="14" t="s">
        <v>28</v>
      </c>
      <c r="I2138" s="14" t="s">
        <v>22848</v>
      </c>
      <c r="J2138" s="130" t="s">
        <v>22849</v>
      </c>
      <c r="K2138" s="152" t="s">
        <v>26930</v>
      </c>
      <c r="L2138" s="20" t="s">
        <v>22852</v>
      </c>
      <c r="M2138" s="174" t="s">
        <v>22853</v>
      </c>
      <c r="N2138" s="84"/>
      <c r="O2138" s="84"/>
      <c r="P2138" s="84"/>
      <c r="Q2138" s="84"/>
      <c r="R2138" s="84"/>
      <c r="S2138" s="84"/>
      <c r="T2138" s="84"/>
      <c r="U2138" s="84"/>
      <c r="V2138" s="84"/>
      <c r="W2138" s="84"/>
      <c r="X2138" s="84"/>
    </row>
    <row r="2139" ht="15.75" customHeight="1">
      <c r="A2139" s="14" t="s">
        <v>120</v>
      </c>
      <c r="B2139" s="14">
        <v>2011.0</v>
      </c>
      <c r="C2139" s="14" t="s">
        <v>22854</v>
      </c>
      <c r="D2139" s="14" t="s">
        <v>22855</v>
      </c>
      <c r="E2139" s="150" t="str">
        <f t="shared" si="28"/>
        <v>http://dx.doi.org/10.1109/VAST.2011.6102460</v>
      </c>
      <c r="F2139" s="14">
        <v>221.0</v>
      </c>
      <c r="G2139" s="14">
        <v>230.0</v>
      </c>
      <c r="H2139" s="14" t="s">
        <v>28</v>
      </c>
      <c r="I2139" s="14" t="s">
        <v>22857</v>
      </c>
      <c r="J2139" s="130" t="s">
        <v>22858</v>
      </c>
      <c r="K2139" s="152" t="s">
        <v>26941</v>
      </c>
      <c r="L2139" s="20" t="s">
        <v>22860</v>
      </c>
      <c r="M2139" s="174" t="s">
        <v>22861</v>
      </c>
      <c r="N2139" s="84"/>
      <c r="O2139" s="84"/>
      <c r="P2139" s="84"/>
      <c r="Q2139" s="84"/>
      <c r="R2139" s="84"/>
      <c r="S2139" s="84"/>
      <c r="T2139" s="84"/>
      <c r="U2139" s="84"/>
      <c r="V2139" s="84"/>
      <c r="W2139" s="84"/>
      <c r="X2139" s="84"/>
    </row>
    <row r="2140" ht="15.75" customHeight="1">
      <c r="A2140" s="14" t="s">
        <v>120</v>
      </c>
      <c r="B2140" s="14">
        <v>2011.0</v>
      </c>
      <c r="C2140" s="14" t="s">
        <v>22863</v>
      </c>
      <c r="D2140" s="14" t="s">
        <v>22864</v>
      </c>
      <c r="E2140" s="150" t="str">
        <f t="shared" si="28"/>
        <v>http://dx.doi.org/10.1109/VAST.2011.6102461</v>
      </c>
      <c r="F2140" s="14">
        <v>231.0</v>
      </c>
      <c r="G2140" s="14">
        <v>240.0</v>
      </c>
      <c r="H2140" s="14" t="s">
        <v>28</v>
      </c>
      <c r="I2140" s="14" t="s">
        <v>22865</v>
      </c>
      <c r="J2140" s="130" t="s">
        <v>22866</v>
      </c>
      <c r="K2140" s="152" t="s">
        <v>26960</v>
      </c>
      <c r="L2140" s="20" t="s">
        <v>22868</v>
      </c>
      <c r="M2140" s="16"/>
      <c r="N2140" s="84"/>
      <c r="O2140" s="84"/>
      <c r="P2140" s="84"/>
      <c r="Q2140" s="84"/>
      <c r="R2140" s="84"/>
      <c r="S2140" s="84"/>
      <c r="T2140" s="84"/>
      <c r="U2140" s="84"/>
      <c r="V2140" s="84"/>
      <c r="W2140" s="84"/>
      <c r="X2140" s="84"/>
    </row>
    <row r="2141" ht="15.75" customHeight="1">
      <c r="A2141" s="14" t="s">
        <v>120</v>
      </c>
      <c r="B2141" s="14">
        <v>2011.0</v>
      </c>
      <c r="C2141" s="14" t="s">
        <v>22869</v>
      </c>
      <c r="D2141" s="14" t="s">
        <v>22870</v>
      </c>
      <c r="E2141" s="150" t="str">
        <f t="shared" si="28"/>
        <v>http://dx.doi.org/10.1109/VAST.2011.6102462</v>
      </c>
      <c r="F2141" s="14">
        <v>241.0</v>
      </c>
      <c r="G2141" s="14">
        <v>250.0</v>
      </c>
      <c r="H2141" s="14" t="s">
        <v>28</v>
      </c>
      <c r="I2141" s="14" t="s">
        <v>22871</v>
      </c>
      <c r="J2141" s="130" t="s">
        <v>22872</v>
      </c>
      <c r="K2141" s="152" t="s">
        <v>26963</v>
      </c>
      <c r="L2141" s="20" t="s">
        <v>22875</v>
      </c>
      <c r="M2141" s="174" t="s">
        <v>22876</v>
      </c>
      <c r="N2141" s="84"/>
      <c r="O2141" s="84"/>
      <c r="P2141" s="84"/>
      <c r="Q2141" s="84"/>
      <c r="R2141" s="84"/>
      <c r="S2141" s="84"/>
      <c r="T2141" s="84"/>
      <c r="U2141" s="84"/>
      <c r="V2141" s="84"/>
      <c r="W2141" s="84"/>
      <c r="X2141" s="84"/>
    </row>
    <row r="2142" ht="15.75" customHeight="1">
      <c r="A2142" s="14" t="s">
        <v>120</v>
      </c>
      <c r="B2142" s="14">
        <v>2011.0</v>
      </c>
      <c r="C2142" s="14" t="s">
        <v>22878</v>
      </c>
      <c r="D2142" s="14" t="s">
        <v>22879</v>
      </c>
      <c r="E2142" s="150" t="str">
        <f t="shared" si="28"/>
        <v>http://dx.doi.org/10.1109/VAST.2011.6102463</v>
      </c>
      <c r="F2142" s="14">
        <v>251.0</v>
      </c>
      <c r="G2142" s="14">
        <v>260.0</v>
      </c>
      <c r="H2142" s="14" t="s">
        <v>28</v>
      </c>
      <c r="I2142" s="14" t="s">
        <v>22881</v>
      </c>
      <c r="J2142" s="130" t="s">
        <v>22882</v>
      </c>
      <c r="K2142" s="152" t="s">
        <v>26965</v>
      </c>
      <c r="L2142" s="20" t="s">
        <v>22884</v>
      </c>
      <c r="M2142" s="174" t="s">
        <v>22885</v>
      </c>
      <c r="N2142" s="84"/>
      <c r="O2142" s="84"/>
      <c r="P2142" s="84"/>
      <c r="Q2142" s="84"/>
      <c r="R2142" s="84"/>
      <c r="S2142" s="84"/>
      <c r="T2142" s="84"/>
      <c r="U2142" s="84"/>
      <c r="V2142" s="84"/>
      <c r="W2142" s="84"/>
      <c r="X2142" s="84"/>
    </row>
    <row r="2143" ht="15.75" customHeight="1">
      <c r="A2143" s="14" t="s">
        <v>120</v>
      </c>
      <c r="B2143" s="14">
        <v>2011.0</v>
      </c>
      <c r="C2143" s="14" t="s">
        <v>22886</v>
      </c>
      <c r="D2143" s="14" t="s">
        <v>22887</v>
      </c>
      <c r="E2143" s="150" t="str">
        <f t="shared" si="28"/>
        <v>http://dx.doi.org/10.1109/VAST.2011.6102465</v>
      </c>
      <c r="F2143" s="14">
        <v>263.0</v>
      </c>
      <c r="G2143" s="14">
        <v>264.0</v>
      </c>
      <c r="H2143" s="14" t="s">
        <v>21</v>
      </c>
      <c r="I2143" s="14" t="s">
        <v>22888</v>
      </c>
      <c r="J2143" s="130" t="s">
        <v>22889</v>
      </c>
      <c r="K2143" s="152" t="s">
        <v>25331</v>
      </c>
      <c r="L2143" s="20"/>
      <c r="M2143" s="16"/>
      <c r="N2143" s="84"/>
      <c r="O2143" s="84"/>
      <c r="P2143" s="84"/>
      <c r="Q2143" s="84"/>
      <c r="R2143" s="84"/>
      <c r="S2143" s="84"/>
      <c r="T2143" s="84"/>
      <c r="U2143" s="84"/>
      <c r="V2143" s="84"/>
      <c r="W2143" s="84"/>
      <c r="X2143" s="84"/>
    </row>
    <row r="2144" ht="15.75" customHeight="1">
      <c r="A2144" s="14" t="s">
        <v>120</v>
      </c>
      <c r="B2144" s="14">
        <v>2011.0</v>
      </c>
      <c r="C2144" s="14" t="s">
        <v>22892</v>
      </c>
      <c r="D2144" s="14" t="s">
        <v>22893</v>
      </c>
      <c r="E2144" s="150" t="str">
        <f t="shared" si="28"/>
        <v>http://dx.doi.org/10.1109/VAST.2011.6102466</v>
      </c>
      <c r="F2144" s="14">
        <v>265.0</v>
      </c>
      <c r="G2144" s="14">
        <v>266.0</v>
      </c>
      <c r="H2144" s="121" t="s">
        <v>21</v>
      </c>
      <c r="I2144" s="14" t="s">
        <v>31306</v>
      </c>
      <c r="J2144" s="130" t="s">
        <v>22898</v>
      </c>
      <c r="K2144" s="152" t="s">
        <v>26969</v>
      </c>
      <c r="L2144" s="20"/>
      <c r="M2144" s="16"/>
      <c r="N2144" s="84"/>
      <c r="O2144" s="84"/>
      <c r="P2144" s="84"/>
      <c r="Q2144" s="84"/>
      <c r="R2144" s="84"/>
      <c r="S2144" s="84"/>
      <c r="T2144" s="84"/>
      <c r="U2144" s="84"/>
      <c r="V2144" s="84"/>
      <c r="W2144" s="84"/>
      <c r="X2144" s="84"/>
    </row>
    <row r="2145" ht="15.75" customHeight="1">
      <c r="A2145" s="14" t="s">
        <v>120</v>
      </c>
      <c r="B2145" s="14">
        <v>2011.0</v>
      </c>
      <c r="C2145" s="14" t="s">
        <v>22901</v>
      </c>
      <c r="D2145" s="14" t="s">
        <v>22903</v>
      </c>
      <c r="E2145" s="150" t="str">
        <f t="shared" si="28"/>
        <v>http://dx.doi.org/10.1109/VAST.2011.6102467</v>
      </c>
      <c r="F2145" s="14">
        <v>267.0</v>
      </c>
      <c r="G2145" s="14">
        <v>268.0</v>
      </c>
      <c r="H2145" s="14" t="s">
        <v>21</v>
      </c>
      <c r="I2145" s="14" t="s">
        <v>22905</v>
      </c>
      <c r="J2145" s="130" t="s">
        <v>22906</v>
      </c>
      <c r="K2145" s="152" t="s">
        <v>26971</v>
      </c>
      <c r="L2145" s="20"/>
      <c r="M2145" s="16"/>
      <c r="N2145" s="84"/>
      <c r="O2145" s="84"/>
      <c r="P2145" s="84"/>
      <c r="Q2145" s="84"/>
      <c r="R2145" s="84"/>
      <c r="S2145" s="84"/>
      <c r="T2145" s="84"/>
      <c r="U2145" s="84"/>
      <c r="V2145" s="84"/>
      <c r="W2145" s="84"/>
      <c r="X2145" s="84"/>
    </row>
    <row r="2146" ht="15.75" customHeight="1">
      <c r="A2146" s="14" t="s">
        <v>120</v>
      </c>
      <c r="B2146" s="14">
        <v>2011.0</v>
      </c>
      <c r="C2146" s="14" t="s">
        <v>22909</v>
      </c>
      <c r="D2146" s="14" t="s">
        <v>22910</v>
      </c>
      <c r="E2146" s="150" t="str">
        <f t="shared" si="28"/>
        <v>http://dx.doi.org/10.1109/VAST.2011.6102468</v>
      </c>
      <c r="F2146" s="14">
        <v>269.0</v>
      </c>
      <c r="G2146" s="14">
        <v>270.0</v>
      </c>
      <c r="H2146" s="14" t="s">
        <v>21</v>
      </c>
      <c r="I2146" s="14" t="s">
        <v>22911</v>
      </c>
      <c r="J2146" s="130" t="s">
        <v>22912</v>
      </c>
      <c r="K2146" s="152" t="s">
        <v>178</v>
      </c>
      <c r="L2146" s="20"/>
      <c r="M2146" s="16"/>
      <c r="N2146" s="84"/>
      <c r="O2146" s="84"/>
      <c r="P2146" s="84"/>
      <c r="Q2146" s="84"/>
      <c r="R2146" s="84"/>
      <c r="S2146" s="84"/>
      <c r="T2146" s="84"/>
      <c r="U2146" s="84"/>
      <c r="V2146" s="84"/>
      <c r="W2146" s="84"/>
      <c r="X2146" s="84"/>
    </row>
    <row r="2147" ht="15.75" customHeight="1">
      <c r="A2147" s="14" t="s">
        <v>120</v>
      </c>
      <c r="B2147" s="14">
        <v>2011.0</v>
      </c>
      <c r="C2147" s="14" t="s">
        <v>22913</v>
      </c>
      <c r="D2147" s="14" t="s">
        <v>22914</v>
      </c>
      <c r="E2147" s="150" t="str">
        <f t="shared" si="28"/>
        <v>http://dx.doi.org/10.1109/VAST.2011.6102469</v>
      </c>
      <c r="F2147" s="14">
        <v>271.0</v>
      </c>
      <c r="G2147" s="14">
        <v>272.0</v>
      </c>
      <c r="H2147" s="121" t="s">
        <v>21</v>
      </c>
      <c r="I2147" s="14" t="s">
        <v>22916</v>
      </c>
      <c r="J2147" s="130" t="s">
        <v>22917</v>
      </c>
      <c r="K2147" s="152" t="s">
        <v>26974</v>
      </c>
      <c r="L2147" s="20"/>
      <c r="M2147" s="16"/>
      <c r="N2147" s="84"/>
      <c r="O2147" s="84"/>
      <c r="P2147" s="84"/>
      <c r="Q2147" s="84"/>
      <c r="R2147" s="84"/>
      <c r="S2147" s="84"/>
      <c r="T2147" s="84"/>
      <c r="U2147" s="84"/>
      <c r="V2147" s="84"/>
      <c r="W2147" s="84"/>
      <c r="X2147" s="84"/>
    </row>
    <row r="2148" ht="15.75" customHeight="1">
      <c r="A2148" s="14" t="s">
        <v>120</v>
      </c>
      <c r="B2148" s="14">
        <v>2011.0</v>
      </c>
      <c r="C2148" s="14" t="s">
        <v>22927</v>
      </c>
      <c r="D2148" s="14" t="s">
        <v>22928</v>
      </c>
      <c r="E2148" s="150" t="str">
        <f t="shared" si="28"/>
        <v>http://dx.doi.org/10.1109/VAST.2011.6102470</v>
      </c>
      <c r="F2148" s="14">
        <v>273.0</v>
      </c>
      <c r="G2148" s="14">
        <v>274.0</v>
      </c>
      <c r="H2148" s="14" t="s">
        <v>21</v>
      </c>
      <c r="I2148" s="14" t="s">
        <v>22930</v>
      </c>
      <c r="J2148" s="130" t="s">
        <v>22931</v>
      </c>
      <c r="K2148" s="152" t="s">
        <v>26976</v>
      </c>
      <c r="L2148" s="20"/>
      <c r="M2148" s="16"/>
      <c r="N2148" s="84"/>
      <c r="O2148" s="84"/>
      <c r="P2148" s="84"/>
      <c r="Q2148" s="84"/>
      <c r="R2148" s="84"/>
      <c r="S2148" s="84"/>
      <c r="T2148" s="84"/>
      <c r="U2148" s="84"/>
      <c r="V2148" s="84"/>
      <c r="W2148" s="84"/>
      <c r="X2148" s="84"/>
    </row>
    <row r="2149" ht="15.75" customHeight="1">
      <c r="A2149" s="14" t="s">
        <v>120</v>
      </c>
      <c r="B2149" s="14">
        <v>2011.0</v>
      </c>
      <c r="C2149" s="14" t="s">
        <v>22933</v>
      </c>
      <c r="D2149" s="14" t="s">
        <v>22934</v>
      </c>
      <c r="E2149" s="150" t="str">
        <f t="shared" si="28"/>
        <v>http://dx.doi.org/10.1109/VAST.2011.6102471</v>
      </c>
      <c r="F2149" s="14">
        <v>275.0</v>
      </c>
      <c r="G2149" s="14">
        <v>276.0</v>
      </c>
      <c r="H2149" s="14" t="s">
        <v>21</v>
      </c>
      <c r="I2149" s="14" t="s">
        <v>22936</v>
      </c>
      <c r="J2149" s="130" t="s">
        <v>22937</v>
      </c>
      <c r="K2149" s="152" t="s">
        <v>26979</v>
      </c>
      <c r="L2149" s="20"/>
      <c r="M2149" s="16"/>
      <c r="N2149" s="84"/>
      <c r="O2149" s="84"/>
      <c r="P2149" s="84"/>
      <c r="Q2149" s="84"/>
      <c r="R2149" s="84"/>
      <c r="S2149" s="84"/>
      <c r="T2149" s="84"/>
      <c r="U2149" s="84"/>
      <c r="V2149" s="84"/>
      <c r="W2149" s="84"/>
      <c r="X2149" s="84"/>
    </row>
    <row r="2150" ht="15.75" customHeight="1">
      <c r="A2150" s="14" t="s">
        <v>120</v>
      </c>
      <c r="B2150" s="14">
        <v>2011.0</v>
      </c>
      <c r="C2150" s="14" t="s">
        <v>22940</v>
      </c>
      <c r="D2150" s="14" t="s">
        <v>22941</v>
      </c>
      <c r="E2150" s="150" t="str">
        <f t="shared" si="28"/>
        <v>http://dx.doi.org/10.1109/VAST.2011.6102472</v>
      </c>
      <c r="F2150" s="14">
        <v>277.0</v>
      </c>
      <c r="G2150" s="14">
        <v>278.0</v>
      </c>
      <c r="H2150" s="14" t="s">
        <v>21</v>
      </c>
      <c r="I2150" s="14" t="s">
        <v>22942</v>
      </c>
      <c r="J2150" s="130" t="s">
        <v>22943</v>
      </c>
      <c r="K2150" s="152" t="s">
        <v>26982</v>
      </c>
      <c r="L2150" s="20"/>
      <c r="M2150" s="16"/>
      <c r="N2150" s="84"/>
      <c r="O2150" s="84"/>
      <c r="P2150" s="84"/>
      <c r="Q2150" s="84"/>
      <c r="R2150" s="84"/>
      <c r="S2150" s="84"/>
      <c r="T2150" s="84"/>
      <c r="U2150" s="84"/>
      <c r="V2150" s="84"/>
      <c r="W2150" s="84"/>
      <c r="X2150" s="84"/>
    </row>
    <row r="2151" ht="15.75" customHeight="1">
      <c r="A2151" s="14" t="s">
        <v>120</v>
      </c>
      <c r="B2151" s="14">
        <v>2011.0</v>
      </c>
      <c r="C2151" s="14" t="s">
        <v>22946</v>
      </c>
      <c r="D2151" s="14" t="s">
        <v>22947</v>
      </c>
      <c r="E2151" s="150" t="str">
        <f t="shared" si="28"/>
        <v>http://dx.doi.org/10.1109/VAST.2011.6102473</v>
      </c>
      <c r="F2151" s="14">
        <v>279.0</v>
      </c>
      <c r="G2151" s="14">
        <v>280.0</v>
      </c>
      <c r="H2151" s="14" t="s">
        <v>21</v>
      </c>
      <c r="I2151" s="14" t="s">
        <v>22949</v>
      </c>
      <c r="J2151" s="130" t="s">
        <v>22951</v>
      </c>
      <c r="K2151" s="152" t="s">
        <v>26984</v>
      </c>
      <c r="L2151" s="20"/>
      <c r="M2151" s="16"/>
      <c r="N2151" s="84"/>
      <c r="O2151" s="84"/>
      <c r="P2151" s="84"/>
      <c r="Q2151" s="84"/>
      <c r="R2151" s="84"/>
      <c r="S2151" s="84"/>
      <c r="T2151" s="84"/>
      <c r="U2151" s="84"/>
      <c r="V2151" s="84"/>
      <c r="W2151" s="84"/>
      <c r="X2151" s="84"/>
    </row>
    <row r="2152" ht="15.75" customHeight="1">
      <c r="A2152" s="14" t="s">
        <v>120</v>
      </c>
      <c r="B2152" s="14">
        <v>2011.0</v>
      </c>
      <c r="C2152" s="14" t="s">
        <v>22954</v>
      </c>
      <c r="D2152" s="14" t="s">
        <v>22955</v>
      </c>
      <c r="E2152" s="150" t="str">
        <f t="shared" si="28"/>
        <v>http://dx.doi.org/10.1109/VAST.2011.6102474</v>
      </c>
      <c r="F2152" s="14">
        <v>281.0</v>
      </c>
      <c r="G2152" s="14">
        <v>282.0</v>
      </c>
      <c r="H2152" s="14" t="s">
        <v>21</v>
      </c>
      <c r="I2152" s="14" t="s">
        <v>26986</v>
      </c>
      <c r="J2152" s="130" t="s">
        <v>22957</v>
      </c>
      <c r="K2152" s="152" t="s">
        <v>26987</v>
      </c>
      <c r="L2152" s="20"/>
      <c r="M2152" s="16"/>
      <c r="N2152" s="84"/>
      <c r="O2152" s="84"/>
      <c r="P2152" s="84"/>
      <c r="Q2152" s="84"/>
      <c r="R2152" s="84"/>
      <c r="S2152" s="84"/>
      <c r="T2152" s="84"/>
      <c r="U2152" s="84"/>
      <c r="V2152" s="84"/>
      <c r="W2152" s="84"/>
      <c r="X2152" s="84"/>
    </row>
    <row r="2153" ht="15.75" customHeight="1">
      <c r="A2153" s="14" t="s">
        <v>120</v>
      </c>
      <c r="B2153" s="14">
        <v>2011.0</v>
      </c>
      <c r="C2153" s="14" t="s">
        <v>22959</v>
      </c>
      <c r="D2153" s="14" t="s">
        <v>22960</v>
      </c>
      <c r="E2153" s="150" t="str">
        <f t="shared" si="28"/>
        <v>http://dx.doi.org/10.1109/VAST.2011.6102475</v>
      </c>
      <c r="F2153" s="14">
        <v>283.0</v>
      </c>
      <c r="G2153" s="14">
        <v>284.0</v>
      </c>
      <c r="H2153" s="14" t="s">
        <v>21</v>
      </c>
      <c r="I2153" s="14" t="s">
        <v>22961</v>
      </c>
      <c r="J2153" s="130" t="s">
        <v>22962</v>
      </c>
      <c r="K2153" s="152" t="s">
        <v>26989</v>
      </c>
      <c r="L2153" s="20"/>
      <c r="M2153" s="16"/>
      <c r="N2153" s="84"/>
      <c r="O2153" s="84"/>
      <c r="P2153" s="84"/>
      <c r="Q2153" s="84"/>
      <c r="R2153" s="84"/>
      <c r="S2153" s="84"/>
      <c r="T2153" s="84"/>
      <c r="U2153" s="84"/>
      <c r="V2153" s="84"/>
      <c r="W2153" s="84"/>
      <c r="X2153" s="84"/>
    </row>
    <row r="2154" ht="15.75" customHeight="1">
      <c r="A2154" s="14" t="s">
        <v>120</v>
      </c>
      <c r="B2154" s="14">
        <v>2011.0</v>
      </c>
      <c r="C2154" s="42" t="s">
        <v>22965</v>
      </c>
      <c r="D2154" s="14" t="s">
        <v>22966</v>
      </c>
      <c r="E2154" s="150" t="s">
        <v>22967</v>
      </c>
      <c r="F2154" s="14">
        <v>285.0</v>
      </c>
      <c r="G2154" s="14">
        <v>286.0</v>
      </c>
      <c r="H2154" s="121" t="s">
        <v>21</v>
      </c>
      <c r="I2154" s="121" t="s">
        <v>22970</v>
      </c>
      <c r="J2154" s="130" t="s">
        <v>22971</v>
      </c>
      <c r="K2154" s="163" t="s">
        <v>26990</v>
      </c>
      <c r="L2154" s="20"/>
      <c r="M2154" s="16"/>
      <c r="N2154" s="84"/>
      <c r="O2154" s="84"/>
      <c r="P2154" s="84"/>
      <c r="Q2154" s="84"/>
      <c r="R2154" s="84"/>
      <c r="S2154" s="84"/>
      <c r="T2154" s="84"/>
      <c r="U2154" s="84"/>
      <c r="V2154" s="84"/>
      <c r="W2154" s="84"/>
      <c r="X2154" s="84"/>
    </row>
    <row r="2155" ht="15.75" customHeight="1">
      <c r="A2155" s="14" t="s">
        <v>120</v>
      </c>
      <c r="B2155" s="14">
        <v>2011.0</v>
      </c>
      <c r="C2155" s="14" t="s">
        <v>22973</v>
      </c>
      <c r="D2155" s="14" t="s">
        <v>22974</v>
      </c>
      <c r="E2155" s="150" t="s">
        <v>22975</v>
      </c>
      <c r="F2155" s="14">
        <v>287.0</v>
      </c>
      <c r="G2155" s="14">
        <v>288.0</v>
      </c>
      <c r="H2155" s="121" t="s">
        <v>21</v>
      </c>
      <c r="I2155" s="121" t="s">
        <v>22978</v>
      </c>
      <c r="J2155" s="130" t="s">
        <v>22979</v>
      </c>
      <c r="K2155" s="163" t="s">
        <v>880</v>
      </c>
      <c r="L2155" s="20"/>
      <c r="M2155" s="16"/>
      <c r="N2155" s="84"/>
      <c r="O2155" s="84"/>
      <c r="P2155" s="84"/>
      <c r="Q2155" s="84"/>
      <c r="R2155" s="84"/>
      <c r="S2155" s="84"/>
      <c r="T2155" s="84"/>
      <c r="U2155" s="84"/>
      <c r="V2155" s="84"/>
      <c r="W2155" s="84"/>
      <c r="X2155" s="84"/>
    </row>
    <row r="2156" ht="15.75" customHeight="1">
      <c r="A2156" s="14" t="s">
        <v>120</v>
      </c>
      <c r="B2156" s="14">
        <v>2011.0</v>
      </c>
      <c r="C2156" s="14" t="s">
        <v>22982</v>
      </c>
      <c r="D2156" s="14" t="s">
        <v>22983</v>
      </c>
      <c r="E2156" s="150" t="s">
        <v>22984</v>
      </c>
      <c r="F2156" s="14">
        <v>289.0</v>
      </c>
      <c r="G2156" s="14">
        <v>290.0</v>
      </c>
      <c r="H2156" s="121" t="s">
        <v>21</v>
      </c>
      <c r="I2156" s="121" t="s">
        <v>22986</v>
      </c>
      <c r="J2156" s="130" t="s">
        <v>22987</v>
      </c>
      <c r="K2156" s="163" t="s">
        <v>26974</v>
      </c>
      <c r="L2156" s="20"/>
      <c r="M2156" s="16"/>
      <c r="N2156" s="84"/>
      <c r="O2156" s="84"/>
      <c r="P2156" s="84"/>
      <c r="Q2156" s="84"/>
      <c r="R2156" s="84"/>
      <c r="S2156" s="84"/>
      <c r="T2156" s="84"/>
      <c r="U2156" s="84"/>
      <c r="V2156" s="84"/>
      <c r="W2156" s="84"/>
      <c r="X2156" s="84"/>
    </row>
    <row r="2157" ht="15.75" customHeight="1">
      <c r="A2157" s="14" t="s">
        <v>120</v>
      </c>
      <c r="B2157" s="14">
        <v>2011.0</v>
      </c>
      <c r="C2157" s="14" t="s">
        <v>22988</v>
      </c>
      <c r="D2157" s="14" t="s">
        <v>22989</v>
      </c>
      <c r="E2157" s="150" t="s">
        <v>22990</v>
      </c>
      <c r="F2157" s="14">
        <v>291.0</v>
      </c>
      <c r="G2157" s="14">
        <v>292.0</v>
      </c>
      <c r="H2157" s="121" t="s">
        <v>21</v>
      </c>
      <c r="I2157" s="121" t="s">
        <v>22993</v>
      </c>
      <c r="J2157" s="130" t="s">
        <v>22994</v>
      </c>
      <c r="K2157" s="163" t="s">
        <v>26991</v>
      </c>
      <c r="L2157" s="20"/>
      <c r="M2157" s="16"/>
      <c r="N2157" s="84"/>
      <c r="O2157" s="84"/>
      <c r="P2157" s="84"/>
      <c r="Q2157" s="84"/>
      <c r="R2157" s="84"/>
      <c r="S2157" s="84"/>
      <c r="T2157" s="84"/>
      <c r="U2157" s="84"/>
      <c r="V2157" s="84"/>
      <c r="W2157" s="84"/>
      <c r="X2157" s="84"/>
    </row>
    <row r="2158" ht="15.75" customHeight="1">
      <c r="A2158" s="14" t="s">
        <v>120</v>
      </c>
      <c r="B2158" s="14">
        <v>2011.0</v>
      </c>
      <c r="C2158" s="14" t="s">
        <v>22997</v>
      </c>
      <c r="D2158" s="14" t="s">
        <v>22998</v>
      </c>
      <c r="E2158" s="150" t="s">
        <v>22999</v>
      </c>
      <c r="F2158" s="14">
        <v>293.0</v>
      </c>
      <c r="G2158" s="14">
        <v>294.0</v>
      </c>
      <c r="H2158" s="121" t="s">
        <v>21</v>
      </c>
      <c r="I2158" s="121" t="s">
        <v>23002</v>
      </c>
      <c r="J2158" s="130" t="s">
        <v>23003</v>
      </c>
      <c r="K2158" s="163" t="s">
        <v>26993</v>
      </c>
      <c r="L2158" s="20"/>
      <c r="M2158" s="16"/>
      <c r="N2158" s="84"/>
      <c r="O2158" s="84"/>
      <c r="P2158" s="84"/>
      <c r="Q2158" s="84"/>
      <c r="R2158" s="84"/>
      <c r="S2158" s="84"/>
      <c r="T2158" s="84"/>
      <c r="U2158" s="84"/>
      <c r="V2158" s="84"/>
      <c r="W2158" s="84"/>
      <c r="X2158" s="84"/>
    </row>
    <row r="2159" ht="15.75" customHeight="1">
      <c r="A2159" s="14" t="s">
        <v>120</v>
      </c>
      <c r="B2159" s="14">
        <v>2011.0</v>
      </c>
      <c r="C2159" s="14" t="s">
        <v>23005</v>
      </c>
      <c r="D2159" s="14" t="s">
        <v>23006</v>
      </c>
      <c r="E2159" s="150" t="s">
        <v>23007</v>
      </c>
      <c r="F2159" s="14">
        <v>295.0</v>
      </c>
      <c r="G2159" s="14">
        <v>296.0</v>
      </c>
      <c r="H2159" s="121" t="s">
        <v>21</v>
      </c>
      <c r="I2159" s="121" t="s">
        <v>23009</v>
      </c>
      <c r="J2159" s="130" t="s">
        <v>23011</v>
      </c>
      <c r="K2159" s="163" t="s">
        <v>25675</v>
      </c>
      <c r="L2159" s="20"/>
      <c r="M2159" s="16"/>
      <c r="N2159" s="84"/>
      <c r="O2159" s="84"/>
      <c r="P2159" s="84"/>
      <c r="Q2159" s="84"/>
      <c r="R2159" s="84"/>
      <c r="S2159" s="84"/>
      <c r="T2159" s="84"/>
      <c r="U2159" s="84"/>
      <c r="V2159" s="84"/>
      <c r="W2159" s="84"/>
      <c r="X2159" s="84"/>
    </row>
    <row r="2160" ht="15.75" customHeight="1">
      <c r="A2160" s="14" t="s">
        <v>120</v>
      </c>
      <c r="B2160" s="14">
        <v>2011.0</v>
      </c>
      <c r="C2160" s="14" t="s">
        <v>23012</v>
      </c>
      <c r="D2160" s="14" t="s">
        <v>23014</v>
      </c>
      <c r="E2160" s="150" t="s">
        <v>23015</v>
      </c>
      <c r="F2160" s="14">
        <v>297.0</v>
      </c>
      <c r="G2160" s="14">
        <v>298.0</v>
      </c>
      <c r="H2160" s="121" t="s">
        <v>21</v>
      </c>
      <c r="I2160" s="121" t="s">
        <v>23016</v>
      </c>
      <c r="J2160" s="130" t="s">
        <v>23017</v>
      </c>
      <c r="K2160" s="163" t="s">
        <v>26994</v>
      </c>
      <c r="L2160" s="20"/>
      <c r="M2160" s="16"/>
      <c r="N2160" s="84"/>
      <c r="O2160" s="84"/>
      <c r="P2160" s="84"/>
      <c r="Q2160" s="84"/>
      <c r="R2160" s="84"/>
      <c r="S2160" s="84"/>
      <c r="T2160" s="84"/>
      <c r="U2160" s="84"/>
      <c r="V2160" s="84"/>
      <c r="W2160" s="84"/>
      <c r="X2160" s="84"/>
    </row>
    <row r="2161" ht="15.75" customHeight="1">
      <c r="A2161" s="14" t="s">
        <v>120</v>
      </c>
      <c r="B2161" s="14">
        <v>2011.0</v>
      </c>
      <c r="C2161" s="42" t="s">
        <v>23020</v>
      </c>
      <c r="D2161" s="14" t="s">
        <v>23022</v>
      </c>
      <c r="E2161" s="150" t="s">
        <v>23023</v>
      </c>
      <c r="F2161" s="14">
        <v>305.0</v>
      </c>
      <c r="G2161" s="14">
        <v>306.0</v>
      </c>
      <c r="H2161" s="121" t="s">
        <v>21</v>
      </c>
      <c r="I2161" s="121" t="s">
        <v>23025</v>
      </c>
      <c r="J2161" s="130" t="s">
        <v>23026</v>
      </c>
      <c r="K2161" s="163" t="s">
        <v>26996</v>
      </c>
      <c r="L2161" s="20"/>
      <c r="M2161" s="16"/>
      <c r="N2161" s="84"/>
      <c r="O2161" s="84"/>
      <c r="P2161" s="84"/>
      <c r="Q2161" s="84"/>
      <c r="R2161" s="84"/>
      <c r="S2161" s="84"/>
      <c r="T2161" s="84"/>
      <c r="U2161" s="84"/>
      <c r="V2161" s="84"/>
      <c r="W2161" s="84"/>
      <c r="X2161" s="84"/>
    </row>
    <row r="2162" ht="15.75" customHeight="1">
      <c r="A2162" s="14" t="s">
        <v>120</v>
      </c>
      <c r="B2162" s="14">
        <v>2011.0</v>
      </c>
      <c r="C2162" s="14" t="s">
        <v>23029</v>
      </c>
      <c r="D2162" s="14" t="s">
        <v>23030</v>
      </c>
      <c r="E2162" s="150" t="s">
        <v>23031</v>
      </c>
      <c r="F2162" s="14">
        <v>307.0</v>
      </c>
      <c r="G2162" s="14">
        <v>308.0</v>
      </c>
      <c r="H2162" s="121" t="s">
        <v>21</v>
      </c>
      <c r="I2162" s="121" t="s">
        <v>23034</v>
      </c>
      <c r="J2162" s="130" t="s">
        <v>23035</v>
      </c>
      <c r="K2162" s="163" t="s">
        <v>178</v>
      </c>
      <c r="L2162" s="20"/>
      <c r="M2162" s="16"/>
      <c r="N2162" s="84"/>
      <c r="O2162" s="84"/>
      <c r="P2162" s="84"/>
      <c r="Q2162" s="84"/>
      <c r="R2162" s="84"/>
      <c r="S2162" s="84"/>
      <c r="T2162" s="84"/>
      <c r="U2162" s="84"/>
      <c r="V2162" s="84"/>
      <c r="W2162" s="84"/>
      <c r="X2162" s="84"/>
    </row>
    <row r="2163" ht="15.75" customHeight="1">
      <c r="A2163" s="14" t="s">
        <v>120</v>
      </c>
      <c r="B2163" s="14">
        <v>2011.0</v>
      </c>
      <c r="C2163" s="14" t="s">
        <v>23037</v>
      </c>
      <c r="D2163" s="14" t="s">
        <v>23038</v>
      </c>
      <c r="E2163" s="150" t="s">
        <v>23039</v>
      </c>
      <c r="F2163" s="14">
        <v>309.0</v>
      </c>
      <c r="G2163" s="14">
        <v>310.0</v>
      </c>
      <c r="H2163" s="121" t="s">
        <v>21</v>
      </c>
      <c r="I2163" s="121" t="s">
        <v>23040</v>
      </c>
      <c r="J2163" s="130" t="s">
        <v>41726</v>
      </c>
      <c r="K2163" s="163" t="s">
        <v>26998</v>
      </c>
      <c r="L2163" s="20"/>
      <c r="M2163" s="16"/>
      <c r="N2163" s="84"/>
      <c r="O2163" s="84"/>
      <c r="P2163" s="84"/>
      <c r="Q2163" s="84"/>
      <c r="R2163" s="84"/>
      <c r="S2163" s="84"/>
      <c r="T2163" s="84"/>
      <c r="U2163" s="84"/>
      <c r="V2163" s="84"/>
      <c r="W2163" s="84"/>
      <c r="X2163" s="84"/>
    </row>
    <row r="2164" ht="15.75" customHeight="1">
      <c r="A2164" s="14" t="s">
        <v>120</v>
      </c>
      <c r="B2164" s="14">
        <v>2011.0</v>
      </c>
      <c r="C2164" s="14" t="s">
        <v>23045</v>
      </c>
      <c r="D2164" s="14" t="s">
        <v>23046</v>
      </c>
      <c r="E2164" s="150" t="s">
        <v>23047</v>
      </c>
      <c r="F2164" s="14">
        <v>311.0</v>
      </c>
      <c r="G2164" s="14">
        <v>312.0</v>
      </c>
      <c r="H2164" s="121" t="s">
        <v>21</v>
      </c>
      <c r="I2164" s="121" t="s">
        <v>23049</v>
      </c>
      <c r="J2164" s="130" t="s">
        <v>41727</v>
      </c>
      <c r="K2164" s="163" t="s">
        <v>26999</v>
      </c>
      <c r="L2164" s="20"/>
      <c r="M2164" s="16"/>
      <c r="N2164" s="84"/>
      <c r="O2164" s="84"/>
      <c r="P2164" s="84"/>
      <c r="Q2164" s="84"/>
      <c r="R2164" s="84"/>
      <c r="S2164" s="84"/>
      <c r="T2164" s="84"/>
      <c r="U2164" s="84"/>
      <c r="V2164" s="84"/>
      <c r="W2164" s="84"/>
      <c r="X2164" s="84"/>
    </row>
    <row r="2165" ht="15.75" customHeight="1">
      <c r="A2165" s="14" t="s">
        <v>120</v>
      </c>
      <c r="B2165" s="14">
        <v>2011.0</v>
      </c>
      <c r="C2165" s="14" t="s">
        <v>23053</v>
      </c>
      <c r="D2165" s="14" t="s">
        <v>23054</v>
      </c>
      <c r="E2165" s="150" t="s">
        <v>23055</v>
      </c>
      <c r="F2165" s="14">
        <v>313.0</v>
      </c>
      <c r="G2165" s="14">
        <v>314.0</v>
      </c>
      <c r="H2165" s="121" t="s">
        <v>21</v>
      </c>
      <c r="I2165" s="121" t="s">
        <v>23058</v>
      </c>
      <c r="J2165" s="130" t="s">
        <v>23059</v>
      </c>
      <c r="K2165" s="163" t="s">
        <v>27000</v>
      </c>
      <c r="L2165" s="20"/>
      <c r="M2165" s="16"/>
      <c r="N2165" s="84"/>
      <c r="O2165" s="84"/>
      <c r="P2165" s="84"/>
      <c r="Q2165" s="84"/>
      <c r="R2165" s="84"/>
      <c r="S2165" s="84"/>
      <c r="T2165" s="84"/>
      <c r="U2165" s="84"/>
      <c r="V2165" s="84"/>
      <c r="W2165" s="84"/>
      <c r="X2165" s="84"/>
    </row>
    <row r="2166" ht="15.75" customHeight="1">
      <c r="A2166" s="14" t="s">
        <v>120</v>
      </c>
      <c r="B2166" s="14">
        <v>2011.0</v>
      </c>
      <c r="C2166" s="14" t="s">
        <v>23062</v>
      </c>
      <c r="D2166" s="14" t="s">
        <v>23063</v>
      </c>
      <c r="E2166" s="150" t="s">
        <v>23064</v>
      </c>
      <c r="F2166" s="14">
        <v>315.0</v>
      </c>
      <c r="G2166" s="14">
        <v>316.0</v>
      </c>
      <c r="H2166" s="121" t="s">
        <v>21</v>
      </c>
      <c r="I2166" s="121" t="s">
        <v>31364</v>
      </c>
      <c r="J2166" s="130" t="s">
        <v>23069</v>
      </c>
      <c r="K2166" s="163" t="s">
        <v>26533</v>
      </c>
      <c r="L2166" s="20"/>
      <c r="M2166" s="16"/>
      <c r="N2166" s="84"/>
      <c r="O2166" s="84"/>
      <c r="P2166" s="84"/>
      <c r="Q2166" s="84"/>
      <c r="R2166" s="84"/>
      <c r="S2166" s="84"/>
      <c r="T2166" s="84"/>
      <c r="U2166" s="84"/>
      <c r="V2166" s="84"/>
      <c r="W2166" s="84"/>
      <c r="X2166" s="84"/>
    </row>
    <row r="2167" ht="15.75" customHeight="1">
      <c r="A2167" s="14" t="s">
        <v>120</v>
      </c>
      <c r="B2167" s="14">
        <v>2011.0</v>
      </c>
      <c r="C2167" s="14" t="s">
        <v>23071</v>
      </c>
      <c r="D2167" s="14" t="s">
        <v>23072</v>
      </c>
      <c r="E2167" s="150" t="s">
        <v>23073</v>
      </c>
      <c r="F2167" s="14">
        <v>317.0</v>
      </c>
      <c r="G2167" s="14">
        <v>318.0</v>
      </c>
      <c r="H2167" s="121" t="s">
        <v>21</v>
      </c>
      <c r="I2167" s="121" t="s">
        <v>23074</v>
      </c>
      <c r="J2167" s="130" t="s">
        <v>22951</v>
      </c>
      <c r="K2167" s="163" t="s">
        <v>26984</v>
      </c>
      <c r="L2167" s="20"/>
      <c r="M2167" s="16"/>
      <c r="N2167" s="84"/>
      <c r="O2167" s="84"/>
      <c r="P2167" s="84"/>
      <c r="Q2167" s="84"/>
      <c r="R2167" s="84"/>
      <c r="S2167" s="84"/>
      <c r="T2167" s="84"/>
      <c r="U2167" s="84"/>
      <c r="V2167" s="84"/>
      <c r="W2167" s="84"/>
      <c r="X2167" s="84"/>
    </row>
    <row r="2168" ht="15.75" customHeight="1">
      <c r="A2168" s="14" t="s">
        <v>120</v>
      </c>
      <c r="B2168" s="14">
        <v>2011.0</v>
      </c>
      <c r="C2168" s="42" t="s">
        <v>23075</v>
      </c>
      <c r="D2168" s="14" t="s">
        <v>23076</v>
      </c>
      <c r="E2168" s="150" t="s">
        <v>23078</v>
      </c>
      <c r="F2168" s="14">
        <v>319.0</v>
      </c>
      <c r="G2168" s="14">
        <v>321.0</v>
      </c>
      <c r="H2168" s="121" t="s">
        <v>21</v>
      </c>
      <c r="I2168" s="121" t="s">
        <v>23079</v>
      </c>
      <c r="J2168" s="130" t="s">
        <v>23080</v>
      </c>
      <c r="K2168" s="163" t="s">
        <v>27002</v>
      </c>
      <c r="L2168" s="20"/>
      <c r="M2168" s="16"/>
      <c r="N2168" s="84"/>
      <c r="O2168" s="84"/>
      <c r="P2168" s="84"/>
      <c r="Q2168" s="84"/>
      <c r="R2168" s="84"/>
      <c r="S2168" s="84"/>
      <c r="T2168" s="84"/>
      <c r="U2168" s="84"/>
      <c r="V2168" s="84"/>
      <c r="W2168" s="84"/>
      <c r="X2168" s="84"/>
    </row>
    <row r="2169" ht="15.75" customHeight="1">
      <c r="A2169" s="14" t="s">
        <v>120</v>
      </c>
      <c r="B2169" s="14">
        <v>2011.0</v>
      </c>
      <c r="C2169" s="42" t="s">
        <v>23082</v>
      </c>
      <c r="D2169" s="14" t="s">
        <v>23083</v>
      </c>
      <c r="E2169" s="150" t="s">
        <v>23084</v>
      </c>
      <c r="F2169" s="14">
        <v>323.0</v>
      </c>
      <c r="G2169" s="14">
        <v>324.0</v>
      </c>
      <c r="H2169" s="121" t="s">
        <v>21</v>
      </c>
      <c r="I2169" s="121" t="s">
        <v>23088</v>
      </c>
      <c r="J2169" s="130" t="s">
        <v>23089</v>
      </c>
      <c r="K2169" s="163" t="s">
        <v>880</v>
      </c>
      <c r="L2169" s="20"/>
      <c r="M2169" s="16"/>
      <c r="N2169" s="84"/>
      <c r="O2169" s="84"/>
      <c r="P2169" s="84"/>
      <c r="Q2169" s="84"/>
      <c r="R2169" s="84"/>
      <c r="S2169" s="84"/>
      <c r="T2169" s="84"/>
      <c r="U2169" s="84"/>
      <c r="V2169" s="84"/>
      <c r="W2169" s="84"/>
      <c r="X2169" s="84"/>
    </row>
    <row r="2170" ht="15.75" customHeight="1">
      <c r="A2170" s="14" t="s">
        <v>120</v>
      </c>
      <c r="B2170" s="14">
        <v>2011.0</v>
      </c>
      <c r="C2170" s="14" t="s">
        <v>23091</v>
      </c>
      <c r="D2170" s="14" t="s">
        <v>23092</v>
      </c>
      <c r="E2170" s="150" t="s">
        <v>23093</v>
      </c>
      <c r="F2170" s="14">
        <v>325.0</v>
      </c>
      <c r="G2170" s="14">
        <v>326.0</v>
      </c>
      <c r="H2170" s="121" t="s">
        <v>21</v>
      </c>
      <c r="I2170" s="121" t="s">
        <v>23096</v>
      </c>
      <c r="J2170" s="130" t="s">
        <v>23098</v>
      </c>
      <c r="K2170" s="163" t="s">
        <v>27004</v>
      </c>
      <c r="L2170" s="20"/>
      <c r="M2170" s="16"/>
      <c r="N2170" s="84"/>
      <c r="O2170" s="84"/>
      <c r="P2170" s="84"/>
      <c r="Q2170" s="84"/>
      <c r="R2170" s="84"/>
      <c r="S2170" s="84"/>
      <c r="T2170" s="84"/>
      <c r="U2170" s="84"/>
      <c r="V2170" s="84"/>
      <c r="W2170" s="84"/>
      <c r="X2170" s="84"/>
    </row>
    <row r="2171" ht="15.75" customHeight="1">
      <c r="A2171" s="14" t="s">
        <v>120</v>
      </c>
      <c r="B2171" s="14">
        <v>2011.0</v>
      </c>
      <c r="C2171" s="42" t="s">
        <v>23101</v>
      </c>
      <c r="D2171" s="14" t="s">
        <v>23102</v>
      </c>
      <c r="E2171" s="150" t="s">
        <v>23103</v>
      </c>
      <c r="F2171" s="14">
        <v>327.0</v>
      </c>
      <c r="G2171" s="14">
        <v>328.0</v>
      </c>
      <c r="H2171" s="121" t="s">
        <v>21</v>
      </c>
      <c r="I2171" s="121" t="s">
        <v>23104</v>
      </c>
      <c r="J2171" s="130" t="s">
        <v>23106</v>
      </c>
      <c r="K2171" s="163" t="s">
        <v>178</v>
      </c>
      <c r="L2171" s="20"/>
      <c r="M2171" s="16"/>
      <c r="N2171" s="84"/>
      <c r="O2171" s="84"/>
      <c r="P2171" s="84"/>
      <c r="Q2171" s="84"/>
      <c r="R2171" s="84"/>
      <c r="S2171" s="84"/>
      <c r="T2171" s="84"/>
      <c r="U2171" s="84"/>
      <c r="V2171" s="84"/>
      <c r="W2171" s="84"/>
      <c r="X2171" s="84"/>
    </row>
    <row r="2172" ht="15.75" customHeight="1">
      <c r="A2172" s="14" t="s">
        <v>120</v>
      </c>
      <c r="B2172" s="14">
        <v>2011.0</v>
      </c>
      <c r="C2172" s="14" t="s">
        <v>23109</v>
      </c>
      <c r="D2172" s="14" t="s">
        <v>23110</v>
      </c>
      <c r="E2172" s="150" t="s">
        <v>23111</v>
      </c>
      <c r="F2172" s="14">
        <v>329.0</v>
      </c>
      <c r="G2172" s="14">
        <v>330.0</v>
      </c>
      <c r="H2172" s="121" t="s">
        <v>21</v>
      </c>
      <c r="I2172" s="121" t="s">
        <v>23112</v>
      </c>
      <c r="J2172" s="130" t="s">
        <v>41728</v>
      </c>
      <c r="K2172" s="163" t="s">
        <v>27006</v>
      </c>
      <c r="L2172" s="20"/>
      <c r="M2172" s="16"/>
      <c r="N2172" s="84"/>
      <c r="O2172" s="84"/>
      <c r="P2172" s="84"/>
      <c r="Q2172" s="84"/>
      <c r="R2172" s="84"/>
      <c r="S2172" s="84"/>
      <c r="T2172" s="84"/>
      <c r="U2172" s="84"/>
      <c r="V2172" s="84"/>
      <c r="W2172" s="84"/>
      <c r="X2172" s="84"/>
    </row>
    <row r="2173" ht="15.75" customHeight="1">
      <c r="A2173" s="14" t="s">
        <v>17</v>
      </c>
      <c r="B2173" s="14">
        <v>2011.0</v>
      </c>
      <c r="C2173" s="14" t="s">
        <v>23116</v>
      </c>
      <c r="D2173" s="14" t="s">
        <v>23117</v>
      </c>
      <c r="E2173" s="150" t="str">
        <f t="shared" ref="E2173:E2404" si="29">"http://dx.doi.org/" &amp; D2173</f>
        <v>http://dx.doi.org/10.1109/TVCG.2011.159</v>
      </c>
      <c r="F2173" s="14">
        <v>2045.0</v>
      </c>
      <c r="G2173" s="14">
        <v>2052.0</v>
      </c>
      <c r="H2173" s="14" t="s">
        <v>17059</v>
      </c>
      <c r="I2173" s="14" t="s">
        <v>23120</v>
      </c>
      <c r="J2173" s="130" t="s">
        <v>23121</v>
      </c>
      <c r="K2173" s="152" t="s">
        <v>25738</v>
      </c>
      <c r="L2173" s="20" t="s">
        <v>23124</v>
      </c>
      <c r="M2173" s="174" t="s">
        <v>23125</v>
      </c>
      <c r="N2173" s="84"/>
      <c r="O2173" s="84"/>
      <c r="P2173" s="84"/>
      <c r="Q2173" s="84"/>
      <c r="R2173" s="84"/>
      <c r="S2173" s="84"/>
      <c r="T2173" s="84"/>
      <c r="U2173" s="84"/>
      <c r="V2173" s="84"/>
      <c r="W2173" s="84"/>
      <c r="X2173" s="84"/>
    </row>
    <row r="2174" ht="15.75" customHeight="1">
      <c r="A2174" s="14" t="s">
        <v>17</v>
      </c>
      <c r="B2174" s="14">
        <v>2011.0</v>
      </c>
      <c r="C2174" s="14" t="s">
        <v>23126</v>
      </c>
      <c r="D2174" s="14" t="s">
        <v>23127</v>
      </c>
      <c r="E2174" s="150" t="str">
        <f t="shared" si="29"/>
        <v>http://dx.doi.org/10.1109/TVCG.2011.161</v>
      </c>
      <c r="F2174" s="14">
        <v>1922.0</v>
      </c>
      <c r="G2174" s="14">
        <v>1931.0</v>
      </c>
      <c r="H2174" s="14" t="s">
        <v>17059</v>
      </c>
      <c r="I2174" s="14" t="s">
        <v>23128</v>
      </c>
      <c r="J2174" s="130" t="s">
        <v>23129</v>
      </c>
      <c r="K2174" s="152" t="s">
        <v>25742</v>
      </c>
      <c r="L2174" s="20" t="s">
        <v>23131</v>
      </c>
      <c r="M2174" s="174" t="s">
        <v>23132</v>
      </c>
      <c r="N2174" s="84"/>
      <c r="O2174" s="84"/>
      <c r="P2174" s="84"/>
      <c r="Q2174" s="84"/>
      <c r="R2174" s="84"/>
      <c r="S2174" s="84"/>
      <c r="T2174" s="84"/>
      <c r="U2174" s="84"/>
      <c r="V2174" s="84"/>
      <c r="W2174" s="84"/>
      <c r="X2174" s="84"/>
    </row>
    <row r="2175" ht="15.75" customHeight="1">
      <c r="A2175" s="14" t="s">
        <v>17</v>
      </c>
      <c r="B2175" s="14">
        <v>2011.0</v>
      </c>
      <c r="C2175" s="14" t="s">
        <v>23133</v>
      </c>
      <c r="D2175" s="14" t="s">
        <v>23134</v>
      </c>
      <c r="E2175" s="150" t="str">
        <f t="shared" si="29"/>
        <v>http://dx.doi.org/10.1109/TVCG.2011.162</v>
      </c>
      <c r="F2175" s="14">
        <v>2088.0</v>
      </c>
      <c r="G2175" s="14">
        <v>2095.0</v>
      </c>
      <c r="H2175" s="14" t="s">
        <v>17059</v>
      </c>
      <c r="I2175" s="14" t="s">
        <v>23137</v>
      </c>
      <c r="J2175" s="130" t="s">
        <v>23138</v>
      </c>
      <c r="K2175" s="152" t="s">
        <v>25744</v>
      </c>
      <c r="L2175" s="20" t="s">
        <v>23141</v>
      </c>
      <c r="M2175" s="174" t="s">
        <v>23142</v>
      </c>
      <c r="N2175" s="84"/>
      <c r="O2175" s="84"/>
      <c r="P2175" s="84"/>
      <c r="Q2175" s="84"/>
      <c r="R2175" s="84"/>
      <c r="S2175" s="84"/>
      <c r="T2175" s="84"/>
      <c r="U2175" s="84"/>
      <c r="V2175" s="84"/>
      <c r="W2175" s="84"/>
      <c r="X2175" s="84"/>
    </row>
    <row r="2176" ht="15.75" customHeight="1">
      <c r="A2176" s="14" t="s">
        <v>17</v>
      </c>
      <c r="B2176" s="14">
        <v>2011.0</v>
      </c>
      <c r="C2176" s="14" t="s">
        <v>23144</v>
      </c>
      <c r="D2176" s="14" t="s">
        <v>23145</v>
      </c>
      <c r="E2176" s="150" t="str">
        <f t="shared" si="29"/>
        <v>http://dx.doi.org/10.1109/TVCG.2011.164</v>
      </c>
      <c r="F2176" s="14">
        <v>2144.0</v>
      </c>
      <c r="G2176" s="14">
        <v>2152.0</v>
      </c>
      <c r="H2176" s="14" t="s">
        <v>17059</v>
      </c>
      <c r="I2176" s="14" t="s">
        <v>23146</v>
      </c>
      <c r="J2176" s="130" t="s">
        <v>23148</v>
      </c>
      <c r="K2176" s="152" t="s">
        <v>25747</v>
      </c>
      <c r="L2176" s="20" t="s">
        <v>23150</v>
      </c>
      <c r="M2176" s="174" t="s">
        <v>23151</v>
      </c>
      <c r="N2176" s="84"/>
      <c r="O2176" s="84"/>
      <c r="P2176" s="84"/>
      <c r="Q2176" s="84"/>
      <c r="R2176" s="84"/>
      <c r="S2176" s="84"/>
      <c r="T2176" s="84"/>
      <c r="U2176" s="84"/>
      <c r="V2176" s="84"/>
      <c r="W2176" s="84"/>
      <c r="X2176" s="84"/>
    </row>
    <row r="2177" ht="15.75" customHeight="1">
      <c r="A2177" s="14" t="s">
        <v>17</v>
      </c>
      <c r="B2177" s="14">
        <v>2011.0</v>
      </c>
      <c r="C2177" s="14" t="s">
        <v>23152</v>
      </c>
      <c r="D2177" s="14" t="s">
        <v>23153</v>
      </c>
      <c r="E2177" s="150" t="str">
        <f t="shared" si="29"/>
        <v>http://dx.doi.org/10.1109/TVCG.2011.165</v>
      </c>
      <c r="F2177" s="14">
        <v>1989.0</v>
      </c>
      <c r="G2177" s="14">
        <v>1996.0</v>
      </c>
      <c r="H2177" s="14" t="s">
        <v>17059</v>
      </c>
      <c r="I2177" s="14" t="s">
        <v>23154</v>
      </c>
      <c r="J2177" s="130" t="s">
        <v>23156</v>
      </c>
      <c r="K2177" s="152" t="s">
        <v>25749</v>
      </c>
      <c r="L2177" s="20" t="s">
        <v>15280</v>
      </c>
      <c r="M2177" s="174" t="s">
        <v>23159</v>
      </c>
      <c r="N2177" s="84"/>
      <c r="O2177" s="84"/>
      <c r="P2177" s="84"/>
      <c r="Q2177" s="84"/>
      <c r="R2177" s="84"/>
      <c r="S2177" s="84"/>
      <c r="T2177" s="84"/>
      <c r="U2177" s="84"/>
      <c r="V2177" s="84"/>
      <c r="W2177" s="84"/>
      <c r="X2177" s="84"/>
    </row>
    <row r="2178" ht="15.75" customHeight="1">
      <c r="A2178" s="14" t="s">
        <v>17</v>
      </c>
      <c r="B2178" s="14">
        <v>2011.0</v>
      </c>
      <c r="C2178" s="14" t="s">
        <v>23160</v>
      </c>
      <c r="D2178" s="14" t="s">
        <v>23162</v>
      </c>
      <c r="E2178" s="150" t="str">
        <f t="shared" si="29"/>
        <v>http://dx.doi.org/10.1109/TVCG.2011.168</v>
      </c>
      <c r="F2178" s="14">
        <v>1757.0</v>
      </c>
      <c r="G2178" s="14">
        <v>1764.0</v>
      </c>
      <c r="H2178" s="14" t="s">
        <v>17059</v>
      </c>
      <c r="I2178" s="14" t="s">
        <v>23163</v>
      </c>
      <c r="J2178" s="130" t="s">
        <v>23164</v>
      </c>
      <c r="K2178" s="152" t="s">
        <v>25754</v>
      </c>
      <c r="L2178" s="20" t="s">
        <v>6032</v>
      </c>
      <c r="M2178" s="174" t="s">
        <v>23167</v>
      </c>
      <c r="N2178" s="84"/>
      <c r="O2178" s="84"/>
      <c r="P2178" s="84"/>
      <c r="Q2178" s="84"/>
      <c r="R2178" s="84"/>
      <c r="S2178" s="84"/>
      <c r="T2178" s="84"/>
      <c r="U2178" s="84"/>
      <c r="V2178" s="84"/>
      <c r="W2178" s="84"/>
      <c r="X2178" s="84"/>
    </row>
    <row r="2179" ht="15.75" customHeight="1">
      <c r="A2179" s="14" t="s">
        <v>17</v>
      </c>
      <c r="B2179" s="14">
        <v>2011.0</v>
      </c>
      <c r="C2179" s="14" t="s">
        <v>23168</v>
      </c>
      <c r="D2179" s="14" t="s">
        <v>23169</v>
      </c>
      <c r="E2179" s="150" t="str">
        <f t="shared" si="29"/>
        <v>http://dx.doi.org/10.1109/TVCG.2011.170</v>
      </c>
      <c r="F2179" s="14">
        <v>1979.0</v>
      </c>
      <c r="G2179" s="14">
        <v>1988.0</v>
      </c>
      <c r="H2179" s="14" t="s">
        <v>17059</v>
      </c>
      <c r="I2179" s="14" t="s">
        <v>23170</v>
      </c>
      <c r="J2179" s="130" t="s">
        <v>23171</v>
      </c>
      <c r="K2179" s="152" t="s">
        <v>25758</v>
      </c>
      <c r="L2179" s="20" t="s">
        <v>23174</v>
      </c>
      <c r="M2179" s="174" t="s">
        <v>23175</v>
      </c>
      <c r="N2179" s="84"/>
      <c r="O2179" s="84"/>
      <c r="P2179" s="84"/>
      <c r="Q2179" s="84"/>
      <c r="R2179" s="84"/>
      <c r="S2179" s="84"/>
      <c r="T2179" s="84"/>
      <c r="U2179" s="84"/>
      <c r="V2179" s="84"/>
      <c r="W2179" s="84"/>
      <c r="X2179" s="84"/>
    </row>
    <row r="2180" ht="15.75" customHeight="1">
      <c r="A2180" s="14" t="s">
        <v>17</v>
      </c>
      <c r="B2180" s="14">
        <v>2011.0</v>
      </c>
      <c r="C2180" s="14" t="s">
        <v>23176</v>
      </c>
      <c r="D2180" s="14" t="s">
        <v>23177</v>
      </c>
      <c r="E2180" s="150" t="str">
        <f t="shared" si="29"/>
        <v>http://dx.doi.org/10.1109/TVCG.2011.171</v>
      </c>
      <c r="F2180" s="14">
        <v>2005.0</v>
      </c>
      <c r="G2180" s="14">
        <v>2014.0</v>
      </c>
      <c r="H2180" s="14" t="s">
        <v>17059</v>
      </c>
      <c r="I2180" s="14" t="s">
        <v>23197</v>
      </c>
      <c r="J2180" s="130" t="s">
        <v>23198</v>
      </c>
      <c r="K2180" s="152" t="s">
        <v>25760</v>
      </c>
      <c r="L2180" s="20" t="s">
        <v>23200</v>
      </c>
      <c r="M2180" s="174" t="s">
        <v>23202</v>
      </c>
      <c r="N2180" s="84"/>
      <c r="O2180" s="84"/>
      <c r="P2180" s="84"/>
      <c r="Q2180" s="84"/>
      <c r="R2180" s="84"/>
      <c r="S2180" s="84"/>
      <c r="T2180" s="84"/>
      <c r="U2180" s="84"/>
      <c r="V2180" s="84"/>
      <c r="W2180" s="84"/>
      <c r="X2180" s="84"/>
    </row>
    <row r="2181" ht="15.75" customHeight="1">
      <c r="A2181" s="14" t="s">
        <v>17</v>
      </c>
      <c r="B2181" s="14">
        <v>2011.0</v>
      </c>
      <c r="C2181" s="14" t="s">
        <v>23203</v>
      </c>
      <c r="D2181" s="14" t="s">
        <v>23204</v>
      </c>
      <c r="E2181" s="150" t="str">
        <f t="shared" si="29"/>
        <v>http://dx.doi.org/10.1109/TVCG.2011.173</v>
      </c>
      <c r="F2181" s="14">
        <v>1932.0</v>
      </c>
      <c r="G2181" s="14">
        <v>1941.0</v>
      </c>
      <c r="H2181" s="14" t="s">
        <v>17059</v>
      </c>
      <c r="I2181" s="14" t="s">
        <v>23205</v>
      </c>
      <c r="J2181" s="130" t="s">
        <v>23206</v>
      </c>
      <c r="K2181" s="152" t="s">
        <v>860</v>
      </c>
      <c r="L2181" s="20" t="s">
        <v>23209</v>
      </c>
      <c r="M2181" s="174" t="s">
        <v>23210</v>
      </c>
      <c r="N2181" s="84"/>
      <c r="O2181" s="84"/>
      <c r="P2181" s="84"/>
      <c r="Q2181" s="84"/>
      <c r="R2181" s="84"/>
      <c r="S2181" s="84"/>
      <c r="T2181" s="84"/>
      <c r="U2181" s="84"/>
      <c r="V2181" s="84"/>
      <c r="W2181" s="84"/>
      <c r="X2181" s="84"/>
    </row>
    <row r="2182" ht="15.75" customHeight="1">
      <c r="A2182" s="14" t="s">
        <v>17</v>
      </c>
      <c r="B2182" s="14">
        <v>2011.0</v>
      </c>
      <c r="C2182" s="14" t="s">
        <v>23212</v>
      </c>
      <c r="D2182" s="14" t="s">
        <v>23213</v>
      </c>
      <c r="E2182" s="150" t="str">
        <f t="shared" si="29"/>
        <v>http://dx.doi.org/10.1109/TVCG.2011.177</v>
      </c>
      <c r="F2182" s="14">
        <v>1902.0</v>
      </c>
      <c r="G2182" s="14">
        <v>1911.0</v>
      </c>
      <c r="H2182" s="14" t="s">
        <v>17059</v>
      </c>
      <c r="I2182" s="14" t="s">
        <v>23214</v>
      </c>
      <c r="J2182" s="130" t="s">
        <v>23215</v>
      </c>
      <c r="K2182" s="152" t="s">
        <v>25768</v>
      </c>
      <c r="L2182" s="20" t="s">
        <v>23217</v>
      </c>
      <c r="M2182" s="174" t="s">
        <v>23218</v>
      </c>
      <c r="N2182" s="84"/>
      <c r="O2182" s="84"/>
      <c r="P2182" s="84"/>
      <c r="Q2182" s="84"/>
      <c r="R2182" s="84"/>
      <c r="S2182" s="84"/>
      <c r="T2182" s="84"/>
      <c r="U2182" s="84"/>
      <c r="V2182" s="84"/>
      <c r="W2182" s="84"/>
      <c r="X2182" s="84"/>
    </row>
    <row r="2183" ht="15.75" customHeight="1">
      <c r="A2183" s="14" t="s">
        <v>17</v>
      </c>
      <c r="B2183" s="14">
        <v>2011.0</v>
      </c>
      <c r="C2183" s="14" t="s">
        <v>23219</v>
      </c>
      <c r="D2183" s="14" t="s">
        <v>23220</v>
      </c>
      <c r="E2183" s="150" t="str">
        <f t="shared" si="29"/>
        <v>http://dx.doi.org/10.1109/TVCG.2011.182</v>
      </c>
      <c r="F2183" s="14">
        <v>1997.0</v>
      </c>
      <c r="G2183" s="14">
        <v>2004.0</v>
      </c>
      <c r="H2183" s="14" t="s">
        <v>17059</v>
      </c>
      <c r="I2183" s="14" t="s">
        <v>23222</v>
      </c>
      <c r="J2183" s="130" t="s">
        <v>23223</v>
      </c>
      <c r="K2183" s="152" t="s">
        <v>25779</v>
      </c>
      <c r="L2183" s="20" t="s">
        <v>23226</v>
      </c>
      <c r="M2183" s="174" t="s">
        <v>23227</v>
      </c>
      <c r="N2183" s="84"/>
      <c r="O2183" s="84"/>
      <c r="P2183" s="84"/>
      <c r="Q2183" s="84"/>
      <c r="R2183" s="84"/>
      <c r="S2183" s="84"/>
      <c r="T2183" s="84"/>
      <c r="U2183" s="84"/>
      <c r="V2183" s="84"/>
      <c r="W2183" s="84"/>
      <c r="X2183" s="84"/>
    </row>
    <row r="2184" ht="15.75" customHeight="1">
      <c r="A2184" s="14" t="s">
        <v>17</v>
      </c>
      <c r="B2184" s="14">
        <v>2011.0</v>
      </c>
      <c r="C2184" s="14" t="s">
        <v>23229</v>
      </c>
      <c r="D2184" s="14" t="s">
        <v>23230</v>
      </c>
      <c r="E2184" s="150" t="str">
        <f t="shared" si="29"/>
        <v>http://dx.doi.org/10.1109/TVCG.2011.184</v>
      </c>
      <c r="F2184" s="14">
        <v>2163.0</v>
      </c>
      <c r="G2184" s="14">
        <v>2172.0</v>
      </c>
      <c r="H2184" s="14" t="s">
        <v>17059</v>
      </c>
      <c r="I2184" s="14" t="s">
        <v>23231</v>
      </c>
      <c r="J2184" s="130" t="s">
        <v>23232</v>
      </c>
      <c r="K2184" s="152" t="s">
        <v>25796</v>
      </c>
      <c r="L2184" s="20" t="s">
        <v>18763</v>
      </c>
      <c r="M2184" s="174" t="s">
        <v>23234</v>
      </c>
      <c r="N2184" s="84"/>
      <c r="O2184" s="84"/>
      <c r="P2184" s="84"/>
      <c r="Q2184" s="84"/>
      <c r="R2184" s="84"/>
      <c r="S2184" s="84"/>
      <c r="T2184" s="84"/>
      <c r="U2184" s="84"/>
      <c r="V2184" s="84"/>
      <c r="W2184" s="84"/>
      <c r="X2184" s="84"/>
    </row>
    <row r="2185" ht="15.75" customHeight="1">
      <c r="A2185" s="14" t="s">
        <v>17</v>
      </c>
      <c r="B2185" s="14">
        <v>2011.0</v>
      </c>
      <c r="C2185" s="14" t="s">
        <v>23235</v>
      </c>
      <c r="D2185" s="14" t="s">
        <v>23236</v>
      </c>
      <c r="E2185" s="150" t="str">
        <f t="shared" si="29"/>
        <v>http://dx.doi.org/10.1109/TVCG.2011.189</v>
      </c>
      <c r="F2185" s="14">
        <v>2173.0</v>
      </c>
      <c r="G2185" s="14">
        <v>2182.0</v>
      </c>
      <c r="H2185" s="14" t="s">
        <v>17059</v>
      </c>
      <c r="I2185" s="14" t="s">
        <v>23238</v>
      </c>
      <c r="J2185" s="130" t="s">
        <v>23240</v>
      </c>
      <c r="K2185" s="152" t="s">
        <v>22133</v>
      </c>
      <c r="L2185" s="20" t="s">
        <v>23242</v>
      </c>
      <c r="M2185" s="174" t="s">
        <v>23243</v>
      </c>
      <c r="N2185" s="84"/>
      <c r="O2185" s="84"/>
      <c r="P2185" s="84"/>
      <c r="Q2185" s="84"/>
      <c r="R2185" s="84"/>
      <c r="S2185" s="84"/>
      <c r="T2185" s="84"/>
      <c r="U2185" s="84"/>
      <c r="V2185" s="84"/>
      <c r="W2185" s="84"/>
      <c r="X2185" s="84"/>
    </row>
    <row r="2186" ht="15.75" customHeight="1">
      <c r="A2186" s="14" t="s">
        <v>17</v>
      </c>
      <c r="B2186" s="14">
        <v>2011.0</v>
      </c>
      <c r="C2186" s="14" t="s">
        <v>23244</v>
      </c>
      <c r="D2186" s="14" t="s">
        <v>23245</v>
      </c>
      <c r="E2186" s="150" t="str">
        <f t="shared" si="29"/>
        <v>http://dx.doi.org/10.1109/TVCG.2011.194</v>
      </c>
      <c r="F2186" s="14">
        <v>2053.0</v>
      </c>
      <c r="G2186" s="14">
        <v>2062.0</v>
      </c>
      <c r="H2186" s="14" t="s">
        <v>17059</v>
      </c>
      <c r="I2186" s="14" t="s">
        <v>23246</v>
      </c>
      <c r="J2186" s="130" t="s">
        <v>23247</v>
      </c>
      <c r="K2186" s="152" t="s">
        <v>178</v>
      </c>
      <c r="L2186" s="20" t="s">
        <v>23250</v>
      </c>
      <c r="M2186" s="174" t="s">
        <v>23251</v>
      </c>
      <c r="N2186" s="84"/>
      <c r="O2186" s="84"/>
      <c r="P2186" s="84"/>
      <c r="Q2186" s="84"/>
      <c r="R2186" s="84"/>
      <c r="S2186" s="84"/>
      <c r="T2186" s="84"/>
      <c r="U2186" s="84"/>
      <c r="V2186" s="84"/>
      <c r="W2186" s="84"/>
      <c r="X2186" s="84"/>
    </row>
    <row r="2187" ht="15.75" customHeight="1">
      <c r="A2187" s="14" t="s">
        <v>17</v>
      </c>
      <c r="B2187" s="14">
        <v>2011.0</v>
      </c>
      <c r="C2187" s="14" t="s">
        <v>23252</v>
      </c>
      <c r="D2187" s="14" t="s">
        <v>23253</v>
      </c>
      <c r="E2187" s="150" t="str">
        <f t="shared" si="29"/>
        <v>http://dx.doi.org/10.1109/TVCG.2011.198</v>
      </c>
      <c r="F2187" s="14">
        <v>1795.0</v>
      </c>
      <c r="G2187" s="14">
        <v>1802.0</v>
      </c>
      <c r="H2187" s="14" t="s">
        <v>17059</v>
      </c>
      <c r="I2187" s="14" t="s">
        <v>23254</v>
      </c>
      <c r="J2187" s="130" t="s">
        <v>23255</v>
      </c>
      <c r="K2187" s="152" t="s">
        <v>25945</v>
      </c>
      <c r="L2187" s="20" t="s">
        <v>23257</v>
      </c>
      <c r="M2187" s="174" t="s">
        <v>23258</v>
      </c>
      <c r="N2187" s="84"/>
      <c r="O2187" s="84"/>
      <c r="P2187" s="84"/>
      <c r="Q2187" s="84"/>
      <c r="R2187" s="84"/>
      <c r="S2187" s="84"/>
      <c r="T2187" s="84"/>
      <c r="U2187" s="84"/>
      <c r="V2187" s="84"/>
      <c r="W2187" s="84"/>
      <c r="X2187" s="84"/>
    </row>
    <row r="2188" ht="15.75" customHeight="1">
      <c r="A2188" s="14" t="s">
        <v>17</v>
      </c>
      <c r="B2188" s="14">
        <v>2011.0</v>
      </c>
      <c r="C2188" s="14" t="s">
        <v>23259</v>
      </c>
      <c r="D2188" s="14" t="s">
        <v>23260</v>
      </c>
      <c r="E2188" s="150" t="str">
        <f t="shared" si="29"/>
        <v>http://dx.doi.org/10.1109/TVCG.2011.199</v>
      </c>
      <c r="F2188" s="14">
        <v>1822.0</v>
      </c>
      <c r="G2188" s="14">
        <v>1831.0</v>
      </c>
      <c r="H2188" s="14" t="s">
        <v>17059</v>
      </c>
      <c r="I2188" s="14" t="s">
        <v>25959</v>
      </c>
      <c r="J2188" s="130" t="s">
        <v>23263</v>
      </c>
      <c r="K2188" s="152" t="s">
        <v>25961</v>
      </c>
      <c r="L2188" s="20" t="s">
        <v>23266</v>
      </c>
      <c r="M2188" s="174" t="s">
        <v>23267</v>
      </c>
      <c r="N2188" s="84"/>
      <c r="O2188" s="84"/>
      <c r="P2188" s="84"/>
      <c r="Q2188" s="84"/>
      <c r="R2188" s="84"/>
      <c r="S2188" s="84"/>
      <c r="T2188" s="84"/>
      <c r="U2188" s="84"/>
      <c r="V2188" s="84"/>
      <c r="W2188" s="84"/>
      <c r="X2188" s="84"/>
    </row>
    <row r="2189" ht="15.75" customHeight="1">
      <c r="A2189" s="14" t="s">
        <v>17</v>
      </c>
      <c r="B2189" s="14">
        <v>2011.0</v>
      </c>
      <c r="C2189" s="14" t="s">
        <v>23268</v>
      </c>
      <c r="D2189" s="14" t="s">
        <v>23269</v>
      </c>
      <c r="E2189" s="150" t="str">
        <f t="shared" si="29"/>
        <v>http://dx.doi.org/10.1109/TVCG.2011.200</v>
      </c>
      <c r="F2189" s="14">
        <v>1912.0</v>
      </c>
      <c r="G2189" s="14">
        <v>1921.0</v>
      </c>
      <c r="H2189" s="14" t="s">
        <v>17059</v>
      </c>
      <c r="I2189" s="14" t="s">
        <v>23270</v>
      </c>
      <c r="J2189" s="130" t="s">
        <v>21965</v>
      </c>
      <c r="K2189" s="152" t="s">
        <v>24200</v>
      </c>
      <c r="L2189" s="20" t="s">
        <v>23272</v>
      </c>
      <c r="M2189" s="174" t="s">
        <v>23273</v>
      </c>
      <c r="N2189" s="84"/>
      <c r="O2189" s="84"/>
      <c r="P2189" s="84"/>
      <c r="Q2189" s="84"/>
      <c r="R2189" s="84"/>
      <c r="S2189" s="84"/>
      <c r="T2189" s="84"/>
      <c r="U2189" s="84"/>
      <c r="V2189" s="84"/>
      <c r="W2189" s="84"/>
      <c r="X2189" s="84"/>
    </row>
    <row r="2190" ht="15.75" customHeight="1">
      <c r="A2190" s="14" t="s">
        <v>17</v>
      </c>
      <c r="B2190" s="14">
        <v>2011.0</v>
      </c>
      <c r="C2190" s="14" t="s">
        <v>26000</v>
      </c>
      <c r="D2190" s="14" t="s">
        <v>23275</v>
      </c>
      <c r="E2190" s="150" t="str">
        <f t="shared" si="29"/>
        <v>http://dx.doi.org/10.1109/TVCG.2011.203</v>
      </c>
      <c r="F2190" s="14">
        <v>1949.0</v>
      </c>
      <c r="G2190" s="14">
        <v>1958.0</v>
      </c>
      <c r="H2190" s="14" t="s">
        <v>17059</v>
      </c>
      <c r="I2190" s="14" t="s">
        <v>23278</v>
      </c>
      <c r="J2190" s="130" t="s">
        <v>23279</v>
      </c>
      <c r="K2190" s="152" t="s">
        <v>26010</v>
      </c>
      <c r="L2190" s="20" t="s">
        <v>23282</v>
      </c>
      <c r="M2190" s="174" t="s">
        <v>23283</v>
      </c>
      <c r="N2190" s="84"/>
      <c r="O2190" s="84"/>
      <c r="P2190" s="84"/>
      <c r="Q2190" s="84"/>
      <c r="R2190" s="84"/>
      <c r="S2190" s="84"/>
      <c r="T2190" s="84"/>
      <c r="U2190" s="84"/>
      <c r="V2190" s="84"/>
      <c r="W2190" s="84"/>
      <c r="X2190" s="84"/>
    </row>
    <row r="2191" ht="15.75" customHeight="1">
      <c r="A2191" s="14" t="s">
        <v>17</v>
      </c>
      <c r="B2191" s="14">
        <v>2011.0</v>
      </c>
      <c r="C2191" s="14" t="s">
        <v>23285</v>
      </c>
      <c r="D2191" s="14" t="s">
        <v>23286</v>
      </c>
      <c r="E2191" s="150" t="str">
        <f t="shared" si="29"/>
        <v>http://dx.doi.org/10.1109/TVCG.2011.204</v>
      </c>
      <c r="F2191" s="14">
        <v>2096.0</v>
      </c>
      <c r="G2191" s="14">
        <v>2105.0</v>
      </c>
      <c r="H2191" s="14" t="s">
        <v>17059</v>
      </c>
      <c r="I2191" s="14" t="s">
        <v>23287</v>
      </c>
      <c r="J2191" s="130" t="s">
        <v>23288</v>
      </c>
      <c r="K2191" s="152" t="s">
        <v>26025</v>
      </c>
      <c r="L2191" s="20" t="s">
        <v>23291</v>
      </c>
      <c r="M2191" s="174" t="s">
        <v>23292</v>
      </c>
      <c r="N2191" s="84"/>
      <c r="O2191" s="84"/>
      <c r="P2191" s="84"/>
      <c r="Q2191" s="84"/>
      <c r="R2191" s="84"/>
      <c r="S2191" s="84"/>
      <c r="T2191" s="84"/>
      <c r="U2191" s="84"/>
      <c r="V2191" s="84"/>
      <c r="W2191" s="84"/>
      <c r="X2191" s="84"/>
    </row>
    <row r="2192" ht="15.75" customHeight="1">
      <c r="A2192" s="14" t="s">
        <v>17</v>
      </c>
      <c r="B2192" s="14">
        <v>2011.0</v>
      </c>
      <c r="C2192" s="14" t="s">
        <v>23293</v>
      </c>
      <c r="D2192" s="14" t="s">
        <v>23294</v>
      </c>
      <c r="E2192" s="150" t="str">
        <f t="shared" si="29"/>
        <v>http://dx.doi.org/10.1109/TVCG.2011.206</v>
      </c>
      <c r="F2192" s="14">
        <v>1803.0</v>
      </c>
      <c r="G2192" s="14">
        <v>1811.0</v>
      </c>
      <c r="H2192" s="14" t="s">
        <v>17059</v>
      </c>
      <c r="I2192" s="14" t="s">
        <v>23295</v>
      </c>
      <c r="J2192" s="130" t="s">
        <v>23296</v>
      </c>
      <c r="K2192" s="152" t="s">
        <v>26046</v>
      </c>
      <c r="L2192" s="20" t="s">
        <v>23299</v>
      </c>
      <c r="M2192" s="174" t="s">
        <v>21598</v>
      </c>
      <c r="N2192" s="84"/>
      <c r="O2192" s="84"/>
      <c r="P2192" s="84"/>
      <c r="Q2192" s="84"/>
      <c r="R2192" s="84"/>
      <c r="S2192" s="84"/>
      <c r="T2192" s="84"/>
      <c r="U2192" s="84"/>
      <c r="V2192" s="84"/>
      <c r="W2192" s="84"/>
      <c r="X2192" s="84"/>
    </row>
    <row r="2193" ht="15.75" customHeight="1">
      <c r="A2193" s="14" t="s">
        <v>17</v>
      </c>
      <c r="B2193" s="14">
        <v>2011.0</v>
      </c>
      <c r="C2193" s="14" t="s">
        <v>23301</v>
      </c>
      <c r="D2193" s="14" t="s">
        <v>23302</v>
      </c>
      <c r="E2193" s="150" t="str">
        <f t="shared" si="29"/>
        <v>http://dx.doi.org/10.1109/TVCG.2011.207</v>
      </c>
      <c r="F2193" s="14">
        <v>1812.0</v>
      </c>
      <c r="G2193" s="14">
        <v>1821.0</v>
      </c>
      <c r="H2193" s="14" t="s">
        <v>17059</v>
      </c>
      <c r="I2193" s="14" t="s">
        <v>23304</v>
      </c>
      <c r="J2193" s="130" t="s">
        <v>23305</v>
      </c>
      <c r="K2193" s="152" t="s">
        <v>5349</v>
      </c>
      <c r="L2193" s="20" t="s">
        <v>23308</v>
      </c>
      <c r="M2193" s="174" t="s">
        <v>23309</v>
      </c>
      <c r="N2193" s="84"/>
      <c r="O2193" s="84"/>
      <c r="P2193" s="84"/>
      <c r="Q2193" s="84"/>
      <c r="R2193" s="84"/>
      <c r="S2193" s="84"/>
      <c r="T2193" s="84"/>
      <c r="U2193" s="84"/>
      <c r="V2193" s="84"/>
      <c r="W2193" s="84"/>
      <c r="X2193" s="84"/>
    </row>
    <row r="2194" ht="15.75" customHeight="1">
      <c r="A2194" s="14" t="s">
        <v>17</v>
      </c>
      <c r="B2194" s="14">
        <v>2011.0</v>
      </c>
      <c r="C2194" s="14" t="s">
        <v>23310</v>
      </c>
      <c r="D2194" s="14" t="s">
        <v>23311</v>
      </c>
      <c r="E2194" s="150" t="str">
        <f t="shared" si="29"/>
        <v>http://dx.doi.org/10.1109/TVCG.2011.208</v>
      </c>
      <c r="F2194" s="14">
        <v>1747.0</v>
      </c>
      <c r="G2194" s="14">
        <v>1756.0</v>
      </c>
      <c r="H2194" s="14" t="s">
        <v>17059</v>
      </c>
      <c r="I2194" s="14" t="s">
        <v>23312</v>
      </c>
      <c r="J2194" s="130" t="s">
        <v>23313</v>
      </c>
      <c r="K2194" s="152" t="s">
        <v>26076</v>
      </c>
      <c r="L2194" s="20" t="s">
        <v>23317</v>
      </c>
      <c r="M2194" s="174" t="s">
        <v>23318</v>
      </c>
      <c r="N2194" s="84"/>
      <c r="O2194" s="84"/>
      <c r="P2194" s="84"/>
      <c r="Q2194" s="84"/>
      <c r="R2194" s="84"/>
      <c r="S2194" s="84"/>
      <c r="T2194" s="84"/>
      <c r="U2194" s="84"/>
      <c r="V2194" s="84"/>
      <c r="W2194" s="84"/>
      <c r="X2194" s="84"/>
    </row>
    <row r="2195" ht="15.75" customHeight="1">
      <c r="A2195" s="14" t="s">
        <v>17</v>
      </c>
      <c r="B2195" s="14">
        <v>2011.0</v>
      </c>
      <c r="C2195" s="14" t="s">
        <v>23320</v>
      </c>
      <c r="D2195" s="14" t="s">
        <v>23321</v>
      </c>
      <c r="E2195" s="150" t="str">
        <f t="shared" si="29"/>
        <v>http://dx.doi.org/10.1109/TVCG.2011.211</v>
      </c>
      <c r="F2195" s="14">
        <v>2125.0</v>
      </c>
      <c r="G2195" s="14">
        <v>2134.0</v>
      </c>
      <c r="H2195" s="14" t="s">
        <v>17059</v>
      </c>
      <c r="I2195" s="14" t="s">
        <v>23322</v>
      </c>
      <c r="J2195" s="130" t="s">
        <v>23323</v>
      </c>
      <c r="K2195" s="152" t="s">
        <v>26097</v>
      </c>
      <c r="L2195" s="20" t="s">
        <v>23326</v>
      </c>
      <c r="M2195" s="174" t="s">
        <v>23327</v>
      </c>
      <c r="N2195" s="84"/>
      <c r="O2195" s="84"/>
      <c r="P2195" s="84"/>
      <c r="Q2195" s="84"/>
      <c r="R2195" s="84"/>
      <c r="S2195" s="84"/>
      <c r="T2195" s="84"/>
      <c r="U2195" s="84"/>
      <c r="V2195" s="84"/>
      <c r="W2195" s="84"/>
      <c r="X2195" s="84"/>
    </row>
    <row r="2196" ht="15.75" customHeight="1">
      <c r="A2196" s="14" t="s">
        <v>17</v>
      </c>
      <c r="B2196" s="14">
        <v>2011.0</v>
      </c>
      <c r="C2196" s="14" t="s">
        <v>23328</v>
      </c>
      <c r="D2196" s="14" t="s">
        <v>23329</v>
      </c>
      <c r="E2196" s="150" t="str">
        <f t="shared" si="29"/>
        <v>http://dx.doi.org/10.1109/TVCG.2011.214</v>
      </c>
      <c r="F2196" s="14">
        <v>2135.0</v>
      </c>
      <c r="G2196" s="14">
        <v>2143.0</v>
      </c>
      <c r="H2196" s="14" t="s">
        <v>17059</v>
      </c>
      <c r="I2196" s="14" t="s">
        <v>23330</v>
      </c>
      <c r="J2196" s="130" t="s">
        <v>23331</v>
      </c>
      <c r="K2196" s="152" t="s">
        <v>26157</v>
      </c>
      <c r="L2196" s="20" t="s">
        <v>23334</v>
      </c>
      <c r="M2196" s="174" t="s">
        <v>23335</v>
      </c>
      <c r="N2196" s="84"/>
      <c r="O2196" s="84"/>
      <c r="P2196" s="84"/>
      <c r="Q2196" s="84"/>
      <c r="R2196" s="84"/>
      <c r="S2196" s="84"/>
      <c r="T2196" s="84"/>
      <c r="U2196" s="84"/>
      <c r="V2196" s="84"/>
      <c r="W2196" s="84"/>
      <c r="X2196" s="84"/>
    </row>
    <row r="2197" ht="15.75" customHeight="1">
      <c r="A2197" s="14" t="s">
        <v>17</v>
      </c>
      <c r="B2197" s="14">
        <v>2011.0</v>
      </c>
      <c r="C2197" s="14" t="s">
        <v>23337</v>
      </c>
      <c r="D2197" s="14" t="s">
        <v>23338</v>
      </c>
      <c r="E2197" s="150" t="str">
        <f t="shared" si="29"/>
        <v>http://dx.doi.org/10.1109/TVCG.2011.215</v>
      </c>
      <c r="F2197" s="14">
        <v>2153.0</v>
      </c>
      <c r="G2197" s="14">
        <v>2162.0</v>
      </c>
      <c r="H2197" s="14" t="s">
        <v>17059</v>
      </c>
      <c r="I2197" s="14" t="s">
        <v>23340</v>
      </c>
      <c r="J2197" s="130" t="s">
        <v>41720</v>
      </c>
      <c r="K2197" s="152" t="s">
        <v>24338</v>
      </c>
      <c r="L2197" s="20" t="s">
        <v>23342</v>
      </c>
      <c r="M2197" s="174" t="s">
        <v>23343</v>
      </c>
      <c r="N2197" s="84"/>
      <c r="O2197" s="84"/>
      <c r="P2197" s="84"/>
      <c r="Q2197" s="84"/>
      <c r="R2197" s="84"/>
      <c r="S2197" s="84"/>
      <c r="T2197" s="84"/>
      <c r="U2197" s="84"/>
      <c r="V2197" s="84"/>
      <c r="W2197" s="84"/>
      <c r="X2197" s="84"/>
    </row>
    <row r="2198" ht="15.75" customHeight="1">
      <c r="A2198" s="14" t="s">
        <v>17</v>
      </c>
      <c r="B2198" s="14">
        <v>2011.0</v>
      </c>
      <c r="C2198" s="14" t="s">
        <v>23344</v>
      </c>
      <c r="D2198" s="14" t="s">
        <v>23345</v>
      </c>
      <c r="E2198" s="150" t="str">
        <f t="shared" si="29"/>
        <v>http://dx.doi.org/10.1109/TVCG.2011.216</v>
      </c>
      <c r="F2198" s="14">
        <v>2115.0</v>
      </c>
      <c r="G2198" s="14">
        <v>2124.0</v>
      </c>
      <c r="H2198" s="14" t="s">
        <v>17059</v>
      </c>
      <c r="I2198" s="14" t="s">
        <v>23346</v>
      </c>
      <c r="J2198" s="130" t="s">
        <v>41729</v>
      </c>
      <c r="K2198" s="152" t="s">
        <v>26184</v>
      </c>
      <c r="L2198" s="20" t="s">
        <v>23350</v>
      </c>
      <c r="M2198" s="174" t="s">
        <v>23351</v>
      </c>
      <c r="N2198" s="84"/>
      <c r="O2198" s="84"/>
      <c r="P2198" s="84"/>
      <c r="Q2198" s="84"/>
      <c r="R2198" s="84"/>
      <c r="S2198" s="84"/>
      <c r="T2198" s="84"/>
      <c r="U2198" s="84"/>
      <c r="V2198" s="84"/>
      <c r="W2198" s="84"/>
      <c r="X2198" s="84"/>
    </row>
    <row r="2199" ht="15.75" customHeight="1">
      <c r="A2199" s="14" t="s">
        <v>17</v>
      </c>
      <c r="B2199" s="14">
        <v>2011.0</v>
      </c>
      <c r="C2199" s="14" t="s">
        <v>23352</v>
      </c>
      <c r="D2199" s="14" t="s">
        <v>23353</v>
      </c>
      <c r="E2199" s="150" t="str">
        <f t="shared" si="29"/>
        <v>http://dx.doi.org/10.1109/TVCG.2011.217</v>
      </c>
      <c r="F2199" s="14">
        <v>1882.0</v>
      </c>
      <c r="G2199" s="14">
        <v>1891.0</v>
      </c>
      <c r="H2199" s="14" t="s">
        <v>17059</v>
      </c>
      <c r="I2199" s="14" t="s">
        <v>23355</v>
      </c>
      <c r="J2199" s="130" t="s">
        <v>26194</v>
      </c>
      <c r="K2199" s="152" t="s">
        <v>26195</v>
      </c>
      <c r="L2199" s="20" t="s">
        <v>23359</v>
      </c>
      <c r="M2199" s="174" t="s">
        <v>23360</v>
      </c>
      <c r="N2199" s="84"/>
      <c r="O2199" s="84"/>
      <c r="P2199" s="84"/>
      <c r="Q2199" s="84"/>
      <c r="R2199" s="84"/>
      <c r="S2199" s="84"/>
      <c r="T2199" s="84"/>
      <c r="U2199" s="84"/>
      <c r="V2199" s="84"/>
      <c r="W2199" s="84"/>
      <c r="X2199" s="84"/>
    </row>
    <row r="2200" ht="15.75" customHeight="1">
      <c r="A2200" s="14" t="s">
        <v>17</v>
      </c>
      <c r="B2200" s="14">
        <v>2011.0</v>
      </c>
      <c r="C2200" s="14" t="s">
        <v>23362</v>
      </c>
      <c r="D2200" s="14" t="s">
        <v>23363</v>
      </c>
      <c r="E2200" s="150" t="str">
        <f t="shared" si="29"/>
        <v>http://dx.doi.org/10.1109/TVCG.2011.218</v>
      </c>
      <c r="F2200" s="14">
        <v>1959.0</v>
      </c>
      <c r="G2200" s="14">
        <v>1968.0</v>
      </c>
      <c r="H2200" s="14" t="s">
        <v>17059</v>
      </c>
      <c r="I2200" s="14" t="s">
        <v>23364</v>
      </c>
      <c r="J2200" s="130" t="s">
        <v>23365</v>
      </c>
      <c r="K2200" s="152" t="s">
        <v>25695</v>
      </c>
      <c r="L2200" s="20" t="s">
        <v>23366</v>
      </c>
      <c r="M2200" s="174" t="s">
        <v>23367</v>
      </c>
      <c r="N2200" s="84"/>
      <c r="O2200" s="84"/>
      <c r="P2200" s="84"/>
      <c r="Q2200" s="84"/>
      <c r="R2200" s="84"/>
      <c r="S2200" s="84"/>
      <c r="T2200" s="84"/>
      <c r="U2200" s="84"/>
      <c r="V2200" s="84"/>
      <c r="W2200" s="84"/>
      <c r="X2200" s="84"/>
    </row>
    <row r="2201" ht="15.75" customHeight="1">
      <c r="A2201" s="14" t="s">
        <v>17</v>
      </c>
      <c r="B2201" s="14">
        <v>2011.0</v>
      </c>
      <c r="C2201" s="14" t="s">
        <v>23368</v>
      </c>
      <c r="D2201" s="14" t="s">
        <v>23369</v>
      </c>
      <c r="E2201" s="150" t="str">
        <f t="shared" si="29"/>
        <v>http://dx.doi.org/10.1109/TVCG.2011.219</v>
      </c>
      <c r="F2201" s="14">
        <v>1785.0</v>
      </c>
      <c r="G2201" s="14">
        <v>1794.0</v>
      </c>
      <c r="H2201" s="14" t="s">
        <v>17059</v>
      </c>
      <c r="I2201" s="14" t="s">
        <v>23370</v>
      </c>
      <c r="J2201" s="130" t="s">
        <v>23371</v>
      </c>
      <c r="K2201" s="152" t="s">
        <v>12380</v>
      </c>
      <c r="L2201" s="20"/>
      <c r="M2201" s="174" t="s">
        <v>23372</v>
      </c>
      <c r="N2201" s="84"/>
      <c r="O2201" s="84"/>
      <c r="P2201" s="84"/>
      <c r="Q2201" s="84"/>
      <c r="R2201" s="84"/>
      <c r="S2201" s="84"/>
      <c r="T2201" s="84"/>
      <c r="U2201" s="84"/>
      <c r="V2201" s="84"/>
      <c r="W2201" s="84"/>
      <c r="X2201" s="84"/>
    </row>
    <row r="2202" ht="15.75" customHeight="1">
      <c r="A2202" s="14" t="s">
        <v>17</v>
      </c>
      <c r="B2202" s="14">
        <v>2011.0</v>
      </c>
      <c r="C2202" s="14" t="s">
        <v>23374</v>
      </c>
      <c r="D2202" s="14" t="s">
        <v>23375</v>
      </c>
      <c r="E2202" s="150" t="str">
        <f t="shared" si="29"/>
        <v>http://dx.doi.org/10.1109/TVCG.2011.224</v>
      </c>
      <c r="F2202" s="14">
        <v>1775.0</v>
      </c>
      <c r="G2202" s="14">
        <v>1784.0</v>
      </c>
      <c r="H2202" s="14" t="s">
        <v>17059</v>
      </c>
      <c r="I2202" s="14" t="s">
        <v>23377</v>
      </c>
      <c r="J2202" s="130" t="s">
        <v>23378</v>
      </c>
      <c r="K2202" s="152" t="s">
        <v>26238</v>
      </c>
      <c r="L2202" s="20" t="s">
        <v>23381</v>
      </c>
      <c r="M2202" s="174" t="s">
        <v>23382</v>
      </c>
      <c r="N2202" s="84"/>
      <c r="O2202" s="84"/>
      <c r="P2202" s="84"/>
      <c r="Q2202" s="84"/>
      <c r="R2202" s="84"/>
      <c r="S2202" s="84"/>
      <c r="T2202" s="84"/>
      <c r="U2202" s="84"/>
      <c r="V2202" s="84"/>
      <c r="W2202" s="84"/>
      <c r="X2202" s="84"/>
    </row>
    <row r="2203" ht="15.75" customHeight="1">
      <c r="A2203" s="14" t="s">
        <v>17</v>
      </c>
      <c r="B2203" s="14">
        <v>2011.0</v>
      </c>
      <c r="C2203" s="14" t="s">
        <v>23383</v>
      </c>
      <c r="D2203" s="14" t="s">
        <v>23384</v>
      </c>
      <c r="E2203" s="150" t="str">
        <f t="shared" si="29"/>
        <v>http://dx.doi.org/10.1109/TVCG.2011.225</v>
      </c>
      <c r="F2203" s="14">
        <v>1872.0</v>
      </c>
      <c r="G2203" s="14">
        <v>1881.0</v>
      </c>
      <c r="H2203" s="14" t="s">
        <v>17059</v>
      </c>
      <c r="I2203" s="14" t="s">
        <v>23385</v>
      </c>
      <c r="J2203" s="130" t="s">
        <v>41730</v>
      </c>
      <c r="K2203" s="152" t="s">
        <v>26249</v>
      </c>
      <c r="L2203" s="20" t="s">
        <v>23389</v>
      </c>
      <c r="M2203" s="174" t="s">
        <v>23390</v>
      </c>
      <c r="N2203" s="84"/>
      <c r="O2203" s="84"/>
      <c r="P2203" s="84"/>
      <c r="Q2203" s="84"/>
      <c r="R2203" s="84"/>
      <c r="S2203" s="84"/>
      <c r="T2203" s="84"/>
      <c r="U2203" s="84"/>
      <c r="V2203" s="84"/>
      <c r="W2203" s="84"/>
      <c r="X2203" s="84"/>
    </row>
    <row r="2204" ht="15.75" customHeight="1">
      <c r="A2204" s="14" t="s">
        <v>17</v>
      </c>
      <c r="B2204" s="14">
        <v>2011.0</v>
      </c>
      <c r="C2204" s="14" t="s">
        <v>23391</v>
      </c>
      <c r="D2204" s="14" t="s">
        <v>23392</v>
      </c>
      <c r="E2204" s="150" t="str">
        <f t="shared" si="29"/>
        <v>http://dx.doi.org/10.1109/TVCG.2011.228</v>
      </c>
      <c r="F2204" s="14">
        <v>2193.0</v>
      </c>
      <c r="G2204" s="14">
        <v>2202.0</v>
      </c>
      <c r="H2204" s="14" t="s">
        <v>17059</v>
      </c>
      <c r="I2204" s="14" t="s">
        <v>23395</v>
      </c>
      <c r="J2204" s="130" t="s">
        <v>41731</v>
      </c>
      <c r="K2204" s="152" t="s">
        <v>26310</v>
      </c>
      <c r="L2204" s="20" t="s">
        <v>23399</v>
      </c>
      <c r="M2204" s="174" t="s">
        <v>23401</v>
      </c>
      <c r="N2204" s="84"/>
      <c r="O2204" s="84"/>
      <c r="P2204" s="84"/>
      <c r="Q2204" s="84"/>
      <c r="R2204" s="84"/>
      <c r="S2204" s="84"/>
      <c r="T2204" s="84"/>
      <c r="U2204" s="84"/>
      <c r="V2204" s="84"/>
      <c r="W2204" s="84"/>
      <c r="X2204" s="84"/>
    </row>
    <row r="2205" ht="15.75" customHeight="1">
      <c r="A2205" s="14" t="s">
        <v>17</v>
      </c>
      <c r="B2205" s="14">
        <v>2011.0</v>
      </c>
      <c r="C2205" s="14" t="s">
        <v>23402</v>
      </c>
      <c r="D2205" s="14" t="s">
        <v>23403</v>
      </c>
      <c r="E2205" s="150" t="str">
        <f t="shared" si="29"/>
        <v>http://dx.doi.org/10.1109/TVCG.2011.230</v>
      </c>
      <c r="F2205" s="14">
        <v>1832.0</v>
      </c>
      <c r="G2205" s="14">
        <v>1841.0</v>
      </c>
      <c r="H2205" s="14" t="s">
        <v>17059</v>
      </c>
      <c r="I2205" s="14" t="s">
        <v>23404</v>
      </c>
      <c r="J2205" s="130" t="s">
        <v>23405</v>
      </c>
      <c r="K2205" s="152" t="s">
        <v>178</v>
      </c>
      <c r="L2205" s="20" t="s">
        <v>23407</v>
      </c>
      <c r="M2205" s="174" t="s">
        <v>23408</v>
      </c>
      <c r="N2205" s="84"/>
      <c r="O2205" s="84"/>
      <c r="P2205" s="84"/>
      <c r="Q2205" s="84"/>
      <c r="R2205" s="84"/>
      <c r="S2205" s="84"/>
      <c r="T2205" s="84"/>
      <c r="U2205" s="84"/>
      <c r="V2205" s="84"/>
      <c r="W2205" s="84"/>
      <c r="X2205" s="84"/>
    </row>
    <row r="2206" ht="15.75" customHeight="1">
      <c r="A2206" s="14" t="s">
        <v>17</v>
      </c>
      <c r="B2206" s="14">
        <v>2011.0</v>
      </c>
      <c r="C2206" s="14" t="s">
        <v>23409</v>
      </c>
      <c r="D2206" s="14" t="s">
        <v>23410</v>
      </c>
      <c r="E2206" s="150" t="str">
        <f t="shared" si="29"/>
        <v>http://dx.doi.org/10.1109/TVCG.2011.231</v>
      </c>
      <c r="F2206" s="14">
        <v>1737.0</v>
      </c>
      <c r="G2206" s="14">
        <v>1746.0</v>
      </c>
      <c r="H2206" s="14" t="s">
        <v>17059</v>
      </c>
      <c r="I2206" s="14" t="s">
        <v>23411</v>
      </c>
      <c r="J2206" s="130" t="s">
        <v>23412</v>
      </c>
      <c r="K2206" s="152" t="s">
        <v>23105</v>
      </c>
      <c r="L2206" s="20" t="s">
        <v>23414</v>
      </c>
      <c r="M2206" s="174" t="s">
        <v>23415</v>
      </c>
      <c r="N2206" s="84"/>
      <c r="O2206" s="84"/>
      <c r="P2206" s="84"/>
      <c r="Q2206" s="84"/>
      <c r="R2206" s="84"/>
      <c r="S2206" s="84"/>
      <c r="T2206" s="84"/>
      <c r="U2206" s="84"/>
      <c r="V2206" s="84"/>
      <c r="W2206" s="84"/>
      <c r="X2206" s="84"/>
    </row>
    <row r="2207" ht="15.75" customHeight="1">
      <c r="A2207" s="14" t="s">
        <v>17</v>
      </c>
      <c r="B2207" s="14">
        <v>2011.0</v>
      </c>
      <c r="C2207" s="14" t="s">
        <v>23417</v>
      </c>
      <c r="D2207" s="14" t="s">
        <v>23419</v>
      </c>
      <c r="E2207" s="150" t="str">
        <f t="shared" si="29"/>
        <v>http://dx.doi.org/10.1109/TVCG.2011.235</v>
      </c>
      <c r="F2207" s="14">
        <v>2063.0</v>
      </c>
      <c r="G2207" s="14">
        <v>2070.0</v>
      </c>
      <c r="H2207" s="14" t="s">
        <v>17059</v>
      </c>
      <c r="I2207" s="14" t="s">
        <v>23420</v>
      </c>
      <c r="J2207" s="130" t="s">
        <v>23421</v>
      </c>
      <c r="K2207" s="152" t="s">
        <v>178</v>
      </c>
      <c r="L2207" s="20" t="s">
        <v>23423</v>
      </c>
      <c r="M2207" s="174" t="s">
        <v>23424</v>
      </c>
      <c r="N2207" s="84"/>
      <c r="O2207" s="84"/>
      <c r="P2207" s="84"/>
      <c r="Q2207" s="84"/>
      <c r="R2207" s="84"/>
      <c r="S2207" s="84"/>
      <c r="T2207" s="84"/>
      <c r="U2207" s="84"/>
      <c r="V2207" s="84"/>
      <c r="W2207" s="84"/>
      <c r="X2207" s="84"/>
    </row>
    <row r="2208" ht="15.75" customHeight="1">
      <c r="A2208" s="14" t="s">
        <v>17</v>
      </c>
      <c r="B2208" s="14">
        <v>2011.0</v>
      </c>
      <c r="C2208" s="14" t="s">
        <v>23425</v>
      </c>
      <c r="D2208" s="14" t="s">
        <v>23426</v>
      </c>
      <c r="E2208" s="150" t="str">
        <f t="shared" si="29"/>
        <v>http://dx.doi.org/10.1109/TVCG.2011.236</v>
      </c>
      <c r="F2208" s="14">
        <v>2035.0</v>
      </c>
      <c r="G2208" s="14">
        <v>2044.0</v>
      </c>
      <c r="H2208" s="14" t="s">
        <v>17059</v>
      </c>
      <c r="I2208" s="14" t="s">
        <v>23427</v>
      </c>
      <c r="J2208" s="130" t="s">
        <v>23428</v>
      </c>
      <c r="K2208" s="152" t="s">
        <v>26421</v>
      </c>
      <c r="L2208" s="20" t="s">
        <v>23430</v>
      </c>
      <c r="M2208" s="174" t="s">
        <v>23431</v>
      </c>
      <c r="N2208" s="84"/>
      <c r="O2208" s="84"/>
      <c r="P2208" s="84"/>
      <c r="Q2208" s="84"/>
      <c r="R2208" s="84"/>
      <c r="S2208" s="84"/>
      <c r="T2208" s="84"/>
      <c r="U2208" s="84"/>
      <c r="V2208" s="84"/>
      <c r="W2208" s="84"/>
      <c r="X2208" s="84"/>
    </row>
    <row r="2209" ht="15.75" customHeight="1">
      <c r="A2209" s="14" t="s">
        <v>17</v>
      </c>
      <c r="B2209" s="14">
        <v>2011.0</v>
      </c>
      <c r="C2209" s="14" t="s">
        <v>23432</v>
      </c>
      <c r="D2209" s="14" t="s">
        <v>23433</v>
      </c>
      <c r="E2209" s="150" t="str">
        <f t="shared" si="29"/>
        <v>http://dx.doi.org/10.1109/TVCG.2011.242</v>
      </c>
      <c r="F2209" s="14">
        <v>1942.0</v>
      </c>
      <c r="G2209" s="14">
        <v>1948.0</v>
      </c>
      <c r="H2209" s="14" t="s">
        <v>17059</v>
      </c>
      <c r="I2209" s="14" t="s">
        <v>23436</v>
      </c>
      <c r="J2209" s="130" t="s">
        <v>23437</v>
      </c>
      <c r="K2209" s="152" t="s">
        <v>494</v>
      </c>
      <c r="L2209" s="20" t="s">
        <v>23441</v>
      </c>
      <c r="M2209" s="174" t="s">
        <v>23442</v>
      </c>
      <c r="N2209" s="84"/>
      <c r="O2209" s="84"/>
      <c r="P2209" s="84"/>
      <c r="Q2209" s="84"/>
      <c r="R2209" s="84"/>
      <c r="S2209" s="84"/>
      <c r="T2209" s="84"/>
      <c r="U2209" s="84"/>
      <c r="V2209" s="84"/>
      <c r="W2209" s="84"/>
      <c r="X2209" s="84"/>
    </row>
    <row r="2210" ht="15.75" customHeight="1">
      <c r="A2210" s="14" t="s">
        <v>17</v>
      </c>
      <c r="B2210" s="14">
        <v>2011.0</v>
      </c>
      <c r="C2210" s="14" t="s">
        <v>23443</v>
      </c>
      <c r="D2210" s="14" t="s">
        <v>23444</v>
      </c>
      <c r="E2210" s="150" t="str">
        <f t="shared" si="29"/>
        <v>http://dx.doi.org/10.1109/TVCG.2011.243</v>
      </c>
      <c r="F2210" s="14">
        <v>2183.0</v>
      </c>
      <c r="G2210" s="14">
        <v>2192.0</v>
      </c>
      <c r="H2210" s="14" t="s">
        <v>17059</v>
      </c>
      <c r="I2210" s="14" t="s">
        <v>23445</v>
      </c>
      <c r="J2210" s="130" t="s">
        <v>23446</v>
      </c>
      <c r="K2210" s="152" t="s">
        <v>26473</v>
      </c>
      <c r="L2210" s="20" t="s">
        <v>23448</v>
      </c>
      <c r="M2210" s="174" t="s">
        <v>23449</v>
      </c>
      <c r="N2210" s="84"/>
      <c r="O2210" s="84"/>
      <c r="P2210" s="84"/>
      <c r="Q2210" s="84"/>
      <c r="R2210" s="84"/>
      <c r="S2210" s="84"/>
      <c r="T2210" s="84"/>
      <c r="U2210" s="84"/>
      <c r="V2210" s="84"/>
      <c r="W2210" s="84"/>
      <c r="X2210" s="84"/>
    </row>
    <row r="2211" ht="15.75" customHeight="1">
      <c r="A2211" s="14" t="s">
        <v>17</v>
      </c>
      <c r="B2211" s="14">
        <v>2011.0</v>
      </c>
      <c r="C2211" s="14" t="s">
        <v>23450</v>
      </c>
      <c r="D2211" s="14" t="s">
        <v>23451</v>
      </c>
      <c r="E2211" s="150" t="str">
        <f t="shared" si="29"/>
        <v>http://dx.doi.org/10.1109/TVCG.2011.244</v>
      </c>
      <c r="F2211" s="14">
        <v>1842.0</v>
      </c>
      <c r="G2211" s="14">
        <v>1851.0</v>
      </c>
      <c r="H2211" s="14" t="s">
        <v>17059</v>
      </c>
      <c r="I2211" s="14" t="s">
        <v>23452</v>
      </c>
      <c r="J2211" s="130" t="s">
        <v>23454</v>
      </c>
      <c r="K2211" s="152" t="s">
        <v>26485</v>
      </c>
      <c r="L2211" s="20" t="s">
        <v>23457</v>
      </c>
      <c r="M2211" s="174" t="s">
        <v>23458</v>
      </c>
      <c r="N2211" s="84"/>
      <c r="O2211" s="84"/>
      <c r="P2211" s="84"/>
      <c r="Q2211" s="84"/>
      <c r="R2211" s="84"/>
      <c r="S2211" s="84"/>
      <c r="T2211" s="84"/>
      <c r="U2211" s="84"/>
      <c r="V2211" s="84"/>
      <c r="W2211" s="84"/>
      <c r="X2211" s="84"/>
    </row>
    <row r="2212" ht="15.75" customHeight="1">
      <c r="A2212" s="14" t="s">
        <v>17</v>
      </c>
      <c r="B2212" s="14">
        <v>2011.0</v>
      </c>
      <c r="C2212" s="14" t="s">
        <v>23460</v>
      </c>
      <c r="D2212" s="14" t="s">
        <v>23461</v>
      </c>
      <c r="E2212" s="150" t="str">
        <f t="shared" si="29"/>
        <v>http://dx.doi.org/10.1109/TVCG.2011.245</v>
      </c>
      <c r="F2212" s="14">
        <v>1852.0</v>
      </c>
      <c r="G2212" s="14">
        <v>1861.0</v>
      </c>
      <c r="H2212" s="14" t="s">
        <v>17059</v>
      </c>
      <c r="I2212" s="14" t="s">
        <v>23462</v>
      </c>
      <c r="J2212" s="130" t="s">
        <v>23463</v>
      </c>
      <c r="K2212" s="152" t="s">
        <v>26503</v>
      </c>
      <c r="L2212" s="20" t="s">
        <v>23466</v>
      </c>
      <c r="M2212" s="174" t="s">
        <v>23467</v>
      </c>
      <c r="N2212" s="84"/>
      <c r="O2212" s="84"/>
      <c r="P2212" s="84"/>
      <c r="Q2212" s="84"/>
      <c r="R2212" s="84"/>
      <c r="S2212" s="84"/>
      <c r="T2212" s="84"/>
      <c r="U2212" s="84"/>
      <c r="V2212" s="84"/>
      <c r="W2212" s="84"/>
      <c r="X2212" s="84"/>
    </row>
    <row r="2213" ht="15.75" customHeight="1">
      <c r="A2213" s="14" t="s">
        <v>17</v>
      </c>
      <c r="B2213" s="14">
        <v>2011.0</v>
      </c>
      <c r="C2213" s="14" t="s">
        <v>23468</v>
      </c>
      <c r="D2213" s="14" t="s">
        <v>23469</v>
      </c>
      <c r="E2213" s="150" t="str">
        <f t="shared" si="29"/>
        <v>http://dx.doi.org/10.1109/TVCG.2011.246</v>
      </c>
      <c r="F2213" s="14">
        <v>2015.0</v>
      </c>
      <c r="G2213" s="14">
        <v>2024.0</v>
      </c>
      <c r="H2213" s="14" t="s">
        <v>17059</v>
      </c>
      <c r="I2213" s="14" t="s">
        <v>23470</v>
      </c>
      <c r="J2213" s="130" t="s">
        <v>23471</v>
      </c>
      <c r="K2213" s="152" t="s">
        <v>26514</v>
      </c>
      <c r="L2213" s="20" t="s">
        <v>23474</v>
      </c>
      <c r="M2213" s="174" t="s">
        <v>23475</v>
      </c>
      <c r="N2213" s="84"/>
      <c r="O2213" s="84"/>
      <c r="P2213" s="84"/>
      <c r="Q2213" s="84"/>
      <c r="R2213" s="84"/>
      <c r="S2213" s="84"/>
      <c r="T2213" s="84"/>
      <c r="U2213" s="84"/>
      <c r="V2213" s="84"/>
      <c r="W2213" s="84"/>
      <c r="X2213" s="84"/>
    </row>
    <row r="2214" ht="15.75" customHeight="1">
      <c r="A2214" s="14" t="s">
        <v>17</v>
      </c>
      <c r="B2214" s="14">
        <v>2011.0</v>
      </c>
      <c r="C2214" s="14" t="s">
        <v>23477</v>
      </c>
      <c r="D2214" s="14" t="s">
        <v>23479</v>
      </c>
      <c r="E2214" s="150" t="str">
        <f t="shared" si="29"/>
        <v>http://dx.doi.org/10.1109/TVCG.2011.248</v>
      </c>
      <c r="F2214" s="14">
        <v>1892.0</v>
      </c>
      <c r="G2214" s="14">
        <v>1901.0</v>
      </c>
      <c r="H2214" s="14" t="s">
        <v>17059</v>
      </c>
      <c r="I2214" s="14" t="s">
        <v>23480</v>
      </c>
      <c r="J2214" s="130" t="s">
        <v>23481</v>
      </c>
      <c r="K2214" s="152" t="s">
        <v>26545</v>
      </c>
      <c r="L2214" s="20" t="s">
        <v>23484</v>
      </c>
      <c r="M2214" s="174" t="s">
        <v>23485</v>
      </c>
      <c r="N2214" s="84"/>
      <c r="O2214" s="84"/>
      <c r="P2214" s="84"/>
      <c r="Q2214" s="84"/>
      <c r="R2214" s="84"/>
      <c r="S2214" s="84"/>
      <c r="T2214" s="84"/>
      <c r="U2214" s="84"/>
      <c r="V2214" s="84"/>
      <c r="W2214" s="84"/>
      <c r="X2214" s="84"/>
    </row>
    <row r="2215" ht="15.75" customHeight="1">
      <c r="A2215" s="14" t="s">
        <v>17</v>
      </c>
      <c r="B2215" s="14">
        <v>2011.0</v>
      </c>
      <c r="C2215" s="14" t="s">
        <v>23486</v>
      </c>
      <c r="D2215" s="14" t="s">
        <v>23487</v>
      </c>
      <c r="E2215" s="150" t="str">
        <f t="shared" si="29"/>
        <v>http://dx.doi.org/10.1109/TVCG.2011.249</v>
      </c>
      <c r="F2215" s="14">
        <v>2080.0</v>
      </c>
      <c r="G2215" s="14">
        <v>2087.0</v>
      </c>
      <c r="H2215" s="14" t="s">
        <v>17059</v>
      </c>
      <c r="I2215" s="14" t="s">
        <v>23488</v>
      </c>
      <c r="J2215" s="130" t="s">
        <v>23489</v>
      </c>
      <c r="K2215" s="152" t="s">
        <v>26556</v>
      </c>
      <c r="L2215" s="20" t="s">
        <v>23491</v>
      </c>
      <c r="M2215" s="174" t="s">
        <v>23492</v>
      </c>
      <c r="N2215" s="84"/>
      <c r="O2215" s="84"/>
      <c r="P2215" s="84"/>
      <c r="Q2215" s="84"/>
      <c r="R2215" s="84"/>
      <c r="S2215" s="84"/>
      <c r="T2215" s="84"/>
      <c r="U2215" s="84"/>
      <c r="V2215" s="84"/>
      <c r="W2215" s="84"/>
      <c r="X2215" s="84"/>
    </row>
    <row r="2216" ht="15.75" customHeight="1">
      <c r="A2216" s="14" t="s">
        <v>17</v>
      </c>
      <c r="B2216" s="14">
        <v>2011.0</v>
      </c>
      <c r="C2216" s="14" t="s">
        <v>23493</v>
      </c>
      <c r="D2216" s="14" t="s">
        <v>23494</v>
      </c>
      <c r="E2216" s="150" t="str">
        <f t="shared" si="29"/>
        <v>http://dx.doi.org/10.1109/TVCG.2011.252</v>
      </c>
      <c r="F2216" s="14">
        <v>1862.0</v>
      </c>
      <c r="G2216" s="14">
        <v>1871.0</v>
      </c>
      <c r="H2216" s="14" t="s">
        <v>17059</v>
      </c>
      <c r="I2216" s="14" t="s">
        <v>26597</v>
      </c>
      <c r="J2216" s="130" t="s">
        <v>23497</v>
      </c>
      <c r="K2216" s="152" t="s">
        <v>26598</v>
      </c>
      <c r="L2216" s="20" t="s">
        <v>23500</v>
      </c>
      <c r="M2216" s="174" t="s">
        <v>23501</v>
      </c>
      <c r="N2216" s="84"/>
      <c r="O2216" s="84"/>
      <c r="P2216" s="84"/>
      <c r="Q2216" s="84"/>
      <c r="R2216" s="84"/>
      <c r="S2216" s="84"/>
      <c r="T2216" s="84"/>
      <c r="U2216" s="84"/>
      <c r="V2216" s="84"/>
      <c r="W2216" s="84"/>
      <c r="X2216" s="84"/>
    </row>
    <row r="2217" ht="15.75" customHeight="1">
      <c r="A2217" s="14" t="s">
        <v>17</v>
      </c>
      <c r="B2217" s="14">
        <v>2011.0</v>
      </c>
      <c r="C2217" s="14" t="s">
        <v>23502</v>
      </c>
      <c r="D2217" s="14" t="s">
        <v>23503</v>
      </c>
      <c r="E2217" s="150" t="str">
        <f t="shared" si="29"/>
        <v>http://dx.doi.org/10.1109/TVCG.2011.254</v>
      </c>
      <c r="F2217" s="14">
        <v>1765.0</v>
      </c>
      <c r="G2217" s="14">
        <v>1774.0</v>
      </c>
      <c r="H2217" s="14" t="s">
        <v>17059</v>
      </c>
      <c r="I2217" s="14" t="s">
        <v>23504</v>
      </c>
      <c r="J2217" s="130" t="s">
        <v>23505</v>
      </c>
      <c r="K2217" s="152" t="s">
        <v>15776</v>
      </c>
      <c r="L2217" s="20" t="s">
        <v>23508</v>
      </c>
      <c r="M2217" s="174" t="s">
        <v>23509</v>
      </c>
      <c r="N2217" s="84"/>
      <c r="O2217" s="84"/>
      <c r="P2217" s="84"/>
      <c r="Q2217" s="84"/>
      <c r="R2217" s="84"/>
      <c r="S2217" s="84"/>
      <c r="T2217" s="84"/>
      <c r="U2217" s="84"/>
      <c r="V2217" s="84"/>
      <c r="W2217" s="84"/>
      <c r="X2217" s="84"/>
    </row>
    <row r="2218" ht="15.75" customHeight="1">
      <c r="A2218" s="14" t="s">
        <v>17</v>
      </c>
      <c r="B2218" s="14">
        <v>2011.0</v>
      </c>
      <c r="C2218" s="14" t="s">
        <v>23511</v>
      </c>
      <c r="D2218" s="14" t="s">
        <v>23512</v>
      </c>
      <c r="E2218" s="150" t="str">
        <f t="shared" si="29"/>
        <v>http://dx.doi.org/10.1109/TVCG.2011.258</v>
      </c>
      <c r="F2218" s="14">
        <v>1969.0</v>
      </c>
      <c r="G2218" s="14">
        <v>1978.0</v>
      </c>
      <c r="H2218" s="14" t="s">
        <v>17059</v>
      </c>
      <c r="I2218" s="14" t="s">
        <v>23515</v>
      </c>
      <c r="J2218" s="130" t="s">
        <v>41732</v>
      </c>
      <c r="K2218" s="152" t="s">
        <v>26646</v>
      </c>
      <c r="L2218" s="20" t="s">
        <v>23519</v>
      </c>
      <c r="M2218" s="174" t="s">
        <v>23520</v>
      </c>
      <c r="N2218" s="84"/>
      <c r="O2218" s="84"/>
      <c r="P2218" s="84"/>
      <c r="Q2218" s="84"/>
      <c r="R2218" s="84"/>
      <c r="S2218" s="84"/>
      <c r="T2218" s="84"/>
      <c r="U2218" s="84"/>
      <c r="V2218" s="84"/>
      <c r="W2218" s="84"/>
      <c r="X2218" s="84"/>
    </row>
    <row r="2219" ht="15.75" customHeight="1">
      <c r="A2219" s="14" t="s">
        <v>17</v>
      </c>
      <c r="B2219" s="14">
        <v>2011.0</v>
      </c>
      <c r="C2219" s="14" t="s">
        <v>23522</v>
      </c>
      <c r="D2219" s="14" t="s">
        <v>23523</v>
      </c>
      <c r="E2219" s="150" t="str">
        <f t="shared" si="29"/>
        <v>http://dx.doi.org/10.1109/TVCG.2011.259</v>
      </c>
      <c r="F2219" s="14">
        <v>2025.0</v>
      </c>
      <c r="G2219" s="14">
        <v>2034.0</v>
      </c>
      <c r="H2219" s="14" t="s">
        <v>17059</v>
      </c>
      <c r="I2219" s="14" t="s">
        <v>23524</v>
      </c>
      <c r="J2219" s="130" t="s">
        <v>23525</v>
      </c>
      <c r="K2219" s="152" t="s">
        <v>26656</v>
      </c>
      <c r="L2219" s="20" t="s">
        <v>23527</v>
      </c>
      <c r="M2219" s="174" t="s">
        <v>23528</v>
      </c>
      <c r="N2219" s="84"/>
      <c r="O2219" s="84"/>
      <c r="P2219" s="84"/>
      <c r="Q2219" s="84"/>
      <c r="R2219" s="84"/>
      <c r="S2219" s="84"/>
      <c r="T2219" s="84"/>
      <c r="U2219" s="84"/>
      <c r="V2219" s="84"/>
      <c r="W2219" s="84"/>
      <c r="X2219" s="84"/>
    </row>
    <row r="2220" ht="15.75" customHeight="1">
      <c r="A2220" s="14" t="s">
        <v>17</v>
      </c>
      <c r="B2220" s="14">
        <v>2011.0</v>
      </c>
      <c r="C2220" s="14" t="s">
        <v>23529</v>
      </c>
      <c r="D2220" s="14" t="s">
        <v>23530</v>
      </c>
      <c r="E2220" s="150" t="str">
        <f t="shared" si="29"/>
        <v>http://dx.doi.org/10.1109/TVCG.2011.260</v>
      </c>
      <c r="F2220" s="14">
        <v>2071.0</v>
      </c>
      <c r="G2220" s="14">
        <v>2079.0</v>
      </c>
      <c r="H2220" s="14" t="s">
        <v>17059</v>
      </c>
      <c r="I2220" s="14" t="s">
        <v>26667</v>
      </c>
      <c r="J2220" s="130" t="s">
        <v>23532</v>
      </c>
      <c r="K2220" s="152" t="s">
        <v>26669</v>
      </c>
      <c r="L2220" s="20" t="s">
        <v>23534</v>
      </c>
      <c r="M2220" s="174" t="s">
        <v>23536</v>
      </c>
      <c r="N2220" s="84"/>
      <c r="O2220" s="84"/>
      <c r="P2220" s="84"/>
      <c r="Q2220" s="84"/>
      <c r="R2220" s="84"/>
      <c r="S2220" s="84"/>
      <c r="T2220" s="84"/>
      <c r="U2220" s="84"/>
      <c r="V2220" s="84"/>
      <c r="W2220" s="84"/>
      <c r="X2220" s="84"/>
    </row>
    <row r="2221" ht="15.75" customHeight="1">
      <c r="A2221" s="14" t="s">
        <v>17</v>
      </c>
      <c r="B2221" s="14">
        <v>2011.0</v>
      </c>
      <c r="C2221" s="14" t="s">
        <v>23538</v>
      </c>
      <c r="D2221" s="14" t="s">
        <v>23539</v>
      </c>
      <c r="E2221" s="150" t="str">
        <f t="shared" si="29"/>
        <v>http://dx.doi.org/10.1109/TVCG.2011.261</v>
      </c>
      <c r="F2221" s="14">
        <v>2106.0</v>
      </c>
      <c r="G2221" s="14">
        <v>2114.0</v>
      </c>
      <c r="H2221" s="14" t="s">
        <v>17059</v>
      </c>
      <c r="I2221" s="14" t="s">
        <v>23540</v>
      </c>
      <c r="J2221" s="130" t="s">
        <v>23541</v>
      </c>
      <c r="K2221" s="152" t="s">
        <v>26683</v>
      </c>
      <c r="L2221" s="20" t="s">
        <v>23543</v>
      </c>
      <c r="M2221" s="174" t="s">
        <v>23544</v>
      </c>
      <c r="N2221" s="84"/>
      <c r="O2221" s="84"/>
      <c r="P2221" s="84"/>
      <c r="Q2221" s="84"/>
      <c r="R2221" s="84"/>
      <c r="S2221" s="84"/>
      <c r="T2221" s="84"/>
      <c r="U2221" s="84"/>
      <c r="V2221" s="84"/>
      <c r="W2221" s="84"/>
      <c r="X2221" s="84"/>
    </row>
    <row r="2222" ht="15.75" customHeight="1">
      <c r="A2222" s="14" t="s">
        <v>2137</v>
      </c>
      <c r="B2222" s="14">
        <v>2012.0</v>
      </c>
      <c r="C2222" s="14" t="s">
        <v>23546</v>
      </c>
      <c r="D2222" s="14" t="s">
        <v>23547</v>
      </c>
      <c r="E2222" s="150" t="str">
        <f t="shared" si="29"/>
        <v>http://dx.doi.org/10.1109/TVCG.2012.189</v>
      </c>
      <c r="F2222" s="14">
        <v>2449.0</v>
      </c>
      <c r="G2222" s="14">
        <v>2456.0</v>
      </c>
      <c r="H2222" s="14" t="s">
        <v>17059</v>
      </c>
      <c r="I2222" s="14" t="s">
        <v>23548</v>
      </c>
      <c r="J2222" s="130" t="s">
        <v>23549</v>
      </c>
      <c r="K2222" s="152" t="s">
        <v>27014</v>
      </c>
      <c r="L2222" s="20" t="s">
        <v>23552</v>
      </c>
      <c r="M2222" s="174" t="s">
        <v>23553</v>
      </c>
      <c r="N2222" s="84"/>
      <c r="O2222" s="84"/>
      <c r="P2222" s="84"/>
      <c r="Q2222" s="84"/>
      <c r="R2222" s="84"/>
      <c r="S2222" s="84"/>
      <c r="T2222" s="84"/>
      <c r="U2222" s="84"/>
      <c r="V2222" s="84"/>
      <c r="W2222" s="84"/>
      <c r="X2222" s="84"/>
    </row>
    <row r="2223" ht="15.75" customHeight="1">
      <c r="A2223" s="14" t="s">
        <v>2137</v>
      </c>
      <c r="B2223" s="14">
        <v>2012.0</v>
      </c>
      <c r="C2223" s="14" t="s">
        <v>23555</v>
      </c>
      <c r="D2223" s="14" t="s">
        <v>23556</v>
      </c>
      <c r="E2223" s="150" t="str">
        <f t="shared" si="29"/>
        <v>http://dx.doi.org/10.1109/TVCG.2012.192</v>
      </c>
      <c r="F2223" s="14">
        <v>2575.0</v>
      </c>
      <c r="G2223" s="14">
        <v>2582.0</v>
      </c>
      <c r="H2223" s="14" t="s">
        <v>17059</v>
      </c>
      <c r="I2223" s="14" t="s">
        <v>23558</v>
      </c>
      <c r="J2223" s="130" t="s">
        <v>23559</v>
      </c>
      <c r="K2223" s="152" t="s">
        <v>27021</v>
      </c>
      <c r="L2223" s="20" t="s">
        <v>23561</v>
      </c>
      <c r="M2223" s="174" t="s">
        <v>23562</v>
      </c>
      <c r="N2223" s="84"/>
      <c r="O2223" s="84"/>
      <c r="P2223" s="84"/>
      <c r="Q2223" s="84"/>
      <c r="R2223" s="84"/>
      <c r="S2223" s="84"/>
      <c r="T2223" s="84"/>
      <c r="U2223" s="84"/>
      <c r="V2223" s="84"/>
      <c r="W2223" s="84"/>
      <c r="X2223" s="84"/>
    </row>
    <row r="2224" ht="15.75" customHeight="1">
      <c r="A2224" s="14" t="s">
        <v>2137</v>
      </c>
      <c r="B2224" s="14">
        <v>2012.0</v>
      </c>
      <c r="C2224" s="14" t="s">
        <v>23563</v>
      </c>
      <c r="D2224" s="14" t="s">
        <v>23564</v>
      </c>
      <c r="E2224" s="150" t="str">
        <f t="shared" si="29"/>
        <v>http://dx.doi.org/10.1109/TVCG.2012.193</v>
      </c>
      <c r="F2224" s="14">
        <v>2583.0</v>
      </c>
      <c r="G2224" s="14">
        <v>2592.0</v>
      </c>
      <c r="H2224" s="14" t="s">
        <v>17059</v>
      </c>
      <c r="I2224" s="14" t="s">
        <v>23565</v>
      </c>
      <c r="J2224" s="130" t="s">
        <v>23566</v>
      </c>
      <c r="K2224" s="152" t="s">
        <v>27024</v>
      </c>
      <c r="L2224" s="20" t="s">
        <v>23569</v>
      </c>
      <c r="M2224" s="174" t="s">
        <v>23570</v>
      </c>
      <c r="N2224" s="84"/>
      <c r="O2224" s="84"/>
      <c r="P2224" s="84"/>
      <c r="Q2224" s="84"/>
      <c r="R2224" s="84"/>
      <c r="S2224" s="84"/>
      <c r="T2224" s="84"/>
      <c r="U2224" s="84"/>
      <c r="V2224" s="84"/>
      <c r="W2224" s="84"/>
      <c r="X2224" s="84"/>
    </row>
    <row r="2225" ht="15.75" customHeight="1">
      <c r="A2225" s="14" t="s">
        <v>2137</v>
      </c>
      <c r="B2225" s="14">
        <v>2012.0</v>
      </c>
      <c r="C2225" s="14" t="s">
        <v>23571</v>
      </c>
      <c r="D2225" s="14" t="s">
        <v>23572</v>
      </c>
      <c r="E2225" s="150" t="str">
        <f t="shared" si="29"/>
        <v>http://dx.doi.org/10.1109/TVCG.2012.196</v>
      </c>
      <c r="F2225" s="14">
        <v>2613.0</v>
      </c>
      <c r="G2225" s="14">
        <v>2620.0</v>
      </c>
      <c r="H2225" s="14" t="s">
        <v>17059</v>
      </c>
      <c r="I2225" s="14" t="s">
        <v>30529</v>
      </c>
      <c r="J2225" s="130" t="s">
        <v>22388</v>
      </c>
      <c r="K2225" s="152" t="s">
        <v>494</v>
      </c>
      <c r="L2225" s="20" t="s">
        <v>23575</v>
      </c>
      <c r="M2225" s="174" t="s">
        <v>23576</v>
      </c>
      <c r="N2225" s="84"/>
      <c r="O2225" s="84"/>
      <c r="P2225" s="84"/>
      <c r="Q2225" s="84"/>
      <c r="R2225" s="84"/>
      <c r="S2225" s="84"/>
      <c r="T2225" s="84"/>
      <c r="U2225" s="84"/>
      <c r="V2225" s="84"/>
      <c r="W2225" s="84"/>
      <c r="X2225" s="84"/>
    </row>
    <row r="2226" ht="15.75" customHeight="1">
      <c r="A2226" s="14" t="s">
        <v>2137</v>
      </c>
      <c r="B2226" s="14">
        <v>2012.0</v>
      </c>
      <c r="C2226" s="14" t="s">
        <v>23578</v>
      </c>
      <c r="D2226" s="14" t="s">
        <v>23579</v>
      </c>
      <c r="E2226" s="150" t="str">
        <f t="shared" si="29"/>
        <v>http://dx.doi.org/10.1109/TVCG.2012.197</v>
      </c>
      <c r="F2226" s="14">
        <v>2759.0</v>
      </c>
      <c r="G2226" s="14">
        <v>2768.0</v>
      </c>
      <c r="H2226" s="14" t="s">
        <v>17059</v>
      </c>
      <c r="I2226" s="14" t="s">
        <v>30534</v>
      </c>
      <c r="J2226" s="130" t="s">
        <v>23581</v>
      </c>
      <c r="K2226" s="152" t="s">
        <v>27033</v>
      </c>
      <c r="L2226" s="20" t="s">
        <v>23584</v>
      </c>
      <c r="M2226" s="174" t="s">
        <v>23585</v>
      </c>
      <c r="N2226" s="84"/>
      <c r="O2226" s="84"/>
      <c r="P2226" s="84"/>
      <c r="Q2226" s="84"/>
      <c r="R2226" s="84"/>
      <c r="S2226" s="84"/>
      <c r="T2226" s="84"/>
      <c r="U2226" s="84"/>
      <c r="V2226" s="84"/>
      <c r="W2226" s="84"/>
      <c r="X2226" s="84"/>
    </row>
    <row r="2227" ht="15.75" customHeight="1">
      <c r="A2227" s="14" t="s">
        <v>2137</v>
      </c>
      <c r="B2227" s="14">
        <v>2012.0</v>
      </c>
      <c r="C2227" s="14" t="s">
        <v>23586</v>
      </c>
      <c r="D2227" s="14" t="s">
        <v>23587</v>
      </c>
      <c r="E2227" s="150" t="str">
        <f t="shared" si="29"/>
        <v>http://dx.doi.org/10.1109/TVCG.2012.199</v>
      </c>
      <c r="F2227" s="14">
        <v>2536.0</v>
      </c>
      <c r="G2227" s="14">
        <v>2545.0</v>
      </c>
      <c r="H2227" s="14" t="s">
        <v>17059</v>
      </c>
      <c r="I2227" s="14" t="s">
        <v>23588</v>
      </c>
      <c r="J2227" s="130" t="s">
        <v>23589</v>
      </c>
      <c r="K2227" s="152" t="s">
        <v>27037</v>
      </c>
      <c r="L2227" s="20" t="s">
        <v>23591</v>
      </c>
      <c r="M2227" s="174" t="s">
        <v>23592</v>
      </c>
      <c r="N2227" s="84"/>
      <c r="O2227" s="84"/>
      <c r="P2227" s="84"/>
      <c r="Q2227" s="84"/>
      <c r="R2227" s="84"/>
      <c r="S2227" s="84"/>
      <c r="T2227" s="84"/>
      <c r="U2227" s="84"/>
      <c r="V2227" s="84"/>
      <c r="W2227" s="84"/>
      <c r="X2227" s="84"/>
    </row>
    <row r="2228" ht="15.75" customHeight="1">
      <c r="A2228" s="14" t="s">
        <v>2137</v>
      </c>
      <c r="B2228" s="14">
        <v>2012.0</v>
      </c>
      <c r="C2228" s="14" t="s">
        <v>23593</v>
      </c>
      <c r="D2228" s="14" t="s">
        <v>23594</v>
      </c>
      <c r="E2228" s="150" t="str">
        <f t="shared" si="29"/>
        <v>http://dx.doi.org/10.1109/TVCG.2012.204</v>
      </c>
      <c r="F2228" s="14">
        <v>2689.0</v>
      </c>
      <c r="G2228" s="14">
        <v>2698.0</v>
      </c>
      <c r="H2228" s="14" t="s">
        <v>17059</v>
      </c>
      <c r="I2228" s="14" t="s">
        <v>30542</v>
      </c>
      <c r="J2228" s="130" t="s">
        <v>41733</v>
      </c>
      <c r="K2228" s="152" t="s">
        <v>5349</v>
      </c>
      <c r="L2228" s="20" t="s">
        <v>23599</v>
      </c>
      <c r="M2228" s="174" t="s">
        <v>23600</v>
      </c>
      <c r="N2228" s="84"/>
      <c r="O2228" s="84"/>
      <c r="P2228" s="84"/>
      <c r="Q2228" s="84"/>
      <c r="R2228" s="84"/>
      <c r="S2228" s="84"/>
      <c r="T2228" s="84"/>
      <c r="U2228" s="84"/>
      <c r="V2228" s="84"/>
      <c r="W2228" s="84"/>
      <c r="X2228" s="84"/>
    </row>
    <row r="2229" ht="15.75" customHeight="1">
      <c r="A2229" s="14" t="s">
        <v>2137</v>
      </c>
      <c r="B2229" s="14">
        <v>2012.0</v>
      </c>
      <c r="C2229" s="14" t="s">
        <v>23601</v>
      </c>
      <c r="D2229" s="14" t="s">
        <v>23602</v>
      </c>
      <c r="E2229" s="150" t="str">
        <f t="shared" si="29"/>
        <v>http://dx.doi.org/10.1109/TVCG.2012.205</v>
      </c>
      <c r="F2229" s="14">
        <v>2593.0</v>
      </c>
      <c r="G2229" s="14">
        <v>2602.0</v>
      </c>
      <c r="H2229" s="14" t="s">
        <v>17059</v>
      </c>
      <c r="I2229" s="14" t="s">
        <v>23603</v>
      </c>
      <c r="J2229" s="130" t="s">
        <v>23604</v>
      </c>
      <c r="K2229" s="152" t="s">
        <v>178</v>
      </c>
      <c r="L2229" s="20" t="s">
        <v>23606</v>
      </c>
      <c r="M2229" s="174" t="s">
        <v>23607</v>
      </c>
      <c r="N2229" s="84"/>
      <c r="O2229" s="84"/>
      <c r="P2229" s="84"/>
      <c r="Q2229" s="84"/>
      <c r="R2229" s="84"/>
      <c r="S2229" s="84"/>
      <c r="T2229" s="84"/>
      <c r="U2229" s="84"/>
      <c r="V2229" s="84"/>
      <c r="W2229" s="84"/>
      <c r="X2229" s="84"/>
    </row>
    <row r="2230" ht="15.75" customHeight="1">
      <c r="A2230" s="14" t="s">
        <v>2137</v>
      </c>
      <c r="B2230" s="14">
        <v>2012.0</v>
      </c>
      <c r="C2230" s="14" t="s">
        <v>23608</v>
      </c>
      <c r="D2230" s="14" t="s">
        <v>23609</v>
      </c>
      <c r="E2230" s="150" t="str">
        <f t="shared" si="29"/>
        <v>http://dx.doi.org/10.1109/TVCG.2012.207</v>
      </c>
      <c r="F2230" s="14">
        <v>2506.0</v>
      </c>
      <c r="G2230" s="14">
        <v>2515.0</v>
      </c>
      <c r="H2230" s="14" t="s">
        <v>17059</v>
      </c>
      <c r="I2230" s="14" t="s">
        <v>30548</v>
      </c>
      <c r="J2230" s="130" t="s">
        <v>23611</v>
      </c>
      <c r="K2230" s="152" t="s">
        <v>27120</v>
      </c>
      <c r="L2230" s="20" t="s">
        <v>23614</v>
      </c>
      <c r="M2230" s="174" t="s">
        <v>23616</v>
      </c>
      <c r="N2230" s="84"/>
      <c r="O2230" s="84"/>
      <c r="P2230" s="84"/>
      <c r="Q2230" s="84"/>
      <c r="R2230" s="84"/>
      <c r="S2230" s="84"/>
      <c r="T2230" s="84"/>
      <c r="U2230" s="84"/>
      <c r="V2230" s="84"/>
      <c r="W2230" s="84"/>
      <c r="X2230" s="84"/>
    </row>
    <row r="2231" ht="15.75" customHeight="1">
      <c r="A2231" s="14" t="s">
        <v>2137</v>
      </c>
      <c r="B2231" s="14">
        <v>2012.0</v>
      </c>
      <c r="C2231" s="14" t="s">
        <v>23617</v>
      </c>
      <c r="D2231" s="14" t="s">
        <v>23618</v>
      </c>
      <c r="E2231" s="150" t="str">
        <f t="shared" si="29"/>
        <v>http://dx.doi.org/10.1109/TVCG.2012.208</v>
      </c>
      <c r="F2231" s="14">
        <v>2457.0</v>
      </c>
      <c r="G2231" s="14">
        <v>2466.0</v>
      </c>
      <c r="H2231" s="14" t="s">
        <v>17059</v>
      </c>
      <c r="I2231" s="14" t="s">
        <v>23620</v>
      </c>
      <c r="J2231" s="130" t="s">
        <v>23621</v>
      </c>
      <c r="K2231" s="152" t="s">
        <v>494</v>
      </c>
      <c r="L2231" s="20" t="s">
        <v>23623</v>
      </c>
      <c r="M2231" s="174" t="s">
        <v>23624</v>
      </c>
      <c r="N2231" s="84"/>
      <c r="O2231" s="84"/>
      <c r="P2231" s="84"/>
      <c r="Q2231" s="84"/>
      <c r="R2231" s="84"/>
      <c r="S2231" s="84"/>
      <c r="T2231" s="84"/>
      <c r="U2231" s="84"/>
      <c r="V2231" s="84"/>
      <c r="W2231" s="84"/>
      <c r="X2231" s="84"/>
    </row>
    <row r="2232" ht="15.75" customHeight="1">
      <c r="A2232" s="14" t="s">
        <v>2137</v>
      </c>
      <c r="B2232" s="14">
        <v>2012.0</v>
      </c>
      <c r="C2232" s="14" t="s">
        <v>23625</v>
      </c>
      <c r="D2232" s="14" t="s">
        <v>23626</v>
      </c>
      <c r="E2232" s="150" t="str">
        <f t="shared" si="29"/>
        <v>http://dx.doi.org/10.1109/TVCG.2012.212</v>
      </c>
      <c r="F2232" s="14">
        <v>2679.0</v>
      </c>
      <c r="G2232" s="14">
        <v>2688.0</v>
      </c>
      <c r="H2232" s="14" t="s">
        <v>17059</v>
      </c>
      <c r="I2232" s="14" t="s">
        <v>30555</v>
      </c>
      <c r="J2232" s="130" t="s">
        <v>23628</v>
      </c>
      <c r="K2232" s="152" t="s">
        <v>27178</v>
      </c>
      <c r="L2232" s="20" t="s">
        <v>23630</v>
      </c>
      <c r="M2232" s="174" t="s">
        <v>23631</v>
      </c>
      <c r="N2232" s="84"/>
      <c r="O2232" s="84"/>
      <c r="P2232" s="84"/>
      <c r="Q2232" s="84"/>
      <c r="R2232" s="84"/>
      <c r="S2232" s="84"/>
      <c r="T2232" s="84"/>
      <c r="U2232" s="84"/>
      <c r="V2232" s="84"/>
      <c r="W2232" s="84"/>
      <c r="X2232" s="84"/>
    </row>
    <row r="2233" ht="15.75" customHeight="1">
      <c r="A2233" s="14" t="s">
        <v>2137</v>
      </c>
      <c r="B2233" s="14">
        <v>2012.0</v>
      </c>
      <c r="C2233" s="14" t="s">
        <v>23632</v>
      </c>
      <c r="D2233" s="14" t="s">
        <v>23634</v>
      </c>
      <c r="E2233" s="150" t="str">
        <f t="shared" si="29"/>
        <v>http://dx.doi.org/10.1109/TVCG.2012.213</v>
      </c>
      <c r="F2233" s="14">
        <v>2431.0</v>
      </c>
      <c r="G2233" s="14">
        <v>2440.0</v>
      </c>
      <c r="H2233" s="14" t="s">
        <v>17059</v>
      </c>
      <c r="I2233" s="14" t="s">
        <v>23636</v>
      </c>
      <c r="J2233" s="130" t="s">
        <v>23637</v>
      </c>
      <c r="K2233" s="152" t="s">
        <v>494</v>
      </c>
      <c r="L2233" s="20" t="s">
        <v>23640</v>
      </c>
      <c r="M2233" s="174" t="s">
        <v>23641</v>
      </c>
      <c r="N2233" s="84"/>
      <c r="O2233" s="84"/>
      <c r="P2233" s="84"/>
      <c r="Q2233" s="84"/>
      <c r="R2233" s="84"/>
      <c r="S2233" s="84"/>
      <c r="T2233" s="84"/>
      <c r="U2233" s="84"/>
      <c r="V2233" s="84"/>
      <c r="W2233" s="84"/>
      <c r="X2233" s="84"/>
    </row>
    <row r="2234" ht="15.75" customHeight="1">
      <c r="A2234" s="14" t="s">
        <v>2137</v>
      </c>
      <c r="B2234" s="14">
        <v>2012.0</v>
      </c>
      <c r="C2234" s="14" t="s">
        <v>23642</v>
      </c>
      <c r="D2234" s="14" t="s">
        <v>23643</v>
      </c>
      <c r="E2234" s="150" t="str">
        <f t="shared" si="29"/>
        <v>http://dx.doi.org/10.1109/TVCG.2012.214</v>
      </c>
      <c r="F2234" s="14">
        <v>2411.0</v>
      </c>
      <c r="G2234" s="14">
        <v>2420.0</v>
      </c>
      <c r="H2234" s="14" t="s">
        <v>17059</v>
      </c>
      <c r="I2234" s="14" t="s">
        <v>30562</v>
      </c>
      <c r="J2234" s="130" t="s">
        <v>23645</v>
      </c>
      <c r="K2234" s="152" t="s">
        <v>27215</v>
      </c>
      <c r="L2234" s="20" t="s">
        <v>23648</v>
      </c>
      <c r="M2234" s="174" t="s">
        <v>23649</v>
      </c>
      <c r="N2234" s="84"/>
      <c r="O2234" s="84"/>
      <c r="P2234" s="84"/>
      <c r="Q2234" s="84"/>
      <c r="R2234" s="84"/>
      <c r="S2234" s="84"/>
      <c r="T2234" s="84"/>
      <c r="U2234" s="84"/>
      <c r="V2234" s="84"/>
      <c r="W2234" s="84"/>
      <c r="X2234" s="84"/>
    </row>
    <row r="2235" ht="15.75" customHeight="1">
      <c r="A2235" s="14" t="s">
        <v>2137</v>
      </c>
      <c r="B2235" s="14">
        <v>2012.0</v>
      </c>
      <c r="C2235" s="14" t="s">
        <v>23650</v>
      </c>
      <c r="D2235" s="14" t="s">
        <v>23651</v>
      </c>
      <c r="E2235" s="150" t="str">
        <f t="shared" si="29"/>
        <v>http://dx.doi.org/10.1109/TVCG.2012.215</v>
      </c>
      <c r="F2235" s="14">
        <v>2421.0</v>
      </c>
      <c r="G2235" s="14">
        <v>2430.0</v>
      </c>
      <c r="H2235" s="14" t="s">
        <v>17059</v>
      </c>
      <c r="I2235" s="14" t="s">
        <v>23655</v>
      </c>
      <c r="J2235" s="130" t="s">
        <v>23656</v>
      </c>
      <c r="K2235" s="152" t="s">
        <v>27231</v>
      </c>
      <c r="L2235" s="20" t="s">
        <v>23657</v>
      </c>
      <c r="M2235" s="174" t="s">
        <v>23658</v>
      </c>
      <c r="N2235" s="84"/>
      <c r="O2235" s="84"/>
      <c r="P2235" s="84"/>
      <c r="Q2235" s="84"/>
      <c r="R2235" s="84"/>
      <c r="S2235" s="84"/>
      <c r="T2235" s="84"/>
      <c r="U2235" s="84"/>
      <c r="V2235" s="84"/>
      <c r="W2235" s="84"/>
      <c r="X2235" s="84"/>
    </row>
    <row r="2236" ht="15.75" customHeight="1">
      <c r="A2236" s="14" t="s">
        <v>2137</v>
      </c>
      <c r="B2236" s="14">
        <v>2012.0</v>
      </c>
      <c r="C2236" s="14" t="s">
        <v>23659</v>
      </c>
      <c r="D2236" s="14" t="s">
        <v>23660</v>
      </c>
      <c r="E2236" s="150" t="str">
        <f t="shared" si="29"/>
        <v>http://dx.doi.org/10.1109/TVCG.2012.220</v>
      </c>
      <c r="F2236" s="14">
        <v>2769.0</v>
      </c>
      <c r="G2236" s="14">
        <v>2778.0</v>
      </c>
      <c r="H2236" s="14" t="s">
        <v>17059</v>
      </c>
      <c r="I2236" s="14" t="s">
        <v>23661</v>
      </c>
      <c r="J2236" s="130" t="s">
        <v>23662</v>
      </c>
      <c r="K2236" s="152" t="s">
        <v>26797</v>
      </c>
      <c r="L2236" s="20" t="s">
        <v>23665</v>
      </c>
      <c r="M2236" s="174" t="s">
        <v>23666</v>
      </c>
      <c r="N2236" s="84"/>
      <c r="O2236" s="84"/>
      <c r="P2236" s="84"/>
      <c r="Q2236" s="84"/>
      <c r="R2236" s="84"/>
      <c r="S2236" s="84"/>
      <c r="T2236" s="84"/>
      <c r="U2236" s="84"/>
      <c r="V2236" s="84"/>
      <c r="W2236" s="84"/>
      <c r="X2236" s="84"/>
    </row>
    <row r="2237" ht="15.75" customHeight="1">
      <c r="A2237" s="14" t="s">
        <v>2137</v>
      </c>
      <c r="B2237" s="14">
        <v>2012.0</v>
      </c>
      <c r="C2237" s="14" t="s">
        <v>23667</v>
      </c>
      <c r="D2237" s="14" t="s">
        <v>23668</v>
      </c>
      <c r="E2237" s="150" t="str">
        <f t="shared" si="29"/>
        <v>http://dx.doi.org/10.1109/TVCG.2012.221</v>
      </c>
      <c r="F2237" s="14">
        <v>2739.0</v>
      </c>
      <c r="G2237" s="14">
        <v>2748.0</v>
      </c>
      <c r="H2237" s="14" t="s">
        <v>17059</v>
      </c>
      <c r="I2237" s="14" t="s">
        <v>23669</v>
      </c>
      <c r="J2237" s="130" t="s">
        <v>41734</v>
      </c>
      <c r="K2237" s="152" t="s">
        <v>880</v>
      </c>
      <c r="L2237" s="20" t="s">
        <v>23674</v>
      </c>
      <c r="M2237" s="174" t="s">
        <v>23675</v>
      </c>
      <c r="N2237" s="84"/>
      <c r="O2237" s="84"/>
      <c r="P2237" s="84"/>
      <c r="Q2237" s="84"/>
      <c r="R2237" s="84"/>
      <c r="S2237" s="84"/>
      <c r="T2237" s="84"/>
      <c r="U2237" s="84"/>
      <c r="V2237" s="84"/>
      <c r="W2237" s="84"/>
      <c r="X2237" s="84"/>
    </row>
    <row r="2238" ht="15.75" customHeight="1">
      <c r="A2238" s="14" t="s">
        <v>2137</v>
      </c>
      <c r="B2238" s="14">
        <v>2012.0</v>
      </c>
      <c r="C2238" s="14" t="s">
        <v>23676</v>
      </c>
      <c r="D2238" s="14" t="s">
        <v>23677</v>
      </c>
      <c r="E2238" s="150" t="str">
        <f t="shared" si="29"/>
        <v>http://dx.doi.org/10.1109/TVCG.2012.225</v>
      </c>
      <c r="F2238" s="14">
        <v>2659.0</v>
      </c>
      <c r="G2238" s="14">
        <v>2668.0</v>
      </c>
      <c r="H2238" s="14" t="s">
        <v>17059</v>
      </c>
      <c r="I2238" s="14" t="s">
        <v>23679</v>
      </c>
      <c r="J2238" s="130" t="s">
        <v>23680</v>
      </c>
      <c r="K2238" s="152" t="s">
        <v>27350</v>
      </c>
      <c r="L2238" s="20" t="s">
        <v>23682</v>
      </c>
      <c r="M2238" s="174" t="s">
        <v>23683</v>
      </c>
      <c r="N2238" s="84"/>
      <c r="O2238" s="84"/>
      <c r="P2238" s="84"/>
      <c r="Q2238" s="84"/>
      <c r="R2238" s="84"/>
      <c r="S2238" s="84"/>
      <c r="T2238" s="84"/>
      <c r="U2238" s="84"/>
      <c r="V2238" s="84"/>
      <c r="W2238" s="84"/>
      <c r="X2238" s="84"/>
    </row>
    <row r="2239" ht="15.75" customHeight="1">
      <c r="A2239" s="14" t="s">
        <v>2137</v>
      </c>
      <c r="B2239" s="14">
        <v>2012.0</v>
      </c>
      <c r="C2239" s="14" t="s">
        <v>23684</v>
      </c>
      <c r="D2239" s="14" t="s">
        <v>23685</v>
      </c>
      <c r="E2239" s="150" t="str">
        <f t="shared" si="29"/>
        <v>http://dx.doi.org/10.1109/TVCG.2012.226</v>
      </c>
      <c r="F2239" s="14">
        <v>2639.0</v>
      </c>
      <c r="G2239" s="14">
        <v>2648.0</v>
      </c>
      <c r="H2239" s="14" t="s">
        <v>17059</v>
      </c>
      <c r="I2239" s="14" t="s">
        <v>23686</v>
      </c>
      <c r="J2239" s="130" t="s">
        <v>23687</v>
      </c>
      <c r="K2239" s="152" t="s">
        <v>27366</v>
      </c>
      <c r="L2239" s="20" t="s">
        <v>23689</v>
      </c>
      <c r="M2239" s="174" t="s">
        <v>23690</v>
      </c>
      <c r="N2239" s="84"/>
      <c r="O2239" s="84"/>
      <c r="P2239" s="84"/>
      <c r="Q2239" s="84"/>
      <c r="R2239" s="84"/>
      <c r="S2239" s="84"/>
      <c r="T2239" s="84"/>
      <c r="U2239" s="84"/>
      <c r="V2239" s="84"/>
      <c r="W2239" s="84"/>
      <c r="X2239" s="84"/>
    </row>
    <row r="2240" ht="15.75" customHeight="1">
      <c r="A2240" s="14" t="s">
        <v>2137</v>
      </c>
      <c r="B2240" s="14">
        <v>2012.0</v>
      </c>
      <c r="C2240" s="14" t="s">
        <v>23691</v>
      </c>
      <c r="D2240" s="14" t="s">
        <v>23692</v>
      </c>
      <c r="E2240" s="150" t="str">
        <f t="shared" si="29"/>
        <v>http://dx.doi.org/10.1109/TVCG.2012.229</v>
      </c>
      <c r="F2240" s="14">
        <v>2631.0</v>
      </c>
      <c r="G2240" s="14">
        <v>2638.0</v>
      </c>
      <c r="H2240" s="14" t="s">
        <v>17059</v>
      </c>
      <c r="I2240" s="14" t="s">
        <v>23694</v>
      </c>
      <c r="J2240" s="130" t="s">
        <v>23695</v>
      </c>
      <c r="K2240" s="152" t="s">
        <v>27402</v>
      </c>
      <c r="L2240" s="20" t="s">
        <v>23698</v>
      </c>
      <c r="M2240" s="174" t="s">
        <v>23699</v>
      </c>
      <c r="N2240" s="84"/>
      <c r="O2240" s="84"/>
      <c r="P2240" s="84"/>
      <c r="Q2240" s="84"/>
      <c r="R2240" s="84"/>
      <c r="S2240" s="84"/>
      <c r="T2240" s="84"/>
      <c r="U2240" s="84"/>
      <c r="V2240" s="84"/>
      <c r="W2240" s="84"/>
      <c r="X2240" s="84"/>
    </row>
    <row r="2241" ht="15.75" customHeight="1">
      <c r="A2241" s="14" t="s">
        <v>2137</v>
      </c>
      <c r="B2241" s="14">
        <v>2012.0</v>
      </c>
      <c r="C2241" s="14" t="s">
        <v>23700</v>
      </c>
      <c r="D2241" s="14" t="s">
        <v>23701</v>
      </c>
      <c r="E2241" s="150" t="str">
        <f t="shared" si="29"/>
        <v>http://dx.doi.org/10.1109/TVCG.2012.230</v>
      </c>
      <c r="F2241" s="14">
        <v>2441.0</v>
      </c>
      <c r="G2241" s="14">
        <v>2448.0</v>
      </c>
      <c r="H2241" s="14" t="s">
        <v>17059</v>
      </c>
      <c r="I2241" s="14" t="s">
        <v>23702</v>
      </c>
      <c r="J2241" s="130" t="s">
        <v>23703</v>
      </c>
      <c r="K2241" s="152" t="s">
        <v>27410</v>
      </c>
      <c r="L2241" s="20" t="s">
        <v>23705</v>
      </c>
      <c r="M2241" s="174" t="s">
        <v>23706</v>
      </c>
      <c r="N2241" s="84"/>
      <c r="O2241" s="84"/>
      <c r="P2241" s="84"/>
      <c r="Q2241" s="84"/>
      <c r="R2241" s="84"/>
      <c r="S2241" s="84"/>
      <c r="T2241" s="84"/>
      <c r="U2241" s="84"/>
      <c r="V2241" s="84"/>
      <c r="W2241" s="84"/>
      <c r="X2241" s="84"/>
    </row>
    <row r="2242" ht="15.75" customHeight="1">
      <c r="A2242" s="14" t="s">
        <v>2137</v>
      </c>
      <c r="B2242" s="14">
        <v>2012.0</v>
      </c>
      <c r="C2242" s="14" t="s">
        <v>23707</v>
      </c>
      <c r="D2242" s="14" t="s">
        <v>23708</v>
      </c>
      <c r="E2242" s="150" t="str">
        <f t="shared" si="29"/>
        <v>http://dx.doi.org/10.1109/TVCG.2012.233</v>
      </c>
      <c r="F2242" s="14">
        <v>2402.0</v>
      </c>
      <c r="G2242" s="14">
        <v>2410.0</v>
      </c>
      <c r="H2242" s="14" t="s">
        <v>17059</v>
      </c>
      <c r="I2242" s="14" t="s">
        <v>23709</v>
      </c>
      <c r="J2242" s="130" t="s">
        <v>23710</v>
      </c>
      <c r="K2242" s="152" t="s">
        <v>25582</v>
      </c>
      <c r="L2242" s="20" t="s">
        <v>23713</v>
      </c>
      <c r="M2242" s="174" t="s">
        <v>23714</v>
      </c>
      <c r="N2242" s="84"/>
      <c r="O2242" s="84"/>
      <c r="P2242" s="84"/>
      <c r="Q2242" s="84"/>
      <c r="R2242" s="84"/>
      <c r="S2242" s="84"/>
      <c r="T2242" s="84"/>
      <c r="U2242" s="84"/>
      <c r="V2242" s="84"/>
      <c r="W2242" s="84"/>
      <c r="X2242" s="84"/>
    </row>
    <row r="2243" ht="15.75" customHeight="1">
      <c r="A2243" s="14" t="s">
        <v>2137</v>
      </c>
      <c r="B2243" s="14">
        <v>2012.0</v>
      </c>
      <c r="C2243" s="14" t="s">
        <v>23716</v>
      </c>
      <c r="D2243" s="14" t="s">
        <v>23717</v>
      </c>
      <c r="E2243" s="150" t="str">
        <f t="shared" si="29"/>
        <v>http://dx.doi.org/10.1109/TVCG.2012.236</v>
      </c>
      <c r="F2243" s="14">
        <v>2699.0</v>
      </c>
      <c r="G2243" s="14">
        <v>2708.0</v>
      </c>
      <c r="H2243" s="14" t="s">
        <v>17059</v>
      </c>
      <c r="I2243" s="14" t="s">
        <v>23718</v>
      </c>
      <c r="J2243" s="130" t="s">
        <v>23719</v>
      </c>
      <c r="K2243" s="152" t="s">
        <v>27536</v>
      </c>
      <c r="L2243" s="20" t="s">
        <v>23721</v>
      </c>
      <c r="M2243" s="174" t="s">
        <v>23722</v>
      </c>
      <c r="N2243" s="84"/>
      <c r="O2243" s="84"/>
      <c r="P2243" s="84"/>
      <c r="Q2243" s="84"/>
      <c r="R2243" s="84"/>
      <c r="S2243" s="84"/>
      <c r="T2243" s="84"/>
      <c r="U2243" s="84"/>
      <c r="V2243" s="84"/>
      <c r="W2243" s="84"/>
      <c r="X2243" s="84"/>
    </row>
    <row r="2244" ht="15.75" customHeight="1">
      <c r="A2244" s="14" t="s">
        <v>2137</v>
      </c>
      <c r="B2244" s="14">
        <v>2012.0</v>
      </c>
      <c r="C2244" s="14" t="s">
        <v>23723</v>
      </c>
      <c r="D2244" s="14" t="s">
        <v>23724</v>
      </c>
      <c r="E2244" s="150" t="str">
        <f t="shared" si="29"/>
        <v>http://dx.doi.org/10.1109/TVCG.2012.237</v>
      </c>
      <c r="F2244" s="14">
        <v>2719.0</v>
      </c>
      <c r="G2244" s="14">
        <v>2728.0</v>
      </c>
      <c r="H2244" s="14" t="s">
        <v>17059</v>
      </c>
      <c r="I2244" s="14" t="s">
        <v>23725</v>
      </c>
      <c r="J2244" s="130" t="s">
        <v>23726</v>
      </c>
      <c r="K2244" s="152" t="s">
        <v>27546</v>
      </c>
      <c r="L2244" s="20" t="s">
        <v>23728</v>
      </c>
      <c r="M2244" s="174" t="s">
        <v>23729</v>
      </c>
      <c r="N2244" s="84"/>
      <c r="O2244" s="84"/>
      <c r="P2244" s="84"/>
      <c r="Q2244" s="84"/>
      <c r="R2244" s="84"/>
      <c r="S2244" s="84"/>
      <c r="T2244" s="84"/>
      <c r="U2244" s="84"/>
      <c r="V2244" s="84"/>
      <c r="W2244" s="84"/>
      <c r="X2244" s="84"/>
    </row>
    <row r="2245" ht="15.75" customHeight="1">
      <c r="A2245" s="14" t="s">
        <v>2137</v>
      </c>
      <c r="B2245" s="14">
        <v>2012.0</v>
      </c>
      <c r="C2245" s="14" t="s">
        <v>23730</v>
      </c>
      <c r="D2245" s="14" t="s">
        <v>23731</v>
      </c>
      <c r="E2245" s="150" t="str">
        <f t="shared" si="29"/>
        <v>http://dx.doi.org/10.1109/TVCG.2012.238</v>
      </c>
      <c r="F2245" s="14">
        <v>2486.0</v>
      </c>
      <c r="G2245" s="14">
        <v>2495.0</v>
      </c>
      <c r="H2245" s="14" t="s">
        <v>17059</v>
      </c>
      <c r="I2245" s="14" t="s">
        <v>23733</v>
      </c>
      <c r="J2245" s="130" t="s">
        <v>23734</v>
      </c>
      <c r="K2245" s="152" t="s">
        <v>5349</v>
      </c>
      <c r="L2245" s="20" t="s">
        <v>23737</v>
      </c>
      <c r="M2245" s="174" t="s">
        <v>23738</v>
      </c>
      <c r="N2245" s="84"/>
      <c r="O2245" s="84"/>
      <c r="P2245" s="84"/>
      <c r="Q2245" s="84"/>
      <c r="R2245" s="84"/>
      <c r="S2245" s="84"/>
      <c r="T2245" s="84"/>
      <c r="U2245" s="84"/>
      <c r="V2245" s="84"/>
      <c r="W2245" s="84"/>
      <c r="X2245" s="84"/>
    </row>
    <row r="2246" ht="15.75" customHeight="1">
      <c r="A2246" s="14" t="s">
        <v>2137</v>
      </c>
      <c r="B2246" s="14">
        <v>2012.0</v>
      </c>
      <c r="C2246" s="14" t="s">
        <v>23739</v>
      </c>
      <c r="D2246" s="14" t="s">
        <v>23740</v>
      </c>
      <c r="E2246" s="150" t="str">
        <f t="shared" si="29"/>
        <v>http://dx.doi.org/10.1109/TVCG.2012.244</v>
      </c>
      <c r="F2246" s="14">
        <v>2799.0</v>
      </c>
      <c r="G2246" s="14">
        <v>2808.0</v>
      </c>
      <c r="H2246" s="14" t="s">
        <v>17059</v>
      </c>
      <c r="I2246" s="14" t="s">
        <v>23741</v>
      </c>
      <c r="J2246" s="130" t="s">
        <v>23742</v>
      </c>
      <c r="K2246" s="152" t="s">
        <v>27673</v>
      </c>
      <c r="L2246" s="20" t="s">
        <v>23744</v>
      </c>
      <c r="M2246" s="174" t="s">
        <v>23745</v>
      </c>
      <c r="N2246" s="84"/>
      <c r="O2246" s="84"/>
      <c r="P2246" s="84"/>
      <c r="Q2246" s="84"/>
      <c r="R2246" s="84"/>
      <c r="S2246" s="84"/>
      <c r="T2246" s="84"/>
      <c r="U2246" s="84"/>
      <c r="V2246" s="84"/>
      <c r="W2246" s="84"/>
      <c r="X2246" s="84"/>
    </row>
    <row r="2247" ht="15.75" customHeight="1">
      <c r="A2247" s="14" t="s">
        <v>2137</v>
      </c>
      <c r="B2247" s="14">
        <v>2012.0</v>
      </c>
      <c r="C2247" s="14" t="s">
        <v>23746</v>
      </c>
      <c r="D2247" s="14" t="s">
        <v>23747</v>
      </c>
      <c r="E2247" s="150" t="str">
        <f t="shared" si="29"/>
        <v>http://dx.doi.org/10.1109/TVCG.2012.245</v>
      </c>
      <c r="F2247" s="14">
        <v>2477.0</v>
      </c>
      <c r="G2247" s="14">
        <v>2485.0</v>
      </c>
      <c r="H2247" s="14" t="s">
        <v>17059</v>
      </c>
      <c r="I2247" s="14" t="s">
        <v>23748</v>
      </c>
      <c r="J2247" s="130" t="s">
        <v>23749</v>
      </c>
      <c r="K2247" s="152" t="s">
        <v>27685</v>
      </c>
      <c r="L2247" s="20" t="s">
        <v>23752</v>
      </c>
      <c r="M2247" s="174" t="s">
        <v>23753</v>
      </c>
      <c r="N2247" s="84"/>
      <c r="O2247" s="84"/>
      <c r="P2247" s="84"/>
      <c r="Q2247" s="84"/>
      <c r="R2247" s="84"/>
      <c r="S2247" s="84"/>
      <c r="T2247" s="84"/>
      <c r="U2247" s="84"/>
      <c r="V2247" s="84"/>
      <c r="W2247" s="84"/>
      <c r="X2247" s="84"/>
    </row>
    <row r="2248" ht="15.75" customHeight="1">
      <c r="A2248" s="14" t="s">
        <v>2137</v>
      </c>
      <c r="B2248" s="14">
        <v>2012.0</v>
      </c>
      <c r="C2248" s="14" t="s">
        <v>23755</v>
      </c>
      <c r="D2248" s="14" t="s">
        <v>23756</v>
      </c>
      <c r="E2248" s="150" t="str">
        <f t="shared" si="29"/>
        <v>http://dx.doi.org/10.1109/TVCG.2012.250</v>
      </c>
      <c r="F2248" s="14">
        <v>2546.0</v>
      </c>
      <c r="G2248" s="14">
        <v>2555.0</v>
      </c>
      <c r="H2248" s="14" t="s">
        <v>17059</v>
      </c>
      <c r="I2248" s="14" t="s">
        <v>23758</v>
      </c>
      <c r="J2248" s="130" t="s">
        <v>23759</v>
      </c>
      <c r="K2248" s="152" t="s">
        <v>178</v>
      </c>
      <c r="L2248" s="20" t="s">
        <v>23760</v>
      </c>
      <c r="M2248" s="174" t="s">
        <v>23761</v>
      </c>
      <c r="N2248" s="84"/>
      <c r="O2248" s="84"/>
      <c r="P2248" s="84"/>
      <c r="Q2248" s="84"/>
      <c r="R2248" s="84"/>
      <c r="S2248" s="84"/>
      <c r="T2248" s="84"/>
      <c r="U2248" s="84"/>
      <c r="V2248" s="84"/>
      <c r="W2248" s="84"/>
      <c r="X2248" s="84"/>
    </row>
    <row r="2249" ht="15.75" customHeight="1">
      <c r="A2249" s="14" t="s">
        <v>2137</v>
      </c>
      <c r="B2249" s="14">
        <v>2012.0</v>
      </c>
      <c r="C2249" s="14" t="s">
        <v>23762</v>
      </c>
      <c r="D2249" s="14" t="s">
        <v>23763</v>
      </c>
      <c r="E2249" s="150" t="str">
        <f t="shared" si="29"/>
        <v>http://dx.doi.org/10.1109/TVCG.2012.251</v>
      </c>
      <c r="F2249" s="14">
        <v>2516.0</v>
      </c>
      <c r="G2249" s="14">
        <v>2525.0</v>
      </c>
      <c r="H2249" s="14" t="s">
        <v>17059</v>
      </c>
      <c r="I2249" s="14" t="s">
        <v>23765</v>
      </c>
      <c r="J2249" s="130" t="s">
        <v>23766</v>
      </c>
      <c r="K2249" s="152" t="s">
        <v>178</v>
      </c>
      <c r="L2249" s="20" t="s">
        <v>23768</v>
      </c>
      <c r="M2249" s="174" t="s">
        <v>23769</v>
      </c>
      <c r="N2249" s="84"/>
      <c r="O2249" s="84"/>
      <c r="P2249" s="84"/>
      <c r="Q2249" s="84"/>
      <c r="R2249" s="84"/>
      <c r="S2249" s="84"/>
      <c r="T2249" s="84"/>
      <c r="U2249" s="84"/>
      <c r="V2249" s="84"/>
      <c r="W2249" s="84"/>
      <c r="X2249" s="84"/>
    </row>
    <row r="2250" ht="15.75" customHeight="1">
      <c r="A2250" s="14" t="s">
        <v>2137</v>
      </c>
      <c r="B2250" s="14">
        <v>2012.0</v>
      </c>
      <c r="C2250" s="14" t="s">
        <v>23771</v>
      </c>
      <c r="D2250" s="14" t="s">
        <v>23772</v>
      </c>
      <c r="E2250" s="150" t="str">
        <f t="shared" si="29"/>
        <v>http://dx.doi.org/10.1109/TVCG.2012.252</v>
      </c>
      <c r="F2250" s="14">
        <v>2709.0</v>
      </c>
      <c r="G2250" s="14">
        <v>2718.0</v>
      </c>
      <c r="H2250" s="14" t="s">
        <v>17059</v>
      </c>
      <c r="I2250" s="14" t="s">
        <v>23773</v>
      </c>
      <c r="J2250" s="130" t="s">
        <v>23774</v>
      </c>
      <c r="K2250" s="152" t="s">
        <v>5349</v>
      </c>
      <c r="L2250" s="20" t="s">
        <v>23777</v>
      </c>
      <c r="M2250" s="174" t="s">
        <v>23778</v>
      </c>
      <c r="N2250" s="84"/>
      <c r="O2250" s="84"/>
      <c r="P2250" s="84"/>
      <c r="Q2250" s="84"/>
      <c r="R2250" s="84"/>
      <c r="S2250" s="84"/>
      <c r="T2250" s="84"/>
      <c r="U2250" s="84"/>
      <c r="V2250" s="84"/>
      <c r="W2250" s="84"/>
      <c r="X2250" s="84"/>
    </row>
    <row r="2251" ht="15.75" customHeight="1">
      <c r="A2251" s="14" t="s">
        <v>2137</v>
      </c>
      <c r="B2251" s="14">
        <v>2012.0</v>
      </c>
      <c r="C2251" s="14" t="s">
        <v>23779</v>
      </c>
      <c r="D2251" s="14" t="s">
        <v>23780</v>
      </c>
      <c r="E2251" s="150" t="str">
        <f t="shared" si="29"/>
        <v>http://dx.doi.org/10.1109/TVCG.2012.253</v>
      </c>
      <c r="F2251" s="14">
        <v>2669.0</v>
      </c>
      <c r="G2251" s="14">
        <v>2678.0</v>
      </c>
      <c r="H2251" s="14" t="s">
        <v>17059</v>
      </c>
      <c r="I2251" s="14" t="s">
        <v>23781</v>
      </c>
      <c r="J2251" s="155" t="s">
        <v>23783</v>
      </c>
      <c r="K2251" s="152" t="s">
        <v>26881</v>
      </c>
      <c r="L2251" s="20" t="s">
        <v>23786</v>
      </c>
      <c r="M2251" s="174" t="s">
        <v>23787</v>
      </c>
      <c r="N2251" s="84"/>
      <c r="O2251" s="84"/>
      <c r="P2251" s="84"/>
      <c r="Q2251" s="84"/>
      <c r="R2251" s="84"/>
      <c r="S2251" s="84"/>
      <c r="T2251" s="84"/>
      <c r="U2251" s="84"/>
      <c r="V2251" s="84"/>
      <c r="W2251" s="84"/>
      <c r="X2251" s="84"/>
    </row>
    <row r="2252" ht="15.75" customHeight="1">
      <c r="A2252" s="14" t="s">
        <v>2137</v>
      </c>
      <c r="B2252" s="14">
        <v>2012.0</v>
      </c>
      <c r="C2252" s="14" t="s">
        <v>23788</v>
      </c>
      <c r="D2252" s="14" t="s">
        <v>23789</v>
      </c>
      <c r="E2252" s="150" t="str">
        <f t="shared" si="29"/>
        <v>http://dx.doi.org/10.1109/TVCG.2012.255</v>
      </c>
      <c r="F2252" s="14">
        <v>2729.0</v>
      </c>
      <c r="G2252" s="14">
        <v>2738.0</v>
      </c>
      <c r="H2252" s="14" t="s">
        <v>17059</v>
      </c>
      <c r="I2252" s="14" t="s">
        <v>23791</v>
      </c>
      <c r="J2252" s="130" t="s">
        <v>23792</v>
      </c>
      <c r="K2252" s="152" t="s">
        <v>27755</v>
      </c>
      <c r="L2252" s="20" t="s">
        <v>23794</v>
      </c>
      <c r="M2252" s="174" t="s">
        <v>23795</v>
      </c>
      <c r="N2252" s="84"/>
      <c r="O2252" s="84"/>
      <c r="P2252" s="84"/>
      <c r="Q2252" s="84"/>
      <c r="R2252" s="84"/>
      <c r="S2252" s="84"/>
      <c r="T2252" s="84"/>
      <c r="U2252" s="84"/>
      <c r="V2252" s="84"/>
      <c r="W2252" s="84"/>
      <c r="X2252" s="84"/>
    </row>
    <row r="2253" ht="15.75" customHeight="1">
      <c r="A2253" s="14" t="s">
        <v>2137</v>
      </c>
      <c r="B2253" s="14">
        <v>2012.0</v>
      </c>
      <c r="C2253" s="14" t="s">
        <v>23796</v>
      </c>
      <c r="D2253" s="14" t="s">
        <v>23797</v>
      </c>
      <c r="E2253" s="150" t="str">
        <f t="shared" si="29"/>
        <v>http://dx.doi.org/10.1109/TVCG.2012.256</v>
      </c>
      <c r="F2253" s="14">
        <v>2621.0</v>
      </c>
      <c r="G2253" s="14">
        <v>2630.0</v>
      </c>
      <c r="H2253" s="14" t="s">
        <v>17059</v>
      </c>
      <c r="I2253" s="14" t="s">
        <v>23798</v>
      </c>
      <c r="J2253" s="130" t="s">
        <v>23799</v>
      </c>
      <c r="K2253" s="152" t="s">
        <v>27012</v>
      </c>
      <c r="L2253" s="20" t="s">
        <v>23802</v>
      </c>
      <c r="M2253" s="174" t="s">
        <v>23803</v>
      </c>
      <c r="N2253" s="84"/>
      <c r="O2253" s="84"/>
      <c r="P2253" s="84"/>
      <c r="Q2253" s="84"/>
      <c r="R2253" s="84"/>
      <c r="S2253" s="84"/>
      <c r="T2253" s="84"/>
      <c r="U2253" s="84"/>
      <c r="V2253" s="84"/>
      <c r="W2253" s="84"/>
      <c r="X2253" s="84"/>
    </row>
    <row r="2254" ht="15.75" customHeight="1">
      <c r="A2254" s="14" t="s">
        <v>2137</v>
      </c>
      <c r="B2254" s="14">
        <v>2012.0</v>
      </c>
      <c r="C2254" s="14" t="s">
        <v>23804</v>
      </c>
      <c r="D2254" s="14" t="s">
        <v>23805</v>
      </c>
      <c r="E2254" s="150" t="str">
        <f t="shared" si="29"/>
        <v>http://dx.doi.org/10.1109/TVCG.2012.262</v>
      </c>
      <c r="F2254" s="14">
        <v>2749.0</v>
      </c>
      <c r="G2254" s="14">
        <v>2758.0</v>
      </c>
      <c r="H2254" s="14" t="s">
        <v>17059</v>
      </c>
      <c r="I2254" s="14" t="s">
        <v>23806</v>
      </c>
      <c r="J2254" s="130" t="s">
        <v>23807</v>
      </c>
      <c r="K2254" s="152" t="s">
        <v>27766</v>
      </c>
      <c r="L2254" s="20" t="s">
        <v>23810</v>
      </c>
      <c r="M2254" s="174" t="s">
        <v>23811</v>
      </c>
      <c r="N2254" s="84"/>
      <c r="O2254" s="84"/>
      <c r="P2254" s="84"/>
      <c r="Q2254" s="84"/>
      <c r="R2254" s="84"/>
      <c r="S2254" s="84"/>
      <c r="T2254" s="84"/>
      <c r="U2254" s="84"/>
      <c r="V2254" s="84"/>
      <c r="W2254" s="84"/>
      <c r="X2254" s="84"/>
    </row>
    <row r="2255" ht="15.75" customHeight="1">
      <c r="A2255" s="14" t="s">
        <v>2137</v>
      </c>
      <c r="B2255" s="14">
        <v>2012.0</v>
      </c>
      <c r="C2255" s="14" t="s">
        <v>23813</v>
      </c>
      <c r="D2255" s="14" t="s">
        <v>23814</v>
      </c>
      <c r="E2255" s="150" t="str">
        <f t="shared" si="29"/>
        <v>http://dx.doi.org/10.1109/TVCG.2012.263</v>
      </c>
      <c r="F2255" s="14">
        <v>2819.0</v>
      </c>
      <c r="G2255" s="14">
        <v>2828.0</v>
      </c>
      <c r="H2255" s="14" t="s">
        <v>17059</v>
      </c>
      <c r="I2255" s="14" t="s">
        <v>23815</v>
      </c>
      <c r="J2255" s="130" t="s">
        <v>23816</v>
      </c>
      <c r="K2255" s="152" t="s">
        <v>5349</v>
      </c>
      <c r="L2255" s="20" t="s">
        <v>23818</v>
      </c>
      <c r="M2255" s="174" t="s">
        <v>23819</v>
      </c>
      <c r="N2255" s="84"/>
      <c r="O2255" s="84"/>
      <c r="P2255" s="84"/>
      <c r="Q2255" s="84"/>
      <c r="R2255" s="84"/>
      <c r="S2255" s="84"/>
      <c r="T2255" s="84"/>
      <c r="U2255" s="84"/>
      <c r="V2255" s="84"/>
      <c r="W2255" s="84"/>
      <c r="X2255" s="84"/>
    </row>
    <row r="2256" ht="15.75" customHeight="1">
      <c r="A2256" s="14" t="s">
        <v>2137</v>
      </c>
      <c r="B2256" s="14">
        <v>2012.0</v>
      </c>
      <c r="C2256" s="14" t="s">
        <v>23822</v>
      </c>
      <c r="D2256" s="14" t="s">
        <v>23823</v>
      </c>
      <c r="E2256" s="150" t="str">
        <f t="shared" si="29"/>
        <v>http://dx.doi.org/10.1109/TVCG.2012.264</v>
      </c>
      <c r="F2256" s="14">
        <v>2556.0</v>
      </c>
      <c r="G2256" s="14">
        <v>2564.0</v>
      </c>
      <c r="H2256" s="14" t="s">
        <v>17059</v>
      </c>
      <c r="I2256" s="14" t="s">
        <v>23824</v>
      </c>
      <c r="J2256" s="130" t="s">
        <v>23825</v>
      </c>
      <c r="K2256" s="152" t="s">
        <v>27769</v>
      </c>
      <c r="L2256" s="20" t="s">
        <v>23827</v>
      </c>
      <c r="M2256" s="174" t="s">
        <v>23828</v>
      </c>
      <c r="N2256" s="84"/>
      <c r="O2256" s="84"/>
      <c r="P2256" s="84"/>
      <c r="Q2256" s="84"/>
      <c r="R2256" s="84"/>
      <c r="S2256" s="84"/>
      <c r="T2256" s="84"/>
      <c r="U2256" s="84"/>
      <c r="V2256" s="84"/>
      <c r="W2256" s="84"/>
      <c r="X2256" s="84"/>
    </row>
    <row r="2257" ht="15.75" customHeight="1">
      <c r="A2257" s="14" t="s">
        <v>2137</v>
      </c>
      <c r="B2257" s="14">
        <v>2012.0</v>
      </c>
      <c r="C2257" s="14" t="s">
        <v>23829</v>
      </c>
      <c r="D2257" s="14" t="s">
        <v>23830</v>
      </c>
      <c r="E2257" s="150" t="str">
        <f t="shared" si="29"/>
        <v>http://dx.doi.org/10.1109/TVCG.2012.265</v>
      </c>
      <c r="F2257" s="14">
        <v>2565.0</v>
      </c>
      <c r="G2257" s="14">
        <v>2574.0</v>
      </c>
      <c r="H2257" s="14" t="s">
        <v>17059</v>
      </c>
      <c r="I2257" s="14" t="s">
        <v>23831</v>
      </c>
      <c r="J2257" s="130" t="s">
        <v>23832</v>
      </c>
      <c r="K2257" s="152" t="s">
        <v>5349</v>
      </c>
      <c r="L2257" s="20" t="s">
        <v>23835</v>
      </c>
      <c r="M2257" s="174" t="s">
        <v>23836</v>
      </c>
      <c r="N2257" s="84"/>
      <c r="O2257" s="84"/>
      <c r="P2257" s="84"/>
      <c r="Q2257" s="84"/>
      <c r="R2257" s="84"/>
      <c r="S2257" s="84"/>
      <c r="T2257" s="84"/>
      <c r="U2257" s="84"/>
      <c r="V2257" s="84"/>
      <c r="W2257" s="84"/>
      <c r="X2257" s="84"/>
    </row>
    <row r="2258" ht="15.75" customHeight="1">
      <c r="A2258" s="14" t="s">
        <v>2137</v>
      </c>
      <c r="B2258" s="14">
        <v>2012.0</v>
      </c>
      <c r="C2258" s="14" t="s">
        <v>23837</v>
      </c>
      <c r="D2258" s="14" t="s">
        <v>23838</v>
      </c>
      <c r="E2258" s="150" t="str">
        <f t="shared" si="29"/>
        <v>http://dx.doi.org/10.1109/TVCG.2012.271</v>
      </c>
      <c r="F2258" s="14">
        <v>2603.0</v>
      </c>
      <c r="G2258" s="14">
        <v>2612.0</v>
      </c>
      <c r="H2258" s="14" t="s">
        <v>17059</v>
      </c>
      <c r="I2258" s="14" t="s">
        <v>23839</v>
      </c>
      <c r="J2258" s="130" t="s">
        <v>23840</v>
      </c>
      <c r="K2258" s="152" t="s">
        <v>27776</v>
      </c>
      <c r="L2258" s="20" t="s">
        <v>23842</v>
      </c>
      <c r="M2258" s="174" t="s">
        <v>23843</v>
      </c>
      <c r="N2258" s="84"/>
      <c r="O2258" s="84"/>
      <c r="P2258" s="84"/>
      <c r="Q2258" s="84"/>
      <c r="R2258" s="84"/>
      <c r="S2258" s="84"/>
      <c r="T2258" s="84"/>
      <c r="U2258" s="84"/>
      <c r="V2258" s="84"/>
      <c r="W2258" s="84"/>
      <c r="X2258" s="84"/>
    </row>
    <row r="2259" ht="15.75" customHeight="1">
      <c r="A2259" s="14" t="s">
        <v>2137</v>
      </c>
      <c r="B2259" s="14">
        <v>2012.0</v>
      </c>
      <c r="C2259" s="14" t="s">
        <v>23844</v>
      </c>
      <c r="D2259" s="14" t="s">
        <v>23845</v>
      </c>
      <c r="E2259" s="150" t="str">
        <f t="shared" si="29"/>
        <v>http://dx.doi.org/10.1109/TVCG.2012.272</v>
      </c>
      <c r="F2259" s="14">
        <v>2789.0</v>
      </c>
      <c r="G2259" s="14">
        <v>2798.0</v>
      </c>
      <c r="H2259" s="14" t="s">
        <v>17059</v>
      </c>
      <c r="I2259" s="14" t="s">
        <v>23846</v>
      </c>
      <c r="J2259" s="130" t="s">
        <v>23847</v>
      </c>
      <c r="K2259" s="152" t="s">
        <v>860</v>
      </c>
      <c r="L2259" s="20" t="s">
        <v>23849</v>
      </c>
      <c r="M2259" s="174" t="s">
        <v>23850</v>
      </c>
      <c r="N2259" s="84"/>
      <c r="O2259" s="84"/>
      <c r="P2259" s="84"/>
      <c r="Q2259" s="84"/>
      <c r="R2259" s="84"/>
      <c r="S2259" s="84"/>
      <c r="T2259" s="84"/>
      <c r="U2259" s="84"/>
      <c r="V2259" s="84"/>
      <c r="W2259" s="84"/>
      <c r="X2259" s="84"/>
    </row>
    <row r="2260" ht="15.75" customHeight="1">
      <c r="A2260" s="14" t="s">
        <v>2137</v>
      </c>
      <c r="B2260" s="14">
        <v>2012.0</v>
      </c>
      <c r="C2260" s="14" t="s">
        <v>23851</v>
      </c>
      <c r="D2260" s="14" t="s">
        <v>23852</v>
      </c>
      <c r="E2260" s="150" t="str">
        <f t="shared" si="29"/>
        <v>http://dx.doi.org/10.1109/TVCG.2012.275</v>
      </c>
      <c r="F2260" s="14">
        <v>2779.0</v>
      </c>
      <c r="G2260" s="14">
        <v>2788.0</v>
      </c>
      <c r="H2260" s="14" t="s">
        <v>17059</v>
      </c>
      <c r="I2260" s="14" t="s">
        <v>23854</v>
      </c>
      <c r="J2260" s="130" t="s">
        <v>41735</v>
      </c>
      <c r="K2260" s="152" t="s">
        <v>880</v>
      </c>
      <c r="L2260" s="20" t="s">
        <v>23857</v>
      </c>
      <c r="M2260" s="174" t="s">
        <v>23858</v>
      </c>
      <c r="N2260" s="84"/>
      <c r="O2260" s="84"/>
      <c r="P2260" s="84"/>
      <c r="Q2260" s="84"/>
      <c r="R2260" s="84"/>
      <c r="S2260" s="84"/>
      <c r="T2260" s="84"/>
      <c r="U2260" s="84"/>
      <c r="V2260" s="84"/>
      <c r="W2260" s="84"/>
      <c r="X2260" s="84"/>
    </row>
    <row r="2261" ht="15.75" customHeight="1">
      <c r="A2261" s="14" t="s">
        <v>2137</v>
      </c>
      <c r="B2261" s="14">
        <v>2012.0</v>
      </c>
      <c r="C2261" s="14" t="s">
        <v>23859</v>
      </c>
      <c r="D2261" s="14" t="s">
        <v>23860</v>
      </c>
      <c r="E2261" s="150" t="str">
        <f t="shared" si="29"/>
        <v>http://dx.doi.org/10.1109/TVCG.2012.279</v>
      </c>
      <c r="F2261" s="14">
        <v>2496.0</v>
      </c>
      <c r="G2261" s="14">
        <v>2505.0</v>
      </c>
      <c r="H2261" s="14" t="s">
        <v>17059</v>
      </c>
      <c r="I2261" s="14" t="s">
        <v>23861</v>
      </c>
      <c r="J2261" s="130" t="s">
        <v>23862</v>
      </c>
      <c r="K2261" s="152" t="s">
        <v>860</v>
      </c>
      <c r="L2261" s="20" t="s">
        <v>23864</v>
      </c>
      <c r="M2261" s="174" t="s">
        <v>23865</v>
      </c>
      <c r="N2261" s="84"/>
      <c r="O2261" s="84"/>
      <c r="P2261" s="84"/>
      <c r="Q2261" s="84"/>
      <c r="R2261" s="84"/>
      <c r="S2261" s="84"/>
      <c r="T2261" s="84"/>
      <c r="U2261" s="84"/>
      <c r="V2261" s="84"/>
      <c r="W2261" s="84"/>
      <c r="X2261" s="84"/>
    </row>
    <row r="2262" ht="15.75" customHeight="1">
      <c r="A2262" s="14" t="s">
        <v>2137</v>
      </c>
      <c r="B2262" s="14">
        <v>2012.0</v>
      </c>
      <c r="C2262" s="14" t="s">
        <v>23868</v>
      </c>
      <c r="D2262" s="14" t="s">
        <v>23869</v>
      </c>
      <c r="E2262" s="150" t="str">
        <f t="shared" si="29"/>
        <v>http://dx.doi.org/10.1109/TVCG.2012.285</v>
      </c>
      <c r="F2262" s="14">
        <v>2526.0</v>
      </c>
      <c r="G2262" s="14">
        <v>2535.0</v>
      </c>
      <c r="H2262" s="14" t="s">
        <v>17059</v>
      </c>
      <c r="I2262" s="14" t="s">
        <v>23870</v>
      </c>
      <c r="J2262" s="130" t="s">
        <v>23871</v>
      </c>
      <c r="K2262" s="152" t="s">
        <v>23188</v>
      </c>
      <c r="L2262" s="20" t="s">
        <v>23872</v>
      </c>
      <c r="M2262" s="174" t="s">
        <v>23873</v>
      </c>
      <c r="N2262" s="84"/>
      <c r="O2262" s="84"/>
      <c r="P2262" s="84"/>
      <c r="Q2262" s="84"/>
      <c r="R2262" s="84"/>
      <c r="S2262" s="84"/>
      <c r="T2262" s="84"/>
      <c r="U2262" s="84"/>
      <c r="V2262" s="84"/>
      <c r="W2262" s="84"/>
      <c r="X2262" s="84"/>
    </row>
    <row r="2263" ht="15.75" customHeight="1">
      <c r="A2263" s="14" t="s">
        <v>2137</v>
      </c>
      <c r="B2263" s="14">
        <v>2012.0</v>
      </c>
      <c r="C2263" s="14" t="s">
        <v>23874</v>
      </c>
      <c r="D2263" s="14" t="s">
        <v>23875</v>
      </c>
      <c r="E2263" s="150" t="str">
        <f t="shared" si="29"/>
        <v>http://dx.doi.org/10.1109/TVCG.2012.286</v>
      </c>
      <c r="F2263" s="14">
        <v>2467.0</v>
      </c>
      <c r="G2263" s="14">
        <v>2476.0</v>
      </c>
      <c r="H2263" s="14" t="s">
        <v>17059</v>
      </c>
      <c r="I2263" s="14" t="s">
        <v>23876</v>
      </c>
      <c r="J2263" s="130" t="s">
        <v>23877</v>
      </c>
      <c r="K2263" s="152" t="s">
        <v>13886</v>
      </c>
      <c r="L2263" s="20" t="s">
        <v>23880</v>
      </c>
      <c r="M2263" s="174" t="s">
        <v>23881</v>
      </c>
      <c r="N2263" s="84"/>
      <c r="O2263" s="84"/>
      <c r="P2263" s="84"/>
      <c r="Q2263" s="84"/>
      <c r="R2263" s="84"/>
      <c r="S2263" s="84"/>
      <c r="T2263" s="84"/>
      <c r="U2263" s="84"/>
      <c r="V2263" s="84"/>
      <c r="W2263" s="84"/>
      <c r="X2263" s="84"/>
    </row>
    <row r="2264" ht="15.75" customHeight="1">
      <c r="A2264" s="14" t="s">
        <v>2137</v>
      </c>
      <c r="B2264" s="14">
        <v>2012.0</v>
      </c>
      <c r="C2264" s="14" t="s">
        <v>23883</v>
      </c>
      <c r="D2264" s="14" t="s">
        <v>23884</v>
      </c>
      <c r="E2264" s="150" t="str">
        <f t="shared" si="29"/>
        <v>http://dx.doi.org/10.1109/TVCG.2012.288</v>
      </c>
      <c r="F2264" s="14">
        <v>2809.0</v>
      </c>
      <c r="G2264" s="14">
        <v>2818.0</v>
      </c>
      <c r="H2264" s="14" t="s">
        <v>17059</v>
      </c>
      <c r="I2264" s="14" t="s">
        <v>23955</v>
      </c>
      <c r="J2264" s="130" t="s">
        <v>23956</v>
      </c>
      <c r="K2264" s="152" t="s">
        <v>27805</v>
      </c>
      <c r="L2264" s="20" t="s">
        <v>23958</v>
      </c>
      <c r="M2264" s="174" t="s">
        <v>23959</v>
      </c>
      <c r="N2264" s="84"/>
      <c r="O2264" s="84"/>
      <c r="P2264" s="84"/>
      <c r="Q2264" s="84"/>
      <c r="R2264" s="84"/>
      <c r="S2264" s="84"/>
      <c r="T2264" s="84"/>
      <c r="U2264" s="84"/>
      <c r="V2264" s="84"/>
      <c r="W2264" s="84"/>
      <c r="X2264" s="84"/>
    </row>
    <row r="2265" ht="15.75" customHeight="1">
      <c r="A2265" s="14" t="s">
        <v>2137</v>
      </c>
      <c r="B2265" s="14">
        <v>2012.0</v>
      </c>
      <c r="C2265" s="14" t="s">
        <v>23960</v>
      </c>
      <c r="D2265" s="14" t="s">
        <v>23961</v>
      </c>
      <c r="E2265" s="150" t="str">
        <f t="shared" si="29"/>
        <v>http://dx.doi.org/10.1109/TVCG.2012.291</v>
      </c>
      <c r="F2265" s="14">
        <v>2649.0</v>
      </c>
      <c r="G2265" s="14">
        <v>2658.0</v>
      </c>
      <c r="H2265" s="14" t="s">
        <v>17059</v>
      </c>
      <c r="I2265" s="14" t="s">
        <v>30655</v>
      </c>
      <c r="J2265" s="130" t="s">
        <v>23964</v>
      </c>
      <c r="K2265" s="152" t="s">
        <v>26881</v>
      </c>
      <c r="L2265" s="20" t="s">
        <v>23967</v>
      </c>
      <c r="M2265" s="174" t="s">
        <v>23968</v>
      </c>
      <c r="N2265" s="84"/>
      <c r="O2265" s="84"/>
      <c r="P2265" s="84"/>
      <c r="Q2265" s="84"/>
      <c r="R2265" s="84"/>
      <c r="S2265" s="84"/>
      <c r="T2265" s="84"/>
      <c r="U2265" s="84"/>
      <c r="V2265" s="84"/>
      <c r="W2265" s="84"/>
      <c r="X2265" s="84"/>
    </row>
    <row r="2266" ht="15.75" customHeight="1">
      <c r="A2266" s="14" t="s">
        <v>120</v>
      </c>
      <c r="B2266" s="14">
        <v>2012.0</v>
      </c>
      <c r="C2266" s="14" t="s">
        <v>24291</v>
      </c>
      <c r="D2266" s="14" t="s">
        <v>24292</v>
      </c>
      <c r="E2266" s="150" t="str">
        <f t="shared" si="29"/>
        <v>http://dx.doi.org/10.1109/TVCG.2012.191</v>
      </c>
      <c r="F2266" s="14">
        <v>2899.0</v>
      </c>
      <c r="G2266" s="14">
        <v>2907.0</v>
      </c>
      <c r="H2266" s="14" t="s">
        <v>17059</v>
      </c>
      <c r="I2266" s="14" t="s">
        <v>24293</v>
      </c>
      <c r="J2266" s="130" t="s">
        <v>24294</v>
      </c>
      <c r="K2266" s="152" t="s">
        <v>27019</v>
      </c>
      <c r="L2266" s="20" t="s">
        <v>24296</v>
      </c>
      <c r="M2266" s="174" t="s">
        <v>24297</v>
      </c>
      <c r="N2266" s="84"/>
      <c r="O2266" s="84"/>
      <c r="P2266" s="84"/>
      <c r="Q2266" s="84"/>
      <c r="R2266" s="84"/>
      <c r="S2266" s="84"/>
      <c r="T2266" s="84"/>
      <c r="U2266" s="84"/>
      <c r="V2266" s="84"/>
      <c r="W2266" s="84"/>
      <c r="X2266" s="84"/>
    </row>
    <row r="2267" ht="15.75" customHeight="1">
      <c r="A2267" s="14" t="s">
        <v>120</v>
      </c>
      <c r="B2267" s="14">
        <v>2012.0</v>
      </c>
      <c r="C2267" s="14" t="s">
        <v>24298</v>
      </c>
      <c r="D2267" s="14" t="s">
        <v>24299</v>
      </c>
      <c r="E2267" s="150" t="str">
        <f t="shared" si="29"/>
        <v>http://dx.doi.org/10.1109/TVCG.2012.195</v>
      </c>
      <c r="F2267" s="14">
        <v>2859.0</v>
      </c>
      <c r="G2267" s="14">
        <v>2868.0</v>
      </c>
      <c r="H2267" s="14" t="s">
        <v>17059</v>
      </c>
      <c r="I2267" s="14" t="s">
        <v>30683</v>
      </c>
      <c r="J2267" s="130" t="s">
        <v>24301</v>
      </c>
      <c r="K2267" s="152" t="s">
        <v>178</v>
      </c>
      <c r="L2267" s="20" t="s">
        <v>24304</v>
      </c>
      <c r="M2267" s="174" t="s">
        <v>24305</v>
      </c>
      <c r="N2267" s="84"/>
      <c r="O2267" s="84"/>
      <c r="P2267" s="84"/>
      <c r="Q2267" s="84"/>
      <c r="R2267" s="84"/>
      <c r="S2267" s="84"/>
      <c r="T2267" s="84"/>
      <c r="U2267" s="84"/>
      <c r="V2267" s="84"/>
      <c r="W2267" s="84"/>
      <c r="X2267" s="84"/>
    </row>
    <row r="2268" ht="15.75" customHeight="1">
      <c r="A2268" s="14" t="s">
        <v>120</v>
      </c>
      <c r="B2268" s="14">
        <v>2012.0</v>
      </c>
      <c r="C2268" s="14" t="s">
        <v>24307</v>
      </c>
      <c r="D2268" s="14" t="s">
        <v>24308</v>
      </c>
      <c r="E2268" s="150" t="str">
        <f t="shared" si="29"/>
        <v>http://dx.doi.org/10.1109/TVCG.2012.219</v>
      </c>
      <c r="F2268" s="14">
        <v>2917.0</v>
      </c>
      <c r="G2268" s="14">
        <v>2926.0</v>
      </c>
      <c r="H2268" s="14" t="s">
        <v>17059</v>
      </c>
      <c r="I2268" s="14" t="s">
        <v>24309</v>
      </c>
      <c r="J2268" s="130" t="s">
        <v>24310</v>
      </c>
      <c r="K2268" s="152" t="s">
        <v>27283</v>
      </c>
      <c r="L2268" s="20" t="s">
        <v>24312</v>
      </c>
      <c r="M2268" s="174" t="s">
        <v>24313</v>
      </c>
      <c r="N2268" s="84"/>
      <c r="O2268" s="84"/>
      <c r="P2268" s="84"/>
      <c r="Q2268" s="84"/>
      <c r="R2268" s="84"/>
      <c r="S2268" s="84"/>
      <c r="T2268" s="84"/>
      <c r="U2268" s="84"/>
      <c r="V2268" s="84"/>
      <c r="W2268" s="84"/>
      <c r="X2268" s="84"/>
    </row>
    <row r="2269" ht="15.75" customHeight="1">
      <c r="A2269" s="14" t="s">
        <v>120</v>
      </c>
      <c r="B2269" s="14">
        <v>2012.0</v>
      </c>
      <c r="C2269" s="14" t="s">
        <v>24314</v>
      </c>
      <c r="D2269" s="14" t="s">
        <v>24315</v>
      </c>
      <c r="E2269" s="150" t="str">
        <f t="shared" si="29"/>
        <v>http://dx.doi.org/10.1109/TVCG.2012.224</v>
      </c>
      <c r="F2269" s="14">
        <v>2869.0</v>
      </c>
      <c r="G2269" s="14">
        <v>2878.0</v>
      </c>
      <c r="H2269" s="14" t="s">
        <v>17059</v>
      </c>
      <c r="I2269" s="14" t="s">
        <v>24318</v>
      </c>
      <c r="J2269" s="130" t="s">
        <v>22706</v>
      </c>
      <c r="K2269" s="152" t="s">
        <v>178</v>
      </c>
      <c r="L2269" s="20" t="s">
        <v>24320</v>
      </c>
      <c r="M2269" s="174" t="s">
        <v>24322</v>
      </c>
      <c r="N2269" s="84"/>
      <c r="O2269" s="84"/>
      <c r="P2269" s="84"/>
      <c r="Q2269" s="84"/>
      <c r="R2269" s="84"/>
      <c r="S2269" s="84"/>
      <c r="T2269" s="84"/>
      <c r="U2269" s="84"/>
      <c r="V2269" s="84"/>
      <c r="W2269" s="84"/>
      <c r="X2269" s="84"/>
    </row>
    <row r="2270" ht="15.75" customHeight="1">
      <c r="A2270" s="14" t="s">
        <v>120</v>
      </c>
      <c r="B2270" s="14">
        <v>2012.0</v>
      </c>
      <c r="C2270" s="14" t="s">
        <v>24323</v>
      </c>
      <c r="D2270" s="14" t="s">
        <v>24324</v>
      </c>
      <c r="E2270" s="150" t="str">
        <f t="shared" si="29"/>
        <v>http://dx.doi.org/10.1109/TVCG.2012.254</v>
      </c>
      <c r="F2270" s="14">
        <v>2849.0</v>
      </c>
      <c r="G2270" s="14">
        <v>2858.0</v>
      </c>
      <c r="H2270" s="14" t="s">
        <v>17059</v>
      </c>
      <c r="I2270" s="14" t="s">
        <v>24325</v>
      </c>
      <c r="J2270" s="130" t="s">
        <v>41736</v>
      </c>
      <c r="K2270" s="152" t="s">
        <v>5349</v>
      </c>
      <c r="L2270" s="20" t="s">
        <v>24328</v>
      </c>
      <c r="M2270" s="174" t="s">
        <v>24329</v>
      </c>
      <c r="N2270" s="84"/>
      <c r="O2270" s="84"/>
      <c r="P2270" s="84"/>
      <c r="Q2270" s="84"/>
      <c r="R2270" s="84"/>
      <c r="S2270" s="84"/>
      <c r="T2270" s="84"/>
      <c r="U2270" s="84"/>
      <c r="V2270" s="84"/>
      <c r="W2270" s="84"/>
      <c r="X2270" s="84"/>
    </row>
    <row r="2271" ht="15.75" customHeight="1">
      <c r="A2271" s="14" t="s">
        <v>120</v>
      </c>
      <c r="B2271" s="14">
        <v>2012.0</v>
      </c>
      <c r="C2271" s="14" t="s">
        <v>24330</v>
      </c>
      <c r="D2271" s="14" t="s">
        <v>24331</v>
      </c>
      <c r="E2271" s="150" t="str">
        <f t="shared" si="29"/>
        <v>http://dx.doi.org/10.1109/TVCG.2012.258</v>
      </c>
      <c r="F2271" s="14">
        <v>2829.0</v>
      </c>
      <c r="G2271" s="14">
        <v>2838.0</v>
      </c>
      <c r="H2271" s="14" t="s">
        <v>17059</v>
      </c>
      <c r="I2271" s="14" t="s">
        <v>24332</v>
      </c>
      <c r="J2271" s="130" t="s">
        <v>24333</v>
      </c>
      <c r="K2271" s="152" t="s">
        <v>25715</v>
      </c>
      <c r="L2271" s="20" t="s">
        <v>24335</v>
      </c>
      <c r="M2271" s="174" t="s">
        <v>24336</v>
      </c>
      <c r="N2271" s="84"/>
      <c r="O2271" s="84"/>
      <c r="P2271" s="84"/>
      <c r="Q2271" s="84"/>
      <c r="R2271" s="84"/>
      <c r="S2271" s="84"/>
      <c r="T2271" s="84"/>
      <c r="U2271" s="84"/>
      <c r="V2271" s="84"/>
      <c r="W2271" s="84"/>
      <c r="X2271" s="84"/>
    </row>
    <row r="2272" ht="15.75" customHeight="1">
      <c r="A2272" s="14" t="s">
        <v>120</v>
      </c>
      <c r="B2272" s="14">
        <v>2012.0</v>
      </c>
      <c r="C2272" s="14" t="s">
        <v>24339</v>
      </c>
      <c r="D2272" s="14" t="s">
        <v>24340</v>
      </c>
      <c r="E2272" s="150" t="str">
        <f t="shared" si="29"/>
        <v>http://dx.doi.org/10.1109/TVCG.2012.260</v>
      </c>
      <c r="F2272" s="14">
        <v>2879.0</v>
      </c>
      <c r="G2272" s="14">
        <v>2888.0</v>
      </c>
      <c r="H2272" s="14" t="s">
        <v>17059</v>
      </c>
      <c r="I2272" s="14" t="s">
        <v>24342</v>
      </c>
      <c r="J2272" s="130" t="s">
        <v>24343</v>
      </c>
      <c r="K2272" s="152" t="s">
        <v>494</v>
      </c>
      <c r="L2272" s="20" t="s">
        <v>24345</v>
      </c>
      <c r="M2272" s="174" t="s">
        <v>24346</v>
      </c>
      <c r="N2272" s="84"/>
      <c r="O2272" s="84"/>
      <c r="P2272" s="84"/>
      <c r="Q2272" s="84"/>
      <c r="R2272" s="84"/>
      <c r="S2272" s="84"/>
      <c r="T2272" s="84"/>
      <c r="U2272" s="84"/>
      <c r="V2272" s="84"/>
      <c r="W2272" s="84"/>
      <c r="X2272" s="84"/>
    </row>
    <row r="2273" ht="15.75" customHeight="1">
      <c r="A2273" s="14" t="s">
        <v>120</v>
      </c>
      <c r="B2273" s="14">
        <v>2012.0</v>
      </c>
      <c r="C2273" s="14" t="s">
        <v>24347</v>
      </c>
      <c r="D2273" s="14" t="s">
        <v>24348</v>
      </c>
      <c r="E2273" s="150" t="str">
        <f t="shared" si="29"/>
        <v>http://dx.doi.org/10.1109/TVCG.2012.273</v>
      </c>
      <c r="F2273" s="14">
        <v>2908.0</v>
      </c>
      <c r="G2273" s="14">
        <v>2916.0</v>
      </c>
      <c r="H2273" s="14" t="s">
        <v>17059</v>
      </c>
      <c r="I2273" s="14" t="s">
        <v>24349</v>
      </c>
      <c r="J2273" s="130" t="s">
        <v>24350</v>
      </c>
      <c r="K2273" s="152" t="s">
        <v>27779</v>
      </c>
      <c r="L2273" s="20" t="s">
        <v>24352</v>
      </c>
      <c r="M2273" s="174" t="s">
        <v>24353</v>
      </c>
      <c r="N2273" s="84"/>
      <c r="O2273" s="84"/>
      <c r="P2273" s="84"/>
      <c r="Q2273" s="84"/>
      <c r="R2273" s="84"/>
      <c r="S2273" s="84"/>
      <c r="T2273" s="84"/>
      <c r="U2273" s="84"/>
      <c r="V2273" s="84"/>
      <c r="W2273" s="84"/>
      <c r="X2273" s="84"/>
    </row>
    <row r="2274" ht="15.75" customHeight="1">
      <c r="A2274" s="14" t="s">
        <v>120</v>
      </c>
      <c r="B2274" s="14">
        <v>2012.0</v>
      </c>
      <c r="C2274" s="14" t="s">
        <v>24354</v>
      </c>
      <c r="D2274" s="14" t="s">
        <v>24355</v>
      </c>
      <c r="E2274" s="150" t="str">
        <f t="shared" si="29"/>
        <v>http://dx.doi.org/10.1109/TVCG.2012.276</v>
      </c>
      <c r="F2274" s="14">
        <v>2889.0</v>
      </c>
      <c r="G2274" s="14">
        <v>2898.0</v>
      </c>
      <c r="H2274" s="14" t="s">
        <v>17059</v>
      </c>
      <c r="I2274" s="14" t="s">
        <v>24356</v>
      </c>
      <c r="J2274" s="130" t="s">
        <v>24357</v>
      </c>
      <c r="K2274" s="152" t="s">
        <v>5349</v>
      </c>
      <c r="L2274" s="20" t="s">
        <v>24361</v>
      </c>
      <c r="M2274" s="174" t="s">
        <v>24362</v>
      </c>
      <c r="N2274" s="84"/>
      <c r="O2274" s="84"/>
      <c r="P2274" s="84"/>
      <c r="Q2274" s="84"/>
      <c r="R2274" s="84"/>
      <c r="S2274" s="84"/>
      <c r="T2274" s="84"/>
      <c r="U2274" s="84"/>
      <c r="V2274" s="84"/>
      <c r="W2274" s="84"/>
      <c r="X2274" s="84"/>
    </row>
    <row r="2275" ht="15.75" customHeight="1">
      <c r="A2275" s="14" t="s">
        <v>120</v>
      </c>
      <c r="B2275" s="14">
        <v>2012.0</v>
      </c>
      <c r="C2275" s="14" t="s">
        <v>24363</v>
      </c>
      <c r="D2275" s="14" t="s">
        <v>24364</v>
      </c>
      <c r="E2275" s="150" t="str">
        <f t="shared" si="29"/>
        <v>http://dx.doi.org/10.1109/TVCG.2012.277</v>
      </c>
      <c r="F2275" s="14">
        <v>2839.0</v>
      </c>
      <c r="G2275" s="14">
        <v>2848.0</v>
      </c>
      <c r="H2275" s="14" t="s">
        <v>17059</v>
      </c>
      <c r="I2275" s="14" t="s">
        <v>24366</v>
      </c>
      <c r="J2275" s="130" t="s">
        <v>24367</v>
      </c>
      <c r="K2275" s="152" t="s">
        <v>27786</v>
      </c>
      <c r="L2275" s="20" t="s">
        <v>24369</v>
      </c>
      <c r="M2275" s="174" t="s">
        <v>24370</v>
      </c>
      <c r="N2275" s="84"/>
      <c r="O2275" s="84"/>
      <c r="P2275" s="84"/>
      <c r="Q2275" s="84"/>
      <c r="R2275" s="84"/>
      <c r="S2275" s="84"/>
      <c r="T2275" s="84"/>
      <c r="U2275" s="84"/>
      <c r="V2275" s="84"/>
      <c r="W2275" s="84"/>
      <c r="X2275" s="84"/>
    </row>
    <row r="2276" ht="15.75" customHeight="1">
      <c r="A2276" s="14" t="s">
        <v>120</v>
      </c>
      <c r="B2276" s="14">
        <v>2012.0</v>
      </c>
      <c r="C2276" s="14" t="s">
        <v>24371</v>
      </c>
      <c r="D2276" s="14" t="s">
        <v>24372</v>
      </c>
      <c r="E2276" s="150" t="str">
        <f t="shared" si="29"/>
        <v>http://dx.doi.org/10.1109/VAST.2012.6400484</v>
      </c>
      <c r="F2276" s="14">
        <v>103.0</v>
      </c>
      <c r="G2276" s="14">
        <v>112.0</v>
      </c>
      <c r="H2276" s="14" t="s">
        <v>28</v>
      </c>
      <c r="I2276" s="14" t="s">
        <v>24373</v>
      </c>
      <c r="J2276" s="130" t="s">
        <v>24374</v>
      </c>
      <c r="K2276" s="152" t="s">
        <v>494</v>
      </c>
      <c r="L2276" s="20" t="s">
        <v>24377</v>
      </c>
      <c r="M2276" s="174" t="s">
        <v>24378</v>
      </c>
      <c r="N2276" s="84"/>
      <c r="O2276" s="84"/>
      <c r="P2276" s="84"/>
      <c r="Q2276" s="84"/>
      <c r="R2276" s="84"/>
      <c r="S2276" s="84"/>
      <c r="T2276" s="84"/>
      <c r="U2276" s="84"/>
      <c r="V2276" s="84"/>
      <c r="W2276" s="84"/>
      <c r="X2276" s="84"/>
    </row>
    <row r="2277" ht="15.75" customHeight="1">
      <c r="A2277" s="14" t="s">
        <v>120</v>
      </c>
      <c r="B2277" s="14">
        <v>2012.0</v>
      </c>
      <c r="C2277" s="14" t="s">
        <v>24379</v>
      </c>
      <c r="D2277" s="14" t="s">
        <v>24380</v>
      </c>
      <c r="E2277" s="150" t="str">
        <f t="shared" si="29"/>
        <v>http://dx.doi.org/10.1109/VAST.2012.6400485</v>
      </c>
      <c r="F2277" s="14">
        <v>93.0</v>
      </c>
      <c r="G2277" s="14">
        <v>102.0</v>
      </c>
      <c r="H2277" s="14" t="s">
        <v>28</v>
      </c>
      <c r="I2277" s="14" t="s">
        <v>24382</v>
      </c>
      <c r="J2277" s="130" t="s">
        <v>24383</v>
      </c>
      <c r="K2277" s="152" t="s">
        <v>25727</v>
      </c>
      <c r="L2277" s="20" t="s">
        <v>24385</v>
      </c>
      <c r="M2277" s="16"/>
      <c r="N2277" s="84"/>
      <c r="O2277" s="84"/>
      <c r="P2277" s="84"/>
      <c r="Q2277" s="84"/>
      <c r="R2277" s="84"/>
      <c r="S2277" s="84"/>
      <c r="T2277" s="84"/>
      <c r="U2277" s="84"/>
      <c r="V2277" s="84"/>
      <c r="W2277" s="84"/>
      <c r="X2277" s="84"/>
    </row>
    <row r="2278" ht="15.75" customHeight="1">
      <c r="A2278" s="14" t="s">
        <v>120</v>
      </c>
      <c r="B2278" s="14">
        <v>2012.0</v>
      </c>
      <c r="C2278" s="14" t="s">
        <v>24387</v>
      </c>
      <c r="D2278" s="14" t="s">
        <v>24388</v>
      </c>
      <c r="E2278" s="150" t="str">
        <f t="shared" si="29"/>
        <v>http://dx.doi.org/10.1109/VAST.2012.6400486</v>
      </c>
      <c r="F2278" s="14">
        <v>83.0</v>
      </c>
      <c r="G2278" s="14">
        <v>92.0</v>
      </c>
      <c r="H2278" s="14" t="s">
        <v>28</v>
      </c>
      <c r="I2278" s="14" t="s">
        <v>24389</v>
      </c>
      <c r="J2278" s="130" t="s">
        <v>24390</v>
      </c>
      <c r="K2278" s="152" t="s">
        <v>27814</v>
      </c>
      <c r="L2278" s="20" t="s">
        <v>24392</v>
      </c>
      <c r="M2278" s="16"/>
      <c r="N2278" s="84"/>
      <c r="O2278" s="84"/>
      <c r="P2278" s="84"/>
      <c r="Q2278" s="84"/>
      <c r="R2278" s="84"/>
      <c r="S2278" s="84"/>
      <c r="T2278" s="84"/>
      <c r="U2278" s="84"/>
      <c r="V2278" s="84"/>
      <c r="W2278" s="84"/>
      <c r="X2278" s="84"/>
    </row>
    <row r="2279" ht="15.75" customHeight="1">
      <c r="A2279" s="14" t="s">
        <v>120</v>
      </c>
      <c r="B2279" s="14">
        <v>2012.0</v>
      </c>
      <c r="C2279" s="14" t="s">
        <v>24393</v>
      </c>
      <c r="D2279" s="14" t="s">
        <v>24394</v>
      </c>
      <c r="E2279" s="150" t="str">
        <f t="shared" si="29"/>
        <v>http://dx.doi.org/10.1109/VAST.2012.6400487</v>
      </c>
      <c r="F2279" s="14">
        <v>73.0</v>
      </c>
      <c r="G2279" s="14">
        <v>82.0</v>
      </c>
      <c r="H2279" s="14" t="s">
        <v>28</v>
      </c>
      <c r="I2279" s="14" t="s">
        <v>24395</v>
      </c>
      <c r="J2279" s="130" t="s">
        <v>24396</v>
      </c>
      <c r="K2279" s="152"/>
      <c r="L2279" s="20" t="s">
        <v>24398</v>
      </c>
      <c r="M2279" s="174" t="s">
        <v>24399</v>
      </c>
      <c r="N2279" s="84"/>
      <c r="O2279" s="84"/>
      <c r="P2279" s="84"/>
      <c r="Q2279" s="84"/>
      <c r="R2279" s="84"/>
      <c r="S2279" s="84"/>
      <c r="T2279" s="84"/>
      <c r="U2279" s="84"/>
      <c r="V2279" s="84"/>
      <c r="W2279" s="84"/>
      <c r="X2279" s="84"/>
    </row>
    <row r="2280" ht="15.75" customHeight="1">
      <c r="A2280" s="14" t="s">
        <v>120</v>
      </c>
      <c r="B2280" s="14">
        <v>2012.0</v>
      </c>
      <c r="C2280" s="14" t="s">
        <v>24400</v>
      </c>
      <c r="D2280" s="14" t="s">
        <v>24401</v>
      </c>
      <c r="E2280" s="150" t="str">
        <f t="shared" si="29"/>
        <v>http://dx.doi.org/10.1109/VAST.2012.6400488</v>
      </c>
      <c r="F2280" s="14">
        <v>63.0</v>
      </c>
      <c r="G2280" s="14">
        <v>72.0</v>
      </c>
      <c r="H2280" s="14" t="s">
        <v>28</v>
      </c>
      <c r="I2280" s="14" t="s">
        <v>24403</v>
      </c>
      <c r="J2280" s="130" t="s">
        <v>24404</v>
      </c>
      <c r="K2280" s="152" t="s">
        <v>23476</v>
      </c>
      <c r="L2280" s="20" t="s">
        <v>24407</v>
      </c>
      <c r="M2280" s="16"/>
      <c r="N2280" s="84"/>
      <c r="O2280" s="84"/>
      <c r="P2280" s="84"/>
      <c r="Q2280" s="84"/>
      <c r="R2280" s="84"/>
      <c r="S2280" s="84"/>
      <c r="T2280" s="84"/>
      <c r="U2280" s="84"/>
      <c r="V2280" s="84"/>
      <c r="W2280" s="84"/>
      <c r="X2280" s="84"/>
    </row>
    <row r="2281" ht="15.75" customHeight="1">
      <c r="A2281" s="14" t="s">
        <v>120</v>
      </c>
      <c r="B2281" s="14">
        <v>2012.0</v>
      </c>
      <c r="C2281" s="14" t="s">
        <v>24409</v>
      </c>
      <c r="D2281" s="14" t="s">
        <v>24410</v>
      </c>
      <c r="E2281" s="150" t="str">
        <f t="shared" si="29"/>
        <v>http://dx.doi.org/10.1109/VAST.2012.6400489</v>
      </c>
      <c r="F2281" s="14">
        <v>53.0</v>
      </c>
      <c r="G2281" s="14">
        <v>62.0</v>
      </c>
      <c r="H2281" s="14" t="s">
        <v>28</v>
      </c>
      <c r="I2281" s="14" t="s">
        <v>24411</v>
      </c>
      <c r="J2281" s="130" t="s">
        <v>24412</v>
      </c>
      <c r="K2281" s="152" t="s">
        <v>860</v>
      </c>
      <c r="L2281" s="20" t="s">
        <v>24415</v>
      </c>
      <c r="M2281" s="16"/>
      <c r="N2281" s="84"/>
      <c r="O2281" s="84"/>
      <c r="P2281" s="84"/>
      <c r="Q2281" s="84"/>
      <c r="R2281" s="84"/>
      <c r="S2281" s="84"/>
      <c r="T2281" s="84"/>
      <c r="U2281" s="84"/>
      <c r="V2281" s="84"/>
      <c r="W2281" s="84"/>
      <c r="X2281" s="84"/>
    </row>
    <row r="2282" ht="15.75" customHeight="1">
      <c r="A2282" s="14" t="s">
        <v>120</v>
      </c>
      <c r="B2282" s="14">
        <v>2012.0</v>
      </c>
      <c r="C2282" s="14" t="s">
        <v>24416</v>
      </c>
      <c r="D2282" s="14" t="s">
        <v>24417</v>
      </c>
      <c r="E2282" s="150" t="str">
        <f t="shared" si="29"/>
        <v>http://dx.doi.org/10.1109/VAST.2012.6400490</v>
      </c>
      <c r="F2282" s="14">
        <v>43.0</v>
      </c>
      <c r="G2282" s="14">
        <v>52.0</v>
      </c>
      <c r="H2282" s="14" t="s">
        <v>28</v>
      </c>
      <c r="I2282" s="14" t="s">
        <v>24418</v>
      </c>
      <c r="J2282" s="130" t="s">
        <v>22889</v>
      </c>
      <c r="K2282" s="152" t="s">
        <v>25331</v>
      </c>
      <c r="L2282" s="20" t="s">
        <v>24421</v>
      </c>
      <c r="M2282" s="174" t="s">
        <v>24422</v>
      </c>
      <c r="N2282" s="84"/>
      <c r="O2282" s="84"/>
      <c r="P2282" s="84"/>
      <c r="Q2282" s="84"/>
      <c r="R2282" s="84"/>
      <c r="S2282" s="84"/>
      <c r="T2282" s="84"/>
      <c r="U2282" s="84"/>
      <c r="V2282" s="84"/>
      <c r="W2282" s="84"/>
      <c r="X2282" s="84"/>
    </row>
    <row r="2283" ht="15.75" customHeight="1">
      <c r="A2283" s="14" t="s">
        <v>120</v>
      </c>
      <c r="B2283" s="14">
        <v>2012.0</v>
      </c>
      <c r="C2283" s="14" t="s">
        <v>24423</v>
      </c>
      <c r="D2283" s="14" t="s">
        <v>24424</v>
      </c>
      <c r="E2283" s="150" t="str">
        <f t="shared" si="29"/>
        <v>http://dx.doi.org/10.1109/VAST.2012.6400491</v>
      </c>
      <c r="F2283" s="14">
        <v>33.0</v>
      </c>
      <c r="G2283" s="14">
        <v>42.0</v>
      </c>
      <c r="H2283" s="14" t="s">
        <v>28</v>
      </c>
      <c r="I2283" s="14" t="s">
        <v>24426</v>
      </c>
      <c r="J2283" s="130" t="s">
        <v>24427</v>
      </c>
      <c r="K2283" s="152" t="s">
        <v>27821</v>
      </c>
      <c r="L2283" s="20" t="s">
        <v>24429</v>
      </c>
      <c r="M2283" s="174" t="s">
        <v>24430</v>
      </c>
      <c r="N2283" s="84"/>
      <c r="O2283" s="84"/>
      <c r="P2283" s="84"/>
      <c r="Q2283" s="84"/>
      <c r="R2283" s="84"/>
      <c r="S2283" s="84"/>
      <c r="T2283" s="84"/>
      <c r="U2283" s="84"/>
      <c r="V2283" s="84"/>
      <c r="W2283" s="84"/>
      <c r="X2283" s="84"/>
    </row>
    <row r="2284" ht="15.75" customHeight="1">
      <c r="A2284" s="14" t="s">
        <v>120</v>
      </c>
      <c r="B2284" s="14">
        <v>2012.0</v>
      </c>
      <c r="C2284" s="14" t="s">
        <v>24431</v>
      </c>
      <c r="D2284" s="14" t="s">
        <v>24432</v>
      </c>
      <c r="E2284" s="150" t="str">
        <f t="shared" si="29"/>
        <v>http://dx.doi.org/10.1109/VAST.2012.6400492</v>
      </c>
      <c r="F2284" s="14">
        <v>23.0</v>
      </c>
      <c r="G2284" s="14">
        <v>32.0</v>
      </c>
      <c r="H2284" s="14" t="s">
        <v>28</v>
      </c>
      <c r="I2284" s="14" t="s">
        <v>24433</v>
      </c>
      <c r="J2284" s="130" t="s">
        <v>24434</v>
      </c>
      <c r="K2284" s="152" t="s">
        <v>880</v>
      </c>
      <c r="L2284" s="20" t="s">
        <v>24436</v>
      </c>
      <c r="M2284" s="16"/>
      <c r="N2284" s="84"/>
      <c r="O2284" s="84"/>
      <c r="P2284" s="84"/>
      <c r="Q2284" s="84"/>
      <c r="R2284" s="84"/>
      <c r="S2284" s="84"/>
      <c r="T2284" s="84"/>
      <c r="U2284" s="84"/>
      <c r="V2284" s="84"/>
      <c r="W2284" s="84"/>
      <c r="X2284" s="84"/>
    </row>
    <row r="2285" ht="15.75" customHeight="1">
      <c r="A2285" s="14" t="s">
        <v>120</v>
      </c>
      <c r="B2285" s="14">
        <v>2012.0</v>
      </c>
      <c r="C2285" s="14" t="s">
        <v>24437</v>
      </c>
      <c r="D2285" s="14" t="s">
        <v>24438</v>
      </c>
      <c r="E2285" s="150" t="str">
        <f t="shared" si="29"/>
        <v>http://dx.doi.org/10.1109/VAST.2012.6400493</v>
      </c>
      <c r="F2285" s="14">
        <v>13.0</v>
      </c>
      <c r="G2285" s="14">
        <v>22.0</v>
      </c>
      <c r="H2285" s="14" t="s">
        <v>28</v>
      </c>
      <c r="I2285" s="14" t="s">
        <v>24440</v>
      </c>
      <c r="J2285" s="130" t="s">
        <v>24442</v>
      </c>
      <c r="K2285" s="152" t="s">
        <v>27825</v>
      </c>
      <c r="L2285" s="20" t="s">
        <v>24443</v>
      </c>
      <c r="M2285" s="16"/>
      <c r="N2285" s="84"/>
      <c r="O2285" s="84"/>
      <c r="P2285" s="84"/>
      <c r="Q2285" s="84"/>
      <c r="R2285" s="84"/>
      <c r="S2285" s="84"/>
      <c r="T2285" s="84"/>
      <c r="U2285" s="84"/>
      <c r="V2285" s="84"/>
      <c r="W2285" s="84"/>
      <c r="X2285" s="84"/>
    </row>
    <row r="2286" ht="15.75" customHeight="1">
      <c r="A2286" s="14" t="s">
        <v>120</v>
      </c>
      <c r="B2286" s="14">
        <v>2012.0</v>
      </c>
      <c r="C2286" s="14" t="s">
        <v>24444</v>
      </c>
      <c r="D2286" s="14" t="s">
        <v>24445</v>
      </c>
      <c r="E2286" s="150" t="str">
        <f t="shared" si="29"/>
        <v>http://dx.doi.org/10.1109/VAST.2012.6400494</v>
      </c>
      <c r="F2286" s="14">
        <v>3.0</v>
      </c>
      <c r="G2286" s="14">
        <v>12.0</v>
      </c>
      <c r="H2286" s="14" t="s">
        <v>28</v>
      </c>
      <c r="I2286" s="14" t="s">
        <v>24446</v>
      </c>
      <c r="J2286" s="130" t="s">
        <v>24447</v>
      </c>
      <c r="K2286" s="152" t="s">
        <v>5349</v>
      </c>
      <c r="L2286" s="20" t="s">
        <v>24449</v>
      </c>
      <c r="M2286" s="16"/>
      <c r="N2286" s="84"/>
      <c r="O2286" s="84"/>
      <c r="P2286" s="84"/>
      <c r="Q2286" s="84"/>
      <c r="R2286" s="84"/>
      <c r="S2286" s="84"/>
      <c r="T2286" s="84"/>
      <c r="U2286" s="84"/>
      <c r="V2286" s="84"/>
      <c r="W2286" s="84"/>
      <c r="X2286" s="84"/>
    </row>
    <row r="2287" ht="15.75" customHeight="1">
      <c r="A2287" s="14" t="s">
        <v>120</v>
      </c>
      <c r="B2287" s="14">
        <v>2012.0</v>
      </c>
      <c r="C2287" s="14" t="s">
        <v>24450</v>
      </c>
      <c r="D2287" s="14" t="s">
        <v>24451</v>
      </c>
      <c r="E2287" s="150" t="str">
        <f t="shared" si="29"/>
        <v>http://dx.doi.org/10.1109/VAST.2012.6400530</v>
      </c>
      <c r="F2287" s="14">
        <v>247.0</v>
      </c>
      <c r="G2287" s="14">
        <v>248.0</v>
      </c>
      <c r="H2287" s="14" t="s">
        <v>21</v>
      </c>
      <c r="I2287" s="14" t="s">
        <v>24452</v>
      </c>
      <c r="J2287" s="130" t="s">
        <v>24453</v>
      </c>
      <c r="K2287" s="152" t="s">
        <v>5349</v>
      </c>
      <c r="L2287" s="20"/>
      <c r="M2287" s="16"/>
      <c r="N2287" s="84"/>
      <c r="O2287" s="84"/>
      <c r="P2287" s="84"/>
      <c r="Q2287" s="84"/>
      <c r="R2287" s="84"/>
      <c r="S2287" s="84"/>
      <c r="T2287" s="84"/>
      <c r="U2287" s="84"/>
      <c r="V2287" s="84"/>
      <c r="W2287" s="84"/>
      <c r="X2287" s="84"/>
    </row>
    <row r="2288" ht="15.75" customHeight="1">
      <c r="A2288" s="14" t="s">
        <v>120</v>
      </c>
      <c r="B2288" s="14">
        <v>2012.0</v>
      </c>
      <c r="C2288" s="14" t="s">
        <v>24454</v>
      </c>
      <c r="D2288" s="14" t="s">
        <v>24455</v>
      </c>
      <c r="E2288" s="150" t="str">
        <f t="shared" si="29"/>
        <v>http://dx.doi.org/10.1109/VAST.2012.6400531</v>
      </c>
      <c r="F2288" s="14">
        <v>245.0</v>
      </c>
      <c r="G2288" s="14">
        <v>246.0</v>
      </c>
      <c r="H2288" s="14" t="s">
        <v>21</v>
      </c>
      <c r="I2288" s="14" t="s">
        <v>24457</v>
      </c>
      <c r="J2288" s="130" t="s">
        <v>24458</v>
      </c>
      <c r="K2288" s="152" t="s">
        <v>27829</v>
      </c>
      <c r="L2288" s="20"/>
      <c r="M2288" s="16"/>
      <c r="N2288" s="84"/>
      <c r="O2288" s="84"/>
      <c r="P2288" s="84"/>
      <c r="Q2288" s="84"/>
      <c r="R2288" s="84"/>
      <c r="S2288" s="84"/>
      <c r="T2288" s="84"/>
      <c r="U2288" s="84"/>
      <c r="V2288" s="84"/>
      <c r="W2288" s="84"/>
      <c r="X2288" s="84"/>
    </row>
    <row r="2289" ht="15.75" customHeight="1">
      <c r="A2289" s="14" t="s">
        <v>120</v>
      </c>
      <c r="B2289" s="14">
        <v>2012.0</v>
      </c>
      <c r="C2289" s="14" t="s">
        <v>24461</v>
      </c>
      <c r="D2289" s="14" t="s">
        <v>24463</v>
      </c>
      <c r="E2289" s="150" t="str">
        <f t="shared" si="29"/>
        <v>http://dx.doi.org/10.1109/VAST.2012.6400532</v>
      </c>
      <c r="F2289" s="14">
        <v>243.0</v>
      </c>
      <c r="G2289" s="14">
        <v>244.0</v>
      </c>
      <c r="H2289" s="14" t="s">
        <v>21</v>
      </c>
      <c r="I2289" s="14" t="s">
        <v>24464</v>
      </c>
      <c r="J2289" s="130" t="s">
        <v>24465</v>
      </c>
      <c r="K2289" s="152" t="s">
        <v>27831</v>
      </c>
      <c r="L2289" s="20"/>
      <c r="M2289" s="16"/>
      <c r="N2289" s="84"/>
      <c r="O2289" s="84"/>
      <c r="P2289" s="84"/>
      <c r="Q2289" s="84"/>
      <c r="R2289" s="84"/>
      <c r="S2289" s="84"/>
      <c r="T2289" s="84"/>
      <c r="U2289" s="84"/>
      <c r="V2289" s="84"/>
      <c r="W2289" s="84"/>
      <c r="X2289" s="84"/>
    </row>
    <row r="2290" ht="15.75" customHeight="1">
      <c r="A2290" s="14" t="s">
        <v>120</v>
      </c>
      <c r="B2290" s="14">
        <v>2012.0</v>
      </c>
      <c r="C2290" s="14" t="s">
        <v>24467</v>
      </c>
      <c r="D2290" s="14" t="s">
        <v>24468</v>
      </c>
      <c r="E2290" s="150" t="str">
        <f t="shared" si="29"/>
        <v>http://dx.doi.org/10.1109/VAST.2012.6400533</v>
      </c>
      <c r="F2290" s="14">
        <v>241.0</v>
      </c>
      <c r="G2290" s="14">
        <v>242.0</v>
      </c>
      <c r="H2290" s="14" t="s">
        <v>21</v>
      </c>
      <c r="I2290" s="14" t="s">
        <v>24469</v>
      </c>
      <c r="J2290" s="130" t="s">
        <v>24470</v>
      </c>
      <c r="K2290" s="152"/>
      <c r="L2290" s="20"/>
      <c r="M2290" s="16"/>
      <c r="N2290" s="84"/>
      <c r="O2290" s="84"/>
      <c r="P2290" s="84"/>
      <c r="Q2290" s="84"/>
      <c r="R2290" s="84"/>
      <c r="S2290" s="84"/>
      <c r="T2290" s="84"/>
      <c r="U2290" s="84"/>
      <c r="V2290" s="84"/>
      <c r="W2290" s="84"/>
      <c r="X2290" s="84"/>
    </row>
    <row r="2291" ht="15.75" customHeight="1">
      <c r="A2291" s="14" t="s">
        <v>120</v>
      </c>
      <c r="B2291" s="14">
        <v>2012.0</v>
      </c>
      <c r="C2291" s="14" t="s">
        <v>24472</v>
      </c>
      <c r="D2291" s="14" t="s">
        <v>24473</v>
      </c>
      <c r="E2291" s="150" t="str">
        <f t="shared" si="29"/>
        <v>http://dx.doi.org/10.1109/VAST.2012.6400534</v>
      </c>
      <c r="F2291" s="14">
        <v>239.0</v>
      </c>
      <c r="G2291" s="14">
        <v>240.0</v>
      </c>
      <c r="H2291" s="14" t="s">
        <v>21</v>
      </c>
      <c r="I2291" s="14" t="s">
        <v>24475</v>
      </c>
      <c r="J2291" s="130" t="s">
        <v>24476</v>
      </c>
      <c r="K2291" s="152" t="s">
        <v>23476</v>
      </c>
      <c r="L2291" s="20"/>
      <c r="M2291" s="16"/>
      <c r="N2291" s="84"/>
      <c r="O2291" s="84"/>
      <c r="P2291" s="84"/>
      <c r="Q2291" s="84"/>
      <c r="R2291" s="84"/>
      <c r="S2291" s="84"/>
      <c r="T2291" s="84"/>
      <c r="U2291" s="84"/>
      <c r="V2291" s="84"/>
      <c r="W2291" s="84"/>
      <c r="X2291" s="84"/>
    </row>
    <row r="2292" ht="15.75" customHeight="1">
      <c r="A2292" s="14" t="s">
        <v>120</v>
      </c>
      <c r="B2292" s="14">
        <v>2012.0</v>
      </c>
      <c r="C2292" s="14" t="s">
        <v>24479</v>
      </c>
      <c r="D2292" s="14" t="s">
        <v>24480</v>
      </c>
      <c r="E2292" s="150" t="str">
        <f t="shared" si="29"/>
        <v>http://dx.doi.org/10.1109/VAST.2012.6400535</v>
      </c>
      <c r="F2292" s="14">
        <v>237.0</v>
      </c>
      <c r="G2292" s="14">
        <v>238.0</v>
      </c>
      <c r="H2292" s="14" t="s">
        <v>21</v>
      </c>
      <c r="I2292" s="14" t="s">
        <v>24481</v>
      </c>
      <c r="J2292" s="130" t="s">
        <v>24482</v>
      </c>
      <c r="K2292" s="152" t="s">
        <v>5349</v>
      </c>
      <c r="L2292" s="20"/>
      <c r="M2292" s="16"/>
      <c r="N2292" s="84"/>
      <c r="O2292" s="84"/>
      <c r="P2292" s="84"/>
      <c r="Q2292" s="84"/>
      <c r="R2292" s="84"/>
      <c r="S2292" s="84"/>
      <c r="T2292" s="84"/>
      <c r="U2292" s="84"/>
      <c r="V2292" s="84"/>
      <c r="W2292" s="84"/>
      <c r="X2292" s="84"/>
    </row>
    <row r="2293" ht="15.75" customHeight="1">
      <c r="A2293" s="14" t="s">
        <v>120</v>
      </c>
      <c r="B2293" s="14">
        <v>2012.0</v>
      </c>
      <c r="C2293" s="14" t="s">
        <v>24484</v>
      </c>
      <c r="D2293" s="14" t="s">
        <v>24485</v>
      </c>
      <c r="E2293" s="150" t="str">
        <f t="shared" si="29"/>
        <v>http://dx.doi.org/10.1109/VAST.2012.6400536</v>
      </c>
      <c r="F2293" s="14">
        <v>235.0</v>
      </c>
      <c r="G2293" s="14">
        <v>236.0</v>
      </c>
      <c r="H2293" s="14" t="s">
        <v>21</v>
      </c>
      <c r="I2293" s="14" t="s">
        <v>24486</v>
      </c>
      <c r="J2293" s="130" t="s">
        <v>24487</v>
      </c>
      <c r="K2293" s="152" t="s">
        <v>25680</v>
      </c>
      <c r="L2293" s="20"/>
      <c r="M2293" s="16"/>
      <c r="N2293" s="84"/>
      <c r="O2293" s="84"/>
      <c r="P2293" s="84"/>
      <c r="Q2293" s="84"/>
      <c r="R2293" s="84"/>
      <c r="S2293" s="84"/>
      <c r="T2293" s="84"/>
      <c r="U2293" s="84"/>
      <c r="V2293" s="84"/>
      <c r="W2293" s="84"/>
      <c r="X2293" s="84"/>
    </row>
    <row r="2294" ht="15.75" customHeight="1">
      <c r="A2294" s="14" t="s">
        <v>120</v>
      </c>
      <c r="B2294" s="14">
        <v>2012.0</v>
      </c>
      <c r="C2294" s="14" t="s">
        <v>24489</v>
      </c>
      <c r="D2294" s="14" t="s">
        <v>24491</v>
      </c>
      <c r="E2294" s="150" t="str">
        <f t="shared" si="29"/>
        <v>http://dx.doi.org/10.1109/VAST.2012.6400537</v>
      </c>
      <c r="F2294" s="14">
        <v>233.0</v>
      </c>
      <c r="G2294" s="14">
        <v>234.0</v>
      </c>
      <c r="H2294" s="14" t="s">
        <v>21</v>
      </c>
      <c r="I2294" s="14" t="s">
        <v>24492</v>
      </c>
      <c r="J2294" s="130" t="s">
        <v>24493</v>
      </c>
      <c r="K2294" s="152" t="s">
        <v>11861</v>
      </c>
      <c r="L2294" s="20"/>
      <c r="M2294" s="16"/>
      <c r="N2294" s="84"/>
      <c r="O2294" s="84"/>
      <c r="P2294" s="84"/>
      <c r="Q2294" s="84"/>
      <c r="R2294" s="84"/>
      <c r="S2294" s="84"/>
      <c r="T2294" s="84"/>
      <c r="U2294" s="84"/>
      <c r="V2294" s="84"/>
      <c r="W2294" s="84"/>
      <c r="X2294" s="84"/>
    </row>
    <row r="2295" ht="15.75" customHeight="1">
      <c r="A2295" s="14" t="s">
        <v>120</v>
      </c>
      <c r="B2295" s="14">
        <v>2012.0</v>
      </c>
      <c r="C2295" s="14" t="s">
        <v>24496</v>
      </c>
      <c r="D2295" s="14" t="s">
        <v>24497</v>
      </c>
      <c r="E2295" s="150" t="str">
        <f t="shared" si="29"/>
        <v>http://dx.doi.org/10.1109/VAST.2012.6400538</v>
      </c>
      <c r="F2295" s="14">
        <v>231.0</v>
      </c>
      <c r="G2295" s="14">
        <v>232.0</v>
      </c>
      <c r="H2295" s="14" t="s">
        <v>21</v>
      </c>
      <c r="I2295" s="14" t="s">
        <v>24498</v>
      </c>
      <c r="J2295" s="130" t="s">
        <v>24499</v>
      </c>
      <c r="K2295" s="152" t="s">
        <v>26087</v>
      </c>
      <c r="L2295" s="20"/>
      <c r="M2295" s="16"/>
      <c r="N2295" s="84"/>
      <c r="O2295" s="84"/>
      <c r="P2295" s="84"/>
      <c r="Q2295" s="84"/>
      <c r="R2295" s="84"/>
      <c r="S2295" s="84"/>
      <c r="T2295" s="84"/>
      <c r="U2295" s="84"/>
      <c r="V2295" s="84"/>
      <c r="W2295" s="84"/>
      <c r="X2295" s="84"/>
    </row>
    <row r="2296" ht="15.75" customHeight="1">
      <c r="A2296" s="14" t="s">
        <v>120</v>
      </c>
      <c r="B2296" s="14">
        <v>2012.0</v>
      </c>
      <c r="C2296" s="14" t="s">
        <v>24500</v>
      </c>
      <c r="D2296" s="14" t="s">
        <v>24501</v>
      </c>
      <c r="E2296" s="150" t="str">
        <f t="shared" si="29"/>
        <v>http://dx.doi.org/10.1109/VAST.2012.6400539</v>
      </c>
      <c r="F2296" s="14">
        <v>229.0</v>
      </c>
      <c r="G2296" s="14">
        <v>230.0</v>
      </c>
      <c r="H2296" s="14" t="s">
        <v>21</v>
      </c>
      <c r="I2296" s="14" t="s">
        <v>24502</v>
      </c>
      <c r="J2296" s="130" t="s">
        <v>24503</v>
      </c>
      <c r="K2296" s="152" t="s">
        <v>5349</v>
      </c>
      <c r="L2296" s="20"/>
      <c r="M2296" s="16"/>
      <c r="N2296" s="84"/>
      <c r="O2296" s="84"/>
      <c r="P2296" s="84"/>
      <c r="Q2296" s="84"/>
      <c r="R2296" s="84"/>
      <c r="S2296" s="84"/>
      <c r="T2296" s="84"/>
      <c r="U2296" s="84"/>
      <c r="V2296" s="84"/>
      <c r="W2296" s="84"/>
      <c r="X2296" s="84"/>
    </row>
    <row r="2297" ht="15.75" customHeight="1">
      <c r="A2297" s="14" t="s">
        <v>120</v>
      </c>
      <c r="B2297" s="14">
        <v>2012.0</v>
      </c>
      <c r="C2297" s="14" t="s">
        <v>24505</v>
      </c>
      <c r="D2297" s="14" t="s">
        <v>24506</v>
      </c>
      <c r="E2297" s="150" t="str">
        <f t="shared" si="29"/>
        <v>http://dx.doi.org/10.1109/VAST.2012.6400540</v>
      </c>
      <c r="F2297" s="14">
        <v>227.0</v>
      </c>
      <c r="G2297" s="14">
        <v>228.0</v>
      </c>
      <c r="H2297" s="14" t="s">
        <v>21</v>
      </c>
      <c r="I2297" s="14" t="s">
        <v>24508</v>
      </c>
      <c r="J2297" s="130" t="s">
        <v>24509</v>
      </c>
      <c r="K2297" s="152" t="s">
        <v>27841</v>
      </c>
      <c r="L2297" s="20"/>
      <c r="M2297" s="16"/>
      <c r="N2297" s="84"/>
      <c r="O2297" s="84"/>
      <c r="P2297" s="84"/>
      <c r="Q2297" s="84"/>
      <c r="R2297" s="84"/>
      <c r="S2297" s="84"/>
      <c r="T2297" s="84"/>
      <c r="U2297" s="84"/>
      <c r="V2297" s="84"/>
      <c r="W2297" s="84"/>
      <c r="X2297" s="84"/>
    </row>
    <row r="2298" ht="15.75" customHeight="1">
      <c r="A2298" s="14" t="s">
        <v>120</v>
      </c>
      <c r="B2298" s="14">
        <v>2012.0</v>
      </c>
      <c r="C2298" s="14" t="s">
        <v>24512</v>
      </c>
      <c r="D2298" s="14" t="s">
        <v>24513</v>
      </c>
      <c r="E2298" s="150" t="str">
        <f t="shared" si="29"/>
        <v>http://dx.doi.org/10.1109/VAST.2012.6400541</v>
      </c>
      <c r="F2298" s="14">
        <v>225.0</v>
      </c>
      <c r="G2298" s="14">
        <v>226.0</v>
      </c>
      <c r="H2298" s="14" t="s">
        <v>21</v>
      </c>
      <c r="I2298" s="14" t="s">
        <v>24514</v>
      </c>
      <c r="J2298" s="130" t="s">
        <v>24515</v>
      </c>
      <c r="K2298" s="152" t="s">
        <v>27844</v>
      </c>
      <c r="L2298" s="20"/>
      <c r="M2298" s="16"/>
      <c r="N2298" s="84"/>
      <c r="O2298" s="84"/>
      <c r="P2298" s="84"/>
      <c r="Q2298" s="84"/>
      <c r="R2298" s="84"/>
      <c r="S2298" s="84"/>
      <c r="T2298" s="84"/>
      <c r="U2298" s="84"/>
      <c r="V2298" s="84"/>
      <c r="W2298" s="84"/>
      <c r="X2298" s="84"/>
    </row>
    <row r="2299" ht="15.75" customHeight="1">
      <c r="A2299" s="14" t="s">
        <v>120</v>
      </c>
      <c r="B2299" s="14">
        <v>2012.0</v>
      </c>
      <c r="C2299" s="14" t="s">
        <v>24518</v>
      </c>
      <c r="D2299" s="14" t="s">
        <v>24519</v>
      </c>
      <c r="E2299" s="150" t="str">
        <f t="shared" si="29"/>
        <v>http://dx.doi.org/10.1109/VAST.2012.6400542</v>
      </c>
      <c r="F2299" s="14">
        <v>223.0</v>
      </c>
      <c r="G2299" s="14">
        <v>224.0</v>
      </c>
      <c r="H2299" s="14" t="s">
        <v>21</v>
      </c>
      <c r="I2299" s="14" t="s">
        <v>24520</v>
      </c>
      <c r="J2299" s="130" t="s">
        <v>24521</v>
      </c>
      <c r="K2299" s="152" t="s">
        <v>27846</v>
      </c>
      <c r="L2299" s="20"/>
      <c r="M2299" s="16"/>
      <c r="N2299" s="84"/>
      <c r="O2299" s="84"/>
      <c r="P2299" s="84"/>
      <c r="Q2299" s="84"/>
      <c r="R2299" s="84"/>
      <c r="S2299" s="84"/>
      <c r="T2299" s="84"/>
      <c r="U2299" s="84"/>
      <c r="V2299" s="84"/>
      <c r="W2299" s="84"/>
      <c r="X2299" s="84"/>
    </row>
    <row r="2300" ht="15.75" customHeight="1">
      <c r="A2300" s="14" t="s">
        <v>120</v>
      </c>
      <c r="B2300" s="14">
        <v>2012.0</v>
      </c>
      <c r="C2300" s="14" t="s">
        <v>24523</v>
      </c>
      <c r="D2300" s="14" t="s">
        <v>24524</v>
      </c>
      <c r="E2300" s="150" t="str">
        <f t="shared" si="29"/>
        <v>http://dx.doi.org/10.1109/VAST.2012.6400543</v>
      </c>
      <c r="F2300" s="14">
        <v>221.0</v>
      </c>
      <c r="G2300" s="14">
        <v>222.0</v>
      </c>
      <c r="H2300" s="14" t="s">
        <v>21</v>
      </c>
      <c r="I2300" s="14" t="s">
        <v>30778</v>
      </c>
      <c r="J2300" s="130" t="s">
        <v>21853</v>
      </c>
      <c r="K2300" s="152" t="s">
        <v>27849</v>
      </c>
      <c r="L2300" s="20"/>
      <c r="M2300" s="16"/>
      <c r="N2300" s="84"/>
      <c r="O2300" s="84"/>
      <c r="P2300" s="84"/>
      <c r="Q2300" s="84"/>
      <c r="R2300" s="84"/>
      <c r="S2300" s="84"/>
      <c r="T2300" s="84"/>
      <c r="U2300" s="84"/>
      <c r="V2300" s="84"/>
      <c r="W2300" s="84"/>
      <c r="X2300" s="84"/>
    </row>
    <row r="2301" ht="15.75" customHeight="1">
      <c r="A2301" s="14" t="s">
        <v>120</v>
      </c>
      <c r="B2301" s="14">
        <v>2012.0</v>
      </c>
      <c r="C2301" s="14" t="s">
        <v>24528</v>
      </c>
      <c r="D2301" s="14" t="s">
        <v>24530</v>
      </c>
      <c r="E2301" s="150" t="str">
        <f t="shared" si="29"/>
        <v>http://dx.doi.org/10.1109/VAST.2012.6400544</v>
      </c>
      <c r="F2301" s="14">
        <v>219.0</v>
      </c>
      <c r="G2301" s="14">
        <v>220.0</v>
      </c>
      <c r="H2301" s="14" t="s">
        <v>21</v>
      </c>
      <c r="I2301" s="14" t="s">
        <v>24531</v>
      </c>
      <c r="J2301" s="130" t="s">
        <v>24532</v>
      </c>
      <c r="K2301" s="152" t="s">
        <v>178</v>
      </c>
      <c r="L2301" s="20"/>
      <c r="M2301" s="16"/>
      <c r="N2301" s="84"/>
      <c r="O2301" s="84"/>
      <c r="P2301" s="84"/>
      <c r="Q2301" s="84"/>
      <c r="R2301" s="84"/>
      <c r="S2301" s="84"/>
      <c r="T2301" s="84"/>
      <c r="U2301" s="84"/>
      <c r="V2301" s="84"/>
      <c r="W2301" s="84"/>
      <c r="X2301" s="84"/>
    </row>
    <row r="2302" ht="15.75" customHeight="1">
      <c r="A2302" s="14" t="s">
        <v>120</v>
      </c>
      <c r="B2302" s="14">
        <v>2012.0</v>
      </c>
      <c r="C2302" s="14" t="s">
        <v>24534</v>
      </c>
      <c r="D2302" s="14" t="s">
        <v>24535</v>
      </c>
      <c r="E2302" s="150" t="str">
        <f t="shared" si="29"/>
        <v>http://dx.doi.org/10.1109/VAST.2012.6400545</v>
      </c>
      <c r="F2302" s="14">
        <v>217.0</v>
      </c>
      <c r="G2302" s="14">
        <v>218.0</v>
      </c>
      <c r="H2302" s="14" t="s">
        <v>21</v>
      </c>
      <c r="I2302" s="14" t="s">
        <v>24536</v>
      </c>
      <c r="J2302" s="130" t="s">
        <v>24537</v>
      </c>
      <c r="K2302" s="152" t="s">
        <v>26087</v>
      </c>
      <c r="L2302" s="20"/>
      <c r="M2302" s="16"/>
      <c r="N2302" s="84"/>
      <c r="O2302" s="84"/>
      <c r="P2302" s="84"/>
      <c r="Q2302" s="84"/>
      <c r="R2302" s="84"/>
      <c r="S2302" s="84"/>
      <c r="T2302" s="84"/>
      <c r="U2302" s="84"/>
      <c r="V2302" s="84"/>
      <c r="W2302" s="84"/>
      <c r="X2302" s="84"/>
    </row>
    <row r="2303" ht="15.75" customHeight="1">
      <c r="A2303" s="14" t="s">
        <v>120</v>
      </c>
      <c r="B2303" s="14">
        <v>2012.0</v>
      </c>
      <c r="C2303" s="14" t="s">
        <v>24539</v>
      </c>
      <c r="D2303" s="14" t="s">
        <v>24540</v>
      </c>
      <c r="E2303" s="150" t="str">
        <f t="shared" si="29"/>
        <v>http://dx.doi.org/10.1109/VAST.2012.6400546</v>
      </c>
      <c r="F2303" s="14">
        <v>215.0</v>
      </c>
      <c r="G2303" s="14">
        <v>216.0</v>
      </c>
      <c r="H2303" s="14" t="s">
        <v>21</v>
      </c>
      <c r="I2303" s="14" t="s">
        <v>24542</v>
      </c>
      <c r="J2303" s="130" t="s">
        <v>24544</v>
      </c>
      <c r="K2303" s="152" t="s">
        <v>27854</v>
      </c>
      <c r="L2303" s="20"/>
      <c r="M2303" s="16"/>
      <c r="N2303" s="84"/>
      <c r="O2303" s="84"/>
      <c r="P2303" s="84"/>
      <c r="Q2303" s="84"/>
      <c r="R2303" s="84"/>
      <c r="S2303" s="84"/>
      <c r="T2303" s="84"/>
      <c r="U2303" s="84"/>
      <c r="V2303" s="84"/>
      <c r="W2303" s="84"/>
      <c r="X2303" s="84"/>
    </row>
    <row r="2304" ht="15.75" customHeight="1">
      <c r="A2304" s="14" t="s">
        <v>120</v>
      </c>
      <c r="B2304" s="14">
        <v>2012.0</v>
      </c>
      <c r="C2304" s="14" t="s">
        <v>24547</v>
      </c>
      <c r="D2304" s="14" t="s">
        <v>24548</v>
      </c>
      <c r="E2304" s="150" t="str">
        <f t="shared" si="29"/>
        <v>http://dx.doi.org/10.1109/VAST.2012.6400547</v>
      </c>
      <c r="F2304" s="14">
        <v>213.0</v>
      </c>
      <c r="G2304" s="14">
        <v>214.0</v>
      </c>
      <c r="H2304" s="14" t="s">
        <v>21</v>
      </c>
      <c r="I2304" s="14" t="s">
        <v>24550</v>
      </c>
      <c r="J2304" s="130" t="s">
        <v>24551</v>
      </c>
      <c r="K2304" s="152" t="s">
        <v>494</v>
      </c>
      <c r="L2304" s="20"/>
      <c r="M2304" s="16"/>
      <c r="N2304" s="84"/>
      <c r="O2304" s="84"/>
      <c r="P2304" s="84"/>
      <c r="Q2304" s="84"/>
      <c r="R2304" s="84"/>
      <c r="S2304" s="84"/>
      <c r="T2304" s="84"/>
      <c r="U2304" s="84"/>
      <c r="V2304" s="84"/>
      <c r="W2304" s="84"/>
      <c r="X2304" s="84"/>
    </row>
    <row r="2305" ht="15.75" customHeight="1">
      <c r="A2305" s="14" t="s">
        <v>120</v>
      </c>
      <c r="B2305" s="14">
        <v>2012.0</v>
      </c>
      <c r="C2305" s="14" t="s">
        <v>24554</v>
      </c>
      <c r="D2305" s="14" t="s">
        <v>24555</v>
      </c>
      <c r="E2305" s="150" t="str">
        <f t="shared" si="29"/>
        <v>http://dx.doi.org/10.1109/VAST.2012.6400548</v>
      </c>
      <c r="F2305" s="14">
        <v>211.0</v>
      </c>
      <c r="G2305" s="14">
        <v>212.0</v>
      </c>
      <c r="H2305" s="14" t="s">
        <v>21</v>
      </c>
      <c r="I2305" s="14" t="s">
        <v>24556</v>
      </c>
      <c r="J2305" s="130" t="s">
        <v>24557</v>
      </c>
      <c r="K2305" s="152" t="s">
        <v>27877</v>
      </c>
      <c r="L2305" s="20"/>
      <c r="M2305" s="16"/>
      <c r="N2305" s="84"/>
      <c r="O2305" s="84"/>
      <c r="P2305" s="84"/>
      <c r="Q2305" s="84"/>
      <c r="R2305" s="84"/>
      <c r="S2305" s="84"/>
      <c r="T2305" s="84"/>
      <c r="U2305" s="84"/>
      <c r="V2305" s="84"/>
      <c r="W2305" s="84"/>
      <c r="X2305" s="84"/>
    </row>
    <row r="2306" ht="15.75" customHeight="1">
      <c r="A2306" s="14" t="s">
        <v>120</v>
      </c>
      <c r="B2306" s="14">
        <v>2012.0</v>
      </c>
      <c r="C2306" s="14" t="s">
        <v>24560</v>
      </c>
      <c r="D2306" s="14" t="s">
        <v>24561</v>
      </c>
      <c r="E2306" s="150" t="str">
        <f t="shared" si="29"/>
        <v>http://dx.doi.org/10.1109/VAST.2012.6400549</v>
      </c>
      <c r="F2306" s="14">
        <v>209.0</v>
      </c>
      <c r="G2306" s="14">
        <v>210.0</v>
      </c>
      <c r="H2306" s="14" t="s">
        <v>21</v>
      </c>
      <c r="I2306" s="14" t="s">
        <v>24562</v>
      </c>
      <c r="J2306" s="130" t="s">
        <v>24564</v>
      </c>
      <c r="K2306" s="152" t="s">
        <v>880</v>
      </c>
      <c r="L2306" s="20"/>
      <c r="M2306" s="16"/>
      <c r="N2306" s="84"/>
      <c r="O2306" s="84"/>
      <c r="P2306" s="84"/>
      <c r="Q2306" s="84"/>
      <c r="R2306" s="84"/>
      <c r="S2306" s="84"/>
      <c r="T2306" s="84"/>
      <c r="U2306" s="84"/>
      <c r="V2306" s="84"/>
      <c r="W2306" s="84"/>
      <c r="X2306" s="84"/>
    </row>
    <row r="2307" ht="15.75" customHeight="1">
      <c r="A2307" s="14" t="s">
        <v>120</v>
      </c>
      <c r="B2307" s="14">
        <v>2012.0</v>
      </c>
      <c r="C2307" s="14" t="s">
        <v>24567</v>
      </c>
      <c r="D2307" s="14" t="s">
        <v>24568</v>
      </c>
      <c r="E2307" s="150" t="str">
        <f t="shared" si="29"/>
        <v>http://dx.doi.org/10.1109/VAST.2012.6400550</v>
      </c>
      <c r="F2307" s="14">
        <v>207.0</v>
      </c>
      <c r="G2307" s="14">
        <v>208.0</v>
      </c>
      <c r="H2307" s="14" t="s">
        <v>21</v>
      </c>
      <c r="I2307" s="14" t="s">
        <v>27903</v>
      </c>
      <c r="J2307" s="130" t="s">
        <v>24571</v>
      </c>
      <c r="K2307" s="152" t="s">
        <v>27904</v>
      </c>
      <c r="L2307" s="20"/>
      <c r="M2307" s="16"/>
      <c r="N2307" s="84"/>
      <c r="O2307" s="84"/>
      <c r="P2307" s="84"/>
      <c r="Q2307" s="84"/>
      <c r="R2307" s="84"/>
      <c r="S2307" s="84"/>
      <c r="T2307" s="84"/>
      <c r="U2307" s="84"/>
      <c r="V2307" s="84"/>
      <c r="W2307" s="84"/>
      <c r="X2307" s="84"/>
    </row>
    <row r="2308" ht="15.75" customHeight="1">
      <c r="A2308" s="14" t="s">
        <v>120</v>
      </c>
      <c r="B2308" s="14">
        <v>2012.0</v>
      </c>
      <c r="C2308" s="42" t="s">
        <v>24573</v>
      </c>
      <c r="D2308" s="14" t="s">
        <v>24574</v>
      </c>
      <c r="E2308" s="150" t="str">
        <f t="shared" si="29"/>
        <v>http://dx.doi.org/10.1109/VAST.2012.6400551</v>
      </c>
      <c r="F2308" s="14">
        <v>204.0</v>
      </c>
      <c r="G2308" s="14">
        <v>206.0</v>
      </c>
      <c r="H2308" s="14" t="s">
        <v>21</v>
      </c>
      <c r="I2308" s="14" t="s">
        <v>30734</v>
      </c>
      <c r="J2308" s="130" t="s">
        <v>24576</v>
      </c>
      <c r="K2308" s="152" t="s">
        <v>27916</v>
      </c>
      <c r="L2308" s="20"/>
      <c r="M2308" s="16"/>
      <c r="N2308" s="84"/>
      <c r="O2308" s="84"/>
      <c r="P2308" s="84"/>
      <c r="Q2308" s="84"/>
      <c r="R2308" s="84"/>
      <c r="S2308" s="84"/>
      <c r="T2308" s="84"/>
      <c r="U2308" s="84"/>
      <c r="V2308" s="84"/>
      <c r="W2308" s="84"/>
      <c r="X2308" s="84"/>
    </row>
    <row r="2309" ht="15.75" customHeight="1">
      <c r="A2309" s="14" t="s">
        <v>120</v>
      </c>
      <c r="B2309" s="14">
        <v>2012.0</v>
      </c>
      <c r="C2309" s="14" t="s">
        <v>24579</v>
      </c>
      <c r="D2309" s="14" t="s">
        <v>24580</v>
      </c>
      <c r="E2309" s="150" t="str">
        <f t="shared" si="29"/>
        <v>http://dx.doi.org/10.1109/VAST.2012.6400552</v>
      </c>
      <c r="F2309" s="14">
        <v>193.0</v>
      </c>
      <c r="G2309" s="14">
        <v>202.0</v>
      </c>
      <c r="H2309" s="14" t="s">
        <v>28</v>
      </c>
      <c r="I2309" s="14" t="s">
        <v>24581</v>
      </c>
      <c r="J2309" s="130" t="s">
        <v>24582</v>
      </c>
      <c r="K2309" s="152" t="s">
        <v>95</v>
      </c>
      <c r="L2309" s="20" t="s">
        <v>24584</v>
      </c>
      <c r="M2309" s="174" t="s">
        <v>24585</v>
      </c>
      <c r="N2309" s="84"/>
      <c r="O2309" s="84"/>
      <c r="P2309" s="84"/>
      <c r="Q2309" s="84"/>
      <c r="R2309" s="84"/>
      <c r="S2309" s="84"/>
      <c r="T2309" s="84"/>
      <c r="U2309" s="84"/>
      <c r="V2309" s="84"/>
      <c r="W2309" s="84"/>
      <c r="X2309" s="84"/>
    </row>
    <row r="2310" ht="15.75" customHeight="1">
      <c r="A2310" s="14" t="s">
        <v>120</v>
      </c>
      <c r="B2310" s="14">
        <v>2012.0</v>
      </c>
      <c r="C2310" s="14" t="s">
        <v>24588</v>
      </c>
      <c r="D2310" s="14" t="s">
        <v>24589</v>
      </c>
      <c r="E2310" s="150" t="str">
        <f t="shared" si="29"/>
        <v>http://dx.doi.org/10.1109/VAST.2012.6400553</v>
      </c>
      <c r="F2310" s="14">
        <v>183.0</v>
      </c>
      <c r="G2310" s="14">
        <v>192.0</v>
      </c>
      <c r="H2310" s="14" t="s">
        <v>28</v>
      </c>
      <c r="I2310" s="14" t="s">
        <v>24591</v>
      </c>
      <c r="J2310" s="130" t="s">
        <v>24592</v>
      </c>
      <c r="K2310" s="152" t="s">
        <v>27944</v>
      </c>
      <c r="L2310" s="20" t="s">
        <v>24595</v>
      </c>
      <c r="M2310" s="16"/>
      <c r="N2310" s="84"/>
      <c r="O2310" s="84"/>
      <c r="P2310" s="84"/>
      <c r="Q2310" s="84"/>
      <c r="R2310" s="84"/>
      <c r="S2310" s="84"/>
      <c r="T2310" s="84"/>
      <c r="U2310" s="84"/>
      <c r="V2310" s="84"/>
      <c r="W2310" s="84"/>
      <c r="X2310" s="84"/>
    </row>
    <row r="2311" ht="15.75" customHeight="1">
      <c r="A2311" s="14" t="s">
        <v>120</v>
      </c>
      <c r="B2311" s="14">
        <v>2012.0</v>
      </c>
      <c r="C2311" s="14" t="s">
        <v>24596</v>
      </c>
      <c r="D2311" s="14" t="s">
        <v>24597</v>
      </c>
      <c r="E2311" s="150" t="str">
        <f t="shared" si="29"/>
        <v>http://dx.doi.org/10.1109/VAST.2012.6400554</v>
      </c>
      <c r="F2311" s="14">
        <v>173.0</v>
      </c>
      <c r="G2311" s="14">
        <v>182.0</v>
      </c>
      <c r="H2311" s="14" t="s">
        <v>28</v>
      </c>
      <c r="I2311" s="14" t="s">
        <v>24598</v>
      </c>
      <c r="J2311" s="130" t="s">
        <v>24599</v>
      </c>
      <c r="K2311" s="152" t="s">
        <v>27955</v>
      </c>
      <c r="L2311" s="20" t="s">
        <v>24602</v>
      </c>
      <c r="M2311" s="16"/>
      <c r="N2311" s="84"/>
      <c r="O2311" s="84"/>
      <c r="P2311" s="84"/>
      <c r="Q2311" s="84"/>
      <c r="R2311" s="84"/>
      <c r="S2311" s="84"/>
      <c r="T2311" s="84"/>
      <c r="U2311" s="84"/>
      <c r="V2311" s="84"/>
      <c r="W2311" s="84"/>
      <c r="X2311" s="84"/>
    </row>
    <row r="2312" ht="15.75" customHeight="1">
      <c r="A2312" s="14" t="s">
        <v>120</v>
      </c>
      <c r="B2312" s="14">
        <v>2012.0</v>
      </c>
      <c r="C2312" s="14" t="s">
        <v>24603</v>
      </c>
      <c r="D2312" s="14" t="s">
        <v>24604</v>
      </c>
      <c r="E2312" s="150" t="str">
        <f t="shared" si="29"/>
        <v>http://dx.doi.org/10.1109/VAST.2012.6400555</v>
      </c>
      <c r="F2312" s="14">
        <v>163.0</v>
      </c>
      <c r="G2312" s="14">
        <v>172.0</v>
      </c>
      <c r="H2312" s="14" t="s">
        <v>28</v>
      </c>
      <c r="I2312" s="14" t="s">
        <v>24605</v>
      </c>
      <c r="J2312" s="130" t="s">
        <v>41737</v>
      </c>
      <c r="K2312" s="152" t="s">
        <v>27966</v>
      </c>
      <c r="L2312" s="20" t="s">
        <v>24609</v>
      </c>
      <c r="M2312" s="174" t="s">
        <v>24610</v>
      </c>
      <c r="N2312" s="84"/>
      <c r="O2312" s="84"/>
      <c r="P2312" s="84"/>
      <c r="Q2312" s="84"/>
      <c r="R2312" s="84"/>
      <c r="S2312" s="84"/>
      <c r="T2312" s="84"/>
      <c r="U2312" s="84"/>
      <c r="V2312" s="84"/>
      <c r="W2312" s="84"/>
      <c r="X2312" s="84"/>
    </row>
    <row r="2313" ht="15.75" customHeight="1">
      <c r="A2313" s="14" t="s">
        <v>120</v>
      </c>
      <c r="B2313" s="14">
        <v>2012.0</v>
      </c>
      <c r="C2313" s="14" t="s">
        <v>24611</v>
      </c>
      <c r="D2313" s="14" t="s">
        <v>24612</v>
      </c>
      <c r="E2313" s="150" t="str">
        <f t="shared" si="29"/>
        <v>http://dx.doi.org/10.1109/VAST.2012.6400556</v>
      </c>
      <c r="F2313" s="14">
        <v>153.0</v>
      </c>
      <c r="G2313" s="14">
        <v>162.0</v>
      </c>
      <c r="H2313" s="14" t="s">
        <v>28</v>
      </c>
      <c r="I2313" s="14" t="s">
        <v>24613</v>
      </c>
      <c r="J2313" s="130" t="s">
        <v>24614</v>
      </c>
      <c r="K2313" s="152" t="s">
        <v>494</v>
      </c>
      <c r="L2313" s="20" t="s">
        <v>24616</v>
      </c>
      <c r="M2313" s="16"/>
      <c r="N2313" s="84"/>
      <c r="O2313" s="84"/>
      <c r="P2313" s="84"/>
      <c r="Q2313" s="84"/>
      <c r="R2313" s="84"/>
      <c r="S2313" s="84"/>
      <c r="T2313" s="84"/>
      <c r="U2313" s="84"/>
      <c r="V2313" s="84"/>
      <c r="W2313" s="84"/>
      <c r="X2313" s="84"/>
    </row>
    <row r="2314" ht="15.75" customHeight="1">
      <c r="A2314" s="14" t="s">
        <v>120</v>
      </c>
      <c r="B2314" s="14">
        <v>2012.0</v>
      </c>
      <c r="C2314" s="14" t="s">
        <v>24619</v>
      </c>
      <c r="D2314" s="14" t="s">
        <v>24620</v>
      </c>
      <c r="E2314" s="150" t="str">
        <f t="shared" si="29"/>
        <v>http://dx.doi.org/10.1109/VAST.2012.6400557</v>
      </c>
      <c r="F2314" s="14">
        <v>143.0</v>
      </c>
      <c r="G2314" s="14">
        <v>152.0</v>
      </c>
      <c r="H2314" s="14" t="s">
        <v>28</v>
      </c>
      <c r="I2314" s="14" t="s">
        <v>24621</v>
      </c>
      <c r="J2314" s="130" t="s">
        <v>24622</v>
      </c>
      <c r="K2314" s="152" t="s">
        <v>1253</v>
      </c>
      <c r="L2314" s="20" t="s">
        <v>24625</v>
      </c>
      <c r="M2314" s="16"/>
      <c r="N2314" s="84"/>
      <c r="O2314" s="84"/>
      <c r="P2314" s="84"/>
      <c r="Q2314" s="84"/>
      <c r="R2314" s="84"/>
      <c r="S2314" s="84"/>
      <c r="T2314" s="84"/>
      <c r="U2314" s="84"/>
      <c r="V2314" s="84"/>
      <c r="W2314" s="84"/>
      <c r="X2314" s="84"/>
    </row>
    <row r="2315" ht="15.75" customHeight="1">
      <c r="A2315" s="14" t="s">
        <v>120</v>
      </c>
      <c r="B2315" s="14">
        <v>2012.0</v>
      </c>
      <c r="C2315" s="14" t="s">
        <v>24626</v>
      </c>
      <c r="D2315" s="14" t="s">
        <v>24627</v>
      </c>
      <c r="E2315" s="150" t="str">
        <f t="shared" si="29"/>
        <v>http://dx.doi.org/10.1109/VAST.2012.6400558</v>
      </c>
      <c r="F2315" s="14">
        <v>133.0</v>
      </c>
      <c r="G2315" s="14">
        <v>142.0</v>
      </c>
      <c r="H2315" s="14" t="s">
        <v>28</v>
      </c>
      <c r="I2315" s="14" t="s">
        <v>24628</v>
      </c>
      <c r="J2315" s="130" t="s">
        <v>24630</v>
      </c>
      <c r="K2315" s="152" t="s">
        <v>27974</v>
      </c>
      <c r="L2315" s="20" t="s">
        <v>24632</v>
      </c>
      <c r="M2315" s="174" t="s">
        <v>24633</v>
      </c>
      <c r="N2315" s="84"/>
      <c r="O2315" s="84"/>
      <c r="P2315" s="84"/>
      <c r="Q2315" s="84"/>
      <c r="R2315" s="84"/>
      <c r="S2315" s="84"/>
      <c r="T2315" s="84"/>
      <c r="U2315" s="84"/>
      <c r="V2315" s="84"/>
      <c r="W2315" s="84"/>
      <c r="X2315" s="84"/>
    </row>
    <row r="2316" ht="15.75" customHeight="1">
      <c r="A2316" s="14" t="s">
        <v>120</v>
      </c>
      <c r="B2316" s="14">
        <v>2012.0</v>
      </c>
      <c r="C2316" s="14" t="s">
        <v>24634</v>
      </c>
      <c r="D2316" s="14" t="s">
        <v>24635</v>
      </c>
      <c r="E2316" s="150" t="str">
        <f t="shared" si="29"/>
        <v>http://dx.doi.org/10.1109/VAST.2012.6400559</v>
      </c>
      <c r="F2316" s="14">
        <v>123.0</v>
      </c>
      <c r="G2316" s="14">
        <v>131.0</v>
      </c>
      <c r="H2316" s="14" t="s">
        <v>28</v>
      </c>
      <c r="I2316" s="14" t="s">
        <v>24636</v>
      </c>
      <c r="J2316" s="130" t="s">
        <v>24637</v>
      </c>
      <c r="K2316" s="152" t="s">
        <v>27976</v>
      </c>
      <c r="L2316" s="20" t="s">
        <v>24638</v>
      </c>
      <c r="M2316" s="174" t="s">
        <v>24639</v>
      </c>
      <c r="N2316" s="84"/>
      <c r="O2316" s="84"/>
      <c r="P2316" s="84"/>
      <c r="Q2316" s="84"/>
      <c r="R2316" s="84"/>
      <c r="S2316" s="84"/>
      <c r="T2316" s="84"/>
      <c r="U2316" s="84"/>
      <c r="V2316" s="84"/>
      <c r="W2316" s="84"/>
      <c r="X2316" s="84"/>
    </row>
    <row r="2317" ht="15.75" customHeight="1">
      <c r="A2317" s="14" t="s">
        <v>120</v>
      </c>
      <c r="B2317" s="14">
        <v>2012.0</v>
      </c>
      <c r="C2317" s="14" t="s">
        <v>24640</v>
      </c>
      <c r="D2317" s="14" t="s">
        <v>24641</v>
      </c>
      <c r="E2317" s="150" t="str">
        <f t="shared" si="29"/>
        <v>http://dx.doi.org/10.1109/VAST.2012.6400560</v>
      </c>
      <c r="F2317" s="14">
        <v>113.0</v>
      </c>
      <c r="G2317" s="14">
        <v>122.0</v>
      </c>
      <c r="H2317" s="14" t="s">
        <v>28</v>
      </c>
      <c r="I2317" s="14" t="s">
        <v>24643</v>
      </c>
      <c r="J2317" s="130" t="s">
        <v>24644</v>
      </c>
      <c r="K2317" s="152" t="s">
        <v>27978</v>
      </c>
      <c r="L2317" s="20"/>
      <c r="M2317" s="16"/>
      <c r="N2317" s="84"/>
      <c r="O2317" s="84"/>
      <c r="P2317" s="84"/>
      <c r="Q2317" s="84"/>
      <c r="R2317" s="84"/>
      <c r="S2317" s="84"/>
      <c r="T2317" s="84"/>
      <c r="U2317" s="84"/>
      <c r="V2317" s="84"/>
      <c r="W2317" s="84"/>
      <c r="X2317" s="84"/>
    </row>
    <row r="2318" ht="15.75" customHeight="1">
      <c r="A2318" s="42" t="s">
        <v>4153</v>
      </c>
      <c r="B2318" s="14">
        <v>2012.0</v>
      </c>
      <c r="C2318" s="14" t="s">
        <v>23969</v>
      </c>
      <c r="D2318" s="14" t="s">
        <v>23970</v>
      </c>
      <c r="E2318" s="150" t="str">
        <f t="shared" si="29"/>
        <v>http://dx.doi.org/10.1109/TVCG.2012.186</v>
      </c>
      <c r="F2318" s="14">
        <v>2122.0</v>
      </c>
      <c r="G2318" s="14">
        <v>2129.0</v>
      </c>
      <c r="H2318" s="14" t="s">
        <v>17059</v>
      </c>
      <c r="I2318" s="14" t="s">
        <v>23971</v>
      </c>
      <c r="J2318" s="130" t="s">
        <v>23972</v>
      </c>
      <c r="K2318" s="152" t="s">
        <v>880</v>
      </c>
      <c r="L2318" s="20" t="s">
        <v>23975</v>
      </c>
      <c r="M2318" s="174" t="s">
        <v>23976</v>
      </c>
      <c r="N2318" s="84"/>
      <c r="O2318" s="84"/>
      <c r="P2318" s="84"/>
      <c r="Q2318" s="84"/>
      <c r="R2318" s="84"/>
      <c r="S2318" s="84"/>
      <c r="T2318" s="84"/>
      <c r="U2318" s="84"/>
      <c r="V2318" s="84"/>
      <c r="W2318" s="84"/>
      <c r="X2318" s="84"/>
    </row>
    <row r="2319" ht="15.75" customHeight="1">
      <c r="A2319" s="42" t="s">
        <v>4153</v>
      </c>
      <c r="B2319" s="14">
        <v>2012.0</v>
      </c>
      <c r="C2319" s="14" t="s">
        <v>23977</v>
      </c>
      <c r="D2319" s="14" t="s">
        <v>23978</v>
      </c>
      <c r="E2319" s="150" t="str">
        <f t="shared" si="29"/>
        <v>http://dx.doi.org/10.1109/TVCG.2012.187</v>
      </c>
      <c r="F2319" s="14">
        <v>2078.0</v>
      </c>
      <c r="G2319" s="14">
        <v>2087.0</v>
      </c>
      <c r="H2319" s="14" t="s">
        <v>17059</v>
      </c>
      <c r="I2319" s="14" t="s">
        <v>23979</v>
      </c>
      <c r="J2319" s="130" t="s">
        <v>23980</v>
      </c>
      <c r="K2319" s="152" t="s">
        <v>494</v>
      </c>
      <c r="L2319" s="20" t="s">
        <v>23983</v>
      </c>
      <c r="M2319" s="174" t="s">
        <v>23984</v>
      </c>
      <c r="N2319" s="84"/>
      <c r="O2319" s="84"/>
      <c r="P2319" s="84"/>
      <c r="Q2319" s="84"/>
      <c r="R2319" s="84"/>
      <c r="S2319" s="84"/>
      <c r="T2319" s="84"/>
      <c r="U2319" s="84"/>
      <c r="V2319" s="84"/>
      <c r="W2319" s="84"/>
      <c r="X2319" s="84"/>
    </row>
    <row r="2320" ht="15.75" customHeight="1">
      <c r="A2320" s="42" t="s">
        <v>4153</v>
      </c>
      <c r="B2320" s="14">
        <v>2012.0</v>
      </c>
      <c r="C2320" s="14" t="s">
        <v>23985</v>
      </c>
      <c r="D2320" s="14" t="s">
        <v>23986</v>
      </c>
      <c r="E2320" s="150" t="str">
        <f t="shared" si="29"/>
        <v>http://dx.doi.org/10.1109/TVCG.2012.188</v>
      </c>
      <c r="F2320" s="14">
        <v>2265.0</v>
      </c>
      <c r="G2320" s="14">
        <v>2274.0</v>
      </c>
      <c r="H2320" s="14" t="s">
        <v>17059</v>
      </c>
      <c r="I2320" s="14" t="s">
        <v>23987</v>
      </c>
      <c r="J2320" s="130" t="s">
        <v>23988</v>
      </c>
      <c r="K2320" s="152" t="s">
        <v>27012</v>
      </c>
      <c r="L2320" s="20" t="s">
        <v>23127</v>
      </c>
      <c r="M2320" s="174" t="s">
        <v>23991</v>
      </c>
      <c r="N2320" s="84"/>
      <c r="O2320" s="84"/>
      <c r="P2320" s="84"/>
      <c r="Q2320" s="84"/>
      <c r="R2320" s="84"/>
      <c r="S2320" s="84"/>
      <c r="T2320" s="84"/>
      <c r="U2320" s="84"/>
      <c r="V2320" s="84"/>
      <c r="W2320" s="84"/>
      <c r="X2320" s="84"/>
    </row>
    <row r="2321" ht="15.75" customHeight="1">
      <c r="A2321" s="42" t="s">
        <v>4153</v>
      </c>
      <c r="B2321" s="14">
        <v>2012.0</v>
      </c>
      <c r="C2321" s="14" t="s">
        <v>23992</v>
      </c>
      <c r="D2321" s="14" t="s">
        <v>23993</v>
      </c>
      <c r="E2321" s="150" t="str">
        <f t="shared" si="29"/>
        <v>http://dx.doi.org/10.1109/TVCG.2012.190</v>
      </c>
      <c r="F2321" s="14">
        <v>2216.0</v>
      </c>
      <c r="G2321" s="14">
        <v>2225.0</v>
      </c>
      <c r="H2321" s="14" t="s">
        <v>17059</v>
      </c>
      <c r="I2321" s="14" t="s">
        <v>23994</v>
      </c>
      <c r="J2321" s="130" t="s">
        <v>23995</v>
      </c>
      <c r="K2321" s="152" t="s">
        <v>27016</v>
      </c>
      <c r="L2321" s="20" t="s">
        <v>23997</v>
      </c>
      <c r="M2321" s="174" t="s">
        <v>23998</v>
      </c>
      <c r="N2321" s="84"/>
      <c r="O2321" s="84"/>
      <c r="P2321" s="84"/>
      <c r="Q2321" s="84"/>
      <c r="R2321" s="84"/>
      <c r="S2321" s="84"/>
      <c r="T2321" s="84"/>
      <c r="U2321" s="84"/>
      <c r="V2321" s="84"/>
      <c r="W2321" s="84"/>
      <c r="X2321" s="84"/>
    </row>
    <row r="2322" ht="15.75" customHeight="1">
      <c r="A2322" s="42" t="s">
        <v>4153</v>
      </c>
      <c r="B2322" s="14">
        <v>2012.0</v>
      </c>
      <c r="C2322" s="14" t="s">
        <v>23999</v>
      </c>
      <c r="D2322" s="14" t="s">
        <v>24000</v>
      </c>
      <c r="E2322" s="150" t="str">
        <f t="shared" si="29"/>
        <v>http://dx.doi.org/10.1109/TVCG.2012.194</v>
      </c>
      <c r="F2322" s="14">
        <v>2295.0</v>
      </c>
      <c r="G2322" s="14">
        <v>2304.0</v>
      </c>
      <c r="H2322" s="14" t="s">
        <v>17059</v>
      </c>
      <c r="I2322" s="14" t="s">
        <v>24001</v>
      </c>
      <c r="J2322" s="130" t="s">
        <v>18591</v>
      </c>
      <c r="K2322" s="152" t="s">
        <v>27026</v>
      </c>
      <c r="L2322" s="20" t="s">
        <v>24002</v>
      </c>
      <c r="M2322" s="174" t="s">
        <v>24003</v>
      </c>
      <c r="N2322" s="84"/>
      <c r="O2322" s="84"/>
      <c r="P2322" s="84"/>
      <c r="Q2322" s="84"/>
      <c r="R2322" s="84"/>
      <c r="S2322" s="84"/>
      <c r="T2322" s="84"/>
      <c r="U2322" s="84"/>
      <c r="V2322" s="84"/>
      <c r="W2322" s="84"/>
      <c r="X2322" s="84"/>
    </row>
    <row r="2323" ht="15.75" customHeight="1">
      <c r="A2323" s="42" t="s">
        <v>4153</v>
      </c>
      <c r="B2323" s="14">
        <v>2012.0</v>
      </c>
      <c r="C2323" s="14" t="s">
        <v>24004</v>
      </c>
      <c r="D2323" s="14" t="s">
        <v>24005</v>
      </c>
      <c r="E2323" s="150" t="str">
        <f t="shared" si="29"/>
        <v>http://dx.doi.org/10.1109/TVCG.2012.198</v>
      </c>
      <c r="F2323" s="14">
        <v>2140.0</v>
      </c>
      <c r="G2323" s="14">
        <v>2148.0</v>
      </c>
      <c r="H2323" s="14" t="s">
        <v>17059</v>
      </c>
      <c r="I2323" s="14" t="s">
        <v>24006</v>
      </c>
      <c r="J2323" s="130" t="s">
        <v>24007</v>
      </c>
      <c r="K2323" s="152" t="s">
        <v>27035</v>
      </c>
      <c r="L2323" s="20" t="s">
        <v>5162</v>
      </c>
      <c r="M2323" s="174" t="s">
        <v>24009</v>
      </c>
      <c r="N2323" s="84"/>
      <c r="O2323" s="84"/>
      <c r="P2323" s="84"/>
      <c r="Q2323" s="84"/>
      <c r="R2323" s="84"/>
      <c r="S2323" s="84"/>
      <c r="T2323" s="84"/>
      <c r="U2323" s="84"/>
      <c r="V2323" s="84"/>
      <c r="W2323" s="84"/>
      <c r="X2323" s="84"/>
    </row>
    <row r="2324" ht="15.75" customHeight="1">
      <c r="A2324" s="42" t="s">
        <v>4153</v>
      </c>
      <c r="B2324" s="14">
        <v>2012.0</v>
      </c>
      <c r="C2324" s="14" t="s">
        <v>24010</v>
      </c>
      <c r="D2324" s="14" t="s">
        <v>24011</v>
      </c>
      <c r="E2324" s="150" t="str">
        <f t="shared" si="29"/>
        <v>http://dx.doi.org/10.1109/TVCG.2012.200</v>
      </c>
      <c r="F2324" s="14">
        <v>2041.0</v>
      </c>
      <c r="G2324" s="14">
        <v>2050.0</v>
      </c>
      <c r="H2324" s="14" t="s">
        <v>17059</v>
      </c>
      <c r="I2324" s="14" t="s">
        <v>27039</v>
      </c>
      <c r="J2324" s="130" t="s">
        <v>24013</v>
      </c>
      <c r="K2324" s="152" t="s">
        <v>27040</v>
      </c>
      <c r="L2324" s="20" t="s">
        <v>24016</v>
      </c>
      <c r="M2324" s="174" t="s">
        <v>24017</v>
      </c>
      <c r="N2324" s="84"/>
      <c r="O2324" s="84"/>
      <c r="P2324" s="84"/>
      <c r="Q2324" s="84"/>
      <c r="R2324" s="84"/>
      <c r="S2324" s="84"/>
      <c r="T2324" s="84"/>
      <c r="U2324" s="84"/>
      <c r="V2324" s="84"/>
      <c r="W2324" s="84"/>
      <c r="X2324" s="84"/>
    </row>
    <row r="2325" ht="15.75" customHeight="1">
      <c r="A2325" s="42" t="s">
        <v>4153</v>
      </c>
      <c r="B2325" s="14">
        <v>2012.0</v>
      </c>
      <c r="C2325" s="14" t="s">
        <v>24018</v>
      </c>
      <c r="D2325" s="14" t="s">
        <v>24019</v>
      </c>
      <c r="E2325" s="150" t="str">
        <f t="shared" si="29"/>
        <v>http://dx.doi.org/10.1109/TVCG.2012.202</v>
      </c>
      <c r="F2325" s="14">
        <v>2178.0</v>
      </c>
      <c r="G2325" s="14">
        <v>2187.0</v>
      </c>
      <c r="H2325" s="14" t="s">
        <v>17059</v>
      </c>
      <c r="I2325" s="14" t="s">
        <v>24020</v>
      </c>
      <c r="J2325" s="130" t="s">
        <v>24021</v>
      </c>
      <c r="K2325" s="152" t="s">
        <v>27050</v>
      </c>
      <c r="L2325" s="20" t="s">
        <v>24023</v>
      </c>
      <c r="M2325" s="174" t="s">
        <v>24024</v>
      </c>
      <c r="N2325" s="84"/>
      <c r="O2325" s="84"/>
      <c r="P2325" s="84"/>
      <c r="Q2325" s="84"/>
      <c r="R2325" s="84"/>
      <c r="S2325" s="84"/>
      <c r="T2325" s="84"/>
      <c r="U2325" s="84"/>
      <c r="V2325" s="84"/>
      <c r="W2325" s="84"/>
      <c r="X2325" s="84"/>
    </row>
    <row r="2326" ht="15.75" customHeight="1">
      <c r="A2326" s="42" t="s">
        <v>4153</v>
      </c>
      <c r="B2326" s="14">
        <v>2012.0</v>
      </c>
      <c r="C2326" s="14" t="s">
        <v>24025</v>
      </c>
      <c r="D2326" s="14" t="s">
        <v>24026</v>
      </c>
      <c r="E2326" s="150" t="str">
        <f t="shared" si="29"/>
        <v>http://dx.doi.org/10.1109/TVCG.2012.203</v>
      </c>
      <c r="F2326" s="14">
        <v>2345.0</v>
      </c>
      <c r="G2326" s="14">
        <v>2354.0</v>
      </c>
      <c r="H2326" s="14" t="s">
        <v>17059</v>
      </c>
      <c r="I2326" s="14" t="s">
        <v>24027</v>
      </c>
      <c r="J2326" s="130" t="s">
        <v>24028</v>
      </c>
      <c r="K2326" s="152" t="s">
        <v>27060</v>
      </c>
      <c r="L2326" s="20" t="s">
        <v>24030</v>
      </c>
      <c r="M2326" s="174" t="s">
        <v>24031</v>
      </c>
      <c r="N2326" s="84"/>
      <c r="O2326" s="84"/>
      <c r="P2326" s="84"/>
      <c r="Q2326" s="84"/>
      <c r="R2326" s="84"/>
      <c r="S2326" s="84"/>
      <c r="T2326" s="84"/>
      <c r="U2326" s="84"/>
      <c r="V2326" s="84"/>
      <c r="W2326" s="84"/>
      <c r="X2326" s="84"/>
    </row>
    <row r="2327" ht="15.75" customHeight="1">
      <c r="A2327" s="42" t="s">
        <v>4153</v>
      </c>
      <c r="B2327" s="14">
        <v>2012.0</v>
      </c>
      <c r="C2327" s="14" t="s">
        <v>24032</v>
      </c>
      <c r="D2327" s="14" t="s">
        <v>24033</v>
      </c>
      <c r="E2327" s="150" t="str">
        <f t="shared" si="29"/>
        <v>http://dx.doi.org/10.1109/TVCG.2012.206</v>
      </c>
      <c r="F2327" s="14">
        <v>2315.0</v>
      </c>
      <c r="G2327" s="14">
        <v>2324.0</v>
      </c>
      <c r="H2327" s="14" t="s">
        <v>17059</v>
      </c>
      <c r="I2327" s="14" t="s">
        <v>24034</v>
      </c>
      <c r="J2327" s="130" t="s">
        <v>24035</v>
      </c>
      <c r="K2327" s="152" t="s">
        <v>27099</v>
      </c>
      <c r="L2327" s="20" t="s">
        <v>24037</v>
      </c>
      <c r="M2327" s="174" t="s">
        <v>24038</v>
      </c>
      <c r="N2327" s="84"/>
      <c r="O2327" s="84"/>
      <c r="P2327" s="84"/>
      <c r="Q2327" s="84"/>
      <c r="R2327" s="84"/>
      <c r="S2327" s="84"/>
      <c r="T2327" s="84"/>
      <c r="U2327" s="84"/>
      <c r="V2327" s="84"/>
      <c r="W2327" s="84"/>
      <c r="X2327" s="84"/>
    </row>
    <row r="2328" ht="15.75" customHeight="1">
      <c r="A2328" s="42" t="s">
        <v>4153</v>
      </c>
      <c r="B2328" s="14">
        <v>2012.0</v>
      </c>
      <c r="C2328" s="14" t="s">
        <v>24039</v>
      </c>
      <c r="D2328" s="14" t="s">
        <v>24040</v>
      </c>
      <c r="E2328" s="150" t="str">
        <f t="shared" si="29"/>
        <v>http://dx.doi.org/10.1109/TVCG.2012.209</v>
      </c>
      <c r="F2328" s="14">
        <v>2014.0</v>
      </c>
      <c r="G2328" s="14">
        <v>2022.0</v>
      </c>
      <c r="H2328" s="14" t="s">
        <v>17059</v>
      </c>
      <c r="I2328" s="14" t="s">
        <v>24041</v>
      </c>
      <c r="J2328" s="130" t="s">
        <v>24042</v>
      </c>
      <c r="K2328" s="152" t="s">
        <v>27145</v>
      </c>
      <c r="L2328" s="20" t="s">
        <v>24044</v>
      </c>
      <c r="M2328" s="174" t="s">
        <v>24045</v>
      </c>
      <c r="N2328" s="84"/>
      <c r="O2328" s="84"/>
      <c r="P2328" s="84"/>
      <c r="Q2328" s="84"/>
      <c r="R2328" s="84"/>
      <c r="S2328" s="84"/>
      <c r="T2328" s="84"/>
      <c r="U2328" s="84"/>
      <c r="V2328" s="84"/>
      <c r="W2328" s="84"/>
      <c r="X2328" s="84"/>
    </row>
    <row r="2329" ht="15.75" customHeight="1">
      <c r="A2329" s="42" t="s">
        <v>4153</v>
      </c>
      <c r="B2329" s="14">
        <v>2012.0</v>
      </c>
      <c r="C2329" s="14" t="s">
        <v>24046</v>
      </c>
      <c r="D2329" s="14" t="s">
        <v>24048</v>
      </c>
      <c r="E2329" s="150" t="str">
        <f t="shared" si="29"/>
        <v>http://dx.doi.org/10.1109/TVCG.2012.210</v>
      </c>
      <c r="F2329" s="14">
        <v>2069.0</v>
      </c>
      <c r="G2329" s="14">
        <v>2077.0</v>
      </c>
      <c r="H2329" s="14" t="s">
        <v>17059</v>
      </c>
      <c r="I2329" s="14" t="s">
        <v>24049</v>
      </c>
      <c r="J2329" s="130" t="s">
        <v>24050</v>
      </c>
      <c r="K2329" s="152" t="s">
        <v>27156</v>
      </c>
      <c r="L2329" s="20" t="s">
        <v>24052</v>
      </c>
      <c r="M2329" s="174" t="s">
        <v>24053</v>
      </c>
      <c r="N2329" s="84"/>
      <c r="O2329" s="84"/>
      <c r="P2329" s="84"/>
      <c r="Q2329" s="84"/>
      <c r="R2329" s="84"/>
      <c r="S2329" s="84"/>
      <c r="T2329" s="84"/>
      <c r="U2329" s="84"/>
      <c r="V2329" s="84"/>
      <c r="W2329" s="84"/>
      <c r="X2329" s="84"/>
    </row>
    <row r="2330" ht="15.75" customHeight="1">
      <c r="A2330" s="42" t="s">
        <v>4153</v>
      </c>
      <c r="B2330" s="14">
        <v>2012.0</v>
      </c>
      <c r="C2330" s="14" t="s">
        <v>24054</v>
      </c>
      <c r="D2330" s="14" t="s">
        <v>24055</v>
      </c>
      <c r="E2330" s="150" t="str">
        <f t="shared" si="29"/>
        <v>http://dx.doi.org/10.1109/TVCG.2012.211</v>
      </c>
      <c r="F2330" s="14">
        <v>2149.0</v>
      </c>
      <c r="G2330" s="14">
        <v>2158.0</v>
      </c>
      <c r="H2330" s="14" t="s">
        <v>17059</v>
      </c>
      <c r="I2330" s="14" t="s">
        <v>24056</v>
      </c>
      <c r="J2330" s="130" t="s">
        <v>24057</v>
      </c>
      <c r="K2330" s="152" t="s">
        <v>27169</v>
      </c>
      <c r="L2330" s="20" t="s">
        <v>24058</v>
      </c>
      <c r="M2330" s="174" t="s">
        <v>24059</v>
      </c>
      <c r="N2330" s="84"/>
      <c r="O2330" s="84"/>
      <c r="P2330" s="84"/>
      <c r="Q2330" s="84"/>
      <c r="R2330" s="84"/>
      <c r="S2330" s="84"/>
      <c r="T2330" s="84"/>
      <c r="U2330" s="84"/>
      <c r="V2330" s="84"/>
      <c r="W2330" s="84"/>
      <c r="X2330" s="84"/>
    </row>
    <row r="2331" ht="15.75" customHeight="1">
      <c r="A2331" s="42" t="s">
        <v>4153</v>
      </c>
      <c r="B2331" s="14">
        <v>2012.0</v>
      </c>
      <c r="C2331" s="14" t="s">
        <v>24060</v>
      </c>
      <c r="D2331" s="14" t="s">
        <v>24061</v>
      </c>
      <c r="E2331" s="150" t="str">
        <f t="shared" si="29"/>
        <v>http://dx.doi.org/10.1109/TVCG.2012.216</v>
      </c>
      <c r="F2331" s="14">
        <v>2130.0</v>
      </c>
      <c r="G2331" s="14">
        <v>2139.0</v>
      </c>
      <c r="H2331" s="14" t="s">
        <v>17059</v>
      </c>
      <c r="I2331" s="14" t="s">
        <v>24062</v>
      </c>
      <c r="J2331" s="130" t="s">
        <v>24063</v>
      </c>
      <c r="K2331" s="152" t="s">
        <v>5349</v>
      </c>
      <c r="L2331" s="20" t="s">
        <v>24065</v>
      </c>
      <c r="M2331" s="174" t="s">
        <v>24066</v>
      </c>
      <c r="N2331" s="84"/>
      <c r="O2331" s="84"/>
      <c r="P2331" s="84"/>
      <c r="Q2331" s="84"/>
      <c r="R2331" s="84"/>
      <c r="S2331" s="84"/>
      <c r="T2331" s="84"/>
      <c r="U2331" s="84"/>
      <c r="V2331" s="84"/>
      <c r="W2331" s="84"/>
      <c r="X2331" s="84"/>
    </row>
    <row r="2332" ht="15.75" customHeight="1">
      <c r="A2332" s="42" t="s">
        <v>4153</v>
      </c>
      <c r="B2332" s="14">
        <v>2012.0</v>
      </c>
      <c r="C2332" s="14" t="s">
        <v>24067</v>
      </c>
      <c r="D2332" s="14" t="s">
        <v>24068</v>
      </c>
      <c r="E2332" s="150" t="str">
        <f t="shared" si="29"/>
        <v>http://dx.doi.org/10.1109/TVCG.2012.217</v>
      </c>
      <c r="F2332" s="14">
        <v>2245.0</v>
      </c>
      <c r="G2332" s="14">
        <v>2254.0</v>
      </c>
      <c r="H2332" s="14" t="s">
        <v>17059</v>
      </c>
      <c r="I2332" s="14" t="s">
        <v>24069</v>
      </c>
      <c r="J2332" s="130" t="s">
        <v>24070</v>
      </c>
      <c r="K2332" s="152" t="s">
        <v>22124</v>
      </c>
      <c r="L2332" s="20" t="s">
        <v>24073</v>
      </c>
      <c r="M2332" s="174" t="s">
        <v>24074</v>
      </c>
      <c r="N2332" s="84"/>
      <c r="O2332" s="84"/>
      <c r="P2332" s="84"/>
      <c r="Q2332" s="84"/>
      <c r="R2332" s="84"/>
      <c r="S2332" s="84"/>
      <c r="T2332" s="84"/>
      <c r="U2332" s="84"/>
      <c r="V2332" s="84"/>
      <c r="W2332" s="84"/>
      <c r="X2332" s="84"/>
    </row>
    <row r="2333" ht="15.75" customHeight="1">
      <c r="A2333" s="42" t="s">
        <v>4153</v>
      </c>
      <c r="B2333" s="14">
        <v>2012.0</v>
      </c>
      <c r="C2333" s="14" t="s">
        <v>24075</v>
      </c>
      <c r="D2333" s="14" t="s">
        <v>24076</v>
      </c>
      <c r="E2333" s="150" t="str">
        <f t="shared" si="29"/>
        <v>http://dx.doi.org/10.1109/TVCG.2012.218</v>
      </c>
      <c r="F2333" s="14">
        <v>2325.0</v>
      </c>
      <c r="G2333" s="14">
        <v>2334.0</v>
      </c>
      <c r="H2333" s="14" t="s">
        <v>17059</v>
      </c>
      <c r="I2333" s="14" t="s">
        <v>27272</v>
      </c>
      <c r="J2333" s="130" t="s">
        <v>24078</v>
      </c>
      <c r="K2333" s="152" t="s">
        <v>27273</v>
      </c>
      <c r="L2333" s="20" t="s">
        <v>24081</v>
      </c>
      <c r="M2333" s="174" t="s">
        <v>24082</v>
      </c>
      <c r="N2333" s="84"/>
      <c r="O2333" s="84"/>
      <c r="P2333" s="84"/>
      <c r="Q2333" s="84"/>
      <c r="R2333" s="84"/>
      <c r="S2333" s="84"/>
      <c r="T2333" s="84"/>
      <c r="U2333" s="84"/>
      <c r="V2333" s="84"/>
      <c r="W2333" s="84"/>
      <c r="X2333" s="84"/>
    </row>
    <row r="2334" ht="15.75" customHeight="1">
      <c r="A2334" s="42" t="s">
        <v>4153</v>
      </c>
      <c r="B2334" s="14">
        <v>2012.0</v>
      </c>
      <c r="C2334" s="14" t="s">
        <v>24083</v>
      </c>
      <c r="D2334" s="14" t="s">
        <v>24084</v>
      </c>
      <c r="E2334" s="150" t="str">
        <f t="shared" si="29"/>
        <v>http://dx.doi.org/10.1109/TVCG.2012.222</v>
      </c>
      <c r="F2334" s="14">
        <v>2095.0</v>
      </c>
      <c r="G2334" s="14">
        <v>2103.0</v>
      </c>
      <c r="H2334" s="14" t="s">
        <v>17059</v>
      </c>
      <c r="I2334" s="14" t="s">
        <v>24085</v>
      </c>
      <c r="J2334" s="130" t="s">
        <v>24086</v>
      </c>
      <c r="K2334" s="152" t="s">
        <v>880</v>
      </c>
      <c r="L2334" s="20" t="s">
        <v>24088</v>
      </c>
      <c r="M2334" s="174" t="s">
        <v>24089</v>
      </c>
      <c r="N2334" s="84"/>
      <c r="O2334" s="84"/>
      <c r="P2334" s="84"/>
      <c r="Q2334" s="84"/>
      <c r="R2334" s="84"/>
      <c r="S2334" s="84"/>
      <c r="T2334" s="84"/>
      <c r="U2334" s="84"/>
      <c r="V2334" s="84"/>
      <c r="W2334" s="84"/>
      <c r="X2334" s="84"/>
    </row>
    <row r="2335" ht="15.75" customHeight="1">
      <c r="A2335" s="42" t="s">
        <v>4153</v>
      </c>
      <c r="B2335" s="14">
        <v>2012.0</v>
      </c>
      <c r="C2335" s="14" t="s">
        <v>24090</v>
      </c>
      <c r="D2335" s="14" t="s">
        <v>24091</v>
      </c>
      <c r="E2335" s="150" t="str">
        <f t="shared" si="29"/>
        <v>http://dx.doi.org/10.1109/TVCG.2012.223</v>
      </c>
      <c r="F2335" s="14">
        <v>2114.0</v>
      </c>
      <c r="G2335" s="14">
        <v>2121.0</v>
      </c>
      <c r="H2335" s="14" t="s">
        <v>17059</v>
      </c>
      <c r="I2335" s="14" t="s">
        <v>24092</v>
      </c>
      <c r="J2335" s="130" t="s">
        <v>24093</v>
      </c>
      <c r="K2335" s="152" t="s">
        <v>494</v>
      </c>
      <c r="L2335" s="20" t="s">
        <v>24095</v>
      </c>
      <c r="M2335" s="174" t="s">
        <v>24096</v>
      </c>
      <c r="N2335" s="84"/>
      <c r="O2335" s="84"/>
      <c r="P2335" s="84"/>
      <c r="Q2335" s="84"/>
      <c r="R2335" s="84"/>
      <c r="S2335" s="84"/>
      <c r="T2335" s="84"/>
      <c r="U2335" s="84"/>
      <c r="V2335" s="84"/>
      <c r="W2335" s="84"/>
      <c r="X2335" s="84"/>
    </row>
    <row r="2336" ht="15.75" customHeight="1">
      <c r="A2336" s="42" t="s">
        <v>4153</v>
      </c>
      <c r="B2336" s="14">
        <v>2012.0</v>
      </c>
      <c r="C2336" s="14" t="s">
        <v>24097</v>
      </c>
      <c r="D2336" s="14" t="s">
        <v>24098</v>
      </c>
      <c r="E2336" s="150" t="str">
        <f t="shared" si="29"/>
        <v>http://dx.doi.org/10.1109/TVCG.2012.227</v>
      </c>
      <c r="F2336" s="14">
        <v>2335.0</v>
      </c>
      <c r="G2336" s="14">
        <v>2344.0</v>
      </c>
      <c r="H2336" s="14" t="s">
        <v>17059</v>
      </c>
      <c r="I2336" s="14" t="s">
        <v>24099</v>
      </c>
      <c r="J2336" s="130" t="s">
        <v>18591</v>
      </c>
      <c r="K2336" s="152" t="s">
        <v>178</v>
      </c>
      <c r="L2336" s="20" t="s">
        <v>24100</v>
      </c>
      <c r="M2336" s="174" t="s">
        <v>24101</v>
      </c>
      <c r="N2336" s="84"/>
      <c r="O2336" s="84"/>
      <c r="P2336" s="84"/>
      <c r="Q2336" s="84"/>
      <c r="R2336" s="84"/>
      <c r="S2336" s="84"/>
      <c r="T2336" s="84"/>
      <c r="U2336" s="84"/>
      <c r="V2336" s="84"/>
      <c r="W2336" s="84"/>
      <c r="X2336" s="84"/>
    </row>
    <row r="2337" ht="15.75" customHeight="1">
      <c r="A2337" s="42" t="s">
        <v>4153</v>
      </c>
      <c r="B2337" s="14">
        <v>2012.0</v>
      </c>
      <c r="C2337" s="14" t="s">
        <v>24102</v>
      </c>
      <c r="D2337" s="14" t="s">
        <v>24103</v>
      </c>
      <c r="E2337" s="150" t="str">
        <f t="shared" si="29"/>
        <v>http://dx.doi.org/10.1109/TVCG.2012.228</v>
      </c>
      <c r="F2337" s="14">
        <v>2005.0</v>
      </c>
      <c r="G2337" s="14">
        <v>2013.0</v>
      </c>
      <c r="H2337" s="14" t="s">
        <v>17059</v>
      </c>
      <c r="I2337" s="14" t="s">
        <v>30885</v>
      </c>
      <c r="J2337" s="130" t="s">
        <v>24106</v>
      </c>
      <c r="K2337" s="152" t="s">
        <v>27391</v>
      </c>
      <c r="L2337" s="20" t="s">
        <v>24108</v>
      </c>
      <c r="M2337" s="174" t="s">
        <v>24109</v>
      </c>
      <c r="N2337" s="84"/>
      <c r="O2337" s="84"/>
      <c r="P2337" s="84"/>
      <c r="Q2337" s="84"/>
      <c r="R2337" s="84"/>
      <c r="S2337" s="84"/>
      <c r="T2337" s="84"/>
      <c r="U2337" s="84"/>
      <c r="V2337" s="84"/>
      <c r="W2337" s="84"/>
      <c r="X2337" s="84"/>
    </row>
    <row r="2338" ht="15.75" customHeight="1">
      <c r="A2338" s="42" t="s">
        <v>4153</v>
      </c>
      <c r="B2338" s="14">
        <v>2012.0</v>
      </c>
      <c r="C2338" s="14" t="s">
        <v>24110</v>
      </c>
      <c r="D2338" s="14" t="s">
        <v>24111</v>
      </c>
      <c r="E2338" s="150" t="str">
        <f t="shared" si="29"/>
        <v>http://dx.doi.org/10.1109/TVCG.2012.231</v>
      </c>
      <c r="F2338" s="14">
        <v>2355.0</v>
      </c>
      <c r="G2338" s="14">
        <v>2363.0</v>
      </c>
      <c r="H2338" s="14" t="s">
        <v>17059</v>
      </c>
      <c r="I2338" s="14" t="s">
        <v>24112</v>
      </c>
      <c r="J2338" s="130" t="s">
        <v>24113</v>
      </c>
      <c r="K2338" s="152" t="s">
        <v>27420</v>
      </c>
      <c r="L2338" s="20" t="s">
        <v>24116</v>
      </c>
      <c r="M2338" s="174" t="s">
        <v>24117</v>
      </c>
      <c r="N2338" s="84"/>
      <c r="O2338" s="84"/>
      <c r="P2338" s="84"/>
      <c r="Q2338" s="84"/>
      <c r="R2338" s="84"/>
      <c r="S2338" s="84"/>
      <c r="T2338" s="84"/>
      <c r="U2338" s="84"/>
      <c r="V2338" s="84"/>
      <c r="W2338" s="84"/>
      <c r="X2338" s="84"/>
    </row>
    <row r="2339" ht="15.75" customHeight="1">
      <c r="A2339" s="42" t="s">
        <v>4153</v>
      </c>
      <c r="B2339" s="14">
        <v>2012.0</v>
      </c>
      <c r="C2339" s="14" t="s">
        <v>24118</v>
      </c>
      <c r="D2339" s="14" t="s">
        <v>24119</v>
      </c>
      <c r="E2339" s="150" t="str">
        <f t="shared" si="29"/>
        <v>http://dx.doi.org/10.1109/TVCG.2012.232</v>
      </c>
      <c r="F2339" s="14">
        <v>2364.0</v>
      </c>
      <c r="G2339" s="14">
        <v>2371.0</v>
      </c>
      <c r="H2339" s="14" t="s">
        <v>17059</v>
      </c>
      <c r="I2339" s="14" t="s">
        <v>24120</v>
      </c>
      <c r="J2339" s="130" t="s">
        <v>24121</v>
      </c>
      <c r="K2339" s="152" t="s">
        <v>27431</v>
      </c>
      <c r="L2339" s="20" t="s">
        <v>23321</v>
      </c>
      <c r="M2339" s="174" t="s">
        <v>24123</v>
      </c>
      <c r="N2339" s="84"/>
      <c r="O2339" s="84"/>
      <c r="P2339" s="84"/>
      <c r="Q2339" s="84"/>
      <c r="R2339" s="84"/>
      <c r="S2339" s="84"/>
      <c r="T2339" s="84"/>
      <c r="U2339" s="84"/>
      <c r="V2339" s="84"/>
      <c r="W2339" s="84"/>
      <c r="X2339" s="84"/>
    </row>
    <row r="2340" ht="15.75" customHeight="1">
      <c r="A2340" s="42" t="s">
        <v>4153</v>
      </c>
      <c r="B2340" s="14">
        <v>2012.0</v>
      </c>
      <c r="C2340" s="14" t="s">
        <v>24124</v>
      </c>
      <c r="D2340" s="14" t="s">
        <v>24125</v>
      </c>
      <c r="E2340" s="150" t="str">
        <f t="shared" si="29"/>
        <v>http://dx.doi.org/10.1109/TVCG.2012.234</v>
      </c>
      <c r="F2340" s="14">
        <v>2104.0</v>
      </c>
      <c r="G2340" s="14">
        <v>2113.0</v>
      </c>
      <c r="H2340" s="14" t="s">
        <v>17059</v>
      </c>
      <c r="I2340" s="14" t="s">
        <v>30897</v>
      </c>
      <c r="J2340" s="130" t="s">
        <v>24127</v>
      </c>
      <c r="K2340" s="152" t="s">
        <v>25695</v>
      </c>
      <c r="L2340" s="20" t="s">
        <v>24129</v>
      </c>
      <c r="M2340" s="174" t="s">
        <v>24131</v>
      </c>
      <c r="N2340" s="84"/>
      <c r="O2340" s="84"/>
      <c r="P2340" s="84"/>
      <c r="Q2340" s="84"/>
      <c r="R2340" s="84"/>
      <c r="S2340" s="84"/>
      <c r="T2340" s="84"/>
      <c r="U2340" s="84"/>
      <c r="V2340" s="84"/>
      <c r="W2340" s="84"/>
      <c r="X2340" s="84"/>
    </row>
    <row r="2341" ht="15.75" customHeight="1">
      <c r="A2341" s="42" t="s">
        <v>4153</v>
      </c>
      <c r="B2341" s="14">
        <v>2012.0</v>
      </c>
      <c r="C2341" s="14" t="s">
        <v>24132</v>
      </c>
      <c r="D2341" s="14" t="s">
        <v>24133</v>
      </c>
      <c r="E2341" s="150" t="str">
        <f t="shared" si="29"/>
        <v>http://dx.doi.org/10.1109/TVCG.2012.239</v>
      </c>
      <c r="F2341" s="14">
        <v>2208.0</v>
      </c>
      <c r="G2341" s="14">
        <v>2215.0</v>
      </c>
      <c r="H2341" s="14" t="s">
        <v>17059</v>
      </c>
      <c r="I2341" s="14" t="s">
        <v>24135</v>
      </c>
      <c r="J2341" s="130" t="s">
        <v>24136</v>
      </c>
      <c r="K2341" s="152" t="s">
        <v>27599</v>
      </c>
      <c r="L2341" s="20"/>
      <c r="M2341" s="174" t="s">
        <v>24139</v>
      </c>
      <c r="N2341" s="84"/>
      <c r="O2341" s="84"/>
      <c r="P2341" s="84"/>
      <c r="Q2341" s="84"/>
      <c r="R2341" s="84"/>
      <c r="S2341" s="84"/>
      <c r="T2341" s="84"/>
      <c r="U2341" s="84"/>
      <c r="V2341" s="84"/>
      <c r="W2341" s="84"/>
      <c r="X2341" s="84"/>
    </row>
    <row r="2342" ht="15.75" customHeight="1">
      <c r="A2342" s="42" t="s">
        <v>4153</v>
      </c>
      <c r="B2342" s="14">
        <v>2012.0</v>
      </c>
      <c r="C2342" s="14" t="s">
        <v>24140</v>
      </c>
      <c r="D2342" s="14" t="s">
        <v>24141</v>
      </c>
      <c r="E2342" s="150" t="str">
        <f t="shared" si="29"/>
        <v>http://dx.doi.org/10.1109/TVCG.2012.240</v>
      </c>
      <c r="F2342" s="14">
        <v>2285.0</v>
      </c>
      <c r="G2342" s="14">
        <v>2294.0</v>
      </c>
      <c r="H2342" s="14" t="s">
        <v>17059</v>
      </c>
      <c r="I2342" s="14" t="s">
        <v>24142</v>
      </c>
      <c r="J2342" s="130" t="s">
        <v>24143</v>
      </c>
      <c r="K2342" s="152" t="s">
        <v>5349</v>
      </c>
      <c r="L2342" s="20" t="s">
        <v>24145</v>
      </c>
      <c r="M2342" s="174" t="s">
        <v>24146</v>
      </c>
      <c r="N2342" s="84"/>
      <c r="O2342" s="84"/>
      <c r="P2342" s="84"/>
      <c r="Q2342" s="84"/>
      <c r="R2342" s="84"/>
      <c r="S2342" s="84"/>
      <c r="T2342" s="84"/>
      <c r="U2342" s="84"/>
      <c r="V2342" s="84"/>
      <c r="W2342" s="84"/>
      <c r="X2342" s="84"/>
    </row>
    <row r="2343" ht="15.75" customHeight="1">
      <c r="A2343" s="42" t="s">
        <v>4153</v>
      </c>
      <c r="B2343" s="14">
        <v>2012.0</v>
      </c>
      <c r="C2343" s="14" t="s">
        <v>24147</v>
      </c>
      <c r="D2343" s="14" t="s">
        <v>24148</v>
      </c>
      <c r="E2343" s="150" t="str">
        <f t="shared" si="29"/>
        <v>http://dx.doi.org/10.1109/TVCG.2012.242</v>
      </c>
      <c r="F2343" s="14">
        <v>2051.0</v>
      </c>
      <c r="G2343" s="14">
        <v>2060.0</v>
      </c>
      <c r="H2343" s="14" t="s">
        <v>17059</v>
      </c>
      <c r="I2343" s="14" t="s">
        <v>24149</v>
      </c>
      <c r="J2343" s="130" t="s">
        <v>24150</v>
      </c>
      <c r="K2343" s="152" t="s">
        <v>27626</v>
      </c>
      <c r="L2343" s="20" t="s">
        <v>24153</v>
      </c>
      <c r="M2343" s="174" t="s">
        <v>24154</v>
      </c>
      <c r="N2343" s="84"/>
      <c r="O2343" s="84"/>
      <c r="P2343" s="84"/>
      <c r="Q2343" s="84"/>
      <c r="R2343" s="84"/>
      <c r="S2343" s="84"/>
      <c r="T2343" s="84"/>
      <c r="U2343" s="84"/>
      <c r="V2343" s="84"/>
      <c r="W2343" s="84"/>
      <c r="X2343" s="84"/>
    </row>
    <row r="2344" ht="15.75" customHeight="1">
      <c r="A2344" s="42" t="s">
        <v>4153</v>
      </c>
      <c r="B2344" s="14">
        <v>2012.0</v>
      </c>
      <c r="C2344" s="14" t="s">
        <v>24156</v>
      </c>
      <c r="D2344" s="14" t="s">
        <v>24157</v>
      </c>
      <c r="E2344" s="150" t="str">
        <f t="shared" si="29"/>
        <v>http://dx.doi.org/10.1109/TVCG.2012.243</v>
      </c>
      <c r="F2344" s="14">
        <v>2159.0</v>
      </c>
      <c r="G2344" s="14">
        <v>2168.0</v>
      </c>
      <c r="H2344" s="14" t="s">
        <v>17059</v>
      </c>
      <c r="I2344" s="14" t="s">
        <v>24158</v>
      </c>
      <c r="J2344" s="130" t="s">
        <v>24159</v>
      </c>
      <c r="K2344" s="152" t="s">
        <v>27637</v>
      </c>
      <c r="L2344" s="20" t="s">
        <v>24162</v>
      </c>
      <c r="M2344" s="174" t="s">
        <v>24163</v>
      </c>
      <c r="N2344" s="84"/>
      <c r="O2344" s="84"/>
      <c r="P2344" s="84"/>
      <c r="Q2344" s="84"/>
      <c r="R2344" s="84"/>
      <c r="S2344" s="84"/>
      <c r="T2344" s="84"/>
      <c r="U2344" s="84"/>
      <c r="V2344" s="84"/>
      <c r="W2344" s="84"/>
      <c r="X2344" s="84"/>
    </row>
    <row r="2345" ht="15.75" customHeight="1">
      <c r="A2345" s="42" t="s">
        <v>4153</v>
      </c>
      <c r="B2345" s="14">
        <v>2012.0</v>
      </c>
      <c r="C2345" s="14" t="s">
        <v>24164</v>
      </c>
      <c r="D2345" s="14" t="s">
        <v>24165</v>
      </c>
      <c r="E2345" s="150" t="str">
        <f t="shared" si="29"/>
        <v>http://dx.doi.org/10.1109/TVCG.2012.248</v>
      </c>
      <c r="F2345" s="14">
        <v>2382.0</v>
      </c>
      <c r="G2345" s="14">
        <v>2391.0</v>
      </c>
      <c r="H2345" s="14" t="s">
        <v>17059</v>
      </c>
      <c r="I2345" s="14" t="s">
        <v>24166</v>
      </c>
      <c r="J2345" s="130" t="s">
        <v>24167</v>
      </c>
      <c r="K2345" s="152" t="s">
        <v>27694</v>
      </c>
      <c r="L2345" s="20" t="s">
        <v>24169</v>
      </c>
      <c r="M2345" s="174" t="s">
        <v>24170</v>
      </c>
      <c r="N2345" s="84"/>
      <c r="O2345" s="84"/>
      <c r="P2345" s="84"/>
      <c r="Q2345" s="84"/>
      <c r="R2345" s="84"/>
      <c r="S2345" s="84"/>
      <c r="T2345" s="84"/>
      <c r="U2345" s="84"/>
      <c r="V2345" s="84"/>
      <c r="W2345" s="84"/>
      <c r="X2345" s="84"/>
    </row>
    <row r="2346" ht="15.75" customHeight="1">
      <c r="A2346" s="42" t="s">
        <v>4153</v>
      </c>
      <c r="B2346" s="14">
        <v>2012.0</v>
      </c>
      <c r="C2346" s="14" t="s">
        <v>24171</v>
      </c>
      <c r="D2346" s="14" t="s">
        <v>24172</v>
      </c>
      <c r="E2346" s="150" t="str">
        <f t="shared" si="29"/>
        <v>http://dx.doi.org/10.1109/TVCG.2012.249</v>
      </c>
      <c r="F2346" s="14">
        <v>2305.0</v>
      </c>
      <c r="G2346" s="14">
        <v>2314.0</v>
      </c>
      <c r="H2346" s="14" t="s">
        <v>17059</v>
      </c>
      <c r="I2346" s="14" t="s">
        <v>24173</v>
      </c>
      <c r="J2346" s="130" t="s">
        <v>24174</v>
      </c>
      <c r="K2346" s="152" t="s">
        <v>27705</v>
      </c>
      <c r="L2346" s="20" t="s">
        <v>24176</v>
      </c>
      <c r="M2346" s="174" t="s">
        <v>24177</v>
      </c>
      <c r="N2346" s="84"/>
      <c r="O2346" s="84"/>
      <c r="P2346" s="84"/>
      <c r="Q2346" s="84"/>
      <c r="R2346" s="84"/>
      <c r="S2346" s="84"/>
      <c r="T2346" s="84"/>
      <c r="U2346" s="84"/>
      <c r="V2346" s="84"/>
      <c r="W2346" s="84"/>
      <c r="X2346" s="84"/>
    </row>
    <row r="2347" ht="15.75" customHeight="1">
      <c r="A2347" s="42" t="s">
        <v>4153</v>
      </c>
      <c r="B2347" s="14">
        <v>2012.0</v>
      </c>
      <c r="C2347" s="14" t="s">
        <v>24178</v>
      </c>
      <c r="D2347" s="14" t="s">
        <v>24179</v>
      </c>
      <c r="E2347" s="150" t="str">
        <f t="shared" si="29"/>
        <v>http://dx.doi.org/10.1109/TVCG.2012.259</v>
      </c>
      <c r="F2347" s="14">
        <v>2226.0</v>
      </c>
      <c r="G2347" s="14">
        <v>2235.0</v>
      </c>
      <c r="H2347" s="14" t="s">
        <v>17059</v>
      </c>
      <c r="I2347" s="14" t="s">
        <v>24181</v>
      </c>
      <c r="J2347" s="130" t="s">
        <v>24182</v>
      </c>
      <c r="K2347" s="152" t="s">
        <v>27760</v>
      </c>
      <c r="L2347" s="20" t="s">
        <v>24185</v>
      </c>
      <c r="M2347" s="174" t="s">
        <v>24186</v>
      </c>
      <c r="N2347" s="84"/>
      <c r="O2347" s="84"/>
      <c r="P2347" s="84"/>
      <c r="Q2347" s="84"/>
      <c r="R2347" s="84"/>
      <c r="S2347" s="84"/>
      <c r="T2347" s="84"/>
      <c r="U2347" s="84"/>
      <c r="V2347" s="84"/>
      <c r="W2347" s="84"/>
      <c r="X2347" s="84"/>
    </row>
    <row r="2348" ht="15.75" customHeight="1">
      <c r="A2348" s="42" t="s">
        <v>4153</v>
      </c>
      <c r="B2348" s="14">
        <v>2012.0</v>
      </c>
      <c r="C2348" s="14" t="s">
        <v>24188</v>
      </c>
      <c r="D2348" s="14" t="s">
        <v>24189</v>
      </c>
      <c r="E2348" s="150" t="str">
        <f t="shared" si="29"/>
        <v>http://dx.doi.org/10.1109/TVCG.2012.261</v>
      </c>
      <c r="F2348" s="14">
        <v>2255.0</v>
      </c>
      <c r="G2348" s="14">
        <v>2264.0</v>
      </c>
      <c r="H2348" s="14" t="s">
        <v>17059</v>
      </c>
      <c r="I2348" s="14" t="s">
        <v>24190</v>
      </c>
      <c r="J2348" s="130" t="s">
        <v>41738</v>
      </c>
      <c r="K2348" s="152" t="s">
        <v>27764</v>
      </c>
      <c r="L2348" s="20" t="s">
        <v>24194</v>
      </c>
      <c r="M2348" s="174" t="s">
        <v>24195</v>
      </c>
      <c r="N2348" s="84"/>
      <c r="O2348" s="84"/>
      <c r="P2348" s="84"/>
      <c r="Q2348" s="84"/>
      <c r="R2348" s="84"/>
      <c r="S2348" s="84"/>
      <c r="T2348" s="84"/>
      <c r="U2348" s="84"/>
      <c r="V2348" s="84"/>
      <c r="W2348" s="84"/>
      <c r="X2348" s="84"/>
    </row>
    <row r="2349" ht="15.75" customHeight="1">
      <c r="A2349" s="42" t="s">
        <v>4153</v>
      </c>
      <c r="B2349" s="14">
        <v>2012.0</v>
      </c>
      <c r="C2349" s="14" t="s">
        <v>24196</v>
      </c>
      <c r="D2349" s="14" t="s">
        <v>24197</v>
      </c>
      <c r="E2349" s="150" t="str">
        <f t="shared" si="29"/>
        <v>http://dx.doi.org/10.1109/TVCG.2012.267</v>
      </c>
      <c r="F2349" s="14">
        <v>2372.0</v>
      </c>
      <c r="G2349" s="14">
        <v>2381.0</v>
      </c>
      <c r="H2349" s="14" t="s">
        <v>17059</v>
      </c>
      <c r="I2349" s="14" t="s">
        <v>24199</v>
      </c>
      <c r="J2349" s="130" t="s">
        <v>24201</v>
      </c>
      <c r="K2349" s="152" t="s">
        <v>27772</v>
      </c>
      <c r="L2349" s="20" t="s">
        <v>24204</v>
      </c>
      <c r="M2349" s="174" t="s">
        <v>24205</v>
      </c>
      <c r="N2349" s="84"/>
      <c r="O2349" s="84"/>
      <c r="P2349" s="84"/>
      <c r="Q2349" s="84"/>
      <c r="R2349" s="84"/>
      <c r="S2349" s="84"/>
      <c r="T2349" s="84"/>
      <c r="U2349" s="84"/>
      <c r="V2349" s="84"/>
      <c r="W2349" s="84"/>
      <c r="X2349" s="84"/>
    </row>
    <row r="2350" ht="15.75" customHeight="1">
      <c r="A2350" s="42" t="s">
        <v>4153</v>
      </c>
      <c r="B2350" s="14">
        <v>2012.0</v>
      </c>
      <c r="C2350" s="14" t="s">
        <v>24207</v>
      </c>
      <c r="D2350" s="14" t="s">
        <v>24208</v>
      </c>
      <c r="E2350" s="150" t="str">
        <f t="shared" si="29"/>
        <v>http://dx.doi.org/10.1109/TVCG.2012.269</v>
      </c>
      <c r="F2350" s="14">
        <v>2392.0</v>
      </c>
      <c r="G2350" s="14">
        <v>2401.0</v>
      </c>
      <c r="H2350" s="14" t="s">
        <v>17059</v>
      </c>
      <c r="I2350" s="14" t="s">
        <v>24209</v>
      </c>
      <c r="J2350" s="130" t="s">
        <v>24210</v>
      </c>
      <c r="K2350" s="152" t="s">
        <v>494</v>
      </c>
      <c r="L2350" s="20" t="s">
        <v>24212</v>
      </c>
      <c r="M2350" s="174" t="s">
        <v>24213</v>
      </c>
      <c r="N2350" s="84"/>
      <c r="O2350" s="84"/>
      <c r="P2350" s="84"/>
      <c r="Q2350" s="84"/>
      <c r="R2350" s="84"/>
      <c r="S2350" s="84"/>
      <c r="T2350" s="84"/>
      <c r="U2350" s="84"/>
      <c r="V2350" s="84"/>
      <c r="W2350" s="84"/>
      <c r="X2350" s="84"/>
    </row>
    <row r="2351" ht="15.75" customHeight="1">
      <c r="A2351" s="42" t="s">
        <v>4153</v>
      </c>
      <c r="B2351" s="14">
        <v>2012.0</v>
      </c>
      <c r="C2351" s="14" t="s">
        <v>24214</v>
      </c>
      <c r="D2351" s="14" t="s">
        <v>24215</v>
      </c>
      <c r="E2351" s="150" t="str">
        <f t="shared" si="29"/>
        <v>http://dx.doi.org/10.1109/TVCG.2012.274</v>
      </c>
      <c r="F2351" s="14">
        <v>2169.0</v>
      </c>
      <c r="G2351" s="14">
        <v>2177.0</v>
      </c>
      <c r="H2351" s="14" t="s">
        <v>17059</v>
      </c>
      <c r="I2351" s="14" t="s">
        <v>24216</v>
      </c>
      <c r="J2351" s="130" t="s">
        <v>24217</v>
      </c>
      <c r="K2351" s="152" t="s">
        <v>27782</v>
      </c>
      <c r="L2351" s="20" t="s">
        <v>24220</v>
      </c>
      <c r="M2351" s="174" t="s">
        <v>24221</v>
      </c>
      <c r="N2351" s="84"/>
      <c r="O2351" s="84"/>
      <c r="P2351" s="84"/>
      <c r="Q2351" s="84"/>
      <c r="R2351" s="84"/>
      <c r="S2351" s="84"/>
      <c r="T2351" s="84"/>
      <c r="U2351" s="84"/>
      <c r="V2351" s="84"/>
      <c r="W2351" s="84"/>
      <c r="X2351" s="84"/>
    </row>
    <row r="2352" ht="15.75" customHeight="1">
      <c r="A2352" s="42" t="s">
        <v>4153</v>
      </c>
      <c r="B2352" s="14">
        <v>2012.0</v>
      </c>
      <c r="C2352" s="14" t="s">
        <v>24222</v>
      </c>
      <c r="D2352" s="14" t="s">
        <v>24223</v>
      </c>
      <c r="E2352" s="150" t="str">
        <f t="shared" si="29"/>
        <v>http://dx.doi.org/10.1109/TVCG.2012.278</v>
      </c>
      <c r="F2352" s="14">
        <v>2088.0</v>
      </c>
      <c r="G2352" s="14">
        <v>2094.0</v>
      </c>
      <c r="H2352" s="14" t="s">
        <v>17059</v>
      </c>
      <c r="I2352" s="14" t="s">
        <v>24224</v>
      </c>
      <c r="J2352" s="130" t="s">
        <v>24225</v>
      </c>
      <c r="K2352" s="152" t="s">
        <v>27788</v>
      </c>
      <c r="L2352" s="20"/>
      <c r="M2352" s="174" t="s">
        <v>24230</v>
      </c>
      <c r="N2352" s="84"/>
      <c r="O2352" s="84"/>
      <c r="P2352" s="84"/>
      <c r="Q2352" s="84"/>
      <c r="R2352" s="84"/>
      <c r="S2352" s="84"/>
      <c r="T2352" s="84"/>
      <c r="U2352" s="84"/>
      <c r="V2352" s="84"/>
      <c r="W2352" s="84"/>
      <c r="X2352" s="84"/>
    </row>
    <row r="2353" ht="15.75" customHeight="1">
      <c r="A2353" s="42" t="s">
        <v>4153</v>
      </c>
      <c r="B2353" s="14">
        <v>2012.0</v>
      </c>
      <c r="C2353" s="14" t="s">
        <v>24231</v>
      </c>
      <c r="D2353" s="14" t="s">
        <v>24232</v>
      </c>
      <c r="E2353" s="150" t="str">
        <f t="shared" si="29"/>
        <v>http://dx.doi.org/10.1109/TVCG.2012.280</v>
      </c>
      <c r="F2353" s="14">
        <v>2275.0</v>
      </c>
      <c r="G2353" s="14">
        <v>2284.0</v>
      </c>
      <c r="H2353" s="14" t="s">
        <v>17059</v>
      </c>
      <c r="I2353" s="14" t="s">
        <v>24234</v>
      </c>
      <c r="J2353" s="130" t="s">
        <v>24235</v>
      </c>
      <c r="K2353" s="152" t="s">
        <v>27791</v>
      </c>
      <c r="L2353" s="20" t="s">
        <v>24238</v>
      </c>
      <c r="M2353" s="174" t="s">
        <v>24239</v>
      </c>
      <c r="N2353" s="84"/>
      <c r="O2353" s="84"/>
      <c r="P2353" s="84"/>
      <c r="Q2353" s="84"/>
      <c r="R2353" s="84"/>
      <c r="S2353" s="84"/>
      <c r="T2353" s="84"/>
      <c r="U2353" s="84"/>
      <c r="V2353" s="84"/>
      <c r="W2353" s="84"/>
      <c r="X2353" s="84"/>
    </row>
    <row r="2354" ht="15.75" customHeight="1">
      <c r="A2354" s="42" t="s">
        <v>4153</v>
      </c>
      <c r="B2354" s="14">
        <v>2012.0</v>
      </c>
      <c r="C2354" s="14" t="s">
        <v>24240</v>
      </c>
      <c r="D2354" s="14" t="s">
        <v>24241</v>
      </c>
      <c r="E2354" s="150" t="str">
        <f t="shared" si="29"/>
        <v>http://dx.doi.org/10.1109/TVCG.2012.281</v>
      </c>
      <c r="F2354" s="14">
        <v>2188.0</v>
      </c>
      <c r="G2354" s="14">
        <v>2197.0</v>
      </c>
      <c r="H2354" s="14" t="s">
        <v>17059</v>
      </c>
      <c r="I2354" s="14" t="s">
        <v>24242</v>
      </c>
      <c r="J2354" s="130" t="s">
        <v>24243</v>
      </c>
      <c r="K2354" s="152" t="s">
        <v>27793</v>
      </c>
      <c r="L2354" s="20" t="s">
        <v>24246</v>
      </c>
      <c r="M2354" s="174" t="s">
        <v>24247</v>
      </c>
      <c r="N2354" s="84"/>
      <c r="O2354" s="84"/>
      <c r="P2354" s="84"/>
      <c r="Q2354" s="84"/>
      <c r="R2354" s="84"/>
      <c r="S2354" s="84"/>
      <c r="T2354" s="84"/>
      <c r="U2354" s="84"/>
      <c r="V2354" s="84"/>
      <c r="W2354" s="84"/>
      <c r="X2354" s="84"/>
    </row>
    <row r="2355" ht="15.75" customHeight="1">
      <c r="A2355" s="42" t="s">
        <v>4153</v>
      </c>
      <c r="B2355" s="14">
        <v>2012.0</v>
      </c>
      <c r="C2355" s="14" t="s">
        <v>24248</v>
      </c>
      <c r="D2355" s="14" t="s">
        <v>24249</v>
      </c>
      <c r="E2355" s="150" t="str">
        <f t="shared" si="29"/>
        <v>http://dx.doi.org/10.1109/TVCG.2012.282</v>
      </c>
      <c r="F2355" s="14">
        <v>2061.0</v>
      </c>
      <c r="G2355" s="14">
        <v>2068.0</v>
      </c>
      <c r="H2355" s="14" t="s">
        <v>17059</v>
      </c>
      <c r="I2355" s="14" t="s">
        <v>24251</v>
      </c>
      <c r="J2355" s="130" t="s">
        <v>24253</v>
      </c>
      <c r="K2355" s="152" t="s">
        <v>1253</v>
      </c>
      <c r="L2355" s="20" t="s">
        <v>24256</v>
      </c>
      <c r="M2355" s="174" t="s">
        <v>24257</v>
      </c>
      <c r="N2355" s="84"/>
      <c r="O2355" s="84"/>
      <c r="P2355" s="84"/>
      <c r="Q2355" s="84"/>
      <c r="R2355" s="84"/>
      <c r="S2355" s="84"/>
      <c r="T2355" s="84"/>
      <c r="U2355" s="84"/>
      <c r="V2355" s="84"/>
      <c r="W2355" s="84"/>
      <c r="X2355" s="84"/>
    </row>
    <row r="2356" ht="15.75" customHeight="1">
      <c r="A2356" s="42" t="s">
        <v>4153</v>
      </c>
      <c r="B2356" s="14">
        <v>2012.0</v>
      </c>
      <c r="C2356" s="14" t="s">
        <v>24260</v>
      </c>
      <c r="D2356" s="14" t="s">
        <v>24261</v>
      </c>
      <c r="E2356" s="150" t="str">
        <f t="shared" si="29"/>
        <v>http://dx.doi.org/10.1109/TVCG.2012.283</v>
      </c>
      <c r="F2356" s="14">
        <v>2198.0</v>
      </c>
      <c r="G2356" s="14">
        <v>2207.0</v>
      </c>
      <c r="H2356" s="14" t="s">
        <v>17059</v>
      </c>
      <c r="I2356" s="14" t="s">
        <v>24262</v>
      </c>
      <c r="J2356" s="130" t="s">
        <v>24263</v>
      </c>
      <c r="K2356" s="152" t="s">
        <v>27798</v>
      </c>
      <c r="L2356" s="20" t="s">
        <v>22022</v>
      </c>
      <c r="M2356" s="174" t="s">
        <v>24265</v>
      </c>
      <c r="N2356" s="84"/>
      <c r="O2356" s="84"/>
      <c r="P2356" s="84"/>
      <c r="Q2356" s="84"/>
      <c r="R2356" s="84"/>
      <c r="S2356" s="84"/>
      <c r="T2356" s="84"/>
      <c r="U2356" s="84"/>
      <c r="V2356" s="84"/>
      <c r="W2356" s="84"/>
      <c r="X2356" s="84"/>
    </row>
    <row r="2357" ht="15.75" customHeight="1">
      <c r="A2357" s="42" t="s">
        <v>4153</v>
      </c>
      <c r="B2357" s="14">
        <v>2012.0</v>
      </c>
      <c r="C2357" s="14" t="s">
        <v>24266</v>
      </c>
      <c r="D2357" s="14" t="s">
        <v>24267</v>
      </c>
      <c r="E2357" s="150" t="str">
        <f t="shared" si="29"/>
        <v>http://dx.doi.org/10.1109/TVCG.2012.284</v>
      </c>
      <c r="F2357" s="14">
        <v>2023.0</v>
      </c>
      <c r="G2357" s="14">
        <v>2032.0</v>
      </c>
      <c r="H2357" s="14" t="s">
        <v>17059</v>
      </c>
      <c r="I2357" s="14" t="s">
        <v>24268</v>
      </c>
      <c r="J2357" s="130" t="s">
        <v>24269</v>
      </c>
      <c r="K2357" s="152" t="s">
        <v>25315</v>
      </c>
      <c r="L2357" s="20" t="s">
        <v>24271</v>
      </c>
      <c r="M2357" s="174" t="s">
        <v>24272</v>
      </c>
      <c r="N2357" s="84"/>
      <c r="O2357" s="84"/>
      <c r="P2357" s="84"/>
      <c r="Q2357" s="84"/>
      <c r="R2357" s="84"/>
      <c r="S2357" s="84"/>
      <c r="T2357" s="84"/>
      <c r="U2357" s="84"/>
      <c r="V2357" s="84"/>
      <c r="W2357" s="84"/>
      <c r="X2357" s="84"/>
    </row>
    <row r="2358" ht="15.75" customHeight="1">
      <c r="A2358" s="42" t="s">
        <v>4153</v>
      </c>
      <c r="B2358" s="14">
        <v>2012.0</v>
      </c>
      <c r="C2358" s="14" t="s">
        <v>24274</v>
      </c>
      <c r="D2358" s="14" t="s">
        <v>24275</v>
      </c>
      <c r="E2358" s="150" t="str">
        <f t="shared" si="29"/>
        <v>http://dx.doi.org/10.1109/TVCG.2012.287</v>
      </c>
      <c r="F2358" s="14">
        <v>2033.0</v>
      </c>
      <c r="G2358" s="14">
        <v>2040.0</v>
      </c>
      <c r="H2358" s="14" t="s">
        <v>17059</v>
      </c>
      <c r="I2358" s="14" t="s">
        <v>24276</v>
      </c>
      <c r="J2358" s="130" t="s">
        <v>41739</v>
      </c>
      <c r="K2358" s="152" t="s">
        <v>27803</v>
      </c>
      <c r="L2358" s="20" t="s">
        <v>19805</v>
      </c>
      <c r="M2358" s="174" t="s">
        <v>24280</v>
      </c>
      <c r="N2358" s="84"/>
      <c r="O2358" s="84"/>
      <c r="P2358" s="84"/>
      <c r="Q2358" s="84"/>
      <c r="R2358" s="84"/>
      <c r="S2358" s="84"/>
      <c r="T2358" s="84"/>
      <c r="U2358" s="84"/>
      <c r="V2358" s="84"/>
      <c r="W2358" s="84"/>
      <c r="X2358" s="84"/>
    </row>
    <row r="2359" ht="15.75" customHeight="1">
      <c r="A2359" s="42" t="s">
        <v>4153</v>
      </c>
      <c r="B2359" s="14">
        <v>2012.0</v>
      </c>
      <c r="C2359" s="14" t="s">
        <v>24281</v>
      </c>
      <c r="D2359" s="14" t="s">
        <v>24282</v>
      </c>
      <c r="E2359" s="150" t="str">
        <f t="shared" si="29"/>
        <v>http://dx.doi.org/10.1109/TVCG.2012.292</v>
      </c>
      <c r="F2359" s="14">
        <v>2236.0</v>
      </c>
      <c r="G2359" s="14">
        <v>2244.0</v>
      </c>
      <c r="H2359" s="14" t="s">
        <v>17059</v>
      </c>
      <c r="I2359" s="14" t="s">
        <v>30987</v>
      </c>
      <c r="J2359" s="130" t="s">
        <v>24286</v>
      </c>
      <c r="K2359" s="152" t="s">
        <v>27810</v>
      </c>
      <c r="L2359" s="20" t="s">
        <v>24289</v>
      </c>
      <c r="M2359" s="174" t="s">
        <v>24290</v>
      </c>
      <c r="N2359" s="84"/>
      <c r="O2359" s="84"/>
      <c r="P2359" s="84"/>
      <c r="Q2359" s="84"/>
      <c r="R2359" s="84"/>
      <c r="S2359" s="84"/>
      <c r="T2359" s="84"/>
      <c r="U2359" s="84"/>
      <c r="V2359" s="84"/>
      <c r="W2359" s="84"/>
      <c r="X2359" s="84"/>
    </row>
    <row r="2360" ht="15.75" customHeight="1">
      <c r="A2360" s="14" t="s">
        <v>2137</v>
      </c>
      <c r="B2360" s="14">
        <v>2013.0</v>
      </c>
      <c r="C2360" s="14" t="s">
        <v>24648</v>
      </c>
      <c r="D2360" s="14" t="s">
        <v>24649</v>
      </c>
      <c r="E2360" s="150" t="str">
        <f t="shared" si="29"/>
        <v>http://dx.doi.org/10.1109/TVCG.2013.119</v>
      </c>
      <c r="F2360" s="14">
        <v>2406.0</v>
      </c>
      <c r="G2360" s="14">
        <v>2415.0</v>
      </c>
      <c r="H2360" s="14" t="s">
        <v>17059</v>
      </c>
      <c r="I2360" s="14" t="s">
        <v>24650</v>
      </c>
      <c r="J2360" s="130" t="s">
        <v>24651</v>
      </c>
      <c r="K2360" s="152" t="s">
        <v>860</v>
      </c>
      <c r="L2360" s="20" t="s">
        <v>24654</v>
      </c>
      <c r="M2360" s="174" t="s">
        <v>24655</v>
      </c>
      <c r="N2360" s="84"/>
      <c r="O2360" s="84"/>
      <c r="P2360" s="84"/>
      <c r="Q2360" s="84"/>
      <c r="R2360" s="84"/>
      <c r="S2360" s="84"/>
      <c r="T2360" s="84"/>
      <c r="U2360" s="84"/>
      <c r="V2360" s="84"/>
      <c r="W2360" s="84"/>
      <c r="X2360" s="84"/>
    </row>
    <row r="2361" ht="15.75" customHeight="1">
      <c r="A2361" s="14" t="s">
        <v>2137</v>
      </c>
      <c r="B2361" s="14">
        <v>2013.0</v>
      </c>
      <c r="C2361" s="14" t="s">
        <v>24656</v>
      </c>
      <c r="D2361" s="14" t="s">
        <v>24657</v>
      </c>
      <c r="E2361" s="150" t="str">
        <f t="shared" si="29"/>
        <v>http://dx.doi.org/10.1109/TVCG.2013.120</v>
      </c>
      <c r="F2361" s="14">
        <v>2366.0</v>
      </c>
      <c r="G2361" s="14">
        <v>2375.0</v>
      </c>
      <c r="H2361" s="14" t="s">
        <v>17059</v>
      </c>
      <c r="I2361" s="14" t="s">
        <v>24658</v>
      </c>
      <c r="J2361" s="130" t="s">
        <v>24659</v>
      </c>
      <c r="K2361" s="152" t="s">
        <v>27982</v>
      </c>
      <c r="L2361" s="20" t="s">
        <v>24661</v>
      </c>
      <c r="M2361" s="174" t="s">
        <v>24662</v>
      </c>
      <c r="N2361" s="84"/>
      <c r="O2361" s="84"/>
      <c r="P2361" s="84"/>
      <c r="Q2361" s="84"/>
      <c r="R2361" s="84"/>
      <c r="S2361" s="84"/>
      <c r="T2361" s="84"/>
      <c r="U2361" s="84"/>
      <c r="V2361" s="84"/>
      <c r="W2361" s="84"/>
      <c r="X2361" s="84"/>
    </row>
    <row r="2362" ht="15.75" customHeight="1">
      <c r="A2362" s="14" t="s">
        <v>2137</v>
      </c>
      <c r="B2362" s="14">
        <v>2013.0</v>
      </c>
      <c r="C2362" s="14" t="s">
        <v>24664</v>
      </c>
      <c r="D2362" s="14" t="s">
        <v>24665</v>
      </c>
      <c r="E2362" s="150" t="str">
        <f t="shared" si="29"/>
        <v>http://dx.doi.org/10.1109/TVCG.2013.122</v>
      </c>
      <c r="F2362" s="14">
        <v>2287.0</v>
      </c>
      <c r="G2362" s="14">
        <v>2296.0</v>
      </c>
      <c r="H2362" s="14" t="s">
        <v>17059</v>
      </c>
      <c r="I2362" s="14" t="s">
        <v>24666</v>
      </c>
      <c r="J2362" s="130" t="s">
        <v>41740</v>
      </c>
      <c r="K2362" s="152" t="s">
        <v>11861</v>
      </c>
      <c r="L2362" s="20" t="s">
        <v>24669</v>
      </c>
      <c r="M2362" s="174" t="s">
        <v>24670</v>
      </c>
      <c r="N2362" s="84"/>
      <c r="O2362" s="84"/>
      <c r="P2362" s="84"/>
      <c r="Q2362" s="84"/>
      <c r="R2362" s="84"/>
      <c r="S2362" s="84"/>
      <c r="T2362" s="84"/>
      <c r="U2362" s="84"/>
      <c r="V2362" s="84"/>
      <c r="W2362" s="84"/>
      <c r="X2362" s="84"/>
    </row>
    <row r="2363" ht="15.75" customHeight="1">
      <c r="A2363" s="14" t="s">
        <v>2137</v>
      </c>
      <c r="B2363" s="14">
        <v>2013.0</v>
      </c>
      <c r="C2363" s="14" t="s">
        <v>24672</v>
      </c>
      <c r="D2363" s="14" t="s">
        <v>24673</v>
      </c>
      <c r="E2363" s="150" t="str">
        <f t="shared" si="29"/>
        <v>http://dx.doi.org/10.1109/TVCG.2013.124</v>
      </c>
      <c r="F2363" s="14">
        <v>2376.0</v>
      </c>
      <c r="G2363" s="14">
        <v>2385.0</v>
      </c>
      <c r="H2363" s="14" t="s">
        <v>17059</v>
      </c>
      <c r="I2363" s="14" t="s">
        <v>24674</v>
      </c>
      <c r="J2363" s="130" t="s">
        <v>24675</v>
      </c>
      <c r="K2363" s="152" t="s">
        <v>178</v>
      </c>
      <c r="L2363" s="20" t="s">
        <v>24677</v>
      </c>
      <c r="M2363" s="174" t="s">
        <v>24678</v>
      </c>
      <c r="N2363" s="84"/>
      <c r="O2363" s="84"/>
      <c r="P2363" s="84"/>
      <c r="Q2363" s="84"/>
      <c r="R2363" s="84"/>
      <c r="S2363" s="84"/>
      <c r="T2363" s="84"/>
      <c r="U2363" s="84"/>
      <c r="V2363" s="84"/>
      <c r="W2363" s="84"/>
      <c r="X2363" s="84"/>
    </row>
    <row r="2364" ht="15.75" customHeight="1">
      <c r="A2364" s="14" t="s">
        <v>2137</v>
      </c>
      <c r="B2364" s="14">
        <v>2013.0</v>
      </c>
      <c r="C2364" s="14" t="s">
        <v>24679</v>
      </c>
      <c r="D2364" s="14" t="s">
        <v>24680</v>
      </c>
      <c r="E2364" s="150" t="str">
        <f t="shared" si="29"/>
        <v>http://dx.doi.org/10.1109/TVCG.2013.130</v>
      </c>
      <c r="F2364" s="14">
        <v>2356.0</v>
      </c>
      <c r="G2364" s="14">
        <v>2365.0</v>
      </c>
      <c r="H2364" s="14" t="s">
        <v>17059</v>
      </c>
      <c r="I2364" s="14" t="s">
        <v>28002</v>
      </c>
      <c r="J2364" s="130" t="s">
        <v>24682</v>
      </c>
      <c r="K2364" s="152" t="s">
        <v>28003</v>
      </c>
      <c r="L2364" s="20" t="s">
        <v>24684</v>
      </c>
      <c r="M2364" s="174" t="s">
        <v>24685</v>
      </c>
      <c r="N2364" s="84"/>
      <c r="O2364" s="84"/>
      <c r="P2364" s="84"/>
      <c r="Q2364" s="84"/>
      <c r="R2364" s="84"/>
      <c r="S2364" s="84"/>
      <c r="T2364" s="84"/>
      <c r="U2364" s="84"/>
      <c r="V2364" s="84"/>
      <c r="W2364" s="84"/>
      <c r="X2364" s="84"/>
    </row>
    <row r="2365" ht="15.75" customHeight="1">
      <c r="A2365" s="14" t="s">
        <v>2137</v>
      </c>
      <c r="B2365" s="14">
        <v>2013.0</v>
      </c>
      <c r="C2365" s="14" t="s">
        <v>24686</v>
      </c>
      <c r="D2365" s="14" t="s">
        <v>24687</v>
      </c>
      <c r="E2365" s="150" t="str">
        <f t="shared" si="29"/>
        <v>http://dx.doi.org/10.1109/TVCG.2013.134</v>
      </c>
      <c r="F2365" s="14">
        <v>2396.0</v>
      </c>
      <c r="G2365" s="14">
        <v>2405.0</v>
      </c>
      <c r="H2365" s="14" t="s">
        <v>17059</v>
      </c>
      <c r="I2365" s="14" t="s">
        <v>24689</v>
      </c>
      <c r="J2365" s="130" t="s">
        <v>24690</v>
      </c>
      <c r="K2365" s="152" t="s">
        <v>28011</v>
      </c>
      <c r="L2365" s="20" t="s">
        <v>24692</v>
      </c>
      <c r="M2365" s="174" t="s">
        <v>24693</v>
      </c>
      <c r="N2365" s="84"/>
      <c r="O2365" s="84"/>
      <c r="P2365" s="84"/>
      <c r="Q2365" s="84"/>
      <c r="R2365" s="84"/>
      <c r="S2365" s="84"/>
      <c r="T2365" s="84"/>
      <c r="U2365" s="84"/>
      <c r="V2365" s="84"/>
      <c r="W2365" s="84"/>
      <c r="X2365" s="84"/>
    </row>
    <row r="2366" ht="15.75" customHeight="1">
      <c r="A2366" s="14" t="s">
        <v>2137</v>
      </c>
      <c r="B2366" s="14">
        <v>2013.0</v>
      </c>
      <c r="C2366" s="14" t="s">
        <v>24694</v>
      </c>
      <c r="D2366" s="14" t="s">
        <v>24695</v>
      </c>
      <c r="E2366" s="150" t="str">
        <f t="shared" si="29"/>
        <v>http://dx.doi.org/10.1109/TVCG.2013.137</v>
      </c>
      <c r="F2366" s="14">
        <v>2586.0</v>
      </c>
      <c r="G2366" s="14">
        <v>2595.0</v>
      </c>
      <c r="H2366" s="14" t="s">
        <v>17059</v>
      </c>
      <c r="I2366" s="14" t="s">
        <v>24696</v>
      </c>
      <c r="J2366" s="130" t="s">
        <v>41741</v>
      </c>
      <c r="K2366" s="152" t="s">
        <v>28015</v>
      </c>
      <c r="L2366" s="20" t="s">
        <v>24700</v>
      </c>
      <c r="M2366" s="174" t="s">
        <v>24701</v>
      </c>
      <c r="N2366" s="84"/>
      <c r="O2366" s="84"/>
      <c r="P2366" s="84"/>
      <c r="Q2366" s="84"/>
      <c r="R2366" s="84"/>
      <c r="S2366" s="84"/>
      <c r="T2366" s="84"/>
      <c r="U2366" s="84"/>
      <c r="V2366" s="84"/>
      <c r="W2366" s="84"/>
      <c r="X2366" s="84"/>
    </row>
    <row r="2367" ht="15.75" customHeight="1">
      <c r="A2367" s="14" t="s">
        <v>2137</v>
      </c>
      <c r="B2367" s="14">
        <v>2013.0</v>
      </c>
      <c r="C2367" s="14" t="s">
        <v>24702</v>
      </c>
      <c r="D2367" s="14" t="s">
        <v>24703</v>
      </c>
      <c r="E2367" s="150" t="str">
        <f t="shared" si="29"/>
        <v>http://dx.doi.org/10.1109/TVCG.2013.140</v>
      </c>
      <c r="F2367" s="14">
        <v>2297.0</v>
      </c>
      <c r="G2367" s="14">
        <v>2305.0</v>
      </c>
      <c r="H2367" s="14" t="s">
        <v>17059</v>
      </c>
      <c r="I2367" s="14" t="s">
        <v>24705</v>
      </c>
      <c r="J2367" s="130" t="s">
        <v>24706</v>
      </c>
      <c r="K2367" s="152" t="s">
        <v>178</v>
      </c>
      <c r="L2367" s="20" t="s">
        <v>24708</v>
      </c>
      <c r="M2367" s="174" t="s">
        <v>24709</v>
      </c>
      <c r="N2367" s="84"/>
      <c r="O2367" s="84"/>
      <c r="P2367" s="84"/>
      <c r="Q2367" s="84"/>
      <c r="R2367" s="84"/>
      <c r="S2367" s="84"/>
      <c r="T2367" s="84"/>
      <c r="U2367" s="84"/>
      <c r="V2367" s="84"/>
      <c r="W2367" s="84"/>
      <c r="X2367" s="84"/>
    </row>
    <row r="2368" ht="15.75" customHeight="1">
      <c r="A2368" s="14" t="s">
        <v>2137</v>
      </c>
      <c r="B2368" s="14">
        <v>2013.0</v>
      </c>
      <c r="C2368" s="14" t="s">
        <v>24710</v>
      </c>
      <c r="D2368" s="14" t="s">
        <v>24711</v>
      </c>
      <c r="E2368" s="150" t="str">
        <f t="shared" si="29"/>
        <v>http://dx.doi.org/10.1109/TVCG.2013.145</v>
      </c>
      <c r="F2368" s="14">
        <v>2516.0</v>
      </c>
      <c r="G2368" s="14">
        <v>2525.0</v>
      </c>
      <c r="H2368" s="14" t="s">
        <v>17059</v>
      </c>
      <c r="I2368" s="14" t="s">
        <v>24712</v>
      </c>
      <c r="J2368" s="130" t="s">
        <v>24713</v>
      </c>
      <c r="K2368" s="152" t="s">
        <v>28028</v>
      </c>
      <c r="L2368" s="20" t="s">
        <v>24715</v>
      </c>
      <c r="M2368" s="174" t="s">
        <v>24716</v>
      </c>
      <c r="N2368" s="84"/>
      <c r="O2368" s="84"/>
      <c r="P2368" s="84"/>
      <c r="Q2368" s="84"/>
      <c r="R2368" s="84"/>
      <c r="S2368" s="84"/>
      <c r="T2368" s="84"/>
      <c r="U2368" s="84"/>
      <c r="V2368" s="84"/>
      <c r="W2368" s="84"/>
      <c r="X2368" s="84"/>
    </row>
    <row r="2369" ht="15.75" customHeight="1">
      <c r="A2369" s="14" t="s">
        <v>2137</v>
      </c>
      <c r="B2369" s="14">
        <v>2013.0</v>
      </c>
      <c r="C2369" s="14" t="s">
        <v>24717</v>
      </c>
      <c r="D2369" s="14" t="s">
        <v>24718</v>
      </c>
      <c r="E2369" s="150" t="str">
        <f t="shared" si="29"/>
        <v>http://dx.doi.org/10.1109/TVCG.2013.149</v>
      </c>
      <c r="F2369" s="14">
        <v>2556.0</v>
      </c>
      <c r="G2369" s="14">
        <v>2565.0</v>
      </c>
      <c r="H2369" s="14" t="s">
        <v>17059</v>
      </c>
      <c r="I2369" s="14" t="s">
        <v>24719</v>
      </c>
      <c r="J2369" s="130" t="s">
        <v>24720</v>
      </c>
      <c r="K2369" s="152" t="s">
        <v>22154</v>
      </c>
      <c r="L2369" s="20" t="s">
        <v>24722</v>
      </c>
      <c r="M2369" s="174" t="s">
        <v>24723</v>
      </c>
      <c r="N2369" s="84"/>
      <c r="O2369" s="84"/>
      <c r="P2369" s="84"/>
      <c r="Q2369" s="84"/>
      <c r="R2369" s="84"/>
      <c r="S2369" s="84"/>
      <c r="T2369" s="84"/>
      <c r="U2369" s="84"/>
      <c r="V2369" s="84"/>
      <c r="W2369" s="84"/>
      <c r="X2369" s="84"/>
    </row>
    <row r="2370" ht="15.75" customHeight="1">
      <c r="A2370" s="14" t="s">
        <v>2137</v>
      </c>
      <c r="B2370" s="14">
        <v>2013.0</v>
      </c>
      <c r="C2370" s="14" t="s">
        <v>24724</v>
      </c>
      <c r="D2370" s="14" t="s">
        <v>24726</v>
      </c>
      <c r="E2370" s="150" t="str">
        <f t="shared" si="29"/>
        <v>http://dx.doi.org/10.1109/TVCG.2013.150</v>
      </c>
      <c r="F2370" s="14">
        <v>2625.0</v>
      </c>
      <c r="G2370" s="14">
        <v>2633.0</v>
      </c>
      <c r="H2370" s="14" t="s">
        <v>17059</v>
      </c>
      <c r="I2370" s="14" t="s">
        <v>24727</v>
      </c>
      <c r="J2370" s="130" t="s">
        <v>24728</v>
      </c>
      <c r="K2370" s="152" t="s">
        <v>28037</v>
      </c>
      <c r="L2370" s="20" t="s">
        <v>24731</v>
      </c>
      <c r="M2370" s="174" t="s">
        <v>24732</v>
      </c>
      <c r="N2370" s="84"/>
      <c r="O2370" s="84"/>
      <c r="P2370" s="84"/>
      <c r="Q2370" s="84"/>
      <c r="R2370" s="84"/>
      <c r="S2370" s="84"/>
      <c r="T2370" s="84"/>
      <c r="U2370" s="84"/>
      <c r="V2370" s="84"/>
      <c r="W2370" s="84"/>
      <c r="X2370" s="84"/>
    </row>
    <row r="2371" ht="15.75" customHeight="1">
      <c r="A2371" s="14" t="s">
        <v>2137</v>
      </c>
      <c r="B2371" s="14">
        <v>2013.0</v>
      </c>
      <c r="C2371" s="14" t="s">
        <v>24733</v>
      </c>
      <c r="D2371" s="14" t="s">
        <v>24734</v>
      </c>
      <c r="E2371" s="150" t="str">
        <f t="shared" si="29"/>
        <v>http://dx.doi.org/10.1109/TVCG.2013.151</v>
      </c>
      <c r="F2371" s="14">
        <v>2596.0</v>
      </c>
      <c r="G2371" s="14">
        <v>2605.0</v>
      </c>
      <c r="H2371" s="14" t="s">
        <v>17059</v>
      </c>
      <c r="I2371" s="14" t="s">
        <v>24735</v>
      </c>
      <c r="J2371" s="130" t="s">
        <v>24736</v>
      </c>
      <c r="K2371" s="152" t="s">
        <v>5349</v>
      </c>
      <c r="L2371" s="20" t="s">
        <v>24738</v>
      </c>
      <c r="M2371" s="174" t="s">
        <v>24739</v>
      </c>
      <c r="N2371" s="84"/>
      <c r="O2371" s="84"/>
      <c r="P2371" s="84"/>
      <c r="Q2371" s="84"/>
      <c r="R2371" s="84"/>
      <c r="S2371" s="84"/>
      <c r="T2371" s="84"/>
      <c r="U2371" s="84"/>
      <c r="V2371" s="84"/>
      <c r="W2371" s="84"/>
      <c r="X2371" s="84"/>
    </row>
    <row r="2372" ht="15.75" customHeight="1">
      <c r="A2372" s="14" t="s">
        <v>2137</v>
      </c>
      <c r="B2372" s="14">
        <v>2013.0</v>
      </c>
      <c r="C2372" s="14" t="s">
        <v>24740</v>
      </c>
      <c r="D2372" s="14" t="s">
        <v>24741</v>
      </c>
      <c r="E2372" s="150" t="str">
        <f t="shared" si="29"/>
        <v>http://dx.doi.org/10.1109/TVCG.2013.153</v>
      </c>
      <c r="F2372" s="14">
        <v>2634.0</v>
      </c>
      <c r="G2372" s="14">
        <v>2643.0</v>
      </c>
      <c r="H2372" s="14" t="s">
        <v>17059</v>
      </c>
      <c r="I2372" s="14" t="s">
        <v>24742</v>
      </c>
      <c r="J2372" s="130" t="s">
        <v>24743</v>
      </c>
      <c r="K2372" s="152" t="s">
        <v>28054</v>
      </c>
      <c r="L2372" s="20" t="s">
        <v>24745</v>
      </c>
      <c r="M2372" s="174" t="s">
        <v>24746</v>
      </c>
      <c r="N2372" s="84"/>
      <c r="O2372" s="84"/>
      <c r="P2372" s="84"/>
      <c r="Q2372" s="84"/>
      <c r="R2372" s="84"/>
      <c r="S2372" s="84"/>
      <c r="T2372" s="84"/>
      <c r="U2372" s="84"/>
      <c r="V2372" s="84"/>
      <c r="W2372" s="84"/>
      <c r="X2372" s="84"/>
    </row>
    <row r="2373" ht="15.75" customHeight="1">
      <c r="A2373" s="14" t="s">
        <v>2137</v>
      </c>
      <c r="B2373" s="14">
        <v>2013.0</v>
      </c>
      <c r="C2373" s="14" t="s">
        <v>24747</v>
      </c>
      <c r="D2373" s="14" t="s">
        <v>24748</v>
      </c>
      <c r="E2373" s="150" t="str">
        <f t="shared" si="29"/>
        <v>http://dx.doi.org/10.1109/TVCG.2013.154</v>
      </c>
      <c r="F2373" s="14">
        <v>2536.0</v>
      </c>
      <c r="G2373" s="14">
        <v>2545.0</v>
      </c>
      <c r="H2373" s="14" t="s">
        <v>17059</v>
      </c>
      <c r="I2373" s="14" t="s">
        <v>24750</v>
      </c>
      <c r="J2373" s="130" t="s">
        <v>24751</v>
      </c>
      <c r="K2373" s="152" t="s">
        <v>28056</v>
      </c>
      <c r="L2373" s="20" t="s">
        <v>24753</v>
      </c>
      <c r="M2373" s="174" t="s">
        <v>24754</v>
      </c>
      <c r="N2373" s="84"/>
      <c r="O2373" s="84"/>
      <c r="P2373" s="84"/>
      <c r="Q2373" s="84"/>
      <c r="R2373" s="84"/>
      <c r="S2373" s="84"/>
      <c r="T2373" s="84"/>
      <c r="U2373" s="84"/>
      <c r="V2373" s="84"/>
      <c r="W2373" s="84"/>
      <c r="X2373" s="84"/>
    </row>
    <row r="2374" ht="15.75" customHeight="1">
      <c r="A2374" s="14" t="s">
        <v>2137</v>
      </c>
      <c r="B2374" s="14">
        <v>2013.0</v>
      </c>
      <c r="C2374" s="14" t="s">
        <v>24756</v>
      </c>
      <c r="D2374" s="14" t="s">
        <v>24757</v>
      </c>
      <c r="E2374" s="150" t="str">
        <f t="shared" si="29"/>
        <v>http://dx.doi.org/10.1109/TVCG.2013.155</v>
      </c>
      <c r="F2374" s="14">
        <v>2476.0</v>
      </c>
      <c r="G2374" s="14">
        <v>2485.0</v>
      </c>
      <c r="H2374" s="14" t="s">
        <v>17059</v>
      </c>
      <c r="I2374" s="14" t="s">
        <v>24758</v>
      </c>
      <c r="J2374" s="130" t="s">
        <v>24759</v>
      </c>
      <c r="K2374" s="152" t="s">
        <v>28064</v>
      </c>
      <c r="L2374" s="20" t="s">
        <v>24762</v>
      </c>
      <c r="M2374" s="174" t="s">
        <v>24763</v>
      </c>
      <c r="N2374" s="84"/>
      <c r="O2374" s="84"/>
      <c r="P2374" s="84"/>
      <c r="Q2374" s="84"/>
      <c r="R2374" s="84"/>
      <c r="S2374" s="84"/>
      <c r="T2374" s="84"/>
      <c r="U2374" s="84"/>
      <c r="V2374" s="84"/>
      <c r="W2374" s="84"/>
      <c r="X2374" s="84"/>
    </row>
    <row r="2375" ht="15.75" customHeight="1">
      <c r="A2375" s="14" t="s">
        <v>2137</v>
      </c>
      <c r="B2375" s="14">
        <v>2013.0</v>
      </c>
      <c r="C2375" s="14" t="s">
        <v>24764</v>
      </c>
      <c r="D2375" s="14" t="s">
        <v>24765</v>
      </c>
      <c r="E2375" s="150" t="str">
        <f t="shared" si="29"/>
        <v>http://dx.doi.org/10.1109/TVCG.2013.160</v>
      </c>
      <c r="F2375" s="14">
        <v>2606.0</v>
      </c>
      <c r="G2375" s="14">
        <v>2614.0</v>
      </c>
      <c r="H2375" s="14" t="s">
        <v>17059</v>
      </c>
      <c r="I2375" s="14" t="s">
        <v>24766</v>
      </c>
      <c r="J2375" s="130" t="s">
        <v>41742</v>
      </c>
      <c r="K2375" s="152" t="s">
        <v>28102</v>
      </c>
      <c r="L2375" s="20" t="s">
        <v>24769</v>
      </c>
      <c r="M2375" s="174" t="s">
        <v>24770</v>
      </c>
      <c r="N2375" s="84"/>
      <c r="O2375" s="84"/>
      <c r="P2375" s="84"/>
      <c r="Q2375" s="84"/>
      <c r="R2375" s="84"/>
      <c r="S2375" s="84"/>
      <c r="T2375" s="84"/>
      <c r="U2375" s="84"/>
      <c r="V2375" s="84"/>
      <c r="W2375" s="84"/>
      <c r="X2375" s="84"/>
    </row>
    <row r="2376" ht="15.75" customHeight="1">
      <c r="A2376" s="14" t="s">
        <v>2137</v>
      </c>
      <c r="B2376" s="14">
        <v>2013.0</v>
      </c>
      <c r="C2376" s="14" t="s">
        <v>24772</v>
      </c>
      <c r="D2376" s="14" t="s">
        <v>24773</v>
      </c>
      <c r="E2376" s="150" t="str">
        <f t="shared" si="29"/>
        <v>http://dx.doi.org/10.1109/TVCG.2013.163</v>
      </c>
      <c r="F2376" s="14">
        <v>2346.0</v>
      </c>
      <c r="G2376" s="14">
        <v>2355.0</v>
      </c>
      <c r="H2376" s="14" t="s">
        <v>17059</v>
      </c>
      <c r="I2376" s="14" t="s">
        <v>24775</v>
      </c>
      <c r="J2376" s="130" t="s">
        <v>24776</v>
      </c>
      <c r="K2376" s="152" t="s">
        <v>28131</v>
      </c>
      <c r="L2376" s="20" t="s">
        <v>24778</v>
      </c>
      <c r="M2376" s="174" t="s">
        <v>24779</v>
      </c>
      <c r="N2376" s="84"/>
      <c r="O2376" s="84"/>
      <c r="P2376" s="84"/>
      <c r="Q2376" s="84"/>
      <c r="R2376" s="84"/>
      <c r="S2376" s="84"/>
      <c r="T2376" s="84"/>
      <c r="U2376" s="84"/>
      <c r="V2376" s="84"/>
      <c r="W2376" s="84"/>
      <c r="X2376" s="84"/>
    </row>
    <row r="2377" ht="15.75" customHeight="1">
      <c r="A2377" s="14" t="s">
        <v>2137</v>
      </c>
      <c r="B2377" s="14">
        <v>2013.0</v>
      </c>
      <c r="C2377" s="14" t="s">
        <v>24780</v>
      </c>
      <c r="D2377" s="14" t="s">
        <v>24781</v>
      </c>
      <c r="E2377" s="150" t="str">
        <f t="shared" si="29"/>
        <v>http://dx.doi.org/10.1109/TVCG.2013.166</v>
      </c>
      <c r="F2377" s="14">
        <v>2386.0</v>
      </c>
      <c r="G2377" s="14">
        <v>2395.0</v>
      </c>
      <c r="H2377" s="14" t="s">
        <v>17059</v>
      </c>
      <c r="I2377" s="14" t="s">
        <v>24782</v>
      </c>
      <c r="J2377" s="130" t="s">
        <v>24783</v>
      </c>
      <c r="K2377" s="152" t="s">
        <v>28150</v>
      </c>
      <c r="L2377" s="20" t="s">
        <v>24786</v>
      </c>
      <c r="M2377" s="174" t="s">
        <v>24787</v>
      </c>
      <c r="N2377" s="84"/>
      <c r="O2377" s="84"/>
      <c r="P2377" s="84"/>
      <c r="Q2377" s="84"/>
      <c r="R2377" s="84"/>
      <c r="S2377" s="84"/>
      <c r="T2377" s="84"/>
      <c r="U2377" s="84"/>
      <c r="V2377" s="84"/>
      <c r="W2377" s="84"/>
      <c r="X2377" s="84"/>
    </row>
    <row r="2378" ht="15.75" customHeight="1">
      <c r="A2378" s="14" t="s">
        <v>2137</v>
      </c>
      <c r="B2378" s="14">
        <v>2013.0</v>
      </c>
      <c r="C2378" s="14" t="s">
        <v>24788</v>
      </c>
      <c r="D2378" s="14" t="s">
        <v>24789</v>
      </c>
      <c r="E2378" s="150" t="str">
        <f t="shared" si="29"/>
        <v>http://dx.doi.org/10.1109/TVCG.2013.170</v>
      </c>
      <c r="F2378" s="14">
        <v>2336.0</v>
      </c>
      <c r="G2378" s="14">
        <v>2345.0</v>
      </c>
      <c r="H2378" s="14" t="s">
        <v>17059</v>
      </c>
      <c r="I2378" s="14" t="s">
        <v>28183</v>
      </c>
      <c r="J2378" s="130" t="s">
        <v>24793</v>
      </c>
      <c r="K2378" s="152" t="s">
        <v>28186</v>
      </c>
      <c r="L2378" s="20" t="s">
        <v>24796</v>
      </c>
      <c r="M2378" s="174" t="s">
        <v>24797</v>
      </c>
      <c r="N2378" s="84"/>
      <c r="O2378" s="84"/>
      <c r="P2378" s="84"/>
      <c r="Q2378" s="84"/>
      <c r="R2378" s="84"/>
      <c r="S2378" s="84"/>
      <c r="T2378" s="84"/>
      <c r="U2378" s="84"/>
      <c r="V2378" s="84"/>
      <c r="W2378" s="84"/>
      <c r="X2378" s="84"/>
    </row>
    <row r="2379" ht="15.75" customHeight="1">
      <c r="A2379" s="14" t="s">
        <v>2137</v>
      </c>
      <c r="B2379" s="14">
        <v>2013.0</v>
      </c>
      <c r="C2379" s="14" t="s">
        <v>24799</v>
      </c>
      <c r="D2379" s="14" t="s">
        <v>24800</v>
      </c>
      <c r="E2379" s="150" t="str">
        <f t="shared" si="29"/>
        <v>http://dx.doi.org/10.1109/TVCG.2013.173</v>
      </c>
      <c r="F2379" s="14">
        <v>2277.0</v>
      </c>
      <c r="G2379" s="14">
        <v>2286.0</v>
      </c>
      <c r="H2379" s="14" t="s">
        <v>17059</v>
      </c>
      <c r="I2379" s="14" t="s">
        <v>24801</v>
      </c>
      <c r="J2379" s="130" t="s">
        <v>24802</v>
      </c>
      <c r="K2379" s="152" t="s">
        <v>28200</v>
      </c>
      <c r="L2379" s="20" t="s">
        <v>24804</v>
      </c>
      <c r="M2379" s="174" t="s">
        <v>24805</v>
      </c>
      <c r="N2379" s="84"/>
      <c r="O2379" s="84"/>
      <c r="P2379" s="84"/>
      <c r="Q2379" s="84"/>
      <c r="R2379" s="84"/>
      <c r="S2379" s="84"/>
      <c r="T2379" s="84"/>
      <c r="U2379" s="84"/>
      <c r="V2379" s="84"/>
      <c r="W2379" s="84"/>
      <c r="X2379" s="84"/>
    </row>
    <row r="2380" ht="15.75" customHeight="1">
      <c r="A2380" s="14" t="s">
        <v>2137</v>
      </c>
      <c r="B2380" s="14">
        <v>2013.0</v>
      </c>
      <c r="C2380" s="14" t="s">
        <v>24806</v>
      </c>
      <c r="D2380" s="14" t="s">
        <v>24807</v>
      </c>
      <c r="E2380" s="150" t="str">
        <f t="shared" si="29"/>
        <v>http://dx.doi.org/10.1109/TVCG.2013.179</v>
      </c>
      <c r="F2380" s="14">
        <v>2456.0</v>
      </c>
      <c r="G2380" s="14">
        <v>2465.0</v>
      </c>
      <c r="H2380" s="14" t="s">
        <v>17059</v>
      </c>
      <c r="I2380" s="14" t="s">
        <v>24808</v>
      </c>
      <c r="J2380" s="130" t="s">
        <v>24809</v>
      </c>
      <c r="K2380" s="152" t="s">
        <v>494</v>
      </c>
      <c r="L2380" s="20" t="s">
        <v>24813</v>
      </c>
      <c r="M2380" s="174" t="s">
        <v>24814</v>
      </c>
      <c r="N2380" s="84"/>
      <c r="O2380" s="84"/>
      <c r="P2380" s="84"/>
      <c r="Q2380" s="84"/>
      <c r="R2380" s="84"/>
      <c r="S2380" s="84"/>
      <c r="T2380" s="84"/>
      <c r="U2380" s="84"/>
      <c r="V2380" s="84"/>
      <c r="W2380" s="84"/>
      <c r="X2380" s="84"/>
    </row>
    <row r="2381" ht="15.75" customHeight="1">
      <c r="A2381" s="14" t="s">
        <v>2137</v>
      </c>
      <c r="B2381" s="14">
        <v>2013.0</v>
      </c>
      <c r="C2381" s="14" t="s">
        <v>24815</v>
      </c>
      <c r="D2381" s="14" t="s">
        <v>24817</v>
      </c>
      <c r="E2381" s="150" t="str">
        <f t="shared" si="29"/>
        <v>http://dx.doi.org/10.1109/TVCG.2013.182</v>
      </c>
      <c r="F2381" s="14">
        <v>2615.0</v>
      </c>
      <c r="G2381" s="14">
        <v>2624.0</v>
      </c>
      <c r="H2381" s="14" t="s">
        <v>17059</v>
      </c>
      <c r="I2381" s="14" t="s">
        <v>24818</v>
      </c>
      <c r="J2381" s="130" t="s">
        <v>21965</v>
      </c>
      <c r="K2381" s="152" t="s">
        <v>24200</v>
      </c>
      <c r="L2381" s="20" t="s">
        <v>3776</v>
      </c>
      <c r="M2381" s="174" t="s">
        <v>24819</v>
      </c>
      <c r="N2381" s="84"/>
      <c r="O2381" s="84"/>
      <c r="P2381" s="84"/>
      <c r="Q2381" s="84"/>
      <c r="R2381" s="84"/>
      <c r="S2381" s="84"/>
      <c r="T2381" s="84"/>
      <c r="U2381" s="84"/>
      <c r="V2381" s="84"/>
      <c r="W2381" s="84"/>
      <c r="X2381" s="84"/>
    </row>
    <row r="2382" ht="15.75" customHeight="1">
      <c r="A2382" s="14" t="s">
        <v>2137</v>
      </c>
      <c r="B2382" s="14">
        <v>2013.0</v>
      </c>
      <c r="C2382" s="14" t="s">
        <v>24820</v>
      </c>
      <c r="D2382" s="14" t="s">
        <v>24821</v>
      </c>
      <c r="E2382" s="150" t="str">
        <f t="shared" si="29"/>
        <v>http://dx.doi.org/10.1109/TVCG.2013.183</v>
      </c>
      <c r="F2382" s="14">
        <v>2316.0</v>
      </c>
      <c r="G2382" s="14">
        <v>2325.0</v>
      </c>
      <c r="H2382" s="14" t="s">
        <v>17059</v>
      </c>
      <c r="I2382" s="14" t="s">
        <v>24822</v>
      </c>
      <c r="J2382" s="130" t="s">
        <v>24823</v>
      </c>
      <c r="K2382" s="152" t="s">
        <v>28297</v>
      </c>
      <c r="L2382" s="20" t="s">
        <v>23708</v>
      </c>
      <c r="M2382" s="174" t="s">
        <v>24825</v>
      </c>
      <c r="N2382" s="84"/>
      <c r="O2382" s="84"/>
      <c r="P2382" s="84"/>
      <c r="Q2382" s="84"/>
      <c r="R2382" s="84"/>
      <c r="S2382" s="84"/>
      <c r="T2382" s="84"/>
      <c r="U2382" s="84"/>
      <c r="V2382" s="84"/>
      <c r="W2382" s="84"/>
      <c r="X2382" s="84"/>
    </row>
    <row r="2383" ht="15.75" customHeight="1">
      <c r="A2383" s="14" t="s">
        <v>2137</v>
      </c>
      <c r="B2383" s="14">
        <v>2013.0</v>
      </c>
      <c r="C2383" s="14" t="s">
        <v>24826</v>
      </c>
      <c r="D2383" s="14" t="s">
        <v>24827</v>
      </c>
      <c r="E2383" s="150" t="str">
        <f t="shared" si="29"/>
        <v>http://dx.doi.org/10.1109/TVCG.2013.184</v>
      </c>
      <c r="F2383" s="14">
        <v>2496.0</v>
      </c>
      <c r="G2383" s="14">
        <v>2505.0</v>
      </c>
      <c r="H2383" s="14" t="s">
        <v>17059</v>
      </c>
      <c r="I2383" s="14" t="s">
        <v>24829</v>
      </c>
      <c r="J2383" s="130" t="s">
        <v>24830</v>
      </c>
      <c r="K2383" s="152" t="s">
        <v>26184</v>
      </c>
      <c r="L2383" s="20" t="s">
        <v>24832</v>
      </c>
      <c r="M2383" s="174" t="s">
        <v>24833</v>
      </c>
      <c r="N2383" s="84"/>
      <c r="O2383" s="84"/>
      <c r="P2383" s="84"/>
      <c r="Q2383" s="84"/>
      <c r="R2383" s="84"/>
      <c r="S2383" s="84"/>
      <c r="T2383" s="84"/>
      <c r="U2383" s="84"/>
      <c r="V2383" s="84"/>
      <c r="W2383" s="84"/>
      <c r="X2383" s="84"/>
    </row>
    <row r="2384" ht="15.75" customHeight="1">
      <c r="A2384" s="14" t="s">
        <v>2137</v>
      </c>
      <c r="B2384" s="14">
        <v>2013.0</v>
      </c>
      <c r="C2384" s="14" t="s">
        <v>24834</v>
      </c>
      <c r="D2384" s="14" t="s">
        <v>24835</v>
      </c>
      <c r="E2384" s="150" t="str">
        <f t="shared" si="29"/>
        <v>http://dx.doi.org/10.1109/TVCG.2013.187</v>
      </c>
      <c r="F2384" s="14">
        <v>2326.0</v>
      </c>
      <c r="G2384" s="14">
        <v>2335.0</v>
      </c>
      <c r="H2384" s="14" t="s">
        <v>17059</v>
      </c>
      <c r="I2384" s="14" t="s">
        <v>24836</v>
      </c>
      <c r="J2384" s="130" t="s">
        <v>24837</v>
      </c>
      <c r="K2384" s="152" t="s">
        <v>28324</v>
      </c>
      <c r="L2384" s="20" t="s">
        <v>24840</v>
      </c>
      <c r="M2384" s="174" t="s">
        <v>24841</v>
      </c>
      <c r="N2384" s="84"/>
      <c r="O2384" s="84"/>
      <c r="P2384" s="84"/>
      <c r="Q2384" s="84"/>
      <c r="R2384" s="84"/>
      <c r="S2384" s="84"/>
      <c r="T2384" s="84"/>
      <c r="U2384" s="84"/>
      <c r="V2384" s="84"/>
      <c r="W2384" s="84"/>
      <c r="X2384" s="84"/>
    </row>
    <row r="2385" ht="15.75" customHeight="1">
      <c r="A2385" s="14" t="s">
        <v>2137</v>
      </c>
      <c r="B2385" s="14">
        <v>2013.0</v>
      </c>
      <c r="C2385" s="14" t="s">
        <v>24842</v>
      </c>
      <c r="D2385" s="14" t="s">
        <v>24843</v>
      </c>
      <c r="E2385" s="150" t="str">
        <f t="shared" si="29"/>
        <v>http://dx.doi.org/10.1109/TVCG.2013.191</v>
      </c>
      <c r="F2385" s="14">
        <v>2416.0</v>
      </c>
      <c r="G2385" s="14">
        <v>2425.0</v>
      </c>
      <c r="H2385" s="14" t="s">
        <v>17059</v>
      </c>
      <c r="I2385" s="14" t="s">
        <v>24846</v>
      </c>
      <c r="J2385" s="130" t="s">
        <v>24847</v>
      </c>
      <c r="K2385" s="152" t="s">
        <v>494</v>
      </c>
      <c r="L2385" s="20" t="s">
        <v>24849</v>
      </c>
      <c r="M2385" s="174" t="s">
        <v>24850</v>
      </c>
      <c r="N2385" s="84"/>
      <c r="O2385" s="84"/>
      <c r="P2385" s="84"/>
      <c r="Q2385" s="84"/>
      <c r="R2385" s="84"/>
      <c r="S2385" s="84"/>
      <c r="T2385" s="84"/>
      <c r="U2385" s="84"/>
      <c r="V2385" s="84"/>
      <c r="W2385" s="84"/>
      <c r="X2385" s="84"/>
    </row>
    <row r="2386" ht="15.75" customHeight="1">
      <c r="A2386" s="14" t="s">
        <v>2137</v>
      </c>
      <c r="B2386" s="14">
        <v>2013.0</v>
      </c>
      <c r="C2386" s="14" t="s">
        <v>24852</v>
      </c>
      <c r="D2386" s="14" t="s">
        <v>24853</v>
      </c>
      <c r="E2386" s="150" t="str">
        <f t="shared" si="29"/>
        <v>http://dx.doi.org/10.1109/TVCG.2013.192</v>
      </c>
      <c r="F2386" s="14">
        <v>2506.0</v>
      </c>
      <c r="G2386" s="14">
        <v>2515.0</v>
      </c>
      <c r="H2386" s="14" t="s">
        <v>17059</v>
      </c>
      <c r="I2386" s="14" t="s">
        <v>24854</v>
      </c>
      <c r="J2386" s="130" t="s">
        <v>24855</v>
      </c>
      <c r="K2386" s="152" t="s">
        <v>28371</v>
      </c>
      <c r="L2386" s="20" t="s">
        <v>24857</v>
      </c>
      <c r="M2386" s="174" t="s">
        <v>24858</v>
      </c>
      <c r="N2386" s="84"/>
      <c r="O2386" s="84"/>
      <c r="P2386" s="84"/>
      <c r="Q2386" s="84"/>
      <c r="R2386" s="84"/>
      <c r="S2386" s="84"/>
      <c r="T2386" s="84"/>
      <c r="U2386" s="84"/>
      <c r="V2386" s="84"/>
      <c r="W2386" s="84"/>
      <c r="X2386" s="84"/>
    </row>
    <row r="2387" ht="15.75" customHeight="1">
      <c r="A2387" s="14" t="s">
        <v>2137</v>
      </c>
      <c r="B2387" s="14">
        <v>2013.0</v>
      </c>
      <c r="C2387" s="14" t="s">
        <v>24859</v>
      </c>
      <c r="D2387" s="14" t="s">
        <v>24860</v>
      </c>
      <c r="E2387" s="150" t="str">
        <f t="shared" si="29"/>
        <v>http://dx.doi.org/10.1109/TVCG.2013.196</v>
      </c>
      <c r="F2387" s="14">
        <v>2436.0</v>
      </c>
      <c r="G2387" s="14">
        <v>2445.0</v>
      </c>
      <c r="H2387" s="14" t="s">
        <v>17059</v>
      </c>
      <c r="I2387" s="14" t="s">
        <v>24862</v>
      </c>
      <c r="J2387" s="130" t="s">
        <v>24864</v>
      </c>
      <c r="K2387" s="152" t="s">
        <v>880</v>
      </c>
      <c r="L2387" s="20" t="s">
        <v>24867</v>
      </c>
      <c r="M2387" s="174" t="s">
        <v>24868</v>
      </c>
      <c r="N2387" s="84"/>
      <c r="O2387" s="84"/>
      <c r="P2387" s="84"/>
      <c r="Q2387" s="84"/>
      <c r="R2387" s="84"/>
      <c r="S2387" s="84"/>
      <c r="T2387" s="84"/>
      <c r="U2387" s="84"/>
      <c r="V2387" s="84"/>
      <c r="W2387" s="84"/>
      <c r="X2387" s="84"/>
    </row>
    <row r="2388" ht="15.75" customHeight="1">
      <c r="A2388" s="14" t="s">
        <v>2137</v>
      </c>
      <c r="B2388" s="14">
        <v>2013.0</v>
      </c>
      <c r="C2388" s="14" t="s">
        <v>24869</v>
      </c>
      <c r="D2388" s="14" t="s">
        <v>24870</v>
      </c>
      <c r="E2388" s="150" t="str">
        <f t="shared" si="29"/>
        <v>http://dx.doi.org/10.1109/TVCG.2013.209</v>
      </c>
      <c r="F2388" s="14">
        <v>2526.0</v>
      </c>
      <c r="G2388" s="14">
        <v>2535.0</v>
      </c>
      <c r="H2388" s="14" t="s">
        <v>17059</v>
      </c>
      <c r="I2388" s="14" t="s">
        <v>24871</v>
      </c>
      <c r="J2388" s="130" t="s">
        <v>24872</v>
      </c>
      <c r="K2388" s="152" t="s">
        <v>880</v>
      </c>
      <c r="L2388" s="20" t="s">
        <v>24875</v>
      </c>
      <c r="M2388" s="174" t="s">
        <v>24876</v>
      </c>
      <c r="N2388" s="84"/>
      <c r="O2388" s="84"/>
      <c r="P2388" s="84"/>
      <c r="Q2388" s="84"/>
      <c r="R2388" s="84"/>
      <c r="S2388" s="84"/>
      <c r="T2388" s="84"/>
      <c r="U2388" s="84"/>
      <c r="V2388" s="84"/>
      <c r="W2388" s="84"/>
      <c r="X2388" s="84"/>
    </row>
    <row r="2389" ht="15.75" customHeight="1">
      <c r="A2389" s="14" t="s">
        <v>2137</v>
      </c>
      <c r="B2389" s="14">
        <v>2013.0</v>
      </c>
      <c r="C2389" s="14" t="s">
        <v>24877</v>
      </c>
      <c r="D2389" s="14" t="s">
        <v>24878</v>
      </c>
      <c r="E2389" s="150" t="str">
        <f t="shared" si="29"/>
        <v>http://dx.doi.org/10.1109/TVCG.2013.210</v>
      </c>
      <c r="F2389" s="14">
        <v>2426.0</v>
      </c>
      <c r="G2389" s="14">
        <v>2435.0</v>
      </c>
      <c r="H2389" s="14" t="s">
        <v>17059</v>
      </c>
      <c r="I2389" s="14" t="s">
        <v>24880</v>
      </c>
      <c r="J2389" s="130" t="s">
        <v>24881</v>
      </c>
      <c r="K2389" s="152" t="s">
        <v>28450</v>
      </c>
      <c r="L2389" s="20" t="s">
        <v>23587</v>
      </c>
      <c r="M2389" s="174" t="s">
        <v>24884</v>
      </c>
      <c r="N2389" s="84"/>
      <c r="O2389" s="84"/>
      <c r="P2389" s="84"/>
      <c r="Q2389" s="84"/>
      <c r="R2389" s="84"/>
      <c r="S2389" s="84"/>
      <c r="T2389" s="84"/>
      <c r="U2389" s="84"/>
      <c r="V2389" s="84"/>
      <c r="W2389" s="84"/>
      <c r="X2389" s="84"/>
    </row>
    <row r="2390" ht="15.75" customHeight="1">
      <c r="A2390" s="14" t="s">
        <v>2137</v>
      </c>
      <c r="B2390" s="14">
        <v>2013.0</v>
      </c>
      <c r="C2390" s="14" t="s">
        <v>24885</v>
      </c>
      <c r="D2390" s="14" t="s">
        <v>24886</v>
      </c>
      <c r="E2390" s="150" t="str">
        <f t="shared" si="29"/>
        <v>http://dx.doi.org/10.1109/TVCG.2013.214</v>
      </c>
      <c r="F2390" s="14">
        <v>2546.0</v>
      </c>
      <c r="G2390" s="14">
        <v>2555.0</v>
      </c>
      <c r="H2390" s="14" t="s">
        <v>17059</v>
      </c>
      <c r="I2390" s="14" t="s">
        <v>24887</v>
      </c>
      <c r="J2390" s="130" t="s">
        <v>24888</v>
      </c>
      <c r="K2390" s="152" t="s">
        <v>494</v>
      </c>
      <c r="L2390" s="20" t="s">
        <v>24890</v>
      </c>
      <c r="M2390" s="174" t="s">
        <v>24891</v>
      </c>
      <c r="N2390" s="84"/>
      <c r="O2390" s="84"/>
      <c r="P2390" s="84"/>
      <c r="Q2390" s="84"/>
      <c r="R2390" s="84"/>
      <c r="S2390" s="84"/>
      <c r="T2390" s="84"/>
      <c r="U2390" s="84"/>
      <c r="V2390" s="84"/>
      <c r="W2390" s="84"/>
      <c r="X2390" s="84"/>
    </row>
    <row r="2391" ht="15.75" customHeight="1">
      <c r="A2391" s="14" t="s">
        <v>2137</v>
      </c>
      <c r="B2391" s="14">
        <v>2013.0</v>
      </c>
      <c r="C2391" s="14" t="s">
        <v>24892</v>
      </c>
      <c r="D2391" s="14" t="s">
        <v>24893</v>
      </c>
      <c r="E2391" s="150" t="str">
        <f t="shared" si="29"/>
        <v>http://dx.doi.org/10.1109/TVCG.2013.225</v>
      </c>
      <c r="F2391" s="14">
        <v>2576.0</v>
      </c>
      <c r="G2391" s="14">
        <v>2585.0</v>
      </c>
      <c r="H2391" s="14" t="s">
        <v>17059</v>
      </c>
      <c r="I2391" s="14" t="s">
        <v>24894</v>
      </c>
      <c r="J2391" s="130" t="s">
        <v>23840</v>
      </c>
      <c r="K2391" s="152" t="s">
        <v>27776</v>
      </c>
      <c r="L2391" s="20" t="s">
        <v>24895</v>
      </c>
      <c r="M2391" s="174" t="s">
        <v>24896</v>
      </c>
      <c r="N2391" s="84"/>
      <c r="O2391" s="84"/>
      <c r="P2391" s="84"/>
      <c r="Q2391" s="84"/>
      <c r="R2391" s="84"/>
      <c r="S2391" s="84"/>
      <c r="T2391" s="84"/>
      <c r="U2391" s="84"/>
      <c r="V2391" s="84"/>
      <c r="W2391" s="84"/>
      <c r="X2391" s="84"/>
    </row>
    <row r="2392" ht="15.75" customHeight="1">
      <c r="A2392" s="14" t="s">
        <v>2137</v>
      </c>
      <c r="B2392" s="14">
        <v>2013.0</v>
      </c>
      <c r="C2392" s="14" t="s">
        <v>24899</v>
      </c>
      <c r="D2392" s="14" t="s">
        <v>24900</v>
      </c>
      <c r="E2392" s="150" t="str">
        <f t="shared" si="29"/>
        <v>http://dx.doi.org/10.1109/TVCG.2013.227</v>
      </c>
      <c r="F2392" s="14">
        <v>2446.0</v>
      </c>
      <c r="G2392" s="14">
        <v>2455.0</v>
      </c>
      <c r="H2392" s="14" t="s">
        <v>17059</v>
      </c>
      <c r="I2392" s="14" t="s">
        <v>24902</v>
      </c>
      <c r="J2392" s="130" t="s">
        <v>24903</v>
      </c>
      <c r="K2392" s="152" t="s">
        <v>494</v>
      </c>
      <c r="L2392" s="20" t="s">
        <v>24904</v>
      </c>
      <c r="M2392" s="174" t="s">
        <v>24905</v>
      </c>
      <c r="N2392" s="84"/>
      <c r="O2392" s="84"/>
      <c r="P2392" s="84"/>
      <c r="Q2392" s="84"/>
      <c r="R2392" s="84"/>
      <c r="S2392" s="84"/>
      <c r="T2392" s="84"/>
      <c r="U2392" s="84"/>
      <c r="V2392" s="84"/>
      <c r="W2392" s="84"/>
      <c r="X2392" s="84"/>
    </row>
    <row r="2393" ht="15.75" customHeight="1">
      <c r="A2393" s="14" t="s">
        <v>2137</v>
      </c>
      <c r="B2393" s="14">
        <v>2013.0</v>
      </c>
      <c r="C2393" s="14" t="s">
        <v>24906</v>
      </c>
      <c r="D2393" s="14" t="s">
        <v>24907</v>
      </c>
      <c r="E2393" s="150" t="str">
        <f t="shared" si="29"/>
        <v>http://dx.doi.org/10.1109/TVCG.2013.230</v>
      </c>
      <c r="F2393" s="14">
        <v>2644.0</v>
      </c>
      <c r="G2393" s="14">
        <v>2652.0</v>
      </c>
      <c r="H2393" s="14" t="s">
        <v>17059</v>
      </c>
      <c r="I2393" s="14" t="s">
        <v>24908</v>
      </c>
      <c r="J2393" s="130" t="s">
        <v>24909</v>
      </c>
      <c r="K2393" s="152" t="s">
        <v>28649</v>
      </c>
      <c r="L2393" s="20" t="s">
        <v>24911</v>
      </c>
      <c r="M2393" s="174" t="s">
        <v>24912</v>
      </c>
      <c r="N2393" s="84"/>
      <c r="O2393" s="84"/>
      <c r="P2393" s="84"/>
      <c r="Q2393" s="84"/>
      <c r="R2393" s="84"/>
      <c r="S2393" s="84"/>
      <c r="T2393" s="84"/>
      <c r="U2393" s="84"/>
      <c r="V2393" s="84"/>
      <c r="W2393" s="84"/>
      <c r="X2393" s="84"/>
    </row>
    <row r="2394" ht="15.75" customHeight="1">
      <c r="A2394" s="14" t="s">
        <v>2137</v>
      </c>
      <c r="B2394" s="14">
        <v>2013.0</v>
      </c>
      <c r="C2394" s="14" t="s">
        <v>24913</v>
      </c>
      <c r="D2394" s="14" t="s">
        <v>24914</v>
      </c>
      <c r="E2394" s="150" t="str">
        <f t="shared" si="29"/>
        <v>http://dx.doi.org/10.1109/TVCG.2013.231</v>
      </c>
      <c r="F2394" s="14">
        <v>2566.0</v>
      </c>
      <c r="G2394" s="14">
        <v>2575.0</v>
      </c>
      <c r="H2394" s="14" t="s">
        <v>17059</v>
      </c>
      <c r="I2394" s="14" t="s">
        <v>24915</v>
      </c>
      <c r="J2394" s="130" t="s">
        <v>24916</v>
      </c>
      <c r="K2394" s="152" t="s">
        <v>28658</v>
      </c>
      <c r="L2394" s="20" t="s">
        <v>24919</v>
      </c>
      <c r="M2394" s="174" t="s">
        <v>24920</v>
      </c>
      <c r="N2394" s="84"/>
      <c r="O2394" s="84"/>
      <c r="P2394" s="84"/>
      <c r="Q2394" s="84"/>
      <c r="R2394" s="84"/>
      <c r="S2394" s="84"/>
      <c r="T2394" s="84"/>
      <c r="U2394" s="84"/>
      <c r="V2394" s="84"/>
      <c r="W2394" s="84"/>
      <c r="X2394" s="84"/>
    </row>
    <row r="2395" ht="15.75" customHeight="1">
      <c r="A2395" s="14" t="s">
        <v>2137</v>
      </c>
      <c r="B2395" s="14">
        <v>2013.0</v>
      </c>
      <c r="C2395" s="14" t="s">
        <v>24921</v>
      </c>
      <c r="D2395" s="14" t="s">
        <v>24922</v>
      </c>
      <c r="E2395" s="150" t="str">
        <f t="shared" si="29"/>
        <v>http://dx.doi.org/10.1109/TVCG.2013.232</v>
      </c>
      <c r="F2395" s="14">
        <v>2486.0</v>
      </c>
      <c r="G2395" s="14">
        <v>2495.0</v>
      </c>
      <c r="H2395" s="14" t="s">
        <v>17059</v>
      </c>
      <c r="I2395" s="14" t="s">
        <v>24924</v>
      </c>
      <c r="J2395" s="130" t="s">
        <v>24925</v>
      </c>
      <c r="K2395" s="152" t="s">
        <v>28666</v>
      </c>
      <c r="L2395" s="20" t="s">
        <v>24928</v>
      </c>
      <c r="M2395" s="174" t="s">
        <v>24929</v>
      </c>
      <c r="N2395" s="84"/>
      <c r="O2395" s="84"/>
      <c r="P2395" s="84"/>
      <c r="Q2395" s="84"/>
      <c r="R2395" s="84"/>
      <c r="S2395" s="84"/>
      <c r="T2395" s="84"/>
      <c r="U2395" s="84"/>
      <c r="V2395" s="84"/>
      <c r="W2395" s="84"/>
      <c r="X2395" s="84"/>
    </row>
    <row r="2396" ht="15.75" customHeight="1">
      <c r="A2396" s="14" t="s">
        <v>2137</v>
      </c>
      <c r="B2396" s="14">
        <v>2013.0</v>
      </c>
      <c r="C2396" s="14" t="s">
        <v>24930</v>
      </c>
      <c r="D2396" s="14" t="s">
        <v>24931</v>
      </c>
      <c r="E2396" s="150" t="str">
        <f t="shared" si="29"/>
        <v>http://dx.doi.org/10.1109/TVCG.2013.233</v>
      </c>
      <c r="F2396" s="14">
        <v>2466.0</v>
      </c>
      <c r="G2396" s="14">
        <v>2475.0</v>
      </c>
      <c r="H2396" s="14" t="s">
        <v>17059</v>
      </c>
      <c r="I2396" s="14" t="s">
        <v>24932</v>
      </c>
      <c r="J2396" s="130" t="s">
        <v>24933</v>
      </c>
      <c r="K2396" s="152" t="s">
        <v>5349</v>
      </c>
      <c r="L2396" s="20" t="s">
        <v>24935</v>
      </c>
      <c r="M2396" s="174" t="s">
        <v>24936</v>
      </c>
      <c r="N2396" s="84"/>
      <c r="O2396" s="84"/>
      <c r="P2396" s="84"/>
      <c r="Q2396" s="84"/>
      <c r="R2396" s="84"/>
      <c r="S2396" s="84"/>
      <c r="T2396" s="84"/>
      <c r="U2396" s="84"/>
      <c r="V2396" s="84"/>
      <c r="W2396" s="84"/>
      <c r="X2396" s="84"/>
    </row>
    <row r="2397" ht="15.75" customHeight="1">
      <c r="A2397" s="14" t="s">
        <v>2137</v>
      </c>
      <c r="B2397" s="14">
        <v>2013.0</v>
      </c>
      <c r="C2397" s="14" t="s">
        <v>24937</v>
      </c>
      <c r="D2397" s="14" t="s">
        <v>24938</v>
      </c>
      <c r="E2397" s="150" t="str">
        <f t="shared" si="29"/>
        <v>http://dx.doi.org/10.1109/TVCG.2013.234</v>
      </c>
      <c r="F2397" s="14">
        <v>2306.0</v>
      </c>
      <c r="G2397" s="14">
        <v>2315.0</v>
      </c>
      <c r="H2397" s="14" t="s">
        <v>17059</v>
      </c>
      <c r="I2397" s="14" t="s">
        <v>24939</v>
      </c>
      <c r="J2397" s="130" t="s">
        <v>24940</v>
      </c>
      <c r="K2397" s="152" t="s">
        <v>28064</v>
      </c>
      <c r="L2397" s="20" t="s">
        <v>24943</v>
      </c>
      <c r="M2397" s="174" t="s">
        <v>24944</v>
      </c>
      <c r="N2397" s="84"/>
      <c r="O2397" s="84"/>
      <c r="P2397" s="84"/>
      <c r="Q2397" s="84"/>
      <c r="R2397" s="84"/>
      <c r="S2397" s="84"/>
      <c r="T2397" s="84"/>
      <c r="U2397" s="84"/>
      <c r="V2397" s="84"/>
      <c r="W2397" s="84"/>
      <c r="X2397" s="84"/>
    </row>
    <row r="2398" ht="15.75" customHeight="1">
      <c r="A2398" s="14" t="s">
        <v>4153</v>
      </c>
      <c r="B2398" s="14">
        <v>2013.0</v>
      </c>
      <c r="C2398" s="14" t="s">
        <v>24945</v>
      </c>
      <c r="D2398" s="14" t="s">
        <v>24946</v>
      </c>
      <c r="E2398" s="150" t="str">
        <f t="shared" si="29"/>
        <v>http://dx.doi.org/10.1109/TVCG.2013.121</v>
      </c>
      <c r="F2398" s="14">
        <v>2802.0</v>
      </c>
      <c r="G2398" s="14">
        <v>2809.0</v>
      </c>
      <c r="H2398" s="14" t="s">
        <v>17059</v>
      </c>
      <c r="I2398" s="14" t="s">
        <v>24947</v>
      </c>
      <c r="J2398" s="130" t="s">
        <v>24948</v>
      </c>
      <c r="K2398" s="152" t="s">
        <v>27984</v>
      </c>
      <c r="L2398" s="20" t="s">
        <v>24950</v>
      </c>
      <c r="M2398" s="174" t="s">
        <v>24951</v>
      </c>
      <c r="N2398" s="84"/>
      <c r="O2398" s="84"/>
      <c r="P2398" s="84"/>
      <c r="Q2398" s="84"/>
      <c r="R2398" s="84"/>
      <c r="S2398" s="84"/>
      <c r="T2398" s="84"/>
      <c r="U2398" s="84"/>
      <c r="V2398" s="84"/>
      <c r="W2398" s="84"/>
      <c r="X2398" s="84"/>
    </row>
    <row r="2399" ht="15.75" customHeight="1">
      <c r="A2399" s="14" t="s">
        <v>4153</v>
      </c>
      <c r="B2399" s="14">
        <v>2013.0</v>
      </c>
      <c r="C2399" s="14" t="s">
        <v>24952</v>
      </c>
      <c r="D2399" s="14" t="s">
        <v>24953</v>
      </c>
      <c r="E2399" s="150" t="str">
        <f t="shared" si="29"/>
        <v>http://dx.doi.org/10.1109/TVCG.2013.123</v>
      </c>
      <c r="F2399" s="14">
        <v>2792.0</v>
      </c>
      <c r="G2399" s="14">
        <v>2801.0</v>
      </c>
      <c r="H2399" s="14" t="s">
        <v>17059</v>
      </c>
      <c r="I2399" s="14" t="s">
        <v>24954</v>
      </c>
      <c r="J2399" s="130" t="s">
        <v>24955</v>
      </c>
      <c r="K2399" s="152" t="s">
        <v>27988</v>
      </c>
      <c r="L2399" s="20" t="s">
        <v>24956</v>
      </c>
      <c r="M2399" s="174" t="s">
        <v>24957</v>
      </c>
      <c r="N2399" s="84"/>
      <c r="O2399" s="84"/>
      <c r="P2399" s="84"/>
      <c r="Q2399" s="84"/>
      <c r="R2399" s="84"/>
      <c r="S2399" s="84"/>
      <c r="T2399" s="84"/>
      <c r="U2399" s="84"/>
      <c r="V2399" s="84"/>
      <c r="W2399" s="84"/>
      <c r="X2399" s="84"/>
    </row>
    <row r="2400" ht="15.75" customHeight="1">
      <c r="A2400" s="14" t="s">
        <v>4153</v>
      </c>
      <c r="B2400" s="14">
        <v>2013.0</v>
      </c>
      <c r="C2400" s="14" t="s">
        <v>24958</v>
      </c>
      <c r="D2400" s="14" t="s">
        <v>24959</v>
      </c>
      <c r="E2400" s="150" t="str">
        <f t="shared" si="29"/>
        <v>http://dx.doi.org/10.1109/TVCG.2013.126</v>
      </c>
      <c r="F2400" s="14">
        <v>2818.0</v>
      </c>
      <c r="G2400" s="14">
        <v>2827.0</v>
      </c>
      <c r="H2400" s="14" t="s">
        <v>17059</v>
      </c>
      <c r="I2400" s="14" t="s">
        <v>24960</v>
      </c>
      <c r="J2400" s="130" t="s">
        <v>24961</v>
      </c>
      <c r="K2400" s="152" t="s">
        <v>27994</v>
      </c>
      <c r="L2400" s="20" t="s">
        <v>24964</v>
      </c>
      <c r="M2400" s="174" t="s">
        <v>24965</v>
      </c>
      <c r="N2400" s="84"/>
      <c r="O2400" s="84"/>
      <c r="P2400" s="84"/>
      <c r="Q2400" s="84"/>
      <c r="R2400" s="84"/>
      <c r="S2400" s="84"/>
      <c r="T2400" s="84"/>
      <c r="U2400" s="84"/>
      <c r="V2400" s="84"/>
      <c r="W2400" s="84"/>
      <c r="X2400" s="84"/>
    </row>
    <row r="2401" ht="15.75" customHeight="1">
      <c r="A2401" s="14" t="s">
        <v>4153</v>
      </c>
      <c r="B2401" s="14">
        <v>2013.0</v>
      </c>
      <c r="C2401" s="14" t="s">
        <v>24966</v>
      </c>
      <c r="D2401" s="14" t="s">
        <v>24967</v>
      </c>
      <c r="E2401" s="150" t="str">
        <f t="shared" si="29"/>
        <v>http://dx.doi.org/10.1109/TVCG.2013.127</v>
      </c>
      <c r="F2401" s="14">
        <v>2886.0</v>
      </c>
      <c r="G2401" s="14">
        <v>2895.0</v>
      </c>
      <c r="H2401" s="14" t="s">
        <v>17059</v>
      </c>
      <c r="I2401" s="14" t="s">
        <v>24968</v>
      </c>
      <c r="J2401" s="130" t="s">
        <v>24969</v>
      </c>
      <c r="K2401" s="152" t="s">
        <v>27996</v>
      </c>
      <c r="L2401" s="20" t="s">
        <v>24970</v>
      </c>
      <c r="M2401" s="174" t="s">
        <v>24971</v>
      </c>
      <c r="N2401" s="84"/>
      <c r="O2401" s="84"/>
      <c r="P2401" s="84"/>
      <c r="Q2401" s="84"/>
      <c r="R2401" s="84"/>
      <c r="S2401" s="84"/>
      <c r="T2401" s="84"/>
      <c r="U2401" s="84"/>
      <c r="V2401" s="84"/>
      <c r="W2401" s="84"/>
      <c r="X2401" s="84"/>
    </row>
    <row r="2402" ht="15.75" customHeight="1">
      <c r="A2402" s="14" t="s">
        <v>4153</v>
      </c>
      <c r="B2402" s="14">
        <v>2013.0</v>
      </c>
      <c r="C2402" s="14" t="s">
        <v>24972</v>
      </c>
      <c r="D2402" s="14" t="s">
        <v>24973</v>
      </c>
      <c r="E2402" s="150" t="str">
        <f t="shared" si="29"/>
        <v>http://dx.doi.org/10.1109/TVCG.2013.128</v>
      </c>
      <c r="F2402" s="14">
        <v>2753.0</v>
      </c>
      <c r="G2402" s="14">
        <v>2762.0</v>
      </c>
      <c r="H2402" s="14" t="s">
        <v>17059</v>
      </c>
      <c r="I2402" s="14" t="s">
        <v>24974</v>
      </c>
      <c r="J2402" s="130" t="s">
        <v>24975</v>
      </c>
      <c r="K2402" s="152" t="s">
        <v>27998</v>
      </c>
      <c r="L2402" s="20" t="s">
        <v>24977</v>
      </c>
      <c r="M2402" s="174" t="s">
        <v>24978</v>
      </c>
      <c r="N2402" s="84"/>
      <c r="O2402" s="84"/>
      <c r="P2402" s="84"/>
      <c r="Q2402" s="84"/>
      <c r="R2402" s="84"/>
      <c r="S2402" s="84"/>
      <c r="T2402" s="84"/>
      <c r="U2402" s="84"/>
      <c r="V2402" s="84"/>
      <c r="W2402" s="84"/>
      <c r="X2402" s="84"/>
    </row>
    <row r="2403" ht="15.75" customHeight="1">
      <c r="A2403" s="14" t="s">
        <v>4153</v>
      </c>
      <c r="B2403" s="14">
        <v>2013.0</v>
      </c>
      <c r="C2403" s="14" t="s">
        <v>24979</v>
      </c>
      <c r="D2403" s="14" t="s">
        <v>24980</v>
      </c>
      <c r="E2403" s="150" t="str">
        <f t="shared" si="29"/>
        <v>http://dx.doi.org/10.1109/TVCG.2013.129</v>
      </c>
      <c r="F2403" s="14">
        <v>2936.0</v>
      </c>
      <c r="G2403" s="14">
        <v>2945.0</v>
      </c>
      <c r="H2403" s="14" t="s">
        <v>17059</v>
      </c>
      <c r="I2403" s="14" t="s">
        <v>24981</v>
      </c>
      <c r="J2403" s="130" t="s">
        <v>24982</v>
      </c>
      <c r="K2403" s="152" t="s">
        <v>28000</v>
      </c>
      <c r="L2403" s="20" t="s">
        <v>24984</v>
      </c>
      <c r="M2403" s="174" t="s">
        <v>24985</v>
      </c>
      <c r="N2403" s="84"/>
      <c r="O2403" s="84"/>
      <c r="P2403" s="84"/>
      <c r="Q2403" s="84"/>
      <c r="R2403" s="84"/>
      <c r="S2403" s="84"/>
      <c r="T2403" s="84"/>
      <c r="U2403" s="84"/>
      <c r="V2403" s="84"/>
      <c r="W2403" s="84"/>
      <c r="X2403" s="84"/>
    </row>
    <row r="2404" ht="15.75" customHeight="1">
      <c r="A2404" s="14" t="s">
        <v>4153</v>
      </c>
      <c r="B2404" s="14">
        <v>2013.0</v>
      </c>
      <c r="C2404" s="14" t="s">
        <v>24986</v>
      </c>
      <c r="D2404" s="14" t="s">
        <v>24987</v>
      </c>
      <c r="E2404" s="150" t="str">
        <f t="shared" si="29"/>
        <v>http://dx.doi.org/10.1109/TVCG.2013.131</v>
      </c>
      <c r="F2404" s="14">
        <v>2896.0</v>
      </c>
      <c r="G2404" s="14">
        <v>2905.0</v>
      </c>
      <c r="H2404" s="14" t="s">
        <v>17059</v>
      </c>
      <c r="I2404" s="14" t="s">
        <v>24988</v>
      </c>
      <c r="J2404" s="130" t="s">
        <v>24989</v>
      </c>
      <c r="K2404" s="152" t="s">
        <v>28005</v>
      </c>
      <c r="L2404" s="20" t="s">
        <v>24991</v>
      </c>
      <c r="M2404" s="174" t="s">
        <v>24992</v>
      </c>
      <c r="N2404" s="84"/>
      <c r="O2404" s="84"/>
      <c r="P2404" s="84"/>
      <c r="Q2404" s="84"/>
      <c r="R2404" s="84"/>
      <c r="S2404" s="84"/>
      <c r="T2404" s="84"/>
      <c r="U2404" s="84"/>
      <c r="V2404" s="84"/>
      <c r="W2404" s="84"/>
      <c r="X2404" s="84"/>
    </row>
    <row r="2405" ht="15.75" customHeight="1">
      <c r="A2405" s="14" t="s">
        <v>4153</v>
      </c>
      <c r="B2405" s="14">
        <v>2013.0</v>
      </c>
      <c r="C2405" s="14" t="s">
        <v>24993</v>
      </c>
      <c r="D2405" s="54" t="s">
        <v>24994</v>
      </c>
      <c r="E2405" s="156" t="str">
        <f>HYPERLINK("http://dx.doi.org/10.1109/TVCG.2013.133","http://dx.doi.org/10.1109/TVCG.2013.133")</f>
        <v>http://dx.doi.org/10.1109/TVCG.2013.133</v>
      </c>
      <c r="F2405" s="122">
        <v>2683.0</v>
      </c>
      <c r="G2405" s="50">
        <v>2692.0</v>
      </c>
      <c r="H2405" s="14" t="s">
        <v>17059</v>
      </c>
      <c r="I2405" s="14" t="s">
        <v>24995</v>
      </c>
      <c r="J2405" s="130" t="s">
        <v>24996</v>
      </c>
      <c r="K2405" s="152" t="s">
        <v>28009</v>
      </c>
      <c r="L2405" s="20" t="s">
        <v>24998</v>
      </c>
      <c r="M2405" s="174" t="s">
        <v>24999</v>
      </c>
      <c r="N2405" s="84"/>
      <c r="O2405" s="84"/>
      <c r="P2405" s="84"/>
      <c r="Q2405" s="84"/>
      <c r="R2405" s="84"/>
      <c r="S2405" s="84"/>
      <c r="T2405" s="84"/>
      <c r="U2405" s="84"/>
      <c r="V2405" s="84"/>
      <c r="W2405" s="84"/>
      <c r="X2405" s="84"/>
    </row>
    <row r="2406" ht="15.75" customHeight="1">
      <c r="A2406" s="14" t="s">
        <v>4153</v>
      </c>
      <c r="B2406" s="14">
        <v>2013.0</v>
      </c>
      <c r="C2406" s="14" t="s">
        <v>25000</v>
      </c>
      <c r="D2406" s="14" t="s">
        <v>25001</v>
      </c>
      <c r="E2406" s="150" t="str">
        <f t="shared" ref="E2406:E2460" si="30">"http://dx.doi.org/" &amp; D2406</f>
        <v>http://dx.doi.org/10.1109/TVCG.2013.135</v>
      </c>
      <c r="F2406" s="14">
        <v>2838.0</v>
      </c>
      <c r="G2406" s="14">
        <v>2847.0</v>
      </c>
      <c r="H2406" s="14" t="s">
        <v>17059</v>
      </c>
      <c r="I2406" s="14" t="s">
        <v>28013</v>
      </c>
      <c r="J2406" s="130" t="s">
        <v>25003</v>
      </c>
      <c r="K2406" s="152" t="s">
        <v>1253</v>
      </c>
      <c r="L2406" s="20" t="s">
        <v>23177</v>
      </c>
      <c r="M2406" s="174" t="s">
        <v>25006</v>
      </c>
      <c r="N2406" s="84"/>
      <c r="O2406" s="84"/>
      <c r="P2406" s="84"/>
      <c r="Q2406" s="84"/>
      <c r="R2406" s="84"/>
      <c r="S2406" s="84"/>
      <c r="T2406" s="84"/>
      <c r="U2406" s="84"/>
      <c r="V2406" s="84"/>
      <c r="W2406" s="84"/>
      <c r="X2406" s="84"/>
    </row>
    <row r="2407" ht="15.75" customHeight="1">
      <c r="A2407" s="14" t="s">
        <v>4153</v>
      </c>
      <c r="B2407" s="14">
        <v>2013.0</v>
      </c>
      <c r="C2407" s="14" t="s">
        <v>25007</v>
      </c>
      <c r="D2407" s="14" t="s">
        <v>25008</v>
      </c>
      <c r="E2407" s="150" t="str">
        <f t="shared" si="30"/>
        <v>http://dx.doi.org/10.1109/TVCG.2013.138</v>
      </c>
      <c r="F2407" s="14">
        <v>2703.0</v>
      </c>
      <c r="G2407" s="14">
        <v>2712.0</v>
      </c>
      <c r="H2407" s="14" t="s">
        <v>17059</v>
      </c>
      <c r="I2407" s="14" t="s">
        <v>25009</v>
      </c>
      <c r="J2407" s="130" t="s">
        <v>25010</v>
      </c>
      <c r="K2407" s="152" t="s">
        <v>1253</v>
      </c>
      <c r="L2407" s="20" t="s">
        <v>25013</v>
      </c>
      <c r="M2407" s="174" t="s">
        <v>25014</v>
      </c>
      <c r="N2407" s="84"/>
      <c r="O2407" s="84"/>
      <c r="P2407" s="84"/>
      <c r="Q2407" s="84"/>
      <c r="R2407" s="84"/>
      <c r="S2407" s="84"/>
      <c r="T2407" s="84"/>
      <c r="U2407" s="84"/>
      <c r="V2407" s="84"/>
      <c r="W2407" s="84"/>
      <c r="X2407" s="84"/>
    </row>
    <row r="2408" ht="15.75" customHeight="1">
      <c r="A2408" s="14" t="s">
        <v>4153</v>
      </c>
      <c r="B2408" s="14">
        <v>2013.0</v>
      </c>
      <c r="C2408" s="14" t="s">
        <v>25015</v>
      </c>
      <c r="D2408" s="14" t="s">
        <v>25016</v>
      </c>
      <c r="E2408" s="150" t="str">
        <f t="shared" si="30"/>
        <v>http://dx.doi.org/10.1109/TVCG.2013.139</v>
      </c>
      <c r="F2408" s="14">
        <v>2848.0</v>
      </c>
      <c r="G2408" s="14">
        <v>2857.0</v>
      </c>
      <c r="H2408" s="14" t="s">
        <v>17059</v>
      </c>
      <c r="I2408" s="14" t="s">
        <v>25017</v>
      </c>
      <c r="J2408" s="130" t="s">
        <v>25018</v>
      </c>
      <c r="K2408" s="152" t="s">
        <v>28018</v>
      </c>
      <c r="L2408" s="20" t="s">
        <v>25021</v>
      </c>
      <c r="M2408" s="174" t="s">
        <v>25022</v>
      </c>
      <c r="N2408" s="84"/>
      <c r="O2408" s="84"/>
      <c r="P2408" s="84"/>
      <c r="Q2408" s="84"/>
      <c r="R2408" s="84"/>
      <c r="S2408" s="84"/>
      <c r="T2408" s="84"/>
      <c r="U2408" s="84"/>
      <c r="V2408" s="84"/>
      <c r="W2408" s="84"/>
      <c r="X2408" s="84"/>
    </row>
    <row r="2409" ht="15.75" customHeight="1">
      <c r="A2409" s="14" t="s">
        <v>4153</v>
      </c>
      <c r="B2409" s="14">
        <v>2013.0</v>
      </c>
      <c r="C2409" s="14" t="s">
        <v>25023</v>
      </c>
      <c r="D2409" s="14" t="s">
        <v>25024</v>
      </c>
      <c r="E2409" s="150" t="str">
        <f t="shared" si="30"/>
        <v>http://dx.doi.org/10.1109/TVCG.2013.141</v>
      </c>
      <c r="F2409" s="14">
        <v>2743.0</v>
      </c>
      <c r="G2409" s="14">
        <v>2752.0</v>
      </c>
      <c r="H2409" s="14" t="s">
        <v>17059</v>
      </c>
      <c r="I2409" s="14" t="s">
        <v>25025</v>
      </c>
      <c r="J2409" s="130" t="s">
        <v>25026</v>
      </c>
      <c r="K2409" s="152" t="s">
        <v>28021</v>
      </c>
      <c r="L2409" s="20" t="s">
        <v>25028</v>
      </c>
      <c r="M2409" s="174" t="s">
        <v>25029</v>
      </c>
      <c r="N2409" s="84"/>
      <c r="O2409" s="84"/>
      <c r="P2409" s="84"/>
      <c r="Q2409" s="84"/>
      <c r="R2409" s="84"/>
      <c r="S2409" s="84"/>
      <c r="T2409" s="84"/>
      <c r="U2409" s="84"/>
      <c r="V2409" s="84"/>
      <c r="W2409" s="84"/>
      <c r="X2409" s="84"/>
    </row>
    <row r="2410" ht="15.75" customHeight="1">
      <c r="A2410" s="14" t="s">
        <v>4153</v>
      </c>
      <c r="B2410" s="14">
        <v>2013.0</v>
      </c>
      <c r="C2410" s="14" t="s">
        <v>25030</v>
      </c>
      <c r="D2410" s="14" t="s">
        <v>25031</v>
      </c>
      <c r="E2410" s="150" t="str">
        <f t="shared" si="30"/>
        <v>http://dx.doi.org/10.1109/TVCG.2013.142</v>
      </c>
      <c r="F2410" s="14">
        <v>2868.0</v>
      </c>
      <c r="G2410" s="14">
        <v>2877.0</v>
      </c>
      <c r="H2410" s="14" t="s">
        <v>17059</v>
      </c>
      <c r="I2410" s="14" t="s">
        <v>25032</v>
      </c>
      <c r="J2410" s="130" t="s">
        <v>41743</v>
      </c>
      <c r="K2410" s="152" t="s">
        <v>28023</v>
      </c>
      <c r="L2410" s="20" t="s">
        <v>25036</v>
      </c>
      <c r="M2410" s="174" t="s">
        <v>25037</v>
      </c>
      <c r="N2410" s="84"/>
      <c r="O2410" s="84"/>
      <c r="P2410" s="84"/>
      <c r="Q2410" s="84"/>
      <c r="R2410" s="84"/>
      <c r="S2410" s="84"/>
      <c r="T2410" s="84"/>
      <c r="U2410" s="84"/>
      <c r="V2410" s="84"/>
      <c r="W2410" s="84"/>
      <c r="X2410" s="84"/>
    </row>
    <row r="2411" ht="15.75" customHeight="1">
      <c r="A2411" s="14" t="s">
        <v>4153</v>
      </c>
      <c r="B2411" s="14">
        <v>2013.0</v>
      </c>
      <c r="C2411" s="14" t="s">
        <v>25038</v>
      </c>
      <c r="D2411" s="14" t="s">
        <v>25039</v>
      </c>
      <c r="E2411" s="150" t="str">
        <f t="shared" si="30"/>
        <v>http://dx.doi.org/10.1109/TVCG.2013.143</v>
      </c>
      <c r="F2411" s="14">
        <v>2713.0</v>
      </c>
      <c r="G2411" s="14">
        <v>2722.0</v>
      </c>
      <c r="H2411" s="14" t="s">
        <v>17059</v>
      </c>
      <c r="I2411" s="14" t="s">
        <v>25040</v>
      </c>
      <c r="J2411" s="130" t="s">
        <v>25041</v>
      </c>
      <c r="K2411" s="152" t="s">
        <v>26046</v>
      </c>
      <c r="L2411" s="20" t="s">
        <v>25044</v>
      </c>
      <c r="M2411" s="174" t="s">
        <v>25045</v>
      </c>
      <c r="N2411" s="84"/>
      <c r="O2411" s="84"/>
      <c r="P2411" s="84"/>
      <c r="Q2411" s="84"/>
      <c r="R2411" s="84"/>
      <c r="S2411" s="84"/>
      <c r="T2411" s="84"/>
      <c r="U2411" s="84"/>
      <c r="V2411" s="84"/>
      <c r="W2411" s="84"/>
      <c r="X2411" s="84"/>
    </row>
    <row r="2412" ht="15.75" customHeight="1">
      <c r="A2412" s="14" t="s">
        <v>4153</v>
      </c>
      <c r="B2412" s="14">
        <v>2013.0</v>
      </c>
      <c r="C2412" s="14" t="s">
        <v>25046</v>
      </c>
      <c r="D2412" s="14" t="s">
        <v>25047</v>
      </c>
      <c r="E2412" s="150" t="str">
        <f t="shared" si="30"/>
        <v>http://dx.doi.org/10.1109/TVCG.2013.144</v>
      </c>
      <c r="F2412" s="14">
        <v>2733.0</v>
      </c>
      <c r="G2412" s="14">
        <v>2742.0</v>
      </c>
      <c r="H2412" s="14" t="s">
        <v>17059</v>
      </c>
      <c r="I2412" s="14" t="s">
        <v>25048</v>
      </c>
      <c r="J2412" s="130" t="s">
        <v>25050</v>
      </c>
      <c r="K2412" s="152" t="s">
        <v>28026</v>
      </c>
      <c r="L2412" s="20" t="s">
        <v>25052</v>
      </c>
      <c r="M2412" s="174" t="s">
        <v>25053</v>
      </c>
      <c r="N2412" s="84"/>
      <c r="O2412" s="84"/>
      <c r="P2412" s="84"/>
      <c r="Q2412" s="84"/>
      <c r="R2412" s="84"/>
      <c r="S2412" s="84"/>
      <c r="T2412" s="84"/>
      <c r="U2412" s="84"/>
      <c r="V2412" s="84"/>
      <c r="W2412" s="84"/>
      <c r="X2412" s="84"/>
    </row>
    <row r="2413" ht="15.75" customHeight="1">
      <c r="A2413" s="14" t="s">
        <v>4153</v>
      </c>
      <c r="B2413" s="14">
        <v>2013.0</v>
      </c>
      <c r="C2413" s="14" t="s">
        <v>25054</v>
      </c>
      <c r="D2413" s="14" t="s">
        <v>25055</v>
      </c>
      <c r="E2413" s="150" t="str">
        <f t="shared" si="30"/>
        <v>http://dx.doi.org/10.1109/TVCG.2013.147</v>
      </c>
      <c r="F2413" s="14">
        <v>2783.0</v>
      </c>
      <c r="G2413" s="14">
        <v>2791.0</v>
      </c>
      <c r="H2413" s="14" t="s">
        <v>17059</v>
      </c>
      <c r="I2413" s="14" t="s">
        <v>25056</v>
      </c>
      <c r="J2413" s="130" t="s">
        <v>25057</v>
      </c>
      <c r="K2413" s="152" t="s">
        <v>28032</v>
      </c>
      <c r="L2413" s="20" t="s">
        <v>25059</v>
      </c>
      <c r="M2413" s="174" t="s">
        <v>25060</v>
      </c>
      <c r="N2413" s="84"/>
      <c r="O2413" s="84"/>
      <c r="P2413" s="84"/>
      <c r="Q2413" s="84"/>
      <c r="R2413" s="84"/>
      <c r="S2413" s="84"/>
      <c r="T2413" s="84"/>
      <c r="U2413" s="84"/>
      <c r="V2413" s="84"/>
      <c r="W2413" s="84"/>
      <c r="X2413" s="84"/>
    </row>
    <row r="2414" ht="15.75" customHeight="1">
      <c r="A2414" s="14" t="s">
        <v>4153</v>
      </c>
      <c r="B2414" s="14">
        <v>2013.0</v>
      </c>
      <c r="C2414" s="14" t="s">
        <v>25061</v>
      </c>
      <c r="D2414" s="14" t="s">
        <v>25062</v>
      </c>
      <c r="E2414" s="150" t="str">
        <f t="shared" si="30"/>
        <v>http://dx.doi.org/10.1109/TVCG.2013.148</v>
      </c>
      <c r="F2414" s="14">
        <v>2663.0</v>
      </c>
      <c r="G2414" s="14">
        <v>2672.0</v>
      </c>
      <c r="H2414" s="14" t="s">
        <v>17059</v>
      </c>
      <c r="I2414" s="14" t="s">
        <v>25063</v>
      </c>
      <c r="J2414" s="130" t="s">
        <v>23428</v>
      </c>
      <c r="K2414" s="152" t="s">
        <v>26421</v>
      </c>
      <c r="L2414" s="20" t="s">
        <v>25065</v>
      </c>
      <c r="M2414" s="174" t="s">
        <v>25066</v>
      </c>
      <c r="N2414" s="84"/>
      <c r="O2414" s="84"/>
      <c r="P2414" s="84"/>
      <c r="Q2414" s="84"/>
      <c r="R2414" s="84"/>
      <c r="S2414" s="84"/>
      <c r="T2414" s="84"/>
      <c r="U2414" s="84"/>
      <c r="V2414" s="84"/>
      <c r="W2414" s="84"/>
      <c r="X2414" s="84"/>
    </row>
    <row r="2415" ht="15.75" customHeight="1">
      <c r="A2415" s="14" t="s">
        <v>4153</v>
      </c>
      <c r="B2415" s="14">
        <v>2013.0</v>
      </c>
      <c r="C2415" s="14" t="s">
        <v>25067</v>
      </c>
      <c r="D2415" s="14" t="s">
        <v>25068</v>
      </c>
      <c r="E2415" s="150" t="str">
        <f t="shared" si="30"/>
        <v>http://dx.doi.org/10.1109/TVCG.2013.152</v>
      </c>
      <c r="F2415" s="14">
        <v>2693.0</v>
      </c>
      <c r="G2415" s="14">
        <v>2702.0</v>
      </c>
      <c r="H2415" s="14" t="s">
        <v>17059</v>
      </c>
      <c r="I2415" s="14" t="s">
        <v>25069</v>
      </c>
      <c r="J2415" s="130" t="s">
        <v>21264</v>
      </c>
      <c r="K2415" s="152" t="s">
        <v>12159</v>
      </c>
      <c r="L2415" s="20" t="s">
        <v>25070</v>
      </c>
      <c r="M2415" s="174" t="s">
        <v>25071</v>
      </c>
      <c r="N2415" s="84"/>
      <c r="O2415" s="84"/>
      <c r="P2415" s="84"/>
      <c r="Q2415" s="84"/>
      <c r="R2415" s="84"/>
      <c r="S2415" s="84"/>
      <c r="T2415" s="84"/>
      <c r="U2415" s="84"/>
      <c r="V2415" s="84"/>
      <c r="W2415" s="84"/>
      <c r="X2415" s="84"/>
    </row>
    <row r="2416" ht="15.75" customHeight="1">
      <c r="A2416" s="14" t="s">
        <v>4153</v>
      </c>
      <c r="B2416" s="14">
        <v>2013.0</v>
      </c>
      <c r="C2416" s="14" t="s">
        <v>25072</v>
      </c>
      <c r="D2416" s="14" t="s">
        <v>25073</v>
      </c>
      <c r="E2416" s="150" t="str">
        <f t="shared" si="30"/>
        <v>http://dx.doi.org/10.1109/TVCG.2013.156</v>
      </c>
      <c r="F2416" s="14">
        <v>2810.0</v>
      </c>
      <c r="G2416" s="14">
        <v>2817.0</v>
      </c>
      <c r="H2416" s="14" t="s">
        <v>17059</v>
      </c>
      <c r="I2416" s="14" t="s">
        <v>25074</v>
      </c>
      <c r="J2416" s="130" t="s">
        <v>25075</v>
      </c>
      <c r="K2416" s="152" t="s">
        <v>5349</v>
      </c>
      <c r="L2416" s="20" t="s">
        <v>25077</v>
      </c>
      <c r="M2416" s="174" t="s">
        <v>25078</v>
      </c>
      <c r="N2416" s="84"/>
      <c r="O2416" s="84"/>
      <c r="P2416" s="84"/>
      <c r="Q2416" s="84"/>
      <c r="R2416" s="84"/>
      <c r="S2416" s="84"/>
      <c r="T2416" s="84"/>
      <c r="U2416" s="84"/>
      <c r="V2416" s="84"/>
      <c r="W2416" s="84"/>
      <c r="X2416" s="84"/>
    </row>
    <row r="2417" ht="15.75" customHeight="1">
      <c r="A2417" s="14" t="s">
        <v>4153</v>
      </c>
      <c r="B2417" s="14">
        <v>2013.0</v>
      </c>
      <c r="C2417" s="14" t="s">
        <v>25079</v>
      </c>
      <c r="D2417" s="14" t="s">
        <v>25080</v>
      </c>
      <c r="E2417" s="150" t="str">
        <f t="shared" si="30"/>
        <v>http://dx.doi.org/10.1109/TVCG.2013.158</v>
      </c>
      <c r="F2417" s="14">
        <v>2653.0</v>
      </c>
      <c r="G2417" s="14">
        <v>2662.0</v>
      </c>
      <c r="H2417" s="14" t="s">
        <v>17059</v>
      </c>
      <c r="I2417" s="14" t="s">
        <v>25081</v>
      </c>
      <c r="J2417" s="130" t="s">
        <v>25082</v>
      </c>
      <c r="K2417" s="152" t="s">
        <v>28089</v>
      </c>
      <c r="L2417" s="20" t="s">
        <v>25084</v>
      </c>
      <c r="M2417" s="174" t="s">
        <v>25085</v>
      </c>
      <c r="N2417" s="84"/>
      <c r="O2417" s="84"/>
      <c r="P2417" s="84"/>
      <c r="Q2417" s="84"/>
      <c r="R2417" s="84"/>
      <c r="S2417" s="84"/>
      <c r="T2417" s="84"/>
      <c r="U2417" s="84"/>
      <c r="V2417" s="84"/>
      <c r="W2417" s="84"/>
      <c r="X2417" s="84"/>
    </row>
    <row r="2418" ht="15.75" customHeight="1">
      <c r="A2418" s="14" t="s">
        <v>4153</v>
      </c>
      <c r="B2418" s="14">
        <v>2013.0</v>
      </c>
      <c r="C2418" s="14" t="s">
        <v>25086</v>
      </c>
      <c r="D2418" s="14" t="s">
        <v>25087</v>
      </c>
      <c r="E2418" s="150" t="str">
        <f t="shared" si="30"/>
        <v>http://dx.doi.org/10.1109/TVCG.2013.159</v>
      </c>
      <c r="F2418" s="14">
        <v>2673.0</v>
      </c>
      <c r="G2418" s="14">
        <v>2682.0</v>
      </c>
      <c r="H2418" s="14" t="s">
        <v>17059</v>
      </c>
      <c r="I2418" s="14" t="s">
        <v>25088</v>
      </c>
      <c r="J2418" s="130" t="s">
        <v>25089</v>
      </c>
      <c r="K2418" s="152" t="s">
        <v>28096</v>
      </c>
      <c r="L2418" s="20" t="s">
        <v>25091</v>
      </c>
      <c r="M2418" s="174" t="s">
        <v>25092</v>
      </c>
      <c r="N2418" s="84"/>
      <c r="O2418" s="84"/>
      <c r="P2418" s="84"/>
      <c r="Q2418" s="84"/>
      <c r="R2418" s="84"/>
      <c r="S2418" s="84"/>
      <c r="T2418" s="84"/>
      <c r="U2418" s="84"/>
      <c r="V2418" s="84"/>
      <c r="W2418" s="84"/>
      <c r="X2418" s="84"/>
    </row>
    <row r="2419" ht="15.75" customHeight="1">
      <c r="A2419" s="14" t="s">
        <v>4153</v>
      </c>
      <c r="B2419" s="14">
        <v>2013.0</v>
      </c>
      <c r="C2419" s="14" t="s">
        <v>25093</v>
      </c>
      <c r="D2419" s="14" t="s">
        <v>25094</v>
      </c>
      <c r="E2419" s="150" t="str">
        <f t="shared" si="30"/>
        <v>http://dx.doi.org/10.1109/TVCG.2013.161</v>
      </c>
      <c r="F2419" s="14">
        <v>2916.0</v>
      </c>
      <c r="G2419" s="14">
        <v>2925.0</v>
      </c>
      <c r="H2419" s="14" t="s">
        <v>17059</v>
      </c>
      <c r="I2419" s="14" t="s">
        <v>25095</v>
      </c>
      <c r="J2419" s="130" t="s">
        <v>25096</v>
      </c>
      <c r="K2419" s="152" t="s">
        <v>28111</v>
      </c>
      <c r="L2419" s="20" t="s">
        <v>25099</v>
      </c>
      <c r="M2419" s="174" t="s">
        <v>25100</v>
      </c>
      <c r="N2419" s="84"/>
      <c r="O2419" s="84"/>
      <c r="P2419" s="84"/>
      <c r="Q2419" s="84"/>
      <c r="R2419" s="84"/>
      <c r="S2419" s="84"/>
      <c r="T2419" s="84"/>
      <c r="U2419" s="84"/>
      <c r="V2419" s="84"/>
      <c r="W2419" s="84"/>
      <c r="X2419" s="84"/>
    </row>
    <row r="2420" ht="15.75" customHeight="1">
      <c r="A2420" s="14" t="s">
        <v>4153</v>
      </c>
      <c r="B2420" s="14">
        <v>2013.0</v>
      </c>
      <c r="C2420" s="14" t="s">
        <v>25101</v>
      </c>
      <c r="D2420" s="14" t="s">
        <v>25102</v>
      </c>
      <c r="E2420" s="150" t="str">
        <f t="shared" si="30"/>
        <v>http://dx.doi.org/10.1109/TVCG.2013.169</v>
      </c>
      <c r="F2420" s="14">
        <v>2828.0</v>
      </c>
      <c r="G2420" s="14">
        <v>2837.0</v>
      </c>
      <c r="H2420" s="14" t="s">
        <v>17059</v>
      </c>
      <c r="I2420" s="14" t="s">
        <v>25103</v>
      </c>
      <c r="J2420" s="130" t="s">
        <v>25104</v>
      </c>
      <c r="K2420" s="152" t="s">
        <v>28176</v>
      </c>
      <c r="L2420" s="20" t="s">
        <v>25106</v>
      </c>
      <c r="M2420" s="174" t="s">
        <v>25107</v>
      </c>
      <c r="N2420" s="84"/>
      <c r="O2420" s="84"/>
      <c r="P2420" s="84"/>
      <c r="Q2420" s="84"/>
      <c r="R2420" s="84"/>
      <c r="S2420" s="84"/>
      <c r="T2420" s="84"/>
      <c r="U2420" s="84"/>
      <c r="V2420" s="84"/>
      <c r="W2420" s="84"/>
      <c r="X2420" s="84"/>
    </row>
    <row r="2421" ht="15.75" customHeight="1">
      <c r="A2421" s="14" t="s">
        <v>4153</v>
      </c>
      <c r="B2421" s="14">
        <v>2013.0</v>
      </c>
      <c r="C2421" s="14" t="s">
        <v>25108</v>
      </c>
      <c r="D2421" s="14" t="s">
        <v>25109</v>
      </c>
      <c r="E2421" s="150" t="str">
        <f t="shared" si="30"/>
        <v>http://dx.doi.org/10.1109/TVCG.2013.172</v>
      </c>
      <c r="F2421" s="14">
        <v>2946.0</v>
      </c>
      <c r="G2421" s="14">
        <v>2955.0</v>
      </c>
      <c r="H2421" s="14" t="s">
        <v>17059</v>
      </c>
      <c r="I2421" s="14" t="s">
        <v>25110</v>
      </c>
      <c r="J2421" s="130" t="s">
        <v>25111</v>
      </c>
      <c r="K2421" s="152" t="s">
        <v>28195</v>
      </c>
      <c r="L2421" s="20" t="s">
        <v>25112</v>
      </c>
      <c r="M2421" s="174" t="s">
        <v>25113</v>
      </c>
      <c r="N2421" s="84"/>
      <c r="O2421" s="84"/>
      <c r="P2421" s="84"/>
      <c r="Q2421" s="84"/>
      <c r="R2421" s="84"/>
      <c r="S2421" s="84"/>
      <c r="T2421" s="84"/>
      <c r="U2421" s="84"/>
      <c r="V2421" s="84"/>
      <c r="W2421" s="84"/>
      <c r="X2421" s="84"/>
    </row>
    <row r="2422" ht="15.75" customHeight="1">
      <c r="A2422" s="14" t="s">
        <v>4153</v>
      </c>
      <c r="B2422" s="14">
        <v>2013.0</v>
      </c>
      <c r="C2422" s="14" t="s">
        <v>25114</v>
      </c>
      <c r="D2422" s="14" t="s">
        <v>25115</v>
      </c>
      <c r="E2422" s="150" t="str">
        <f t="shared" si="30"/>
        <v>http://dx.doi.org/10.1109/TVCG.2013.174</v>
      </c>
      <c r="F2422" s="14">
        <v>2878.0</v>
      </c>
      <c r="G2422" s="14">
        <v>2885.0</v>
      </c>
      <c r="H2422" s="14" t="s">
        <v>17059</v>
      </c>
      <c r="I2422" s="14" t="s">
        <v>25116</v>
      </c>
      <c r="J2422" s="130" t="s">
        <v>25117</v>
      </c>
      <c r="K2422" s="152" t="s">
        <v>28210</v>
      </c>
      <c r="L2422" s="20" t="s">
        <v>18721</v>
      </c>
      <c r="M2422" s="174" t="s">
        <v>25119</v>
      </c>
      <c r="N2422" s="84"/>
      <c r="O2422" s="84"/>
      <c r="P2422" s="84"/>
      <c r="Q2422" s="84"/>
      <c r="R2422" s="84"/>
      <c r="S2422" s="84"/>
      <c r="T2422" s="84"/>
      <c r="U2422" s="84"/>
      <c r="V2422" s="84"/>
      <c r="W2422" s="84"/>
      <c r="X2422" s="84"/>
    </row>
    <row r="2423" ht="15.75" customHeight="1">
      <c r="A2423" s="14" t="s">
        <v>4153</v>
      </c>
      <c r="B2423" s="14">
        <v>2013.0</v>
      </c>
      <c r="C2423" s="14" t="s">
        <v>25120</v>
      </c>
      <c r="D2423" s="14" t="s">
        <v>25121</v>
      </c>
      <c r="E2423" s="150" t="str">
        <f t="shared" si="30"/>
        <v>http://dx.doi.org/10.1109/TVCG.2013.177</v>
      </c>
      <c r="F2423" s="14">
        <v>2906.0</v>
      </c>
      <c r="G2423" s="14">
        <v>2915.0</v>
      </c>
      <c r="H2423" s="14" t="s">
        <v>17059</v>
      </c>
      <c r="I2423" s="14" t="s">
        <v>25122</v>
      </c>
      <c r="J2423" s="130" t="s">
        <v>41744</v>
      </c>
      <c r="K2423" s="152" t="s">
        <v>28221</v>
      </c>
      <c r="L2423" s="20" t="s">
        <v>25125</v>
      </c>
      <c r="M2423" s="174" t="s">
        <v>25126</v>
      </c>
      <c r="N2423" s="84"/>
      <c r="O2423" s="84"/>
      <c r="P2423" s="84"/>
      <c r="Q2423" s="84"/>
      <c r="R2423" s="84"/>
      <c r="S2423" s="84"/>
      <c r="T2423" s="84"/>
      <c r="U2423" s="84"/>
      <c r="V2423" s="84"/>
      <c r="W2423" s="84"/>
      <c r="X2423" s="84"/>
    </row>
    <row r="2424" ht="15.75" customHeight="1">
      <c r="A2424" s="14" t="s">
        <v>4153</v>
      </c>
      <c r="B2424" s="14">
        <v>2013.0</v>
      </c>
      <c r="C2424" s="14" t="s">
        <v>25127</v>
      </c>
      <c r="D2424" s="14" t="s">
        <v>25128</v>
      </c>
      <c r="E2424" s="150" t="str">
        <f t="shared" si="30"/>
        <v>http://dx.doi.org/10.1109/TVCG.2013.180</v>
      </c>
      <c r="F2424" s="14">
        <v>2926.0</v>
      </c>
      <c r="G2424" s="14">
        <v>2935.0</v>
      </c>
      <c r="H2424" s="14" t="s">
        <v>17059</v>
      </c>
      <c r="I2424" s="14" t="s">
        <v>25129</v>
      </c>
      <c r="J2424" s="130" t="s">
        <v>25130</v>
      </c>
      <c r="K2424" s="152" t="s">
        <v>25796</v>
      </c>
      <c r="L2424" s="20" t="s">
        <v>25132</v>
      </c>
      <c r="M2424" s="174" t="s">
        <v>25133</v>
      </c>
      <c r="N2424" s="84"/>
      <c r="O2424" s="84"/>
      <c r="P2424" s="84"/>
      <c r="Q2424" s="84"/>
      <c r="R2424" s="84"/>
      <c r="S2424" s="84"/>
      <c r="T2424" s="84"/>
      <c r="U2424" s="84"/>
      <c r="V2424" s="84"/>
      <c r="W2424" s="84"/>
      <c r="X2424" s="84"/>
    </row>
    <row r="2425" ht="15.75" customHeight="1">
      <c r="A2425" s="14" t="s">
        <v>4153</v>
      </c>
      <c r="B2425" s="14">
        <v>2013.0</v>
      </c>
      <c r="C2425" s="14" t="s">
        <v>25134</v>
      </c>
      <c r="D2425" s="14" t="s">
        <v>25135</v>
      </c>
      <c r="E2425" s="150" t="str">
        <f t="shared" si="30"/>
        <v>http://dx.doi.org/10.1109/TVCG.2013.189</v>
      </c>
      <c r="F2425" s="14">
        <v>2773.0</v>
      </c>
      <c r="G2425" s="14">
        <v>2782.0</v>
      </c>
      <c r="H2425" s="14" t="s">
        <v>17059</v>
      </c>
      <c r="I2425" s="14" t="s">
        <v>25136</v>
      </c>
      <c r="J2425" s="130" t="s">
        <v>25138</v>
      </c>
      <c r="K2425" s="152" t="s">
        <v>860</v>
      </c>
      <c r="L2425" s="20" t="s">
        <v>25140</v>
      </c>
      <c r="M2425" s="174" t="s">
        <v>25141</v>
      </c>
      <c r="N2425" s="84"/>
      <c r="O2425" s="84"/>
      <c r="P2425" s="84"/>
      <c r="Q2425" s="84"/>
      <c r="R2425" s="84"/>
      <c r="S2425" s="84"/>
      <c r="T2425" s="84"/>
      <c r="U2425" s="84"/>
      <c r="V2425" s="84"/>
      <c r="W2425" s="84"/>
      <c r="X2425" s="84"/>
    </row>
    <row r="2426" ht="15.75" customHeight="1">
      <c r="A2426" s="14" t="s">
        <v>4153</v>
      </c>
      <c r="B2426" s="14">
        <v>2013.0</v>
      </c>
      <c r="C2426" s="14" t="s">
        <v>25142</v>
      </c>
      <c r="D2426" s="14" t="s">
        <v>25143</v>
      </c>
      <c r="E2426" s="150" t="str">
        <f t="shared" si="30"/>
        <v>http://dx.doi.org/10.1109/TVCG.2013.208</v>
      </c>
      <c r="F2426" s="14">
        <v>2723.0</v>
      </c>
      <c r="G2426" s="14">
        <v>2732.0</v>
      </c>
      <c r="H2426" s="14" t="s">
        <v>17059</v>
      </c>
      <c r="I2426" s="14" t="s">
        <v>25144</v>
      </c>
      <c r="J2426" s="130" t="s">
        <v>25145</v>
      </c>
      <c r="K2426" s="152" t="s">
        <v>28440</v>
      </c>
      <c r="L2426" s="20" t="s">
        <v>25147</v>
      </c>
      <c r="M2426" s="174" t="s">
        <v>25148</v>
      </c>
      <c r="N2426" s="84"/>
      <c r="O2426" s="84"/>
      <c r="P2426" s="84"/>
      <c r="Q2426" s="84"/>
      <c r="R2426" s="84"/>
      <c r="S2426" s="84"/>
      <c r="T2426" s="84"/>
      <c r="U2426" s="84"/>
      <c r="V2426" s="84"/>
      <c r="W2426" s="84"/>
      <c r="X2426" s="84"/>
    </row>
    <row r="2427" ht="15.75" customHeight="1">
      <c r="A2427" s="14" t="s">
        <v>4153</v>
      </c>
      <c r="B2427" s="14">
        <v>2013.0</v>
      </c>
      <c r="C2427" s="14" t="s">
        <v>25149</v>
      </c>
      <c r="D2427" s="14" t="s">
        <v>25150</v>
      </c>
      <c r="E2427" s="150" t="str">
        <f t="shared" si="30"/>
        <v>http://dx.doi.org/10.1109/TVCG.2013.215</v>
      </c>
      <c r="F2427" s="14">
        <v>2858.0</v>
      </c>
      <c r="G2427" s="14">
        <v>2867.0</v>
      </c>
      <c r="H2427" s="14" t="s">
        <v>17059</v>
      </c>
      <c r="I2427" s="14" t="s">
        <v>25151</v>
      </c>
      <c r="J2427" s="130" t="s">
        <v>41745</v>
      </c>
      <c r="K2427" s="152" t="s">
        <v>27966</v>
      </c>
      <c r="L2427" s="20" t="s">
        <v>25154</v>
      </c>
      <c r="M2427" s="174" t="s">
        <v>25155</v>
      </c>
      <c r="N2427" s="84"/>
      <c r="O2427" s="84"/>
      <c r="P2427" s="84"/>
      <c r="Q2427" s="84"/>
      <c r="R2427" s="84"/>
      <c r="S2427" s="84"/>
      <c r="T2427" s="84"/>
      <c r="U2427" s="84"/>
      <c r="V2427" s="84"/>
      <c r="W2427" s="84"/>
      <c r="X2427" s="84"/>
    </row>
    <row r="2428" ht="15.75" customHeight="1">
      <c r="A2428" s="14" t="s">
        <v>4153</v>
      </c>
      <c r="B2428" s="14">
        <v>2013.0</v>
      </c>
      <c r="C2428" s="14" t="s">
        <v>25156</v>
      </c>
      <c r="D2428" s="14" t="s">
        <v>25157</v>
      </c>
      <c r="E2428" s="150" t="str">
        <f t="shared" si="30"/>
        <v>http://dx.doi.org/10.1109/TVCG.2013.229</v>
      </c>
      <c r="F2428" s="14">
        <v>2763.0</v>
      </c>
      <c r="G2428" s="14">
        <v>2772.0</v>
      </c>
      <c r="H2428" s="14" t="s">
        <v>17059</v>
      </c>
      <c r="I2428" s="14" t="s">
        <v>25158</v>
      </c>
      <c r="J2428" s="130" t="s">
        <v>25159</v>
      </c>
      <c r="K2428" s="152" t="s">
        <v>28618</v>
      </c>
      <c r="L2428" s="20" t="s">
        <v>25162</v>
      </c>
      <c r="M2428" s="174" t="s">
        <v>25163</v>
      </c>
      <c r="N2428" s="84"/>
      <c r="O2428" s="84"/>
      <c r="P2428" s="84"/>
      <c r="Q2428" s="84"/>
      <c r="R2428" s="84"/>
      <c r="S2428" s="84"/>
      <c r="T2428" s="84"/>
      <c r="U2428" s="84"/>
      <c r="V2428" s="84"/>
      <c r="W2428" s="84"/>
      <c r="X2428" s="84"/>
    </row>
    <row r="2429" ht="15.75" customHeight="1">
      <c r="A2429" s="14" t="s">
        <v>120</v>
      </c>
      <c r="B2429" s="14">
        <v>2013.0</v>
      </c>
      <c r="C2429" s="14" t="s">
        <v>25164</v>
      </c>
      <c r="D2429" s="14" t="s">
        <v>25165</v>
      </c>
      <c r="E2429" s="150" t="str">
        <f t="shared" si="30"/>
        <v>http://dx.doi.org/10.1109/TVCG.2013.125</v>
      </c>
      <c r="F2429" s="14">
        <v>1962.0</v>
      </c>
      <c r="G2429" s="14">
        <v>1971.0</v>
      </c>
      <c r="H2429" s="14" t="s">
        <v>17059</v>
      </c>
      <c r="I2429" s="14" t="s">
        <v>25167</v>
      </c>
      <c r="J2429" s="130" t="s">
        <v>25168</v>
      </c>
      <c r="K2429" s="152" t="s">
        <v>178</v>
      </c>
      <c r="L2429" s="20" t="s">
        <v>25170</v>
      </c>
      <c r="M2429" s="174" t="s">
        <v>25171</v>
      </c>
      <c r="N2429" s="84"/>
      <c r="O2429" s="84"/>
      <c r="P2429" s="84"/>
      <c r="Q2429" s="84"/>
      <c r="R2429" s="84"/>
      <c r="S2429" s="84"/>
      <c r="T2429" s="84"/>
      <c r="U2429" s="84"/>
      <c r="V2429" s="84"/>
      <c r="W2429" s="84"/>
      <c r="X2429" s="84"/>
    </row>
    <row r="2430" ht="15.75" customHeight="1">
      <c r="A2430" s="14" t="s">
        <v>120</v>
      </c>
      <c r="B2430" s="14">
        <v>2013.0</v>
      </c>
      <c r="C2430" s="14" t="s">
        <v>25172</v>
      </c>
      <c r="D2430" s="14" t="s">
        <v>25173</v>
      </c>
      <c r="E2430" s="150" t="str">
        <f t="shared" si="30"/>
        <v>http://dx.doi.org/10.1109/TVCG.2013.132</v>
      </c>
      <c r="F2430" s="14">
        <v>2139.0</v>
      </c>
      <c r="G2430" s="14">
        <v>2148.0</v>
      </c>
      <c r="H2430" s="14" t="s">
        <v>17059</v>
      </c>
      <c r="I2430" s="14" t="s">
        <v>25174</v>
      </c>
      <c r="J2430" s="130" t="s">
        <v>25175</v>
      </c>
      <c r="K2430" s="152" t="s">
        <v>28007</v>
      </c>
      <c r="L2430" s="20" t="s">
        <v>25178</v>
      </c>
      <c r="M2430" s="174" t="s">
        <v>25179</v>
      </c>
      <c r="N2430" s="84"/>
      <c r="O2430" s="84"/>
      <c r="P2430" s="84"/>
      <c r="Q2430" s="84"/>
      <c r="R2430" s="84"/>
      <c r="S2430" s="84"/>
      <c r="T2430" s="84"/>
      <c r="U2430" s="84"/>
      <c r="V2430" s="84"/>
      <c r="W2430" s="84"/>
      <c r="X2430" s="84"/>
    </row>
    <row r="2431" ht="15.75" customHeight="1">
      <c r="A2431" s="14" t="s">
        <v>120</v>
      </c>
      <c r="B2431" s="14">
        <v>2013.0</v>
      </c>
      <c r="C2431" s="14" t="s">
        <v>25180</v>
      </c>
      <c r="D2431" s="14" t="s">
        <v>25181</v>
      </c>
      <c r="E2431" s="150" t="str">
        <f t="shared" si="30"/>
        <v>http://dx.doi.org/10.1109/TVCG.2013.146</v>
      </c>
      <c r="F2431" s="14">
        <v>1972.0</v>
      </c>
      <c r="G2431" s="14">
        <v>1981.0</v>
      </c>
      <c r="H2431" s="14" t="s">
        <v>17059</v>
      </c>
      <c r="I2431" s="14" t="s">
        <v>25182</v>
      </c>
      <c r="J2431" s="130" t="s">
        <v>25183</v>
      </c>
      <c r="K2431" s="152" t="s">
        <v>28030</v>
      </c>
      <c r="L2431" s="20" t="s">
        <v>25186</v>
      </c>
      <c r="M2431" s="174" t="s">
        <v>25187</v>
      </c>
      <c r="N2431" s="84"/>
      <c r="O2431" s="84"/>
      <c r="P2431" s="84"/>
      <c r="Q2431" s="84"/>
      <c r="R2431" s="84"/>
      <c r="S2431" s="84"/>
      <c r="T2431" s="84"/>
      <c r="U2431" s="84"/>
      <c r="V2431" s="84"/>
      <c r="W2431" s="84"/>
      <c r="X2431" s="84"/>
    </row>
    <row r="2432" ht="15.75" customHeight="1">
      <c r="A2432" s="14" t="s">
        <v>120</v>
      </c>
      <c r="B2432" s="14">
        <v>2013.0</v>
      </c>
      <c r="C2432" s="14" t="s">
        <v>25189</v>
      </c>
      <c r="D2432" s="14" t="s">
        <v>25190</v>
      </c>
      <c r="E2432" s="150" t="str">
        <f t="shared" si="30"/>
        <v>http://dx.doi.org/10.1109/TVCG.2013.157</v>
      </c>
      <c r="F2432" s="14">
        <v>2042.0</v>
      </c>
      <c r="G2432" s="14">
        <v>2051.0</v>
      </c>
      <c r="H2432" s="14" t="s">
        <v>17059</v>
      </c>
      <c r="I2432" s="14" t="s">
        <v>25192</v>
      </c>
      <c r="J2432" s="130" t="s">
        <v>25193</v>
      </c>
      <c r="K2432" s="152" t="s">
        <v>28078</v>
      </c>
      <c r="L2432" s="20" t="s">
        <v>25195</v>
      </c>
      <c r="M2432" s="174" t="s">
        <v>25196</v>
      </c>
      <c r="N2432" s="84"/>
      <c r="O2432" s="84"/>
      <c r="P2432" s="84"/>
      <c r="Q2432" s="84"/>
      <c r="R2432" s="84"/>
      <c r="S2432" s="84"/>
      <c r="T2432" s="84"/>
      <c r="U2432" s="84"/>
      <c r="V2432" s="84"/>
      <c r="W2432" s="84"/>
      <c r="X2432" s="84"/>
    </row>
    <row r="2433" ht="15.75" customHeight="1">
      <c r="A2433" s="14" t="s">
        <v>120</v>
      </c>
      <c r="B2433" s="14">
        <v>2013.0</v>
      </c>
      <c r="C2433" s="14" t="s">
        <v>25197</v>
      </c>
      <c r="D2433" s="14" t="s">
        <v>25198</v>
      </c>
      <c r="E2433" s="150" t="str">
        <f t="shared" si="30"/>
        <v>http://dx.doi.org/10.1109/TVCG.2013.162</v>
      </c>
      <c r="F2433" s="14">
        <v>2002.0</v>
      </c>
      <c r="G2433" s="14">
        <v>2011.0</v>
      </c>
      <c r="H2433" s="14" t="s">
        <v>17059</v>
      </c>
      <c r="I2433" s="14" t="s">
        <v>25199</v>
      </c>
      <c r="J2433" s="130" t="s">
        <v>25200</v>
      </c>
      <c r="K2433" s="152" t="s">
        <v>25727</v>
      </c>
      <c r="L2433" s="20" t="s">
        <v>25201</v>
      </c>
      <c r="M2433" s="174" t="s">
        <v>25202</v>
      </c>
      <c r="N2433" s="84"/>
      <c r="O2433" s="84"/>
      <c r="P2433" s="84"/>
      <c r="Q2433" s="84"/>
      <c r="R2433" s="84"/>
      <c r="S2433" s="84"/>
      <c r="T2433" s="84"/>
      <c r="U2433" s="84"/>
      <c r="V2433" s="84"/>
      <c r="W2433" s="84"/>
      <c r="X2433" s="84"/>
    </row>
    <row r="2434" ht="15.75" customHeight="1">
      <c r="A2434" s="14" t="s">
        <v>120</v>
      </c>
      <c r="B2434" s="14">
        <v>2013.0</v>
      </c>
      <c r="C2434" s="14" t="s">
        <v>25203</v>
      </c>
      <c r="D2434" s="14" t="s">
        <v>25204</v>
      </c>
      <c r="E2434" s="150" t="str">
        <f t="shared" si="30"/>
        <v>http://dx.doi.org/10.1109/TVCG.2013.164</v>
      </c>
      <c r="F2434" s="14">
        <v>2198.0</v>
      </c>
      <c r="G2434" s="14">
        <v>2206.0</v>
      </c>
      <c r="H2434" s="14" t="s">
        <v>17059</v>
      </c>
      <c r="I2434" s="14" t="s">
        <v>25207</v>
      </c>
      <c r="J2434" s="130" t="s">
        <v>25208</v>
      </c>
      <c r="K2434" s="152" t="s">
        <v>28142</v>
      </c>
      <c r="L2434" s="20" t="s">
        <v>18191</v>
      </c>
      <c r="M2434" s="174" t="s">
        <v>25210</v>
      </c>
      <c r="N2434" s="84"/>
      <c r="O2434" s="84"/>
      <c r="P2434" s="84"/>
      <c r="Q2434" s="84"/>
      <c r="R2434" s="84"/>
      <c r="S2434" s="84"/>
      <c r="T2434" s="84"/>
      <c r="U2434" s="84"/>
      <c r="V2434" s="84"/>
      <c r="W2434" s="84"/>
      <c r="X2434" s="84"/>
    </row>
    <row r="2435" ht="15.75" customHeight="1">
      <c r="A2435" s="14" t="s">
        <v>120</v>
      </c>
      <c r="B2435" s="14">
        <v>2013.0</v>
      </c>
      <c r="C2435" s="14" t="s">
        <v>25212</v>
      </c>
      <c r="D2435" s="14" t="s">
        <v>25213</v>
      </c>
      <c r="E2435" s="150" t="str">
        <f t="shared" si="30"/>
        <v>http://dx.doi.org/10.1109/TVCG.2013.167</v>
      </c>
      <c r="F2435" s="14">
        <v>2080.0</v>
      </c>
      <c r="G2435" s="14">
        <v>2089.0</v>
      </c>
      <c r="H2435" s="14" t="s">
        <v>17059</v>
      </c>
      <c r="I2435" s="14" t="s">
        <v>25214</v>
      </c>
      <c r="J2435" s="130" t="s">
        <v>25215</v>
      </c>
      <c r="K2435" s="152" t="s">
        <v>27366</v>
      </c>
      <c r="L2435" s="20" t="s">
        <v>25217</v>
      </c>
      <c r="M2435" s="174" t="s">
        <v>25218</v>
      </c>
      <c r="N2435" s="84"/>
      <c r="O2435" s="84"/>
      <c r="P2435" s="84"/>
      <c r="Q2435" s="84"/>
      <c r="R2435" s="84"/>
      <c r="S2435" s="84"/>
      <c r="T2435" s="84"/>
      <c r="U2435" s="84"/>
      <c r="V2435" s="84"/>
      <c r="W2435" s="84"/>
      <c r="X2435" s="84"/>
    </row>
    <row r="2436" ht="15.75" customHeight="1">
      <c r="A2436" s="14" t="s">
        <v>120</v>
      </c>
      <c r="B2436" s="14">
        <v>2013.0</v>
      </c>
      <c r="C2436" s="14" t="s">
        <v>25219</v>
      </c>
      <c r="D2436" s="14" t="s">
        <v>25220</v>
      </c>
      <c r="E2436" s="150" t="str">
        <f t="shared" si="30"/>
        <v>http://dx.doi.org/10.1109/TVCG.2013.168</v>
      </c>
      <c r="F2436" s="14">
        <v>2119.0</v>
      </c>
      <c r="G2436" s="14">
        <v>2128.0</v>
      </c>
      <c r="H2436" s="14" t="s">
        <v>17059</v>
      </c>
      <c r="I2436" s="14" t="s">
        <v>25221</v>
      </c>
      <c r="J2436" s="130" t="s">
        <v>25222</v>
      </c>
      <c r="K2436" s="152" t="s">
        <v>28165</v>
      </c>
      <c r="L2436" s="20" t="s">
        <v>25224</v>
      </c>
      <c r="M2436" s="174" t="s">
        <v>25225</v>
      </c>
      <c r="N2436" s="84"/>
      <c r="O2436" s="84"/>
      <c r="P2436" s="84"/>
      <c r="Q2436" s="84"/>
      <c r="R2436" s="84"/>
      <c r="S2436" s="84"/>
      <c r="T2436" s="84"/>
      <c r="U2436" s="84"/>
      <c r="V2436" s="84"/>
      <c r="W2436" s="84"/>
      <c r="X2436" s="84"/>
    </row>
    <row r="2437" ht="15.75" customHeight="1">
      <c r="A2437" s="14" t="s">
        <v>120</v>
      </c>
      <c r="B2437" s="14">
        <v>2013.0</v>
      </c>
      <c r="C2437" s="14" t="s">
        <v>25226</v>
      </c>
      <c r="D2437" s="14" t="s">
        <v>25227</v>
      </c>
      <c r="E2437" s="150" t="str">
        <f t="shared" si="30"/>
        <v>http://dx.doi.org/10.1109/TVCG.2013.178</v>
      </c>
      <c r="F2437" s="14">
        <v>2257.0</v>
      </c>
      <c r="G2437" s="14">
        <v>2266.0</v>
      </c>
      <c r="H2437" s="14" t="s">
        <v>17059</v>
      </c>
      <c r="I2437" s="14" t="s">
        <v>25229</v>
      </c>
      <c r="J2437" s="130" t="s">
        <v>25230</v>
      </c>
      <c r="K2437" s="152" t="s">
        <v>28233</v>
      </c>
      <c r="L2437" s="20" t="s">
        <v>25232</v>
      </c>
      <c r="M2437" s="174" t="s">
        <v>25233</v>
      </c>
      <c r="N2437" s="84"/>
      <c r="O2437" s="84"/>
      <c r="P2437" s="84"/>
      <c r="Q2437" s="84"/>
      <c r="R2437" s="84"/>
      <c r="S2437" s="84"/>
      <c r="T2437" s="84"/>
      <c r="U2437" s="84"/>
      <c r="V2437" s="84"/>
      <c r="W2437" s="84"/>
      <c r="X2437" s="84"/>
    </row>
    <row r="2438" ht="15.75" customHeight="1">
      <c r="A2438" s="14" t="s">
        <v>120</v>
      </c>
      <c r="B2438" s="14">
        <v>2013.0</v>
      </c>
      <c r="C2438" s="14" t="s">
        <v>25234</v>
      </c>
      <c r="D2438" s="14" t="s">
        <v>25235</v>
      </c>
      <c r="E2438" s="150" t="str">
        <f t="shared" si="30"/>
        <v>http://dx.doi.org/10.1109/TVCG.2013.181</v>
      </c>
      <c r="F2438" s="14">
        <v>2100.0</v>
      </c>
      <c r="G2438" s="14">
        <v>2108.0</v>
      </c>
      <c r="H2438" s="14" t="s">
        <v>17059</v>
      </c>
      <c r="I2438" s="14" t="s">
        <v>25236</v>
      </c>
      <c r="J2438" s="130" t="s">
        <v>22269</v>
      </c>
      <c r="K2438" s="152" t="s">
        <v>28268</v>
      </c>
      <c r="L2438" s="20" t="s">
        <v>25238</v>
      </c>
      <c r="M2438" s="174" t="s">
        <v>25239</v>
      </c>
      <c r="N2438" s="84"/>
      <c r="O2438" s="84"/>
      <c r="P2438" s="84"/>
      <c r="Q2438" s="84"/>
      <c r="R2438" s="84"/>
      <c r="S2438" s="84"/>
      <c r="T2438" s="84"/>
      <c r="U2438" s="84"/>
      <c r="V2438" s="84"/>
      <c r="W2438" s="84"/>
      <c r="X2438" s="84"/>
    </row>
    <row r="2439" ht="15.75" customHeight="1">
      <c r="A2439" s="14" t="s">
        <v>120</v>
      </c>
      <c r="B2439" s="14">
        <v>2013.0</v>
      </c>
      <c r="C2439" s="14" t="s">
        <v>25240</v>
      </c>
      <c r="D2439" s="14" t="s">
        <v>25241</v>
      </c>
      <c r="E2439" s="150" t="str">
        <f t="shared" si="30"/>
        <v>http://dx.doi.org/10.1109/TVCG.2013.186</v>
      </c>
      <c r="F2439" s="14">
        <v>2022.0</v>
      </c>
      <c r="G2439" s="14">
        <v>2031.0</v>
      </c>
      <c r="H2439" s="14" t="s">
        <v>17059</v>
      </c>
      <c r="I2439" s="14" t="s">
        <v>25243</v>
      </c>
      <c r="J2439" s="130" t="s">
        <v>41746</v>
      </c>
      <c r="K2439" s="152" t="s">
        <v>28311</v>
      </c>
      <c r="L2439" s="20" t="s">
        <v>25247</v>
      </c>
      <c r="M2439" s="174" t="s">
        <v>25248</v>
      </c>
      <c r="N2439" s="84"/>
      <c r="O2439" s="84"/>
      <c r="P2439" s="84"/>
      <c r="Q2439" s="84"/>
      <c r="R2439" s="84"/>
      <c r="S2439" s="84"/>
      <c r="T2439" s="84"/>
      <c r="U2439" s="84"/>
      <c r="V2439" s="84"/>
      <c r="W2439" s="84"/>
      <c r="X2439" s="84"/>
    </row>
    <row r="2440" ht="15.75" customHeight="1">
      <c r="A2440" s="14" t="s">
        <v>120</v>
      </c>
      <c r="B2440" s="14">
        <v>2013.0</v>
      </c>
      <c r="C2440" s="14" t="s">
        <v>25250</v>
      </c>
      <c r="D2440" s="14" t="s">
        <v>25251</v>
      </c>
      <c r="E2440" s="150" t="str">
        <f t="shared" si="30"/>
        <v>http://dx.doi.org/10.1109/TVCG.2013.188</v>
      </c>
      <c r="F2440" s="14">
        <v>2052.0</v>
      </c>
      <c r="G2440" s="14">
        <v>2059.0</v>
      </c>
      <c r="H2440" s="14" t="s">
        <v>17059</v>
      </c>
      <c r="I2440" s="14" t="s">
        <v>25252</v>
      </c>
      <c r="J2440" s="130" t="s">
        <v>25253</v>
      </c>
      <c r="K2440" s="152" t="s">
        <v>860</v>
      </c>
      <c r="L2440" s="20" t="s">
        <v>25255</v>
      </c>
      <c r="M2440" s="174" t="s">
        <v>25256</v>
      </c>
      <c r="N2440" s="84"/>
      <c r="O2440" s="84"/>
      <c r="P2440" s="84"/>
      <c r="Q2440" s="84"/>
      <c r="R2440" s="84"/>
      <c r="S2440" s="84"/>
      <c r="T2440" s="84"/>
      <c r="U2440" s="84"/>
      <c r="V2440" s="84"/>
      <c r="W2440" s="84"/>
      <c r="X2440" s="84"/>
    </row>
    <row r="2441" ht="15.75" customHeight="1">
      <c r="A2441" s="14" t="s">
        <v>120</v>
      </c>
      <c r="B2441" s="14">
        <v>2013.0</v>
      </c>
      <c r="C2441" s="14" t="s">
        <v>25257</v>
      </c>
      <c r="D2441" s="14" t="s">
        <v>25258</v>
      </c>
      <c r="E2441" s="150" t="str">
        <f t="shared" si="30"/>
        <v>http://dx.doi.org/10.1109/TVCG.2013.190</v>
      </c>
      <c r="F2441" s="14">
        <v>2060.0</v>
      </c>
      <c r="G2441" s="14">
        <v>2069.0</v>
      </c>
      <c r="H2441" s="14" t="s">
        <v>17059</v>
      </c>
      <c r="I2441" s="157" t="s">
        <v>28352</v>
      </c>
      <c r="J2441" s="130" t="s">
        <v>25261</v>
      </c>
      <c r="K2441" s="152" t="s">
        <v>25695</v>
      </c>
      <c r="L2441" s="20" t="s">
        <v>25264</v>
      </c>
      <c r="M2441" s="174" t="s">
        <v>25265</v>
      </c>
      <c r="N2441" s="84"/>
      <c r="O2441" s="84"/>
      <c r="P2441" s="84"/>
      <c r="Q2441" s="84"/>
      <c r="R2441" s="84"/>
      <c r="S2441" s="84"/>
      <c r="T2441" s="84"/>
      <c r="U2441" s="84"/>
      <c r="V2441" s="84"/>
      <c r="W2441" s="84"/>
      <c r="X2441" s="84"/>
    </row>
    <row r="2442" ht="15.75" customHeight="1">
      <c r="A2442" s="14" t="s">
        <v>120</v>
      </c>
      <c r="B2442" s="14">
        <v>2013.0</v>
      </c>
      <c r="C2442" s="14" t="s">
        <v>25267</v>
      </c>
      <c r="D2442" s="14" t="s">
        <v>25268</v>
      </c>
      <c r="E2442" s="150" t="str">
        <f t="shared" si="30"/>
        <v>http://dx.doi.org/10.1109/TVCG.2013.193</v>
      </c>
      <c r="F2442" s="14">
        <v>2169.0</v>
      </c>
      <c r="G2442" s="14">
        <v>2178.0</v>
      </c>
      <c r="H2442" s="14" t="s">
        <v>17059</v>
      </c>
      <c r="I2442" s="14" t="s">
        <v>25269</v>
      </c>
      <c r="J2442" s="130" t="s">
        <v>25270</v>
      </c>
      <c r="K2442" s="152" t="s">
        <v>880</v>
      </c>
      <c r="L2442" s="20" t="s">
        <v>25273</v>
      </c>
      <c r="M2442" s="174" t="s">
        <v>25274</v>
      </c>
      <c r="N2442" s="84"/>
      <c r="O2442" s="84"/>
      <c r="P2442" s="84"/>
      <c r="Q2442" s="84"/>
      <c r="R2442" s="84"/>
      <c r="S2442" s="84"/>
      <c r="T2442" s="84"/>
      <c r="U2442" s="84"/>
      <c r="V2442" s="84"/>
      <c r="W2442" s="84"/>
      <c r="X2442" s="84"/>
    </row>
    <row r="2443" ht="15.75" customHeight="1">
      <c r="A2443" s="14" t="s">
        <v>120</v>
      </c>
      <c r="B2443" s="14">
        <v>2013.0</v>
      </c>
      <c r="C2443" s="14" t="s">
        <v>25275</v>
      </c>
      <c r="D2443" s="14" t="s">
        <v>25276</v>
      </c>
      <c r="E2443" s="150" t="str">
        <f t="shared" si="30"/>
        <v>http://dx.doi.org/10.1109/TVCG.2013.194</v>
      </c>
      <c r="F2443" s="14">
        <v>2129.0</v>
      </c>
      <c r="G2443" s="14">
        <v>2138.0</v>
      </c>
      <c r="H2443" s="14" t="s">
        <v>17059</v>
      </c>
      <c r="I2443" s="14" t="s">
        <v>25277</v>
      </c>
      <c r="J2443" s="130" t="s">
        <v>25278</v>
      </c>
      <c r="K2443" s="152" t="s">
        <v>28395</v>
      </c>
      <c r="L2443" s="20" t="s">
        <v>25280</v>
      </c>
      <c r="M2443" s="174" t="s">
        <v>25281</v>
      </c>
      <c r="N2443" s="84"/>
      <c r="O2443" s="84"/>
      <c r="P2443" s="84"/>
      <c r="Q2443" s="84"/>
      <c r="R2443" s="84"/>
      <c r="S2443" s="84"/>
      <c r="T2443" s="84"/>
      <c r="U2443" s="84"/>
      <c r="V2443" s="84"/>
      <c r="W2443" s="84"/>
      <c r="X2443" s="84"/>
    </row>
    <row r="2444" ht="15.75" customHeight="1">
      <c r="A2444" s="14" t="s">
        <v>120</v>
      </c>
      <c r="B2444" s="14">
        <v>2013.0</v>
      </c>
      <c r="C2444" s="14" t="s">
        <v>25283</v>
      </c>
      <c r="D2444" s="14" t="s">
        <v>25284</v>
      </c>
      <c r="E2444" s="150" t="str">
        <f t="shared" si="30"/>
        <v>http://dx.doi.org/10.1109/TVCG.2013.197</v>
      </c>
      <c r="F2444" s="14">
        <v>2189.0</v>
      </c>
      <c r="G2444" s="14">
        <v>2197.0</v>
      </c>
      <c r="H2444" s="14" t="s">
        <v>17059</v>
      </c>
      <c r="I2444" s="14" t="s">
        <v>28403</v>
      </c>
      <c r="J2444" s="130" t="s">
        <v>25286</v>
      </c>
      <c r="K2444" s="152" t="s">
        <v>22110</v>
      </c>
      <c r="L2444" s="20" t="s">
        <v>25288</v>
      </c>
      <c r="M2444" s="174" t="s">
        <v>25289</v>
      </c>
      <c r="N2444" s="84"/>
      <c r="O2444" s="84"/>
      <c r="P2444" s="84"/>
      <c r="Q2444" s="84"/>
      <c r="R2444" s="84"/>
      <c r="S2444" s="84"/>
      <c r="T2444" s="84"/>
      <c r="U2444" s="84"/>
      <c r="V2444" s="84"/>
      <c r="W2444" s="84"/>
      <c r="X2444" s="84"/>
    </row>
    <row r="2445" ht="15.75" customHeight="1">
      <c r="A2445" s="14" t="s">
        <v>120</v>
      </c>
      <c r="B2445" s="14">
        <v>2013.0</v>
      </c>
      <c r="C2445" s="14" t="s">
        <v>25290</v>
      </c>
      <c r="D2445" s="14" t="s">
        <v>25291</v>
      </c>
      <c r="E2445" s="150" t="str">
        <f t="shared" si="30"/>
        <v>http://dx.doi.org/10.1109/TVCG.2013.198</v>
      </c>
      <c r="F2445" s="14">
        <v>2267.0</v>
      </c>
      <c r="G2445" s="14">
        <v>2276.0</v>
      </c>
      <c r="H2445" s="14" t="s">
        <v>17059</v>
      </c>
      <c r="I2445" s="14" t="s">
        <v>25292</v>
      </c>
      <c r="J2445" s="130" t="s">
        <v>25293</v>
      </c>
      <c r="K2445" s="152" t="s">
        <v>27982</v>
      </c>
      <c r="L2445" s="20" t="s">
        <v>25295</v>
      </c>
      <c r="M2445" s="174" t="s">
        <v>25296</v>
      </c>
      <c r="N2445" s="84"/>
      <c r="O2445" s="84"/>
      <c r="P2445" s="84"/>
      <c r="Q2445" s="84"/>
      <c r="R2445" s="84"/>
      <c r="S2445" s="84"/>
      <c r="T2445" s="84"/>
      <c r="U2445" s="84"/>
      <c r="V2445" s="84"/>
      <c r="W2445" s="84"/>
      <c r="X2445" s="84"/>
    </row>
    <row r="2446" ht="15.75" customHeight="1">
      <c r="A2446" s="14" t="s">
        <v>120</v>
      </c>
      <c r="B2446" s="14">
        <v>2013.0</v>
      </c>
      <c r="C2446" s="14" t="s">
        <v>25298</v>
      </c>
      <c r="D2446" s="14" t="s">
        <v>25299</v>
      </c>
      <c r="E2446" s="150" t="str">
        <f t="shared" si="30"/>
        <v>http://dx.doi.org/10.1109/TVCG.2013.200</v>
      </c>
      <c r="F2446" s="14">
        <v>2227.0</v>
      </c>
      <c r="G2446" s="14">
        <v>2236.0</v>
      </c>
      <c r="H2446" s="14" t="s">
        <v>17059</v>
      </c>
      <c r="I2446" s="14" t="s">
        <v>25301</v>
      </c>
      <c r="J2446" s="130" t="s">
        <v>25302</v>
      </c>
      <c r="K2446" s="152" t="s">
        <v>28414</v>
      </c>
      <c r="L2446" s="20" t="s">
        <v>25304</v>
      </c>
      <c r="M2446" s="174" t="s">
        <v>25305</v>
      </c>
      <c r="N2446" s="84"/>
      <c r="O2446" s="84"/>
      <c r="P2446" s="84"/>
      <c r="Q2446" s="84"/>
      <c r="R2446" s="84"/>
      <c r="S2446" s="84"/>
      <c r="T2446" s="84"/>
      <c r="U2446" s="84"/>
      <c r="V2446" s="84"/>
      <c r="W2446" s="84"/>
      <c r="X2446" s="84"/>
    </row>
    <row r="2447" ht="15.75" customHeight="1">
      <c r="A2447" s="14" t="s">
        <v>120</v>
      </c>
      <c r="B2447" s="14">
        <v>2013.0</v>
      </c>
      <c r="C2447" s="14" t="s">
        <v>25306</v>
      </c>
      <c r="D2447" s="14" t="s">
        <v>25307</v>
      </c>
      <c r="E2447" s="150" t="str">
        <f t="shared" si="30"/>
        <v>http://dx.doi.org/10.1109/TVCG.2013.205</v>
      </c>
      <c r="F2447" s="14">
        <v>2207.0</v>
      </c>
      <c r="G2447" s="14">
        <v>2216.0</v>
      </c>
      <c r="H2447" s="14" t="s">
        <v>17059</v>
      </c>
      <c r="I2447" s="14" t="s">
        <v>25308</v>
      </c>
      <c r="J2447" s="130" t="s">
        <v>24637</v>
      </c>
      <c r="K2447" s="152" t="s">
        <v>28425</v>
      </c>
      <c r="L2447" s="20" t="s">
        <v>25310</v>
      </c>
      <c r="M2447" s="174" t="s">
        <v>25311</v>
      </c>
      <c r="N2447" s="84"/>
      <c r="O2447" s="84"/>
      <c r="P2447" s="84"/>
      <c r="Q2447" s="84"/>
      <c r="R2447" s="84"/>
      <c r="S2447" s="84"/>
      <c r="T2447" s="84"/>
      <c r="U2447" s="84"/>
      <c r="V2447" s="84"/>
      <c r="W2447" s="84"/>
      <c r="X2447" s="84"/>
    </row>
    <row r="2448" ht="15.75" customHeight="1">
      <c r="A2448" s="14" t="s">
        <v>120</v>
      </c>
      <c r="B2448" s="14">
        <v>2013.0</v>
      </c>
      <c r="C2448" s="14" t="s">
        <v>25312</v>
      </c>
      <c r="D2448" s="14" t="s">
        <v>25313</v>
      </c>
      <c r="E2448" s="150" t="str">
        <f t="shared" si="30"/>
        <v>http://dx.doi.org/10.1109/TVCG.2013.206</v>
      </c>
      <c r="F2448" s="14">
        <v>2247.0</v>
      </c>
      <c r="G2448" s="14">
        <v>2256.0</v>
      </c>
      <c r="H2448" s="14" t="s">
        <v>17059</v>
      </c>
      <c r="I2448" s="14" t="s">
        <v>25316</v>
      </c>
      <c r="J2448" s="130" t="s">
        <v>25317</v>
      </c>
      <c r="K2448" s="152" t="s">
        <v>28430</v>
      </c>
      <c r="L2448" s="20" t="s">
        <v>25319</v>
      </c>
      <c r="M2448" s="174" t="s">
        <v>25321</v>
      </c>
      <c r="N2448" s="84"/>
      <c r="O2448" s="84"/>
      <c r="P2448" s="84"/>
      <c r="Q2448" s="84"/>
      <c r="R2448" s="84"/>
      <c r="S2448" s="84"/>
      <c r="T2448" s="84"/>
      <c r="U2448" s="84"/>
      <c r="V2448" s="84"/>
      <c r="W2448" s="84"/>
      <c r="X2448" s="84"/>
    </row>
    <row r="2449" ht="15.75" customHeight="1">
      <c r="A2449" s="14" t="s">
        <v>120</v>
      </c>
      <c r="B2449" s="14">
        <v>2013.0</v>
      </c>
      <c r="C2449" s="14" t="s">
        <v>25322</v>
      </c>
      <c r="D2449" s="14" t="s">
        <v>25323</v>
      </c>
      <c r="E2449" s="150" t="str">
        <f t="shared" si="30"/>
        <v>http://dx.doi.org/10.1109/TVCG.2013.207</v>
      </c>
      <c r="F2449" s="14">
        <v>2109.0</v>
      </c>
      <c r="G2449" s="14">
        <v>2118.0</v>
      </c>
      <c r="H2449" s="14" t="s">
        <v>17059</v>
      </c>
      <c r="I2449" s="14" t="s">
        <v>25324</v>
      </c>
      <c r="J2449" s="130" t="s">
        <v>25325</v>
      </c>
      <c r="K2449" s="152" t="s">
        <v>28434</v>
      </c>
      <c r="L2449" s="20" t="s">
        <v>25328</v>
      </c>
      <c r="M2449" s="174" t="s">
        <v>25329</v>
      </c>
      <c r="N2449" s="84"/>
      <c r="O2449" s="84"/>
      <c r="P2449" s="84"/>
      <c r="Q2449" s="84"/>
      <c r="R2449" s="84"/>
      <c r="S2449" s="84"/>
      <c r="T2449" s="84"/>
      <c r="U2449" s="84"/>
      <c r="V2449" s="84"/>
      <c r="W2449" s="84"/>
      <c r="X2449" s="84"/>
    </row>
    <row r="2450" ht="15.75" customHeight="1">
      <c r="A2450" s="14" t="s">
        <v>120</v>
      </c>
      <c r="B2450" s="14">
        <v>2013.0</v>
      </c>
      <c r="C2450" s="14" t="s">
        <v>25330</v>
      </c>
      <c r="D2450" s="14" t="s">
        <v>25332</v>
      </c>
      <c r="E2450" s="150" t="str">
        <f t="shared" si="30"/>
        <v>http://dx.doi.org/10.1109/TVCG.2013.211</v>
      </c>
      <c r="F2450" s="14">
        <v>2217.0</v>
      </c>
      <c r="G2450" s="14">
        <v>2226.0</v>
      </c>
      <c r="H2450" s="14" t="s">
        <v>17059</v>
      </c>
      <c r="I2450" s="14" t="s">
        <v>25334</v>
      </c>
      <c r="J2450" s="130" t="s">
        <v>25335</v>
      </c>
      <c r="K2450" s="152" t="s">
        <v>27014</v>
      </c>
      <c r="L2450" s="20" t="s">
        <v>25338</v>
      </c>
      <c r="M2450" s="174" t="s">
        <v>25339</v>
      </c>
      <c r="N2450" s="84"/>
      <c r="O2450" s="84"/>
      <c r="P2450" s="84"/>
      <c r="Q2450" s="84"/>
      <c r="R2450" s="84"/>
      <c r="S2450" s="84"/>
      <c r="T2450" s="84"/>
      <c r="U2450" s="84"/>
      <c r="V2450" s="84"/>
      <c r="W2450" s="84"/>
      <c r="X2450" s="84"/>
    </row>
    <row r="2451" ht="15.75" customHeight="1">
      <c r="A2451" s="14" t="s">
        <v>120</v>
      </c>
      <c r="B2451" s="14">
        <v>2013.0</v>
      </c>
      <c r="C2451" s="14" t="s">
        <v>25340</v>
      </c>
      <c r="D2451" s="14" t="s">
        <v>25341</v>
      </c>
      <c r="E2451" s="150" t="str">
        <f t="shared" si="30"/>
        <v>http://dx.doi.org/10.1109/TVCG.2013.212</v>
      </c>
      <c r="F2451" s="14">
        <v>1992.0</v>
      </c>
      <c r="G2451" s="14">
        <v>2001.0</v>
      </c>
      <c r="H2451" s="14" t="s">
        <v>17059</v>
      </c>
      <c r="I2451" s="14" t="s">
        <v>25342</v>
      </c>
      <c r="J2451" s="130" t="s">
        <v>25343</v>
      </c>
      <c r="K2451" s="152" t="s">
        <v>23932</v>
      </c>
      <c r="L2451" s="20" t="s">
        <v>25345</v>
      </c>
      <c r="M2451" s="222" t="s">
        <v>30500</v>
      </c>
      <c r="N2451" s="84"/>
      <c r="O2451" s="84"/>
      <c r="P2451" s="84"/>
      <c r="Q2451" s="84"/>
      <c r="R2451" s="84"/>
      <c r="S2451" s="84"/>
      <c r="T2451" s="84"/>
      <c r="U2451" s="84"/>
      <c r="V2451" s="84"/>
      <c r="W2451" s="84"/>
      <c r="X2451" s="84"/>
    </row>
    <row r="2452" ht="15.75" customHeight="1">
      <c r="A2452" s="14" t="s">
        <v>120</v>
      </c>
      <c r="B2452" s="14">
        <v>2013.0</v>
      </c>
      <c r="C2452" s="14" t="s">
        <v>25347</v>
      </c>
      <c r="D2452" s="14" t="s">
        <v>25348</v>
      </c>
      <c r="E2452" s="150" t="str">
        <f t="shared" si="30"/>
        <v>http://dx.doi.org/10.1109/TVCG.2013.213</v>
      </c>
      <c r="F2452" s="14">
        <v>2090.0</v>
      </c>
      <c r="G2452" s="14">
        <v>2099.0</v>
      </c>
      <c r="H2452" s="14" t="s">
        <v>17059</v>
      </c>
      <c r="I2452" s="14" t="s">
        <v>25350</v>
      </c>
      <c r="J2452" s="130" t="s">
        <v>41747</v>
      </c>
      <c r="K2452" s="152" t="s">
        <v>27779</v>
      </c>
      <c r="L2452" s="20" t="s">
        <v>25354</v>
      </c>
      <c r="M2452" s="174" t="s">
        <v>25355</v>
      </c>
      <c r="N2452" s="84"/>
      <c r="O2452" s="84"/>
      <c r="P2452" s="84"/>
      <c r="Q2452" s="84"/>
      <c r="R2452" s="84"/>
      <c r="S2452" s="84"/>
      <c r="T2452" s="84"/>
      <c r="U2452" s="84"/>
      <c r="V2452" s="84"/>
      <c r="W2452" s="84"/>
      <c r="X2452" s="84"/>
    </row>
    <row r="2453" ht="15.75" customHeight="1">
      <c r="A2453" s="14" t="s">
        <v>120</v>
      </c>
      <c r="B2453" s="14">
        <v>2013.0</v>
      </c>
      <c r="C2453" s="14" t="s">
        <v>25356</v>
      </c>
      <c r="D2453" s="14" t="s">
        <v>25357</v>
      </c>
      <c r="E2453" s="150" t="str">
        <f t="shared" si="30"/>
        <v>http://dx.doi.org/10.1109/TVCG.2013.219</v>
      </c>
      <c r="F2453" s="14">
        <v>1982.0</v>
      </c>
      <c r="G2453" s="14">
        <v>1991.0</v>
      </c>
      <c r="H2453" s="14" t="s">
        <v>17059</v>
      </c>
      <c r="I2453" s="14" t="s">
        <v>25358</v>
      </c>
      <c r="J2453" s="130" t="s">
        <v>25359</v>
      </c>
      <c r="K2453" s="152" t="s">
        <v>28516</v>
      </c>
      <c r="L2453" s="20" t="s">
        <v>25362</v>
      </c>
      <c r="M2453" s="174" t="s">
        <v>25363</v>
      </c>
      <c r="N2453" s="84"/>
      <c r="O2453" s="84"/>
      <c r="P2453" s="84"/>
      <c r="Q2453" s="84"/>
      <c r="R2453" s="84"/>
      <c r="S2453" s="84"/>
      <c r="T2453" s="84"/>
      <c r="U2453" s="84"/>
      <c r="V2453" s="84"/>
      <c r="W2453" s="84"/>
      <c r="X2453" s="84"/>
    </row>
    <row r="2454" ht="15.75" customHeight="1">
      <c r="A2454" s="14" t="s">
        <v>120</v>
      </c>
      <c r="B2454" s="14">
        <v>2013.0</v>
      </c>
      <c r="C2454" s="14" t="s">
        <v>25364</v>
      </c>
      <c r="D2454" s="14" t="s">
        <v>25365</v>
      </c>
      <c r="E2454" s="150" t="str">
        <f t="shared" si="30"/>
        <v>http://dx.doi.org/10.1109/TVCG.2013.220</v>
      </c>
      <c r="F2454" s="14">
        <v>2070.0</v>
      </c>
      <c r="G2454" s="14">
        <v>2079.0</v>
      </c>
      <c r="H2454" s="14" t="s">
        <v>17059</v>
      </c>
      <c r="I2454" s="14" t="s">
        <v>25366</v>
      </c>
      <c r="J2454" s="130" t="s">
        <v>25367</v>
      </c>
      <c r="K2454" s="152" t="s">
        <v>28529</v>
      </c>
      <c r="L2454" s="20" t="s">
        <v>25369</v>
      </c>
      <c r="M2454" s="174" t="s">
        <v>25370</v>
      </c>
      <c r="N2454" s="84"/>
      <c r="O2454" s="84"/>
      <c r="P2454" s="84"/>
      <c r="Q2454" s="84"/>
      <c r="R2454" s="84"/>
      <c r="S2454" s="84"/>
      <c r="T2454" s="84"/>
      <c r="U2454" s="84"/>
      <c r="V2454" s="84"/>
      <c r="W2454" s="84"/>
      <c r="X2454" s="84"/>
    </row>
    <row r="2455" ht="15.75" customHeight="1">
      <c r="A2455" s="14" t="s">
        <v>120</v>
      </c>
      <c r="B2455" s="14">
        <v>2013.0</v>
      </c>
      <c r="C2455" s="14" t="s">
        <v>25372</v>
      </c>
      <c r="D2455" s="14" t="s">
        <v>25373</v>
      </c>
      <c r="E2455" s="150" t="str">
        <f t="shared" si="30"/>
        <v>http://dx.doi.org/10.1109/TVCG.2013.221</v>
      </c>
      <c r="F2455" s="14">
        <v>2012.0</v>
      </c>
      <c r="G2455" s="14">
        <v>2021.0</v>
      </c>
      <c r="H2455" s="14" t="s">
        <v>17059</v>
      </c>
      <c r="I2455" s="14" t="s">
        <v>25375</v>
      </c>
      <c r="J2455" s="130" t="s">
        <v>25376</v>
      </c>
      <c r="K2455" s="152" t="s">
        <v>28539</v>
      </c>
      <c r="L2455" s="20" t="s">
        <v>25379</v>
      </c>
      <c r="M2455" s="174" t="s">
        <v>25380</v>
      </c>
      <c r="N2455" s="84"/>
      <c r="O2455" s="84"/>
      <c r="P2455" s="84"/>
      <c r="Q2455" s="84"/>
      <c r="R2455" s="84"/>
      <c r="S2455" s="84"/>
      <c r="T2455" s="84"/>
      <c r="U2455" s="84"/>
      <c r="V2455" s="84"/>
      <c r="W2455" s="84"/>
      <c r="X2455" s="84"/>
    </row>
    <row r="2456" ht="15.75" customHeight="1">
      <c r="A2456" s="14" t="s">
        <v>120</v>
      </c>
      <c r="B2456" s="14">
        <v>2013.0</v>
      </c>
      <c r="C2456" s="14" t="s">
        <v>25381</v>
      </c>
      <c r="D2456" s="14" t="s">
        <v>25382</v>
      </c>
      <c r="E2456" s="150" t="str">
        <f t="shared" si="30"/>
        <v>http://dx.doi.org/10.1109/TVCG.2013.222</v>
      </c>
      <c r="F2456" s="14">
        <v>2237.0</v>
      </c>
      <c r="G2456" s="14">
        <v>2246.0</v>
      </c>
      <c r="H2456" s="14" t="s">
        <v>17059</v>
      </c>
      <c r="I2456" s="14" t="s">
        <v>25383</v>
      </c>
      <c r="J2456" s="130" t="s">
        <v>25384</v>
      </c>
      <c r="K2456" s="152" t="s">
        <v>28547</v>
      </c>
      <c r="L2456" s="20" t="s">
        <v>25386</v>
      </c>
      <c r="M2456" s="174" t="s">
        <v>25387</v>
      </c>
      <c r="N2456" s="84"/>
      <c r="O2456" s="84"/>
      <c r="P2456" s="84"/>
      <c r="Q2456" s="84"/>
      <c r="R2456" s="84"/>
      <c r="S2456" s="84"/>
      <c r="T2456" s="84"/>
      <c r="U2456" s="84"/>
      <c r="V2456" s="84"/>
      <c r="W2456" s="84"/>
      <c r="X2456" s="84"/>
    </row>
    <row r="2457" ht="15.75" customHeight="1">
      <c r="A2457" s="14" t="s">
        <v>120</v>
      </c>
      <c r="B2457" s="14">
        <v>2013.0</v>
      </c>
      <c r="C2457" s="14" t="s">
        <v>25388</v>
      </c>
      <c r="D2457" s="14" t="s">
        <v>25389</v>
      </c>
      <c r="E2457" s="150" t="str">
        <f t="shared" si="30"/>
        <v>http://dx.doi.org/10.1109/TVCG.2013.223</v>
      </c>
      <c r="F2457" s="14">
        <v>2032.0</v>
      </c>
      <c r="G2457" s="14">
        <v>2041.0</v>
      </c>
      <c r="H2457" s="14" t="s">
        <v>17059</v>
      </c>
      <c r="I2457" s="14" t="s">
        <v>25390</v>
      </c>
      <c r="J2457" s="130" t="s">
        <v>25392</v>
      </c>
      <c r="K2457" s="152" t="s">
        <v>28560</v>
      </c>
      <c r="L2457" s="20" t="s">
        <v>25394</v>
      </c>
      <c r="M2457" s="174" t="s">
        <v>25395</v>
      </c>
      <c r="N2457" s="84"/>
      <c r="O2457" s="84"/>
      <c r="P2457" s="84"/>
      <c r="Q2457" s="84"/>
      <c r="R2457" s="84"/>
      <c r="S2457" s="84"/>
      <c r="T2457" s="84"/>
      <c r="U2457" s="84"/>
      <c r="V2457" s="84"/>
      <c r="W2457" s="84"/>
      <c r="X2457" s="84"/>
    </row>
    <row r="2458" ht="15.75" customHeight="1">
      <c r="A2458" s="14" t="s">
        <v>120</v>
      </c>
      <c r="B2458" s="14">
        <v>2013.0</v>
      </c>
      <c r="C2458" s="14" t="s">
        <v>25397</v>
      </c>
      <c r="D2458" s="14" t="s">
        <v>25398</v>
      </c>
      <c r="E2458" s="150" t="str">
        <f t="shared" si="30"/>
        <v>http://dx.doi.org/10.1109/TVCG.2013.224</v>
      </c>
      <c r="F2458" s="14">
        <v>2179.0</v>
      </c>
      <c r="G2458" s="14">
        <v>2188.0</v>
      </c>
      <c r="H2458" s="14" t="s">
        <v>17059</v>
      </c>
      <c r="I2458" s="14" t="s">
        <v>25399</v>
      </c>
      <c r="J2458" s="130" t="s">
        <v>25400</v>
      </c>
      <c r="K2458" s="152" t="s">
        <v>28575</v>
      </c>
      <c r="L2458" s="20" t="s">
        <v>25402</v>
      </c>
      <c r="M2458" s="174" t="s">
        <v>25403</v>
      </c>
      <c r="N2458" s="84"/>
      <c r="O2458" s="84"/>
      <c r="P2458" s="84"/>
      <c r="Q2458" s="84"/>
      <c r="R2458" s="84"/>
      <c r="S2458" s="84"/>
      <c r="T2458" s="84"/>
      <c r="U2458" s="84"/>
      <c r="V2458" s="84"/>
      <c r="W2458" s="84"/>
      <c r="X2458" s="84"/>
    </row>
    <row r="2459" ht="15.75" customHeight="1">
      <c r="A2459" s="14" t="s">
        <v>120</v>
      </c>
      <c r="B2459" s="14">
        <v>2013.0</v>
      </c>
      <c r="C2459" s="14" t="s">
        <v>25404</v>
      </c>
      <c r="D2459" s="14" t="s">
        <v>25405</v>
      </c>
      <c r="E2459" s="150" t="str">
        <f t="shared" si="30"/>
        <v>http://dx.doi.org/10.1109/TVCG.2013.226</v>
      </c>
      <c r="F2459" s="14">
        <v>2149.0</v>
      </c>
      <c r="G2459" s="14">
        <v>2158.0</v>
      </c>
      <c r="H2459" s="14" t="s">
        <v>17059</v>
      </c>
      <c r="I2459" s="14" t="s">
        <v>25406</v>
      </c>
      <c r="J2459" s="130" t="s">
        <v>25407</v>
      </c>
      <c r="K2459" s="152" t="s">
        <v>880</v>
      </c>
      <c r="L2459" s="20" t="s">
        <v>25410</v>
      </c>
      <c r="M2459" s="174" t="s">
        <v>25412</v>
      </c>
      <c r="N2459" s="84"/>
      <c r="O2459" s="84"/>
      <c r="P2459" s="84"/>
      <c r="Q2459" s="84"/>
      <c r="R2459" s="84"/>
      <c r="S2459" s="84"/>
      <c r="T2459" s="84"/>
      <c r="U2459" s="84"/>
      <c r="V2459" s="84"/>
      <c r="W2459" s="84"/>
      <c r="X2459" s="84"/>
    </row>
    <row r="2460" ht="15.75" customHeight="1">
      <c r="A2460" s="14" t="s">
        <v>120</v>
      </c>
      <c r="B2460" s="14">
        <v>2013.0</v>
      </c>
      <c r="C2460" s="14" t="s">
        <v>25413</v>
      </c>
      <c r="D2460" s="14" t="s">
        <v>25414</v>
      </c>
      <c r="E2460" s="150" t="str">
        <f t="shared" si="30"/>
        <v>http://dx.doi.org/10.1109/TVCG.2013.228</v>
      </c>
      <c r="F2460" s="14">
        <v>2159.0</v>
      </c>
      <c r="G2460" s="14">
        <v>2168.0</v>
      </c>
      <c r="H2460" s="14" t="s">
        <v>17059</v>
      </c>
      <c r="I2460" s="14" t="s">
        <v>25416</v>
      </c>
      <c r="J2460" s="130" t="s">
        <v>25417</v>
      </c>
      <c r="K2460" s="152" t="s">
        <v>28606</v>
      </c>
      <c r="L2460" s="20" t="s">
        <v>25419</v>
      </c>
      <c r="M2460" s="174" t="s">
        <v>25420</v>
      </c>
      <c r="N2460" s="84"/>
      <c r="O2460" s="84"/>
      <c r="P2460" s="84"/>
      <c r="Q2460" s="84"/>
      <c r="R2460" s="84"/>
      <c r="S2460" s="84"/>
      <c r="T2460" s="84"/>
      <c r="U2460" s="84"/>
      <c r="V2460" s="84"/>
      <c r="W2460" s="84"/>
      <c r="X2460" s="84"/>
    </row>
    <row r="2461" ht="15.75" customHeight="1">
      <c r="A2461" s="14" t="s">
        <v>2137</v>
      </c>
      <c r="B2461" s="14">
        <v>2014.0</v>
      </c>
      <c r="C2461" s="14" t="s">
        <v>25422</v>
      </c>
      <c r="D2461" s="14" t="s">
        <v>25423</v>
      </c>
      <c r="E2461" s="150" t="s">
        <v>25424</v>
      </c>
      <c r="F2461" s="14">
        <v>1983.0</v>
      </c>
      <c r="G2461" s="14">
        <v>1992.0</v>
      </c>
      <c r="H2461" s="14" t="s">
        <v>17059</v>
      </c>
      <c r="I2461" s="14" t="s">
        <v>25425</v>
      </c>
      <c r="J2461" s="130" t="s">
        <v>25426</v>
      </c>
      <c r="K2461" s="152" t="s">
        <v>28703</v>
      </c>
      <c r="L2461" s="20" t="s">
        <v>25428</v>
      </c>
      <c r="M2461" s="174" t="s">
        <v>25429</v>
      </c>
      <c r="N2461" s="84"/>
      <c r="O2461" s="84"/>
      <c r="P2461" s="84"/>
      <c r="Q2461" s="84"/>
      <c r="R2461" s="84"/>
      <c r="S2461" s="84"/>
      <c r="T2461" s="84"/>
      <c r="U2461" s="84"/>
      <c r="V2461" s="84"/>
      <c r="W2461" s="84"/>
      <c r="X2461" s="84"/>
    </row>
    <row r="2462" ht="15.75" customHeight="1">
      <c r="A2462" s="14" t="s">
        <v>2137</v>
      </c>
      <c r="B2462" s="14">
        <v>2014.0</v>
      </c>
      <c r="C2462" s="14" t="s">
        <v>25431</v>
      </c>
      <c r="D2462" s="14" t="s">
        <v>25432</v>
      </c>
      <c r="E2462" s="150" t="s">
        <v>25433</v>
      </c>
      <c r="F2462" s="14">
        <v>1993.0</v>
      </c>
      <c r="G2462" s="14">
        <v>2002.0</v>
      </c>
      <c r="H2462" s="14" t="s">
        <v>17059</v>
      </c>
      <c r="I2462" s="14" t="s">
        <v>25435</v>
      </c>
      <c r="J2462" s="130" t="s">
        <v>25436</v>
      </c>
      <c r="K2462" s="152" t="s">
        <v>28718</v>
      </c>
      <c r="L2462" s="20" t="s">
        <v>25439</v>
      </c>
      <c r="M2462" s="174" t="s">
        <v>25440</v>
      </c>
      <c r="N2462" s="84"/>
      <c r="O2462" s="84"/>
      <c r="P2462" s="84"/>
      <c r="Q2462" s="84"/>
      <c r="R2462" s="84"/>
      <c r="S2462" s="84"/>
      <c r="T2462" s="84"/>
      <c r="U2462" s="84"/>
      <c r="V2462" s="84"/>
      <c r="W2462" s="84"/>
      <c r="X2462" s="84"/>
    </row>
    <row r="2463" ht="15.75" customHeight="1">
      <c r="A2463" s="14" t="s">
        <v>2137</v>
      </c>
      <c r="B2463" s="14">
        <v>2014.0</v>
      </c>
      <c r="C2463" s="14" t="s">
        <v>25441</v>
      </c>
      <c r="D2463" s="14" t="s">
        <v>25442</v>
      </c>
      <c r="E2463" s="150" t="s">
        <v>25443</v>
      </c>
      <c r="F2463" s="14">
        <v>2003.0</v>
      </c>
      <c r="G2463" s="14">
        <v>2012.0</v>
      </c>
      <c r="H2463" s="14" t="s">
        <v>17059</v>
      </c>
      <c r="I2463" s="14" t="s">
        <v>25445</v>
      </c>
      <c r="J2463" s="130" t="s">
        <v>25446</v>
      </c>
      <c r="K2463" s="152" t="s">
        <v>28726</v>
      </c>
      <c r="L2463" s="20" t="s">
        <v>25448</v>
      </c>
      <c r="M2463" s="174" t="s">
        <v>25449</v>
      </c>
      <c r="N2463" s="84"/>
      <c r="O2463" s="84"/>
      <c r="P2463" s="84"/>
      <c r="Q2463" s="84"/>
      <c r="R2463" s="84"/>
      <c r="S2463" s="84"/>
      <c r="T2463" s="84"/>
      <c r="U2463" s="84"/>
      <c r="V2463" s="84"/>
      <c r="W2463" s="84"/>
      <c r="X2463" s="84"/>
    </row>
    <row r="2464" ht="15.75" customHeight="1">
      <c r="A2464" s="14" t="s">
        <v>2137</v>
      </c>
      <c r="B2464" s="14">
        <v>2014.0</v>
      </c>
      <c r="C2464" s="14" t="s">
        <v>25450</v>
      </c>
      <c r="D2464" s="14" t="s">
        <v>25451</v>
      </c>
      <c r="E2464" s="150" t="s">
        <v>25452</v>
      </c>
      <c r="F2464" s="14">
        <v>2013.0</v>
      </c>
      <c r="G2464" s="14">
        <v>2022.0</v>
      </c>
      <c r="H2464" s="14" t="s">
        <v>17059</v>
      </c>
      <c r="I2464" s="14" t="s">
        <v>25455</v>
      </c>
      <c r="J2464" s="130" t="s">
        <v>25457</v>
      </c>
      <c r="K2464" s="152" t="s">
        <v>28741</v>
      </c>
      <c r="L2464" s="20" t="s">
        <v>25459</v>
      </c>
      <c r="M2464" s="174" t="s">
        <v>25460</v>
      </c>
      <c r="N2464" s="84"/>
      <c r="O2464" s="84"/>
      <c r="P2464" s="84"/>
      <c r="Q2464" s="84"/>
      <c r="R2464" s="84"/>
      <c r="S2464" s="84"/>
      <c r="T2464" s="84"/>
      <c r="U2464" s="84"/>
      <c r="V2464" s="84"/>
      <c r="W2464" s="84"/>
      <c r="X2464" s="84"/>
    </row>
    <row r="2465" ht="15.75" customHeight="1">
      <c r="A2465" s="14" t="s">
        <v>2137</v>
      </c>
      <c r="B2465" s="14">
        <v>2014.0</v>
      </c>
      <c r="C2465" s="14" t="s">
        <v>25462</v>
      </c>
      <c r="D2465" s="14" t="s">
        <v>25463</v>
      </c>
      <c r="E2465" s="150" t="s">
        <v>25464</v>
      </c>
      <c r="F2465" s="14">
        <v>2023.0</v>
      </c>
      <c r="G2465" s="14">
        <v>2032.0</v>
      </c>
      <c r="H2465" s="14" t="s">
        <v>17059</v>
      </c>
      <c r="I2465" s="14" t="s">
        <v>25467</v>
      </c>
      <c r="J2465" s="130" t="s">
        <v>25468</v>
      </c>
      <c r="K2465" s="152" t="s">
        <v>28200</v>
      </c>
      <c r="L2465" s="20" t="s">
        <v>25471</v>
      </c>
      <c r="M2465" s="174" t="s">
        <v>25472</v>
      </c>
      <c r="N2465" s="84"/>
      <c r="O2465" s="84"/>
      <c r="P2465" s="84"/>
      <c r="Q2465" s="84"/>
      <c r="R2465" s="84"/>
      <c r="S2465" s="84"/>
      <c r="T2465" s="84"/>
      <c r="U2465" s="84"/>
      <c r="V2465" s="84"/>
      <c r="W2465" s="84"/>
      <c r="X2465" s="84"/>
    </row>
    <row r="2466" ht="15.75" customHeight="1">
      <c r="A2466" s="14" t="s">
        <v>2137</v>
      </c>
      <c r="B2466" s="14">
        <v>2014.0</v>
      </c>
      <c r="C2466" s="14" t="s">
        <v>25473</v>
      </c>
      <c r="D2466" s="14" t="s">
        <v>25474</v>
      </c>
      <c r="E2466" s="150" t="s">
        <v>25475</v>
      </c>
      <c r="F2466" s="14">
        <v>2033.0</v>
      </c>
      <c r="G2466" s="14">
        <v>2042.0</v>
      </c>
      <c r="H2466" s="14" t="s">
        <v>17059</v>
      </c>
      <c r="I2466" s="14" t="s">
        <v>25477</v>
      </c>
      <c r="J2466" s="130" t="s">
        <v>25478</v>
      </c>
      <c r="K2466" s="152" t="s">
        <v>29148</v>
      </c>
      <c r="L2466" s="20" t="s">
        <v>25481</v>
      </c>
      <c r="M2466" s="174" t="s">
        <v>25482</v>
      </c>
      <c r="N2466" s="84"/>
      <c r="O2466" s="84"/>
      <c r="P2466" s="84"/>
      <c r="Q2466" s="84"/>
      <c r="R2466" s="84"/>
      <c r="S2466" s="84"/>
      <c r="T2466" s="84"/>
      <c r="U2466" s="84"/>
      <c r="V2466" s="84"/>
      <c r="W2466" s="84"/>
      <c r="X2466" s="84"/>
    </row>
    <row r="2467" ht="15.75" customHeight="1">
      <c r="A2467" s="14" t="s">
        <v>2137</v>
      </c>
      <c r="B2467" s="14">
        <v>2014.0</v>
      </c>
      <c r="C2467" s="14" t="s">
        <v>25483</v>
      </c>
      <c r="D2467" s="14" t="s">
        <v>25484</v>
      </c>
      <c r="E2467" s="150" t="s">
        <v>25485</v>
      </c>
      <c r="F2467" s="14">
        <v>2043.0</v>
      </c>
      <c r="G2467" s="14">
        <v>2052.0</v>
      </c>
      <c r="H2467" s="14" t="s">
        <v>17059</v>
      </c>
      <c r="I2467" s="14" t="s">
        <v>25486</v>
      </c>
      <c r="J2467" s="130" t="s">
        <v>25488</v>
      </c>
      <c r="K2467" s="152" t="s">
        <v>29153</v>
      </c>
      <c r="L2467" s="20" t="s">
        <v>25490</v>
      </c>
      <c r="M2467" s="174" t="s">
        <v>25491</v>
      </c>
      <c r="N2467" s="84"/>
      <c r="O2467" s="84"/>
      <c r="P2467" s="84"/>
      <c r="Q2467" s="84"/>
      <c r="R2467" s="84"/>
      <c r="S2467" s="84"/>
      <c r="T2467" s="84"/>
      <c r="U2467" s="84"/>
      <c r="V2467" s="84"/>
      <c r="W2467" s="84"/>
      <c r="X2467" s="84"/>
    </row>
    <row r="2468" ht="15.75" customHeight="1">
      <c r="A2468" s="14" t="s">
        <v>2137</v>
      </c>
      <c r="B2468" s="14">
        <v>2014.0</v>
      </c>
      <c r="C2468" s="14" t="s">
        <v>25493</v>
      </c>
      <c r="D2468" s="14" t="s">
        <v>25494</v>
      </c>
      <c r="E2468" s="150" t="s">
        <v>25495</v>
      </c>
      <c r="F2468" s="14">
        <v>2053.0</v>
      </c>
      <c r="G2468" s="14">
        <v>2062.0</v>
      </c>
      <c r="H2468" s="14" t="s">
        <v>17059</v>
      </c>
      <c r="I2468" s="14" t="s">
        <v>29154</v>
      </c>
      <c r="J2468" s="130" t="s">
        <v>25497</v>
      </c>
      <c r="K2468" s="152" t="s">
        <v>22935</v>
      </c>
      <c r="L2468" s="20" t="s">
        <v>16117</v>
      </c>
      <c r="M2468" s="174" t="s">
        <v>25499</v>
      </c>
      <c r="N2468" s="84"/>
      <c r="O2468" s="84"/>
      <c r="P2468" s="84"/>
      <c r="Q2468" s="84"/>
      <c r="R2468" s="84"/>
      <c r="S2468" s="84"/>
      <c r="T2468" s="84"/>
      <c r="U2468" s="84"/>
      <c r="V2468" s="84"/>
      <c r="W2468" s="84"/>
      <c r="X2468" s="84"/>
    </row>
    <row r="2469" ht="15.75" customHeight="1">
      <c r="A2469" s="14" t="s">
        <v>2137</v>
      </c>
      <c r="B2469" s="14">
        <v>2014.0</v>
      </c>
      <c r="C2469" s="14" t="s">
        <v>25501</v>
      </c>
      <c r="D2469" s="14" t="s">
        <v>25502</v>
      </c>
      <c r="E2469" s="150" t="s">
        <v>25503</v>
      </c>
      <c r="F2469" s="14">
        <v>2063.0</v>
      </c>
      <c r="G2469" s="14">
        <v>2071.0</v>
      </c>
      <c r="H2469" s="14" t="s">
        <v>17059</v>
      </c>
      <c r="I2469" s="14" t="s">
        <v>25505</v>
      </c>
      <c r="J2469" s="130" t="s">
        <v>25506</v>
      </c>
      <c r="K2469" s="152" t="s">
        <v>29159</v>
      </c>
      <c r="L2469" s="20" t="s">
        <v>25509</v>
      </c>
      <c r="M2469" s="174" t="s">
        <v>25510</v>
      </c>
      <c r="N2469" s="84"/>
      <c r="O2469" s="84"/>
      <c r="P2469" s="84"/>
      <c r="Q2469" s="84"/>
      <c r="R2469" s="84"/>
      <c r="S2469" s="84"/>
      <c r="T2469" s="84"/>
      <c r="U2469" s="84"/>
      <c r="V2469" s="84"/>
      <c r="W2469" s="84"/>
      <c r="X2469" s="84"/>
    </row>
    <row r="2470" ht="15.75" customHeight="1">
      <c r="A2470" s="14" t="s">
        <v>2137</v>
      </c>
      <c r="B2470" s="14">
        <v>2014.0</v>
      </c>
      <c r="C2470" s="14" t="s">
        <v>25511</v>
      </c>
      <c r="D2470" s="14" t="s">
        <v>25512</v>
      </c>
      <c r="E2470" s="150" t="s">
        <v>25513</v>
      </c>
      <c r="F2470" s="14">
        <v>2072.0</v>
      </c>
      <c r="G2470" s="14">
        <v>2081.0</v>
      </c>
      <c r="H2470" s="14" t="s">
        <v>17059</v>
      </c>
      <c r="I2470" s="14" t="s">
        <v>25516</v>
      </c>
      <c r="J2470" s="130" t="s">
        <v>25517</v>
      </c>
      <c r="K2470" s="152" t="s">
        <v>178</v>
      </c>
      <c r="L2470" s="20" t="s">
        <v>25519</v>
      </c>
      <c r="M2470" s="174" t="s">
        <v>25520</v>
      </c>
      <c r="N2470" s="84"/>
      <c r="O2470" s="84"/>
      <c r="P2470" s="84"/>
      <c r="Q2470" s="84"/>
      <c r="R2470" s="84"/>
      <c r="S2470" s="84"/>
      <c r="T2470" s="84"/>
      <c r="U2470" s="84"/>
      <c r="V2470" s="84"/>
      <c r="W2470" s="84"/>
      <c r="X2470" s="84"/>
    </row>
    <row r="2471" ht="15.75" customHeight="1">
      <c r="A2471" s="14" t="s">
        <v>2137</v>
      </c>
      <c r="B2471" s="14">
        <v>2014.0</v>
      </c>
      <c r="C2471" s="14" t="s">
        <v>25521</v>
      </c>
      <c r="D2471" s="14" t="s">
        <v>25522</v>
      </c>
      <c r="E2471" s="150" t="s">
        <v>25523</v>
      </c>
      <c r="F2471" s="14">
        <v>2082.0</v>
      </c>
      <c r="G2471" s="14">
        <v>2091.0</v>
      </c>
      <c r="H2471" s="14" t="s">
        <v>17059</v>
      </c>
      <c r="I2471" s="14" t="s">
        <v>29612</v>
      </c>
      <c r="J2471" s="130" t="s">
        <v>25526</v>
      </c>
      <c r="K2471" s="152" t="s">
        <v>29171</v>
      </c>
      <c r="L2471" s="20" t="s">
        <v>25527</v>
      </c>
      <c r="M2471" s="174" t="s">
        <v>25528</v>
      </c>
      <c r="N2471" s="84"/>
      <c r="O2471" s="84"/>
      <c r="P2471" s="84"/>
      <c r="Q2471" s="84"/>
      <c r="R2471" s="84"/>
      <c r="S2471" s="84"/>
      <c r="T2471" s="84"/>
      <c r="U2471" s="84"/>
      <c r="V2471" s="84"/>
      <c r="W2471" s="84"/>
      <c r="X2471" s="84"/>
    </row>
    <row r="2472" ht="15.75" customHeight="1">
      <c r="A2472" s="14" t="s">
        <v>2137</v>
      </c>
      <c r="B2472" s="14">
        <v>2014.0</v>
      </c>
      <c r="C2472" s="14" t="s">
        <v>25529</v>
      </c>
      <c r="D2472" s="14" t="s">
        <v>25530</v>
      </c>
      <c r="E2472" s="150" t="s">
        <v>25531</v>
      </c>
      <c r="F2472" s="14">
        <v>2092.0</v>
      </c>
      <c r="G2472" s="14">
        <v>2101.0</v>
      </c>
      <c r="H2472" s="14" t="s">
        <v>17059</v>
      </c>
      <c r="I2472" s="14" t="s">
        <v>25534</v>
      </c>
      <c r="J2472" s="130" t="s">
        <v>25535</v>
      </c>
      <c r="K2472" s="152" t="s">
        <v>29175</v>
      </c>
      <c r="L2472" s="20" t="s">
        <v>25537</v>
      </c>
      <c r="M2472" s="174" t="s">
        <v>25539</v>
      </c>
      <c r="N2472" s="84"/>
      <c r="O2472" s="84"/>
      <c r="P2472" s="84"/>
      <c r="Q2472" s="84"/>
      <c r="R2472" s="84"/>
      <c r="S2472" s="84"/>
      <c r="T2472" s="84"/>
      <c r="U2472" s="84"/>
      <c r="V2472" s="84"/>
      <c r="W2472" s="84"/>
      <c r="X2472" s="84"/>
    </row>
    <row r="2473" ht="15.75" customHeight="1">
      <c r="A2473" s="14" t="s">
        <v>2137</v>
      </c>
      <c r="B2473" s="14">
        <v>2014.0</v>
      </c>
      <c r="C2473" s="14" t="s">
        <v>25540</v>
      </c>
      <c r="D2473" s="14" t="s">
        <v>25541</v>
      </c>
      <c r="E2473" s="150" t="s">
        <v>25542</v>
      </c>
      <c r="F2473" s="14">
        <v>2102.0</v>
      </c>
      <c r="G2473" s="14">
        <v>2111.0</v>
      </c>
      <c r="H2473" s="14" t="s">
        <v>17059</v>
      </c>
      <c r="I2473" s="14" t="s">
        <v>25543</v>
      </c>
      <c r="J2473" s="130" t="s">
        <v>41748</v>
      </c>
      <c r="K2473" s="152" t="s">
        <v>29178</v>
      </c>
      <c r="L2473" s="20" t="s">
        <v>25546</v>
      </c>
      <c r="M2473" s="174" t="s">
        <v>25547</v>
      </c>
      <c r="N2473" s="84"/>
      <c r="O2473" s="84"/>
      <c r="P2473" s="84"/>
      <c r="Q2473" s="84"/>
      <c r="R2473" s="84"/>
      <c r="S2473" s="84"/>
      <c r="T2473" s="84"/>
      <c r="U2473" s="84"/>
      <c r="V2473" s="84"/>
      <c r="W2473" s="84"/>
      <c r="X2473" s="84"/>
    </row>
    <row r="2474" ht="15.75" customHeight="1">
      <c r="A2474" s="14" t="s">
        <v>2137</v>
      </c>
      <c r="B2474" s="14">
        <v>2014.0</v>
      </c>
      <c r="C2474" s="14" t="s">
        <v>25549</v>
      </c>
      <c r="D2474" s="14" t="s">
        <v>25550</v>
      </c>
      <c r="E2474" s="150" t="s">
        <v>25551</v>
      </c>
      <c r="F2474" s="14">
        <v>2112.0</v>
      </c>
      <c r="G2474" s="14">
        <v>2121.0</v>
      </c>
      <c r="H2474" s="14" t="s">
        <v>17059</v>
      </c>
      <c r="I2474" s="14" t="s">
        <v>25552</v>
      </c>
      <c r="J2474" s="130" t="s">
        <v>25553</v>
      </c>
      <c r="K2474" s="152" t="s">
        <v>494</v>
      </c>
      <c r="L2474" s="20" t="s">
        <v>25556</v>
      </c>
      <c r="M2474" s="174" t="s">
        <v>25557</v>
      </c>
      <c r="N2474" s="84"/>
      <c r="O2474" s="84"/>
      <c r="P2474" s="84"/>
      <c r="Q2474" s="84"/>
      <c r="R2474" s="84"/>
      <c r="S2474" s="84"/>
      <c r="T2474" s="84"/>
      <c r="U2474" s="84"/>
      <c r="V2474" s="84"/>
      <c r="W2474" s="84"/>
      <c r="X2474" s="84"/>
    </row>
    <row r="2475" ht="15.75" customHeight="1">
      <c r="A2475" s="14" t="s">
        <v>2137</v>
      </c>
      <c r="B2475" s="14">
        <v>2014.0</v>
      </c>
      <c r="C2475" s="14" t="s">
        <v>25559</v>
      </c>
      <c r="D2475" s="14" t="s">
        <v>25560</v>
      </c>
      <c r="E2475" s="150" t="s">
        <v>25561</v>
      </c>
      <c r="F2475" s="14">
        <v>2132.0</v>
      </c>
      <c r="G2475" s="14">
        <v>2141.0</v>
      </c>
      <c r="H2475" s="14" t="s">
        <v>17059</v>
      </c>
      <c r="I2475" s="14" t="s">
        <v>29643</v>
      </c>
      <c r="J2475" s="130" t="s">
        <v>25564</v>
      </c>
      <c r="K2475" s="152" t="s">
        <v>178</v>
      </c>
      <c r="L2475" s="20" t="s">
        <v>25566</v>
      </c>
      <c r="M2475" s="174" t="s">
        <v>25567</v>
      </c>
      <c r="N2475" s="84"/>
      <c r="O2475" s="84"/>
      <c r="P2475" s="84"/>
      <c r="Q2475" s="84"/>
      <c r="R2475" s="84"/>
      <c r="S2475" s="84"/>
      <c r="T2475" s="84"/>
      <c r="U2475" s="84"/>
      <c r="V2475" s="84"/>
      <c r="W2475" s="84"/>
      <c r="X2475" s="84"/>
    </row>
    <row r="2476" ht="15.75" customHeight="1">
      <c r="A2476" s="14" t="s">
        <v>2137</v>
      </c>
      <c r="B2476" s="14">
        <v>2014.0</v>
      </c>
      <c r="C2476" s="14" t="s">
        <v>25568</v>
      </c>
      <c r="D2476" s="14" t="s">
        <v>25569</v>
      </c>
      <c r="E2476" s="150" t="s">
        <v>25570</v>
      </c>
      <c r="F2476" s="14">
        <v>2142.0</v>
      </c>
      <c r="G2476" s="14">
        <v>2151.0</v>
      </c>
      <c r="H2476" s="14" t="s">
        <v>17059</v>
      </c>
      <c r="I2476" s="14" t="s">
        <v>25574</v>
      </c>
      <c r="J2476" s="130" t="s">
        <v>25575</v>
      </c>
      <c r="K2476" s="152" t="s">
        <v>29504</v>
      </c>
      <c r="L2476" s="20" t="s">
        <v>25577</v>
      </c>
      <c r="M2476" s="174" t="s">
        <v>25578</v>
      </c>
      <c r="N2476" s="84"/>
      <c r="O2476" s="84"/>
      <c r="P2476" s="84"/>
      <c r="Q2476" s="84"/>
      <c r="R2476" s="84"/>
      <c r="S2476" s="84"/>
      <c r="T2476" s="84"/>
      <c r="U2476" s="84"/>
      <c r="V2476" s="84"/>
      <c r="W2476" s="84"/>
      <c r="X2476" s="84"/>
    </row>
    <row r="2477" ht="15.75" customHeight="1">
      <c r="A2477" s="14" t="s">
        <v>2137</v>
      </c>
      <c r="B2477" s="14">
        <v>2014.0</v>
      </c>
      <c r="C2477" s="14" t="s">
        <v>25579</v>
      </c>
      <c r="D2477" s="14" t="s">
        <v>25580</v>
      </c>
      <c r="E2477" s="150" t="s">
        <v>25581</v>
      </c>
      <c r="F2477" s="14">
        <v>2359.0</v>
      </c>
      <c r="G2477" s="14">
        <v>2368.0</v>
      </c>
      <c r="H2477" s="14" t="s">
        <v>17059</v>
      </c>
      <c r="I2477" s="14" t="s">
        <v>25583</v>
      </c>
      <c r="J2477" s="130" t="s">
        <v>25584</v>
      </c>
      <c r="K2477" s="152" t="s">
        <v>29505</v>
      </c>
      <c r="L2477" s="20" t="s">
        <v>25587</v>
      </c>
      <c r="M2477" s="174" t="s">
        <v>25588</v>
      </c>
      <c r="N2477" s="84"/>
      <c r="O2477" s="84"/>
      <c r="P2477" s="84"/>
      <c r="Q2477" s="84"/>
      <c r="R2477" s="84"/>
      <c r="S2477" s="84"/>
      <c r="T2477" s="84"/>
      <c r="U2477" s="84"/>
      <c r="V2477" s="84"/>
      <c r="W2477" s="84"/>
      <c r="X2477" s="84"/>
    </row>
    <row r="2478" ht="15.75" customHeight="1">
      <c r="A2478" s="14" t="s">
        <v>2137</v>
      </c>
      <c r="B2478" s="14">
        <v>2014.0</v>
      </c>
      <c r="C2478" s="14" t="s">
        <v>25590</v>
      </c>
      <c r="D2478" s="14" t="s">
        <v>25591</v>
      </c>
      <c r="E2478" s="150" t="s">
        <v>25592</v>
      </c>
      <c r="F2478" s="14">
        <v>2369.0</v>
      </c>
      <c r="G2478" s="14">
        <v>2378.0</v>
      </c>
      <c r="H2478" s="14" t="s">
        <v>17059</v>
      </c>
      <c r="I2478" s="14" t="s">
        <v>25593</v>
      </c>
      <c r="J2478" s="130" t="s">
        <v>41749</v>
      </c>
      <c r="K2478" s="152" t="s">
        <v>29578</v>
      </c>
      <c r="L2478" s="20" t="s">
        <v>25599</v>
      </c>
      <c r="M2478" s="174" t="s">
        <v>25600</v>
      </c>
      <c r="N2478" s="84"/>
      <c r="O2478" s="84"/>
      <c r="P2478" s="84"/>
      <c r="Q2478" s="84"/>
      <c r="R2478" s="84"/>
      <c r="S2478" s="84"/>
      <c r="T2478" s="84"/>
      <c r="U2478" s="84"/>
      <c r="V2478" s="84"/>
      <c r="W2478" s="84"/>
      <c r="X2478" s="84"/>
    </row>
    <row r="2479" ht="15.75" customHeight="1">
      <c r="A2479" s="14" t="s">
        <v>2137</v>
      </c>
      <c r="B2479" s="14">
        <v>2014.0</v>
      </c>
      <c r="C2479" s="14" t="s">
        <v>25601</v>
      </c>
      <c r="D2479" s="14" t="s">
        <v>25602</v>
      </c>
      <c r="E2479" s="150" t="s">
        <v>25603</v>
      </c>
      <c r="F2479" s="14">
        <v>2152.0</v>
      </c>
      <c r="G2479" s="14">
        <v>2160.0</v>
      </c>
      <c r="H2479" s="14" t="s">
        <v>17059</v>
      </c>
      <c r="I2479" s="14" t="s">
        <v>29560</v>
      </c>
      <c r="J2479" s="130" t="s">
        <v>25605</v>
      </c>
      <c r="K2479" s="152" t="s">
        <v>29562</v>
      </c>
      <c r="L2479" s="20" t="s">
        <v>23724</v>
      </c>
      <c r="M2479" s="174" t="s">
        <v>25607</v>
      </c>
      <c r="N2479" s="84"/>
      <c r="O2479" s="84"/>
      <c r="P2479" s="84"/>
      <c r="Q2479" s="84"/>
      <c r="R2479" s="84"/>
      <c r="S2479" s="84"/>
      <c r="T2479" s="84"/>
      <c r="U2479" s="84"/>
      <c r="V2479" s="84"/>
      <c r="W2479" s="84"/>
      <c r="X2479" s="84"/>
    </row>
    <row r="2480" ht="15.75" customHeight="1">
      <c r="A2480" s="14" t="s">
        <v>2137</v>
      </c>
      <c r="B2480" s="14">
        <v>2014.0</v>
      </c>
      <c r="C2480" s="14" t="s">
        <v>25608</v>
      </c>
      <c r="D2480" s="14" t="s">
        <v>25609</v>
      </c>
      <c r="E2480" s="150" t="s">
        <v>25610</v>
      </c>
      <c r="F2480" s="14">
        <v>2161.0</v>
      </c>
      <c r="G2480" s="14">
        <v>2170.0</v>
      </c>
      <c r="H2480" s="14" t="s">
        <v>17059</v>
      </c>
      <c r="I2480" s="14" t="s">
        <v>25611</v>
      </c>
      <c r="J2480" s="130" t="s">
        <v>25612</v>
      </c>
      <c r="K2480" s="152" t="s">
        <v>29606</v>
      </c>
      <c r="L2480" s="20" t="s">
        <v>25614</v>
      </c>
      <c r="M2480" s="174" t="s">
        <v>25615</v>
      </c>
      <c r="N2480" s="84"/>
      <c r="O2480" s="84"/>
      <c r="P2480" s="84"/>
      <c r="Q2480" s="84"/>
      <c r="R2480" s="84"/>
      <c r="S2480" s="84"/>
      <c r="T2480" s="84"/>
      <c r="U2480" s="84"/>
      <c r="V2480" s="84"/>
      <c r="W2480" s="84"/>
      <c r="X2480" s="84"/>
    </row>
    <row r="2481" ht="15.75" customHeight="1">
      <c r="A2481" s="14" t="s">
        <v>2137</v>
      </c>
      <c r="B2481" s="14">
        <v>2014.0</v>
      </c>
      <c r="C2481" s="14" t="s">
        <v>25616</v>
      </c>
      <c r="D2481" s="14" t="s">
        <v>25617</v>
      </c>
      <c r="E2481" s="150" t="s">
        <v>25618</v>
      </c>
      <c r="F2481" s="14">
        <v>2171.0</v>
      </c>
      <c r="G2481" s="14">
        <v>2180.0</v>
      </c>
      <c r="H2481" s="14" t="s">
        <v>17059</v>
      </c>
      <c r="I2481" s="14" t="s">
        <v>25619</v>
      </c>
      <c r="J2481" s="130" t="s">
        <v>25620</v>
      </c>
      <c r="K2481" s="152" t="s">
        <v>26976</v>
      </c>
      <c r="L2481" s="20" t="s">
        <v>25621</v>
      </c>
      <c r="M2481" s="174" t="s">
        <v>25622</v>
      </c>
      <c r="N2481" s="84"/>
      <c r="O2481" s="84"/>
      <c r="P2481" s="84"/>
      <c r="Q2481" s="84"/>
      <c r="R2481" s="84"/>
      <c r="S2481" s="84"/>
      <c r="T2481" s="84"/>
      <c r="U2481" s="84"/>
      <c r="V2481" s="84"/>
      <c r="W2481" s="84"/>
      <c r="X2481" s="84"/>
    </row>
    <row r="2482" ht="15.75" customHeight="1">
      <c r="A2482" s="14" t="s">
        <v>2137</v>
      </c>
      <c r="B2482" s="14">
        <v>2014.0</v>
      </c>
      <c r="C2482" s="14" t="s">
        <v>25623</v>
      </c>
      <c r="D2482" s="14" t="s">
        <v>25624</v>
      </c>
      <c r="E2482" s="150" t="s">
        <v>25625</v>
      </c>
      <c r="F2482" s="14">
        <v>2181.0</v>
      </c>
      <c r="G2482" s="14">
        <v>2190.0</v>
      </c>
      <c r="H2482" s="14" t="s">
        <v>17059</v>
      </c>
      <c r="I2482" s="14" t="s">
        <v>25626</v>
      </c>
      <c r="J2482" s="130" t="s">
        <v>25627</v>
      </c>
      <c r="K2482" s="152" t="s">
        <v>29534</v>
      </c>
      <c r="L2482" s="20" t="s">
        <v>25630</v>
      </c>
      <c r="M2482" s="174" t="s">
        <v>25631</v>
      </c>
      <c r="N2482" s="84"/>
      <c r="O2482" s="84"/>
      <c r="P2482" s="84"/>
      <c r="Q2482" s="84"/>
      <c r="R2482" s="84"/>
      <c r="S2482" s="84"/>
      <c r="T2482" s="84"/>
      <c r="U2482" s="84"/>
      <c r="V2482" s="84"/>
      <c r="W2482" s="84"/>
      <c r="X2482" s="84"/>
    </row>
    <row r="2483" ht="15.75" customHeight="1">
      <c r="A2483" s="14" t="s">
        <v>2137</v>
      </c>
      <c r="B2483" s="14">
        <v>2014.0</v>
      </c>
      <c r="C2483" s="14" t="s">
        <v>25632</v>
      </c>
      <c r="D2483" s="14" t="s">
        <v>25633</v>
      </c>
      <c r="E2483" s="150" t="s">
        <v>25634</v>
      </c>
      <c r="F2483" s="14">
        <v>2191.0</v>
      </c>
      <c r="G2483" s="14">
        <v>2200.0</v>
      </c>
      <c r="H2483" s="14" t="s">
        <v>17059</v>
      </c>
      <c r="I2483" s="14" t="s">
        <v>25635</v>
      </c>
      <c r="J2483" s="130" t="s">
        <v>25636</v>
      </c>
      <c r="K2483" s="152" t="s">
        <v>27273</v>
      </c>
      <c r="L2483" s="20" t="s">
        <v>25639</v>
      </c>
      <c r="M2483" s="174" t="s">
        <v>25640</v>
      </c>
      <c r="N2483" s="84"/>
      <c r="O2483" s="84"/>
      <c r="P2483" s="84"/>
      <c r="Q2483" s="84"/>
      <c r="R2483" s="84"/>
      <c r="S2483" s="84"/>
      <c r="T2483" s="84"/>
      <c r="U2483" s="84"/>
      <c r="V2483" s="84"/>
      <c r="W2483" s="84"/>
      <c r="X2483" s="84"/>
    </row>
    <row r="2484" ht="15.75" customHeight="1">
      <c r="A2484" s="14" t="s">
        <v>2137</v>
      </c>
      <c r="B2484" s="14">
        <v>2014.0</v>
      </c>
      <c r="C2484" s="14" t="s">
        <v>25641</v>
      </c>
      <c r="D2484" s="14" t="s">
        <v>25642</v>
      </c>
      <c r="E2484" s="150" t="s">
        <v>25643</v>
      </c>
      <c r="F2484" s="14">
        <v>2211.0</v>
      </c>
      <c r="G2484" s="14">
        <v>2220.0</v>
      </c>
      <c r="H2484" s="14" t="s">
        <v>17059</v>
      </c>
      <c r="I2484" s="14" t="s">
        <v>25644</v>
      </c>
      <c r="J2484" s="130" t="s">
        <v>25645</v>
      </c>
      <c r="K2484" s="152" t="s">
        <v>29631</v>
      </c>
      <c r="L2484" s="20" t="s">
        <v>25647</v>
      </c>
      <c r="M2484" s="174" t="s">
        <v>25648</v>
      </c>
      <c r="N2484" s="84"/>
      <c r="O2484" s="84"/>
      <c r="P2484" s="84"/>
      <c r="Q2484" s="84"/>
      <c r="R2484" s="84"/>
      <c r="S2484" s="84"/>
      <c r="T2484" s="84"/>
      <c r="U2484" s="84"/>
      <c r="V2484" s="84"/>
      <c r="W2484" s="84"/>
      <c r="X2484" s="84"/>
    </row>
    <row r="2485" ht="15.75" customHeight="1">
      <c r="A2485" s="14" t="s">
        <v>2137</v>
      </c>
      <c r="B2485" s="14">
        <v>2014.0</v>
      </c>
      <c r="C2485" s="14" t="s">
        <v>25776</v>
      </c>
      <c r="D2485" s="14" t="s">
        <v>25777</v>
      </c>
      <c r="E2485" s="150" t="s">
        <v>25778</v>
      </c>
      <c r="F2485" s="14">
        <v>2221.0</v>
      </c>
      <c r="G2485" s="14">
        <v>2230.0</v>
      </c>
      <c r="H2485" s="14" t="s">
        <v>17059</v>
      </c>
      <c r="I2485" s="14" t="s">
        <v>25781</v>
      </c>
      <c r="J2485" s="130" t="s">
        <v>25782</v>
      </c>
      <c r="K2485" s="152" t="s">
        <v>494</v>
      </c>
      <c r="L2485" s="20" t="s">
        <v>25784</v>
      </c>
      <c r="M2485" s="174" t="s">
        <v>25785</v>
      </c>
      <c r="N2485" s="84"/>
      <c r="O2485" s="84"/>
      <c r="P2485" s="84"/>
      <c r="Q2485" s="84"/>
      <c r="R2485" s="84"/>
      <c r="S2485" s="84"/>
      <c r="T2485" s="84"/>
      <c r="U2485" s="84"/>
      <c r="V2485" s="84"/>
      <c r="W2485" s="84"/>
      <c r="X2485" s="84"/>
    </row>
    <row r="2486" ht="15.75" customHeight="1">
      <c r="A2486" s="14" t="s">
        <v>2137</v>
      </c>
      <c r="B2486" s="14">
        <v>2014.0</v>
      </c>
      <c r="C2486" s="14" t="s">
        <v>25786</v>
      </c>
      <c r="D2486" s="14" t="s">
        <v>25787</v>
      </c>
      <c r="E2486" s="150" t="s">
        <v>25789</v>
      </c>
      <c r="F2486" s="14">
        <v>2231.0</v>
      </c>
      <c r="G2486" s="14">
        <v>2240.0</v>
      </c>
      <c r="H2486" s="14" t="s">
        <v>17059</v>
      </c>
      <c r="I2486" s="14" t="s">
        <v>25790</v>
      </c>
      <c r="J2486" s="130" t="s">
        <v>25791</v>
      </c>
      <c r="K2486" s="152" t="s">
        <v>29591</v>
      </c>
      <c r="L2486" s="20" t="s">
        <v>25794</v>
      </c>
      <c r="M2486" s="174" t="s">
        <v>25795</v>
      </c>
      <c r="N2486" s="84"/>
      <c r="O2486" s="84"/>
      <c r="P2486" s="84"/>
      <c r="Q2486" s="84"/>
      <c r="R2486" s="84"/>
      <c r="S2486" s="84"/>
      <c r="T2486" s="84"/>
      <c r="U2486" s="84"/>
      <c r="V2486" s="84"/>
      <c r="W2486" s="84"/>
      <c r="X2486" s="84"/>
    </row>
    <row r="2487" ht="15.75" customHeight="1">
      <c r="A2487" s="14" t="s">
        <v>2137</v>
      </c>
      <c r="B2487" s="14">
        <v>2014.0</v>
      </c>
      <c r="C2487" s="14" t="s">
        <v>25797</v>
      </c>
      <c r="D2487" s="14" t="s">
        <v>25798</v>
      </c>
      <c r="E2487" s="150" t="s">
        <v>25799</v>
      </c>
      <c r="F2487" s="14">
        <v>2241.0</v>
      </c>
      <c r="G2487" s="14">
        <v>2250.0</v>
      </c>
      <c r="H2487" s="14" t="s">
        <v>17059</v>
      </c>
      <c r="I2487" s="14" t="s">
        <v>25802</v>
      </c>
      <c r="J2487" s="130" t="s">
        <v>25803</v>
      </c>
      <c r="K2487" s="152" t="s">
        <v>29628</v>
      </c>
      <c r="L2487" s="20" t="s">
        <v>25805</v>
      </c>
      <c r="M2487" s="174" t="s">
        <v>25806</v>
      </c>
      <c r="N2487" s="84"/>
      <c r="O2487" s="84"/>
      <c r="P2487" s="84"/>
      <c r="Q2487" s="84"/>
      <c r="R2487" s="84"/>
      <c r="S2487" s="84"/>
      <c r="T2487" s="84"/>
      <c r="U2487" s="84"/>
      <c r="V2487" s="84"/>
      <c r="W2487" s="84"/>
      <c r="X2487" s="84"/>
    </row>
    <row r="2488" ht="15.75" customHeight="1">
      <c r="A2488" s="14" t="s">
        <v>2137</v>
      </c>
      <c r="B2488" s="14">
        <v>2014.0</v>
      </c>
      <c r="C2488" s="14" t="s">
        <v>25808</v>
      </c>
      <c r="D2488" s="14" t="s">
        <v>25809</v>
      </c>
      <c r="E2488" s="150" t="s">
        <v>25810</v>
      </c>
      <c r="F2488" s="14">
        <v>2251.0</v>
      </c>
      <c r="G2488" s="14">
        <v>2260.0</v>
      </c>
      <c r="H2488" s="14" t="s">
        <v>17059</v>
      </c>
      <c r="I2488" s="14" t="s">
        <v>29623</v>
      </c>
      <c r="J2488" s="130" t="s">
        <v>25814</v>
      </c>
      <c r="K2488" s="152" t="s">
        <v>29625</v>
      </c>
      <c r="L2488" s="20" t="s">
        <v>25816</v>
      </c>
      <c r="M2488" s="174" t="s">
        <v>25817</v>
      </c>
      <c r="N2488" s="84"/>
      <c r="O2488" s="84"/>
      <c r="P2488" s="84"/>
      <c r="Q2488" s="84"/>
      <c r="R2488" s="84"/>
      <c r="S2488" s="84"/>
      <c r="T2488" s="84"/>
      <c r="U2488" s="84"/>
      <c r="V2488" s="84"/>
      <c r="W2488" s="84"/>
      <c r="X2488" s="84"/>
    </row>
    <row r="2489" ht="15.75" customHeight="1">
      <c r="A2489" s="14" t="s">
        <v>2137</v>
      </c>
      <c r="B2489" s="14">
        <v>2014.0</v>
      </c>
      <c r="C2489" s="14" t="s">
        <v>25818</v>
      </c>
      <c r="D2489" s="14" t="s">
        <v>25819</v>
      </c>
      <c r="E2489" s="150" t="s">
        <v>25820</v>
      </c>
      <c r="F2489" s="14">
        <v>2261.0</v>
      </c>
      <c r="G2489" s="14">
        <v>2270.0</v>
      </c>
      <c r="H2489" s="14" t="s">
        <v>17059</v>
      </c>
      <c r="I2489" s="14" t="s">
        <v>25822</v>
      </c>
      <c r="J2489" s="130" t="s">
        <v>25823</v>
      </c>
      <c r="K2489" s="152" t="s">
        <v>494</v>
      </c>
      <c r="L2489" s="20" t="s">
        <v>25825</v>
      </c>
      <c r="M2489" s="174" t="s">
        <v>25826</v>
      </c>
      <c r="N2489" s="84"/>
      <c r="O2489" s="84"/>
      <c r="P2489" s="84"/>
      <c r="Q2489" s="84"/>
      <c r="R2489" s="84"/>
      <c r="S2489" s="84"/>
      <c r="T2489" s="84"/>
      <c r="U2489" s="84"/>
      <c r="V2489" s="84"/>
      <c r="W2489" s="84"/>
      <c r="X2489" s="84"/>
    </row>
    <row r="2490" ht="15.75" customHeight="1">
      <c r="A2490" s="14" t="s">
        <v>2137</v>
      </c>
      <c r="B2490" s="14">
        <v>2014.0</v>
      </c>
      <c r="C2490" s="14" t="s">
        <v>25827</v>
      </c>
      <c r="D2490" s="14" t="s">
        <v>25828</v>
      </c>
      <c r="E2490" s="150" t="s">
        <v>25829</v>
      </c>
      <c r="F2490" s="14">
        <v>2271.0</v>
      </c>
      <c r="G2490" s="14">
        <v>2280.0</v>
      </c>
      <c r="H2490" s="14" t="s">
        <v>17059</v>
      </c>
      <c r="I2490" s="14" t="s">
        <v>29599</v>
      </c>
      <c r="J2490" s="130" t="s">
        <v>25832</v>
      </c>
      <c r="K2490" s="152" t="s">
        <v>27755</v>
      </c>
      <c r="L2490" s="20" t="s">
        <v>25834</v>
      </c>
      <c r="M2490" s="174" t="s">
        <v>25835</v>
      </c>
      <c r="N2490" s="84"/>
      <c r="O2490" s="84"/>
      <c r="P2490" s="84"/>
      <c r="Q2490" s="84"/>
      <c r="R2490" s="84"/>
      <c r="S2490" s="84"/>
      <c r="T2490" s="84"/>
      <c r="U2490" s="84"/>
      <c r="V2490" s="84"/>
      <c r="W2490" s="84"/>
      <c r="X2490" s="84"/>
    </row>
    <row r="2491" ht="15.75" customHeight="1">
      <c r="A2491" s="14" t="s">
        <v>2137</v>
      </c>
      <c r="B2491" s="14">
        <v>2014.0</v>
      </c>
      <c r="C2491" s="14" t="s">
        <v>25836</v>
      </c>
      <c r="D2491" s="14" t="s">
        <v>25837</v>
      </c>
      <c r="E2491" s="150" t="s">
        <v>25838</v>
      </c>
      <c r="F2491" s="14">
        <v>2281.0</v>
      </c>
      <c r="G2491" s="14">
        <v>2290.0</v>
      </c>
      <c r="H2491" s="14" t="s">
        <v>17059</v>
      </c>
      <c r="I2491" s="14" t="s">
        <v>25841</v>
      </c>
      <c r="J2491" s="130" t="s">
        <v>25843</v>
      </c>
      <c r="K2491" s="152" t="s">
        <v>29565</v>
      </c>
      <c r="L2491" s="20" t="s">
        <v>25845</v>
      </c>
      <c r="M2491" s="174" t="s">
        <v>25846</v>
      </c>
      <c r="N2491" s="84"/>
      <c r="O2491" s="84"/>
      <c r="P2491" s="84"/>
      <c r="Q2491" s="84"/>
      <c r="R2491" s="84"/>
      <c r="S2491" s="84"/>
      <c r="T2491" s="84"/>
      <c r="U2491" s="84"/>
      <c r="V2491" s="84"/>
      <c r="W2491" s="84"/>
      <c r="X2491" s="84"/>
    </row>
    <row r="2492" ht="15.75" customHeight="1">
      <c r="A2492" s="14" t="s">
        <v>2137</v>
      </c>
      <c r="B2492" s="14">
        <v>2014.0</v>
      </c>
      <c r="C2492" s="14" t="s">
        <v>25847</v>
      </c>
      <c r="D2492" s="14" t="s">
        <v>25848</v>
      </c>
      <c r="E2492" s="150" t="s">
        <v>25849</v>
      </c>
      <c r="F2492" s="14">
        <v>2291.0</v>
      </c>
      <c r="G2492" s="14">
        <v>2300.0</v>
      </c>
      <c r="H2492" s="14" t="s">
        <v>17059</v>
      </c>
      <c r="I2492" s="14" t="s">
        <v>25852</v>
      </c>
      <c r="J2492" s="130" t="s">
        <v>25853</v>
      </c>
      <c r="K2492" s="152" t="s">
        <v>5349</v>
      </c>
      <c r="L2492" s="20" t="s">
        <v>25855</v>
      </c>
      <c r="M2492" s="174" t="s">
        <v>25856</v>
      </c>
      <c r="N2492" s="84"/>
      <c r="O2492" s="84"/>
      <c r="P2492" s="84"/>
      <c r="Q2492" s="84"/>
      <c r="R2492" s="84"/>
      <c r="S2492" s="84"/>
      <c r="T2492" s="84"/>
      <c r="U2492" s="84"/>
      <c r="V2492" s="84"/>
      <c r="W2492" s="84"/>
      <c r="X2492" s="84"/>
    </row>
    <row r="2493" ht="15.75" customHeight="1">
      <c r="A2493" s="14" t="s">
        <v>2137</v>
      </c>
      <c r="B2493" s="14">
        <v>2014.0</v>
      </c>
      <c r="C2493" s="14" t="s">
        <v>25857</v>
      </c>
      <c r="D2493" s="14" t="s">
        <v>25858</v>
      </c>
      <c r="E2493" s="150" t="s">
        <v>25859</v>
      </c>
      <c r="F2493" s="14">
        <v>2301.0</v>
      </c>
      <c r="G2493" s="14">
        <v>2309.0</v>
      </c>
      <c r="H2493" s="14" t="s">
        <v>17059</v>
      </c>
      <c r="I2493" s="14" t="s">
        <v>25860</v>
      </c>
      <c r="J2493" s="130" t="s">
        <v>25862</v>
      </c>
      <c r="K2493" s="152" t="s">
        <v>178</v>
      </c>
      <c r="L2493" s="20"/>
      <c r="M2493" s="174" t="s">
        <v>25863</v>
      </c>
      <c r="N2493" s="124"/>
      <c r="O2493" s="124"/>
      <c r="P2493" s="124"/>
      <c r="Q2493" s="124"/>
      <c r="R2493" s="124"/>
      <c r="S2493" s="124"/>
      <c r="T2493" s="124"/>
      <c r="U2493" s="124"/>
      <c r="V2493" s="124"/>
      <c r="W2493" s="124"/>
      <c r="X2493" s="124"/>
    </row>
    <row r="2494" ht="15.75" customHeight="1">
      <c r="A2494" s="14" t="s">
        <v>2137</v>
      </c>
      <c r="B2494" s="14">
        <v>2014.0</v>
      </c>
      <c r="C2494" s="14" t="s">
        <v>25865</v>
      </c>
      <c r="D2494" s="14" t="s">
        <v>25866</v>
      </c>
      <c r="E2494" s="150" t="s">
        <v>25867</v>
      </c>
      <c r="F2494" s="14">
        <v>2310.0</v>
      </c>
      <c r="G2494" s="14">
        <v>2319.0</v>
      </c>
      <c r="H2494" s="14" t="s">
        <v>17059</v>
      </c>
      <c r="I2494" s="14" t="s">
        <v>25870</v>
      </c>
      <c r="J2494" s="130" t="s">
        <v>22805</v>
      </c>
      <c r="K2494" s="152" t="s">
        <v>29580</v>
      </c>
      <c r="L2494" s="20" t="s">
        <v>25872</v>
      </c>
      <c r="M2494" s="174" t="s">
        <v>25873</v>
      </c>
      <c r="N2494" s="84"/>
      <c r="O2494" s="84"/>
      <c r="P2494" s="84"/>
      <c r="Q2494" s="84"/>
      <c r="R2494" s="84"/>
      <c r="S2494" s="84"/>
      <c r="T2494" s="84"/>
      <c r="U2494" s="84"/>
      <c r="V2494" s="84"/>
      <c r="W2494" s="84"/>
      <c r="X2494" s="84"/>
    </row>
    <row r="2495" ht="15.75" customHeight="1">
      <c r="A2495" s="14" t="s">
        <v>2137</v>
      </c>
      <c r="B2495" s="14">
        <v>2014.0</v>
      </c>
      <c r="C2495" s="14" t="s">
        <v>25874</v>
      </c>
      <c r="D2495" s="14" t="s">
        <v>25875</v>
      </c>
      <c r="E2495" s="150" t="s">
        <v>25876</v>
      </c>
      <c r="F2495" s="14">
        <v>2320.0</v>
      </c>
      <c r="G2495" s="14">
        <v>2328.0</v>
      </c>
      <c r="H2495" s="14" t="s">
        <v>17059</v>
      </c>
      <c r="I2495" s="14" t="s">
        <v>25878</v>
      </c>
      <c r="J2495" s="130" t="s">
        <v>25879</v>
      </c>
      <c r="K2495" s="152" t="s">
        <v>2704</v>
      </c>
      <c r="L2495" s="20" t="s">
        <v>25882</v>
      </c>
      <c r="M2495" s="174" t="s">
        <v>25883</v>
      </c>
      <c r="N2495" s="84"/>
      <c r="O2495" s="84"/>
      <c r="P2495" s="84"/>
      <c r="Q2495" s="84"/>
      <c r="R2495" s="84"/>
      <c r="S2495" s="84"/>
      <c r="T2495" s="84"/>
      <c r="U2495" s="84"/>
      <c r="V2495" s="84"/>
      <c r="W2495" s="84"/>
      <c r="X2495" s="84"/>
    </row>
    <row r="2496" ht="15.75" customHeight="1">
      <c r="A2496" s="14" t="s">
        <v>2137</v>
      </c>
      <c r="B2496" s="14">
        <v>2014.0</v>
      </c>
      <c r="C2496" s="14" t="s">
        <v>25884</v>
      </c>
      <c r="D2496" s="14" t="s">
        <v>25885</v>
      </c>
      <c r="E2496" s="150" t="s">
        <v>25886</v>
      </c>
      <c r="F2496" s="14">
        <v>2339.0</v>
      </c>
      <c r="G2496" s="14">
        <v>2348.0</v>
      </c>
      <c r="H2496" s="14" t="s">
        <v>17059</v>
      </c>
      <c r="I2496" s="14" t="s">
        <v>25889</v>
      </c>
      <c r="J2496" s="130" t="s">
        <v>25890</v>
      </c>
      <c r="K2496" s="152" t="s">
        <v>29620</v>
      </c>
      <c r="L2496" s="20" t="s">
        <v>25892</v>
      </c>
      <c r="M2496" s="174" t="s">
        <v>25893</v>
      </c>
      <c r="N2496" s="84"/>
      <c r="O2496" s="84"/>
      <c r="P2496" s="84"/>
      <c r="Q2496" s="84"/>
      <c r="R2496" s="84"/>
      <c r="S2496" s="84"/>
      <c r="T2496" s="84"/>
      <c r="U2496" s="84"/>
      <c r="V2496" s="84"/>
      <c r="W2496" s="84"/>
      <c r="X2496" s="84"/>
    </row>
    <row r="2497" ht="15.75" customHeight="1">
      <c r="A2497" s="14" t="s">
        <v>2137</v>
      </c>
      <c r="B2497" s="14">
        <v>2014.0</v>
      </c>
      <c r="C2497" s="14" t="s">
        <v>25895</v>
      </c>
      <c r="D2497" s="14" t="s">
        <v>25896</v>
      </c>
      <c r="E2497" s="150" t="s">
        <v>25897</v>
      </c>
      <c r="F2497" s="14">
        <v>2122.0</v>
      </c>
      <c r="G2497" s="14">
        <v>2131.0</v>
      </c>
      <c r="H2497" s="14" t="s">
        <v>17059</v>
      </c>
      <c r="I2497" s="14" t="s">
        <v>25898</v>
      </c>
      <c r="J2497" s="130" t="s">
        <v>25899</v>
      </c>
      <c r="K2497" s="152" t="s">
        <v>178</v>
      </c>
      <c r="L2497" s="20" t="s">
        <v>21426</v>
      </c>
      <c r="M2497" s="174" t="s">
        <v>25901</v>
      </c>
      <c r="N2497" s="84"/>
      <c r="O2497" s="84"/>
      <c r="P2497" s="84"/>
      <c r="Q2497" s="84"/>
      <c r="R2497" s="84"/>
      <c r="S2497" s="84"/>
      <c r="T2497" s="84"/>
      <c r="U2497" s="84"/>
      <c r="V2497" s="84"/>
      <c r="W2497" s="84"/>
      <c r="X2497" s="84"/>
    </row>
    <row r="2498" ht="15.75" customHeight="1">
      <c r="A2498" s="14" t="s">
        <v>2137</v>
      </c>
      <c r="B2498" s="14">
        <v>2014.0</v>
      </c>
      <c r="C2498" s="14" t="s">
        <v>25903</v>
      </c>
      <c r="D2498" s="14" t="s">
        <v>25904</v>
      </c>
      <c r="E2498" s="150" t="s">
        <v>25905</v>
      </c>
      <c r="F2498" s="14">
        <v>2329.0</v>
      </c>
      <c r="G2498" s="14">
        <v>2338.0</v>
      </c>
      <c r="H2498" s="14" t="s">
        <v>17059</v>
      </c>
      <c r="I2498" s="14" t="s">
        <v>25906</v>
      </c>
      <c r="J2498" s="130" t="s">
        <v>25907</v>
      </c>
      <c r="K2498" s="152" t="s">
        <v>22142</v>
      </c>
      <c r="L2498" s="20" t="s">
        <v>25910</v>
      </c>
      <c r="M2498" s="174" t="s">
        <v>25911</v>
      </c>
      <c r="N2498" s="84"/>
      <c r="O2498" s="84"/>
      <c r="P2498" s="84"/>
      <c r="Q2498" s="84"/>
      <c r="R2498" s="84"/>
      <c r="S2498" s="84"/>
      <c r="T2498" s="84"/>
      <c r="U2498" s="84"/>
      <c r="V2498" s="84"/>
      <c r="W2498" s="84"/>
      <c r="X2498" s="84"/>
    </row>
    <row r="2499" ht="15.75" customHeight="1">
      <c r="A2499" s="14" t="s">
        <v>2137</v>
      </c>
      <c r="B2499" s="14">
        <v>2014.0</v>
      </c>
      <c r="C2499" s="14" t="s">
        <v>25913</v>
      </c>
      <c r="D2499" s="14" t="s">
        <v>25914</v>
      </c>
      <c r="E2499" s="150" t="s">
        <v>25915</v>
      </c>
      <c r="F2499" s="14">
        <v>2349.0</v>
      </c>
      <c r="G2499" s="14">
        <v>2358.0</v>
      </c>
      <c r="H2499" s="14" t="s">
        <v>17059</v>
      </c>
      <c r="I2499" s="14" t="s">
        <v>25917</v>
      </c>
      <c r="J2499" s="130" t="s">
        <v>25918</v>
      </c>
      <c r="K2499" s="152" t="s">
        <v>29542</v>
      </c>
      <c r="L2499" s="20" t="s">
        <v>25921</v>
      </c>
      <c r="M2499" s="174" t="s">
        <v>25922</v>
      </c>
      <c r="N2499" s="84"/>
      <c r="O2499" s="84"/>
      <c r="P2499" s="84"/>
      <c r="Q2499" s="84"/>
      <c r="R2499" s="84"/>
      <c r="S2499" s="84"/>
      <c r="T2499" s="84"/>
      <c r="U2499" s="84"/>
      <c r="V2499" s="84"/>
      <c r="W2499" s="84"/>
      <c r="X2499" s="84"/>
    </row>
    <row r="2500" ht="15.75" customHeight="1">
      <c r="A2500" s="14" t="s">
        <v>2137</v>
      </c>
      <c r="B2500" s="14">
        <v>2014.0</v>
      </c>
      <c r="C2500" s="14" t="s">
        <v>25923</v>
      </c>
      <c r="D2500" s="14" t="s">
        <v>25924</v>
      </c>
      <c r="E2500" s="150" t="s">
        <v>25925</v>
      </c>
      <c r="F2500" s="14">
        <v>1933.0</v>
      </c>
      <c r="G2500" s="14">
        <v>1942.0</v>
      </c>
      <c r="H2500" s="14" t="s">
        <v>17059</v>
      </c>
      <c r="I2500" s="14" t="s">
        <v>25927</v>
      </c>
      <c r="J2500" s="130" t="s">
        <v>25928</v>
      </c>
      <c r="K2500" s="152" t="s">
        <v>29570</v>
      </c>
      <c r="L2500" s="20" t="s">
        <v>25931</v>
      </c>
      <c r="M2500" s="174" t="s">
        <v>25932</v>
      </c>
      <c r="N2500" s="84"/>
      <c r="O2500" s="84"/>
      <c r="P2500" s="84"/>
      <c r="Q2500" s="84"/>
      <c r="R2500" s="84"/>
      <c r="S2500" s="84"/>
      <c r="T2500" s="84"/>
      <c r="U2500" s="84"/>
      <c r="V2500" s="84"/>
      <c r="W2500" s="84"/>
      <c r="X2500" s="84"/>
    </row>
    <row r="2501" ht="15.75" customHeight="1">
      <c r="A2501" s="14" t="s">
        <v>2137</v>
      </c>
      <c r="B2501" s="14">
        <v>2014.0</v>
      </c>
      <c r="C2501" s="14" t="s">
        <v>25933</v>
      </c>
      <c r="D2501" s="14" t="s">
        <v>25934</v>
      </c>
      <c r="E2501" s="150" t="s">
        <v>25935</v>
      </c>
      <c r="F2501" s="14">
        <v>1943.0</v>
      </c>
      <c r="G2501" s="14">
        <v>1952.0</v>
      </c>
      <c r="H2501" s="14" t="s">
        <v>17059</v>
      </c>
      <c r="I2501" s="14" t="s">
        <v>25937</v>
      </c>
      <c r="J2501" s="130" t="s">
        <v>25938</v>
      </c>
      <c r="K2501" s="152" t="s">
        <v>29608</v>
      </c>
      <c r="L2501" s="20" t="s">
        <v>25940</v>
      </c>
      <c r="M2501" s="174" t="s">
        <v>25941</v>
      </c>
      <c r="N2501" s="84"/>
      <c r="O2501" s="84"/>
      <c r="P2501" s="84"/>
      <c r="Q2501" s="84"/>
      <c r="R2501" s="84"/>
      <c r="S2501" s="84"/>
      <c r="T2501" s="84"/>
      <c r="U2501" s="84"/>
      <c r="V2501" s="84"/>
      <c r="W2501" s="84"/>
      <c r="X2501" s="84"/>
    </row>
    <row r="2502" ht="15.75" customHeight="1">
      <c r="A2502" s="14" t="s">
        <v>2137</v>
      </c>
      <c r="B2502" s="14">
        <v>2014.0</v>
      </c>
      <c r="C2502" s="14" t="s">
        <v>25942</v>
      </c>
      <c r="D2502" s="14" t="s">
        <v>25943</v>
      </c>
      <c r="E2502" s="150" t="s">
        <v>25944</v>
      </c>
      <c r="F2502" s="14">
        <v>1953.0</v>
      </c>
      <c r="G2502" s="14">
        <v>1962.0</v>
      </c>
      <c r="H2502" s="14" t="s">
        <v>17059</v>
      </c>
      <c r="I2502" s="14" t="s">
        <v>29633</v>
      </c>
      <c r="J2502" s="130" t="s">
        <v>25948</v>
      </c>
      <c r="K2502" s="152" t="s">
        <v>27846</v>
      </c>
      <c r="L2502" s="20" t="s">
        <v>25951</v>
      </c>
      <c r="M2502" s="174" t="s">
        <v>25952</v>
      </c>
      <c r="N2502" s="84"/>
      <c r="O2502" s="84"/>
      <c r="P2502" s="84"/>
      <c r="Q2502" s="84"/>
      <c r="R2502" s="84"/>
      <c r="S2502" s="84"/>
      <c r="T2502" s="84"/>
      <c r="U2502" s="84"/>
      <c r="V2502" s="84"/>
      <c r="W2502" s="84"/>
      <c r="X2502" s="84"/>
    </row>
    <row r="2503" ht="15.75" customHeight="1">
      <c r="A2503" s="14" t="s">
        <v>2137</v>
      </c>
      <c r="B2503" s="14">
        <v>2014.0</v>
      </c>
      <c r="C2503" s="14" t="s">
        <v>25953</v>
      </c>
      <c r="D2503" s="14" t="s">
        <v>25954</v>
      </c>
      <c r="E2503" s="150" t="s">
        <v>25955</v>
      </c>
      <c r="F2503" s="14">
        <v>1963.0</v>
      </c>
      <c r="G2503" s="14">
        <v>1972.0</v>
      </c>
      <c r="H2503" s="14" t="s">
        <v>17059</v>
      </c>
      <c r="I2503" s="14" t="s">
        <v>25956</v>
      </c>
      <c r="J2503" s="130" t="s">
        <v>25957</v>
      </c>
      <c r="K2503" s="152" t="s">
        <v>29528</v>
      </c>
      <c r="L2503" s="20" t="s">
        <v>22365</v>
      </c>
      <c r="M2503" s="174" t="s">
        <v>25960</v>
      </c>
      <c r="N2503" s="84"/>
      <c r="O2503" s="84"/>
      <c r="P2503" s="84"/>
      <c r="Q2503" s="84"/>
      <c r="R2503" s="84"/>
      <c r="S2503" s="84"/>
      <c r="T2503" s="84"/>
      <c r="U2503" s="84"/>
      <c r="V2503" s="84"/>
      <c r="W2503" s="84"/>
      <c r="X2503" s="84"/>
    </row>
    <row r="2504" ht="15.75" customHeight="1">
      <c r="A2504" s="14" t="s">
        <v>2137</v>
      </c>
      <c r="B2504" s="14">
        <v>2014.0</v>
      </c>
      <c r="C2504" s="14" t="s">
        <v>25962</v>
      </c>
      <c r="D2504" s="14" t="s">
        <v>25963</v>
      </c>
      <c r="E2504" s="150" t="s">
        <v>25964</v>
      </c>
      <c r="F2504" s="14">
        <v>1973.0</v>
      </c>
      <c r="G2504" s="14">
        <v>1982.0</v>
      </c>
      <c r="H2504" s="14" t="s">
        <v>17059</v>
      </c>
      <c r="I2504" s="14" t="s">
        <v>25966</v>
      </c>
      <c r="J2504" s="130" t="s">
        <v>22464</v>
      </c>
      <c r="K2504" s="152" t="s">
        <v>4242</v>
      </c>
      <c r="L2504" s="20" t="s">
        <v>25967</v>
      </c>
      <c r="M2504" s="174" t="s">
        <v>25968</v>
      </c>
      <c r="N2504" s="84"/>
      <c r="O2504" s="84"/>
      <c r="P2504" s="84"/>
      <c r="Q2504" s="84"/>
      <c r="R2504" s="84"/>
      <c r="S2504" s="84"/>
      <c r="T2504" s="84"/>
      <c r="U2504" s="84"/>
      <c r="V2504" s="84"/>
      <c r="W2504" s="84"/>
      <c r="X2504" s="84"/>
    </row>
    <row r="2505" ht="15.75" customHeight="1">
      <c r="A2505" s="14" t="s">
        <v>2137</v>
      </c>
      <c r="B2505" s="14">
        <v>2014.0</v>
      </c>
      <c r="C2505" s="14" t="s">
        <v>25969</v>
      </c>
      <c r="D2505" s="14" t="s">
        <v>25970</v>
      </c>
      <c r="E2505" s="150" t="s">
        <v>25971</v>
      </c>
      <c r="F2505" s="14">
        <v>2201.0</v>
      </c>
      <c r="G2505" s="14">
        <v>2210.0</v>
      </c>
      <c r="H2505" s="14" t="s">
        <v>17059</v>
      </c>
      <c r="I2505" s="14" t="s">
        <v>25973</v>
      </c>
      <c r="J2505" s="130" t="s">
        <v>25974</v>
      </c>
      <c r="K2505" s="152" t="s">
        <v>29531</v>
      </c>
      <c r="L2505" s="20" t="s">
        <v>25976</v>
      </c>
      <c r="M2505" s="174" t="s">
        <v>25977</v>
      </c>
      <c r="N2505" s="84"/>
      <c r="O2505" s="84"/>
      <c r="P2505" s="84"/>
      <c r="Q2505" s="84"/>
      <c r="R2505" s="84"/>
      <c r="S2505" s="84"/>
      <c r="T2505" s="84"/>
      <c r="U2505" s="84"/>
      <c r="V2505" s="84"/>
      <c r="W2505" s="84"/>
      <c r="X2505" s="84"/>
    </row>
    <row r="2506" ht="15.75" customHeight="1">
      <c r="A2506" s="14" t="s">
        <v>4153</v>
      </c>
      <c r="B2506" s="14">
        <v>2014.0</v>
      </c>
      <c r="C2506" s="14" t="s">
        <v>25978</v>
      </c>
      <c r="D2506" s="14" t="s">
        <v>25979</v>
      </c>
      <c r="E2506" s="150" t="s">
        <v>25980</v>
      </c>
      <c r="F2506" s="14">
        <v>2379.0</v>
      </c>
      <c r="G2506" s="14">
        <v>2387.0</v>
      </c>
      <c r="H2506" s="14" t="s">
        <v>17059</v>
      </c>
      <c r="I2506" s="14" t="s">
        <v>25982</v>
      </c>
      <c r="J2506" s="130" t="s">
        <v>25983</v>
      </c>
      <c r="K2506" s="152" t="s">
        <v>29585</v>
      </c>
      <c r="L2506" s="20" t="s">
        <v>25985</v>
      </c>
      <c r="M2506" s="174" t="s">
        <v>25986</v>
      </c>
      <c r="N2506" s="84"/>
      <c r="O2506" s="84"/>
      <c r="P2506" s="84"/>
      <c r="Q2506" s="84"/>
      <c r="R2506" s="84"/>
      <c r="S2506" s="84"/>
      <c r="T2506" s="84"/>
      <c r="U2506" s="84"/>
      <c r="V2506" s="84"/>
      <c r="W2506" s="84"/>
      <c r="X2506" s="84"/>
    </row>
    <row r="2507" ht="15.75" customHeight="1">
      <c r="A2507" s="14" t="s">
        <v>4153</v>
      </c>
      <c r="B2507" s="14">
        <v>2014.0</v>
      </c>
      <c r="C2507" s="14" t="s">
        <v>25987</v>
      </c>
      <c r="D2507" s="14" t="s">
        <v>25988</v>
      </c>
      <c r="E2507" s="150" t="s">
        <v>25989</v>
      </c>
      <c r="F2507" s="14">
        <v>2388.0</v>
      </c>
      <c r="G2507" s="14">
        <v>2396.0</v>
      </c>
      <c r="H2507" s="14" t="s">
        <v>17059</v>
      </c>
      <c r="I2507" s="14" t="s">
        <v>25991</v>
      </c>
      <c r="J2507" s="130" t="s">
        <v>41750</v>
      </c>
      <c r="K2507" s="152" t="s">
        <v>29589</v>
      </c>
      <c r="L2507" s="20" t="s">
        <v>25994</v>
      </c>
      <c r="M2507" s="174" t="s">
        <v>25995</v>
      </c>
      <c r="N2507" s="84"/>
      <c r="O2507" s="84"/>
      <c r="P2507" s="84"/>
      <c r="Q2507" s="84"/>
      <c r="R2507" s="84"/>
      <c r="S2507" s="84"/>
      <c r="T2507" s="84"/>
      <c r="U2507" s="84"/>
      <c r="V2507" s="84"/>
      <c r="W2507" s="84"/>
      <c r="X2507" s="84"/>
    </row>
    <row r="2508" ht="15.75" customHeight="1">
      <c r="A2508" s="14" t="s">
        <v>4153</v>
      </c>
      <c r="B2508" s="14">
        <v>2014.0</v>
      </c>
      <c r="C2508" s="14" t="s">
        <v>25996</v>
      </c>
      <c r="D2508" s="14" t="s">
        <v>25997</v>
      </c>
      <c r="E2508" s="150" t="s">
        <v>25998</v>
      </c>
      <c r="F2508" s="14">
        <v>2397.0</v>
      </c>
      <c r="G2508" s="14">
        <v>2406.0</v>
      </c>
      <c r="H2508" s="14" t="s">
        <v>17059</v>
      </c>
      <c r="I2508" s="14" t="s">
        <v>26002</v>
      </c>
      <c r="J2508" s="130" t="s">
        <v>26003</v>
      </c>
      <c r="K2508" s="152" t="s">
        <v>29594</v>
      </c>
      <c r="L2508" s="20" t="s">
        <v>26005</v>
      </c>
      <c r="M2508" s="174" t="s">
        <v>26006</v>
      </c>
      <c r="N2508" s="84"/>
      <c r="O2508" s="84"/>
      <c r="P2508" s="84"/>
      <c r="Q2508" s="84"/>
      <c r="R2508" s="84"/>
      <c r="S2508" s="84"/>
      <c r="T2508" s="84"/>
      <c r="U2508" s="84"/>
      <c r="V2508" s="84"/>
      <c r="W2508" s="84"/>
      <c r="X2508" s="84"/>
    </row>
    <row r="2509" ht="15.75" customHeight="1">
      <c r="A2509" s="14" t="s">
        <v>4153</v>
      </c>
      <c r="B2509" s="14">
        <v>2014.0</v>
      </c>
      <c r="C2509" s="14" t="s">
        <v>26007</v>
      </c>
      <c r="D2509" s="14" t="s">
        <v>26008</v>
      </c>
      <c r="E2509" s="150" t="s">
        <v>26009</v>
      </c>
      <c r="F2509" s="14">
        <v>2407.0</v>
      </c>
      <c r="G2509" s="14">
        <v>2416.0</v>
      </c>
      <c r="H2509" s="14" t="s">
        <v>17059</v>
      </c>
      <c r="I2509" s="14" t="s">
        <v>26011</v>
      </c>
      <c r="J2509" s="130" t="s">
        <v>26012</v>
      </c>
      <c r="K2509" s="152" t="s">
        <v>860</v>
      </c>
      <c r="L2509" s="20" t="s">
        <v>15838</v>
      </c>
      <c r="M2509" s="174" t="s">
        <v>26014</v>
      </c>
      <c r="N2509" s="84"/>
      <c r="O2509" s="84"/>
      <c r="P2509" s="84"/>
      <c r="Q2509" s="84"/>
      <c r="R2509" s="84"/>
      <c r="S2509" s="84"/>
      <c r="T2509" s="84"/>
      <c r="U2509" s="84"/>
      <c r="V2509" s="84"/>
      <c r="W2509" s="84"/>
      <c r="X2509" s="84"/>
    </row>
    <row r="2510" ht="15.75" customHeight="1">
      <c r="A2510" s="14" t="s">
        <v>4153</v>
      </c>
      <c r="B2510" s="14">
        <v>2014.0</v>
      </c>
      <c r="C2510" s="14" t="s">
        <v>26016</v>
      </c>
      <c r="D2510" s="14" t="s">
        <v>26017</v>
      </c>
      <c r="E2510" s="150" t="s">
        <v>26018</v>
      </c>
      <c r="F2510" s="14">
        <v>2417.0</v>
      </c>
      <c r="G2510" s="14">
        <v>2426.0</v>
      </c>
      <c r="H2510" s="14" t="s">
        <v>17059</v>
      </c>
      <c r="I2510" s="14" t="s">
        <v>26019</v>
      </c>
      <c r="J2510" s="130" t="s">
        <v>26020</v>
      </c>
      <c r="K2510" s="152" t="s">
        <v>29618</v>
      </c>
      <c r="L2510" s="20" t="s">
        <v>26023</v>
      </c>
      <c r="M2510" s="174" t="s">
        <v>26024</v>
      </c>
      <c r="N2510" s="84"/>
      <c r="O2510" s="84"/>
      <c r="P2510" s="84"/>
      <c r="Q2510" s="84"/>
      <c r="R2510" s="84"/>
      <c r="S2510" s="84"/>
      <c r="T2510" s="84"/>
      <c r="U2510" s="84"/>
      <c r="V2510" s="84"/>
      <c r="W2510" s="84"/>
      <c r="X2510" s="84"/>
    </row>
    <row r="2511" ht="15.75" customHeight="1">
      <c r="A2511" s="14" t="s">
        <v>4153</v>
      </c>
      <c r="B2511" s="14">
        <v>2014.0</v>
      </c>
      <c r="C2511" s="14" t="s">
        <v>26026</v>
      </c>
      <c r="D2511" s="14" t="s">
        <v>26027</v>
      </c>
      <c r="E2511" s="150" t="s">
        <v>26028</v>
      </c>
      <c r="F2511" s="14">
        <v>2427.0</v>
      </c>
      <c r="G2511" s="14">
        <v>2436.0</v>
      </c>
      <c r="H2511" s="14" t="s">
        <v>17059</v>
      </c>
      <c r="I2511" s="14" t="s">
        <v>26030</v>
      </c>
      <c r="J2511" s="130" t="s">
        <v>23428</v>
      </c>
      <c r="K2511" s="152" t="s">
        <v>26421</v>
      </c>
      <c r="L2511" s="20" t="s">
        <v>26032</v>
      </c>
      <c r="M2511" s="174" t="s">
        <v>26033</v>
      </c>
      <c r="N2511" s="84"/>
      <c r="O2511" s="84"/>
      <c r="P2511" s="84"/>
      <c r="Q2511" s="84"/>
      <c r="R2511" s="84"/>
      <c r="S2511" s="84"/>
      <c r="T2511" s="84"/>
      <c r="U2511" s="84"/>
      <c r="V2511" s="84"/>
      <c r="W2511" s="84"/>
      <c r="X2511" s="84"/>
    </row>
    <row r="2512" ht="15.75" customHeight="1">
      <c r="A2512" s="14" t="s">
        <v>4153</v>
      </c>
      <c r="B2512" s="14">
        <v>2014.0</v>
      </c>
      <c r="C2512" s="14" t="s">
        <v>26034</v>
      </c>
      <c r="D2512" s="14" t="s">
        <v>26035</v>
      </c>
      <c r="E2512" s="150" t="s">
        <v>26036</v>
      </c>
      <c r="F2512" s="14">
        <v>2437.0</v>
      </c>
      <c r="G2512" s="14">
        <v>2446.0</v>
      </c>
      <c r="H2512" s="14" t="s">
        <v>17059</v>
      </c>
      <c r="I2512" s="14" t="s">
        <v>26038</v>
      </c>
      <c r="J2512" s="130" t="s">
        <v>26039</v>
      </c>
      <c r="K2512" s="152" t="s">
        <v>29651</v>
      </c>
      <c r="L2512" s="20" t="s">
        <v>26041</v>
      </c>
      <c r="M2512" s="174" t="s">
        <v>26042</v>
      </c>
      <c r="N2512" s="84"/>
      <c r="O2512" s="84"/>
      <c r="P2512" s="84"/>
      <c r="Q2512" s="84"/>
      <c r="R2512" s="84"/>
      <c r="S2512" s="84"/>
      <c r="T2512" s="84"/>
      <c r="U2512" s="84"/>
      <c r="V2512" s="84"/>
      <c r="W2512" s="84"/>
      <c r="X2512" s="84"/>
    </row>
    <row r="2513" ht="15.75" customHeight="1">
      <c r="A2513" s="14" t="s">
        <v>4153</v>
      </c>
      <c r="B2513" s="14">
        <v>2014.0</v>
      </c>
      <c r="C2513" s="14" t="s">
        <v>26043</v>
      </c>
      <c r="D2513" s="14" t="s">
        <v>26044</v>
      </c>
      <c r="E2513" s="150" t="s">
        <v>26045</v>
      </c>
      <c r="F2513" s="14">
        <v>2447.0</v>
      </c>
      <c r="G2513" s="14">
        <v>2455.0</v>
      </c>
      <c r="H2513" s="14" t="s">
        <v>17059</v>
      </c>
      <c r="I2513" s="14" t="s">
        <v>26047</v>
      </c>
      <c r="J2513" s="130" t="s">
        <v>26048</v>
      </c>
      <c r="K2513" s="152" t="s">
        <v>29657</v>
      </c>
      <c r="L2513" s="20" t="s">
        <v>26051</v>
      </c>
      <c r="M2513" s="174" t="s">
        <v>26052</v>
      </c>
      <c r="N2513" s="84"/>
      <c r="O2513" s="84"/>
      <c r="P2513" s="84"/>
      <c r="Q2513" s="84"/>
      <c r="R2513" s="84"/>
      <c r="S2513" s="84"/>
      <c r="T2513" s="84"/>
      <c r="U2513" s="84"/>
      <c r="V2513" s="84"/>
      <c r="W2513" s="84"/>
      <c r="X2513" s="84"/>
    </row>
    <row r="2514" ht="15.75" customHeight="1">
      <c r="A2514" s="14" t="s">
        <v>4153</v>
      </c>
      <c r="B2514" s="14">
        <v>2014.0</v>
      </c>
      <c r="C2514" s="14" t="s">
        <v>26054</v>
      </c>
      <c r="D2514" s="14" t="s">
        <v>26055</v>
      </c>
      <c r="E2514" s="150" t="s">
        <v>26056</v>
      </c>
      <c r="F2514" s="14">
        <v>2456.0</v>
      </c>
      <c r="G2514" s="14">
        <v>2465.0</v>
      </c>
      <c r="H2514" s="14" t="s">
        <v>17059</v>
      </c>
      <c r="I2514" s="14" t="s">
        <v>29653</v>
      </c>
      <c r="J2514" s="130" t="s">
        <v>26058</v>
      </c>
      <c r="K2514" s="152" t="s">
        <v>880</v>
      </c>
      <c r="L2514" s="20" t="s">
        <v>26060</v>
      </c>
      <c r="M2514" s="174" t="s">
        <v>26061</v>
      </c>
      <c r="N2514" s="84"/>
      <c r="O2514" s="84"/>
      <c r="P2514" s="84"/>
      <c r="Q2514" s="84"/>
      <c r="R2514" s="84"/>
      <c r="S2514" s="84"/>
      <c r="T2514" s="84"/>
      <c r="U2514" s="84"/>
      <c r="V2514" s="84"/>
      <c r="W2514" s="84"/>
      <c r="X2514" s="84"/>
    </row>
    <row r="2515" ht="15.75" customHeight="1">
      <c r="A2515" s="14" t="s">
        <v>4153</v>
      </c>
      <c r="B2515" s="14">
        <v>2014.0</v>
      </c>
      <c r="C2515" s="14" t="s">
        <v>26063</v>
      </c>
      <c r="D2515" s="14" t="s">
        <v>26064</v>
      </c>
      <c r="E2515" s="150" t="s">
        <v>26065</v>
      </c>
      <c r="F2515" s="14">
        <v>2466.0</v>
      </c>
      <c r="G2515" s="14">
        <v>2475.0</v>
      </c>
      <c r="H2515" s="14" t="s">
        <v>17059</v>
      </c>
      <c r="I2515" s="14" t="s">
        <v>26067</v>
      </c>
      <c r="J2515" s="130" t="s">
        <v>26068</v>
      </c>
      <c r="K2515" s="152" t="s">
        <v>28064</v>
      </c>
      <c r="L2515" s="20" t="s">
        <v>26071</v>
      </c>
      <c r="M2515" s="174" t="s">
        <v>26072</v>
      </c>
      <c r="N2515" s="84"/>
      <c r="O2515" s="84"/>
      <c r="P2515" s="84"/>
      <c r="Q2515" s="84"/>
      <c r="R2515" s="84"/>
      <c r="S2515" s="84"/>
      <c r="T2515" s="84"/>
      <c r="U2515" s="84"/>
      <c r="V2515" s="84"/>
      <c r="W2515" s="84"/>
      <c r="X2515" s="84"/>
    </row>
    <row r="2516" ht="15.75" customHeight="1">
      <c r="A2516" s="14" t="s">
        <v>4153</v>
      </c>
      <c r="B2516" s="14">
        <v>2014.0</v>
      </c>
      <c r="C2516" s="14" t="s">
        <v>26073</v>
      </c>
      <c r="D2516" s="14" t="s">
        <v>26074</v>
      </c>
      <c r="E2516" s="150" t="s">
        <v>26075</v>
      </c>
      <c r="F2516" s="14">
        <v>2476.0</v>
      </c>
      <c r="G2516" s="14">
        <v>2485.0</v>
      </c>
      <c r="H2516" s="14" t="s">
        <v>17059</v>
      </c>
      <c r="I2516" s="14" t="s">
        <v>26078</v>
      </c>
      <c r="J2516" s="130" t="s">
        <v>26080</v>
      </c>
      <c r="K2516" s="152" t="s">
        <v>29662</v>
      </c>
      <c r="L2516" s="20" t="s">
        <v>26082</v>
      </c>
      <c r="M2516" s="174" t="s">
        <v>26083</v>
      </c>
      <c r="N2516" s="84"/>
      <c r="O2516" s="84"/>
      <c r="P2516" s="84"/>
      <c r="Q2516" s="84"/>
      <c r="R2516" s="84"/>
      <c r="S2516" s="84"/>
      <c r="T2516" s="84"/>
      <c r="U2516" s="84"/>
      <c r="V2516" s="84"/>
      <c r="W2516" s="84"/>
      <c r="X2516" s="84"/>
    </row>
    <row r="2517" ht="15.75" customHeight="1">
      <c r="A2517" s="14" t="s">
        <v>4153</v>
      </c>
      <c r="B2517" s="14">
        <v>2014.0</v>
      </c>
      <c r="C2517" s="14" t="s">
        <v>26084</v>
      </c>
      <c r="D2517" s="14" t="s">
        <v>26085</v>
      </c>
      <c r="E2517" s="150" t="s">
        <v>26086</v>
      </c>
      <c r="F2517" s="14">
        <v>2486.0</v>
      </c>
      <c r="G2517" s="14">
        <v>2495.0</v>
      </c>
      <c r="H2517" s="14" t="s">
        <v>17059</v>
      </c>
      <c r="I2517" s="14" t="s">
        <v>26089</v>
      </c>
      <c r="J2517" s="130" t="s">
        <v>23525</v>
      </c>
      <c r="K2517" s="152" t="s">
        <v>26656</v>
      </c>
      <c r="L2517" s="20" t="s">
        <v>26091</v>
      </c>
      <c r="M2517" s="174" t="s">
        <v>26092</v>
      </c>
      <c r="N2517" s="84"/>
      <c r="O2517" s="84"/>
      <c r="P2517" s="84"/>
      <c r="Q2517" s="84"/>
      <c r="R2517" s="84"/>
      <c r="S2517" s="84"/>
      <c r="T2517" s="84"/>
      <c r="U2517" s="84"/>
      <c r="V2517" s="84"/>
      <c r="W2517" s="84"/>
      <c r="X2517" s="84"/>
    </row>
    <row r="2518" ht="15.75" customHeight="1">
      <c r="A2518" s="14" t="s">
        <v>4153</v>
      </c>
      <c r="B2518" s="14">
        <v>2014.0</v>
      </c>
      <c r="C2518" s="14" t="s">
        <v>26093</v>
      </c>
      <c r="D2518" s="14" t="s">
        <v>26094</v>
      </c>
      <c r="E2518" s="150" t="s">
        <v>26095</v>
      </c>
      <c r="F2518" s="14">
        <v>2496.0</v>
      </c>
      <c r="G2518" s="14">
        <v>2505.0</v>
      </c>
      <c r="H2518" s="14" t="s">
        <v>17059</v>
      </c>
      <c r="I2518" s="14" t="s">
        <v>26098</v>
      </c>
      <c r="J2518" s="130" t="s">
        <v>26099</v>
      </c>
      <c r="K2518" s="152" t="s">
        <v>29649</v>
      </c>
      <c r="L2518" s="20" t="s">
        <v>26102</v>
      </c>
      <c r="M2518" s="174" t="s">
        <v>26103</v>
      </c>
      <c r="N2518" s="84"/>
      <c r="O2518" s="84"/>
      <c r="P2518" s="84"/>
      <c r="Q2518" s="84"/>
      <c r="R2518" s="84"/>
      <c r="S2518" s="84"/>
      <c r="T2518" s="84"/>
      <c r="U2518" s="84"/>
      <c r="V2518" s="84"/>
      <c r="W2518" s="84"/>
      <c r="X2518" s="84"/>
    </row>
    <row r="2519" ht="15.75" customHeight="1">
      <c r="A2519" s="14" t="s">
        <v>4153</v>
      </c>
      <c r="B2519" s="14">
        <v>2014.0</v>
      </c>
      <c r="C2519" s="14" t="s">
        <v>26105</v>
      </c>
      <c r="D2519" s="14" t="s">
        <v>26106</v>
      </c>
      <c r="E2519" s="150" t="s">
        <v>26107</v>
      </c>
      <c r="F2519" s="14">
        <v>2506.0</v>
      </c>
      <c r="G2519" s="14">
        <v>2515.0</v>
      </c>
      <c r="H2519" s="14" t="s">
        <v>17059</v>
      </c>
      <c r="I2519" s="14" t="s">
        <v>26108</v>
      </c>
      <c r="J2519" s="130" t="s">
        <v>26109</v>
      </c>
      <c r="K2519" s="152" t="s">
        <v>29667</v>
      </c>
      <c r="L2519" s="20" t="s">
        <v>26112</v>
      </c>
      <c r="M2519" s="174" t="s">
        <v>26113</v>
      </c>
      <c r="N2519" s="84"/>
      <c r="O2519" s="84"/>
      <c r="P2519" s="84"/>
      <c r="Q2519" s="84"/>
      <c r="R2519" s="84"/>
      <c r="S2519" s="84"/>
      <c r="T2519" s="84"/>
      <c r="U2519" s="84"/>
      <c r="V2519" s="84"/>
      <c r="W2519" s="84"/>
      <c r="X2519" s="84"/>
    </row>
    <row r="2520" ht="15.75" customHeight="1">
      <c r="A2520" s="14" t="s">
        <v>4153</v>
      </c>
      <c r="B2520" s="14">
        <v>2014.0</v>
      </c>
      <c r="C2520" s="14" t="s">
        <v>26115</v>
      </c>
      <c r="D2520" s="14" t="s">
        <v>26116</v>
      </c>
      <c r="E2520" s="150" t="s">
        <v>26117</v>
      </c>
      <c r="F2520" s="14">
        <v>2516.0</v>
      </c>
      <c r="G2520" s="14">
        <v>2525.0</v>
      </c>
      <c r="H2520" s="14" t="s">
        <v>17059</v>
      </c>
      <c r="I2520" s="14" t="s">
        <v>26119</v>
      </c>
      <c r="J2520" s="130" t="s">
        <v>26120</v>
      </c>
      <c r="K2520" s="152" t="s">
        <v>29809</v>
      </c>
      <c r="L2520" s="20" t="s">
        <v>26122</v>
      </c>
      <c r="M2520" s="174" t="s">
        <v>26123</v>
      </c>
      <c r="N2520" s="84"/>
      <c r="O2520" s="84"/>
      <c r="P2520" s="84"/>
      <c r="Q2520" s="84"/>
      <c r="R2520" s="84"/>
      <c r="S2520" s="84"/>
      <c r="T2520" s="84"/>
      <c r="U2520" s="84"/>
      <c r="V2520" s="84"/>
      <c r="W2520" s="84"/>
      <c r="X2520" s="84"/>
    </row>
    <row r="2521" ht="15.75" customHeight="1">
      <c r="A2521" s="14" t="s">
        <v>4153</v>
      </c>
      <c r="B2521" s="14">
        <v>2014.0</v>
      </c>
      <c r="C2521" s="14" t="s">
        <v>26125</v>
      </c>
      <c r="D2521" s="14" t="s">
        <v>26126</v>
      </c>
      <c r="E2521" s="150" t="s">
        <v>26127</v>
      </c>
      <c r="F2521" s="14">
        <v>2526.0</v>
      </c>
      <c r="G2521" s="14">
        <v>2534.0</v>
      </c>
      <c r="H2521" s="14" t="s">
        <v>17059</v>
      </c>
      <c r="I2521" s="14" t="s">
        <v>26129</v>
      </c>
      <c r="J2521" s="130" t="s">
        <v>26130</v>
      </c>
      <c r="K2521" s="152" t="s">
        <v>29646</v>
      </c>
      <c r="L2521" s="20" t="s">
        <v>26132</v>
      </c>
      <c r="M2521" s="174" t="s">
        <v>26133</v>
      </c>
      <c r="N2521" s="84"/>
      <c r="O2521" s="84"/>
      <c r="P2521" s="84"/>
      <c r="Q2521" s="84"/>
      <c r="R2521" s="84"/>
      <c r="S2521" s="84"/>
      <c r="T2521" s="84"/>
      <c r="U2521" s="84"/>
      <c r="V2521" s="84"/>
      <c r="W2521" s="84"/>
      <c r="X2521" s="84"/>
    </row>
    <row r="2522" ht="15.75" customHeight="1">
      <c r="A2522" s="14" t="s">
        <v>4153</v>
      </c>
      <c r="B2522" s="14">
        <v>2014.0</v>
      </c>
      <c r="C2522" s="14" t="s">
        <v>26134</v>
      </c>
      <c r="D2522" s="14" t="s">
        <v>26135</v>
      </c>
      <c r="E2522" s="150" t="s">
        <v>26136</v>
      </c>
      <c r="F2522" s="14">
        <v>2535.0</v>
      </c>
      <c r="G2522" s="14">
        <v>2544.0</v>
      </c>
      <c r="H2522" s="14" t="s">
        <v>17059</v>
      </c>
      <c r="I2522" s="14" t="s">
        <v>26137</v>
      </c>
      <c r="J2522" s="130" t="s">
        <v>26138</v>
      </c>
      <c r="K2522" s="152" t="s">
        <v>178</v>
      </c>
      <c r="L2522" s="20" t="s">
        <v>26140</v>
      </c>
      <c r="M2522" s="174" t="s">
        <v>26141</v>
      </c>
      <c r="N2522" s="84"/>
      <c r="O2522" s="84"/>
      <c r="P2522" s="84"/>
      <c r="Q2522" s="84"/>
      <c r="R2522" s="84"/>
      <c r="S2522" s="84"/>
      <c r="T2522" s="84"/>
      <c r="U2522" s="84"/>
      <c r="V2522" s="84"/>
      <c r="W2522" s="84"/>
      <c r="X2522" s="84"/>
    </row>
    <row r="2523" ht="15.75" customHeight="1">
      <c r="A2523" s="14" t="s">
        <v>4153</v>
      </c>
      <c r="B2523" s="14">
        <v>2014.0</v>
      </c>
      <c r="C2523" s="14" t="s">
        <v>26142</v>
      </c>
      <c r="D2523" s="14" t="s">
        <v>26143</v>
      </c>
      <c r="E2523" s="150" t="s">
        <v>26144</v>
      </c>
      <c r="F2523" s="14">
        <v>2545.0</v>
      </c>
      <c r="G2523" s="14">
        <v>2554.0</v>
      </c>
      <c r="H2523" s="14" t="s">
        <v>17059</v>
      </c>
      <c r="I2523" s="14" t="s">
        <v>26145</v>
      </c>
      <c r="J2523" s="130" t="s">
        <v>26146</v>
      </c>
      <c r="K2523" s="152" t="s">
        <v>29705</v>
      </c>
      <c r="L2523" s="20" t="s">
        <v>26148</v>
      </c>
      <c r="M2523" s="174" t="s">
        <v>26149</v>
      </c>
      <c r="N2523" s="84"/>
      <c r="O2523" s="84"/>
      <c r="P2523" s="84"/>
      <c r="Q2523" s="84"/>
      <c r="R2523" s="84"/>
      <c r="S2523" s="84"/>
      <c r="T2523" s="84"/>
      <c r="U2523" s="84"/>
      <c r="V2523" s="84"/>
      <c r="W2523" s="84"/>
      <c r="X2523" s="84"/>
    </row>
    <row r="2524" ht="15.75" customHeight="1">
      <c r="A2524" s="14" t="s">
        <v>4153</v>
      </c>
      <c r="B2524" s="14">
        <v>2014.0</v>
      </c>
      <c r="C2524" s="14" t="s">
        <v>26150</v>
      </c>
      <c r="D2524" s="14" t="s">
        <v>26151</v>
      </c>
      <c r="E2524" s="150" t="s">
        <v>26152</v>
      </c>
      <c r="F2524" s="14">
        <v>2555.0</v>
      </c>
      <c r="G2524" s="14">
        <v>2564.0</v>
      </c>
      <c r="H2524" s="14" t="s">
        <v>17059</v>
      </c>
      <c r="I2524" s="14" t="s">
        <v>26153</v>
      </c>
      <c r="J2524" s="130" t="s">
        <v>26156</v>
      </c>
      <c r="K2524" s="152" t="s">
        <v>23953</v>
      </c>
      <c r="L2524" s="20" t="s">
        <v>26159</v>
      </c>
      <c r="M2524" s="174" t="s">
        <v>26160</v>
      </c>
      <c r="N2524" s="84"/>
      <c r="O2524" s="84"/>
      <c r="P2524" s="84"/>
      <c r="Q2524" s="84"/>
      <c r="R2524" s="84"/>
      <c r="S2524" s="84"/>
      <c r="T2524" s="84"/>
      <c r="U2524" s="84"/>
      <c r="V2524" s="84"/>
      <c r="W2524" s="84"/>
      <c r="X2524" s="84"/>
    </row>
    <row r="2525" ht="15.75" customHeight="1">
      <c r="A2525" s="14" t="s">
        <v>4153</v>
      </c>
      <c r="B2525" s="14">
        <v>2014.0</v>
      </c>
      <c r="C2525" s="14" t="s">
        <v>26161</v>
      </c>
      <c r="D2525" s="14" t="s">
        <v>26163</v>
      </c>
      <c r="E2525" s="150" t="s">
        <v>26164</v>
      </c>
      <c r="F2525" s="14">
        <v>2565.0</v>
      </c>
      <c r="G2525" s="14">
        <v>2574.0</v>
      </c>
      <c r="H2525" s="14" t="s">
        <v>17059</v>
      </c>
      <c r="I2525" s="14" t="s">
        <v>26165</v>
      </c>
      <c r="J2525" s="130" t="s">
        <v>26166</v>
      </c>
      <c r="K2525" s="152" t="s">
        <v>27988</v>
      </c>
      <c r="L2525" s="20" t="s">
        <v>26168</v>
      </c>
      <c r="M2525" s="174" t="s">
        <v>26169</v>
      </c>
      <c r="N2525" s="84"/>
      <c r="O2525" s="84"/>
      <c r="P2525" s="84"/>
      <c r="Q2525" s="84"/>
      <c r="R2525" s="84"/>
      <c r="S2525" s="84"/>
      <c r="T2525" s="84"/>
      <c r="U2525" s="84"/>
      <c r="V2525" s="84"/>
      <c r="W2525" s="84"/>
      <c r="X2525" s="84"/>
    </row>
    <row r="2526" ht="15.75" customHeight="1">
      <c r="A2526" s="14" t="s">
        <v>4153</v>
      </c>
      <c r="B2526" s="14">
        <v>2014.0</v>
      </c>
      <c r="C2526" s="14" t="s">
        <v>26170</v>
      </c>
      <c r="D2526" s="14" t="s">
        <v>26171</v>
      </c>
      <c r="E2526" s="150" t="s">
        <v>26172</v>
      </c>
      <c r="F2526" s="14">
        <v>2575.0</v>
      </c>
      <c r="G2526" s="14">
        <v>2584.0</v>
      </c>
      <c r="H2526" s="14" t="s">
        <v>17059</v>
      </c>
      <c r="I2526" s="14" t="s">
        <v>26174</v>
      </c>
      <c r="J2526" s="130" t="s">
        <v>26175</v>
      </c>
      <c r="K2526" s="152" t="s">
        <v>29823</v>
      </c>
      <c r="L2526" s="20" t="s">
        <v>26178</v>
      </c>
      <c r="M2526" s="174" t="s">
        <v>26179</v>
      </c>
      <c r="N2526" s="84"/>
      <c r="O2526" s="84"/>
      <c r="P2526" s="84"/>
      <c r="Q2526" s="84"/>
      <c r="R2526" s="84"/>
      <c r="S2526" s="84"/>
      <c r="T2526" s="84"/>
      <c r="U2526" s="84"/>
      <c r="V2526" s="84"/>
      <c r="W2526" s="84"/>
      <c r="X2526" s="84"/>
    </row>
    <row r="2527" ht="15.75" customHeight="1">
      <c r="A2527" s="14" t="s">
        <v>4153</v>
      </c>
      <c r="B2527" s="14">
        <v>2014.0</v>
      </c>
      <c r="C2527" s="14" t="s">
        <v>26180</v>
      </c>
      <c r="D2527" s="14" t="s">
        <v>26181</v>
      </c>
      <c r="E2527" s="150" t="s">
        <v>26182</v>
      </c>
      <c r="F2527" s="14">
        <v>2585.0</v>
      </c>
      <c r="G2527" s="14">
        <v>2594.0</v>
      </c>
      <c r="H2527" s="14" t="s">
        <v>17059</v>
      </c>
      <c r="I2527" s="14" t="s">
        <v>26186</v>
      </c>
      <c r="J2527" s="130" t="s">
        <v>26187</v>
      </c>
      <c r="K2527" s="152" t="s">
        <v>29685</v>
      </c>
      <c r="L2527" s="20" t="s">
        <v>26189</v>
      </c>
      <c r="M2527" s="174" t="s">
        <v>26190</v>
      </c>
      <c r="N2527" s="84"/>
      <c r="O2527" s="84"/>
      <c r="P2527" s="84"/>
      <c r="Q2527" s="84"/>
      <c r="R2527" s="84"/>
      <c r="S2527" s="84"/>
      <c r="T2527" s="84"/>
      <c r="U2527" s="84"/>
      <c r="V2527" s="84"/>
      <c r="W2527" s="84"/>
      <c r="X2527" s="84"/>
    </row>
    <row r="2528" ht="15.75" customHeight="1">
      <c r="A2528" s="14" t="s">
        <v>4153</v>
      </c>
      <c r="B2528" s="14">
        <v>2014.0</v>
      </c>
      <c r="C2528" s="14" t="s">
        <v>26191</v>
      </c>
      <c r="D2528" s="14" t="s">
        <v>26192</v>
      </c>
      <c r="E2528" s="150" t="s">
        <v>26193</v>
      </c>
      <c r="F2528" s="14">
        <v>2595.0</v>
      </c>
      <c r="G2528" s="14">
        <v>2603.0</v>
      </c>
      <c r="H2528" s="14" t="s">
        <v>17059</v>
      </c>
      <c r="I2528" s="14" t="s">
        <v>26197</v>
      </c>
      <c r="J2528" s="130" t="s">
        <v>26198</v>
      </c>
      <c r="K2528" s="152" t="s">
        <v>28210</v>
      </c>
      <c r="L2528" s="20" t="s">
        <v>26200</v>
      </c>
      <c r="M2528" s="174" t="s">
        <v>26201</v>
      </c>
      <c r="N2528" s="84"/>
      <c r="O2528" s="84"/>
      <c r="P2528" s="84"/>
      <c r="Q2528" s="84"/>
      <c r="R2528" s="84"/>
      <c r="S2528" s="84"/>
      <c r="T2528" s="84"/>
      <c r="U2528" s="84"/>
      <c r="V2528" s="84"/>
      <c r="W2528" s="84"/>
      <c r="X2528" s="84"/>
    </row>
    <row r="2529" ht="15.75" customHeight="1">
      <c r="A2529" s="14" t="s">
        <v>4153</v>
      </c>
      <c r="B2529" s="14">
        <v>2014.0</v>
      </c>
      <c r="C2529" s="14" t="s">
        <v>26202</v>
      </c>
      <c r="D2529" s="14" t="s">
        <v>26203</v>
      </c>
      <c r="E2529" s="150" t="s">
        <v>26204</v>
      </c>
      <c r="F2529" s="14">
        <v>2604.0</v>
      </c>
      <c r="G2529" s="14">
        <v>2613.0</v>
      </c>
      <c r="H2529" s="14" t="s">
        <v>17059</v>
      </c>
      <c r="I2529" s="14" t="s">
        <v>26206</v>
      </c>
      <c r="J2529" s="130" t="s">
        <v>26207</v>
      </c>
      <c r="K2529" s="152" t="s">
        <v>29594</v>
      </c>
      <c r="L2529" s="20" t="s">
        <v>26210</v>
      </c>
      <c r="M2529" s="174" t="s">
        <v>26211</v>
      </c>
      <c r="N2529" s="84"/>
      <c r="O2529" s="84"/>
      <c r="P2529" s="84"/>
      <c r="Q2529" s="84"/>
      <c r="R2529" s="84"/>
      <c r="S2529" s="84"/>
      <c r="T2529" s="84"/>
      <c r="U2529" s="84"/>
      <c r="V2529" s="84"/>
      <c r="W2529" s="84"/>
      <c r="X2529" s="84"/>
    </row>
    <row r="2530" ht="15.75" customHeight="1">
      <c r="A2530" s="14" t="s">
        <v>4153</v>
      </c>
      <c r="B2530" s="14">
        <v>2014.0</v>
      </c>
      <c r="C2530" s="14" t="s">
        <v>26212</v>
      </c>
      <c r="D2530" s="14" t="s">
        <v>26213</v>
      </c>
      <c r="E2530" s="150" t="s">
        <v>26214</v>
      </c>
      <c r="F2530" s="14">
        <v>2624.0</v>
      </c>
      <c r="G2530" s="14">
        <v>2633.0</v>
      </c>
      <c r="H2530" s="14" t="s">
        <v>17059</v>
      </c>
      <c r="I2530" s="14" t="s">
        <v>26216</v>
      </c>
      <c r="J2530" s="130" t="s">
        <v>26217</v>
      </c>
      <c r="K2530" s="152" t="s">
        <v>29665</v>
      </c>
      <c r="L2530" s="20"/>
      <c r="M2530" s="174" t="s">
        <v>26219</v>
      </c>
      <c r="N2530" s="124"/>
      <c r="O2530" s="124"/>
      <c r="P2530" s="124"/>
      <c r="Q2530" s="124"/>
      <c r="R2530" s="124"/>
      <c r="S2530" s="124"/>
      <c r="T2530" s="124"/>
      <c r="U2530" s="124"/>
      <c r="V2530" s="124"/>
      <c r="W2530" s="124"/>
      <c r="X2530" s="124"/>
    </row>
    <row r="2531" ht="15.75" customHeight="1">
      <c r="A2531" s="14" t="s">
        <v>4153</v>
      </c>
      <c r="B2531" s="14">
        <v>2014.0</v>
      </c>
      <c r="C2531" s="14" t="s">
        <v>26223</v>
      </c>
      <c r="D2531" s="14" t="s">
        <v>26224</v>
      </c>
      <c r="E2531" s="150" t="s">
        <v>26225</v>
      </c>
      <c r="F2531" s="14">
        <v>2684.0</v>
      </c>
      <c r="G2531" s="14">
        <v>2693.0</v>
      </c>
      <c r="H2531" s="14" t="s">
        <v>17059</v>
      </c>
      <c r="I2531" s="14" t="s">
        <v>26228</v>
      </c>
      <c r="J2531" s="130" t="s">
        <v>26229</v>
      </c>
      <c r="K2531" s="152" t="s">
        <v>29675</v>
      </c>
      <c r="L2531" s="20" t="s">
        <v>26232</v>
      </c>
      <c r="M2531" s="174" t="s">
        <v>26233</v>
      </c>
      <c r="N2531" s="84"/>
      <c r="O2531" s="84"/>
      <c r="P2531" s="84"/>
      <c r="Q2531" s="84"/>
      <c r="R2531" s="84"/>
      <c r="S2531" s="84"/>
      <c r="T2531" s="84"/>
      <c r="U2531" s="84"/>
      <c r="V2531" s="84"/>
      <c r="W2531" s="84"/>
      <c r="X2531" s="84"/>
    </row>
    <row r="2532" ht="15.75" customHeight="1">
      <c r="A2532" s="14" t="s">
        <v>4153</v>
      </c>
      <c r="B2532" s="14">
        <v>2014.0</v>
      </c>
      <c r="C2532" s="14" t="s">
        <v>26234</v>
      </c>
      <c r="D2532" s="14" t="s">
        <v>26235</v>
      </c>
      <c r="E2532" s="150" t="s">
        <v>26236</v>
      </c>
      <c r="F2532" s="14">
        <v>2694.0</v>
      </c>
      <c r="G2532" s="14">
        <v>2703.0</v>
      </c>
      <c r="H2532" s="14" t="s">
        <v>17059</v>
      </c>
      <c r="I2532" s="14" t="s">
        <v>26240</v>
      </c>
      <c r="J2532" s="130" t="s">
        <v>26241</v>
      </c>
      <c r="K2532" s="152" t="s">
        <v>29735</v>
      </c>
      <c r="L2532" s="20" t="s">
        <v>26243</v>
      </c>
      <c r="M2532" s="174" t="s">
        <v>26244</v>
      </c>
      <c r="N2532" s="84"/>
      <c r="O2532" s="84"/>
      <c r="P2532" s="84"/>
      <c r="Q2532" s="84"/>
      <c r="R2532" s="84"/>
      <c r="S2532" s="84"/>
      <c r="T2532" s="84"/>
      <c r="U2532" s="84"/>
      <c r="V2532" s="84"/>
      <c r="W2532" s="84"/>
      <c r="X2532" s="84"/>
    </row>
    <row r="2533" ht="15.75" customHeight="1">
      <c r="A2533" s="14" t="s">
        <v>4153</v>
      </c>
      <c r="B2533" s="14">
        <v>2014.0</v>
      </c>
      <c r="C2533" s="14" t="s">
        <v>26245</v>
      </c>
      <c r="D2533" s="14" t="s">
        <v>26246</v>
      </c>
      <c r="E2533" s="150" t="s">
        <v>26247</v>
      </c>
      <c r="F2533" s="14">
        <v>2634.0</v>
      </c>
      <c r="G2533" s="14">
        <v>2643.0</v>
      </c>
      <c r="H2533" s="14" t="s">
        <v>17059</v>
      </c>
      <c r="I2533" s="14" t="s">
        <v>26251</v>
      </c>
      <c r="J2533" s="130" t="s">
        <v>26252</v>
      </c>
      <c r="K2533" s="152" t="s">
        <v>29631</v>
      </c>
      <c r="L2533" s="20" t="s">
        <v>26253</v>
      </c>
      <c r="M2533" s="174" t="s">
        <v>26254</v>
      </c>
      <c r="N2533" s="84"/>
      <c r="O2533" s="84"/>
      <c r="P2533" s="84"/>
      <c r="Q2533" s="84"/>
      <c r="R2533" s="84"/>
      <c r="S2533" s="84"/>
      <c r="T2533" s="84"/>
      <c r="U2533" s="84"/>
      <c r="V2533" s="84"/>
      <c r="W2533" s="84"/>
      <c r="X2533" s="84"/>
    </row>
    <row r="2534" ht="15.75" customHeight="1">
      <c r="A2534" s="14" t="s">
        <v>4153</v>
      </c>
      <c r="B2534" s="14">
        <v>2014.0</v>
      </c>
      <c r="C2534" s="14" t="s">
        <v>26255</v>
      </c>
      <c r="D2534" s="14" t="s">
        <v>26256</v>
      </c>
      <c r="E2534" s="150" t="s">
        <v>26257</v>
      </c>
      <c r="F2534" s="14">
        <v>2644.0</v>
      </c>
      <c r="G2534" s="14">
        <v>2653.0</v>
      </c>
      <c r="H2534" s="14" t="s">
        <v>17059</v>
      </c>
      <c r="I2534" s="14" t="s">
        <v>26259</v>
      </c>
      <c r="J2534" s="130" t="s">
        <v>26260</v>
      </c>
      <c r="K2534" s="152" t="s">
        <v>29783</v>
      </c>
      <c r="L2534" s="20" t="s">
        <v>26263</v>
      </c>
      <c r="M2534" s="174" t="s">
        <v>26264</v>
      </c>
      <c r="N2534" s="84"/>
      <c r="O2534" s="84"/>
      <c r="P2534" s="84"/>
      <c r="Q2534" s="84"/>
      <c r="R2534" s="84"/>
      <c r="S2534" s="84"/>
      <c r="T2534" s="84"/>
      <c r="U2534" s="84"/>
      <c r="V2534" s="84"/>
      <c r="W2534" s="84"/>
      <c r="X2534" s="84"/>
    </row>
    <row r="2535" ht="15.75" customHeight="1">
      <c r="A2535" s="14" t="s">
        <v>4153</v>
      </c>
      <c r="B2535" s="14">
        <v>2014.0</v>
      </c>
      <c r="C2535" s="14" t="s">
        <v>26265</v>
      </c>
      <c r="D2535" s="14" t="s">
        <v>26266</v>
      </c>
      <c r="E2535" s="150" t="s">
        <v>26267</v>
      </c>
      <c r="F2535" s="14">
        <v>2654.0</v>
      </c>
      <c r="G2535" s="14">
        <v>2663.0</v>
      </c>
      <c r="H2535" s="14" t="s">
        <v>17059</v>
      </c>
      <c r="I2535" s="14" t="s">
        <v>26268</v>
      </c>
      <c r="J2535" s="130" t="s">
        <v>26269</v>
      </c>
      <c r="K2535" s="152" t="s">
        <v>26046</v>
      </c>
      <c r="L2535" s="20" t="s">
        <v>26272</v>
      </c>
      <c r="M2535" s="174" t="s">
        <v>26273</v>
      </c>
      <c r="N2535" s="84"/>
      <c r="O2535" s="84"/>
      <c r="P2535" s="84"/>
      <c r="Q2535" s="84"/>
      <c r="R2535" s="84"/>
      <c r="S2535" s="84"/>
      <c r="T2535" s="84"/>
      <c r="U2535" s="84"/>
      <c r="V2535" s="84"/>
      <c r="W2535" s="84"/>
      <c r="X2535" s="84"/>
    </row>
    <row r="2536" ht="15.75" customHeight="1">
      <c r="A2536" s="14" t="s">
        <v>4153</v>
      </c>
      <c r="B2536" s="14">
        <v>2014.0</v>
      </c>
      <c r="C2536" s="14" t="s">
        <v>26274</v>
      </c>
      <c r="D2536" s="14" t="s">
        <v>26275</v>
      </c>
      <c r="E2536" s="150" t="s">
        <v>26276</v>
      </c>
      <c r="F2536" s="14">
        <v>2664.0</v>
      </c>
      <c r="G2536" s="14">
        <v>2673.0</v>
      </c>
      <c r="H2536" s="14" t="s">
        <v>17059</v>
      </c>
      <c r="I2536" s="14" t="s">
        <v>26277</v>
      </c>
      <c r="J2536" s="130" t="s">
        <v>26278</v>
      </c>
      <c r="K2536" s="152" t="s">
        <v>29833</v>
      </c>
      <c r="L2536" s="20" t="s">
        <v>26281</v>
      </c>
      <c r="M2536" s="174" t="s">
        <v>26282</v>
      </c>
      <c r="N2536" s="84"/>
      <c r="O2536" s="84"/>
      <c r="P2536" s="84"/>
      <c r="Q2536" s="84"/>
      <c r="R2536" s="84"/>
      <c r="S2536" s="84"/>
      <c r="T2536" s="84"/>
      <c r="U2536" s="84"/>
      <c r="V2536" s="84"/>
      <c r="W2536" s="84"/>
      <c r="X2536" s="84"/>
    </row>
    <row r="2537" ht="15.75" customHeight="1">
      <c r="A2537" s="14" t="s">
        <v>4153</v>
      </c>
      <c r="B2537" s="14">
        <v>2014.0</v>
      </c>
      <c r="C2537" s="14" t="s">
        <v>26283</v>
      </c>
      <c r="D2537" s="14" t="s">
        <v>26284</v>
      </c>
      <c r="E2537" s="150" t="s">
        <v>26285</v>
      </c>
      <c r="F2537" s="14">
        <v>2674.0</v>
      </c>
      <c r="G2537" s="14">
        <v>2683.0</v>
      </c>
      <c r="H2537" s="14" t="s">
        <v>17059</v>
      </c>
      <c r="I2537" s="14" t="s">
        <v>29696</v>
      </c>
      <c r="J2537" s="130" t="s">
        <v>26287</v>
      </c>
      <c r="K2537" s="152" t="s">
        <v>29697</v>
      </c>
      <c r="L2537" s="20" t="s">
        <v>26290</v>
      </c>
      <c r="M2537" s="174" t="s">
        <v>26291</v>
      </c>
      <c r="N2537" s="84"/>
      <c r="O2537" s="84"/>
      <c r="P2537" s="84"/>
      <c r="Q2537" s="84"/>
      <c r="R2537" s="84"/>
      <c r="S2537" s="84"/>
      <c r="T2537" s="84"/>
      <c r="U2537" s="84"/>
      <c r="V2537" s="84"/>
      <c r="W2537" s="84"/>
      <c r="X2537" s="84"/>
    </row>
    <row r="2538" ht="15.75" customHeight="1">
      <c r="A2538" s="14" t="s">
        <v>4153</v>
      </c>
      <c r="B2538" s="14">
        <v>2014.0</v>
      </c>
      <c r="C2538" s="14" t="s">
        <v>26292</v>
      </c>
      <c r="D2538" s="14" t="s">
        <v>26293</v>
      </c>
      <c r="E2538" s="150" t="s">
        <v>26294</v>
      </c>
      <c r="F2538" s="14">
        <v>2704.0</v>
      </c>
      <c r="G2538" s="14">
        <v>2713.0</v>
      </c>
      <c r="H2538" s="14" t="s">
        <v>17059</v>
      </c>
      <c r="I2538" s="14" t="s">
        <v>29763</v>
      </c>
      <c r="J2538" s="130" t="s">
        <v>26296</v>
      </c>
      <c r="K2538" s="152" t="s">
        <v>29765</v>
      </c>
      <c r="L2538" s="20" t="s">
        <v>26298</v>
      </c>
      <c r="M2538" s="174" t="s">
        <v>26299</v>
      </c>
      <c r="N2538" s="84"/>
      <c r="O2538" s="84"/>
      <c r="P2538" s="84"/>
      <c r="Q2538" s="84"/>
      <c r="R2538" s="84"/>
      <c r="S2538" s="84"/>
      <c r="T2538" s="84"/>
      <c r="U2538" s="84"/>
      <c r="V2538" s="84"/>
      <c r="W2538" s="84"/>
      <c r="X2538" s="84"/>
    </row>
    <row r="2539" ht="15.75" customHeight="1">
      <c r="A2539" s="14" t="s">
        <v>4153</v>
      </c>
      <c r="B2539" s="14">
        <v>2014.0</v>
      </c>
      <c r="C2539" s="14" t="s">
        <v>26300</v>
      </c>
      <c r="D2539" s="14" t="s">
        <v>26301</v>
      </c>
      <c r="E2539" s="150" t="s">
        <v>26302</v>
      </c>
      <c r="F2539" s="14">
        <v>2614.0</v>
      </c>
      <c r="G2539" s="14">
        <v>2623.0</v>
      </c>
      <c r="H2539" s="14" t="s">
        <v>17059</v>
      </c>
      <c r="I2539" s="14" t="s">
        <v>26304</v>
      </c>
      <c r="J2539" s="130" t="s">
        <v>1304</v>
      </c>
      <c r="K2539" s="152" t="s">
        <v>29813</v>
      </c>
      <c r="L2539" s="20"/>
      <c r="M2539" s="174" t="s">
        <v>26305</v>
      </c>
      <c r="N2539" s="124"/>
      <c r="O2539" s="124"/>
      <c r="P2539" s="124"/>
      <c r="Q2539" s="124"/>
      <c r="R2539" s="124"/>
      <c r="S2539" s="124"/>
      <c r="T2539" s="124"/>
      <c r="U2539" s="124"/>
      <c r="V2539" s="124"/>
      <c r="W2539" s="124"/>
      <c r="X2539" s="124"/>
    </row>
    <row r="2540" ht="15.75" customHeight="1">
      <c r="A2540" s="14" t="s">
        <v>120</v>
      </c>
      <c r="B2540" s="14">
        <v>2014.0</v>
      </c>
      <c r="C2540" s="14" t="s">
        <v>26306</v>
      </c>
      <c r="D2540" s="14" t="s">
        <v>26307</v>
      </c>
      <c r="E2540" s="150" t="s">
        <v>26308</v>
      </c>
      <c r="F2540" s="14">
        <v>1604.0</v>
      </c>
      <c r="G2540" s="14">
        <v>1613.0</v>
      </c>
      <c r="H2540" s="14" t="s">
        <v>17059</v>
      </c>
      <c r="I2540" s="14" t="s">
        <v>26312</v>
      </c>
      <c r="J2540" s="130" t="s">
        <v>26313</v>
      </c>
      <c r="K2540" s="152" t="s">
        <v>29916</v>
      </c>
      <c r="L2540" s="20" t="s">
        <v>26316</v>
      </c>
      <c r="M2540" s="174" t="s">
        <v>26317</v>
      </c>
      <c r="N2540" s="84"/>
      <c r="O2540" s="84"/>
      <c r="P2540" s="84"/>
      <c r="Q2540" s="84"/>
      <c r="R2540" s="84"/>
      <c r="S2540" s="84"/>
      <c r="T2540" s="84"/>
      <c r="U2540" s="84"/>
      <c r="V2540" s="84"/>
      <c r="W2540" s="84"/>
      <c r="X2540" s="84"/>
    </row>
    <row r="2541" ht="15.75" customHeight="1">
      <c r="A2541" s="14" t="s">
        <v>120</v>
      </c>
      <c r="B2541" s="14">
        <v>2014.0</v>
      </c>
      <c r="C2541" s="14" t="s">
        <v>26318</v>
      </c>
      <c r="D2541" s="14" t="s">
        <v>26319</v>
      </c>
      <c r="E2541" s="150" t="s">
        <v>26320</v>
      </c>
      <c r="F2541" s="14">
        <v>1614.0</v>
      </c>
      <c r="G2541" s="14">
        <v>1623.0</v>
      </c>
      <c r="H2541" s="14" t="s">
        <v>17059</v>
      </c>
      <c r="I2541" s="14" t="s">
        <v>26321</v>
      </c>
      <c r="J2541" s="130" t="s">
        <v>26322</v>
      </c>
      <c r="K2541" s="152" t="s">
        <v>494</v>
      </c>
      <c r="L2541" s="20" t="s">
        <v>26324</v>
      </c>
      <c r="M2541" s="174" t="s">
        <v>26325</v>
      </c>
      <c r="N2541" s="84"/>
      <c r="O2541" s="84"/>
      <c r="P2541" s="84"/>
      <c r="Q2541" s="84"/>
      <c r="R2541" s="84"/>
      <c r="S2541" s="84"/>
      <c r="T2541" s="84"/>
      <c r="U2541" s="84"/>
      <c r="V2541" s="84"/>
      <c r="W2541" s="84"/>
      <c r="X2541" s="84"/>
    </row>
    <row r="2542" ht="15.75" customHeight="1">
      <c r="A2542" s="14" t="s">
        <v>120</v>
      </c>
      <c r="B2542" s="14">
        <v>2014.0</v>
      </c>
      <c r="C2542" s="14" t="s">
        <v>26327</v>
      </c>
      <c r="D2542" s="14" t="s">
        <v>26328</v>
      </c>
      <c r="E2542" s="150" t="s">
        <v>26329</v>
      </c>
      <c r="F2542" s="14">
        <v>1624.0</v>
      </c>
      <c r="G2542" s="14">
        <v>1632.0</v>
      </c>
      <c r="H2542" s="14" t="s">
        <v>17059</v>
      </c>
      <c r="I2542" s="14" t="s">
        <v>26330</v>
      </c>
      <c r="J2542" s="130" t="s">
        <v>26331</v>
      </c>
      <c r="K2542" s="152" t="s">
        <v>30001</v>
      </c>
      <c r="L2542" s="20" t="s">
        <v>26334</v>
      </c>
      <c r="M2542" s="174" t="s">
        <v>26335</v>
      </c>
      <c r="N2542" s="84"/>
      <c r="O2542" s="84"/>
      <c r="P2542" s="84"/>
      <c r="Q2542" s="84"/>
      <c r="R2542" s="84"/>
      <c r="S2542" s="84"/>
      <c r="T2542" s="84"/>
      <c r="U2542" s="84"/>
      <c r="V2542" s="84"/>
      <c r="W2542" s="84"/>
      <c r="X2542" s="84"/>
    </row>
    <row r="2543" ht="15.75" customHeight="1">
      <c r="A2543" s="14" t="s">
        <v>120</v>
      </c>
      <c r="B2543" s="14">
        <v>2014.0</v>
      </c>
      <c r="C2543" s="14" t="s">
        <v>26336</v>
      </c>
      <c r="D2543" s="14" t="s">
        <v>26337</v>
      </c>
      <c r="E2543" s="150" t="s">
        <v>26338</v>
      </c>
      <c r="F2543" s="14">
        <v>1633.0</v>
      </c>
      <c r="G2543" s="14">
        <v>1642.0</v>
      </c>
      <c r="H2543" s="14" t="s">
        <v>17059</v>
      </c>
      <c r="I2543" s="14" t="s">
        <v>26340</v>
      </c>
      <c r="J2543" s="130" t="s">
        <v>26341</v>
      </c>
      <c r="K2543" s="152" t="s">
        <v>29987</v>
      </c>
      <c r="L2543" s="20" t="s">
        <v>26343</v>
      </c>
      <c r="M2543" s="174" t="s">
        <v>26344</v>
      </c>
      <c r="N2543" s="84"/>
      <c r="O2543" s="84"/>
      <c r="P2543" s="84"/>
      <c r="Q2543" s="84"/>
      <c r="R2543" s="84"/>
      <c r="S2543" s="84"/>
      <c r="T2543" s="84"/>
      <c r="U2543" s="84"/>
      <c r="V2543" s="84"/>
      <c r="W2543" s="84"/>
      <c r="X2543" s="84"/>
    </row>
    <row r="2544" ht="15.75" customHeight="1">
      <c r="A2544" s="14" t="s">
        <v>120</v>
      </c>
      <c r="B2544" s="14">
        <v>2014.0</v>
      </c>
      <c r="C2544" s="14" t="s">
        <v>26345</v>
      </c>
      <c r="D2544" s="14" t="s">
        <v>26346</v>
      </c>
      <c r="E2544" s="150" t="s">
        <v>26347</v>
      </c>
      <c r="F2544" s="14">
        <v>1653.0</v>
      </c>
      <c r="G2544" s="14">
        <v>1662.0</v>
      </c>
      <c r="H2544" s="14" t="s">
        <v>17059</v>
      </c>
      <c r="I2544" s="14" t="s">
        <v>26348</v>
      </c>
      <c r="J2544" s="130" t="s">
        <v>26349</v>
      </c>
      <c r="K2544" s="152" t="s">
        <v>23044</v>
      </c>
      <c r="L2544" s="20" t="s">
        <v>26352</v>
      </c>
      <c r="M2544" s="174" t="s">
        <v>26353</v>
      </c>
      <c r="N2544" s="84"/>
      <c r="O2544" s="84"/>
      <c r="P2544" s="84"/>
      <c r="Q2544" s="84"/>
      <c r="R2544" s="84"/>
      <c r="S2544" s="84"/>
      <c r="T2544" s="84"/>
      <c r="U2544" s="84"/>
      <c r="V2544" s="84"/>
      <c r="W2544" s="84"/>
      <c r="X2544" s="84"/>
    </row>
    <row r="2545" ht="15.75" customHeight="1">
      <c r="A2545" s="14" t="s">
        <v>120</v>
      </c>
      <c r="B2545" s="14">
        <v>2014.0</v>
      </c>
      <c r="C2545" s="14" t="s">
        <v>26354</v>
      </c>
      <c r="D2545" s="14" t="s">
        <v>26355</v>
      </c>
      <c r="E2545" s="150" t="s">
        <v>26356</v>
      </c>
      <c r="F2545" s="14">
        <v>1663.0</v>
      </c>
      <c r="G2545" s="14">
        <v>1672.0</v>
      </c>
      <c r="H2545" s="14" t="s">
        <v>17059</v>
      </c>
      <c r="I2545" s="14" t="s">
        <v>26357</v>
      </c>
      <c r="J2545" s="130" t="s">
        <v>26358</v>
      </c>
      <c r="K2545" s="152" t="s">
        <v>29888</v>
      </c>
      <c r="L2545" s="20" t="s">
        <v>26361</v>
      </c>
      <c r="M2545" s="174" t="s">
        <v>26362</v>
      </c>
      <c r="N2545" s="84"/>
      <c r="O2545" s="84"/>
      <c r="P2545" s="84"/>
      <c r="Q2545" s="84"/>
      <c r="R2545" s="84"/>
      <c r="S2545" s="84"/>
      <c r="T2545" s="84"/>
      <c r="U2545" s="84"/>
      <c r="V2545" s="84"/>
      <c r="W2545" s="84"/>
      <c r="X2545" s="84"/>
    </row>
    <row r="2546" ht="15.75" customHeight="1">
      <c r="A2546" s="14" t="s">
        <v>120</v>
      </c>
      <c r="B2546" s="14">
        <v>2014.0</v>
      </c>
      <c r="C2546" s="14" t="s">
        <v>26363</v>
      </c>
      <c r="D2546" s="14" t="s">
        <v>26364</v>
      </c>
      <c r="E2546" s="150" t="s">
        <v>26365</v>
      </c>
      <c r="F2546" s="14">
        <v>1643.0</v>
      </c>
      <c r="G2546" s="14">
        <v>1652.0</v>
      </c>
      <c r="H2546" s="14" t="s">
        <v>17059</v>
      </c>
      <c r="I2546" s="14" t="s">
        <v>26368</v>
      </c>
      <c r="J2546" s="130" t="s">
        <v>26369</v>
      </c>
      <c r="K2546" s="152" t="s">
        <v>16655</v>
      </c>
      <c r="L2546" s="20" t="s">
        <v>26371</v>
      </c>
      <c r="M2546" s="174" t="s">
        <v>26372</v>
      </c>
      <c r="N2546" s="84"/>
      <c r="O2546" s="84"/>
      <c r="P2546" s="84"/>
      <c r="Q2546" s="84"/>
      <c r="R2546" s="84"/>
      <c r="S2546" s="84"/>
      <c r="T2546" s="84"/>
      <c r="U2546" s="84"/>
      <c r="V2546" s="84"/>
      <c r="W2546" s="84"/>
      <c r="X2546" s="84"/>
    </row>
    <row r="2547" ht="15.75" customHeight="1">
      <c r="A2547" s="14" t="s">
        <v>120</v>
      </c>
      <c r="B2547" s="14">
        <v>2014.0</v>
      </c>
      <c r="C2547" s="14" t="s">
        <v>26373</v>
      </c>
      <c r="D2547" s="14" t="s">
        <v>26374</v>
      </c>
      <c r="E2547" s="150" t="s">
        <v>26375</v>
      </c>
      <c r="F2547" s="14">
        <v>1673.0</v>
      </c>
      <c r="G2547" s="14">
        <v>1682.0</v>
      </c>
      <c r="H2547" s="14" t="s">
        <v>17059</v>
      </c>
      <c r="I2547" s="14" t="s">
        <v>26376</v>
      </c>
      <c r="J2547" s="130" t="s">
        <v>26377</v>
      </c>
      <c r="K2547" s="152" t="s">
        <v>29911</v>
      </c>
      <c r="L2547" s="20" t="s">
        <v>26379</v>
      </c>
      <c r="M2547" s="174" t="s">
        <v>26380</v>
      </c>
      <c r="N2547" s="84"/>
      <c r="O2547" s="84"/>
      <c r="P2547" s="84"/>
      <c r="Q2547" s="84"/>
      <c r="R2547" s="84"/>
      <c r="S2547" s="84"/>
      <c r="T2547" s="84"/>
      <c r="U2547" s="84"/>
      <c r="V2547" s="84"/>
      <c r="W2547" s="84"/>
      <c r="X2547" s="84"/>
    </row>
    <row r="2548" ht="15.75" customHeight="1">
      <c r="A2548" s="14" t="s">
        <v>120</v>
      </c>
      <c r="B2548" s="14">
        <v>2014.0</v>
      </c>
      <c r="C2548" s="14" t="s">
        <v>26381</v>
      </c>
      <c r="D2548" s="14" t="s">
        <v>26383</v>
      </c>
      <c r="E2548" s="150" t="s">
        <v>26384</v>
      </c>
      <c r="F2548" s="14">
        <v>1683.0</v>
      </c>
      <c r="G2548" s="14">
        <v>1692.0</v>
      </c>
      <c r="H2548" s="14" t="s">
        <v>17059</v>
      </c>
      <c r="I2548" s="14" t="s">
        <v>26385</v>
      </c>
      <c r="J2548" s="130" t="s">
        <v>26387</v>
      </c>
      <c r="K2548" s="152" t="s">
        <v>30026</v>
      </c>
      <c r="L2548" s="20" t="s">
        <v>26389</v>
      </c>
      <c r="M2548" s="174" t="s">
        <v>26390</v>
      </c>
      <c r="N2548" s="84"/>
      <c r="O2548" s="84"/>
      <c r="P2548" s="84"/>
      <c r="Q2548" s="84"/>
      <c r="R2548" s="84"/>
      <c r="S2548" s="84"/>
      <c r="T2548" s="84"/>
      <c r="U2548" s="84"/>
      <c r="V2548" s="84"/>
      <c r="W2548" s="84"/>
      <c r="X2548" s="84"/>
    </row>
    <row r="2549" ht="15.75" customHeight="1">
      <c r="A2549" s="14" t="s">
        <v>120</v>
      </c>
      <c r="B2549" s="14">
        <v>2014.0</v>
      </c>
      <c r="C2549" s="14" t="s">
        <v>26391</v>
      </c>
      <c r="D2549" s="14" t="s">
        <v>26392</v>
      </c>
      <c r="E2549" s="150" t="s">
        <v>26393</v>
      </c>
      <c r="F2549" s="14">
        <v>1693.0</v>
      </c>
      <c r="G2549" s="14">
        <v>1702.0</v>
      </c>
      <c r="H2549" s="14" t="s">
        <v>17059</v>
      </c>
      <c r="I2549" s="14" t="s">
        <v>26397</v>
      </c>
      <c r="J2549" s="130" t="s">
        <v>41751</v>
      </c>
      <c r="K2549" s="152" t="s">
        <v>29868</v>
      </c>
      <c r="L2549" s="20" t="s">
        <v>26400</v>
      </c>
      <c r="M2549" s="174" t="s">
        <v>26401</v>
      </c>
      <c r="N2549" s="84"/>
      <c r="O2549" s="84"/>
      <c r="P2549" s="84"/>
      <c r="Q2549" s="84"/>
      <c r="R2549" s="84"/>
      <c r="S2549" s="84"/>
      <c r="T2549" s="84"/>
      <c r="U2549" s="84"/>
      <c r="V2549" s="84"/>
      <c r="W2549" s="84"/>
      <c r="X2549" s="84"/>
    </row>
    <row r="2550" ht="15.75" customHeight="1">
      <c r="A2550" s="14" t="s">
        <v>120</v>
      </c>
      <c r="B2550" s="14">
        <v>2014.0</v>
      </c>
      <c r="C2550" s="14" t="s">
        <v>26402</v>
      </c>
      <c r="D2550" s="14" t="s">
        <v>26403</v>
      </c>
      <c r="E2550" s="150" t="s">
        <v>26404</v>
      </c>
      <c r="F2550" s="14">
        <v>1703.0</v>
      </c>
      <c r="G2550" s="14">
        <v>1712.0</v>
      </c>
      <c r="H2550" s="14" t="s">
        <v>17059</v>
      </c>
      <c r="I2550" s="14" t="s">
        <v>26405</v>
      </c>
      <c r="J2550" s="130" t="s">
        <v>26406</v>
      </c>
      <c r="K2550" s="152" t="s">
        <v>29513</v>
      </c>
      <c r="L2550" s="20" t="s">
        <v>26408</v>
      </c>
      <c r="M2550" s="174" t="s">
        <v>26409</v>
      </c>
      <c r="N2550" s="84"/>
      <c r="O2550" s="84"/>
      <c r="P2550" s="84"/>
      <c r="Q2550" s="84"/>
      <c r="R2550" s="84"/>
      <c r="S2550" s="84"/>
      <c r="T2550" s="84"/>
      <c r="U2550" s="84"/>
      <c r="V2550" s="84"/>
      <c r="W2550" s="84"/>
      <c r="X2550" s="84"/>
    </row>
    <row r="2551" ht="15.75" customHeight="1">
      <c r="A2551" s="14" t="s">
        <v>120</v>
      </c>
      <c r="B2551" s="14">
        <v>2014.0</v>
      </c>
      <c r="C2551" s="14" t="s">
        <v>26411</v>
      </c>
      <c r="D2551" s="14" t="s">
        <v>26412</v>
      </c>
      <c r="E2551" s="150" t="s">
        <v>26413</v>
      </c>
      <c r="F2551" s="14">
        <v>1713.0</v>
      </c>
      <c r="G2551" s="14">
        <v>1722.0</v>
      </c>
      <c r="H2551" s="14" t="s">
        <v>17059</v>
      </c>
      <c r="I2551" s="14" t="s">
        <v>26414</v>
      </c>
      <c r="J2551" s="130" t="s">
        <v>26415</v>
      </c>
      <c r="K2551" s="152" t="s">
        <v>27978</v>
      </c>
      <c r="L2551" s="20" t="s">
        <v>26417</v>
      </c>
      <c r="M2551" s="174" t="s">
        <v>26418</v>
      </c>
      <c r="N2551" s="84"/>
      <c r="O2551" s="84"/>
      <c r="P2551" s="84"/>
      <c r="Q2551" s="84"/>
      <c r="R2551" s="84"/>
      <c r="S2551" s="84"/>
      <c r="T2551" s="84"/>
      <c r="U2551" s="84"/>
      <c r="V2551" s="84"/>
      <c r="W2551" s="84"/>
      <c r="X2551" s="84"/>
    </row>
    <row r="2552" ht="15.75" customHeight="1">
      <c r="A2552" s="14" t="s">
        <v>120</v>
      </c>
      <c r="B2552" s="14">
        <v>2014.0</v>
      </c>
      <c r="C2552" s="14" t="s">
        <v>26419</v>
      </c>
      <c r="D2552" s="14" t="s">
        <v>26420</v>
      </c>
      <c r="E2552" s="150" t="s">
        <v>26422</v>
      </c>
      <c r="F2552" s="14">
        <v>1723.0</v>
      </c>
      <c r="G2552" s="14">
        <v>1732.0</v>
      </c>
      <c r="H2552" s="14" t="s">
        <v>17059</v>
      </c>
      <c r="I2552" s="14" t="s">
        <v>26424</v>
      </c>
      <c r="J2552" s="130" t="s">
        <v>26426</v>
      </c>
      <c r="K2552" s="152" t="s">
        <v>30010</v>
      </c>
      <c r="L2552" s="20" t="s">
        <v>26428</v>
      </c>
      <c r="M2552" s="174" t="s">
        <v>26429</v>
      </c>
      <c r="N2552" s="84"/>
      <c r="O2552" s="84"/>
      <c r="P2552" s="84"/>
      <c r="Q2552" s="84"/>
      <c r="R2552" s="84"/>
      <c r="S2552" s="84"/>
      <c r="T2552" s="84"/>
      <c r="U2552" s="84"/>
      <c r="V2552" s="84"/>
      <c r="W2552" s="84"/>
      <c r="X2552" s="84"/>
    </row>
    <row r="2553" ht="15.75" customHeight="1">
      <c r="A2553" s="14" t="s">
        <v>120</v>
      </c>
      <c r="B2553" s="14">
        <v>2014.0</v>
      </c>
      <c r="C2553" s="14" t="s">
        <v>26430</v>
      </c>
      <c r="D2553" s="14" t="s">
        <v>26431</v>
      </c>
      <c r="E2553" s="150" t="s">
        <v>26432</v>
      </c>
      <c r="F2553" s="14">
        <v>1783.0</v>
      </c>
      <c r="G2553" s="14">
        <v>1792.0</v>
      </c>
      <c r="H2553" s="14" t="s">
        <v>17059</v>
      </c>
      <c r="I2553" s="14" t="s">
        <v>26436</v>
      </c>
      <c r="J2553" s="130" t="s">
        <v>26437</v>
      </c>
      <c r="K2553" s="152" t="s">
        <v>29872</v>
      </c>
      <c r="L2553" s="20" t="s">
        <v>26439</v>
      </c>
      <c r="M2553" s="174" t="s">
        <v>26440</v>
      </c>
      <c r="N2553" s="84"/>
      <c r="O2553" s="84"/>
      <c r="P2553" s="84"/>
      <c r="Q2553" s="84"/>
      <c r="R2553" s="84"/>
      <c r="S2553" s="84"/>
      <c r="T2553" s="84"/>
      <c r="U2553" s="84"/>
      <c r="V2553" s="84"/>
      <c r="W2553" s="84"/>
      <c r="X2553" s="84"/>
    </row>
    <row r="2554" ht="15.75" customHeight="1">
      <c r="A2554" s="14" t="s">
        <v>120</v>
      </c>
      <c r="B2554" s="14">
        <v>2014.0</v>
      </c>
      <c r="C2554" s="14" t="s">
        <v>26441</v>
      </c>
      <c r="D2554" s="14" t="s">
        <v>26442</v>
      </c>
      <c r="E2554" s="150" t="s">
        <v>26443</v>
      </c>
      <c r="F2554" s="14">
        <v>1793.0</v>
      </c>
      <c r="G2554" s="14">
        <v>1802.0</v>
      </c>
      <c r="H2554" s="14" t="s">
        <v>17059</v>
      </c>
      <c r="I2554" s="14" t="s">
        <v>29890</v>
      </c>
      <c r="J2554" s="130" t="s">
        <v>26445</v>
      </c>
      <c r="K2554" s="152" t="s">
        <v>880</v>
      </c>
      <c r="L2554" s="20" t="s">
        <v>26449</v>
      </c>
      <c r="M2554" s="174" t="s">
        <v>26450</v>
      </c>
      <c r="N2554" s="84"/>
      <c r="O2554" s="84"/>
      <c r="P2554" s="84"/>
      <c r="Q2554" s="84"/>
      <c r="R2554" s="84"/>
      <c r="S2554" s="84"/>
      <c r="T2554" s="84"/>
      <c r="U2554" s="84"/>
      <c r="V2554" s="84"/>
      <c r="W2554" s="84"/>
      <c r="X2554" s="84"/>
    </row>
    <row r="2555" ht="15.75" customHeight="1">
      <c r="A2555" s="14" t="s">
        <v>120</v>
      </c>
      <c r="B2555" s="14">
        <v>2014.0</v>
      </c>
      <c r="C2555" s="14" t="s">
        <v>26451</v>
      </c>
      <c r="D2555" s="14" t="s">
        <v>26452</v>
      </c>
      <c r="E2555" s="150" t="s">
        <v>26453</v>
      </c>
      <c r="F2555" s="14">
        <v>1803.0</v>
      </c>
      <c r="G2555" s="14">
        <v>1812.0</v>
      </c>
      <c r="H2555" s="14" t="s">
        <v>17059</v>
      </c>
      <c r="I2555" s="14" t="s">
        <v>30062</v>
      </c>
      <c r="J2555" s="130" t="s">
        <v>26456</v>
      </c>
      <c r="K2555" s="152" t="s">
        <v>30064</v>
      </c>
      <c r="L2555" s="20" t="s">
        <v>26459</v>
      </c>
      <c r="M2555" s="174" t="s">
        <v>26460</v>
      </c>
      <c r="N2555" s="84"/>
      <c r="O2555" s="84"/>
      <c r="P2555" s="84"/>
      <c r="Q2555" s="84"/>
      <c r="R2555" s="84"/>
      <c r="S2555" s="84"/>
      <c r="T2555" s="84"/>
      <c r="U2555" s="84"/>
      <c r="V2555" s="84"/>
      <c r="W2555" s="84"/>
      <c r="X2555" s="84"/>
    </row>
    <row r="2556" ht="15.75" customHeight="1">
      <c r="A2556" s="14" t="s">
        <v>120</v>
      </c>
      <c r="B2556" s="14">
        <v>2014.0</v>
      </c>
      <c r="C2556" s="14" t="s">
        <v>26461</v>
      </c>
      <c r="D2556" s="14" t="s">
        <v>26462</v>
      </c>
      <c r="E2556" s="150" t="s">
        <v>26463</v>
      </c>
      <c r="F2556" s="14">
        <v>1813.0</v>
      </c>
      <c r="G2556" s="14">
        <v>1822.0</v>
      </c>
      <c r="H2556" s="14" t="s">
        <v>17059</v>
      </c>
      <c r="I2556" s="14" t="s">
        <v>26465</v>
      </c>
      <c r="J2556" s="130" t="s">
        <v>26466</v>
      </c>
      <c r="K2556" s="152" t="s">
        <v>30073</v>
      </c>
      <c r="L2556" s="20" t="s">
        <v>26468</v>
      </c>
      <c r="M2556" s="174" t="s">
        <v>26469</v>
      </c>
      <c r="N2556" s="84"/>
      <c r="O2556" s="84"/>
      <c r="P2556" s="84"/>
      <c r="Q2556" s="84"/>
      <c r="R2556" s="84"/>
      <c r="S2556" s="84"/>
      <c r="T2556" s="84"/>
      <c r="U2556" s="84"/>
      <c r="V2556" s="84"/>
      <c r="W2556" s="84"/>
      <c r="X2556" s="84"/>
    </row>
    <row r="2557" ht="15.75" customHeight="1">
      <c r="A2557" s="14" t="s">
        <v>120</v>
      </c>
      <c r="B2557" s="14">
        <v>2014.0</v>
      </c>
      <c r="C2557" s="14" t="s">
        <v>26470</v>
      </c>
      <c r="D2557" s="14" t="s">
        <v>26471</v>
      </c>
      <c r="E2557" s="150" t="s">
        <v>26472</v>
      </c>
      <c r="F2557" s="14">
        <v>1823.0</v>
      </c>
      <c r="G2557" s="14">
        <v>1832.0</v>
      </c>
      <c r="H2557" s="14" t="s">
        <v>17059</v>
      </c>
      <c r="I2557" s="14" t="s">
        <v>26474</v>
      </c>
      <c r="J2557" s="130" t="s">
        <v>26475</v>
      </c>
      <c r="K2557" s="152" t="s">
        <v>29875</v>
      </c>
      <c r="L2557" s="20" t="s">
        <v>26478</v>
      </c>
      <c r="M2557" s="174" t="s">
        <v>26479</v>
      </c>
      <c r="N2557" s="84"/>
      <c r="O2557" s="84"/>
      <c r="P2557" s="84"/>
      <c r="Q2557" s="84"/>
      <c r="R2557" s="84"/>
      <c r="S2557" s="84"/>
      <c r="T2557" s="84"/>
      <c r="U2557" s="84"/>
      <c r="V2557" s="84"/>
      <c r="W2557" s="84"/>
      <c r="X2557" s="84"/>
    </row>
    <row r="2558" ht="15.75" customHeight="1">
      <c r="A2558" s="14" t="s">
        <v>120</v>
      </c>
      <c r="B2558" s="14">
        <v>2014.0</v>
      </c>
      <c r="C2558" s="14" t="s">
        <v>26481</v>
      </c>
      <c r="D2558" s="14" t="s">
        <v>26482</v>
      </c>
      <c r="E2558" s="150" t="s">
        <v>26483</v>
      </c>
      <c r="F2558" s="14">
        <v>1893.0</v>
      </c>
      <c r="G2558" s="14">
        <v>1902.0</v>
      </c>
      <c r="H2558" s="14" t="s">
        <v>17059</v>
      </c>
      <c r="I2558" s="14" t="s">
        <v>26484</v>
      </c>
      <c r="J2558" s="130" t="s">
        <v>26486</v>
      </c>
      <c r="K2558" s="152" t="s">
        <v>30052</v>
      </c>
      <c r="L2558" s="20" t="s">
        <v>26488</v>
      </c>
      <c r="M2558" s="174" t="s">
        <v>26489</v>
      </c>
      <c r="N2558" s="84"/>
      <c r="O2558" s="84"/>
      <c r="P2558" s="84"/>
      <c r="Q2558" s="84"/>
      <c r="R2558" s="84"/>
      <c r="S2558" s="84"/>
      <c r="T2558" s="84"/>
      <c r="U2558" s="84"/>
      <c r="V2558" s="84"/>
      <c r="W2558" s="84"/>
      <c r="X2558" s="84"/>
    </row>
    <row r="2559" ht="15.75" customHeight="1">
      <c r="A2559" s="14" t="s">
        <v>120</v>
      </c>
      <c r="B2559" s="14">
        <v>2014.0</v>
      </c>
      <c r="C2559" s="14" t="s">
        <v>26491</v>
      </c>
      <c r="D2559" s="14" t="s">
        <v>26492</v>
      </c>
      <c r="E2559" s="150" t="s">
        <v>26493</v>
      </c>
      <c r="F2559" s="14">
        <v>1883.0</v>
      </c>
      <c r="G2559" s="14">
        <v>1892.0</v>
      </c>
      <c r="H2559" s="14" t="s">
        <v>17059</v>
      </c>
      <c r="I2559" s="14" t="s">
        <v>26494</v>
      </c>
      <c r="J2559" s="130" t="s">
        <v>26495</v>
      </c>
      <c r="K2559" s="152" t="s">
        <v>29864</v>
      </c>
      <c r="L2559" s="20" t="s">
        <v>26498</v>
      </c>
      <c r="M2559" s="174" t="s">
        <v>26499</v>
      </c>
      <c r="N2559" s="84"/>
      <c r="O2559" s="84"/>
      <c r="P2559" s="84"/>
      <c r="Q2559" s="84"/>
      <c r="R2559" s="84"/>
      <c r="S2559" s="84"/>
      <c r="T2559" s="84"/>
      <c r="U2559" s="84"/>
      <c r="V2559" s="84"/>
      <c r="W2559" s="84"/>
      <c r="X2559" s="84"/>
    </row>
    <row r="2560" ht="15.75" customHeight="1">
      <c r="A2560" s="14" t="s">
        <v>120</v>
      </c>
      <c r="B2560" s="14">
        <v>2014.0</v>
      </c>
      <c r="C2560" s="14" t="s">
        <v>26500</v>
      </c>
      <c r="D2560" s="14" t="s">
        <v>26501</v>
      </c>
      <c r="E2560" s="150" t="s">
        <v>26502</v>
      </c>
      <c r="F2560" s="14">
        <v>1903.0</v>
      </c>
      <c r="G2560" s="14">
        <v>1912.0</v>
      </c>
      <c r="H2560" s="14" t="s">
        <v>17059</v>
      </c>
      <c r="I2560" s="14" t="s">
        <v>26505</v>
      </c>
      <c r="J2560" s="130" t="s">
        <v>26506</v>
      </c>
      <c r="K2560" s="152" t="s">
        <v>29895</v>
      </c>
      <c r="L2560" s="20" t="s">
        <v>26509</v>
      </c>
      <c r="M2560" s="174" t="s">
        <v>26510</v>
      </c>
      <c r="N2560" s="84"/>
      <c r="O2560" s="84"/>
      <c r="P2560" s="84"/>
      <c r="Q2560" s="84"/>
      <c r="R2560" s="84"/>
      <c r="S2560" s="84"/>
      <c r="T2560" s="84"/>
      <c r="U2560" s="84"/>
      <c r="V2560" s="84"/>
      <c r="W2560" s="84"/>
      <c r="X2560" s="84"/>
    </row>
    <row r="2561" ht="15.75" customHeight="1">
      <c r="A2561" s="14" t="s">
        <v>120</v>
      </c>
      <c r="B2561" s="14">
        <v>2014.0</v>
      </c>
      <c r="C2561" s="14" t="s">
        <v>26511</v>
      </c>
      <c r="D2561" s="14" t="s">
        <v>26512</v>
      </c>
      <c r="E2561" s="150" t="s">
        <v>26513</v>
      </c>
      <c r="F2561" s="14">
        <v>1913.0</v>
      </c>
      <c r="G2561" s="14">
        <v>1922.0</v>
      </c>
      <c r="H2561" s="14" t="s">
        <v>17059</v>
      </c>
      <c r="I2561" s="14" t="s">
        <v>29990</v>
      </c>
      <c r="J2561" s="130" t="s">
        <v>41752</v>
      </c>
      <c r="K2561" s="152" t="s">
        <v>29992</v>
      </c>
      <c r="L2561" s="20" t="s">
        <v>26519</v>
      </c>
      <c r="M2561" s="174" t="s">
        <v>26520</v>
      </c>
      <c r="N2561" s="84"/>
      <c r="O2561" s="84"/>
      <c r="P2561" s="84"/>
      <c r="Q2561" s="84"/>
      <c r="R2561" s="84"/>
      <c r="S2561" s="84"/>
      <c r="T2561" s="84"/>
      <c r="U2561" s="84"/>
      <c r="V2561" s="84"/>
      <c r="W2561" s="84"/>
      <c r="X2561" s="84"/>
    </row>
    <row r="2562" ht="15.75" customHeight="1">
      <c r="A2562" s="14" t="s">
        <v>120</v>
      </c>
      <c r="B2562" s="14">
        <v>2014.0</v>
      </c>
      <c r="C2562" s="14" t="s">
        <v>26521</v>
      </c>
      <c r="D2562" s="14" t="s">
        <v>26523</v>
      </c>
      <c r="E2562" s="150" t="s">
        <v>26524</v>
      </c>
      <c r="F2562" s="14">
        <v>1923.0</v>
      </c>
      <c r="G2562" s="14">
        <v>1932.0</v>
      </c>
      <c r="H2562" s="14" t="s">
        <v>17059</v>
      </c>
      <c r="I2562" s="14" t="s">
        <v>26525</v>
      </c>
      <c r="J2562" s="130" t="s">
        <v>26526</v>
      </c>
      <c r="K2562" s="152" t="s">
        <v>30089</v>
      </c>
      <c r="L2562" s="20" t="s">
        <v>26529</v>
      </c>
      <c r="M2562" s="174" t="s">
        <v>26530</v>
      </c>
      <c r="N2562" s="84"/>
      <c r="O2562" s="84"/>
      <c r="P2562" s="84"/>
      <c r="Q2562" s="84"/>
      <c r="R2562" s="84"/>
      <c r="S2562" s="84"/>
      <c r="T2562" s="84"/>
      <c r="U2562" s="84"/>
      <c r="V2562" s="84"/>
      <c r="W2562" s="84"/>
      <c r="X2562" s="84"/>
    </row>
    <row r="2563" ht="15.75" customHeight="1">
      <c r="A2563" s="14" t="s">
        <v>120</v>
      </c>
      <c r="B2563" s="14">
        <v>2014.0</v>
      </c>
      <c r="C2563" s="14" t="s">
        <v>26531</v>
      </c>
      <c r="D2563" s="14" t="s">
        <v>26532</v>
      </c>
      <c r="E2563" s="150" t="s">
        <v>26534</v>
      </c>
      <c r="F2563" s="14">
        <v>1833.0</v>
      </c>
      <c r="G2563" s="14">
        <v>1842.0</v>
      </c>
      <c r="H2563" s="14" t="s">
        <v>17059</v>
      </c>
      <c r="I2563" s="14" t="s">
        <v>26536</v>
      </c>
      <c r="J2563" s="130" t="s">
        <v>26537</v>
      </c>
      <c r="K2563" s="152" t="s">
        <v>30098</v>
      </c>
      <c r="L2563" s="20" t="s">
        <v>26539</v>
      </c>
      <c r="M2563" s="174" t="s">
        <v>26540</v>
      </c>
      <c r="N2563" s="84"/>
      <c r="O2563" s="84"/>
      <c r="P2563" s="84"/>
      <c r="Q2563" s="84"/>
      <c r="R2563" s="84"/>
      <c r="S2563" s="84"/>
      <c r="T2563" s="84"/>
      <c r="U2563" s="84"/>
      <c r="V2563" s="84"/>
      <c r="W2563" s="84"/>
      <c r="X2563" s="84"/>
    </row>
    <row r="2564" ht="15.75" customHeight="1">
      <c r="A2564" s="14" t="s">
        <v>120</v>
      </c>
      <c r="B2564" s="14">
        <v>2014.0</v>
      </c>
      <c r="C2564" s="14" t="s">
        <v>26541</v>
      </c>
      <c r="D2564" s="14" t="s">
        <v>26542</v>
      </c>
      <c r="E2564" s="150" t="s">
        <v>26543</v>
      </c>
      <c r="F2564" s="14">
        <v>1843.0</v>
      </c>
      <c r="G2564" s="14">
        <v>1852.0</v>
      </c>
      <c r="H2564" s="14" t="s">
        <v>17059</v>
      </c>
      <c r="I2564" s="14" t="s">
        <v>26547</v>
      </c>
      <c r="J2564" s="130" t="s">
        <v>26548</v>
      </c>
      <c r="K2564" s="152" t="s">
        <v>30048</v>
      </c>
      <c r="L2564" s="20" t="s">
        <v>26551</v>
      </c>
      <c r="M2564" s="174" t="s">
        <v>26552</v>
      </c>
      <c r="N2564" s="84"/>
      <c r="O2564" s="84"/>
      <c r="P2564" s="84"/>
      <c r="Q2564" s="84"/>
      <c r="R2564" s="84"/>
      <c r="S2564" s="84"/>
      <c r="T2564" s="84"/>
      <c r="U2564" s="84"/>
      <c r="V2564" s="84"/>
      <c r="W2564" s="84"/>
      <c r="X2564" s="84"/>
    </row>
    <row r="2565" ht="15.75" customHeight="1">
      <c r="A2565" s="14" t="s">
        <v>120</v>
      </c>
      <c r="B2565" s="14">
        <v>2014.0</v>
      </c>
      <c r="C2565" s="14" t="s">
        <v>26553</v>
      </c>
      <c r="D2565" s="14" t="s">
        <v>26554</v>
      </c>
      <c r="E2565" s="150" t="s">
        <v>26555</v>
      </c>
      <c r="F2565" s="14">
        <v>1853.0</v>
      </c>
      <c r="G2565" s="14">
        <v>1862.0</v>
      </c>
      <c r="H2565" s="14" t="s">
        <v>17059</v>
      </c>
      <c r="I2565" s="14" t="s">
        <v>26557</v>
      </c>
      <c r="J2565" s="130" t="s">
        <v>26558</v>
      </c>
      <c r="K2565" s="152" t="s">
        <v>30014</v>
      </c>
      <c r="L2565" s="20" t="s">
        <v>26562</v>
      </c>
      <c r="M2565" s="174" t="s">
        <v>26563</v>
      </c>
      <c r="N2565" s="84"/>
      <c r="O2565" s="84"/>
      <c r="P2565" s="84"/>
      <c r="Q2565" s="84"/>
      <c r="R2565" s="84"/>
      <c r="S2565" s="84"/>
      <c r="T2565" s="84"/>
      <c r="U2565" s="84"/>
      <c r="V2565" s="84"/>
      <c r="W2565" s="84"/>
      <c r="X2565" s="84"/>
    </row>
    <row r="2566" ht="15.75" customHeight="1">
      <c r="A2566" s="14" t="s">
        <v>120</v>
      </c>
      <c r="B2566" s="14">
        <v>2014.0</v>
      </c>
      <c r="C2566" s="14" t="s">
        <v>26564</v>
      </c>
      <c r="D2566" s="14" t="s">
        <v>26565</v>
      </c>
      <c r="E2566" s="150" t="s">
        <v>26566</v>
      </c>
      <c r="F2566" s="14">
        <v>1733.0</v>
      </c>
      <c r="G2566" s="14">
        <v>1742.0</v>
      </c>
      <c r="H2566" s="14" t="s">
        <v>17059</v>
      </c>
      <c r="I2566" s="14" t="s">
        <v>26567</v>
      </c>
      <c r="J2566" s="130" t="s">
        <v>26568</v>
      </c>
      <c r="K2566" s="152" t="s">
        <v>22137</v>
      </c>
      <c r="L2566" s="20" t="s">
        <v>26572</v>
      </c>
      <c r="M2566" s="174" t="s">
        <v>26573</v>
      </c>
      <c r="N2566" s="84"/>
      <c r="O2566" s="84"/>
      <c r="P2566" s="84"/>
      <c r="Q2566" s="84"/>
      <c r="R2566" s="84"/>
      <c r="S2566" s="84"/>
      <c r="T2566" s="84"/>
      <c r="U2566" s="84"/>
      <c r="V2566" s="84"/>
      <c r="W2566" s="84"/>
      <c r="X2566" s="84"/>
    </row>
    <row r="2567" ht="15.75" customHeight="1">
      <c r="A2567" s="14" t="s">
        <v>120</v>
      </c>
      <c r="B2567" s="14">
        <v>2014.0</v>
      </c>
      <c r="C2567" s="14" t="s">
        <v>26574</v>
      </c>
      <c r="D2567" s="14" t="s">
        <v>26575</v>
      </c>
      <c r="E2567" s="150" t="s">
        <v>26577</v>
      </c>
      <c r="F2567" s="14">
        <v>1743.0</v>
      </c>
      <c r="G2567" s="14">
        <v>1752.0</v>
      </c>
      <c r="H2567" s="14" t="s">
        <v>17059</v>
      </c>
      <c r="I2567" s="14" t="s">
        <v>26578</v>
      </c>
      <c r="J2567" s="130" t="s">
        <v>26580</v>
      </c>
      <c r="K2567" s="152" t="s">
        <v>30007</v>
      </c>
      <c r="L2567" s="20" t="s">
        <v>26582</v>
      </c>
      <c r="M2567" s="174" t="s">
        <v>26583</v>
      </c>
      <c r="N2567" s="84"/>
      <c r="O2567" s="84"/>
      <c r="P2567" s="84"/>
      <c r="Q2567" s="84"/>
      <c r="R2567" s="84"/>
      <c r="S2567" s="84"/>
      <c r="T2567" s="84"/>
      <c r="U2567" s="84"/>
      <c r="V2567" s="84"/>
      <c r="W2567" s="84"/>
      <c r="X2567" s="84"/>
    </row>
    <row r="2568" ht="15.75" customHeight="1">
      <c r="A2568" s="14" t="s">
        <v>120</v>
      </c>
      <c r="B2568" s="14">
        <v>2014.0</v>
      </c>
      <c r="C2568" s="14" t="s">
        <v>26584</v>
      </c>
      <c r="D2568" s="14" t="s">
        <v>26586</v>
      </c>
      <c r="E2568" s="150" t="s">
        <v>26587</v>
      </c>
      <c r="F2568" s="14">
        <v>1753.0</v>
      </c>
      <c r="G2568" s="14">
        <v>1762.0</v>
      </c>
      <c r="H2568" s="14" t="s">
        <v>17059</v>
      </c>
      <c r="I2568" s="14" t="s">
        <v>29877</v>
      </c>
      <c r="J2568" s="130" t="s">
        <v>26590</v>
      </c>
      <c r="K2568" s="152" t="s">
        <v>860</v>
      </c>
      <c r="L2568" s="20" t="s">
        <v>26592</v>
      </c>
      <c r="M2568" s="174" t="s">
        <v>26593</v>
      </c>
      <c r="N2568" s="84"/>
      <c r="O2568" s="84"/>
      <c r="P2568" s="84"/>
      <c r="Q2568" s="84"/>
      <c r="R2568" s="84"/>
      <c r="S2568" s="84"/>
      <c r="T2568" s="84"/>
      <c r="U2568" s="84"/>
      <c r="V2568" s="84"/>
      <c r="W2568" s="84"/>
      <c r="X2568" s="84"/>
    </row>
    <row r="2569" ht="15.75" customHeight="1">
      <c r="A2569" s="14" t="s">
        <v>120</v>
      </c>
      <c r="B2569" s="14">
        <v>2014.0</v>
      </c>
      <c r="C2569" s="14" t="s">
        <v>26594</v>
      </c>
      <c r="D2569" s="14" t="s">
        <v>26595</v>
      </c>
      <c r="E2569" s="150" t="s">
        <v>26596</v>
      </c>
      <c r="F2569" s="14">
        <v>1763.0</v>
      </c>
      <c r="G2569" s="14">
        <v>1772.0</v>
      </c>
      <c r="H2569" s="14" t="s">
        <v>17059</v>
      </c>
      <c r="I2569" s="14" t="s">
        <v>26599</v>
      </c>
      <c r="J2569" s="130" t="s">
        <v>26601</v>
      </c>
      <c r="K2569" s="152" t="s">
        <v>29946</v>
      </c>
      <c r="L2569" s="20" t="s">
        <v>26603</v>
      </c>
      <c r="M2569" s="174" t="s">
        <v>26604</v>
      </c>
      <c r="N2569" s="84"/>
      <c r="O2569" s="84"/>
      <c r="P2569" s="84"/>
      <c r="Q2569" s="84"/>
      <c r="R2569" s="84"/>
      <c r="S2569" s="84"/>
      <c r="T2569" s="84"/>
      <c r="U2569" s="84"/>
      <c r="V2569" s="84"/>
      <c r="W2569" s="84"/>
      <c r="X2569" s="84"/>
    </row>
    <row r="2570" ht="15.75" customHeight="1">
      <c r="A2570" s="14" t="s">
        <v>120</v>
      </c>
      <c r="B2570" s="14">
        <v>2014.0</v>
      </c>
      <c r="C2570" s="14" t="s">
        <v>26605</v>
      </c>
      <c r="D2570" s="14" t="s">
        <v>26606</v>
      </c>
      <c r="E2570" s="150" t="s">
        <v>26607</v>
      </c>
      <c r="F2570" s="14">
        <v>1773.0</v>
      </c>
      <c r="G2570" s="14">
        <v>1782.0</v>
      </c>
      <c r="H2570" s="14" t="s">
        <v>17059</v>
      </c>
      <c r="I2570" s="14" t="s">
        <v>26608</v>
      </c>
      <c r="J2570" s="130" t="s">
        <v>26609</v>
      </c>
      <c r="K2570" s="152" t="s">
        <v>29838</v>
      </c>
      <c r="L2570" s="20" t="s">
        <v>26611</v>
      </c>
      <c r="M2570" s="174" t="s">
        <v>26612</v>
      </c>
      <c r="N2570" s="84"/>
      <c r="O2570" s="84"/>
      <c r="P2570" s="84"/>
      <c r="Q2570" s="84"/>
      <c r="R2570" s="84"/>
      <c r="S2570" s="84"/>
      <c r="T2570" s="84"/>
      <c r="U2570" s="84"/>
      <c r="V2570" s="84"/>
      <c r="W2570" s="84"/>
      <c r="X2570" s="84"/>
    </row>
    <row r="2571" ht="15.75" customHeight="1">
      <c r="A2571" s="14" t="s">
        <v>120</v>
      </c>
      <c r="B2571" s="14">
        <v>2014.0</v>
      </c>
      <c r="C2571" s="14" t="s">
        <v>26614</v>
      </c>
      <c r="D2571" s="14" t="s">
        <v>26615</v>
      </c>
      <c r="E2571" s="150" t="s">
        <v>26616</v>
      </c>
      <c r="F2571" s="14">
        <v>1863.0</v>
      </c>
      <c r="G2571" s="14">
        <v>1872.0</v>
      </c>
      <c r="H2571" s="14" t="s">
        <v>17059</v>
      </c>
      <c r="I2571" s="14" t="s">
        <v>26618</v>
      </c>
      <c r="J2571" s="130" t="s">
        <v>26619</v>
      </c>
      <c r="K2571" s="152" t="s">
        <v>12225</v>
      </c>
      <c r="L2571" s="20" t="s">
        <v>26621</v>
      </c>
      <c r="M2571" s="174" t="s">
        <v>26622</v>
      </c>
      <c r="N2571" s="84"/>
      <c r="O2571" s="84"/>
      <c r="P2571" s="84"/>
      <c r="Q2571" s="84"/>
      <c r="R2571" s="84"/>
      <c r="S2571" s="84"/>
      <c r="T2571" s="84"/>
      <c r="U2571" s="84"/>
      <c r="V2571" s="84"/>
      <c r="W2571" s="84"/>
      <c r="X2571" s="84"/>
    </row>
    <row r="2572" ht="15.75" customHeight="1">
      <c r="A2572" s="14" t="s">
        <v>120</v>
      </c>
      <c r="B2572" s="14">
        <v>2014.0</v>
      </c>
      <c r="C2572" s="14" t="s">
        <v>26623</v>
      </c>
      <c r="D2572" s="14" t="s">
        <v>26624</v>
      </c>
      <c r="E2572" s="150" t="s">
        <v>26625</v>
      </c>
      <c r="F2572" s="14">
        <v>1873.0</v>
      </c>
      <c r="G2572" s="14">
        <v>1882.0</v>
      </c>
      <c r="H2572" s="14" t="s">
        <v>17059</v>
      </c>
      <c r="I2572" s="14" t="s">
        <v>26627</v>
      </c>
      <c r="J2572" s="130" t="s">
        <v>41753</v>
      </c>
      <c r="K2572" s="152" t="s">
        <v>26249</v>
      </c>
      <c r="L2572" s="20" t="s">
        <v>26631</v>
      </c>
      <c r="M2572" s="174" t="s">
        <v>26632</v>
      </c>
      <c r="N2572" s="84"/>
      <c r="O2572" s="84"/>
      <c r="P2572" s="84"/>
      <c r="Q2572" s="84"/>
      <c r="R2572" s="84"/>
      <c r="S2572" s="84"/>
      <c r="T2572" s="84"/>
      <c r="U2572" s="84"/>
      <c r="V2572" s="84"/>
      <c r="W2572" s="84"/>
      <c r="X2572" s="84"/>
    </row>
    <row r="2573" ht="15.75" customHeight="1">
      <c r="A2573" s="14" t="s">
        <v>120</v>
      </c>
      <c r="B2573" s="14">
        <v>2014.0</v>
      </c>
      <c r="C2573" s="14" t="s">
        <v>26633</v>
      </c>
      <c r="D2573" s="14" t="s">
        <v>26634</v>
      </c>
      <c r="E2573" s="150" t="s">
        <v>26635</v>
      </c>
      <c r="F2573" s="14">
        <v>3.0</v>
      </c>
      <c r="G2573" s="14">
        <v>12.0</v>
      </c>
      <c r="H2573" s="14" t="s">
        <v>28</v>
      </c>
      <c r="I2573" s="14" t="s">
        <v>26637</v>
      </c>
      <c r="J2573" s="130" t="s">
        <v>26638</v>
      </c>
      <c r="K2573" s="152" t="s">
        <v>29998</v>
      </c>
      <c r="L2573" s="20" t="s">
        <v>26640</v>
      </c>
      <c r="M2573" s="174" t="s">
        <v>26641</v>
      </c>
      <c r="N2573" s="84"/>
      <c r="O2573" s="84"/>
      <c r="P2573" s="84"/>
      <c r="Q2573" s="84"/>
      <c r="R2573" s="84"/>
      <c r="S2573" s="84"/>
      <c r="T2573" s="84"/>
      <c r="U2573" s="84"/>
      <c r="V2573" s="84"/>
      <c r="W2573" s="84"/>
      <c r="X2573" s="84"/>
    </row>
    <row r="2574" ht="15.75" customHeight="1">
      <c r="A2574" s="14" t="s">
        <v>120</v>
      </c>
      <c r="B2574" s="14">
        <v>2014.0</v>
      </c>
      <c r="C2574" s="14" t="s">
        <v>26642</v>
      </c>
      <c r="D2574" s="14" t="s">
        <v>26643</v>
      </c>
      <c r="E2574" s="150" t="s">
        <v>26644</v>
      </c>
      <c r="F2574" s="14">
        <v>13.0</v>
      </c>
      <c r="G2574" s="14">
        <v>22.0</v>
      </c>
      <c r="H2574" s="14" t="s">
        <v>28</v>
      </c>
      <c r="I2574" s="14" t="s">
        <v>26648</v>
      </c>
      <c r="J2574" s="130" t="s">
        <v>26649</v>
      </c>
      <c r="K2574" s="152" t="s">
        <v>29881</v>
      </c>
      <c r="L2574" s="20" t="s">
        <v>26651</v>
      </c>
      <c r="M2574" s="174" t="s">
        <v>26652</v>
      </c>
      <c r="N2574" s="84"/>
      <c r="O2574" s="84"/>
      <c r="P2574" s="84"/>
      <c r="Q2574" s="84"/>
      <c r="R2574" s="84"/>
      <c r="S2574" s="84"/>
      <c r="T2574" s="84"/>
      <c r="U2574" s="84"/>
      <c r="V2574" s="84"/>
      <c r="W2574" s="84"/>
      <c r="X2574" s="84"/>
    </row>
    <row r="2575" ht="15.75" customHeight="1">
      <c r="A2575" s="14" t="s">
        <v>120</v>
      </c>
      <c r="B2575" s="14">
        <v>2014.0</v>
      </c>
      <c r="C2575" s="14" t="s">
        <v>26653</v>
      </c>
      <c r="D2575" s="14" t="s">
        <v>26654</v>
      </c>
      <c r="E2575" s="150" t="s">
        <v>26655</v>
      </c>
      <c r="F2575" s="14">
        <v>23.0</v>
      </c>
      <c r="G2575" s="14">
        <v>32.0</v>
      </c>
      <c r="H2575" s="14" t="s">
        <v>28</v>
      </c>
      <c r="I2575" s="14" t="s">
        <v>26658</v>
      </c>
      <c r="J2575" s="130" t="s">
        <v>26659</v>
      </c>
      <c r="K2575" s="152" t="s">
        <v>5349</v>
      </c>
      <c r="L2575" s="20" t="s">
        <v>26662</v>
      </c>
      <c r="M2575" s="174" t="s">
        <v>26663</v>
      </c>
      <c r="N2575" s="84"/>
      <c r="O2575" s="84"/>
      <c r="P2575" s="84"/>
      <c r="Q2575" s="84"/>
      <c r="R2575" s="84"/>
      <c r="S2575" s="84"/>
      <c r="T2575" s="84"/>
      <c r="U2575" s="84"/>
      <c r="V2575" s="84"/>
      <c r="W2575" s="84"/>
      <c r="X2575" s="84"/>
    </row>
    <row r="2576" ht="15.75" customHeight="1">
      <c r="A2576" s="14" t="s">
        <v>120</v>
      </c>
      <c r="B2576" s="14">
        <v>2014.0</v>
      </c>
      <c r="C2576" s="14" t="s">
        <v>26664</v>
      </c>
      <c r="D2576" s="14" t="s">
        <v>26665</v>
      </c>
      <c r="E2576" s="150" t="s">
        <v>26666</v>
      </c>
      <c r="F2576" s="14">
        <v>33.0</v>
      </c>
      <c r="G2576" s="14">
        <v>42.0</v>
      </c>
      <c r="H2576" s="14" t="s">
        <v>28</v>
      </c>
      <c r="I2576" s="14" t="s">
        <v>26668</v>
      </c>
      <c r="J2576" s="130" t="s">
        <v>26670</v>
      </c>
      <c r="K2576" s="152" t="s">
        <v>29843</v>
      </c>
      <c r="L2576" s="20" t="s">
        <v>26672</v>
      </c>
      <c r="M2576" s="174" t="s">
        <v>26673</v>
      </c>
      <c r="N2576" s="84"/>
      <c r="O2576" s="84"/>
      <c r="P2576" s="84"/>
      <c r="Q2576" s="84"/>
      <c r="R2576" s="84"/>
      <c r="S2576" s="84"/>
      <c r="T2576" s="84"/>
      <c r="U2576" s="84"/>
      <c r="V2576" s="84"/>
      <c r="W2576" s="84"/>
      <c r="X2576" s="84"/>
    </row>
    <row r="2577" ht="15.75" customHeight="1">
      <c r="A2577" s="14" t="s">
        <v>120</v>
      </c>
      <c r="B2577" s="14">
        <v>2014.0</v>
      </c>
      <c r="C2577" s="14" t="s">
        <v>26674</v>
      </c>
      <c r="D2577" s="14" t="s">
        <v>26676</v>
      </c>
      <c r="E2577" s="150" t="s">
        <v>26677</v>
      </c>
      <c r="F2577" s="14">
        <v>43.0</v>
      </c>
      <c r="G2577" s="14">
        <v>52.0</v>
      </c>
      <c r="H2577" s="14" t="s">
        <v>28</v>
      </c>
      <c r="I2577" s="14" t="s">
        <v>26678</v>
      </c>
      <c r="J2577" s="130" t="s">
        <v>26679</v>
      </c>
      <c r="K2577" s="152" t="s">
        <v>29885</v>
      </c>
      <c r="L2577" s="20" t="s">
        <v>26681</v>
      </c>
      <c r="M2577" s="174" t="s">
        <v>26682</v>
      </c>
      <c r="N2577" s="84"/>
      <c r="O2577" s="84"/>
      <c r="P2577" s="84"/>
      <c r="Q2577" s="84"/>
      <c r="R2577" s="84"/>
      <c r="S2577" s="84"/>
      <c r="T2577" s="84"/>
      <c r="U2577" s="84"/>
      <c r="V2577" s="84"/>
      <c r="W2577" s="84"/>
      <c r="X2577" s="84"/>
    </row>
    <row r="2578" ht="15.75" customHeight="1">
      <c r="A2578" s="14" t="s">
        <v>120</v>
      </c>
      <c r="B2578" s="14">
        <v>2014.0</v>
      </c>
      <c r="C2578" s="14" t="s">
        <v>26684</v>
      </c>
      <c r="D2578" s="14" t="s">
        <v>26685</v>
      </c>
      <c r="E2578" s="150" t="s">
        <v>26686</v>
      </c>
      <c r="F2578" s="14">
        <v>53.0</v>
      </c>
      <c r="G2578" s="14">
        <v>62.0</v>
      </c>
      <c r="H2578" s="14" t="s">
        <v>28</v>
      </c>
      <c r="I2578" s="14" t="s">
        <v>29850</v>
      </c>
      <c r="J2578" s="130" t="s">
        <v>26689</v>
      </c>
      <c r="K2578" s="152" t="s">
        <v>29852</v>
      </c>
      <c r="L2578" s="20" t="s">
        <v>26691</v>
      </c>
      <c r="M2578" s="174" t="s">
        <v>26692</v>
      </c>
      <c r="N2578" s="84"/>
      <c r="O2578" s="84"/>
      <c r="P2578" s="84"/>
      <c r="Q2578" s="84"/>
      <c r="R2578" s="84"/>
      <c r="S2578" s="84"/>
      <c r="T2578" s="84"/>
      <c r="U2578" s="84"/>
      <c r="V2578" s="84"/>
      <c r="W2578" s="84"/>
      <c r="X2578" s="84"/>
    </row>
    <row r="2579" ht="15.75" customHeight="1">
      <c r="A2579" s="14" t="s">
        <v>120</v>
      </c>
      <c r="B2579" s="14">
        <v>2014.0</v>
      </c>
      <c r="C2579" s="14" t="s">
        <v>26693</v>
      </c>
      <c r="D2579" s="14" t="s">
        <v>26694</v>
      </c>
      <c r="E2579" s="150" t="s">
        <v>26695</v>
      </c>
      <c r="F2579" s="14">
        <v>63.0</v>
      </c>
      <c r="G2579" s="14">
        <v>72.0</v>
      </c>
      <c r="H2579" s="14" t="s">
        <v>28</v>
      </c>
      <c r="I2579" s="14" t="s">
        <v>26696</v>
      </c>
      <c r="J2579" s="130" t="s">
        <v>26698</v>
      </c>
      <c r="K2579" s="152" t="s">
        <v>15137</v>
      </c>
      <c r="L2579" s="20" t="s">
        <v>26700</v>
      </c>
      <c r="M2579" s="174" t="s">
        <v>26701</v>
      </c>
      <c r="N2579" s="84"/>
      <c r="O2579" s="84"/>
      <c r="P2579" s="84"/>
      <c r="Q2579" s="84"/>
      <c r="R2579" s="84"/>
      <c r="S2579" s="84"/>
      <c r="T2579" s="84"/>
      <c r="U2579" s="84"/>
      <c r="V2579" s="84"/>
      <c r="W2579" s="84"/>
      <c r="X2579" s="84"/>
    </row>
    <row r="2580" ht="15.75" customHeight="1">
      <c r="A2580" s="14" t="s">
        <v>120</v>
      </c>
      <c r="B2580" s="14">
        <v>2014.0</v>
      </c>
      <c r="C2580" s="14" t="s">
        <v>26702</v>
      </c>
      <c r="D2580" s="14" t="s">
        <v>26704</v>
      </c>
      <c r="E2580" s="150" t="s">
        <v>26705</v>
      </c>
      <c r="F2580" s="14">
        <v>73.0</v>
      </c>
      <c r="G2580" s="14">
        <v>82.0</v>
      </c>
      <c r="H2580" s="14" t="s">
        <v>28</v>
      </c>
      <c r="I2580" s="14" t="s">
        <v>30103</v>
      </c>
      <c r="J2580" s="130" t="s">
        <v>26708</v>
      </c>
      <c r="K2580" s="152" t="s">
        <v>30105</v>
      </c>
      <c r="L2580" s="20" t="s">
        <v>26711</v>
      </c>
      <c r="M2580" s="174" t="s">
        <v>26712</v>
      </c>
      <c r="N2580" s="84"/>
      <c r="O2580" s="84"/>
      <c r="P2580" s="84"/>
      <c r="Q2580" s="84"/>
      <c r="R2580" s="84"/>
      <c r="S2580" s="84"/>
      <c r="T2580" s="84"/>
      <c r="U2580" s="84"/>
      <c r="V2580" s="84"/>
      <c r="W2580" s="84"/>
      <c r="X2580" s="84"/>
    </row>
    <row r="2581" ht="15.75" customHeight="1">
      <c r="A2581" s="14" t="s">
        <v>120</v>
      </c>
      <c r="B2581" s="14">
        <v>2014.0</v>
      </c>
      <c r="C2581" s="14" t="s">
        <v>26713</v>
      </c>
      <c r="D2581" s="14" t="s">
        <v>26714</v>
      </c>
      <c r="E2581" s="150" t="s">
        <v>26715</v>
      </c>
      <c r="F2581" s="14">
        <v>83.0</v>
      </c>
      <c r="G2581" s="14">
        <v>92.0</v>
      </c>
      <c r="H2581" s="14" t="s">
        <v>28</v>
      </c>
      <c r="I2581" s="14" t="s">
        <v>26717</v>
      </c>
      <c r="J2581" s="130" t="s">
        <v>26718</v>
      </c>
      <c r="K2581" s="152" t="s">
        <v>29855</v>
      </c>
      <c r="L2581" s="20" t="s">
        <v>26721</v>
      </c>
      <c r="M2581" s="16"/>
      <c r="N2581" s="84"/>
      <c r="O2581" s="84"/>
      <c r="P2581" s="84"/>
      <c r="Q2581" s="84"/>
      <c r="R2581" s="84"/>
      <c r="S2581" s="84"/>
      <c r="T2581" s="84"/>
      <c r="U2581" s="84"/>
      <c r="V2581" s="84"/>
      <c r="W2581" s="84"/>
      <c r="X2581" s="84"/>
    </row>
    <row r="2582" ht="15.75" customHeight="1">
      <c r="A2582" s="14" t="s">
        <v>120</v>
      </c>
      <c r="B2582" s="14">
        <v>2014.0</v>
      </c>
      <c r="C2582" s="14" t="s">
        <v>26722</v>
      </c>
      <c r="D2582" s="14" t="s">
        <v>26723</v>
      </c>
      <c r="E2582" s="150" t="s">
        <v>26724</v>
      </c>
      <c r="F2582" s="14">
        <v>93.0</v>
      </c>
      <c r="G2582" s="14">
        <v>102.0</v>
      </c>
      <c r="H2582" s="14" t="s">
        <v>28</v>
      </c>
      <c r="I2582" s="14" t="s">
        <v>26726</v>
      </c>
      <c r="J2582" s="130" t="s">
        <v>26727</v>
      </c>
      <c r="K2582" s="152" t="s">
        <v>30037</v>
      </c>
      <c r="L2582" s="20" t="s">
        <v>26730</v>
      </c>
      <c r="M2582" s="174" t="s">
        <v>26731</v>
      </c>
      <c r="N2582" s="84"/>
      <c r="O2582" s="84"/>
      <c r="P2582" s="84"/>
      <c r="Q2582" s="84"/>
      <c r="R2582" s="84"/>
      <c r="S2582" s="84"/>
      <c r="T2582" s="84"/>
      <c r="U2582" s="84"/>
      <c r="V2582" s="84"/>
      <c r="W2582" s="84"/>
      <c r="X2582" s="84"/>
    </row>
    <row r="2583" ht="15.75" customHeight="1">
      <c r="A2583" s="14" t="s">
        <v>120</v>
      </c>
      <c r="B2583" s="14">
        <v>2014.0</v>
      </c>
      <c r="C2583" s="14" t="s">
        <v>26732</v>
      </c>
      <c r="D2583" s="14" t="s">
        <v>26733</v>
      </c>
      <c r="E2583" s="150" t="s">
        <v>26734</v>
      </c>
      <c r="F2583" s="14">
        <v>103.0</v>
      </c>
      <c r="G2583" s="14">
        <v>112.0</v>
      </c>
      <c r="H2583" s="14" t="s">
        <v>28</v>
      </c>
      <c r="I2583" s="14" t="s">
        <v>29845</v>
      </c>
      <c r="J2583" s="130" t="s">
        <v>26739</v>
      </c>
      <c r="K2583" s="152" t="s">
        <v>29846</v>
      </c>
      <c r="L2583" s="20" t="s">
        <v>26741</v>
      </c>
      <c r="M2583" s="174" t="s">
        <v>26742</v>
      </c>
      <c r="N2583" s="84"/>
      <c r="O2583" s="84"/>
      <c r="P2583" s="84"/>
      <c r="Q2583" s="84"/>
      <c r="R2583" s="84"/>
      <c r="S2583" s="84"/>
      <c r="T2583" s="84"/>
      <c r="U2583" s="84"/>
      <c r="V2583" s="84"/>
      <c r="W2583" s="84"/>
      <c r="X2583" s="84"/>
    </row>
    <row r="2584" ht="15.75" customHeight="1">
      <c r="A2584" s="14" t="s">
        <v>120</v>
      </c>
      <c r="B2584" s="14">
        <v>2014.0</v>
      </c>
      <c r="C2584" s="14" t="s">
        <v>26743</v>
      </c>
      <c r="D2584" s="14" t="s">
        <v>26744</v>
      </c>
      <c r="E2584" s="150" t="s">
        <v>26745</v>
      </c>
      <c r="F2584" s="14">
        <v>113.0</v>
      </c>
      <c r="G2584" s="14">
        <v>122.0</v>
      </c>
      <c r="H2584" s="14" t="s">
        <v>28</v>
      </c>
      <c r="I2584" s="14" t="s">
        <v>26746</v>
      </c>
      <c r="J2584" s="130" t="s">
        <v>41754</v>
      </c>
      <c r="K2584" s="152" t="s">
        <v>30004</v>
      </c>
      <c r="L2584" s="20" t="s">
        <v>26749</v>
      </c>
      <c r="M2584" s="174" t="s">
        <v>26750</v>
      </c>
      <c r="N2584" s="84"/>
      <c r="O2584" s="84"/>
      <c r="P2584" s="84"/>
      <c r="Q2584" s="84"/>
      <c r="R2584" s="84"/>
      <c r="S2584" s="84"/>
      <c r="T2584" s="84"/>
      <c r="U2584" s="84"/>
      <c r="V2584" s="84"/>
      <c r="W2584" s="84"/>
      <c r="X2584" s="84"/>
    </row>
    <row r="2585" ht="15.75" customHeight="1">
      <c r="A2585" s="14" t="s">
        <v>120</v>
      </c>
      <c r="B2585" s="14">
        <v>2014.0</v>
      </c>
      <c r="C2585" s="14" t="s">
        <v>26752</v>
      </c>
      <c r="D2585" s="14" t="s">
        <v>26753</v>
      </c>
      <c r="E2585" s="150" t="s">
        <v>26754</v>
      </c>
      <c r="F2585" s="14">
        <v>123.0</v>
      </c>
      <c r="G2585" s="14">
        <v>132.0</v>
      </c>
      <c r="H2585" s="14" t="s">
        <v>28</v>
      </c>
      <c r="I2585" s="14" t="s">
        <v>29897</v>
      </c>
      <c r="J2585" s="130" t="s">
        <v>26756</v>
      </c>
      <c r="K2585" s="152" t="s">
        <v>29899</v>
      </c>
      <c r="L2585" s="20" t="s">
        <v>26759</v>
      </c>
      <c r="M2585" s="174" t="s">
        <v>26761</v>
      </c>
      <c r="N2585" s="84"/>
      <c r="O2585" s="84"/>
      <c r="P2585" s="84"/>
      <c r="Q2585" s="84"/>
      <c r="R2585" s="84"/>
      <c r="S2585" s="84"/>
      <c r="T2585" s="84"/>
      <c r="U2585" s="84"/>
      <c r="V2585" s="84"/>
      <c r="W2585" s="84"/>
      <c r="X2585" s="84"/>
    </row>
    <row r="2586" ht="15.75" customHeight="1">
      <c r="A2586" s="14" t="s">
        <v>120</v>
      </c>
      <c r="B2586" s="14">
        <v>2014.0</v>
      </c>
      <c r="C2586" s="14" t="s">
        <v>26762</v>
      </c>
      <c r="D2586" s="14" t="s">
        <v>26763</v>
      </c>
      <c r="E2586" s="150" t="s">
        <v>26765</v>
      </c>
      <c r="F2586" s="14">
        <v>133.0</v>
      </c>
      <c r="G2586" s="14">
        <v>142.0</v>
      </c>
      <c r="H2586" s="14" t="s">
        <v>28</v>
      </c>
      <c r="I2586" s="14" t="s">
        <v>26766</v>
      </c>
      <c r="J2586" s="130" t="s">
        <v>26767</v>
      </c>
      <c r="K2586" s="152" t="s">
        <v>30024</v>
      </c>
      <c r="L2586" s="20" t="s">
        <v>26769</v>
      </c>
      <c r="M2586" s="174" t="s">
        <v>26770</v>
      </c>
      <c r="N2586" s="84"/>
      <c r="O2586" s="84"/>
      <c r="P2586" s="84"/>
      <c r="Q2586" s="84"/>
      <c r="R2586" s="84"/>
      <c r="S2586" s="84"/>
      <c r="T2586" s="84"/>
      <c r="U2586" s="84"/>
      <c r="V2586" s="84"/>
      <c r="W2586" s="84"/>
      <c r="X2586" s="84"/>
    </row>
    <row r="2587" ht="15.75" customHeight="1">
      <c r="A2587" s="14" t="s">
        <v>120</v>
      </c>
      <c r="B2587" s="14">
        <v>2014.0</v>
      </c>
      <c r="C2587" s="14" t="s">
        <v>26771</v>
      </c>
      <c r="D2587" s="14" t="s">
        <v>26773</v>
      </c>
      <c r="E2587" s="150" t="s">
        <v>26774</v>
      </c>
      <c r="F2587" s="14">
        <v>143.0</v>
      </c>
      <c r="G2587" s="14">
        <v>152.0</v>
      </c>
      <c r="H2587" s="14" t="s">
        <v>28</v>
      </c>
      <c r="I2587" s="14" t="s">
        <v>26776</v>
      </c>
      <c r="J2587" s="130" t="s">
        <v>26778</v>
      </c>
      <c r="K2587" s="152" t="s">
        <v>26881</v>
      </c>
      <c r="L2587" s="20" t="s">
        <v>26780</v>
      </c>
      <c r="M2587" s="174" t="s">
        <v>26781</v>
      </c>
      <c r="N2587" s="84"/>
      <c r="O2587" s="84"/>
      <c r="P2587" s="84"/>
      <c r="Q2587" s="84"/>
      <c r="R2587" s="84"/>
      <c r="S2587" s="84"/>
      <c r="T2587" s="84"/>
      <c r="U2587" s="84"/>
      <c r="V2587" s="84"/>
      <c r="W2587" s="84"/>
      <c r="X2587" s="84"/>
    </row>
    <row r="2588" ht="15.75" customHeight="1">
      <c r="A2588" s="14" t="s">
        <v>120</v>
      </c>
      <c r="B2588" s="14">
        <v>2014.0</v>
      </c>
      <c r="C2588" s="14" t="s">
        <v>26782</v>
      </c>
      <c r="D2588" s="14" t="s">
        <v>26783</v>
      </c>
      <c r="E2588" s="150" t="s">
        <v>26784</v>
      </c>
      <c r="F2588" s="14">
        <v>153.0</v>
      </c>
      <c r="G2588" s="14">
        <v>162.0</v>
      </c>
      <c r="H2588" s="14" t="s">
        <v>28</v>
      </c>
      <c r="I2588" s="14" t="s">
        <v>26788</v>
      </c>
      <c r="J2588" s="130" t="s">
        <v>41755</v>
      </c>
      <c r="K2588" s="152" t="s">
        <v>28547</v>
      </c>
      <c r="L2588" s="20" t="s">
        <v>26791</v>
      </c>
      <c r="M2588" s="174" t="s">
        <v>26792</v>
      </c>
      <c r="N2588" s="84"/>
      <c r="O2588" s="84"/>
      <c r="P2588" s="84"/>
      <c r="Q2588" s="84"/>
      <c r="R2588" s="84"/>
      <c r="S2588" s="84"/>
      <c r="T2588" s="84"/>
      <c r="U2588" s="84"/>
      <c r="V2588" s="84"/>
      <c r="W2588" s="84"/>
      <c r="X2588" s="84"/>
    </row>
    <row r="2589" ht="15.75" customHeight="1">
      <c r="A2589" s="14" t="s">
        <v>120</v>
      </c>
      <c r="B2589" s="14">
        <v>2014.0</v>
      </c>
      <c r="C2589" s="14" t="s">
        <v>26793</v>
      </c>
      <c r="D2589" s="14" t="s">
        <v>26794</v>
      </c>
      <c r="E2589" s="150" t="s">
        <v>26795</v>
      </c>
      <c r="F2589" s="14">
        <v>163.0</v>
      </c>
      <c r="G2589" s="14">
        <v>172.0</v>
      </c>
      <c r="H2589" s="14" t="s">
        <v>28</v>
      </c>
      <c r="I2589" s="14" t="s">
        <v>26799</v>
      </c>
      <c r="J2589" s="130" t="s">
        <v>26800</v>
      </c>
      <c r="K2589" s="152" t="s">
        <v>5349</v>
      </c>
      <c r="L2589" s="20" t="s">
        <v>26802</v>
      </c>
      <c r="M2589" s="174" t="s">
        <v>26803</v>
      </c>
      <c r="N2589" s="84"/>
      <c r="O2589" s="84"/>
      <c r="P2589" s="84"/>
      <c r="Q2589" s="84"/>
      <c r="R2589" s="84"/>
      <c r="S2589" s="84"/>
      <c r="T2589" s="84"/>
      <c r="U2589" s="84"/>
      <c r="V2589" s="84"/>
      <c r="W2589" s="84"/>
      <c r="X2589" s="84"/>
    </row>
    <row r="2590" ht="15.75" customHeight="1">
      <c r="A2590" s="14" t="s">
        <v>120</v>
      </c>
      <c r="B2590" s="14">
        <v>2014.0</v>
      </c>
      <c r="C2590" s="14" t="s">
        <v>26804</v>
      </c>
      <c r="D2590" s="14" t="s">
        <v>26805</v>
      </c>
      <c r="E2590" s="150" t="s">
        <v>26806</v>
      </c>
      <c r="F2590" s="14">
        <v>173.0</v>
      </c>
      <c r="G2590" s="14">
        <v>182.0</v>
      </c>
      <c r="H2590" s="14" t="s">
        <v>28</v>
      </c>
      <c r="I2590" s="14" t="s">
        <v>26807</v>
      </c>
      <c r="J2590" s="130" t="s">
        <v>26808</v>
      </c>
      <c r="K2590" s="152" t="s">
        <v>29984</v>
      </c>
      <c r="L2590" s="20" t="s">
        <v>26812</v>
      </c>
      <c r="M2590" s="174" t="s">
        <v>26813</v>
      </c>
      <c r="N2590" s="84"/>
      <c r="O2590" s="84"/>
      <c r="P2590" s="84"/>
      <c r="Q2590" s="84"/>
      <c r="R2590" s="84"/>
      <c r="S2590" s="84"/>
      <c r="T2590" s="84"/>
      <c r="U2590" s="84"/>
      <c r="V2590" s="84"/>
      <c r="W2590" s="84"/>
      <c r="X2590" s="84"/>
    </row>
    <row r="2591" ht="15.75" customHeight="1">
      <c r="A2591" s="14" t="s">
        <v>120</v>
      </c>
      <c r="B2591" s="14">
        <v>2014.0</v>
      </c>
      <c r="C2591" s="14" t="s">
        <v>26814</v>
      </c>
      <c r="D2591" s="14" t="s">
        <v>26815</v>
      </c>
      <c r="E2591" s="150" t="s">
        <v>26816</v>
      </c>
      <c r="F2591" s="14">
        <v>183.0</v>
      </c>
      <c r="G2591" s="14">
        <v>192.0</v>
      </c>
      <c r="H2591" s="14" t="s">
        <v>28</v>
      </c>
      <c r="I2591" s="14" t="s">
        <v>26817</v>
      </c>
      <c r="J2591" s="130" t="s">
        <v>26818</v>
      </c>
      <c r="K2591" s="152" t="s">
        <v>880</v>
      </c>
      <c r="L2591" s="20" t="s">
        <v>26822</v>
      </c>
      <c r="M2591" s="174" t="s">
        <v>26823</v>
      </c>
      <c r="N2591" s="84"/>
      <c r="O2591" s="84"/>
      <c r="P2591" s="84"/>
      <c r="Q2591" s="84"/>
      <c r="R2591" s="84"/>
      <c r="S2591" s="84"/>
      <c r="T2591" s="84"/>
      <c r="U2591" s="84"/>
      <c r="V2591" s="84"/>
      <c r="W2591" s="84"/>
      <c r="X2591" s="84"/>
    </row>
    <row r="2592" ht="15.75" customHeight="1">
      <c r="A2592" s="14" t="s">
        <v>120</v>
      </c>
      <c r="B2592" s="14">
        <v>2014.0</v>
      </c>
      <c r="C2592" s="14" t="s">
        <v>26825</v>
      </c>
      <c r="D2592" s="14" t="s">
        <v>26826</v>
      </c>
      <c r="E2592" s="150" t="s">
        <v>26827</v>
      </c>
      <c r="F2592" s="14">
        <v>193.0</v>
      </c>
      <c r="G2592" s="14">
        <v>202.0</v>
      </c>
      <c r="H2592" s="14" t="s">
        <v>28</v>
      </c>
      <c r="I2592" s="14" t="s">
        <v>26828</v>
      </c>
      <c r="J2592" s="130" t="s">
        <v>26830</v>
      </c>
      <c r="K2592" s="152" t="s">
        <v>29904</v>
      </c>
      <c r="L2592" s="20" t="s">
        <v>26832</v>
      </c>
      <c r="M2592" s="174" t="s">
        <v>26833</v>
      </c>
      <c r="N2592" s="84"/>
      <c r="O2592" s="84"/>
      <c r="P2592" s="84"/>
      <c r="Q2592" s="84"/>
      <c r="R2592" s="84"/>
      <c r="S2592" s="84"/>
      <c r="T2592" s="84"/>
      <c r="U2592" s="84"/>
      <c r="V2592" s="84"/>
      <c r="W2592" s="84"/>
      <c r="X2592" s="84"/>
    </row>
    <row r="2593" ht="15.75" customHeight="1">
      <c r="A2593" s="14" t="s">
        <v>120</v>
      </c>
      <c r="B2593" s="14">
        <v>2014.0</v>
      </c>
      <c r="C2593" s="14" t="s">
        <v>26834</v>
      </c>
      <c r="D2593" s="14" t="s">
        <v>26835</v>
      </c>
      <c r="E2593" s="150" t="s">
        <v>26836</v>
      </c>
      <c r="F2593" s="14">
        <v>203.0</v>
      </c>
      <c r="G2593" s="14">
        <v>212.0</v>
      </c>
      <c r="H2593" s="14" t="s">
        <v>28</v>
      </c>
      <c r="I2593" s="14" t="s">
        <v>26839</v>
      </c>
      <c r="J2593" s="130" t="s">
        <v>26840</v>
      </c>
      <c r="K2593" s="152" t="s">
        <v>5349</v>
      </c>
      <c r="L2593" s="20" t="s">
        <v>26843</v>
      </c>
      <c r="M2593" s="174" t="s">
        <v>26844</v>
      </c>
      <c r="N2593" s="84"/>
      <c r="O2593" s="84"/>
      <c r="P2593" s="84"/>
      <c r="Q2593" s="84"/>
      <c r="R2593" s="84"/>
      <c r="S2593" s="84"/>
      <c r="T2593" s="84"/>
      <c r="U2593" s="84"/>
      <c r="V2593" s="84"/>
      <c r="W2593" s="84"/>
      <c r="X2593" s="84"/>
    </row>
    <row r="2594" ht="15.75" customHeight="1">
      <c r="A2594" s="30" t="s">
        <v>2137</v>
      </c>
      <c r="B2594" s="128">
        <v>2015.0</v>
      </c>
      <c r="C2594" s="30" t="s">
        <v>26848</v>
      </c>
      <c r="D2594" s="30" t="s">
        <v>26849</v>
      </c>
      <c r="E2594" s="139" t="s">
        <v>26850</v>
      </c>
      <c r="F2594" s="128">
        <v>449.0</v>
      </c>
      <c r="G2594" s="128">
        <v>458.0</v>
      </c>
      <c r="H2594" s="16" t="s">
        <v>17059</v>
      </c>
      <c r="I2594" s="30" t="s">
        <v>26853</v>
      </c>
      <c r="J2594" s="130" t="s">
        <v>26854</v>
      </c>
      <c r="K2594" s="30" t="s">
        <v>5349</v>
      </c>
      <c r="L2594" s="20" t="s">
        <v>26856</v>
      </c>
      <c r="M2594" s="223" t="s">
        <v>26857</v>
      </c>
      <c r="N2594" s="30"/>
      <c r="O2594" s="30"/>
      <c r="P2594" s="30"/>
      <c r="Q2594" s="30"/>
      <c r="R2594" s="30"/>
      <c r="S2594" s="30"/>
      <c r="T2594" s="30"/>
      <c r="U2594" s="30"/>
      <c r="V2594" s="30"/>
      <c r="W2594" s="30"/>
      <c r="X2594" s="30"/>
    </row>
    <row r="2595" ht="15.75" customHeight="1">
      <c r="A2595" s="30" t="s">
        <v>2137</v>
      </c>
      <c r="B2595" s="128">
        <v>2015.0</v>
      </c>
      <c r="C2595" s="30" t="s">
        <v>26858</v>
      </c>
      <c r="D2595" s="30" t="s">
        <v>26859</v>
      </c>
      <c r="E2595" s="139" t="s">
        <v>26860</v>
      </c>
      <c r="F2595" s="128">
        <v>579.0</v>
      </c>
      <c r="G2595" s="128">
        <v>588.0</v>
      </c>
      <c r="H2595" s="16" t="s">
        <v>17059</v>
      </c>
      <c r="I2595" s="30" t="s">
        <v>26862</v>
      </c>
      <c r="J2595" s="130" t="s">
        <v>26863</v>
      </c>
      <c r="K2595" s="30" t="s">
        <v>28398</v>
      </c>
      <c r="L2595" s="20" t="s">
        <v>26865</v>
      </c>
      <c r="M2595" s="223" t="s">
        <v>26866</v>
      </c>
      <c r="N2595" s="30"/>
      <c r="O2595" s="30"/>
      <c r="P2595" s="30"/>
      <c r="Q2595" s="30"/>
      <c r="R2595" s="30"/>
      <c r="S2595" s="30"/>
      <c r="T2595" s="30"/>
      <c r="U2595" s="30"/>
      <c r="V2595" s="30"/>
      <c r="W2595" s="30"/>
      <c r="X2595" s="30"/>
    </row>
    <row r="2596" ht="15.75" customHeight="1">
      <c r="A2596" s="30" t="s">
        <v>2137</v>
      </c>
      <c r="B2596" s="128">
        <v>2015.0</v>
      </c>
      <c r="C2596" s="30" t="s">
        <v>26867</v>
      </c>
      <c r="D2596" s="30" t="s">
        <v>26868</v>
      </c>
      <c r="E2596" s="139" t="s">
        <v>26869</v>
      </c>
      <c r="F2596" s="128">
        <v>330.0</v>
      </c>
      <c r="G2596" s="128">
        <v>338.0</v>
      </c>
      <c r="H2596" s="16" t="s">
        <v>17059</v>
      </c>
      <c r="I2596" s="30" t="s">
        <v>26872</v>
      </c>
      <c r="J2596" s="130" t="s">
        <v>26873</v>
      </c>
      <c r="K2596" s="30" t="s">
        <v>880</v>
      </c>
      <c r="L2596" s="20" t="s">
        <v>26876</v>
      </c>
      <c r="M2596" s="223" t="s">
        <v>26877</v>
      </c>
      <c r="N2596" s="30"/>
      <c r="O2596" s="30"/>
      <c r="P2596" s="30"/>
      <c r="Q2596" s="30"/>
      <c r="R2596" s="30"/>
      <c r="S2596" s="30"/>
      <c r="T2596" s="30"/>
      <c r="U2596" s="30"/>
      <c r="V2596" s="30"/>
      <c r="W2596" s="30"/>
      <c r="X2596" s="30"/>
    </row>
    <row r="2597" ht="15.75" customHeight="1">
      <c r="A2597" s="30" t="s">
        <v>2137</v>
      </c>
      <c r="B2597" s="128">
        <v>2015.0</v>
      </c>
      <c r="C2597" s="30" t="s">
        <v>26878</v>
      </c>
      <c r="D2597" s="30" t="s">
        <v>26879</v>
      </c>
      <c r="E2597" s="139" t="s">
        <v>26880</v>
      </c>
      <c r="F2597" s="128">
        <v>688.0</v>
      </c>
      <c r="G2597" s="128">
        <v>697.0</v>
      </c>
      <c r="H2597" s="16" t="s">
        <v>17059</v>
      </c>
      <c r="I2597" s="30" t="s">
        <v>26883</v>
      </c>
      <c r="J2597" s="130" t="s">
        <v>26884</v>
      </c>
      <c r="K2597" s="30" t="s">
        <v>28350</v>
      </c>
      <c r="L2597" s="20" t="s">
        <v>26887</v>
      </c>
      <c r="M2597" s="223" t="s">
        <v>26888</v>
      </c>
      <c r="N2597" s="30"/>
      <c r="O2597" s="30"/>
      <c r="P2597" s="30"/>
      <c r="Q2597" s="30"/>
      <c r="R2597" s="30"/>
      <c r="S2597" s="30"/>
      <c r="T2597" s="30"/>
      <c r="U2597" s="30"/>
      <c r="V2597" s="30"/>
      <c r="W2597" s="30"/>
      <c r="X2597" s="30"/>
    </row>
    <row r="2598" ht="15.75" customHeight="1">
      <c r="A2598" s="30" t="s">
        <v>2137</v>
      </c>
      <c r="B2598" s="128">
        <v>2015.0</v>
      </c>
      <c r="C2598" s="30" t="s">
        <v>26889</v>
      </c>
      <c r="D2598" s="30" t="s">
        <v>26890</v>
      </c>
      <c r="E2598" s="139" t="s">
        <v>26891</v>
      </c>
      <c r="F2598" s="128">
        <v>659.0</v>
      </c>
      <c r="G2598" s="128">
        <v>668.0</v>
      </c>
      <c r="H2598" s="16" t="s">
        <v>17059</v>
      </c>
      <c r="I2598" s="30" t="s">
        <v>26893</v>
      </c>
      <c r="J2598" s="130" t="s">
        <v>26894</v>
      </c>
      <c r="K2598" s="30" t="s">
        <v>5349</v>
      </c>
      <c r="L2598" s="20" t="s">
        <v>26897</v>
      </c>
      <c r="M2598" s="223" t="s">
        <v>26898</v>
      </c>
      <c r="N2598" s="30"/>
      <c r="O2598" s="30"/>
      <c r="P2598" s="30"/>
      <c r="Q2598" s="30"/>
      <c r="R2598" s="30"/>
      <c r="S2598" s="30"/>
      <c r="T2598" s="30"/>
      <c r="U2598" s="30"/>
      <c r="V2598" s="30"/>
      <c r="W2598" s="30"/>
      <c r="X2598" s="30"/>
    </row>
    <row r="2599" ht="15.75" customHeight="1">
      <c r="A2599" s="30" t="s">
        <v>2137</v>
      </c>
      <c r="B2599" s="128">
        <v>2015.0</v>
      </c>
      <c r="C2599" s="30" t="s">
        <v>26899</v>
      </c>
      <c r="D2599" s="30" t="s">
        <v>26900</v>
      </c>
      <c r="E2599" s="139" t="s">
        <v>26901</v>
      </c>
      <c r="F2599" s="128">
        <v>379.0</v>
      </c>
      <c r="G2599" s="128">
        <v>388.0</v>
      </c>
      <c r="H2599" s="16" t="s">
        <v>17059</v>
      </c>
      <c r="I2599" s="30" t="s">
        <v>26902</v>
      </c>
      <c r="J2599" s="130" t="s">
        <v>26903</v>
      </c>
      <c r="K2599" s="30" t="s">
        <v>28544</v>
      </c>
      <c r="L2599" s="20" t="s">
        <v>26906</v>
      </c>
      <c r="M2599" s="223" t="s">
        <v>26907</v>
      </c>
      <c r="N2599" s="30"/>
      <c r="O2599" s="30"/>
      <c r="P2599" s="30"/>
      <c r="Q2599" s="30"/>
      <c r="R2599" s="30"/>
      <c r="S2599" s="30"/>
      <c r="T2599" s="30"/>
      <c r="U2599" s="30"/>
      <c r="V2599" s="30"/>
      <c r="W2599" s="30"/>
      <c r="X2599" s="30"/>
    </row>
    <row r="2600" ht="15.75" customHeight="1">
      <c r="A2600" s="30" t="s">
        <v>2137</v>
      </c>
      <c r="B2600" s="128">
        <v>2015.0</v>
      </c>
      <c r="C2600" s="30" t="s">
        <v>26910</v>
      </c>
      <c r="D2600" s="30" t="s">
        <v>26911</v>
      </c>
      <c r="E2600" s="139" t="s">
        <v>26912</v>
      </c>
      <c r="F2600" s="128">
        <v>609.0</v>
      </c>
      <c r="G2600" s="128">
        <v>618.0</v>
      </c>
      <c r="H2600" s="16" t="s">
        <v>17059</v>
      </c>
      <c r="I2600" s="30" t="s">
        <v>26913</v>
      </c>
      <c r="J2600" s="130" t="s">
        <v>21965</v>
      </c>
      <c r="K2600" s="30" t="s">
        <v>28428</v>
      </c>
      <c r="L2600" s="20" t="s">
        <v>26914</v>
      </c>
      <c r="M2600" s="223" t="s">
        <v>26915</v>
      </c>
      <c r="N2600" s="30"/>
      <c r="O2600" s="30"/>
      <c r="P2600" s="30"/>
      <c r="Q2600" s="30"/>
      <c r="R2600" s="30"/>
      <c r="S2600" s="30"/>
      <c r="T2600" s="30"/>
      <c r="U2600" s="30"/>
      <c r="V2600" s="30"/>
      <c r="W2600" s="30"/>
      <c r="X2600" s="30"/>
    </row>
    <row r="2601" ht="15.75" customHeight="1">
      <c r="A2601" s="30" t="s">
        <v>2137</v>
      </c>
      <c r="B2601" s="128">
        <v>2015.0</v>
      </c>
      <c r="C2601" s="30" t="s">
        <v>26916</v>
      </c>
      <c r="D2601" s="30" t="s">
        <v>26917</v>
      </c>
      <c r="E2601" s="139" t="s">
        <v>26918</v>
      </c>
      <c r="F2601" s="128">
        <v>649.0</v>
      </c>
      <c r="G2601" s="128">
        <v>658.0</v>
      </c>
      <c r="H2601" s="16" t="s">
        <v>17059</v>
      </c>
      <c r="I2601" s="30" t="s">
        <v>26921</v>
      </c>
      <c r="J2601" s="130" t="s">
        <v>26922</v>
      </c>
      <c r="K2601" s="30" t="s">
        <v>860</v>
      </c>
      <c r="L2601" s="20" t="s">
        <v>26925</v>
      </c>
      <c r="M2601" s="223" t="s">
        <v>26926</v>
      </c>
      <c r="N2601" s="30"/>
      <c r="O2601" s="30"/>
      <c r="P2601" s="30"/>
      <c r="Q2601" s="30"/>
      <c r="R2601" s="30"/>
      <c r="S2601" s="30"/>
      <c r="T2601" s="30"/>
      <c r="U2601" s="30"/>
      <c r="V2601" s="30"/>
      <c r="W2601" s="30"/>
      <c r="X2601" s="30"/>
    </row>
    <row r="2602" ht="15.75" customHeight="1">
      <c r="A2602" s="30" t="s">
        <v>2137</v>
      </c>
      <c r="B2602" s="128">
        <v>2015.0</v>
      </c>
      <c r="C2602" s="29" t="s">
        <v>26927</v>
      </c>
      <c r="D2602" s="30" t="s">
        <v>26928</v>
      </c>
      <c r="E2602" s="139" t="s">
        <v>26929</v>
      </c>
      <c r="F2602" s="128">
        <v>499.0</v>
      </c>
      <c r="G2602" s="128">
        <v>508.0</v>
      </c>
      <c r="H2602" s="16" t="s">
        <v>17059</v>
      </c>
      <c r="I2602" s="30" t="s">
        <v>26932</v>
      </c>
      <c r="J2602" s="130" t="s">
        <v>26933</v>
      </c>
      <c r="K2602" s="30" t="s">
        <v>28413</v>
      </c>
      <c r="L2602" s="20" t="s">
        <v>26936</v>
      </c>
      <c r="M2602" s="223" t="s">
        <v>26937</v>
      </c>
      <c r="N2602" s="30"/>
      <c r="O2602" s="30"/>
      <c r="P2602" s="30"/>
      <c r="Q2602" s="30"/>
      <c r="R2602" s="30"/>
      <c r="S2602" s="30"/>
      <c r="T2602" s="30"/>
      <c r="U2602" s="30"/>
      <c r="V2602" s="30"/>
      <c r="W2602" s="30"/>
      <c r="X2602" s="30"/>
    </row>
    <row r="2603" ht="15.75" customHeight="1">
      <c r="A2603" s="30" t="s">
        <v>2137</v>
      </c>
      <c r="B2603" s="128">
        <v>2015.0</v>
      </c>
      <c r="C2603" s="30" t="s">
        <v>26938</v>
      </c>
      <c r="D2603" s="30" t="s">
        <v>26939</v>
      </c>
      <c r="E2603" s="139" t="s">
        <v>26940</v>
      </c>
      <c r="F2603" s="128">
        <v>599.0</v>
      </c>
      <c r="G2603" s="128">
        <v>608.0</v>
      </c>
      <c r="H2603" s="16" t="s">
        <v>17059</v>
      </c>
      <c r="I2603" s="30" t="s">
        <v>26942</v>
      </c>
      <c r="J2603" s="130" t="s">
        <v>26944</v>
      </c>
      <c r="K2603" s="30" t="s">
        <v>5349</v>
      </c>
      <c r="L2603" s="20" t="s">
        <v>26946</v>
      </c>
      <c r="M2603" s="223" t="s">
        <v>26947</v>
      </c>
      <c r="N2603" s="30"/>
      <c r="O2603" s="30"/>
      <c r="P2603" s="30"/>
      <c r="Q2603" s="30"/>
      <c r="R2603" s="30"/>
      <c r="S2603" s="30"/>
      <c r="T2603" s="30"/>
      <c r="U2603" s="30"/>
      <c r="V2603" s="30"/>
      <c r="W2603" s="30"/>
      <c r="X2603" s="30"/>
    </row>
    <row r="2604" ht="15.75" customHeight="1">
      <c r="A2604" s="30" t="s">
        <v>2137</v>
      </c>
      <c r="B2604" s="128">
        <v>2015.0</v>
      </c>
      <c r="C2604" s="30" t="s">
        <v>26948</v>
      </c>
      <c r="D2604" s="30" t="s">
        <v>26949</v>
      </c>
      <c r="E2604" s="139" t="s">
        <v>26950</v>
      </c>
      <c r="F2604" s="128">
        <v>639.0</v>
      </c>
      <c r="G2604" s="128">
        <v>648.0</v>
      </c>
      <c r="H2604" s="16" t="s">
        <v>17059</v>
      </c>
      <c r="I2604" s="30" t="s">
        <v>26951</v>
      </c>
      <c r="J2604" s="130" t="s">
        <v>26952</v>
      </c>
      <c r="K2604" s="30" t="s">
        <v>5349</v>
      </c>
      <c r="L2604" s="20" t="s">
        <v>26955</v>
      </c>
      <c r="M2604" s="223" t="s">
        <v>26956</v>
      </c>
      <c r="N2604" s="30"/>
      <c r="O2604" s="30"/>
      <c r="P2604" s="30"/>
      <c r="Q2604" s="30"/>
      <c r="R2604" s="30"/>
      <c r="S2604" s="30"/>
      <c r="T2604" s="30"/>
      <c r="U2604" s="30"/>
      <c r="V2604" s="30"/>
      <c r="W2604" s="30"/>
      <c r="X2604" s="30"/>
    </row>
    <row r="2605" ht="15.75" customHeight="1">
      <c r="A2605" s="30" t="s">
        <v>2137</v>
      </c>
      <c r="B2605" s="128">
        <v>2015.0</v>
      </c>
      <c r="C2605" s="30" t="s">
        <v>26957</v>
      </c>
      <c r="D2605" s="30" t="s">
        <v>26958</v>
      </c>
      <c r="E2605" s="139" t="s">
        <v>26959</v>
      </c>
      <c r="F2605" s="128">
        <v>339.0</v>
      </c>
      <c r="G2605" s="128">
        <v>348.0</v>
      </c>
      <c r="H2605" s="16" t="s">
        <v>17059</v>
      </c>
      <c r="I2605" s="30" t="s">
        <v>26962</v>
      </c>
      <c r="J2605" s="130" t="s">
        <v>27043</v>
      </c>
      <c r="K2605" s="30" t="s">
        <v>860</v>
      </c>
      <c r="L2605" s="20" t="s">
        <v>27045</v>
      </c>
      <c r="M2605" s="223" t="s">
        <v>27046</v>
      </c>
      <c r="N2605" s="30"/>
      <c r="O2605" s="30"/>
      <c r="P2605" s="30"/>
      <c r="Q2605" s="30"/>
      <c r="R2605" s="30"/>
      <c r="S2605" s="30"/>
      <c r="T2605" s="30"/>
      <c r="U2605" s="30"/>
      <c r="V2605" s="30"/>
      <c r="W2605" s="30"/>
      <c r="X2605" s="30"/>
    </row>
    <row r="2606" ht="15.75" customHeight="1">
      <c r="A2606" s="30" t="s">
        <v>2137</v>
      </c>
      <c r="B2606" s="128">
        <v>2015.0</v>
      </c>
      <c r="C2606" s="30" t="s">
        <v>27048</v>
      </c>
      <c r="D2606" s="30" t="s">
        <v>27049</v>
      </c>
      <c r="E2606" s="139" t="s">
        <v>27051</v>
      </c>
      <c r="F2606" s="128">
        <v>419.0</v>
      </c>
      <c r="G2606" s="128">
        <v>428.0</v>
      </c>
      <c r="H2606" s="16" t="s">
        <v>17059</v>
      </c>
      <c r="I2606" s="30" t="s">
        <v>27053</v>
      </c>
      <c r="J2606" s="130" t="s">
        <v>27054</v>
      </c>
      <c r="K2606" s="30" t="s">
        <v>494</v>
      </c>
      <c r="L2606" s="20" t="s">
        <v>27057</v>
      </c>
      <c r="M2606" s="223" t="s">
        <v>27058</v>
      </c>
      <c r="N2606" s="30"/>
      <c r="O2606" s="30"/>
      <c r="P2606" s="30"/>
      <c r="Q2606" s="30"/>
      <c r="R2606" s="30"/>
      <c r="S2606" s="30"/>
      <c r="T2606" s="30"/>
      <c r="U2606" s="30"/>
      <c r="V2606" s="30"/>
      <c r="W2606" s="30"/>
      <c r="X2606" s="30"/>
    </row>
    <row r="2607" ht="15.75" customHeight="1">
      <c r="A2607" s="30" t="s">
        <v>2137</v>
      </c>
      <c r="B2607" s="128">
        <v>2015.0</v>
      </c>
      <c r="C2607" s="30" t="s">
        <v>27061</v>
      </c>
      <c r="D2607" s="30" t="s">
        <v>27062</v>
      </c>
      <c r="E2607" s="139" t="s">
        <v>27063</v>
      </c>
      <c r="F2607" s="128">
        <v>509.0</v>
      </c>
      <c r="G2607" s="128">
        <v>518.0</v>
      </c>
      <c r="H2607" s="16" t="s">
        <v>17059</v>
      </c>
      <c r="I2607" s="30" t="s">
        <v>27065</v>
      </c>
      <c r="J2607" s="130" t="s">
        <v>27066</v>
      </c>
      <c r="K2607" s="30" t="s">
        <v>494</v>
      </c>
      <c r="L2607" s="20" t="s">
        <v>27068</v>
      </c>
      <c r="M2607" s="223" t="s">
        <v>27069</v>
      </c>
      <c r="N2607" s="30"/>
      <c r="O2607" s="30"/>
      <c r="P2607" s="30"/>
      <c r="Q2607" s="30"/>
      <c r="R2607" s="30"/>
      <c r="S2607" s="30"/>
      <c r="T2607" s="30"/>
      <c r="U2607" s="30"/>
      <c r="V2607" s="30"/>
      <c r="W2607" s="30"/>
      <c r="X2607" s="30"/>
    </row>
    <row r="2608" ht="15.75" customHeight="1">
      <c r="A2608" s="30" t="s">
        <v>2137</v>
      </c>
      <c r="B2608" s="128">
        <v>2015.0</v>
      </c>
      <c r="C2608" s="30" t="s">
        <v>27070</v>
      </c>
      <c r="D2608" s="30" t="s">
        <v>27071</v>
      </c>
      <c r="E2608" s="139" t="s">
        <v>27072</v>
      </c>
      <c r="F2608" s="128">
        <v>569.0</v>
      </c>
      <c r="G2608" s="128">
        <v>578.0</v>
      </c>
      <c r="H2608" s="16" t="s">
        <v>17059</v>
      </c>
      <c r="I2608" s="30" t="s">
        <v>27075</v>
      </c>
      <c r="J2608" s="130" t="s">
        <v>27076</v>
      </c>
      <c r="K2608" s="30" t="s">
        <v>28423</v>
      </c>
      <c r="L2608" s="20" t="s">
        <v>27078</v>
      </c>
      <c r="M2608" s="223" t="s">
        <v>27079</v>
      </c>
      <c r="N2608" s="30"/>
      <c r="O2608" s="30"/>
      <c r="P2608" s="30"/>
      <c r="Q2608" s="30"/>
      <c r="R2608" s="30"/>
      <c r="S2608" s="30"/>
      <c r="T2608" s="30"/>
      <c r="U2608" s="30"/>
      <c r="V2608" s="30"/>
      <c r="W2608" s="30"/>
      <c r="X2608" s="30"/>
    </row>
    <row r="2609" ht="15.75" customHeight="1">
      <c r="A2609" s="30" t="s">
        <v>2137</v>
      </c>
      <c r="B2609" s="128">
        <v>2015.0</v>
      </c>
      <c r="C2609" s="30" t="s">
        <v>27080</v>
      </c>
      <c r="D2609" s="30" t="s">
        <v>27081</v>
      </c>
      <c r="E2609" s="139" t="s">
        <v>27082</v>
      </c>
      <c r="F2609" s="128">
        <v>669.0</v>
      </c>
      <c r="G2609" s="128">
        <v>677.0</v>
      </c>
      <c r="H2609" s="16" t="s">
        <v>17059</v>
      </c>
      <c r="I2609" s="30" t="s">
        <v>27084</v>
      </c>
      <c r="J2609" s="130" t="s">
        <v>27085</v>
      </c>
      <c r="K2609" s="30" t="s">
        <v>178</v>
      </c>
      <c r="L2609" s="20" t="s">
        <v>27087</v>
      </c>
      <c r="M2609" s="223" t="s">
        <v>27088</v>
      </c>
      <c r="N2609" s="30"/>
      <c r="O2609" s="30"/>
      <c r="P2609" s="30"/>
      <c r="Q2609" s="30"/>
      <c r="R2609" s="30"/>
      <c r="S2609" s="30"/>
      <c r="T2609" s="30"/>
      <c r="U2609" s="30"/>
      <c r="V2609" s="30"/>
      <c r="W2609" s="30"/>
      <c r="X2609" s="30"/>
    </row>
    <row r="2610" ht="15.75" customHeight="1">
      <c r="A2610" s="30" t="s">
        <v>2137</v>
      </c>
      <c r="B2610" s="128">
        <v>2015.0</v>
      </c>
      <c r="C2610" s="30" t="s">
        <v>27089</v>
      </c>
      <c r="D2610" s="30" t="s">
        <v>27090</v>
      </c>
      <c r="E2610" s="139" t="s">
        <v>27091</v>
      </c>
      <c r="F2610" s="128">
        <v>619.0</v>
      </c>
      <c r="G2610" s="128">
        <v>628.0</v>
      </c>
      <c r="H2610" s="16" t="s">
        <v>17059</v>
      </c>
      <c r="I2610" s="30" t="s">
        <v>27092</v>
      </c>
      <c r="J2610" s="130" t="s">
        <v>41756</v>
      </c>
      <c r="K2610" s="30" t="s">
        <v>5349</v>
      </c>
      <c r="L2610" s="20" t="s">
        <v>27096</v>
      </c>
      <c r="M2610" s="223" t="s">
        <v>27097</v>
      </c>
      <c r="N2610" s="30"/>
      <c r="O2610" s="30"/>
      <c r="P2610" s="30"/>
      <c r="Q2610" s="30"/>
      <c r="R2610" s="30"/>
      <c r="S2610" s="30"/>
      <c r="T2610" s="30"/>
      <c r="U2610" s="30"/>
      <c r="V2610" s="30"/>
      <c r="W2610" s="30"/>
      <c r="X2610" s="30"/>
    </row>
    <row r="2611" ht="15.75" customHeight="1">
      <c r="A2611" s="30" t="s">
        <v>2137</v>
      </c>
      <c r="B2611" s="128">
        <v>2015.0</v>
      </c>
      <c r="C2611" s="30" t="s">
        <v>27100</v>
      </c>
      <c r="D2611" s="30" t="s">
        <v>27101</v>
      </c>
      <c r="E2611" s="139" t="s">
        <v>27102</v>
      </c>
      <c r="F2611" s="128">
        <v>409.0</v>
      </c>
      <c r="G2611" s="128">
        <v>418.0</v>
      </c>
      <c r="H2611" s="16" t="s">
        <v>17059</v>
      </c>
      <c r="I2611" s="30" t="s">
        <v>27104</v>
      </c>
      <c r="J2611" s="130" t="s">
        <v>41757</v>
      </c>
      <c r="K2611" s="30" t="s">
        <v>28504</v>
      </c>
      <c r="L2611" s="20" t="s">
        <v>27107</v>
      </c>
      <c r="M2611" s="223" t="s">
        <v>27108</v>
      </c>
      <c r="N2611" s="30"/>
      <c r="O2611" s="30"/>
      <c r="P2611" s="30"/>
      <c r="Q2611" s="30"/>
      <c r="R2611" s="30"/>
      <c r="S2611" s="30"/>
      <c r="T2611" s="30"/>
      <c r="U2611" s="30"/>
      <c r="V2611" s="30"/>
      <c r="W2611" s="30"/>
      <c r="X2611" s="30"/>
    </row>
    <row r="2612" ht="15.75" customHeight="1">
      <c r="A2612" s="30" t="s">
        <v>2137</v>
      </c>
      <c r="B2612" s="128">
        <v>2015.0</v>
      </c>
      <c r="C2612" s="30" t="s">
        <v>27109</v>
      </c>
      <c r="D2612" s="30" t="s">
        <v>27110</v>
      </c>
      <c r="E2612" s="139" t="s">
        <v>27111</v>
      </c>
      <c r="F2612" s="128">
        <v>349.0</v>
      </c>
      <c r="G2612" s="128">
        <v>358.0</v>
      </c>
      <c r="H2612" s="16" t="s">
        <v>17059</v>
      </c>
      <c r="I2612" s="30" t="s">
        <v>28407</v>
      </c>
      <c r="J2612" s="130" t="s">
        <v>27113</v>
      </c>
      <c r="K2612" s="30" t="s">
        <v>5349</v>
      </c>
      <c r="L2612" s="20" t="s">
        <v>27115</v>
      </c>
      <c r="M2612" s="223" t="s">
        <v>27116</v>
      </c>
      <c r="N2612" s="30"/>
      <c r="O2612" s="30"/>
      <c r="P2612" s="30"/>
      <c r="Q2612" s="30"/>
      <c r="R2612" s="30"/>
      <c r="S2612" s="30"/>
      <c r="T2612" s="30"/>
      <c r="U2612" s="30"/>
      <c r="V2612" s="30"/>
      <c r="W2612" s="30"/>
      <c r="X2612" s="30"/>
    </row>
    <row r="2613" ht="15.75" customHeight="1">
      <c r="A2613" s="30" t="s">
        <v>2137</v>
      </c>
      <c r="B2613" s="128">
        <v>2015.0</v>
      </c>
      <c r="C2613" s="30" t="s">
        <v>27118</v>
      </c>
      <c r="D2613" s="30" t="s">
        <v>27119</v>
      </c>
      <c r="E2613" s="139" t="s">
        <v>27121</v>
      </c>
      <c r="F2613" s="128">
        <v>429.0</v>
      </c>
      <c r="G2613" s="128">
        <v>438.0</v>
      </c>
      <c r="H2613" s="16" t="s">
        <v>17059</v>
      </c>
      <c r="I2613" s="30" t="s">
        <v>27123</v>
      </c>
      <c r="J2613" s="130" t="s">
        <v>27124</v>
      </c>
      <c r="K2613" s="30" t="s">
        <v>28464</v>
      </c>
      <c r="L2613" s="20" t="s">
        <v>27126</v>
      </c>
      <c r="M2613" s="223" t="s">
        <v>27127</v>
      </c>
      <c r="N2613" s="30"/>
      <c r="O2613" s="30"/>
      <c r="P2613" s="30"/>
      <c r="Q2613" s="30"/>
      <c r="R2613" s="30"/>
      <c r="S2613" s="30"/>
      <c r="T2613" s="30"/>
      <c r="U2613" s="30"/>
      <c r="V2613" s="30"/>
      <c r="W2613" s="30"/>
      <c r="X2613" s="30"/>
    </row>
    <row r="2614" ht="15.75" customHeight="1">
      <c r="A2614" s="30" t="s">
        <v>2137</v>
      </c>
      <c r="B2614" s="128">
        <v>2015.0</v>
      </c>
      <c r="C2614" s="30" t="s">
        <v>27128</v>
      </c>
      <c r="D2614" s="30" t="s">
        <v>27129</v>
      </c>
      <c r="E2614" s="139" t="s">
        <v>27130</v>
      </c>
      <c r="F2614" s="128">
        <v>698.0</v>
      </c>
      <c r="G2614" s="128">
        <v>707.0</v>
      </c>
      <c r="H2614" s="16" t="s">
        <v>17059</v>
      </c>
      <c r="I2614" s="30" t="s">
        <v>27131</v>
      </c>
      <c r="J2614" s="130" t="s">
        <v>27132</v>
      </c>
      <c r="K2614" s="30" t="s">
        <v>178</v>
      </c>
      <c r="L2614" s="20"/>
      <c r="M2614" s="223" t="s">
        <v>27133</v>
      </c>
      <c r="N2614" s="30"/>
      <c r="O2614" s="30"/>
      <c r="P2614" s="30"/>
      <c r="Q2614" s="30"/>
      <c r="R2614" s="30"/>
      <c r="S2614" s="30"/>
      <c r="T2614" s="30"/>
      <c r="U2614" s="30"/>
      <c r="V2614" s="30"/>
      <c r="W2614" s="30"/>
      <c r="X2614" s="30"/>
    </row>
    <row r="2615" ht="15.75" customHeight="1">
      <c r="A2615" s="30" t="s">
        <v>2137</v>
      </c>
      <c r="B2615" s="128">
        <v>2015.0</v>
      </c>
      <c r="C2615" s="30" t="s">
        <v>27135</v>
      </c>
      <c r="D2615" s="30" t="s">
        <v>27136</v>
      </c>
      <c r="E2615" s="139" t="s">
        <v>27137</v>
      </c>
      <c r="F2615" s="128">
        <v>469.0</v>
      </c>
      <c r="G2615" s="128">
        <v>478.0</v>
      </c>
      <c r="H2615" s="16" t="s">
        <v>17059</v>
      </c>
      <c r="I2615" s="30" t="s">
        <v>28387</v>
      </c>
      <c r="J2615" s="130" t="s">
        <v>27139</v>
      </c>
      <c r="K2615" s="30" t="s">
        <v>178</v>
      </c>
      <c r="L2615" s="20" t="s">
        <v>25934</v>
      </c>
      <c r="M2615" s="223" t="s">
        <v>27141</v>
      </c>
      <c r="N2615" s="30"/>
      <c r="O2615" s="30"/>
      <c r="P2615" s="30"/>
      <c r="Q2615" s="30"/>
      <c r="R2615" s="30"/>
      <c r="S2615" s="30"/>
      <c r="T2615" s="30"/>
      <c r="U2615" s="30"/>
      <c r="V2615" s="30"/>
      <c r="W2615" s="30"/>
      <c r="X2615" s="30"/>
    </row>
    <row r="2616" ht="15.75" customHeight="1">
      <c r="A2616" s="30" t="s">
        <v>2137</v>
      </c>
      <c r="B2616" s="128">
        <v>2015.0</v>
      </c>
      <c r="C2616" s="30" t="s">
        <v>27142</v>
      </c>
      <c r="D2616" s="30" t="s">
        <v>27143</v>
      </c>
      <c r="E2616" s="139" t="s">
        <v>27144</v>
      </c>
      <c r="F2616" s="128">
        <v>359.0</v>
      </c>
      <c r="G2616" s="128">
        <v>368.0</v>
      </c>
      <c r="H2616" s="16" t="s">
        <v>17059</v>
      </c>
      <c r="I2616" s="30" t="s">
        <v>27147</v>
      </c>
      <c r="J2616" s="130" t="s">
        <v>27149</v>
      </c>
      <c r="K2616" s="30" t="s">
        <v>1253</v>
      </c>
      <c r="L2616" s="20" t="s">
        <v>27151</v>
      </c>
      <c r="M2616" s="223" t="s">
        <v>27152</v>
      </c>
      <c r="N2616" s="30"/>
      <c r="O2616" s="30"/>
      <c r="P2616" s="30"/>
      <c r="Q2616" s="30"/>
      <c r="R2616" s="30"/>
      <c r="S2616" s="30"/>
      <c r="T2616" s="30"/>
      <c r="U2616" s="30"/>
      <c r="V2616" s="30"/>
      <c r="W2616" s="30"/>
      <c r="X2616" s="30"/>
    </row>
    <row r="2617" ht="15.75" customHeight="1">
      <c r="A2617" s="30" t="s">
        <v>2137</v>
      </c>
      <c r="B2617" s="128">
        <v>2015.0</v>
      </c>
      <c r="C2617" s="30" t="s">
        <v>27153</v>
      </c>
      <c r="D2617" s="30" t="s">
        <v>27154</v>
      </c>
      <c r="E2617" s="139" t="s">
        <v>27155</v>
      </c>
      <c r="F2617" s="128">
        <v>629.0</v>
      </c>
      <c r="G2617" s="128">
        <v>638.0</v>
      </c>
      <c r="H2617" s="16" t="s">
        <v>17059</v>
      </c>
      <c r="I2617" s="30" t="s">
        <v>27158</v>
      </c>
      <c r="J2617" s="130" t="s">
        <v>27159</v>
      </c>
      <c r="K2617" s="30" t="s">
        <v>5349</v>
      </c>
      <c r="L2617" s="20" t="s">
        <v>27161</v>
      </c>
      <c r="M2617" s="223" t="s">
        <v>27162</v>
      </c>
      <c r="N2617" s="30"/>
      <c r="O2617" s="30"/>
      <c r="P2617" s="30"/>
      <c r="Q2617" s="30"/>
      <c r="R2617" s="30"/>
      <c r="S2617" s="30"/>
      <c r="T2617" s="30"/>
      <c r="U2617" s="30"/>
      <c r="V2617" s="30"/>
      <c r="W2617" s="30"/>
      <c r="X2617" s="30"/>
    </row>
    <row r="2618" ht="15.75" customHeight="1">
      <c r="A2618" s="30" t="s">
        <v>2137</v>
      </c>
      <c r="B2618" s="128">
        <v>2015.0</v>
      </c>
      <c r="C2618" s="30" t="s">
        <v>27163</v>
      </c>
      <c r="D2618" s="30" t="s">
        <v>27164</v>
      </c>
      <c r="E2618" s="139" t="s">
        <v>27165</v>
      </c>
      <c r="F2618" s="128">
        <v>519.0</v>
      </c>
      <c r="G2618" s="128">
        <v>528.0</v>
      </c>
      <c r="H2618" s="16" t="s">
        <v>17059</v>
      </c>
      <c r="I2618" s="30" t="s">
        <v>28372</v>
      </c>
      <c r="J2618" s="130" t="s">
        <v>27167</v>
      </c>
      <c r="K2618" s="30" t="s">
        <v>23953</v>
      </c>
      <c r="L2618" s="20" t="s">
        <v>27171</v>
      </c>
      <c r="M2618" s="223" t="s">
        <v>27172</v>
      </c>
      <c r="N2618" s="30"/>
      <c r="O2618" s="30"/>
      <c r="P2618" s="30"/>
      <c r="Q2618" s="30"/>
      <c r="R2618" s="30"/>
      <c r="S2618" s="30"/>
      <c r="T2618" s="30"/>
      <c r="U2618" s="30"/>
      <c r="V2618" s="30"/>
      <c r="W2618" s="30"/>
      <c r="X2618" s="30"/>
    </row>
    <row r="2619" ht="15.75" customHeight="1">
      <c r="A2619" s="30" t="s">
        <v>2137</v>
      </c>
      <c r="B2619" s="128">
        <v>2015.0</v>
      </c>
      <c r="C2619" s="30" t="s">
        <v>27174</v>
      </c>
      <c r="D2619" s="30" t="s">
        <v>27175</v>
      </c>
      <c r="E2619" s="139" t="s">
        <v>27176</v>
      </c>
      <c r="F2619" s="128">
        <v>549.0</v>
      </c>
      <c r="G2619" s="128">
        <v>558.0</v>
      </c>
      <c r="H2619" s="16" t="s">
        <v>17059</v>
      </c>
      <c r="I2619" s="30" t="s">
        <v>27180</v>
      </c>
      <c r="J2619" s="130" t="s">
        <v>27181</v>
      </c>
      <c r="K2619" s="30" t="s">
        <v>494</v>
      </c>
      <c r="L2619" s="20" t="s">
        <v>27183</v>
      </c>
      <c r="M2619" s="223" t="s">
        <v>27184</v>
      </c>
      <c r="N2619" s="30"/>
      <c r="O2619" s="30"/>
      <c r="P2619" s="30"/>
      <c r="Q2619" s="30"/>
      <c r="R2619" s="30"/>
      <c r="S2619" s="30"/>
      <c r="T2619" s="30"/>
      <c r="U2619" s="30"/>
      <c r="V2619" s="30"/>
      <c r="W2619" s="30"/>
      <c r="X2619" s="30"/>
    </row>
    <row r="2620" ht="15.75" customHeight="1">
      <c r="A2620" s="30" t="s">
        <v>2137</v>
      </c>
      <c r="B2620" s="128">
        <v>2015.0</v>
      </c>
      <c r="C2620" s="30" t="s">
        <v>27185</v>
      </c>
      <c r="D2620" s="30" t="s">
        <v>27186</v>
      </c>
      <c r="E2620" s="139" t="s">
        <v>27187</v>
      </c>
      <c r="F2620" s="128">
        <v>539.0</v>
      </c>
      <c r="G2620" s="128">
        <v>548.0</v>
      </c>
      <c r="H2620" s="16" t="s">
        <v>17059</v>
      </c>
      <c r="I2620" s="30" t="s">
        <v>27188</v>
      </c>
      <c r="J2620" s="130" t="s">
        <v>27189</v>
      </c>
      <c r="K2620" s="30" t="s">
        <v>5349</v>
      </c>
      <c r="L2620" s="20" t="s">
        <v>27191</v>
      </c>
      <c r="M2620" s="223" t="s">
        <v>27192</v>
      </c>
      <c r="N2620" s="30"/>
      <c r="O2620" s="30"/>
      <c r="P2620" s="30"/>
      <c r="Q2620" s="30"/>
      <c r="R2620" s="30"/>
      <c r="S2620" s="30"/>
      <c r="T2620" s="30"/>
      <c r="U2620" s="30"/>
      <c r="V2620" s="30"/>
      <c r="W2620" s="30"/>
      <c r="X2620" s="30"/>
    </row>
    <row r="2621" ht="15.75" customHeight="1">
      <c r="A2621" s="30" t="s">
        <v>2137</v>
      </c>
      <c r="B2621" s="128">
        <v>2015.0</v>
      </c>
      <c r="C2621" s="30" t="s">
        <v>27193</v>
      </c>
      <c r="D2621" s="30" t="s">
        <v>27194</v>
      </c>
      <c r="E2621" s="139" t="s">
        <v>27195</v>
      </c>
      <c r="F2621" s="128">
        <v>389.0</v>
      </c>
      <c r="G2621" s="128">
        <v>398.0</v>
      </c>
      <c r="H2621" s="16" t="s">
        <v>17059</v>
      </c>
      <c r="I2621" s="30" t="s">
        <v>27197</v>
      </c>
      <c r="J2621" s="130" t="s">
        <v>27198</v>
      </c>
      <c r="K2621" s="30" t="s">
        <v>178</v>
      </c>
      <c r="L2621" s="20" t="s">
        <v>27200</v>
      </c>
      <c r="M2621" s="223" t="s">
        <v>27201</v>
      </c>
      <c r="N2621" s="30"/>
      <c r="O2621" s="30"/>
      <c r="P2621" s="30"/>
      <c r="Q2621" s="30"/>
      <c r="R2621" s="30"/>
      <c r="S2621" s="30"/>
      <c r="T2621" s="30"/>
      <c r="U2621" s="30"/>
      <c r="V2621" s="30"/>
      <c r="W2621" s="30"/>
      <c r="X2621" s="30"/>
    </row>
    <row r="2622" ht="15.75" customHeight="1">
      <c r="A2622" s="30" t="s">
        <v>2137</v>
      </c>
      <c r="B2622" s="128">
        <v>2015.0</v>
      </c>
      <c r="C2622" s="30" t="s">
        <v>27202</v>
      </c>
      <c r="D2622" s="30" t="s">
        <v>27203</v>
      </c>
      <c r="E2622" s="139" t="s">
        <v>27204</v>
      </c>
      <c r="F2622" s="128">
        <v>529.0</v>
      </c>
      <c r="G2622" s="128">
        <v>538.0</v>
      </c>
      <c r="H2622" s="16" t="s">
        <v>17059</v>
      </c>
      <c r="I2622" s="30" t="s">
        <v>27205</v>
      </c>
      <c r="J2622" s="130" t="s">
        <v>27206</v>
      </c>
      <c r="K2622" s="30" t="s">
        <v>23953</v>
      </c>
      <c r="L2622" s="20" t="s">
        <v>27209</v>
      </c>
      <c r="M2622" s="223" t="s">
        <v>27210</v>
      </c>
      <c r="N2622" s="30"/>
      <c r="O2622" s="30"/>
      <c r="P2622" s="30"/>
      <c r="Q2622" s="30"/>
      <c r="R2622" s="30"/>
      <c r="S2622" s="30"/>
      <c r="T2622" s="30"/>
      <c r="U2622" s="30"/>
      <c r="V2622" s="30"/>
      <c r="W2622" s="30"/>
      <c r="X2622" s="30"/>
    </row>
    <row r="2623" ht="15.75" customHeight="1">
      <c r="A2623" s="30" t="s">
        <v>2137</v>
      </c>
      <c r="B2623" s="128">
        <v>2015.0</v>
      </c>
      <c r="C2623" s="30" t="s">
        <v>27211</v>
      </c>
      <c r="D2623" s="30" t="s">
        <v>27212</v>
      </c>
      <c r="E2623" s="139" t="s">
        <v>27213</v>
      </c>
      <c r="F2623" s="128">
        <v>489.0</v>
      </c>
      <c r="G2623" s="128">
        <v>498.0</v>
      </c>
      <c r="H2623" s="16" t="s">
        <v>17059</v>
      </c>
      <c r="I2623" s="30" t="s">
        <v>27216</v>
      </c>
      <c r="J2623" s="130" t="s">
        <v>27217</v>
      </c>
      <c r="K2623" s="30" t="s">
        <v>880</v>
      </c>
      <c r="L2623" s="20" t="s">
        <v>27220</v>
      </c>
      <c r="M2623" s="223" t="s">
        <v>27221</v>
      </c>
      <c r="N2623" s="30"/>
      <c r="O2623" s="30"/>
      <c r="P2623" s="30"/>
      <c r="Q2623" s="30"/>
      <c r="R2623" s="30"/>
      <c r="S2623" s="30"/>
      <c r="T2623" s="30"/>
      <c r="U2623" s="30"/>
      <c r="V2623" s="30"/>
      <c r="W2623" s="30"/>
      <c r="X2623" s="30"/>
    </row>
    <row r="2624" ht="15.75" customHeight="1">
      <c r="A2624" s="30" t="s">
        <v>2137</v>
      </c>
      <c r="B2624" s="128">
        <v>2015.0</v>
      </c>
      <c r="C2624" s="30" t="s">
        <v>27222</v>
      </c>
      <c r="D2624" s="30" t="s">
        <v>27223</v>
      </c>
      <c r="E2624" s="139" t="s">
        <v>27224</v>
      </c>
      <c r="F2624" s="128">
        <v>439.0</v>
      </c>
      <c r="G2624" s="128">
        <v>448.0</v>
      </c>
      <c r="H2624" s="16" t="s">
        <v>17059</v>
      </c>
      <c r="I2624" s="30" t="s">
        <v>27225</v>
      </c>
      <c r="J2624" s="130" t="s">
        <v>27226</v>
      </c>
      <c r="K2624" s="30" t="s">
        <v>5349</v>
      </c>
      <c r="L2624" s="20" t="s">
        <v>27229</v>
      </c>
      <c r="M2624" s="223" t="s">
        <v>27230</v>
      </c>
      <c r="N2624" s="30"/>
      <c r="O2624" s="30"/>
      <c r="P2624" s="30"/>
      <c r="Q2624" s="30"/>
      <c r="R2624" s="30"/>
      <c r="S2624" s="30"/>
      <c r="T2624" s="30"/>
      <c r="U2624" s="30"/>
      <c r="V2624" s="30"/>
      <c r="W2624" s="30"/>
      <c r="X2624" s="30"/>
    </row>
    <row r="2625" ht="15.75" customHeight="1">
      <c r="A2625" s="30" t="s">
        <v>2137</v>
      </c>
      <c r="B2625" s="128">
        <v>2015.0</v>
      </c>
      <c r="C2625" s="30" t="s">
        <v>27232</v>
      </c>
      <c r="D2625" s="30" t="s">
        <v>27233</v>
      </c>
      <c r="E2625" s="139" t="s">
        <v>27234</v>
      </c>
      <c r="F2625" s="128">
        <v>369.0</v>
      </c>
      <c r="G2625" s="128">
        <v>378.0</v>
      </c>
      <c r="H2625" s="16" t="s">
        <v>17059</v>
      </c>
      <c r="I2625" s="30" t="s">
        <v>27236</v>
      </c>
      <c r="J2625" s="130" t="s">
        <v>41758</v>
      </c>
      <c r="K2625" s="30" t="s">
        <v>5349</v>
      </c>
      <c r="L2625" s="20" t="s">
        <v>27239</v>
      </c>
      <c r="M2625" s="223" t="s">
        <v>27240</v>
      </c>
      <c r="N2625" s="30"/>
      <c r="O2625" s="30"/>
      <c r="P2625" s="30"/>
      <c r="Q2625" s="30"/>
      <c r="R2625" s="30"/>
      <c r="S2625" s="30"/>
      <c r="T2625" s="30"/>
      <c r="U2625" s="30"/>
      <c r="V2625" s="30"/>
      <c r="W2625" s="30"/>
      <c r="X2625" s="30"/>
    </row>
    <row r="2626" ht="15.75" customHeight="1">
      <c r="A2626" s="30" t="s">
        <v>2137</v>
      </c>
      <c r="B2626" s="128">
        <v>2015.0</v>
      </c>
      <c r="C2626" s="30" t="s">
        <v>27241</v>
      </c>
      <c r="D2626" s="30" t="s">
        <v>27242</v>
      </c>
      <c r="E2626" s="139" t="s">
        <v>27243</v>
      </c>
      <c r="F2626" s="128">
        <v>559.0</v>
      </c>
      <c r="G2626" s="128">
        <v>568.0</v>
      </c>
      <c r="H2626" s="16" t="s">
        <v>17059</v>
      </c>
      <c r="I2626" s="30" t="s">
        <v>27245</v>
      </c>
      <c r="J2626" s="130" t="s">
        <v>27246</v>
      </c>
      <c r="K2626" s="30" t="s">
        <v>28489</v>
      </c>
      <c r="L2626" s="20" t="s">
        <v>27249</v>
      </c>
      <c r="M2626" s="223" t="s">
        <v>27250</v>
      </c>
      <c r="N2626" s="30"/>
      <c r="O2626" s="30"/>
      <c r="P2626" s="30"/>
      <c r="Q2626" s="30"/>
      <c r="R2626" s="30"/>
      <c r="S2626" s="30"/>
      <c r="T2626" s="30"/>
      <c r="U2626" s="30"/>
      <c r="V2626" s="30"/>
      <c r="W2626" s="30"/>
      <c r="X2626" s="30"/>
    </row>
    <row r="2627" ht="15.75" customHeight="1">
      <c r="A2627" s="30" t="s">
        <v>2137</v>
      </c>
      <c r="B2627" s="128">
        <v>2015.0</v>
      </c>
      <c r="C2627" s="30" t="s">
        <v>27251</v>
      </c>
      <c r="D2627" s="30" t="s">
        <v>27252</v>
      </c>
      <c r="E2627" s="139" t="s">
        <v>27253</v>
      </c>
      <c r="F2627" s="128">
        <v>589.0</v>
      </c>
      <c r="G2627" s="128">
        <v>598.0</v>
      </c>
      <c r="H2627" s="16" t="s">
        <v>17059</v>
      </c>
      <c r="I2627" s="30" t="s">
        <v>27254</v>
      </c>
      <c r="J2627" s="130" t="s">
        <v>27256</v>
      </c>
      <c r="K2627" s="30" t="s">
        <v>880</v>
      </c>
      <c r="L2627" s="20" t="s">
        <v>27259</v>
      </c>
      <c r="M2627" s="223" t="s">
        <v>27260</v>
      </c>
      <c r="N2627" s="30"/>
      <c r="O2627" s="30"/>
      <c r="P2627" s="30"/>
      <c r="Q2627" s="30"/>
      <c r="R2627" s="30"/>
      <c r="S2627" s="30"/>
      <c r="T2627" s="30"/>
      <c r="U2627" s="30"/>
      <c r="V2627" s="30"/>
      <c r="W2627" s="30"/>
      <c r="X2627" s="30"/>
    </row>
    <row r="2628" ht="15.75" customHeight="1">
      <c r="A2628" s="30" t="s">
        <v>2137</v>
      </c>
      <c r="B2628" s="128">
        <v>2015.0</v>
      </c>
      <c r="C2628" s="30" t="s">
        <v>27261</v>
      </c>
      <c r="D2628" s="30" t="s">
        <v>27262</v>
      </c>
      <c r="E2628" s="139" t="s">
        <v>27263</v>
      </c>
      <c r="F2628" s="128">
        <v>399.0</v>
      </c>
      <c r="G2628" s="128">
        <v>408.0</v>
      </c>
      <c r="H2628" s="16" t="s">
        <v>17059</v>
      </c>
      <c r="I2628" s="30" t="s">
        <v>27264</v>
      </c>
      <c r="J2628" s="130" t="s">
        <v>27265</v>
      </c>
      <c r="K2628" s="30" t="s">
        <v>1253</v>
      </c>
      <c r="L2628" s="20" t="s">
        <v>27267</v>
      </c>
      <c r="M2628" s="223" t="s">
        <v>27268</v>
      </c>
      <c r="N2628" s="30"/>
      <c r="O2628" s="30"/>
      <c r="P2628" s="30"/>
      <c r="Q2628" s="30"/>
      <c r="R2628" s="30"/>
      <c r="S2628" s="30"/>
      <c r="T2628" s="30"/>
      <c r="U2628" s="30"/>
      <c r="V2628" s="30"/>
      <c r="W2628" s="30"/>
      <c r="X2628" s="30"/>
    </row>
    <row r="2629" ht="15.75" customHeight="1">
      <c r="A2629" s="30" t="s">
        <v>2137</v>
      </c>
      <c r="B2629" s="128">
        <v>2015.0</v>
      </c>
      <c r="C2629" s="30" t="s">
        <v>27269</v>
      </c>
      <c r="D2629" s="30" t="s">
        <v>27270</v>
      </c>
      <c r="E2629" s="139" t="s">
        <v>27271</v>
      </c>
      <c r="F2629" s="128">
        <v>479.0</v>
      </c>
      <c r="G2629" s="128">
        <v>488.0</v>
      </c>
      <c r="H2629" s="16" t="s">
        <v>17059</v>
      </c>
      <c r="I2629" s="30" t="s">
        <v>28322</v>
      </c>
      <c r="J2629" s="130" t="s">
        <v>27276</v>
      </c>
      <c r="K2629" s="30" t="s">
        <v>28186</v>
      </c>
      <c r="L2629" s="20" t="s">
        <v>27277</v>
      </c>
      <c r="M2629" s="223" t="s">
        <v>27278</v>
      </c>
      <c r="N2629" s="30"/>
      <c r="O2629" s="30"/>
      <c r="P2629" s="30"/>
      <c r="Q2629" s="30"/>
      <c r="R2629" s="30"/>
      <c r="S2629" s="30"/>
      <c r="T2629" s="30"/>
      <c r="U2629" s="30"/>
      <c r="V2629" s="30"/>
      <c r="W2629" s="30"/>
      <c r="X2629" s="30"/>
    </row>
    <row r="2630" ht="15.75" customHeight="1">
      <c r="A2630" s="30" t="s">
        <v>2137</v>
      </c>
      <c r="B2630" s="128">
        <v>2015.0</v>
      </c>
      <c r="C2630" s="30" t="s">
        <v>27279</v>
      </c>
      <c r="D2630" s="30" t="s">
        <v>27280</v>
      </c>
      <c r="E2630" s="139" t="s">
        <v>27281</v>
      </c>
      <c r="F2630" s="128">
        <v>678.0</v>
      </c>
      <c r="G2630" s="128">
        <v>687.0</v>
      </c>
      <c r="H2630" s="16" t="s">
        <v>17059</v>
      </c>
      <c r="I2630" s="30" t="s">
        <v>27282</v>
      </c>
      <c r="J2630" s="130" t="s">
        <v>41759</v>
      </c>
      <c r="K2630" s="30" t="s">
        <v>494</v>
      </c>
      <c r="L2630" s="20" t="s">
        <v>27287</v>
      </c>
      <c r="M2630" s="223" t="s">
        <v>27288</v>
      </c>
      <c r="N2630" s="30"/>
      <c r="O2630" s="30"/>
      <c r="P2630" s="30"/>
      <c r="Q2630" s="30"/>
      <c r="R2630" s="30"/>
      <c r="S2630" s="30"/>
      <c r="T2630" s="30"/>
      <c r="U2630" s="30"/>
      <c r="V2630" s="30"/>
      <c r="W2630" s="30"/>
      <c r="X2630" s="30"/>
    </row>
    <row r="2631" ht="15.75" customHeight="1">
      <c r="A2631" s="30" t="s">
        <v>2137</v>
      </c>
      <c r="B2631" s="128">
        <v>2015.0</v>
      </c>
      <c r="C2631" s="30" t="s">
        <v>27289</v>
      </c>
      <c r="D2631" s="30" t="s">
        <v>27290</v>
      </c>
      <c r="E2631" s="139" t="s">
        <v>27292</v>
      </c>
      <c r="F2631" s="128">
        <v>459.0</v>
      </c>
      <c r="G2631" s="128">
        <v>468.0</v>
      </c>
      <c r="H2631" s="16" t="s">
        <v>17059</v>
      </c>
      <c r="I2631" s="30" t="s">
        <v>27293</v>
      </c>
      <c r="J2631" s="130" t="s">
        <v>27294</v>
      </c>
      <c r="K2631" s="30" t="s">
        <v>178</v>
      </c>
      <c r="L2631" s="20" t="s">
        <v>27296</v>
      </c>
      <c r="M2631" s="223" t="s">
        <v>27297</v>
      </c>
      <c r="N2631" s="30"/>
      <c r="O2631" s="30"/>
      <c r="P2631" s="30"/>
      <c r="Q2631" s="30"/>
      <c r="R2631" s="30"/>
      <c r="S2631" s="30"/>
      <c r="T2631" s="30"/>
      <c r="U2631" s="30"/>
      <c r="V2631" s="30"/>
      <c r="W2631" s="30"/>
      <c r="X2631" s="30"/>
    </row>
    <row r="2632" ht="15.75" customHeight="1">
      <c r="A2632" s="30" t="s">
        <v>4153</v>
      </c>
      <c r="B2632" s="128">
        <v>2015.0</v>
      </c>
      <c r="C2632" s="16" t="s">
        <v>27298</v>
      </c>
      <c r="D2632" s="130" t="s">
        <v>27299</v>
      </c>
      <c r="E2632" s="145" t="s">
        <v>27301</v>
      </c>
      <c r="F2632" s="132">
        <v>1.0</v>
      </c>
      <c r="G2632" s="132">
        <v>8.0</v>
      </c>
      <c r="H2632" s="16" t="s">
        <v>28</v>
      </c>
      <c r="I2632" s="130" t="s">
        <v>27304</v>
      </c>
      <c r="J2632" s="16" t="s">
        <v>27305</v>
      </c>
      <c r="K2632" s="130" t="s">
        <v>28594</v>
      </c>
      <c r="L2632" s="20" t="s">
        <v>27307</v>
      </c>
      <c r="M2632" s="223" t="s">
        <v>27308</v>
      </c>
      <c r="N2632" s="30"/>
      <c r="O2632" s="30"/>
      <c r="P2632" s="30"/>
      <c r="Q2632" s="30"/>
      <c r="R2632" s="30"/>
      <c r="S2632" s="30"/>
      <c r="T2632" s="30"/>
      <c r="U2632" s="30"/>
      <c r="V2632" s="30"/>
      <c r="W2632" s="30"/>
      <c r="X2632" s="30"/>
    </row>
    <row r="2633" ht="15.75" customHeight="1">
      <c r="A2633" s="30" t="s">
        <v>4153</v>
      </c>
      <c r="B2633" s="128">
        <v>2015.0</v>
      </c>
      <c r="C2633" s="16" t="s">
        <v>27309</v>
      </c>
      <c r="D2633" s="130" t="s">
        <v>27310</v>
      </c>
      <c r="E2633" s="145" t="s">
        <v>27311</v>
      </c>
      <c r="F2633" s="132">
        <v>9.0</v>
      </c>
      <c r="G2633" s="132">
        <v>16.0</v>
      </c>
      <c r="H2633" s="16" t="s">
        <v>28</v>
      </c>
      <c r="I2633" s="130" t="s">
        <v>27314</v>
      </c>
      <c r="J2633" s="130" t="s">
        <v>27315</v>
      </c>
      <c r="K2633" s="130" t="s">
        <v>29050</v>
      </c>
      <c r="L2633" s="20" t="s">
        <v>27318</v>
      </c>
      <c r="M2633" s="223" t="s">
        <v>27319</v>
      </c>
      <c r="N2633" s="30"/>
      <c r="O2633" s="30"/>
      <c r="P2633" s="30"/>
      <c r="Q2633" s="30"/>
      <c r="R2633" s="30"/>
      <c r="S2633" s="30"/>
      <c r="T2633" s="30"/>
      <c r="U2633" s="30"/>
      <c r="V2633" s="30"/>
      <c r="W2633" s="30"/>
      <c r="X2633" s="30"/>
    </row>
    <row r="2634" ht="15.75" customHeight="1">
      <c r="A2634" s="30" t="s">
        <v>4153</v>
      </c>
      <c r="B2634" s="128">
        <v>2015.0</v>
      </c>
      <c r="C2634" s="16" t="s">
        <v>27320</v>
      </c>
      <c r="D2634" s="130" t="s">
        <v>27321</v>
      </c>
      <c r="E2634" s="145" t="s">
        <v>27322</v>
      </c>
      <c r="F2634" s="132">
        <v>17.0</v>
      </c>
      <c r="G2634" s="132">
        <v>24.0</v>
      </c>
      <c r="H2634" s="16" t="s">
        <v>28</v>
      </c>
      <c r="I2634" s="130" t="s">
        <v>27324</v>
      </c>
      <c r="J2634" s="130" t="s">
        <v>27325</v>
      </c>
      <c r="K2634" s="130" t="s">
        <v>29061</v>
      </c>
      <c r="L2634" s="20" t="s">
        <v>27327</v>
      </c>
      <c r="M2634" s="223" t="s">
        <v>27328</v>
      </c>
      <c r="N2634" s="30"/>
      <c r="O2634" s="30"/>
      <c r="P2634" s="30"/>
      <c r="Q2634" s="30"/>
      <c r="R2634" s="30"/>
      <c r="S2634" s="30"/>
      <c r="T2634" s="30"/>
      <c r="U2634" s="30"/>
      <c r="V2634" s="30"/>
      <c r="W2634" s="30"/>
      <c r="X2634" s="30"/>
    </row>
    <row r="2635" ht="15.75" customHeight="1">
      <c r="A2635" s="30" t="s">
        <v>4153</v>
      </c>
      <c r="B2635" s="128">
        <v>2015.0</v>
      </c>
      <c r="C2635" s="16" t="s">
        <v>27329</v>
      </c>
      <c r="D2635" s="130" t="s">
        <v>27330</v>
      </c>
      <c r="E2635" s="145" t="s">
        <v>27331</v>
      </c>
      <c r="F2635" s="132">
        <v>25.0</v>
      </c>
      <c r="G2635" s="132">
        <v>32.0</v>
      </c>
      <c r="H2635" s="16" t="s">
        <v>28</v>
      </c>
      <c r="I2635" s="130" t="s">
        <v>27332</v>
      </c>
      <c r="J2635" s="130" t="s">
        <v>27334</v>
      </c>
      <c r="K2635" s="130" t="s">
        <v>28610</v>
      </c>
      <c r="L2635" s="20" t="s">
        <v>27336</v>
      </c>
      <c r="M2635" s="223" t="s">
        <v>27337</v>
      </c>
      <c r="N2635" s="30"/>
      <c r="O2635" s="30"/>
      <c r="P2635" s="30"/>
      <c r="Q2635" s="30"/>
      <c r="R2635" s="30"/>
      <c r="S2635" s="30"/>
      <c r="T2635" s="30"/>
      <c r="U2635" s="30"/>
      <c r="V2635" s="30"/>
      <c r="W2635" s="30"/>
      <c r="X2635" s="30"/>
    </row>
    <row r="2636" ht="15.75" customHeight="1">
      <c r="A2636" s="30" t="s">
        <v>4153</v>
      </c>
      <c r="B2636" s="128">
        <v>2015.0</v>
      </c>
      <c r="C2636" s="16" t="s">
        <v>27338</v>
      </c>
      <c r="D2636" s="130" t="s">
        <v>27339</v>
      </c>
      <c r="E2636" s="145" t="s">
        <v>27340</v>
      </c>
      <c r="F2636" s="132">
        <v>33.0</v>
      </c>
      <c r="G2636" s="132">
        <v>40.0</v>
      </c>
      <c r="H2636" s="16" t="s">
        <v>28</v>
      </c>
      <c r="I2636" s="130" t="s">
        <v>27342</v>
      </c>
      <c r="J2636" s="130" t="s">
        <v>27343</v>
      </c>
      <c r="K2636" s="130" t="s">
        <v>880</v>
      </c>
      <c r="L2636" s="20" t="s">
        <v>27345</v>
      </c>
      <c r="M2636" s="223" t="s">
        <v>27346</v>
      </c>
      <c r="N2636" s="30"/>
      <c r="O2636" s="30"/>
      <c r="P2636" s="30"/>
      <c r="Q2636" s="30"/>
      <c r="R2636" s="30"/>
      <c r="S2636" s="30"/>
      <c r="T2636" s="30"/>
      <c r="U2636" s="30"/>
      <c r="V2636" s="30"/>
      <c r="W2636" s="30"/>
      <c r="X2636" s="30"/>
    </row>
    <row r="2637" ht="15.75" customHeight="1">
      <c r="A2637" s="30" t="s">
        <v>4153</v>
      </c>
      <c r="B2637" s="128">
        <v>2015.0</v>
      </c>
      <c r="C2637" s="16" t="s">
        <v>27347</v>
      </c>
      <c r="D2637" s="130" t="s">
        <v>27348</v>
      </c>
      <c r="E2637" s="145" t="s">
        <v>27349</v>
      </c>
      <c r="F2637" s="132">
        <v>41.0</v>
      </c>
      <c r="G2637" s="132">
        <v>48.0</v>
      </c>
      <c r="H2637" s="16" t="s">
        <v>28</v>
      </c>
      <c r="I2637" s="130" t="s">
        <v>27352</v>
      </c>
      <c r="J2637" s="130" t="s">
        <v>27353</v>
      </c>
      <c r="K2637" s="130" t="s">
        <v>28816</v>
      </c>
      <c r="L2637" s="20" t="s">
        <v>27356</v>
      </c>
      <c r="M2637" s="223" t="s">
        <v>27357</v>
      </c>
      <c r="N2637" s="30"/>
      <c r="O2637" s="30"/>
      <c r="P2637" s="30"/>
      <c r="Q2637" s="30"/>
      <c r="R2637" s="30"/>
      <c r="S2637" s="30"/>
      <c r="T2637" s="30"/>
      <c r="U2637" s="30"/>
      <c r="V2637" s="30"/>
      <c r="W2637" s="30"/>
      <c r="X2637" s="30"/>
    </row>
    <row r="2638" ht="15.75" customHeight="1">
      <c r="A2638" s="30" t="s">
        <v>4153</v>
      </c>
      <c r="B2638" s="128">
        <v>2015.0</v>
      </c>
      <c r="C2638" s="16" t="s">
        <v>27358</v>
      </c>
      <c r="D2638" s="130" t="s">
        <v>27359</v>
      </c>
      <c r="E2638" s="145" t="s">
        <v>27360</v>
      </c>
      <c r="F2638" s="132">
        <v>49.0</v>
      </c>
      <c r="G2638" s="132">
        <v>56.0</v>
      </c>
      <c r="H2638" s="16" t="s">
        <v>28</v>
      </c>
      <c r="I2638" s="130" t="s">
        <v>27361</v>
      </c>
      <c r="J2638" s="130" t="s">
        <v>27362</v>
      </c>
      <c r="K2638" s="130" t="s">
        <v>28832</v>
      </c>
      <c r="L2638" s="20" t="s">
        <v>27364</v>
      </c>
      <c r="M2638" s="223" t="s">
        <v>27365</v>
      </c>
      <c r="N2638" s="30"/>
      <c r="O2638" s="30"/>
      <c r="P2638" s="30"/>
      <c r="Q2638" s="30"/>
      <c r="R2638" s="30"/>
      <c r="S2638" s="30"/>
      <c r="T2638" s="30"/>
      <c r="U2638" s="30"/>
      <c r="V2638" s="30"/>
      <c r="W2638" s="30"/>
      <c r="X2638" s="30"/>
    </row>
    <row r="2639" ht="15.75" customHeight="1">
      <c r="A2639" s="30" t="s">
        <v>4153</v>
      </c>
      <c r="B2639" s="128">
        <v>2015.0</v>
      </c>
      <c r="C2639" s="16" t="s">
        <v>27367</v>
      </c>
      <c r="D2639" s="130" t="s">
        <v>27368</v>
      </c>
      <c r="E2639" s="145" t="s">
        <v>27369</v>
      </c>
      <c r="F2639" s="132">
        <v>57.0</v>
      </c>
      <c r="G2639" s="132">
        <v>64.0</v>
      </c>
      <c r="H2639" s="16" t="s">
        <v>28</v>
      </c>
      <c r="I2639" s="130" t="s">
        <v>27371</v>
      </c>
      <c r="J2639" s="130" t="s">
        <v>27372</v>
      </c>
      <c r="K2639" s="130" t="s">
        <v>28779</v>
      </c>
      <c r="L2639" s="20" t="s">
        <v>27374</v>
      </c>
      <c r="M2639" s="223" t="s">
        <v>27375</v>
      </c>
      <c r="N2639" s="30"/>
      <c r="O2639" s="30"/>
      <c r="P2639" s="30"/>
      <c r="Q2639" s="30"/>
      <c r="R2639" s="30"/>
      <c r="S2639" s="30"/>
      <c r="T2639" s="30"/>
      <c r="U2639" s="30"/>
      <c r="V2639" s="30"/>
      <c r="W2639" s="30"/>
      <c r="X2639" s="30"/>
    </row>
    <row r="2640" ht="15.75" customHeight="1">
      <c r="A2640" s="30" t="s">
        <v>4153</v>
      </c>
      <c r="B2640" s="128">
        <v>2015.0</v>
      </c>
      <c r="C2640" s="16" t="s">
        <v>27376</v>
      </c>
      <c r="D2640" s="130" t="s">
        <v>27377</v>
      </c>
      <c r="E2640" s="145" t="s">
        <v>27378</v>
      </c>
      <c r="F2640" s="132">
        <v>65.0</v>
      </c>
      <c r="G2640" s="132">
        <v>72.0</v>
      </c>
      <c r="H2640" s="16" t="s">
        <v>28</v>
      </c>
      <c r="I2640" s="130" t="s">
        <v>27379</v>
      </c>
      <c r="J2640" s="130" t="s">
        <v>27381</v>
      </c>
      <c r="K2640" s="130" t="s">
        <v>28728</v>
      </c>
      <c r="L2640" s="20" t="s">
        <v>27384</v>
      </c>
      <c r="M2640" s="16"/>
      <c r="N2640" s="30"/>
      <c r="O2640" s="30"/>
      <c r="P2640" s="30"/>
      <c r="Q2640" s="30"/>
      <c r="R2640" s="30"/>
      <c r="S2640" s="30"/>
      <c r="T2640" s="30"/>
      <c r="U2640" s="30"/>
      <c r="V2640" s="30"/>
      <c r="W2640" s="30"/>
      <c r="X2640" s="30"/>
    </row>
    <row r="2641" ht="15.75" customHeight="1">
      <c r="A2641" s="30" t="s">
        <v>4153</v>
      </c>
      <c r="B2641" s="128">
        <v>2015.0</v>
      </c>
      <c r="C2641" s="130" t="s">
        <v>27385</v>
      </c>
      <c r="D2641" s="130" t="s">
        <v>27386</v>
      </c>
      <c r="E2641" s="145" t="s">
        <v>27387</v>
      </c>
      <c r="F2641" s="132">
        <v>139.0</v>
      </c>
      <c r="G2641" s="132">
        <v>140.0</v>
      </c>
      <c r="H2641" s="16" t="s">
        <v>21</v>
      </c>
      <c r="I2641" s="130" t="s">
        <v>27389</v>
      </c>
      <c r="J2641" s="130" t="s">
        <v>27390</v>
      </c>
      <c r="K2641" s="130" t="s">
        <v>28777</v>
      </c>
      <c r="L2641" s="20"/>
      <c r="M2641" s="16"/>
      <c r="N2641" s="30"/>
      <c r="O2641" s="30"/>
      <c r="P2641" s="30"/>
      <c r="Q2641" s="30"/>
      <c r="R2641" s="30"/>
      <c r="S2641" s="30"/>
      <c r="T2641" s="30"/>
      <c r="U2641" s="30"/>
      <c r="V2641" s="30"/>
      <c r="W2641" s="30"/>
      <c r="X2641" s="30"/>
    </row>
    <row r="2642" ht="15.75" customHeight="1">
      <c r="A2642" s="30" t="s">
        <v>4153</v>
      </c>
      <c r="B2642" s="128">
        <v>2015.0</v>
      </c>
      <c r="C2642" s="130" t="s">
        <v>27392</v>
      </c>
      <c r="D2642" s="130" t="s">
        <v>27393</v>
      </c>
      <c r="E2642" s="145" t="s">
        <v>27394</v>
      </c>
      <c r="F2642" s="132">
        <v>141.0</v>
      </c>
      <c r="G2642" s="132">
        <v>142.0</v>
      </c>
      <c r="H2642" s="16" t="s">
        <v>21</v>
      </c>
      <c r="I2642" s="130" t="s">
        <v>27396</v>
      </c>
      <c r="J2642" s="130" t="s">
        <v>27397</v>
      </c>
      <c r="K2642" s="130" t="s">
        <v>28969</v>
      </c>
      <c r="L2642" s="20"/>
      <c r="M2642" s="16"/>
      <c r="N2642" s="30"/>
      <c r="O2642" s="30"/>
      <c r="P2642" s="30"/>
      <c r="Q2642" s="30"/>
      <c r="R2642" s="30"/>
      <c r="S2642" s="30"/>
      <c r="T2642" s="30"/>
      <c r="U2642" s="30"/>
      <c r="V2642" s="30"/>
      <c r="W2642" s="30"/>
      <c r="X2642" s="30"/>
    </row>
    <row r="2643" ht="15.75" customHeight="1">
      <c r="A2643" s="30" t="s">
        <v>4153</v>
      </c>
      <c r="B2643" s="128">
        <v>2015.0</v>
      </c>
      <c r="C2643" s="130" t="s">
        <v>27399</v>
      </c>
      <c r="D2643" s="130" t="s">
        <v>27400</v>
      </c>
      <c r="E2643" s="145" t="s">
        <v>27401</v>
      </c>
      <c r="F2643" s="132">
        <v>143.0</v>
      </c>
      <c r="G2643" s="132">
        <v>144.0</v>
      </c>
      <c r="H2643" s="16" t="s">
        <v>21</v>
      </c>
      <c r="I2643" s="130" t="s">
        <v>27404</v>
      </c>
      <c r="J2643" s="130" t="s">
        <v>27405</v>
      </c>
      <c r="K2643" s="130" t="s">
        <v>28579</v>
      </c>
      <c r="L2643" s="20"/>
      <c r="M2643" s="16"/>
      <c r="N2643" s="30"/>
      <c r="O2643" s="30"/>
      <c r="P2643" s="30"/>
      <c r="Q2643" s="30"/>
      <c r="R2643" s="30"/>
      <c r="S2643" s="30"/>
      <c r="T2643" s="30"/>
      <c r="U2643" s="30"/>
      <c r="V2643" s="30"/>
      <c r="W2643" s="30"/>
      <c r="X2643" s="30"/>
    </row>
    <row r="2644" ht="15.75" customHeight="1">
      <c r="A2644" s="30" t="s">
        <v>4153</v>
      </c>
      <c r="B2644" s="128">
        <v>2015.0</v>
      </c>
      <c r="C2644" s="130" t="s">
        <v>27407</v>
      </c>
      <c r="D2644" s="130" t="s">
        <v>27408</v>
      </c>
      <c r="E2644" s="145" t="s">
        <v>27409</v>
      </c>
      <c r="F2644" s="132">
        <v>145.0</v>
      </c>
      <c r="G2644" s="132">
        <v>146.0</v>
      </c>
      <c r="H2644" s="16" t="s">
        <v>21</v>
      </c>
      <c r="I2644" s="130" t="s">
        <v>27412</v>
      </c>
      <c r="J2644" s="130" t="s">
        <v>41760</v>
      </c>
      <c r="K2644" s="130" t="s">
        <v>28994</v>
      </c>
      <c r="L2644" s="20"/>
      <c r="M2644" s="16"/>
      <c r="N2644" s="30"/>
      <c r="O2644" s="30"/>
      <c r="P2644" s="30"/>
      <c r="Q2644" s="30"/>
      <c r="R2644" s="30"/>
      <c r="S2644" s="30"/>
      <c r="T2644" s="30"/>
      <c r="U2644" s="30"/>
      <c r="V2644" s="30"/>
      <c r="W2644" s="30"/>
      <c r="X2644" s="30"/>
    </row>
    <row r="2645" ht="15.75" customHeight="1">
      <c r="A2645" s="30" t="s">
        <v>4153</v>
      </c>
      <c r="B2645" s="128">
        <v>2015.0</v>
      </c>
      <c r="C2645" s="130" t="s">
        <v>27416</v>
      </c>
      <c r="D2645" s="130" t="s">
        <v>27417</v>
      </c>
      <c r="E2645" s="145" t="s">
        <v>27418</v>
      </c>
      <c r="F2645" s="132">
        <v>147.0</v>
      </c>
      <c r="G2645" s="132">
        <v>148.0</v>
      </c>
      <c r="H2645" s="16" t="s">
        <v>21</v>
      </c>
      <c r="I2645" s="130" t="s">
        <v>27421</v>
      </c>
      <c r="J2645" s="130" t="s">
        <v>27422</v>
      </c>
      <c r="K2645" s="130" t="s">
        <v>28832</v>
      </c>
      <c r="L2645" s="20"/>
      <c r="M2645" s="16"/>
      <c r="N2645" s="30"/>
      <c r="O2645" s="30"/>
      <c r="P2645" s="30"/>
      <c r="Q2645" s="30"/>
      <c r="R2645" s="30"/>
      <c r="S2645" s="30"/>
      <c r="T2645" s="30"/>
      <c r="U2645" s="30"/>
      <c r="V2645" s="30"/>
      <c r="W2645" s="30"/>
      <c r="X2645" s="30"/>
    </row>
    <row r="2646" ht="15.75" customHeight="1">
      <c r="A2646" s="30" t="s">
        <v>4153</v>
      </c>
      <c r="B2646" s="128">
        <v>2015.0</v>
      </c>
      <c r="C2646" s="130" t="s">
        <v>27425</v>
      </c>
      <c r="D2646" s="130" t="s">
        <v>27426</v>
      </c>
      <c r="E2646" s="145" t="s">
        <v>27427</v>
      </c>
      <c r="F2646" s="132">
        <v>149.0</v>
      </c>
      <c r="G2646" s="132">
        <v>150.0</v>
      </c>
      <c r="H2646" s="16" t="s">
        <v>21</v>
      </c>
      <c r="I2646" s="130" t="s">
        <v>27428</v>
      </c>
      <c r="J2646" s="130" t="s">
        <v>27429</v>
      </c>
      <c r="K2646" s="130" t="s">
        <v>28696</v>
      </c>
      <c r="L2646" s="20"/>
      <c r="M2646" s="16"/>
      <c r="N2646" s="30"/>
      <c r="O2646" s="30"/>
      <c r="P2646" s="30"/>
      <c r="Q2646" s="30"/>
      <c r="R2646" s="30"/>
      <c r="S2646" s="30"/>
      <c r="T2646" s="30"/>
      <c r="U2646" s="30"/>
      <c r="V2646" s="30"/>
      <c r="W2646" s="30"/>
      <c r="X2646" s="30"/>
    </row>
    <row r="2647" ht="15.75" customHeight="1">
      <c r="A2647" s="30" t="s">
        <v>4153</v>
      </c>
      <c r="B2647" s="128">
        <v>2015.0</v>
      </c>
      <c r="C2647" s="130" t="s">
        <v>27432</v>
      </c>
      <c r="D2647" s="130" t="s">
        <v>27433</v>
      </c>
      <c r="E2647" s="145" t="s">
        <v>27434</v>
      </c>
      <c r="F2647" s="132">
        <v>151.0</v>
      </c>
      <c r="G2647" s="132">
        <v>152.0</v>
      </c>
      <c r="H2647" s="16" t="s">
        <v>21</v>
      </c>
      <c r="I2647" s="130" t="s">
        <v>27436</v>
      </c>
      <c r="J2647" s="130" t="s">
        <v>41761</v>
      </c>
      <c r="K2647" s="130" t="s">
        <v>28939</v>
      </c>
      <c r="L2647" s="20"/>
      <c r="M2647" s="16"/>
      <c r="N2647" s="30"/>
      <c r="O2647" s="30"/>
      <c r="P2647" s="30"/>
      <c r="Q2647" s="30"/>
      <c r="R2647" s="30"/>
      <c r="S2647" s="30"/>
      <c r="T2647" s="30"/>
      <c r="U2647" s="30"/>
      <c r="V2647" s="30"/>
      <c r="W2647" s="30"/>
      <c r="X2647" s="30"/>
    </row>
    <row r="2648" ht="15.75" customHeight="1">
      <c r="A2648" s="30" t="s">
        <v>4153</v>
      </c>
      <c r="B2648" s="128">
        <v>2015.0</v>
      </c>
      <c r="C2648" s="130" t="s">
        <v>27440</v>
      </c>
      <c r="D2648" s="130" t="s">
        <v>27441</v>
      </c>
      <c r="E2648" s="145" t="s">
        <v>27442</v>
      </c>
      <c r="F2648" s="132">
        <v>153.0</v>
      </c>
      <c r="G2648" s="132">
        <v>154.0</v>
      </c>
      <c r="H2648" s="16" t="s">
        <v>21</v>
      </c>
      <c r="I2648" s="130" t="s">
        <v>27443</v>
      </c>
      <c r="J2648" s="130" t="s">
        <v>27444</v>
      </c>
      <c r="K2648" s="130" t="s">
        <v>28738</v>
      </c>
      <c r="L2648" s="20"/>
      <c r="M2648" s="16"/>
      <c r="N2648" s="30"/>
      <c r="O2648" s="30"/>
      <c r="P2648" s="30"/>
      <c r="Q2648" s="30"/>
      <c r="R2648" s="30"/>
      <c r="S2648" s="30"/>
      <c r="T2648" s="30"/>
      <c r="U2648" s="30"/>
      <c r="V2648" s="30"/>
      <c r="W2648" s="30"/>
      <c r="X2648" s="30"/>
    </row>
    <row r="2649" ht="15.75" customHeight="1">
      <c r="A2649" s="30" t="s">
        <v>4153</v>
      </c>
      <c r="B2649" s="128">
        <v>2015.0</v>
      </c>
      <c r="C2649" s="130" t="s">
        <v>27447</v>
      </c>
      <c r="D2649" s="130" t="s">
        <v>27448</v>
      </c>
      <c r="E2649" s="145" t="s">
        <v>27449</v>
      </c>
      <c r="F2649" s="132">
        <v>155.0</v>
      </c>
      <c r="G2649" s="132">
        <v>156.0</v>
      </c>
      <c r="H2649" s="16" t="s">
        <v>21</v>
      </c>
      <c r="I2649" s="130" t="s">
        <v>27450</v>
      </c>
      <c r="J2649" s="130" t="s">
        <v>27451</v>
      </c>
      <c r="K2649" s="130" t="s">
        <v>28584</v>
      </c>
      <c r="L2649" s="20"/>
      <c r="M2649" s="16"/>
      <c r="N2649" s="30"/>
      <c r="O2649" s="30"/>
      <c r="P2649" s="30"/>
      <c r="Q2649" s="30"/>
      <c r="R2649" s="30"/>
      <c r="S2649" s="30"/>
      <c r="T2649" s="30"/>
      <c r="U2649" s="30"/>
      <c r="V2649" s="30"/>
      <c r="W2649" s="30"/>
      <c r="X2649" s="30"/>
    </row>
    <row r="2650" ht="15.75" customHeight="1">
      <c r="A2650" s="30" t="s">
        <v>4153</v>
      </c>
      <c r="B2650" s="128">
        <v>2015.0</v>
      </c>
      <c r="C2650" s="130" t="s">
        <v>27453</v>
      </c>
      <c r="D2650" s="130" t="s">
        <v>27454</v>
      </c>
      <c r="E2650" s="145" t="s">
        <v>27455</v>
      </c>
      <c r="F2650" s="132">
        <v>157.0</v>
      </c>
      <c r="G2650" s="132">
        <v>158.0</v>
      </c>
      <c r="H2650" s="16" t="s">
        <v>21</v>
      </c>
      <c r="I2650" s="130" t="s">
        <v>27456</v>
      </c>
      <c r="J2650" s="130" t="s">
        <v>24093</v>
      </c>
      <c r="K2650" s="130" t="s">
        <v>494</v>
      </c>
      <c r="L2650" s="20"/>
      <c r="M2650" s="16"/>
      <c r="N2650" s="30"/>
      <c r="O2650" s="30"/>
      <c r="P2650" s="30"/>
      <c r="Q2650" s="30"/>
      <c r="R2650" s="30"/>
      <c r="S2650" s="30"/>
      <c r="T2650" s="30"/>
      <c r="U2650" s="30"/>
      <c r="V2650" s="30"/>
      <c r="W2650" s="30"/>
      <c r="X2650" s="30"/>
    </row>
    <row r="2651" ht="15.75" customHeight="1">
      <c r="A2651" s="30" t="s">
        <v>4153</v>
      </c>
      <c r="B2651" s="128">
        <v>2015.0</v>
      </c>
      <c r="C2651" s="130" t="s">
        <v>27457</v>
      </c>
      <c r="D2651" s="130" t="s">
        <v>27458</v>
      </c>
      <c r="E2651" s="145" t="s">
        <v>27459</v>
      </c>
      <c r="F2651" s="132">
        <v>159.0</v>
      </c>
      <c r="G2651" s="132">
        <v>160.0</v>
      </c>
      <c r="H2651" s="16" t="s">
        <v>21</v>
      </c>
      <c r="I2651" s="130" t="s">
        <v>27460</v>
      </c>
      <c r="J2651" s="130" t="s">
        <v>27461</v>
      </c>
      <c r="K2651" s="130" t="s">
        <v>28975</v>
      </c>
      <c r="L2651" s="20"/>
      <c r="M2651" s="16"/>
      <c r="N2651" s="30"/>
      <c r="O2651" s="30"/>
      <c r="P2651" s="30"/>
      <c r="Q2651" s="30"/>
      <c r="R2651" s="30"/>
      <c r="S2651" s="30"/>
      <c r="T2651" s="30"/>
      <c r="U2651" s="30"/>
      <c r="V2651" s="30"/>
      <c r="W2651" s="30"/>
      <c r="X2651" s="30"/>
    </row>
    <row r="2652" ht="15.75" customHeight="1">
      <c r="A2652" s="30" t="s">
        <v>4153</v>
      </c>
      <c r="B2652" s="128">
        <v>2015.0</v>
      </c>
      <c r="C2652" s="130" t="s">
        <v>27463</v>
      </c>
      <c r="D2652" s="130" t="s">
        <v>27464</v>
      </c>
      <c r="E2652" s="145" t="s">
        <v>27465</v>
      </c>
      <c r="F2652" s="132">
        <v>161.0</v>
      </c>
      <c r="G2652" s="132">
        <v>162.0</v>
      </c>
      <c r="H2652" s="16" t="s">
        <v>21</v>
      </c>
      <c r="I2652" s="130" t="s">
        <v>27466</v>
      </c>
      <c r="J2652" s="130" t="s">
        <v>27467</v>
      </c>
      <c r="K2652" s="130" t="s">
        <v>29089</v>
      </c>
      <c r="L2652" s="20"/>
      <c r="M2652" s="16"/>
      <c r="N2652" s="30"/>
      <c r="O2652" s="30"/>
      <c r="P2652" s="30"/>
      <c r="Q2652" s="30"/>
      <c r="R2652" s="30"/>
      <c r="S2652" s="30"/>
      <c r="T2652" s="30"/>
      <c r="U2652" s="30"/>
      <c r="V2652" s="30"/>
      <c r="W2652" s="30"/>
      <c r="X2652" s="30"/>
    </row>
    <row r="2653" ht="15.75" customHeight="1">
      <c r="A2653" s="30" t="s">
        <v>4153</v>
      </c>
      <c r="B2653" s="128">
        <v>2015.0</v>
      </c>
      <c r="C2653" s="130" t="s">
        <v>27469</v>
      </c>
      <c r="D2653" s="130" t="s">
        <v>27470</v>
      </c>
      <c r="E2653" s="145" t="s">
        <v>27471</v>
      </c>
      <c r="F2653" s="132">
        <v>163.0</v>
      </c>
      <c r="G2653" s="132">
        <v>164.0</v>
      </c>
      <c r="H2653" s="16" t="s">
        <v>21</v>
      </c>
      <c r="I2653" s="130" t="s">
        <v>27473</v>
      </c>
      <c r="J2653" s="130" t="s">
        <v>27474</v>
      </c>
      <c r="K2653" s="130" t="s">
        <v>28898</v>
      </c>
      <c r="L2653" s="20"/>
      <c r="M2653" s="16"/>
      <c r="N2653" s="30"/>
      <c r="O2653" s="30"/>
      <c r="P2653" s="30"/>
      <c r="Q2653" s="30"/>
      <c r="R2653" s="30"/>
      <c r="S2653" s="30"/>
      <c r="T2653" s="30"/>
      <c r="U2653" s="30"/>
      <c r="V2653" s="30"/>
      <c r="W2653" s="30"/>
      <c r="X2653" s="30"/>
    </row>
    <row r="2654" ht="15.75" customHeight="1">
      <c r="A2654" s="30" t="s">
        <v>4153</v>
      </c>
      <c r="B2654" s="128">
        <v>2015.0</v>
      </c>
      <c r="C2654" s="130" t="s">
        <v>27477</v>
      </c>
      <c r="D2654" s="130" t="s">
        <v>27478</v>
      </c>
      <c r="E2654" s="145" t="s">
        <v>27479</v>
      </c>
      <c r="F2654" s="132">
        <v>165.0</v>
      </c>
      <c r="G2654" s="132">
        <v>166.0</v>
      </c>
      <c r="H2654" s="16" t="s">
        <v>21</v>
      </c>
      <c r="I2654" s="130" t="s">
        <v>27480</v>
      </c>
      <c r="J2654" s="130" t="s">
        <v>27481</v>
      </c>
      <c r="K2654" s="130" t="s">
        <v>28584</v>
      </c>
      <c r="L2654" s="20"/>
      <c r="M2654" s="16"/>
      <c r="N2654" s="30"/>
      <c r="O2654" s="30"/>
      <c r="P2654" s="30"/>
      <c r="Q2654" s="30"/>
      <c r="R2654" s="30"/>
      <c r="S2654" s="30"/>
      <c r="T2654" s="30"/>
      <c r="U2654" s="30"/>
      <c r="V2654" s="30"/>
      <c r="W2654" s="30"/>
      <c r="X2654" s="30"/>
    </row>
    <row r="2655" ht="15.75" customHeight="1">
      <c r="A2655" s="30" t="s">
        <v>4153</v>
      </c>
      <c r="B2655" s="128">
        <v>2015.0</v>
      </c>
      <c r="C2655" s="30" t="s">
        <v>27482</v>
      </c>
      <c r="D2655" s="30" t="s">
        <v>27483</v>
      </c>
      <c r="E2655" s="139" t="s">
        <v>27484</v>
      </c>
      <c r="F2655" s="128">
        <v>827.0</v>
      </c>
      <c r="G2655" s="128">
        <v>836.0</v>
      </c>
      <c r="H2655" s="16" t="s">
        <v>17059</v>
      </c>
      <c r="I2655" s="30" t="s">
        <v>27485</v>
      </c>
      <c r="J2655" s="130" t="s">
        <v>27486</v>
      </c>
      <c r="K2655" s="30" t="s">
        <v>28824</v>
      </c>
      <c r="L2655" s="20" t="s">
        <v>27489</v>
      </c>
      <c r="M2655" s="223" t="s">
        <v>27490</v>
      </c>
      <c r="N2655" s="30"/>
      <c r="O2655" s="30"/>
      <c r="P2655" s="30"/>
      <c r="Q2655" s="30"/>
      <c r="R2655" s="30"/>
      <c r="S2655" s="30"/>
      <c r="T2655" s="30"/>
      <c r="U2655" s="30"/>
      <c r="V2655" s="30"/>
      <c r="W2655" s="30"/>
      <c r="X2655" s="30"/>
    </row>
    <row r="2656" ht="15.75" customHeight="1">
      <c r="A2656" s="30" t="s">
        <v>4153</v>
      </c>
      <c r="B2656" s="128">
        <v>2015.0</v>
      </c>
      <c r="C2656" s="30" t="s">
        <v>27491</v>
      </c>
      <c r="D2656" s="30" t="s">
        <v>27492</v>
      </c>
      <c r="E2656" s="139" t="s">
        <v>27493</v>
      </c>
      <c r="F2656" s="128">
        <v>975.0</v>
      </c>
      <c r="G2656" s="128">
        <v>984.0</v>
      </c>
      <c r="H2656" s="16" t="s">
        <v>17059</v>
      </c>
      <c r="I2656" s="30" t="s">
        <v>27494</v>
      </c>
      <c r="J2656" s="130" t="s">
        <v>27495</v>
      </c>
      <c r="K2656" s="30" t="s">
        <v>29102</v>
      </c>
      <c r="L2656" s="20" t="s">
        <v>27497</v>
      </c>
      <c r="M2656" s="223" t="s">
        <v>27498</v>
      </c>
      <c r="N2656" s="30"/>
      <c r="O2656" s="30"/>
      <c r="P2656" s="30"/>
      <c r="Q2656" s="30"/>
      <c r="R2656" s="30"/>
      <c r="S2656" s="30"/>
      <c r="T2656" s="30"/>
      <c r="U2656" s="30"/>
      <c r="V2656" s="30"/>
      <c r="W2656" s="30"/>
      <c r="X2656" s="30"/>
    </row>
    <row r="2657" ht="15.75" customHeight="1">
      <c r="A2657" s="30" t="s">
        <v>4153</v>
      </c>
      <c r="B2657" s="128">
        <v>2015.0</v>
      </c>
      <c r="C2657" s="29" t="s">
        <v>27499</v>
      </c>
      <c r="D2657" s="30" t="s">
        <v>27500</v>
      </c>
      <c r="E2657" s="139" t="s">
        <v>27501</v>
      </c>
      <c r="F2657" s="128">
        <v>877.0</v>
      </c>
      <c r="G2657" s="128">
        <v>885.0</v>
      </c>
      <c r="H2657" s="16" t="s">
        <v>17059</v>
      </c>
      <c r="I2657" s="30" t="s">
        <v>29076</v>
      </c>
      <c r="J2657" s="130" t="s">
        <v>27503</v>
      </c>
      <c r="K2657" s="30" t="s">
        <v>178</v>
      </c>
      <c r="L2657" s="20" t="s">
        <v>27505</v>
      </c>
      <c r="M2657" s="223" t="s">
        <v>27506</v>
      </c>
      <c r="N2657" s="30"/>
      <c r="O2657" s="30"/>
      <c r="P2657" s="30"/>
      <c r="Q2657" s="30"/>
      <c r="R2657" s="30"/>
      <c r="S2657" s="30"/>
      <c r="T2657" s="30"/>
      <c r="U2657" s="30"/>
      <c r="V2657" s="30"/>
      <c r="W2657" s="30"/>
      <c r="X2657" s="30"/>
    </row>
    <row r="2658" ht="15.75" customHeight="1">
      <c r="A2658" s="30" t="s">
        <v>4153</v>
      </c>
      <c r="B2658" s="128">
        <v>2015.0</v>
      </c>
      <c r="C2658" s="30" t="s">
        <v>27507</v>
      </c>
      <c r="D2658" s="30" t="s">
        <v>27508</v>
      </c>
      <c r="E2658" s="139" t="s">
        <v>27509</v>
      </c>
      <c r="F2658" s="128">
        <v>935.0</v>
      </c>
      <c r="G2658" s="128">
        <v>944.0</v>
      </c>
      <c r="H2658" s="16" t="s">
        <v>17059</v>
      </c>
      <c r="I2658" s="30" t="s">
        <v>27510</v>
      </c>
      <c r="J2658" s="130" t="s">
        <v>27511</v>
      </c>
      <c r="K2658" s="30" t="s">
        <v>23953</v>
      </c>
      <c r="L2658" s="20" t="s">
        <v>27513</v>
      </c>
      <c r="M2658" s="223" t="s">
        <v>27514</v>
      </c>
      <c r="N2658" s="30"/>
      <c r="O2658" s="30"/>
      <c r="P2658" s="30"/>
      <c r="Q2658" s="30"/>
      <c r="R2658" s="30"/>
      <c r="S2658" s="30"/>
      <c r="T2658" s="30"/>
      <c r="U2658" s="30"/>
      <c r="V2658" s="30"/>
      <c r="W2658" s="30"/>
      <c r="X2658" s="30"/>
    </row>
    <row r="2659" ht="15.75" customHeight="1">
      <c r="A2659" s="30" t="s">
        <v>4153</v>
      </c>
      <c r="B2659" s="128">
        <v>2015.0</v>
      </c>
      <c r="C2659" s="30" t="s">
        <v>27515</v>
      </c>
      <c r="D2659" s="30" t="s">
        <v>27516</v>
      </c>
      <c r="E2659" s="139" t="s">
        <v>27517</v>
      </c>
      <c r="F2659" s="128">
        <v>708.0</v>
      </c>
      <c r="G2659" s="128">
        <v>717.0</v>
      </c>
      <c r="H2659" s="16" t="s">
        <v>17059</v>
      </c>
      <c r="I2659" s="30" t="s">
        <v>27519</v>
      </c>
      <c r="J2659" s="130" t="s">
        <v>27520</v>
      </c>
      <c r="K2659" s="30" t="s">
        <v>28681</v>
      </c>
      <c r="L2659" s="20" t="s">
        <v>27523</v>
      </c>
      <c r="M2659" s="223" t="s">
        <v>27524</v>
      </c>
      <c r="N2659" s="30"/>
      <c r="O2659" s="30"/>
      <c r="P2659" s="30"/>
      <c r="Q2659" s="30"/>
      <c r="R2659" s="30"/>
      <c r="S2659" s="30"/>
      <c r="T2659" s="30"/>
      <c r="U2659" s="30"/>
      <c r="V2659" s="30"/>
      <c r="W2659" s="30"/>
      <c r="X2659" s="30"/>
    </row>
    <row r="2660" ht="15.75" customHeight="1">
      <c r="A2660" s="30" t="s">
        <v>4153</v>
      </c>
      <c r="B2660" s="128">
        <v>2015.0</v>
      </c>
      <c r="C2660" s="30" t="s">
        <v>27526</v>
      </c>
      <c r="D2660" s="30" t="s">
        <v>27527</v>
      </c>
      <c r="E2660" s="139" t="s">
        <v>27528</v>
      </c>
      <c r="F2660" s="128">
        <v>817.0</v>
      </c>
      <c r="G2660" s="128">
        <v>826.0</v>
      </c>
      <c r="H2660" s="16" t="s">
        <v>17059</v>
      </c>
      <c r="I2660" s="30" t="s">
        <v>27529</v>
      </c>
      <c r="J2660" s="130" t="s">
        <v>27530</v>
      </c>
      <c r="K2660" s="30" t="s">
        <v>494</v>
      </c>
      <c r="L2660" s="20" t="s">
        <v>27532</v>
      </c>
      <c r="M2660" s="223" t="s">
        <v>27533</v>
      </c>
      <c r="N2660" s="30"/>
      <c r="O2660" s="30"/>
      <c r="P2660" s="30"/>
      <c r="Q2660" s="30"/>
      <c r="R2660" s="30"/>
      <c r="S2660" s="30"/>
      <c r="T2660" s="30"/>
      <c r="U2660" s="30"/>
      <c r="V2660" s="30"/>
      <c r="W2660" s="30"/>
      <c r="X2660" s="30"/>
    </row>
    <row r="2661" ht="15.75" customHeight="1">
      <c r="A2661" s="30" t="s">
        <v>4153</v>
      </c>
      <c r="B2661" s="128">
        <v>2015.0</v>
      </c>
      <c r="C2661" s="30" t="s">
        <v>27534</v>
      </c>
      <c r="D2661" s="30" t="s">
        <v>27535</v>
      </c>
      <c r="E2661" s="139" t="s">
        <v>27537</v>
      </c>
      <c r="F2661" s="128">
        <v>886.0</v>
      </c>
      <c r="G2661" s="128">
        <v>895.0</v>
      </c>
      <c r="H2661" s="16" t="s">
        <v>17059</v>
      </c>
      <c r="I2661" s="30" t="s">
        <v>27539</v>
      </c>
      <c r="J2661" s="130" t="s">
        <v>24070</v>
      </c>
      <c r="K2661" s="30" t="s">
        <v>28750</v>
      </c>
      <c r="L2661" s="20" t="s">
        <v>27541</v>
      </c>
      <c r="M2661" s="223" t="s">
        <v>27542</v>
      </c>
      <c r="N2661" s="30"/>
      <c r="O2661" s="30"/>
      <c r="P2661" s="30"/>
      <c r="Q2661" s="30"/>
      <c r="R2661" s="30"/>
      <c r="S2661" s="30"/>
      <c r="T2661" s="30"/>
      <c r="U2661" s="30"/>
      <c r="V2661" s="30"/>
      <c r="W2661" s="30"/>
      <c r="X2661" s="30"/>
    </row>
    <row r="2662" ht="15.75" customHeight="1">
      <c r="A2662" s="30" t="s">
        <v>4153</v>
      </c>
      <c r="B2662" s="128">
        <v>2015.0</v>
      </c>
      <c r="C2662" s="30" t="s">
        <v>27543</v>
      </c>
      <c r="D2662" s="30" t="s">
        <v>27544</v>
      </c>
      <c r="E2662" s="139" t="s">
        <v>27545</v>
      </c>
      <c r="F2662" s="128">
        <v>757.0</v>
      </c>
      <c r="G2662" s="128">
        <v>766.0</v>
      </c>
      <c r="H2662" s="16" t="s">
        <v>17059</v>
      </c>
      <c r="I2662" s="30" t="s">
        <v>27548</v>
      </c>
      <c r="J2662" s="130" t="s">
        <v>27549</v>
      </c>
      <c r="K2662" s="30" t="s">
        <v>26473</v>
      </c>
      <c r="L2662" s="20" t="s">
        <v>27551</v>
      </c>
      <c r="M2662" s="223" t="s">
        <v>27552</v>
      </c>
      <c r="N2662" s="30"/>
      <c r="O2662" s="30"/>
      <c r="P2662" s="30"/>
      <c r="Q2662" s="30"/>
      <c r="R2662" s="30"/>
      <c r="S2662" s="30"/>
      <c r="T2662" s="30"/>
      <c r="U2662" s="30"/>
      <c r="V2662" s="30"/>
      <c r="W2662" s="30"/>
      <c r="X2662" s="30"/>
    </row>
    <row r="2663" ht="15.75" customHeight="1">
      <c r="A2663" s="30" t="s">
        <v>4153</v>
      </c>
      <c r="B2663" s="128">
        <v>2015.0</v>
      </c>
      <c r="C2663" s="30" t="s">
        <v>27553</v>
      </c>
      <c r="D2663" s="30" t="s">
        <v>27554</v>
      </c>
      <c r="E2663" s="139" t="s">
        <v>27555</v>
      </c>
      <c r="F2663" s="128">
        <v>767.0</v>
      </c>
      <c r="G2663" s="128">
        <v>776.0</v>
      </c>
      <c r="H2663" s="16" t="s">
        <v>17059</v>
      </c>
      <c r="I2663" s="30" t="s">
        <v>27556</v>
      </c>
      <c r="J2663" s="130" t="s">
        <v>27557</v>
      </c>
      <c r="K2663" s="30" t="s">
        <v>22133</v>
      </c>
      <c r="L2663" s="20" t="s">
        <v>27559</v>
      </c>
      <c r="M2663" s="223" t="s">
        <v>27560</v>
      </c>
      <c r="N2663" s="30"/>
      <c r="O2663" s="30"/>
      <c r="P2663" s="30"/>
      <c r="Q2663" s="30"/>
      <c r="R2663" s="30"/>
      <c r="S2663" s="30"/>
      <c r="T2663" s="30"/>
      <c r="U2663" s="30"/>
      <c r="V2663" s="30"/>
      <c r="W2663" s="30"/>
      <c r="X2663" s="30"/>
    </row>
    <row r="2664" ht="15.75" customHeight="1">
      <c r="A2664" s="30" t="s">
        <v>4153</v>
      </c>
      <c r="B2664" s="128">
        <v>2015.0</v>
      </c>
      <c r="C2664" s="30" t="s">
        <v>27561</v>
      </c>
      <c r="D2664" s="30" t="s">
        <v>27562</v>
      </c>
      <c r="E2664" s="139" t="s">
        <v>27563</v>
      </c>
      <c r="F2664" s="128">
        <v>995.0</v>
      </c>
      <c r="G2664" s="128">
        <v>1004.0</v>
      </c>
      <c r="H2664" s="16" t="s">
        <v>17059</v>
      </c>
      <c r="I2664" s="30" t="s">
        <v>27564</v>
      </c>
      <c r="J2664" s="130" t="s">
        <v>27565</v>
      </c>
      <c r="K2664" s="30" t="s">
        <v>29020</v>
      </c>
      <c r="L2664" s="20" t="s">
        <v>27568</v>
      </c>
      <c r="M2664" s="223" t="s">
        <v>27569</v>
      </c>
      <c r="N2664" s="30"/>
      <c r="O2664" s="30"/>
      <c r="P2664" s="30"/>
      <c r="Q2664" s="30"/>
      <c r="R2664" s="30"/>
      <c r="S2664" s="30"/>
      <c r="T2664" s="30"/>
      <c r="U2664" s="30"/>
      <c r="V2664" s="30"/>
      <c r="W2664" s="30"/>
      <c r="X2664" s="30"/>
    </row>
    <row r="2665" ht="15.75" customHeight="1">
      <c r="A2665" s="30" t="s">
        <v>4153</v>
      </c>
      <c r="B2665" s="128">
        <v>2015.0</v>
      </c>
      <c r="C2665" s="30" t="s">
        <v>27570</v>
      </c>
      <c r="D2665" s="30" t="s">
        <v>27571</v>
      </c>
      <c r="E2665" s="139" t="s">
        <v>27572</v>
      </c>
      <c r="F2665" s="128">
        <v>807.0</v>
      </c>
      <c r="G2665" s="128">
        <v>816.0</v>
      </c>
      <c r="H2665" s="16" t="s">
        <v>17059</v>
      </c>
      <c r="I2665" s="30" t="s">
        <v>27573</v>
      </c>
      <c r="J2665" s="130" t="s">
        <v>27574</v>
      </c>
      <c r="K2665" s="30" t="s">
        <v>28928</v>
      </c>
      <c r="L2665" s="20" t="s">
        <v>27576</v>
      </c>
      <c r="M2665" s="223" t="s">
        <v>27577</v>
      </c>
      <c r="N2665" s="30"/>
      <c r="O2665" s="30"/>
      <c r="P2665" s="30"/>
      <c r="Q2665" s="30"/>
      <c r="R2665" s="30"/>
      <c r="S2665" s="30"/>
      <c r="T2665" s="30"/>
      <c r="U2665" s="30"/>
      <c r="V2665" s="30"/>
      <c r="W2665" s="30"/>
      <c r="X2665" s="30"/>
    </row>
    <row r="2666" ht="15.75" customHeight="1">
      <c r="A2666" s="30" t="s">
        <v>4153</v>
      </c>
      <c r="B2666" s="128">
        <v>2015.0</v>
      </c>
      <c r="C2666" s="30" t="s">
        <v>27578</v>
      </c>
      <c r="D2666" s="30" t="s">
        <v>27579</v>
      </c>
      <c r="E2666" s="139" t="s">
        <v>27580</v>
      </c>
      <c r="F2666" s="128">
        <v>718.0</v>
      </c>
      <c r="G2666" s="128">
        <v>727.0</v>
      </c>
      <c r="H2666" s="16" t="s">
        <v>17059</v>
      </c>
      <c r="I2666" s="30" t="s">
        <v>27581</v>
      </c>
      <c r="J2666" s="130" t="s">
        <v>27582</v>
      </c>
      <c r="K2666" s="30" t="s">
        <v>5349</v>
      </c>
      <c r="L2666" s="20" t="s">
        <v>27585</v>
      </c>
      <c r="M2666" s="223" t="s">
        <v>27586</v>
      </c>
      <c r="N2666" s="30"/>
      <c r="O2666" s="30"/>
      <c r="P2666" s="30"/>
      <c r="Q2666" s="30"/>
      <c r="R2666" s="30"/>
      <c r="S2666" s="30"/>
      <c r="T2666" s="30"/>
      <c r="U2666" s="30"/>
      <c r="V2666" s="30"/>
      <c r="W2666" s="30"/>
      <c r="X2666" s="30"/>
    </row>
    <row r="2667" ht="15.75" customHeight="1">
      <c r="A2667" s="30" t="s">
        <v>4153</v>
      </c>
      <c r="B2667" s="128">
        <v>2015.0</v>
      </c>
      <c r="C2667" s="30" t="s">
        <v>27588</v>
      </c>
      <c r="D2667" s="30" t="s">
        <v>27589</v>
      </c>
      <c r="E2667" s="139" t="s">
        <v>27590</v>
      </c>
      <c r="F2667" s="128">
        <v>896.0</v>
      </c>
      <c r="G2667" s="128">
        <v>905.0</v>
      </c>
      <c r="H2667" s="16" t="s">
        <v>17059</v>
      </c>
      <c r="I2667" s="30" t="s">
        <v>27591</v>
      </c>
      <c r="J2667" s="130" t="s">
        <v>27592</v>
      </c>
      <c r="K2667" s="30" t="s">
        <v>22087</v>
      </c>
      <c r="L2667" s="20" t="s">
        <v>27594</v>
      </c>
      <c r="M2667" s="223" t="s">
        <v>27595</v>
      </c>
      <c r="N2667" s="30"/>
      <c r="O2667" s="30"/>
      <c r="P2667" s="30"/>
      <c r="Q2667" s="30"/>
      <c r="R2667" s="30"/>
      <c r="S2667" s="30"/>
      <c r="T2667" s="30"/>
      <c r="U2667" s="30"/>
      <c r="V2667" s="30"/>
      <c r="W2667" s="30"/>
      <c r="X2667" s="30"/>
    </row>
    <row r="2668" ht="15.75" customHeight="1">
      <c r="A2668" s="30" t="s">
        <v>4153</v>
      </c>
      <c r="B2668" s="128">
        <v>2015.0</v>
      </c>
      <c r="C2668" s="30" t="s">
        <v>27596</v>
      </c>
      <c r="D2668" s="30" t="s">
        <v>27597</v>
      </c>
      <c r="E2668" s="139" t="s">
        <v>27598</v>
      </c>
      <c r="F2668" s="128">
        <v>1025.0</v>
      </c>
      <c r="G2668" s="128">
        <v>1034.0</v>
      </c>
      <c r="H2668" s="16" t="s">
        <v>17059</v>
      </c>
      <c r="I2668" s="30" t="s">
        <v>27601</v>
      </c>
      <c r="J2668" s="130" t="s">
        <v>41762</v>
      </c>
      <c r="K2668" s="30" t="s">
        <v>880</v>
      </c>
      <c r="L2668" s="20" t="s">
        <v>24141</v>
      </c>
      <c r="M2668" s="223" t="s">
        <v>27605</v>
      </c>
      <c r="N2668" s="30"/>
      <c r="O2668" s="30"/>
      <c r="P2668" s="30"/>
      <c r="Q2668" s="30"/>
      <c r="R2668" s="30"/>
      <c r="S2668" s="30"/>
      <c r="T2668" s="30"/>
      <c r="U2668" s="30"/>
      <c r="V2668" s="30"/>
      <c r="W2668" s="30"/>
      <c r="X2668" s="30"/>
    </row>
    <row r="2669" ht="15.75" customHeight="1">
      <c r="A2669" s="30" t="s">
        <v>4153</v>
      </c>
      <c r="B2669" s="128">
        <v>2015.0</v>
      </c>
      <c r="C2669" s="30" t="s">
        <v>27606</v>
      </c>
      <c r="D2669" s="30" t="s">
        <v>27607</v>
      </c>
      <c r="E2669" s="139" t="s">
        <v>27608</v>
      </c>
      <c r="F2669" s="128">
        <v>857.0</v>
      </c>
      <c r="G2669" s="128">
        <v>866.0</v>
      </c>
      <c r="H2669" s="16" t="s">
        <v>17059</v>
      </c>
      <c r="I2669" s="30" t="s">
        <v>27609</v>
      </c>
      <c r="J2669" s="130" t="s">
        <v>27610</v>
      </c>
      <c r="K2669" s="30" t="s">
        <v>28865</v>
      </c>
      <c r="L2669" s="20" t="s">
        <v>27613</v>
      </c>
      <c r="M2669" s="223" t="s">
        <v>27614</v>
      </c>
      <c r="N2669" s="30"/>
      <c r="O2669" s="30"/>
      <c r="P2669" s="30"/>
      <c r="Q2669" s="30"/>
      <c r="R2669" s="30"/>
      <c r="S2669" s="30"/>
      <c r="T2669" s="30"/>
      <c r="U2669" s="30"/>
      <c r="V2669" s="30"/>
      <c r="W2669" s="30"/>
      <c r="X2669" s="30"/>
    </row>
    <row r="2670" ht="15.75" customHeight="1">
      <c r="A2670" s="30" t="s">
        <v>4153</v>
      </c>
      <c r="B2670" s="128">
        <v>2015.0</v>
      </c>
      <c r="C2670" s="30" t="s">
        <v>27615</v>
      </c>
      <c r="D2670" s="30" t="s">
        <v>27616</v>
      </c>
      <c r="E2670" s="139" t="s">
        <v>27617</v>
      </c>
      <c r="F2670" s="128">
        <v>985.0</v>
      </c>
      <c r="G2670" s="128">
        <v>994.0</v>
      </c>
      <c r="H2670" s="16" t="s">
        <v>17059</v>
      </c>
      <c r="I2670" s="30" t="s">
        <v>27619</v>
      </c>
      <c r="J2670" s="130" t="s">
        <v>27620</v>
      </c>
      <c r="K2670" s="30" t="s">
        <v>1561</v>
      </c>
      <c r="L2670" s="20" t="s">
        <v>27621</v>
      </c>
      <c r="M2670" s="223" t="s">
        <v>27622</v>
      </c>
      <c r="N2670" s="30"/>
      <c r="O2670" s="30"/>
      <c r="P2670" s="30"/>
      <c r="Q2670" s="30"/>
      <c r="R2670" s="30"/>
      <c r="S2670" s="30"/>
      <c r="T2670" s="30"/>
      <c r="U2670" s="30"/>
      <c r="V2670" s="30"/>
      <c r="W2670" s="30"/>
      <c r="X2670" s="30"/>
    </row>
    <row r="2671" ht="15.75" customHeight="1">
      <c r="A2671" s="30" t="s">
        <v>4153</v>
      </c>
      <c r="B2671" s="128">
        <v>2015.0</v>
      </c>
      <c r="C2671" s="30" t="s">
        <v>27623</v>
      </c>
      <c r="D2671" s="30" t="s">
        <v>27624</v>
      </c>
      <c r="E2671" s="139" t="s">
        <v>27625</v>
      </c>
      <c r="F2671" s="128">
        <v>906.0</v>
      </c>
      <c r="G2671" s="128">
        <v>915.0</v>
      </c>
      <c r="H2671" s="16" t="s">
        <v>17059</v>
      </c>
      <c r="I2671" s="30" t="s">
        <v>27627</v>
      </c>
      <c r="J2671" s="130" t="s">
        <v>27629</v>
      </c>
      <c r="K2671" s="30" t="s">
        <v>178</v>
      </c>
      <c r="L2671" s="20" t="s">
        <v>27632</v>
      </c>
      <c r="M2671" s="224" t="s">
        <v>27633</v>
      </c>
      <c r="N2671" s="30"/>
      <c r="O2671" s="30"/>
      <c r="P2671" s="30"/>
      <c r="Q2671" s="30"/>
      <c r="R2671" s="30"/>
      <c r="S2671" s="30"/>
      <c r="T2671" s="30"/>
      <c r="U2671" s="30"/>
      <c r="V2671" s="30"/>
      <c r="W2671" s="30"/>
      <c r="X2671" s="30"/>
    </row>
    <row r="2672" ht="15.75" customHeight="1">
      <c r="A2672" s="30" t="s">
        <v>4153</v>
      </c>
      <c r="B2672" s="128">
        <v>2015.0</v>
      </c>
      <c r="C2672" s="30" t="s">
        <v>27635</v>
      </c>
      <c r="D2672" s="30" t="s">
        <v>27636</v>
      </c>
      <c r="E2672" s="139" t="s">
        <v>27638</v>
      </c>
      <c r="F2672" s="128">
        <v>955.0</v>
      </c>
      <c r="G2672" s="128">
        <v>964.0</v>
      </c>
      <c r="H2672" s="16" t="s">
        <v>17059</v>
      </c>
      <c r="I2672" s="30" t="s">
        <v>27640</v>
      </c>
      <c r="J2672" s="130" t="s">
        <v>27641</v>
      </c>
      <c r="K2672" s="30" t="s">
        <v>178</v>
      </c>
      <c r="L2672" s="20" t="s">
        <v>27642</v>
      </c>
      <c r="M2672" s="223" t="s">
        <v>27643</v>
      </c>
      <c r="N2672" s="30"/>
      <c r="O2672" s="30"/>
      <c r="P2672" s="30"/>
      <c r="Q2672" s="30"/>
      <c r="R2672" s="30"/>
      <c r="S2672" s="30"/>
      <c r="T2672" s="30"/>
      <c r="U2672" s="30"/>
      <c r="V2672" s="30"/>
      <c r="W2672" s="30"/>
      <c r="X2672" s="30"/>
    </row>
    <row r="2673" ht="15.75" customHeight="1">
      <c r="A2673" s="30" t="s">
        <v>4153</v>
      </c>
      <c r="B2673" s="128">
        <v>2015.0</v>
      </c>
      <c r="C2673" s="30" t="s">
        <v>27644</v>
      </c>
      <c r="D2673" s="30" t="s">
        <v>27645</v>
      </c>
      <c r="E2673" s="139" t="s">
        <v>27646</v>
      </c>
      <c r="F2673" s="128">
        <v>916.0</v>
      </c>
      <c r="G2673" s="128">
        <v>925.0</v>
      </c>
      <c r="H2673" s="16" t="s">
        <v>17059</v>
      </c>
      <c r="I2673" s="30" t="s">
        <v>27647</v>
      </c>
      <c r="J2673" s="130" t="s">
        <v>27648</v>
      </c>
      <c r="K2673" s="30" t="s">
        <v>5349</v>
      </c>
      <c r="L2673" s="20" t="s">
        <v>27650</v>
      </c>
      <c r="M2673" s="223" t="s">
        <v>27651</v>
      </c>
      <c r="N2673" s="30"/>
      <c r="O2673" s="30"/>
      <c r="P2673" s="30"/>
      <c r="Q2673" s="30"/>
      <c r="R2673" s="30"/>
      <c r="S2673" s="30"/>
      <c r="T2673" s="30"/>
      <c r="U2673" s="30"/>
      <c r="V2673" s="30"/>
      <c r="W2673" s="30"/>
      <c r="X2673" s="30"/>
    </row>
    <row r="2674" ht="15.75" customHeight="1">
      <c r="A2674" s="30" t="s">
        <v>4153</v>
      </c>
      <c r="B2674" s="128">
        <v>2015.0</v>
      </c>
      <c r="C2674" s="30" t="s">
        <v>27652</v>
      </c>
      <c r="D2674" s="30" t="s">
        <v>27653</v>
      </c>
      <c r="E2674" s="139" t="s">
        <v>27654</v>
      </c>
      <c r="F2674" s="128">
        <v>945.0</v>
      </c>
      <c r="G2674" s="128">
        <v>954.0</v>
      </c>
      <c r="H2674" s="16" t="s">
        <v>17059</v>
      </c>
      <c r="I2674" s="16" t="s">
        <v>28874</v>
      </c>
      <c r="J2674" s="130" t="s">
        <v>41763</v>
      </c>
      <c r="K2674" s="30" t="s">
        <v>28877</v>
      </c>
      <c r="L2674" s="20" t="s">
        <v>27659</v>
      </c>
      <c r="M2674" s="223" t="s">
        <v>27660</v>
      </c>
      <c r="N2674" s="30"/>
      <c r="O2674" s="30"/>
      <c r="P2674" s="30"/>
      <c r="Q2674" s="30"/>
      <c r="R2674" s="30"/>
      <c r="S2674" s="30"/>
      <c r="T2674" s="30"/>
      <c r="U2674" s="30"/>
      <c r="V2674" s="30"/>
      <c r="W2674" s="30"/>
      <c r="X2674" s="30"/>
    </row>
    <row r="2675" ht="15.75" customHeight="1">
      <c r="A2675" s="30" t="s">
        <v>4153</v>
      </c>
      <c r="B2675" s="128">
        <v>2015.0</v>
      </c>
      <c r="C2675" s="30" t="s">
        <v>27661</v>
      </c>
      <c r="D2675" s="30" t="s">
        <v>27662</v>
      </c>
      <c r="E2675" s="139" t="s">
        <v>27663</v>
      </c>
      <c r="F2675" s="128">
        <v>747.0</v>
      </c>
      <c r="G2675" s="128">
        <v>756.0</v>
      </c>
      <c r="H2675" s="16" t="s">
        <v>17059</v>
      </c>
      <c r="I2675" s="30" t="s">
        <v>27664</v>
      </c>
      <c r="J2675" s="130" t="s">
        <v>41764</v>
      </c>
      <c r="K2675" s="30" t="s">
        <v>28705</v>
      </c>
      <c r="L2675" s="20" t="s">
        <v>27668</v>
      </c>
      <c r="M2675" s="223" t="s">
        <v>27669</v>
      </c>
      <c r="N2675" s="30"/>
      <c r="O2675" s="30"/>
      <c r="P2675" s="30"/>
      <c r="Q2675" s="30"/>
      <c r="R2675" s="30"/>
      <c r="S2675" s="30"/>
      <c r="T2675" s="30"/>
      <c r="U2675" s="30"/>
      <c r="V2675" s="30"/>
      <c r="W2675" s="30"/>
      <c r="X2675" s="30"/>
    </row>
    <row r="2676" ht="15.75" customHeight="1">
      <c r="A2676" s="30" t="s">
        <v>4153</v>
      </c>
      <c r="B2676" s="128">
        <v>2015.0</v>
      </c>
      <c r="C2676" s="30" t="s">
        <v>27670</v>
      </c>
      <c r="D2676" s="30" t="s">
        <v>27671</v>
      </c>
      <c r="E2676" s="139" t="s">
        <v>27672</v>
      </c>
      <c r="F2676" s="128">
        <v>797.0</v>
      </c>
      <c r="G2676" s="128">
        <v>806.0</v>
      </c>
      <c r="H2676" s="16" t="s">
        <v>17059</v>
      </c>
      <c r="I2676" s="30" t="s">
        <v>27675</v>
      </c>
      <c r="J2676" s="130" t="s">
        <v>27676</v>
      </c>
      <c r="K2676" s="30" t="s">
        <v>880</v>
      </c>
      <c r="L2676" s="20" t="s">
        <v>27679</v>
      </c>
      <c r="M2676" s="223" t="s">
        <v>27680</v>
      </c>
      <c r="N2676" s="30"/>
      <c r="O2676" s="30"/>
      <c r="P2676" s="30"/>
      <c r="Q2676" s="30"/>
      <c r="R2676" s="30"/>
      <c r="S2676" s="30"/>
      <c r="T2676" s="30"/>
      <c r="U2676" s="30"/>
      <c r="V2676" s="30"/>
      <c r="W2676" s="30"/>
      <c r="X2676" s="30"/>
    </row>
    <row r="2677" ht="15.75" customHeight="1">
      <c r="A2677" s="30" t="s">
        <v>4153</v>
      </c>
      <c r="B2677" s="128">
        <v>2015.0</v>
      </c>
      <c r="C2677" s="30" t="s">
        <v>27681</v>
      </c>
      <c r="D2677" s="30" t="s">
        <v>27682</v>
      </c>
      <c r="E2677" s="139" t="s">
        <v>27683</v>
      </c>
      <c r="F2677" s="128">
        <v>837.0</v>
      </c>
      <c r="G2677" s="128">
        <v>846.0</v>
      </c>
      <c r="H2677" s="16" t="s">
        <v>17059</v>
      </c>
      <c r="I2677" s="30" t="s">
        <v>27684</v>
      </c>
      <c r="J2677" s="130" t="s">
        <v>27686</v>
      </c>
      <c r="K2677" s="30" t="s">
        <v>178</v>
      </c>
      <c r="L2677" s="20" t="s">
        <v>27688</v>
      </c>
      <c r="M2677" s="223" t="s">
        <v>27689</v>
      </c>
      <c r="N2677" s="30"/>
      <c r="O2677" s="30"/>
      <c r="P2677" s="30"/>
      <c r="Q2677" s="30"/>
      <c r="R2677" s="30"/>
      <c r="S2677" s="30"/>
      <c r="T2677" s="30"/>
      <c r="U2677" s="30"/>
      <c r="V2677" s="30"/>
      <c r="W2677" s="30"/>
      <c r="X2677" s="30"/>
    </row>
    <row r="2678" ht="15.75" customHeight="1">
      <c r="A2678" s="30" t="s">
        <v>4153</v>
      </c>
      <c r="B2678" s="128">
        <v>2015.0</v>
      </c>
      <c r="C2678" s="30" t="s">
        <v>27691</v>
      </c>
      <c r="D2678" s="30" t="s">
        <v>27692</v>
      </c>
      <c r="E2678" s="139" t="s">
        <v>27693</v>
      </c>
      <c r="F2678" s="128">
        <v>738.0</v>
      </c>
      <c r="G2678" s="128">
        <v>746.0</v>
      </c>
      <c r="H2678" s="16" t="s">
        <v>17059</v>
      </c>
      <c r="I2678" s="30" t="s">
        <v>27695</v>
      </c>
      <c r="J2678" s="130" t="s">
        <v>41765</v>
      </c>
      <c r="K2678" s="30" t="s">
        <v>1253</v>
      </c>
      <c r="L2678" s="20" t="s">
        <v>27700</v>
      </c>
      <c r="M2678" s="223" t="s">
        <v>27701</v>
      </c>
      <c r="N2678" s="30"/>
      <c r="O2678" s="30"/>
      <c r="P2678" s="30"/>
      <c r="Q2678" s="30"/>
      <c r="R2678" s="30"/>
      <c r="S2678" s="30"/>
      <c r="T2678" s="30"/>
      <c r="U2678" s="30"/>
      <c r="V2678" s="30"/>
      <c r="W2678" s="30"/>
      <c r="X2678" s="30"/>
    </row>
    <row r="2679" ht="15.75" customHeight="1">
      <c r="A2679" s="30" t="s">
        <v>4153</v>
      </c>
      <c r="B2679" s="128">
        <v>2015.0</v>
      </c>
      <c r="C2679" s="30" t="s">
        <v>27702</v>
      </c>
      <c r="D2679" s="30" t="s">
        <v>27703</v>
      </c>
      <c r="E2679" s="139" t="s">
        <v>27704</v>
      </c>
      <c r="F2679" s="128">
        <v>867.0</v>
      </c>
      <c r="G2679" s="128">
        <v>876.0</v>
      </c>
      <c r="H2679" s="16" t="s">
        <v>17059</v>
      </c>
      <c r="I2679" s="30" t="s">
        <v>27707</v>
      </c>
      <c r="J2679" s="130" t="s">
        <v>27708</v>
      </c>
      <c r="K2679" s="30" t="s">
        <v>880</v>
      </c>
      <c r="L2679" s="20" t="s">
        <v>27711</v>
      </c>
      <c r="M2679" s="223" t="s">
        <v>27712</v>
      </c>
      <c r="N2679" s="30"/>
      <c r="O2679" s="30"/>
      <c r="P2679" s="30"/>
      <c r="Q2679" s="30"/>
      <c r="R2679" s="30"/>
      <c r="S2679" s="30"/>
      <c r="T2679" s="30"/>
      <c r="U2679" s="30"/>
      <c r="V2679" s="30"/>
      <c r="W2679" s="30"/>
      <c r="X2679" s="30"/>
    </row>
    <row r="2680" ht="15.75" customHeight="1">
      <c r="A2680" s="30" t="s">
        <v>4153</v>
      </c>
      <c r="B2680" s="128">
        <v>2015.0</v>
      </c>
      <c r="C2680" s="30" t="s">
        <v>27713</v>
      </c>
      <c r="D2680" s="30" t="s">
        <v>27714</v>
      </c>
      <c r="E2680" s="139" t="s">
        <v>27715</v>
      </c>
      <c r="F2680" s="128">
        <v>847.0</v>
      </c>
      <c r="G2680" s="128">
        <v>856.0</v>
      </c>
      <c r="H2680" s="16" t="s">
        <v>17059</v>
      </c>
      <c r="I2680" s="30" t="s">
        <v>27716</v>
      </c>
      <c r="J2680" s="130" t="s">
        <v>27717</v>
      </c>
      <c r="K2680" s="30" t="s">
        <v>29073</v>
      </c>
      <c r="L2680" s="20" t="s">
        <v>27719</v>
      </c>
      <c r="M2680" s="223" t="s">
        <v>27720</v>
      </c>
      <c r="N2680" s="30"/>
      <c r="O2680" s="30"/>
      <c r="P2680" s="30"/>
      <c r="Q2680" s="30"/>
      <c r="R2680" s="30"/>
      <c r="S2680" s="30"/>
      <c r="T2680" s="30"/>
      <c r="U2680" s="30"/>
      <c r="V2680" s="30"/>
      <c r="W2680" s="30"/>
      <c r="X2680" s="30"/>
    </row>
    <row r="2681" ht="15.75" customHeight="1">
      <c r="A2681" s="30" t="s">
        <v>4153</v>
      </c>
      <c r="B2681" s="128">
        <v>2015.0</v>
      </c>
      <c r="C2681" s="30" t="s">
        <v>27721</v>
      </c>
      <c r="D2681" s="30" t="s">
        <v>27722</v>
      </c>
      <c r="E2681" s="139" t="s">
        <v>27723</v>
      </c>
      <c r="F2681" s="128">
        <v>777.0</v>
      </c>
      <c r="G2681" s="128">
        <v>786.0</v>
      </c>
      <c r="H2681" s="16" t="s">
        <v>17059</v>
      </c>
      <c r="I2681" s="30" t="s">
        <v>27725</v>
      </c>
      <c r="J2681" s="130" t="s">
        <v>27726</v>
      </c>
      <c r="K2681" s="30" t="s">
        <v>28904</v>
      </c>
      <c r="L2681" s="20" t="s">
        <v>27728</v>
      </c>
      <c r="M2681" s="223" t="s">
        <v>27729</v>
      </c>
      <c r="N2681" s="30"/>
      <c r="O2681" s="30"/>
      <c r="P2681" s="30"/>
      <c r="Q2681" s="30"/>
      <c r="R2681" s="30"/>
      <c r="S2681" s="30"/>
      <c r="T2681" s="30"/>
      <c r="U2681" s="30"/>
      <c r="V2681" s="30"/>
      <c r="W2681" s="30"/>
      <c r="X2681" s="30"/>
    </row>
    <row r="2682" ht="15.75" customHeight="1">
      <c r="A2682" s="30" t="s">
        <v>4153</v>
      </c>
      <c r="B2682" s="128">
        <v>2015.0</v>
      </c>
      <c r="C2682" s="30" t="s">
        <v>27730</v>
      </c>
      <c r="D2682" s="30" t="s">
        <v>27731</v>
      </c>
      <c r="E2682" s="139" t="s">
        <v>27732</v>
      </c>
      <c r="F2682" s="128">
        <v>728.0</v>
      </c>
      <c r="G2682" s="128">
        <v>737.0</v>
      </c>
      <c r="H2682" s="16" t="s">
        <v>17059</v>
      </c>
      <c r="I2682" s="30" t="s">
        <v>27733</v>
      </c>
      <c r="J2682" s="130" t="s">
        <v>27735</v>
      </c>
      <c r="K2682" s="30" t="s">
        <v>28962</v>
      </c>
      <c r="L2682" s="20" t="s">
        <v>27738</v>
      </c>
      <c r="M2682" s="223" t="s">
        <v>27739</v>
      </c>
      <c r="N2682" s="30"/>
      <c r="O2682" s="30"/>
      <c r="P2682" s="30"/>
      <c r="Q2682" s="30"/>
      <c r="R2682" s="30"/>
      <c r="S2682" s="30"/>
      <c r="T2682" s="30"/>
      <c r="U2682" s="30"/>
      <c r="V2682" s="30"/>
      <c r="W2682" s="30"/>
      <c r="X2682" s="30"/>
    </row>
    <row r="2683" ht="15.75" customHeight="1">
      <c r="A2683" s="30" t="s">
        <v>4153</v>
      </c>
      <c r="B2683" s="128">
        <v>2015.0</v>
      </c>
      <c r="C2683" s="30" t="s">
        <v>27740</v>
      </c>
      <c r="D2683" s="30" t="s">
        <v>27741</v>
      </c>
      <c r="E2683" s="139" t="s">
        <v>27742</v>
      </c>
      <c r="F2683" s="128">
        <v>926.0</v>
      </c>
      <c r="G2683" s="128">
        <v>934.0</v>
      </c>
      <c r="H2683" s="16" t="s">
        <v>17059</v>
      </c>
      <c r="I2683" s="30" t="s">
        <v>27743</v>
      </c>
      <c r="J2683" s="130" t="s">
        <v>27744</v>
      </c>
      <c r="K2683" s="30" t="s">
        <v>28806</v>
      </c>
      <c r="L2683" s="20"/>
      <c r="M2683" s="223" t="s">
        <v>27746</v>
      </c>
      <c r="N2683" s="30"/>
      <c r="O2683" s="30"/>
      <c r="P2683" s="30"/>
      <c r="Q2683" s="30"/>
      <c r="R2683" s="30"/>
      <c r="S2683" s="30"/>
      <c r="T2683" s="30"/>
      <c r="U2683" s="30"/>
      <c r="V2683" s="30"/>
      <c r="W2683" s="30"/>
      <c r="X2683" s="30"/>
    </row>
    <row r="2684" ht="15.75" customHeight="1">
      <c r="A2684" s="30" t="s">
        <v>4153</v>
      </c>
      <c r="B2684" s="128">
        <v>2015.0</v>
      </c>
      <c r="C2684" s="30" t="s">
        <v>27747</v>
      </c>
      <c r="D2684" s="30" t="s">
        <v>27748</v>
      </c>
      <c r="E2684" s="139" t="s">
        <v>27749</v>
      </c>
      <c r="F2684" s="128">
        <v>1015.0</v>
      </c>
      <c r="G2684" s="128">
        <v>1024.0</v>
      </c>
      <c r="H2684" s="16" t="s">
        <v>17059</v>
      </c>
      <c r="I2684" s="30" t="s">
        <v>27856</v>
      </c>
      <c r="J2684" s="130" t="s">
        <v>27857</v>
      </c>
      <c r="K2684" s="30" t="s">
        <v>28716</v>
      </c>
      <c r="L2684" s="20" t="s">
        <v>27859</v>
      </c>
      <c r="M2684" s="223" t="s">
        <v>27860</v>
      </c>
      <c r="N2684" s="30"/>
      <c r="O2684" s="30"/>
      <c r="P2684" s="30"/>
      <c r="Q2684" s="30"/>
      <c r="R2684" s="30"/>
      <c r="S2684" s="30"/>
      <c r="T2684" s="30"/>
      <c r="U2684" s="30"/>
      <c r="V2684" s="30"/>
      <c r="W2684" s="30"/>
      <c r="X2684" s="30"/>
    </row>
    <row r="2685" ht="15.75" customHeight="1">
      <c r="A2685" s="30" t="s">
        <v>4153</v>
      </c>
      <c r="B2685" s="128">
        <v>2015.0</v>
      </c>
      <c r="C2685" s="30" t="s">
        <v>27861</v>
      </c>
      <c r="D2685" s="30" t="s">
        <v>27862</v>
      </c>
      <c r="E2685" s="139" t="s">
        <v>27863</v>
      </c>
      <c r="F2685" s="128">
        <v>965.0</v>
      </c>
      <c r="G2685" s="128">
        <v>974.0</v>
      </c>
      <c r="H2685" s="16" t="s">
        <v>17059</v>
      </c>
      <c r="I2685" s="30" t="s">
        <v>27866</v>
      </c>
      <c r="J2685" s="130" t="s">
        <v>27867</v>
      </c>
      <c r="K2685" s="30" t="s">
        <v>28920</v>
      </c>
      <c r="L2685" s="20" t="s">
        <v>27869</v>
      </c>
      <c r="M2685" s="223" t="s">
        <v>27870</v>
      </c>
      <c r="N2685" s="30"/>
      <c r="O2685" s="30"/>
      <c r="P2685" s="30"/>
      <c r="Q2685" s="30"/>
      <c r="R2685" s="30"/>
      <c r="S2685" s="30"/>
      <c r="T2685" s="30"/>
      <c r="U2685" s="30"/>
      <c r="V2685" s="30"/>
      <c r="W2685" s="30"/>
      <c r="X2685" s="30"/>
    </row>
    <row r="2686" ht="15.75" customHeight="1">
      <c r="A2686" s="30" t="s">
        <v>4153</v>
      </c>
      <c r="B2686" s="128">
        <v>2015.0</v>
      </c>
      <c r="C2686" s="30" t="s">
        <v>27871</v>
      </c>
      <c r="D2686" s="30" t="s">
        <v>27872</v>
      </c>
      <c r="E2686" s="139" t="s">
        <v>27873</v>
      </c>
      <c r="F2686" s="128">
        <v>1005.0</v>
      </c>
      <c r="G2686" s="128">
        <v>1014.0</v>
      </c>
      <c r="H2686" s="16" t="s">
        <v>17059</v>
      </c>
      <c r="I2686" s="30" t="s">
        <v>27874</v>
      </c>
      <c r="J2686" s="130" t="s">
        <v>27875</v>
      </c>
      <c r="K2686" s="30" t="s">
        <v>860</v>
      </c>
      <c r="L2686" s="20" t="s">
        <v>27878</v>
      </c>
      <c r="M2686" s="223" t="s">
        <v>27879</v>
      </c>
      <c r="N2686" s="30"/>
      <c r="O2686" s="30"/>
      <c r="P2686" s="30"/>
      <c r="Q2686" s="30"/>
      <c r="R2686" s="30"/>
      <c r="S2686" s="30"/>
      <c r="T2686" s="30"/>
      <c r="U2686" s="30"/>
      <c r="V2686" s="30"/>
      <c r="W2686" s="30"/>
      <c r="X2686" s="30"/>
    </row>
    <row r="2687" ht="15.75" customHeight="1">
      <c r="A2687" s="30" t="s">
        <v>4153</v>
      </c>
      <c r="B2687" s="128">
        <v>2015.0</v>
      </c>
      <c r="C2687" s="30" t="s">
        <v>27881</v>
      </c>
      <c r="D2687" s="30" t="s">
        <v>27882</v>
      </c>
      <c r="E2687" s="139" t="s">
        <v>27883</v>
      </c>
      <c r="F2687" s="128">
        <v>787.0</v>
      </c>
      <c r="G2687" s="128">
        <v>796.0</v>
      </c>
      <c r="H2687" s="16" t="s">
        <v>17059</v>
      </c>
      <c r="I2687" s="30" t="s">
        <v>27884</v>
      </c>
      <c r="J2687" s="130" t="s">
        <v>27885</v>
      </c>
      <c r="K2687" s="30" t="s">
        <v>494</v>
      </c>
      <c r="L2687" s="20" t="s">
        <v>27887</v>
      </c>
      <c r="M2687" s="223" t="s">
        <v>27888</v>
      </c>
      <c r="N2687" s="30"/>
      <c r="O2687" s="30"/>
      <c r="P2687" s="30"/>
      <c r="Q2687" s="30"/>
      <c r="R2687" s="30"/>
      <c r="S2687" s="30"/>
      <c r="T2687" s="30"/>
      <c r="U2687" s="30"/>
      <c r="V2687" s="30"/>
      <c r="W2687" s="30"/>
      <c r="X2687" s="30"/>
    </row>
    <row r="2688" ht="15.75" customHeight="1">
      <c r="A2688" s="30" t="s">
        <v>120</v>
      </c>
      <c r="B2688" s="128">
        <v>2015.0</v>
      </c>
      <c r="C2688" s="30" t="s">
        <v>27889</v>
      </c>
      <c r="D2688" s="30" t="s">
        <v>27890</v>
      </c>
      <c r="E2688" s="139" t="s">
        <v>27892</v>
      </c>
      <c r="F2688" s="128">
        <v>280.0</v>
      </c>
      <c r="G2688" s="128">
        <v>289.0</v>
      </c>
      <c r="H2688" s="16" t="s">
        <v>17059</v>
      </c>
      <c r="I2688" s="30" t="s">
        <v>27894</v>
      </c>
      <c r="J2688" s="130" t="s">
        <v>27895</v>
      </c>
      <c r="K2688" s="30" t="s">
        <v>860</v>
      </c>
      <c r="L2688" s="20" t="s">
        <v>27898</v>
      </c>
      <c r="M2688" s="223" t="s">
        <v>27899</v>
      </c>
      <c r="N2688" s="30"/>
      <c r="O2688" s="30"/>
      <c r="P2688" s="30"/>
      <c r="Q2688" s="30"/>
      <c r="R2688" s="30"/>
      <c r="S2688" s="30"/>
      <c r="T2688" s="30"/>
      <c r="U2688" s="30"/>
      <c r="V2688" s="30"/>
      <c r="W2688" s="30"/>
      <c r="X2688" s="30"/>
    </row>
    <row r="2689" ht="15.75" customHeight="1">
      <c r="A2689" s="30" t="s">
        <v>120</v>
      </c>
      <c r="B2689" s="128">
        <v>2015.0</v>
      </c>
      <c r="C2689" s="30" t="s">
        <v>27900</v>
      </c>
      <c r="D2689" s="30" t="s">
        <v>27901</v>
      </c>
      <c r="E2689" s="139" t="s">
        <v>27902</v>
      </c>
      <c r="F2689" s="128">
        <v>300.0</v>
      </c>
      <c r="G2689" s="128">
        <v>309.0</v>
      </c>
      <c r="H2689" s="16" t="s">
        <v>17059</v>
      </c>
      <c r="I2689" s="30" t="s">
        <v>27906</v>
      </c>
      <c r="J2689" s="130" t="s">
        <v>27907</v>
      </c>
      <c r="K2689" s="30" t="s">
        <v>494</v>
      </c>
      <c r="L2689" s="20" t="s">
        <v>27910</v>
      </c>
      <c r="M2689" s="223" t="s">
        <v>27911</v>
      </c>
      <c r="N2689" s="30"/>
      <c r="O2689" s="30"/>
      <c r="P2689" s="30"/>
      <c r="Q2689" s="30"/>
      <c r="R2689" s="30"/>
      <c r="S2689" s="30"/>
      <c r="T2689" s="30"/>
      <c r="U2689" s="30"/>
      <c r="V2689" s="30"/>
      <c r="W2689" s="30"/>
      <c r="X2689" s="30"/>
    </row>
    <row r="2690" ht="15.75" customHeight="1">
      <c r="A2690" s="30" t="s">
        <v>120</v>
      </c>
      <c r="B2690" s="128">
        <v>2015.0</v>
      </c>
      <c r="C2690" s="30" t="s">
        <v>27912</v>
      </c>
      <c r="D2690" s="30" t="s">
        <v>27913</v>
      </c>
      <c r="E2690" s="139" t="s">
        <v>27914</v>
      </c>
      <c r="F2690" s="128">
        <v>31.0</v>
      </c>
      <c r="G2690" s="128">
        <v>40.0</v>
      </c>
      <c r="H2690" s="16" t="s">
        <v>17059</v>
      </c>
      <c r="I2690" s="30" t="s">
        <v>27917</v>
      </c>
      <c r="J2690" s="130" t="s">
        <v>27919</v>
      </c>
      <c r="K2690" s="30" t="s">
        <v>5349</v>
      </c>
      <c r="L2690" s="20" t="s">
        <v>27921</v>
      </c>
      <c r="M2690" s="223" t="s">
        <v>27922</v>
      </c>
      <c r="N2690" s="30"/>
      <c r="O2690" s="30"/>
      <c r="P2690" s="30"/>
      <c r="Q2690" s="30"/>
      <c r="R2690" s="30"/>
      <c r="S2690" s="30"/>
      <c r="T2690" s="30"/>
      <c r="U2690" s="30"/>
      <c r="V2690" s="30"/>
      <c r="W2690" s="30"/>
      <c r="X2690" s="30"/>
    </row>
    <row r="2691" ht="15.75" customHeight="1">
      <c r="A2691" s="30" t="s">
        <v>120</v>
      </c>
      <c r="B2691" s="128">
        <v>2015.0</v>
      </c>
      <c r="C2691" s="30" t="s">
        <v>27923</v>
      </c>
      <c r="D2691" s="30" t="s">
        <v>27924</v>
      </c>
      <c r="E2691" s="139" t="s">
        <v>27925</v>
      </c>
      <c r="F2691" s="128">
        <v>121.0</v>
      </c>
      <c r="G2691" s="128">
        <v>130.0</v>
      </c>
      <c r="H2691" s="16" t="s">
        <v>17059</v>
      </c>
      <c r="I2691" s="30" t="s">
        <v>27926</v>
      </c>
      <c r="J2691" s="130" t="s">
        <v>27927</v>
      </c>
      <c r="K2691" s="30" t="s">
        <v>178</v>
      </c>
      <c r="L2691" s="20" t="s">
        <v>27929</v>
      </c>
      <c r="M2691" s="223" t="s">
        <v>27930</v>
      </c>
      <c r="N2691" s="30"/>
      <c r="O2691" s="30"/>
      <c r="P2691" s="30"/>
      <c r="Q2691" s="30"/>
      <c r="R2691" s="30"/>
      <c r="S2691" s="30"/>
      <c r="T2691" s="30"/>
      <c r="U2691" s="30"/>
      <c r="V2691" s="30"/>
      <c r="W2691" s="30"/>
      <c r="X2691" s="30"/>
    </row>
    <row r="2692" ht="15.75" customHeight="1">
      <c r="A2692" s="30" t="s">
        <v>120</v>
      </c>
      <c r="B2692" s="128">
        <v>2015.0</v>
      </c>
      <c r="C2692" s="30" t="s">
        <v>27931</v>
      </c>
      <c r="D2692" s="30" t="s">
        <v>27932</v>
      </c>
      <c r="E2692" s="139" t="s">
        <v>27933</v>
      </c>
      <c r="F2692" s="128">
        <v>141.0</v>
      </c>
      <c r="G2692" s="128">
        <v>150.0</v>
      </c>
      <c r="H2692" s="16" t="s">
        <v>17059</v>
      </c>
      <c r="I2692" s="30" t="s">
        <v>27935</v>
      </c>
      <c r="J2692" s="130" t="s">
        <v>27937</v>
      </c>
      <c r="K2692" s="30" t="s">
        <v>23066</v>
      </c>
      <c r="L2692" s="20" t="s">
        <v>27939</v>
      </c>
      <c r="M2692" s="223" t="s">
        <v>27940</v>
      </c>
      <c r="N2692" s="30"/>
      <c r="O2692" s="30"/>
      <c r="P2692" s="30"/>
      <c r="Q2692" s="30"/>
      <c r="R2692" s="30"/>
      <c r="S2692" s="30"/>
      <c r="T2692" s="30"/>
      <c r="U2692" s="30"/>
      <c r="V2692" s="30"/>
      <c r="W2692" s="30"/>
      <c r="X2692" s="30"/>
    </row>
    <row r="2693" ht="15.75" customHeight="1">
      <c r="A2693" s="30" t="s">
        <v>120</v>
      </c>
      <c r="B2693" s="128">
        <v>2015.0</v>
      </c>
      <c r="C2693" s="30" t="s">
        <v>27941</v>
      </c>
      <c r="D2693" s="30" t="s">
        <v>27942</v>
      </c>
      <c r="E2693" s="139" t="s">
        <v>27943</v>
      </c>
      <c r="F2693" s="128">
        <v>250.0</v>
      </c>
      <c r="G2693" s="128">
        <v>259.0</v>
      </c>
      <c r="H2693" s="16" t="s">
        <v>17059</v>
      </c>
      <c r="I2693" s="30" t="s">
        <v>27946</v>
      </c>
      <c r="J2693" s="130" t="s">
        <v>27947</v>
      </c>
      <c r="K2693" s="30" t="s">
        <v>860</v>
      </c>
      <c r="L2693" s="20" t="s">
        <v>27949</v>
      </c>
      <c r="M2693" s="223" t="s">
        <v>27950</v>
      </c>
      <c r="N2693" s="30"/>
      <c r="O2693" s="30"/>
      <c r="P2693" s="30"/>
      <c r="Q2693" s="30"/>
      <c r="R2693" s="30"/>
      <c r="S2693" s="30"/>
      <c r="T2693" s="30"/>
      <c r="U2693" s="30"/>
      <c r="V2693" s="30"/>
      <c r="W2693" s="30"/>
      <c r="X2693" s="30"/>
    </row>
    <row r="2694" ht="15.75" customHeight="1">
      <c r="A2694" s="30" t="s">
        <v>120</v>
      </c>
      <c r="B2694" s="128">
        <v>2015.0</v>
      </c>
      <c r="C2694" s="30" t="s">
        <v>27951</v>
      </c>
      <c r="D2694" s="30" t="s">
        <v>27952</v>
      </c>
      <c r="E2694" s="139" t="s">
        <v>27953</v>
      </c>
      <c r="F2694" s="128">
        <v>71.0</v>
      </c>
      <c r="G2694" s="128">
        <v>80.0</v>
      </c>
      <c r="H2694" s="16" t="s">
        <v>17059</v>
      </c>
      <c r="I2694" s="30" t="s">
        <v>27957</v>
      </c>
      <c r="J2694" s="130" t="s">
        <v>27958</v>
      </c>
      <c r="K2694" s="30" t="s">
        <v>860</v>
      </c>
      <c r="L2694" s="20" t="s">
        <v>27960</v>
      </c>
      <c r="M2694" s="223" t="s">
        <v>27961</v>
      </c>
      <c r="N2694" s="30"/>
      <c r="O2694" s="30"/>
      <c r="P2694" s="30"/>
      <c r="Q2694" s="30"/>
      <c r="R2694" s="30"/>
      <c r="S2694" s="30"/>
      <c r="T2694" s="30"/>
      <c r="U2694" s="30"/>
      <c r="V2694" s="30"/>
      <c r="W2694" s="30"/>
      <c r="X2694" s="30"/>
    </row>
    <row r="2695" ht="15.75" customHeight="1">
      <c r="A2695" s="30" t="s">
        <v>120</v>
      </c>
      <c r="B2695" s="128">
        <v>2015.0</v>
      </c>
      <c r="C2695" s="30" t="s">
        <v>27962</v>
      </c>
      <c r="D2695" s="30" t="s">
        <v>27963</v>
      </c>
      <c r="E2695" s="139" t="s">
        <v>27964</v>
      </c>
      <c r="F2695" s="128">
        <v>240.0</v>
      </c>
      <c r="G2695" s="128">
        <v>249.0</v>
      </c>
      <c r="H2695" s="16" t="s">
        <v>17059</v>
      </c>
      <c r="I2695" s="30" t="s">
        <v>27967</v>
      </c>
      <c r="J2695" s="130" t="s">
        <v>27968</v>
      </c>
      <c r="K2695" s="30" t="s">
        <v>880</v>
      </c>
      <c r="L2695" s="20" t="s">
        <v>28039</v>
      </c>
      <c r="M2695" s="223" t="s">
        <v>28040</v>
      </c>
      <c r="N2695" s="30"/>
      <c r="O2695" s="30"/>
      <c r="P2695" s="30"/>
      <c r="Q2695" s="30"/>
      <c r="R2695" s="30"/>
      <c r="S2695" s="30"/>
      <c r="T2695" s="30"/>
      <c r="U2695" s="30"/>
      <c r="V2695" s="30"/>
      <c r="W2695" s="30"/>
      <c r="X2695" s="30"/>
    </row>
    <row r="2696" ht="15.75" customHeight="1">
      <c r="A2696" s="30" t="s">
        <v>120</v>
      </c>
      <c r="B2696" s="128">
        <v>2015.0</v>
      </c>
      <c r="C2696" s="30" t="s">
        <v>28041</v>
      </c>
      <c r="D2696" s="30" t="s">
        <v>28042</v>
      </c>
      <c r="E2696" s="139" t="s">
        <v>28043</v>
      </c>
      <c r="F2696" s="128">
        <v>170.0</v>
      </c>
      <c r="G2696" s="128">
        <v>179.0</v>
      </c>
      <c r="H2696" s="16" t="s">
        <v>17059</v>
      </c>
      <c r="I2696" s="30" t="s">
        <v>28045</v>
      </c>
      <c r="J2696" s="130" t="s">
        <v>28046</v>
      </c>
      <c r="K2696" s="30" t="s">
        <v>5349</v>
      </c>
      <c r="L2696" s="20" t="s">
        <v>28048</v>
      </c>
      <c r="M2696" s="223" t="s">
        <v>28049</v>
      </c>
      <c r="N2696" s="30"/>
      <c r="O2696" s="30"/>
      <c r="P2696" s="30"/>
      <c r="Q2696" s="30"/>
      <c r="R2696" s="30"/>
      <c r="S2696" s="30"/>
      <c r="T2696" s="30"/>
      <c r="U2696" s="30"/>
      <c r="V2696" s="30"/>
      <c r="W2696" s="30"/>
      <c r="X2696" s="30"/>
    </row>
    <row r="2697" ht="15.75" customHeight="1">
      <c r="A2697" s="30" t="s">
        <v>120</v>
      </c>
      <c r="B2697" s="128">
        <v>2015.0</v>
      </c>
      <c r="C2697" s="30" t="s">
        <v>28051</v>
      </c>
      <c r="D2697" s="30" t="s">
        <v>28052</v>
      </c>
      <c r="E2697" s="139" t="s">
        <v>28053</v>
      </c>
      <c r="F2697" s="128">
        <v>41.0</v>
      </c>
      <c r="G2697" s="128">
        <v>50.0</v>
      </c>
      <c r="H2697" s="16" t="s">
        <v>17059</v>
      </c>
      <c r="I2697" s="30" t="s">
        <v>28058</v>
      </c>
      <c r="J2697" s="130" t="s">
        <v>28059</v>
      </c>
      <c r="K2697" s="30" t="s">
        <v>860</v>
      </c>
      <c r="L2697" s="20" t="s">
        <v>28062</v>
      </c>
      <c r="M2697" s="223" t="s">
        <v>28063</v>
      </c>
      <c r="N2697" s="30"/>
      <c r="O2697" s="30"/>
      <c r="P2697" s="30"/>
      <c r="Q2697" s="30"/>
      <c r="R2697" s="30"/>
      <c r="S2697" s="30"/>
      <c r="T2697" s="30"/>
      <c r="U2697" s="30"/>
      <c r="V2697" s="30"/>
      <c r="W2697" s="30"/>
      <c r="X2697" s="30"/>
    </row>
    <row r="2698" ht="15.75" customHeight="1">
      <c r="A2698" s="30" t="s">
        <v>120</v>
      </c>
      <c r="B2698" s="128">
        <v>2015.0</v>
      </c>
      <c r="C2698" s="30" t="s">
        <v>28065</v>
      </c>
      <c r="D2698" s="30" t="s">
        <v>28066</v>
      </c>
      <c r="E2698" s="139" t="s">
        <v>28067</v>
      </c>
      <c r="F2698" s="128">
        <v>151.0</v>
      </c>
      <c r="G2698" s="128">
        <v>159.0</v>
      </c>
      <c r="H2698" s="16" t="s">
        <v>17059</v>
      </c>
      <c r="I2698" s="30" t="s">
        <v>28069</v>
      </c>
      <c r="J2698" s="130" t="s">
        <v>28070</v>
      </c>
      <c r="K2698" s="30" t="s">
        <v>29511</v>
      </c>
      <c r="L2698" s="20" t="s">
        <v>25382</v>
      </c>
      <c r="M2698" s="223" t="s">
        <v>28074</v>
      </c>
      <c r="N2698" s="30"/>
      <c r="O2698" s="30"/>
      <c r="P2698" s="30"/>
      <c r="Q2698" s="30"/>
      <c r="R2698" s="30"/>
      <c r="S2698" s="30"/>
      <c r="T2698" s="30"/>
      <c r="U2698" s="30"/>
      <c r="V2698" s="30"/>
      <c r="W2698" s="30"/>
      <c r="X2698" s="30"/>
    </row>
    <row r="2699" ht="15.75" customHeight="1">
      <c r="A2699" s="30" t="s">
        <v>120</v>
      </c>
      <c r="B2699" s="128">
        <v>2015.0</v>
      </c>
      <c r="C2699" s="30" t="s">
        <v>28075</v>
      </c>
      <c r="D2699" s="30" t="s">
        <v>28076</v>
      </c>
      <c r="E2699" s="139" t="s">
        <v>28077</v>
      </c>
      <c r="F2699" s="128">
        <v>51.0</v>
      </c>
      <c r="G2699" s="128">
        <v>60.0</v>
      </c>
      <c r="H2699" s="16" t="s">
        <v>17059</v>
      </c>
      <c r="I2699" s="30" t="s">
        <v>28080</v>
      </c>
      <c r="J2699" s="130" t="s">
        <v>28081</v>
      </c>
      <c r="K2699" s="30" t="s">
        <v>5349</v>
      </c>
      <c r="L2699" s="20" t="s">
        <v>28083</v>
      </c>
      <c r="M2699" s="223" t="s">
        <v>28084</v>
      </c>
      <c r="N2699" s="30"/>
      <c r="O2699" s="30"/>
      <c r="P2699" s="30"/>
      <c r="Q2699" s="30"/>
      <c r="R2699" s="30"/>
      <c r="S2699" s="30"/>
      <c r="T2699" s="30"/>
      <c r="U2699" s="30"/>
      <c r="V2699" s="30"/>
      <c r="W2699" s="30"/>
      <c r="X2699" s="30"/>
    </row>
    <row r="2700" ht="15.75" customHeight="1">
      <c r="A2700" s="30" t="s">
        <v>120</v>
      </c>
      <c r="B2700" s="128">
        <v>2015.0</v>
      </c>
      <c r="C2700" s="30" t="s">
        <v>28085</v>
      </c>
      <c r="D2700" s="30" t="s">
        <v>28086</v>
      </c>
      <c r="E2700" s="139" t="s">
        <v>28087</v>
      </c>
      <c r="F2700" s="128">
        <v>131.0</v>
      </c>
      <c r="G2700" s="128">
        <v>140.0</v>
      </c>
      <c r="H2700" s="16" t="s">
        <v>17059</v>
      </c>
      <c r="I2700" s="30" t="s">
        <v>28091</v>
      </c>
      <c r="J2700" s="130" t="s">
        <v>28092</v>
      </c>
      <c r="K2700" s="30" t="s">
        <v>5349</v>
      </c>
      <c r="L2700" s="20" t="s">
        <v>28094</v>
      </c>
      <c r="M2700" s="223" t="s">
        <v>28095</v>
      </c>
      <c r="N2700" s="30"/>
      <c r="O2700" s="30"/>
      <c r="P2700" s="30"/>
      <c r="Q2700" s="30"/>
      <c r="R2700" s="30"/>
      <c r="S2700" s="30"/>
      <c r="T2700" s="30"/>
      <c r="U2700" s="30"/>
      <c r="V2700" s="30"/>
      <c r="W2700" s="30"/>
      <c r="X2700" s="30"/>
    </row>
    <row r="2701" ht="15.75" customHeight="1">
      <c r="A2701" s="30" t="s">
        <v>120</v>
      </c>
      <c r="B2701" s="128">
        <v>2015.0</v>
      </c>
      <c r="C2701" s="30" t="s">
        <v>28097</v>
      </c>
      <c r="D2701" s="30" t="s">
        <v>28098</v>
      </c>
      <c r="E2701" s="139" t="s">
        <v>28099</v>
      </c>
      <c r="F2701" s="128">
        <v>320.0</v>
      </c>
      <c r="G2701" s="128">
        <v>329.0</v>
      </c>
      <c r="H2701" s="16" t="s">
        <v>17059</v>
      </c>
      <c r="I2701" s="30" t="s">
        <v>28103</v>
      </c>
      <c r="J2701" s="130" t="s">
        <v>28104</v>
      </c>
      <c r="K2701" s="30" t="s">
        <v>29370</v>
      </c>
      <c r="L2701" s="20" t="s">
        <v>28106</v>
      </c>
      <c r="M2701" s="223" t="s">
        <v>26813</v>
      </c>
      <c r="N2701" s="30"/>
      <c r="O2701" s="30"/>
      <c r="P2701" s="30"/>
      <c r="Q2701" s="30"/>
      <c r="R2701" s="30"/>
      <c r="S2701" s="30"/>
      <c r="T2701" s="30"/>
      <c r="U2701" s="30"/>
      <c r="V2701" s="30"/>
      <c r="W2701" s="30"/>
      <c r="X2701" s="30"/>
    </row>
    <row r="2702" ht="15.75" customHeight="1">
      <c r="A2702" s="30" t="s">
        <v>120</v>
      </c>
      <c r="B2702" s="128">
        <v>2015.0</v>
      </c>
      <c r="C2702" s="30" t="s">
        <v>28108</v>
      </c>
      <c r="D2702" s="30" t="s">
        <v>28109</v>
      </c>
      <c r="E2702" s="139" t="s">
        <v>28110</v>
      </c>
      <c r="F2702" s="128">
        <v>270.0</v>
      </c>
      <c r="G2702" s="128">
        <v>279.0</v>
      </c>
      <c r="H2702" s="16" t="s">
        <v>17059</v>
      </c>
      <c r="I2702" s="30" t="s">
        <v>28113</v>
      </c>
      <c r="J2702" s="130" t="s">
        <v>28115</v>
      </c>
      <c r="K2702" s="30" t="s">
        <v>23953</v>
      </c>
      <c r="L2702" s="20" t="s">
        <v>28117</v>
      </c>
      <c r="M2702" s="223" t="s">
        <v>28118</v>
      </c>
      <c r="N2702" s="30"/>
      <c r="O2702" s="30"/>
      <c r="P2702" s="30"/>
      <c r="Q2702" s="30"/>
      <c r="R2702" s="30"/>
      <c r="S2702" s="30"/>
      <c r="T2702" s="30"/>
      <c r="U2702" s="30"/>
      <c r="V2702" s="30"/>
      <c r="W2702" s="30"/>
      <c r="X2702" s="30"/>
    </row>
    <row r="2703" ht="15.75" customHeight="1">
      <c r="A2703" s="30" t="s">
        <v>120</v>
      </c>
      <c r="B2703" s="128">
        <v>2015.0</v>
      </c>
      <c r="C2703" s="30" t="s">
        <v>28119</v>
      </c>
      <c r="D2703" s="30" t="s">
        <v>28120</v>
      </c>
      <c r="E2703" s="139" t="s">
        <v>28121</v>
      </c>
      <c r="F2703" s="128">
        <v>200.0</v>
      </c>
      <c r="G2703" s="128">
        <v>209.0</v>
      </c>
      <c r="H2703" s="16" t="s">
        <v>17059</v>
      </c>
      <c r="I2703" s="30" t="s">
        <v>28123</v>
      </c>
      <c r="J2703" s="130" t="s">
        <v>28124</v>
      </c>
      <c r="K2703" s="30" t="s">
        <v>29239</v>
      </c>
      <c r="L2703" s="20" t="s">
        <v>28126</v>
      </c>
      <c r="M2703" s="223" t="s">
        <v>28127</v>
      </c>
      <c r="N2703" s="30"/>
      <c r="O2703" s="30"/>
      <c r="P2703" s="30"/>
      <c r="Q2703" s="30"/>
      <c r="R2703" s="30"/>
      <c r="S2703" s="30"/>
      <c r="T2703" s="30"/>
      <c r="U2703" s="30"/>
      <c r="V2703" s="30"/>
      <c r="W2703" s="30"/>
      <c r="X2703" s="30"/>
    </row>
    <row r="2704" ht="15.75" customHeight="1">
      <c r="A2704" s="30" t="s">
        <v>120</v>
      </c>
      <c r="B2704" s="128">
        <v>2015.0</v>
      </c>
      <c r="C2704" s="30" t="s">
        <v>28128</v>
      </c>
      <c r="D2704" s="30" t="s">
        <v>28129</v>
      </c>
      <c r="E2704" s="139" t="s">
        <v>28130</v>
      </c>
      <c r="F2704" s="128">
        <v>190.0</v>
      </c>
      <c r="G2704" s="128">
        <v>199.0</v>
      </c>
      <c r="H2704" s="16" t="s">
        <v>17059</v>
      </c>
      <c r="I2704" s="30" t="s">
        <v>28133</v>
      </c>
      <c r="J2704" s="130" t="s">
        <v>28134</v>
      </c>
      <c r="K2704" s="30" t="s">
        <v>494</v>
      </c>
      <c r="L2704" s="20" t="s">
        <v>28136</v>
      </c>
      <c r="M2704" s="223" t="s">
        <v>28137</v>
      </c>
      <c r="N2704" s="30"/>
      <c r="O2704" s="30"/>
      <c r="P2704" s="30"/>
      <c r="Q2704" s="30"/>
      <c r="R2704" s="30"/>
      <c r="S2704" s="30"/>
      <c r="T2704" s="30"/>
      <c r="U2704" s="30"/>
      <c r="V2704" s="30"/>
      <c r="W2704" s="30"/>
      <c r="X2704" s="30"/>
    </row>
    <row r="2705" ht="15.75" customHeight="1">
      <c r="A2705" s="30" t="s">
        <v>120</v>
      </c>
      <c r="B2705" s="128">
        <v>2015.0</v>
      </c>
      <c r="C2705" s="30" t="s">
        <v>28138</v>
      </c>
      <c r="D2705" s="30" t="s">
        <v>28139</v>
      </c>
      <c r="E2705" s="139" t="s">
        <v>28140</v>
      </c>
      <c r="F2705" s="128">
        <v>91.0</v>
      </c>
      <c r="G2705" s="128">
        <v>100.0</v>
      </c>
      <c r="H2705" s="16" t="s">
        <v>17059</v>
      </c>
      <c r="I2705" s="30" t="s">
        <v>28144</v>
      </c>
      <c r="J2705" s="130" t="s">
        <v>28145</v>
      </c>
      <c r="K2705" s="30" t="s">
        <v>494</v>
      </c>
      <c r="L2705" s="20" t="s">
        <v>28147</v>
      </c>
      <c r="M2705" s="223" t="s">
        <v>28148</v>
      </c>
      <c r="N2705" s="30"/>
      <c r="O2705" s="30"/>
      <c r="P2705" s="30"/>
      <c r="Q2705" s="30"/>
      <c r="R2705" s="30"/>
      <c r="S2705" s="30"/>
      <c r="T2705" s="30"/>
      <c r="U2705" s="30"/>
      <c r="V2705" s="30"/>
      <c r="W2705" s="30"/>
      <c r="X2705" s="30"/>
    </row>
    <row r="2706" ht="15.75" customHeight="1">
      <c r="A2706" s="30" t="s">
        <v>120</v>
      </c>
      <c r="B2706" s="128">
        <v>2015.0</v>
      </c>
      <c r="C2706" s="30" t="s">
        <v>28152</v>
      </c>
      <c r="D2706" s="30" t="s">
        <v>28153</v>
      </c>
      <c r="E2706" s="139" t="s">
        <v>28154</v>
      </c>
      <c r="F2706" s="128">
        <v>101.0</v>
      </c>
      <c r="G2706" s="128">
        <v>110.0</v>
      </c>
      <c r="H2706" s="16" t="s">
        <v>17059</v>
      </c>
      <c r="I2706" s="30" t="s">
        <v>28156</v>
      </c>
      <c r="J2706" s="130" t="s">
        <v>28157</v>
      </c>
      <c r="K2706" s="30" t="s">
        <v>1253</v>
      </c>
      <c r="L2706" s="20" t="s">
        <v>28160</v>
      </c>
      <c r="M2706" s="223" t="s">
        <v>28161</v>
      </c>
      <c r="N2706" s="30"/>
      <c r="O2706" s="30"/>
      <c r="P2706" s="30"/>
      <c r="Q2706" s="30"/>
      <c r="R2706" s="30"/>
      <c r="S2706" s="30"/>
      <c r="T2706" s="30"/>
      <c r="U2706" s="30"/>
      <c r="V2706" s="30"/>
      <c r="W2706" s="30"/>
      <c r="X2706" s="30"/>
    </row>
    <row r="2707" ht="15.75" customHeight="1">
      <c r="A2707" s="30" t="s">
        <v>120</v>
      </c>
      <c r="B2707" s="128">
        <v>2015.0</v>
      </c>
      <c r="C2707" s="30" t="s">
        <v>28162</v>
      </c>
      <c r="D2707" s="30" t="s">
        <v>28163</v>
      </c>
      <c r="E2707" s="139" t="s">
        <v>28164</v>
      </c>
      <c r="F2707" s="128">
        <v>180.0</v>
      </c>
      <c r="G2707" s="128">
        <v>189.0</v>
      </c>
      <c r="H2707" s="16" t="s">
        <v>17059</v>
      </c>
      <c r="I2707" s="30" t="s">
        <v>28167</v>
      </c>
      <c r="J2707" s="130" t="s">
        <v>28169</v>
      </c>
      <c r="K2707" s="30" t="s">
        <v>28666</v>
      </c>
      <c r="L2707" s="20" t="s">
        <v>28171</v>
      </c>
      <c r="M2707" s="223" t="s">
        <v>28172</v>
      </c>
      <c r="N2707" s="30"/>
      <c r="O2707" s="30"/>
      <c r="P2707" s="30"/>
      <c r="Q2707" s="30"/>
      <c r="R2707" s="30"/>
      <c r="S2707" s="30"/>
      <c r="T2707" s="30"/>
      <c r="U2707" s="30"/>
      <c r="V2707" s="30"/>
      <c r="W2707" s="30"/>
      <c r="X2707" s="30"/>
    </row>
    <row r="2708" ht="15.75" customHeight="1">
      <c r="A2708" s="30" t="s">
        <v>120</v>
      </c>
      <c r="B2708" s="128">
        <v>2015.0</v>
      </c>
      <c r="C2708" s="30" t="s">
        <v>28173</v>
      </c>
      <c r="D2708" s="30" t="s">
        <v>28174</v>
      </c>
      <c r="E2708" s="139" t="s">
        <v>28175</v>
      </c>
      <c r="F2708" s="128">
        <v>160.0</v>
      </c>
      <c r="G2708" s="128">
        <v>169.0</v>
      </c>
      <c r="H2708" s="16" t="s">
        <v>17059</v>
      </c>
      <c r="I2708" s="30" t="s">
        <v>28178</v>
      </c>
      <c r="J2708" s="130" t="s">
        <v>28179</v>
      </c>
      <c r="K2708" s="30" t="s">
        <v>860</v>
      </c>
      <c r="L2708" s="20" t="s">
        <v>28181</v>
      </c>
      <c r="M2708" s="223" t="s">
        <v>28182</v>
      </c>
      <c r="N2708" s="30"/>
      <c r="O2708" s="30"/>
      <c r="P2708" s="30"/>
      <c r="Q2708" s="30"/>
      <c r="R2708" s="30"/>
      <c r="S2708" s="30"/>
      <c r="T2708" s="30"/>
      <c r="U2708" s="30"/>
      <c r="V2708" s="30"/>
      <c r="W2708" s="30"/>
      <c r="X2708" s="30"/>
    </row>
    <row r="2709" ht="15.75" customHeight="1">
      <c r="A2709" s="30" t="s">
        <v>120</v>
      </c>
      <c r="B2709" s="128">
        <v>2015.0</v>
      </c>
      <c r="C2709" s="30" t="s">
        <v>28185</v>
      </c>
      <c r="D2709" s="30" t="s">
        <v>28187</v>
      </c>
      <c r="E2709" s="139" t="s">
        <v>28188</v>
      </c>
      <c r="F2709" s="128">
        <v>310.0</v>
      </c>
      <c r="G2709" s="128">
        <v>319.0</v>
      </c>
      <c r="H2709" s="16" t="s">
        <v>17059</v>
      </c>
      <c r="I2709" s="30" t="s">
        <v>29145</v>
      </c>
      <c r="J2709" s="130" t="s">
        <v>28191</v>
      </c>
      <c r="K2709" s="30" t="s">
        <v>5349</v>
      </c>
      <c r="L2709" s="20" t="s">
        <v>28193</v>
      </c>
      <c r="M2709" s="223" t="s">
        <v>28194</v>
      </c>
      <c r="N2709" s="30"/>
      <c r="O2709" s="30"/>
      <c r="P2709" s="30"/>
      <c r="Q2709" s="30"/>
      <c r="R2709" s="30"/>
      <c r="S2709" s="30"/>
      <c r="T2709" s="30"/>
      <c r="U2709" s="30"/>
      <c r="V2709" s="30"/>
      <c r="W2709" s="30"/>
      <c r="X2709" s="30"/>
    </row>
    <row r="2710" ht="15.75" customHeight="1">
      <c r="A2710" s="30" t="s">
        <v>120</v>
      </c>
      <c r="B2710" s="128">
        <v>2015.0</v>
      </c>
      <c r="C2710" s="30" t="s">
        <v>28196</v>
      </c>
      <c r="D2710" s="30" t="s">
        <v>28197</v>
      </c>
      <c r="E2710" s="139" t="s">
        <v>28199</v>
      </c>
      <c r="F2710" s="128">
        <v>61.0</v>
      </c>
      <c r="G2710" s="128">
        <v>70.0</v>
      </c>
      <c r="H2710" s="16" t="s">
        <v>17059</v>
      </c>
      <c r="I2710" s="16" t="s">
        <v>28201</v>
      </c>
      <c r="J2710" s="130" t="s">
        <v>28202</v>
      </c>
      <c r="K2710" s="30" t="s">
        <v>29480</v>
      </c>
      <c r="L2710" s="20" t="s">
        <v>28204</v>
      </c>
      <c r="M2710" s="223" t="s">
        <v>28205</v>
      </c>
      <c r="N2710" s="30"/>
      <c r="O2710" s="30"/>
      <c r="P2710" s="30"/>
      <c r="Q2710" s="30"/>
      <c r="R2710" s="30"/>
      <c r="S2710" s="30"/>
      <c r="T2710" s="30"/>
      <c r="U2710" s="30"/>
      <c r="V2710" s="30"/>
      <c r="W2710" s="30"/>
      <c r="X2710" s="30"/>
    </row>
    <row r="2711" ht="15.75" customHeight="1">
      <c r="A2711" s="30" t="s">
        <v>120</v>
      </c>
      <c r="B2711" s="128">
        <v>2015.0</v>
      </c>
      <c r="C2711" s="30" t="s">
        <v>28207</v>
      </c>
      <c r="D2711" s="30" t="s">
        <v>28208</v>
      </c>
      <c r="E2711" s="139" t="s">
        <v>28209</v>
      </c>
      <c r="F2711" s="128">
        <v>230.0</v>
      </c>
      <c r="G2711" s="128">
        <v>239.0</v>
      </c>
      <c r="H2711" s="16" t="s">
        <v>17059</v>
      </c>
      <c r="I2711" s="30" t="s">
        <v>28211</v>
      </c>
      <c r="J2711" s="130" t="s">
        <v>28213</v>
      </c>
      <c r="K2711" s="30" t="s">
        <v>29407</v>
      </c>
      <c r="L2711" s="20" t="s">
        <v>28215</v>
      </c>
      <c r="M2711" s="223" t="s">
        <v>28216</v>
      </c>
      <c r="N2711" s="30"/>
      <c r="O2711" s="30"/>
      <c r="P2711" s="30"/>
      <c r="Q2711" s="30"/>
      <c r="R2711" s="30"/>
      <c r="S2711" s="30"/>
      <c r="T2711" s="30"/>
      <c r="U2711" s="30"/>
      <c r="V2711" s="30"/>
      <c r="W2711" s="30"/>
      <c r="X2711" s="30"/>
    </row>
    <row r="2712" ht="15.75" customHeight="1">
      <c r="A2712" s="30" t="s">
        <v>120</v>
      </c>
      <c r="B2712" s="128">
        <v>2015.0</v>
      </c>
      <c r="C2712" s="30" t="s">
        <v>28217</v>
      </c>
      <c r="D2712" s="30" t="s">
        <v>28218</v>
      </c>
      <c r="E2712" s="139" t="s">
        <v>28219</v>
      </c>
      <c r="F2712" s="128">
        <v>111.0</v>
      </c>
      <c r="G2712" s="128">
        <v>120.0</v>
      </c>
      <c r="H2712" s="16" t="s">
        <v>17059</v>
      </c>
      <c r="I2712" s="30" t="s">
        <v>28223</v>
      </c>
      <c r="J2712" s="130" t="s">
        <v>28224</v>
      </c>
      <c r="K2712" s="30" t="s">
        <v>29493</v>
      </c>
      <c r="L2712" s="20" t="s">
        <v>28227</v>
      </c>
      <c r="M2712" s="223" t="s">
        <v>28228</v>
      </c>
      <c r="N2712" s="30"/>
      <c r="O2712" s="30"/>
      <c r="P2712" s="30"/>
      <c r="Q2712" s="30"/>
      <c r="R2712" s="30"/>
      <c r="S2712" s="30"/>
      <c r="T2712" s="30"/>
      <c r="U2712" s="30"/>
      <c r="V2712" s="30"/>
      <c r="W2712" s="30"/>
      <c r="X2712" s="30"/>
    </row>
    <row r="2713" ht="15.75" customHeight="1">
      <c r="A2713" s="30" t="s">
        <v>120</v>
      </c>
      <c r="B2713" s="128">
        <v>2015.0</v>
      </c>
      <c r="C2713" s="30" t="s">
        <v>28229</v>
      </c>
      <c r="D2713" s="30" t="s">
        <v>28230</v>
      </c>
      <c r="E2713" s="139" t="s">
        <v>28231</v>
      </c>
      <c r="F2713" s="128">
        <v>210.0</v>
      </c>
      <c r="G2713" s="128">
        <v>219.0</v>
      </c>
      <c r="H2713" s="16" t="s">
        <v>17059</v>
      </c>
      <c r="I2713" s="30" t="s">
        <v>28235</v>
      </c>
      <c r="J2713" s="130" t="s">
        <v>28236</v>
      </c>
      <c r="K2713" s="30" t="s">
        <v>880</v>
      </c>
      <c r="L2713" s="20" t="s">
        <v>28238</v>
      </c>
      <c r="M2713" s="223" t="s">
        <v>28239</v>
      </c>
      <c r="N2713" s="30"/>
      <c r="O2713" s="30"/>
      <c r="P2713" s="30"/>
      <c r="Q2713" s="30"/>
      <c r="R2713" s="30"/>
      <c r="S2713" s="30"/>
      <c r="T2713" s="30"/>
      <c r="U2713" s="30"/>
      <c r="V2713" s="30"/>
      <c r="W2713" s="30"/>
      <c r="X2713" s="30"/>
    </row>
    <row r="2714" ht="15.75" customHeight="1">
      <c r="A2714" s="30" t="s">
        <v>120</v>
      </c>
      <c r="B2714" s="128">
        <v>2015.0</v>
      </c>
      <c r="C2714" s="30" t="s">
        <v>28240</v>
      </c>
      <c r="D2714" s="30" t="s">
        <v>28241</v>
      </c>
      <c r="E2714" s="139" t="s">
        <v>28242</v>
      </c>
      <c r="F2714" s="128">
        <v>220.0</v>
      </c>
      <c r="G2714" s="128">
        <v>229.0</v>
      </c>
      <c r="H2714" s="16" t="s">
        <v>17059</v>
      </c>
      <c r="I2714" s="30" t="s">
        <v>28244</v>
      </c>
      <c r="J2714" s="130" t="s">
        <v>28245</v>
      </c>
      <c r="K2714" s="30" t="s">
        <v>13886</v>
      </c>
      <c r="L2714" s="20" t="s">
        <v>28247</v>
      </c>
      <c r="M2714" s="223" t="s">
        <v>28248</v>
      </c>
      <c r="N2714" s="30"/>
      <c r="O2714" s="30"/>
      <c r="P2714" s="30"/>
      <c r="Q2714" s="30"/>
      <c r="R2714" s="30"/>
      <c r="S2714" s="30"/>
      <c r="T2714" s="30"/>
      <c r="U2714" s="30"/>
      <c r="V2714" s="30"/>
      <c r="W2714" s="30"/>
      <c r="X2714" s="30"/>
    </row>
    <row r="2715" ht="15.75" customHeight="1">
      <c r="A2715" s="30" t="s">
        <v>120</v>
      </c>
      <c r="B2715" s="128">
        <v>2015.0</v>
      </c>
      <c r="C2715" s="30" t="s">
        <v>28249</v>
      </c>
      <c r="D2715" s="30" t="s">
        <v>28250</v>
      </c>
      <c r="E2715" s="139" t="s">
        <v>28251</v>
      </c>
      <c r="F2715" s="128">
        <v>290.0</v>
      </c>
      <c r="G2715" s="128">
        <v>299.0</v>
      </c>
      <c r="H2715" s="16" t="s">
        <v>17059</v>
      </c>
      <c r="I2715" s="30" t="s">
        <v>28258</v>
      </c>
      <c r="J2715" s="130" t="s">
        <v>28260</v>
      </c>
      <c r="K2715" s="30" t="s">
        <v>860</v>
      </c>
      <c r="L2715" s="20" t="s">
        <v>28262</v>
      </c>
      <c r="M2715" s="223" t="s">
        <v>28263</v>
      </c>
      <c r="N2715" s="30"/>
      <c r="O2715" s="30"/>
      <c r="P2715" s="30"/>
      <c r="Q2715" s="30"/>
      <c r="R2715" s="30"/>
      <c r="S2715" s="30"/>
      <c r="T2715" s="30"/>
      <c r="U2715" s="30"/>
      <c r="V2715" s="30"/>
      <c r="W2715" s="30"/>
      <c r="X2715" s="30"/>
    </row>
    <row r="2716" ht="15.75" customHeight="1">
      <c r="A2716" s="30" t="s">
        <v>120</v>
      </c>
      <c r="B2716" s="128">
        <v>2015.0</v>
      </c>
      <c r="C2716" s="30" t="s">
        <v>28264</v>
      </c>
      <c r="D2716" s="30" t="s">
        <v>28265</v>
      </c>
      <c r="E2716" s="139" t="s">
        <v>28266</v>
      </c>
      <c r="F2716" s="128">
        <v>1.0</v>
      </c>
      <c r="G2716" s="128">
        <v>10.0</v>
      </c>
      <c r="H2716" s="16" t="s">
        <v>17059</v>
      </c>
      <c r="I2716" s="30" t="s">
        <v>28272</v>
      </c>
      <c r="J2716" s="130" t="s">
        <v>28273</v>
      </c>
      <c r="K2716" s="30" t="s">
        <v>5349</v>
      </c>
      <c r="L2716" s="20" t="s">
        <v>28278</v>
      </c>
      <c r="M2716" s="223" t="s">
        <v>28279</v>
      </c>
      <c r="N2716" s="30"/>
      <c r="O2716" s="30"/>
      <c r="P2716" s="30"/>
      <c r="Q2716" s="30"/>
      <c r="R2716" s="30"/>
      <c r="S2716" s="30"/>
      <c r="T2716" s="30"/>
      <c r="U2716" s="30"/>
      <c r="V2716" s="30"/>
      <c r="W2716" s="30"/>
      <c r="X2716" s="30"/>
    </row>
    <row r="2717" ht="15.75" customHeight="1">
      <c r="A2717" s="30" t="s">
        <v>120</v>
      </c>
      <c r="B2717" s="128">
        <v>2015.0</v>
      </c>
      <c r="C2717" s="30" t="s">
        <v>28280</v>
      </c>
      <c r="D2717" s="30" t="s">
        <v>28281</v>
      </c>
      <c r="E2717" s="139" t="s">
        <v>28282</v>
      </c>
      <c r="F2717" s="128">
        <v>11.0</v>
      </c>
      <c r="G2717" s="128">
        <v>20.0</v>
      </c>
      <c r="H2717" s="16" t="s">
        <v>17059</v>
      </c>
      <c r="I2717" s="30" t="s">
        <v>28288</v>
      </c>
      <c r="J2717" s="130" t="s">
        <v>28289</v>
      </c>
      <c r="K2717" s="30" t="s">
        <v>29290</v>
      </c>
      <c r="L2717" s="20" t="s">
        <v>28292</v>
      </c>
      <c r="M2717" s="223" t="s">
        <v>28293</v>
      </c>
      <c r="N2717" s="30"/>
      <c r="O2717" s="30"/>
      <c r="P2717" s="30"/>
      <c r="Q2717" s="30"/>
      <c r="R2717" s="30"/>
      <c r="S2717" s="30"/>
      <c r="T2717" s="30"/>
      <c r="U2717" s="30"/>
      <c r="V2717" s="30"/>
      <c r="W2717" s="30"/>
      <c r="X2717" s="30"/>
    </row>
    <row r="2718" ht="15.75" customHeight="1">
      <c r="A2718" s="30" t="s">
        <v>120</v>
      </c>
      <c r="B2718" s="128">
        <v>2015.0</v>
      </c>
      <c r="C2718" s="30" t="s">
        <v>28294</v>
      </c>
      <c r="D2718" s="30" t="s">
        <v>28295</v>
      </c>
      <c r="E2718" s="139" t="s">
        <v>28296</v>
      </c>
      <c r="F2718" s="128">
        <v>260.0</v>
      </c>
      <c r="G2718" s="128">
        <v>269.0</v>
      </c>
      <c r="H2718" s="16" t="s">
        <v>17059</v>
      </c>
      <c r="I2718" s="30" t="s">
        <v>28299</v>
      </c>
      <c r="J2718" s="130" t="s">
        <v>28301</v>
      </c>
      <c r="K2718" s="30" t="s">
        <v>26881</v>
      </c>
      <c r="L2718" s="20" t="s">
        <v>28303</v>
      </c>
      <c r="M2718" s="223" t="s">
        <v>28304</v>
      </c>
      <c r="N2718" s="30"/>
      <c r="O2718" s="30"/>
      <c r="P2718" s="30"/>
      <c r="Q2718" s="30"/>
      <c r="R2718" s="30"/>
      <c r="S2718" s="30"/>
      <c r="T2718" s="30"/>
      <c r="U2718" s="30"/>
      <c r="V2718" s="30"/>
      <c r="W2718" s="30"/>
      <c r="X2718" s="30"/>
    </row>
    <row r="2719" ht="15.75" customHeight="1">
      <c r="A2719" s="30" t="s">
        <v>120</v>
      </c>
      <c r="B2719" s="128">
        <v>2015.0</v>
      </c>
      <c r="C2719" s="16" t="s">
        <v>28306</v>
      </c>
      <c r="D2719" s="16" t="s">
        <v>28308</v>
      </c>
      <c r="E2719" s="139" t="s">
        <v>28309</v>
      </c>
      <c r="F2719" s="128">
        <v>81.0</v>
      </c>
      <c r="G2719" s="128">
        <v>90.0</v>
      </c>
      <c r="H2719" s="16" t="s">
        <v>17059</v>
      </c>
      <c r="I2719" s="30" t="s">
        <v>28314</v>
      </c>
      <c r="J2719" s="130" t="s">
        <v>28315</v>
      </c>
      <c r="K2719" s="16" t="s">
        <v>29113</v>
      </c>
      <c r="L2719" s="20" t="s">
        <v>28317</v>
      </c>
      <c r="M2719" s="223" t="s">
        <v>28318</v>
      </c>
      <c r="N2719" s="16"/>
      <c r="O2719" s="16"/>
      <c r="P2719" s="16"/>
      <c r="Q2719" s="16"/>
      <c r="R2719" s="16"/>
      <c r="S2719" s="16"/>
      <c r="T2719" s="16"/>
      <c r="U2719" s="16"/>
      <c r="V2719" s="16"/>
      <c r="W2719" s="16"/>
      <c r="X2719" s="16"/>
    </row>
    <row r="2720" ht="15.75" customHeight="1">
      <c r="A2720" s="30" t="s">
        <v>120</v>
      </c>
      <c r="B2720" s="128">
        <v>2015.0</v>
      </c>
      <c r="C2720" s="30" t="s">
        <v>28319</v>
      </c>
      <c r="D2720" s="30" t="s">
        <v>28320</v>
      </c>
      <c r="E2720" s="139" t="s">
        <v>28321</v>
      </c>
      <c r="F2720" s="128">
        <v>21.0</v>
      </c>
      <c r="G2720" s="128">
        <v>30.0</v>
      </c>
      <c r="H2720" s="16" t="s">
        <v>17059</v>
      </c>
      <c r="I2720" s="30" t="s">
        <v>28327</v>
      </c>
      <c r="J2720" s="130" t="s">
        <v>28328</v>
      </c>
      <c r="K2720" s="30" t="s">
        <v>29302</v>
      </c>
      <c r="L2720" s="20" t="s">
        <v>28330</v>
      </c>
      <c r="M2720" s="223" t="s">
        <v>28331</v>
      </c>
      <c r="N2720" s="30"/>
      <c r="O2720" s="30"/>
      <c r="P2720" s="30"/>
      <c r="Q2720" s="30"/>
      <c r="R2720" s="30"/>
      <c r="S2720" s="30"/>
      <c r="T2720" s="30"/>
      <c r="U2720" s="30"/>
      <c r="V2720" s="30"/>
      <c r="W2720" s="30"/>
      <c r="X2720" s="30"/>
    </row>
    <row r="2721" ht="15.75" customHeight="1">
      <c r="A2721" s="30" t="s">
        <v>120</v>
      </c>
      <c r="B2721" s="128">
        <v>2015.0</v>
      </c>
      <c r="C2721" s="16" t="s">
        <v>28332</v>
      </c>
      <c r="D2721" s="16" t="s">
        <v>28333</v>
      </c>
      <c r="E2721" s="148" t="s">
        <v>28334</v>
      </c>
      <c r="F2721" s="143">
        <v>1.0</v>
      </c>
      <c r="G2721" s="143">
        <v>8.0</v>
      </c>
      <c r="H2721" s="16" t="s">
        <v>28</v>
      </c>
      <c r="I2721" s="16" t="s">
        <v>28343</v>
      </c>
      <c r="J2721" s="130" t="s">
        <v>28344</v>
      </c>
      <c r="K2721" s="16" t="s">
        <v>880</v>
      </c>
      <c r="L2721" s="20" t="s">
        <v>28347</v>
      </c>
      <c r="M2721" s="223" t="s">
        <v>28349</v>
      </c>
      <c r="N2721" s="30"/>
      <c r="O2721" s="30"/>
      <c r="P2721" s="30"/>
      <c r="Q2721" s="30"/>
      <c r="R2721" s="30"/>
      <c r="S2721" s="30"/>
      <c r="T2721" s="30"/>
      <c r="U2721" s="30"/>
      <c r="V2721" s="30"/>
      <c r="W2721" s="30"/>
      <c r="X2721" s="30"/>
    </row>
    <row r="2722" ht="15.75" customHeight="1">
      <c r="A2722" s="30" t="s">
        <v>120</v>
      </c>
      <c r="B2722" s="128">
        <v>2015.0</v>
      </c>
      <c r="C2722" s="16" t="s">
        <v>28353</v>
      </c>
      <c r="D2722" s="16" t="s">
        <v>28354</v>
      </c>
      <c r="E2722" s="148" t="s">
        <v>28355</v>
      </c>
      <c r="F2722" s="143">
        <v>9.0</v>
      </c>
      <c r="G2722" s="143">
        <v>16.0</v>
      </c>
      <c r="H2722" s="16" t="s">
        <v>28</v>
      </c>
      <c r="I2722" s="16" t="s">
        <v>28359</v>
      </c>
      <c r="J2722" s="130" t="s">
        <v>41766</v>
      </c>
      <c r="K2722" s="16" t="s">
        <v>29284</v>
      </c>
      <c r="L2722" s="20" t="s">
        <v>28363</v>
      </c>
      <c r="M2722" s="223" t="s">
        <v>28364</v>
      </c>
      <c r="N2722" s="30"/>
      <c r="O2722" s="30"/>
      <c r="P2722" s="30"/>
      <c r="Q2722" s="30"/>
      <c r="R2722" s="30"/>
      <c r="S2722" s="30"/>
      <c r="T2722" s="30"/>
      <c r="U2722" s="30"/>
      <c r="V2722" s="30"/>
      <c r="W2722" s="30"/>
      <c r="X2722" s="30"/>
    </row>
    <row r="2723" ht="15.75" customHeight="1">
      <c r="A2723" s="30" t="s">
        <v>120</v>
      </c>
      <c r="B2723" s="128">
        <v>2015.0</v>
      </c>
      <c r="C2723" s="16" t="s">
        <v>28366</v>
      </c>
      <c r="D2723" s="16" t="s">
        <v>28368</v>
      </c>
      <c r="E2723" s="148" t="s">
        <v>28369</v>
      </c>
      <c r="F2723" s="143">
        <v>17.0</v>
      </c>
      <c r="G2723" s="143">
        <v>24.0</v>
      </c>
      <c r="H2723" s="16" t="s">
        <v>28</v>
      </c>
      <c r="I2723" s="16" t="s">
        <v>28375</v>
      </c>
      <c r="J2723" s="130" t="s">
        <v>28377</v>
      </c>
      <c r="K2723" s="16" t="s">
        <v>29209</v>
      </c>
      <c r="L2723" s="20" t="s">
        <v>28381</v>
      </c>
      <c r="M2723" s="223" t="s">
        <v>28382</v>
      </c>
      <c r="N2723" s="30"/>
      <c r="O2723" s="30"/>
      <c r="P2723" s="30"/>
      <c r="Q2723" s="30"/>
      <c r="R2723" s="30"/>
      <c r="S2723" s="30"/>
      <c r="T2723" s="30"/>
      <c r="U2723" s="30"/>
      <c r="V2723" s="30"/>
      <c r="W2723" s="30"/>
      <c r="X2723" s="30"/>
    </row>
    <row r="2724" ht="15.75" customHeight="1">
      <c r="A2724" s="30" t="s">
        <v>120</v>
      </c>
      <c r="B2724" s="128">
        <v>2015.0</v>
      </c>
      <c r="C2724" s="16" t="s">
        <v>28383</v>
      </c>
      <c r="D2724" s="16" t="s">
        <v>28384</v>
      </c>
      <c r="E2724" s="148" t="s">
        <v>28385</v>
      </c>
      <c r="F2724" s="143">
        <v>25.0</v>
      </c>
      <c r="G2724" s="143">
        <v>32.0</v>
      </c>
      <c r="H2724" s="16" t="s">
        <v>28</v>
      </c>
      <c r="I2724" s="16" t="s">
        <v>28388</v>
      </c>
      <c r="J2724" s="130" t="s">
        <v>28390</v>
      </c>
      <c r="K2724" s="16" t="s">
        <v>29156</v>
      </c>
      <c r="L2724" s="20" t="s">
        <v>28393</v>
      </c>
      <c r="M2724" s="223" t="s">
        <v>28394</v>
      </c>
      <c r="N2724" s="30"/>
      <c r="O2724" s="30"/>
      <c r="P2724" s="30"/>
      <c r="Q2724" s="30"/>
      <c r="R2724" s="30"/>
      <c r="S2724" s="30"/>
      <c r="T2724" s="30"/>
      <c r="U2724" s="30"/>
      <c r="V2724" s="30"/>
      <c r="W2724" s="30"/>
      <c r="X2724" s="30"/>
    </row>
    <row r="2725" ht="15.75" customHeight="1">
      <c r="A2725" s="30" t="s">
        <v>120</v>
      </c>
      <c r="B2725" s="128">
        <v>2015.0</v>
      </c>
      <c r="C2725" s="16" t="s">
        <v>28447</v>
      </c>
      <c r="D2725" s="16" t="s">
        <v>28448</v>
      </c>
      <c r="E2725" s="148" t="s">
        <v>28449</v>
      </c>
      <c r="F2725" s="143">
        <v>33.0</v>
      </c>
      <c r="G2725" s="143">
        <v>40.0</v>
      </c>
      <c r="H2725" s="16" t="s">
        <v>28</v>
      </c>
      <c r="I2725" s="16" t="s">
        <v>28456</v>
      </c>
      <c r="J2725" s="130" t="s">
        <v>28457</v>
      </c>
      <c r="K2725" s="16" t="s">
        <v>29183</v>
      </c>
      <c r="L2725" s="20" t="s">
        <v>19321</v>
      </c>
      <c r="M2725" s="16"/>
      <c r="N2725" s="30"/>
      <c r="O2725" s="30"/>
      <c r="P2725" s="30"/>
      <c r="Q2725" s="30"/>
      <c r="R2725" s="30"/>
      <c r="S2725" s="30"/>
      <c r="T2725" s="30"/>
      <c r="U2725" s="30"/>
      <c r="V2725" s="30"/>
      <c r="W2725" s="30"/>
      <c r="X2725" s="30"/>
    </row>
    <row r="2726" ht="15.75" customHeight="1">
      <c r="A2726" s="30" t="s">
        <v>120</v>
      </c>
      <c r="B2726" s="128">
        <v>2015.0</v>
      </c>
      <c r="C2726" s="16" t="s">
        <v>28459</v>
      </c>
      <c r="D2726" s="16" t="s">
        <v>28460</v>
      </c>
      <c r="E2726" s="148" t="s">
        <v>28461</v>
      </c>
      <c r="F2726" s="143">
        <v>41.0</v>
      </c>
      <c r="G2726" s="143">
        <v>48.0</v>
      </c>
      <c r="H2726" s="16" t="s">
        <v>28</v>
      </c>
      <c r="I2726" s="16" t="s">
        <v>28465</v>
      </c>
      <c r="J2726" s="130" t="s">
        <v>28466</v>
      </c>
      <c r="K2726" s="16" t="s">
        <v>29341</v>
      </c>
      <c r="L2726" s="20" t="s">
        <v>28470</v>
      </c>
      <c r="M2726" s="16"/>
      <c r="N2726" s="30"/>
      <c r="O2726" s="30"/>
      <c r="P2726" s="30"/>
      <c r="Q2726" s="30"/>
      <c r="R2726" s="30"/>
      <c r="S2726" s="30"/>
      <c r="T2726" s="30"/>
      <c r="U2726" s="30"/>
      <c r="V2726" s="30"/>
      <c r="W2726" s="30"/>
      <c r="X2726" s="30"/>
    </row>
    <row r="2727" ht="15.75" customHeight="1">
      <c r="A2727" s="30" t="s">
        <v>120</v>
      </c>
      <c r="B2727" s="128">
        <v>2015.0</v>
      </c>
      <c r="C2727" s="16" t="s">
        <v>28471</v>
      </c>
      <c r="D2727" s="16" t="s">
        <v>28472</v>
      </c>
      <c r="E2727" s="148" t="s">
        <v>28473</v>
      </c>
      <c r="F2727" s="143">
        <v>49.0</v>
      </c>
      <c r="G2727" s="143">
        <v>56.0</v>
      </c>
      <c r="H2727" s="16" t="s">
        <v>28</v>
      </c>
      <c r="I2727" s="16" t="s">
        <v>28479</v>
      </c>
      <c r="J2727" s="130" t="s">
        <v>28480</v>
      </c>
      <c r="K2727" s="16" t="s">
        <v>29264</v>
      </c>
      <c r="L2727" s="20" t="s">
        <v>28482</v>
      </c>
      <c r="M2727" s="223" t="s">
        <v>28483</v>
      </c>
      <c r="N2727" s="30"/>
      <c r="O2727" s="30"/>
      <c r="P2727" s="30"/>
      <c r="Q2727" s="30"/>
      <c r="R2727" s="30"/>
      <c r="S2727" s="30"/>
      <c r="T2727" s="30"/>
      <c r="U2727" s="30"/>
      <c r="V2727" s="30"/>
      <c r="W2727" s="30"/>
      <c r="X2727" s="30"/>
    </row>
    <row r="2728" ht="15.75" customHeight="1">
      <c r="A2728" s="30" t="s">
        <v>120</v>
      </c>
      <c r="B2728" s="128">
        <v>2015.0</v>
      </c>
      <c r="C2728" s="16" t="s">
        <v>28485</v>
      </c>
      <c r="D2728" s="16" t="s">
        <v>28486</v>
      </c>
      <c r="E2728" s="148" t="s">
        <v>28487</v>
      </c>
      <c r="F2728" s="143">
        <v>57.0</v>
      </c>
      <c r="G2728" s="143">
        <v>64.0</v>
      </c>
      <c r="H2728" s="16" t="s">
        <v>28</v>
      </c>
      <c r="I2728" s="16" t="s">
        <v>28491</v>
      </c>
      <c r="J2728" s="130" t="s">
        <v>28492</v>
      </c>
      <c r="K2728" s="16" t="s">
        <v>29164</v>
      </c>
      <c r="L2728" s="20" t="s">
        <v>28496</v>
      </c>
      <c r="M2728" s="223" t="s">
        <v>28497</v>
      </c>
      <c r="N2728" s="30"/>
      <c r="O2728" s="30"/>
      <c r="P2728" s="30"/>
      <c r="Q2728" s="30"/>
      <c r="R2728" s="30"/>
      <c r="S2728" s="30"/>
      <c r="T2728" s="30"/>
      <c r="U2728" s="30"/>
      <c r="V2728" s="30"/>
      <c r="W2728" s="30"/>
      <c r="X2728" s="30"/>
    </row>
    <row r="2729" ht="15.75" customHeight="1">
      <c r="A2729" s="30" t="s">
        <v>120</v>
      </c>
      <c r="B2729" s="128">
        <v>2015.0</v>
      </c>
      <c r="C2729" s="16" t="s">
        <v>28499</v>
      </c>
      <c r="D2729" s="16" t="s">
        <v>28500</v>
      </c>
      <c r="E2729" s="148" t="s">
        <v>28501</v>
      </c>
      <c r="F2729" s="143">
        <v>65.0</v>
      </c>
      <c r="G2729" s="143">
        <v>72.0</v>
      </c>
      <c r="H2729" s="16" t="s">
        <v>28</v>
      </c>
      <c r="I2729" s="16" t="s">
        <v>28507</v>
      </c>
      <c r="J2729" s="130" t="s">
        <v>28509</v>
      </c>
      <c r="K2729" s="16" t="s">
        <v>29166</v>
      </c>
      <c r="L2729" s="20" t="s">
        <v>28511</v>
      </c>
      <c r="M2729" s="16"/>
      <c r="N2729" s="30"/>
      <c r="O2729" s="30"/>
      <c r="P2729" s="30"/>
      <c r="Q2729" s="30"/>
      <c r="R2729" s="30"/>
      <c r="S2729" s="30"/>
      <c r="T2729" s="30"/>
      <c r="U2729" s="30"/>
      <c r="V2729" s="30"/>
      <c r="W2729" s="30"/>
      <c r="X2729" s="30"/>
    </row>
    <row r="2730" ht="15.75" customHeight="1">
      <c r="A2730" s="30" t="s">
        <v>120</v>
      </c>
      <c r="B2730" s="128">
        <v>2015.0</v>
      </c>
      <c r="C2730" s="30" t="s">
        <v>28512</v>
      </c>
      <c r="D2730" s="30" t="s">
        <v>28513</v>
      </c>
      <c r="E2730" s="139" t="s">
        <v>28514</v>
      </c>
      <c r="F2730" s="143">
        <v>73.0</v>
      </c>
      <c r="G2730" s="128">
        <v>80.0</v>
      </c>
      <c r="H2730" s="16" t="s">
        <v>28</v>
      </c>
      <c r="I2730" s="30" t="s">
        <v>28519</v>
      </c>
      <c r="J2730" s="130" t="s">
        <v>28520</v>
      </c>
      <c r="K2730" s="30" t="s">
        <v>29189</v>
      </c>
      <c r="L2730" s="20" t="s">
        <v>28522</v>
      </c>
      <c r="M2730" s="223" t="s">
        <v>28523</v>
      </c>
      <c r="N2730" s="30"/>
      <c r="O2730" s="30"/>
      <c r="P2730" s="30"/>
      <c r="Q2730" s="30"/>
      <c r="R2730" s="30"/>
      <c r="S2730" s="30"/>
      <c r="T2730" s="30"/>
      <c r="U2730" s="30"/>
      <c r="V2730" s="30"/>
      <c r="W2730" s="30"/>
      <c r="X2730" s="30"/>
    </row>
    <row r="2731" ht="15.75" customHeight="1">
      <c r="A2731" s="30" t="s">
        <v>120</v>
      </c>
      <c r="B2731" s="128">
        <v>2015.0</v>
      </c>
      <c r="C2731" s="30" t="s">
        <v>28526</v>
      </c>
      <c r="D2731" s="30" t="s">
        <v>28527</v>
      </c>
      <c r="E2731" s="139" t="s">
        <v>28528</v>
      </c>
      <c r="F2731" s="128">
        <v>81.0</v>
      </c>
      <c r="G2731" s="128">
        <v>88.0</v>
      </c>
      <c r="H2731" s="16" t="s">
        <v>28</v>
      </c>
      <c r="I2731" s="30" t="s">
        <v>28533</v>
      </c>
      <c r="J2731" s="130" t="s">
        <v>28534</v>
      </c>
      <c r="K2731" s="30" t="s">
        <v>29161</v>
      </c>
      <c r="L2731" s="20" t="s">
        <v>28536</v>
      </c>
      <c r="M2731" s="223" t="s">
        <v>28537</v>
      </c>
      <c r="N2731" s="30"/>
      <c r="O2731" s="30"/>
      <c r="P2731" s="30"/>
      <c r="Q2731" s="30"/>
      <c r="R2731" s="30"/>
      <c r="S2731" s="30"/>
      <c r="T2731" s="30"/>
      <c r="U2731" s="30"/>
      <c r="V2731" s="30"/>
      <c r="W2731" s="30"/>
      <c r="X2731" s="30"/>
    </row>
    <row r="2732" ht="15.75" customHeight="1">
      <c r="A2732" s="30" t="s">
        <v>120</v>
      </c>
      <c r="B2732" s="128">
        <v>2015.0</v>
      </c>
      <c r="C2732" s="30" t="s">
        <v>28538</v>
      </c>
      <c r="D2732" s="30" t="s">
        <v>28540</v>
      </c>
      <c r="E2732" s="139" t="s">
        <v>28541</v>
      </c>
      <c r="F2732" s="128">
        <v>89.0</v>
      </c>
      <c r="G2732" s="128">
        <v>96.0</v>
      </c>
      <c r="H2732" s="16" t="s">
        <v>28</v>
      </c>
      <c r="I2732" s="30" t="s">
        <v>28548</v>
      </c>
      <c r="J2732" s="130" t="s">
        <v>28549</v>
      </c>
      <c r="K2732" s="30" t="s">
        <v>29251</v>
      </c>
      <c r="L2732" s="20" t="s">
        <v>28552</v>
      </c>
      <c r="M2732" s="223" t="s">
        <v>28553</v>
      </c>
      <c r="N2732" s="30"/>
      <c r="O2732" s="30"/>
      <c r="P2732" s="30"/>
      <c r="Q2732" s="30"/>
      <c r="R2732" s="30"/>
      <c r="S2732" s="30"/>
      <c r="T2732" s="30"/>
      <c r="U2732" s="30"/>
      <c r="V2732" s="30"/>
      <c r="W2732" s="30"/>
      <c r="X2732" s="30"/>
    </row>
    <row r="2733" ht="15.75" customHeight="1">
      <c r="A2733" s="30" t="s">
        <v>120</v>
      </c>
      <c r="B2733" s="128">
        <v>2015.0</v>
      </c>
      <c r="C2733" s="30" t="s">
        <v>28556</v>
      </c>
      <c r="D2733" s="30" t="s">
        <v>28557</v>
      </c>
      <c r="E2733" s="139" t="s">
        <v>28559</v>
      </c>
      <c r="F2733" s="128">
        <v>97.0</v>
      </c>
      <c r="G2733" s="128">
        <v>104.0</v>
      </c>
      <c r="H2733" s="16" t="s">
        <v>28</v>
      </c>
      <c r="I2733" s="30" t="s">
        <v>28562</v>
      </c>
      <c r="J2733" s="130" t="s">
        <v>28563</v>
      </c>
      <c r="K2733" s="30" t="s">
        <v>29460</v>
      </c>
      <c r="L2733" s="20" t="s">
        <v>28568</v>
      </c>
      <c r="M2733" s="16"/>
      <c r="N2733" s="30"/>
      <c r="O2733" s="30"/>
      <c r="P2733" s="30"/>
      <c r="Q2733" s="30"/>
      <c r="R2733" s="30"/>
      <c r="S2733" s="30"/>
      <c r="T2733" s="30"/>
      <c r="U2733" s="30"/>
      <c r="V2733" s="30"/>
      <c r="W2733" s="30"/>
      <c r="X2733" s="30"/>
    </row>
    <row r="2734" ht="15.75" customHeight="1">
      <c r="A2734" s="30" t="s">
        <v>120</v>
      </c>
      <c r="B2734" s="128">
        <v>2015.0</v>
      </c>
      <c r="C2734" s="30" t="s">
        <v>28569</v>
      </c>
      <c r="D2734" s="30" t="s">
        <v>28570</v>
      </c>
      <c r="E2734" s="149" t="s">
        <v>28571</v>
      </c>
      <c r="F2734" s="128">
        <v>105.0</v>
      </c>
      <c r="G2734" s="128">
        <v>112.0</v>
      </c>
      <c r="H2734" s="16" t="s">
        <v>28</v>
      </c>
      <c r="I2734" s="30" t="s">
        <v>28586</v>
      </c>
      <c r="J2734" s="130" t="s">
        <v>28587</v>
      </c>
      <c r="K2734" s="30" t="s">
        <v>29180</v>
      </c>
      <c r="L2734" s="20" t="s">
        <v>21675</v>
      </c>
      <c r="M2734" s="16"/>
      <c r="N2734" s="30"/>
      <c r="O2734" s="30"/>
      <c r="P2734" s="30"/>
      <c r="Q2734" s="30"/>
      <c r="R2734" s="30"/>
      <c r="S2734" s="30"/>
      <c r="T2734" s="30"/>
      <c r="U2734" s="30"/>
      <c r="V2734" s="30"/>
      <c r="W2734" s="30"/>
      <c r="X2734" s="30"/>
    </row>
    <row r="2735" ht="15.75" customHeight="1">
      <c r="A2735" s="30" t="s">
        <v>120</v>
      </c>
      <c r="B2735" s="128">
        <v>2015.0</v>
      </c>
      <c r="C2735" s="30" t="s">
        <v>28590</v>
      </c>
      <c r="D2735" s="54" t="s">
        <v>28591</v>
      </c>
      <c r="E2735" s="139" t="s">
        <v>28592</v>
      </c>
      <c r="F2735" s="128">
        <v>187.0</v>
      </c>
      <c r="G2735" s="128">
        <v>188.0</v>
      </c>
      <c r="H2735" s="16" t="s">
        <v>21</v>
      </c>
      <c r="I2735" s="30" t="s">
        <v>28598</v>
      </c>
      <c r="J2735" s="130" t="s">
        <v>41767</v>
      </c>
      <c r="K2735" s="30" t="s">
        <v>29520</v>
      </c>
      <c r="L2735" s="20"/>
      <c r="M2735" s="16"/>
      <c r="N2735" s="30"/>
      <c r="O2735" s="30"/>
      <c r="P2735" s="30"/>
      <c r="Q2735" s="30"/>
      <c r="R2735" s="30"/>
      <c r="S2735" s="30"/>
      <c r="T2735" s="30"/>
      <c r="U2735" s="30"/>
      <c r="V2735" s="30"/>
      <c r="W2735" s="30"/>
      <c r="X2735" s="30"/>
    </row>
    <row r="2736" ht="15.75" customHeight="1">
      <c r="A2736" s="30" t="s">
        <v>120</v>
      </c>
      <c r="B2736" s="128">
        <v>2015.0</v>
      </c>
      <c r="C2736" s="30" t="s">
        <v>28604</v>
      </c>
      <c r="D2736" s="30" t="s">
        <v>28605</v>
      </c>
      <c r="E2736" s="139" t="s">
        <v>28607</v>
      </c>
      <c r="F2736" s="128">
        <v>189.0</v>
      </c>
      <c r="G2736" s="128">
        <v>190.0</v>
      </c>
      <c r="H2736" s="16" t="s">
        <v>21</v>
      </c>
      <c r="I2736" s="30" t="s">
        <v>28613</v>
      </c>
      <c r="J2736" s="130" t="s">
        <v>28614</v>
      </c>
      <c r="K2736" s="30" t="s">
        <v>29522</v>
      </c>
      <c r="L2736" s="20"/>
      <c r="M2736" s="16"/>
      <c r="N2736" s="30"/>
      <c r="O2736" s="30"/>
      <c r="P2736" s="30"/>
      <c r="Q2736" s="30"/>
      <c r="R2736" s="30"/>
      <c r="S2736" s="30"/>
      <c r="T2736" s="30"/>
      <c r="U2736" s="30"/>
      <c r="V2736" s="30"/>
      <c r="W2736" s="30"/>
      <c r="X2736" s="30"/>
    </row>
    <row r="2737" ht="15.75" customHeight="1">
      <c r="A2737" s="30" t="s">
        <v>120</v>
      </c>
      <c r="B2737" s="128">
        <v>2015.0</v>
      </c>
      <c r="C2737" s="30" t="s">
        <v>28619</v>
      </c>
      <c r="D2737" s="30" t="s">
        <v>28620</v>
      </c>
      <c r="E2737" s="139" t="s">
        <v>28621</v>
      </c>
      <c r="F2737" s="128">
        <v>191.0</v>
      </c>
      <c r="G2737" s="128">
        <v>192.0</v>
      </c>
      <c r="H2737" s="16" t="s">
        <v>21</v>
      </c>
      <c r="I2737" s="16"/>
      <c r="J2737" s="130" t="s">
        <v>28623</v>
      </c>
      <c r="K2737" s="30" t="s">
        <v>880</v>
      </c>
      <c r="L2737" s="20"/>
      <c r="M2737" s="16"/>
      <c r="N2737" s="30"/>
      <c r="O2737" s="30"/>
      <c r="P2737" s="30"/>
      <c r="Q2737" s="30"/>
      <c r="R2737" s="30"/>
      <c r="S2737" s="30"/>
      <c r="T2737" s="30"/>
      <c r="U2737" s="30"/>
      <c r="V2737" s="30"/>
      <c r="W2737" s="30"/>
      <c r="X2737" s="30"/>
    </row>
    <row r="2738" ht="15.75" customHeight="1">
      <c r="A2738" s="30" t="s">
        <v>120</v>
      </c>
      <c r="B2738" s="128">
        <v>2015.0</v>
      </c>
      <c r="C2738" s="30" t="s">
        <v>28625</v>
      </c>
      <c r="D2738" s="30" t="s">
        <v>28626</v>
      </c>
      <c r="E2738" s="139" t="s">
        <v>28627</v>
      </c>
      <c r="F2738" s="128">
        <v>193.0</v>
      </c>
      <c r="G2738" s="128">
        <v>194.0</v>
      </c>
      <c r="H2738" s="16" t="s">
        <v>21</v>
      </c>
      <c r="I2738" s="30" t="s">
        <v>28628</v>
      </c>
      <c r="J2738" s="130" t="s">
        <v>28629</v>
      </c>
      <c r="K2738" s="30" t="s">
        <v>494</v>
      </c>
      <c r="L2738" s="20"/>
      <c r="M2738" s="16"/>
      <c r="N2738" s="30"/>
      <c r="O2738" s="30"/>
      <c r="P2738" s="30"/>
      <c r="Q2738" s="30"/>
      <c r="R2738" s="30"/>
      <c r="S2738" s="30"/>
      <c r="T2738" s="30"/>
      <c r="U2738" s="30"/>
      <c r="V2738" s="30"/>
      <c r="W2738" s="30"/>
      <c r="X2738" s="30"/>
    </row>
    <row r="2739" ht="15.75" customHeight="1">
      <c r="A2739" s="30" t="s">
        <v>120</v>
      </c>
      <c r="B2739" s="128">
        <v>2015.0</v>
      </c>
      <c r="C2739" s="30" t="s">
        <v>28631</v>
      </c>
      <c r="D2739" s="30" t="s">
        <v>28632</v>
      </c>
      <c r="E2739" s="139" t="s">
        <v>28633</v>
      </c>
      <c r="F2739" s="128">
        <v>195.0</v>
      </c>
      <c r="G2739" s="128">
        <v>196.0</v>
      </c>
      <c r="H2739" s="16" t="s">
        <v>21</v>
      </c>
      <c r="I2739" s="30" t="s">
        <v>28634</v>
      </c>
      <c r="J2739" s="130" t="s">
        <v>28636</v>
      </c>
      <c r="K2739" s="30" t="s">
        <v>29198</v>
      </c>
      <c r="L2739" s="20"/>
      <c r="M2739" s="16"/>
      <c r="N2739" s="30"/>
      <c r="O2739" s="30"/>
      <c r="P2739" s="30"/>
      <c r="Q2739" s="30"/>
      <c r="R2739" s="30"/>
      <c r="S2739" s="30"/>
      <c r="T2739" s="30"/>
      <c r="U2739" s="30"/>
      <c r="V2739" s="30"/>
      <c r="W2739" s="30"/>
      <c r="X2739" s="30"/>
    </row>
    <row r="2740" ht="15.75" customHeight="1">
      <c r="A2740" s="30" t="s">
        <v>120</v>
      </c>
      <c r="B2740" s="128">
        <v>2015.0</v>
      </c>
      <c r="C2740" s="30" t="s">
        <v>28638</v>
      </c>
      <c r="D2740" s="30" t="s">
        <v>28639</v>
      </c>
      <c r="E2740" s="139" t="s">
        <v>28640</v>
      </c>
      <c r="F2740" s="128">
        <v>197.0</v>
      </c>
      <c r="G2740" s="128">
        <v>198.0</v>
      </c>
      <c r="H2740" s="16" t="s">
        <v>21</v>
      </c>
      <c r="I2740" s="30" t="s">
        <v>28642</v>
      </c>
      <c r="J2740" s="130" t="s">
        <v>41768</v>
      </c>
      <c r="K2740" s="30" t="s">
        <v>29218</v>
      </c>
      <c r="L2740" s="20"/>
      <c r="M2740" s="16"/>
      <c r="N2740" s="30"/>
      <c r="O2740" s="30"/>
      <c r="P2740" s="30"/>
      <c r="Q2740" s="30"/>
      <c r="R2740" s="30"/>
      <c r="S2740" s="30"/>
      <c r="T2740" s="30"/>
      <c r="U2740" s="30"/>
      <c r="V2740" s="30"/>
      <c r="W2740" s="30"/>
      <c r="X2740" s="30"/>
    </row>
    <row r="2741" ht="15.75" customHeight="1">
      <c r="A2741" s="30" t="s">
        <v>120</v>
      </c>
      <c r="B2741" s="128">
        <v>2015.0</v>
      </c>
      <c r="C2741" s="30" t="s">
        <v>28646</v>
      </c>
      <c r="D2741" s="30" t="s">
        <v>28647</v>
      </c>
      <c r="E2741" s="139" t="s">
        <v>28648</v>
      </c>
      <c r="F2741" s="128">
        <v>199.0</v>
      </c>
      <c r="G2741" s="128">
        <v>200.0</v>
      </c>
      <c r="H2741" s="16" t="s">
        <v>21</v>
      </c>
      <c r="I2741" s="30" t="s">
        <v>28651</v>
      </c>
      <c r="J2741" s="130" t="s">
        <v>28652</v>
      </c>
      <c r="K2741" s="30" t="s">
        <v>5349</v>
      </c>
      <c r="L2741" s="20"/>
      <c r="M2741" s="16"/>
      <c r="N2741" s="30"/>
      <c r="O2741" s="30"/>
      <c r="P2741" s="30"/>
      <c r="Q2741" s="30"/>
      <c r="R2741" s="30"/>
      <c r="S2741" s="30"/>
      <c r="T2741" s="30"/>
      <c r="U2741" s="30"/>
      <c r="V2741" s="30"/>
      <c r="W2741" s="30"/>
      <c r="X2741" s="30"/>
    </row>
    <row r="2742" ht="15.75" customHeight="1">
      <c r="A2742" s="30" t="s">
        <v>120</v>
      </c>
      <c r="B2742" s="128">
        <v>2015.0</v>
      </c>
      <c r="C2742" s="30" t="s">
        <v>28654</v>
      </c>
      <c r="D2742" s="30" t="s">
        <v>28655</v>
      </c>
      <c r="E2742" s="139" t="s">
        <v>28656</v>
      </c>
      <c r="F2742" s="128">
        <v>201.0</v>
      </c>
      <c r="G2742" s="128">
        <v>202.0</v>
      </c>
      <c r="H2742" s="16" t="s">
        <v>21</v>
      </c>
      <c r="I2742" s="30" t="s">
        <v>28659</v>
      </c>
      <c r="J2742" s="130" t="s">
        <v>28660</v>
      </c>
      <c r="K2742" s="30" t="s">
        <v>29513</v>
      </c>
      <c r="L2742" s="20"/>
      <c r="M2742" s="16"/>
      <c r="N2742" s="30"/>
      <c r="O2742" s="30"/>
      <c r="P2742" s="30"/>
      <c r="Q2742" s="30"/>
      <c r="R2742" s="30"/>
      <c r="S2742" s="30"/>
      <c r="T2742" s="30"/>
      <c r="U2742" s="30"/>
      <c r="V2742" s="30"/>
      <c r="W2742" s="30"/>
      <c r="X2742" s="30"/>
    </row>
    <row r="2743" ht="15.75" customHeight="1">
      <c r="A2743" s="30" t="s">
        <v>120</v>
      </c>
      <c r="B2743" s="128">
        <v>2015.0</v>
      </c>
      <c r="C2743" s="30" t="s">
        <v>28663</v>
      </c>
      <c r="D2743" s="30" t="s">
        <v>28664</v>
      </c>
      <c r="E2743" s="139" t="s">
        <v>28665</v>
      </c>
      <c r="F2743" s="128">
        <v>203.0</v>
      </c>
      <c r="G2743" s="128">
        <v>204.0</v>
      </c>
      <c r="H2743" s="16" t="s">
        <v>21</v>
      </c>
      <c r="I2743" s="30" t="s">
        <v>28667</v>
      </c>
      <c r="J2743" s="130" t="s">
        <v>28668</v>
      </c>
      <c r="K2743" s="30" t="s">
        <v>28606</v>
      </c>
      <c r="L2743" s="20"/>
      <c r="M2743" s="16"/>
      <c r="N2743" s="30"/>
      <c r="O2743" s="30"/>
      <c r="P2743" s="30"/>
      <c r="Q2743" s="30"/>
      <c r="R2743" s="30"/>
      <c r="S2743" s="30"/>
      <c r="T2743" s="30"/>
      <c r="U2743" s="30"/>
      <c r="V2743" s="30"/>
      <c r="W2743" s="30"/>
      <c r="X2743" s="30"/>
    </row>
    <row r="2744" ht="15.75" customHeight="1">
      <c r="A2744" s="30" t="s">
        <v>120</v>
      </c>
      <c r="B2744" s="128">
        <v>2015.0</v>
      </c>
      <c r="C2744" s="30" t="s">
        <v>28671</v>
      </c>
      <c r="D2744" s="30" t="s">
        <v>28672</v>
      </c>
      <c r="E2744" s="139" t="s">
        <v>28673</v>
      </c>
      <c r="F2744" s="128">
        <v>205.0</v>
      </c>
      <c r="G2744" s="128">
        <v>206.0</v>
      </c>
      <c r="H2744" s="16" t="s">
        <v>21</v>
      </c>
      <c r="I2744" s="30" t="s">
        <v>28674</v>
      </c>
      <c r="J2744" s="130" t="s">
        <v>28675</v>
      </c>
      <c r="K2744" s="30" t="s">
        <v>29470</v>
      </c>
      <c r="L2744" s="20"/>
      <c r="M2744" s="16"/>
      <c r="N2744" s="30"/>
      <c r="O2744" s="30"/>
      <c r="P2744" s="30"/>
      <c r="Q2744" s="30"/>
      <c r="R2744" s="30"/>
      <c r="S2744" s="30"/>
      <c r="T2744" s="30"/>
      <c r="U2744" s="30"/>
      <c r="V2744" s="30"/>
      <c r="W2744" s="30"/>
      <c r="X2744" s="30"/>
    </row>
    <row r="2745" ht="15.75" customHeight="1">
      <c r="A2745" s="30" t="s">
        <v>120</v>
      </c>
      <c r="B2745" s="128">
        <v>2015.0</v>
      </c>
      <c r="C2745" s="30" t="s">
        <v>28677</v>
      </c>
      <c r="D2745" s="30" t="s">
        <v>28678</v>
      </c>
      <c r="E2745" s="139" t="s">
        <v>28679</v>
      </c>
      <c r="F2745" s="128">
        <v>207.0</v>
      </c>
      <c r="G2745" s="128">
        <v>208.0</v>
      </c>
      <c r="H2745" s="16" t="s">
        <v>21</v>
      </c>
      <c r="I2745" s="30" t="s">
        <v>28684</v>
      </c>
      <c r="J2745" s="130" t="s">
        <v>28685</v>
      </c>
      <c r="K2745" s="30" t="s">
        <v>29432</v>
      </c>
      <c r="L2745" s="20"/>
      <c r="M2745" s="16"/>
      <c r="N2745" s="30"/>
      <c r="O2745" s="30"/>
      <c r="P2745" s="30"/>
      <c r="Q2745" s="30"/>
      <c r="R2745" s="30"/>
      <c r="S2745" s="30"/>
      <c r="T2745" s="30"/>
      <c r="U2745" s="30"/>
      <c r="V2745" s="30"/>
      <c r="W2745" s="30"/>
      <c r="X2745" s="30"/>
    </row>
    <row r="2746" ht="15.75" customHeight="1">
      <c r="A2746" s="30" t="s">
        <v>120</v>
      </c>
      <c r="B2746" s="128">
        <v>2015.0</v>
      </c>
      <c r="C2746" s="30" t="s">
        <v>28688</v>
      </c>
      <c r="D2746" s="30" t="s">
        <v>28689</v>
      </c>
      <c r="E2746" s="139" t="s">
        <v>28690</v>
      </c>
      <c r="F2746" s="128">
        <v>209.0</v>
      </c>
      <c r="G2746" s="128">
        <v>210.0</v>
      </c>
      <c r="H2746" s="16" t="s">
        <v>21</v>
      </c>
      <c r="I2746" s="30" t="s">
        <v>28693</v>
      </c>
      <c r="J2746" s="130" t="s">
        <v>28694</v>
      </c>
      <c r="K2746" s="30" t="s">
        <v>880</v>
      </c>
      <c r="L2746" s="20"/>
      <c r="M2746" s="16"/>
      <c r="N2746" s="30"/>
      <c r="O2746" s="30"/>
      <c r="P2746" s="30"/>
      <c r="Q2746" s="30"/>
      <c r="R2746" s="30"/>
      <c r="S2746" s="30"/>
      <c r="T2746" s="30"/>
      <c r="U2746" s="30"/>
      <c r="V2746" s="30"/>
      <c r="W2746" s="30"/>
      <c r="X2746" s="30"/>
    </row>
    <row r="2747" ht="15.75" customHeight="1">
      <c r="A2747" s="30" t="s">
        <v>120</v>
      </c>
      <c r="B2747" s="128">
        <v>2015.0</v>
      </c>
      <c r="C2747" s="30" t="s">
        <v>28700</v>
      </c>
      <c r="D2747" s="30" t="s">
        <v>28701</v>
      </c>
      <c r="E2747" s="139" t="s">
        <v>28702</v>
      </c>
      <c r="F2747" s="128">
        <v>211.0</v>
      </c>
      <c r="G2747" s="128">
        <v>212.0</v>
      </c>
      <c r="H2747" s="16" t="s">
        <v>21</v>
      </c>
      <c r="I2747" s="30" t="s">
        <v>28708</v>
      </c>
      <c r="J2747" s="130" t="s">
        <v>28709</v>
      </c>
      <c r="K2747" s="30" t="s">
        <v>29379</v>
      </c>
      <c r="L2747" s="20"/>
      <c r="M2747" s="16"/>
      <c r="N2747" s="30"/>
      <c r="O2747" s="30"/>
      <c r="P2747" s="30"/>
      <c r="Q2747" s="30"/>
      <c r="R2747" s="30"/>
      <c r="S2747" s="30"/>
      <c r="T2747" s="30"/>
      <c r="U2747" s="30"/>
      <c r="V2747" s="30"/>
      <c r="W2747" s="30"/>
      <c r="X2747" s="30"/>
    </row>
    <row r="2748" ht="15.75" customHeight="1">
      <c r="A2748" s="30" t="s">
        <v>120</v>
      </c>
      <c r="B2748" s="128">
        <v>2015.0</v>
      </c>
      <c r="C2748" s="30" t="s">
        <v>28712</v>
      </c>
      <c r="D2748" s="30" t="s">
        <v>28713</v>
      </c>
      <c r="E2748" s="139" t="s">
        <v>28714</v>
      </c>
      <c r="F2748" s="128">
        <v>213.0</v>
      </c>
      <c r="G2748" s="128">
        <v>214.0</v>
      </c>
      <c r="H2748" s="16" t="s">
        <v>21</v>
      </c>
      <c r="I2748" s="30" t="s">
        <v>28719</v>
      </c>
      <c r="J2748" s="130" t="s">
        <v>28720</v>
      </c>
      <c r="K2748" s="30" t="s">
        <v>27982</v>
      </c>
      <c r="L2748" s="20"/>
      <c r="M2748" s="16"/>
      <c r="N2748" s="30"/>
      <c r="O2748" s="30"/>
      <c r="P2748" s="30"/>
      <c r="Q2748" s="30"/>
      <c r="R2748" s="30"/>
      <c r="S2748" s="30"/>
      <c r="T2748" s="30"/>
      <c r="U2748" s="30"/>
      <c r="V2748" s="30"/>
      <c r="W2748" s="30"/>
      <c r="X2748" s="30"/>
    </row>
    <row r="2749" ht="15.75" customHeight="1">
      <c r="A2749" s="30" t="s">
        <v>120</v>
      </c>
      <c r="B2749" s="128">
        <v>2015.0</v>
      </c>
      <c r="C2749" s="30" t="s">
        <v>28722</v>
      </c>
      <c r="D2749" s="30" t="s">
        <v>28723</v>
      </c>
      <c r="E2749" s="139" t="s">
        <v>28725</v>
      </c>
      <c r="F2749" s="128">
        <v>215.0</v>
      </c>
      <c r="G2749" s="128">
        <v>216.0</v>
      </c>
      <c r="H2749" s="16" t="s">
        <v>21</v>
      </c>
      <c r="I2749" s="30" t="s">
        <v>29516</v>
      </c>
      <c r="J2749" s="130" t="s">
        <v>28732</v>
      </c>
      <c r="K2749" s="30" t="s">
        <v>29518</v>
      </c>
      <c r="L2749" s="20"/>
      <c r="M2749" s="16"/>
      <c r="N2749" s="30"/>
      <c r="O2749" s="30"/>
      <c r="P2749" s="30"/>
      <c r="Q2749" s="30"/>
      <c r="R2749" s="30"/>
      <c r="S2749" s="30"/>
      <c r="T2749" s="30"/>
      <c r="U2749" s="30"/>
      <c r="V2749" s="30"/>
      <c r="W2749" s="30"/>
      <c r="X2749" s="30"/>
    </row>
    <row r="2750" ht="15.75" customHeight="1">
      <c r="A2750" s="30" t="s">
        <v>120</v>
      </c>
      <c r="B2750" s="128">
        <v>2015.0</v>
      </c>
      <c r="C2750" s="30" t="s">
        <v>28734</v>
      </c>
      <c r="D2750" s="30" t="s">
        <v>28735</v>
      </c>
      <c r="E2750" s="139" t="s">
        <v>28736</v>
      </c>
      <c r="F2750" s="128">
        <v>217.0</v>
      </c>
      <c r="G2750" s="128">
        <v>218.0</v>
      </c>
      <c r="H2750" s="16" t="s">
        <v>21</v>
      </c>
      <c r="I2750" s="30" t="s">
        <v>28742</v>
      </c>
      <c r="J2750" s="130" t="s">
        <v>28743</v>
      </c>
      <c r="K2750" s="30" t="s">
        <v>29453</v>
      </c>
      <c r="L2750" s="20"/>
      <c r="M2750" s="16"/>
      <c r="N2750" s="30"/>
      <c r="O2750" s="30"/>
      <c r="P2750" s="30"/>
      <c r="Q2750" s="30"/>
      <c r="R2750" s="30"/>
      <c r="S2750" s="30"/>
      <c r="T2750" s="30"/>
      <c r="U2750" s="30"/>
      <c r="V2750" s="30"/>
      <c r="W2750" s="30"/>
      <c r="X2750" s="30"/>
    </row>
    <row r="2751" ht="15.75" customHeight="1">
      <c r="A2751" s="30" t="s">
        <v>120</v>
      </c>
      <c r="B2751" s="128">
        <v>2015.0</v>
      </c>
      <c r="C2751" s="30" t="s">
        <v>28746</v>
      </c>
      <c r="D2751" s="30" t="s">
        <v>28747</v>
      </c>
      <c r="E2751" s="139" t="s">
        <v>28748</v>
      </c>
      <c r="F2751" s="128">
        <v>219.0</v>
      </c>
      <c r="G2751" s="128">
        <v>220.0</v>
      </c>
      <c r="H2751" s="16" t="s">
        <v>21</v>
      </c>
      <c r="I2751" s="30" t="s">
        <v>28753</v>
      </c>
      <c r="J2751" s="130" t="s">
        <v>28754</v>
      </c>
      <c r="K2751" s="30" t="s">
        <v>29173</v>
      </c>
      <c r="L2751" s="20"/>
      <c r="M2751" s="16"/>
      <c r="N2751" s="30"/>
      <c r="O2751" s="30"/>
      <c r="P2751" s="30"/>
      <c r="Q2751" s="30"/>
      <c r="R2751" s="30"/>
      <c r="S2751" s="30"/>
      <c r="T2751" s="30"/>
      <c r="U2751" s="30"/>
      <c r="V2751" s="30"/>
      <c r="W2751" s="30"/>
      <c r="X2751" s="30"/>
    </row>
    <row r="2752" ht="15.75" customHeight="1">
      <c r="A2752" s="30" t="s">
        <v>120</v>
      </c>
      <c r="B2752" s="128">
        <v>2015.0</v>
      </c>
      <c r="C2752" s="30" t="s">
        <v>28757</v>
      </c>
      <c r="D2752" s="30" t="s">
        <v>28758</v>
      </c>
      <c r="E2752" s="139" t="s">
        <v>28759</v>
      </c>
      <c r="F2752" s="128">
        <v>221.0</v>
      </c>
      <c r="G2752" s="128">
        <v>222.0</v>
      </c>
      <c r="H2752" s="16" t="s">
        <v>21</v>
      </c>
      <c r="I2752" s="30" t="s">
        <v>29444</v>
      </c>
      <c r="J2752" s="130" t="s">
        <v>28761</v>
      </c>
      <c r="K2752" s="30" t="s">
        <v>29446</v>
      </c>
      <c r="L2752" s="20"/>
      <c r="M2752" s="16"/>
      <c r="N2752" s="30"/>
      <c r="O2752" s="30"/>
      <c r="P2752" s="30"/>
      <c r="Q2752" s="30"/>
      <c r="R2752" s="30"/>
      <c r="S2752" s="30"/>
      <c r="T2752" s="30"/>
      <c r="U2752" s="30"/>
      <c r="V2752" s="30"/>
      <c r="W2752" s="30"/>
      <c r="X2752" s="30"/>
    </row>
    <row r="2753" ht="15.75" customHeight="1">
      <c r="A2753" s="30" t="s">
        <v>120</v>
      </c>
      <c r="B2753" s="128">
        <v>2015.0</v>
      </c>
      <c r="C2753" s="30" t="s">
        <v>28764</v>
      </c>
      <c r="D2753" s="30" t="s">
        <v>28765</v>
      </c>
      <c r="E2753" s="139" t="s">
        <v>28766</v>
      </c>
      <c r="F2753" s="128">
        <v>223.0</v>
      </c>
      <c r="G2753" s="128">
        <v>224.0</v>
      </c>
      <c r="H2753" s="16" t="s">
        <v>21</v>
      </c>
      <c r="I2753" s="30" t="s">
        <v>28767</v>
      </c>
      <c r="J2753" s="130" t="s">
        <v>28768</v>
      </c>
      <c r="K2753" s="30" t="s">
        <v>29515</v>
      </c>
      <c r="L2753" s="20"/>
      <c r="M2753" s="16"/>
      <c r="N2753" s="30"/>
      <c r="O2753" s="30"/>
      <c r="P2753" s="30"/>
      <c r="Q2753" s="30"/>
      <c r="R2753" s="30"/>
      <c r="S2753" s="30"/>
      <c r="T2753" s="30"/>
      <c r="U2753" s="30"/>
      <c r="V2753" s="30"/>
      <c r="W2753" s="30"/>
      <c r="X2753" s="30"/>
    </row>
    <row r="2754" ht="15.75" customHeight="1">
      <c r="A2754" s="130" t="s">
        <v>2137</v>
      </c>
      <c r="B2754" s="132">
        <v>2016.0</v>
      </c>
      <c r="C2754" s="130" t="s">
        <v>28772</v>
      </c>
      <c r="D2754" s="130" t="s">
        <v>28773</v>
      </c>
      <c r="E2754" s="145" t="s">
        <v>28774</v>
      </c>
      <c r="F2754" s="132">
        <v>361.0</v>
      </c>
      <c r="G2754" s="132">
        <v>370.0</v>
      </c>
      <c r="H2754" s="130" t="s">
        <v>17059</v>
      </c>
      <c r="I2754" s="130" t="s">
        <v>28782</v>
      </c>
      <c r="J2754" s="130" t="s">
        <v>28784</v>
      </c>
      <c r="K2754" s="16" t="s">
        <v>28785</v>
      </c>
      <c r="L2754" s="20" t="s">
        <v>28786</v>
      </c>
      <c r="M2754" s="130" t="s">
        <v>28787</v>
      </c>
      <c r="N2754" s="16" t="s">
        <v>41769</v>
      </c>
      <c r="O2754" s="84"/>
      <c r="P2754" s="84"/>
      <c r="Q2754" s="84"/>
      <c r="R2754" s="84"/>
      <c r="S2754" s="84"/>
      <c r="T2754" s="84"/>
      <c r="U2754" s="84"/>
      <c r="V2754" s="84"/>
      <c r="W2754" s="84"/>
      <c r="X2754" s="84"/>
    </row>
    <row r="2755" ht="15.75" customHeight="1">
      <c r="A2755" s="130" t="s">
        <v>2137</v>
      </c>
      <c r="B2755" s="132">
        <v>2016.0</v>
      </c>
      <c r="C2755" s="130" t="s">
        <v>28789</v>
      </c>
      <c r="D2755" s="130" t="s">
        <v>28790</v>
      </c>
      <c r="E2755" s="145" t="s">
        <v>28791</v>
      </c>
      <c r="F2755" s="132">
        <v>451.0</v>
      </c>
      <c r="G2755" s="132">
        <v>460.0</v>
      </c>
      <c r="H2755" s="130" t="s">
        <v>17059</v>
      </c>
      <c r="I2755" s="130" t="s">
        <v>33390</v>
      </c>
      <c r="J2755" s="130" t="s">
        <v>28795</v>
      </c>
      <c r="K2755" s="16" t="s">
        <v>28796</v>
      </c>
      <c r="L2755" s="20" t="s">
        <v>28797</v>
      </c>
      <c r="M2755" s="130" t="s">
        <v>28798</v>
      </c>
      <c r="N2755" s="16" t="s">
        <v>41770</v>
      </c>
      <c r="O2755" s="84"/>
      <c r="P2755" s="84"/>
      <c r="Q2755" s="84"/>
      <c r="R2755" s="84"/>
      <c r="S2755" s="84"/>
      <c r="T2755" s="84"/>
      <c r="U2755" s="84"/>
      <c r="V2755" s="84"/>
      <c r="W2755" s="84"/>
      <c r="X2755" s="84"/>
    </row>
    <row r="2756" ht="15.75" customHeight="1">
      <c r="A2756" s="130" t="s">
        <v>2137</v>
      </c>
      <c r="B2756" s="132">
        <v>2016.0</v>
      </c>
      <c r="C2756" s="130" t="s">
        <v>28801</v>
      </c>
      <c r="D2756" s="130" t="s">
        <v>28802</v>
      </c>
      <c r="E2756" s="145" t="s">
        <v>28804</v>
      </c>
      <c r="F2756" s="132">
        <v>571.0</v>
      </c>
      <c r="G2756" s="132">
        <v>580.0</v>
      </c>
      <c r="H2756" s="130" t="s">
        <v>17059</v>
      </c>
      <c r="I2756" s="130" t="s">
        <v>28807</v>
      </c>
      <c r="J2756" s="130" t="s">
        <v>28808</v>
      </c>
      <c r="K2756" s="16" t="s">
        <v>28809</v>
      </c>
      <c r="L2756" s="20" t="s">
        <v>28810</v>
      </c>
      <c r="M2756" s="130" t="s">
        <v>28811</v>
      </c>
      <c r="N2756" s="16" t="s">
        <v>41771</v>
      </c>
      <c r="O2756" s="84"/>
      <c r="P2756" s="84"/>
      <c r="Q2756" s="84"/>
      <c r="R2756" s="84"/>
      <c r="S2756" s="84"/>
      <c r="T2756" s="84"/>
      <c r="U2756" s="84"/>
      <c r="V2756" s="84"/>
      <c r="W2756" s="84"/>
      <c r="X2756" s="84"/>
    </row>
    <row r="2757" ht="15.75" customHeight="1">
      <c r="A2757" s="130" t="s">
        <v>2137</v>
      </c>
      <c r="B2757" s="132">
        <v>2016.0</v>
      </c>
      <c r="C2757" s="130" t="s">
        <v>28812</v>
      </c>
      <c r="D2757" s="130" t="s">
        <v>28813</v>
      </c>
      <c r="E2757" s="145" t="s">
        <v>28814</v>
      </c>
      <c r="F2757" s="132">
        <v>371.0</v>
      </c>
      <c r="G2757" s="132">
        <v>380.0</v>
      </c>
      <c r="H2757" s="130" t="s">
        <v>17059</v>
      </c>
      <c r="I2757" s="130" t="s">
        <v>28819</v>
      </c>
      <c r="J2757" s="130" t="s">
        <v>28820</v>
      </c>
      <c r="K2757" s="16" t="s">
        <v>28821</v>
      </c>
      <c r="L2757" s="20" t="s">
        <v>28823</v>
      </c>
      <c r="M2757" s="130" t="s">
        <v>28825</v>
      </c>
      <c r="N2757" s="16" t="s">
        <v>39977</v>
      </c>
      <c r="O2757" s="84"/>
      <c r="P2757" s="84"/>
      <c r="Q2757" s="84"/>
      <c r="R2757" s="84"/>
      <c r="S2757" s="84"/>
      <c r="T2757" s="84"/>
      <c r="U2757" s="84"/>
      <c r="V2757" s="84"/>
      <c r="W2757" s="84"/>
      <c r="X2757" s="84"/>
    </row>
    <row r="2758" ht="15.75" customHeight="1">
      <c r="A2758" s="130" t="s">
        <v>2137</v>
      </c>
      <c r="B2758" s="132">
        <v>2016.0</v>
      </c>
      <c r="C2758" s="130" t="s">
        <v>28827</v>
      </c>
      <c r="D2758" s="130" t="s">
        <v>28828</v>
      </c>
      <c r="E2758" s="145" t="s">
        <v>28829</v>
      </c>
      <c r="F2758" s="132">
        <v>381.0</v>
      </c>
      <c r="G2758" s="132">
        <v>390.0</v>
      </c>
      <c r="H2758" s="130" t="s">
        <v>17059</v>
      </c>
      <c r="I2758" s="130" t="s">
        <v>28831</v>
      </c>
      <c r="J2758" s="130" t="s">
        <v>28833</v>
      </c>
      <c r="K2758" s="16" t="s">
        <v>28835</v>
      </c>
      <c r="L2758" s="20" t="s">
        <v>28836</v>
      </c>
      <c r="M2758" s="130" t="s">
        <v>28838</v>
      </c>
      <c r="N2758" s="16" t="s">
        <v>41772</v>
      </c>
      <c r="O2758" s="84"/>
      <c r="P2758" s="84"/>
      <c r="Q2758" s="84"/>
      <c r="R2758" s="84"/>
      <c r="S2758" s="84"/>
      <c r="T2758" s="84"/>
      <c r="U2758" s="84"/>
      <c r="V2758" s="84"/>
      <c r="W2758" s="84"/>
      <c r="X2758" s="84"/>
    </row>
    <row r="2759" ht="15.75" customHeight="1">
      <c r="A2759" s="130" t="s">
        <v>2137</v>
      </c>
      <c r="B2759" s="132">
        <v>2016.0</v>
      </c>
      <c r="C2759" s="130" t="s">
        <v>28839</v>
      </c>
      <c r="D2759" s="130" t="s">
        <v>28840</v>
      </c>
      <c r="E2759" s="145" t="s">
        <v>28841</v>
      </c>
      <c r="F2759" s="132">
        <v>581.0</v>
      </c>
      <c r="G2759" s="132">
        <v>590.0</v>
      </c>
      <c r="H2759" s="130" t="s">
        <v>17059</v>
      </c>
      <c r="I2759" s="130" t="s">
        <v>28842</v>
      </c>
      <c r="J2759" s="130" t="s">
        <v>41773</v>
      </c>
      <c r="K2759" s="16" t="s">
        <v>28845</v>
      </c>
      <c r="L2759" s="20" t="s">
        <v>28846</v>
      </c>
      <c r="M2759" s="130" t="s">
        <v>28848</v>
      </c>
      <c r="N2759" s="16" t="s">
        <v>41774</v>
      </c>
      <c r="O2759" s="84"/>
      <c r="P2759" s="84"/>
      <c r="Q2759" s="84"/>
      <c r="R2759" s="84"/>
      <c r="S2759" s="84"/>
      <c r="T2759" s="84"/>
      <c r="U2759" s="84"/>
      <c r="V2759" s="84"/>
      <c r="W2759" s="84"/>
      <c r="X2759" s="84"/>
    </row>
    <row r="2760" ht="15.75" customHeight="1">
      <c r="A2760" s="130" t="s">
        <v>2137</v>
      </c>
      <c r="B2760" s="132">
        <v>2016.0</v>
      </c>
      <c r="C2760" s="130" t="s">
        <v>28849</v>
      </c>
      <c r="D2760" s="130" t="s">
        <v>28850</v>
      </c>
      <c r="E2760" s="145" t="s">
        <v>28851</v>
      </c>
      <c r="F2760" s="132">
        <v>591.0</v>
      </c>
      <c r="G2760" s="132">
        <v>600.0</v>
      </c>
      <c r="H2760" s="130" t="s">
        <v>17059</v>
      </c>
      <c r="I2760" s="130" t="s">
        <v>28854</v>
      </c>
      <c r="J2760" s="130" t="s">
        <v>28855</v>
      </c>
      <c r="K2760" s="16" t="s">
        <v>28856</v>
      </c>
      <c r="L2760" s="20" t="s">
        <v>28857</v>
      </c>
      <c r="M2760" s="130" t="s">
        <v>28858</v>
      </c>
      <c r="N2760" s="16" t="s">
        <v>41775</v>
      </c>
      <c r="O2760" s="84"/>
      <c r="P2760" s="84"/>
      <c r="Q2760" s="84"/>
      <c r="R2760" s="84"/>
      <c r="S2760" s="84"/>
      <c r="T2760" s="84"/>
      <c r="U2760" s="84"/>
      <c r="V2760" s="84"/>
      <c r="W2760" s="84"/>
      <c r="X2760" s="84"/>
    </row>
    <row r="2761" ht="15.75" customHeight="1">
      <c r="A2761" s="130" t="s">
        <v>2137</v>
      </c>
      <c r="B2761" s="132">
        <v>2016.0</v>
      </c>
      <c r="C2761" s="130" t="s">
        <v>28859</v>
      </c>
      <c r="D2761" s="130" t="s">
        <v>28860</v>
      </c>
      <c r="E2761" s="145" t="s">
        <v>28861</v>
      </c>
      <c r="F2761" s="132">
        <v>601.0</v>
      </c>
      <c r="G2761" s="132">
        <v>610.0</v>
      </c>
      <c r="H2761" s="130" t="s">
        <v>17059</v>
      </c>
      <c r="I2761" s="130" t="s">
        <v>28867</v>
      </c>
      <c r="J2761" s="130" t="s">
        <v>28868</v>
      </c>
      <c r="K2761" s="16" t="s">
        <v>28869</v>
      </c>
      <c r="L2761" s="20" t="s">
        <v>28870</v>
      </c>
      <c r="M2761" s="130" t="s">
        <v>28871</v>
      </c>
      <c r="N2761" s="16" t="s">
        <v>41776</v>
      </c>
      <c r="O2761" s="84"/>
      <c r="P2761" s="84"/>
      <c r="Q2761" s="84"/>
      <c r="R2761" s="84"/>
      <c r="S2761" s="84"/>
      <c r="T2761" s="84"/>
      <c r="U2761" s="84"/>
      <c r="V2761" s="84"/>
      <c r="W2761" s="84"/>
      <c r="X2761" s="84"/>
    </row>
    <row r="2762" ht="15.75" customHeight="1">
      <c r="A2762" s="130" t="s">
        <v>2137</v>
      </c>
      <c r="B2762" s="132">
        <v>2016.0</v>
      </c>
      <c r="C2762" s="130" t="s">
        <v>28872</v>
      </c>
      <c r="D2762" s="130" t="s">
        <v>28873</v>
      </c>
      <c r="E2762" s="145" t="s">
        <v>28875</v>
      </c>
      <c r="F2762" s="132">
        <v>611.0</v>
      </c>
      <c r="G2762" s="132">
        <v>620.0</v>
      </c>
      <c r="H2762" s="130" t="s">
        <v>17059</v>
      </c>
      <c r="I2762" s="130" t="s">
        <v>28879</v>
      </c>
      <c r="J2762" s="130" t="s">
        <v>28881</v>
      </c>
      <c r="K2762" s="16" t="s">
        <v>28882</v>
      </c>
      <c r="L2762" s="20" t="s">
        <v>28883</v>
      </c>
      <c r="M2762" s="130" t="s">
        <v>28885</v>
      </c>
      <c r="N2762" s="16" t="s">
        <v>41777</v>
      </c>
      <c r="O2762" s="84"/>
      <c r="P2762" s="84"/>
      <c r="Q2762" s="84"/>
      <c r="R2762" s="84"/>
      <c r="S2762" s="84"/>
      <c r="T2762" s="84"/>
      <c r="U2762" s="84"/>
      <c r="V2762" s="84"/>
      <c r="W2762" s="84"/>
      <c r="X2762" s="84"/>
    </row>
    <row r="2763" ht="15.75" customHeight="1">
      <c r="A2763" s="130" t="s">
        <v>2137</v>
      </c>
      <c r="B2763" s="132">
        <v>2016.0</v>
      </c>
      <c r="C2763" s="130" t="s">
        <v>28886</v>
      </c>
      <c r="D2763" s="130" t="s">
        <v>28887</v>
      </c>
      <c r="E2763" s="145" t="s">
        <v>28888</v>
      </c>
      <c r="F2763" s="132">
        <v>621.0</v>
      </c>
      <c r="G2763" s="132">
        <v>630.0</v>
      </c>
      <c r="H2763" s="130" t="s">
        <v>17059</v>
      </c>
      <c r="I2763" s="130" t="s">
        <v>28891</v>
      </c>
      <c r="J2763" s="130" t="s">
        <v>28892</v>
      </c>
      <c r="K2763" s="16" t="s">
        <v>28894</v>
      </c>
      <c r="L2763" s="20" t="s">
        <v>28895</v>
      </c>
      <c r="M2763" s="130" t="s">
        <v>28896</v>
      </c>
      <c r="N2763" s="16" t="s">
        <v>41778</v>
      </c>
      <c r="O2763" s="84"/>
      <c r="P2763" s="84"/>
      <c r="Q2763" s="84"/>
      <c r="R2763" s="84"/>
      <c r="S2763" s="84"/>
      <c r="T2763" s="84"/>
      <c r="U2763" s="84"/>
      <c r="V2763" s="84"/>
      <c r="W2763" s="84"/>
      <c r="X2763" s="84"/>
    </row>
    <row r="2764" ht="15.75" customHeight="1">
      <c r="A2764" s="130" t="s">
        <v>2137</v>
      </c>
      <c r="B2764" s="132">
        <v>2016.0</v>
      </c>
      <c r="C2764" s="130" t="s">
        <v>28900</v>
      </c>
      <c r="D2764" s="130" t="s">
        <v>28901</v>
      </c>
      <c r="E2764" s="145" t="s">
        <v>28902</v>
      </c>
      <c r="F2764" s="132">
        <v>631.0</v>
      </c>
      <c r="G2764" s="132">
        <v>640.0</v>
      </c>
      <c r="H2764" s="130" t="s">
        <v>17059</v>
      </c>
      <c r="I2764" s="130" t="s">
        <v>28906</v>
      </c>
      <c r="J2764" s="130" t="s">
        <v>28907</v>
      </c>
      <c r="K2764" s="16" t="s">
        <v>28908</v>
      </c>
      <c r="L2764" s="20" t="s">
        <v>28909</v>
      </c>
      <c r="M2764" s="130" t="s">
        <v>28910</v>
      </c>
      <c r="N2764" s="16" t="s">
        <v>41779</v>
      </c>
      <c r="O2764" s="84"/>
      <c r="P2764" s="84"/>
      <c r="Q2764" s="84"/>
      <c r="R2764" s="84"/>
      <c r="S2764" s="84"/>
      <c r="T2764" s="84"/>
      <c r="U2764" s="84"/>
      <c r="V2764" s="84"/>
      <c r="W2764" s="84"/>
      <c r="X2764" s="84"/>
    </row>
    <row r="2765" ht="15.75" customHeight="1">
      <c r="A2765" s="130" t="s">
        <v>2137</v>
      </c>
      <c r="B2765" s="132">
        <v>2016.0</v>
      </c>
      <c r="C2765" s="130" t="s">
        <v>28911</v>
      </c>
      <c r="D2765" s="130" t="s">
        <v>28912</v>
      </c>
      <c r="E2765" s="145" t="s">
        <v>28913</v>
      </c>
      <c r="F2765" s="132">
        <v>641.0</v>
      </c>
      <c r="G2765" s="132">
        <v>650.0</v>
      </c>
      <c r="H2765" s="130" t="s">
        <v>17059</v>
      </c>
      <c r="I2765" s="130" t="s">
        <v>28916</v>
      </c>
      <c r="J2765" s="130" t="s">
        <v>28917</v>
      </c>
      <c r="K2765" s="16" t="s">
        <v>28919</v>
      </c>
      <c r="L2765" s="20" t="s">
        <v>28921</v>
      </c>
      <c r="M2765" s="130" t="s">
        <v>28922</v>
      </c>
      <c r="N2765" s="16" t="s">
        <v>41780</v>
      </c>
      <c r="O2765" s="84"/>
      <c r="P2765" s="84"/>
      <c r="Q2765" s="84"/>
      <c r="R2765" s="84"/>
      <c r="S2765" s="84"/>
      <c r="T2765" s="84"/>
      <c r="U2765" s="84"/>
      <c r="V2765" s="84"/>
      <c r="W2765" s="84"/>
      <c r="X2765" s="84"/>
    </row>
    <row r="2766" ht="15.75" customHeight="1">
      <c r="A2766" s="130" t="s">
        <v>2137</v>
      </c>
      <c r="B2766" s="132">
        <v>2016.0</v>
      </c>
      <c r="C2766" s="130" t="s">
        <v>28924</v>
      </c>
      <c r="D2766" s="130" t="s">
        <v>28925</v>
      </c>
      <c r="E2766" s="145" t="s">
        <v>28926</v>
      </c>
      <c r="F2766" s="132">
        <v>471.0</v>
      </c>
      <c r="G2766" s="132">
        <v>480.0</v>
      </c>
      <c r="H2766" s="130" t="s">
        <v>17059</v>
      </c>
      <c r="I2766" s="130" t="s">
        <v>28930</v>
      </c>
      <c r="J2766" s="130" t="s">
        <v>28931</v>
      </c>
      <c r="K2766" s="16" t="s">
        <v>41781</v>
      </c>
      <c r="L2766" s="20" t="s">
        <v>28933</v>
      </c>
      <c r="M2766" s="130" t="s">
        <v>28934</v>
      </c>
      <c r="N2766" s="16" t="s">
        <v>41782</v>
      </c>
      <c r="O2766" s="84"/>
      <c r="P2766" s="84"/>
      <c r="Q2766" s="84"/>
      <c r="R2766" s="84"/>
      <c r="S2766" s="84"/>
      <c r="T2766" s="84"/>
      <c r="U2766" s="84"/>
      <c r="V2766" s="84"/>
      <c r="W2766" s="84"/>
      <c r="X2766" s="84"/>
    </row>
    <row r="2767" ht="15.75" customHeight="1">
      <c r="A2767" s="130" t="s">
        <v>2137</v>
      </c>
      <c r="B2767" s="132">
        <v>2016.0</v>
      </c>
      <c r="C2767" s="130" t="s">
        <v>28935</v>
      </c>
      <c r="D2767" s="130" t="s">
        <v>28936</v>
      </c>
      <c r="E2767" s="145" t="s">
        <v>28937</v>
      </c>
      <c r="F2767" s="132">
        <v>461.0</v>
      </c>
      <c r="G2767" s="132">
        <v>470.0</v>
      </c>
      <c r="H2767" s="130" t="s">
        <v>17059</v>
      </c>
      <c r="I2767" s="130" t="s">
        <v>28941</v>
      </c>
      <c r="J2767" s="130" t="s">
        <v>28942</v>
      </c>
      <c r="K2767" s="16" t="s">
        <v>28943</v>
      </c>
      <c r="L2767" s="20" t="s">
        <v>28944</v>
      </c>
      <c r="M2767" s="130" t="s">
        <v>28945</v>
      </c>
      <c r="N2767" s="16" t="s">
        <v>41783</v>
      </c>
      <c r="O2767" s="84"/>
      <c r="P2767" s="84"/>
      <c r="Q2767" s="84"/>
      <c r="R2767" s="84"/>
      <c r="S2767" s="84"/>
      <c r="T2767" s="84"/>
      <c r="U2767" s="84"/>
      <c r="V2767" s="84"/>
      <c r="W2767" s="84"/>
      <c r="X2767" s="84"/>
    </row>
    <row r="2768" ht="15.75" customHeight="1">
      <c r="A2768" s="130" t="s">
        <v>2137</v>
      </c>
      <c r="B2768" s="132">
        <v>2016.0</v>
      </c>
      <c r="C2768" s="130" t="s">
        <v>28946</v>
      </c>
      <c r="D2768" s="130" t="s">
        <v>28947</v>
      </c>
      <c r="E2768" s="145" t="s">
        <v>28948</v>
      </c>
      <c r="F2768" s="132">
        <v>481.0</v>
      </c>
      <c r="G2768" s="132">
        <v>490.0</v>
      </c>
      <c r="H2768" s="130" t="s">
        <v>17059</v>
      </c>
      <c r="I2768" s="130" t="s">
        <v>28952</v>
      </c>
      <c r="J2768" s="130" t="s">
        <v>28953</v>
      </c>
      <c r="K2768" s="16" t="s">
        <v>28955</v>
      </c>
      <c r="L2768" s="20" t="s">
        <v>28956</v>
      </c>
      <c r="M2768" s="130" t="s">
        <v>28957</v>
      </c>
      <c r="N2768" s="16" t="s">
        <v>41784</v>
      </c>
      <c r="O2768" s="84"/>
      <c r="P2768" s="84"/>
      <c r="Q2768" s="84"/>
      <c r="R2768" s="84"/>
      <c r="S2768" s="84"/>
      <c r="T2768" s="84"/>
      <c r="U2768" s="84"/>
      <c r="V2768" s="84"/>
      <c r="W2768" s="84"/>
      <c r="X2768" s="84"/>
    </row>
    <row r="2769" ht="15.75" customHeight="1">
      <c r="A2769" s="130" t="s">
        <v>2137</v>
      </c>
      <c r="B2769" s="132">
        <v>2016.0</v>
      </c>
      <c r="C2769" s="130" t="s">
        <v>28958</v>
      </c>
      <c r="D2769" s="130" t="s">
        <v>28959</v>
      </c>
      <c r="E2769" s="145" t="s">
        <v>28960</v>
      </c>
      <c r="F2769" s="132">
        <v>651.0</v>
      </c>
      <c r="G2769" s="132">
        <v>660.0</v>
      </c>
      <c r="H2769" s="130" t="s">
        <v>17059</v>
      </c>
      <c r="I2769" s="130" t="s">
        <v>28964</v>
      </c>
      <c r="J2769" s="130" t="s">
        <v>28965</v>
      </c>
      <c r="K2769" s="16" t="s">
        <v>27140</v>
      </c>
      <c r="L2769" s="20" t="s">
        <v>28966</v>
      </c>
      <c r="M2769" s="130" t="s">
        <v>28967</v>
      </c>
      <c r="N2769" s="16" t="s">
        <v>41785</v>
      </c>
      <c r="O2769" s="84"/>
      <c r="P2769" s="84"/>
      <c r="Q2769" s="84"/>
      <c r="R2769" s="84"/>
      <c r="S2769" s="84"/>
      <c r="T2769" s="84"/>
      <c r="U2769" s="84"/>
      <c r="V2769" s="84"/>
      <c r="W2769" s="84"/>
      <c r="X2769" s="84"/>
    </row>
    <row r="2770" ht="15.75" customHeight="1">
      <c r="A2770" s="130" t="s">
        <v>2137</v>
      </c>
      <c r="B2770" s="132">
        <v>2016.0</v>
      </c>
      <c r="C2770" s="130" t="s">
        <v>28971</v>
      </c>
      <c r="D2770" s="130" t="s">
        <v>28972</v>
      </c>
      <c r="E2770" s="145" t="s">
        <v>28973</v>
      </c>
      <c r="F2770" s="132">
        <v>661.0</v>
      </c>
      <c r="G2770" s="132">
        <v>670.0</v>
      </c>
      <c r="H2770" s="130" t="s">
        <v>17059</v>
      </c>
      <c r="I2770" s="130" t="s">
        <v>28977</v>
      </c>
      <c r="J2770" s="130" t="s">
        <v>28979</v>
      </c>
      <c r="K2770" s="16" t="s">
        <v>28980</v>
      </c>
      <c r="L2770" s="20" t="s">
        <v>28981</v>
      </c>
      <c r="M2770" s="130" t="s">
        <v>28982</v>
      </c>
      <c r="N2770" s="16" t="s">
        <v>41786</v>
      </c>
      <c r="O2770" s="84"/>
      <c r="P2770" s="84"/>
      <c r="Q2770" s="84"/>
      <c r="R2770" s="84"/>
      <c r="S2770" s="84"/>
      <c r="T2770" s="84"/>
      <c r="U2770" s="84"/>
      <c r="V2770" s="84"/>
      <c r="W2770" s="84"/>
      <c r="X2770" s="84"/>
    </row>
    <row r="2771" ht="15.75" customHeight="1">
      <c r="A2771" s="130" t="s">
        <v>2137</v>
      </c>
      <c r="B2771" s="132">
        <v>2016.0</v>
      </c>
      <c r="C2771" s="130" t="s">
        <v>28983</v>
      </c>
      <c r="D2771" s="130" t="s">
        <v>28984</v>
      </c>
      <c r="E2771" s="145" t="s">
        <v>28985</v>
      </c>
      <c r="F2771" s="132">
        <v>491.0</v>
      </c>
      <c r="G2771" s="132">
        <v>500.0</v>
      </c>
      <c r="H2771" s="130" t="s">
        <v>17059</v>
      </c>
      <c r="I2771" s="130" t="s">
        <v>28988</v>
      </c>
      <c r="J2771" s="130" t="s">
        <v>28989</v>
      </c>
      <c r="K2771" s="16" t="s">
        <v>28990</v>
      </c>
      <c r="L2771" s="20" t="s">
        <v>28991</v>
      </c>
      <c r="M2771" s="130" t="s">
        <v>28992</v>
      </c>
      <c r="N2771" s="16" t="s">
        <v>41787</v>
      </c>
      <c r="O2771" s="84"/>
      <c r="P2771" s="84"/>
      <c r="Q2771" s="84"/>
      <c r="R2771" s="84"/>
      <c r="S2771" s="84"/>
      <c r="T2771" s="84"/>
      <c r="U2771" s="84"/>
      <c r="V2771" s="84"/>
      <c r="W2771" s="84"/>
      <c r="X2771" s="84"/>
    </row>
    <row r="2772" ht="15.75" customHeight="1">
      <c r="A2772" s="130" t="s">
        <v>2137</v>
      </c>
      <c r="B2772" s="132">
        <v>2016.0</v>
      </c>
      <c r="C2772" s="130" t="s">
        <v>28996</v>
      </c>
      <c r="D2772" s="130" t="s">
        <v>28997</v>
      </c>
      <c r="E2772" s="145" t="s">
        <v>28998</v>
      </c>
      <c r="F2772" s="132">
        <v>671.0</v>
      </c>
      <c r="G2772" s="132">
        <v>680.0</v>
      </c>
      <c r="H2772" s="130" t="s">
        <v>17059</v>
      </c>
      <c r="I2772" s="130" t="s">
        <v>29001</v>
      </c>
      <c r="J2772" s="130" t="s">
        <v>29002</v>
      </c>
      <c r="K2772" s="16" t="s">
        <v>41788</v>
      </c>
      <c r="L2772" s="20" t="s">
        <v>29005</v>
      </c>
      <c r="M2772" s="130" t="s">
        <v>29006</v>
      </c>
      <c r="N2772" s="16" t="s">
        <v>41789</v>
      </c>
      <c r="O2772" s="84"/>
      <c r="P2772" s="84"/>
      <c r="Q2772" s="84"/>
      <c r="R2772" s="84"/>
      <c r="S2772" s="84"/>
      <c r="T2772" s="84"/>
      <c r="U2772" s="84"/>
      <c r="V2772" s="84"/>
      <c r="W2772" s="84"/>
      <c r="X2772" s="84"/>
    </row>
    <row r="2773" ht="15.75" customHeight="1">
      <c r="A2773" s="130" t="s">
        <v>2137</v>
      </c>
      <c r="B2773" s="132">
        <v>2016.0</v>
      </c>
      <c r="C2773" s="130" t="s">
        <v>29007</v>
      </c>
      <c r="D2773" s="130" t="s">
        <v>29008</v>
      </c>
      <c r="E2773" s="145" t="s">
        <v>29009</v>
      </c>
      <c r="F2773" s="132">
        <v>501.0</v>
      </c>
      <c r="G2773" s="132">
        <v>510.0</v>
      </c>
      <c r="H2773" s="130" t="s">
        <v>17059</v>
      </c>
      <c r="I2773" s="130" t="s">
        <v>33607</v>
      </c>
      <c r="J2773" s="130" t="s">
        <v>41790</v>
      </c>
      <c r="K2773" s="16" t="s">
        <v>29016</v>
      </c>
      <c r="L2773" s="20" t="s">
        <v>29017</v>
      </c>
      <c r="M2773" s="130" t="s">
        <v>29018</v>
      </c>
      <c r="N2773" s="16" t="s">
        <v>41791</v>
      </c>
      <c r="O2773" s="84"/>
      <c r="P2773" s="84"/>
      <c r="Q2773" s="84"/>
      <c r="R2773" s="84"/>
      <c r="S2773" s="84"/>
      <c r="T2773" s="84"/>
      <c r="U2773" s="84"/>
      <c r="V2773" s="84"/>
      <c r="W2773" s="84"/>
      <c r="X2773" s="84"/>
    </row>
    <row r="2774" ht="15.75" customHeight="1">
      <c r="A2774" s="130" t="s">
        <v>2137</v>
      </c>
      <c r="B2774" s="132">
        <v>2016.0</v>
      </c>
      <c r="C2774" s="130" t="s">
        <v>29021</v>
      </c>
      <c r="D2774" s="130" t="s">
        <v>29022</v>
      </c>
      <c r="E2774" s="145" t="s">
        <v>29023</v>
      </c>
      <c r="F2774" s="132">
        <v>691.0</v>
      </c>
      <c r="G2774" s="132">
        <v>700.0</v>
      </c>
      <c r="H2774" s="130" t="s">
        <v>17059</v>
      </c>
      <c r="I2774" s="130" t="s">
        <v>29027</v>
      </c>
      <c r="J2774" s="130" t="s">
        <v>29028</v>
      </c>
      <c r="K2774" s="16" t="s">
        <v>29029</v>
      </c>
      <c r="L2774" s="20" t="s">
        <v>29030</v>
      </c>
      <c r="M2774" s="130" t="s">
        <v>29031</v>
      </c>
      <c r="N2774" s="16" t="s">
        <v>41792</v>
      </c>
      <c r="O2774" s="84"/>
      <c r="P2774" s="84"/>
      <c r="Q2774" s="84"/>
      <c r="R2774" s="84"/>
      <c r="S2774" s="84"/>
      <c r="T2774" s="84"/>
      <c r="U2774" s="84"/>
      <c r="V2774" s="84"/>
      <c r="W2774" s="84"/>
      <c r="X2774" s="84"/>
    </row>
    <row r="2775" ht="15.75" customHeight="1">
      <c r="A2775" s="130" t="s">
        <v>2137</v>
      </c>
      <c r="B2775" s="132">
        <v>2016.0</v>
      </c>
      <c r="C2775" s="130" t="s">
        <v>29032</v>
      </c>
      <c r="D2775" s="130" t="s">
        <v>29033</v>
      </c>
      <c r="E2775" s="145" t="s">
        <v>29034</v>
      </c>
      <c r="F2775" s="132">
        <v>681.0</v>
      </c>
      <c r="G2775" s="132">
        <v>690.0</v>
      </c>
      <c r="H2775" s="130" t="s">
        <v>17059</v>
      </c>
      <c r="I2775" s="130" t="s">
        <v>29037</v>
      </c>
      <c r="J2775" s="130" t="s">
        <v>29038</v>
      </c>
      <c r="K2775" s="16" t="s">
        <v>29040</v>
      </c>
      <c r="L2775" s="20" t="s">
        <v>29041</v>
      </c>
      <c r="M2775" s="130" t="s">
        <v>29042</v>
      </c>
      <c r="N2775" s="16" t="s">
        <v>41793</v>
      </c>
      <c r="O2775" s="84"/>
      <c r="P2775" s="84"/>
      <c r="Q2775" s="84"/>
      <c r="R2775" s="84"/>
      <c r="S2775" s="84"/>
      <c r="T2775" s="84"/>
      <c r="U2775" s="84"/>
      <c r="V2775" s="84"/>
      <c r="W2775" s="84"/>
      <c r="X2775" s="84"/>
    </row>
    <row r="2776" ht="15.75" customHeight="1">
      <c r="A2776" s="130" t="s">
        <v>2137</v>
      </c>
      <c r="B2776" s="132">
        <v>2016.0</v>
      </c>
      <c r="C2776" s="130" t="s">
        <v>29043</v>
      </c>
      <c r="D2776" s="130" t="s">
        <v>29044</v>
      </c>
      <c r="E2776" s="145" t="s">
        <v>29045</v>
      </c>
      <c r="F2776" s="132">
        <v>331.0</v>
      </c>
      <c r="G2776" s="132">
        <v>340.0</v>
      </c>
      <c r="H2776" s="130" t="s">
        <v>17059</v>
      </c>
      <c r="I2776" s="130" t="s">
        <v>29048</v>
      </c>
      <c r="J2776" s="130" t="s">
        <v>29051</v>
      </c>
      <c r="K2776" s="16" t="s">
        <v>29053</v>
      </c>
      <c r="L2776" s="20" t="s">
        <v>29054</v>
      </c>
      <c r="M2776" s="130" t="s">
        <v>29055</v>
      </c>
      <c r="N2776" s="16" t="s">
        <v>41794</v>
      </c>
      <c r="O2776" s="84"/>
      <c r="P2776" s="84"/>
      <c r="Q2776" s="84"/>
      <c r="R2776" s="84"/>
      <c r="S2776" s="84"/>
      <c r="T2776" s="84"/>
      <c r="U2776" s="84"/>
      <c r="V2776" s="84"/>
      <c r="W2776" s="84"/>
      <c r="X2776" s="84"/>
    </row>
    <row r="2777" ht="15.75" customHeight="1">
      <c r="A2777" s="130" t="s">
        <v>2137</v>
      </c>
      <c r="B2777" s="132">
        <v>2016.0</v>
      </c>
      <c r="C2777" s="130" t="s">
        <v>29057</v>
      </c>
      <c r="D2777" s="130" t="s">
        <v>29058</v>
      </c>
      <c r="E2777" s="145" t="s">
        <v>29059</v>
      </c>
      <c r="F2777" s="132">
        <v>391.0</v>
      </c>
      <c r="G2777" s="132">
        <v>400.0</v>
      </c>
      <c r="H2777" s="130" t="s">
        <v>17059</v>
      </c>
      <c r="I2777" s="130" t="s">
        <v>33880</v>
      </c>
      <c r="J2777" s="130" t="s">
        <v>29065</v>
      </c>
      <c r="K2777" s="16" t="s">
        <v>29066</v>
      </c>
      <c r="L2777" s="20" t="s">
        <v>29067</v>
      </c>
      <c r="M2777" s="130" t="s">
        <v>29068</v>
      </c>
      <c r="N2777" s="16" t="s">
        <v>41795</v>
      </c>
      <c r="O2777" s="84"/>
      <c r="P2777" s="84"/>
      <c r="Q2777" s="84"/>
      <c r="R2777" s="84"/>
      <c r="S2777" s="84"/>
      <c r="T2777" s="84"/>
      <c r="U2777" s="84"/>
      <c r="V2777" s="84"/>
      <c r="W2777" s="84"/>
      <c r="X2777" s="84"/>
    </row>
    <row r="2778" ht="15.75" customHeight="1">
      <c r="A2778" s="130" t="s">
        <v>2137</v>
      </c>
      <c r="B2778" s="132">
        <v>2016.0</v>
      </c>
      <c r="C2778" s="130" t="s">
        <v>29069</v>
      </c>
      <c r="D2778" s="130" t="s">
        <v>29070</v>
      </c>
      <c r="E2778" s="145" t="s">
        <v>29072</v>
      </c>
      <c r="F2778" s="132">
        <v>401.0</v>
      </c>
      <c r="G2778" s="132">
        <v>410.0</v>
      </c>
      <c r="H2778" s="130" t="s">
        <v>17059</v>
      </c>
      <c r="I2778" s="130" t="s">
        <v>29078</v>
      </c>
      <c r="J2778" s="130" t="s">
        <v>29081</v>
      </c>
      <c r="K2778" s="16" t="s">
        <v>29082</v>
      </c>
      <c r="L2778" s="20" t="s">
        <v>29083</v>
      </c>
      <c r="M2778" s="130" t="s">
        <v>29084</v>
      </c>
      <c r="N2778" s="16" t="s">
        <v>41796</v>
      </c>
      <c r="O2778" s="84"/>
      <c r="P2778" s="84"/>
      <c r="Q2778" s="84"/>
      <c r="R2778" s="84"/>
      <c r="S2778" s="84"/>
      <c r="T2778" s="84"/>
      <c r="U2778" s="84"/>
      <c r="V2778" s="84"/>
      <c r="W2778" s="84"/>
      <c r="X2778" s="84"/>
    </row>
    <row r="2779" ht="15.75" customHeight="1">
      <c r="A2779" s="130" t="s">
        <v>2137</v>
      </c>
      <c r="B2779" s="132">
        <v>2016.0</v>
      </c>
      <c r="C2779" s="130" t="s">
        <v>29085</v>
      </c>
      <c r="D2779" s="130" t="s">
        <v>29086</v>
      </c>
      <c r="E2779" s="145" t="s">
        <v>29087</v>
      </c>
      <c r="F2779" s="132">
        <v>511.0</v>
      </c>
      <c r="G2779" s="132">
        <v>520.0</v>
      </c>
      <c r="H2779" s="130" t="s">
        <v>17059</v>
      </c>
      <c r="I2779" s="130" t="s">
        <v>29091</v>
      </c>
      <c r="J2779" s="130" t="s">
        <v>29092</v>
      </c>
      <c r="K2779" s="16" t="s">
        <v>29093</v>
      </c>
      <c r="L2779" s="20" t="s">
        <v>29094</v>
      </c>
      <c r="M2779" s="130" t="s">
        <v>29095</v>
      </c>
      <c r="N2779" s="16" t="s">
        <v>41797</v>
      </c>
      <c r="O2779" s="84"/>
      <c r="P2779" s="84"/>
      <c r="Q2779" s="84"/>
      <c r="R2779" s="84"/>
      <c r="S2779" s="84"/>
      <c r="T2779" s="84"/>
      <c r="U2779" s="84"/>
      <c r="V2779" s="84"/>
      <c r="W2779" s="84"/>
      <c r="X2779" s="84"/>
    </row>
    <row r="2780" ht="15.75" customHeight="1">
      <c r="A2780" s="130" t="s">
        <v>2137</v>
      </c>
      <c r="B2780" s="132">
        <v>2016.0</v>
      </c>
      <c r="C2780" s="130" t="s">
        <v>29096</v>
      </c>
      <c r="D2780" s="130" t="s">
        <v>29097</v>
      </c>
      <c r="E2780" s="145" t="s">
        <v>29098</v>
      </c>
      <c r="F2780" s="132">
        <v>411.0</v>
      </c>
      <c r="G2780" s="132">
        <v>420.0</v>
      </c>
      <c r="H2780" s="130" t="s">
        <v>17059</v>
      </c>
      <c r="I2780" s="130" t="s">
        <v>29104</v>
      </c>
      <c r="J2780" s="130" t="s">
        <v>29105</v>
      </c>
      <c r="K2780" s="16" t="s">
        <v>29106</v>
      </c>
      <c r="L2780" s="20" t="s">
        <v>29107</v>
      </c>
      <c r="M2780" s="130" t="s">
        <v>29108</v>
      </c>
      <c r="N2780" s="16" t="s">
        <v>41798</v>
      </c>
      <c r="O2780" s="84"/>
      <c r="P2780" s="84"/>
      <c r="Q2780" s="84"/>
      <c r="R2780" s="84"/>
      <c r="S2780" s="84"/>
      <c r="T2780" s="84"/>
      <c r="U2780" s="84"/>
      <c r="V2780" s="84"/>
      <c r="W2780" s="84"/>
      <c r="X2780" s="84"/>
    </row>
    <row r="2781" ht="15.75" customHeight="1">
      <c r="A2781" s="130" t="s">
        <v>2137</v>
      </c>
      <c r="B2781" s="132">
        <v>2016.0</v>
      </c>
      <c r="C2781" s="130" t="s">
        <v>29109</v>
      </c>
      <c r="D2781" s="130" t="s">
        <v>29110</v>
      </c>
      <c r="E2781" s="145" t="s">
        <v>29111</v>
      </c>
      <c r="F2781" s="132">
        <v>421.0</v>
      </c>
      <c r="G2781" s="132">
        <v>430.0</v>
      </c>
      <c r="H2781" s="130" t="s">
        <v>17059</v>
      </c>
      <c r="I2781" s="130" t="s">
        <v>29116</v>
      </c>
      <c r="J2781" s="130" t="s">
        <v>29117</v>
      </c>
      <c r="K2781" s="16" t="s">
        <v>29118</v>
      </c>
      <c r="L2781" s="20" t="s">
        <v>29119</v>
      </c>
      <c r="M2781" s="130" t="s">
        <v>29120</v>
      </c>
      <c r="N2781" s="16" t="s">
        <v>41799</v>
      </c>
      <c r="O2781" s="84"/>
      <c r="P2781" s="84"/>
      <c r="Q2781" s="84"/>
      <c r="R2781" s="84"/>
      <c r="S2781" s="84"/>
      <c r="T2781" s="84"/>
      <c r="U2781" s="84"/>
      <c r="V2781" s="84"/>
      <c r="W2781" s="84"/>
      <c r="X2781" s="84"/>
    </row>
    <row r="2782" ht="15.75" customHeight="1">
      <c r="A2782" s="130" t="s">
        <v>2137</v>
      </c>
      <c r="B2782" s="132">
        <v>2016.0</v>
      </c>
      <c r="C2782" s="130" t="s">
        <v>29122</v>
      </c>
      <c r="D2782" s="130" t="s">
        <v>29123</v>
      </c>
      <c r="E2782" s="145" t="s">
        <v>29125</v>
      </c>
      <c r="F2782" s="132">
        <v>521.0</v>
      </c>
      <c r="G2782" s="132">
        <v>530.0</v>
      </c>
      <c r="H2782" s="130" t="s">
        <v>17059</v>
      </c>
      <c r="I2782" s="130" t="s">
        <v>29126</v>
      </c>
      <c r="J2782" s="130" t="s">
        <v>29127</v>
      </c>
      <c r="K2782" s="16" t="s">
        <v>29129</v>
      </c>
      <c r="L2782" s="20" t="s">
        <v>29130</v>
      </c>
      <c r="M2782" s="130" t="s">
        <v>29131</v>
      </c>
      <c r="N2782" s="16" t="s">
        <v>41800</v>
      </c>
      <c r="O2782" s="84"/>
      <c r="P2782" s="84"/>
      <c r="Q2782" s="84"/>
      <c r="R2782" s="84"/>
      <c r="S2782" s="84"/>
      <c r="T2782" s="84"/>
      <c r="U2782" s="84"/>
      <c r="V2782" s="84"/>
      <c r="W2782" s="84"/>
      <c r="X2782" s="84"/>
    </row>
    <row r="2783" ht="15.75" customHeight="1">
      <c r="A2783" s="130" t="s">
        <v>2137</v>
      </c>
      <c r="B2783" s="132">
        <v>2016.0</v>
      </c>
      <c r="C2783" s="130" t="s">
        <v>29132</v>
      </c>
      <c r="D2783" s="130" t="s">
        <v>29133</v>
      </c>
      <c r="E2783" s="145" t="s">
        <v>29134</v>
      </c>
      <c r="F2783" s="132">
        <v>531.0</v>
      </c>
      <c r="G2783" s="132">
        <v>540.0</v>
      </c>
      <c r="H2783" s="130" t="s">
        <v>17059</v>
      </c>
      <c r="I2783" s="130" t="s">
        <v>29135</v>
      </c>
      <c r="J2783" s="130" t="s">
        <v>29136</v>
      </c>
      <c r="K2783" s="16" t="s">
        <v>29138</v>
      </c>
      <c r="L2783" s="20" t="s">
        <v>29139</v>
      </c>
      <c r="M2783" s="130" t="s">
        <v>29140</v>
      </c>
      <c r="N2783" s="16" t="s">
        <v>41801</v>
      </c>
      <c r="O2783" s="84"/>
      <c r="P2783" s="84"/>
      <c r="Q2783" s="84"/>
      <c r="R2783" s="84"/>
      <c r="S2783" s="84"/>
      <c r="T2783" s="84"/>
      <c r="U2783" s="84"/>
      <c r="V2783" s="84"/>
      <c r="W2783" s="84"/>
      <c r="X2783" s="84"/>
    </row>
    <row r="2784" ht="15.75" customHeight="1">
      <c r="A2784" s="130" t="s">
        <v>2137</v>
      </c>
      <c r="B2784" s="132">
        <v>2016.0</v>
      </c>
      <c r="C2784" s="130" t="s">
        <v>29185</v>
      </c>
      <c r="D2784" s="130" t="s">
        <v>29186</v>
      </c>
      <c r="E2784" s="145" t="s">
        <v>29187</v>
      </c>
      <c r="F2784" s="132">
        <v>551.0</v>
      </c>
      <c r="G2784" s="132">
        <v>560.0</v>
      </c>
      <c r="H2784" s="130" t="s">
        <v>17059</v>
      </c>
      <c r="I2784" s="130" t="s">
        <v>29188</v>
      </c>
      <c r="J2784" s="130" t="s">
        <v>29190</v>
      </c>
      <c r="K2784" s="16" t="s">
        <v>29191</v>
      </c>
      <c r="L2784" s="20" t="s">
        <v>29193</v>
      </c>
      <c r="M2784" s="130" t="s">
        <v>29194</v>
      </c>
      <c r="N2784" s="16" t="s">
        <v>41802</v>
      </c>
      <c r="O2784" s="84"/>
      <c r="P2784" s="84"/>
      <c r="Q2784" s="84"/>
      <c r="R2784" s="84"/>
      <c r="S2784" s="84"/>
      <c r="T2784" s="84"/>
      <c r="U2784" s="84"/>
      <c r="V2784" s="84"/>
      <c r="W2784" s="84"/>
      <c r="X2784" s="84"/>
    </row>
    <row r="2785" ht="15.75" customHeight="1">
      <c r="A2785" s="130" t="s">
        <v>2137</v>
      </c>
      <c r="B2785" s="132">
        <v>2016.0</v>
      </c>
      <c r="C2785" s="130" t="s">
        <v>29195</v>
      </c>
      <c r="D2785" s="130" t="s">
        <v>29196</v>
      </c>
      <c r="E2785" s="145" t="s">
        <v>29197</v>
      </c>
      <c r="F2785" s="132">
        <v>541.0</v>
      </c>
      <c r="G2785" s="132">
        <v>550.0</v>
      </c>
      <c r="H2785" s="130" t="s">
        <v>17059</v>
      </c>
      <c r="I2785" s="130" t="s">
        <v>29199</v>
      </c>
      <c r="J2785" s="130" t="s">
        <v>29200</v>
      </c>
      <c r="K2785" s="16" t="s">
        <v>29201</v>
      </c>
      <c r="L2785" s="20" t="s">
        <v>29202</v>
      </c>
      <c r="M2785" s="130" t="s">
        <v>29203</v>
      </c>
      <c r="N2785" s="16" t="s">
        <v>41803</v>
      </c>
      <c r="O2785" s="84"/>
      <c r="P2785" s="84"/>
      <c r="Q2785" s="84"/>
      <c r="R2785" s="84"/>
      <c r="S2785" s="84"/>
      <c r="T2785" s="84"/>
      <c r="U2785" s="84"/>
      <c r="V2785" s="84"/>
      <c r="W2785" s="84"/>
      <c r="X2785" s="84"/>
    </row>
    <row r="2786" ht="15.75" customHeight="1">
      <c r="A2786" s="130" t="s">
        <v>2137</v>
      </c>
      <c r="B2786" s="132">
        <v>2016.0</v>
      </c>
      <c r="C2786" s="130" t="s">
        <v>29204</v>
      </c>
      <c r="D2786" s="130" t="s">
        <v>29205</v>
      </c>
      <c r="E2786" s="145" t="s">
        <v>29206</v>
      </c>
      <c r="F2786" s="132">
        <v>341.0</v>
      </c>
      <c r="G2786" s="132">
        <v>350.0</v>
      </c>
      <c r="H2786" s="130" t="s">
        <v>17059</v>
      </c>
      <c r="I2786" s="130" t="s">
        <v>29207</v>
      </c>
      <c r="J2786" s="130" t="s">
        <v>29210</v>
      </c>
      <c r="K2786" s="16" t="s">
        <v>26896</v>
      </c>
      <c r="L2786" s="20" t="s">
        <v>29211</v>
      </c>
      <c r="M2786" s="130" t="s">
        <v>29213</v>
      </c>
      <c r="N2786" s="16" t="s">
        <v>41804</v>
      </c>
      <c r="O2786" s="84"/>
      <c r="P2786" s="84"/>
      <c r="Q2786" s="84"/>
      <c r="R2786" s="84"/>
      <c r="S2786" s="84"/>
      <c r="T2786" s="84"/>
      <c r="U2786" s="84"/>
      <c r="V2786" s="84"/>
      <c r="W2786" s="84"/>
      <c r="X2786" s="84"/>
    </row>
    <row r="2787" ht="15.75" customHeight="1">
      <c r="A2787" s="130" t="s">
        <v>2137</v>
      </c>
      <c r="B2787" s="132">
        <v>2016.0</v>
      </c>
      <c r="C2787" s="130" t="s">
        <v>29214</v>
      </c>
      <c r="D2787" s="130" t="s">
        <v>29215</v>
      </c>
      <c r="E2787" s="145" t="s">
        <v>29216</v>
      </c>
      <c r="F2787" s="132">
        <v>351.0</v>
      </c>
      <c r="G2787" s="132">
        <v>360.0</v>
      </c>
      <c r="H2787" s="130" t="s">
        <v>17059</v>
      </c>
      <c r="I2787" s="130" t="s">
        <v>34168</v>
      </c>
      <c r="J2787" s="130" t="s">
        <v>29220</v>
      </c>
      <c r="K2787" s="16" t="s">
        <v>29221</v>
      </c>
      <c r="L2787" s="20" t="s">
        <v>29222</v>
      </c>
      <c r="M2787" s="130" t="s">
        <v>29223</v>
      </c>
      <c r="N2787" s="16" t="s">
        <v>41805</v>
      </c>
      <c r="O2787" s="84"/>
      <c r="P2787" s="84"/>
      <c r="Q2787" s="84"/>
      <c r="R2787" s="84"/>
      <c r="S2787" s="84"/>
      <c r="T2787" s="84"/>
      <c r="U2787" s="84"/>
      <c r="V2787" s="84"/>
      <c r="W2787" s="84"/>
      <c r="X2787" s="84"/>
    </row>
    <row r="2788" ht="15.75" customHeight="1">
      <c r="A2788" s="130" t="s">
        <v>2137</v>
      </c>
      <c r="B2788" s="132">
        <v>2016.0</v>
      </c>
      <c r="C2788" s="130" t="s">
        <v>29224</v>
      </c>
      <c r="D2788" s="130" t="s">
        <v>29225</v>
      </c>
      <c r="E2788" s="145" t="s">
        <v>29226</v>
      </c>
      <c r="F2788" s="132">
        <v>431.0</v>
      </c>
      <c r="G2788" s="132">
        <v>440.0</v>
      </c>
      <c r="H2788" s="130" t="s">
        <v>17059</v>
      </c>
      <c r="I2788" s="130" t="s">
        <v>29228</v>
      </c>
      <c r="J2788" s="130" t="s">
        <v>29229</v>
      </c>
      <c r="K2788" s="16" t="s">
        <v>29231</v>
      </c>
      <c r="L2788" s="20" t="s">
        <v>29233</v>
      </c>
      <c r="M2788" s="130" t="s">
        <v>29234</v>
      </c>
      <c r="N2788" s="16" t="s">
        <v>41806</v>
      </c>
      <c r="O2788" s="84"/>
      <c r="P2788" s="84"/>
      <c r="Q2788" s="84"/>
      <c r="R2788" s="84"/>
      <c r="S2788" s="84"/>
      <c r="T2788" s="84"/>
      <c r="U2788" s="84"/>
      <c r="V2788" s="84"/>
      <c r="W2788" s="84"/>
      <c r="X2788" s="84"/>
    </row>
    <row r="2789" ht="15.75" customHeight="1">
      <c r="A2789" s="130" t="s">
        <v>2137</v>
      </c>
      <c r="B2789" s="132">
        <v>2016.0</v>
      </c>
      <c r="C2789" s="130" t="s">
        <v>29235</v>
      </c>
      <c r="D2789" s="130" t="s">
        <v>29236</v>
      </c>
      <c r="E2789" s="145" t="s">
        <v>29237</v>
      </c>
      <c r="F2789" s="132">
        <v>441.0</v>
      </c>
      <c r="G2789" s="132">
        <v>450.0</v>
      </c>
      <c r="H2789" s="130" t="s">
        <v>17059</v>
      </c>
      <c r="I2789" s="130" t="s">
        <v>29241</v>
      </c>
      <c r="J2789" s="130" t="s">
        <v>29243</v>
      </c>
      <c r="K2789" s="16" t="s">
        <v>29244</v>
      </c>
      <c r="L2789" s="20" t="s">
        <v>29245</v>
      </c>
      <c r="M2789" s="130" t="s">
        <v>29246</v>
      </c>
      <c r="N2789" s="16" t="s">
        <v>41807</v>
      </c>
      <c r="O2789" s="84"/>
      <c r="P2789" s="84"/>
      <c r="Q2789" s="84"/>
      <c r="R2789" s="84"/>
      <c r="S2789" s="84"/>
      <c r="T2789" s="84"/>
      <c r="U2789" s="84"/>
      <c r="V2789" s="84"/>
      <c r="W2789" s="84"/>
      <c r="X2789" s="84"/>
    </row>
    <row r="2790" ht="15.75" customHeight="1">
      <c r="A2790" s="130" t="s">
        <v>2137</v>
      </c>
      <c r="B2790" s="132">
        <v>2016.0</v>
      </c>
      <c r="C2790" s="130" t="s">
        <v>29247</v>
      </c>
      <c r="D2790" s="130" t="s">
        <v>29248</v>
      </c>
      <c r="E2790" s="145" t="s">
        <v>29249</v>
      </c>
      <c r="F2790" s="132">
        <v>561.0</v>
      </c>
      <c r="G2790" s="132">
        <v>570.0</v>
      </c>
      <c r="H2790" s="130" t="s">
        <v>17059</v>
      </c>
      <c r="I2790" s="130" t="s">
        <v>29253</v>
      </c>
      <c r="J2790" s="130" t="s">
        <v>29254</v>
      </c>
      <c r="K2790" s="16" t="s">
        <v>29255</v>
      </c>
      <c r="L2790" s="20" t="s">
        <v>29256</v>
      </c>
      <c r="M2790" s="130" t="s">
        <v>29257</v>
      </c>
      <c r="N2790" s="16" t="s">
        <v>41808</v>
      </c>
      <c r="O2790" s="84"/>
      <c r="P2790" s="84"/>
      <c r="Q2790" s="84"/>
      <c r="R2790" s="84"/>
      <c r="S2790" s="84"/>
      <c r="T2790" s="84"/>
      <c r="U2790" s="84"/>
      <c r="V2790" s="84"/>
      <c r="W2790" s="84"/>
      <c r="X2790" s="84"/>
    </row>
    <row r="2791" ht="15.75" customHeight="1">
      <c r="A2791" s="130" t="s">
        <v>4153</v>
      </c>
      <c r="B2791" s="132">
        <v>2016.0</v>
      </c>
      <c r="C2791" s="130" t="s">
        <v>29260</v>
      </c>
      <c r="D2791" s="130" t="s">
        <v>29261</v>
      </c>
      <c r="E2791" s="145" t="s">
        <v>29262</v>
      </c>
      <c r="F2791" s="132">
        <v>901.0</v>
      </c>
      <c r="G2791" s="132">
        <v>910.0</v>
      </c>
      <c r="H2791" s="130" t="s">
        <v>17059</v>
      </c>
      <c r="I2791" s="130" t="s">
        <v>29266</v>
      </c>
      <c r="J2791" s="130" t="s">
        <v>29267</v>
      </c>
      <c r="K2791" s="16" t="s">
        <v>29268</v>
      </c>
      <c r="L2791" s="20" t="s">
        <v>29269</v>
      </c>
      <c r="M2791" s="130" t="s">
        <v>29270</v>
      </c>
      <c r="N2791" s="16" t="s">
        <v>41809</v>
      </c>
      <c r="O2791" s="84"/>
      <c r="P2791" s="84"/>
      <c r="Q2791" s="84"/>
      <c r="R2791" s="84"/>
      <c r="S2791" s="84"/>
      <c r="T2791" s="84"/>
      <c r="U2791" s="84"/>
      <c r="V2791" s="84"/>
      <c r="W2791" s="84"/>
      <c r="X2791" s="84"/>
    </row>
    <row r="2792" ht="15.75" customHeight="1">
      <c r="A2792" s="130" t="s">
        <v>4153</v>
      </c>
      <c r="B2792" s="132">
        <v>2016.0</v>
      </c>
      <c r="C2792" s="130" t="s">
        <v>29271</v>
      </c>
      <c r="D2792" s="130" t="s">
        <v>29272</v>
      </c>
      <c r="E2792" s="145" t="s">
        <v>29273</v>
      </c>
      <c r="F2792" s="132">
        <v>990.0</v>
      </c>
      <c r="G2792" s="132">
        <v>999.0</v>
      </c>
      <c r="H2792" s="130" t="s">
        <v>17059</v>
      </c>
      <c r="I2792" s="130" t="s">
        <v>29277</v>
      </c>
      <c r="J2792" s="130" t="s">
        <v>29278</v>
      </c>
      <c r="K2792" s="16" t="s">
        <v>29279</v>
      </c>
      <c r="L2792" s="20" t="s">
        <v>29280</v>
      </c>
      <c r="M2792" s="130" t="s">
        <v>29281</v>
      </c>
      <c r="N2792" s="16" t="s">
        <v>41810</v>
      </c>
      <c r="O2792" s="84"/>
      <c r="P2792" s="84"/>
      <c r="Q2792" s="84"/>
      <c r="R2792" s="84"/>
      <c r="S2792" s="84"/>
      <c r="T2792" s="84"/>
      <c r="U2792" s="84"/>
      <c r="V2792" s="84"/>
      <c r="W2792" s="84"/>
      <c r="X2792" s="84"/>
    </row>
    <row r="2793" ht="15.75" customHeight="1">
      <c r="A2793" s="130" t="s">
        <v>4153</v>
      </c>
      <c r="B2793" s="132">
        <v>2016.0</v>
      </c>
      <c r="C2793" s="130" t="s">
        <v>29283</v>
      </c>
      <c r="D2793" s="130" t="s">
        <v>29285</v>
      </c>
      <c r="E2793" s="145" t="s">
        <v>29287</v>
      </c>
      <c r="F2793" s="132">
        <v>791.0</v>
      </c>
      <c r="G2793" s="132">
        <v>800.0</v>
      </c>
      <c r="H2793" s="130" t="s">
        <v>17059</v>
      </c>
      <c r="I2793" s="130" t="s">
        <v>33432</v>
      </c>
      <c r="J2793" s="130" t="s">
        <v>29293</v>
      </c>
      <c r="K2793" s="16" t="s">
        <v>29295</v>
      </c>
      <c r="L2793" s="20" t="s">
        <v>29296</v>
      </c>
      <c r="M2793" s="130" t="s">
        <v>29297</v>
      </c>
      <c r="N2793" s="16" t="s">
        <v>41811</v>
      </c>
      <c r="O2793" s="84"/>
      <c r="P2793" s="84"/>
      <c r="Q2793" s="84"/>
      <c r="R2793" s="84"/>
      <c r="S2793" s="84"/>
      <c r="T2793" s="84"/>
      <c r="U2793" s="84"/>
      <c r="V2793" s="84"/>
      <c r="W2793" s="84"/>
      <c r="X2793" s="84"/>
    </row>
    <row r="2794" ht="15.75" customHeight="1">
      <c r="A2794" s="130" t="s">
        <v>4153</v>
      </c>
      <c r="B2794" s="132">
        <v>2016.0</v>
      </c>
      <c r="C2794" s="130" t="s">
        <v>29298</v>
      </c>
      <c r="D2794" s="130" t="s">
        <v>29299</v>
      </c>
      <c r="E2794" s="145" t="s">
        <v>29300</v>
      </c>
      <c r="F2794" s="132">
        <v>781.0</v>
      </c>
      <c r="G2794" s="132">
        <v>790.0</v>
      </c>
      <c r="H2794" s="130" t="s">
        <v>17059</v>
      </c>
      <c r="I2794" s="130" t="s">
        <v>29304</v>
      </c>
      <c r="J2794" s="130" t="s">
        <v>29305</v>
      </c>
      <c r="K2794" s="16" t="s">
        <v>29306</v>
      </c>
      <c r="L2794" s="20" t="s">
        <v>29307</v>
      </c>
      <c r="M2794" s="130" t="s">
        <v>29308</v>
      </c>
      <c r="N2794" s="16" t="s">
        <v>41812</v>
      </c>
      <c r="O2794" s="84"/>
      <c r="P2794" s="84"/>
      <c r="Q2794" s="84"/>
      <c r="R2794" s="84"/>
      <c r="S2794" s="84"/>
      <c r="T2794" s="84"/>
      <c r="U2794" s="84"/>
      <c r="V2794" s="84"/>
      <c r="W2794" s="84"/>
      <c r="X2794" s="84"/>
    </row>
    <row r="2795" ht="15.75" customHeight="1">
      <c r="A2795" s="130" t="s">
        <v>4153</v>
      </c>
      <c r="B2795" s="132">
        <v>2016.0</v>
      </c>
      <c r="C2795" s="130" t="s">
        <v>29311</v>
      </c>
      <c r="D2795" s="130" t="s">
        <v>29312</v>
      </c>
      <c r="E2795" s="145" t="s">
        <v>29313</v>
      </c>
      <c r="F2795" s="132">
        <v>801.0</v>
      </c>
      <c r="G2795" s="132">
        <v>810.0</v>
      </c>
      <c r="H2795" s="130" t="s">
        <v>17059</v>
      </c>
      <c r="I2795" s="130" t="s">
        <v>29316</v>
      </c>
      <c r="J2795" s="130" t="s">
        <v>29317</v>
      </c>
      <c r="K2795" s="16" t="s">
        <v>29318</v>
      </c>
      <c r="L2795" s="20" t="s">
        <v>29319</v>
      </c>
      <c r="M2795" s="130" t="s">
        <v>29320</v>
      </c>
      <c r="N2795" s="16" t="s">
        <v>41813</v>
      </c>
      <c r="O2795" s="84"/>
      <c r="P2795" s="84"/>
      <c r="Q2795" s="84"/>
      <c r="R2795" s="84"/>
      <c r="S2795" s="84"/>
      <c r="T2795" s="84"/>
      <c r="U2795" s="84"/>
      <c r="V2795" s="84"/>
      <c r="W2795" s="84"/>
      <c r="X2795" s="84"/>
    </row>
    <row r="2796" ht="15.75" customHeight="1">
      <c r="A2796" s="130" t="s">
        <v>4153</v>
      </c>
      <c r="B2796" s="132">
        <v>2016.0</v>
      </c>
      <c r="C2796" s="130" t="s">
        <v>29322</v>
      </c>
      <c r="D2796" s="130" t="s">
        <v>29323</v>
      </c>
      <c r="E2796" s="145" t="s">
        <v>29324</v>
      </c>
      <c r="F2796" s="132">
        <v>811.0</v>
      </c>
      <c r="G2796" s="132">
        <v>820.0</v>
      </c>
      <c r="H2796" s="130" t="s">
        <v>17059</v>
      </c>
      <c r="I2796" s="130" t="s">
        <v>29327</v>
      </c>
      <c r="J2796" s="130" t="s">
        <v>29328</v>
      </c>
      <c r="K2796" s="16" t="s">
        <v>29329</v>
      </c>
      <c r="L2796" s="20" t="s">
        <v>29330</v>
      </c>
      <c r="M2796" s="130" t="s">
        <v>29331</v>
      </c>
      <c r="N2796" s="16" t="s">
        <v>41814</v>
      </c>
      <c r="O2796" s="84"/>
      <c r="P2796" s="84"/>
      <c r="Q2796" s="84"/>
      <c r="R2796" s="84"/>
      <c r="S2796" s="84"/>
      <c r="T2796" s="84"/>
      <c r="U2796" s="84"/>
      <c r="V2796" s="84"/>
      <c r="W2796" s="84"/>
      <c r="X2796" s="84"/>
    </row>
    <row r="2797" ht="15.75" customHeight="1">
      <c r="A2797" s="130" t="s">
        <v>4153</v>
      </c>
      <c r="B2797" s="132">
        <v>2016.0</v>
      </c>
      <c r="C2797" s="130" t="s">
        <v>29332</v>
      </c>
      <c r="D2797" s="130" t="s">
        <v>29333</v>
      </c>
      <c r="E2797" s="145" t="s">
        <v>29334</v>
      </c>
      <c r="F2797" s="132">
        <v>711.0</v>
      </c>
      <c r="G2797" s="132">
        <v>720.0</v>
      </c>
      <c r="H2797" s="130" t="s">
        <v>17059</v>
      </c>
      <c r="I2797" s="130" t="s">
        <v>29336</v>
      </c>
      <c r="J2797" s="130" t="s">
        <v>41815</v>
      </c>
      <c r="K2797" s="16" t="s">
        <v>29339</v>
      </c>
      <c r="L2797" s="20" t="s">
        <v>29342</v>
      </c>
      <c r="M2797" s="130" t="s">
        <v>29343</v>
      </c>
      <c r="N2797" s="16" t="s">
        <v>41816</v>
      </c>
      <c r="O2797" s="84"/>
      <c r="P2797" s="84"/>
      <c r="Q2797" s="84"/>
      <c r="R2797" s="84"/>
      <c r="S2797" s="84"/>
      <c r="T2797" s="84"/>
      <c r="U2797" s="84"/>
      <c r="V2797" s="84"/>
      <c r="W2797" s="84"/>
      <c r="X2797" s="84"/>
    </row>
    <row r="2798" ht="15.75" customHeight="1">
      <c r="A2798" s="130" t="s">
        <v>4153</v>
      </c>
      <c r="B2798" s="132">
        <v>2016.0</v>
      </c>
      <c r="C2798" s="130" t="s">
        <v>29344</v>
      </c>
      <c r="D2798" s="130" t="s">
        <v>29346</v>
      </c>
      <c r="E2798" s="145" t="s">
        <v>29347</v>
      </c>
      <c r="F2798" s="132">
        <v>721.0</v>
      </c>
      <c r="G2798" s="132">
        <v>730.0</v>
      </c>
      <c r="H2798" s="130" t="s">
        <v>17059</v>
      </c>
      <c r="I2798" s="130" t="s">
        <v>29349</v>
      </c>
      <c r="J2798" s="130" t="s">
        <v>29350</v>
      </c>
      <c r="K2798" s="16" t="s">
        <v>29351</v>
      </c>
      <c r="L2798" s="20" t="s">
        <v>29352</v>
      </c>
      <c r="M2798" s="130" t="s">
        <v>29353</v>
      </c>
      <c r="N2798" s="16" t="s">
        <v>41817</v>
      </c>
      <c r="O2798" s="84"/>
      <c r="P2798" s="84"/>
      <c r="Q2798" s="84"/>
      <c r="R2798" s="84"/>
      <c r="S2798" s="84"/>
      <c r="T2798" s="84"/>
      <c r="U2798" s="84"/>
      <c r="V2798" s="84"/>
      <c r="W2798" s="84"/>
      <c r="X2798" s="84"/>
    </row>
    <row r="2799" ht="15.75" customHeight="1">
      <c r="A2799" s="130" t="s">
        <v>4153</v>
      </c>
      <c r="B2799" s="132">
        <v>2016.0</v>
      </c>
      <c r="C2799" s="130" t="s">
        <v>29355</v>
      </c>
      <c r="D2799" s="130" t="s">
        <v>29356</v>
      </c>
      <c r="E2799" s="145" t="s">
        <v>29357</v>
      </c>
      <c r="F2799" s="132">
        <v>751.0</v>
      </c>
      <c r="G2799" s="132">
        <v>760.0</v>
      </c>
      <c r="H2799" s="130" t="s">
        <v>17059</v>
      </c>
      <c r="I2799" s="130" t="s">
        <v>29360</v>
      </c>
      <c r="J2799" s="130" t="s">
        <v>29361</v>
      </c>
      <c r="K2799" s="16" t="s">
        <v>29363</v>
      </c>
      <c r="L2799" s="20" t="s">
        <v>29364</v>
      </c>
      <c r="M2799" s="130" t="s">
        <v>29365</v>
      </c>
      <c r="N2799" s="16" t="s">
        <v>41818</v>
      </c>
      <c r="O2799" s="84"/>
      <c r="P2799" s="84"/>
      <c r="Q2799" s="84"/>
      <c r="R2799" s="84"/>
      <c r="S2799" s="84"/>
      <c r="T2799" s="84"/>
      <c r="U2799" s="84"/>
      <c r="V2799" s="84"/>
      <c r="W2799" s="84"/>
      <c r="X2799" s="84"/>
    </row>
    <row r="2800" ht="15.75" customHeight="1">
      <c r="A2800" s="130" t="s">
        <v>4153</v>
      </c>
      <c r="B2800" s="132">
        <v>2016.0</v>
      </c>
      <c r="C2800" s="130" t="s">
        <v>29366</v>
      </c>
      <c r="D2800" s="130" t="s">
        <v>29367</v>
      </c>
      <c r="E2800" s="145" t="s">
        <v>29368</v>
      </c>
      <c r="F2800" s="132">
        <v>761.0</v>
      </c>
      <c r="G2800" s="132">
        <v>770.0</v>
      </c>
      <c r="H2800" s="130" t="s">
        <v>17059</v>
      </c>
      <c r="I2800" s="130" t="s">
        <v>29372</v>
      </c>
      <c r="J2800" s="130" t="s">
        <v>29373</v>
      </c>
      <c r="K2800" s="16" t="s">
        <v>29375</v>
      </c>
      <c r="L2800" s="20" t="s">
        <v>29376</v>
      </c>
      <c r="M2800" s="130" t="s">
        <v>29377</v>
      </c>
      <c r="N2800" s="16" t="s">
        <v>41819</v>
      </c>
      <c r="O2800" s="84"/>
      <c r="P2800" s="84"/>
      <c r="Q2800" s="84"/>
      <c r="R2800" s="84"/>
      <c r="S2800" s="84"/>
      <c r="T2800" s="84"/>
      <c r="U2800" s="84"/>
      <c r="V2800" s="84"/>
      <c r="W2800" s="84"/>
      <c r="X2800" s="84"/>
    </row>
    <row r="2801" ht="15.75" customHeight="1">
      <c r="A2801" s="130" t="s">
        <v>4153</v>
      </c>
      <c r="B2801" s="132">
        <v>2016.0</v>
      </c>
      <c r="C2801" s="130" t="s">
        <v>29380</v>
      </c>
      <c r="D2801" s="130" t="s">
        <v>29381</v>
      </c>
      <c r="E2801" s="145" t="s">
        <v>29382</v>
      </c>
      <c r="F2801" s="132">
        <v>701.0</v>
      </c>
      <c r="G2801" s="132">
        <v>710.0</v>
      </c>
      <c r="H2801" s="130" t="s">
        <v>17059</v>
      </c>
      <c r="I2801" s="130" t="s">
        <v>29385</v>
      </c>
      <c r="J2801" s="130" t="s">
        <v>29386</v>
      </c>
      <c r="K2801" s="16" t="s">
        <v>29388</v>
      </c>
      <c r="L2801" s="20" t="s">
        <v>29389</v>
      </c>
      <c r="M2801" s="130" t="s">
        <v>29391</v>
      </c>
      <c r="N2801" s="16" t="s">
        <v>41820</v>
      </c>
      <c r="O2801" s="84"/>
      <c r="P2801" s="84"/>
      <c r="Q2801" s="84"/>
      <c r="R2801" s="84"/>
      <c r="S2801" s="84"/>
      <c r="T2801" s="84"/>
      <c r="U2801" s="84"/>
      <c r="V2801" s="84"/>
      <c r="W2801" s="84"/>
      <c r="X2801" s="84"/>
    </row>
    <row r="2802" ht="15.75" customHeight="1">
      <c r="A2802" s="130" t="s">
        <v>4153</v>
      </c>
      <c r="B2802" s="132">
        <v>2016.0</v>
      </c>
      <c r="C2802" s="130" t="s">
        <v>29393</v>
      </c>
      <c r="D2802" s="130" t="s">
        <v>29394</v>
      </c>
      <c r="E2802" s="145" t="s">
        <v>29395</v>
      </c>
      <c r="F2802" s="132">
        <v>731.0</v>
      </c>
      <c r="G2802" s="132">
        <v>740.0</v>
      </c>
      <c r="H2802" s="130" t="s">
        <v>17059</v>
      </c>
      <c r="I2802" s="130" t="s">
        <v>29398</v>
      </c>
      <c r="J2802" s="130" t="s">
        <v>29399</v>
      </c>
      <c r="K2802" s="16" t="s">
        <v>29401</v>
      </c>
      <c r="L2802" s="20" t="s">
        <v>29402</v>
      </c>
      <c r="M2802" s="130" t="s">
        <v>29403</v>
      </c>
      <c r="N2802" s="16" t="s">
        <v>41821</v>
      </c>
      <c r="O2802" s="84"/>
      <c r="P2802" s="84"/>
      <c r="Q2802" s="84"/>
      <c r="R2802" s="84"/>
      <c r="S2802" s="84"/>
      <c r="T2802" s="84"/>
      <c r="U2802" s="84"/>
      <c r="V2802" s="84"/>
      <c r="W2802" s="84"/>
      <c r="X2802" s="84"/>
    </row>
    <row r="2803" ht="15.75" customHeight="1">
      <c r="A2803" s="130" t="s">
        <v>4153</v>
      </c>
      <c r="B2803" s="132">
        <v>2016.0</v>
      </c>
      <c r="C2803" s="130" t="s">
        <v>29404</v>
      </c>
      <c r="D2803" s="130" t="s">
        <v>29405</v>
      </c>
      <c r="E2803" s="145" t="s">
        <v>29408</v>
      </c>
      <c r="F2803" s="132">
        <v>741.0</v>
      </c>
      <c r="G2803" s="132">
        <v>750.0</v>
      </c>
      <c r="H2803" s="130" t="s">
        <v>17059</v>
      </c>
      <c r="I2803" s="130" t="s">
        <v>29411</v>
      </c>
      <c r="J2803" s="130" t="s">
        <v>29412</v>
      </c>
      <c r="K2803" s="16" t="s">
        <v>29414</v>
      </c>
      <c r="L2803" s="20" t="s">
        <v>29415</v>
      </c>
      <c r="M2803" s="130" t="s">
        <v>29417</v>
      </c>
      <c r="N2803" s="16" t="s">
        <v>41822</v>
      </c>
      <c r="O2803" s="84"/>
      <c r="P2803" s="84"/>
      <c r="Q2803" s="84"/>
      <c r="R2803" s="84"/>
      <c r="S2803" s="84"/>
      <c r="T2803" s="84"/>
      <c r="U2803" s="84"/>
      <c r="V2803" s="84"/>
      <c r="W2803" s="84"/>
      <c r="X2803" s="84"/>
    </row>
    <row r="2804" ht="15.75" customHeight="1">
      <c r="A2804" s="130" t="s">
        <v>4153</v>
      </c>
      <c r="B2804" s="132">
        <v>2016.0</v>
      </c>
      <c r="C2804" s="130" t="s">
        <v>29418</v>
      </c>
      <c r="D2804" s="130" t="s">
        <v>29419</v>
      </c>
      <c r="E2804" s="145" t="s">
        <v>29420</v>
      </c>
      <c r="F2804" s="132">
        <v>771.0</v>
      </c>
      <c r="G2804" s="132">
        <v>780.0</v>
      </c>
      <c r="H2804" s="130" t="s">
        <v>17059</v>
      </c>
      <c r="I2804" s="130" t="s">
        <v>29422</v>
      </c>
      <c r="J2804" s="130" t="s">
        <v>29423</v>
      </c>
      <c r="K2804" s="16" t="s">
        <v>29425</v>
      </c>
      <c r="L2804" s="20" t="s">
        <v>29426</v>
      </c>
      <c r="M2804" s="130" t="s">
        <v>29427</v>
      </c>
      <c r="N2804" s="16" t="s">
        <v>41823</v>
      </c>
      <c r="O2804" s="84"/>
      <c r="P2804" s="84"/>
      <c r="Q2804" s="84"/>
      <c r="R2804" s="84"/>
      <c r="S2804" s="84"/>
      <c r="T2804" s="84"/>
      <c r="U2804" s="84"/>
      <c r="V2804" s="84"/>
      <c r="W2804" s="84"/>
      <c r="X2804" s="84"/>
    </row>
    <row r="2805" ht="15.75" customHeight="1">
      <c r="A2805" s="130" t="s">
        <v>4153</v>
      </c>
      <c r="B2805" s="132">
        <v>2016.0</v>
      </c>
      <c r="C2805" s="130" t="s">
        <v>29428</v>
      </c>
      <c r="D2805" s="130" t="s">
        <v>29429</v>
      </c>
      <c r="E2805" s="145" t="s">
        <v>29430</v>
      </c>
      <c r="F2805" s="132">
        <v>821.0</v>
      </c>
      <c r="G2805" s="132">
        <v>830.0</v>
      </c>
      <c r="H2805" s="130" t="s">
        <v>17059</v>
      </c>
      <c r="I2805" s="130" t="s">
        <v>29434</v>
      </c>
      <c r="J2805" s="130" t="s">
        <v>29435</v>
      </c>
      <c r="K2805" s="16" t="s">
        <v>29438</v>
      </c>
      <c r="L2805" s="20" t="s">
        <v>29439</v>
      </c>
      <c r="M2805" s="130" t="s">
        <v>29440</v>
      </c>
      <c r="N2805" s="16" t="s">
        <v>40377</v>
      </c>
      <c r="O2805" s="84"/>
      <c r="P2805" s="84"/>
      <c r="Q2805" s="84"/>
      <c r="R2805" s="84"/>
      <c r="S2805" s="84"/>
      <c r="T2805" s="84"/>
      <c r="U2805" s="84"/>
      <c r="V2805" s="84"/>
      <c r="W2805" s="84"/>
      <c r="X2805" s="84"/>
    </row>
    <row r="2806" ht="15.75" customHeight="1">
      <c r="A2806" s="130" t="s">
        <v>4153</v>
      </c>
      <c r="B2806" s="132">
        <v>2016.0</v>
      </c>
      <c r="C2806" s="130" t="s">
        <v>29441</v>
      </c>
      <c r="D2806" s="130" t="s">
        <v>29442</v>
      </c>
      <c r="E2806" s="145" t="s">
        <v>29443</v>
      </c>
      <c r="F2806" s="132">
        <v>831.0</v>
      </c>
      <c r="G2806" s="132">
        <v>840.0</v>
      </c>
      <c r="H2806" s="130" t="s">
        <v>17059</v>
      </c>
      <c r="I2806" s="130" t="s">
        <v>29447</v>
      </c>
      <c r="J2806" s="130" t="s">
        <v>29448</v>
      </c>
      <c r="K2806" s="16" t="s">
        <v>29449</v>
      </c>
      <c r="L2806" s="20" t="s">
        <v>29450</v>
      </c>
      <c r="M2806" s="130" t="s">
        <v>29451</v>
      </c>
      <c r="N2806" s="16" t="s">
        <v>41824</v>
      </c>
      <c r="O2806" s="84"/>
      <c r="P2806" s="84"/>
      <c r="Q2806" s="84"/>
      <c r="R2806" s="84"/>
      <c r="S2806" s="84"/>
      <c r="T2806" s="84"/>
      <c r="U2806" s="84"/>
      <c r="V2806" s="84"/>
      <c r="W2806" s="84"/>
      <c r="X2806" s="84"/>
    </row>
    <row r="2807" ht="15.75" customHeight="1">
      <c r="A2807" s="130" t="s">
        <v>4153</v>
      </c>
      <c r="B2807" s="132">
        <v>2016.0</v>
      </c>
      <c r="C2807" s="130" t="s">
        <v>29454</v>
      </c>
      <c r="D2807" s="130" t="s">
        <v>29455</v>
      </c>
      <c r="E2807" s="145" t="s">
        <v>29456</v>
      </c>
      <c r="F2807" s="132">
        <v>841.0</v>
      </c>
      <c r="G2807" s="132">
        <v>850.0</v>
      </c>
      <c r="H2807" s="130" t="s">
        <v>17059</v>
      </c>
      <c r="I2807" s="130" t="s">
        <v>29457</v>
      </c>
      <c r="J2807" s="130" t="s">
        <v>29459</v>
      </c>
      <c r="K2807" s="16" t="s">
        <v>29462</v>
      </c>
      <c r="L2807" s="20" t="s">
        <v>29463</v>
      </c>
      <c r="M2807" s="130" t="s">
        <v>29465</v>
      </c>
      <c r="N2807" s="16" t="s">
        <v>41825</v>
      </c>
      <c r="O2807" s="84"/>
      <c r="P2807" s="84"/>
      <c r="Q2807" s="84"/>
      <c r="R2807" s="84"/>
      <c r="S2807" s="84"/>
      <c r="T2807" s="84"/>
      <c r="U2807" s="84"/>
      <c r="V2807" s="84"/>
      <c r="W2807" s="84"/>
      <c r="X2807" s="84"/>
    </row>
    <row r="2808" ht="15.75" customHeight="1">
      <c r="A2808" s="130" t="s">
        <v>4153</v>
      </c>
      <c r="B2808" s="132">
        <v>2016.0</v>
      </c>
      <c r="C2808" s="130" t="s">
        <v>29466</v>
      </c>
      <c r="D2808" s="130" t="s">
        <v>29467</v>
      </c>
      <c r="E2808" s="145" t="s">
        <v>29468</v>
      </c>
      <c r="F2808" s="132">
        <v>851.0</v>
      </c>
      <c r="G2808" s="132">
        <v>860.0</v>
      </c>
      <c r="H2808" s="130" t="s">
        <v>17059</v>
      </c>
      <c r="I2808" s="130" t="s">
        <v>29471</v>
      </c>
      <c r="J2808" s="130" t="s">
        <v>41826</v>
      </c>
      <c r="K2808" s="16" t="s">
        <v>29473</v>
      </c>
      <c r="L2808" s="20" t="s">
        <v>29474</v>
      </c>
      <c r="M2808" s="130" t="s">
        <v>29475</v>
      </c>
      <c r="N2808" s="16" t="s">
        <v>41827</v>
      </c>
      <c r="O2808" s="84"/>
      <c r="P2808" s="84"/>
      <c r="Q2808" s="84"/>
      <c r="R2808" s="84"/>
      <c r="S2808" s="84"/>
      <c r="T2808" s="84"/>
      <c r="U2808" s="84"/>
      <c r="V2808" s="84"/>
      <c r="W2808" s="84"/>
      <c r="X2808" s="84"/>
    </row>
    <row r="2809" ht="15.75" customHeight="1">
      <c r="A2809" s="130" t="s">
        <v>4153</v>
      </c>
      <c r="B2809" s="132">
        <v>2016.0</v>
      </c>
      <c r="C2809" s="130" t="s">
        <v>29476</v>
      </c>
      <c r="D2809" s="130" t="s">
        <v>29477</v>
      </c>
      <c r="E2809" s="145" t="s">
        <v>29478</v>
      </c>
      <c r="F2809" s="132">
        <v>980.0</v>
      </c>
      <c r="G2809" s="132">
        <v>989.0</v>
      </c>
      <c r="H2809" s="130" t="s">
        <v>17059</v>
      </c>
      <c r="I2809" s="130" t="s">
        <v>29482</v>
      </c>
      <c r="J2809" s="130" t="s">
        <v>29483</v>
      </c>
      <c r="K2809" s="16" t="s">
        <v>29484</v>
      </c>
      <c r="L2809" s="20" t="s">
        <v>29485</v>
      </c>
      <c r="M2809" s="130" t="s">
        <v>29486</v>
      </c>
      <c r="N2809" s="16" t="s">
        <v>41828</v>
      </c>
      <c r="O2809" s="84"/>
      <c r="P2809" s="84"/>
      <c r="Q2809" s="84"/>
      <c r="R2809" s="84"/>
      <c r="S2809" s="84"/>
      <c r="T2809" s="84"/>
      <c r="U2809" s="84"/>
      <c r="V2809" s="84"/>
      <c r="W2809" s="84"/>
      <c r="X2809" s="84"/>
    </row>
    <row r="2810" ht="15.75" customHeight="1">
      <c r="A2810" s="130" t="s">
        <v>4153</v>
      </c>
      <c r="B2810" s="132">
        <v>2016.0</v>
      </c>
      <c r="C2810" s="130" t="s">
        <v>29487</v>
      </c>
      <c r="D2810" s="130" t="s">
        <v>29488</v>
      </c>
      <c r="E2810" s="145" t="s">
        <v>29489</v>
      </c>
      <c r="F2810" s="132">
        <v>970.0</v>
      </c>
      <c r="G2810" s="132">
        <v>979.0</v>
      </c>
      <c r="H2810" s="130" t="s">
        <v>17059</v>
      </c>
      <c r="I2810" s="130" t="s">
        <v>29496</v>
      </c>
      <c r="J2810" s="130" t="s">
        <v>26138</v>
      </c>
      <c r="K2810" s="16" t="s">
        <v>29497</v>
      </c>
      <c r="L2810" s="20" t="s">
        <v>29498</v>
      </c>
      <c r="M2810" s="130" t="s">
        <v>29499</v>
      </c>
      <c r="N2810" s="16" t="s">
        <v>41829</v>
      </c>
      <c r="O2810" s="84"/>
      <c r="P2810" s="84"/>
      <c r="Q2810" s="84"/>
      <c r="R2810" s="84"/>
      <c r="S2810" s="84"/>
      <c r="T2810" s="84"/>
      <c r="U2810" s="84"/>
      <c r="V2810" s="84"/>
      <c r="W2810" s="84"/>
      <c r="X2810" s="84"/>
    </row>
    <row r="2811" ht="15.75" customHeight="1">
      <c r="A2811" s="130" t="s">
        <v>4153</v>
      </c>
      <c r="B2811" s="132">
        <v>2016.0</v>
      </c>
      <c r="C2811" s="130" t="s">
        <v>29500</v>
      </c>
      <c r="D2811" s="130" t="s">
        <v>29501</v>
      </c>
      <c r="E2811" s="145" t="s">
        <v>29502</v>
      </c>
      <c r="F2811" s="132">
        <v>960.0</v>
      </c>
      <c r="G2811" s="132">
        <v>969.0</v>
      </c>
      <c r="H2811" s="130" t="s">
        <v>17059</v>
      </c>
      <c r="I2811" s="130" t="s">
        <v>29687</v>
      </c>
      <c r="J2811" s="130" t="s">
        <v>29689</v>
      </c>
      <c r="K2811" s="16" t="s">
        <v>29690</v>
      </c>
      <c r="L2811" s="20" t="s">
        <v>29691</v>
      </c>
      <c r="M2811" s="130" t="s">
        <v>29692</v>
      </c>
      <c r="N2811" s="16" t="s">
        <v>41830</v>
      </c>
      <c r="O2811" s="84"/>
      <c r="P2811" s="84"/>
      <c r="Q2811" s="84"/>
      <c r="R2811" s="84"/>
      <c r="S2811" s="84"/>
      <c r="T2811" s="84"/>
      <c r="U2811" s="84"/>
      <c r="V2811" s="84"/>
      <c r="W2811" s="84"/>
      <c r="X2811" s="84"/>
    </row>
    <row r="2812" ht="15.75" customHeight="1">
      <c r="A2812" s="130" t="s">
        <v>4153</v>
      </c>
      <c r="B2812" s="132">
        <v>2016.0</v>
      </c>
      <c r="C2812" s="130" t="s">
        <v>29693</v>
      </c>
      <c r="D2812" s="130" t="s">
        <v>29694</v>
      </c>
      <c r="E2812" s="145" t="s">
        <v>29695</v>
      </c>
      <c r="F2812" s="132">
        <v>950.0</v>
      </c>
      <c r="G2812" s="132">
        <v>959.0</v>
      </c>
      <c r="H2812" s="130" t="s">
        <v>17059</v>
      </c>
      <c r="I2812" s="130" t="s">
        <v>29699</v>
      </c>
      <c r="J2812" s="130" t="s">
        <v>41831</v>
      </c>
      <c r="K2812" s="16" t="s">
        <v>41832</v>
      </c>
      <c r="L2812" s="20" t="s">
        <v>29702</v>
      </c>
      <c r="M2812" s="130" t="s">
        <v>29703</v>
      </c>
      <c r="N2812" s="16" t="s">
        <v>41833</v>
      </c>
      <c r="O2812" s="84"/>
      <c r="P2812" s="84"/>
      <c r="Q2812" s="84"/>
      <c r="R2812" s="84"/>
      <c r="S2812" s="84"/>
      <c r="T2812" s="84"/>
      <c r="U2812" s="84"/>
      <c r="V2812" s="84"/>
      <c r="W2812" s="84"/>
      <c r="X2812" s="84"/>
    </row>
    <row r="2813" ht="15.75" customHeight="1">
      <c r="A2813" s="130" t="s">
        <v>4153</v>
      </c>
      <c r="B2813" s="132">
        <v>2016.0</v>
      </c>
      <c r="C2813" s="130" t="s">
        <v>29704</v>
      </c>
      <c r="D2813" s="130" t="s">
        <v>29706</v>
      </c>
      <c r="E2813" s="145" t="s">
        <v>29707</v>
      </c>
      <c r="F2813" s="132">
        <v>941.0</v>
      </c>
      <c r="G2813" s="132">
        <v>949.0</v>
      </c>
      <c r="H2813" s="130" t="s">
        <v>17059</v>
      </c>
      <c r="I2813" s="130" t="s">
        <v>29709</v>
      </c>
      <c r="J2813" s="130" t="s">
        <v>41834</v>
      </c>
      <c r="K2813" s="16" t="s">
        <v>29713</v>
      </c>
      <c r="L2813" s="20" t="s">
        <v>29714</v>
      </c>
      <c r="M2813" s="130" t="s">
        <v>29716</v>
      </c>
      <c r="N2813" s="16" t="s">
        <v>41835</v>
      </c>
      <c r="O2813" s="84"/>
      <c r="P2813" s="84"/>
      <c r="Q2813" s="84"/>
      <c r="R2813" s="84"/>
      <c r="S2813" s="84"/>
      <c r="T2813" s="84"/>
      <c r="U2813" s="84"/>
      <c r="V2813" s="84"/>
      <c r="W2813" s="84"/>
      <c r="X2813" s="84"/>
    </row>
    <row r="2814" ht="15.75" customHeight="1">
      <c r="A2814" s="130" t="s">
        <v>4153</v>
      </c>
      <c r="B2814" s="132">
        <v>2016.0</v>
      </c>
      <c r="C2814" s="130" t="s">
        <v>29717</v>
      </c>
      <c r="D2814" s="130" t="s">
        <v>29718</v>
      </c>
      <c r="E2814" s="145" t="s">
        <v>29719</v>
      </c>
      <c r="F2814" s="132">
        <v>931.0</v>
      </c>
      <c r="G2814" s="132">
        <v>940.0</v>
      </c>
      <c r="H2814" s="130" t="s">
        <v>17059</v>
      </c>
      <c r="I2814" s="130" t="s">
        <v>29722</v>
      </c>
      <c r="J2814" s="130" t="s">
        <v>41836</v>
      </c>
      <c r="K2814" s="16" t="s">
        <v>29725</v>
      </c>
      <c r="L2814" s="20" t="s">
        <v>29726</v>
      </c>
      <c r="M2814" s="130"/>
      <c r="N2814" s="16" t="s">
        <v>41837</v>
      </c>
      <c r="O2814" s="84"/>
      <c r="P2814" s="84"/>
      <c r="Q2814" s="84"/>
      <c r="R2814" s="84"/>
      <c r="S2814" s="84"/>
      <c r="T2814" s="84"/>
      <c r="U2814" s="84"/>
      <c r="V2814" s="84"/>
      <c r="W2814" s="84"/>
      <c r="X2814" s="84"/>
    </row>
    <row r="2815" ht="15.75" customHeight="1">
      <c r="A2815" s="130" t="s">
        <v>4153</v>
      </c>
      <c r="B2815" s="132">
        <v>2016.0</v>
      </c>
      <c r="C2815" s="130" t="s">
        <v>29727</v>
      </c>
      <c r="D2815" s="130" t="s">
        <v>29728</v>
      </c>
      <c r="E2815" s="145" t="s">
        <v>29729</v>
      </c>
      <c r="F2815" s="132">
        <v>921.0</v>
      </c>
      <c r="G2815" s="132">
        <v>930.0</v>
      </c>
      <c r="H2815" s="130" t="s">
        <v>17059</v>
      </c>
      <c r="I2815" s="130" t="s">
        <v>29732</v>
      </c>
      <c r="J2815" s="130" t="s">
        <v>29734</v>
      </c>
      <c r="K2815" s="16" t="s">
        <v>29736</v>
      </c>
      <c r="L2815" s="20" t="s">
        <v>29737</v>
      </c>
      <c r="M2815" s="130" t="s">
        <v>29738</v>
      </c>
      <c r="N2815" s="16" t="s">
        <v>40204</v>
      </c>
      <c r="O2815" s="84"/>
      <c r="P2815" s="84"/>
      <c r="Q2815" s="84"/>
      <c r="R2815" s="84"/>
      <c r="S2815" s="84"/>
      <c r="T2815" s="84"/>
      <c r="U2815" s="84"/>
      <c r="V2815" s="84"/>
      <c r="W2815" s="84"/>
      <c r="X2815" s="84"/>
    </row>
    <row r="2816" ht="15.75" customHeight="1">
      <c r="A2816" s="130" t="s">
        <v>4153</v>
      </c>
      <c r="B2816" s="132">
        <v>2016.0</v>
      </c>
      <c r="C2816" s="130" t="s">
        <v>29740</v>
      </c>
      <c r="D2816" s="130" t="s">
        <v>29741</v>
      </c>
      <c r="E2816" s="145" t="s">
        <v>29742</v>
      </c>
      <c r="F2816" s="132">
        <v>911.0</v>
      </c>
      <c r="G2816" s="132">
        <v>920.0</v>
      </c>
      <c r="H2816" s="130" t="s">
        <v>17059</v>
      </c>
      <c r="I2816" s="130" t="s">
        <v>29745</v>
      </c>
      <c r="J2816" s="130" t="s">
        <v>29746</v>
      </c>
      <c r="K2816" s="16" t="s">
        <v>29747</v>
      </c>
      <c r="L2816" s="20" t="s">
        <v>27597</v>
      </c>
      <c r="M2816" s="130" t="s">
        <v>29748</v>
      </c>
      <c r="N2816" s="16" t="s">
        <v>41838</v>
      </c>
      <c r="O2816" s="84"/>
      <c r="P2816" s="84"/>
      <c r="Q2816" s="84"/>
      <c r="R2816" s="84"/>
      <c r="S2816" s="84"/>
      <c r="T2816" s="84"/>
      <c r="U2816" s="84"/>
      <c r="V2816" s="84"/>
      <c r="W2816" s="84"/>
      <c r="X2816" s="84"/>
    </row>
    <row r="2817" ht="15.75" customHeight="1">
      <c r="A2817" s="130" t="s">
        <v>4153</v>
      </c>
      <c r="B2817" s="132">
        <v>2016.0</v>
      </c>
      <c r="C2817" s="130" t="s">
        <v>29749</v>
      </c>
      <c r="D2817" s="130" t="s">
        <v>29750</v>
      </c>
      <c r="E2817" s="145" t="s">
        <v>29751</v>
      </c>
      <c r="F2817" s="132">
        <v>891.0</v>
      </c>
      <c r="G2817" s="132">
        <v>900.0</v>
      </c>
      <c r="H2817" s="130" t="s">
        <v>17059</v>
      </c>
      <c r="I2817" s="130" t="s">
        <v>29754</v>
      </c>
      <c r="J2817" s="130" t="s">
        <v>29755</v>
      </c>
      <c r="K2817" s="16" t="s">
        <v>21913</v>
      </c>
      <c r="L2817" s="20" t="s">
        <v>29756</v>
      </c>
      <c r="M2817" s="130" t="s">
        <v>29757</v>
      </c>
      <c r="N2817" s="16" t="s">
        <v>39861</v>
      </c>
      <c r="O2817" s="84"/>
      <c r="P2817" s="84"/>
      <c r="Q2817" s="84"/>
      <c r="R2817" s="84"/>
      <c r="S2817" s="84"/>
      <c r="T2817" s="84"/>
      <c r="U2817" s="84"/>
      <c r="V2817" s="84"/>
      <c r="W2817" s="84"/>
      <c r="X2817" s="84"/>
    </row>
    <row r="2818" ht="15.75" customHeight="1">
      <c r="A2818" s="130" t="s">
        <v>4153</v>
      </c>
      <c r="B2818" s="132">
        <v>2016.0</v>
      </c>
      <c r="C2818" s="130" t="s">
        <v>34200</v>
      </c>
      <c r="D2818" s="130" t="s">
        <v>29761</v>
      </c>
      <c r="E2818" s="145" t="s">
        <v>29762</v>
      </c>
      <c r="F2818" s="132">
        <v>861.0</v>
      </c>
      <c r="G2818" s="132">
        <v>870.0</v>
      </c>
      <c r="H2818" s="130" t="s">
        <v>17059</v>
      </c>
      <c r="I2818" s="130" t="s">
        <v>29767</v>
      </c>
      <c r="J2818" s="130" t="s">
        <v>29768</v>
      </c>
      <c r="K2818" s="16" t="s">
        <v>23422</v>
      </c>
      <c r="L2818" s="20" t="s">
        <v>29769</v>
      </c>
      <c r="M2818" s="130" t="s">
        <v>29770</v>
      </c>
      <c r="N2818" s="16" t="s">
        <v>41839</v>
      </c>
      <c r="O2818" s="84"/>
      <c r="P2818" s="84"/>
      <c r="Q2818" s="84"/>
      <c r="R2818" s="84"/>
      <c r="S2818" s="84"/>
      <c r="T2818" s="84"/>
      <c r="U2818" s="84"/>
      <c r="V2818" s="84"/>
      <c r="W2818" s="84"/>
      <c r="X2818" s="84"/>
    </row>
    <row r="2819" ht="15.75" customHeight="1">
      <c r="A2819" s="130" t="s">
        <v>4153</v>
      </c>
      <c r="B2819" s="132">
        <v>2016.0</v>
      </c>
      <c r="C2819" s="130" t="s">
        <v>29771</v>
      </c>
      <c r="D2819" s="130" t="s">
        <v>29772</v>
      </c>
      <c r="E2819" s="145" t="s">
        <v>29773</v>
      </c>
      <c r="F2819" s="132">
        <v>871.0</v>
      </c>
      <c r="G2819" s="132">
        <v>880.0</v>
      </c>
      <c r="H2819" s="130" t="s">
        <v>17059</v>
      </c>
      <c r="I2819" s="130" t="s">
        <v>29776</v>
      </c>
      <c r="J2819" s="130" t="s">
        <v>41840</v>
      </c>
      <c r="K2819" s="16" t="s">
        <v>29779</v>
      </c>
      <c r="L2819" s="20" t="s">
        <v>29780</v>
      </c>
      <c r="M2819" s="130" t="s">
        <v>29781</v>
      </c>
      <c r="N2819" s="16" t="s">
        <v>41841</v>
      </c>
      <c r="O2819" s="84"/>
      <c r="P2819" s="84"/>
      <c r="Q2819" s="84"/>
      <c r="R2819" s="84"/>
      <c r="S2819" s="84"/>
      <c r="T2819" s="84"/>
      <c r="U2819" s="84"/>
      <c r="V2819" s="84"/>
      <c r="W2819" s="84"/>
      <c r="X2819" s="84"/>
    </row>
    <row r="2820" ht="15.75" customHeight="1">
      <c r="A2820" s="130" t="s">
        <v>4153</v>
      </c>
      <c r="B2820" s="132">
        <v>2016.0</v>
      </c>
      <c r="C2820" s="130" t="s">
        <v>29785</v>
      </c>
      <c r="D2820" s="130" t="s">
        <v>29786</v>
      </c>
      <c r="E2820" s="145" t="s">
        <v>29787</v>
      </c>
      <c r="F2820" s="132">
        <v>881.0</v>
      </c>
      <c r="G2820" s="132">
        <v>890.0</v>
      </c>
      <c r="H2820" s="130" t="s">
        <v>17059</v>
      </c>
      <c r="I2820" s="130" t="s">
        <v>29790</v>
      </c>
      <c r="J2820" s="130" t="s">
        <v>29791</v>
      </c>
      <c r="K2820" s="16" t="s">
        <v>29793</v>
      </c>
      <c r="L2820" s="20" t="s">
        <v>29794</v>
      </c>
      <c r="M2820" s="130" t="s">
        <v>29795</v>
      </c>
      <c r="N2820" s="16" t="s">
        <v>41842</v>
      </c>
      <c r="O2820" s="84"/>
      <c r="P2820" s="84"/>
      <c r="Q2820" s="84"/>
      <c r="R2820" s="84"/>
      <c r="S2820" s="84"/>
      <c r="T2820" s="84"/>
      <c r="U2820" s="84"/>
      <c r="V2820" s="84"/>
      <c r="W2820" s="84"/>
      <c r="X2820" s="84"/>
    </row>
    <row r="2821" ht="15.75" customHeight="1">
      <c r="A2821" s="130" t="s">
        <v>120</v>
      </c>
      <c r="B2821" s="132">
        <v>2016.0</v>
      </c>
      <c r="C2821" s="130" t="s">
        <v>29796</v>
      </c>
      <c r="D2821" s="130" t="s">
        <v>29797</v>
      </c>
      <c r="E2821" s="145" t="s">
        <v>29798</v>
      </c>
      <c r="F2821" s="132">
        <v>211.0</v>
      </c>
      <c r="G2821" s="132">
        <v>220.0</v>
      </c>
      <c r="H2821" s="130" t="s">
        <v>17059</v>
      </c>
      <c r="I2821" s="130" t="s">
        <v>29801</v>
      </c>
      <c r="J2821" s="130" t="s">
        <v>29802</v>
      </c>
      <c r="K2821" s="16" t="s">
        <v>29804</v>
      </c>
      <c r="L2821" s="20" t="s">
        <v>29805</v>
      </c>
      <c r="M2821" s="130" t="s">
        <v>29806</v>
      </c>
      <c r="N2821" s="16" t="s">
        <v>41843</v>
      </c>
      <c r="O2821" s="84"/>
      <c r="P2821" s="84"/>
      <c r="Q2821" s="84"/>
      <c r="R2821" s="84"/>
      <c r="S2821" s="84"/>
      <c r="T2821" s="84"/>
      <c r="U2821" s="84"/>
      <c r="V2821" s="84"/>
      <c r="W2821" s="84"/>
      <c r="X2821" s="84"/>
    </row>
    <row r="2822" ht="15.75" customHeight="1">
      <c r="A2822" s="130" t="s">
        <v>120</v>
      </c>
      <c r="B2822" s="132">
        <v>2016.0</v>
      </c>
      <c r="C2822" s="130" t="s">
        <v>29808</v>
      </c>
      <c r="D2822" s="130" t="s">
        <v>29810</v>
      </c>
      <c r="E2822" s="145" t="s">
        <v>29811</v>
      </c>
      <c r="F2822" s="132">
        <v>11.0</v>
      </c>
      <c r="G2822" s="132">
        <v>20.0</v>
      </c>
      <c r="H2822" s="130" t="s">
        <v>17059</v>
      </c>
      <c r="I2822" s="130" t="s">
        <v>33165</v>
      </c>
      <c r="J2822" s="130" t="s">
        <v>29816</v>
      </c>
      <c r="K2822" s="16" t="s">
        <v>29817</v>
      </c>
      <c r="L2822" s="20" t="s">
        <v>29818</v>
      </c>
      <c r="M2822" s="130" t="s">
        <v>29819</v>
      </c>
      <c r="N2822" s="16" t="s">
        <v>41844</v>
      </c>
      <c r="O2822" s="84"/>
      <c r="P2822" s="84"/>
      <c r="Q2822" s="84"/>
      <c r="R2822" s="84"/>
      <c r="S2822" s="84"/>
      <c r="T2822" s="84"/>
      <c r="U2822" s="84"/>
      <c r="V2822" s="84"/>
      <c r="W2822" s="84"/>
      <c r="X2822" s="84"/>
    </row>
    <row r="2823" ht="15.75" customHeight="1">
      <c r="A2823" s="130" t="s">
        <v>120</v>
      </c>
      <c r="B2823" s="132">
        <v>2016.0</v>
      </c>
      <c r="C2823" s="130" t="s">
        <v>29820</v>
      </c>
      <c r="D2823" s="130" t="s">
        <v>29821</v>
      </c>
      <c r="E2823" s="145" t="s">
        <v>29822</v>
      </c>
      <c r="F2823" s="132">
        <v>1.0</v>
      </c>
      <c r="G2823" s="132">
        <v>10.0</v>
      </c>
      <c r="H2823" s="130" t="s">
        <v>17059</v>
      </c>
      <c r="I2823" s="130" t="s">
        <v>29825</v>
      </c>
      <c r="J2823" s="130" t="s">
        <v>41845</v>
      </c>
      <c r="K2823" s="16" t="s">
        <v>29828</v>
      </c>
      <c r="L2823" s="20" t="s">
        <v>29829</v>
      </c>
      <c r="M2823" s="130" t="s">
        <v>29830</v>
      </c>
      <c r="N2823" s="16" t="s">
        <v>41846</v>
      </c>
      <c r="O2823" s="84"/>
      <c r="P2823" s="84"/>
      <c r="Q2823" s="84"/>
      <c r="R2823" s="84"/>
      <c r="S2823" s="84"/>
      <c r="T2823" s="84"/>
      <c r="U2823" s="84"/>
      <c r="V2823" s="84"/>
      <c r="W2823" s="84"/>
      <c r="X2823" s="84"/>
    </row>
    <row r="2824" ht="15.75" customHeight="1">
      <c r="A2824" s="130" t="s">
        <v>120</v>
      </c>
      <c r="B2824" s="132">
        <v>2016.0</v>
      </c>
      <c r="C2824" s="130" t="s">
        <v>29907</v>
      </c>
      <c r="D2824" s="130" t="s">
        <v>29908</v>
      </c>
      <c r="E2824" s="145" t="s">
        <v>29909</v>
      </c>
      <c r="F2824" s="132">
        <v>201.0</v>
      </c>
      <c r="G2824" s="132">
        <v>210.0</v>
      </c>
      <c r="H2824" s="130" t="s">
        <v>17059</v>
      </c>
      <c r="I2824" s="130" t="s">
        <v>29913</v>
      </c>
      <c r="J2824" s="130" t="s">
        <v>29914</v>
      </c>
      <c r="K2824" s="16" t="s">
        <v>29918</v>
      </c>
      <c r="L2824" s="20" t="s">
        <v>29919</v>
      </c>
      <c r="M2824" s="130" t="s">
        <v>29920</v>
      </c>
      <c r="N2824" s="16" t="s">
        <v>41847</v>
      </c>
      <c r="O2824" s="84"/>
      <c r="P2824" s="84"/>
      <c r="Q2824" s="84"/>
      <c r="R2824" s="84"/>
      <c r="S2824" s="84"/>
      <c r="T2824" s="84"/>
      <c r="U2824" s="84"/>
      <c r="V2824" s="84"/>
      <c r="W2824" s="84"/>
      <c r="X2824" s="84"/>
    </row>
    <row r="2825" ht="15.75" customHeight="1">
      <c r="A2825" s="130" t="s">
        <v>120</v>
      </c>
      <c r="B2825" s="132">
        <v>2016.0</v>
      </c>
      <c r="C2825" s="130" t="s">
        <v>29921</v>
      </c>
      <c r="D2825" s="130" t="s">
        <v>29922</v>
      </c>
      <c r="E2825" s="145" t="s">
        <v>29923</v>
      </c>
      <c r="F2825" s="132">
        <v>151.0</v>
      </c>
      <c r="G2825" s="132">
        <v>160.0</v>
      </c>
      <c r="H2825" s="130" t="s">
        <v>17059</v>
      </c>
      <c r="I2825" s="130" t="s">
        <v>29925</v>
      </c>
      <c r="J2825" s="130" t="s">
        <v>29926</v>
      </c>
      <c r="K2825" s="16" t="s">
        <v>29928</v>
      </c>
      <c r="L2825" s="20" t="s">
        <v>29929</v>
      </c>
      <c r="M2825" s="130" t="s">
        <v>29930</v>
      </c>
      <c r="N2825" s="16" t="s">
        <v>41848</v>
      </c>
      <c r="O2825" s="84"/>
      <c r="P2825" s="84"/>
      <c r="Q2825" s="84"/>
      <c r="R2825" s="84"/>
      <c r="S2825" s="84"/>
      <c r="T2825" s="84"/>
      <c r="U2825" s="84"/>
      <c r="V2825" s="84"/>
      <c r="W2825" s="84"/>
      <c r="X2825" s="84"/>
    </row>
    <row r="2826" ht="15.75" customHeight="1">
      <c r="A2826" s="130" t="s">
        <v>120</v>
      </c>
      <c r="B2826" s="132">
        <v>2016.0</v>
      </c>
      <c r="C2826" s="130" t="s">
        <v>29931</v>
      </c>
      <c r="D2826" s="130" t="s">
        <v>29932</v>
      </c>
      <c r="E2826" s="145" t="s">
        <v>29934</v>
      </c>
      <c r="F2826" s="132">
        <v>221.0</v>
      </c>
      <c r="G2826" s="132">
        <v>230.0</v>
      </c>
      <c r="H2826" s="130" t="s">
        <v>17059</v>
      </c>
      <c r="I2826" s="130" t="s">
        <v>29936</v>
      </c>
      <c r="J2826" s="130" t="s">
        <v>29938</v>
      </c>
      <c r="K2826" s="16" t="s">
        <v>29939</v>
      </c>
      <c r="L2826" s="20" t="s">
        <v>29940</v>
      </c>
      <c r="M2826" s="130" t="s">
        <v>29942</v>
      </c>
      <c r="N2826" s="16" t="s">
        <v>41849</v>
      </c>
      <c r="O2826" s="84"/>
      <c r="P2826" s="84"/>
      <c r="Q2826" s="84"/>
      <c r="R2826" s="84"/>
      <c r="S2826" s="84"/>
      <c r="T2826" s="84"/>
      <c r="U2826" s="84"/>
      <c r="V2826" s="84"/>
      <c r="W2826" s="84"/>
      <c r="X2826" s="84"/>
    </row>
    <row r="2827" ht="15.75" customHeight="1">
      <c r="A2827" s="130" t="s">
        <v>120</v>
      </c>
      <c r="B2827" s="132">
        <v>2016.0</v>
      </c>
      <c r="C2827" s="130" t="s">
        <v>29943</v>
      </c>
      <c r="D2827" s="130" t="s">
        <v>29944</v>
      </c>
      <c r="E2827" s="145" t="s">
        <v>29945</v>
      </c>
      <c r="F2827" s="132">
        <v>161.0</v>
      </c>
      <c r="G2827" s="132">
        <v>170.0</v>
      </c>
      <c r="H2827" s="130" t="s">
        <v>17059</v>
      </c>
      <c r="I2827" s="130" t="s">
        <v>29948</v>
      </c>
      <c r="J2827" s="130" t="s">
        <v>29949</v>
      </c>
      <c r="K2827" s="16" t="s">
        <v>29950</v>
      </c>
      <c r="L2827" s="20" t="s">
        <v>29951</v>
      </c>
      <c r="M2827" s="130" t="s">
        <v>29952</v>
      </c>
      <c r="N2827" s="16" t="s">
        <v>40170</v>
      </c>
      <c r="O2827" s="84"/>
      <c r="P2827" s="84"/>
      <c r="Q2827" s="84"/>
      <c r="R2827" s="84"/>
      <c r="S2827" s="84"/>
      <c r="T2827" s="84"/>
      <c r="U2827" s="84"/>
      <c r="V2827" s="84"/>
      <c r="W2827" s="84"/>
      <c r="X2827" s="84"/>
    </row>
    <row r="2828" ht="15.75" customHeight="1">
      <c r="A2828" s="130" t="s">
        <v>120</v>
      </c>
      <c r="B2828" s="132">
        <v>2016.0</v>
      </c>
      <c r="C2828" s="130" t="s">
        <v>29953</v>
      </c>
      <c r="D2828" s="130" t="s">
        <v>29954</v>
      </c>
      <c r="E2828" s="145" t="s">
        <v>29955</v>
      </c>
      <c r="F2828" s="132">
        <v>121.0</v>
      </c>
      <c r="G2828" s="132">
        <v>130.0</v>
      </c>
      <c r="H2828" s="130" t="s">
        <v>17059</v>
      </c>
      <c r="I2828" s="130" t="s">
        <v>29958</v>
      </c>
      <c r="J2828" s="130" t="s">
        <v>29959</v>
      </c>
      <c r="K2828" s="16" t="s">
        <v>29962</v>
      </c>
      <c r="L2828" s="20" t="s">
        <v>29963</v>
      </c>
      <c r="M2828" s="130" t="s">
        <v>29964</v>
      </c>
      <c r="N2828" s="16" t="s">
        <v>41850</v>
      </c>
      <c r="O2828" s="84"/>
      <c r="P2828" s="84"/>
      <c r="Q2828" s="84"/>
      <c r="R2828" s="84"/>
      <c r="S2828" s="84"/>
      <c r="T2828" s="84"/>
      <c r="U2828" s="84"/>
      <c r="V2828" s="84"/>
      <c r="W2828" s="84"/>
      <c r="X2828" s="84"/>
    </row>
    <row r="2829" ht="15.75" customHeight="1">
      <c r="A2829" s="130" t="s">
        <v>120</v>
      </c>
      <c r="B2829" s="132">
        <v>2016.0</v>
      </c>
      <c r="C2829" s="130" t="s">
        <v>29966</v>
      </c>
      <c r="D2829" s="130" t="s">
        <v>29967</v>
      </c>
      <c r="E2829" s="145" t="s">
        <v>29968</v>
      </c>
      <c r="F2829" s="132">
        <v>171.0</v>
      </c>
      <c r="G2829" s="132">
        <v>180.0</v>
      </c>
      <c r="H2829" s="130" t="s">
        <v>17059</v>
      </c>
      <c r="I2829" s="130" t="s">
        <v>29969</v>
      </c>
      <c r="J2829" s="130" t="s">
        <v>29971</v>
      </c>
      <c r="K2829" s="16" t="s">
        <v>29973</v>
      </c>
      <c r="L2829" s="20" t="s">
        <v>29974</v>
      </c>
      <c r="M2829" s="130" t="s">
        <v>29975</v>
      </c>
      <c r="N2829" s="16" t="s">
        <v>41851</v>
      </c>
      <c r="O2829" s="84"/>
      <c r="P2829" s="84"/>
      <c r="Q2829" s="84"/>
      <c r="R2829" s="84"/>
      <c r="S2829" s="84"/>
      <c r="T2829" s="84"/>
      <c r="U2829" s="84"/>
      <c r="V2829" s="84"/>
      <c r="W2829" s="84"/>
      <c r="X2829" s="84"/>
    </row>
    <row r="2830" ht="15.75" customHeight="1">
      <c r="A2830" s="130" t="s">
        <v>120</v>
      </c>
      <c r="B2830" s="132">
        <v>2016.0</v>
      </c>
      <c r="C2830" s="130" t="s">
        <v>29977</v>
      </c>
      <c r="D2830" s="130" t="s">
        <v>29978</v>
      </c>
      <c r="E2830" s="145" t="s">
        <v>29979</v>
      </c>
      <c r="F2830" s="132">
        <v>141.0</v>
      </c>
      <c r="G2830" s="132">
        <v>150.0</v>
      </c>
      <c r="H2830" s="130" t="s">
        <v>17059</v>
      </c>
      <c r="I2830" s="130" t="s">
        <v>30012</v>
      </c>
      <c r="J2830" s="130" t="s">
        <v>30016</v>
      </c>
      <c r="K2830" s="16" t="s">
        <v>30018</v>
      </c>
      <c r="L2830" s="20" t="s">
        <v>30019</v>
      </c>
      <c r="M2830" s="130" t="s">
        <v>30020</v>
      </c>
      <c r="N2830" s="16" t="s">
        <v>41852</v>
      </c>
      <c r="O2830" s="84"/>
      <c r="P2830" s="84"/>
      <c r="Q2830" s="84"/>
      <c r="R2830" s="84"/>
      <c r="S2830" s="84"/>
      <c r="T2830" s="84"/>
      <c r="U2830" s="84"/>
      <c r="V2830" s="84"/>
      <c r="W2830" s="84"/>
      <c r="X2830" s="84"/>
    </row>
    <row r="2831" ht="15.75" customHeight="1">
      <c r="A2831" s="130" t="s">
        <v>120</v>
      </c>
      <c r="B2831" s="132">
        <v>2016.0</v>
      </c>
      <c r="C2831" s="130" t="s">
        <v>30021</v>
      </c>
      <c r="D2831" s="130" t="s">
        <v>30022</v>
      </c>
      <c r="E2831" s="145" t="s">
        <v>30023</v>
      </c>
      <c r="F2831" s="132">
        <v>21.0</v>
      </c>
      <c r="G2831" s="132">
        <v>30.0</v>
      </c>
      <c r="H2831" s="130" t="s">
        <v>17059</v>
      </c>
      <c r="I2831" s="130" t="s">
        <v>30027</v>
      </c>
      <c r="J2831" s="130" t="s">
        <v>30028</v>
      </c>
      <c r="K2831" s="16" t="s">
        <v>30030</v>
      </c>
      <c r="L2831" s="20" t="s">
        <v>30031</v>
      </c>
      <c r="M2831" s="130" t="s">
        <v>30032</v>
      </c>
      <c r="N2831" s="16" t="s">
        <v>41853</v>
      </c>
      <c r="O2831" s="84"/>
      <c r="P2831" s="84"/>
      <c r="Q2831" s="84"/>
      <c r="R2831" s="84"/>
      <c r="S2831" s="84"/>
      <c r="T2831" s="84"/>
      <c r="U2831" s="84"/>
      <c r="V2831" s="84"/>
      <c r="W2831" s="84"/>
      <c r="X2831" s="84"/>
    </row>
    <row r="2832" ht="15.75" customHeight="1">
      <c r="A2832" s="130" t="s">
        <v>120</v>
      </c>
      <c r="B2832" s="132">
        <v>2016.0</v>
      </c>
      <c r="C2832" s="130" t="s">
        <v>30033</v>
      </c>
      <c r="D2832" s="130" t="s">
        <v>30034</v>
      </c>
      <c r="E2832" s="145" t="s">
        <v>30035</v>
      </c>
      <c r="F2832" s="132">
        <v>31.0</v>
      </c>
      <c r="G2832" s="132">
        <v>40.0</v>
      </c>
      <c r="H2832" s="130" t="s">
        <v>17059</v>
      </c>
      <c r="I2832" s="130" t="s">
        <v>30039</v>
      </c>
      <c r="J2832" s="130" t="s">
        <v>41854</v>
      </c>
      <c r="K2832" s="16" t="s">
        <v>30042</v>
      </c>
      <c r="L2832" s="20" t="s">
        <v>30043</v>
      </c>
      <c r="M2832" s="130" t="s">
        <v>30044</v>
      </c>
      <c r="N2832" s="16" t="s">
        <v>41855</v>
      </c>
      <c r="O2832" s="84"/>
      <c r="P2832" s="84"/>
      <c r="Q2832" s="84"/>
      <c r="R2832" s="84"/>
      <c r="S2832" s="84"/>
      <c r="T2832" s="84"/>
      <c r="U2832" s="84"/>
      <c r="V2832" s="84"/>
      <c r="W2832" s="84"/>
      <c r="X2832" s="84"/>
    </row>
    <row r="2833" ht="15.75" customHeight="1">
      <c r="A2833" s="130" t="s">
        <v>120</v>
      </c>
      <c r="B2833" s="132">
        <v>2016.0</v>
      </c>
      <c r="C2833" s="130" t="s">
        <v>30045</v>
      </c>
      <c r="D2833" s="130" t="s">
        <v>30046</v>
      </c>
      <c r="E2833" s="145" t="s">
        <v>30049</v>
      </c>
      <c r="F2833" s="132">
        <v>111.0</v>
      </c>
      <c r="G2833" s="132">
        <v>120.0</v>
      </c>
      <c r="H2833" s="130" t="s">
        <v>17059</v>
      </c>
      <c r="I2833" s="130" t="s">
        <v>30053</v>
      </c>
      <c r="J2833" s="130" t="s">
        <v>30054</v>
      </c>
      <c r="K2833" s="16" t="s">
        <v>30055</v>
      </c>
      <c r="L2833" s="20" t="s">
        <v>30057</v>
      </c>
      <c r="M2833" s="130" t="s">
        <v>30058</v>
      </c>
      <c r="N2833" s="16" t="s">
        <v>41856</v>
      </c>
      <c r="O2833" s="84"/>
      <c r="P2833" s="84"/>
      <c r="Q2833" s="84"/>
      <c r="R2833" s="84"/>
      <c r="S2833" s="84"/>
      <c r="T2833" s="84"/>
      <c r="U2833" s="84"/>
      <c r="V2833" s="84"/>
      <c r="W2833" s="84"/>
      <c r="X2833" s="84"/>
    </row>
    <row r="2834" ht="15.75" customHeight="1">
      <c r="A2834" s="130" t="s">
        <v>120</v>
      </c>
      <c r="B2834" s="132">
        <v>2016.0</v>
      </c>
      <c r="C2834" s="130" t="s">
        <v>30059</v>
      </c>
      <c r="D2834" s="130" t="s">
        <v>30060</v>
      </c>
      <c r="E2834" s="145" t="s">
        <v>30061</v>
      </c>
      <c r="F2834" s="132">
        <v>191.0</v>
      </c>
      <c r="G2834" s="132">
        <v>200.0</v>
      </c>
      <c r="H2834" s="130" t="s">
        <v>17059</v>
      </c>
      <c r="I2834" s="130" t="s">
        <v>30066</v>
      </c>
      <c r="J2834" s="130" t="s">
        <v>30067</v>
      </c>
      <c r="K2834" s="16" t="s">
        <v>30069</v>
      </c>
      <c r="L2834" s="20" t="s">
        <v>30070</v>
      </c>
      <c r="M2834" s="130" t="s">
        <v>30071</v>
      </c>
      <c r="N2834" s="16" t="s">
        <v>41857</v>
      </c>
      <c r="O2834" s="84"/>
      <c r="P2834" s="84"/>
      <c r="Q2834" s="84"/>
      <c r="R2834" s="84"/>
      <c r="S2834" s="84"/>
      <c r="T2834" s="84"/>
      <c r="U2834" s="84"/>
      <c r="V2834" s="84"/>
      <c r="W2834" s="84"/>
      <c r="X2834" s="84"/>
    </row>
    <row r="2835" ht="15.75" customHeight="1">
      <c r="A2835" s="130" t="s">
        <v>120</v>
      </c>
      <c r="B2835" s="132">
        <v>2016.0</v>
      </c>
      <c r="C2835" s="130" t="s">
        <v>30075</v>
      </c>
      <c r="D2835" s="130" t="s">
        <v>30076</v>
      </c>
      <c r="E2835" s="145" t="s">
        <v>30077</v>
      </c>
      <c r="F2835" s="132">
        <v>131.0</v>
      </c>
      <c r="G2835" s="132">
        <v>140.0</v>
      </c>
      <c r="H2835" s="130" t="s">
        <v>17059</v>
      </c>
      <c r="I2835" s="130" t="s">
        <v>30080</v>
      </c>
      <c r="J2835" s="130" t="s">
        <v>30081</v>
      </c>
      <c r="K2835" s="16" t="s">
        <v>30082</v>
      </c>
      <c r="L2835" s="20" t="s">
        <v>30083</v>
      </c>
      <c r="M2835" s="130" t="s">
        <v>30084</v>
      </c>
      <c r="N2835" s="16" t="s">
        <v>41858</v>
      </c>
      <c r="O2835" s="84"/>
      <c r="P2835" s="84"/>
      <c r="Q2835" s="84"/>
      <c r="R2835" s="84"/>
      <c r="S2835" s="84"/>
      <c r="T2835" s="84"/>
      <c r="U2835" s="84"/>
      <c r="V2835" s="84"/>
      <c r="W2835" s="84"/>
      <c r="X2835" s="84"/>
    </row>
    <row r="2836" ht="15.75" customHeight="1">
      <c r="A2836" s="130" t="s">
        <v>120</v>
      </c>
      <c r="B2836" s="132">
        <v>2016.0</v>
      </c>
      <c r="C2836" s="130" t="s">
        <v>30085</v>
      </c>
      <c r="D2836" s="130" t="s">
        <v>30086</v>
      </c>
      <c r="E2836" s="145" t="s">
        <v>30087</v>
      </c>
      <c r="F2836" s="132">
        <v>41.0</v>
      </c>
      <c r="G2836" s="132">
        <v>50.0</v>
      </c>
      <c r="H2836" s="130" t="s">
        <v>17059</v>
      </c>
      <c r="I2836" s="130" t="s">
        <v>30091</v>
      </c>
      <c r="J2836" s="130" t="s">
        <v>30092</v>
      </c>
      <c r="K2836" s="16" t="s">
        <v>30094</v>
      </c>
      <c r="L2836" s="20" t="s">
        <v>30095</v>
      </c>
      <c r="M2836" s="130" t="s">
        <v>30097</v>
      </c>
      <c r="N2836" s="16" t="s">
        <v>41859</v>
      </c>
      <c r="O2836" s="84"/>
      <c r="P2836" s="84"/>
      <c r="Q2836" s="84"/>
      <c r="R2836" s="84"/>
      <c r="S2836" s="84"/>
      <c r="T2836" s="84"/>
      <c r="U2836" s="84"/>
      <c r="V2836" s="84"/>
      <c r="W2836" s="84"/>
      <c r="X2836" s="84"/>
    </row>
    <row r="2837" ht="15.75" customHeight="1">
      <c r="A2837" s="130" t="s">
        <v>120</v>
      </c>
      <c r="B2837" s="132">
        <v>2016.0</v>
      </c>
      <c r="C2837" s="130" t="s">
        <v>30100</v>
      </c>
      <c r="D2837" s="130" t="s">
        <v>30101</v>
      </c>
      <c r="E2837" s="145" t="s">
        <v>30102</v>
      </c>
      <c r="F2837" s="132">
        <v>181.0</v>
      </c>
      <c r="G2837" s="132">
        <v>190.0</v>
      </c>
      <c r="H2837" s="130" t="s">
        <v>17059</v>
      </c>
      <c r="I2837" s="130" t="s">
        <v>30107</v>
      </c>
      <c r="J2837" s="130" t="s">
        <v>30108</v>
      </c>
      <c r="K2837" s="16" t="s">
        <v>33386</v>
      </c>
      <c r="L2837" s="20" t="s">
        <v>30111</v>
      </c>
      <c r="M2837" s="130" t="s">
        <v>30112</v>
      </c>
      <c r="N2837" s="16" t="s">
        <v>41860</v>
      </c>
      <c r="O2837" s="84"/>
      <c r="P2837" s="84"/>
      <c r="Q2837" s="84"/>
      <c r="R2837" s="84"/>
      <c r="S2837" s="84"/>
      <c r="T2837" s="84"/>
      <c r="U2837" s="84"/>
      <c r="V2837" s="84"/>
      <c r="W2837" s="84"/>
      <c r="X2837" s="84"/>
    </row>
    <row r="2838" ht="15.75" customHeight="1">
      <c r="A2838" s="130" t="s">
        <v>120</v>
      </c>
      <c r="B2838" s="132">
        <v>2016.0</v>
      </c>
      <c r="C2838" s="130" t="s">
        <v>30113</v>
      </c>
      <c r="D2838" s="130" t="s">
        <v>30114</v>
      </c>
      <c r="E2838" s="145" t="s">
        <v>30115</v>
      </c>
      <c r="F2838" s="132">
        <v>51.0</v>
      </c>
      <c r="G2838" s="132">
        <v>60.0</v>
      </c>
      <c r="H2838" s="130" t="s">
        <v>17059</v>
      </c>
      <c r="I2838" s="130" t="s">
        <v>30119</v>
      </c>
      <c r="J2838" s="130" t="s">
        <v>30120</v>
      </c>
      <c r="K2838" s="16" t="s">
        <v>21714</v>
      </c>
      <c r="L2838" s="20" t="s">
        <v>30121</v>
      </c>
      <c r="M2838" s="130" t="s">
        <v>30122</v>
      </c>
      <c r="N2838" s="16" t="s">
        <v>41861</v>
      </c>
      <c r="O2838" s="84"/>
      <c r="P2838" s="84"/>
      <c r="Q2838" s="84"/>
      <c r="R2838" s="84"/>
      <c r="S2838" s="84"/>
      <c r="T2838" s="84"/>
      <c r="U2838" s="84"/>
      <c r="V2838" s="84"/>
      <c r="W2838" s="84"/>
      <c r="X2838" s="84"/>
    </row>
    <row r="2839" ht="15.75" customHeight="1">
      <c r="A2839" s="130" t="s">
        <v>120</v>
      </c>
      <c r="B2839" s="132">
        <v>2016.0</v>
      </c>
      <c r="C2839" s="130" t="s">
        <v>30124</v>
      </c>
      <c r="D2839" s="130" t="s">
        <v>30125</v>
      </c>
      <c r="E2839" s="145" t="s">
        <v>30126</v>
      </c>
      <c r="F2839" s="132">
        <v>241.0</v>
      </c>
      <c r="G2839" s="132">
        <v>250.0</v>
      </c>
      <c r="H2839" s="130" t="s">
        <v>17059</v>
      </c>
      <c r="I2839" s="130" t="s">
        <v>33387</v>
      </c>
      <c r="J2839" s="130" t="s">
        <v>41862</v>
      </c>
      <c r="K2839" s="16" t="s">
        <v>41863</v>
      </c>
      <c r="L2839" s="20" t="s">
        <v>30134</v>
      </c>
      <c r="M2839" s="130" t="s">
        <v>30135</v>
      </c>
      <c r="N2839" s="16" t="s">
        <v>41864</v>
      </c>
      <c r="O2839" s="84"/>
      <c r="P2839" s="84"/>
      <c r="Q2839" s="84"/>
      <c r="R2839" s="84"/>
      <c r="S2839" s="84"/>
      <c r="T2839" s="84"/>
      <c r="U2839" s="84"/>
      <c r="V2839" s="84"/>
      <c r="W2839" s="84"/>
      <c r="X2839" s="84"/>
    </row>
    <row r="2840" ht="15.75" customHeight="1">
      <c r="A2840" s="130" t="s">
        <v>120</v>
      </c>
      <c r="B2840" s="132">
        <v>2016.0</v>
      </c>
      <c r="C2840" s="130" t="s">
        <v>30137</v>
      </c>
      <c r="D2840" s="130" t="s">
        <v>30138</v>
      </c>
      <c r="E2840" s="145" t="s">
        <v>30139</v>
      </c>
      <c r="F2840" s="132">
        <v>251.0</v>
      </c>
      <c r="G2840" s="132">
        <v>260.0</v>
      </c>
      <c r="H2840" s="130" t="s">
        <v>17059</v>
      </c>
      <c r="I2840" s="130" t="s">
        <v>30143</v>
      </c>
      <c r="J2840" s="130" t="s">
        <v>30144</v>
      </c>
      <c r="K2840" s="16" t="s">
        <v>30145</v>
      </c>
      <c r="L2840" s="20" t="s">
        <v>30146</v>
      </c>
      <c r="M2840" s="130" t="s">
        <v>30147</v>
      </c>
      <c r="N2840" s="16" t="s">
        <v>41865</v>
      </c>
      <c r="O2840" s="84"/>
      <c r="P2840" s="84"/>
      <c r="Q2840" s="84"/>
      <c r="R2840" s="84"/>
      <c r="S2840" s="84"/>
      <c r="T2840" s="84"/>
      <c r="U2840" s="84"/>
      <c r="V2840" s="84"/>
      <c r="W2840" s="84"/>
      <c r="X2840" s="84"/>
    </row>
    <row r="2841" ht="15.75" customHeight="1">
      <c r="A2841" s="130" t="s">
        <v>120</v>
      </c>
      <c r="B2841" s="132">
        <v>2016.0</v>
      </c>
      <c r="C2841" s="130" t="s">
        <v>30148</v>
      </c>
      <c r="D2841" s="130" t="s">
        <v>30149</v>
      </c>
      <c r="E2841" s="145" t="s">
        <v>30151</v>
      </c>
      <c r="F2841" s="132">
        <v>261.0</v>
      </c>
      <c r="G2841" s="132">
        <v>270.0</v>
      </c>
      <c r="H2841" s="130" t="s">
        <v>17059</v>
      </c>
      <c r="I2841" s="130" t="s">
        <v>30156</v>
      </c>
      <c r="J2841" s="130" t="s">
        <v>30157</v>
      </c>
      <c r="K2841" s="16" t="s">
        <v>30158</v>
      </c>
      <c r="L2841" s="20" t="s">
        <v>30159</v>
      </c>
      <c r="M2841" s="130" t="s">
        <v>30160</v>
      </c>
      <c r="N2841" s="16" t="s">
        <v>41866</v>
      </c>
      <c r="O2841" s="84"/>
      <c r="P2841" s="84"/>
      <c r="Q2841" s="84"/>
      <c r="R2841" s="84"/>
      <c r="S2841" s="84"/>
      <c r="T2841" s="84"/>
      <c r="U2841" s="84"/>
      <c r="V2841" s="84"/>
      <c r="W2841" s="84"/>
      <c r="X2841" s="84"/>
    </row>
    <row r="2842" ht="15.75" customHeight="1">
      <c r="A2842" s="130" t="s">
        <v>120</v>
      </c>
      <c r="B2842" s="132">
        <v>2016.0</v>
      </c>
      <c r="C2842" s="130" t="s">
        <v>30163</v>
      </c>
      <c r="D2842" s="130" t="s">
        <v>30164</v>
      </c>
      <c r="E2842" s="145" t="s">
        <v>30165</v>
      </c>
      <c r="F2842" s="132">
        <v>271.0</v>
      </c>
      <c r="G2842" s="132">
        <v>280.0</v>
      </c>
      <c r="H2842" s="130" t="s">
        <v>17059</v>
      </c>
      <c r="I2842" s="130" t="s">
        <v>30170</v>
      </c>
      <c r="J2842" s="130" t="s">
        <v>41867</v>
      </c>
      <c r="K2842" s="16" t="s">
        <v>30173</v>
      </c>
      <c r="L2842" s="20" t="s">
        <v>30174</v>
      </c>
      <c r="M2842" s="130" t="s">
        <v>30175</v>
      </c>
      <c r="N2842" s="16" t="s">
        <v>41868</v>
      </c>
      <c r="O2842" s="84"/>
      <c r="P2842" s="84"/>
      <c r="Q2842" s="84"/>
      <c r="R2842" s="84"/>
      <c r="S2842" s="84"/>
      <c r="T2842" s="84"/>
      <c r="U2842" s="84"/>
      <c r="V2842" s="84"/>
      <c r="W2842" s="84"/>
      <c r="X2842" s="84"/>
    </row>
    <row r="2843" ht="15.75" customHeight="1">
      <c r="A2843" s="130" t="s">
        <v>120</v>
      </c>
      <c r="B2843" s="132">
        <v>2016.0</v>
      </c>
      <c r="C2843" s="130" t="s">
        <v>30176</v>
      </c>
      <c r="D2843" s="130" t="s">
        <v>30177</v>
      </c>
      <c r="E2843" s="145" t="s">
        <v>30178</v>
      </c>
      <c r="F2843" s="132">
        <v>281.0</v>
      </c>
      <c r="G2843" s="132">
        <v>290.0</v>
      </c>
      <c r="H2843" s="130" t="s">
        <v>17059</v>
      </c>
      <c r="I2843" s="130" t="s">
        <v>30184</v>
      </c>
      <c r="J2843" s="130" t="s">
        <v>30186</v>
      </c>
      <c r="K2843" s="16" t="s">
        <v>30187</v>
      </c>
      <c r="L2843" s="20" t="s">
        <v>30188</v>
      </c>
      <c r="M2843" s="130" t="s">
        <v>30189</v>
      </c>
      <c r="N2843" s="16" t="s">
        <v>41869</v>
      </c>
      <c r="O2843" s="84"/>
      <c r="P2843" s="84"/>
      <c r="Q2843" s="84"/>
      <c r="R2843" s="84"/>
      <c r="S2843" s="84"/>
      <c r="T2843" s="84"/>
      <c r="U2843" s="84"/>
      <c r="V2843" s="84"/>
      <c r="W2843" s="84"/>
      <c r="X2843" s="84"/>
    </row>
    <row r="2844" ht="15.75" customHeight="1">
      <c r="A2844" s="130" t="s">
        <v>120</v>
      </c>
      <c r="B2844" s="132">
        <v>2016.0</v>
      </c>
      <c r="C2844" s="130" t="s">
        <v>30190</v>
      </c>
      <c r="D2844" s="130" t="s">
        <v>30191</v>
      </c>
      <c r="E2844" s="145" t="s">
        <v>30192</v>
      </c>
      <c r="F2844" s="132">
        <v>291.0</v>
      </c>
      <c r="G2844" s="132">
        <v>300.0</v>
      </c>
      <c r="H2844" s="130" t="s">
        <v>17059</v>
      </c>
      <c r="I2844" s="130" t="s">
        <v>30193</v>
      </c>
      <c r="J2844" s="155" t="s">
        <v>30195</v>
      </c>
      <c r="K2844" s="16" t="s">
        <v>30196</v>
      </c>
      <c r="L2844" s="20" t="s">
        <v>30198</v>
      </c>
      <c r="M2844" s="130" t="s">
        <v>30199</v>
      </c>
      <c r="N2844" s="16" t="s">
        <v>41870</v>
      </c>
      <c r="O2844" s="84"/>
      <c r="P2844" s="84"/>
      <c r="Q2844" s="84"/>
      <c r="R2844" s="84"/>
      <c r="S2844" s="84"/>
      <c r="T2844" s="84"/>
      <c r="U2844" s="84"/>
      <c r="V2844" s="84"/>
      <c r="W2844" s="84"/>
      <c r="X2844" s="84"/>
    </row>
    <row r="2845" ht="15.75" customHeight="1">
      <c r="A2845" s="130" t="s">
        <v>120</v>
      </c>
      <c r="B2845" s="132">
        <v>2016.0</v>
      </c>
      <c r="C2845" s="130" t="s">
        <v>30201</v>
      </c>
      <c r="D2845" s="130" t="s">
        <v>30202</v>
      </c>
      <c r="E2845" s="145" t="s">
        <v>30203</v>
      </c>
      <c r="F2845" s="132">
        <v>301.0</v>
      </c>
      <c r="G2845" s="132">
        <v>310.0</v>
      </c>
      <c r="H2845" s="130" t="s">
        <v>17059</v>
      </c>
      <c r="I2845" s="130" t="s">
        <v>30209</v>
      </c>
      <c r="J2845" s="130" t="s">
        <v>30210</v>
      </c>
      <c r="K2845" s="16" t="s">
        <v>30211</v>
      </c>
      <c r="L2845" s="20" t="s">
        <v>30212</v>
      </c>
      <c r="M2845" s="130" t="s">
        <v>30213</v>
      </c>
      <c r="N2845" s="16" t="s">
        <v>41871</v>
      </c>
      <c r="O2845" s="84"/>
      <c r="P2845" s="84"/>
      <c r="Q2845" s="84"/>
      <c r="R2845" s="84"/>
      <c r="S2845" s="84"/>
      <c r="T2845" s="84"/>
      <c r="U2845" s="84"/>
      <c r="V2845" s="84"/>
      <c r="W2845" s="84"/>
      <c r="X2845" s="84"/>
    </row>
    <row r="2846" ht="15.75" customHeight="1">
      <c r="A2846" s="130" t="s">
        <v>120</v>
      </c>
      <c r="B2846" s="132">
        <v>2016.0</v>
      </c>
      <c r="C2846" s="130" t="s">
        <v>30215</v>
      </c>
      <c r="D2846" s="130" t="s">
        <v>30218</v>
      </c>
      <c r="E2846" s="145" t="s">
        <v>30219</v>
      </c>
      <c r="F2846" s="132">
        <v>311.0</v>
      </c>
      <c r="G2846" s="132">
        <v>320.0</v>
      </c>
      <c r="H2846" s="130" t="s">
        <v>17059</v>
      </c>
      <c r="I2846" s="130" t="s">
        <v>30224</v>
      </c>
      <c r="J2846" s="130" t="s">
        <v>30225</v>
      </c>
      <c r="K2846" s="16" t="s">
        <v>30227</v>
      </c>
      <c r="L2846" s="20" t="s">
        <v>30228</v>
      </c>
      <c r="M2846" s="130" t="s">
        <v>30229</v>
      </c>
      <c r="N2846" s="16" t="s">
        <v>41872</v>
      </c>
      <c r="O2846" s="84"/>
      <c r="P2846" s="84"/>
      <c r="Q2846" s="84"/>
      <c r="R2846" s="84"/>
      <c r="S2846" s="84"/>
      <c r="T2846" s="84"/>
      <c r="U2846" s="84"/>
      <c r="V2846" s="84"/>
      <c r="W2846" s="84"/>
      <c r="X2846" s="84"/>
    </row>
    <row r="2847" ht="15.75" customHeight="1">
      <c r="A2847" s="130" t="s">
        <v>120</v>
      </c>
      <c r="B2847" s="132">
        <v>2016.0</v>
      </c>
      <c r="C2847" s="130" t="s">
        <v>30231</v>
      </c>
      <c r="D2847" s="130" t="s">
        <v>30232</v>
      </c>
      <c r="E2847" s="145" t="s">
        <v>30233</v>
      </c>
      <c r="F2847" s="132">
        <v>321.0</v>
      </c>
      <c r="G2847" s="132">
        <v>330.0</v>
      </c>
      <c r="H2847" s="130" t="s">
        <v>17059</v>
      </c>
      <c r="I2847" s="130" t="s">
        <v>30238</v>
      </c>
      <c r="J2847" s="130" t="s">
        <v>30240</v>
      </c>
      <c r="K2847" s="16" t="s">
        <v>30241</v>
      </c>
      <c r="L2847" s="20" t="s">
        <v>30242</v>
      </c>
      <c r="M2847" s="130" t="s">
        <v>30243</v>
      </c>
      <c r="N2847" s="16" t="s">
        <v>41873</v>
      </c>
      <c r="O2847" s="84"/>
      <c r="P2847" s="84"/>
      <c r="Q2847" s="84"/>
      <c r="R2847" s="84"/>
      <c r="S2847" s="84"/>
      <c r="T2847" s="84"/>
      <c r="U2847" s="84"/>
      <c r="V2847" s="84"/>
      <c r="W2847" s="84"/>
      <c r="X2847" s="84"/>
    </row>
    <row r="2848" ht="15.75" customHeight="1">
      <c r="A2848" s="130" t="s">
        <v>120</v>
      </c>
      <c r="B2848" s="132">
        <v>2016.0</v>
      </c>
      <c r="C2848" s="130" t="s">
        <v>30244</v>
      </c>
      <c r="D2848" s="130" t="s">
        <v>30245</v>
      </c>
      <c r="E2848" s="145" t="s">
        <v>30247</v>
      </c>
      <c r="F2848" s="132">
        <v>61.0</v>
      </c>
      <c r="G2848" s="132">
        <v>70.0</v>
      </c>
      <c r="H2848" s="130" t="s">
        <v>17059</v>
      </c>
      <c r="I2848" s="130" t="s">
        <v>30250</v>
      </c>
      <c r="J2848" s="130" t="s">
        <v>30251</v>
      </c>
      <c r="K2848" s="16" t="s">
        <v>30253</v>
      </c>
      <c r="L2848" s="20" t="s">
        <v>30254</v>
      </c>
      <c r="M2848" s="130" t="s">
        <v>30255</v>
      </c>
      <c r="N2848" s="16" t="s">
        <v>41874</v>
      </c>
      <c r="O2848" s="84"/>
      <c r="P2848" s="84"/>
      <c r="Q2848" s="84"/>
      <c r="R2848" s="84"/>
      <c r="S2848" s="84"/>
      <c r="T2848" s="84"/>
      <c r="U2848" s="84"/>
      <c r="V2848" s="84"/>
      <c r="W2848" s="84"/>
      <c r="X2848" s="84"/>
    </row>
    <row r="2849" ht="15.75" customHeight="1">
      <c r="A2849" s="130" t="s">
        <v>120</v>
      </c>
      <c r="B2849" s="132">
        <v>2016.0</v>
      </c>
      <c r="C2849" s="130" t="s">
        <v>30257</v>
      </c>
      <c r="D2849" s="130" t="s">
        <v>30258</v>
      </c>
      <c r="E2849" s="145" t="s">
        <v>30259</v>
      </c>
      <c r="F2849" s="132">
        <v>71.0</v>
      </c>
      <c r="G2849" s="132">
        <v>80.0</v>
      </c>
      <c r="H2849" s="130" t="s">
        <v>17059</v>
      </c>
      <c r="I2849" s="130" t="s">
        <v>33809</v>
      </c>
      <c r="J2849" s="130" t="s">
        <v>30266</v>
      </c>
      <c r="K2849" s="16" t="s">
        <v>30267</v>
      </c>
      <c r="L2849" s="20" t="s">
        <v>30268</v>
      </c>
      <c r="M2849" s="130" t="s">
        <v>30269</v>
      </c>
      <c r="N2849" s="16" t="s">
        <v>41875</v>
      </c>
      <c r="O2849" s="84"/>
      <c r="P2849" s="84"/>
      <c r="Q2849" s="84"/>
      <c r="R2849" s="84"/>
      <c r="S2849" s="84"/>
      <c r="T2849" s="84"/>
      <c r="U2849" s="84"/>
      <c r="V2849" s="84"/>
      <c r="W2849" s="84"/>
      <c r="X2849" s="84"/>
    </row>
    <row r="2850" ht="15.75" customHeight="1">
      <c r="A2850" s="130" t="s">
        <v>120</v>
      </c>
      <c r="B2850" s="132">
        <v>2016.0</v>
      </c>
      <c r="C2850" s="130" t="s">
        <v>30271</v>
      </c>
      <c r="D2850" s="130" t="s">
        <v>30272</v>
      </c>
      <c r="E2850" s="145" t="s">
        <v>30273</v>
      </c>
      <c r="F2850" s="132">
        <v>81.0</v>
      </c>
      <c r="G2850" s="132">
        <v>90.0</v>
      </c>
      <c r="H2850" s="130" t="s">
        <v>17059</v>
      </c>
      <c r="I2850" s="130" t="s">
        <v>30276</v>
      </c>
      <c r="J2850" s="130" t="s">
        <v>30277</v>
      </c>
      <c r="K2850" s="16" t="s">
        <v>30278</v>
      </c>
      <c r="L2850" s="20" t="s">
        <v>30279</v>
      </c>
      <c r="M2850" s="130" t="s">
        <v>30280</v>
      </c>
      <c r="N2850" s="16" t="s">
        <v>41876</v>
      </c>
      <c r="O2850" s="84"/>
      <c r="P2850" s="84"/>
      <c r="Q2850" s="84"/>
      <c r="R2850" s="84"/>
      <c r="S2850" s="84"/>
      <c r="T2850" s="84"/>
      <c r="U2850" s="84"/>
      <c r="V2850" s="84"/>
      <c r="W2850" s="84"/>
      <c r="X2850" s="84"/>
    </row>
    <row r="2851" ht="15.75" customHeight="1">
      <c r="A2851" s="130" t="s">
        <v>120</v>
      </c>
      <c r="B2851" s="132">
        <v>2016.0</v>
      </c>
      <c r="C2851" s="130" t="s">
        <v>30281</v>
      </c>
      <c r="D2851" s="130" t="s">
        <v>30282</v>
      </c>
      <c r="E2851" s="145" t="s">
        <v>30283</v>
      </c>
      <c r="F2851" s="132">
        <v>91.0</v>
      </c>
      <c r="G2851" s="132">
        <v>100.0</v>
      </c>
      <c r="H2851" s="130" t="s">
        <v>17059</v>
      </c>
      <c r="I2851" s="130" t="s">
        <v>30287</v>
      </c>
      <c r="J2851" s="130" t="s">
        <v>30289</v>
      </c>
      <c r="K2851" s="16" t="s">
        <v>33837</v>
      </c>
      <c r="L2851" s="20" t="s">
        <v>30291</v>
      </c>
      <c r="M2851" s="130" t="s">
        <v>30292</v>
      </c>
      <c r="N2851" s="16" t="s">
        <v>41877</v>
      </c>
      <c r="O2851" s="84"/>
      <c r="P2851" s="84"/>
      <c r="Q2851" s="84"/>
      <c r="R2851" s="84"/>
      <c r="S2851" s="84"/>
      <c r="T2851" s="84"/>
      <c r="U2851" s="84"/>
      <c r="V2851" s="84"/>
      <c r="W2851" s="84"/>
      <c r="X2851" s="84"/>
    </row>
    <row r="2852" ht="15.75" customHeight="1">
      <c r="A2852" s="130" t="s">
        <v>120</v>
      </c>
      <c r="B2852" s="132">
        <v>2016.0</v>
      </c>
      <c r="C2852" s="130" t="s">
        <v>30295</v>
      </c>
      <c r="D2852" s="130" t="s">
        <v>30297</v>
      </c>
      <c r="E2852" s="145" t="s">
        <v>30298</v>
      </c>
      <c r="F2852" s="132">
        <v>101.0</v>
      </c>
      <c r="G2852" s="132">
        <v>110.0</v>
      </c>
      <c r="H2852" s="130" t="s">
        <v>17059</v>
      </c>
      <c r="I2852" s="130" t="s">
        <v>30304</v>
      </c>
      <c r="J2852" s="130" t="s">
        <v>30305</v>
      </c>
      <c r="K2852" s="16" t="s">
        <v>41878</v>
      </c>
      <c r="L2852" s="20" t="s">
        <v>30308</v>
      </c>
      <c r="M2852" s="130" t="s">
        <v>30309</v>
      </c>
      <c r="N2852" s="16" t="s">
        <v>41879</v>
      </c>
      <c r="O2852" s="84"/>
      <c r="P2852" s="84"/>
      <c r="Q2852" s="84"/>
      <c r="R2852" s="84"/>
      <c r="S2852" s="84"/>
      <c r="T2852" s="84"/>
      <c r="U2852" s="84"/>
      <c r="V2852" s="84"/>
      <c r="W2852" s="84"/>
      <c r="X2852" s="84"/>
    </row>
    <row r="2853" ht="15.75" customHeight="1">
      <c r="A2853" s="130" t="s">
        <v>120</v>
      </c>
      <c r="B2853" s="132">
        <v>2016.0</v>
      </c>
      <c r="C2853" s="130" t="s">
        <v>30311</v>
      </c>
      <c r="D2853" s="130" t="s">
        <v>30312</v>
      </c>
      <c r="E2853" s="145" t="s">
        <v>30313</v>
      </c>
      <c r="F2853" s="132">
        <v>231.0</v>
      </c>
      <c r="G2853" s="132">
        <v>240.0</v>
      </c>
      <c r="H2853" s="130" t="s">
        <v>17059</v>
      </c>
      <c r="I2853" s="130" t="s">
        <v>30317</v>
      </c>
      <c r="J2853" s="130" t="s">
        <v>30318</v>
      </c>
      <c r="K2853" s="16" t="s">
        <v>30319</v>
      </c>
      <c r="L2853" s="20" t="s">
        <v>30320</v>
      </c>
      <c r="M2853" s="130" t="s">
        <v>30321</v>
      </c>
      <c r="N2853" s="16" t="s">
        <v>41880</v>
      </c>
      <c r="O2853" s="84"/>
      <c r="P2853" s="84"/>
      <c r="Q2853" s="84"/>
      <c r="R2853" s="84"/>
      <c r="S2853" s="84"/>
      <c r="T2853" s="84"/>
      <c r="U2853" s="84"/>
      <c r="V2853" s="84"/>
      <c r="W2853" s="84"/>
      <c r="X2853" s="84"/>
    </row>
    <row r="2854" ht="15.75" customHeight="1">
      <c r="A2854" s="130" t="s">
        <v>120</v>
      </c>
      <c r="B2854" s="132">
        <v>2016.0</v>
      </c>
      <c r="C2854" s="130" t="s">
        <v>30324</v>
      </c>
      <c r="D2854" s="130" t="s">
        <v>30325</v>
      </c>
      <c r="E2854" s="145" t="s">
        <v>30326</v>
      </c>
      <c r="F2854" s="132">
        <v>1.0</v>
      </c>
      <c r="G2854" s="132">
        <v>10.0</v>
      </c>
      <c r="H2854" s="130" t="s">
        <v>28</v>
      </c>
      <c r="I2854" s="130" t="s">
        <v>30331</v>
      </c>
      <c r="J2854" s="130" t="s">
        <v>30332</v>
      </c>
      <c r="K2854" s="16" t="s">
        <v>30334</v>
      </c>
      <c r="L2854" s="20" t="s">
        <v>30335</v>
      </c>
      <c r="M2854" s="130"/>
      <c r="N2854" s="16" t="s">
        <v>41881</v>
      </c>
      <c r="O2854" s="84"/>
      <c r="P2854" s="84"/>
      <c r="Q2854" s="84"/>
      <c r="R2854" s="84"/>
      <c r="S2854" s="84"/>
      <c r="T2854" s="84"/>
      <c r="U2854" s="84"/>
      <c r="V2854" s="84"/>
      <c r="W2854" s="84"/>
      <c r="X2854" s="84"/>
    </row>
    <row r="2855" ht="15.75" customHeight="1">
      <c r="A2855" s="130" t="s">
        <v>120</v>
      </c>
      <c r="B2855" s="132">
        <v>2016.0</v>
      </c>
      <c r="C2855" s="130" t="s">
        <v>30336</v>
      </c>
      <c r="D2855" s="130" t="s">
        <v>30337</v>
      </c>
      <c r="E2855" s="145" t="s">
        <v>30338</v>
      </c>
      <c r="F2855" s="132">
        <v>11.0</v>
      </c>
      <c r="G2855" s="132">
        <v>20.0</v>
      </c>
      <c r="H2855" s="130" t="s">
        <v>28</v>
      </c>
      <c r="I2855" s="130" t="s">
        <v>30343</v>
      </c>
      <c r="J2855" s="130" t="s">
        <v>30344</v>
      </c>
      <c r="K2855" s="16" t="s">
        <v>880</v>
      </c>
      <c r="L2855" s="20" t="s">
        <v>30346</v>
      </c>
      <c r="M2855" s="130"/>
      <c r="N2855" s="16" t="s">
        <v>41882</v>
      </c>
      <c r="O2855" s="84"/>
      <c r="P2855" s="84"/>
      <c r="Q2855" s="84"/>
      <c r="R2855" s="84"/>
      <c r="S2855" s="84"/>
      <c r="T2855" s="84"/>
      <c r="U2855" s="84"/>
      <c r="V2855" s="84"/>
      <c r="W2855" s="84"/>
      <c r="X2855" s="84"/>
    </row>
    <row r="2856" ht="15.75" customHeight="1">
      <c r="A2856" s="130" t="s">
        <v>120</v>
      </c>
      <c r="B2856" s="132">
        <v>2016.0</v>
      </c>
      <c r="C2856" s="130" t="s">
        <v>30348</v>
      </c>
      <c r="D2856" s="130" t="s">
        <v>30349</v>
      </c>
      <c r="E2856" s="145" t="s">
        <v>30350</v>
      </c>
      <c r="F2856" s="132">
        <v>21.0</v>
      </c>
      <c r="G2856" s="132">
        <v>30.0</v>
      </c>
      <c r="H2856" s="130" t="s">
        <v>28</v>
      </c>
      <c r="I2856" s="130" t="s">
        <v>30355</v>
      </c>
      <c r="J2856" s="130" t="s">
        <v>30356</v>
      </c>
      <c r="K2856" s="16" t="s">
        <v>30359</v>
      </c>
      <c r="L2856" s="20" t="s">
        <v>30360</v>
      </c>
      <c r="M2856" s="130"/>
      <c r="N2856" s="16" t="s">
        <v>41883</v>
      </c>
      <c r="O2856" s="84"/>
      <c r="P2856" s="84"/>
      <c r="Q2856" s="84"/>
      <c r="R2856" s="84"/>
      <c r="S2856" s="84"/>
      <c r="T2856" s="84"/>
      <c r="U2856" s="84"/>
      <c r="V2856" s="84"/>
      <c r="W2856" s="84"/>
      <c r="X2856" s="84"/>
    </row>
    <row r="2857" ht="15.75" customHeight="1">
      <c r="A2857" s="130" t="s">
        <v>120</v>
      </c>
      <c r="B2857" s="132">
        <v>2016.0</v>
      </c>
      <c r="C2857" s="130" t="s">
        <v>30362</v>
      </c>
      <c r="D2857" s="130" t="s">
        <v>30363</v>
      </c>
      <c r="E2857" s="145" t="s">
        <v>30364</v>
      </c>
      <c r="F2857" s="132">
        <v>31.0</v>
      </c>
      <c r="G2857" s="132">
        <v>40.0</v>
      </c>
      <c r="H2857" s="130" t="s">
        <v>28</v>
      </c>
      <c r="I2857" s="130" t="s">
        <v>30365</v>
      </c>
      <c r="J2857" s="130" t="s">
        <v>30366</v>
      </c>
      <c r="K2857" s="16" t="s">
        <v>30367</v>
      </c>
      <c r="L2857" s="20"/>
      <c r="M2857" s="130"/>
      <c r="N2857" s="16" t="s">
        <v>41884</v>
      </c>
      <c r="O2857" s="84"/>
      <c r="P2857" s="84"/>
      <c r="Q2857" s="84"/>
      <c r="R2857" s="84"/>
      <c r="S2857" s="84"/>
      <c r="T2857" s="84"/>
      <c r="U2857" s="84"/>
      <c r="V2857" s="84"/>
      <c r="W2857" s="84"/>
      <c r="X2857" s="84"/>
    </row>
    <row r="2858" ht="15.75" customHeight="1">
      <c r="A2858" s="130" t="s">
        <v>120</v>
      </c>
      <c r="B2858" s="132">
        <v>2016.0</v>
      </c>
      <c r="C2858" s="130" t="s">
        <v>30368</v>
      </c>
      <c r="D2858" s="130" t="s">
        <v>30369</v>
      </c>
      <c r="E2858" s="145" t="s">
        <v>30370</v>
      </c>
      <c r="F2858" s="132">
        <v>41.0</v>
      </c>
      <c r="G2858" s="132">
        <v>50.0</v>
      </c>
      <c r="H2858" s="130" t="s">
        <v>28</v>
      </c>
      <c r="I2858" s="130" t="s">
        <v>30375</v>
      </c>
      <c r="J2858" s="130" t="s">
        <v>30376</v>
      </c>
      <c r="K2858" s="16" t="s">
        <v>30377</v>
      </c>
      <c r="L2858" s="20" t="s">
        <v>30378</v>
      </c>
      <c r="M2858" s="130"/>
      <c r="N2858" s="16" t="s">
        <v>41885</v>
      </c>
      <c r="O2858" s="84"/>
      <c r="P2858" s="84"/>
      <c r="Q2858" s="84"/>
      <c r="R2858" s="84"/>
      <c r="S2858" s="84"/>
      <c r="T2858" s="84"/>
      <c r="U2858" s="84"/>
      <c r="V2858" s="84"/>
      <c r="W2858" s="84"/>
      <c r="X2858" s="84"/>
    </row>
    <row r="2859" ht="15.75" customHeight="1">
      <c r="A2859" s="130" t="s">
        <v>120</v>
      </c>
      <c r="B2859" s="132">
        <v>2016.0</v>
      </c>
      <c r="C2859" s="130" t="s">
        <v>30380</v>
      </c>
      <c r="D2859" s="130" t="s">
        <v>30381</v>
      </c>
      <c r="E2859" s="145" t="s">
        <v>30383</v>
      </c>
      <c r="F2859" s="132">
        <v>51.0</v>
      </c>
      <c r="G2859" s="132">
        <v>60.0</v>
      </c>
      <c r="H2859" s="130" t="s">
        <v>28</v>
      </c>
      <c r="I2859" s="130" t="s">
        <v>30386</v>
      </c>
      <c r="J2859" s="130" t="s">
        <v>30387</v>
      </c>
      <c r="K2859" s="16" t="s">
        <v>30388</v>
      </c>
      <c r="L2859" s="20" t="s">
        <v>30389</v>
      </c>
      <c r="M2859" s="130"/>
      <c r="N2859" s="16" t="s">
        <v>41886</v>
      </c>
      <c r="O2859" s="84"/>
      <c r="P2859" s="84"/>
      <c r="Q2859" s="84"/>
      <c r="R2859" s="84"/>
      <c r="S2859" s="84"/>
      <c r="T2859" s="84"/>
      <c r="U2859" s="84"/>
      <c r="V2859" s="84"/>
      <c r="W2859" s="84"/>
      <c r="X2859" s="84"/>
    </row>
    <row r="2860" ht="15.75" customHeight="1">
      <c r="A2860" s="130" t="s">
        <v>120</v>
      </c>
      <c r="B2860" s="132">
        <v>2016.0</v>
      </c>
      <c r="C2860" s="130" t="s">
        <v>30390</v>
      </c>
      <c r="D2860" s="130" t="s">
        <v>30391</v>
      </c>
      <c r="E2860" s="145" t="s">
        <v>30392</v>
      </c>
      <c r="F2860" s="132">
        <v>61.0</v>
      </c>
      <c r="G2860" s="132">
        <v>70.0</v>
      </c>
      <c r="H2860" s="130" t="s">
        <v>28</v>
      </c>
      <c r="I2860" s="130" t="s">
        <v>30393</v>
      </c>
      <c r="J2860" s="130" t="s">
        <v>30394</v>
      </c>
      <c r="K2860" s="16" t="s">
        <v>30395</v>
      </c>
      <c r="L2860" s="20" t="s">
        <v>30396</v>
      </c>
      <c r="M2860" s="130"/>
      <c r="N2860" s="16" t="s">
        <v>41887</v>
      </c>
      <c r="O2860" s="84"/>
      <c r="P2860" s="84"/>
      <c r="Q2860" s="84"/>
      <c r="R2860" s="84"/>
      <c r="S2860" s="84"/>
      <c r="T2860" s="84"/>
      <c r="U2860" s="84"/>
      <c r="V2860" s="84"/>
      <c r="W2860" s="84"/>
      <c r="X2860" s="84"/>
    </row>
    <row r="2861" ht="15.75" customHeight="1">
      <c r="A2861" s="130" t="s">
        <v>120</v>
      </c>
      <c r="B2861" s="132">
        <v>2016.0</v>
      </c>
      <c r="C2861" s="130" t="s">
        <v>30397</v>
      </c>
      <c r="D2861" s="130" t="s">
        <v>30398</v>
      </c>
      <c r="E2861" s="145" t="s">
        <v>30399</v>
      </c>
      <c r="F2861" s="132">
        <v>71.0</v>
      </c>
      <c r="G2861" s="132">
        <v>80.0</v>
      </c>
      <c r="H2861" s="130" t="s">
        <v>28</v>
      </c>
      <c r="I2861" s="130" t="s">
        <v>30403</v>
      </c>
      <c r="J2861" s="130" t="s">
        <v>30405</v>
      </c>
      <c r="K2861" s="16" t="s">
        <v>30407</v>
      </c>
      <c r="L2861" s="20" t="s">
        <v>30408</v>
      </c>
      <c r="M2861" s="130"/>
      <c r="N2861" s="16" t="s">
        <v>41888</v>
      </c>
      <c r="O2861" s="84"/>
      <c r="P2861" s="84"/>
      <c r="Q2861" s="84"/>
      <c r="R2861" s="84"/>
      <c r="S2861" s="84"/>
      <c r="T2861" s="84"/>
      <c r="U2861" s="84"/>
      <c r="V2861" s="84"/>
      <c r="W2861" s="84"/>
      <c r="X2861" s="84"/>
    </row>
    <row r="2862" ht="15.75" customHeight="1">
      <c r="A2862" s="130" t="s">
        <v>120</v>
      </c>
      <c r="B2862" s="132">
        <v>2016.0</v>
      </c>
      <c r="C2862" s="130" t="s">
        <v>30410</v>
      </c>
      <c r="D2862" s="130" t="s">
        <v>30411</v>
      </c>
      <c r="E2862" s="145" t="s">
        <v>30412</v>
      </c>
      <c r="F2862" s="132">
        <v>81.0</v>
      </c>
      <c r="G2862" s="132">
        <v>90.0</v>
      </c>
      <c r="H2862" s="130" t="s">
        <v>28</v>
      </c>
      <c r="I2862" s="130" t="s">
        <v>30416</v>
      </c>
      <c r="J2862" s="130" t="s">
        <v>41889</v>
      </c>
      <c r="K2862" s="16" t="s">
        <v>34355</v>
      </c>
      <c r="L2862" s="20" t="s">
        <v>30421</v>
      </c>
      <c r="M2862" s="130"/>
      <c r="N2862" s="16" t="s">
        <v>41890</v>
      </c>
      <c r="O2862" s="84"/>
      <c r="P2862" s="84"/>
      <c r="Q2862" s="84"/>
      <c r="R2862" s="84"/>
      <c r="S2862" s="84"/>
      <c r="T2862" s="84"/>
      <c r="U2862" s="84"/>
      <c r="V2862" s="84"/>
      <c r="W2862" s="84"/>
      <c r="X2862" s="84"/>
    </row>
    <row r="2863" ht="15.75" customHeight="1">
      <c r="A2863" s="130" t="s">
        <v>120</v>
      </c>
      <c r="B2863" s="132">
        <v>2016.0</v>
      </c>
      <c r="C2863" s="130" t="s">
        <v>30664</v>
      </c>
      <c r="D2863" s="130" t="s">
        <v>30665</v>
      </c>
      <c r="E2863" s="145" t="s">
        <v>30667</v>
      </c>
      <c r="F2863" s="132">
        <v>91.0</v>
      </c>
      <c r="G2863" s="132">
        <v>100.0</v>
      </c>
      <c r="H2863" s="130" t="s">
        <v>28</v>
      </c>
      <c r="I2863" s="130" t="s">
        <v>30673</v>
      </c>
      <c r="J2863" s="130" t="s">
        <v>30674</v>
      </c>
      <c r="K2863" s="16" t="s">
        <v>30676</v>
      </c>
      <c r="L2863" s="20" t="s">
        <v>30677</v>
      </c>
      <c r="M2863" s="130"/>
      <c r="N2863" s="16" t="s">
        <v>41891</v>
      </c>
      <c r="O2863" s="84"/>
      <c r="P2863" s="84"/>
      <c r="Q2863" s="84"/>
      <c r="R2863" s="84"/>
      <c r="S2863" s="84"/>
      <c r="T2863" s="84"/>
      <c r="U2863" s="84"/>
      <c r="V2863" s="84"/>
      <c r="W2863" s="84"/>
      <c r="X2863" s="84"/>
    </row>
    <row r="2864" ht="15.75" customHeight="1">
      <c r="A2864" s="130" t="s">
        <v>120</v>
      </c>
      <c r="B2864" s="132">
        <v>2016.0</v>
      </c>
      <c r="C2864" s="130" t="s">
        <v>30678</v>
      </c>
      <c r="D2864" s="130" t="s">
        <v>30679</v>
      </c>
      <c r="E2864" s="145" t="s">
        <v>30680</v>
      </c>
      <c r="F2864" s="132">
        <v>101.0</v>
      </c>
      <c r="G2864" s="132">
        <v>110.0</v>
      </c>
      <c r="H2864" s="130" t="s">
        <v>28</v>
      </c>
      <c r="I2864" s="130" t="s">
        <v>30687</v>
      </c>
      <c r="J2864" s="130" t="s">
        <v>41892</v>
      </c>
      <c r="K2864" s="16" t="s">
        <v>30690</v>
      </c>
      <c r="L2864" s="20" t="s">
        <v>30691</v>
      </c>
      <c r="M2864" s="130"/>
      <c r="N2864" s="16" t="s">
        <v>41893</v>
      </c>
      <c r="O2864" s="84"/>
      <c r="P2864" s="84"/>
      <c r="Q2864" s="84"/>
      <c r="R2864" s="84"/>
      <c r="S2864" s="84"/>
      <c r="T2864" s="84"/>
      <c r="U2864" s="84"/>
      <c r="V2864" s="84"/>
      <c r="W2864" s="84"/>
      <c r="X2864" s="84"/>
    </row>
    <row r="2865" ht="15.75" customHeight="1">
      <c r="A2865" s="130" t="s">
        <v>120</v>
      </c>
      <c r="B2865" s="132">
        <v>2016.0</v>
      </c>
      <c r="C2865" s="130" t="s">
        <v>30692</v>
      </c>
      <c r="D2865" s="130" t="s">
        <v>30693</v>
      </c>
      <c r="E2865" s="145" t="s">
        <v>30694</v>
      </c>
      <c r="F2865" s="132">
        <v>111.0</v>
      </c>
      <c r="G2865" s="132">
        <v>120.0</v>
      </c>
      <c r="H2865" s="130" t="s">
        <v>28</v>
      </c>
      <c r="I2865" s="130" t="s">
        <v>30698</v>
      </c>
      <c r="J2865" s="130" t="s">
        <v>30699</v>
      </c>
      <c r="K2865" s="16" t="s">
        <v>30701</v>
      </c>
      <c r="L2865" s="20" t="s">
        <v>30702</v>
      </c>
      <c r="M2865" s="130"/>
      <c r="N2865" s="16" t="s">
        <v>41894</v>
      </c>
      <c r="O2865" s="84"/>
      <c r="P2865" s="84"/>
      <c r="Q2865" s="84"/>
      <c r="R2865" s="84"/>
      <c r="S2865" s="84"/>
      <c r="T2865" s="84"/>
      <c r="U2865" s="84"/>
      <c r="V2865" s="84"/>
      <c r="W2865" s="84"/>
      <c r="X2865" s="84"/>
    </row>
    <row r="2866" ht="15.75" customHeight="1">
      <c r="A2866" s="130" t="s">
        <v>120</v>
      </c>
      <c r="B2866" s="132">
        <v>2016.0</v>
      </c>
      <c r="C2866" s="130" t="s">
        <v>30703</v>
      </c>
      <c r="D2866" s="130" t="s">
        <v>30704</v>
      </c>
      <c r="E2866" s="145" t="s">
        <v>30705</v>
      </c>
      <c r="F2866" s="132">
        <v>121.0</v>
      </c>
      <c r="G2866" s="132">
        <v>130.0</v>
      </c>
      <c r="H2866" s="130" t="s">
        <v>28</v>
      </c>
      <c r="I2866" s="130" t="s">
        <v>30712</v>
      </c>
      <c r="J2866" s="130" t="s">
        <v>30715</v>
      </c>
      <c r="K2866" s="16" t="s">
        <v>41895</v>
      </c>
      <c r="L2866" s="20" t="s">
        <v>30718</v>
      </c>
      <c r="M2866" s="130"/>
      <c r="N2866" s="16" t="s">
        <v>41896</v>
      </c>
      <c r="O2866" s="84"/>
      <c r="P2866" s="84"/>
      <c r="Q2866" s="84"/>
      <c r="R2866" s="84"/>
      <c r="S2866" s="84"/>
      <c r="T2866" s="84"/>
      <c r="U2866" s="84"/>
      <c r="V2866" s="84"/>
      <c r="W2866" s="84"/>
      <c r="X2866" s="84"/>
    </row>
    <row r="2867" ht="15.75" customHeight="1">
      <c r="A2867" s="130" t="s">
        <v>120</v>
      </c>
      <c r="B2867" s="132">
        <v>2016.0</v>
      </c>
      <c r="C2867" s="130" t="s">
        <v>30719</v>
      </c>
      <c r="D2867" s="130" t="s">
        <v>30720</v>
      </c>
      <c r="E2867" s="145" t="s">
        <v>30721</v>
      </c>
      <c r="F2867" s="132">
        <v>131.0</v>
      </c>
      <c r="G2867" s="132">
        <v>140.0</v>
      </c>
      <c r="H2867" s="130" t="s">
        <v>28</v>
      </c>
      <c r="I2867" s="130" t="s">
        <v>34385</v>
      </c>
      <c r="J2867" s="130" t="s">
        <v>25575</v>
      </c>
      <c r="K2867" s="16" t="s">
        <v>30726</v>
      </c>
      <c r="L2867" s="20" t="s">
        <v>30727</v>
      </c>
      <c r="M2867" s="130"/>
      <c r="N2867" s="16" t="s">
        <v>41897</v>
      </c>
      <c r="O2867" s="84"/>
      <c r="P2867" s="84"/>
      <c r="Q2867" s="84"/>
      <c r="R2867" s="84"/>
      <c r="S2867" s="84"/>
      <c r="T2867" s="84"/>
      <c r="U2867" s="84"/>
      <c r="V2867" s="84"/>
      <c r="W2867" s="84"/>
      <c r="X2867" s="84"/>
    </row>
    <row r="2868" ht="15.75" customHeight="1">
      <c r="A2868" s="130" t="s">
        <v>120</v>
      </c>
      <c r="B2868" s="132">
        <v>2016.0</v>
      </c>
      <c r="C2868" s="130" t="s">
        <v>30729</v>
      </c>
      <c r="D2868" s="130" t="s">
        <v>30730</v>
      </c>
      <c r="E2868" s="145" t="s">
        <v>30731</v>
      </c>
      <c r="F2868" s="132">
        <v>141.0</v>
      </c>
      <c r="G2868" s="132">
        <v>150.0</v>
      </c>
      <c r="H2868" s="130" t="s">
        <v>28</v>
      </c>
      <c r="I2868" s="130" t="s">
        <v>30797</v>
      </c>
      <c r="J2868" s="130" t="s">
        <v>30799</v>
      </c>
      <c r="K2868" s="16" t="s">
        <v>30800</v>
      </c>
      <c r="L2868" s="20" t="s">
        <v>30801</v>
      </c>
      <c r="M2868" s="130"/>
      <c r="N2868" s="16" t="s">
        <v>41898</v>
      </c>
      <c r="O2868" s="84"/>
      <c r="P2868" s="84"/>
      <c r="Q2868" s="84"/>
      <c r="R2868" s="84"/>
      <c r="S2868" s="84"/>
      <c r="T2868" s="84"/>
      <c r="U2868" s="84"/>
      <c r="V2868" s="84"/>
      <c r="W2868" s="84"/>
      <c r="X2868" s="84"/>
    </row>
    <row r="2869" ht="15.75" customHeight="1">
      <c r="A2869" s="14"/>
      <c r="B2869" s="14"/>
      <c r="C2869" s="14"/>
      <c r="D2869" s="14"/>
      <c r="E2869" s="14"/>
      <c r="F2869" s="14"/>
      <c r="G2869" s="14"/>
      <c r="H2869" s="14"/>
      <c r="I2869" s="14"/>
      <c r="J2869" s="30"/>
      <c r="K2869" s="152"/>
      <c r="L2869" s="225"/>
      <c r="M2869" s="16"/>
      <c r="N2869" s="84"/>
      <c r="O2869" s="84"/>
      <c r="P2869" s="84"/>
      <c r="Q2869" s="84"/>
      <c r="R2869" s="84"/>
      <c r="S2869" s="84"/>
      <c r="T2869" s="84"/>
      <c r="U2869" s="84"/>
      <c r="V2869" s="84"/>
      <c r="W2869" s="84"/>
      <c r="X2869" s="84"/>
    </row>
  </sheetData>
  <hyperlinks>
    <hyperlink r:id="rId2" ref="E2"/>
    <hyperlink r:id="rId3" ref="E3"/>
    <hyperlink r:id="rId4" ref="E4"/>
    <hyperlink r:id="rId5" ref="E5"/>
    <hyperlink r:id="rId6" ref="E6"/>
    <hyperlink r:id="rId7" ref="E7"/>
    <hyperlink r:id="rId8" ref="E8"/>
    <hyperlink r:id="rId9" ref="E9"/>
    <hyperlink r:id="rId10" ref="E10"/>
    <hyperlink r:id="rId11" ref="E11"/>
    <hyperlink r:id="rId12" ref="E12"/>
    <hyperlink r:id="rId13" ref="E13"/>
    <hyperlink r:id="rId14" ref="E14"/>
    <hyperlink r:id="rId15" ref="E15"/>
    <hyperlink r:id="rId16" ref="E16"/>
    <hyperlink r:id="rId17" ref="E17"/>
    <hyperlink r:id="rId18" ref="E18"/>
    <hyperlink r:id="rId19" ref="E19"/>
    <hyperlink r:id="rId20" ref="E20"/>
    <hyperlink r:id="rId21" ref="E21"/>
    <hyperlink r:id="rId22" ref="E22"/>
    <hyperlink r:id="rId23" ref="E23"/>
    <hyperlink r:id="rId24" ref="E24"/>
    <hyperlink r:id="rId25" ref="E25"/>
    <hyperlink r:id="rId26" ref="E26"/>
    <hyperlink r:id="rId27" ref="E27"/>
    <hyperlink r:id="rId28" ref="E28"/>
    <hyperlink r:id="rId29" ref="E29"/>
    <hyperlink r:id="rId30" ref="E30"/>
    <hyperlink r:id="rId31" ref="E31"/>
    <hyperlink r:id="rId32" ref="E32"/>
    <hyperlink r:id="rId33" ref="E33"/>
    <hyperlink r:id="rId34" ref="E34"/>
    <hyperlink r:id="rId35" ref="E35"/>
    <hyperlink r:id="rId36" ref="E36"/>
    <hyperlink r:id="rId37" ref="E37"/>
    <hyperlink r:id="rId38" ref="E38"/>
    <hyperlink r:id="rId39" ref="E39"/>
    <hyperlink r:id="rId40" ref="E40"/>
    <hyperlink r:id="rId41" ref="E41"/>
    <hyperlink r:id="rId42" ref="E42"/>
    <hyperlink r:id="rId43" ref="E43"/>
    <hyperlink r:id="rId44" ref="E44"/>
    <hyperlink r:id="rId45" ref="E45"/>
    <hyperlink r:id="rId46" ref="E46"/>
    <hyperlink r:id="rId47" ref="E47"/>
    <hyperlink r:id="rId48" ref="E48"/>
    <hyperlink r:id="rId49" ref="E49"/>
    <hyperlink r:id="rId50" ref="E50"/>
    <hyperlink r:id="rId51" ref="E51"/>
    <hyperlink r:id="rId52" ref="E52"/>
    <hyperlink r:id="rId53" ref="E53"/>
    <hyperlink r:id="rId54" ref="E54"/>
    <hyperlink r:id="rId55" ref="E55"/>
    <hyperlink r:id="rId56" ref="E56"/>
    <hyperlink r:id="rId57" ref="E57"/>
    <hyperlink r:id="rId58" ref="E58"/>
    <hyperlink r:id="rId59" ref="E59"/>
    <hyperlink r:id="rId60" ref="E60"/>
    <hyperlink r:id="rId61" ref="E61"/>
    <hyperlink r:id="rId62" ref="E62"/>
    <hyperlink r:id="rId63" ref="E63"/>
    <hyperlink r:id="rId64" ref="E64"/>
    <hyperlink r:id="rId65" ref="E65"/>
    <hyperlink r:id="rId66" ref="E66"/>
    <hyperlink r:id="rId67" ref="E67"/>
    <hyperlink r:id="rId68" ref="E68"/>
    <hyperlink r:id="rId69" ref="E69"/>
    <hyperlink r:id="rId70" ref="E70"/>
    <hyperlink r:id="rId71" ref="E71"/>
    <hyperlink r:id="rId72" ref="E72"/>
    <hyperlink r:id="rId73" ref="E73"/>
    <hyperlink r:id="rId74" ref="E74"/>
    <hyperlink r:id="rId75" ref="E75"/>
    <hyperlink r:id="rId76" ref="E76"/>
    <hyperlink r:id="rId77" ref="E77"/>
    <hyperlink r:id="rId78" ref="E78"/>
    <hyperlink r:id="rId79" ref="E79"/>
    <hyperlink r:id="rId80" ref="E80"/>
    <hyperlink r:id="rId81" ref="E81"/>
    <hyperlink r:id="rId82" ref="E82"/>
    <hyperlink r:id="rId83" ref="E83"/>
    <hyperlink r:id="rId84" ref="E84"/>
    <hyperlink r:id="rId85" ref="E85"/>
    <hyperlink r:id="rId86" ref="E86"/>
    <hyperlink r:id="rId87" ref="E87"/>
    <hyperlink r:id="rId88" ref="E88"/>
    <hyperlink r:id="rId89" ref="E89"/>
    <hyperlink r:id="rId90" ref="E90"/>
    <hyperlink r:id="rId91" ref="E91"/>
    <hyperlink r:id="rId92" ref="E92"/>
    <hyperlink r:id="rId93" ref="E93"/>
    <hyperlink r:id="rId94" ref="E94"/>
    <hyperlink r:id="rId95" ref="E95"/>
    <hyperlink r:id="rId96" ref="E96"/>
    <hyperlink r:id="rId97" ref="E97"/>
    <hyperlink r:id="rId98" ref="E98"/>
    <hyperlink r:id="rId99" ref="E99"/>
    <hyperlink r:id="rId100" ref="E100"/>
    <hyperlink r:id="rId101" ref="E101"/>
    <hyperlink r:id="rId102" ref="E102"/>
    <hyperlink r:id="rId103" ref="E103"/>
    <hyperlink r:id="rId104" ref="E104"/>
    <hyperlink r:id="rId105" ref="E105"/>
    <hyperlink r:id="rId106" ref="E106"/>
    <hyperlink r:id="rId107" ref="E107"/>
    <hyperlink r:id="rId108" ref="E108"/>
    <hyperlink r:id="rId109" ref="E109"/>
    <hyperlink r:id="rId110" ref="E110"/>
    <hyperlink r:id="rId111" ref="E111"/>
    <hyperlink r:id="rId112" ref="E112"/>
    <hyperlink r:id="rId113" ref="E113"/>
    <hyperlink r:id="rId114" ref="E114"/>
    <hyperlink r:id="rId115" ref="E115"/>
    <hyperlink r:id="rId116" ref="E116"/>
    <hyperlink r:id="rId117" ref="E117"/>
    <hyperlink r:id="rId118" ref="E118"/>
    <hyperlink r:id="rId119" ref="E119"/>
    <hyperlink r:id="rId120" ref="E120"/>
    <hyperlink r:id="rId121" ref="E121"/>
    <hyperlink r:id="rId122" ref="E122"/>
    <hyperlink r:id="rId123" ref="E123"/>
    <hyperlink r:id="rId124" ref="E124"/>
    <hyperlink r:id="rId125" ref="E125"/>
    <hyperlink r:id="rId126" ref="E126"/>
    <hyperlink r:id="rId127" ref="E127"/>
    <hyperlink r:id="rId128" ref="E128"/>
    <hyperlink r:id="rId129" ref="E129"/>
    <hyperlink r:id="rId130" ref="E130"/>
    <hyperlink r:id="rId131" ref="E131"/>
    <hyperlink r:id="rId132" ref="E132"/>
    <hyperlink r:id="rId133" ref="E133"/>
    <hyperlink r:id="rId134" ref="E134"/>
    <hyperlink r:id="rId135" ref="E135"/>
    <hyperlink r:id="rId136" ref="E136"/>
    <hyperlink r:id="rId137" ref="E137"/>
    <hyperlink r:id="rId138" ref="E138"/>
    <hyperlink r:id="rId139" ref="E139"/>
    <hyperlink r:id="rId140" ref="E140"/>
    <hyperlink r:id="rId141" ref="E141"/>
    <hyperlink r:id="rId142" ref="E142"/>
    <hyperlink r:id="rId143" ref="E143"/>
    <hyperlink r:id="rId144" ref="E144"/>
    <hyperlink r:id="rId145" ref="E145"/>
    <hyperlink r:id="rId146" ref="E146"/>
    <hyperlink r:id="rId147" ref="E147"/>
    <hyperlink r:id="rId148" ref="E148"/>
    <hyperlink r:id="rId149" ref="E149"/>
    <hyperlink r:id="rId150" ref="E150"/>
    <hyperlink r:id="rId151" ref="E151"/>
    <hyperlink r:id="rId152" ref="E152"/>
    <hyperlink r:id="rId153" ref="E153"/>
    <hyperlink r:id="rId154" ref="E154"/>
    <hyperlink r:id="rId155" ref="E155"/>
    <hyperlink r:id="rId156" ref="E156"/>
    <hyperlink r:id="rId157" ref="E157"/>
    <hyperlink r:id="rId158" ref="E158"/>
    <hyperlink r:id="rId159" ref="E159"/>
    <hyperlink r:id="rId160" ref="E160"/>
    <hyperlink r:id="rId161" ref="E161"/>
    <hyperlink r:id="rId162" ref="E162"/>
    <hyperlink r:id="rId163" ref="E163"/>
    <hyperlink r:id="rId164" ref="E164"/>
    <hyperlink r:id="rId165" ref="E165"/>
    <hyperlink r:id="rId166" ref="E166"/>
    <hyperlink r:id="rId167" ref="E167"/>
    <hyperlink r:id="rId168" ref="E168"/>
    <hyperlink r:id="rId169" ref="E169"/>
    <hyperlink r:id="rId170" ref="E170"/>
    <hyperlink r:id="rId171" ref="E171"/>
    <hyperlink r:id="rId172" ref="E172"/>
    <hyperlink r:id="rId173" ref="E173"/>
    <hyperlink r:id="rId174" ref="E174"/>
    <hyperlink r:id="rId175" ref="E175"/>
    <hyperlink r:id="rId176" ref="E176"/>
    <hyperlink r:id="rId177" ref="E177"/>
    <hyperlink r:id="rId178" ref="E178"/>
    <hyperlink r:id="rId179" ref="E179"/>
    <hyperlink r:id="rId180" ref="E180"/>
    <hyperlink r:id="rId181" ref="E181"/>
    <hyperlink r:id="rId182" ref="E182"/>
    <hyperlink r:id="rId183" ref="E183"/>
    <hyperlink r:id="rId184" ref="E184"/>
    <hyperlink r:id="rId185" ref="E185"/>
    <hyperlink r:id="rId186" ref="E186"/>
    <hyperlink r:id="rId187" ref="E187"/>
    <hyperlink r:id="rId188" ref="E188"/>
    <hyperlink r:id="rId189" ref="E189"/>
    <hyperlink r:id="rId190" ref="E190"/>
    <hyperlink r:id="rId191" ref="E191"/>
    <hyperlink r:id="rId192" ref="E192"/>
    <hyperlink r:id="rId193" ref="E193"/>
    <hyperlink r:id="rId194" ref="E194"/>
    <hyperlink r:id="rId195" ref="E195"/>
    <hyperlink r:id="rId196" ref="E196"/>
    <hyperlink r:id="rId197" ref="E197"/>
    <hyperlink r:id="rId198" ref="E198"/>
    <hyperlink r:id="rId199" ref="E199"/>
    <hyperlink r:id="rId200" ref="E200"/>
    <hyperlink r:id="rId201" ref="E201"/>
    <hyperlink r:id="rId202" ref="E202"/>
    <hyperlink r:id="rId203" ref="E203"/>
    <hyperlink r:id="rId204" ref="E204"/>
    <hyperlink r:id="rId205" ref="E205"/>
    <hyperlink r:id="rId206" ref="E206"/>
    <hyperlink r:id="rId207" ref="E207"/>
    <hyperlink r:id="rId208" ref="E208"/>
    <hyperlink r:id="rId209" ref="E209"/>
    <hyperlink r:id="rId210" ref="E210"/>
    <hyperlink r:id="rId211" ref="E211"/>
    <hyperlink r:id="rId212" ref="E212"/>
    <hyperlink r:id="rId213" ref="E213"/>
    <hyperlink r:id="rId214" ref="E214"/>
    <hyperlink r:id="rId215" ref="E215"/>
    <hyperlink r:id="rId216" ref="E216"/>
    <hyperlink r:id="rId217" ref="E217"/>
    <hyperlink r:id="rId218" ref="E218"/>
    <hyperlink r:id="rId219" ref="E219"/>
    <hyperlink r:id="rId220" ref="E220"/>
    <hyperlink r:id="rId221" ref="E221"/>
    <hyperlink r:id="rId222" ref="E222"/>
    <hyperlink r:id="rId223" ref="E223"/>
    <hyperlink r:id="rId224" ref="E224"/>
    <hyperlink r:id="rId225" ref="E225"/>
    <hyperlink r:id="rId226" ref="E226"/>
    <hyperlink r:id="rId227" ref="E227"/>
    <hyperlink r:id="rId228" ref="E228"/>
    <hyperlink r:id="rId229" ref="E229"/>
    <hyperlink r:id="rId230" ref="E230"/>
    <hyperlink r:id="rId231" ref="E231"/>
    <hyperlink r:id="rId232" ref="E232"/>
    <hyperlink r:id="rId233" ref="E233"/>
    <hyperlink r:id="rId234" ref="E234"/>
    <hyperlink r:id="rId235" ref="E235"/>
    <hyperlink r:id="rId236" ref="E236"/>
    <hyperlink r:id="rId237" ref="E237"/>
    <hyperlink r:id="rId238" ref="E238"/>
    <hyperlink r:id="rId239" ref="E239"/>
    <hyperlink r:id="rId240" ref="E240"/>
    <hyperlink r:id="rId241" ref="E241"/>
    <hyperlink r:id="rId242" ref="E242"/>
    <hyperlink r:id="rId243" ref="E243"/>
    <hyperlink r:id="rId244" ref="E244"/>
    <hyperlink r:id="rId245" ref="E245"/>
    <hyperlink r:id="rId246" ref="E246"/>
    <hyperlink r:id="rId247" ref="E247"/>
    <hyperlink r:id="rId248" ref="E248"/>
    <hyperlink r:id="rId249" ref="E249"/>
    <hyperlink r:id="rId250" ref="E250"/>
    <hyperlink r:id="rId251" ref="E251"/>
    <hyperlink r:id="rId252" ref="E252"/>
    <hyperlink r:id="rId253" ref="E253"/>
    <hyperlink r:id="rId254" ref="E254"/>
    <hyperlink r:id="rId255" ref="E255"/>
    <hyperlink r:id="rId256" ref="E256"/>
    <hyperlink r:id="rId257" ref="E257"/>
    <hyperlink r:id="rId258" ref="E258"/>
    <hyperlink r:id="rId259" ref="E259"/>
    <hyperlink r:id="rId260" ref="E260"/>
    <hyperlink r:id="rId261" ref="E261"/>
    <hyperlink r:id="rId262" ref="E262"/>
    <hyperlink r:id="rId263" ref="E263"/>
    <hyperlink r:id="rId264" ref="E264"/>
    <hyperlink r:id="rId265" ref="E265"/>
    <hyperlink r:id="rId266" ref="E266"/>
    <hyperlink r:id="rId267" ref="E267"/>
    <hyperlink r:id="rId268" ref="E268"/>
    <hyperlink r:id="rId269" ref="E269"/>
    <hyperlink r:id="rId270" ref="E270"/>
    <hyperlink r:id="rId271" ref="E271"/>
    <hyperlink r:id="rId272" ref="E272"/>
    <hyperlink r:id="rId273" ref="E273"/>
    <hyperlink r:id="rId274" ref="E274"/>
    <hyperlink r:id="rId275" ref="E275"/>
    <hyperlink r:id="rId276" ref="E276"/>
    <hyperlink r:id="rId277" ref="E277"/>
    <hyperlink r:id="rId278" ref="E278"/>
    <hyperlink r:id="rId279" ref="E279"/>
    <hyperlink r:id="rId280" ref="E280"/>
    <hyperlink r:id="rId281" ref="E281"/>
    <hyperlink r:id="rId282" ref="E282"/>
    <hyperlink r:id="rId283" ref="E283"/>
    <hyperlink r:id="rId284" ref="E284"/>
    <hyperlink r:id="rId285" ref="E285"/>
    <hyperlink r:id="rId286" ref="E360"/>
    <hyperlink r:id="rId287" ref="E361"/>
    <hyperlink r:id="rId288" ref="E362"/>
    <hyperlink r:id="rId289" ref="E363"/>
    <hyperlink r:id="rId290" ref="E364"/>
    <hyperlink r:id="rId291" ref="E365"/>
    <hyperlink r:id="rId292" ref="E366"/>
    <hyperlink r:id="rId293" ref="E367"/>
    <hyperlink r:id="rId294" ref="E368"/>
    <hyperlink r:id="rId295" ref="E369"/>
    <hyperlink r:id="rId296" ref="E370"/>
    <hyperlink r:id="rId297" ref="E371"/>
    <hyperlink r:id="rId298" ref="E372"/>
    <hyperlink r:id="rId299" ref="E373"/>
    <hyperlink r:id="rId300" ref="E374"/>
    <hyperlink r:id="rId301" ref="E375"/>
    <hyperlink r:id="rId302" ref="E376"/>
    <hyperlink r:id="rId303" ref="E377"/>
    <hyperlink r:id="rId304" ref="E378"/>
    <hyperlink r:id="rId305" ref="E379"/>
    <hyperlink r:id="rId306" ref="E380"/>
    <hyperlink r:id="rId307" ref="E381"/>
    <hyperlink r:id="rId308" ref="E382"/>
    <hyperlink r:id="rId309" ref="E383"/>
    <hyperlink r:id="rId310" ref="E384"/>
    <hyperlink r:id="rId311" ref="E386"/>
    <hyperlink r:id="rId312" ref="E387"/>
    <hyperlink r:id="rId313" ref="E388"/>
    <hyperlink r:id="rId314" ref="E389"/>
    <hyperlink r:id="rId315" ref="E390"/>
    <hyperlink r:id="rId316" ref="E391"/>
    <hyperlink r:id="rId317" ref="E392"/>
    <hyperlink r:id="rId318" ref="E393"/>
    <hyperlink r:id="rId319" ref="E394"/>
    <hyperlink r:id="rId320" ref="E395"/>
    <hyperlink r:id="rId321" ref="E396"/>
    <hyperlink r:id="rId322" ref="E397"/>
    <hyperlink r:id="rId323" ref="E398"/>
    <hyperlink r:id="rId324" ref="E399"/>
    <hyperlink r:id="rId325" ref="E400"/>
    <hyperlink r:id="rId326" ref="E401"/>
    <hyperlink r:id="rId327" ref="E402"/>
    <hyperlink r:id="rId328" ref="E403"/>
    <hyperlink r:id="rId329" ref="E404"/>
    <hyperlink r:id="rId330" ref="E405"/>
    <hyperlink r:id="rId331" ref="E406"/>
    <hyperlink r:id="rId332" ref="E408"/>
    <hyperlink r:id="rId333" ref="E410"/>
    <hyperlink r:id="rId334" ref="E411"/>
    <hyperlink r:id="rId335" ref="E412"/>
    <hyperlink r:id="rId336" ref="E413"/>
    <hyperlink r:id="rId337" ref="E414"/>
    <hyperlink r:id="rId338" ref="E415"/>
    <hyperlink r:id="rId339" ref="E416"/>
    <hyperlink r:id="rId340" ref="E418"/>
    <hyperlink r:id="rId341" ref="E419"/>
    <hyperlink r:id="rId342" ref="E420"/>
    <hyperlink r:id="rId343" ref="E421"/>
    <hyperlink r:id="rId344" ref="E422"/>
    <hyperlink r:id="rId345" ref="E423"/>
    <hyperlink r:id="rId346" ref="E424"/>
    <hyperlink r:id="rId347" ref="E425"/>
    <hyperlink r:id="rId348" ref="E426"/>
    <hyperlink r:id="rId349" ref="E427"/>
    <hyperlink r:id="rId350" ref="E428"/>
    <hyperlink r:id="rId351" ref="E429"/>
    <hyperlink r:id="rId352" ref="E430"/>
    <hyperlink r:id="rId353" ref="E431"/>
    <hyperlink r:id="rId354" ref="E432"/>
    <hyperlink r:id="rId355" ref="E433"/>
    <hyperlink r:id="rId356" ref="E434"/>
    <hyperlink r:id="rId357" ref="E435"/>
    <hyperlink r:id="rId358" ref="E437"/>
    <hyperlink r:id="rId359" ref="E438"/>
    <hyperlink r:id="rId360" ref="E439"/>
    <hyperlink r:id="rId361" ref="E440"/>
    <hyperlink r:id="rId362" ref="E441"/>
    <hyperlink r:id="rId363" ref="E442"/>
    <hyperlink r:id="rId364" ref="E443"/>
    <hyperlink r:id="rId365" ref="E444"/>
    <hyperlink r:id="rId366" ref="E445"/>
    <hyperlink r:id="rId367" ref="E446"/>
    <hyperlink r:id="rId368" ref="E447"/>
    <hyperlink r:id="rId369" ref="E448"/>
    <hyperlink r:id="rId370" ref="E449"/>
    <hyperlink r:id="rId371" ref="E450"/>
    <hyperlink r:id="rId372" ref="E451"/>
    <hyperlink r:id="rId373" ref="E452"/>
    <hyperlink r:id="rId374" ref="E453"/>
    <hyperlink r:id="rId375" ref="E454"/>
    <hyperlink r:id="rId376" ref="E455"/>
    <hyperlink r:id="rId377" ref="E456"/>
    <hyperlink r:id="rId378" ref="E457"/>
    <hyperlink r:id="rId379" ref="E458"/>
    <hyperlink r:id="rId380" ref="E459"/>
    <hyperlink r:id="rId381" ref="E460"/>
    <hyperlink r:id="rId382" ref="E461"/>
    <hyperlink r:id="rId383" ref="E462"/>
    <hyperlink r:id="rId384" ref="E463"/>
    <hyperlink r:id="rId385" ref="E464"/>
    <hyperlink r:id="rId386" ref="E465"/>
    <hyperlink r:id="rId387" ref="E466"/>
    <hyperlink r:id="rId388" ref="E467"/>
    <hyperlink r:id="rId389" ref="E468"/>
    <hyperlink r:id="rId390" ref="E469"/>
    <hyperlink r:id="rId391" ref="E470"/>
    <hyperlink r:id="rId392" ref="E471"/>
    <hyperlink r:id="rId393" ref="E472"/>
    <hyperlink r:id="rId394" ref="E473"/>
    <hyperlink r:id="rId395" ref="E474"/>
    <hyperlink r:id="rId396" ref="E475"/>
    <hyperlink r:id="rId397" ref="E476"/>
    <hyperlink r:id="rId398" ref="E477"/>
    <hyperlink r:id="rId399" ref="E478"/>
    <hyperlink r:id="rId400" ref="E479"/>
    <hyperlink r:id="rId401" ref="E480"/>
    <hyperlink r:id="rId402" ref="E481"/>
    <hyperlink r:id="rId403" ref="E482"/>
    <hyperlink r:id="rId404" ref="E483"/>
    <hyperlink r:id="rId405" ref="E484"/>
    <hyperlink r:id="rId406" ref="E485"/>
    <hyperlink r:id="rId407" ref="E486"/>
    <hyperlink r:id="rId408" ref="E487"/>
    <hyperlink r:id="rId409" ref="E488"/>
    <hyperlink r:id="rId410" ref="E489"/>
    <hyperlink r:id="rId411" ref="E490"/>
    <hyperlink r:id="rId412" ref="E491"/>
    <hyperlink r:id="rId413" ref="E492"/>
    <hyperlink r:id="rId414" ref="E493"/>
    <hyperlink r:id="rId415" ref="E494"/>
    <hyperlink r:id="rId416" ref="E495"/>
    <hyperlink r:id="rId417" ref="E496"/>
    <hyperlink r:id="rId418" ref="E497"/>
    <hyperlink r:id="rId419" ref="E498"/>
    <hyperlink r:id="rId420" ref="E499"/>
    <hyperlink r:id="rId421" ref="E500"/>
    <hyperlink r:id="rId422" ref="E501"/>
    <hyperlink r:id="rId423" ref="E502"/>
    <hyperlink r:id="rId424" ref="E503"/>
    <hyperlink r:id="rId425" ref="E504"/>
    <hyperlink r:id="rId426" ref="E505"/>
    <hyperlink r:id="rId427" ref="E506"/>
    <hyperlink r:id="rId428" ref="E507"/>
    <hyperlink r:id="rId429" ref="E508"/>
    <hyperlink r:id="rId430" ref="E509"/>
    <hyperlink r:id="rId431" ref="E510"/>
    <hyperlink r:id="rId432" ref="E511"/>
    <hyperlink r:id="rId433" ref="E512"/>
    <hyperlink r:id="rId434" ref="E513"/>
    <hyperlink r:id="rId435" ref="E514"/>
    <hyperlink r:id="rId436" ref="E515"/>
    <hyperlink r:id="rId437" ref="E516"/>
    <hyperlink r:id="rId438" ref="E517"/>
    <hyperlink r:id="rId439" ref="E518"/>
    <hyperlink r:id="rId440" ref="E519"/>
    <hyperlink r:id="rId441" ref="E520"/>
    <hyperlink r:id="rId442" ref="E521"/>
    <hyperlink r:id="rId443" ref="E522"/>
    <hyperlink r:id="rId444" ref="E523"/>
    <hyperlink r:id="rId445" ref="E524"/>
    <hyperlink r:id="rId446" ref="E525"/>
    <hyperlink r:id="rId447" ref="E526"/>
    <hyperlink r:id="rId448" ref="E527"/>
    <hyperlink r:id="rId449" ref="E528"/>
    <hyperlink r:id="rId450" ref="E529"/>
    <hyperlink r:id="rId451" ref="E530"/>
    <hyperlink r:id="rId452" ref="E531"/>
    <hyperlink r:id="rId453" ref="E532"/>
    <hyperlink r:id="rId454" ref="E533"/>
    <hyperlink r:id="rId455" ref="E534"/>
    <hyperlink r:id="rId456" ref="E535"/>
    <hyperlink r:id="rId457" ref="E536"/>
    <hyperlink r:id="rId458" ref="E537"/>
    <hyperlink r:id="rId459" ref="E538"/>
    <hyperlink r:id="rId460" ref="E539"/>
    <hyperlink r:id="rId461" ref="E540"/>
    <hyperlink r:id="rId462" ref="E541"/>
    <hyperlink r:id="rId463" ref="E542"/>
    <hyperlink r:id="rId464" ref="E543"/>
    <hyperlink r:id="rId465" ref="E544"/>
    <hyperlink r:id="rId466" ref="E545"/>
    <hyperlink r:id="rId467" ref="E546"/>
    <hyperlink r:id="rId468" ref="E547"/>
    <hyperlink r:id="rId469" ref="E548"/>
    <hyperlink r:id="rId470" ref="E549"/>
    <hyperlink r:id="rId471" ref="E550"/>
    <hyperlink r:id="rId472" ref="E551"/>
    <hyperlink r:id="rId473" ref="E552"/>
    <hyperlink r:id="rId474" ref="E553"/>
    <hyperlink r:id="rId475" ref="E554"/>
    <hyperlink r:id="rId476" ref="E555"/>
    <hyperlink r:id="rId477" ref="E556"/>
    <hyperlink r:id="rId478" ref="E557"/>
    <hyperlink r:id="rId479" ref="E558"/>
    <hyperlink r:id="rId480" ref="E559"/>
    <hyperlink r:id="rId481" ref="E560"/>
    <hyperlink r:id="rId482" ref="E561"/>
    <hyperlink r:id="rId483" ref="E562"/>
    <hyperlink r:id="rId484" ref="E563"/>
    <hyperlink r:id="rId485" ref="E564"/>
    <hyperlink r:id="rId486" ref="E565"/>
    <hyperlink r:id="rId487" ref="E566"/>
    <hyperlink r:id="rId488" ref="E567"/>
    <hyperlink r:id="rId489" ref="E568"/>
    <hyperlink r:id="rId490" ref="E569"/>
    <hyperlink r:id="rId491" ref="E570"/>
    <hyperlink r:id="rId492" ref="E571"/>
    <hyperlink r:id="rId493" ref="E572"/>
    <hyperlink r:id="rId494" ref="E573"/>
    <hyperlink r:id="rId495" ref="E574"/>
    <hyperlink r:id="rId496" ref="E575"/>
    <hyperlink r:id="rId497" ref="E576"/>
    <hyperlink r:id="rId498" ref="E577"/>
    <hyperlink r:id="rId499" ref="E578"/>
    <hyperlink r:id="rId500" ref="E579"/>
    <hyperlink r:id="rId501" ref="E580"/>
    <hyperlink r:id="rId502" ref="E581"/>
    <hyperlink r:id="rId503" ref="E582"/>
    <hyperlink r:id="rId504" ref="E583"/>
    <hyperlink r:id="rId505" ref="E584"/>
    <hyperlink r:id="rId506" ref="E585"/>
    <hyperlink r:id="rId507" ref="E586"/>
    <hyperlink r:id="rId508" ref="E587"/>
    <hyperlink r:id="rId509" ref="E588"/>
    <hyperlink r:id="rId510" ref="E589"/>
    <hyperlink r:id="rId511" ref="E590"/>
    <hyperlink r:id="rId512" ref="E591"/>
    <hyperlink r:id="rId513" ref="E592"/>
    <hyperlink r:id="rId514" ref="E593"/>
    <hyperlink r:id="rId515" ref="E594"/>
    <hyperlink r:id="rId516" ref="E595"/>
    <hyperlink r:id="rId517" ref="E596"/>
    <hyperlink r:id="rId518" ref="E597"/>
    <hyperlink r:id="rId519" ref="E598"/>
    <hyperlink r:id="rId520" ref="E599"/>
    <hyperlink r:id="rId521" ref="E600"/>
    <hyperlink r:id="rId522" ref="E601"/>
    <hyperlink r:id="rId523" ref="E602"/>
    <hyperlink r:id="rId524" ref="E603"/>
    <hyperlink r:id="rId525" ref="E604"/>
    <hyperlink r:id="rId526" ref="E605"/>
    <hyperlink r:id="rId527" ref="E606"/>
    <hyperlink r:id="rId528" ref="E607"/>
    <hyperlink r:id="rId529" ref="E608"/>
    <hyperlink r:id="rId530" ref="E609"/>
    <hyperlink r:id="rId531" ref="E610"/>
    <hyperlink r:id="rId532" ref="E611"/>
    <hyperlink r:id="rId533" ref="E612"/>
    <hyperlink r:id="rId534" ref="E613"/>
    <hyperlink r:id="rId535" ref="E614"/>
    <hyperlink r:id="rId536" ref="E615"/>
    <hyperlink r:id="rId537" ref="E616"/>
    <hyperlink r:id="rId538" ref="E617"/>
    <hyperlink r:id="rId539" ref="E618"/>
    <hyperlink r:id="rId540" ref="E619"/>
    <hyperlink r:id="rId541" ref="E620"/>
    <hyperlink r:id="rId542" ref="E621"/>
    <hyperlink r:id="rId543" ref="E622"/>
    <hyperlink r:id="rId544" ref="E623"/>
    <hyperlink r:id="rId545" ref="E624"/>
    <hyperlink r:id="rId546" ref="E625"/>
    <hyperlink r:id="rId547" ref="E626"/>
    <hyperlink r:id="rId548" ref="E627"/>
    <hyperlink r:id="rId549" ref="E628"/>
    <hyperlink r:id="rId550" ref="E629"/>
    <hyperlink r:id="rId551" ref="E630"/>
    <hyperlink r:id="rId552" ref="E631"/>
    <hyperlink r:id="rId553" ref="E632"/>
    <hyperlink r:id="rId554" ref="E633"/>
    <hyperlink r:id="rId555" ref="E664"/>
    <hyperlink r:id="rId556" ref="E682"/>
    <hyperlink r:id="rId557" ref="E725"/>
    <hyperlink r:id="rId558" ref="E765"/>
    <hyperlink r:id="rId559" ref="E774"/>
    <hyperlink r:id="rId560" ref="E787"/>
    <hyperlink r:id="rId561" ref="E792"/>
    <hyperlink r:id="rId562" ref="E816"/>
    <hyperlink r:id="rId563" ref="E845"/>
    <hyperlink r:id="rId564" ref="E846"/>
    <hyperlink r:id="rId565" ref="E848"/>
    <hyperlink r:id="rId566" ref="E849"/>
    <hyperlink r:id="rId567" ref="E856"/>
    <hyperlink r:id="rId568" ref="E862"/>
    <hyperlink r:id="rId569" ref="E873"/>
    <hyperlink r:id="rId570" ref="E880"/>
    <hyperlink r:id="rId571" ref="E889"/>
    <hyperlink r:id="rId572" ref="E893"/>
    <hyperlink r:id="rId573" ref="E911"/>
    <hyperlink r:id="rId574" ref="E912"/>
    <hyperlink r:id="rId575" ref="E1030"/>
    <hyperlink r:id="rId576" ref="E1031"/>
    <hyperlink r:id="rId577" ref="E1036"/>
    <hyperlink r:id="rId578" ref="E1048"/>
    <hyperlink r:id="rId579" ref="E1051"/>
    <hyperlink r:id="rId580" ref="E2154"/>
    <hyperlink r:id="rId581" ref="E2155"/>
    <hyperlink r:id="rId582" ref="E2156"/>
    <hyperlink r:id="rId583" ref="E2157"/>
    <hyperlink r:id="rId584" ref="E2158"/>
    <hyperlink r:id="rId585" ref="E2159"/>
    <hyperlink r:id="rId586" ref="E2160"/>
    <hyperlink r:id="rId587" ref="E2161"/>
    <hyperlink r:id="rId588" ref="E2162"/>
    <hyperlink r:id="rId589" ref="E2163"/>
    <hyperlink r:id="rId590" ref="E2164"/>
    <hyperlink r:id="rId591" ref="E2165"/>
    <hyperlink r:id="rId592" ref="E2166"/>
    <hyperlink r:id="rId593" ref="E2167"/>
    <hyperlink r:id="rId594" ref="E2168"/>
    <hyperlink r:id="rId595" ref="E2169"/>
    <hyperlink r:id="rId596" ref="E2170"/>
    <hyperlink r:id="rId597" ref="E2171"/>
    <hyperlink r:id="rId598" ref="E2172"/>
    <hyperlink r:id="rId599" ref="E2461"/>
    <hyperlink r:id="rId600" ref="E2462"/>
    <hyperlink r:id="rId601" ref="E2463"/>
    <hyperlink r:id="rId602" ref="E2464"/>
    <hyperlink r:id="rId603" ref="E2465"/>
    <hyperlink r:id="rId604" ref="E2466"/>
    <hyperlink r:id="rId605" ref="E2467"/>
    <hyperlink r:id="rId606" ref="E2468"/>
    <hyperlink r:id="rId607" ref="E2469"/>
    <hyperlink r:id="rId608" ref="E2470"/>
    <hyperlink r:id="rId609" ref="E2471"/>
    <hyperlink r:id="rId610" ref="E2472"/>
    <hyperlink r:id="rId611" ref="E2473"/>
    <hyperlink r:id="rId612" ref="E2474"/>
    <hyperlink r:id="rId613" ref="E2475"/>
    <hyperlink r:id="rId614" ref="E2476"/>
    <hyperlink r:id="rId615" ref="E2477"/>
    <hyperlink r:id="rId616" ref="E2478"/>
    <hyperlink r:id="rId617" ref="E2479"/>
    <hyperlink r:id="rId618" ref="E2480"/>
    <hyperlink r:id="rId619" ref="E2481"/>
    <hyperlink r:id="rId620" ref="E2482"/>
    <hyperlink r:id="rId621" ref="E2483"/>
    <hyperlink r:id="rId622" ref="E2484"/>
    <hyperlink r:id="rId623" ref="E2485"/>
    <hyperlink r:id="rId624" ref="E2486"/>
    <hyperlink r:id="rId625" ref="E2487"/>
    <hyperlink r:id="rId626" ref="E2488"/>
    <hyperlink r:id="rId627" ref="E2489"/>
    <hyperlink r:id="rId628" ref="E2490"/>
    <hyperlink r:id="rId629" ref="E2491"/>
    <hyperlink r:id="rId630" ref="E2492"/>
    <hyperlink r:id="rId631" ref="E2493"/>
    <hyperlink r:id="rId632" ref="E2494"/>
    <hyperlink r:id="rId633" ref="E2495"/>
    <hyperlink r:id="rId634" ref="E2496"/>
    <hyperlink r:id="rId635" ref="E2497"/>
    <hyperlink r:id="rId636" ref="E2498"/>
    <hyperlink r:id="rId637" ref="E2499"/>
    <hyperlink r:id="rId638" ref="E2500"/>
    <hyperlink r:id="rId639" ref="E2501"/>
    <hyperlink r:id="rId640" ref="E2502"/>
    <hyperlink r:id="rId641" ref="E2503"/>
    <hyperlink r:id="rId642" ref="E2504"/>
    <hyperlink r:id="rId643" ref="E2505"/>
    <hyperlink r:id="rId644" ref="E2506"/>
    <hyperlink r:id="rId645" ref="E2507"/>
    <hyperlink r:id="rId646" ref="E2508"/>
    <hyperlink r:id="rId647" ref="E2509"/>
    <hyperlink r:id="rId648" ref="E2510"/>
    <hyperlink r:id="rId649" ref="E2511"/>
    <hyperlink r:id="rId650" ref="E2512"/>
    <hyperlink r:id="rId651" ref="E2513"/>
    <hyperlink r:id="rId652" ref="E2514"/>
    <hyperlink r:id="rId653" ref="E2515"/>
    <hyperlink r:id="rId654" ref="E2516"/>
    <hyperlink r:id="rId655" ref="E2517"/>
    <hyperlink r:id="rId656" ref="E2518"/>
    <hyperlink r:id="rId657" ref="E2519"/>
    <hyperlink r:id="rId658" ref="E2520"/>
    <hyperlink r:id="rId659" ref="E2521"/>
    <hyperlink r:id="rId660" ref="E2522"/>
    <hyperlink r:id="rId661" ref="E2523"/>
    <hyperlink r:id="rId662" ref="E2524"/>
    <hyperlink r:id="rId663" ref="E2525"/>
    <hyperlink r:id="rId664" ref="E2526"/>
    <hyperlink r:id="rId665" ref="E2527"/>
    <hyperlink r:id="rId666" ref="E2528"/>
    <hyperlink r:id="rId667" ref="E2529"/>
    <hyperlink r:id="rId668" ref="E2530"/>
    <hyperlink r:id="rId669" ref="E2531"/>
    <hyperlink r:id="rId670" ref="E2532"/>
    <hyperlink r:id="rId671" ref="E2533"/>
    <hyperlink r:id="rId672" ref="E2534"/>
    <hyperlink r:id="rId673" ref="E2535"/>
    <hyperlink r:id="rId674" ref="E2536"/>
    <hyperlink r:id="rId675" ref="E2537"/>
    <hyperlink r:id="rId676" ref="E2538"/>
    <hyperlink r:id="rId677" ref="E2539"/>
    <hyperlink r:id="rId678" ref="E2540"/>
    <hyperlink r:id="rId679" ref="E2541"/>
    <hyperlink r:id="rId680" ref="E2542"/>
    <hyperlink r:id="rId681" ref="E2543"/>
    <hyperlink r:id="rId682" ref="E2544"/>
    <hyperlink r:id="rId683" ref="E2545"/>
    <hyperlink r:id="rId684" ref="E2546"/>
    <hyperlink r:id="rId685" ref="E2547"/>
    <hyperlink r:id="rId686" ref="E2548"/>
    <hyperlink r:id="rId687" ref="E2549"/>
    <hyperlink r:id="rId688" ref="E2550"/>
    <hyperlink r:id="rId689" ref="E2551"/>
    <hyperlink r:id="rId690" ref="E2552"/>
    <hyperlink r:id="rId691" ref="E2553"/>
    <hyperlink r:id="rId692" ref="E2554"/>
    <hyperlink r:id="rId693" ref="E2555"/>
    <hyperlink r:id="rId694" ref="E2556"/>
    <hyperlink r:id="rId695" ref="E2557"/>
    <hyperlink r:id="rId696" ref="E2558"/>
    <hyperlink r:id="rId697" ref="E2559"/>
    <hyperlink r:id="rId698" ref="E2560"/>
    <hyperlink r:id="rId699" ref="E2561"/>
    <hyperlink r:id="rId700" ref="E2562"/>
    <hyperlink r:id="rId701" ref="E2563"/>
    <hyperlink r:id="rId702" ref="E2564"/>
    <hyperlink r:id="rId703" ref="E2565"/>
    <hyperlink r:id="rId704" ref="E2566"/>
    <hyperlink r:id="rId705" ref="E2567"/>
    <hyperlink r:id="rId706" ref="E2568"/>
    <hyperlink r:id="rId707" ref="E2569"/>
    <hyperlink r:id="rId708" ref="E2570"/>
    <hyperlink r:id="rId709" ref="E2571"/>
    <hyperlink r:id="rId710" ref="E2572"/>
    <hyperlink r:id="rId711" ref="E2573"/>
    <hyperlink r:id="rId712" ref="E2574"/>
    <hyperlink r:id="rId713" ref="E2575"/>
    <hyperlink r:id="rId714" ref="E2576"/>
    <hyperlink r:id="rId715" ref="E2577"/>
    <hyperlink r:id="rId716" ref="E2578"/>
    <hyperlink r:id="rId717" ref="E2579"/>
    <hyperlink r:id="rId718" ref="E2580"/>
    <hyperlink r:id="rId719" ref="E2581"/>
    <hyperlink r:id="rId720" ref="E2582"/>
    <hyperlink r:id="rId721" ref="E2583"/>
    <hyperlink r:id="rId722" ref="E2584"/>
    <hyperlink r:id="rId723" ref="E2585"/>
    <hyperlink r:id="rId724" ref="E2586"/>
    <hyperlink r:id="rId725" ref="E2587"/>
    <hyperlink r:id="rId726" ref="E2588"/>
    <hyperlink r:id="rId727" ref="E2589"/>
    <hyperlink r:id="rId728" ref="E2590"/>
    <hyperlink r:id="rId729" ref="E2591"/>
    <hyperlink r:id="rId730" ref="E2592"/>
    <hyperlink r:id="rId731" ref="E2593"/>
    <hyperlink r:id="rId732" ref="E2594"/>
    <hyperlink r:id="rId733" ref="E2595"/>
    <hyperlink r:id="rId734" ref="E2596"/>
    <hyperlink r:id="rId735" ref="E2597"/>
    <hyperlink r:id="rId736" ref="E2598"/>
    <hyperlink r:id="rId737" ref="E2599"/>
    <hyperlink r:id="rId738" ref="E2600"/>
    <hyperlink r:id="rId739" ref="E2601"/>
    <hyperlink r:id="rId740" ref="E2602"/>
    <hyperlink r:id="rId741" ref="E2603"/>
    <hyperlink r:id="rId742" ref="E2604"/>
    <hyperlink r:id="rId743" ref="E2605"/>
    <hyperlink r:id="rId744" ref="E2606"/>
    <hyperlink r:id="rId745" ref="E2607"/>
    <hyperlink r:id="rId746" ref="E2608"/>
    <hyperlink r:id="rId747" ref="E2609"/>
    <hyperlink r:id="rId748" ref="E2610"/>
    <hyperlink r:id="rId749" ref="E2611"/>
    <hyperlink r:id="rId750" ref="E2612"/>
    <hyperlink r:id="rId751" ref="E2613"/>
    <hyperlink r:id="rId752" ref="E2614"/>
    <hyperlink r:id="rId753" ref="E2615"/>
    <hyperlink r:id="rId754" ref="E2616"/>
    <hyperlink r:id="rId755" ref="E2617"/>
    <hyperlink r:id="rId756" ref="E2618"/>
    <hyperlink r:id="rId757" ref="E2619"/>
    <hyperlink r:id="rId758" ref="E2620"/>
    <hyperlink r:id="rId759" ref="E2621"/>
    <hyperlink r:id="rId760" ref="E2622"/>
    <hyperlink r:id="rId761" ref="E2623"/>
    <hyperlink r:id="rId762" ref="E2624"/>
    <hyperlink r:id="rId763" ref="E2625"/>
    <hyperlink r:id="rId764" ref="E2626"/>
    <hyperlink r:id="rId765" ref="E2627"/>
    <hyperlink r:id="rId766" ref="E2628"/>
    <hyperlink r:id="rId767" ref="E2629"/>
    <hyperlink r:id="rId768" ref="E2630"/>
    <hyperlink r:id="rId769" ref="E2631"/>
    <hyperlink r:id="rId770" ref="E2632"/>
    <hyperlink r:id="rId771" ref="E2633"/>
    <hyperlink r:id="rId772" ref="E2634"/>
    <hyperlink r:id="rId773" ref="E2635"/>
    <hyperlink r:id="rId774" ref="E2636"/>
    <hyperlink r:id="rId775" ref="E2637"/>
    <hyperlink r:id="rId776" ref="E2638"/>
    <hyperlink r:id="rId777" ref="E2639"/>
    <hyperlink r:id="rId778" ref="E2640"/>
    <hyperlink r:id="rId779" ref="E2641"/>
    <hyperlink r:id="rId780" ref="E2642"/>
    <hyperlink r:id="rId781" ref="E2643"/>
    <hyperlink r:id="rId782" ref="E2644"/>
    <hyperlink r:id="rId783" ref="E2645"/>
    <hyperlink r:id="rId784" ref="E2646"/>
    <hyperlink r:id="rId785" ref="E2647"/>
    <hyperlink r:id="rId786" ref="E2648"/>
    <hyperlink r:id="rId787" ref="E2649"/>
    <hyperlink r:id="rId788" ref="E2650"/>
    <hyperlink r:id="rId789" ref="E2651"/>
    <hyperlink r:id="rId790" ref="E2652"/>
    <hyperlink r:id="rId791" ref="E2653"/>
    <hyperlink r:id="rId792" ref="E2654"/>
    <hyperlink r:id="rId793" ref="E2655"/>
    <hyperlink r:id="rId794" ref="E2656"/>
    <hyperlink r:id="rId795" ref="E2657"/>
    <hyperlink r:id="rId796" ref="E2658"/>
    <hyperlink r:id="rId797" ref="E2659"/>
    <hyperlink r:id="rId798" ref="E2660"/>
    <hyperlink r:id="rId799" ref="E2661"/>
    <hyperlink r:id="rId800" ref="E2662"/>
    <hyperlink r:id="rId801" ref="E2663"/>
    <hyperlink r:id="rId802" ref="E2664"/>
    <hyperlink r:id="rId803" ref="E2665"/>
    <hyperlink r:id="rId804" ref="E2666"/>
    <hyperlink r:id="rId805" ref="E2667"/>
    <hyperlink r:id="rId806" ref="E2668"/>
    <hyperlink r:id="rId807" ref="E2669"/>
    <hyperlink r:id="rId808" ref="E2670"/>
    <hyperlink r:id="rId809" ref="E2671"/>
    <hyperlink r:id="rId810" ref="E2672"/>
    <hyperlink r:id="rId811" ref="E2673"/>
    <hyperlink r:id="rId812" ref="E2674"/>
    <hyperlink r:id="rId813" ref="E2675"/>
    <hyperlink r:id="rId814" ref="E2676"/>
    <hyperlink r:id="rId815" ref="E2677"/>
    <hyperlink r:id="rId816" ref="E2678"/>
    <hyperlink r:id="rId817" ref="E2679"/>
    <hyperlink r:id="rId818" ref="E2680"/>
    <hyperlink r:id="rId819" ref="E2681"/>
    <hyperlink r:id="rId820" ref="E2682"/>
    <hyperlink r:id="rId821" ref="E2683"/>
    <hyperlink r:id="rId822" ref="E2684"/>
    <hyperlink r:id="rId823" ref="E2685"/>
    <hyperlink r:id="rId824" ref="E2686"/>
    <hyperlink r:id="rId825" ref="E2687"/>
    <hyperlink r:id="rId826" ref="E2688"/>
    <hyperlink r:id="rId827" ref="E2689"/>
    <hyperlink r:id="rId828" ref="E2690"/>
    <hyperlink r:id="rId829" ref="E2691"/>
    <hyperlink r:id="rId830" ref="E2692"/>
    <hyperlink r:id="rId831" ref="E2693"/>
    <hyperlink r:id="rId832" ref="E2694"/>
    <hyperlink r:id="rId833" ref="E2695"/>
    <hyperlink r:id="rId834" ref="E2696"/>
    <hyperlink r:id="rId835" ref="E2697"/>
    <hyperlink r:id="rId836" ref="E2698"/>
    <hyperlink r:id="rId837" ref="E2699"/>
    <hyperlink r:id="rId838" ref="E2700"/>
    <hyperlink r:id="rId839" ref="E2701"/>
    <hyperlink r:id="rId840" ref="E2702"/>
    <hyperlink r:id="rId841" ref="E2703"/>
    <hyperlink r:id="rId842" ref="E2704"/>
    <hyperlink r:id="rId843" ref="E2705"/>
    <hyperlink r:id="rId844" ref="E2706"/>
    <hyperlink r:id="rId845" ref="E2707"/>
    <hyperlink r:id="rId846" ref="E2708"/>
    <hyperlink r:id="rId847" ref="E2709"/>
    <hyperlink r:id="rId848" ref="E2710"/>
    <hyperlink r:id="rId849" ref="E2711"/>
    <hyperlink r:id="rId850" ref="E2712"/>
    <hyperlink r:id="rId851" ref="E2713"/>
    <hyperlink r:id="rId852" ref="E2714"/>
    <hyperlink r:id="rId853" ref="E2715"/>
    <hyperlink r:id="rId854" ref="E2716"/>
    <hyperlink r:id="rId855" ref="E2717"/>
    <hyperlink r:id="rId856" ref="E2718"/>
    <hyperlink r:id="rId857" ref="E2719"/>
    <hyperlink r:id="rId858" ref="E2720"/>
    <hyperlink r:id="rId859" ref="E2721"/>
    <hyperlink r:id="rId860" ref="E2722"/>
    <hyperlink r:id="rId861" ref="E2723"/>
    <hyperlink r:id="rId862" ref="E2724"/>
    <hyperlink r:id="rId863" ref="E2725"/>
    <hyperlink r:id="rId864" ref="E2726"/>
    <hyperlink r:id="rId865" ref="E2727"/>
    <hyperlink r:id="rId866" ref="E2728"/>
    <hyperlink r:id="rId867" ref="E2729"/>
    <hyperlink r:id="rId868" ref="E2730"/>
    <hyperlink r:id="rId869" ref="E2731"/>
    <hyperlink r:id="rId870" ref="E2732"/>
    <hyperlink r:id="rId871" ref="E2733"/>
    <hyperlink r:id="rId872" ref="E2734"/>
    <hyperlink r:id="rId873" ref="E2735"/>
    <hyperlink r:id="rId874" ref="E2736"/>
    <hyperlink r:id="rId875" ref="E2737"/>
    <hyperlink r:id="rId876" ref="E2738"/>
    <hyperlink r:id="rId877" ref="E2739"/>
    <hyperlink r:id="rId878" ref="E2740"/>
    <hyperlink r:id="rId879" ref="E2741"/>
    <hyperlink r:id="rId880" ref="E2742"/>
    <hyperlink r:id="rId881" ref="E2743"/>
    <hyperlink r:id="rId882" ref="E2744"/>
    <hyperlink r:id="rId883" ref="E2745"/>
    <hyperlink r:id="rId884" ref="E2746"/>
    <hyperlink r:id="rId885" ref="E2747"/>
    <hyperlink r:id="rId886" ref="E2748"/>
    <hyperlink r:id="rId887" ref="E2749"/>
    <hyperlink r:id="rId888" ref="E2750"/>
    <hyperlink r:id="rId889" ref="E2751"/>
    <hyperlink r:id="rId890" ref="E2752"/>
    <hyperlink r:id="rId891" ref="E2753"/>
    <hyperlink r:id="rId892" ref="E2754"/>
    <hyperlink r:id="rId893" ref="E2755"/>
    <hyperlink r:id="rId894" ref="E2756"/>
    <hyperlink r:id="rId895" ref="E2757"/>
    <hyperlink r:id="rId896" ref="E2758"/>
    <hyperlink r:id="rId897" ref="E2759"/>
    <hyperlink r:id="rId898" ref="E2760"/>
    <hyperlink r:id="rId899" ref="E2761"/>
    <hyperlink r:id="rId900" ref="E2762"/>
    <hyperlink r:id="rId901" ref="E2763"/>
    <hyperlink r:id="rId902" ref="E2764"/>
    <hyperlink r:id="rId903" ref="E2765"/>
    <hyperlink r:id="rId904" ref="E2766"/>
    <hyperlink r:id="rId905" ref="E2767"/>
    <hyperlink r:id="rId906" ref="E2768"/>
    <hyperlink r:id="rId907" ref="E2769"/>
    <hyperlink r:id="rId908" ref="E2770"/>
    <hyperlink r:id="rId909" ref="E2771"/>
    <hyperlink r:id="rId910" ref="E2772"/>
    <hyperlink r:id="rId911" ref="E2773"/>
    <hyperlink r:id="rId912" ref="E2774"/>
    <hyperlink r:id="rId913" ref="E2775"/>
    <hyperlink r:id="rId914" ref="E2776"/>
    <hyperlink r:id="rId915" ref="E2777"/>
    <hyperlink r:id="rId916" ref="E2778"/>
    <hyperlink r:id="rId917" ref="E2779"/>
    <hyperlink r:id="rId918" ref="E2780"/>
    <hyperlink r:id="rId919" ref="E2781"/>
    <hyperlink r:id="rId920" ref="E2782"/>
    <hyperlink r:id="rId921" ref="E2783"/>
    <hyperlink r:id="rId922" ref="E2784"/>
    <hyperlink r:id="rId923" ref="E2785"/>
    <hyperlink r:id="rId924" ref="E2786"/>
    <hyperlink r:id="rId925" ref="E2787"/>
    <hyperlink r:id="rId926" ref="E2788"/>
    <hyperlink r:id="rId927" ref="E2789"/>
    <hyperlink r:id="rId928" ref="E2790"/>
    <hyperlink r:id="rId929" ref="E2791"/>
    <hyperlink r:id="rId930" ref="E2792"/>
    <hyperlink r:id="rId931" ref="E2793"/>
    <hyperlink r:id="rId932" ref="E2794"/>
    <hyperlink r:id="rId933" ref="E2795"/>
    <hyperlink r:id="rId934" ref="E2796"/>
    <hyperlink r:id="rId935" ref="E2797"/>
    <hyperlink r:id="rId936" ref="E2798"/>
    <hyperlink r:id="rId937" ref="E2799"/>
    <hyperlink r:id="rId938" ref="E2800"/>
    <hyperlink r:id="rId939" ref="E2801"/>
    <hyperlink r:id="rId940" ref="E2802"/>
    <hyperlink r:id="rId941" ref="E2803"/>
    <hyperlink r:id="rId942" ref="E2804"/>
    <hyperlink r:id="rId943" ref="E2805"/>
    <hyperlink r:id="rId944" ref="E2806"/>
    <hyperlink r:id="rId945" ref="E2807"/>
    <hyperlink r:id="rId946" ref="E2808"/>
    <hyperlink r:id="rId947" ref="E2809"/>
    <hyperlink r:id="rId948" ref="E2810"/>
    <hyperlink r:id="rId949" ref="E2811"/>
    <hyperlink r:id="rId950" ref="E2812"/>
    <hyperlink r:id="rId951" ref="E2813"/>
    <hyperlink r:id="rId952" ref="E2814"/>
    <hyperlink r:id="rId953" ref="E2815"/>
    <hyperlink r:id="rId954" ref="E2816"/>
    <hyperlink r:id="rId955" ref="E2817"/>
    <hyperlink r:id="rId956" ref="E2818"/>
    <hyperlink r:id="rId957" ref="E2819"/>
    <hyperlink r:id="rId958" ref="E2820"/>
    <hyperlink r:id="rId959" ref="E2821"/>
    <hyperlink r:id="rId960" ref="E2822"/>
    <hyperlink r:id="rId961" ref="E2823"/>
    <hyperlink r:id="rId962" ref="E2824"/>
    <hyperlink r:id="rId963" ref="E2825"/>
    <hyperlink r:id="rId964" ref="E2826"/>
    <hyperlink r:id="rId965" ref="E2827"/>
    <hyperlink r:id="rId966" ref="E2828"/>
    <hyperlink r:id="rId967" ref="E2829"/>
    <hyperlink r:id="rId968" ref="E2830"/>
    <hyperlink r:id="rId969" ref="E2831"/>
    <hyperlink r:id="rId970" ref="E2832"/>
    <hyperlink r:id="rId971" ref="E2833"/>
    <hyperlink r:id="rId972" ref="E2834"/>
    <hyperlink r:id="rId973" ref="E2835"/>
    <hyperlink r:id="rId974" ref="E2836"/>
    <hyperlink r:id="rId975" ref="E2837"/>
    <hyperlink r:id="rId976" ref="E2838"/>
    <hyperlink r:id="rId977" ref="E2839"/>
    <hyperlink r:id="rId978" ref="E2840"/>
    <hyperlink r:id="rId979" ref="E2841"/>
    <hyperlink r:id="rId980" ref="E2842"/>
    <hyperlink r:id="rId981" ref="E2843"/>
    <hyperlink r:id="rId982" ref="E2844"/>
    <hyperlink r:id="rId983" ref="E2845"/>
    <hyperlink r:id="rId984" ref="E2846"/>
    <hyperlink r:id="rId985" ref="E2847"/>
    <hyperlink r:id="rId986" ref="E2848"/>
    <hyperlink r:id="rId987" ref="E2849"/>
    <hyperlink r:id="rId988" ref="E2850"/>
    <hyperlink r:id="rId989" ref="E2851"/>
    <hyperlink r:id="rId990" ref="E2852"/>
    <hyperlink r:id="rId991" ref="E2853"/>
    <hyperlink r:id="rId992" ref="E2854"/>
    <hyperlink r:id="rId993" ref="E2855"/>
    <hyperlink r:id="rId994" ref="E2856"/>
    <hyperlink r:id="rId995" ref="E2857"/>
    <hyperlink r:id="rId996" ref="E2858"/>
    <hyperlink r:id="rId997" ref="E2859"/>
    <hyperlink r:id="rId998" ref="E2860"/>
    <hyperlink r:id="rId999" ref="E2861"/>
    <hyperlink r:id="rId1000" ref="E2862"/>
    <hyperlink r:id="rId1001" ref="E2863"/>
    <hyperlink r:id="rId1002" ref="E2864"/>
    <hyperlink r:id="rId1003" ref="E2865"/>
    <hyperlink r:id="rId1004" ref="E2866"/>
    <hyperlink r:id="rId1005" ref="E2867"/>
    <hyperlink r:id="rId1006" ref="E2868"/>
  </hyperlinks>
  <drawing r:id="rId1007"/>
  <legacyDrawing r:id="rId100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s>
  <sheetData>
    <row r="1" ht="15.75" customHeight="1">
      <c r="A1" s="66" t="str">
        <f>EXTRACT_UNIQUE_NAMES('Main dataset (DEPRECATED)'!N:N)</f>
        <v>#NAME?</v>
      </c>
    </row>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1.14"/>
    <col customWidth="1" min="2" max="2" width="4.86"/>
    <col customWidth="1" min="3" max="3" width="10.43"/>
    <col customWidth="1" min="4" max="4" width="41.71"/>
    <col customWidth="1" min="5" max="5" width="13.57"/>
    <col customWidth="1" min="6" max="6" width="8.57"/>
    <col customWidth="1" min="7" max="7" width="31.71"/>
    <col customWidth="1" min="8" max="8" width="26.57"/>
    <col customWidth="1" min="9" max="9" width="27.14"/>
    <col customWidth="1" min="10" max="10" width="17.86"/>
    <col customWidth="1" min="11" max="11" width="23.57"/>
    <col customWidth="1" min="12" max="12" width="24.14"/>
    <col customWidth="1" min="13" max="13" width="19.71"/>
    <col customWidth="1" min="14" max="14" width="18.29"/>
    <col customWidth="1" min="15" max="15" width="34.14"/>
    <col customWidth="1" min="16" max="20" width="14.43"/>
  </cols>
  <sheetData>
    <row r="1" ht="15.75" customHeight="1">
      <c r="A1" s="13" t="s">
        <v>35800</v>
      </c>
      <c r="B1" s="13" t="s">
        <v>35801</v>
      </c>
      <c r="C1" s="175" t="s">
        <v>35802</v>
      </c>
      <c r="D1" s="176" t="s">
        <v>35803</v>
      </c>
      <c r="E1" s="175" t="s">
        <v>35804</v>
      </c>
      <c r="F1" s="177" t="s">
        <v>35805</v>
      </c>
      <c r="G1" s="178" t="s">
        <v>35806</v>
      </c>
      <c r="H1" s="178" t="s">
        <v>35808</v>
      </c>
      <c r="I1" s="13" t="s">
        <v>35809</v>
      </c>
      <c r="J1" s="13"/>
      <c r="K1" s="13"/>
      <c r="L1" s="13"/>
      <c r="M1" s="13"/>
      <c r="N1" s="13"/>
      <c r="O1" s="13"/>
      <c r="P1" s="13"/>
      <c r="Q1" s="13"/>
      <c r="R1" s="13"/>
      <c r="S1" s="13"/>
      <c r="T1" s="13"/>
    </row>
    <row r="2" ht="15.75" customHeight="1">
      <c r="A2" s="179"/>
      <c r="B2" s="179"/>
      <c r="C2" s="180" t="s">
        <v>35810</v>
      </c>
      <c r="D2" s="181" t="s">
        <v>35811</v>
      </c>
      <c r="E2" s="182"/>
      <c r="F2" s="183" t="s">
        <v>35812</v>
      </c>
      <c r="G2" s="184"/>
      <c r="H2" s="185"/>
      <c r="I2" s="179"/>
      <c r="J2" s="179"/>
      <c r="K2" s="179"/>
      <c r="L2" s="179"/>
      <c r="M2" s="179"/>
      <c r="N2" s="179"/>
      <c r="O2" s="179"/>
      <c r="P2" s="179"/>
      <c r="Q2" s="179"/>
      <c r="R2" s="179"/>
      <c r="S2" s="179"/>
      <c r="T2" s="179"/>
    </row>
    <row r="3" ht="15.75" customHeight="1">
      <c r="A3" s="84" t="s">
        <v>35815</v>
      </c>
      <c r="B3" s="84">
        <v>2.0</v>
      </c>
      <c r="C3" s="186"/>
      <c r="D3" s="187"/>
      <c r="E3" s="188"/>
      <c r="F3" s="189"/>
      <c r="G3" s="190"/>
      <c r="H3" s="190"/>
      <c r="I3" s="84"/>
      <c r="J3" s="84"/>
      <c r="K3" s="84"/>
      <c r="L3" s="84"/>
      <c r="M3" s="84"/>
      <c r="N3" s="84"/>
      <c r="O3" s="84"/>
      <c r="P3" s="84"/>
      <c r="Q3" s="84"/>
      <c r="R3" s="84"/>
      <c r="S3" s="84"/>
      <c r="T3" s="84"/>
    </row>
    <row r="4" ht="15.75" customHeight="1">
      <c r="A4" s="84" t="s">
        <v>35828</v>
      </c>
      <c r="B4" s="84">
        <v>1.0</v>
      </c>
      <c r="C4" s="186"/>
      <c r="D4" s="187"/>
      <c r="E4" s="188"/>
      <c r="F4" s="189"/>
      <c r="G4" s="190"/>
      <c r="H4" s="190"/>
      <c r="I4" s="84"/>
      <c r="J4" s="84"/>
      <c r="K4" s="84"/>
      <c r="L4" s="84"/>
      <c r="M4" s="84"/>
      <c r="N4" s="84"/>
      <c r="O4" s="84"/>
      <c r="P4" s="84"/>
      <c r="Q4" s="84"/>
      <c r="R4" s="84"/>
      <c r="S4" s="84"/>
      <c r="T4" s="84"/>
    </row>
    <row r="5" ht="15.75" customHeight="1">
      <c r="A5" s="84" t="s">
        <v>35829</v>
      </c>
      <c r="B5" s="84">
        <v>2.0</v>
      </c>
      <c r="C5" s="186"/>
      <c r="D5" s="187"/>
      <c r="E5" s="188"/>
      <c r="F5" s="189"/>
      <c r="G5" s="190"/>
      <c r="H5" s="190"/>
      <c r="I5" s="84" t="s">
        <v>35830</v>
      </c>
      <c r="J5" s="84"/>
      <c r="K5" s="84"/>
      <c r="L5" s="84"/>
      <c r="M5" s="84"/>
      <c r="N5" s="84"/>
      <c r="O5" s="84"/>
      <c r="P5" s="84"/>
      <c r="Q5" s="84"/>
      <c r="R5" s="84"/>
      <c r="S5" s="84"/>
      <c r="T5" s="84"/>
    </row>
    <row r="6" ht="15.75" customHeight="1">
      <c r="A6" s="84" t="s">
        <v>35832</v>
      </c>
      <c r="B6" s="84">
        <v>1.0</v>
      </c>
      <c r="C6" s="186"/>
      <c r="D6" s="187"/>
      <c r="E6" s="188"/>
      <c r="F6" s="189"/>
      <c r="G6" s="190"/>
      <c r="H6" s="190"/>
      <c r="I6" s="84" t="s">
        <v>35830</v>
      </c>
      <c r="J6" s="84"/>
      <c r="K6" s="84"/>
      <c r="L6" s="84"/>
      <c r="M6" s="84"/>
      <c r="N6" s="84"/>
      <c r="O6" s="84"/>
      <c r="P6" s="84"/>
      <c r="Q6" s="84"/>
      <c r="R6" s="84"/>
      <c r="S6" s="84"/>
      <c r="T6" s="84"/>
    </row>
    <row r="7" ht="15.75" customHeight="1">
      <c r="A7" s="84" t="s">
        <v>35834</v>
      </c>
      <c r="B7" s="84">
        <v>1.0</v>
      </c>
      <c r="C7" s="186"/>
      <c r="D7" s="187"/>
      <c r="E7" s="188"/>
      <c r="F7" s="189" t="s">
        <v>30659</v>
      </c>
      <c r="G7" s="190" t="s">
        <v>35835</v>
      </c>
      <c r="H7" s="190"/>
      <c r="I7" s="84"/>
      <c r="J7" s="84"/>
      <c r="K7" s="84"/>
      <c r="L7" s="84"/>
      <c r="M7" s="84"/>
      <c r="N7" s="84"/>
      <c r="O7" s="84"/>
      <c r="P7" s="84"/>
      <c r="Q7" s="84"/>
      <c r="R7" s="84"/>
      <c r="S7" s="84"/>
      <c r="T7" s="84"/>
    </row>
    <row r="8" ht="15.75" customHeight="1">
      <c r="A8" s="84" t="s">
        <v>35836</v>
      </c>
      <c r="B8" s="84">
        <v>2.0</v>
      </c>
      <c r="C8" s="186"/>
      <c r="D8" s="187"/>
      <c r="E8" s="188"/>
      <c r="F8" s="189"/>
      <c r="G8" s="190"/>
      <c r="H8" s="190"/>
      <c r="I8" s="84"/>
      <c r="J8" s="84"/>
      <c r="K8" s="84"/>
      <c r="L8" s="84"/>
      <c r="M8" s="84"/>
      <c r="N8" s="84"/>
      <c r="O8" s="84"/>
      <c r="P8" s="84"/>
      <c r="Q8" s="84"/>
      <c r="R8" s="84"/>
      <c r="S8" s="84"/>
      <c r="T8" s="84"/>
    </row>
    <row r="9" ht="15.75" customHeight="1">
      <c r="A9" s="84" t="s">
        <v>35835</v>
      </c>
      <c r="B9" s="84">
        <v>1.0</v>
      </c>
      <c r="C9" s="186"/>
      <c r="D9" s="187"/>
      <c r="E9" s="188"/>
      <c r="F9" s="189"/>
      <c r="G9" s="190"/>
      <c r="H9" s="190"/>
      <c r="I9" s="84"/>
      <c r="J9" s="84"/>
      <c r="K9" s="84"/>
      <c r="L9" s="84"/>
      <c r="M9" s="84"/>
      <c r="N9" s="84"/>
      <c r="O9" s="84"/>
      <c r="P9" s="84"/>
      <c r="Q9" s="84"/>
      <c r="R9" s="84"/>
      <c r="S9" s="84"/>
      <c r="T9" s="84"/>
    </row>
    <row r="10" ht="15.75" customHeight="1">
      <c r="A10" s="84" t="s">
        <v>35841</v>
      </c>
      <c r="B10" s="84">
        <v>1.0</v>
      </c>
      <c r="C10" s="186"/>
      <c r="D10" s="187" t="s">
        <v>35842</v>
      </c>
      <c r="E10" s="188"/>
      <c r="F10" s="189"/>
      <c r="G10" s="190"/>
      <c r="H10" s="190"/>
      <c r="I10" s="84"/>
      <c r="J10" s="14" t="str">
        <f>IFERROR(__xludf.DUMMYFUNCTION("EXACT(QUERY($A$3:$A$1579, ""select (A) where A = '"" &amp; D10 &amp; ""'""), D10)"),"#N/A")</f>
        <v>#N/A</v>
      </c>
      <c r="K10" s="84"/>
      <c r="L10" s="84"/>
      <c r="M10" s="84"/>
      <c r="N10" s="84"/>
      <c r="O10" s="84"/>
      <c r="P10" s="84"/>
      <c r="Q10" s="84"/>
      <c r="R10" s="84"/>
      <c r="S10" s="84"/>
      <c r="T10" s="84"/>
    </row>
    <row r="11" ht="15.75" customHeight="1">
      <c r="A11" s="84" t="s">
        <v>35849</v>
      </c>
      <c r="B11" s="84">
        <v>1.0</v>
      </c>
      <c r="C11" s="186"/>
      <c r="D11" s="187"/>
      <c r="E11" s="188"/>
      <c r="F11" s="189"/>
      <c r="G11" s="190"/>
      <c r="H11" s="190"/>
      <c r="I11" s="84"/>
      <c r="J11" s="84"/>
      <c r="K11" s="84"/>
      <c r="L11" s="84"/>
      <c r="M11" s="84"/>
      <c r="N11" s="84"/>
      <c r="O11" s="84"/>
      <c r="P11" s="84"/>
      <c r="Q11" s="84"/>
      <c r="R11" s="84"/>
      <c r="S11" s="84"/>
      <c r="T11" s="84"/>
    </row>
    <row r="12" ht="15.75" customHeight="1">
      <c r="A12" s="84" t="s">
        <v>35850</v>
      </c>
      <c r="B12" s="84">
        <v>2.0</v>
      </c>
      <c r="C12" s="186"/>
      <c r="D12" s="187"/>
      <c r="E12" s="188"/>
      <c r="F12" s="189"/>
      <c r="G12" s="190"/>
      <c r="H12" s="190"/>
      <c r="I12" s="84"/>
      <c r="J12" s="84"/>
      <c r="K12" s="84"/>
      <c r="L12" s="84"/>
      <c r="M12" s="84"/>
      <c r="N12" s="84"/>
      <c r="O12" s="84"/>
      <c r="P12" s="84"/>
      <c r="Q12" s="84"/>
      <c r="R12" s="84"/>
      <c r="S12" s="84"/>
      <c r="T12" s="84"/>
    </row>
    <row r="13" ht="15.75" customHeight="1">
      <c r="A13" s="84" t="s">
        <v>35851</v>
      </c>
      <c r="B13" s="84">
        <v>1.0</v>
      </c>
      <c r="C13" s="186"/>
      <c r="D13" s="187"/>
      <c r="E13" s="188"/>
      <c r="F13" s="189"/>
      <c r="G13" s="190"/>
      <c r="H13" s="190"/>
      <c r="I13" s="84"/>
      <c r="J13" s="84"/>
      <c r="K13" s="84"/>
      <c r="L13" s="84"/>
      <c r="M13" s="84"/>
      <c r="N13" s="84"/>
      <c r="O13" s="84"/>
      <c r="P13" s="84"/>
      <c r="Q13" s="84"/>
      <c r="R13" s="84"/>
      <c r="S13" s="84"/>
      <c r="T13" s="84"/>
    </row>
    <row r="14" ht="15.75" customHeight="1">
      <c r="A14" s="84" t="s">
        <v>35852</v>
      </c>
      <c r="B14" s="84">
        <v>1.0</v>
      </c>
      <c r="C14" s="186"/>
      <c r="D14" s="187"/>
      <c r="E14" s="188"/>
      <c r="F14" s="189"/>
      <c r="G14" s="190"/>
      <c r="H14" s="190"/>
      <c r="I14" s="84"/>
      <c r="J14" s="84"/>
      <c r="K14" s="84"/>
      <c r="L14" s="84"/>
      <c r="M14" s="84"/>
      <c r="N14" s="84"/>
      <c r="O14" s="84"/>
      <c r="P14" s="84"/>
      <c r="Q14" s="84"/>
      <c r="R14" s="84"/>
      <c r="S14" s="84"/>
      <c r="T14" s="84"/>
    </row>
    <row r="15" ht="15.75" customHeight="1">
      <c r="A15" s="84" t="s">
        <v>35853</v>
      </c>
      <c r="B15" s="84">
        <v>1.0</v>
      </c>
      <c r="C15" s="186"/>
      <c r="D15" s="187" t="s">
        <v>35854</v>
      </c>
      <c r="E15" s="188"/>
      <c r="F15" s="189"/>
      <c r="G15" s="190"/>
      <c r="H15" s="190"/>
      <c r="I15" s="84"/>
      <c r="J15" s="84"/>
      <c r="K15" s="84"/>
      <c r="L15" s="84"/>
      <c r="M15" s="84"/>
      <c r="N15" s="84"/>
      <c r="O15" s="84"/>
      <c r="P15" s="84"/>
      <c r="Q15" s="84"/>
      <c r="R15" s="84"/>
      <c r="S15" s="84"/>
      <c r="T15" s="84"/>
    </row>
    <row r="16" ht="15.75" customHeight="1">
      <c r="A16" s="84" t="s">
        <v>35855</v>
      </c>
      <c r="B16" s="84">
        <v>1.0</v>
      </c>
      <c r="C16" s="186"/>
      <c r="D16" s="187"/>
      <c r="E16" s="188"/>
      <c r="F16" s="189"/>
      <c r="G16" s="190"/>
      <c r="H16" s="190"/>
      <c r="I16" s="84"/>
      <c r="J16" s="84"/>
      <c r="K16" s="84"/>
      <c r="L16" s="84"/>
      <c r="M16" s="84"/>
      <c r="N16" s="84"/>
      <c r="O16" s="84"/>
      <c r="P16" s="84"/>
      <c r="Q16" s="84"/>
      <c r="R16" s="84"/>
      <c r="S16" s="84"/>
      <c r="T16" s="84"/>
    </row>
    <row r="17" ht="15.75" customHeight="1">
      <c r="A17" s="84" t="s">
        <v>35856</v>
      </c>
      <c r="B17" s="84">
        <v>1.0</v>
      </c>
      <c r="C17" s="186"/>
      <c r="D17" s="187"/>
      <c r="E17" s="188"/>
      <c r="F17" s="189"/>
      <c r="G17" s="190"/>
      <c r="H17" s="190"/>
      <c r="I17" s="84"/>
      <c r="J17" s="84"/>
      <c r="K17" s="84"/>
      <c r="L17" s="84"/>
      <c r="M17" s="84"/>
      <c r="N17" s="84"/>
      <c r="O17" s="84"/>
      <c r="P17" s="84"/>
      <c r="Q17" s="84"/>
      <c r="R17" s="84"/>
      <c r="S17" s="84"/>
      <c r="T17" s="84"/>
    </row>
    <row r="18" ht="15.75" customHeight="1">
      <c r="A18" s="84" t="s">
        <v>35857</v>
      </c>
      <c r="B18" s="84">
        <v>1.0</v>
      </c>
      <c r="C18" s="186"/>
      <c r="D18" s="187"/>
      <c r="E18" s="188"/>
      <c r="F18" s="189"/>
      <c r="G18" s="190"/>
      <c r="H18" s="190"/>
      <c r="I18" s="84"/>
      <c r="J18" s="84"/>
      <c r="K18" s="84"/>
      <c r="L18" s="84"/>
      <c r="M18" s="84"/>
      <c r="N18" s="84"/>
      <c r="O18" s="84"/>
      <c r="P18" s="84"/>
      <c r="Q18" s="84"/>
      <c r="R18" s="84"/>
      <c r="S18" s="84"/>
      <c r="T18" s="84"/>
    </row>
    <row r="19" ht="15.75" customHeight="1">
      <c r="A19" s="84" t="s">
        <v>35858</v>
      </c>
      <c r="B19" s="84">
        <v>1.0</v>
      </c>
      <c r="C19" s="186"/>
      <c r="D19" s="187"/>
      <c r="E19" s="188"/>
      <c r="F19" s="189"/>
      <c r="G19" s="190"/>
      <c r="H19" s="190"/>
      <c r="I19" s="84"/>
      <c r="J19" s="84"/>
      <c r="K19" s="84"/>
      <c r="L19" s="84"/>
      <c r="M19" s="84"/>
      <c r="N19" s="84"/>
      <c r="O19" s="84"/>
      <c r="P19" s="84"/>
      <c r="Q19" s="84"/>
      <c r="R19" s="84"/>
      <c r="S19" s="84"/>
      <c r="T19" s="84"/>
    </row>
    <row r="20" ht="15.75" customHeight="1">
      <c r="A20" s="84" t="s">
        <v>35859</v>
      </c>
      <c r="B20" s="84">
        <v>1.0</v>
      </c>
      <c r="C20" s="186"/>
      <c r="D20" s="187"/>
      <c r="E20" s="188"/>
      <c r="F20" s="189"/>
      <c r="G20" s="190"/>
      <c r="H20" s="190"/>
      <c r="I20" s="84"/>
      <c r="J20" s="84"/>
      <c r="K20" s="84"/>
      <c r="L20" s="84"/>
      <c r="M20" s="84"/>
      <c r="N20" s="84"/>
      <c r="O20" s="84"/>
      <c r="P20" s="84"/>
      <c r="Q20" s="84"/>
      <c r="R20" s="84"/>
      <c r="S20" s="84"/>
      <c r="T20" s="84"/>
    </row>
    <row r="21" ht="15.75" customHeight="1">
      <c r="A21" s="84" t="s">
        <v>35861</v>
      </c>
      <c r="B21" s="84">
        <v>1.0</v>
      </c>
      <c r="C21" s="186"/>
      <c r="D21" s="187"/>
      <c r="E21" s="188"/>
      <c r="F21" s="189"/>
      <c r="G21" s="190"/>
      <c r="H21" s="190"/>
      <c r="I21" s="84"/>
      <c r="J21" s="84"/>
      <c r="K21" s="84"/>
      <c r="L21" s="84"/>
      <c r="M21" s="84"/>
      <c r="N21" s="84"/>
      <c r="O21" s="84"/>
      <c r="P21" s="84"/>
      <c r="Q21" s="84"/>
      <c r="R21" s="84"/>
      <c r="S21" s="84"/>
      <c r="T21" s="84"/>
    </row>
    <row r="22" ht="15.75" customHeight="1">
      <c r="A22" s="84" t="s">
        <v>35862</v>
      </c>
      <c r="B22" s="84">
        <v>1.0</v>
      </c>
      <c r="C22" s="186"/>
      <c r="D22" s="187"/>
      <c r="E22" s="188"/>
      <c r="F22" s="189"/>
      <c r="G22" s="190"/>
      <c r="H22" s="190"/>
      <c r="I22" s="84"/>
      <c r="J22" s="84"/>
      <c r="K22" s="84"/>
      <c r="L22" s="84"/>
      <c r="M22" s="84"/>
      <c r="N22" s="84"/>
      <c r="O22" s="84"/>
      <c r="P22" s="84"/>
      <c r="Q22" s="84"/>
      <c r="R22" s="84"/>
      <c r="S22" s="84"/>
      <c r="T22" s="84"/>
    </row>
    <row r="23" ht="15.75" customHeight="1">
      <c r="A23" s="84" t="s">
        <v>35863</v>
      </c>
      <c r="B23" s="84">
        <v>1.0</v>
      </c>
      <c r="C23" s="186"/>
      <c r="D23" s="187"/>
      <c r="E23" s="188"/>
      <c r="F23" s="189"/>
      <c r="G23" s="190"/>
      <c r="H23" s="190"/>
      <c r="I23" s="84"/>
      <c r="J23" s="84"/>
      <c r="K23" s="84"/>
      <c r="L23" s="84"/>
      <c r="M23" s="84"/>
      <c r="N23" s="84"/>
      <c r="O23" s="84"/>
      <c r="P23" s="84"/>
      <c r="Q23" s="84"/>
      <c r="R23" s="84"/>
      <c r="S23" s="84"/>
      <c r="T23" s="84"/>
    </row>
    <row r="24" ht="15.75" customHeight="1">
      <c r="A24" s="84" t="s">
        <v>35866</v>
      </c>
      <c r="B24" s="84">
        <v>1.0</v>
      </c>
      <c r="C24" s="186"/>
      <c r="D24" s="187"/>
      <c r="E24" s="188"/>
      <c r="F24" s="189"/>
      <c r="G24" s="190"/>
      <c r="H24" s="190"/>
      <c r="I24" s="84"/>
      <c r="J24" s="84"/>
      <c r="K24" s="84"/>
      <c r="L24" s="84"/>
      <c r="M24" s="84"/>
      <c r="N24" s="84"/>
      <c r="O24" s="84"/>
      <c r="P24" s="84"/>
      <c r="Q24" s="84"/>
      <c r="R24" s="84"/>
      <c r="S24" s="84"/>
      <c r="T24" s="84"/>
    </row>
    <row r="25" ht="15.75" customHeight="1">
      <c r="A25" s="84" t="s">
        <v>35870</v>
      </c>
      <c r="B25" s="84">
        <v>1.0</v>
      </c>
      <c r="C25" s="186"/>
      <c r="D25" s="187"/>
      <c r="E25" s="188"/>
      <c r="F25" s="189"/>
      <c r="G25" s="190"/>
      <c r="H25" s="190"/>
      <c r="I25" s="84"/>
      <c r="J25" s="84"/>
      <c r="K25" s="84"/>
      <c r="L25" s="84"/>
      <c r="M25" s="84"/>
      <c r="N25" s="84"/>
      <c r="O25" s="84"/>
      <c r="P25" s="84"/>
      <c r="Q25" s="84"/>
      <c r="R25" s="84"/>
      <c r="S25" s="84"/>
      <c r="T25" s="84"/>
    </row>
    <row r="26" ht="15.75" customHeight="1">
      <c r="A26" s="84" t="s">
        <v>35871</v>
      </c>
      <c r="B26" s="84">
        <v>1.0</v>
      </c>
      <c r="C26" s="186"/>
      <c r="D26" s="187"/>
      <c r="E26" s="188"/>
      <c r="F26" s="189"/>
      <c r="G26" s="190"/>
      <c r="H26" s="190"/>
      <c r="I26" s="84"/>
      <c r="J26" s="84"/>
      <c r="K26" s="84"/>
      <c r="L26" s="84"/>
      <c r="M26" s="84"/>
      <c r="N26" s="84"/>
      <c r="O26" s="84"/>
      <c r="P26" s="84"/>
      <c r="Q26" s="84"/>
      <c r="R26" s="84"/>
      <c r="S26" s="84"/>
      <c r="T26" s="84"/>
    </row>
    <row r="27" ht="15.75" customHeight="1">
      <c r="A27" s="84" t="s">
        <v>35873</v>
      </c>
      <c r="B27" s="84">
        <v>1.0</v>
      </c>
      <c r="C27" s="186"/>
      <c r="D27" s="187"/>
      <c r="E27" s="188"/>
      <c r="F27" s="189"/>
      <c r="G27" s="190"/>
      <c r="H27" s="190"/>
      <c r="I27" s="84"/>
      <c r="J27" s="84"/>
      <c r="K27" s="84"/>
      <c r="L27" s="84"/>
      <c r="M27" s="84"/>
      <c r="N27" s="84"/>
      <c r="O27" s="84"/>
      <c r="P27" s="84"/>
      <c r="Q27" s="84"/>
      <c r="R27" s="84"/>
      <c r="S27" s="84"/>
      <c r="T27" s="84"/>
    </row>
    <row r="28" ht="15.75" customHeight="1">
      <c r="A28" s="84" t="s">
        <v>35874</v>
      </c>
      <c r="B28" s="84">
        <v>1.0</v>
      </c>
      <c r="C28" s="186"/>
      <c r="D28" s="187"/>
      <c r="E28" s="188"/>
      <c r="F28" s="189"/>
      <c r="G28" s="190"/>
      <c r="H28" s="190"/>
      <c r="I28" s="84"/>
      <c r="J28" s="84"/>
      <c r="K28" s="84"/>
      <c r="L28" s="84"/>
      <c r="M28" s="84"/>
      <c r="N28" s="84"/>
      <c r="O28" s="84"/>
      <c r="P28" s="84"/>
      <c r="Q28" s="84"/>
      <c r="R28" s="84"/>
      <c r="S28" s="84"/>
      <c r="T28" s="84"/>
    </row>
    <row r="29" ht="15.75" customHeight="1">
      <c r="A29" s="84" t="s">
        <v>35878</v>
      </c>
      <c r="B29" s="84">
        <v>1.0</v>
      </c>
      <c r="C29" s="186"/>
      <c r="D29" s="187"/>
      <c r="E29" s="188"/>
      <c r="F29" s="189"/>
      <c r="G29" s="190"/>
      <c r="H29" s="190"/>
      <c r="I29" s="84"/>
      <c r="J29" s="84"/>
      <c r="K29" s="84"/>
      <c r="L29" s="84"/>
      <c r="M29" s="84"/>
      <c r="N29" s="84"/>
      <c r="O29" s="84"/>
      <c r="P29" s="84"/>
      <c r="Q29" s="84"/>
      <c r="R29" s="84"/>
      <c r="S29" s="84"/>
      <c r="T29" s="84"/>
    </row>
    <row r="30" ht="15.75" customHeight="1">
      <c r="A30" s="84" t="s">
        <v>35880</v>
      </c>
      <c r="B30" s="84">
        <v>1.0</v>
      </c>
      <c r="C30" s="186"/>
      <c r="D30" s="187"/>
      <c r="E30" s="188"/>
      <c r="F30" s="189"/>
      <c r="G30" s="190"/>
      <c r="H30" s="190"/>
      <c r="I30" s="84"/>
      <c r="J30" s="84"/>
      <c r="K30" s="84"/>
      <c r="L30" s="84"/>
      <c r="M30" s="84"/>
      <c r="N30" s="84"/>
      <c r="O30" s="84"/>
      <c r="P30" s="84"/>
      <c r="Q30" s="84"/>
      <c r="R30" s="84"/>
      <c r="S30" s="84"/>
      <c r="T30" s="84"/>
    </row>
    <row r="31" ht="15.75" customHeight="1">
      <c r="A31" s="84" t="s">
        <v>35882</v>
      </c>
      <c r="B31" s="84">
        <v>1.0</v>
      </c>
      <c r="C31" s="186"/>
      <c r="D31" s="187"/>
      <c r="E31" s="188"/>
      <c r="F31" s="189"/>
      <c r="G31" s="190"/>
      <c r="H31" s="190"/>
      <c r="I31" s="84"/>
      <c r="J31" s="84"/>
      <c r="K31" s="84"/>
      <c r="L31" s="84"/>
      <c r="M31" s="84"/>
      <c r="N31" s="84"/>
      <c r="O31" s="84"/>
      <c r="P31" s="84"/>
      <c r="Q31" s="84"/>
      <c r="R31" s="84"/>
      <c r="S31" s="84"/>
      <c r="T31" s="84"/>
    </row>
    <row r="32" ht="15.75" customHeight="1">
      <c r="A32" s="84" t="s">
        <v>35884</v>
      </c>
      <c r="B32" s="84">
        <v>2.0</v>
      </c>
      <c r="C32" s="186"/>
      <c r="D32" s="187"/>
      <c r="E32" s="188"/>
      <c r="F32" s="189"/>
      <c r="G32" s="190"/>
      <c r="H32" s="190"/>
      <c r="I32" s="84"/>
      <c r="J32" s="84"/>
      <c r="K32" s="84"/>
      <c r="L32" s="84"/>
      <c r="M32" s="84"/>
      <c r="N32" s="84"/>
      <c r="O32" s="84"/>
      <c r="P32" s="84"/>
      <c r="Q32" s="84"/>
      <c r="R32" s="84"/>
      <c r="S32" s="84"/>
      <c r="T32" s="84"/>
    </row>
    <row r="33" ht="15.75" customHeight="1">
      <c r="A33" s="84" t="s">
        <v>35886</v>
      </c>
      <c r="B33" s="84">
        <v>1.0</v>
      </c>
      <c r="C33" s="186"/>
      <c r="D33" s="187"/>
      <c r="E33" s="188"/>
      <c r="F33" s="189"/>
      <c r="G33" s="190"/>
      <c r="H33" s="190"/>
      <c r="I33" s="84"/>
      <c r="J33" s="84"/>
      <c r="K33" s="84"/>
      <c r="L33" s="84"/>
      <c r="M33" s="84"/>
      <c r="N33" s="84"/>
      <c r="O33" s="84"/>
      <c r="P33" s="84"/>
      <c r="Q33" s="84"/>
      <c r="R33" s="84"/>
      <c r="S33" s="84"/>
      <c r="T33" s="84"/>
    </row>
    <row r="34" ht="15.75" customHeight="1">
      <c r="A34" s="84" t="s">
        <v>35888</v>
      </c>
      <c r="B34" s="84">
        <v>1.0</v>
      </c>
      <c r="C34" s="186"/>
      <c r="D34" s="187"/>
      <c r="E34" s="188"/>
      <c r="F34" s="189"/>
      <c r="G34" s="190"/>
      <c r="H34" s="190"/>
      <c r="I34" s="84"/>
      <c r="J34" s="84"/>
      <c r="K34" s="84"/>
      <c r="L34" s="84"/>
      <c r="M34" s="84"/>
      <c r="N34" s="84"/>
      <c r="O34" s="84"/>
      <c r="P34" s="84"/>
      <c r="Q34" s="84"/>
      <c r="R34" s="84"/>
      <c r="S34" s="84"/>
      <c r="T34" s="84"/>
    </row>
    <row r="35" ht="15.75" customHeight="1">
      <c r="A35" s="84" t="s">
        <v>35889</v>
      </c>
      <c r="B35" s="84">
        <v>1.0</v>
      </c>
      <c r="C35" s="186"/>
      <c r="D35" s="187"/>
      <c r="E35" s="188"/>
      <c r="F35" s="189"/>
      <c r="G35" s="190"/>
      <c r="H35" s="190"/>
      <c r="I35" s="84"/>
      <c r="J35" s="84"/>
      <c r="K35" s="84"/>
      <c r="L35" s="84"/>
      <c r="M35" s="84"/>
      <c r="N35" s="84"/>
      <c r="O35" s="84"/>
      <c r="P35" s="84"/>
      <c r="Q35" s="84"/>
      <c r="R35" s="84"/>
      <c r="S35" s="84"/>
      <c r="T35" s="84"/>
    </row>
    <row r="36" ht="15.75" customHeight="1">
      <c r="A36" s="84" t="s">
        <v>35892</v>
      </c>
      <c r="B36" s="84">
        <v>1.0</v>
      </c>
      <c r="C36" s="186"/>
      <c r="D36" s="187"/>
      <c r="E36" s="188"/>
      <c r="F36" s="189" t="s">
        <v>30659</v>
      </c>
      <c r="G36" s="190" t="s">
        <v>35889</v>
      </c>
      <c r="H36" s="190"/>
      <c r="I36" s="84"/>
      <c r="J36" s="84"/>
      <c r="K36" s="84"/>
      <c r="L36" s="84"/>
      <c r="M36" s="84"/>
      <c r="N36" s="84"/>
      <c r="O36" s="84"/>
      <c r="P36" s="84"/>
      <c r="Q36" s="84"/>
      <c r="R36" s="84"/>
      <c r="S36" s="84"/>
      <c r="T36" s="84"/>
    </row>
    <row r="37" ht="15.75" customHeight="1">
      <c r="A37" s="84" t="s">
        <v>35894</v>
      </c>
      <c r="B37" s="84">
        <v>2.0</v>
      </c>
      <c r="C37" s="186"/>
      <c r="D37" s="187"/>
      <c r="E37" s="188"/>
      <c r="F37" s="189"/>
      <c r="G37" s="190"/>
      <c r="H37" s="190"/>
      <c r="I37" s="84"/>
      <c r="J37" s="84"/>
      <c r="K37" s="84"/>
      <c r="L37" s="84"/>
      <c r="M37" s="84"/>
      <c r="N37" s="84"/>
      <c r="O37" s="84"/>
      <c r="P37" s="84"/>
      <c r="Q37" s="84"/>
      <c r="R37" s="84"/>
      <c r="S37" s="84"/>
      <c r="T37" s="84"/>
    </row>
    <row r="38" ht="15.75" customHeight="1">
      <c r="A38" s="84" t="s">
        <v>35895</v>
      </c>
      <c r="B38" s="84">
        <v>1.0</v>
      </c>
      <c r="C38" s="186"/>
      <c r="D38" s="187"/>
      <c r="E38" s="188"/>
      <c r="F38" s="189"/>
      <c r="G38" s="190"/>
      <c r="H38" s="190"/>
      <c r="I38" s="84"/>
      <c r="J38" s="84"/>
      <c r="K38" s="84"/>
      <c r="L38" s="84"/>
      <c r="M38" s="84"/>
      <c r="N38" s="84"/>
      <c r="O38" s="84"/>
      <c r="P38" s="84"/>
      <c r="Q38" s="84"/>
      <c r="R38" s="84"/>
      <c r="S38" s="84"/>
      <c r="T38" s="84"/>
    </row>
    <row r="39" ht="15.75" customHeight="1">
      <c r="A39" s="84" t="s">
        <v>35897</v>
      </c>
      <c r="B39" s="84">
        <v>1.0</v>
      </c>
      <c r="C39" s="186"/>
      <c r="D39" s="187"/>
      <c r="E39" s="188"/>
      <c r="F39" s="189"/>
      <c r="G39" s="190"/>
      <c r="H39" s="190"/>
      <c r="I39" s="84"/>
      <c r="J39" s="84"/>
      <c r="K39" s="84"/>
      <c r="L39" s="84"/>
      <c r="M39" s="84"/>
      <c r="N39" s="84"/>
      <c r="O39" s="84"/>
      <c r="P39" s="84"/>
      <c r="Q39" s="84"/>
      <c r="R39" s="84"/>
      <c r="S39" s="84"/>
      <c r="T39" s="84"/>
    </row>
    <row r="40" ht="15.75" customHeight="1">
      <c r="A40" s="84" t="s">
        <v>35900</v>
      </c>
      <c r="B40" s="84">
        <v>1.0</v>
      </c>
      <c r="C40" s="186"/>
      <c r="D40" s="187"/>
      <c r="E40" s="188"/>
      <c r="F40" s="189"/>
      <c r="G40" s="190"/>
      <c r="H40" s="190"/>
      <c r="I40" s="84"/>
      <c r="J40" s="84"/>
      <c r="K40" s="84"/>
      <c r="L40" s="84"/>
      <c r="M40" s="84"/>
      <c r="N40" s="84"/>
      <c r="O40" s="84"/>
      <c r="P40" s="84"/>
      <c r="Q40" s="84"/>
      <c r="R40" s="84"/>
      <c r="S40" s="84"/>
      <c r="T40" s="84"/>
    </row>
    <row r="41" ht="15.75" customHeight="1">
      <c r="A41" s="84" t="s">
        <v>35902</v>
      </c>
      <c r="B41" s="84">
        <v>1.0</v>
      </c>
      <c r="C41" s="186"/>
      <c r="D41" s="187"/>
      <c r="E41" s="188"/>
      <c r="F41" s="189"/>
      <c r="G41" s="190"/>
      <c r="H41" s="190"/>
      <c r="I41" s="84"/>
      <c r="J41" s="84"/>
      <c r="K41" s="84"/>
      <c r="L41" s="84"/>
      <c r="M41" s="84"/>
      <c r="N41" s="84"/>
      <c r="O41" s="84"/>
      <c r="P41" s="84"/>
      <c r="Q41" s="84"/>
      <c r="R41" s="84"/>
      <c r="S41" s="84"/>
      <c r="T41" s="84"/>
    </row>
    <row r="42" ht="15.75" customHeight="1">
      <c r="A42" s="84" t="s">
        <v>35903</v>
      </c>
      <c r="B42" s="84">
        <v>1.0</v>
      </c>
      <c r="C42" s="186"/>
      <c r="D42" s="187"/>
      <c r="E42" s="188"/>
      <c r="F42" s="189"/>
      <c r="G42" s="190"/>
      <c r="H42" s="190"/>
      <c r="I42" s="84"/>
      <c r="J42" s="84"/>
      <c r="K42" s="84"/>
      <c r="L42" s="84"/>
      <c r="M42" s="84"/>
      <c r="N42" s="84"/>
      <c r="O42" s="84"/>
      <c r="P42" s="84"/>
      <c r="Q42" s="84"/>
      <c r="R42" s="84"/>
      <c r="S42" s="84"/>
      <c r="T42" s="84"/>
    </row>
    <row r="43" ht="15.75" customHeight="1">
      <c r="A43" s="84" t="s">
        <v>35904</v>
      </c>
      <c r="B43" s="84">
        <v>1.0</v>
      </c>
      <c r="C43" s="186"/>
      <c r="D43" s="187"/>
      <c r="E43" s="188"/>
      <c r="F43" s="189"/>
      <c r="G43" s="190"/>
      <c r="H43" s="190"/>
      <c r="I43" s="84"/>
      <c r="J43" s="84"/>
      <c r="K43" s="84"/>
      <c r="L43" s="84"/>
      <c r="M43" s="84"/>
      <c r="N43" s="84"/>
      <c r="O43" s="84"/>
      <c r="P43" s="84"/>
      <c r="Q43" s="84"/>
      <c r="R43" s="84"/>
      <c r="S43" s="84"/>
      <c r="T43" s="84"/>
    </row>
    <row r="44" ht="15.75" customHeight="1">
      <c r="A44" s="84" t="s">
        <v>35909</v>
      </c>
      <c r="B44" s="84">
        <v>4.0</v>
      </c>
      <c r="C44" s="186"/>
      <c r="D44" s="187"/>
      <c r="E44" s="188"/>
      <c r="F44" s="189"/>
      <c r="G44" s="190"/>
      <c r="H44" s="190"/>
      <c r="I44" s="84"/>
      <c r="J44" s="84"/>
      <c r="K44" s="84"/>
      <c r="L44" s="84"/>
      <c r="M44" s="84"/>
      <c r="N44" s="84"/>
      <c r="O44" s="84"/>
      <c r="P44" s="84"/>
      <c r="Q44" s="84"/>
      <c r="R44" s="84"/>
      <c r="S44" s="84"/>
      <c r="T44" s="84"/>
    </row>
    <row r="45" ht="15.75" customHeight="1">
      <c r="A45" s="84" t="s">
        <v>35911</v>
      </c>
      <c r="B45" s="84">
        <v>1.0</v>
      </c>
      <c r="C45" s="186"/>
      <c r="D45" s="187"/>
      <c r="E45" s="188"/>
      <c r="F45" s="189"/>
      <c r="G45" s="190"/>
      <c r="H45" s="190"/>
      <c r="I45" s="84"/>
      <c r="J45" s="84"/>
      <c r="K45" s="84"/>
      <c r="L45" s="84"/>
      <c r="M45" s="84"/>
      <c r="N45" s="84"/>
      <c r="O45" s="84"/>
      <c r="P45" s="84"/>
      <c r="Q45" s="84"/>
      <c r="R45" s="84"/>
      <c r="S45" s="84"/>
      <c r="T45" s="84"/>
    </row>
    <row r="46" ht="15.75" customHeight="1">
      <c r="A46" s="84" t="s">
        <v>35912</v>
      </c>
      <c r="B46" s="84">
        <v>1.0</v>
      </c>
      <c r="C46" s="186"/>
      <c r="D46" s="187"/>
      <c r="E46" s="188"/>
      <c r="F46" s="189"/>
      <c r="G46" s="190"/>
      <c r="H46" s="190"/>
      <c r="I46" s="84"/>
      <c r="J46" s="84"/>
      <c r="K46" s="84"/>
      <c r="L46" s="84"/>
      <c r="M46" s="84"/>
      <c r="N46" s="84"/>
      <c r="O46" s="84"/>
      <c r="P46" s="84"/>
      <c r="Q46" s="84"/>
      <c r="R46" s="84"/>
      <c r="S46" s="84"/>
      <c r="T46" s="84"/>
    </row>
    <row r="47" ht="15.75" customHeight="1">
      <c r="A47" s="84" t="s">
        <v>35915</v>
      </c>
      <c r="B47" s="84">
        <v>1.0</v>
      </c>
      <c r="C47" s="186"/>
      <c r="D47" s="187"/>
      <c r="E47" s="188"/>
      <c r="F47" s="189"/>
      <c r="G47" s="190"/>
      <c r="H47" s="190"/>
      <c r="I47" s="84"/>
      <c r="J47" s="84"/>
      <c r="K47" s="84"/>
      <c r="L47" s="84"/>
      <c r="M47" s="84"/>
      <c r="N47" s="84"/>
      <c r="O47" s="84"/>
      <c r="P47" s="84"/>
      <c r="Q47" s="84"/>
      <c r="R47" s="84"/>
      <c r="S47" s="84"/>
      <c r="T47" s="84"/>
    </row>
    <row r="48" ht="15.75" customHeight="1">
      <c r="A48" s="84" t="s">
        <v>35917</v>
      </c>
      <c r="B48" s="84">
        <v>1.0</v>
      </c>
      <c r="C48" s="186"/>
      <c r="D48" s="187"/>
      <c r="E48" s="188"/>
      <c r="F48" s="189"/>
      <c r="G48" s="190"/>
      <c r="H48" s="190"/>
      <c r="I48" s="84"/>
      <c r="J48" s="84"/>
      <c r="K48" s="84"/>
      <c r="L48" s="84"/>
      <c r="M48" s="84"/>
      <c r="N48" s="84"/>
      <c r="O48" s="84"/>
      <c r="P48" s="84"/>
      <c r="Q48" s="84"/>
      <c r="R48" s="84"/>
      <c r="S48" s="84"/>
      <c r="T48" s="84"/>
    </row>
    <row r="49" ht="15.75" customHeight="1">
      <c r="A49" s="84" t="s">
        <v>35918</v>
      </c>
      <c r="B49" s="84">
        <v>1.0</v>
      </c>
      <c r="C49" s="186"/>
      <c r="D49" s="187"/>
      <c r="E49" s="188"/>
      <c r="F49" s="189"/>
      <c r="G49" s="190"/>
      <c r="H49" s="190"/>
      <c r="I49" s="84"/>
      <c r="J49" s="84"/>
      <c r="K49" s="84"/>
      <c r="L49" s="84"/>
      <c r="M49" s="84"/>
      <c r="N49" s="84"/>
      <c r="O49" s="84"/>
      <c r="P49" s="84"/>
      <c r="Q49" s="84"/>
      <c r="R49" s="84"/>
      <c r="S49" s="84"/>
      <c r="T49" s="84"/>
    </row>
    <row r="50" ht="15.75" customHeight="1">
      <c r="A50" s="84" t="s">
        <v>35920</v>
      </c>
      <c r="B50" s="84">
        <v>1.0</v>
      </c>
      <c r="C50" s="186"/>
      <c r="D50" s="187"/>
      <c r="E50" s="188"/>
      <c r="F50" s="189"/>
      <c r="G50" s="190"/>
      <c r="H50" s="190"/>
      <c r="I50" s="84"/>
      <c r="J50" s="84"/>
      <c r="K50" s="84"/>
      <c r="L50" s="84"/>
      <c r="M50" s="84"/>
      <c r="N50" s="84"/>
      <c r="O50" s="84"/>
      <c r="P50" s="84"/>
      <c r="Q50" s="84"/>
      <c r="R50" s="84"/>
      <c r="S50" s="84"/>
      <c r="T50" s="84"/>
    </row>
    <row r="51" ht="15.75" customHeight="1">
      <c r="A51" s="84" t="s">
        <v>35924</v>
      </c>
      <c r="B51" s="84">
        <v>1.0</v>
      </c>
      <c r="C51" s="186"/>
      <c r="D51" s="187"/>
      <c r="E51" s="188"/>
      <c r="F51" s="189"/>
      <c r="G51" s="190"/>
      <c r="H51" s="190"/>
      <c r="I51" s="84"/>
      <c r="J51" s="84"/>
      <c r="K51" s="84"/>
      <c r="L51" s="84"/>
      <c r="M51" s="84"/>
      <c r="N51" s="84"/>
      <c r="O51" s="84"/>
      <c r="P51" s="84"/>
      <c r="Q51" s="84"/>
      <c r="R51" s="84"/>
      <c r="S51" s="84"/>
      <c r="T51" s="84"/>
    </row>
    <row r="52" ht="15.75" customHeight="1">
      <c r="A52" s="84" t="s">
        <v>35928</v>
      </c>
      <c r="B52" s="84">
        <v>1.0</v>
      </c>
      <c r="C52" s="186" t="s">
        <v>30659</v>
      </c>
      <c r="D52" s="187" t="s">
        <v>35930</v>
      </c>
      <c r="E52" s="188"/>
      <c r="F52" s="189"/>
      <c r="G52" s="190"/>
      <c r="H52" s="190"/>
      <c r="I52" s="84"/>
      <c r="J52" s="14" t="b">
        <f>IFERROR(__xludf.DUMMYFUNCTION("EXACT(QUERY($A$3:$A$1579, ""select (A) where A = '"" &amp; $D52 &amp; ""'""), $D52)"),TRUE)</f>
        <v>1</v>
      </c>
      <c r="K52" s="84"/>
      <c r="L52" s="84"/>
      <c r="M52" s="84"/>
      <c r="N52" s="84"/>
      <c r="O52" s="84"/>
      <c r="P52" s="84"/>
      <c r="Q52" s="84"/>
      <c r="R52" s="84"/>
      <c r="S52" s="84"/>
      <c r="T52" s="84"/>
    </row>
    <row r="53" ht="15.75" customHeight="1">
      <c r="A53" s="84" t="s">
        <v>35930</v>
      </c>
      <c r="B53" s="84">
        <v>1.0</v>
      </c>
      <c r="C53" s="186"/>
      <c r="D53" s="187"/>
      <c r="E53" s="188"/>
      <c r="F53" s="189"/>
      <c r="G53" s="190"/>
      <c r="H53" s="190"/>
      <c r="I53" s="84"/>
      <c r="J53" s="84"/>
      <c r="K53" s="84"/>
      <c r="L53" s="84"/>
      <c r="M53" s="84"/>
      <c r="N53" s="84"/>
      <c r="O53" s="84"/>
      <c r="P53" s="84"/>
      <c r="Q53" s="84"/>
      <c r="R53" s="84"/>
      <c r="S53" s="84"/>
      <c r="T53" s="84"/>
    </row>
    <row r="54" ht="15.75" customHeight="1">
      <c r="A54" s="84" t="s">
        <v>35936</v>
      </c>
      <c r="B54" s="84">
        <v>1.0</v>
      </c>
      <c r="C54" s="186"/>
      <c r="D54" s="187"/>
      <c r="E54" s="188"/>
      <c r="F54" s="189"/>
      <c r="G54" s="190"/>
      <c r="H54" s="190"/>
      <c r="I54" s="84"/>
      <c r="J54" s="84"/>
      <c r="K54" s="84"/>
      <c r="L54" s="84"/>
      <c r="M54" s="84"/>
      <c r="N54" s="84"/>
      <c r="O54" s="84"/>
      <c r="P54" s="84"/>
      <c r="Q54" s="84"/>
      <c r="R54" s="84"/>
      <c r="S54" s="84"/>
      <c r="T54" s="84"/>
    </row>
    <row r="55" ht="15.75" customHeight="1">
      <c r="A55" s="84" t="s">
        <v>35940</v>
      </c>
      <c r="B55" s="84">
        <v>1.0</v>
      </c>
      <c r="C55" s="186"/>
      <c r="D55" s="187"/>
      <c r="E55" s="188"/>
      <c r="F55" s="189"/>
      <c r="G55" s="190"/>
      <c r="H55" s="190"/>
      <c r="I55" s="84"/>
      <c r="J55" s="84"/>
      <c r="K55" s="84"/>
      <c r="L55" s="84"/>
      <c r="M55" s="84"/>
      <c r="N55" s="84"/>
      <c r="O55" s="84"/>
      <c r="P55" s="84"/>
      <c r="Q55" s="84"/>
      <c r="R55" s="84"/>
      <c r="S55" s="84"/>
      <c r="T55" s="84"/>
    </row>
    <row r="56" ht="15.75" customHeight="1">
      <c r="A56" s="84" t="s">
        <v>35941</v>
      </c>
      <c r="B56" s="84">
        <v>1.0</v>
      </c>
      <c r="C56" s="186" t="s">
        <v>30659</v>
      </c>
      <c r="D56" s="187" t="s">
        <v>35940</v>
      </c>
      <c r="E56" s="188"/>
      <c r="F56" s="189"/>
      <c r="G56" s="190"/>
      <c r="H56" s="190"/>
      <c r="I56" s="84"/>
      <c r="J56" s="84"/>
      <c r="K56" s="84"/>
      <c r="L56" s="84"/>
      <c r="M56" s="84"/>
      <c r="N56" s="84"/>
      <c r="O56" s="84"/>
      <c r="P56" s="84"/>
      <c r="Q56" s="84"/>
      <c r="R56" s="84"/>
      <c r="S56" s="84"/>
      <c r="T56" s="84"/>
    </row>
    <row r="57" ht="15.75" customHeight="1">
      <c r="A57" s="84" t="s">
        <v>35942</v>
      </c>
      <c r="B57" s="84">
        <v>1.0</v>
      </c>
      <c r="C57" s="186"/>
      <c r="D57" s="187"/>
      <c r="E57" s="188"/>
      <c r="F57" s="189" t="s">
        <v>30659</v>
      </c>
      <c r="G57" s="190" t="s">
        <v>35940</v>
      </c>
      <c r="H57" s="190"/>
      <c r="I57" s="84"/>
      <c r="J57" s="84"/>
      <c r="K57" s="84"/>
      <c r="L57" s="84"/>
      <c r="M57" s="84"/>
      <c r="N57" s="84"/>
      <c r="O57" s="84"/>
      <c r="P57" s="84"/>
      <c r="Q57" s="84"/>
      <c r="R57" s="84"/>
      <c r="S57" s="84"/>
      <c r="T57" s="84"/>
    </row>
    <row r="58" ht="15.75" customHeight="1">
      <c r="A58" s="84" t="s">
        <v>35947</v>
      </c>
      <c r="B58" s="84">
        <v>1.0</v>
      </c>
      <c r="C58" s="186"/>
      <c r="D58" s="187"/>
      <c r="E58" s="188"/>
      <c r="F58" s="189"/>
      <c r="G58" s="190"/>
      <c r="H58" s="190"/>
      <c r="I58" s="84"/>
      <c r="J58" s="84"/>
      <c r="K58" s="84"/>
      <c r="L58" s="84"/>
      <c r="M58" s="84"/>
      <c r="N58" s="84"/>
      <c r="O58" s="84"/>
      <c r="P58" s="84"/>
      <c r="Q58" s="84"/>
      <c r="R58" s="84"/>
      <c r="S58" s="84"/>
      <c r="T58" s="84"/>
    </row>
    <row r="59" ht="15.75" customHeight="1">
      <c r="A59" s="84" t="s">
        <v>35948</v>
      </c>
      <c r="B59" s="84">
        <v>1.0</v>
      </c>
      <c r="C59" s="186"/>
      <c r="D59" s="187"/>
      <c r="E59" s="188"/>
      <c r="F59" s="189"/>
      <c r="G59" s="190"/>
      <c r="H59" s="190"/>
      <c r="I59" s="84"/>
      <c r="J59" s="84"/>
      <c r="K59" s="84"/>
      <c r="L59" s="84"/>
      <c r="M59" s="84"/>
      <c r="N59" s="84"/>
      <c r="O59" s="84"/>
      <c r="P59" s="84"/>
      <c r="Q59" s="84"/>
      <c r="R59" s="84"/>
      <c r="S59" s="84"/>
      <c r="T59" s="84"/>
    </row>
    <row r="60" ht="15.75" customHeight="1">
      <c r="A60" s="84" t="s">
        <v>35949</v>
      </c>
      <c r="B60" s="84">
        <v>2.0</v>
      </c>
      <c r="C60" s="186"/>
      <c r="D60" s="187"/>
      <c r="E60" s="188"/>
      <c r="F60" s="189" t="s">
        <v>30659</v>
      </c>
      <c r="G60" s="190" t="s">
        <v>35948</v>
      </c>
      <c r="H60" s="190"/>
      <c r="I60" s="84"/>
      <c r="J60" s="84"/>
      <c r="K60" s="84"/>
      <c r="L60" s="84"/>
      <c r="M60" s="84"/>
      <c r="N60" s="84"/>
      <c r="O60" s="84"/>
      <c r="P60" s="84"/>
      <c r="Q60" s="84"/>
      <c r="R60" s="84"/>
      <c r="S60" s="84"/>
      <c r="T60" s="84"/>
    </row>
    <row r="61" ht="15.75" customHeight="1">
      <c r="A61" s="84" t="s">
        <v>35953</v>
      </c>
      <c r="B61" s="84">
        <v>1.0</v>
      </c>
      <c r="C61" s="186"/>
      <c r="D61" s="187"/>
      <c r="E61" s="188"/>
      <c r="F61" s="189"/>
      <c r="G61" s="190"/>
      <c r="H61" s="190"/>
      <c r="I61" s="84"/>
      <c r="J61" s="84"/>
      <c r="K61" s="84"/>
      <c r="L61" s="84"/>
      <c r="M61" s="84"/>
      <c r="N61" s="84"/>
      <c r="O61" s="84"/>
      <c r="P61" s="84"/>
      <c r="Q61" s="84"/>
      <c r="R61" s="84"/>
      <c r="S61" s="84"/>
      <c r="T61" s="84"/>
    </row>
    <row r="62" ht="15.75" customHeight="1">
      <c r="A62" s="84" t="s">
        <v>35954</v>
      </c>
      <c r="B62" s="84">
        <v>1.0</v>
      </c>
      <c r="C62" s="186"/>
      <c r="D62" s="187"/>
      <c r="E62" s="188"/>
      <c r="F62" s="189"/>
      <c r="G62" s="190"/>
      <c r="H62" s="190"/>
      <c r="I62" s="84"/>
      <c r="J62" s="84"/>
      <c r="K62" s="84"/>
      <c r="L62" s="84"/>
      <c r="M62" s="84"/>
      <c r="N62" s="84"/>
      <c r="O62" s="84"/>
      <c r="P62" s="84"/>
      <c r="Q62" s="84"/>
      <c r="R62" s="84"/>
      <c r="S62" s="84"/>
      <c r="T62" s="84"/>
    </row>
    <row r="63" ht="15.75" customHeight="1">
      <c r="A63" s="84" t="s">
        <v>35955</v>
      </c>
      <c r="B63" s="84">
        <v>1.0</v>
      </c>
      <c r="C63" s="186"/>
      <c r="D63" s="187"/>
      <c r="E63" s="188"/>
      <c r="F63" s="189"/>
      <c r="G63" s="190"/>
      <c r="H63" s="190"/>
      <c r="I63" s="84"/>
      <c r="J63" s="84"/>
      <c r="K63" s="84"/>
      <c r="L63" s="84"/>
      <c r="M63" s="84"/>
      <c r="N63" s="84"/>
      <c r="O63" s="84"/>
      <c r="P63" s="84"/>
      <c r="Q63" s="84"/>
      <c r="R63" s="84"/>
      <c r="S63" s="84"/>
      <c r="T63" s="84"/>
    </row>
    <row r="64" ht="15.75" customHeight="1">
      <c r="A64" s="84" t="s">
        <v>35959</v>
      </c>
      <c r="B64" s="84">
        <v>1.0</v>
      </c>
      <c r="C64" s="186"/>
      <c r="D64" s="187"/>
      <c r="E64" s="188"/>
      <c r="F64" s="189"/>
      <c r="G64" s="190"/>
      <c r="H64" s="190"/>
      <c r="I64" s="84"/>
      <c r="J64" s="84"/>
      <c r="K64" s="84"/>
      <c r="L64" s="84"/>
      <c r="M64" s="84"/>
      <c r="N64" s="84"/>
      <c r="O64" s="84"/>
      <c r="P64" s="84"/>
      <c r="Q64" s="84"/>
      <c r="R64" s="84"/>
      <c r="S64" s="84"/>
      <c r="T64" s="84"/>
    </row>
    <row r="65" ht="15.75" customHeight="1">
      <c r="A65" s="84" t="s">
        <v>35961</v>
      </c>
      <c r="B65" s="84">
        <v>1.0</v>
      </c>
      <c r="C65" s="186"/>
      <c r="D65" s="187"/>
      <c r="E65" s="188"/>
      <c r="F65" s="189"/>
      <c r="G65" s="190"/>
      <c r="H65" s="190"/>
      <c r="I65" s="84"/>
      <c r="J65" s="84"/>
      <c r="K65" s="84"/>
      <c r="L65" s="84"/>
      <c r="M65" s="84"/>
      <c r="N65" s="84"/>
      <c r="O65" s="84"/>
      <c r="P65" s="84"/>
      <c r="Q65" s="84"/>
      <c r="R65" s="84"/>
      <c r="S65" s="84"/>
      <c r="T65" s="84"/>
    </row>
    <row r="66" ht="15.75" customHeight="1">
      <c r="A66" s="84" t="s">
        <v>35962</v>
      </c>
      <c r="B66" s="84">
        <v>1.0</v>
      </c>
      <c r="C66" s="186"/>
      <c r="D66" s="187"/>
      <c r="E66" s="188"/>
      <c r="F66" s="189"/>
      <c r="G66" s="190"/>
      <c r="H66" s="190"/>
      <c r="I66" s="84"/>
      <c r="J66" s="84"/>
      <c r="K66" s="84"/>
      <c r="L66" s="84"/>
      <c r="M66" s="84"/>
      <c r="N66" s="84"/>
      <c r="O66" s="84"/>
      <c r="P66" s="84"/>
      <c r="Q66" s="84"/>
      <c r="R66" s="84"/>
      <c r="S66" s="84"/>
      <c r="T66" s="84"/>
    </row>
    <row r="67" ht="15.75" customHeight="1">
      <c r="A67" s="84" t="s">
        <v>35965</v>
      </c>
      <c r="B67" s="84">
        <v>1.0</v>
      </c>
      <c r="C67" s="186"/>
      <c r="D67" s="187"/>
      <c r="E67" s="188"/>
      <c r="F67" s="189"/>
      <c r="G67" s="190"/>
      <c r="H67" s="190"/>
      <c r="I67" s="84"/>
      <c r="J67" s="84"/>
      <c r="K67" s="84"/>
      <c r="L67" s="84"/>
      <c r="M67" s="84"/>
      <c r="N67" s="84"/>
      <c r="O67" s="84"/>
      <c r="P67" s="84"/>
      <c r="Q67" s="84"/>
      <c r="R67" s="84"/>
      <c r="S67" s="84"/>
      <c r="T67" s="84"/>
    </row>
    <row r="68" ht="15.75" customHeight="1">
      <c r="A68" s="84" t="s">
        <v>35966</v>
      </c>
      <c r="B68" s="84">
        <v>1.0</v>
      </c>
      <c r="C68" s="186"/>
      <c r="D68" s="187"/>
      <c r="E68" s="188"/>
      <c r="F68" s="189"/>
      <c r="G68" s="190"/>
      <c r="H68" s="190"/>
      <c r="I68" s="84"/>
      <c r="J68" s="84"/>
      <c r="K68" s="84"/>
      <c r="L68" s="84"/>
      <c r="M68" s="84"/>
      <c r="N68" s="84"/>
      <c r="O68" s="84"/>
      <c r="P68" s="84"/>
      <c r="Q68" s="84"/>
      <c r="R68" s="84"/>
      <c r="S68" s="84"/>
      <c r="T68" s="84"/>
    </row>
    <row r="69" ht="15.75" customHeight="1">
      <c r="A69" s="84" t="s">
        <v>35968</v>
      </c>
      <c r="B69" s="84">
        <v>1.0</v>
      </c>
      <c r="C69" s="186"/>
      <c r="D69" s="187"/>
      <c r="E69" s="188"/>
      <c r="F69" s="189"/>
      <c r="G69" s="190"/>
      <c r="H69" s="190"/>
      <c r="I69" s="84"/>
      <c r="J69" s="84"/>
      <c r="K69" s="84"/>
      <c r="L69" s="84"/>
      <c r="M69" s="84"/>
      <c r="N69" s="84"/>
      <c r="O69" s="84"/>
      <c r="P69" s="84"/>
      <c r="Q69" s="84"/>
      <c r="R69" s="84"/>
      <c r="S69" s="84"/>
      <c r="T69" s="84"/>
    </row>
    <row r="70" ht="15.75" customHeight="1">
      <c r="A70" s="84" t="s">
        <v>35971</v>
      </c>
      <c r="B70" s="84">
        <v>1.0</v>
      </c>
      <c r="C70" s="186"/>
      <c r="D70" s="187"/>
      <c r="E70" s="188"/>
      <c r="F70" s="189"/>
      <c r="G70" s="190"/>
      <c r="H70" s="190"/>
      <c r="I70" s="84"/>
      <c r="J70" s="84"/>
      <c r="K70" s="84"/>
      <c r="L70" s="84"/>
      <c r="M70" s="84"/>
      <c r="N70" s="84"/>
      <c r="O70" s="84"/>
      <c r="P70" s="84"/>
      <c r="Q70" s="84"/>
      <c r="R70" s="84"/>
      <c r="S70" s="84"/>
      <c r="T70" s="84"/>
    </row>
    <row r="71" ht="15.75" customHeight="1">
      <c r="A71" s="84" t="s">
        <v>35972</v>
      </c>
      <c r="B71" s="84">
        <v>1.0</v>
      </c>
      <c r="C71" s="186"/>
      <c r="D71" s="187"/>
      <c r="E71" s="188"/>
      <c r="F71" s="189"/>
      <c r="G71" s="190"/>
      <c r="H71" s="190"/>
      <c r="I71" s="84"/>
      <c r="J71" s="84"/>
      <c r="K71" s="84"/>
      <c r="L71" s="84"/>
      <c r="M71" s="84"/>
      <c r="N71" s="84"/>
      <c r="O71" s="84"/>
      <c r="P71" s="84"/>
      <c r="Q71" s="84"/>
      <c r="R71" s="84"/>
      <c r="S71" s="84"/>
      <c r="T71" s="84"/>
    </row>
    <row r="72" ht="15.75" customHeight="1">
      <c r="A72" s="84" t="s">
        <v>35974</v>
      </c>
      <c r="B72" s="84">
        <v>1.0</v>
      </c>
      <c r="C72" s="186"/>
      <c r="D72" s="187"/>
      <c r="E72" s="188"/>
      <c r="F72" s="189"/>
      <c r="G72" s="190"/>
      <c r="H72" s="190"/>
      <c r="I72" s="84"/>
      <c r="J72" s="84"/>
      <c r="K72" s="84"/>
      <c r="L72" s="84"/>
      <c r="M72" s="84"/>
      <c r="N72" s="84"/>
      <c r="O72" s="84"/>
      <c r="P72" s="84"/>
      <c r="Q72" s="84"/>
      <c r="R72" s="84"/>
      <c r="S72" s="84"/>
      <c r="T72" s="84"/>
    </row>
    <row r="73" ht="15.75" customHeight="1">
      <c r="A73" s="84" t="s">
        <v>35978</v>
      </c>
      <c r="B73" s="84">
        <v>1.0</v>
      </c>
      <c r="C73" s="186"/>
      <c r="D73" s="187"/>
      <c r="E73" s="188"/>
      <c r="F73" s="189"/>
      <c r="G73" s="190"/>
      <c r="H73" s="190"/>
      <c r="I73" s="84"/>
      <c r="J73" s="84"/>
      <c r="K73" s="84"/>
      <c r="L73" s="84"/>
      <c r="M73" s="84"/>
      <c r="N73" s="84"/>
      <c r="O73" s="84"/>
      <c r="P73" s="84"/>
      <c r="Q73" s="84"/>
      <c r="R73" s="84"/>
      <c r="S73" s="84"/>
      <c r="T73" s="84"/>
    </row>
    <row r="74" ht="15.75" customHeight="1">
      <c r="A74" s="84" t="s">
        <v>35979</v>
      </c>
      <c r="B74" s="84">
        <v>2.0</v>
      </c>
      <c r="C74" s="186"/>
      <c r="D74" s="187"/>
      <c r="E74" s="188"/>
      <c r="F74" s="189"/>
      <c r="G74" s="190"/>
      <c r="H74" s="190"/>
      <c r="I74" s="84"/>
      <c r="J74" s="84"/>
      <c r="K74" s="84"/>
      <c r="L74" s="84"/>
      <c r="M74" s="84"/>
      <c r="N74" s="84"/>
      <c r="O74" s="84"/>
      <c r="P74" s="84"/>
      <c r="Q74" s="84"/>
      <c r="R74" s="84"/>
      <c r="S74" s="84"/>
      <c r="T74" s="84"/>
    </row>
    <row r="75" ht="15.75" customHeight="1">
      <c r="A75" s="84" t="s">
        <v>35983</v>
      </c>
      <c r="B75" s="84">
        <v>1.0</v>
      </c>
      <c r="C75" s="186"/>
      <c r="D75" s="187"/>
      <c r="E75" s="188"/>
      <c r="F75" s="189"/>
      <c r="G75" s="190"/>
      <c r="H75" s="190"/>
      <c r="I75" s="84"/>
      <c r="J75" s="84"/>
      <c r="K75" s="84"/>
      <c r="L75" s="84"/>
      <c r="M75" s="84"/>
      <c r="N75" s="84"/>
      <c r="O75" s="84"/>
      <c r="P75" s="84"/>
      <c r="Q75" s="84"/>
      <c r="R75" s="84"/>
      <c r="S75" s="84"/>
      <c r="T75" s="84"/>
    </row>
    <row r="76" ht="15.75" customHeight="1">
      <c r="A76" s="84" t="s">
        <v>35985</v>
      </c>
      <c r="B76" s="84">
        <v>1.0</v>
      </c>
      <c r="C76" s="186"/>
      <c r="D76" s="187"/>
      <c r="E76" s="188"/>
      <c r="F76" s="189"/>
      <c r="G76" s="190"/>
      <c r="H76" s="190"/>
      <c r="I76" s="84"/>
      <c r="J76" s="84"/>
      <c r="K76" s="84"/>
      <c r="L76" s="84"/>
      <c r="M76" s="84"/>
      <c r="N76" s="84"/>
      <c r="O76" s="84"/>
      <c r="P76" s="84"/>
      <c r="Q76" s="84"/>
      <c r="R76" s="84"/>
      <c r="S76" s="84"/>
      <c r="T76" s="84"/>
    </row>
    <row r="77" ht="15.75" customHeight="1">
      <c r="A77" s="84" t="s">
        <v>35986</v>
      </c>
      <c r="B77" s="84">
        <v>1.0</v>
      </c>
      <c r="C77" s="186"/>
      <c r="D77" s="187"/>
      <c r="E77" s="188"/>
      <c r="F77" s="189"/>
      <c r="G77" s="190"/>
      <c r="H77" s="190"/>
      <c r="I77" s="84"/>
      <c r="J77" s="84"/>
      <c r="K77" s="84"/>
      <c r="L77" s="84"/>
      <c r="M77" s="84"/>
      <c r="N77" s="84"/>
      <c r="O77" s="84"/>
      <c r="P77" s="84"/>
      <c r="Q77" s="84"/>
      <c r="R77" s="84"/>
      <c r="S77" s="84"/>
      <c r="T77" s="84"/>
    </row>
    <row r="78" ht="15.75" customHeight="1">
      <c r="A78" s="84" t="s">
        <v>35987</v>
      </c>
      <c r="B78" s="84">
        <v>1.0</v>
      </c>
      <c r="C78" s="186"/>
      <c r="D78" s="187"/>
      <c r="E78" s="188"/>
      <c r="F78" s="189"/>
      <c r="G78" s="190"/>
      <c r="H78" s="190"/>
      <c r="I78" s="84"/>
      <c r="J78" s="84"/>
      <c r="K78" s="84"/>
      <c r="L78" s="84"/>
      <c r="M78" s="84"/>
      <c r="N78" s="84"/>
      <c r="O78" s="84"/>
      <c r="P78" s="84"/>
      <c r="Q78" s="84"/>
      <c r="R78" s="84"/>
      <c r="S78" s="84"/>
      <c r="T78" s="84"/>
    </row>
    <row r="79" ht="15.75" customHeight="1">
      <c r="A79" s="84" t="s">
        <v>35989</v>
      </c>
      <c r="B79" s="84">
        <v>1.0</v>
      </c>
      <c r="C79" s="186"/>
      <c r="D79" s="187"/>
      <c r="E79" s="188"/>
      <c r="F79" s="189"/>
      <c r="G79" s="190"/>
      <c r="H79" s="190"/>
      <c r="I79" s="84"/>
      <c r="J79" s="84"/>
      <c r="K79" s="84"/>
      <c r="L79" s="84"/>
      <c r="M79" s="84"/>
      <c r="N79" s="84"/>
      <c r="O79" s="84"/>
      <c r="P79" s="84"/>
      <c r="Q79" s="84"/>
      <c r="R79" s="84"/>
      <c r="S79" s="84"/>
      <c r="T79" s="84"/>
    </row>
    <row r="80" ht="15.75" customHeight="1">
      <c r="A80" s="84" t="s">
        <v>35990</v>
      </c>
      <c r="B80" s="84">
        <v>1.0</v>
      </c>
      <c r="C80" s="186"/>
      <c r="D80" s="187"/>
      <c r="E80" s="188"/>
      <c r="F80" s="189"/>
      <c r="G80" s="190"/>
      <c r="H80" s="190"/>
      <c r="I80" s="84"/>
      <c r="J80" s="84"/>
      <c r="K80" s="84"/>
      <c r="L80" s="84"/>
      <c r="M80" s="84"/>
      <c r="N80" s="84"/>
      <c r="O80" s="84"/>
      <c r="P80" s="84"/>
      <c r="Q80" s="84"/>
      <c r="R80" s="84"/>
      <c r="S80" s="84"/>
      <c r="T80" s="84"/>
    </row>
    <row r="81" ht="15.75" customHeight="1">
      <c r="A81" s="84" t="s">
        <v>35992</v>
      </c>
      <c r="B81" s="84">
        <v>1.0</v>
      </c>
      <c r="C81" s="186"/>
      <c r="D81" s="187"/>
      <c r="E81" s="188"/>
      <c r="F81" s="189"/>
      <c r="G81" s="190"/>
      <c r="H81" s="190"/>
      <c r="I81" s="84"/>
      <c r="J81" s="84"/>
      <c r="K81" s="84"/>
      <c r="L81" s="84"/>
      <c r="M81" s="84"/>
      <c r="N81" s="84"/>
      <c r="O81" s="84"/>
      <c r="P81" s="84"/>
      <c r="Q81" s="84"/>
      <c r="R81" s="84"/>
      <c r="S81" s="84"/>
      <c r="T81" s="84"/>
    </row>
    <row r="82" ht="15.75" customHeight="1">
      <c r="A82" s="84" t="s">
        <v>35994</v>
      </c>
      <c r="B82" s="84">
        <v>1.0</v>
      </c>
      <c r="C82" s="186"/>
      <c r="D82" s="187"/>
      <c r="E82" s="188"/>
      <c r="F82" s="189"/>
      <c r="G82" s="190"/>
      <c r="H82" s="190"/>
      <c r="I82" s="84"/>
      <c r="J82" s="84"/>
      <c r="K82" s="84"/>
      <c r="L82" s="84"/>
      <c r="M82" s="84"/>
      <c r="N82" s="84"/>
      <c r="O82" s="84"/>
      <c r="P82" s="84"/>
      <c r="Q82" s="84"/>
      <c r="R82" s="84"/>
      <c r="S82" s="84"/>
      <c r="T82" s="84"/>
    </row>
    <row r="83" ht="15.75" customHeight="1">
      <c r="A83" s="84" t="s">
        <v>35995</v>
      </c>
      <c r="B83" s="84">
        <v>2.0</v>
      </c>
      <c r="C83" s="186"/>
      <c r="D83" s="187"/>
      <c r="E83" s="188"/>
      <c r="F83" s="189"/>
      <c r="G83" s="190" t="s">
        <v>35948</v>
      </c>
      <c r="H83" s="190"/>
      <c r="I83" s="84"/>
      <c r="J83" s="84"/>
      <c r="K83" s="84"/>
      <c r="L83" s="84"/>
      <c r="M83" s="84"/>
      <c r="N83" s="84"/>
      <c r="O83" s="84"/>
      <c r="P83" s="84"/>
      <c r="Q83" s="84"/>
      <c r="R83" s="84"/>
      <c r="S83" s="84"/>
      <c r="T83" s="84"/>
    </row>
    <row r="84" ht="15.75" customHeight="1">
      <c r="A84" s="84" t="s">
        <v>35996</v>
      </c>
      <c r="B84" s="84">
        <v>1.0</v>
      </c>
      <c r="C84" s="186"/>
      <c r="D84" s="187"/>
      <c r="E84" s="188"/>
      <c r="F84" s="189"/>
      <c r="G84" s="190"/>
      <c r="H84" s="190"/>
      <c r="I84" s="84"/>
      <c r="J84" s="84"/>
      <c r="K84" s="84"/>
      <c r="L84" s="84"/>
      <c r="M84" s="84"/>
      <c r="N84" s="84"/>
      <c r="O84" s="84"/>
      <c r="P84" s="84"/>
      <c r="Q84" s="84"/>
      <c r="R84" s="84"/>
      <c r="S84" s="84"/>
      <c r="T84" s="84"/>
    </row>
    <row r="85" ht="15.75" customHeight="1">
      <c r="A85" s="84" t="s">
        <v>36000</v>
      </c>
      <c r="B85" s="84">
        <v>1.0</v>
      </c>
      <c r="C85" s="186"/>
      <c r="D85" s="187"/>
      <c r="E85" s="188"/>
      <c r="F85" s="189"/>
      <c r="G85" s="190"/>
      <c r="H85" s="190"/>
      <c r="I85" s="84"/>
      <c r="J85" s="84"/>
      <c r="K85" s="84"/>
      <c r="L85" s="84"/>
      <c r="M85" s="84"/>
      <c r="N85" s="84"/>
      <c r="O85" s="84"/>
      <c r="P85" s="84"/>
      <c r="Q85" s="84"/>
      <c r="R85" s="84"/>
      <c r="S85" s="84"/>
      <c r="T85" s="84"/>
    </row>
    <row r="86" ht="15.75" customHeight="1">
      <c r="A86" s="84" t="s">
        <v>36001</v>
      </c>
      <c r="B86" s="84">
        <v>1.0</v>
      </c>
      <c r="C86" s="186"/>
      <c r="D86" s="187"/>
      <c r="E86" s="188"/>
      <c r="F86" s="189"/>
      <c r="G86" s="190"/>
      <c r="H86" s="190"/>
      <c r="I86" s="84"/>
      <c r="J86" s="84"/>
      <c r="K86" s="84"/>
      <c r="L86" s="84"/>
      <c r="M86" s="84"/>
      <c r="N86" s="84"/>
      <c r="O86" s="84"/>
      <c r="P86" s="84"/>
      <c r="Q86" s="84"/>
      <c r="R86" s="84"/>
      <c r="S86" s="84"/>
      <c r="T86" s="84"/>
    </row>
    <row r="87" ht="15.75" customHeight="1">
      <c r="A87" s="84" t="s">
        <v>36005</v>
      </c>
      <c r="B87" s="84">
        <v>1.0</v>
      </c>
      <c r="C87" s="186"/>
      <c r="D87" s="187"/>
      <c r="E87" s="188"/>
      <c r="F87" s="189"/>
      <c r="G87" s="190"/>
      <c r="H87" s="190"/>
      <c r="I87" s="84"/>
      <c r="J87" s="84"/>
      <c r="K87" s="84"/>
      <c r="L87" s="84"/>
      <c r="M87" s="84"/>
      <c r="N87" s="84"/>
      <c r="O87" s="84"/>
      <c r="P87" s="84"/>
      <c r="Q87" s="84"/>
      <c r="R87" s="84"/>
      <c r="S87" s="84"/>
      <c r="T87" s="84"/>
    </row>
    <row r="88" ht="15.75" customHeight="1">
      <c r="A88" s="84" t="s">
        <v>36006</v>
      </c>
      <c r="B88" s="84">
        <v>4.0</v>
      </c>
      <c r="C88" s="186"/>
      <c r="D88" s="187"/>
      <c r="E88" s="188"/>
      <c r="F88" s="189"/>
      <c r="G88" s="190"/>
      <c r="H88" s="190"/>
      <c r="I88" s="84"/>
      <c r="J88" s="84"/>
      <c r="K88" s="84"/>
      <c r="L88" s="84"/>
      <c r="M88" s="84"/>
      <c r="N88" s="84"/>
      <c r="O88" s="84"/>
      <c r="P88" s="84"/>
      <c r="Q88" s="84"/>
      <c r="R88" s="84"/>
      <c r="S88" s="84"/>
      <c r="T88" s="84"/>
    </row>
    <row r="89" ht="15.75" customHeight="1">
      <c r="A89" s="84" t="s">
        <v>36007</v>
      </c>
      <c r="B89" s="84">
        <v>5.0</v>
      </c>
      <c r="C89" s="186"/>
      <c r="D89" s="187"/>
      <c r="E89" s="188"/>
      <c r="F89" s="189"/>
      <c r="G89" s="190"/>
      <c r="H89" s="190"/>
      <c r="I89" s="84"/>
      <c r="J89" s="84"/>
      <c r="K89" s="84"/>
      <c r="L89" s="84"/>
      <c r="M89" s="84"/>
      <c r="N89" s="84"/>
      <c r="O89" s="84"/>
      <c r="P89" s="84"/>
      <c r="Q89" s="84"/>
      <c r="R89" s="84"/>
      <c r="S89" s="84"/>
      <c r="T89" s="84"/>
    </row>
    <row r="90" ht="15.75" customHeight="1">
      <c r="A90" s="84" t="s">
        <v>36011</v>
      </c>
      <c r="B90" s="84">
        <v>1.0</v>
      </c>
      <c r="C90" s="186"/>
      <c r="D90" s="187"/>
      <c r="E90" s="188"/>
      <c r="F90" s="189"/>
      <c r="G90" s="190"/>
      <c r="H90" s="190"/>
      <c r="I90" s="84"/>
      <c r="J90" s="84"/>
      <c r="K90" s="84"/>
      <c r="L90" s="84"/>
      <c r="M90" s="84"/>
      <c r="N90" s="84"/>
      <c r="O90" s="84"/>
      <c r="P90" s="84"/>
      <c r="Q90" s="84"/>
      <c r="R90" s="84"/>
      <c r="S90" s="84"/>
      <c r="T90" s="84"/>
    </row>
    <row r="91" ht="15.75" customHeight="1">
      <c r="A91" s="84" t="s">
        <v>36013</v>
      </c>
      <c r="B91" s="84">
        <v>2.0</v>
      </c>
      <c r="C91" s="186"/>
      <c r="D91" s="187"/>
      <c r="E91" s="188"/>
      <c r="F91" s="189"/>
      <c r="G91" s="190"/>
      <c r="H91" s="190"/>
      <c r="I91" s="84"/>
      <c r="J91" s="84"/>
      <c r="K91" s="84"/>
      <c r="L91" s="84"/>
      <c r="M91" s="84"/>
      <c r="N91" s="84"/>
      <c r="O91" s="84"/>
      <c r="P91" s="84"/>
      <c r="Q91" s="84"/>
      <c r="R91" s="84"/>
      <c r="S91" s="84"/>
      <c r="T91" s="84"/>
    </row>
    <row r="92" ht="15.75" customHeight="1">
      <c r="A92" s="84" t="s">
        <v>36015</v>
      </c>
      <c r="B92" s="84">
        <v>1.0</v>
      </c>
      <c r="C92" s="186"/>
      <c r="D92" s="187"/>
      <c r="E92" s="188"/>
      <c r="F92" s="189"/>
      <c r="G92" s="190"/>
      <c r="H92" s="190"/>
      <c r="I92" s="84"/>
      <c r="J92" s="84"/>
      <c r="K92" s="84"/>
      <c r="L92" s="84"/>
      <c r="M92" s="84"/>
      <c r="N92" s="84"/>
      <c r="O92" s="84"/>
      <c r="P92" s="84"/>
      <c r="Q92" s="84"/>
      <c r="R92" s="84"/>
      <c r="S92" s="84"/>
      <c r="T92" s="84"/>
    </row>
    <row r="93" ht="15.75" customHeight="1">
      <c r="A93" s="84" t="s">
        <v>36018</v>
      </c>
      <c r="B93" s="84">
        <v>1.0</v>
      </c>
      <c r="C93" s="186"/>
      <c r="D93" s="187"/>
      <c r="E93" s="188"/>
      <c r="F93" s="189"/>
      <c r="G93" s="190"/>
      <c r="H93" s="190"/>
      <c r="I93" s="84"/>
      <c r="J93" s="84"/>
      <c r="K93" s="84"/>
      <c r="L93" s="84"/>
      <c r="M93" s="84"/>
      <c r="N93" s="84"/>
      <c r="O93" s="84"/>
      <c r="P93" s="84"/>
      <c r="Q93" s="84"/>
      <c r="R93" s="84"/>
      <c r="S93" s="84"/>
      <c r="T93" s="84"/>
    </row>
    <row r="94" ht="15.75" customHeight="1">
      <c r="A94" s="84" t="s">
        <v>36019</v>
      </c>
      <c r="B94" s="84">
        <v>1.0</v>
      </c>
      <c r="C94" s="186"/>
      <c r="D94" s="187"/>
      <c r="E94" s="188"/>
      <c r="F94" s="189"/>
      <c r="G94" s="190"/>
      <c r="H94" s="190"/>
      <c r="I94" s="84"/>
      <c r="J94" s="84"/>
      <c r="K94" s="84"/>
      <c r="L94" s="84"/>
      <c r="M94" s="84"/>
      <c r="N94" s="84"/>
      <c r="O94" s="84"/>
      <c r="P94" s="84"/>
      <c r="Q94" s="84"/>
      <c r="R94" s="84"/>
      <c r="S94" s="84"/>
      <c r="T94" s="84"/>
    </row>
    <row r="95" ht="15.75" customHeight="1">
      <c r="A95" s="84" t="s">
        <v>36020</v>
      </c>
      <c r="B95" s="84">
        <v>4.0</v>
      </c>
      <c r="C95" s="186"/>
      <c r="D95" s="187"/>
      <c r="E95" s="188"/>
      <c r="F95" s="189"/>
      <c r="G95" s="190"/>
      <c r="H95" s="190"/>
      <c r="I95" s="84"/>
      <c r="J95" s="84"/>
      <c r="K95" s="84"/>
      <c r="L95" s="84"/>
      <c r="M95" s="84"/>
      <c r="N95" s="84"/>
      <c r="O95" s="84"/>
      <c r="P95" s="84"/>
      <c r="Q95" s="84"/>
      <c r="R95" s="84"/>
      <c r="S95" s="84"/>
      <c r="T95" s="84"/>
    </row>
    <row r="96" ht="15.75" customHeight="1">
      <c r="A96" s="84" t="s">
        <v>36021</v>
      </c>
      <c r="B96" s="84">
        <v>1.0</v>
      </c>
      <c r="C96" s="186"/>
      <c r="D96" s="187"/>
      <c r="E96" s="188"/>
      <c r="F96" s="189"/>
      <c r="G96" s="190"/>
      <c r="H96" s="190"/>
      <c r="I96" s="84"/>
      <c r="J96" s="84"/>
      <c r="K96" s="84"/>
      <c r="L96" s="84"/>
      <c r="M96" s="84"/>
      <c r="N96" s="84"/>
      <c r="O96" s="84"/>
      <c r="P96" s="84"/>
      <c r="Q96" s="84"/>
      <c r="R96" s="84"/>
      <c r="S96" s="84"/>
      <c r="T96" s="84"/>
    </row>
    <row r="97" ht="15.75" customHeight="1">
      <c r="A97" s="84" t="s">
        <v>36024</v>
      </c>
      <c r="B97" s="84">
        <v>1.0</v>
      </c>
      <c r="C97" s="186"/>
      <c r="D97" s="187"/>
      <c r="E97" s="188"/>
      <c r="F97" s="189"/>
      <c r="G97" s="190"/>
      <c r="H97" s="190"/>
      <c r="I97" s="84"/>
      <c r="J97" s="84"/>
      <c r="K97" s="84"/>
      <c r="L97" s="84"/>
      <c r="M97" s="84"/>
      <c r="N97" s="84"/>
      <c r="O97" s="84"/>
      <c r="P97" s="84"/>
      <c r="Q97" s="84"/>
      <c r="R97" s="84"/>
      <c r="S97" s="84"/>
      <c r="T97" s="84"/>
    </row>
    <row r="98" ht="15.75" customHeight="1">
      <c r="A98" s="84" t="s">
        <v>36026</v>
      </c>
      <c r="B98" s="84">
        <v>1.0</v>
      </c>
      <c r="C98" s="186"/>
      <c r="D98" s="187"/>
      <c r="E98" s="188"/>
      <c r="F98" s="189"/>
      <c r="G98" s="190"/>
      <c r="H98" s="190"/>
      <c r="I98" s="84"/>
      <c r="J98" s="84"/>
      <c r="K98" s="84"/>
      <c r="L98" s="84"/>
      <c r="M98" s="84"/>
      <c r="N98" s="84"/>
      <c r="O98" s="84"/>
      <c r="P98" s="84"/>
      <c r="Q98" s="84"/>
      <c r="R98" s="84"/>
      <c r="S98" s="84"/>
      <c r="T98" s="84"/>
    </row>
    <row r="99" ht="15.75" customHeight="1">
      <c r="A99" s="84" t="s">
        <v>36028</v>
      </c>
      <c r="B99" s="84">
        <v>1.0</v>
      </c>
      <c r="C99" s="186"/>
      <c r="D99" s="187"/>
      <c r="E99" s="188"/>
      <c r="F99" s="189"/>
      <c r="G99" s="190"/>
      <c r="H99" s="190"/>
      <c r="I99" s="84"/>
      <c r="J99" s="84"/>
      <c r="K99" s="84"/>
      <c r="L99" s="84"/>
      <c r="M99" s="84"/>
      <c r="N99" s="84"/>
      <c r="O99" s="84"/>
      <c r="P99" s="84"/>
      <c r="Q99" s="84"/>
      <c r="R99" s="84"/>
      <c r="S99" s="84"/>
      <c r="T99" s="84"/>
    </row>
    <row r="100" ht="15.75" customHeight="1">
      <c r="A100" s="84" t="s">
        <v>36030</v>
      </c>
      <c r="B100" s="84">
        <v>1.0</v>
      </c>
      <c r="C100" s="186"/>
      <c r="D100" s="187"/>
      <c r="E100" s="188"/>
      <c r="F100" s="189"/>
      <c r="G100" s="190"/>
      <c r="H100" s="190"/>
      <c r="I100" s="84"/>
      <c r="J100" s="84"/>
      <c r="K100" s="84"/>
      <c r="L100" s="84"/>
      <c r="M100" s="84"/>
      <c r="N100" s="84"/>
      <c r="O100" s="84"/>
      <c r="P100" s="84"/>
      <c r="Q100" s="84"/>
      <c r="R100" s="84"/>
      <c r="S100" s="84"/>
      <c r="T100" s="84"/>
    </row>
    <row r="101" ht="15.75" customHeight="1">
      <c r="A101" s="84" t="s">
        <v>36033</v>
      </c>
      <c r="B101" s="84">
        <v>1.0</v>
      </c>
      <c r="C101" s="186"/>
      <c r="D101" s="187"/>
      <c r="E101" s="188"/>
      <c r="F101" s="189"/>
      <c r="G101" s="190"/>
      <c r="H101" s="190"/>
      <c r="I101" s="84"/>
      <c r="J101" s="84"/>
      <c r="K101" s="84"/>
      <c r="L101" s="84"/>
      <c r="M101" s="84"/>
      <c r="N101" s="84"/>
      <c r="O101" s="84"/>
      <c r="P101" s="84"/>
      <c r="Q101" s="84"/>
      <c r="R101" s="84"/>
      <c r="S101" s="84"/>
      <c r="T101" s="84"/>
    </row>
    <row r="102" ht="15.75" customHeight="1">
      <c r="A102" s="84" t="s">
        <v>36034</v>
      </c>
      <c r="B102" s="84">
        <v>1.0</v>
      </c>
      <c r="C102" s="186"/>
      <c r="D102" s="187"/>
      <c r="E102" s="188"/>
      <c r="F102" s="189"/>
      <c r="G102" s="190"/>
      <c r="H102" s="190"/>
      <c r="I102" s="84"/>
      <c r="J102" s="84"/>
      <c r="K102" s="84"/>
      <c r="L102" s="84"/>
      <c r="M102" s="84"/>
      <c r="N102" s="84"/>
      <c r="O102" s="84"/>
      <c r="P102" s="84"/>
      <c r="Q102" s="84"/>
      <c r="R102" s="84"/>
      <c r="S102" s="84"/>
      <c r="T102" s="84"/>
    </row>
    <row r="103" ht="15.75" customHeight="1">
      <c r="A103" s="84" t="s">
        <v>36035</v>
      </c>
      <c r="B103" s="84">
        <v>1.0</v>
      </c>
      <c r="C103" s="186"/>
      <c r="D103" s="187"/>
      <c r="E103" s="188"/>
      <c r="F103" s="189"/>
      <c r="G103" s="190"/>
      <c r="H103" s="190"/>
      <c r="I103" s="84"/>
      <c r="J103" s="84"/>
      <c r="K103" s="84"/>
      <c r="L103" s="84"/>
      <c r="M103" s="84"/>
      <c r="N103" s="84"/>
      <c r="O103" s="84"/>
      <c r="P103" s="84"/>
      <c r="Q103" s="84"/>
      <c r="R103" s="84"/>
      <c r="S103" s="84"/>
      <c r="T103" s="84"/>
    </row>
    <row r="104" ht="15.75" customHeight="1">
      <c r="A104" s="84" t="s">
        <v>36038</v>
      </c>
      <c r="B104" s="84">
        <v>2.0</v>
      </c>
      <c r="C104" s="186"/>
      <c r="D104" s="187"/>
      <c r="E104" s="188"/>
      <c r="F104" s="189"/>
      <c r="G104" s="190"/>
      <c r="H104" s="190"/>
      <c r="I104" s="84"/>
      <c r="J104" s="84"/>
      <c r="K104" s="84"/>
      <c r="L104" s="84"/>
      <c r="M104" s="84"/>
      <c r="N104" s="84"/>
      <c r="O104" s="84"/>
      <c r="P104" s="84"/>
      <c r="Q104" s="84"/>
      <c r="R104" s="84"/>
      <c r="S104" s="84"/>
      <c r="T104" s="84"/>
    </row>
    <row r="105" ht="15.75" customHeight="1">
      <c r="A105" s="84" t="s">
        <v>36039</v>
      </c>
      <c r="B105" s="84">
        <v>1.0</v>
      </c>
      <c r="C105" s="186"/>
      <c r="D105" s="187"/>
      <c r="E105" s="188"/>
      <c r="F105" s="189"/>
      <c r="G105" s="190"/>
      <c r="H105" s="190"/>
      <c r="I105" s="84"/>
      <c r="J105" s="84"/>
      <c r="K105" s="84"/>
      <c r="L105" s="84"/>
      <c r="M105" s="84"/>
      <c r="N105" s="84"/>
      <c r="O105" s="84"/>
      <c r="P105" s="84"/>
      <c r="Q105" s="84"/>
      <c r="R105" s="84"/>
      <c r="S105" s="84"/>
      <c r="T105" s="84"/>
    </row>
    <row r="106" ht="15.75" customHeight="1">
      <c r="A106" s="84" t="s">
        <v>36041</v>
      </c>
      <c r="B106" s="84">
        <v>1.0</v>
      </c>
      <c r="C106" s="186"/>
      <c r="D106" s="187"/>
      <c r="E106" s="188"/>
      <c r="F106" s="189"/>
      <c r="G106" s="190"/>
      <c r="H106" s="190"/>
      <c r="I106" s="84"/>
      <c r="J106" s="84"/>
      <c r="K106" s="84"/>
      <c r="L106" s="84"/>
      <c r="M106" s="84"/>
      <c r="N106" s="84"/>
      <c r="O106" s="84"/>
      <c r="P106" s="84"/>
      <c r="Q106" s="84"/>
      <c r="R106" s="84"/>
      <c r="S106" s="84"/>
      <c r="T106" s="84"/>
    </row>
    <row r="107" ht="15.75" customHeight="1">
      <c r="A107" s="84" t="s">
        <v>36043</v>
      </c>
      <c r="B107" s="84">
        <v>1.0</v>
      </c>
      <c r="C107" s="186"/>
      <c r="D107" s="187"/>
      <c r="E107" s="188"/>
      <c r="F107" s="189"/>
      <c r="G107" s="190"/>
      <c r="H107" s="190"/>
      <c r="I107" s="84"/>
      <c r="J107" s="84"/>
      <c r="K107" s="84"/>
      <c r="L107" s="84"/>
      <c r="M107" s="84"/>
      <c r="N107" s="84"/>
      <c r="O107" s="84"/>
      <c r="P107" s="84"/>
      <c r="Q107" s="84"/>
      <c r="R107" s="84"/>
      <c r="S107" s="84"/>
      <c r="T107" s="84"/>
    </row>
    <row r="108" ht="15.75" customHeight="1">
      <c r="A108" s="84" t="s">
        <v>36044</v>
      </c>
      <c r="B108" s="84">
        <v>1.0</v>
      </c>
      <c r="C108" s="186"/>
      <c r="D108" s="187"/>
      <c r="E108" s="188"/>
      <c r="F108" s="189"/>
      <c r="G108" s="190"/>
      <c r="H108" s="190"/>
      <c r="I108" s="84"/>
      <c r="J108" s="84"/>
      <c r="K108" s="84"/>
      <c r="L108" s="84"/>
      <c r="M108" s="84"/>
      <c r="N108" s="84"/>
      <c r="O108" s="84"/>
      <c r="P108" s="84"/>
      <c r="Q108" s="84"/>
      <c r="R108" s="84"/>
      <c r="S108" s="84"/>
      <c r="T108" s="84"/>
    </row>
    <row r="109" ht="15.75" customHeight="1">
      <c r="A109" s="84" t="s">
        <v>36045</v>
      </c>
      <c r="B109" s="84">
        <v>1.0</v>
      </c>
      <c r="C109" s="186"/>
      <c r="D109" s="187"/>
      <c r="E109" s="188"/>
      <c r="F109" s="189"/>
      <c r="G109" s="190"/>
      <c r="H109" s="190"/>
      <c r="I109" s="84"/>
      <c r="J109" s="84"/>
      <c r="K109" s="84"/>
      <c r="L109" s="84"/>
      <c r="M109" s="84"/>
      <c r="N109" s="84"/>
      <c r="O109" s="84"/>
      <c r="P109" s="84"/>
      <c r="Q109" s="84"/>
      <c r="R109" s="84"/>
      <c r="S109" s="84"/>
      <c r="T109" s="84"/>
    </row>
    <row r="110" ht="15.75" customHeight="1">
      <c r="A110" s="84" t="s">
        <v>36047</v>
      </c>
      <c r="B110" s="84">
        <v>1.0</v>
      </c>
      <c r="C110" s="186"/>
      <c r="D110" s="187"/>
      <c r="E110" s="188"/>
      <c r="F110" s="189"/>
      <c r="G110" s="190"/>
      <c r="H110" s="190"/>
      <c r="I110" s="84"/>
      <c r="J110" s="84"/>
      <c r="K110" s="84"/>
      <c r="L110" s="84"/>
      <c r="M110" s="84"/>
      <c r="N110" s="84"/>
      <c r="O110" s="84"/>
      <c r="P110" s="84"/>
      <c r="Q110" s="84"/>
      <c r="R110" s="84"/>
      <c r="S110" s="84"/>
      <c r="T110" s="84"/>
    </row>
    <row r="111" ht="15.75" customHeight="1">
      <c r="A111" s="84" t="s">
        <v>36048</v>
      </c>
      <c r="B111" s="84">
        <v>1.0</v>
      </c>
      <c r="C111" s="186"/>
      <c r="D111" s="187"/>
      <c r="E111" s="188"/>
      <c r="F111" s="189"/>
      <c r="G111" s="190"/>
      <c r="H111" s="190"/>
      <c r="I111" s="84"/>
      <c r="J111" s="84"/>
      <c r="K111" s="84"/>
      <c r="L111" s="84"/>
      <c r="M111" s="84"/>
      <c r="N111" s="84"/>
      <c r="O111" s="84"/>
      <c r="P111" s="84"/>
      <c r="Q111" s="84"/>
      <c r="R111" s="84"/>
      <c r="S111" s="84"/>
      <c r="T111" s="84"/>
    </row>
    <row r="112" ht="15.75" customHeight="1">
      <c r="A112" s="84" t="s">
        <v>36050</v>
      </c>
      <c r="B112" s="84">
        <v>1.0</v>
      </c>
      <c r="C112" s="186"/>
      <c r="D112" s="187"/>
      <c r="E112" s="188"/>
      <c r="F112" s="189"/>
      <c r="G112" s="190"/>
      <c r="H112" s="190"/>
      <c r="I112" s="84"/>
      <c r="J112" s="84"/>
      <c r="K112" s="84"/>
      <c r="L112" s="84"/>
      <c r="M112" s="84"/>
      <c r="N112" s="84"/>
      <c r="O112" s="84"/>
      <c r="P112" s="84"/>
      <c r="Q112" s="84"/>
      <c r="R112" s="84"/>
      <c r="S112" s="84"/>
      <c r="T112" s="84"/>
    </row>
    <row r="113" ht="15.75" customHeight="1">
      <c r="A113" s="84" t="s">
        <v>36052</v>
      </c>
      <c r="B113" s="84">
        <v>1.0</v>
      </c>
      <c r="C113" s="186"/>
      <c r="D113" s="187"/>
      <c r="E113" s="188"/>
      <c r="F113" s="189"/>
      <c r="G113" s="190"/>
      <c r="H113" s="190"/>
      <c r="I113" s="84"/>
      <c r="J113" s="84"/>
      <c r="K113" s="84"/>
      <c r="L113" s="84"/>
      <c r="M113" s="84"/>
      <c r="N113" s="84"/>
      <c r="O113" s="84"/>
      <c r="P113" s="84"/>
      <c r="Q113" s="84"/>
      <c r="R113" s="84"/>
      <c r="S113" s="84"/>
      <c r="T113" s="84"/>
    </row>
    <row r="114" ht="15.75" customHeight="1">
      <c r="A114" s="84" t="s">
        <v>36053</v>
      </c>
      <c r="B114" s="84">
        <v>1.0</v>
      </c>
      <c r="C114" s="186"/>
      <c r="D114" s="187"/>
      <c r="E114" s="188"/>
      <c r="F114" s="189"/>
      <c r="G114" s="190"/>
      <c r="H114" s="190"/>
      <c r="I114" s="84"/>
      <c r="J114" s="84"/>
      <c r="K114" s="84"/>
      <c r="L114" s="84"/>
      <c r="M114" s="84"/>
      <c r="N114" s="84"/>
      <c r="O114" s="84"/>
      <c r="P114" s="84"/>
      <c r="Q114" s="84"/>
      <c r="R114" s="84"/>
      <c r="S114" s="84"/>
      <c r="T114" s="84"/>
    </row>
    <row r="115" ht="15.75" customHeight="1">
      <c r="A115" s="84" t="s">
        <v>36054</v>
      </c>
      <c r="B115" s="84">
        <v>3.0</v>
      </c>
      <c r="C115" s="186"/>
      <c r="D115" s="187"/>
      <c r="E115" s="188"/>
      <c r="F115" s="189"/>
      <c r="G115" s="190"/>
      <c r="H115" s="190"/>
      <c r="I115" s="84"/>
      <c r="J115" s="84"/>
      <c r="K115" s="84"/>
      <c r="L115" s="84"/>
      <c r="M115" s="84"/>
      <c r="N115" s="84"/>
      <c r="O115" s="84"/>
      <c r="P115" s="84"/>
      <c r="Q115" s="84"/>
      <c r="R115" s="84"/>
      <c r="S115" s="84"/>
      <c r="T115" s="84"/>
    </row>
    <row r="116" ht="15.75" customHeight="1">
      <c r="A116" s="84" t="s">
        <v>36055</v>
      </c>
      <c r="B116" s="84">
        <v>2.0</v>
      </c>
      <c r="C116" s="186"/>
      <c r="D116" s="187"/>
      <c r="E116" s="188"/>
      <c r="F116" s="189"/>
      <c r="G116" s="190"/>
      <c r="H116" s="190"/>
      <c r="I116" s="84"/>
      <c r="J116" s="84"/>
      <c r="K116" s="84"/>
      <c r="L116" s="84"/>
      <c r="M116" s="84"/>
      <c r="N116" s="84"/>
      <c r="O116" s="84"/>
      <c r="P116" s="84"/>
      <c r="Q116" s="84"/>
      <c r="R116" s="84"/>
      <c r="S116" s="84"/>
      <c r="T116" s="84"/>
    </row>
    <row r="117" ht="15.75" customHeight="1">
      <c r="A117" s="84" t="s">
        <v>36056</v>
      </c>
      <c r="B117" s="84">
        <v>1.0</v>
      </c>
      <c r="C117" s="186"/>
      <c r="D117" s="187"/>
      <c r="E117" s="188"/>
      <c r="F117" s="189"/>
      <c r="G117" s="190"/>
      <c r="H117" s="190"/>
      <c r="I117" s="84"/>
      <c r="J117" s="84"/>
      <c r="K117" s="84"/>
      <c r="L117" s="84"/>
      <c r="M117" s="84"/>
      <c r="N117" s="84"/>
      <c r="O117" s="84"/>
      <c r="P117" s="84"/>
      <c r="Q117" s="84"/>
      <c r="R117" s="84"/>
      <c r="S117" s="84"/>
      <c r="T117" s="84"/>
    </row>
    <row r="118" ht="15.75" customHeight="1">
      <c r="A118" s="84" t="s">
        <v>36057</v>
      </c>
      <c r="B118" s="84">
        <v>1.0</v>
      </c>
      <c r="C118" s="186" t="s">
        <v>18275</v>
      </c>
      <c r="D118" s="187" t="s">
        <v>36056</v>
      </c>
      <c r="E118" s="188"/>
      <c r="F118" s="189"/>
      <c r="G118" s="190"/>
      <c r="H118" s="190"/>
      <c r="I118" s="84"/>
      <c r="J118" s="84"/>
      <c r="K118" s="84"/>
      <c r="L118" s="84"/>
      <c r="M118" s="84"/>
      <c r="N118" s="84"/>
      <c r="O118" s="84"/>
      <c r="P118" s="84"/>
      <c r="Q118" s="84"/>
      <c r="R118" s="84"/>
      <c r="S118" s="84"/>
      <c r="T118" s="84"/>
    </row>
    <row r="119" ht="15.75" customHeight="1">
      <c r="A119" s="84" t="s">
        <v>36058</v>
      </c>
      <c r="B119" s="84">
        <v>3.0</v>
      </c>
      <c r="C119" s="186"/>
      <c r="D119" s="187"/>
      <c r="E119" s="188"/>
      <c r="F119" s="189"/>
      <c r="G119" s="190"/>
      <c r="H119" s="190"/>
      <c r="I119" s="84"/>
      <c r="J119" s="84"/>
      <c r="K119" s="84"/>
      <c r="L119" s="84"/>
      <c r="M119" s="84"/>
      <c r="N119" s="84"/>
      <c r="O119" s="84"/>
      <c r="P119" s="84"/>
      <c r="Q119" s="84"/>
      <c r="R119" s="84"/>
      <c r="S119" s="84"/>
      <c r="T119" s="84"/>
    </row>
    <row r="120" ht="15.75" customHeight="1">
      <c r="A120" s="84" t="s">
        <v>36059</v>
      </c>
      <c r="B120" s="84">
        <v>1.0</v>
      </c>
      <c r="C120" s="186"/>
      <c r="D120" s="187"/>
      <c r="E120" s="188"/>
      <c r="F120" s="189"/>
      <c r="G120" s="190"/>
      <c r="H120" s="190"/>
      <c r="I120" s="84"/>
      <c r="J120" s="84"/>
      <c r="K120" s="84"/>
      <c r="L120" s="84"/>
      <c r="M120" s="84"/>
      <c r="N120" s="84"/>
      <c r="O120" s="84"/>
      <c r="P120" s="84"/>
      <c r="Q120" s="84"/>
      <c r="R120" s="84"/>
      <c r="S120" s="84"/>
      <c r="T120" s="84"/>
    </row>
    <row r="121" ht="15.75" customHeight="1">
      <c r="A121" s="84" t="s">
        <v>36060</v>
      </c>
      <c r="B121" s="84">
        <v>1.0</v>
      </c>
      <c r="C121" s="186"/>
      <c r="D121" s="187"/>
      <c r="E121" s="188"/>
      <c r="F121" s="189"/>
      <c r="G121" s="190"/>
      <c r="H121" s="190"/>
      <c r="I121" s="84"/>
      <c r="J121" s="84"/>
      <c r="K121" s="84"/>
      <c r="L121" s="84"/>
      <c r="M121" s="84"/>
      <c r="N121" s="84"/>
      <c r="O121" s="84"/>
      <c r="P121" s="84"/>
      <c r="Q121" s="84"/>
      <c r="R121" s="84"/>
      <c r="S121" s="84"/>
      <c r="T121" s="84"/>
    </row>
    <row r="122" ht="15.75" customHeight="1">
      <c r="A122" s="84" t="s">
        <v>36061</v>
      </c>
      <c r="B122" s="84">
        <v>1.0</v>
      </c>
      <c r="C122" s="186"/>
      <c r="D122" s="187"/>
      <c r="E122" s="188"/>
      <c r="F122" s="189"/>
      <c r="G122" s="190"/>
      <c r="H122" s="190"/>
      <c r="I122" s="84"/>
      <c r="J122" s="84"/>
      <c r="K122" s="84"/>
      <c r="L122" s="84"/>
      <c r="M122" s="84"/>
      <c r="N122" s="84"/>
      <c r="O122" s="84"/>
      <c r="P122" s="84"/>
      <c r="Q122" s="84"/>
      <c r="R122" s="84"/>
      <c r="S122" s="84"/>
      <c r="T122" s="84"/>
    </row>
    <row r="123" ht="15.75" customHeight="1">
      <c r="A123" s="84" t="s">
        <v>36062</v>
      </c>
      <c r="B123" s="84">
        <v>1.0</v>
      </c>
      <c r="C123" s="186"/>
      <c r="D123" s="187"/>
      <c r="E123" s="188"/>
      <c r="F123" s="189"/>
      <c r="G123" s="190"/>
      <c r="H123" s="190"/>
      <c r="I123" s="84"/>
      <c r="J123" s="84"/>
      <c r="K123" s="84"/>
      <c r="L123" s="84"/>
      <c r="M123" s="84"/>
      <c r="N123" s="84"/>
      <c r="O123" s="84"/>
      <c r="P123" s="84"/>
      <c r="Q123" s="84"/>
      <c r="R123" s="84"/>
      <c r="S123" s="84"/>
      <c r="T123" s="84"/>
    </row>
    <row r="124" ht="15.75" customHeight="1">
      <c r="A124" s="84" t="s">
        <v>36063</v>
      </c>
      <c r="B124" s="84">
        <v>1.0</v>
      </c>
      <c r="C124" s="186"/>
      <c r="D124" s="187"/>
      <c r="E124" s="188"/>
      <c r="F124" s="189"/>
      <c r="G124" s="190"/>
      <c r="H124" s="190"/>
      <c r="I124" s="84"/>
      <c r="J124" s="84"/>
      <c r="K124" s="84"/>
      <c r="L124" s="84"/>
      <c r="M124" s="84"/>
      <c r="N124" s="84"/>
      <c r="O124" s="84"/>
      <c r="P124" s="84"/>
      <c r="Q124" s="84"/>
      <c r="R124" s="84"/>
      <c r="S124" s="84"/>
      <c r="T124" s="84"/>
    </row>
    <row r="125" ht="15.75" customHeight="1">
      <c r="A125" s="84" t="s">
        <v>36064</v>
      </c>
      <c r="B125" s="84">
        <v>1.0</v>
      </c>
      <c r="C125" s="186"/>
      <c r="D125" s="187"/>
      <c r="E125" s="188"/>
      <c r="F125" s="189"/>
      <c r="G125" s="190"/>
      <c r="H125" s="190"/>
      <c r="I125" s="84"/>
      <c r="J125" s="84"/>
      <c r="K125" s="84"/>
      <c r="L125" s="84"/>
      <c r="M125" s="84"/>
      <c r="N125" s="84"/>
      <c r="O125" s="84"/>
      <c r="P125" s="84"/>
      <c r="Q125" s="84"/>
      <c r="R125" s="84"/>
      <c r="S125" s="84"/>
      <c r="T125" s="84"/>
    </row>
    <row r="126" ht="15.75" customHeight="1">
      <c r="A126" s="84" t="s">
        <v>36065</v>
      </c>
      <c r="B126" s="84">
        <v>1.0</v>
      </c>
      <c r="C126" s="186"/>
      <c r="D126" s="187"/>
      <c r="E126" s="188"/>
      <c r="F126" s="189"/>
      <c r="G126" s="190"/>
      <c r="H126" s="190"/>
      <c r="I126" s="84"/>
      <c r="J126" s="84"/>
      <c r="K126" s="84"/>
      <c r="L126" s="84"/>
      <c r="M126" s="84"/>
      <c r="N126" s="84"/>
      <c r="O126" s="84"/>
      <c r="P126" s="84"/>
      <c r="Q126" s="84"/>
      <c r="R126" s="84"/>
      <c r="S126" s="84"/>
      <c r="T126" s="84"/>
    </row>
    <row r="127" ht="15.75" customHeight="1">
      <c r="A127" s="84" t="s">
        <v>36066</v>
      </c>
      <c r="B127" s="84">
        <v>1.0</v>
      </c>
      <c r="C127" s="186"/>
      <c r="D127" s="187"/>
      <c r="E127" s="188"/>
      <c r="F127" s="189"/>
      <c r="G127" s="190"/>
      <c r="H127" s="190"/>
      <c r="I127" s="84"/>
      <c r="J127" s="84"/>
      <c r="K127" s="84"/>
      <c r="L127" s="84"/>
      <c r="M127" s="84"/>
      <c r="N127" s="84"/>
      <c r="O127" s="84"/>
      <c r="P127" s="84"/>
      <c r="Q127" s="84"/>
      <c r="R127" s="84"/>
      <c r="S127" s="84"/>
      <c r="T127" s="84"/>
    </row>
    <row r="128" ht="15.75" customHeight="1">
      <c r="A128" s="84" t="s">
        <v>36067</v>
      </c>
      <c r="B128" s="84">
        <v>1.0</v>
      </c>
      <c r="C128" s="186"/>
      <c r="D128" s="187"/>
      <c r="E128" s="188"/>
      <c r="F128" s="189"/>
      <c r="G128" s="190"/>
      <c r="H128" s="190"/>
      <c r="I128" s="84"/>
      <c r="J128" s="84"/>
      <c r="K128" s="84"/>
      <c r="L128" s="84"/>
      <c r="M128" s="84"/>
      <c r="N128" s="84"/>
      <c r="O128" s="84"/>
      <c r="P128" s="84"/>
      <c r="Q128" s="84"/>
      <c r="R128" s="84"/>
      <c r="S128" s="84"/>
      <c r="T128" s="84"/>
    </row>
    <row r="129" ht="15.75" customHeight="1">
      <c r="A129" s="84" t="s">
        <v>36068</v>
      </c>
      <c r="B129" s="84">
        <v>7.0</v>
      </c>
      <c r="C129" s="186"/>
      <c r="D129" s="187"/>
      <c r="E129" s="188"/>
      <c r="F129" s="189"/>
      <c r="G129" s="190"/>
      <c r="H129" s="190"/>
      <c r="I129" s="84"/>
      <c r="J129" s="84"/>
      <c r="K129" s="84"/>
      <c r="L129" s="84"/>
      <c r="M129" s="84"/>
      <c r="N129" s="84"/>
      <c r="O129" s="84"/>
      <c r="P129" s="84"/>
      <c r="Q129" s="84"/>
      <c r="R129" s="84"/>
      <c r="S129" s="84"/>
      <c r="T129" s="84"/>
    </row>
    <row r="130" ht="15.75" customHeight="1">
      <c r="A130" s="84" t="s">
        <v>36069</v>
      </c>
      <c r="B130" s="84">
        <v>1.0</v>
      </c>
      <c r="C130" s="186"/>
      <c r="D130" s="187"/>
      <c r="E130" s="188"/>
      <c r="F130" s="189"/>
      <c r="G130" s="190"/>
      <c r="H130" s="190"/>
      <c r="I130" s="84"/>
      <c r="J130" s="84"/>
      <c r="K130" s="84"/>
      <c r="L130" s="84"/>
      <c r="M130" s="84"/>
      <c r="N130" s="84"/>
      <c r="O130" s="84"/>
      <c r="P130" s="84"/>
      <c r="Q130" s="84"/>
      <c r="R130" s="84"/>
      <c r="S130" s="84"/>
      <c r="T130" s="84"/>
    </row>
    <row r="131" ht="15.75" customHeight="1">
      <c r="A131" s="84" t="s">
        <v>36070</v>
      </c>
      <c r="B131" s="84">
        <v>1.0</v>
      </c>
      <c r="C131" s="186"/>
      <c r="D131" s="187"/>
      <c r="E131" s="188"/>
      <c r="F131" s="189"/>
      <c r="G131" s="190"/>
      <c r="H131" s="190"/>
      <c r="I131" s="84"/>
      <c r="J131" s="84"/>
      <c r="K131" s="84"/>
      <c r="L131" s="84"/>
      <c r="M131" s="84"/>
      <c r="N131" s="84"/>
      <c r="O131" s="84"/>
      <c r="P131" s="84"/>
      <c r="Q131" s="84"/>
      <c r="R131" s="84"/>
      <c r="S131" s="84"/>
      <c r="T131" s="84"/>
    </row>
    <row r="132" ht="15.75" customHeight="1">
      <c r="A132" s="84" t="s">
        <v>36071</v>
      </c>
      <c r="B132" s="84">
        <v>1.0</v>
      </c>
      <c r="C132" s="186"/>
      <c r="D132" s="187"/>
      <c r="E132" s="188"/>
      <c r="F132" s="189"/>
      <c r="G132" s="190"/>
      <c r="H132" s="190"/>
      <c r="I132" s="84"/>
      <c r="J132" s="84"/>
      <c r="K132" s="84"/>
      <c r="L132" s="84"/>
      <c r="M132" s="84"/>
      <c r="N132" s="84"/>
      <c r="O132" s="84"/>
      <c r="P132" s="84"/>
      <c r="Q132" s="84"/>
      <c r="R132" s="84"/>
      <c r="S132" s="84"/>
      <c r="T132" s="84"/>
    </row>
    <row r="133" ht="15.75" customHeight="1">
      <c r="A133" s="84" t="s">
        <v>36072</v>
      </c>
      <c r="B133" s="84">
        <v>1.0</v>
      </c>
      <c r="C133" s="186"/>
      <c r="D133" s="187"/>
      <c r="E133" s="188"/>
      <c r="F133" s="189"/>
      <c r="G133" s="190"/>
      <c r="H133" s="190"/>
      <c r="I133" s="84"/>
      <c r="J133" s="84"/>
      <c r="K133" s="84"/>
      <c r="L133" s="84"/>
      <c r="M133" s="84"/>
      <c r="N133" s="84"/>
      <c r="O133" s="84"/>
      <c r="P133" s="84"/>
      <c r="Q133" s="84"/>
      <c r="R133" s="84"/>
      <c r="S133" s="84"/>
      <c r="T133" s="84"/>
    </row>
    <row r="134" ht="15.75" customHeight="1">
      <c r="A134" s="84" t="s">
        <v>36073</v>
      </c>
      <c r="B134" s="84">
        <v>1.0</v>
      </c>
      <c r="C134" s="186"/>
      <c r="D134" s="187"/>
      <c r="E134" s="188"/>
      <c r="F134" s="189"/>
      <c r="G134" s="190"/>
      <c r="H134" s="190"/>
      <c r="I134" s="84"/>
      <c r="J134" s="84"/>
      <c r="K134" s="84"/>
      <c r="L134" s="84"/>
      <c r="M134" s="84"/>
      <c r="N134" s="84"/>
      <c r="O134" s="84"/>
      <c r="P134" s="84"/>
      <c r="Q134" s="84"/>
      <c r="R134" s="84"/>
      <c r="S134" s="84"/>
      <c r="T134" s="84"/>
    </row>
    <row r="135" ht="15.75" customHeight="1">
      <c r="A135" s="84" t="s">
        <v>36074</v>
      </c>
      <c r="B135" s="84">
        <v>1.0</v>
      </c>
      <c r="C135" s="186"/>
      <c r="D135" s="187"/>
      <c r="E135" s="188"/>
      <c r="F135" s="189"/>
      <c r="G135" s="190"/>
      <c r="H135" s="190"/>
      <c r="I135" s="84"/>
      <c r="J135" s="84"/>
      <c r="K135" s="84"/>
      <c r="L135" s="84"/>
      <c r="M135" s="84"/>
      <c r="N135" s="84"/>
      <c r="O135" s="84"/>
      <c r="P135" s="84"/>
      <c r="Q135" s="84"/>
      <c r="R135" s="84"/>
      <c r="S135" s="84"/>
      <c r="T135" s="84"/>
    </row>
    <row r="136" ht="15.75" customHeight="1">
      <c r="A136" s="84" t="s">
        <v>36075</v>
      </c>
      <c r="B136" s="84">
        <v>1.0</v>
      </c>
      <c r="C136" s="186"/>
      <c r="D136" s="187"/>
      <c r="E136" s="188"/>
      <c r="F136" s="189"/>
      <c r="G136" s="190"/>
      <c r="H136" s="190"/>
      <c r="I136" s="84"/>
      <c r="J136" s="84"/>
      <c r="K136" s="84"/>
      <c r="L136" s="84"/>
      <c r="M136" s="84"/>
      <c r="N136" s="84"/>
      <c r="O136" s="84"/>
      <c r="P136" s="84"/>
      <c r="Q136" s="84"/>
      <c r="R136" s="84"/>
      <c r="S136" s="84"/>
      <c r="T136" s="84"/>
    </row>
    <row r="137" ht="15.75" customHeight="1">
      <c r="A137" s="84" t="s">
        <v>36076</v>
      </c>
      <c r="B137" s="84">
        <v>8.0</v>
      </c>
      <c r="C137" s="186"/>
      <c r="D137" s="187"/>
      <c r="E137" s="188"/>
      <c r="F137" s="189"/>
      <c r="G137" s="190"/>
      <c r="H137" s="190"/>
      <c r="I137" s="84"/>
      <c r="J137" s="84"/>
      <c r="K137" s="84"/>
      <c r="L137" s="84"/>
      <c r="M137" s="84"/>
      <c r="N137" s="84"/>
      <c r="O137" s="84"/>
      <c r="P137" s="84"/>
      <c r="Q137" s="84"/>
      <c r="R137" s="84"/>
      <c r="S137" s="84"/>
      <c r="T137" s="84"/>
    </row>
    <row r="138" ht="15.75" customHeight="1">
      <c r="A138" s="84" t="s">
        <v>36077</v>
      </c>
      <c r="B138" s="84">
        <v>1.0</v>
      </c>
      <c r="C138" s="186"/>
      <c r="D138" s="187"/>
      <c r="E138" s="188"/>
      <c r="F138" s="189"/>
      <c r="G138" s="190"/>
      <c r="H138" s="190"/>
      <c r="I138" s="84"/>
      <c r="J138" s="84"/>
      <c r="K138" s="84"/>
      <c r="L138" s="84"/>
      <c r="M138" s="84"/>
      <c r="N138" s="84"/>
      <c r="O138" s="84"/>
      <c r="P138" s="84"/>
      <c r="Q138" s="84"/>
      <c r="R138" s="84"/>
      <c r="S138" s="84"/>
      <c r="T138" s="84"/>
    </row>
    <row r="139" ht="15.75" customHeight="1">
      <c r="A139" s="84" t="s">
        <v>36078</v>
      </c>
      <c r="B139" s="84">
        <v>1.0</v>
      </c>
      <c r="C139" s="186"/>
      <c r="D139" s="187"/>
      <c r="E139" s="188"/>
      <c r="F139" s="189"/>
      <c r="G139" s="190"/>
      <c r="H139" s="190"/>
      <c r="I139" s="84"/>
      <c r="J139" s="84"/>
      <c r="K139" s="84"/>
      <c r="L139" s="84"/>
      <c r="M139" s="84"/>
      <c r="N139" s="84"/>
      <c r="O139" s="84"/>
      <c r="P139" s="84"/>
      <c r="Q139" s="84"/>
      <c r="R139" s="84"/>
      <c r="S139" s="84"/>
      <c r="T139" s="84"/>
    </row>
    <row r="140" ht="15.75" customHeight="1">
      <c r="A140" s="84" t="s">
        <v>36079</v>
      </c>
      <c r="B140" s="84">
        <v>1.0</v>
      </c>
      <c r="C140" s="186"/>
      <c r="D140" s="187"/>
      <c r="E140" s="188"/>
      <c r="F140" s="189"/>
      <c r="G140" s="190"/>
      <c r="H140" s="190"/>
      <c r="I140" s="84"/>
      <c r="J140" s="84"/>
      <c r="K140" s="84"/>
      <c r="L140" s="84"/>
      <c r="M140" s="84"/>
      <c r="N140" s="84"/>
      <c r="O140" s="84"/>
      <c r="P140" s="84"/>
      <c r="Q140" s="84"/>
      <c r="R140" s="84"/>
      <c r="S140" s="84"/>
      <c r="T140" s="84"/>
    </row>
    <row r="141" ht="15.75" customHeight="1">
      <c r="A141" s="84" t="s">
        <v>36080</v>
      </c>
      <c r="B141" s="84">
        <v>1.0</v>
      </c>
      <c r="C141" s="186"/>
      <c r="D141" s="187"/>
      <c r="E141" s="188"/>
      <c r="F141" s="189"/>
      <c r="G141" s="190"/>
      <c r="H141" s="190"/>
      <c r="I141" s="84"/>
      <c r="J141" s="84"/>
      <c r="K141" s="84"/>
      <c r="L141" s="84"/>
      <c r="M141" s="84"/>
      <c r="N141" s="84"/>
      <c r="O141" s="84"/>
      <c r="P141" s="84"/>
      <c r="Q141" s="84"/>
      <c r="R141" s="84"/>
      <c r="S141" s="84"/>
      <c r="T141" s="84"/>
    </row>
    <row r="142" ht="15.75" customHeight="1">
      <c r="A142" s="84" t="s">
        <v>36081</v>
      </c>
      <c r="B142" s="84">
        <v>1.0</v>
      </c>
      <c r="C142" s="186"/>
      <c r="D142" s="187"/>
      <c r="E142" s="188"/>
      <c r="F142" s="189"/>
      <c r="G142" s="190"/>
      <c r="H142" s="190"/>
      <c r="I142" s="84"/>
      <c r="J142" s="84"/>
      <c r="K142" s="84"/>
      <c r="L142" s="84"/>
      <c r="M142" s="84"/>
      <c r="N142" s="84"/>
      <c r="O142" s="84"/>
      <c r="P142" s="84"/>
      <c r="Q142" s="84"/>
      <c r="R142" s="84"/>
      <c r="S142" s="84"/>
      <c r="T142" s="84"/>
    </row>
    <row r="143" ht="15.75" customHeight="1">
      <c r="A143" s="84" t="s">
        <v>36082</v>
      </c>
      <c r="B143" s="84">
        <v>1.0</v>
      </c>
      <c r="C143" s="186"/>
      <c r="D143" s="187"/>
      <c r="E143" s="188"/>
      <c r="F143" s="189"/>
      <c r="G143" s="190"/>
      <c r="H143" s="190"/>
      <c r="I143" s="84"/>
      <c r="J143" s="84"/>
      <c r="K143" s="84"/>
      <c r="L143" s="84"/>
      <c r="M143" s="84"/>
      <c r="N143" s="84"/>
      <c r="O143" s="84"/>
      <c r="P143" s="84"/>
      <c r="Q143" s="84"/>
      <c r="R143" s="84"/>
      <c r="S143" s="84"/>
      <c r="T143" s="84"/>
    </row>
    <row r="144" ht="15.75" customHeight="1">
      <c r="A144" s="84" t="s">
        <v>36083</v>
      </c>
      <c r="B144" s="84">
        <v>1.0</v>
      </c>
      <c r="C144" s="186"/>
      <c r="D144" s="187"/>
      <c r="E144" s="188"/>
      <c r="F144" s="189"/>
      <c r="G144" s="190"/>
      <c r="H144" s="190"/>
      <c r="I144" s="84"/>
      <c r="J144" s="84"/>
      <c r="K144" s="84"/>
      <c r="L144" s="84"/>
      <c r="M144" s="84"/>
      <c r="N144" s="84"/>
      <c r="O144" s="84"/>
      <c r="P144" s="84"/>
      <c r="Q144" s="84"/>
      <c r="R144" s="84"/>
      <c r="S144" s="84"/>
      <c r="T144" s="84"/>
    </row>
    <row r="145" ht="15.75" customHeight="1">
      <c r="A145" s="84" t="s">
        <v>36084</v>
      </c>
      <c r="B145" s="84">
        <v>1.0</v>
      </c>
      <c r="C145" s="186"/>
      <c r="D145" s="187"/>
      <c r="E145" s="188"/>
      <c r="F145" s="189"/>
      <c r="G145" s="190"/>
      <c r="H145" s="190"/>
      <c r="I145" s="84"/>
      <c r="J145" s="84"/>
      <c r="K145" s="84"/>
      <c r="L145" s="84"/>
      <c r="M145" s="84"/>
      <c r="N145" s="84"/>
      <c r="O145" s="84"/>
      <c r="P145" s="84"/>
      <c r="Q145" s="84"/>
      <c r="R145" s="84"/>
      <c r="S145" s="84"/>
      <c r="T145" s="84"/>
    </row>
    <row r="146" ht="15.75" customHeight="1">
      <c r="A146" s="84" t="s">
        <v>36085</v>
      </c>
      <c r="B146" s="84">
        <v>1.0</v>
      </c>
      <c r="C146" s="186"/>
      <c r="D146" s="187"/>
      <c r="E146" s="188"/>
      <c r="F146" s="189"/>
      <c r="G146" s="190"/>
      <c r="H146" s="190"/>
      <c r="I146" s="84"/>
      <c r="J146" s="84"/>
      <c r="K146" s="84"/>
      <c r="L146" s="84"/>
      <c r="M146" s="84"/>
      <c r="N146" s="84"/>
      <c r="O146" s="84"/>
      <c r="P146" s="84"/>
      <c r="Q146" s="84"/>
      <c r="R146" s="84"/>
      <c r="S146" s="84"/>
      <c r="T146" s="84"/>
    </row>
    <row r="147" ht="15.75" customHeight="1">
      <c r="A147" s="84" t="s">
        <v>36086</v>
      </c>
      <c r="B147" s="84">
        <v>1.0</v>
      </c>
      <c r="C147" s="186"/>
      <c r="D147" s="187"/>
      <c r="E147" s="188"/>
      <c r="F147" s="189"/>
      <c r="G147" s="190"/>
      <c r="H147" s="190"/>
      <c r="I147" s="84"/>
      <c r="J147" s="84"/>
      <c r="K147" s="84"/>
      <c r="L147" s="84"/>
      <c r="M147" s="84"/>
      <c r="N147" s="84"/>
      <c r="O147" s="84"/>
      <c r="P147" s="84"/>
      <c r="Q147" s="84"/>
      <c r="R147" s="84"/>
      <c r="S147" s="84"/>
      <c r="T147" s="84"/>
    </row>
    <row r="148" ht="15.75" customHeight="1">
      <c r="A148" s="84" t="s">
        <v>36087</v>
      </c>
      <c r="B148" s="84">
        <v>5.0</v>
      </c>
      <c r="C148" s="186"/>
      <c r="D148" s="187"/>
      <c r="E148" s="188"/>
      <c r="F148" s="189"/>
      <c r="G148" s="190"/>
      <c r="H148" s="190"/>
      <c r="I148" s="84"/>
      <c r="J148" s="84"/>
      <c r="K148" s="84"/>
      <c r="L148" s="84"/>
      <c r="M148" s="84"/>
      <c r="N148" s="84"/>
      <c r="O148" s="84"/>
      <c r="P148" s="84"/>
      <c r="Q148" s="84"/>
      <c r="R148" s="84"/>
      <c r="S148" s="84"/>
      <c r="T148" s="84"/>
    </row>
    <row r="149" ht="15.75" customHeight="1">
      <c r="A149" s="84" t="s">
        <v>36088</v>
      </c>
      <c r="B149" s="84">
        <v>1.0</v>
      </c>
      <c r="C149" s="186"/>
      <c r="D149" s="187"/>
      <c r="E149" s="188"/>
      <c r="F149" s="189"/>
      <c r="G149" s="190"/>
      <c r="H149" s="190"/>
      <c r="I149" s="84"/>
      <c r="J149" s="84"/>
      <c r="K149" s="84"/>
      <c r="L149" s="84"/>
      <c r="M149" s="84"/>
      <c r="N149" s="84"/>
      <c r="O149" s="84"/>
      <c r="P149" s="84"/>
      <c r="Q149" s="84"/>
      <c r="R149" s="84"/>
      <c r="S149" s="84"/>
      <c r="T149" s="84"/>
    </row>
    <row r="150" ht="15.75" customHeight="1">
      <c r="A150" s="84" t="s">
        <v>36089</v>
      </c>
      <c r="B150" s="84">
        <v>1.0</v>
      </c>
      <c r="C150" s="186"/>
      <c r="D150" s="187"/>
      <c r="E150" s="188"/>
      <c r="F150" s="189"/>
      <c r="G150" s="190"/>
      <c r="H150" s="190"/>
      <c r="I150" s="84"/>
      <c r="J150" s="84"/>
      <c r="K150" s="84"/>
      <c r="L150" s="84"/>
      <c r="M150" s="84"/>
      <c r="N150" s="84"/>
      <c r="O150" s="84"/>
      <c r="P150" s="84"/>
      <c r="Q150" s="84"/>
      <c r="R150" s="84"/>
      <c r="S150" s="84"/>
      <c r="T150" s="84"/>
    </row>
    <row r="151" ht="15.75" customHeight="1">
      <c r="A151" s="84" t="s">
        <v>36090</v>
      </c>
      <c r="B151" s="84">
        <v>2.0</v>
      </c>
      <c r="C151" s="186"/>
      <c r="D151" s="187"/>
      <c r="E151" s="188"/>
      <c r="F151" s="189"/>
      <c r="G151" s="190"/>
      <c r="H151" s="190"/>
      <c r="I151" s="84"/>
      <c r="J151" s="84"/>
      <c r="K151" s="84"/>
      <c r="L151" s="84"/>
      <c r="M151" s="84"/>
      <c r="N151" s="84"/>
      <c r="O151" s="84"/>
      <c r="P151" s="84"/>
      <c r="Q151" s="84"/>
      <c r="R151" s="84"/>
      <c r="S151" s="84"/>
      <c r="T151" s="84"/>
    </row>
    <row r="152" ht="15.75" customHeight="1">
      <c r="A152" s="84" t="s">
        <v>36091</v>
      </c>
      <c r="B152" s="84">
        <v>1.0</v>
      </c>
      <c r="C152" s="186"/>
      <c r="D152" s="187"/>
      <c r="E152" s="188"/>
      <c r="F152" s="189"/>
      <c r="G152" s="190"/>
      <c r="H152" s="190"/>
      <c r="I152" s="84"/>
      <c r="J152" s="84"/>
      <c r="K152" s="84"/>
      <c r="L152" s="84"/>
      <c r="M152" s="84"/>
      <c r="N152" s="84"/>
      <c r="O152" s="84"/>
      <c r="P152" s="84"/>
      <c r="Q152" s="84"/>
      <c r="R152" s="84"/>
      <c r="S152" s="84"/>
      <c r="T152" s="84"/>
    </row>
    <row r="153" ht="15.75" customHeight="1">
      <c r="A153" s="84" t="s">
        <v>36092</v>
      </c>
      <c r="B153" s="84">
        <v>1.0</v>
      </c>
      <c r="C153" s="186"/>
      <c r="D153" s="187"/>
      <c r="E153" s="188"/>
      <c r="F153" s="189"/>
      <c r="G153" s="190"/>
      <c r="H153" s="190"/>
      <c r="I153" s="84"/>
      <c r="J153" s="84"/>
      <c r="K153" s="84"/>
      <c r="L153" s="84"/>
      <c r="M153" s="84"/>
      <c r="N153" s="84"/>
      <c r="O153" s="84"/>
      <c r="P153" s="84"/>
      <c r="Q153" s="84"/>
      <c r="R153" s="84"/>
      <c r="S153" s="84"/>
      <c r="T153" s="84"/>
    </row>
    <row r="154" ht="15.75" customHeight="1">
      <c r="A154" s="84" t="s">
        <v>36093</v>
      </c>
      <c r="B154" s="84">
        <v>1.0</v>
      </c>
      <c r="C154" s="186"/>
      <c r="D154" s="187"/>
      <c r="E154" s="188"/>
      <c r="F154" s="189"/>
      <c r="G154" s="190"/>
      <c r="H154" s="190"/>
      <c r="I154" s="84"/>
      <c r="J154" s="84"/>
      <c r="K154" s="84"/>
      <c r="L154" s="84"/>
      <c r="M154" s="84"/>
      <c r="N154" s="84"/>
      <c r="O154" s="84"/>
      <c r="P154" s="84"/>
      <c r="Q154" s="84"/>
      <c r="R154" s="84"/>
      <c r="S154" s="84"/>
      <c r="T154" s="84"/>
    </row>
    <row r="155" ht="15.75" customHeight="1">
      <c r="A155" s="84" t="s">
        <v>36094</v>
      </c>
      <c r="B155" s="84">
        <v>3.0</v>
      </c>
      <c r="C155" s="186"/>
      <c r="D155" s="187"/>
      <c r="E155" s="188"/>
      <c r="F155" s="189"/>
      <c r="G155" s="190"/>
      <c r="H155" s="190"/>
      <c r="I155" s="84"/>
      <c r="J155" s="84"/>
      <c r="K155" s="84"/>
      <c r="L155" s="84"/>
      <c r="M155" s="84"/>
      <c r="N155" s="84"/>
      <c r="O155" s="84"/>
      <c r="P155" s="84"/>
      <c r="Q155" s="84"/>
      <c r="R155" s="84"/>
      <c r="S155" s="84"/>
      <c r="T155" s="84"/>
    </row>
    <row r="156" ht="15.75" customHeight="1">
      <c r="A156" s="84" t="s">
        <v>36095</v>
      </c>
      <c r="B156" s="84">
        <v>1.0</v>
      </c>
      <c r="C156" s="186"/>
      <c r="D156" s="187"/>
      <c r="E156" s="188"/>
      <c r="F156" s="189"/>
      <c r="G156" s="190"/>
      <c r="H156" s="190"/>
      <c r="I156" s="84"/>
      <c r="J156" s="84"/>
      <c r="K156" s="84"/>
      <c r="L156" s="84"/>
      <c r="M156" s="84"/>
      <c r="N156" s="84"/>
      <c r="O156" s="84"/>
      <c r="P156" s="84"/>
      <c r="Q156" s="84"/>
      <c r="R156" s="84"/>
      <c r="S156" s="84"/>
      <c r="T156" s="84"/>
    </row>
    <row r="157" ht="15.75" customHeight="1">
      <c r="A157" s="84" t="s">
        <v>36096</v>
      </c>
      <c r="B157" s="84">
        <v>1.0</v>
      </c>
      <c r="C157" s="186"/>
      <c r="D157" s="187"/>
      <c r="E157" s="188"/>
      <c r="F157" s="189"/>
      <c r="G157" s="190"/>
      <c r="H157" s="190"/>
      <c r="I157" s="84"/>
      <c r="J157" s="84"/>
      <c r="K157" s="84"/>
      <c r="L157" s="84"/>
      <c r="M157" s="84"/>
      <c r="N157" s="84"/>
      <c r="O157" s="84"/>
      <c r="P157" s="84"/>
      <c r="Q157" s="84"/>
      <c r="R157" s="84"/>
      <c r="S157" s="84"/>
      <c r="T157" s="84"/>
    </row>
    <row r="158" ht="15.75" customHeight="1">
      <c r="A158" s="84" t="s">
        <v>36097</v>
      </c>
      <c r="B158" s="84">
        <v>1.0</v>
      </c>
      <c r="C158" s="186"/>
      <c r="D158" s="187"/>
      <c r="E158" s="188"/>
      <c r="F158" s="189"/>
      <c r="G158" s="190"/>
      <c r="H158" s="190"/>
      <c r="I158" s="84"/>
      <c r="J158" s="84"/>
      <c r="K158" s="84"/>
      <c r="L158" s="84"/>
      <c r="M158" s="84"/>
      <c r="N158" s="84"/>
      <c r="O158" s="84"/>
      <c r="P158" s="84"/>
      <c r="Q158" s="84"/>
      <c r="R158" s="84"/>
      <c r="S158" s="84"/>
      <c r="T158" s="84"/>
    </row>
    <row r="159" ht="15.75" customHeight="1">
      <c r="A159" s="84" t="s">
        <v>36098</v>
      </c>
      <c r="B159" s="84">
        <v>1.0</v>
      </c>
      <c r="C159" s="186"/>
      <c r="D159" s="187"/>
      <c r="E159" s="188"/>
      <c r="F159" s="189"/>
      <c r="G159" s="190"/>
      <c r="H159" s="190"/>
      <c r="I159" s="84"/>
      <c r="J159" s="84"/>
      <c r="K159" s="84"/>
      <c r="L159" s="84"/>
      <c r="M159" s="84"/>
      <c r="N159" s="84"/>
      <c r="O159" s="84"/>
      <c r="P159" s="84"/>
      <c r="Q159" s="84"/>
      <c r="R159" s="84"/>
      <c r="S159" s="84"/>
      <c r="T159" s="84"/>
    </row>
    <row r="160" ht="15.75" customHeight="1">
      <c r="A160" s="84" t="s">
        <v>36099</v>
      </c>
      <c r="B160" s="84">
        <v>1.0</v>
      </c>
      <c r="C160" s="186"/>
      <c r="D160" s="187"/>
      <c r="E160" s="188"/>
      <c r="F160" s="189"/>
      <c r="G160" s="190"/>
      <c r="H160" s="190"/>
      <c r="I160" s="84"/>
      <c r="J160" s="84"/>
      <c r="K160" s="84"/>
      <c r="L160" s="84"/>
      <c r="M160" s="84"/>
      <c r="N160" s="84"/>
      <c r="O160" s="84"/>
      <c r="P160" s="84"/>
      <c r="Q160" s="84"/>
      <c r="R160" s="84"/>
      <c r="S160" s="84"/>
      <c r="T160" s="84"/>
    </row>
    <row r="161" ht="15.75" customHeight="1">
      <c r="A161" s="84" t="s">
        <v>36100</v>
      </c>
      <c r="B161" s="84">
        <v>8.0</v>
      </c>
      <c r="C161" s="186"/>
      <c r="D161" s="187"/>
      <c r="E161" s="188"/>
      <c r="F161" s="189"/>
      <c r="G161" s="190"/>
      <c r="H161" s="190"/>
      <c r="I161" s="84"/>
      <c r="J161" s="84"/>
      <c r="K161" s="84"/>
      <c r="L161" s="84"/>
      <c r="M161" s="84"/>
      <c r="N161" s="84"/>
      <c r="O161" s="84"/>
      <c r="P161" s="84"/>
      <c r="Q161" s="84"/>
      <c r="R161" s="84"/>
      <c r="S161" s="84"/>
      <c r="T161" s="84"/>
    </row>
    <row r="162" ht="15.75" customHeight="1">
      <c r="A162" s="84" t="s">
        <v>36101</v>
      </c>
      <c r="B162" s="84">
        <v>1.0</v>
      </c>
      <c r="C162" s="186"/>
      <c r="D162" s="187"/>
      <c r="E162" s="188"/>
      <c r="F162" s="189"/>
      <c r="G162" s="190"/>
      <c r="H162" s="190"/>
      <c r="I162" s="84"/>
      <c r="J162" s="84"/>
      <c r="K162" s="84"/>
      <c r="L162" s="84"/>
      <c r="M162" s="84"/>
      <c r="N162" s="84"/>
      <c r="O162" s="84"/>
      <c r="P162" s="84"/>
      <c r="Q162" s="84"/>
      <c r="R162" s="84"/>
      <c r="S162" s="84"/>
      <c r="T162" s="84"/>
    </row>
    <row r="163" ht="15.75" customHeight="1">
      <c r="A163" s="84" t="s">
        <v>36102</v>
      </c>
      <c r="B163" s="84">
        <v>1.0</v>
      </c>
      <c r="C163" s="186"/>
      <c r="D163" s="187"/>
      <c r="E163" s="188"/>
      <c r="F163" s="189"/>
      <c r="G163" s="190"/>
      <c r="H163" s="190"/>
      <c r="I163" s="84"/>
      <c r="J163" s="84"/>
      <c r="K163" s="84"/>
      <c r="L163" s="84"/>
      <c r="M163" s="84"/>
      <c r="N163" s="84"/>
      <c r="O163" s="84"/>
      <c r="P163" s="84"/>
      <c r="Q163" s="84"/>
      <c r="R163" s="84"/>
      <c r="S163" s="84"/>
      <c r="T163" s="84"/>
    </row>
    <row r="164" ht="15.75" customHeight="1">
      <c r="A164" s="84" t="s">
        <v>36103</v>
      </c>
      <c r="B164" s="84">
        <v>1.0</v>
      </c>
      <c r="C164" s="186"/>
      <c r="D164" s="187"/>
      <c r="E164" s="188"/>
      <c r="F164" s="189"/>
      <c r="G164" s="190"/>
      <c r="H164" s="190"/>
      <c r="I164" s="84"/>
      <c r="J164" s="84"/>
      <c r="K164" s="84"/>
      <c r="L164" s="84"/>
      <c r="M164" s="84"/>
      <c r="N164" s="84"/>
      <c r="O164" s="84"/>
      <c r="P164" s="84"/>
      <c r="Q164" s="84"/>
      <c r="R164" s="84"/>
      <c r="S164" s="84"/>
      <c r="T164" s="84"/>
    </row>
    <row r="165" ht="15.75" customHeight="1">
      <c r="A165" s="84" t="s">
        <v>36104</v>
      </c>
      <c r="B165" s="84">
        <v>1.0</v>
      </c>
      <c r="C165" s="186"/>
      <c r="D165" s="187"/>
      <c r="E165" s="188"/>
      <c r="F165" s="189"/>
      <c r="G165" s="190"/>
      <c r="H165" s="190"/>
      <c r="I165" s="84"/>
      <c r="J165" s="84"/>
      <c r="K165" s="84"/>
      <c r="L165" s="84"/>
      <c r="M165" s="84"/>
      <c r="N165" s="84"/>
      <c r="O165" s="84"/>
      <c r="P165" s="84"/>
      <c r="Q165" s="84"/>
      <c r="R165" s="84"/>
      <c r="S165" s="84"/>
      <c r="T165" s="84"/>
    </row>
    <row r="166" ht="15.75" customHeight="1">
      <c r="A166" s="84" t="s">
        <v>36105</v>
      </c>
      <c r="B166" s="84">
        <v>1.0</v>
      </c>
      <c r="C166" s="186"/>
      <c r="D166" s="187"/>
      <c r="E166" s="188"/>
      <c r="F166" s="189"/>
      <c r="G166" s="190"/>
      <c r="H166" s="190"/>
      <c r="I166" s="84" t="s">
        <v>36106</v>
      </c>
      <c r="J166" s="84"/>
      <c r="K166" s="84"/>
      <c r="L166" s="84"/>
      <c r="M166" s="84"/>
      <c r="N166" s="84"/>
      <c r="O166" s="84"/>
      <c r="P166" s="84"/>
      <c r="Q166" s="84"/>
      <c r="R166" s="84"/>
      <c r="S166" s="84"/>
      <c r="T166" s="84"/>
    </row>
    <row r="167" ht="15.75" customHeight="1">
      <c r="A167" s="84" t="s">
        <v>36107</v>
      </c>
      <c r="B167" s="84">
        <v>1.0</v>
      </c>
      <c r="C167" s="186"/>
      <c r="D167" s="187"/>
      <c r="E167" s="188"/>
      <c r="F167" s="189"/>
      <c r="G167" s="190"/>
      <c r="H167" s="190"/>
      <c r="I167" s="84" t="s">
        <v>36106</v>
      </c>
      <c r="J167" s="84"/>
      <c r="K167" s="84"/>
      <c r="L167" s="84"/>
      <c r="M167" s="84"/>
      <c r="N167" s="84"/>
      <c r="O167" s="84"/>
      <c r="P167" s="84"/>
      <c r="Q167" s="84"/>
      <c r="R167" s="84"/>
      <c r="S167" s="84"/>
      <c r="T167" s="84"/>
    </row>
    <row r="168" ht="15.75" customHeight="1">
      <c r="A168" s="84" t="s">
        <v>36108</v>
      </c>
      <c r="B168" s="84">
        <v>1.0</v>
      </c>
      <c r="C168" s="186"/>
      <c r="D168" s="187"/>
      <c r="E168" s="188"/>
      <c r="F168" s="189"/>
      <c r="G168" s="190"/>
      <c r="H168" s="190"/>
      <c r="I168" s="84"/>
      <c r="J168" s="84"/>
      <c r="K168" s="84"/>
      <c r="L168" s="84"/>
      <c r="M168" s="84"/>
      <c r="N168" s="84"/>
      <c r="O168" s="84"/>
      <c r="P168" s="84"/>
      <c r="Q168" s="84"/>
      <c r="R168" s="84"/>
      <c r="S168" s="84"/>
      <c r="T168" s="84"/>
    </row>
    <row r="169" ht="15.75" customHeight="1">
      <c r="A169" s="84" t="s">
        <v>36109</v>
      </c>
      <c r="B169" s="84">
        <v>1.0</v>
      </c>
      <c r="C169" s="186"/>
      <c r="D169" s="187"/>
      <c r="E169" s="188"/>
      <c r="F169" s="189"/>
      <c r="G169" s="190"/>
      <c r="H169" s="190"/>
      <c r="I169" s="84"/>
      <c r="J169" s="84"/>
      <c r="K169" s="84"/>
      <c r="L169" s="84"/>
      <c r="M169" s="84"/>
      <c r="N169" s="84"/>
      <c r="O169" s="84"/>
      <c r="P169" s="84"/>
      <c r="Q169" s="84"/>
      <c r="R169" s="84"/>
      <c r="S169" s="84"/>
      <c r="T169" s="84"/>
    </row>
    <row r="170" ht="15.75" customHeight="1">
      <c r="A170" s="84" t="s">
        <v>36110</v>
      </c>
      <c r="B170" s="84">
        <v>1.0</v>
      </c>
      <c r="C170" s="186"/>
      <c r="D170" s="187"/>
      <c r="E170" s="188"/>
      <c r="F170" s="189"/>
      <c r="G170" s="190"/>
      <c r="H170" s="190"/>
      <c r="I170" s="84"/>
      <c r="J170" s="84"/>
      <c r="K170" s="84"/>
      <c r="L170" s="84"/>
      <c r="M170" s="84"/>
      <c r="N170" s="84"/>
      <c r="O170" s="84"/>
      <c r="P170" s="84"/>
      <c r="Q170" s="84"/>
      <c r="R170" s="84"/>
      <c r="S170" s="84"/>
      <c r="T170" s="84"/>
    </row>
    <row r="171" ht="15.75" customHeight="1">
      <c r="A171" s="84" t="s">
        <v>36111</v>
      </c>
      <c r="B171" s="84">
        <v>1.0</v>
      </c>
      <c r="C171" s="186"/>
      <c r="D171" s="187"/>
      <c r="E171" s="188"/>
      <c r="F171" s="189"/>
      <c r="G171" s="190"/>
      <c r="H171" s="190"/>
      <c r="I171" s="84"/>
      <c r="J171" s="84"/>
      <c r="K171" s="84"/>
      <c r="L171" s="84"/>
      <c r="M171" s="84"/>
      <c r="N171" s="84"/>
      <c r="O171" s="84"/>
      <c r="P171" s="84"/>
      <c r="Q171" s="84"/>
      <c r="R171" s="84"/>
      <c r="S171" s="84"/>
      <c r="T171" s="84"/>
    </row>
    <row r="172" ht="15.75" customHeight="1">
      <c r="A172" s="84" t="s">
        <v>36112</v>
      </c>
      <c r="B172" s="84">
        <v>1.0</v>
      </c>
      <c r="C172" s="186"/>
      <c r="D172" s="187"/>
      <c r="E172" s="188"/>
      <c r="F172" s="189"/>
      <c r="G172" s="190"/>
      <c r="H172" s="190"/>
      <c r="I172" s="84"/>
      <c r="J172" s="84"/>
      <c r="K172" s="84"/>
      <c r="L172" s="84"/>
      <c r="M172" s="84"/>
      <c r="N172" s="84"/>
      <c r="O172" s="84"/>
      <c r="P172" s="84"/>
      <c r="Q172" s="84"/>
      <c r="R172" s="84"/>
      <c r="S172" s="84"/>
      <c r="T172" s="84"/>
    </row>
    <row r="173" ht="15.75" customHeight="1">
      <c r="A173" s="84" t="s">
        <v>36113</v>
      </c>
      <c r="B173" s="84">
        <v>1.0</v>
      </c>
      <c r="C173" s="186"/>
      <c r="D173" s="187"/>
      <c r="E173" s="188"/>
      <c r="F173" s="189"/>
      <c r="G173" s="190"/>
      <c r="H173" s="190"/>
      <c r="I173" s="84"/>
      <c r="J173" s="84"/>
      <c r="K173" s="84"/>
      <c r="L173" s="84"/>
      <c r="M173" s="84"/>
      <c r="N173" s="84"/>
      <c r="O173" s="84"/>
      <c r="P173" s="84"/>
      <c r="Q173" s="84"/>
      <c r="R173" s="84"/>
      <c r="S173" s="84"/>
      <c r="T173" s="84"/>
    </row>
    <row r="174" ht="15.75" customHeight="1">
      <c r="A174" s="84" t="s">
        <v>36114</v>
      </c>
      <c r="B174" s="84">
        <v>1.0</v>
      </c>
      <c r="C174" s="186"/>
      <c r="D174" s="187"/>
      <c r="E174" s="188"/>
      <c r="F174" s="189"/>
      <c r="G174" s="190"/>
      <c r="H174" s="190"/>
      <c r="I174" s="84"/>
      <c r="J174" s="84"/>
      <c r="K174" s="84"/>
      <c r="L174" s="84"/>
      <c r="M174" s="84"/>
      <c r="N174" s="84"/>
      <c r="O174" s="84"/>
      <c r="P174" s="84"/>
      <c r="Q174" s="84"/>
      <c r="R174" s="84"/>
      <c r="S174" s="84"/>
      <c r="T174" s="84"/>
    </row>
    <row r="175" ht="15.75" customHeight="1">
      <c r="A175" s="84" t="s">
        <v>36115</v>
      </c>
      <c r="B175" s="84">
        <v>1.0</v>
      </c>
      <c r="C175" s="186"/>
      <c r="D175" s="187"/>
      <c r="E175" s="188"/>
      <c r="F175" s="189"/>
      <c r="G175" s="190"/>
      <c r="H175" s="190"/>
      <c r="I175" s="84"/>
      <c r="J175" s="84"/>
      <c r="K175" s="84"/>
      <c r="L175" s="84"/>
      <c r="M175" s="84"/>
      <c r="N175" s="84"/>
      <c r="O175" s="84"/>
      <c r="P175" s="84"/>
      <c r="Q175" s="84"/>
      <c r="R175" s="84"/>
      <c r="S175" s="84"/>
      <c r="T175" s="84"/>
    </row>
    <row r="176" ht="15.75" customHeight="1">
      <c r="A176" s="84" t="s">
        <v>36116</v>
      </c>
      <c r="B176" s="84">
        <v>1.0</v>
      </c>
      <c r="C176" s="186"/>
      <c r="D176" s="187"/>
      <c r="E176" s="188"/>
      <c r="F176" s="189"/>
      <c r="G176" s="190"/>
      <c r="H176" s="190"/>
      <c r="I176" s="84"/>
      <c r="J176" s="84"/>
      <c r="K176" s="84"/>
      <c r="L176" s="84"/>
      <c r="M176" s="84"/>
      <c r="N176" s="84"/>
      <c r="O176" s="84"/>
      <c r="P176" s="84"/>
      <c r="Q176" s="84"/>
      <c r="R176" s="84"/>
      <c r="S176" s="84"/>
      <c r="T176" s="84"/>
    </row>
    <row r="177" ht="15.75" customHeight="1">
      <c r="A177" s="84" t="s">
        <v>36117</v>
      </c>
      <c r="B177" s="84">
        <v>1.0</v>
      </c>
      <c r="C177" s="186"/>
      <c r="D177" s="187"/>
      <c r="E177" s="188"/>
      <c r="F177" s="189"/>
      <c r="G177" s="190"/>
      <c r="H177" s="190"/>
      <c r="I177" s="84"/>
      <c r="J177" s="84"/>
      <c r="K177" s="84"/>
      <c r="L177" s="84"/>
      <c r="M177" s="84"/>
      <c r="N177" s="84"/>
      <c r="O177" s="84"/>
      <c r="P177" s="84"/>
      <c r="Q177" s="84"/>
      <c r="R177" s="84"/>
      <c r="S177" s="84"/>
      <c r="T177" s="84"/>
    </row>
    <row r="178" ht="15.75" customHeight="1">
      <c r="A178" s="84" t="s">
        <v>36118</v>
      </c>
      <c r="B178" s="84">
        <v>1.0</v>
      </c>
      <c r="C178" s="186"/>
      <c r="D178" s="187"/>
      <c r="E178" s="188"/>
      <c r="F178" s="189"/>
      <c r="G178" s="190"/>
      <c r="H178" s="190"/>
      <c r="I178" s="84"/>
      <c r="J178" s="84"/>
      <c r="K178" s="84"/>
      <c r="L178" s="84"/>
      <c r="M178" s="84"/>
      <c r="N178" s="84"/>
      <c r="O178" s="84"/>
      <c r="P178" s="84"/>
      <c r="Q178" s="84"/>
      <c r="R178" s="84"/>
      <c r="S178" s="84"/>
      <c r="T178" s="84"/>
    </row>
    <row r="179" ht="15.75" customHeight="1">
      <c r="A179" s="84" t="s">
        <v>36119</v>
      </c>
      <c r="B179" s="84">
        <v>1.0</v>
      </c>
      <c r="C179" s="186"/>
      <c r="D179" s="187"/>
      <c r="E179" s="188"/>
      <c r="F179" s="189"/>
      <c r="G179" s="190"/>
      <c r="H179" s="190"/>
      <c r="I179" s="84"/>
      <c r="J179" s="84"/>
      <c r="K179" s="84"/>
      <c r="L179" s="84"/>
      <c r="M179" s="84"/>
      <c r="N179" s="84"/>
      <c r="O179" s="84"/>
      <c r="P179" s="84"/>
      <c r="Q179" s="84"/>
      <c r="R179" s="84"/>
      <c r="S179" s="84"/>
      <c r="T179" s="84"/>
    </row>
    <row r="180" ht="15.75" customHeight="1">
      <c r="A180" s="84" t="s">
        <v>36120</v>
      </c>
      <c r="B180" s="84">
        <v>1.0</v>
      </c>
      <c r="C180" s="186"/>
      <c r="D180" s="187"/>
      <c r="E180" s="188"/>
      <c r="F180" s="189"/>
      <c r="G180" s="190"/>
      <c r="H180" s="190"/>
      <c r="I180" s="84" t="s">
        <v>36106</v>
      </c>
      <c r="J180" s="84"/>
      <c r="K180" s="84"/>
      <c r="L180" s="84"/>
      <c r="M180" s="84"/>
      <c r="N180" s="84"/>
      <c r="O180" s="84"/>
      <c r="P180" s="84"/>
      <c r="Q180" s="84"/>
      <c r="R180" s="84"/>
      <c r="S180" s="84"/>
      <c r="T180" s="84"/>
    </row>
    <row r="181" ht="15.75" customHeight="1">
      <c r="A181" s="84" t="s">
        <v>36121</v>
      </c>
      <c r="B181" s="84">
        <v>1.0</v>
      </c>
      <c r="C181" s="186"/>
      <c r="D181" s="187"/>
      <c r="E181" s="188"/>
      <c r="F181" s="189"/>
      <c r="G181" s="190"/>
      <c r="H181" s="190"/>
      <c r="I181" s="84"/>
      <c r="J181" s="84"/>
      <c r="K181" s="84"/>
      <c r="L181" s="84"/>
      <c r="M181" s="84"/>
      <c r="N181" s="84"/>
      <c r="O181" s="84"/>
      <c r="P181" s="84"/>
      <c r="Q181" s="84"/>
      <c r="R181" s="84"/>
      <c r="S181" s="84"/>
      <c r="T181" s="84"/>
    </row>
    <row r="182" ht="15.75" customHeight="1">
      <c r="A182" s="84" t="s">
        <v>36122</v>
      </c>
      <c r="B182" s="84">
        <v>1.0</v>
      </c>
      <c r="C182" s="186"/>
      <c r="D182" s="187"/>
      <c r="E182" s="188"/>
      <c r="F182" s="189"/>
      <c r="G182" s="190"/>
      <c r="H182" s="190"/>
      <c r="I182" s="84"/>
      <c r="J182" s="84"/>
      <c r="K182" s="84"/>
      <c r="L182" s="84"/>
      <c r="M182" s="84"/>
      <c r="N182" s="84"/>
      <c r="O182" s="84"/>
      <c r="P182" s="84"/>
      <c r="Q182" s="84"/>
      <c r="R182" s="84"/>
      <c r="S182" s="84"/>
      <c r="T182" s="84"/>
    </row>
    <row r="183" ht="15.75" customHeight="1">
      <c r="A183" s="84" t="s">
        <v>36123</v>
      </c>
      <c r="B183" s="84">
        <v>1.0</v>
      </c>
      <c r="C183" s="186"/>
      <c r="D183" s="187"/>
      <c r="E183" s="188"/>
      <c r="F183" s="189"/>
      <c r="G183" s="190"/>
      <c r="H183" s="190"/>
      <c r="I183" s="84"/>
      <c r="J183" s="84"/>
      <c r="K183" s="84"/>
      <c r="L183" s="84"/>
      <c r="M183" s="84"/>
      <c r="N183" s="84"/>
      <c r="O183" s="84"/>
      <c r="P183" s="84"/>
      <c r="Q183" s="84"/>
      <c r="R183" s="84"/>
      <c r="S183" s="84"/>
      <c r="T183" s="84"/>
    </row>
    <row r="184" ht="15.75" customHeight="1">
      <c r="A184" s="84" t="s">
        <v>36124</v>
      </c>
      <c r="B184" s="84">
        <v>1.0</v>
      </c>
      <c r="C184" s="186"/>
      <c r="D184" s="187"/>
      <c r="E184" s="188"/>
      <c r="F184" s="189"/>
      <c r="G184" s="190"/>
      <c r="H184" s="190"/>
      <c r="I184" s="84"/>
      <c r="J184" s="84"/>
      <c r="K184" s="84"/>
      <c r="L184" s="84"/>
      <c r="M184" s="84"/>
      <c r="N184" s="84"/>
      <c r="O184" s="84"/>
      <c r="P184" s="84"/>
      <c r="Q184" s="84"/>
      <c r="R184" s="84"/>
      <c r="S184" s="84"/>
      <c r="T184" s="84"/>
    </row>
    <row r="185" ht="15.75" customHeight="1">
      <c r="A185" s="84" t="s">
        <v>36125</v>
      </c>
      <c r="B185" s="84">
        <v>1.0</v>
      </c>
      <c r="C185" s="186"/>
      <c r="D185" s="187"/>
      <c r="E185" s="188"/>
      <c r="F185" s="189"/>
      <c r="G185" s="190"/>
      <c r="H185" s="190"/>
      <c r="I185" s="84"/>
      <c r="J185" s="84"/>
      <c r="K185" s="84"/>
      <c r="L185" s="84"/>
      <c r="M185" s="84"/>
      <c r="N185" s="84"/>
      <c r="O185" s="84"/>
      <c r="P185" s="84"/>
      <c r="Q185" s="84"/>
      <c r="R185" s="84"/>
      <c r="S185" s="84"/>
      <c r="T185" s="84"/>
    </row>
    <row r="186" ht="15.75" customHeight="1">
      <c r="A186" s="84" t="s">
        <v>36126</v>
      </c>
      <c r="B186" s="84">
        <v>1.0</v>
      </c>
      <c r="C186" s="186"/>
      <c r="D186" s="187"/>
      <c r="E186" s="188"/>
      <c r="F186" s="189"/>
      <c r="G186" s="190"/>
      <c r="H186" s="190"/>
      <c r="I186" s="84"/>
      <c r="J186" s="84"/>
      <c r="K186" s="84"/>
      <c r="L186" s="84"/>
      <c r="M186" s="84"/>
      <c r="N186" s="84"/>
      <c r="O186" s="84"/>
      <c r="P186" s="84"/>
      <c r="Q186" s="84"/>
      <c r="R186" s="84"/>
      <c r="S186" s="84"/>
      <c r="T186" s="84"/>
    </row>
    <row r="187" ht="15.75" customHeight="1">
      <c r="A187" s="84" t="s">
        <v>36127</v>
      </c>
      <c r="B187" s="84">
        <v>1.0</v>
      </c>
      <c r="C187" s="186"/>
      <c r="D187" s="187"/>
      <c r="E187" s="188"/>
      <c r="F187" s="189"/>
      <c r="G187" s="190"/>
      <c r="H187" s="190"/>
      <c r="I187" s="84"/>
      <c r="J187" s="84"/>
      <c r="K187" s="84"/>
      <c r="L187" s="84"/>
      <c r="M187" s="84"/>
      <c r="N187" s="84"/>
      <c r="O187" s="84"/>
      <c r="P187" s="84"/>
      <c r="Q187" s="84"/>
      <c r="R187" s="84"/>
      <c r="S187" s="84"/>
      <c r="T187" s="84"/>
    </row>
    <row r="188" ht="15.75" customHeight="1">
      <c r="A188" s="84" t="s">
        <v>36128</v>
      </c>
      <c r="B188" s="84">
        <v>1.0</v>
      </c>
      <c r="C188" s="186"/>
      <c r="D188" s="187"/>
      <c r="E188" s="188"/>
      <c r="F188" s="189"/>
      <c r="G188" s="190"/>
      <c r="H188" s="190"/>
      <c r="I188" s="84"/>
      <c r="J188" s="84"/>
      <c r="K188" s="84"/>
      <c r="L188" s="84"/>
      <c r="M188" s="84"/>
      <c r="N188" s="84"/>
      <c r="O188" s="84"/>
      <c r="P188" s="84"/>
      <c r="Q188" s="84"/>
      <c r="R188" s="84"/>
      <c r="S188" s="84"/>
      <c r="T188" s="84"/>
    </row>
    <row r="189" ht="15.75" customHeight="1">
      <c r="A189" s="84" t="s">
        <v>36129</v>
      </c>
      <c r="B189" s="84">
        <v>1.0</v>
      </c>
      <c r="C189" s="186"/>
      <c r="D189" s="187"/>
      <c r="E189" s="188"/>
      <c r="F189" s="189"/>
      <c r="G189" s="190"/>
      <c r="H189" s="190"/>
      <c r="I189" s="84"/>
      <c r="J189" s="84"/>
      <c r="K189" s="84"/>
      <c r="L189" s="84"/>
      <c r="M189" s="84"/>
      <c r="N189" s="84"/>
      <c r="O189" s="84"/>
      <c r="P189" s="84"/>
      <c r="Q189" s="84"/>
      <c r="R189" s="84"/>
      <c r="S189" s="84"/>
      <c r="T189" s="84"/>
    </row>
    <row r="190" ht="15.75" customHeight="1">
      <c r="A190" s="84" t="s">
        <v>36130</v>
      </c>
      <c r="B190" s="84">
        <v>1.0</v>
      </c>
      <c r="C190" s="186"/>
      <c r="D190" s="187"/>
      <c r="E190" s="188"/>
      <c r="F190" s="189"/>
      <c r="G190" s="190"/>
      <c r="H190" s="190"/>
      <c r="I190" s="84"/>
      <c r="J190" s="84"/>
      <c r="K190" s="84"/>
      <c r="L190" s="84"/>
      <c r="M190" s="84"/>
      <c r="N190" s="84"/>
      <c r="O190" s="84"/>
      <c r="P190" s="84"/>
      <c r="Q190" s="84"/>
      <c r="R190" s="84"/>
      <c r="S190" s="84"/>
      <c r="T190" s="84"/>
    </row>
    <row r="191" ht="15.75" customHeight="1">
      <c r="A191" s="84" t="s">
        <v>36132</v>
      </c>
      <c r="B191" s="84">
        <v>1.0</v>
      </c>
      <c r="C191" s="186"/>
      <c r="D191" s="187"/>
      <c r="E191" s="188"/>
      <c r="F191" s="189"/>
      <c r="G191" s="190"/>
      <c r="H191" s="190"/>
      <c r="I191" s="84"/>
      <c r="J191" s="84"/>
      <c r="K191" s="84"/>
      <c r="L191" s="84"/>
      <c r="M191" s="84"/>
      <c r="N191" s="84"/>
      <c r="O191" s="84"/>
      <c r="P191" s="84"/>
      <c r="Q191" s="84"/>
      <c r="R191" s="84"/>
      <c r="S191" s="84"/>
      <c r="T191" s="84"/>
    </row>
    <row r="192" ht="15.75" customHeight="1">
      <c r="A192" s="84" t="s">
        <v>36133</v>
      </c>
      <c r="B192" s="84">
        <v>2.0</v>
      </c>
      <c r="C192" s="186"/>
      <c r="D192" s="187"/>
      <c r="E192" s="188"/>
      <c r="F192" s="189"/>
      <c r="G192" s="190"/>
      <c r="H192" s="190"/>
      <c r="I192" s="84"/>
      <c r="J192" s="84"/>
      <c r="K192" s="84"/>
      <c r="L192" s="84"/>
      <c r="M192" s="84"/>
      <c r="N192" s="84"/>
      <c r="O192" s="84"/>
      <c r="P192" s="84"/>
      <c r="Q192" s="84"/>
      <c r="R192" s="84"/>
      <c r="S192" s="84"/>
      <c r="T192" s="84"/>
    </row>
    <row r="193" ht="15.75" customHeight="1">
      <c r="A193" s="84" t="s">
        <v>36134</v>
      </c>
      <c r="B193" s="84">
        <v>1.0</v>
      </c>
      <c r="C193" s="186" t="s">
        <v>30659</v>
      </c>
      <c r="D193" s="187" t="s">
        <v>36133</v>
      </c>
      <c r="E193" s="188"/>
      <c r="F193" s="189"/>
      <c r="G193" s="190"/>
      <c r="H193" s="190"/>
      <c r="I193" s="84"/>
      <c r="J193" s="84"/>
      <c r="K193" s="84"/>
      <c r="L193" s="84"/>
      <c r="M193" s="84"/>
      <c r="N193" s="84"/>
      <c r="O193" s="84"/>
      <c r="P193" s="84"/>
      <c r="Q193" s="84"/>
      <c r="R193" s="84"/>
      <c r="S193" s="84"/>
      <c r="T193" s="84"/>
    </row>
    <row r="194" ht="15.75" customHeight="1">
      <c r="A194" s="84" t="s">
        <v>36135</v>
      </c>
      <c r="B194" s="84">
        <v>1.0</v>
      </c>
      <c r="C194" s="186"/>
      <c r="D194" s="187"/>
      <c r="E194" s="188"/>
      <c r="F194" s="189"/>
      <c r="G194" s="190"/>
      <c r="H194" s="190"/>
      <c r="I194" s="84"/>
      <c r="J194" s="84"/>
      <c r="K194" s="84"/>
      <c r="L194" s="84"/>
      <c r="M194" s="84"/>
      <c r="N194" s="84"/>
      <c r="O194" s="84"/>
      <c r="P194" s="84"/>
      <c r="Q194" s="84"/>
      <c r="R194" s="84"/>
      <c r="S194" s="84"/>
      <c r="T194" s="84"/>
    </row>
    <row r="195" ht="15.75" customHeight="1">
      <c r="A195" s="84" t="s">
        <v>36136</v>
      </c>
      <c r="B195" s="84">
        <v>1.0</v>
      </c>
      <c r="C195" s="186"/>
      <c r="D195" s="187"/>
      <c r="E195" s="188"/>
      <c r="F195" s="189"/>
      <c r="G195" s="190"/>
      <c r="H195" s="190"/>
      <c r="I195" s="84"/>
      <c r="J195" s="84"/>
      <c r="K195" s="84"/>
      <c r="L195" s="84"/>
      <c r="M195" s="84"/>
      <c r="N195" s="84"/>
      <c r="O195" s="84"/>
      <c r="P195" s="84"/>
      <c r="Q195" s="84"/>
      <c r="R195" s="84"/>
      <c r="S195" s="84"/>
      <c r="T195" s="84"/>
    </row>
    <row r="196" ht="15.75" customHeight="1">
      <c r="A196" s="84" t="s">
        <v>36137</v>
      </c>
      <c r="B196" s="84">
        <v>1.0</v>
      </c>
      <c r="C196" s="186"/>
      <c r="D196" s="187"/>
      <c r="E196" s="188"/>
      <c r="F196" s="189"/>
      <c r="G196" s="190"/>
      <c r="H196" s="190"/>
      <c r="I196" s="84"/>
      <c r="J196" s="84"/>
      <c r="K196" s="84"/>
      <c r="L196" s="84"/>
      <c r="M196" s="84"/>
      <c r="N196" s="84"/>
      <c r="O196" s="84"/>
      <c r="P196" s="84"/>
      <c r="Q196" s="84"/>
      <c r="R196" s="84"/>
      <c r="S196" s="84"/>
      <c r="T196" s="84"/>
    </row>
    <row r="197" ht="15.75" customHeight="1">
      <c r="A197" s="84" t="s">
        <v>36138</v>
      </c>
      <c r="B197" s="84">
        <v>1.0</v>
      </c>
      <c r="C197" s="186"/>
      <c r="D197" s="187"/>
      <c r="E197" s="188"/>
      <c r="F197" s="189"/>
      <c r="G197" s="190"/>
      <c r="H197" s="190"/>
      <c r="I197" s="84"/>
      <c r="J197" s="84"/>
      <c r="K197" s="84"/>
      <c r="L197" s="84"/>
      <c r="M197" s="84"/>
      <c r="N197" s="84"/>
      <c r="O197" s="84"/>
      <c r="P197" s="84"/>
      <c r="Q197" s="84"/>
      <c r="R197" s="84"/>
      <c r="S197" s="84"/>
      <c r="T197" s="84"/>
    </row>
    <row r="198" ht="15.75" customHeight="1">
      <c r="A198" s="84" t="s">
        <v>36140</v>
      </c>
      <c r="B198" s="84">
        <v>1.0</v>
      </c>
      <c r="C198" s="186"/>
      <c r="D198" s="187"/>
      <c r="E198" s="188"/>
      <c r="F198" s="189"/>
      <c r="G198" s="190"/>
      <c r="H198" s="190"/>
      <c r="I198" s="84"/>
      <c r="J198" s="84"/>
      <c r="K198" s="84"/>
      <c r="L198" s="84"/>
      <c r="M198" s="84"/>
      <c r="N198" s="84"/>
      <c r="O198" s="84"/>
      <c r="P198" s="84"/>
      <c r="Q198" s="84"/>
      <c r="R198" s="84"/>
      <c r="S198" s="84"/>
      <c r="T198" s="84"/>
    </row>
    <row r="199" ht="15.75" customHeight="1">
      <c r="A199" s="84" t="s">
        <v>36141</v>
      </c>
      <c r="B199" s="84">
        <v>1.0</v>
      </c>
      <c r="C199" s="186"/>
      <c r="D199" s="187"/>
      <c r="E199" s="188"/>
      <c r="F199" s="189"/>
      <c r="G199" s="190"/>
      <c r="H199" s="190"/>
      <c r="I199" s="84"/>
      <c r="J199" s="84"/>
      <c r="K199" s="84"/>
      <c r="L199" s="84"/>
      <c r="M199" s="84"/>
      <c r="N199" s="84"/>
      <c r="O199" s="84"/>
      <c r="P199" s="84"/>
      <c r="Q199" s="84"/>
      <c r="R199" s="84"/>
      <c r="S199" s="84"/>
      <c r="T199" s="84"/>
    </row>
    <row r="200" ht="15.75" customHeight="1">
      <c r="A200" s="84" t="s">
        <v>36142</v>
      </c>
      <c r="B200" s="84">
        <v>4.0</v>
      </c>
      <c r="C200" s="186" t="s">
        <v>30659</v>
      </c>
      <c r="D200" s="187" t="s">
        <v>36140</v>
      </c>
      <c r="E200" s="188"/>
      <c r="F200" s="189"/>
      <c r="G200" s="190"/>
      <c r="H200" s="190"/>
      <c r="I200" s="84"/>
      <c r="J200" s="84"/>
      <c r="K200" s="84"/>
      <c r="L200" s="84"/>
      <c r="M200" s="84"/>
      <c r="N200" s="84"/>
      <c r="O200" s="84"/>
      <c r="P200" s="84"/>
      <c r="Q200" s="84"/>
      <c r="R200" s="84"/>
      <c r="S200" s="84"/>
      <c r="T200" s="84"/>
    </row>
    <row r="201" ht="15.75" customHeight="1">
      <c r="A201" s="84" t="s">
        <v>36143</v>
      </c>
      <c r="B201" s="84">
        <v>1.0</v>
      </c>
      <c r="C201" s="186"/>
      <c r="D201" s="187"/>
      <c r="E201" s="188"/>
      <c r="F201" s="189"/>
      <c r="G201" s="190"/>
      <c r="H201" s="190"/>
      <c r="I201" s="84"/>
      <c r="J201" s="84"/>
      <c r="K201" s="84"/>
      <c r="L201" s="84"/>
      <c r="M201" s="84"/>
      <c r="N201" s="84"/>
      <c r="O201" s="84"/>
      <c r="P201" s="84"/>
      <c r="Q201" s="84"/>
      <c r="R201" s="84"/>
      <c r="S201" s="84"/>
      <c r="T201" s="84"/>
    </row>
    <row r="202" ht="15.75" customHeight="1">
      <c r="A202" s="84" t="s">
        <v>36144</v>
      </c>
      <c r="B202" s="84">
        <v>1.0</v>
      </c>
      <c r="C202" s="186"/>
      <c r="D202" s="187"/>
      <c r="E202" s="188"/>
      <c r="F202" s="189"/>
      <c r="G202" s="190"/>
      <c r="H202" s="190"/>
      <c r="I202" s="84"/>
      <c r="J202" s="84"/>
      <c r="K202" s="84"/>
      <c r="L202" s="84"/>
      <c r="M202" s="84"/>
      <c r="N202" s="84"/>
      <c r="O202" s="84"/>
      <c r="P202" s="84"/>
      <c r="Q202" s="84"/>
      <c r="R202" s="84"/>
      <c r="S202" s="84"/>
      <c r="T202" s="84"/>
    </row>
    <row r="203" ht="15.75" customHeight="1">
      <c r="A203" s="84" t="s">
        <v>36145</v>
      </c>
      <c r="B203" s="84">
        <v>1.0</v>
      </c>
      <c r="C203" s="186"/>
      <c r="D203" s="187"/>
      <c r="E203" s="188"/>
      <c r="F203" s="189"/>
      <c r="G203" s="190"/>
      <c r="H203" s="190"/>
      <c r="I203" s="84"/>
      <c r="J203" s="84"/>
      <c r="K203" s="84"/>
      <c r="L203" s="84"/>
      <c r="M203" s="84"/>
      <c r="N203" s="84"/>
      <c r="O203" s="84"/>
      <c r="P203" s="84"/>
      <c r="Q203" s="84"/>
      <c r="R203" s="84"/>
      <c r="S203" s="84"/>
      <c r="T203" s="84"/>
    </row>
    <row r="204" ht="15.75" customHeight="1">
      <c r="A204" s="84" t="s">
        <v>36146</v>
      </c>
      <c r="B204" s="84">
        <v>1.0</v>
      </c>
      <c r="C204" s="186"/>
      <c r="D204" s="187"/>
      <c r="E204" s="188"/>
      <c r="F204" s="189"/>
      <c r="G204" s="190"/>
      <c r="H204" s="190"/>
      <c r="I204" s="84"/>
      <c r="J204" s="84"/>
      <c r="K204" s="84"/>
      <c r="L204" s="84"/>
      <c r="M204" s="84"/>
      <c r="N204" s="84"/>
      <c r="O204" s="84"/>
      <c r="P204" s="84"/>
      <c r="Q204" s="84"/>
      <c r="R204" s="84"/>
      <c r="S204" s="84"/>
      <c r="T204" s="84"/>
    </row>
    <row r="205" ht="15.75" customHeight="1">
      <c r="A205" s="84" t="s">
        <v>36147</v>
      </c>
      <c r="B205" s="84">
        <v>1.0</v>
      </c>
      <c r="C205" s="186"/>
      <c r="D205" s="187"/>
      <c r="E205" s="188"/>
      <c r="F205" s="189"/>
      <c r="G205" s="190"/>
      <c r="H205" s="190"/>
      <c r="I205" s="84"/>
      <c r="J205" s="84"/>
      <c r="K205" s="84"/>
      <c r="L205" s="84"/>
      <c r="M205" s="84"/>
      <c r="N205" s="84"/>
      <c r="O205" s="84"/>
      <c r="P205" s="84"/>
      <c r="Q205" s="84"/>
      <c r="R205" s="84"/>
      <c r="S205" s="84"/>
      <c r="T205" s="84"/>
    </row>
    <row r="206" ht="15.75" customHeight="1">
      <c r="A206" s="84" t="s">
        <v>36148</v>
      </c>
      <c r="B206" s="84">
        <v>1.0</v>
      </c>
      <c r="C206" s="186" t="s">
        <v>30659</v>
      </c>
      <c r="D206" s="187" t="s">
        <v>36147</v>
      </c>
      <c r="E206" s="188"/>
      <c r="F206" s="189"/>
      <c r="G206" s="190"/>
      <c r="H206" s="190"/>
      <c r="I206" s="84"/>
      <c r="J206" s="84"/>
      <c r="K206" s="84"/>
      <c r="L206" s="84"/>
      <c r="M206" s="84"/>
      <c r="N206" s="84"/>
      <c r="O206" s="84"/>
      <c r="P206" s="84"/>
      <c r="Q206" s="84"/>
      <c r="R206" s="84"/>
      <c r="S206" s="84"/>
      <c r="T206" s="84"/>
    </row>
    <row r="207" ht="15.75" customHeight="1">
      <c r="A207" s="84" t="s">
        <v>36149</v>
      </c>
      <c r="B207" s="84">
        <v>1.0</v>
      </c>
      <c r="C207" s="186"/>
      <c r="D207" s="187"/>
      <c r="E207" s="188"/>
      <c r="F207" s="189"/>
      <c r="G207" s="190"/>
      <c r="H207" s="190"/>
      <c r="I207" s="84"/>
      <c r="J207" s="84"/>
      <c r="K207" s="84"/>
      <c r="L207" s="84"/>
      <c r="M207" s="84"/>
      <c r="N207" s="84"/>
      <c r="O207" s="84"/>
      <c r="P207" s="84"/>
      <c r="Q207" s="84"/>
      <c r="R207" s="84"/>
      <c r="S207" s="84"/>
      <c r="T207" s="84"/>
    </row>
    <row r="208" ht="15.75" customHeight="1">
      <c r="A208" s="84" t="s">
        <v>36150</v>
      </c>
      <c r="B208" s="84">
        <v>1.0</v>
      </c>
      <c r="C208" s="186"/>
      <c r="D208" s="187"/>
      <c r="E208" s="188"/>
      <c r="F208" s="189"/>
      <c r="G208" s="190"/>
      <c r="H208" s="190"/>
      <c r="I208" s="84"/>
      <c r="J208" s="84"/>
      <c r="K208" s="84"/>
      <c r="L208" s="84"/>
      <c r="M208" s="84"/>
      <c r="N208" s="84"/>
      <c r="O208" s="84"/>
      <c r="P208" s="84"/>
      <c r="Q208" s="84"/>
      <c r="R208" s="84"/>
      <c r="S208" s="84"/>
      <c r="T208" s="84"/>
    </row>
    <row r="209" ht="15.75" customHeight="1">
      <c r="A209" s="84" t="s">
        <v>36151</v>
      </c>
      <c r="B209" s="84">
        <v>1.0</v>
      </c>
      <c r="C209" s="186"/>
      <c r="D209" s="187"/>
      <c r="E209" s="188"/>
      <c r="F209" s="189"/>
      <c r="G209" s="190"/>
      <c r="H209" s="190"/>
      <c r="I209" s="84"/>
      <c r="J209" s="84"/>
      <c r="K209" s="84"/>
      <c r="L209" s="84"/>
      <c r="M209" s="84"/>
      <c r="N209" s="84"/>
      <c r="O209" s="84"/>
      <c r="P209" s="84"/>
      <c r="Q209" s="84"/>
      <c r="R209" s="84"/>
      <c r="S209" s="84"/>
      <c r="T209" s="84"/>
    </row>
    <row r="210" ht="15.75" customHeight="1">
      <c r="A210" s="84" t="s">
        <v>36152</v>
      </c>
      <c r="B210" s="84">
        <v>1.0</v>
      </c>
      <c r="C210" s="186"/>
      <c r="D210" s="187"/>
      <c r="E210" s="188"/>
      <c r="F210" s="189"/>
      <c r="G210" s="190"/>
      <c r="H210" s="190"/>
      <c r="I210" s="84"/>
      <c r="J210" s="84"/>
      <c r="K210" s="84"/>
      <c r="L210" s="84"/>
      <c r="M210" s="84"/>
      <c r="N210" s="84"/>
      <c r="O210" s="84"/>
      <c r="P210" s="84"/>
      <c r="Q210" s="84"/>
      <c r="R210" s="84"/>
      <c r="S210" s="84"/>
      <c r="T210" s="84"/>
    </row>
    <row r="211" ht="15.75" customHeight="1">
      <c r="A211" s="84" t="s">
        <v>36153</v>
      </c>
      <c r="B211" s="84">
        <v>1.0</v>
      </c>
      <c r="C211" s="186"/>
      <c r="D211" s="187"/>
      <c r="E211" s="188"/>
      <c r="F211" s="189"/>
      <c r="G211" s="190"/>
      <c r="H211" s="190"/>
      <c r="I211" s="84"/>
      <c r="J211" s="84"/>
      <c r="K211" s="84"/>
      <c r="L211" s="84"/>
      <c r="M211" s="84"/>
      <c r="N211" s="84"/>
      <c r="O211" s="84"/>
      <c r="P211" s="84"/>
      <c r="Q211" s="84"/>
      <c r="R211" s="84"/>
      <c r="S211" s="84"/>
      <c r="T211" s="84"/>
    </row>
    <row r="212" ht="15.75" customHeight="1">
      <c r="A212" s="84" t="s">
        <v>36154</v>
      </c>
      <c r="B212" s="84">
        <v>1.0</v>
      </c>
      <c r="C212" s="186" t="s">
        <v>30659</v>
      </c>
      <c r="D212" s="187" t="s">
        <v>36155</v>
      </c>
      <c r="E212" s="188"/>
      <c r="F212" s="189"/>
      <c r="G212" s="190"/>
      <c r="H212" s="190"/>
      <c r="I212" s="84"/>
      <c r="J212" s="84"/>
      <c r="K212" s="84"/>
      <c r="L212" s="84"/>
      <c r="M212" s="84"/>
      <c r="N212" s="84"/>
      <c r="O212" s="84"/>
      <c r="P212" s="84"/>
      <c r="Q212" s="84"/>
      <c r="R212" s="84"/>
      <c r="S212" s="84"/>
      <c r="T212" s="84"/>
    </row>
    <row r="213" ht="15.75" customHeight="1">
      <c r="A213" s="84" t="s">
        <v>36155</v>
      </c>
      <c r="B213" s="84">
        <v>3.0</v>
      </c>
      <c r="C213" s="186"/>
      <c r="D213" s="187"/>
      <c r="E213" s="188"/>
      <c r="F213" s="189"/>
      <c r="G213" s="190"/>
      <c r="H213" s="190"/>
      <c r="I213" s="84"/>
      <c r="J213" s="84"/>
      <c r="K213" s="84"/>
      <c r="L213" s="84"/>
      <c r="M213" s="84"/>
      <c r="N213" s="84"/>
      <c r="O213" s="84"/>
      <c r="P213" s="84"/>
      <c r="Q213" s="84"/>
      <c r="R213" s="84"/>
      <c r="S213" s="84"/>
      <c r="T213" s="84"/>
    </row>
    <row r="214" ht="15.75" customHeight="1">
      <c r="A214" s="84" t="s">
        <v>36156</v>
      </c>
      <c r="B214" s="84">
        <v>2.0</v>
      </c>
      <c r="C214" s="186"/>
      <c r="D214" s="187"/>
      <c r="E214" s="188"/>
      <c r="F214" s="189"/>
      <c r="G214" s="190"/>
      <c r="H214" s="190"/>
      <c r="I214" s="84"/>
      <c r="J214" s="84"/>
      <c r="K214" s="84"/>
      <c r="L214" s="84"/>
      <c r="M214" s="84"/>
      <c r="N214" s="84"/>
      <c r="O214" s="84"/>
      <c r="P214" s="84"/>
      <c r="Q214" s="84"/>
      <c r="R214" s="84"/>
      <c r="S214" s="84"/>
      <c r="T214" s="84"/>
    </row>
    <row r="215" ht="15.75" customHeight="1">
      <c r="A215" s="84" t="s">
        <v>36157</v>
      </c>
      <c r="B215" s="84">
        <v>1.0</v>
      </c>
      <c r="C215" s="186"/>
      <c r="D215" s="187"/>
      <c r="E215" s="188"/>
      <c r="F215" s="189"/>
      <c r="G215" s="190"/>
      <c r="H215" s="190"/>
      <c r="I215" s="84"/>
      <c r="J215" s="84"/>
      <c r="K215" s="84"/>
      <c r="L215" s="84"/>
      <c r="M215" s="84"/>
      <c r="N215" s="84"/>
      <c r="O215" s="84"/>
      <c r="P215" s="84"/>
      <c r="Q215" s="84"/>
      <c r="R215" s="84"/>
      <c r="S215" s="84"/>
      <c r="T215" s="84"/>
    </row>
    <row r="216" ht="15.75" customHeight="1">
      <c r="A216" s="84" t="s">
        <v>36158</v>
      </c>
      <c r="B216" s="84">
        <v>1.0</v>
      </c>
      <c r="C216" s="186"/>
      <c r="D216" s="187"/>
      <c r="E216" s="188"/>
      <c r="F216" s="189"/>
      <c r="G216" s="190"/>
      <c r="H216" s="190"/>
      <c r="I216" s="84"/>
      <c r="J216" s="84"/>
      <c r="K216" s="84"/>
      <c r="L216" s="84"/>
      <c r="M216" s="84"/>
      <c r="N216" s="84"/>
      <c r="O216" s="84"/>
      <c r="P216" s="84"/>
      <c r="Q216" s="84"/>
      <c r="R216" s="84"/>
      <c r="S216" s="84"/>
      <c r="T216" s="84"/>
    </row>
    <row r="217" ht="15.75" customHeight="1">
      <c r="A217" s="84" t="s">
        <v>36159</v>
      </c>
      <c r="B217" s="84">
        <v>1.0</v>
      </c>
      <c r="C217" s="186"/>
      <c r="D217" s="187"/>
      <c r="E217" s="188"/>
      <c r="F217" s="189"/>
      <c r="G217" s="190"/>
      <c r="H217" s="190"/>
      <c r="I217" s="84"/>
      <c r="J217" s="84"/>
      <c r="K217" s="84"/>
      <c r="L217" s="84"/>
      <c r="M217" s="84"/>
      <c r="N217" s="84"/>
      <c r="O217" s="84"/>
      <c r="P217" s="84"/>
      <c r="Q217" s="84"/>
      <c r="R217" s="84"/>
      <c r="S217" s="84"/>
      <c r="T217" s="84"/>
    </row>
    <row r="218" ht="15.75" customHeight="1">
      <c r="A218" s="84" t="s">
        <v>36160</v>
      </c>
      <c r="B218" s="84">
        <v>1.0</v>
      </c>
      <c r="C218" s="186"/>
      <c r="D218" s="187"/>
      <c r="E218" s="188"/>
      <c r="F218" s="189"/>
      <c r="G218" s="190"/>
      <c r="H218" s="190"/>
      <c r="I218" s="84"/>
      <c r="J218" s="84"/>
      <c r="K218" s="84"/>
      <c r="L218" s="84"/>
      <c r="M218" s="84"/>
      <c r="N218" s="84"/>
      <c r="O218" s="84"/>
      <c r="P218" s="84"/>
      <c r="Q218" s="84"/>
      <c r="R218" s="84"/>
      <c r="S218" s="84"/>
      <c r="T218" s="84"/>
    </row>
    <row r="219" ht="15.75" customHeight="1">
      <c r="A219" s="84" t="s">
        <v>36161</v>
      </c>
      <c r="B219" s="84">
        <v>1.0</v>
      </c>
      <c r="C219" s="186"/>
      <c r="D219" s="187"/>
      <c r="E219" s="188"/>
      <c r="F219" s="189"/>
      <c r="G219" s="190"/>
      <c r="H219" s="190"/>
      <c r="I219" s="84"/>
      <c r="J219" s="84"/>
      <c r="K219" s="84"/>
      <c r="L219" s="84"/>
      <c r="M219" s="84"/>
      <c r="N219" s="84"/>
      <c r="O219" s="84"/>
      <c r="P219" s="84"/>
      <c r="Q219" s="84"/>
      <c r="R219" s="84"/>
      <c r="S219" s="84"/>
      <c r="T219" s="84"/>
    </row>
    <row r="220" ht="15.75" customHeight="1">
      <c r="A220" s="84" t="s">
        <v>36162</v>
      </c>
      <c r="B220" s="84">
        <v>1.0</v>
      </c>
      <c r="C220" s="186"/>
      <c r="D220" s="187"/>
      <c r="E220" s="188"/>
      <c r="F220" s="189"/>
      <c r="G220" s="190"/>
      <c r="H220" s="190"/>
      <c r="I220" s="84"/>
      <c r="J220" s="84"/>
      <c r="K220" s="84"/>
      <c r="L220" s="84"/>
      <c r="M220" s="84"/>
      <c r="N220" s="84"/>
      <c r="O220" s="84"/>
      <c r="P220" s="84"/>
      <c r="Q220" s="84"/>
      <c r="R220" s="84"/>
      <c r="S220" s="84"/>
      <c r="T220" s="84"/>
    </row>
    <row r="221" ht="15.75" customHeight="1">
      <c r="A221" s="84" t="s">
        <v>36163</v>
      </c>
      <c r="B221" s="84">
        <v>1.0</v>
      </c>
      <c r="C221" s="186" t="s">
        <v>30659</v>
      </c>
      <c r="D221" s="187" t="s">
        <v>36164</v>
      </c>
      <c r="E221" s="188"/>
      <c r="F221" s="189"/>
      <c r="G221" s="190"/>
      <c r="H221" s="190"/>
      <c r="I221" s="84"/>
      <c r="J221" s="84"/>
      <c r="K221" s="84"/>
      <c r="L221" s="84"/>
      <c r="M221" s="84"/>
      <c r="N221" s="84"/>
      <c r="O221" s="84"/>
      <c r="P221" s="84"/>
      <c r="Q221" s="84"/>
      <c r="R221" s="84"/>
      <c r="S221" s="84"/>
      <c r="T221" s="84"/>
    </row>
    <row r="222" ht="15.75" customHeight="1">
      <c r="A222" s="84" t="s">
        <v>36165</v>
      </c>
      <c r="B222" s="84">
        <v>1.0</v>
      </c>
      <c r="C222" s="186"/>
      <c r="D222" s="187"/>
      <c r="E222" s="188"/>
      <c r="F222" s="189" t="s">
        <v>30659</v>
      </c>
      <c r="G222" s="190" t="s">
        <v>36164</v>
      </c>
      <c r="H222" s="190"/>
      <c r="I222" s="84"/>
      <c r="J222" s="84"/>
      <c r="K222" s="84"/>
      <c r="L222" s="84"/>
      <c r="M222" s="84"/>
      <c r="N222" s="84"/>
      <c r="O222" s="84"/>
      <c r="P222" s="84"/>
      <c r="Q222" s="84"/>
      <c r="R222" s="84"/>
      <c r="S222" s="84"/>
      <c r="T222" s="84"/>
    </row>
    <row r="223" ht="15.75" customHeight="1">
      <c r="A223" s="84" t="s">
        <v>36164</v>
      </c>
      <c r="B223" s="84">
        <v>1.0</v>
      </c>
      <c r="C223" s="186"/>
      <c r="D223" s="187"/>
      <c r="E223" s="188"/>
      <c r="F223" s="189"/>
      <c r="G223" s="190"/>
      <c r="H223" s="190"/>
      <c r="I223" s="84"/>
      <c r="J223" s="84"/>
      <c r="K223" s="84"/>
      <c r="L223" s="84"/>
      <c r="M223" s="84"/>
      <c r="N223" s="84"/>
      <c r="O223" s="84"/>
      <c r="P223" s="84"/>
      <c r="Q223" s="84"/>
      <c r="R223" s="84"/>
      <c r="S223" s="84"/>
      <c r="T223" s="84"/>
    </row>
    <row r="224" ht="15.75" customHeight="1">
      <c r="A224" s="84" t="s">
        <v>36166</v>
      </c>
      <c r="B224" s="84">
        <v>1.0</v>
      </c>
      <c r="C224" s="186"/>
      <c r="D224" s="187"/>
      <c r="E224" s="188"/>
      <c r="F224" s="189"/>
      <c r="G224" s="190"/>
      <c r="H224" s="190"/>
      <c r="I224" s="84"/>
      <c r="J224" s="84"/>
      <c r="K224" s="84"/>
      <c r="L224" s="84"/>
      <c r="M224" s="84"/>
      <c r="N224" s="84"/>
      <c r="O224" s="84"/>
      <c r="P224" s="84"/>
      <c r="Q224" s="84"/>
      <c r="R224" s="84"/>
      <c r="S224" s="84"/>
      <c r="T224" s="84"/>
    </row>
    <row r="225" ht="15.75" customHeight="1">
      <c r="A225" s="84" t="s">
        <v>36167</v>
      </c>
      <c r="B225" s="84">
        <v>1.0</v>
      </c>
      <c r="C225" s="186"/>
      <c r="D225" s="187"/>
      <c r="E225" s="188"/>
      <c r="F225" s="189"/>
      <c r="G225" s="190"/>
      <c r="H225" s="190"/>
      <c r="I225" s="84"/>
      <c r="J225" s="84"/>
      <c r="K225" s="84"/>
      <c r="L225" s="84"/>
      <c r="M225" s="84"/>
      <c r="N225" s="84"/>
      <c r="O225" s="84"/>
      <c r="P225" s="84"/>
      <c r="Q225" s="84"/>
      <c r="R225" s="84"/>
      <c r="S225" s="84"/>
      <c r="T225" s="84"/>
    </row>
    <row r="226" ht="15.75" customHeight="1">
      <c r="A226" s="84" t="s">
        <v>36168</v>
      </c>
      <c r="B226" s="84">
        <v>1.0</v>
      </c>
      <c r="C226" s="186"/>
      <c r="D226" s="187"/>
      <c r="E226" s="188"/>
      <c r="F226" s="189"/>
      <c r="G226" s="190"/>
      <c r="H226" s="190"/>
      <c r="I226" s="84"/>
      <c r="J226" s="84"/>
      <c r="K226" s="84"/>
      <c r="L226" s="84"/>
      <c r="M226" s="84"/>
      <c r="N226" s="84"/>
      <c r="O226" s="84"/>
      <c r="P226" s="84"/>
      <c r="Q226" s="84"/>
      <c r="R226" s="84"/>
      <c r="S226" s="84"/>
      <c r="T226" s="84"/>
    </row>
    <row r="227" ht="15.75" customHeight="1">
      <c r="A227" s="84" t="s">
        <v>36169</v>
      </c>
      <c r="B227" s="84">
        <v>1.0</v>
      </c>
      <c r="C227" s="186"/>
      <c r="D227" s="187"/>
      <c r="E227" s="188"/>
      <c r="F227" s="189"/>
      <c r="G227" s="190"/>
      <c r="H227" s="190"/>
      <c r="I227" s="84"/>
      <c r="J227" s="84"/>
      <c r="K227" s="84"/>
      <c r="L227" s="84"/>
      <c r="M227" s="84"/>
      <c r="N227" s="84"/>
      <c r="O227" s="84"/>
      <c r="P227" s="84"/>
      <c r="Q227" s="84"/>
      <c r="R227" s="84"/>
      <c r="S227" s="84"/>
      <c r="T227" s="84"/>
    </row>
    <row r="228" ht="15.75" customHeight="1">
      <c r="A228" s="84" t="s">
        <v>36170</v>
      </c>
      <c r="B228" s="84">
        <v>1.0</v>
      </c>
      <c r="C228" s="186"/>
      <c r="D228" s="187"/>
      <c r="E228" s="188"/>
      <c r="F228" s="189"/>
      <c r="G228" s="190"/>
      <c r="H228" s="190"/>
      <c r="I228" s="84"/>
      <c r="J228" s="84"/>
      <c r="K228" s="84"/>
      <c r="L228" s="84"/>
      <c r="M228" s="84"/>
      <c r="N228" s="84"/>
      <c r="O228" s="84"/>
      <c r="P228" s="84"/>
      <c r="Q228" s="84"/>
      <c r="R228" s="84"/>
      <c r="S228" s="84"/>
      <c r="T228" s="84"/>
    </row>
    <row r="229" ht="15.75" customHeight="1">
      <c r="A229" s="84" t="s">
        <v>36171</v>
      </c>
      <c r="B229" s="84">
        <v>1.0</v>
      </c>
      <c r="C229" s="186"/>
      <c r="D229" s="187"/>
      <c r="E229" s="188"/>
      <c r="F229" s="189"/>
      <c r="G229" s="190"/>
      <c r="H229" s="190"/>
      <c r="I229" s="84"/>
      <c r="J229" s="84"/>
      <c r="K229" s="84"/>
      <c r="L229" s="84"/>
      <c r="M229" s="84"/>
      <c r="N229" s="84"/>
      <c r="O229" s="84"/>
      <c r="P229" s="84"/>
      <c r="Q229" s="84"/>
      <c r="R229" s="84"/>
      <c r="S229" s="84"/>
      <c r="T229" s="84"/>
    </row>
    <row r="230" ht="15.75" customHeight="1">
      <c r="A230" s="84" t="s">
        <v>36172</v>
      </c>
      <c r="B230" s="84">
        <v>1.0</v>
      </c>
      <c r="C230" s="186"/>
      <c r="D230" s="187"/>
      <c r="E230" s="188"/>
      <c r="F230" s="189"/>
      <c r="G230" s="190"/>
      <c r="H230" s="190"/>
      <c r="I230" s="84"/>
      <c r="J230" s="84"/>
      <c r="K230" s="84"/>
      <c r="L230" s="84"/>
      <c r="M230" s="84"/>
      <c r="N230" s="84"/>
      <c r="O230" s="84"/>
      <c r="P230" s="84"/>
      <c r="Q230" s="84"/>
      <c r="R230" s="84"/>
      <c r="S230" s="84"/>
      <c r="T230" s="84"/>
    </row>
    <row r="231" ht="15.75" customHeight="1">
      <c r="A231" s="84" t="s">
        <v>36174</v>
      </c>
      <c r="B231" s="84">
        <v>4.0</v>
      </c>
      <c r="C231" s="186"/>
      <c r="D231" s="187"/>
      <c r="E231" s="188"/>
      <c r="F231" s="189"/>
      <c r="G231" s="190"/>
      <c r="H231" s="190"/>
      <c r="I231" s="84"/>
      <c r="J231" s="84"/>
      <c r="K231" s="84"/>
      <c r="L231" s="84"/>
      <c r="M231" s="84"/>
      <c r="N231" s="84"/>
      <c r="O231" s="84"/>
      <c r="P231" s="84"/>
      <c r="Q231" s="84"/>
      <c r="R231" s="84"/>
      <c r="S231" s="84"/>
      <c r="T231" s="84"/>
    </row>
    <row r="232" ht="15.75" customHeight="1">
      <c r="A232" s="84" t="s">
        <v>36175</v>
      </c>
      <c r="B232" s="84">
        <v>1.0</v>
      </c>
      <c r="C232" s="186"/>
      <c r="D232" s="187"/>
      <c r="E232" s="188"/>
      <c r="F232" s="189"/>
      <c r="G232" s="190"/>
      <c r="H232" s="190"/>
      <c r="I232" s="84"/>
      <c r="J232" s="84"/>
      <c r="K232" s="84"/>
      <c r="L232" s="84"/>
      <c r="M232" s="84"/>
      <c r="N232" s="84"/>
      <c r="O232" s="84"/>
      <c r="P232" s="84"/>
      <c r="Q232" s="84"/>
      <c r="R232" s="84"/>
      <c r="S232" s="84"/>
      <c r="T232" s="84"/>
    </row>
    <row r="233" ht="15.75" customHeight="1">
      <c r="A233" s="84" t="s">
        <v>36176</v>
      </c>
      <c r="B233" s="84">
        <v>1.0</v>
      </c>
      <c r="C233" s="186"/>
      <c r="D233" s="187"/>
      <c r="E233" s="188"/>
      <c r="F233" s="189"/>
      <c r="G233" s="190"/>
      <c r="H233" s="190"/>
      <c r="I233" s="84"/>
      <c r="J233" s="84"/>
      <c r="K233" s="84"/>
      <c r="L233" s="84"/>
      <c r="M233" s="84"/>
      <c r="N233" s="84"/>
      <c r="O233" s="84"/>
      <c r="P233" s="84"/>
      <c r="Q233" s="84"/>
      <c r="R233" s="84"/>
      <c r="S233" s="84"/>
      <c r="T233" s="84"/>
    </row>
    <row r="234" ht="15.75" customHeight="1">
      <c r="A234" s="84" t="s">
        <v>36177</v>
      </c>
      <c r="B234" s="84">
        <v>1.0</v>
      </c>
      <c r="C234" s="186"/>
      <c r="D234" s="187"/>
      <c r="E234" s="188"/>
      <c r="F234" s="189"/>
      <c r="G234" s="190"/>
      <c r="H234" s="190"/>
      <c r="I234" s="84"/>
      <c r="J234" s="84"/>
      <c r="K234" s="84"/>
      <c r="L234" s="84"/>
      <c r="M234" s="84"/>
      <c r="N234" s="84"/>
      <c r="O234" s="84"/>
      <c r="P234" s="84"/>
      <c r="Q234" s="84"/>
      <c r="R234" s="84"/>
      <c r="S234" s="84"/>
      <c r="T234" s="84"/>
    </row>
    <row r="235" ht="15.75" customHeight="1">
      <c r="A235" s="84" t="s">
        <v>36178</v>
      </c>
      <c r="B235" s="84">
        <v>1.0</v>
      </c>
      <c r="C235" s="186"/>
      <c r="D235" s="187"/>
      <c r="E235" s="188"/>
      <c r="F235" s="189"/>
      <c r="G235" s="190"/>
      <c r="H235" s="190"/>
      <c r="I235" s="84"/>
      <c r="J235" s="84"/>
      <c r="K235" s="84"/>
      <c r="L235" s="84"/>
      <c r="M235" s="84"/>
      <c r="N235" s="84"/>
      <c r="O235" s="84"/>
      <c r="P235" s="84"/>
      <c r="Q235" s="84"/>
      <c r="R235" s="84"/>
      <c r="S235" s="84"/>
      <c r="T235" s="84"/>
    </row>
    <row r="236" ht="15.75" customHeight="1">
      <c r="A236" s="84" t="s">
        <v>36180</v>
      </c>
      <c r="B236" s="84">
        <v>4.0</v>
      </c>
      <c r="C236" s="186"/>
      <c r="D236" s="187"/>
      <c r="E236" s="188"/>
      <c r="F236" s="189"/>
      <c r="G236" s="190"/>
      <c r="H236" s="190"/>
      <c r="I236" s="84"/>
      <c r="J236" s="84"/>
      <c r="K236" s="84"/>
      <c r="L236" s="84"/>
      <c r="M236" s="84"/>
      <c r="N236" s="84"/>
      <c r="O236" s="84"/>
      <c r="P236" s="84"/>
      <c r="Q236" s="84"/>
      <c r="R236" s="84"/>
      <c r="S236" s="84"/>
      <c r="T236" s="84"/>
    </row>
    <row r="237" ht="15.75" customHeight="1">
      <c r="A237" s="84" t="s">
        <v>36181</v>
      </c>
      <c r="B237" s="84">
        <v>1.0</v>
      </c>
      <c r="C237" s="186"/>
      <c r="D237" s="187"/>
      <c r="E237" s="188"/>
      <c r="F237" s="189"/>
      <c r="G237" s="190"/>
      <c r="H237" s="190"/>
      <c r="I237" s="84"/>
      <c r="J237" s="84"/>
      <c r="K237" s="84"/>
      <c r="L237" s="84"/>
      <c r="M237" s="84"/>
      <c r="N237" s="84"/>
      <c r="O237" s="84"/>
      <c r="P237" s="84"/>
      <c r="Q237" s="84"/>
      <c r="R237" s="84"/>
      <c r="S237" s="84"/>
      <c r="T237" s="84"/>
    </row>
    <row r="238" ht="15.75" customHeight="1">
      <c r="A238" s="84" t="s">
        <v>36182</v>
      </c>
      <c r="B238" s="84">
        <v>3.0</v>
      </c>
      <c r="C238" s="186"/>
      <c r="D238" s="187"/>
      <c r="E238" s="188"/>
      <c r="F238" s="189"/>
      <c r="G238" s="190"/>
      <c r="H238" s="190"/>
      <c r="I238" s="84"/>
      <c r="J238" s="84"/>
      <c r="K238" s="84"/>
      <c r="L238" s="84"/>
      <c r="M238" s="84"/>
      <c r="N238" s="84"/>
      <c r="O238" s="84"/>
      <c r="P238" s="84"/>
      <c r="Q238" s="84"/>
      <c r="R238" s="84"/>
      <c r="S238" s="84"/>
      <c r="T238" s="84"/>
    </row>
    <row r="239" ht="15.75" customHeight="1">
      <c r="A239" s="84" t="s">
        <v>36183</v>
      </c>
      <c r="B239" s="84">
        <v>1.0</v>
      </c>
      <c r="C239" s="186"/>
      <c r="D239" s="187"/>
      <c r="E239" s="188"/>
      <c r="F239" s="189"/>
      <c r="G239" s="190"/>
      <c r="H239" s="190"/>
      <c r="I239" s="84"/>
      <c r="J239" s="84"/>
      <c r="K239" s="84"/>
      <c r="L239" s="84"/>
      <c r="M239" s="84"/>
      <c r="N239" s="84"/>
      <c r="O239" s="84"/>
      <c r="P239" s="84"/>
      <c r="Q239" s="84"/>
      <c r="R239" s="84"/>
      <c r="S239" s="84"/>
      <c r="T239" s="84"/>
    </row>
    <row r="240" ht="15.75" customHeight="1">
      <c r="A240" s="84" t="s">
        <v>36184</v>
      </c>
      <c r="B240" s="84">
        <v>1.0</v>
      </c>
      <c r="C240" s="186"/>
      <c r="D240" s="187"/>
      <c r="E240" s="188"/>
      <c r="F240" s="189"/>
      <c r="G240" s="190"/>
      <c r="H240" s="190"/>
      <c r="I240" s="84"/>
      <c r="J240" s="84"/>
      <c r="K240" s="84"/>
      <c r="L240" s="84"/>
      <c r="M240" s="84"/>
      <c r="N240" s="84"/>
      <c r="O240" s="84"/>
      <c r="P240" s="84"/>
      <c r="Q240" s="84"/>
      <c r="R240" s="84"/>
      <c r="S240" s="84"/>
      <c r="T240" s="84"/>
    </row>
    <row r="241" ht="15.75" customHeight="1">
      <c r="A241" s="84" t="s">
        <v>36185</v>
      </c>
      <c r="B241" s="84">
        <v>1.0</v>
      </c>
      <c r="C241" s="186"/>
      <c r="D241" s="187"/>
      <c r="E241" s="188"/>
      <c r="F241" s="189"/>
      <c r="G241" s="190"/>
      <c r="H241" s="190"/>
      <c r="I241" s="84"/>
      <c r="J241" s="84"/>
      <c r="K241" s="84"/>
      <c r="L241" s="84"/>
      <c r="M241" s="84"/>
      <c r="N241" s="84"/>
      <c r="O241" s="84"/>
      <c r="P241" s="84"/>
      <c r="Q241" s="84"/>
      <c r="R241" s="84"/>
      <c r="S241" s="84"/>
      <c r="T241" s="84"/>
    </row>
    <row r="242" ht="15.75" customHeight="1">
      <c r="A242" s="84" t="s">
        <v>36186</v>
      </c>
      <c r="B242" s="84">
        <v>1.0</v>
      </c>
      <c r="C242" s="186"/>
      <c r="D242" s="187"/>
      <c r="E242" s="188"/>
      <c r="F242" s="189"/>
      <c r="G242" s="190"/>
      <c r="H242" s="190"/>
      <c r="I242" s="84"/>
      <c r="J242" s="84"/>
      <c r="K242" s="84"/>
      <c r="L242" s="84"/>
      <c r="M242" s="84"/>
      <c r="N242" s="84"/>
      <c r="O242" s="84"/>
      <c r="P242" s="84"/>
      <c r="Q242" s="84"/>
      <c r="R242" s="84"/>
      <c r="S242" s="84"/>
      <c r="T242" s="84"/>
    </row>
    <row r="243" ht="15.75" customHeight="1">
      <c r="A243" s="84" t="s">
        <v>36187</v>
      </c>
      <c r="B243" s="84">
        <v>1.0</v>
      </c>
      <c r="C243" s="186"/>
      <c r="D243" s="187"/>
      <c r="E243" s="188"/>
      <c r="F243" s="189"/>
      <c r="G243" s="190"/>
      <c r="H243" s="190"/>
      <c r="I243" s="84"/>
      <c r="J243" s="84"/>
      <c r="K243" s="84"/>
      <c r="L243" s="84"/>
      <c r="M243" s="84"/>
      <c r="N243" s="84"/>
      <c r="O243" s="84"/>
      <c r="P243" s="84"/>
      <c r="Q243" s="84"/>
      <c r="R243" s="84"/>
      <c r="S243" s="84"/>
      <c r="T243" s="84"/>
    </row>
    <row r="244" ht="15.75" customHeight="1">
      <c r="A244" s="84" t="s">
        <v>36188</v>
      </c>
      <c r="B244" s="84">
        <v>1.0</v>
      </c>
      <c r="C244" s="186"/>
      <c r="D244" s="187"/>
      <c r="E244" s="188"/>
      <c r="F244" s="189"/>
      <c r="G244" s="190"/>
      <c r="H244" s="190"/>
      <c r="I244" s="84"/>
      <c r="J244" s="84"/>
      <c r="K244" s="84"/>
      <c r="L244" s="84"/>
      <c r="M244" s="84"/>
      <c r="N244" s="84"/>
      <c r="O244" s="84"/>
      <c r="P244" s="84"/>
      <c r="Q244" s="84"/>
      <c r="R244" s="84"/>
      <c r="S244" s="84"/>
      <c r="T244" s="84"/>
    </row>
    <row r="245" ht="15.75" customHeight="1">
      <c r="A245" s="84" t="s">
        <v>36189</v>
      </c>
      <c r="B245" s="84">
        <v>1.0</v>
      </c>
      <c r="C245" s="186" t="s">
        <v>30659</v>
      </c>
      <c r="D245" s="187" t="s">
        <v>36190</v>
      </c>
      <c r="E245" s="188"/>
      <c r="F245" s="189"/>
      <c r="G245" s="190"/>
      <c r="H245" s="190"/>
      <c r="I245" s="84"/>
      <c r="J245" s="84"/>
      <c r="K245" s="84"/>
      <c r="L245" s="84"/>
      <c r="M245" s="84"/>
      <c r="N245" s="84"/>
      <c r="O245" s="84"/>
      <c r="P245" s="84"/>
      <c r="Q245" s="84"/>
      <c r="R245" s="84"/>
      <c r="S245" s="84"/>
      <c r="T245" s="84"/>
    </row>
    <row r="246" ht="15.75" customHeight="1">
      <c r="A246" s="84" t="s">
        <v>36191</v>
      </c>
      <c r="B246" s="84">
        <v>1.0</v>
      </c>
      <c r="C246" s="186"/>
      <c r="D246" s="187"/>
      <c r="E246" s="188"/>
      <c r="F246" s="189"/>
      <c r="G246" s="190"/>
      <c r="H246" s="190"/>
      <c r="I246" s="84"/>
      <c r="J246" s="84"/>
      <c r="K246" s="84"/>
      <c r="L246" s="84"/>
      <c r="M246" s="84"/>
      <c r="N246" s="84"/>
      <c r="O246" s="84"/>
      <c r="P246" s="84"/>
      <c r="Q246" s="84"/>
      <c r="R246" s="84"/>
      <c r="S246" s="84"/>
      <c r="T246" s="84"/>
    </row>
    <row r="247" ht="15.75" customHeight="1">
      <c r="A247" s="84" t="s">
        <v>36192</v>
      </c>
      <c r="B247" s="84">
        <v>1.0</v>
      </c>
      <c r="C247" s="186" t="s">
        <v>30659</v>
      </c>
      <c r="D247" s="187" t="s">
        <v>36191</v>
      </c>
      <c r="E247" s="188" t="s">
        <v>36193</v>
      </c>
      <c r="F247" s="189"/>
      <c r="G247" s="190"/>
      <c r="H247" s="190"/>
      <c r="I247" s="84"/>
      <c r="J247" s="84"/>
      <c r="K247" s="84"/>
      <c r="L247" s="84"/>
      <c r="M247" s="84"/>
      <c r="N247" s="84"/>
      <c r="O247" s="84"/>
      <c r="P247" s="84"/>
      <c r="Q247" s="84"/>
      <c r="R247" s="84"/>
      <c r="S247" s="84"/>
      <c r="T247" s="84"/>
    </row>
    <row r="248" ht="15.75" customHeight="1">
      <c r="A248" s="84" t="s">
        <v>36194</v>
      </c>
      <c r="B248" s="84">
        <v>1.0</v>
      </c>
      <c r="C248" s="186"/>
      <c r="D248" s="187"/>
      <c r="E248" s="188"/>
      <c r="F248" s="189"/>
      <c r="G248" s="190"/>
      <c r="H248" s="190"/>
      <c r="I248" s="84"/>
      <c r="J248" s="84"/>
      <c r="K248" s="84"/>
      <c r="L248" s="84"/>
      <c r="M248" s="84"/>
      <c r="N248" s="84"/>
      <c r="O248" s="84"/>
      <c r="P248" s="84"/>
      <c r="Q248" s="84"/>
      <c r="R248" s="84"/>
      <c r="S248" s="84"/>
      <c r="T248" s="84"/>
    </row>
    <row r="249" ht="15.75" customHeight="1">
      <c r="A249" s="84" t="s">
        <v>36195</v>
      </c>
      <c r="B249" s="84">
        <v>1.0</v>
      </c>
      <c r="C249" s="186"/>
      <c r="D249" s="187"/>
      <c r="E249" s="188"/>
      <c r="F249" s="189"/>
      <c r="G249" s="190"/>
      <c r="H249" s="190"/>
      <c r="I249" s="84"/>
      <c r="J249" s="84"/>
      <c r="K249" s="84"/>
      <c r="L249" s="84"/>
      <c r="M249" s="84"/>
      <c r="N249" s="84"/>
      <c r="O249" s="84"/>
      <c r="P249" s="84"/>
      <c r="Q249" s="84"/>
      <c r="R249" s="84"/>
      <c r="S249" s="84"/>
      <c r="T249" s="84"/>
    </row>
    <row r="250" ht="15.75" customHeight="1">
      <c r="A250" s="84" t="s">
        <v>36196</v>
      </c>
      <c r="B250" s="84">
        <v>1.0</v>
      </c>
      <c r="C250" s="186"/>
      <c r="D250" s="187"/>
      <c r="E250" s="188"/>
      <c r="F250" s="189"/>
      <c r="G250" s="190"/>
      <c r="H250" s="190"/>
      <c r="I250" s="84"/>
      <c r="J250" s="84"/>
      <c r="K250" s="84"/>
      <c r="L250" s="84"/>
      <c r="M250" s="84"/>
      <c r="N250" s="84"/>
      <c r="O250" s="84"/>
      <c r="P250" s="84"/>
      <c r="Q250" s="84"/>
      <c r="R250" s="84"/>
      <c r="S250" s="84"/>
      <c r="T250" s="84"/>
    </row>
    <row r="251" ht="15.75" customHeight="1">
      <c r="A251" s="84" t="s">
        <v>36197</v>
      </c>
      <c r="B251" s="84">
        <v>2.0</v>
      </c>
      <c r="C251" s="186" t="s">
        <v>30659</v>
      </c>
      <c r="D251" s="187" t="s">
        <v>36195</v>
      </c>
      <c r="E251" s="188"/>
      <c r="F251" s="189"/>
      <c r="G251" s="190"/>
      <c r="H251" s="190"/>
      <c r="I251" s="84"/>
      <c r="J251" s="84"/>
      <c r="K251" s="84"/>
      <c r="L251" s="84"/>
      <c r="M251" s="84"/>
      <c r="N251" s="84"/>
      <c r="O251" s="84"/>
      <c r="P251" s="84"/>
      <c r="Q251" s="84"/>
      <c r="R251" s="84"/>
      <c r="S251" s="84"/>
      <c r="T251" s="84"/>
    </row>
    <row r="252" ht="15.75" customHeight="1">
      <c r="A252" s="84" t="s">
        <v>36198</v>
      </c>
      <c r="B252" s="84">
        <v>3.0</v>
      </c>
      <c r="C252" s="186" t="s">
        <v>30659</v>
      </c>
      <c r="D252" s="187" t="s">
        <v>36199</v>
      </c>
      <c r="E252" s="188"/>
      <c r="F252" s="189"/>
      <c r="G252" s="190"/>
      <c r="H252" s="190"/>
      <c r="I252" s="84"/>
      <c r="J252" s="84"/>
      <c r="K252" s="84"/>
      <c r="L252" s="84"/>
      <c r="M252" s="84"/>
      <c r="N252" s="84"/>
      <c r="O252" s="84"/>
      <c r="P252" s="84"/>
      <c r="Q252" s="84"/>
      <c r="R252" s="84"/>
      <c r="S252" s="84"/>
      <c r="T252" s="84"/>
    </row>
    <row r="253" ht="15.75" customHeight="1">
      <c r="A253" s="84" t="s">
        <v>36200</v>
      </c>
      <c r="B253" s="84">
        <v>1.0</v>
      </c>
      <c r="C253" s="186"/>
      <c r="D253" s="187"/>
      <c r="E253" s="188"/>
      <c r="F253" s="189"/>
      <c r="G253" s="190"/>
      <c r="H253" s="190"/>
      <c r="I253" s="84"/>
      <c r="J253" s="84"/>
      <c r="K253" s="84"/>
      <c r="L253" s="84"/>
      <c r="M253" s="84"/>
      <c r="N253" s="84"/>
      <c r="O253" s="84"/>
      <c r="P253" s="84"/>
      <c r="Q253" s="84"/>
      <c r="R253" s="84"/>
      <c r="S253" s="84"/>
      <c r="T253" s="84"/>
    </row>
    <row r="254" ht="15.75" customHeight="1">
      <c r="A254" s="84" t="s">
        <v>36201</v>
      </c>
      <c r="B254" s="84">
        <v>1.0</v>
      </c>
      <c r="C254" s="186" t="s">
        <v>30659</v>
      </c>
      <c r="D254" s="187" t="s">
        <v>36200</v>
      </c>
      <c r="E254" s="188"/>
      <c r="F254" s="189"/>
      <c r="G254" s="190"/>
      <c r="H254" s="190"/>
      <c r="I254" s="84"/>
      <c r="J254" s="84"/>
      <c r="K254" s="84"/>
      <c r="L254" s="84"/>
      <c r="M254" s="84"/>
      <c r="N254" s="84"/>
      <c r="O254" s="84"/>
      <c r="P254" s="84"/>
      <c r="Q254" s="84"/>
      <c r="R254" s="84"/>
      <c r="S254" s="84"/>
      <c r="T254" s="84"/>
    </row>
    <row r="255" ht="15.75" customHeight="1">
      <c r="A255" s="84" t="s">
        <v>36203</v>
      </c>
      <c r="B255" s="84">
        <v>1.0</v>
      </c>
      <c r="C255" s="186"/>
      <c r="D255" s="187"/>
      <c r="E255" s="188"/>
      <c r="F255" s="189"/>
      <c r="G255" s="190"/>
      <c r="H255" s="190"/>
      <c r="I255" s="84"/>
      <c r="J255" s="84"/>
      <c r="K255" s="84"/>
      <c r="L255" s="84"/>
      <c r="M255" s="84"/>
      <c r="N255" s="84"/>
      <c r="O255" s="84"/>
      <c r="P255" s="84"/>
      <c r="Q255" s="84"/>
      <c r="R255" s="84"/>
      <c r="S255" s="84"/>
      <c r="T255" s="84"/>
    </row>
    <row r="256" ht="15.75" customHeight="1">
      <c r="A256" s="84" t="s">
        <v>36204</v>
      </c>
      <c r="B256" s="84">
        <v>1.0</v>
      </c>
      <c r="C256" s="186"/>
      <c r="D256" s="187"/>
      <c r="E256" s="188"/>
      <c r="F256" s="189"/>
      <c r="G256" s="190"/>
      <c r="H256" s="190"/>
      <c r="I256" s="84"/>
      <c r="J256" s="84"/>
      <c r="K256" s="84"/>
      <c r="L256" s="84"/>
      <c r="M256" s="84"/>
      <c r="N256" s="84"/>
      <c r="O256" s="84"/>
      <c r="P256" s="84"/>
      <c r="Q256" s="84"/>
      <c r="R256" s="84"/>
      <c r="S256" s="84"/>
      <c r="T256" s="84"/>
    </row>
    <row r="257" ht="15.75" customHeight="1">
      <c r="A257" s="84" t="s">
        <v>36205</v>
      </c>
      <c r="B257" s="84">
        <v>1.0</v>
      </c>
      <c r="C257" s="186"/>
      <c r="D257" s="187"/>
      <c r="E257" s="188"/>
      <c r="F257" s="189"/>
      <c r="G257" s="190"/>
      <c r="H257" s="190"/>
      <c r="I257" s="84"/>
      <c r="J257" s="84"/>
      <c r="K257" s="84"/>
      <c r="L257" s="84"/>
      <c r="M257" s="84"/>
      <c r="N257" s="84"/>
      <c r="O257" s="84"/>
      <c r="P257" s="84"/>
      <c r="Q257" s="84"/>
      <c r="R257" s="84"/>
      <c r="S257" s="84"/>
      <c r="T257" s="84"/>
    </row>
    <row r="258" ht="15.75" customHeight="1">
      <c r="A258" s="84" t="s">
        <v>36206</v>
      </c>
      <c r="B258" s="84">
        <v>2.0</v>
      </c>
      <c r="C258" s="186"/>
      <c r="D258" s="187"/>
      <c r="E258" s="188"/>
      <c r="F258" s="189"/>
      <c r="G258" s="190"/>
      <c r="H258" s="190"/>
      <c r="I258" s="84"/>
      <c r="J258" s="84"/>
      <c r="K258" s="84"/>
      <c r="L258" s="84"/>
      <c r="M258" s="84"/>
      <c r="N258" s="84"/>
      <c r="O258" s="84"/>
      <c r="P258" s="84"/>
      <c r="Q258" s="84"/>
      <c r="R258" s="84"/>
      <c r="S258" s="84"/>
      <c r="T258" s="84"/>
    </row>
    <row r="259" ht="15.75" customHeight="1">
      <c r="A259" s="84" t="s">
        <v>36207</v>
      </c>
      <c r="B259" s="84">
        <v>1.0</v>
      </c>
      <c r="C259" s="186"/>
      <c r="D259" s="187"/>
      <c r="E259" s="188"/>
      <c r="F259" s="189"/>
      <c r="G259" s="190"/>
      <c r="H259" s="190"/>
      <c r="I259" s="84"/>
      <c r="J259" s="84"/>
      <c r="K259" s="84"/>
      <c r="L259" s="84"/>
      <c r="M259" s="84"/>
      <c r="N259" s="84"/>
      <c r="O259" s="84"/>
      <c r="P259" s="84"/>
      <c r="Q259" s="84"/>
      <c r="R259" s="84"/>
      <c r="S259" s="84"/>
      <c r="T259" s="84"/>
    </row>
    <row r="260" ht="15.75" customHeight="1">
      <c r="A260" s="84" t="s">
        <v>36208</v>
      </c>
      <c r="B260" s="84">
        <v>1.0</v>
      </c>
      <c r="C260" s="186"/>
      <c r="D260" s="187"/>
      <c r="E260" s="188"/>
      <c r="F260" s="189"/>
      <c r="G260" s="190"/>
      <c r="H260" s="190"/>
      <c r="I260" s="84"/>
      <c r="J260" s="84"/>
      <c r="K260" s="84"/>
      <c r="L260" s="84"/>
      <c r="M260" s="84"/>
      <c r="N260" s="84"/>
      <c r="O260" s="84"/>
      <c r="P260" s="84"/>
      <c r="Q260" s="84"/>
      <c r="R260" s="84"/>
      <c r="S260" s="84"/>
      <c r="T260" s="84"/>
    </row>
    <row r="261" ht="15.75" customHeight="1">
      <c r="A261" s="84" t="s">
        <v>36209</v>
      </c>
      <c r="B261" s="84">
        <v>1.0</v>
      </c>
      <c r="C261" s="186"/>
      <c r="D261" s="187"/>
      <c r="E261" s="188"/>
      <c r="F261" s="189"/>
      <c r="G261" s="190"/>
      <c r="H261" s="190"/>
      <c r="I261" s="84"/>
      <c r="J261" s="84"/>
      <c r="K261" s="84"/>
      <c r="L261" s="84"/>
      <c r="M261" s="84"/>
      <c r="N261" s="84"/>
      <c r="O261" s="84"/>
      <c r="P261" s="84"/>
      <c r="Q261" s="84"/>
      <c r="R261" s="84"/>
      <c r="S261" s="84"/>
      <c r="T261" s="84"/>
    </row>
    <row r="262" ht="15.75" customHeight="1">
      <c r="A262" s="84" t="s">
        <v>36211</v>
      </c>
      <c r="B262" s="84">
        <v>1.0</v>
      </c>
      <c r="C262" s="186"/>
      <c r="D262" s="187"/>
      <c r="E262" s="188"/>
      <c r="F262" s="189"/>
      <c r="G262" s="190"/>
      <c r="H262" s="190"/>
      <c r="I262" s="84"/>
      <c r="J262" s="84"/>
      <c r="K262" s="84"/>
      <c r="L262" s="84"/>
      <c r="M262" s="84"/>
      <c r="N262" s="84"/>
      <c r="O262" s="84"/>
      <c r="P262" s="84"/>
      <c r="Q262" s="84"/>
      <c r="R262" s="84"/>
      <c r="S262" s="84"/>
      <c r="T262" s="84"/>
    </row>
    <row r="263" ht="15.75" customHeight="1">
      <c r="A263" s="84" t="s">
        <v>36212</v>
      </c>
      <c r="B263" s="84">
        <v>1.0</v>
      </c>
      <c r="C263" s="186"/>
      <c r="D263" s="187"/>
      <c r="E263" s="188"/>
      <c r="F263" s="189"/>
      <c r="G263" s="190"/>
      <c r="H263" s="190"/>
      <c r="I263" s="84"/>
      <c r="J263" s="84"/>
      <c r="K263" s="84"/>
      <c r="L263" s="84"/>
      <c r="M263" s="84"/>
      <c r="N263" s="84"/>
      <c r="O263" s="84"/>
      <c r="P263" s="84"/>
      <c r="Q263" s="84"/>
      <c r="R263" s="84"/>
      <c r="S263" s="84"/>
      <c r="T263" s="84"/>
    </row>
    <row r="264" ht="15.75" customHeight="1">
      <c r="A264" s="84" t="s">
        <v>36213</v>
      </c>
      <c r="B264" s="84">
        <v>1.0</v>
      </c>
      <c r="C264" s="186"/>
      <c r="D264" s="187"/>
      <c r="E264" s="188"/>
      <c r="F264" s="189"/>
      <c r="G264" s="190"/>
      <c r="H264" s="190"/>
      <c r="I264" s="84"/>
      <c r="J264" s="84"/>
      <c r="K264" s="84"/>
      <c r="L264" s="84"/>
      <c r="M264" s="84"/>
      <c r="N264" s="84"/>
      <c r="O264" s="84"/>
      <c r="P264" s="84"/>
      <c r="Q264" s="84"/>
      <c r="R264" s="84"/>
      <c r="S264" s="84"/>
      <c r="T264" s="84"/>
    </row>
    <row r="265" ht="15.75" customHeight="1">
      <c r="A265" s="84" t="s">
        <v>36214</v>
      </c>
      <c r="B265" s="84">
        <v>1.0</v>
      </c>
      <c r="C265" s="186"/>
      <c r="D265" s="187"/>
      <c r="E265" s="188"/>
      <c r="F265" s="189"/>
      <c r="G265" s="190"/>
      <c r="H265" s="190"/>
      <c r="I265" s="84"/>
      <c r="J265" s="84"/>
      <c r="K265" s="84"/>
      <c r="L265" s="84"/>
      <c r="M265" s="84"/>
      <c r="N265" s="84"/>
      <c r="O265" s="84"/>
      <c r="P265" s="84"/>
      <c r="Q265" s="84"/>
      <c r="R265" s="84"/>
      <c r="S265" s="84"/>
      <c r="T265" s="84"/>
    </row>
    <row r="266" ht="15.75" customHeight="1">
      <c r="A266" s="84" t="s">
        <v>36215</v>
      </c>
      <c r="B266" s="84">
        <v>1.0</v>
      </c>
      <c r="C266" s="186"/>
      <c r="D266" s="187"/>
      <c r="E266" s="188"/>
      <c r="F266" s="189"/>
      <c r="G266" s="190"/>
      <c r="H266" s="190"/>
      <c r="I266" s="84"/>
      <c r="J266" s="84"/>
      <c r="K266" s="84"/>
      <c r="L266" s="84"/>
      <c r="M266" s="84"/>
      <c r="N266" s="84"/>
      <c r="O266" s="84"/>
      <c r="P266" s="84"/>
      <c r="Q266" s="84"/>
      <c r="R266" s="84"/>
      <c r="S266" s="84"/>
      <c r="T266" s="84"/>
    </row>
    <row r="267" ht="15.75" customHeight="1">
      <c r="A267" s="84" t="s">
        <v>36216</v>
      </c>
      <c r="B267" s="84">
        <v>1.0</v>
      </c>
      <c r="C267" s="186"/>
      <c r="D267" s="187"/>
      <c r="E267" s="188"/>
      <c r="F267" s="189"/>
      <c r="G267" s="190"/>
      <c r="H267" s="190"/>
      <c r="I267" s="84"/>
      <c r="J267" s="84"/>
      <c r="K267" s="84"/>
      <c r="L267" s="84"/>
      <c r="M267" s="84"/>
      <c r="N267" s="84"/>
      <c r="O267" s="84"/>
      <c r="P267" s="84"/>
      <c r="Q267" s="84"/>
      <c r="R267" s="84"/>
      <c r="S267" s="84"/>
      <c r="T267" s="84"/>
    </row>
    <row r="268" ht="15.75" customHeight="1">
      <c r="A268" s="84" t="s">
        <v>36218</v>
      </c>
      <c r="B268" s="84">
        <v>1.0</v>
      </c>
      <c r="C268" s="186"/>
      <c r="D268" s="187"/>
      <c r="E268" s="188"/>
      <c r="F268" s="189"/>
      <c r="G268" s="190"/>
      <c r="H268" s="190"/>
      <c r="I268" s="84"/>
      <c r="J268" s="84"/>
      <c r="K268" s="84"/>
      <c r="L268" s="84"/>
      <c r="M268" s="84"/>
      <c r="N268" s="84"/>
      <c r="O268" s="84"/>
      <c r="P268" s="84"/>
      <c r="Q268" s="84"/>
      <c r="R268" s="84"/>
      <c r="S268" s="84"/>
      <c r="T268" s="84"/>
    </row>
    <row r="269" ht="15.75" customHeight="1">
      <c r="A269" s="84" t="s">
        <v>36219</v>
      </c>
      <c r="B269" s="84">
        <v>1.0</v>
      </c>
      <c r="C269" s="186"/>
      <c r="D269" s="187"/>
      <c r="E269" s="188"/>
      <c r="F269" s="189"/>
      <c r="G269" s="190"/>
      <c r="H269" s="190"/>
      <c r="I269" s="84"/>
      <c r="J269" s="84"/>
      <c r="K269" s="84"/>
      <c r="L269" s="84"/>
      <c r="M269" s="84"/>
      <c r="N269" s="84"/>
      <c r="O269" s="84"/>
      <c r="P269" s="84"/>
      <c r="Q269" s="84"/>
      <c r="R269" s="84"/>
      <c r="S269" s="84"/>
      <c r="T269" s="84"/>
    </row>
    <row r="270" ht="15.75" customHeight="1">
      <c r="A270" s="84" t="s">
        <v>36220</v>
      </c>
      <c r="B270" s="84">
        <v>1.0</v>
      </c>
      <c r="C270" s="186"/>
      <c r="D270" s="187"/>
      <c r="E270" s="188"/>
      <c r="F270" s="189"/>
      <c r="G270" s="190"/>
      <c r="H270" s="190"/>
      <c r="I270" s="84"/>
      <c r="J270" s="84"/>
      <c r="K270" s="84"/>
      <c r="L270" s="84"/>
      <c r="M270" s="84"/>
      <c r="N270" s="84"/>
      <c r="O270" s="84"/>
      <c r="P270" s="84"/>
      <c r="Q270" s="84"/>
      <c r="R270" s="84"/>
      <c r="S270" s="84"/>
      <c r="T270" s="84"/>
    </row>
    <row r="271" ht="15.75" customHeight="1">
      <c r="A271" s="84" t="s">
        <v>36221</v>
      </c>
      <c r="B271" s="84">
        <v>1.0</v>
      </c>
      <c r="C271" s="186"/>
      <c r="D271" s="187"/>
      <c r="E271" s="188"/>
      <c r="F271" s="189"/>
      <c r="G271" s="190"/>
      <c r="H271" s="190"/>
      <c r="I271" s="84"/>
      <c r="J271" s="84"/>
      <c r="K271" s="84"/>
      <c r="L271" s="84"/>
      <c r="M271" s="84"/>
      <c r="N271" s="84"/>
      <c r="O271" s="84"/>
      <c r="P271" s="84"/>
      <c r="Q271" s="84"/>
      <c r="R271" s="84"/>
      <c r="S271" s="84"/>
      <c r="T271" s="84"/>
    </row>
    <row r="272" ht="15.75" customHeight="1">
      <c r="A272" s="84" t="s">
        <v>36222</v>
      </c>
      <c r="B272" s="84">
        <v>1.0</v>
      </c>
      <c r="C272" s="186"/>
      <c r="D272" s="187"/>
      <c r="E272" s="188"/>
      <c r="F272" s="189"/>
      <c r="G272" s="190"/>
      <c r="H272" s="190"/>
      <c r="I272" s="84"/>
      <c r="J272" s="84"/>
      <c r="K272" s="84"/>
      <c r="L272" s="84"/>
      <c r="M272" s="84"/>
      <c r="N272" s="84"/>
      <c r="O272" s="84"/>
      <c r="P272" s="84"/>
      <c r="Q272" s="84"/>
      <c r="R272" s="84"/>
      <c r="S272" s="84"/>
      <c r="T272" s="84"/>
    </row>
    <row r="273" ht="15.75" customHeight="1">
      <c r="A273" s="84" t="s">
        <v>36223</v>
      </c>
      <c r="B273" s="84">
        <v>1.0</v>
      </c>
      <c r="C273" s="186"/>
      <c r="D273" s="187"/>
      <c r="E273" s="188"/>
      <c r="F273" s="189"/>
      <c r="G273" s="190"/>
      <c r="H273" s="190"/>
      <c r="I273" s="84"/>
      <c r="J273" s="84"/>
      <c r="K273" s="84"/>
      <c r="L273" s="84"/>
      <c r="M273" s="84"/>
      <c r="N273" s="84"/>
      <c r="O273" s="84"/>
      <c r="P273" s="84"/>
      <c r="Q273" s="84"/>
      <c r="R273" s="84"/>
      <c r="S273" s="84"/>
      <c r="T273" s="84"/>
    </row>
    <row r="274" ht="15.75" customHeight="1">
      <c r="A274" s="84" t="s">
        <v>36224</v>
      </c>
      <c r="B274" s="84">
        <v>1.0</v>
      </c>
      <c r="C274" s="186"/>
      <c r="D274" s="187"/>
      <c r="E274" s="188"/>
      <c r="F274" s="189"/>
      <c r="G274" s="190"/>
      <c r="H274" s="190"/>
      <c r="I274" s="84"/>
      <c r="J274" s="84"/>
      <c r="K274" s="84"/>
      <c r="L274" s="84"/>
      <c r="M274" s="84"/>
      <c r="N274" s="84"/>
      <c r="O274" s="84"/>
      <c r="P274" s="84"/>
      <c r="Q274" s="84"/>
      <c r="R274" s="84"/>
      <c r="S274" s="84"/>
      <c r="T274" s="84"/>
    </row>
    <row r="275" ht="15.75" customHeight="1">
      <c r="A275" s="84" t="s">
        <v>36226</v>
      </c>
      <c r="B275" s="84">
        <v>8.0</v>
      </c>
      <c r="C275" s="186"/>
      <c r="D275" s="187"/>
      <c r="E275" s="188"/>
      <c r="F275" s="189"/>
      <c r="G275" s="190"/>
      <c r="H275" s="190"/>
      <c r="I275" s="84"/>
      <c r="J275" s="84"/>
      <c r="K275" s="84"/>
      <c r="L275" s="84"/>
      <c r="M275" s="84"/>
      <c r="N275" s="84"/>
      <c r="O275" s="84"/>
      <c r="P275" s="84"/>
      <c r="Q275" s="84"/>
      <c r="R275" s="84"/>
      <c r="S275" s="84"/>
      <c r="T275" s="84"/>
    </row>
    <row r="276" ht="15.75" customHeight="1">
      <c r="A276" s="84" t="s">
        <v>36227</v>
      </c>
      <c r="B276" s="84">
        <v>1.0</v>
      </c>
      <c r="C276" s="186"/>
      <c r="D276" s="187"/>
      <c r="E276" s="188"/>
      <c r="F276" s="189"/>
      <c r="G276" s="190"/>
      <c r="H276" s="190"/>
      <c r="I276" s="84"/>
      <c r="J276" s="84"/>
      <c r="K276" s="84"/>
      <c r="L276" s="84"/>
      <c r="M276" s="84"/>
      <c r="N276" s="84"/>
      <c r="O276" s="84"/>
      <c r="P276" s="84"/>
      <c r="Q276" s="84"/>
      <c r="R276" s="84"/>
      <c r="S276" s="84"/>
      <c r="T276" s="84"/>
    </row>
    <row r="277" ht="15.75" customHeight="1">
      <c r="A277" s="84" t="s">
        <v>36228</v>
      </c>
      <c r="B277" s="84">
        <v>1.0</v>
      </c>
      <c r="C277" s="186"/>
      <c r="D277" s="187"/>
      <c r="E277" s="188"/>
      <c r="F277" s="189"/>
      <c r="G277" s="190"/>
      <c r="H277" s="190"/>
      <c r="I277" s="84"/>
      <c r="J277" s="84"/>
      <c r="K277" s="84"/>
      <c r="L277" s="84"/>
      <c r="M277" s="84"/>
      <c r="N277" s="84"/>
      <c r="O277" s="84"/>
      <c r="P277" s="84"/>
      <c r="Q277" s="84"/>
      <c r="R277" s="84"/>
      <c r="S277" s="84"/>
      <c r="T277" s="84"/>
    </row>
    <row r="278" ht="15.75" customHeight="1">
      <c r="A278" s="84" t="s">
        <v>36229</v>
      </c>
      <c r="B278" s="84">
        <v>1.0</v>
      </c>
      <c r="C278" s="186"/>
      <c r="D278" s="187"/>
      <c r="E278" s="188"/>
      <c r="F278" s="189"/>
      <c r="G278" s="190"/>
      <c r="H278" s="190"/>
      <c r="I278" s="84"/>
      <c r="J278" s="84"/>
      <c r="K278" s="84"/>
      <c r="L278" s="84"/>
      <c r="M278" s="84"/>
      <c r="N278" s="84"/>
      <c r="O278" s="84"/>
      <c r="P278" s="84"/>
      <c r="Q278" s="84"/>
      <c r="R278" s="84"/>
      <c r="S278" s="84"/>
      <c r="T278" s="84"/>
    </row>
    <row r="279" ht="15.75" customHeight="1">
      <c r="A279" s="84" t="s">
        <v>36230</v>
      </c>
      <c r="B279" s="84">
        <v>1.0</v>
      </c>
      <c r="C279" s="186"/>
      <c r="D279" s="187"/>
      <c r="E279" s="188"/>
      <c r="F279" s="189"/>
      <c r="G279" s="190"/>
      <c r="H279" s="190"/>
      <c r="I279" s="84"/>
      <c r="J279" s="84"/>
      <c r="K279" s="84"/>
      <c r="L279" s="84"/>
      <c r="M279" s="84"/>
      <c r="N279" s="84"/>
      <c r="O279" s="84"/>
      <c r="P279" s="84"/>
      <c r="Q279" s="84"/>
      <c r="R279" s="84"/>
      <c r="S279" s="84"/>
      <c r="T279" s="84"/>
    </row>
    <row r="280" ht="15.75" customHeight="1">
      <c r="A280" s="84" t="s">
        <v>36231</v>
      </c>
      <c r="B280" s="84">
        <v>1.0</v>
      </c>
      <c r="C280" s="186"/>
      <c r="D280" s="187"/>
      <c r="E280" s="188"/>
      <c r="F280" s="189"/>
      <c r="G280" s="190"/>
      <c r="H280" s="190"/>
      <c r="I280" s="84"/>
      <c r="J280" s="84"/>
      <c r="K280" s="84"/>
      <c r="L280" s="84"/>
      <c r="M280" s="84"/>
      <c r="N280" s="84"/>
      <c r="O280" s="84"/>
      <c r="P280" s="84"/>
      <c r="Q280" s="84"/>
      <c r="R280" s="84"/>
      <c r="S280" s="84"/>
      <c r="T280" s="84"/>
    </row>
    <row r="281" ht="15.75" customHeight="1">
      <c r="A281" s="84" t="s">
        <v>36232</v>
      </c>
      <c r="B281" s="84">
        <v>1.0</v>
      </c>
      <c r="C281" s="186" t="s">
        <v>30659</v>
      </c>
      <c r="D281" s="187" t="s">
        <v>36233</v>
      </c>
      <c r="E281" s="188"/>
      <c r="F281" s="189"/>
      <c r="G281" s="190"/>
      <c r="H281" s="190"/>
      <c r="I281" s="84"/>
      <c r="J281" s="84"/>
      <c r="K281" s="84"/>
      <c r="L281" s="84"/>
      <c r="M281" s="84"/>
      <c r="N281" s="84"/>
      <c r="O281" s="84"/>
      <c r="P281" s="84"/>
      <c r="Q281" s="84"/>
      <c r="R281" s="84"/>
      <c r="S281" s="84"/>
      <c r="T281" s="84"/>
    </row>
    <row r="282" ht="15.75" customHeight="1">
      <c r="A282" s="84" t="s">
        <v>36233</v>
      </c>
      <c r="B282" s="84">
        <v>9.0</v>
      </c>
      <c r="C282" s="186"/>
      <c r="D282" s="187"/>
      <c r="E282" s="188"/>
      <c r="F282" s="189"/>
      <c r="G282" s="190"/>
      <c r="H282" s="190"/>
      <c r="I282" s="84"/>
      <c r="J282" s="84"/>
      <c r="K282" s="84"/>
      <c r="L282" s="84"/>
      <c r="M282" s="84"/>
      <c r="N282" s="84"/>
      <c r="O282" s="84"/>
      <c r="P282" s="84"/>
      <c r="Q282" s="84"/>
      <c r="R282" s="84"/>
      <c r="S282" s="84"/>
      <c r="T282" s="84"/>
    </row>
    <row r="283" ht="15.75" customHeight="1">
      <c r="A283" s="84" t="s">
        <v>36235</v>
      </c>
      <c r="B283" s="84">
        <v>1.0</v>
      </c>
      <c r="C283" s="186"/>
      <c r="D283" s="187"/>
      <c r="E283" s="188"/>
      <c r="F283" s="189"/>
      <c r="G283" s="190"/>
      <c r="H283" s="190"/>
      <c r="I283" s="84"/>
      <c r="J283" s="84"/>
      <c r="K283" s="84"/>
      <c r="L283" s="84"/>
      <c r="M283" s="84"/>
      <c r="N283" s="84"/>
      <c r="O283" s="84"/>
      <c r="P283" s="84"/>
      <c r="Q283" s="84"/>
      <c r="R283" s="84"/>
      <c r="S283" s="84"/>
      <c r="T283" s="84"/>
    </row>
    <row r="284" ht="15.75" customHeight="1">
      <c r="A284" s="84" t="s">
        <v>36236</v>
      </c>
      <c r="B284" s="84">
        <v>1.0</v>
      </c>
      <c r="C284" s="186"/>
      <c r="D284" s="187"/>
      <c r="E284" s="188"/>
      <c r="F284" s="189"/>
      <c r="G284" s="190"/>
      <c r="H284" s="190"/>
      <c r="I284" s="84"/>
      <c r="J284" s="84"/>
      <c r="K284" s="84"/>
      <c r="L284" s="84"/>
      <c r="M284" s="84"/>
      <c r="N284" s="84"/>
      <c r="O284" s="84"/>
      <c r="P284" s="84"/>
      <c r="Q284" s="84"/>
      <c r="R284" s="84"/>
      <c r="S284" s="84"/>
      <c r="T284" s="84"/>
    </row>
    <row r="285" ht="15.75" customHeight="1">
      <c r="A285" s="84" t="s">
        <v>36237</v>
      </c>
      <c r="B285" s="84">
        <v>1.0</v>
      </c>
      <c r="C285" s="186"/>
      <c r="D285" s="187"/>
      <c r="E285" s="188"/>
      <c r="F285" s="189"/>
      <c r="G285" s="190"/>
      <c r="H285" s="190"/>
      <c r="I285" s="84"/>
      <c r="J285" s="84"/>
      <c r="K285" s="84"/>
      <c r="L285" s="84"/>
      <c r="M285" s="84"/>
      <c r="N285" s="84"/>
      <c r="O285" s="84"/>
      <c r="P285" s="84"/>
      <c r="Q285" s="84"/>
      <c r="R285" s="84"/>
      <c r="S285" s="84"/>
      <c r="T285" s="84"/>
    </row>
    <row r="286" ht="15.75" customHeight="1">
      <c r="A286" s="84" t="s">
        <v>36238</v>
      </c>
      <c r="B286" s="84">
        <v>1.0</v>
      </c>
      <c r="C286" s="186"/>
      <c r="D286" s="187"/>
      <c r="E286" s="188"/>
      <c r="F286" s="189"/>
      <c r="G286" s="190"/>
      <c r="H286" s="190"/>
      <c r="I286" s="84"/>
      <c r="J286" s="84"/>
      <c r="K286" s="84"/>
      <c r="L286" s="84"/>
      <c r="M286" s="84"/>
      <c r="N286" s="84"/>
      <c r="O286" s="84"/>
      <c r="P286" s="84"/>
      <c r="Q286" s="84"/>
      <c r="R286" s="84"/>
      <c r="S286" s="84"/>
      <c r="T286" s="84"/>
    </row>
    <row r="287" ht="15.75" customHeight="1">
      <c r="A287" s="84" t="s">
        <v>36239</v>
      </c>
      <c r="B287" s="84">
        <v>1.0</v>
      </c>
      <c r="C287" s="186"/>
      <c r="D287" s="187"/>
      <c r="E287" s="188"/>
      <c r="F287" s="189"/>
      <c r="G287" s="190"/>
      <c r="H287" s="190"/>
      <c r="I287" s="84"/>
      <c r="J287" s="84"/>
      <c r="K287" s="84"/>
      <c r="L287" s="84"/>
      <c r="M287" s="84"/>
      <c r="N287" s="84"/>
      <c r="O287" s="84"/>
      <c r="P287" s="84"/>
      <c r="Q287" s="84"/>
      <c r="R287" s="84"/>
      <c r="S287" s="84"/>
      <c r="T287" s="84"/>
    </row>
    <row r="288" ht="15.75" customHeight="1">
      <c r="A288" s="84" t="s">
        <v>36240</v>
      </c>
      <c r="B288" s="84">
        <v>2.0</v>
      </c>
      <c r="C288" s="186"/>
      <c r="D288" s="187"/>
      <c r="E288" s="188"/>
      <c r="F288" s="189"/>
      <c r="G288" s="190"/>
      <c r="H288" s="190"/>
      <c r="I288" s="84"/>
      <c r="J288" s="84"/>
      <c r="K288" s="84"/>
      <c r="L288" s="84"/>
      <c r="M288" s="84"/>
      <c r="N288" s="84"/>
      <c r="O288" s="84"/>
      <c r="P288" s="84"/>
      <c r="Q288" s="84"/>
      <c r="R288" s="84"/>
      <c r="S288" s="84"/>
      <c r="T288" s="84"/>
    </row>
    <row r="289" ht="15.75" customHeight="1">
      <c r="A289" s="84" t="s">
        <v>36241</v>
      </c>
      <c r="B289" s="84">
        <v>1.0</v>
      </c>
      <c r="C289" s="186"/>
      <c r="D289" s="187"/>
      <c r="E289" s="188"/>
      <c r="F289" s="189"/>
      <c r="G289" s="190"/>
      <c r="H289" s="190"/>
      <c r="I289" s="84"/>
      <c r="J289" s="84"/>
      <c r="K289" s="84"/>
      <c r="L289" s="84"/>
      <c r="M289" s="84"/>
      <c r="N289" s="84"/>
      <c r="O289" s="84"/>
      <c r="P289" s="84"/>
      <c r="Q289" s="84"/>
      <c r="R289" s="84"/>
      <c r="S289" s="84"/>
      <c r="T289" s="84"/>
    </row>
    <row r="290" ht="15.75" customHeight="1">
      <c r="A290" s="84" t="s">
        <v>36243</v>
      </c>
      <c r="B290" s="84">
        <v>1.0</v>
      </c>
      <c r="C290" s="186"/>
      <c r="D290" s="187"/>
      <c r="E290" s="188"/>
      <c r="F290" s="189"/>
      <c r="G290" s="190"/>
      <c r="H290" s="190"/>
      <c r="I290" s="84"/>
      <c r="J290" s="84"/>
      <c r="K290" s="84"/>
      <c r="L290" s="84"/>
      <c r="M290" s="84"/>
      <c r="N290" s="84"/>
      <c r="O290" s="84"/>
      <c r="P290" s="84"/>
      <c r="Q290" s="84"/>
      <c r="R290" s="84"/>
      <c r="S290" s="84"/>
      <c r="T290" s="84"/>
    </row>
    <row r="291" ht="15.75" customHeight="1">
      <c r="A291" s="84" t="s">
        <v>36244</v>
      </c>
      <c r="B291" s="84">
        <v>1.0</v>
      </c>
      <c r="C291" s="186" t="s">
        <v>30659</v>
      </c>
      <c r="D291" s="187" t="s">
        <v>36245</v>
      </c>
      <c r="E291" s="188"/>
      <c r="F291" s="189"/>
      <c r="G291" s="190"/>
      <c r="H291" s="190"/>
      <c r="I291" s="84"/>
      <c r="J291" s="84"/>
      <c r="K291" s="84"/>
      <c r="L291" s="84"/>
      <c r="M291" s="84"/>
      <c r="N291" s="84"/>
      <c r="O291" s="84"/>
      <c r="P291" s="84"/>
      <c r="Q291" s="84"/>
      <c r="R291" s="84"/>
      <c r="S291" s="84"/>
      <c r="T291" s="84"/>
    </row>
    <row r="292" ht="15.75" customHeight="1">
      <c r="A292" s="84" t="s">
        <v>36245</v>
      </c>
      <c r="B292" s="84">
        <v>2.0</v>
      </c>
      <c r="C292" s="186"/>
      <c r="D292" s="187"/>
      <c r="E292" s="188"/>
      <c r="F292" s="189"/>
      <c r="G292" s="190"/>
      <c r="H292" s="190"/>
      <c r="I292" s="84"/>
      <c r="J292" s="84"/>
      <c r="K292" s="84"/>
      <c r="L292" s="84"/>
      <c r="M292" s="84"/>
      <c r="N292" s="84"/>
      <c r="O292" s="84"/>
      <c r="P292" s="84"/>
      <c r="Q292" s="84"/>
      <c r="R292" s="84"/>
      <c r="S292" s="84"/>
      <c r="T292" s="84"/>
    </row>
    <row r="293" ht="15.75" customHeight="1">
      <c r="A293" s="84" t="s">
        <v>36246</v>
      </c>
      <c r="B293" s="84">
        <v>2.0</v>
      </c>
      <c r="C293" s="186"/>
      <c r="D293" s="187"/>
      <c r="E293" s="188"/>
      <c r="F293" s="189" t="s">
        <v>30659</v>
      </c>
      <c r="G293" s="190" t="s">
        <v>36245</v>
      </c>
      <c r="H293" s="190"/>
      <c r="I293" s="84"/>
      <c r="J293" s="84"/>
      <c r="K293" s="84"/>
      <c r="L293" s="84"/>
      <c r="M293" s="84"/>
      <c r="N293" s="84"/>
      <c r="O293" s="84"/>
      <c r="P293" s="84"/>
      <c r="Q293" s="84"/>
      <c r="R293" s="84"/>
      <c r="S293" s="84"/>
      <c r="T293" s="84"/>
    </row>
    <row r="294" ht="15.75" customHeight="1">
      <c r="A294" s="84" t="s">
        <v>36247</v>
      </c>
      <c r="B294" s="84">
        <v>1.0</v>
      </c>
      <c r="C294" s="186"/>
      <c r="D294" s="187"/>
      <c r="E294" s="188"/>
      <c r="F294" s="189"/>
      <c r="G294" s="190"/>
      <c r="H294" s="190"/>
      <c r="I294" s="84"/>
      <c r="J294" s="84"/>
      <c r="K294" s="84"/>
      <c r="L294" s="84"/>
      <c r="M294" s="84"/>
      <c r="N294" s="84"/>
      <c r="O294" s="84"/>
      <c r="P294" s="84"/>
      <c r="Q294" s="84"/>
      <c r="R294" s="84"/>
      <c r="S294" s="84"/>
      <c r="T294" s="84"/>
    </row>
    <row r="295" ht="15.75" customHeight="1">
      <c r="A295" s="84" t="s">
        <v>36249</v>
      </c>
      <c r="B295" s="84">
        <v>1.0</v>
      </c>
      <c r="C295" s="186"/>
      <c r="D295" s="187"/>
      <c r="E295" s="188"/>
      <c r="F295" s="189"/>
      <c r="G295" s="190"/>
      <c r="H295" s="190"/>
      <c r="I295" s="84"/>
      <c r="J295" s="84"/>
      <c r="K295" s="84"/>
      <c r="L295" s="84"/>
      <c r="M295" s="84"/>
      <c r="N295" s="84"/>
      <c r="O295" s="84"/>
      <c r="P295" s="84"/>
      <c r="Q295" s="84"/>
      <c r="R295" s="84"/>
      <c r="S295" s="84"/>
      <c r="T295" s="84"/>
    </row>
    <row r="296" ht="15.75" customHeight="1">
      <c r="A296" s="84" t="s">
        <v>36250</v>
      </c>
      <c r="B296" s="84">
        <v>1.0</v>
      </c>
      <c r="C296" s="186"/>
      <c r="D296" s="187"/>
      <c r="E296" s="188"/>
      <c r="F296" s="189"/>
      <c r="G296" s="190"/>
      <c r="H296" s="190"/>
      <c r="I296" s="84"/>
      <c r="J296" s="84"/>
      <c r="K296" s="84"/>
      <c r="L296" s="84"/>
      <c r="M296" s="84"/>
      <c r="N296" s="84"/>
      <c r="O296" s="84"/>
      <c r="P296" s="84"/>
      <c r="Q296" s="84"/>
      <c r="R296" s="84"/>
      <c r="S296" s="84"/>
      <c r="T296" s="84"/>
    </row>
    <row r="297" ht="15.75" customHeight="1">
      <c r="A297" s="84" t="s">
        <v>36251</v>
      </c>
      <c r="B297" s="84">
        <v>1.0</v>
      </c>
      <c r="C297" s="186"/>
      <c r="D297" s="187"/>
      <c r="E297" s="188"/>
      <c r="F297" s="189"/>
      <c r="G297" s="190"/>
      <c r="H297" s="190"/>
      <c r="I297" s="84"/>
      <c r="J297" s="84"/>
      <c r="K297" s="84"/>
      <c r="L297" s="84"/>
      <c r="M297" s="84"/>
      <c r="N297" s="84"/>
      <c r="O297" s="84"/>
      <c r="P297" s="84"/>
      <c r="Q297" s="84"/>
      <c r="R297" s="84"/>
      <c r="S297" s="84"/>
      <c r="T297" s="84"/>
    </row>
    <row r="298" ht="15.75" customHeight="1">
      <c r="A298" s="84" t="s">
        <v>36252</v>
      </c>
      <c r="B298" s="84">
        <v>1.0</v>
      </c>
      <c r="C298" s="186"/>
      <c r="D298" s="187"/>
      <c r="E298" s="188"/>
      <c r="F298" s="189"/>
      <c r="G298" s="190"/>
      <c r="H298" s="190"/>
      <c r="I298" s="84"/>
      <c r="J298" s="84"/>
      <c r="K298" s="84"/>
      <c r="L298" s="84"/>
      <c r="M298" s="84"/>
      <c r="N298" s="84"/>
      <c r="O298" s="84"/>
      <c r="P298" s="84"/>
      <c r="Q298" s="84"/>
      <c r="R298" s="84"/>
      <c r="S298" s="84"/>
      <c r="T298" s="84"/>
    </row>
    <row r="299" ht="15.75" customHeight="1">
      <c r="A299" s="84" t="s">
        <v>36253</v>
      </c>
      <c r="B299" s="84">
        <v>1.0</v>
      </c>
      <c r="C299" s="186"/>
      <c r="D299" s="187"/>
      <c r="E299" s="188"/>
      <c r="F299" s="189"/>
      <c r="G299" s="190"/>
      <c r="H299" s="190"/>
      <c r="I299" s="84"/>
      <c r="J299" s="84"/>
      <c r="K299" s="84"/>
      <c r="L299" s="84"/>
      <c r="M299" s="84"/>
      <c r="N299" s="84"/>
      <c r="O299" s="84"/>
      <c r="P299" s="84"/>
      <c r="Q299" s="84"/>
      <c r="R299" s="84"/>
      <c r="S299" s="84"/>
      <c r="T299" s="84"/>
    </row>
    <row r="300" ht="15.75" customHeight="1">
      <c r="A300" s="84" t="s">
        <v>36254</v>
      </c>
      <c r="B300" s="84">
        <v>2.0</v>
      </c>
      <c r="C300" s="186"/>
      <c r="D300" s="187" t="s">
        <v>36255</v>
      </c>
      <c r="E300" s="188"/>
      <c r="F300" s="189"/>
      <c r="G300" s="190"/>
      <c r="H300" s="190"/>
      <c r="I300" s="84"/>
      <c r="J300" s="84"/>
      <c r="K300" s="84"/>
      <c r="L300" s="84"/>
      <c r="M300" s="84"/>
      <c r="N300" s="84"/>
      <c r="O300" s="84"/>
      <c r="P300" s="84"/>
      <c r="Q300" s="84"/>
      <c r="R300" s="84"/>
      <c r="S300" s="84"/>
      <c r="T300" s="84"/>
    </row>
    <row r="301" ht="15.75" customHeight="1">
      <c r="A301" s="84" t="s">
        <v>36256</v>
      </c>
      <c r="B301" s="84">
        <v>1.0</v>
      </c>
      <c r="C301" s="186"/>
      <c r="D301" s="187"/>
      <c r="E301" s="188"/>
      <c r="F301" s="189"/>
      <c r="G301" s="190"/>
      <c r="H301" s="190"/>
      <c r="I301" s="84"/>
      <c r="J301" s="84"/>
      <c r="K301" s="84"/>
      <c r="L301" s="84"/>
      <c r="M301" s="84"/>
      <c r="N301" s="84"/>
      <c r="O301" s="84"/>
      <c r="P301" s="84"/>
      <c r="Q301" s="84"/>
      <c r="R301" s="84"/>
      <c r="S301" s="84"/>
      <c r="T301" s="84"/>
    </row>
    <row r="302" ht="15.75" customHeight="1">
      <c r="A302" s="84" t="s">
        <v>36255</v>
      </c>
      <c r="B302" s="84">
        <v>4.0</v>
      </c>
      <c r="C302" s="186"/>
      <c r="D302" s="187"/>
      <c r="E302" s="188"/>
      <c r="F302" s="189"/>
      <c r="G302" s="190"/>
      <c r="H302" s="190"/>
      <c r="I302" s="84"/>
      <c r="J302" s="84"/>
      <c r="K302" s="84"/>
      <c r="L302" s="84"/>
      <c r="M302" s="84"/>
      <c r="N302" s="84"/>
      <c r="O302" s="84"/>
      <c r="P302" s="84"/>
      <c r="Q302" s="84"/>
      <c r="R302" s="84"/>
      <c r="S302" s="84"/>
      <c r="T302" s="84"/>
    </row>
    <row r="303" ht="15.75" customHeight="1">
      <c r="A303" s="84" t="s">
        <v>36258</v>
      </c>
      <c r="B303" s="84">
        <v>3.0</v>
      </c>
      <c r="C303" s="186"/>
      <c r="D303" s="187"/>
      <c r="E303" s="188"/>
      <c r="F303" s="189"/>
      <c r="G303" s="190"/>
      <c r="H303" s="190"/>
      <c r="I303" s="84"/>
      <c r="J303" s="84"/>
      <c r="K303" s="84"/>
      <c r="L303" s="84"/>
      <c r="M303" s="84"/>
      <c r="N303" s="84"/>
      <c r="O303" s="84"/>
      <c r="P303" s="84"/>
      <c r="Q303" s="84"/>
      <c r="R303" s="84"/>
      <c r="S303" s="84"/>
      <c r="T303" s="84"/>
    </row>
    <row r="304" ht="15.75" customHeight="1">
      <c r="A304" s="84" t="s">
        <v>36259</v>
      </c>
      <c r="B304" s="84">
        <v>11.0</v>
      </c>
      <c r="C304" s="186"/>
      <c r="D304" s="187"/>
      <c r="E304" s="188"/>
      <c r="F304" s="189"/>
      <c r="G304" s="190"/>
      <c r="H304" s="190"/>
      <c r="I304" s="84"/>
      <c r="J304" s="84"/>
      <c r="K304" s="84"/>
      <c r="L304" s="84"/>
      <c r="M304" s="84"/>
      <c r="N304" s="84"/>
      <c r="O304" s="84"/>
      <c r="P304" s="84"/>
      <c r="Q304" s="84"/>
      <c r="R304" s="84"/>
      <c r="S304" s="84"/>
      <c r="T304" s="84"/>
    </row>
    <row r="305" ht="15.75" customHeight="1">
      <c r="A305" s="84" t="s">
        <v>36260</v>
      </c>
      <c r="B305" s="84">
        <v>2.0</v>
      </c>
      <c r="C305" s="186"/>
      <c r="D305" s="187"/>
      <c r="E305" s="188"/>
      <c r="F305" s="189" t="s">
        <v>30659</v>
      </c>
      <c r="G305" s="190" t="s">
        <v>36261</v>
      </c>
      <c r="H305" s="190"/>
      <c r="I305" s="84"/>
      <c r="J305" s="84"/>
      <c r="K305" s="84"/>
      <c r="L305" s="84"/>
      <c r="M305" s="84"/>
      <c r="N305" s="84"/>
      <c r="O305" s="84"/>
      <c r="P305" s="84"/>
      <c r="Q305" s="84"/>
      <c r="R305" s="84"/>
      <c r="S305" s="84"/>
      <c r="T305" s="84"/>
    </row>
    <row r="306" ht="15.75" customHeight="1">
      <c r="A306" s="84" t="s">
        <v>36262</v>
      </c>
      <c r="B306" s="84">
        <v>1.0</v>
      </c>
      <c r="C306" s="186"/>
      <c r="D306" s="187"/>
      <c r="E306" s="188"/>
      <c r="F306" s="189"/>
      <c r="G306" s="190"/>
      <c r="H306" s="190"/>
      <c r="I306" s="84"/>
      <c r="J306" s="84"/>
      <c r="K306" s="84"/>
      <c r="L306" s="84"/>
      <c r="M306" s="84"/>
      <c r="N306" s="84"/>
      <c r="O306" s="84"/>
      <c r="P306" s="84"/>
      <c r="Q306" s="84"/>
      <c r="R306" s="84"/>
      <c r="S306" s="84"/>
      <c r="T306" s="84"/>
    </row>
    <row r="307" ht="15.75" customHeight="1">
      <c r="A307" s="84" t="s">
        <v>36263</v>
      </c>
      <c r="B307" s="84">
        <v>1.0</v>
      </c>
      <c r="C307" s="186"/>
      <c r="D307" s="187"/>
      <c r="E307" s="188"/>
      <c r="F307" s="189"/>
      <c r="G307" s="190"/>
      <c r="H307" s="190"/>
      <c r="I307" s="84"/>
      <c r="J307" s="84"/>
      <c r="K307" s="84"/>
      <c r="L307" s="84"/>
      <c r="M307" s="84"/>
      <c r="N307" s="84"/>
      <c r="O307" s="84"/>
      <c r="P307" s="84"/>
      <c r="Q307" s="84"/>
      <c r="R307" s="84"/>
      <c r="S307" s="84"/>
      <c r="T307" s="84"/>
    </row>
    <row r="308" ht="15.75" customHeight="1">
      <c r="A308" s="84" t="s">
        <v>36264</v>
      </c>
      <c r="B308" s="84">
        <v>1.0</v>
      </c>
      <c r="C308" s="186"/>
      <c r="D308" s="187"/>
      <c r="E308" s="188"/>
      <c r="F308" s="189"/>
      <c r="G308" s="190"/>
      <c r="H308" s="190"/>
      <c r="I308" s="84"/>
      <c r="J308" s="84"/>
      <c r="K308" s="84"/>
      <c r="L308" s="84"/>
      <c r="M308" s="84"/>
      <c r="N308" s="84"/>
      <c r="O308" s="84"/>
      <c r="P308" s="84"/>
      <c r="Q308" s="84"/>
      <c r="R308" s="84"/>
      <c r="S308" s="84"/>
      <c r="T308" s="84"/>
    </row>
    <row r="309" ht="15.75" customHeight="1">
      <c r="A309" s="84" t="s">
        <v>36266</v>
      </c>
      <c r="B309" s="84">
        <v>1.0</v>
      </c>
      <c r="C309" s="186"/>
      <c r="D309" s="187"/>
      <c r="E309" s="188"/>
      <c r="F309" s="189"/>
      <c r="G309" s="190"/>
      <c r="H309" s="190"/>
      <c r="I309" s="84"/>
      <c r="J309" s="84"/>
      <c r="K309" s="84"/>
      <c r="L309" s="84"/>
      <c r="M309" s="84"/>
      <c r="N309" s="84"/>
      <c r="O309" s="84"/>
      <c r="P309" s="84"/>
      <c r="Q309" s="84"/>
      <c r="R309" s="84"/>
      <c r="S309" s="84"/>
      <c r="T309" s="84"/>
    </row>
    <row r="310" ht="15.75" customHeight="1">
      <c r="A310" s="84" t="s">
        <v>36267</v>
      </c>
      <c r="B310" s="84">
        <v>1.0</v>
      </c>
      <c r="C310" s="186"/>
      <c r="D310" s="187"/>
      <c r="E310" s="188"/>
      <c r="F310" s="189"/>
      <c r="G310" s="190"/>
      <c r="H310" s="190"/>
      <c r="I310" s="84"/>
      <c r="J310" s="84"/>
      <c r="K310" s="84"/>
      <c r="L310" s="84"/>
      <c r="M310" s="84"/>
      <c r="N310" s="84"/>
      <c r="O310" s="84"/>
      <c r="P310" s="84"/>
      <c r="Q310" s="84"/>
      <c r="R310" s="84"/>
      <c r="S310" s="84"/>
      <c r="T310" s="84"/>
    </row>
    <row r="311" ht="15.75" customHeight="1">
      <c r="A311" s="84" t="s">
        <v>36268</v>
      </c>
      <c r="B311" s="84">
        <v>1.0</v>
      </c>
      <c r="C311" s="186"/>
      <c r="D311" s="187"/>
      <c r="E311" s="188"/>
      <c r="F311" s="189"/>
      <c r="G311" s="190"/>
      <c r="H311" s="190"/>
      <c r="I311" s="84"/>
      <c r="J311" s="84"/>
      <c r="K311" s="84"/>
      <c r="L311" s="84"/>
      <c r="M311" s="84"/>
      <c r="N311" s="84"/>
      <c r="O311" s="84"/>
      <c r="P311" s="84"/>
      <c r="Q311" s="84"/>
      <c r="R311" s="84"/>
      <c r="S311" s="84"/>
      <c r="T311" s="84"/>
    </row>
    <row r="312" ht="15.75" customHeight="1">
      <c r="A312" s="84" t="s">
        <v>36269</v>
      </c>
      <c r="B312" s="84">
        <v>1.0</v>
      </c>
      <c r="C312" s="186"/>
      <c r="D312" s="187"/>
      <c r="E312" s="188"/>
      <c r="F312" s="189"/>
      <c r="G312" s="190"/>
      <c r="H312" s="190"/>
      <c r="I312" s="84"/>
      <c r="J312" s="84"/>
      <c r="K312" s="84"/>
      <c r="L312" s="84"/>
      <c r="M312" s="84"/>
      <c r="N312" s="84"/>
      <c r="O312" s="84"/>
      <c r="P312" s="84"/>
      <c r="Q312" s="84"/>
      <c r="R312" s="84"/>
      <c r="S312" s="84"/>
      <c r="T312" s="84"/>
    </row>
    <row r="313" ht="15.75" customHeight="1">
      <c r="A313" s="84" t="s">
        <v>36270</v>
      </c>
      <c r="B313" s="84">
        <v>1.0</v>
      </c>
      <c r="C313" s="186"/>
      <c r="D313" s="187"/>
      <c r="E313" s="188"/>
      <c r="F313" s="189"/>
      <c r="G313" s="190"/>
      <c r="H313" s="190"/>
      <c r="I313" s="84"/>
      <c r="J313" s="84"/>
      <c r="K313" s="84"/>
      <c r="L313" s="84"/>
      <c r="M313" s="84"/>
      <c r="N313" s="84"/>
      <c r="O313" s="84"/>
      <c r="P313" s="84"/>
      <c r="Q313" s="84"/>
      <c r="R313" s="84"/>
      <c r="S313" s="84"/>
      <c r="T313" s="84"/>
    </row>
    <row r="314" ht="15.75" customHeight="1">
      <c r="A314" s="84" t="s">
        <v>36271</v>
      </c>
      <c r="B314" s="84">
        <v>1.0</v>
      </c>
      <c r="C314" s="186"/>
      <c r="D314" s="187"/>
      <c r="E314" s="188"/>
      <c r="F314" s="189"/>
      <c r="G314" s="190"/>
      <c r="H314" s="190"/>
      <c r="I314" s="84"/>
      <c r="J314" s="84"/>
      <c r="K314" s="84"/>
      <c r="L314" s="84"/>
      <c r="M314" s="84"/>
      <c r="N314" s="84"/>
      <c r="O314" s="84"/>
      <c r="P314" s="84"/>
      <c r="Q314" s="84"/>
      <c r="R314" s="84"/>
      <c r="S314" s="84"/>
      <c r="T314" s="84"/>
    </row>
    <row r="315" ht="15.75" customHeight="1">
      <c r="A315" s="84" t="s">
        <v>36272</v>
      </c>
      <c r="B315" s="84">
        <v>1.0</v>
      </c>
      <c r="C315" s="186"/>
      <c r="D315" s="187"/>
      <c r="E315" s="188"/>
      <c r="F315" s="189"/>
      <c r="G315" s="190"/>
      <c r="H315" s="190"/>
      <c r="I315" s="84"/>
      <c r="J315" s="84"/>
      <c r="K315" s="84"/>
      <c r="L315" s="84"/>
      <c r="M315" s="84"/>
      <c r="N315" s="84"/>
      <c r="O315" s="84"/>
      <c r="P315" s="84"/>
      <c r="Q315" s="84"/>
      <c r="R315" s="84"/>
      <c r="S315" s="84"/>
      <c r="T315" s="84"/>
    </row>
    <row r="316" ht="15.75" customHeight="1">
      <c r="A316" s="84" t="s">
        <v>36273</v>
      </c>
      <c r="B316" s="84">
        <v>1.0</v>
      </c>
      <c r="C316" s="186"/>
      <c r="D316" s="187"/>
      <c r="E316" s="188"/>
      <c r="F316" s="189"/>
      <c r="G316" s="190"/>
      <c r="H316" s="190"/>
      <c r="I316" s="84"/>
      <c r="J316" s="84"/>
      <c r="K316" s="84"/>
      <c r="L316" s="84"/>
      <c r="M316" s="84"/>
      <c r="N316" s="84"/>
      <c r="O316" s="84"/>
      <c r="P316" s="84"/>
      <c r="Q316" s="84"/>
      <c r="R316" s="84"/>
      <c r="S316" s="84"/>
      <c r="T316" s="84"/>
    </row>
    <row r="317" ht="15.75" customHeight="1">
      <c r="A317" s="84" t="s">
        <v>36274</v>
      </c>
      <c r="B317" s="84">
        <v>1.0</v>
      </c>
      <c r="C317" s="186"/>
      <c r="D317" s="187"/>
      <c r="E317" s="188"/>
      <c r="F317" s="189"/>
      <c r="G317" s="190"/>
      <c r="H317" s="190"/>
      <c r="I317" s="84"/>
      <c r="J317" s="84"/>
      <c r="K317" s="84"/>
      <c r="L317" s="84"/>
      <c r="M317" s="84"/>
      <c r="N317" s="84"/>
      <c r="O317" s="84"/>
      <c r="P317" s="84"/>
      <c r="Q317" s="84"/>
      <c r="R317" s="84"/>
      <c r="S317" s="84"/>
      <c r="T317" s="84"/>
    </row>
    <row r="318" ht="15.75" customHeight="1">
      <c r="A318" s="84" t="s">
        <v>36275</v>
      </c>
      <c r="B318" s="84">
        <v>1.0</v>
      </c>
      <c r="C318" s="186"/>
      <c r="D318" s="187"/>
      <c r="E318" s="188"/>
      <c r="F318" s="189"/>
      <c r="G318" s="190"/>
      <c r="H318" s="190"/>
      <c r="I318" s="84"/>
      <c r="J318" s="84"/>
      <c r="K318" s="84"/>
      <c r="L318" s="84"/>
      <c r="M318" s="84"/>
      <c r="N318" s="84"/>
      <c r="O318" s="84"/>
      <c r="P318" s="84"/>
      <c r="Q318" s="84"/>
      <c r="R318" s="84"/>
      <c r="S318" s="84"/>
      <c r="T318" s="84"/>
    </row>
    <row r="319" ht="15.75" customHeight="1">
      <c r="A319" s="84" t="s">
        <v>36276</v>
      </c>
      <c r="B319" s="84">
        <v>1.0</v>
      </c>
      <c r="C319" s="186" t="s">
        <v>30659</v>
      </c>
      <c r="D319" s="187" t="s">
        <v>36275</v>
      </c>
      <c r="E319" s="188"/>
      <c r="F319" s="189"/>
      <c r="G319" s="190"/>
      <c r="H319" s="190"/>
      <c r="I319" s="84"/>
      <c r="J319" s="84"/>
      <c r="K319" s="84"/>
      <c r="L319" s="84"/>
      <c r="M319" s="84"/>
      <c r="N319" s="84"/>
      <c r="O319" s="84"/>
      <c r="P319" s="84"/>
      <c r="Q319" s="84"/>
      <c r="R319" s="84"/>
      <c r="S319" s="84"/>
      <c r="T319" s="84"/>
    </row>
    <row r="320" ht="15.75" customHeight="1">
      <c r="A320" s="84" t="s">
        <v>36277</v>
      </c>
      <c r="B320" s="84">
        <v>1.0</v>
      </c>
      <c r="C320" s="186"/>
      <c r="D320" s="187"/>
      <c r="E320" s="188"/>
      <c r="F320" s="189"/>
      <c r="G320" s="190"/>
      <c r="H320" s="190"/>
      <c r="I320" s="84"/>
      <c r="J320" s="84"/>
      <c r="K320" s="84"/>
      <c r="L320" s="84"/>
      <c r="M320" s="84"/>
      <c r="N320" s="84"/>
      <c r="O320" s="84"/>
      <c r="P320" s="84"/>
      <c r="Q320" s="84"/>
      <c r="R320" s="84"/>
      <c r="S320" s="84"/>
      <c r="T320" s="84"/>
    </row>
    <row r="321" ht="15.75" customHeight="1">
      <c r="A321" s="84" t="s">
        <v>36278</v>
      </c>
      <c r="B321" s="84">
        <v>1.0</v>
      </c>
      <c r="C321" s="186"/>
      <c r="D321" s="187"/>
      <c r="E321" s="188"/>
      <c r="F321" s="189"/>
      <c r="G321" s="190"/>
      <c r="H321" s="190"/>
      <c r="I321" s="84"/>
      <c r="J321" s="84"/>
      <c r="K321" s="84"/>
      <c r="L321" s="84"/>
      <c r="M321" s="84"/>
      <c r="N321" s="84"/>
      <c r="O321" s="84"/>
      <c r="P321" s="84"/>
      <c r="Q321" s="84"/>
      <c r="R321" s="84"/>
      <c r="S321" s="84"/>
      <c r="T321" s="84"/>
    </row>
    <row r="322" ht="15.75" customHeight="1">
      <c r="A322" s="84" t="s">
        <v>36279</v>
      </c>
      <c r="B322" s="84">
        <v>2.0</v>
      </c>
      <c r="C322" s="186"/>
      <c r="D322" s="187"/>
      <c r="E322" s="188"/>
      <c r="F322" s="189"/>
      <c r="G322" s="190"/>
      <c r="H322" s="190"/>
      <c r="I322" s="84"/>
      <c r="J322" s="84"/>
      <c r="K322" s="84"/>
      <c r="L322" s="84"/>
      <c r="M322" s="84"/>
      <c r="N322" s="84"/>
      <c r="O322" s="84"/>
      <c r="P322" s="84"/>
      <c r="Q322" s="84"/>
      <c r="R322" s="84"/>
      <c r="S322" s="84"/>
      <c r="T322" s="84"/>
    </row>
    <row r="323" ht="15.75" customHeight="1">
      <c r="A323" s="84" t="s">
        <v>36280</v>
      </c>
      <c r="B323" s="84">
        <v>1.0</v>
      </c>
      <c r="C323" s="186"/>
      <c r="D323" s="187"/>
      <c r="E323" s="188"/>
      <c r="F323" s="189"/>
      <c r="G323" s="190"/>
      <c r="H323" s="190"/>
      <c r="I323" s="84"/>
      <c r="J323" s="84"/>
      <c r="K323" s="84"/>
      <c r="L323" s="84"/>
      <c r="M323" s="84"/>
      <c r="N323" s="84"/>
      <c r="O323" s="84"/>
      <c r="P323" s="84"/>
      <c r="Q323" s="84"/>
      <c r="R323" s="84"/>
      <c r="S323" s="84"/>
      <c r="T323" s="84"/>
    </row>
    <row r="324" ht="15.75" customHeight="1">
      <c r="A324" s="84" t="s">
        <v>36281</v>
      </c>
      <c r="B324" s="84">
        <v>1.0</v>
      </c>
      <c r="C324" s="186"/>
      <c r="D324" s="187"/>
      <c r="E324" s="188"/>
      <c r="F324" s="189"/>
      <c r="G324" s="190"/>
      <c r="H324" s="190"/>
      <c r="I324" s="84"/>
      <c r="J324" s="84"/>
      <c r="K324" s="84"/>
      <c r="L324" s="84"/>
      <c r="M324" s="84"/>
      <c r="N324" s="84"/>
      <c r="O324" s="84"/>
      <c r="P324" s="84"/>
      <c r="Q324" s="84"/>
      <c r="R324" s="84"/>
      <c r="S324" s="84"/>
      <c r="T324" s="84"/>
    </row>
    <row r="325" ht="15.75" customHeight="1">
      <c r="A325" s="84" t="s">
        <v>36282</v>
      </c>
      <c r="B325" s="84">
        <v>1.0</v>
      </c>
      <c r="C325" s="186"/>
      <c r="D325" s="187"/>
      <c r="E325" s="188"/>
      <c r="F325" s="189"/>
      <c r="G325" s="190"/>
      <c r="H325" s="190"/>
      <c r="I325" s="84"/>
      <c r="J325" s="84"/>
      <c r="K325" s="84"/>
      <c r="L325" s="84"/>
      <c r="M325" s="84"/>
      <c r="N325" s="84"/>
      <c r="O325" s="84"/>
      <c r="P325" s="84"/>
      <c r="Q325" s="84"/>
      <c r="R325" s="84"/>
      <c r="S325" s="84"/>
      <c r="T325" s="84"/>
    </row>
    <row r="326" ht="15.75" customHeight="1">
      <c r="A326" s="84" t="s">
        <v>36283</v>
      </c>
      <c r="B326" s="84">
        <v>1.0</v>
      </c>
      <c r="C326" s="186"/>
      <c r="D326" s="187"/>
      <c r="E326" s="188"/>
      <c r="F326" s="189"/>
      <c r="G326" s="190"/>
      <c r="H326" s="190"/>
      <c r="I326" s="84"/>
      <c r="J326" s="84"/>
      <c r="K326" s="84"/>
      <c r="L326" s="84"/>
      <c r="M326" s="84"/>
      <c r="N326" s="84"/>
      <c r="O326" s="84"/>
      <c r="P326" s="84"/>
      <c r="Q326" s="84"/>
      <c r="R326" s="84"/>
      <c r="S326" s="84"/>
      <c r="T326" s="84"/>
    </row>
    <row r="327" ht="15.75" customHeight="1">
      <c r="A327" s="84" t="s">
        <v>36284</v>
      </c>
      <c r="B327" s="84">
        <v>1.0</v>
      </c>
      <c r="C327" s="186"/>
      <c r="D327" s="187"/>
      <c r="E327" s="188"/>
      <c r="F327" s="189"/>
      <c r="G327" s="190"/>
      <c r="H327" s="190"/>
      <c r="I327" s="84"/>
      <c r="J327" s="84"/>
      <c r="K327" s="84"/>
      <c r="L327" s="84"/>
      <c r="M327" s="84"/>
      <c r="N327" s="84"/>
      <c r="O327" s="84"/>
      <c r="P327" s="84"/>
      <c r="Q327" s="84"/>
      <c r="R327" s="84"/>
      <c r="S327" s="84"/>
      <c r="T327" s="84"/>
    </row>
    <row r="328" ht="15.75" customHeight="1">
      <c r="A328" s="84" t="s">
        <v>36285</v>
      </c>
      <c r="B328" s="84">
        <v>1.0</v>
      </c>
      <c r="C328" s="186"/>
      <c r="D328" s="187"/>
      <c r="E328" s="188"/>
      <c r="F328" s="189"/>
      <c r="G328" s="190"/>
      <c r="H328" s="190"/>
      <c r="I328" s="84"/>
      <c r="J328" s="84"/>
      <c r="K328" s="84"/>
      <c r="L328" s="84"/>
      <c r="M328" s="84"/>
      <c r="N328" s="84"/>
      <c r="O328" s="84"/>
      <c r="P328" s="84"/>
      <c r="Q328" s="84"/>
      <c r="R328" s="84"/>
      <c r="S328" s="84"/>
      <c r="T328" s="84"/>
    </row>
    <row r="329" ht="15.75" customHeight="1">
      <c r="A329" s="84" t="s">
        <v>36286</v>
      </c>
      <c r="B329" s="84">
        <v>1.0</v>
      </c>
      <c r="C329" s="186"/>
      <c r="D329" s="187"/>
      <c r="E329" s="188"/>
      <c r="F329" s="189"/>
      <c r="G329" s="190"/>
      <c r="H329" s="190"/>
      <c r="I329" s="84"/>
      <c r="J329" s="84"/>
      <c r="K329" s="84"/>
      <c r="L329" s="84"/>
      <c r="M329" s="84"/>
      <c r="N329" s="84"/>
      <c r="O329" s="84"/>
      <c r="P329" s="84"/>
      <c r="Q329" s="84"/>
      <c r="R329" s="84"/>
      <c r="S329" s="84"/>
      <c r="T329" s="84"/>
    </row>
    <row r="330" ht="15.75" customHeight="1">
      <c r="A330" s="84" t="s">
        <v>36287</v>
      </c>
      <c r="B330" s="84">
        <v>1.0</v>
      </c>
      <c r="C330" s="186"/>
      <c r="D330" s="187"/>
      <c r="E330" s="188"/>
      <c r="F330" s="189"/>
      <c r="G330" s="190"/>
      <c r="H330" s="190"/>
      <c r="I330" s="84"/>
      <c r="J330" s="84"/>
      <c r="K330" s="84"/>
      <c r="L330" s="84"/>
      <c r="M330" s="84"/>
      <c r="N330" s="84"/>
      <c r="O330" s="84"/>
      <c r="P330" s="84"/>
      <c r="Q330" s="84"/>
      <c r="R330" s="84"/>
      <c r="S330" s="84"/>
      <c r="T330" s="84"/>
    </row>
    <row r="331" ht="15.75" customHeight="1">
      <c r="A331" s="84" t="s">
        <v>36288</v>
      </c>
      <c r="B331" s="84">
        <v>1.0</v>
      </c>
      <c r="C331" s="186"/>
      <c r="D331" s="187"/>
      <c r="E331" s="188"/>
      <c r="F331" s="189"/>
      <c r="G331" s="190"/>
      <c r="H331" s="190"/>
      <c r="I331" s="84"/>
      <c r="J331" s="84"/>
      <c r="K331" s="84"/>
      <c r="L331" s="84"/>
      <c r="M331" s="84"/>
      <c r="N331" s="84"/>
      <c r="O331" s="84"/>
      <c r="P331" s="84"/>
      <c r="Q331" s="84"/>
      <c r="R331" s="84"/>
      <c r="S331" s="84"/>
      <c r="T331" s="84"/>
    </row>
    <row r="332" ht="15.75" customHeight="1">
      <c r="A332" s="84" t="s">
        <v>36289</v>
      </c>
      <c r="B332" s="84">
        <v>1.0</v>
      </c>
      <c r="C332" s="186"/>
      <c r="D332" s="187"/>
      <c r="E332" s="188"/>
      <c r="F332" s="189"/>
      <c r="G332" s="190"/>
      <c r="H332" s="190"/>
      <c r="I332" s="84"/>
      <c r="J332" s="84"/>
      <c r="K332" s="84"/>
      <c r="L332" s="84"/>
      <c r="M332" s="84"/>
      <c r="N332" s="84"/>
      <c r="O332" s="84"/>
      <c r="P332" s="84"/>
      <c r="Q332" s="84"/>
      <c r="R332" s="84"/>
      <c r="S332" s="84"/>
      <c r="T332" s="84"/>
    </row>
    <row r="333" ht="15.75" customHeight="1">
      <c r="A333" s="84" t="s">
        <v>36290</v>
      </c>
      <c r="B333" s="84">
        <v>1.0</v>
      </c>
      <c r="C333" s="186"/>
      <c r="D333" s="187"/>
      <c r="E333" s="188"/>
      <c r="F333" s="189"/>
      <c r="G333" s="190"/>
      <c r="H333" s="190"/>
      <c r="I333" s="84"/>
      <c r="J333" s="84"/>
      <c r="K333" s="84"/>
      <c r="L333" s="84"/>
      <c r="M333" s="84"/>
      <c r="N333" s="84"/>
      <c r="O333" s="84"/>
      <c r="P333" s="84"/>
      <c r="Q333" s="84"/>
      <c r="R333" s="84"/>
      <c r="S333" s="84"/>
      <c r="T333" s="84"/>
    </row>
    <row r="334" ht="15.75" customHeight="1">
      <c r="A334" s="84" t="s">
        <v>36292</v>
      </c>
      <c r="B334" s="84">
        <v>2.0</v>
      </c>
      <c r="C334" s="186" t="s">
        <v>30659</v>
      </c>
      <c r="D334" s="187" t="s">
        <v>36245</v>
      </c>
      <c r="E334" s="188"/>
      <c r="F334" s="189"/>
      <c r="G334" s="190"/>
      <c r="H334" s="190"/>
      <c r="I334" s="84"/>
      <c r="J334" s="84"/>
      <c r="K334" s="84"/>
      <c r="L334" s="84"/>
      <c r="M334" s="84"/>
      <c r="N334" s="84"/>
      <c r="O334" s="84"/>
      <c r="P334" s="84"/>
      <c r="Q334" s="84"/>
      <c r="R334" s="84"/>
      <c r="S334" s="84"/>
      <c r="T334" s="84"/>
    </row>
    <row r="335" ht="15.75" customHeight="1">
      <c r="A335" s="84" t="s">
        <v>36293</v>
      </c>
      <c r="B335" s="84">
        <v>1.0</v>
      </c>
      <c r="C335" s="186"/>
      <c r="D335" s="187"/>
      <c r="E335" s="188"/>
      <c r="F335" s="189" t="s">
        <v>30659</v>
      </c>
      <c r="G335" s="190" t="s">
        <v>36245</v>
      </c>
      <c r="H335" s="190"/>
      <c r="I335" s="84"/>
      <c r="J335" s="84"/>
      <c r="K335" s="84"/>
      <c r="L335" s="84"/>
      <c r="M335" s="84"/>
      <c r="N335" s="84"/>
      <c r="O335" s="84"/>
      <c r="P335" s="84"/>
      <c r="Q335" s="84"/>
      <c r="R335" s="84"/>
      <c r="S335" s="84"/>
      <c r="T335" s="84"/>
    </row>
    <row r="336" ht="15.75" customHeight="1">
      <c r="A336" s="84" t="s">
        <v>36294</v>
      </c>
      <c r="B336" s="84">
        <v>1.0</v>
      </c>
      <c r="C336" s="186"/>
      <c r="D336" s="187"/>
      <c r="E336" s="188"/>
      <c r="F336" s="189"/>
      <c r="G336" s="190"/>
      <c r="H336" s="190"/>
      <c r="I336" s="84"/>
      <c r="J336" s="84"/>
      <c r="K336" s="84"/>
      <c r="L336" s="84"/>
      <c r="M336" s="84"/>
      <c r="N336" s="84"/>
      <c r="O336" s="84"/>
      <c r="P336" s="84"/>
      <c r="Q336" s="84"/>
      <c r="R336" s="84"/>
      <c r="S336" s="84"/>
      <c r="T336" s="84"/>
    </row>
    <row r="337" ht="15.75" customHeight="1">
      <c r="A337" s="84" t="s">
        <v>36295</v>
      </c>
      <c r="B337" s="84">
        <v>1.0</v>
      </c>
      <c r="C337" s="186"/>
      <c r="D337" s="187"/>
      <c r="E337" s="188"/>
      <c r="F337" s="189"/>
      <c r="G337" s="190"/>
      <c r="H337" s="190"/>
      <c r="I337" s="84"/>
      <c r="J337" s="84"/>
      <c r="K337" s="84"/>
      <c r="L337" s="84"/>
      <c r="M337" s="84"/>
      <c r="N337" s="84"/>
      <c r="O337" s="84"/>
      <c r="P337" s="84"/>
      <c r="Q337" s="84"/>
      <c r="R337" s="84"/>
      <c r="S337" s="84"/>
      <c r="T337" s="84"/>
    </row>
    <row r="338" ht="15.75" customHeight="1">
      <c r="A338" s="84" t="s">
        <v>36296</v>
      </c>
      <c r="B338" s="84">
        <v>1.0</v>
      </c>
      <c r="C338" s="186"/>
      <c r="D338" s="187"/>
      <c r="E338" s="188"/>
      <c r="F338" s="189"/>
      <c r="G338" s="190"/>
      <c r="H338" s="190"/>
      <c r="I338" s="84"/>
      <c r="J338" s="84"/>
      <c r="K338" s="84"/>
      <c r="L338" s="84"/>
      <c r="M338" s="84"/>
      <c r="N338" s="84"/>
      <c r="O338" s="84"/>
      <c r="P338" s="84"/>
      <c r="Q338" s="84"/>
      <c r="R338" s="84"/>
      <c r="S338" s="84"/>
      <c r="T338" s="84"/>
    </row>
    <row r="339" ht="15.75" customHeight="1">
      <c r="A339" s="84" t="s">
        <v>36298</v>
      </c>
      <c r="B339" s="84">
        <v>3.0</v>
      </c>
      <c r="C339" s="186"/>
      <c r="D339" s="187"/>
      <c r="E339" s="188"/>
      <c r="F339" s="189"/>
      <c r="G339" s="190"/>
      <c r="H339" s="190"/>
      <c r="I339" s="84"/>
      <c r="J339" s="84"/>
      <c r="K339" s="84"/>
      <c r="L339" s="84"/>
      <c r="M339" s="84"/>
      <c r="N339" s="84"/>
      <c r="O339" s="84"/>
      <c r="P339" s="84"/>
      <c r="Q339" s="84"/>
      <c r="R339" s="84"/>
      <c r="S339" s="84"/>
      <c r="T339" s="84"/>
    </row>
    <row r="340" ht="15.75" customHeight="1">
      <c r="A340" s="84" t="s">
        <v>36299</v>
      </c>
      <c r="B340" s="84">
        <v>1.0</v>
      </c>
      <c r="C340" s="186"/>
      <c r="D340" s="187"/>
      <c r="E340" s="188"/>
      <c r="F340" s="189"/>
      <c r="G340" s="190"/>
      <c r="H340" s="190"/>
      <c r="I340" s="84"/>
      <c r="J340" s="84"/>
      <c r="K340" s="84"/>
      <c r="L340" s="84"/>
      <c r="M340" s="84"/>
      <c r="N340" s="84"/>
      <c r="O340" s="84"/>
      <c r="P340" s="84"/>
      <c r="Q340" s="84"/>
      <c r="R340" s="84"/>
      <c r="S340" s="84"/>
      <c r="T340" s="84"/>
    </row>
    <row r="341" ht="15.75" customHeight="1">
      <c r="A341" s="84" t="s">
        <v>36300</v>
      </c>
      <c r="B341" s="84">
        <v>1.0</v>
      </c>
      <c r="C341" s="186" t="s">
        <v>18275</v>
      </c>
      <c r="D341" s="187" t="s">
        <v>36301</v>
      </c>
      <c r="E341" s="188"/>
      <c r="F341" s="189"/>
      <c r="G341" s="190"/>
      <c r="H341" s="190"/>
      <c r="I341" s="84"/>
      <c r="J341" s="84"/>
      <c r="K341" s="84"/>
      <c r="L341" s="84"/>
      <c r="M341" s="84"/>
      <c r="N341" s="84"/>
      <c r="O341" s="84"/>
      <c r="P341" s="84"/>
      <c r="Q341" s="84"/>
      <c r="R341" s="84"/>
      <c r="S341" s="84"/>
      <c r="T341" s="84"/>
    </row>
    <row r="342" ht="15.75" customHeight="1">
      <c r="A342" s="84" t="s">
        <v>36301</v>
      </c>
      <c r="B342" s="84">
        <v>1.0</v>
      </c>
      <c r="C342" s="186"/>
      <c r="D342" s="187"/>
      <c r="E342" s="188"/>
      <c r="F342" s="189"/>
      <c r="G342" s="190"/>
      <c r="H342" s="190"/>
      <c r="I342" s="84"/>
      <c r="J342" s="84"/>
      <c r="K342" s="84"/>
      <c r="L342" s="84"/>
      <c r="M342" s="84"/>
      <c r="N342" s="84"/>
      <c r="O342" s="84"/>
      <c r="P342" s="84"/>
      <c r="Q342" s="84"/>
      <c r="R342" s="84"/>
      <c r="S342" s="84"/>
      <c r="T342" s="84"/>
    </row>
    <row r="343" ht="15.75" customHeight="1">
      <c r="A343" s="84" t="s">
        <v>36303</v>
      </c>
      <c r="B343" s="84">
        <v>2.0</v>
      </c>
      <c r="C343" s="186"/>
      <c r="D343" s="187"/>
      <c r="E343" s="188"/>
      <c r="F343" s="189"/>
      <c r="G343" s="190"/>
      <c r="H343" s="190"/>
      <c r="I343" s="84"/>
      <c r="J343" s="84"/>
      <c r="K343" s="84"/>
      <c r="L343" s="84"/>
      <c r="M343" s="84"/>
      <c r="N343" s="84"/>
      <c r="O343" s="84"/>
      <c r="P343" s="84"/>
      <c r="Q343" s="84"/>
      <c r="R343" s="84"/>
      <c r="S343" s="84"/>
      <c r="T343" s="84"/>
    </row>
    <row r="344" ht="15.75" customHeight="1">
      <c r="A344" s="84" t="s">
        <v>36304</v>
      </c>
      <c r="B344" s="84">
        <v>1.0</v>
      </c>
      <c r="C344" s="186"/>
      <c r="D344" s="187"/>
      <c r="E344" s="188"/>
      <c r="F344" s="189"/>
      <c r="G344" s="190"/>
      <c r="H344" s="190"/>
      <c r="I344" s="84"/>
      <c r="J344" s="84"/>
      <c r="K344" s="84"/>
      <c r="L344" s="84"/>
      <c r="M344" s="84"/>
      <c r="N344" s="84"/>
      <c r="O344" s="84"/>
      <c r="P344" s="84"/>
      <c r="Q344" s="84"/>
      <c r="R344" s="84"/>
      <c r="S344" s="84"/>
      <c r="T344" s="84"/>
    </row>
    <row r="345" ht="15.75" customHeight="1">
      <c r="A345" s="84" t="s">
        <v>36305</v>
      </c>
      <c r="B345" s="84">
        <v>1.0</v>
      </c>
      <c r="C345" s="186"/>
      <c r="D345" s="187"/>
      <c r="E345" s="188"/>
      <c r="F345" s="189"/>
      <c r="G345" s="190"/>
      <c r="H345" s="190"/>
      <c r="I345" s="84"/>
      <c r="J345" s="84"/>
      <c r="K345" s="84"/>
      <c r="L345" s="84"/>
      <c r="M345" s="84"/>
      <c r="N345" s="84"/>
      <c r="O345" s="84"/>
      <c r="P345" s="84"/>
      <c r="Q345" s="84"/>
      <c r="R345" s="84"/>
      <c r="S345" s="84"/>
      <c r="T345" s="84"/>
    </row>
    <row r="346" ht="15.75" customHeight="1">
      <c r="A346" s="84" t="s">
        <v>36306</v>
      </c>
      <c r="B346" s="84">
        <v>1.0</v>
      </c>
      <c r="C346" s="186"/>
      <c r="D346" s="187"/>
      <c r="E346" s="188"/>
      <c r="F346" s="189"/>
      <c r="G346" s="190"/>
      <c r="H346" s="190"/>
      <c r="I346" s="84"/>
      <c r="J346" s="84"/>
      <c r="K346" s="84"/>
      <c r="L346" s="84"/>
      <c r="M346" s="84"/>
      <c r="N346" s="84"/>
      <c r="O346" s="84"/>
      <c r="P346" s="84"/>
      <c r="Q346" s="84"/>
      <c r="R346" s="84"/>
      <c r="S346" s="84"/>
      <c r="T346" s="84"/>
    </row>
    <row r="347" ht="15.75" customHeight="1">
      <c r="A347" s="84" t="s">
        <v>36307</v>
      </c>
      <c r="B347" s="84">
        <v>1.0</v>
      </c>
      <c r="C347" s="186"/>
      <c r="D347" s="187"/>
      <c r="E347" s="188"/>
      <c r="F347" s="189"/>
      <c r="G347" s="190"/>
      <c r="H347" s="190"/>
      <c r="I347" s="84" t="s">
        <v>36106</v>
      </c>
      <c r="J347" s="84"/>
      <c r="K347" s="84"/>
      <c r="L347" s="84"/>
      <c r="M347" s="84"/>
      <c r="N347" s="84"/>
      <c r="O347" s="84"/>
      <c r="P347" s="84"/>
      <c r="Q347" s="84"/>
      <c r="R347" s="84"/>
      <c r="S347" s="84"/>
      <c r="T347" s="84"/>
    </row>
    <row r="348" ht="15.75" customHeight="1">
      <c r="A348" s="84" t="s">
        <v>36308</v>
      </c>
      <c r="B348" s="84">
        <v>2.0</v>
      </c>
      <c r="C348" s="186"/>
      <c r="D348" s="187"/>
      <c r="E348" s="188"/>
      <c r="F348" s="189"/>
      <c r="G348" s="190"/>
      <c r="H348" s="190"/>
      <c r="I348" s="84" t="s">
        <v>36106</v>
      </c>
      <c r="J348" s="84"/>
      <c r="K348" s="84"/>
      <c r="L348" s="84"/>
      <c r="M348" s="84"/>
      <c r="N348" s="84"/>
      <c r="O348" s="84"/>
      <c r="P348" s="84"/>
      <c r="Q348" s="84"/>
      <c r="R348" s="84"/>
      <c r="S348" s="84"/>
      <c r="T348" s="84"/>
    </row>
    <row r="349" ht="15.75" customHeight="1">
      <c r="A349" s="84" t="s">
        <v>36309</v>
      </c>
      <c r="B349" s="84">
        <v>1.0</v>
      </c>
      <c r="C349" s="186"/>
      <c r="D349" s="187"/>
      <c r="E349" s="188"/>
      <c r="F349" s="189"/>
      <c r="G349" s="190"/>
      <c r="H349" s="190"/>
      <c r="I349" s="84"/>
      <c r="J349" s="84"/>
      <c r="K349" s="84"/>
      <c r="L349" s="84"/>
      <c r="M349" s="84"/>
      <c r="N349" s="84"/>
      <c r="O349" s="84"/>
      <c r="P349" s="84"/>
      <c r="Q349" s="84"/>
      <c r="R349" s="84"/>
      <c r="S349" s="84"/>
      <c r="T349" s="84"/>
    </row>
    <row r="350" ht="15.75" customHeight="1">
      <c r="A350" s="84" t="s">
        <v>36310</v>
      </c>
      <c r="B350" s="84">
        <v>1.0</v>
      </c>
      <c r="C350" s="186"/>
      <c r="D350" s="187"/>
      <c r="E350" s="188"/>
      <c r="F350" s="189"/>
      <c r="G350" s="190"/>
      <c r="H350" s="190"/>
      <c r="I350" s="84"/>
      <c r="J350" s="84"/>
      <c r="K350" s="84"/>
      <c r="L350" s="84"/>
      <c r="M350" s="84"/>
      <c r="N350" s="84"/>
      <c r="O350" s="84"/>
      <c r="P350" s="84"/>
      <c r="Q350" s="84"/>
      <c r="R350" s="84"/>
      <c r="S350" s="84"/>
      <c r="T350" s="84"/>
    </row>
    <row r="351" ht="15.75" customHeight="1">
      <c r="A351" s="84" t="s">
        <v>36311</v>
      </c>
      <c r="B351" s="84">
        <v>1.0</v>
      </c>
      <c r="C351" s="186" t="s">
        <v>18275</v>
      </c>
      <c r="D351" s="187" t="s">
        <v>36312</v>
      </c>
      <c r="E351" s="188"/>
      <c r="F351" s="189" t="s">
        <v>30659</v>
      </c>
      <c r="G351" s="190" t="s">
        <v>36312</v>
      </c>
      <c r="H351" s="190"/>
      <c r="I351" s="84"/>
      <c r="J351" s="84"/>
      <c r="K351" s="84"/>
      <c r="L351" s="84"/>
      <c r="M351" s="84"/>
      <c r="N351" s="84"/>
      <c r="O351" s="84"/>
      <c r="P351" s="84"/>
      <c r="Q351" s="84"/>
      <c r="R351" s="84"/>
      <c r="S351" s="84"/>
      <c r="T351" s="84"/>
    </row>
    <row r="352" ht="15.75" customHeight="1">
      <c r="A352" s="84" t="s">
        <v>36312</v>
      </c>
      <c r="B352" s="84">
        <v>2.0</v>
      </c>
      <c r="C352" s="186"/>
      <c r="D352" s="187"/>
      <c r="E352" s="188"/>
      <c r="F352" s="189"/>
      <c r="G352" s="190"/>
      <c r="H352" s="190"/>
      <c r="I352" s="84"/>
      <c r="J352" s="84"/>
      <c r="K352" s="84"/>
      <c r="L352" s="84"/>
      <c r="M352" s="84"/>
      <c r="N352" s="84"/>
      <c r="O352" s="84"/>
      <c r="P352" s="84"/>
      <c r="Q352" s="84"/>
      <c r="R352" s="84"/>
      <c r="S352" s="84"/>
      <c r="T352" s="84"/>
    </row>
    <row r="353" ht="15.75" customHeight="1">
      <c r="A353" s="84" t="s">
        <v>36314</v>
      </c>
      <c r="B353" s="84">
        <v>1.0</v>
      </c>
      <c r="C353" s="186"/>
      <c r="D353" s="187"/>
      <c r="E353" s="188"/>
      <c r="F353" s="189"/>
      <c r="G353" s="190"/>
      <c r="H353" s="190"/>
      <c r="I353" s="84"/>
      <c r="J353" s="84"/>
      <c r="K353" s="84"/>
      <c r="L353" s="84"/>
      <c r="M353" s="84"/>
      <c r="N353" s="84"/>
      <c r="O353" s="84"/>
      <c r="P353" s="84"/>
      <c r="Q353" s="84"/>
      <c r="R353" s="84"/>
      <c r="S353" s="84"/>
      <c r="T353" s="84"/>
    </row>
    <row r="354" ht="15.75" customHeight="1">
      <c r="A354" s="84" t="s">
        <v>36315</v>
      </c>
      <c r="B354" s="84">
        <v>1.0</v>
      </c>
      <c r="C354" s="186"/>
      <c r="D354" s="187"/>
      <c r="E354" s="188"/>
      <c r="F354" s="189"/>
      <c r="G354" s="190"/>
      <c r="H354" s="190"/>
      <c r="I354" s="84"/>
      <c r="J354" s="84"/>
      <c r="K354" s="84"/>
      <c r="L354" s="84"/>
      <c r="M354" s="84"/>
      <c r="N354" s="84"/>
      <c r="O354" s="84"/>
      <c r="P354" s="84"/>
      <c r="Q354" s="84"/>
      <c r="R354" s="84"/>
      <c r="S354" s="84"/>
      <c r="T354" s="84"/>
    </row>
    <row r="355" ht="15.75" customHeight="1">
      <c r="A355" s="84" t="s">
        <v>36316</v>
      </c>
      <c r="B355" s="84">
        <v>1.0</v>
      </c>
      <c r="C355" s="186"/>
      <c r="D355" s="187"/>
      <c r="E355" s="188"/>
      <c r="F355" s="189"/>
      <c r="G355" s="190"/>
      <c r="H355" s="190"/>
      <c r="I355" s="84" t="s">
        <v>36106</v>
      </c>
      <c r="J355" s="84"/>
      <c r="K355" s="84"/>
      <c r="L355" s="84"/>
      <c r="M355" s="84"/>
      <c r="N355" s="84"/>
      <c r="O355" s="84"/>
      <c r="P355" s="84"/>
      <c r="Q355" s="84"/>
      <c r="R355" s="84"/>
      <c r="S355" s="84"/>
      <c r="T355" s="84"/>
    </row>
    <row r="356" ht="15.75" customHeight="1">
      <c r="A356" s="84" t="s">
        <v>36317</v>
      </c>
      <c r="B356" s="84">
        <v>1.0</v>
      </c>
      <c r="C356" s="186"/>
      <c r="D356" s="187"/>
      <c r="E356" s="188"/>
      <c r="F356" s="189"/>
      <c r="G356" s="190"/>
      <c r="H356" s="190"/>
      <c r="I356" s="84" t="s">
        <v>36106</v>
      </c>
      <c r="J356" s="84"/>
      <c r="K356" s="84"/>
      <c r="L356" s="84"/>
      <c r="M356" s="84"/>
      <c r="N356" s="84"/>
      <c r="O356" s="84"/>
      <c r="P356" s="84"/>
      <c r="Q356" s="84"/>
      <c r="R356" s="84"/>
      <c r="S356" s="84"/>
      <c r="T356" s="84"/>
    </row>
    <row r="357" ht="15.75" customHeight="1">
      <c r="A357" s="84" t="s">
        <v>36318</v>
      </c>
      <c r="B357" s="84">
        <v>1.0</v>
      </c>
      <c r="C357" s="186"/>
      <c r="D357" s="187"/>
      <c r="E357" s="188"/>
      <c r="F357" s="189"/>
      <c r="G357" s="190"/>
      <c r="H357" s="190"/>
      <c r="I357" s="84"/>
      <c r="J357" s="84"/>
      <c r="K357" s="84"/>
      <c r="L357" s="84"/>
      <c r="M357" s="84"/>
      <c r="N357" s="84"/>
      <c r="O357" s="84"/>
      <c r="P357" s="84"/>
      <c r="Q357" s="84"/>
      <c r="R357" s="84"/>
      <c r="S357" s="84"/>
      <c r="T357" s="84"/>
    </row>
    <row r="358" ht="15.75" customHeight="1">
      <c r="A358" s="84" t="s">
        <v>36319</v>
      </c>
      <c r="B358" s="84">
        <v>1.0</v>
      </c>
      <c r="C358" s="186"/>
      <c r="D358" s="187"/>
      <c r="E358" s="188"/>
      <c r="F358" s="189"/>
      <c r="G358" s="190"/>
      <c r="H358" s="190"/>
      <c r="I358" s="84" t="s">
        <v>36106</v>
      </c>
      <c r="J358" s="84"/>
      <c r="K358" s="84"/>
      <c r="L358" s="84"/>
      <c r="M358" s="84"/>
      <c r="N358" s="84"/>
      <c r="O358" s="84"/>
      <c r="P358" s="84"/>
      <c r="Q358" s="84"/>
      <c r="R358" s="84"/>
      <c r="S358" s="84"/>
      <c r="T358" s="84"/>
    </row>
    <row r="359" ht="15.75" customHeight="1">
      <c r="A359" s="84" t="s">
        <v>36320</v>
      </c>
      <c r="B359" s="84">
        <v>1.0</v>
      </c>
      <c r="C359" s="186"/>
      <c r="D359" s="187"/>
      <c r="E359" s="188"/>
      <c r="F359" s="189"/>
      <c r="G359" s="190"/>
      <c r="H359" s="190"/>
      <c r="I359" s="84"/>
      <c r="J359" s="84"/>
      <c r="K359" s="84"/>
      <c r="L359" s="84"/>
      <c r="M359" s="84"/>
      <c r="N359" s="84"/>
      <c r="O359" s="84"/>
      <c r="P359" s="84"/>
      <c r="Q359" s="84"/>
      <c r="R359" s="84"/>
      <c r="S359" s="84"/>
      <c r="T359" s="84"/>
    </row>
    <row r="360" ht="15.75" customHeight="1">
      <c r="A360" s="84" t="s">
        <v>36321</v>
      </c>
      <c r="B360" s="84">
        <v>1.0</v>
      </c>
      <c r="C360" s="186"/>
      <c r="D360" s="187"/>
      <c r="E360" s="188"/>
      <c r="F360" s="189"/>
      <c r="G360" s="190"/>
      <c r="H360" s="190"/>
      <c r="I360" s="84"/>
      <c r="J360" s="84"/>
      <c r="K360" s="84"/>
      <c r="L360" s="84"/>
      <c r="M360" s="84"/>
      <c r="N360" s="84"/>
      <c r="O360" s="84"/>
      <c r="P360" s="84"/>
      <c r="Q360" s="84"/>
      <c r="R360" s="84"/>
      <c r="S360" s="84"/>
      <c r="T360" s="84"/>
    </row>
    <row r="361" ht="15.75" customHeight="1">
      <c r="A361" s="84" t="s">
        <v>36322</v>
      </c>
      <c r="B361" s="84">
        <v>1.0</v>
      </c>
      <c r="C361" s="186"/>
      <c r="D361" s="187"/>
      <c r="E361" s="188"/>
      <c r="F361" s="189"/>
      <c r="G361" s="190"/>
      <c r="H361" s="190"/>
      <c r="I361" s="84"/>
      <c r="J361" s="84"/>
      <c r="K361" s="84"/>
      <c r="L361" s="84"/>
      <c r="M361" s="84"/>
      <c r="N361" s="84"/>
      <c r="O361" s="84"/>
      <c r="P361" s="84"/>
      <c r="Q361" s="84"/>
      <c r="R361" s="84"/>
      <c r="S361" s="84"/>
      <c r="T361" s="84"/>
    </row>
    <row r="362" ht="15.75" customHeight="1">
      <c r="A362" s="84" t="s">
        <v>36323</v>
      </c>
      <c r="B362" s="84">
        <v>1.0</v>
      </c>
      <c r="C362" s="186"/>
      <c r="D362" s="187"/>
      <c r="E362" s="188"/>
      <c r="F362" s="189"/>
      <c r="G362" s="190"/>
      <c r="H362" s="190"/>
      <c r="I362" s="84"/>
      <c r="J362" s="84"/>
      <c r="K362" s="84"/>
      <c r="L362" s="84"/>
      <c r="M362" s="84"/>
      <c r="N362" s="84"/>
      <c r="O362" s="84"/>
      <c r="P362" s="84"/>
      <c r="Q362" s="84"/>
      <c r="R362" s="84"/>
      <c r="S362" s="84"/>
      <c r="T362" s="84"/>
    </row>
    <row r="363" ht="15.75" customHeight="1">
      <c r="A363" s="84" t="s">
        <v>36324</v>
      </c>
      <c r="B363" s="84">
        <v>1.0</v>
      </c>
      <c r="C363" s="186"/>
      <c r="D363" s="187"/>
      <c r="E363" s="188"/>
      <c r="F363" s="189"/>
      <c r="G363" s="190"/>
      <c r="H363" s="190"/>
      <c r="I363" s="84"/>
      <c r="J363" s="84"/>
      <c r="K363" s="84"/>
      <c r="L363" s="84"/>
      <c r="M363" s="84"/>
      <c r="N363" s="84"/>
      <c r="O363" s="84"/>
      <c r="P363" s="84"/>
      <c r="Q363" s="84"/>
      <c r="R363" s="84"/>
      <c r="S363" s="84"/>
      <c r="T363" s="84"/>
    </row>
    <row r="364" ht="15.75" customHeight="1">
      <c r="A364" s="84" t="s">
        <v>36325</v>
      </c>
      <c r="B364" s="84">
        <v>1.0</v>
      </c>
      <c r="C364" s="186"/>
      <c r="D364" s="187"/>
      <c r="E364" s="188"/>
      <c r="F364" s="189"/>
      <c r="G364" s="190"/>
      <c r="H364" s="190"/>
      <c r="I364" s="84"/>
      <c r="J364" s="84"/>
      <c r="K364" s="84"/>
      <c r="L364" s="84"/>
      <c r="M364" s="84"/>
      <c r="N364" s="84"/>
      <c r="O364" s="84"/>
      <c r="P364" s="84"/>
      <c r="Q364" s="84"/>
      <c r="R364" s="84"/>
      <c r="S364" s="84"/>
      <c r="T364" s="84"/>
    </row>
    <row r="365" ht="15.75" customHeight="1">
      <c r="A365" s="191" t="s">
        <v>36327</v>
      </c>
      <c r="B365" s="84">
        <v>1.0</v>
      </c>
      <c r="C365" s="186"/>
      <c r="D365" s="187"/>
      <c r="E365" s="188"/>
      <c r="F365" s="189"/>
      <c r="G365" s="190"/>
      <c r="H365" s="190"/>
      <c r="I365" s="84"/>
      <c r="J365" s="84"/>
      <c r="K365" s="84"/>
      <c r="L365" s="84"/>
      <c r="M365" s="84"/>
      <c r="N365" s="84"/>
      <c r="O365" s="84"/>
      <c r="P365" s="84"/>
      <c r="Q365" s="84"/>
      <c r="R365" s="84"/>
      <c r="S365" s="84"/>
      <c r="T365" s="84"/>
    </row>
    <row r="366" ht="15.75" customHeight="1">
      <c r="A366" s="84" t="s">
        <v>36330</v>
      </c>
      <c r="B366" s="84">
        <v>2.0</v>
      </c>
      <c r="C366" s="186"/>
      <c r="D366" s="187"/>
      <c r="E366" s="188"/>
      <c r="F366" s="189"/>
      <c r="G366" s="190"/>
      <c r="H366" s="190"/>
      <c r="I366" s="84"/>
      <c r="J366" s="84"/>
      <c r="K366" s="84"/>
      <c r="L366" s="84"/>
      <c r="M366" s="84"/>
      <c r="N366" s="84"/>
      <c r="O366" s="84"/>
      <c r="P366" s="84"/>
      <c r="Q366" s="84"/>
      <c r="R366" s="84"/>
      <c r="S366" s="84"/>
      <c r="T366" s="84"/>
    </row>
    <row r="367" ht="15.75" customHeight="1">
      <c r="A367" s="84" t="s">
        <v>36331</v>
      </c>
      <c r="B367" s="84">
        <v>1.0</v>
      </c>
      <c r="C367" s="186"/>
      <c r="D367" s="187"/>
      <c r="E367" s="188"/>
      <c r="F367" s="189"/>
      <c r="G367" s="190"/>
      <c r="H367" s="190"/>
      <c r="I367" s="84"/>
      <c r="J367" s="84"/>
      <c r="K367" s="84"/>
      <c r="L367" s="84"/>
      <c r="M367" s="84"/>
      <c r="N367" s="84"/>
      <c r="O367" s="84"/>
      <c r="P367" s="84"/>
      <c r="Q367" s="84"/>
      <c r="R367" s="84"/>
      <c r="S367" s="84"/>
      <c r="T367" s="84"/>
    </row>
    <row r="368" ht="15.75" customHeight="1">
      <c r="A368" s="84" t="s">
        <v>36335</v>
      </c>
      <c r="B368" s="84">
        <v>1.0</v>
      </c>
      <c r="C368" s="186"/>
      <c r="D368" s="187"/>
      <c r="E368" s="188"/>
      <c r="F368" s="189"/>
      <c r="G368" s="190"/>
      <c r="H368" s="190"/>
      <c r="I368" s="84"/>
      <c r="J368" s="84"/>
      <c r="K368" s="84"/>
      <c r="L368" s="84"/>
      <c r="M368" s="84"/>
      <c r="N368" s="84"/>
      <c r="O368" s="84"/>
      <c r="P368" s="84"/>
      <c r="Q368" s="84"/>
      <c r="R368" s="84"/>
      <c r="S368" s="84"/>
      <c r="T368" s="84"/>
    </row>
    <row r="369" ht="15.75" customHeight="1">
      <c r="A369" s="84" t="s">
        <v>36336</v>
      </c>
      <c r="B369" s="84">
        <v>1.0</v>
      </c>
      <c r="C369" s="186"/>
      <c r="D369" s="187"/>
      <c r="E369" s="188"/>
      <c r="F369" s="189"/>
      <c r="G369" s="190"/>
      <c r="H369" s="190"/>
      <c r="I369" s="84"/>
      <c r="J369" s="84"/>
      <c r="K369" s="84"/>
      <c r="L369" s="84"/>
      <c r="M369" s="84"/>
      <c r="N369" s="84"/>
      <c r="O369" s="84"/>
      <c r="P369" s="84"/>
      <c r="Q369" s="84"/>
      <c r="R369" s="84"/>
      <c r="S369" s="84"/>
      <c r="T369" s="84"/>
    </row>
    <row r="370" ht="15.75" customHeight="1">
      <c r="A370" s="84" t="s">
        <v>36337</v>
      </c>
      <c r="B370" s="84">
        <v>1.0</v>
      </c>
      <c r="C370" s="186"/>
      <c r="D370" s="187"/>
      <c r="E370" s="188"/>
      <c r="F370" s="189"/>
      <c r="G370" s="190"/>
      <c r="H370" s="190"/>
      <c r="I370" s="84"/>
      <c r="J370" s="84"/>
      <c r="K370" s="84"/>
      <c r="L370" s="84"/>
      <c r="M370" s="84"/>
      <c r="N370" s="84"/>
      <c r="O370" s="84"/>
      <c r="P370" s="84"/>
      <c r="Q370" s="84"/>
      <c r="R370" s="84"/>
      <c r="S370" s="84"/>
      <c r="T370" s="84"/>
    </row>
    <row r="371" ht="15.75" customHeight="1">
      <c r="A371" s="84" t="s">
        <v>36338</v>
      </c>
      <c r="B371" s="84">
        <v>1.0</v>
      </c>
      <c r="C371" s="186"/>
      <c r="D371" s="187"/>
      <c r="E371" s="188"/>
      <c r="F371" s="189"/>
      <c r="G371" s="190"/>
      <c r="H371" s="190"/>
      <c r="I371" s="84"/>
      <c r="J371" s="84"/>
      <c r="K371" s="84"/>
      <c r="L371" s="84"/>
      <c r="M371" s="84"/>
      <c r="N371" s="84"/>
      <c r="O371" s="84"/>
      <c r="P371" s="84"/>
      <c r="Q371" s="84"/>
      <c r="R371" s="84"/>
      <c r="S371" s="84"/>
      <c r="T371" s="84"/>
    </row>
    <row r="372" ht="15.75" customHeight="1">
      <c r="A372" s="84" t="s">
        <v>36339</v>
      </c>
      <c r="B372" s="84">
        <v>1.0</v>
      </c>
      <c r="C372" s="186"/>
      <c r="D372" s="187"/>
      <c r="E372" s="188"/>
      <c r="F372" s="189"/>
      <c r="G372" s="190"/>
      <c r="H372" s="190"/>
      <c r="I372" s="84"/>
      <c r="J372" s="84"/>
      <c r="K372" s="84"/>
      <c r="L372" s="84"/>
      <c r="M372" s="84"/>
      <c r="N372" s="84"/>
      <c r="O372" s="84"/>
      <c r="P372" s="84"/>
      <c r="Q372" s="84"/>
      <c r="R372" s="84"/>
      <c r="S372" s="84"/>
      <c r="T372" s="84"/>
    </row>
    <row r="373" ht="15.75" customHeight="1">
      <c r="A373" s="84" t="s">
        <v>36340</v>
      </c>
      <c r="B373" s="84">
        <v>1.0</v>
      </c>
      <c r="C373" s="186"/>
      <c r="D373" s="187"/>
      <c r="E373" s="188"/>
      <c r="F373" s="189"/>
      <c r="G373" s="190"/>
      <c r="H373" s="190"/>
      <c r="I373" s="84"/>
      <c r="J373" s="84"/>
      <c r="K373" s="84"/>
      <c r="L373" s="84"/>
      <c r="M373" s="84"/>
      <c r="N373" s="84"/>
      <c r="O373" s="84"/>
      <c r="P373" s="84"/>
      <c r="Q373" s="84"/>
      <c r="R373" s="84"/>
      <c r="S373" s="84"/>
      <c r="T373" s="84"/>
    </row>
    <row r="374" ht="15.75" customHeight="1">
      <c r="A374" s="84" t="s">
        <v>36341</v>
      </c>
      <c r="B374" s="84">
        <v>1.0</v>
      </c>
      <c r="C374" s="186"/>
      <c r="D374" s="187"/>
      <c r="E374" s="188"/>
      <c r="F374" s="189"/>
      <c r="G374" s="190"/>
      <c r="H374" s="190"/>
      <c r="I374" s="84"/>
      <c r="J374" s="84"/>
      <c r="K374" s="84"/>
      <c r="L374" s="84"/>
      <c r="M374" s="84"/>
      <c r="N374" s="84"/>
      <c r="O374" s="84"/>
      <c r="P374" s="84"/>
      <c r="Q374" s="84"/>
      <c r="R374" s="84"/>
      <c r="S374" s="84"/>
      <c r="T374" s="84"/>
    </row>
    <row r="375" ht="15.75" customHeight="1">
      <c r="A375" s="84" t="s">
        <v>36342</v>
      </c>
      <c r="B375" s="84">
        <v>1.0</v>
      </c>
      <c r="C375" s="186"/>
      <c r="D375" s="187"/>
      <c r="E375" s="188"/>
      <c r="F375" s="189"/>
      <c r="G375" s="190"/>
      <c r="H375" s="190"/>
      <c r="I375" s="84"/>
      <c r="J375" s="84"/>
      <c r="K375" s="84"/>
      <c r="L375" s="84"/>
      <c r="M375" s="84"/>
      <c r="N375" s="84"/>
      <c r="O375" s="84"/>
      <c r="P375" s="84"/>
      <c r="Q375" s="84"/>
      <c r="R375" s="84"/>
      <c r="S375" s="84"/>
      <c r="T375" s="84"/>
    </row>
    <row r="376" ht="15.75" customHeight="1">
      <c r="A376" s="84" t="s">
        <v>36343</v>
      </c>
      <c r="B376" s="84">
        <v>1.0</v>
      </c>
      <c r="C376" s="186"/>
      <c r="D376" s="187"/>
      <c r="E376" s="188"/>
      <c r="F376" s="189"/>
      <c r="G376" s="190"/>
      <c r="H376" s="190"/>
      <c r="I376" s="84"/>
      <c r="J376" s="84"/>
      <c r="K376" s="84"/>
      <c r="L376" s="84"/>
      <c r="M376" s="84"/>
      <c r="N376" s="84"/>
      <c r="O376" s="84"/>
      <c r="P376" s="84"/>
      <c r="Q376" s="84"/>
      <c r="R376" s="84"/>
      <c r="S376" s="84"/>
      <c r="T376" s="84"/>
    </row>
    <row r="377" ht="15.75" customHeight="1">
      <c r="A377" s="84" t="s">
        <v>36344</v>
      </c>
      <c r="B377" s="84">
        <v>1.0</v>
      </c>
      <c r="C377" s="186"/>
      <c r="D377" s="187"/>
      <c r="E377" s="188"/>
      <c r="F377" s="189"/>
      <c r="G377" s="190"/>
      <c r="H377" s="190"/>
      <c r="I377" s="84"/>
      <c r="J377" s="84"/>
      <c r="K377" s="84"/>
      <c r="L377" s="84"/>
      <c r="M377" s="84"/>
      <c r="N377" s="84"/>
      <c r="O377" s="84"/>
      <c r="P377" s="84"/>
      <c r="Q377" s="84"/>
      <c r="R377" s="84"/>
      <c r="S377" s="84"/>
      <c r="T377" s="84"/>
    </row>
    <row r="378" ht="15.75" customHeight="1">
      <c r="A378" s="84" t="s">
        <v>36345</v>
      </c>
      <c r="B378" s="84">
        <v>1.0</v>
      </c>
      <c r="C378" s="186"/>
      <c r="D378" s="187"/>
      <c r="E378" s="188"/>
      <c r="F378" s="189"/>
      <c r="G378" s="190"/>
      <c r="H378" s="190"/>
      <c r="I378" s="84"/>
      <c r="J378" s="84"/>
      <c r="K378" s="84"/>
      <c r="L378" s="84"/>
      <c r="M378" s="84"/>
      <c r="N378" s="84"/>
      <c r="O378" s="84"/>
      <c r="P378" s="84"/>
      <c r="Q378" s="84"/>
      <c r="R378" s="84"/>
      <c r="S378" s="84"/>
      <c r="T378" s="84"/>
    </row>
    <row r="379" ht="15.75" customHeight="1">
      <c r="A379" s="84" t="s">
        <v>36347</v>
      </c>
      <c r="B379" s="84">
        <v>1.0</v>
      </c>
      <c r="C379" s="186"/>
      <c r="D379" s="187"/>
      <c r="E379" s="188"/>
      <c r="F379" s="189"/>
      <c r="G379" s="190"/>
      <c r="H379" s="190"/>
      <c r="I379" s="84"/>
      <c r="J379" s="84"/>
      <c r="K379" s="84"/>
      <c r="L379" s="84"/>
      <c r="M379" s="84"/>
      <c r="N379" s="84"/>
      <c r="O379" s="84"/>
      <c r="P379" s="84"/>
      <c r="Q379" s="84"/>
      <c r="R379" s="84"/>
      <c r="S379" s="84"/>
      <c r="T379" s="84"/>
    </row>
    <row r="380" ht="15.75" customHeight="1">
      <c r="A380" s="84" t="s">
        <v>36348</v>
      </c>
      <c r="B380" s="84">
        <v>2.0</v>
      </c>
      <c r="C380" s="186"/>
      <c r="D380" s="187"/>
      <c r="E380" s="188"/>
      <c r="F380" s="189"/>
      <c r="G380" s="190"/>
      <c r="H380" s="190"/>
      <c r="I380" s="84"/>
      <c r="J380" s="84"/>
      <c r="K380" s="84"/>
      <c r="L380" s="84"/>
      <c r="M380" s="84"/>
      <c r="N380" s="84"/>
      <c r="O380" s="84"/>
      <c r="P380" s="84"/>
      <c r="Q380" s="84"/>
      <c r="R380" s="84"/>
      <c r="S380" s="84"/>
      <c r="T380" s="84"/>
    </row>
    <row r="381" ht="15.75" customHeight="1">
      <c r="A381" s="84" t="s">
        <v>36349</v>
      </c>
      <c r="B381" s="84">
        <v>18.0</v>
      </c>
      <c r="C381" s="186"/>
      <c r="D381" s="187"/>
      <c r="E381" s="188"/>
      <c r="F381" s="189"/>
      <c r="G381" s="190"/>
      <c r="H381" s="190"/>
      <c r="I381" s="84"/>
      <c r="J381" s="84"/>
      <c r="K381" s="84"/>
      <c r="L381" s="84"/>
      <c r="M381" s="84"/>
      <c r="N381" s="84"/>
      <c r="O381" s="84"/>
      <c r="P381" s="84"/>
      <c r="Q381" s="84"/>
      <c r="R381" s="84"/>
      <c r="S381" s="84"/>
      <c r="T381" s="84"/>
    </row>
    <row r="382" ht="15.75" customHeight="1">
      <c r="A382" s="84" t="s">
        <v>36350</v>
      </c>
      <c r="B382" s="84">
        <v>1.0</v>
      </c>
      <c r="C382" s="186"/>
      <c r="D382" s="187"/>
      <c r="E382" s="188"/>
      <c r="F382" s="189" t="s">
        <v>30659</v>
      </c>
      <c r="G382" s="190" t="s">
        <v>36349</v>
      </c>
      <c r="H382" s="190"/>
      <c r="I382" s="84"/>
      <c r="J382" s="84"/>
      <c r="K382" s="84"/>
      <c r="L382" s="84"/>
      <c r="M382" s="84"/>
      <c r="N382" s="84"/>
      <c r="O382" s="84"/>
      <c r="P382" s="84"/>
      <c r="Q382" s="84"/>
      <c r="R382" s="84"/>
      <c r="S382" s="84"/>
      <c r="T382" s="84"/>
    </row>
    <row r="383" ht="15.75" customHeight="1">
      <c r="A383" s="84" t="s">
        <v>36351</v>
      </c>
      <c r="B383" s="84">
        <v>1.0</v>
      </c>
      <c r="C383" s="186"/>
      <c r="D383" s="187"/>
      <c r="E383" s="188"/>
      <c r="F383" s="189"/>
      <c r="G383" s="190"/>
      <c r="H383" s="190"/>
      <c r="I383" s="84"/>
      <c r="J383" s="84"/>
      <c r="K383" s="84"/>
      <c r="L383" s="84"/>
      <c r="M383" s="84"/>
      <c r="N383" s="84"/>
      <c r="O383" s="84"/>
      <c r="P383" s="84"/>
      <c r="Q383" s="84"/>
      <c r="R383" s="84"/>
      <c r="S383" s="84"/>
      <c r="T383" s="84"/>
    </row>
    <row r="384" ht="15.75" customHeight="1">
      <c r="A384" s="84" t="s">
        <v>36352</v>
      </c>
      <c r="B384" s="84">
        <v>1.0</v>
      </c>
      <c r="C384" s="186"/>
      <c r="D384" s="187"/>
      <c r="E384" s="188"/>
      <c r="F384" s="189"/>
      <c r="G384" s="190"/>
      <c r="H384" s="190"/>
      <c r="I384" s="84"/>
      <c r="J384" s="84"/>
      <c r="K384" s="84"/>
      <c r="L384" s="84"/>
      <c r="M384" s="84"/>
      <c r="N384" s="84"/>
      <c r="O384" s="84"/>
      <c r="P384" s="84"/>
      <c r="Q384" s="84"/>
      <c r="R384" s="84"/>
      <c r="S384" s="84"/>
      <c r="T384" s="84"/>
    </row>
    <row r="385" ht="15.75" customHeight="1">
      <c r="A385" s="84" t="s">
        <v>36353</v>
      </c>
      <c r="B385" s="84">
        <v>2.0</v>
      </c>
      <c r="C385" s="186"/>
      <c r="D385" s="187"/>
      <c r="E385" s="188"/>
      <c r="F385" s="189"/>
      <c r="G385" s="190"/>
      <c r="H385" s="190"/>
      <c r="I385" s="84"/>
      <c r="J385" s="84"/>
      <c r="K385" s="84"/>
      <c r="L385" s="84"/>
      <c r="M385" s="84"/>
      <c r="N385" s="84"/>
      <c r="O385" s="84"/>
      <c r="P385" s="84"/>
      <c r="Q385" s="84"/>
      <c r="R385" s="84"/>
      <c r="S385" s="84"/>
      <c r="T385" s="84"/>
    </row>
    <row r="386" ht="15.75" customHeight="1">
      <c r="A386" s="84" t="s">
        <v>36355</v>
      </c>
      <c r="B386" s="84">
        <v>1.0</v>
      </c>
      <c r="C386" s="186"/>
      <c r="D386" s="187"/>
      <c r="E386" s="188"/>
      <c r="F386" s="189"/>
      <c r="G386" s="190"/>
      <c r="H386" s="190"/>
      <c r="I386" s="84"/>
      <c r="J386" s="84"/>
      <c r="K386" s="84"/>
      <c r="L386" s="84"/>
      <c r="M386" s="84"/>
      <c r="N386" s="84"/>
      <c r="O386" s="84"/>
      <c r="P386" s="84"/>
      <c r="Q386" s="84"/>
      <c r="R386" s="84"/>
      <c r="S386" s="84"/>
      <c r="T386" s="84"/>
    </row>
    <row r="387" ht="15.75" customHeight="1">
      <c r="A387" s="84" t="s">
        <v>36356</v>
      </c>
      <c r="B387" s="84">
        <v>1.0</v>
      </c>
      <c r="C387" s="186"/>
      <c r="D387" s="187"/>
      <c r="E387" s="188"/>
      <c r="F387" s="189"/>
      <c r="G387" s="190"/>
      <c r="H387" s="190"/>
      <c r="I387" s="84"/>
      <c r="J387" s="84"/>
      <c r="K387" s="84"/>
      <c r="L387" s="84"/>
      <c r="M387" s="84"/>
      <c r="N387" s="84"/>
      <c r="O387" s="84"/>
      <c r="P387" s="84"/>
      <c r="Q387" s="84"/>
      <c r="R387" s="84"/>
      <c r="S387" s="84"/>
      <c r="T387" s="84"/>
    </row>
    <row r="388" ht="15.75" customHeight="1">
      <c r="A388" s="84" t="s">
        <v>36357</v>
      </c>
      <c r="B388" s="84">
        <v>1.0</v>
      </c>
      <c r="C388" s="186"/>
      <c r="D388" s="187"/>
      <c r="E388" s="188"/>
      <c r="F388" s="189"/>
      <c r="G388" s="190"/>
      <c r="H388" s="190"/>
      <c r="I388" s="84"/>
      <c r="J388" s="84"/>
      <c r="K388" s="84"/>
      <c r="L388" s="84"/>
      <c r="M388" s="84"/>
      <c r="N388" s="84"/>
      <c r="O388" s="84"/>
      <c r="P388" s="84"/>
      <c r="Q388" s="84"/>
      <c r="R388" s="84"/>
      <c r="S388" s="84"/>
      <c r="T388" s="84"/>
    </row>
    <row r="389" ht="15.75" customHeight="1">
      <c r="A389" s="84" t="s">
        <v>36358</v>
      </c>
      <c r="B389" s="84">
        <v>3.0</v>
      </c>
      <c r="C389" s="186"/>
      <c r="D389" s="187"/>
      <c r="E389" s="188"/>
      <c r="F389" s="189"/>
      <c r="G389" s="190"/>
      <c r="H389" s="190"/>
      <c r="I389" s="84"/>
      <c r="J389" s="84"/>
      <c r="K389" s="84"/>
      <c r="L389" s="84"/>
      <c r="M389" s="84"/>
      <c r="N389" s="84"/>
      <c r="O389" s="84"/>
      <c r="P389" s="84"/>
      <c r="Q389" s="84"/>
      <c r="R389" s="84"/>
      <c r="S389" s="84"/>
      <c r="T389" s="84"/>
    </row>
    <row r="390" ht="15.75" customHeight="1">
      <c r="A390" s="84" t="s">
        <v>36359</v>
      </c>
      <c r="B390" s="84">
        <v>1.0</v>
      </c>
      <c r="C390" s="186"/>
      <c r="D390" s="187"/>
      <c r="E390" s="188"/>
      <c r="F390" s="189"/>
      <c r="G390" s="190"/>
      <c r="H390" s="190"/>
      <c r="I390" s="84"/>
      <c r="J390" s="84"/>
      <c r="K390" s="84"/>
      <c r="L390" s="84"/>
      <c r="M390" s="84"/>
      <c r="N390" s="84"/>
      <c r="O390" s="84"/>
      <c r="P390" s="84"/>
      <c r="Q390" s="84"/>
      <c r="R390" s="84"/>
      <c r="S390" s="84"/>
      <c r="T390" s="84"/>
    </row>
    <row r="391" ht="15.75" customHeight="1">
      <c r="A391" s="84" t="s">
        <v>36360</v>
      </c>
      <c r="B391" s="84">
        <v>1.0</v>
      </c>
      <c r="C391" s="186"/>
      <c r="D391" s="187"/>
      <c r="E391" s="188"/>
      <c r="F391" s="189"/>
      <c r="G391" s="190"/>
      <c r="H391" s="190"/>
      <c r="I391" s="84"/>
      <c r="J391" s="84"/>
      <c r="K391" s="84"/>
      <c r="L391" s="84"/>
      <c r="M391" s="84"/>
      <c r="N391" s="84"/>
      <c r="O391" s="84"/>
      <c r="P391" s="84"/>
      <c r="Q391" s="84"/>
      <c r="R391" s="84"/>
      <c r="S391" s="84"/>
      <c r="T391" s="84"/>
    </row>
    <row r="392" ht="15.75" customHeight="1">
      <c r="A392" s="84" t="s">
        <v>36361</v>
      </c>
      <c r="B392" s="84">
        <v>1.0</v>
      </c>
      <c r="C392" s="186"/>
      <c r="D392" s="187"/>
      <c r="E392" s="188"/>
      <c r="F392" s="189"/>
      <c r="G392" s="190"/>
      <c r="H392" s="190"/>
      <c r="I392" s="84"/>
      <c r="J392" s="84"/>
      <c r="K392" s="84"/>
      <c r="L392" s="84"/>
      <c r="M392" s="84"/>
      <c r="N392" s="84"/>
      <c r="O392" s="84"/>
      <c r="P392" s="84"/>
      <c r="Q392" s="84"/>
      <c r="R392" s="84"/>
      <c r="S392" s="84"/>
      <c r="T392" s="84"/>
    </row>
    <row r="393" ht="15.75" customHeight="1">
      <c r="A393" s="84" t="s">
        <v>36362</v>
      </c>
      <c r="B393" s="84">
        <v>1.0</v>
      </c>
      <c r="C393" s="186"/>
      <c r="D393" s="187"/>
      <c r="E393" s="188"/>
      <c r="F393" s="189"/>
      <c r="G393" s="190"/>
      <c r="H393" s="190"/>
      <c r="I393" s="84"/>
      <c r="J393" s="84"/>
      <c r="K393" s="84"/>
      <c r="L393" s="84"/>
      <c r="M393" s="84"/>
      <c r="N393" s="84"/>
      <c r="O393" s="84"/>
      <c r="P393" s="84"/>
      <c r="Q393" s="84"/>
      <c r="R393" s="84"/>
      <c r="S393" s="84"/>
      <c r="T393" s="84"/>
    </row>
    <row r="394" ht="15.75" customHeight="1">
      <c r="A394" s="84" t="s">
        <v>36363</v>
      </c>
      <c r="B394" s="84">
        <v>2.0</v>
      </c>
      <c r="C394" s="186"/>
      <c r="D394" s="187"/>
      <c r="E394" s="188"/>
      <c r="F394" s="189"/>
      <c r="G394" s="190"/>
      <c r="H394" s="190"/>
      <c r="I394" s="84"/>
      <c r="J394" s="84"/>
      <c r="K394" s="84"/>
      <c r="L394" s="84"/>
      <c r="M394" s="84"/>
      <c r="N394" s="84"/>
      <c r="O394" s="84"/>
      <c r="P394" s="84"/>
      <c r="Q394" s="84"/>
      <c r="R394" s="84"/>
      <c r="S394" s="84"/>
      <c r="T394" s="84"/>
    </row>
    <row r="395" ht="15.75" customHeight="1">
      <c r="A395" s="84" t="s">
        <v>36364</v>
      </c>
      <c r="B395" s="84">
        <v>1.0</v>
      </c>
      <c r="C395" s="186"/>
      <c r="D395" s="187"/>
      <c r="E395" s="188"/>
      <c r="F395" s="189" t="s">
        <v>30659</v>
      </c>
      <c r="G395" s="190" t="s">
        <v>36365</v>
      </c>
      <c r="H395" s="190"/>
      <c r="I395" s="84"/>
      <c r="J395" s="84"/>
      <c r="K395" s="84"/>
      <c r="L395" s="84"/>
      <c r="M395" s="84"/>
      <c r="N395" s="84"/>
      <c r="O395" s="84"/>
      <c r="P395" s="84"/>
      <c r="Q395" s="84"/>
      <c r="R395" s="84"/>
      <c r="S395" s="84"/>
      <c r="T395" s="84"/>
    </row>
    <row r="396" ht="15.75" customHeight="1">
      <c r="A396" s="84" t="s">
        <v>36366</v>
      </c>
      <c r="B396" s="84">
        <v>1.0</v>
      </c>
      <c r="C396" s="186"/>
      <c r="D396" s="187"/>
      <c r="E396" s="188"/>
      <c r="F396" s="189"/>
      <c r="G396" s="190"/>
      <c r="H396" s="190"/>
      <c r="I396" s="84"/>
      <c r="J396" s="84"/>
      <c r="K396" s="84"/>
      <c r="L396" s="84"/>
      <c r="M396" s="84"/>
      <c r="N396" s="84"/>
      <c r="O396" s="84"/>
      <c r="P396" s="84"/>
      <c r="Q396" s="84"/>
      <c r="R396" s="84"/>
      <c r="S396" s="84"/>
      <c r="T396" s="84"/>
    </row>
    <row r="397" ht="15.75" customHeight="1">
      <c r="A397" s="84" t="s">
        <v>36365</v>
      </c>
      <c r="B397" s="84">
        <v>1.0</v>
      </c>
      <c r="C397" s="186"/>
      <c r="D397" s="187"/>
      <c r="E397" s="188"/>
      <c r="F397" s="189"/>
      <c r="G397" s="190"/>
      <c r="H397" s="190"/>
      <c r="I397" s="84"/>
      <c r="J397" s="84"/>
      <c r="K397" s="84"/>
      <c r="L397" s="84"/>
      <c r="M397" s="84"/>
      <c r="N397" s="84"/>
      <c r="O397" s="84"/>
      <c r="P397" s="84"/>
      <c r="Q397" s="84"/>
      <c r="R397" s="84"/>
      <c r="S397" s="84"/>
      <c r="T397" s="84"/>
    </row>
    <row r="398" ht="15.75" customHeight="1">
      <c r="A398" s="84" t="s">
        <v>36367</v>
      </c>
      <c r="B398" s="84">
        <v>1.0</v>
      </c>
      <c r="C398" s="186" t="s">
        <v>30659</v>
      </c>
      <c r="D398" s="187" t="s">
        <v>36365</v>
      </c>
      <c r="E398" s="188"/>
      <c r="F398" s="189"/>
      <c r="G398" s="190"/>
      <c r="H398" s="190"/>
      <c r="I398" s="84"/>
      <c r="J398" s="84"/>
      <c r="K398" s="84"/>
      <c r="L398" s="84"/>
      <c r="M398" s="84"/>
      <c r="N398" s="84"/>
      <c r="O398" s="84"/>
      <c r="P398" s="84"/>
      <c r="Q398" s="84"/>
      <c r="R398" s="84"/>
      <c r="S398" s="84"/>
      <c r="T398" s="84"/>
    </row>
    <row r="399" ht="15.75" customHeight="1">
      <c r="A399" s="84" t="s">
        <v>36368</v>
      </c>
      <c r="B399" s="84">
        <v>2.0</v>
      </c>
      <c r="C399" s="186"/>
      <c r="D399" s="187"/>
      <c r="E399" s="188"/>
      <c r="F399" s="189"/>
      <c r="G399" s="190"/>
      <c r="H399" s="190"/>
      <c r="I399" s="84"/>
      <c r="J399" s="84"/>
      <c r="K399" s="84"/>
      <c r="L399" s="84"/>
      <c r="M399" s="84"/>
      <c r="N399" s="84"/>
      <c r="O399" s="84"/>
      <c r="P399" s="84"/>
      <c r="Q399" s="84"/>
      <c r="R399" s="84"/>
      <c r="S399" s="84"/>
      <c r="T399" s="84"/>
    </row>
    <row r="400" ht="15.75" customHeight="1">
      <c r="A400" s="84" t="s">
        <v>36369</v>
      </c>
      <c r="B400" s="84">
        <v>2.0</v>
      </c>
      <c r="C400" s="186"/>
      <c r="D400" s="187"/>
      <c r="E400" s="188"/>
      <c r="F400" s="189"/>
      <c r="G400" s="190"/>
      <c r="H400" s="190"/>
      <c r="I400" s="84"/>
      <c r="J400" s="84"/>
      <c r="K400" s="84"/>
      <c r="L400" s="84"/>
      <c r="M400" s="84"/>
      <c r="N400" s="84"/>
      <c r="O400" s="84"/>
      <c r="P400" s="84"/>
      <c r="Q400" s="84"/>
      <c r="R400" s="84"/>
      <c r="S400" s="84"/>
      <c r="T400" s="84"/>
    </row>
    <row r="401" ht="15.75" customHeight="1">
      <c r="A401" s="84" t="s">
        <v>36370</v>
      </c>
      <c r="B401" s="84">
        <v>1.0</v>
      </c>
      <c r="C401" s="186"/>
      <c r="D401" s="187"/>
      <c r="E401" s="188"/>
      <c r="F401" s="189"/>
      <c r="G401" s="190"/>
      <c r="H401" s="190"/>
      <c r="I401" s="84"/>
      <c r="J401" s="84"/>
      <c r="K401" s="84"/>
      <c r="L401" s="84"/>
      <c r="M401" s="84"/>
      <c r="N401" s="84"/>
      <c r="O401" s="84"/>
      <c r="P401" s="84"/>
      <c r="Q401" s="84"/>
      <c r="R401" s="84"/>
      <c r="S401" s="84"/>
      <c r="T401" s="84"/>
    </row>
    <row r="402" ht="15.75" customHeight="1">
      <c r="A402" s="84" t="s">
        <v>36371</v>
      </c>
      <c r="B402" s="84">
        <v>2.0</v>
      </c>
      <c r="C402" s="186"/>
      <c r="D402" s="187"/>
      <c r="E402" s="188"/>
      <c r="F402" s="189"/>
      <c r="G402" s="190"/>
      <c r="H402" s="190"/>
      <c r="I402" s="84"/>
      <c r="J402" s="84"/>
      <c r="K402" s="84"/>
      <c r="L402" s="84"/>
      <c r="M402" s="84"/>
      <c r="N402" s="84"/>
      <c r="O402" s="84"/>
      <c r="P402" s="84"/>
      <c r="Q402" s="84"/>
      <c r="R402" s="84"/>
      <c r="S402" s="84"/>
      <c r="T402" s="84"/>
    </row>
    <row r="403" ht="15.75" customHeight="1">
      <c r="A403" s="84" t="s">
        <v>36372</v>
      </c>
      <c r="B403" s="84">
        <v>3.0</v>
      </c>
      <c r="C403" s="186"/>
      <c r="D403" s="187"/>
      <c r="E403" s="188"/>
      <c r="F403" s="189"/>
      <c r="G403" s="190"/>
      <c r="H403" s="190"/>
      <c r="I403" s="84"/>
      <c r="J403" s="84"/>
      <c r="K403" s="84"/>
      <c r="L403" s="84"/>
      <c r="M403" s="84"/>
      <c r="N403" s="84"/>
      <c r="O403" s="84"/>
      <c r="P403" s="84"/>
      <c r="Q403" s="84"/>
      <c r="R403" s="84"/>
      <c r="S403" s="84"/>
      <c r="T403" s="84"/>
    </row>
    <row r="404" ht="15.75" customHeight="1">
      <c r="A404" s="84" t="s">
        <v>36373</v>
      </c>
      <c r="B404" s="84">
        <v>1.0</v>
      </c>
      <c r="C404" s="186" t="s">
        <v>30659</v>
      </c>
      <c r="D404" s="187" t="s">
        <v>36372</v>
      </c>
      <c r="E404" s="188"/>
      <c r="F404" s="189"/>
      <c r="G404" s="190"/>
      <c r="H404" s="190"/>
      <c r="I404" s="84"/>
      <c r="J404" s="84"/>
      <c r="K404" s="84"/>
      <c r="L404" s="84"/>
      <c r="M404" s="84"/>
      <c r="N404" s="84"/>
      <c r="O404" s="84"/>
      <c r="P404" s="84"/>
      <c r="Q404" s="84"/>
      <c r="R404" s="84"/>
      <c r="S404" s="84"/>
      <c r="T404" s="84"/>
    </row>
    <row r="405" ht="15.75" customHeight="1">
      <c r="A405" s="84" t="s">
        <v>36374</v>
      </c>
      <c r="B405" s="84">
        <v>1.0</v>
      </c>
      <c r="C405" s="186"/>
      <c r="D405" s="187"/>
      <c r="E405" s="188"/>
      <c r="F405" s="189"/>
      <c r="G405" s="190"/>
      <c r="H405" s="190"/>
      <c r="I405" s="84"/>
      <c r="J405" s="84"/>
      <c r="K405" s="84"/>
      <c r="L405" s="84"/>
      <c r="M405" s="84"/>
      <c r="N405" s="84"/>
      <c r="O405" s="84"/>
      <c r="P405" s="84"/>
      <c r="Q405" s="84"/>
      <c r="R405" s="84"/>
      <c r="S405" s="84"/>
      <c r="T405" s="84"/>
    </row>
    <row r="406" ht="15.75" customHeight="1">
      <c r="A406" s="84" t="s">
        <v>36375</v>
      </c>
      <c r="B406" s="84">
        <v>1.0</v>
      </c>
      <c r="C406" s="186"/>
      <c r="D406" s="187"/>
      <c r="E406" s="188"/>
      <c r="F406" s="189"/>
      <c r="G406" s="190"/>
      <c r="H406" s="190"/>
      <c r="I406" s="84"/>
      <c r="J406" s="84"/>
      <c r="K406" s="84"/>
      <c r="L406" s="84"/>
      <c r="M406" s="84"/>
      <c r="N406" s="84"/>
      <c r="O406" s="84"/>
      <c r="P406" s="84"/>
      <c r="Q406" s="84"/>
      <c r="R406" s="84"/>
      <c r="S406" s="84"/>
      <c r="T406" s="84"/>
    </row>
    <row r="407" ht="15.75" customHeight="1">
      <c r="A407" s="84" t="s">
        <v>36376</v>
      </c>
      <c r="B407" s="84">
        <v>1.0</v>
      </c>
      <c r="C407" s="186"/>
      <c r="D407" s="187"/>
      <c r="E407" s="188"/>
      <c r="F407" s="189"/>
      <c r="G407" s="190"/>
      <c r="H407" s="190"/>
      <c r="I407" s="84"/>
      <c r="J407" s="84"/>
      <c r="K407" s="84"/>
      <c r="L407" s="84"/>
      <c r="M407" s="84"/>
      <c r="N407" s="84"/>
      <c r="O407" s="84"/>
      <c r="P407" s="84"/>
      <c r="Q407" s="84"/>
      <c r="R407" s="84"/>
      <c r="S407" s="84"/>
      <c r="T407" s="84"/>
    </row>
    <row r="408" ht="15.75" customHeight="1">
      <c r="A408" s="84" t="s">
        <v>36377</v>
      </c>
      <c r="B408" s="84">
        <v>1.0</v>
      </c>
      <c r="C408" s="186"/>
      <c r="D408" s="187"/>
      <c r="E408" s="188"/>
      <c r="F408" s="189"/>
      <c r="G408" s="190"/>
      <c r="H408" s="190"/>
      <c r="I408" s="84"/>
      <c r="J408" s="84"/>
      <c r="K408" s="84"/>
      <c r="L408" s="84"/>
      <c r="M408" s="84"/>
      <c r="N408" s="84"/>
      <c r="O408" s="84"/>
      <c r="P408" s="84"/>
      <c r="Q408" s="84"/>
      <c r="R408" s="84"/>
      <c r="S408" s="84"/>
      <c r="T408" s="84"/>
    </row>
    <row r="409" ht="15.75" customHeight="1">
      <c r="A409" s="84" t="s">
        <v>36378</v>
      </c>
      <c r="B409" s="84">
        <v>1.0</v>
      </c>
      <c r="C409" s="186"/>
      <c r="D409" s="187"/>
      <c r="E409" s="188"/>
      <c r="F409" s="189"/>
      <c r="G409" s="190"/>
      <c r="H409" s="190"/>
      <c r="I409" s="84"/>
      <c r="J409" s="84"/>
      <c r="K409" s="84"/>
      <c r="L409" s="84"/>
      <c r="M409" s="84"/>
      <c r="N409" s="84"/>
      <c r="O409" s="84"/>
      <c r="P409" s="84"/>
      <c r="Q409" s="84"/>
      <c r="R409" s="84"/>
      <c r="S409" s="84"/>
      <c r="T409" s="84"/>
    </row>
    <row r="410" ht="15.75" customHeight="1">
      <c r="A410" s="84" t="s">
        <v>36379</v>
      </c>
      <c r="B410" s="84">
        <v>7.0</v>
      </c>
      <c r="C410" s="186"/>
      <c r="D410" s="187"/>
      <c r="E410" s="188"/>
      <c r="F410" s="189"/>
      <c r="G410" s="190"/>
      <c r="H410" s="190"/>
      <c r="I410" s="84"/>
      <c r="J410" s="84"/>
      <c r="K410" s="84"/>
      <c r="L410" s="84"/>
      <c r="M410" s="84"/>
      <c r="N410" s="84"/>
      <c r="O410" s="84"/>
      <c r="P410" s="84"/>
      <c r="Q410" s="84"/>
      <c r="R410" s="84"/>
      <c r="S410" s="84"/>
      <c r="T410" s="84"/>
    </row>
    <row r="411" ht="15.75" customHeight="1">
      <c r="A411" s="84" t="s">
        <v>36380</v>
      </c>
      <c r="B411" s="84">
        <v>1.0</v>
      </c>
      <c r="C411" s="186"/>
      <c r="D411" s="187"/>
      <c r="E411" s="188"/>
      <c r="F411" s="189"/>
      <c r="G411" s="190"/>
      <c r="H411" s="190"/>
      <c r="I411" s="84"/>
      <c r="J411" s="84"/>
      <c r="K411" s="84"/>
      <c r="L411" s="84"/>
      <c r="M411" s="84"/>
      <c r="N411" s="84"/>
      <c r="O411" s="84"/>
      <c r="P411" s="84"/>
      <c r="Q411" s="84"/>
      <c r="R411" s="84"/>
      <c r="S411" s="84"/>
      <c r="T411" s="84"/>
    </row>
    <row r="412" ht="15.75" customHeight="1">
      <c r="A412" s="84" t="s">
        <v>36381</v>
      </c>
      <c r="B412" s="84">
        <v>1.0</v>
      </c>
      <c r="C412" s="186"/>
      <c r="D412" s="187"/>
      <c r="E412" s="188"/>
      <c r="F412" s="189"/>
      <c r="G412" s="190"/>
      <c r="H412" s="190"/>
      <c r="I412" s="84"/>
      <c r="J412" s="84"/>
      <c r="K412" s="84"/>
      <c r="L412" s="84"/>
      <c r="M412" s="84"/>
      <c r="N412" s="84"/>
      <c r="O412" s="84"/>
      <c r="P412" s="84"/>
      <c r="Q412" s="84"/>
      <c r="R412" s="84"/>
      <c r="S412" s="84"/>
      <c r="T412" s="84"/>
    </row>
    <row r="413" ht="15.75" customHeight="1">
      <c r="A413" s="84" t="s">
        <v>36382</v>
      </c>
      <c r="B413" s="84">
        <v>1.0</v>
      </c>
      <c r="C413" s="186"/>
      <c r="D413" s="187"/>
      <c r="E413" s="188"/>
      <c r="F413" s="189"/>
      <c r="G413" s="190"/>
      <c r="H413" s="190"/>
      <c r="I413" s="84"/>
      <c r="J413" s="84"/>
      <c r="K413" s="84"/>
      <c r="L413" s="84"/>
      <c r="M413" s="84"/>
      <c r="N413" s="84"/>
      <c r="O413" s="84"/>
      <c r="P413" s="84"/>
      <c r="Q413" s="84"/>
      <c r="R413" s="84"/>
      <c r="S413" s="84"/>
      <c r="T413" s="84"/>
    </row>
    <row r="414" ht="15.75" customHeight="1">
      <c r="A414" s="84" t="s">
        <v>36383</v>
      </c>
      <c r="B414" s="84">
        <v>1.0</v>
      </c>
      <c r="C414" s="186"/>
      <c r="D414" s="187"/>
      <c r="E414" s="188"/>
      <c r="F414" s="189"/>
      <c r="G414" s="190"/>
      <c r="H414" s="190"/>
      <c r="I414" s="84"/>
      <c r="J414" s="84"/>
      <c r="K414" s="84"/>
      <c r="L414" s="84"/>
      <c r="M414" s="84"/>
      <c r="N414" s="84"/>
      <c r="O414" s="84"/>
      <c r="P414" s="84"/>
      <c r="Q414" s="84"/>
      <c r="R414" s="84"/>
      <c r="S414" s="84"/>
      <c r="T414" s="84"/>
    </row>
    <row r="415" ht="15.75" customHeight="1">
      <c r="A415" s="84" t="s">
        <v>36384</v>
      </c>
      <c r="B415" s="84">
        <v>1.0</v>
      </c>
      <c r="C415" s="186"/>
      <c r="D415" s="187"/>
      <c r="E415" s="188"/>
      <c r="F415" s="189"/>
      <c r="G415" s="190"/>
      <c r="H415" s="190"/>
      <c r="I415" s="84"/>
      <c r="J415" s="84"/>
      <c r="K415" s="84"/>
      <c r="L415" s="84"/>
      <c r="M415" s="84"/>
      <c r="N415" s="84"/>
      <c r="O415" s="84"/>
      <c r="P415" s="84"/>
      <c r="Q415" s="84"/>
      <c r="R415" s="84"/>
      <c r="S415" s="84"/>
      <c r="T415" s="84"/>
    </row>
    <row r="416" ht="15.75" customHeight="1">
      <c r="A416" s="84" t="s">
        <v>36385</v>
      </c>
      <c r="B416" s="84">
        <v>1.0</v>
      </c>
      <c r="C416" s="186"/>
      <c r="D416" s="187"/>
      <c r="E416" s="188"/>
      <c r="F416" s="189"/>
      <c r="G416" s="190"/>
      <c r="H416" s="190"/>
      <c r="I416" s="84"/>
      <c r="J416" s="84"/>
      <c r="K416" s="84"/>
      <c r="L416" s="84"/>
      <c r="M416" s="84"/>
      <c r="N416" s="84"/>
      <c r="O416" s="84"/>
      <c r="P416" s="84"/>
      <c r="Q416" s="84"/>
      <c r="R416" s="84"/>
      <c r="S416" s="84"/>
      <c r="T416" s="84"/>
    </row>
    <row r="417" ht="15.75" customHeight="1">
      <c r="A417" s="84" t="s">
        <v>36386</v>
      </c>
      <c r="B417" s="84">
        <v>1.0</v>
      </c>
      <c r="C417" s="186"/>
      <c r="D417" s="187"/>
      <c r="E417" s="188"/>
      <c r="F417" s="189"/>
      <c r="G417" s="190"/>
      <c r="H417" s="190"/>
      <c r="I417" s="84"/>
      <c r="J417" s="84"/>
      <c r="K417" s="84"/>
      <c r="L417" s="84"/>
      <c r="M417" s="84"/>
      <c r="N417" s="84"/>
      <c r="O417" s="84"/>
      <c r="P417" s="84"/>
      <c r="Q417" s="84"/>
      <c r="R417" s="84"/>
      <c r="S417" s="84"/>
      <c r="T417" s="84"/>
    </row>
    <row r="418" ht="15.75" customHeight="1">
      <c r="A418" s="84" t="s">
        <v>36387</v>
      </c>
      <c r="B418" s="84">
        <v>1.0</v>
      </c>
      <c r="C418" s="186"/>
      <c r="D418" s="187"/>
      <c r="E418" s="188"/>
      <c r="F418" s="189"/>
      <c r="G418" s="190"/>
      <c r="H418" s="190"/>
      <c r="I418" s="84"/>
      <c r="J418" s="84"/>
      <c r="K418" s="84"/>
      <c r="L418" s="84"/>
      <c r="M418" s="84"/>
      <c r="N418" s="84"/>
      <c r="O418" s="84"/>
      <c r="P418" s="84"/>
      <c r="Q418" s="84"/>
      <c r="R418" s="84"/>
      <c r="S418" s="84"/>
      <c r="T418" s="84"/>
    </row>
    <row r="419" ht="15.75" customHeight="1">
      <c r="A419" s="84" t="s">
        <v>36388</v>
      </c>
      <c r="B419" s="84">
        <v>1.0</v>
      </c>
      <c r="C419" s="186"/>
      <c r="D419" s="187"/>
      <c r="E419" s="188"/>
      <c r="F419" s="189"/>
      <c r="G419" s="190"/>
      <c r="H419" s="190"/>
      <c r="I419" s="84"/>
      <c r="J419" s="84"/>
      <c r="K419" s="84"/>
      <c r="L419" s="84"/>
      <c r="M419" s="84"/>
      <c r="N419" s="84"/>
      <c r="O419" s="84"/>
      <c r="P419" s="84"/>
      <c r="Q419" s="84"/>
      <c r="R419" s="84"/>
      <c r="S419" s="84"/>
      <c r="T419" s="84"/>
    </row>
    <row r="420" ht="15.75" customHeight="1">
      <c r="A420" s="84" t="s">
        <v>36389</v>
      </c>
      <c r="B420" s="84">
        <v>1.0</v>
      </c>
      <c r="C420" s="186"/>
      <c r="D420" s="187"/>
      <c r="E420" s="188"/>
      <c r="F420" s="189"/>
      <c r="G420" s="190"/>
      <c r="H420" s="190"/>
      <c r="I420" s="84"/>
      <c r="J420" s="84"/>
      <c r="K420" s="84"/>
      <c r="L420" s="84"/>
      <c r="M420" s="84"/>
      <c r="N420" s="84"/>
      <c r="O420" s="84"/>
      <c r="P420" s="84"/>
      <c r="Q420" s="84"/>
      <c r="R420" s="84"/>
      <c r="S420" s="84"/>
      <c r="T420" s="84"/>
    </row>
    <row r="421" ht="15.75" customHeight="1">
      <c r="A421" s="84" t="s">
        <v>36390</v>
      </c>
      <c r="B421" s="84">
        <v>1.0</v>
      </c>
      <c r="C421" s="186"/>
      <c r="D421" s="187"/>
      <c r="E421" s="188"/>
      <c r="F421" s="189"/>
      <c r="G421" s="190"/>
      <c r="H421" s="190"/>
      <c r="I421" s="84"/>
      <c r="J421" s="84"/>
      <c r="K421" s="84"/>
      <c r="L421" s="84"/>
      <c r="M421" s="84"/>
      <c r="N421" s="84"/>
      <c r="O421" s="84"/>
      <c r="P421" s="84"/>
      <c r="Q421" s="84"/>
      <c r="R421" s="84"/>
      <c r="S421" s="84"/>
      <c r="T421" s="84"/>
    </row>
    <row r="422" ht="15.75" customHeight="1">
      <c r="A422" s="84" t="s">
        <v>36391</v>
      </c>
      <c r="B422" s="84">
        <v>1.0</v>
      </c>
      <c r="C422" s="186"/>
      <c r="D422" s="187"/>
      <c r="E422" s="188"/>
      <c r="F422" s="189"/>
      <c r="G422" s="190"/>
      <c r="H422" s="190"/>
      <c r="I422" s="84" t="s">
        <v>36106</v>
      </c>
      <c r="J422" s="84"/>
      <c r="K422" s="84"/>
      <c r="L422" s="84"/>
      <c r="M422" s="84"/>
      <c r="N422" s="84"/>
      <c r="O422" s="84"/>
      <c r="P422" s="84"/>
      <c r="Q422" s="84"/>
      <c r="R422" s="84"/>
      <c r="S422" s="84"/>
      <c r="T422" s="84"/>
    </row>
    <row r="423" ht="15.75" customHeight="1">
      <c r="A423" s="84" t="s">
        <v>36392</v>
      </c>
      <c r="B423" s="84">
        <v>1.0</v>
      </c>
      <c r="C423" s="186"/>
      <c r="D423" s="187"/>
      <c r="E423" s="188"/>
      <c r="F423" s="189"/>
      <c r="G423" s="190"/>
      <c r="H423" s="190"/>
      <c r="I423" s="84"/>
      <c r="J423" s="84"/>
      <c r="K423" s="84"/>
      <c r="L423" s="84"/>
      <c r="M423" s="84"/>
      <c r="N423" s="84"/>
      <c r="O423" s="84"/>
      <c r="P423" s="84"/>
      <c r="Q423" s="84"/>
      <c r="R423" s="84"/>
      <c r="S423" s="84"/>
      <c r="T423" s="84"/>
    </row>
    <row r="424" ht="15.75" customHeight="1">
      <c r="A424" s="84" t="s">
        <v>36393</v>
      </c>
      <c r="B424" s="84">
        <v>1.0</v>
      </c>
      <c r="C424" s="186"/>
      <c r="D424" s="187"/>
      <c r="E424" s="188"/>
      <c r="F424" s="189"/>
      <c r="G424" s="190"/>
      <c r="H424" s="190"/>
      <c r="I424" s="84"/>
      <c r="J424" s="84"/>
      <c r="K424" s="84"/>
      <c r="L424" s="84"/>
      <c r="M424" s="84"/>
      <c r="N424" s="84"/>
      <c r="O424" s="84"/>
      <c r="P424" s="84"/>
      <c r="Q424" s="84"/>
      <c r="R424" s="84"/>
      <c r="S424" s="84"/>
      <c r="T424" s="84"/>
    </row>
    <row r="425" ht="15.75" customHeight="1">
      <c r="A425" s="84" t="s">
        <v>36394</v>
      </c>
      <c r="B425" s="84">
        <v>1.0</v>
      </c>
      <c r="C425" s="186"/>
      <c r="D425" s="187"/>
      <c r="E425" s="188"/>
      <c r="F425" s="189"/>
      <c r="G425" s="190"/>
      <c r="H425" s="190"/>
      <c r="I425" s="84"/>
      <c r="J425" s="84"/>
      <c r="K425" s="84"/>
      <c r="L425" s="84"/>
      <c r="M425" s="84"/>
      <c r="N425" s="84"/>
      <c r="O425" s="84"/>
      <c r="P425" s="84"/>
      <c r="Q425" s="84"/>
      <c r="R425" s="84"/>
      <c r="S425" s="84"/>
      <c r="T425" s="84"/>
    </row>
    <row r="426" ht="15.75" customHeight="1">
      <c r="A426" s="84" t="s">
        <v>36395</v>
      </c>
      <c r="B426" s="84">
        <v>1.0</v>
      </c>
      <c r="C426" s="186"/>
      <c r="D426" s="187"/>
      <c r="E426" s="188"/>
      <c r="F426" s="189"/>
      <c r="G426" s="190"/>
      <c r="H426" s="190"/>
      <c r="I426" s="84"/>
      <c r="J426" s="84"/>
      <c r="K426" s="84"/>
      <c r="L426" s="84"/>
      <c r="M426" s="84"/>
      <c r="N426" s="84"/>
      <c r="O426" s="84"/>
      <c r="P426" s="84"/>
      <c r="Q426" s="84"/>
      <c r="R426" s="84"/>
      <c r="S426" s="84"/>
      <c r="T426" s="84"/>
    </row>
    <row r="427" ht="15.75" customHeight="1">
      <c r="A427" s="84" t="s">
        <v>36396</v>
      </c>
      <c r="B427" s="84">
        <v>1.0</v>
      </c>
      <c r="C427" s="186"/>
      <c r="D427" s="187"/>
      <c r="E427" s="188"/>
      <c r="F427" s="189"/>
      <c r="G427" s="190"/>
      <c r="H427" s="190"/>
      <c r="I427" s="84"/>
      <c r="J427" s="84"/>
      <c r="K427" s="84"/>
      <c r="L427" s="84"/>
      <c r="M427" s="84"/>
      <c r="N427" s="84"/>
      <c r="O427" s="84"/>
      <c r="P427" s="84"/>
      <c r="Q427" s="84"/>
      <c r="R427" s="84"/>
      <c r="S427" s="84"/>
      <c r="T427" s="84"/>
    </row>
    <row r="428" ht="15.75" customHeight="1">
      <c r="A428" s="84" t="s">
        <v>36397</v>
      </c>
      <c r="B428" s="84">
        <v>1.0</v>
      </c>
      <c r="C428" s="186"/>
      <c r="D428" s="187"/>
      <c r="E428" s="188"/>
      <c r="F428" s="189"/>
      <c r="G428" s="190"/>
      <c r="H428" s="190"/>
      <c r="I428" s="84"/>
      <c r="J428" s="84"/>
      <c r="K428" s="84"/>
      <c r="L428" s="84"/>
      <c r="M428" s="84"/>
      <c r="N428" s="84"/>
      <c r="O428" s="84"/>
      <c r="P428" s="84"/>
      <c r="Q428" s="84"/>
      <c r="R428" s="84"/>
      <c r="S428" s="84"/>
      <c r="T428" s="84"/>
    </row>
    <row r="429" ht="15.75" customHeight="1">
      <c r="A429" s="84" t="s">
        <v>36398</v>
      </c>
      <c r="B429" s="84">
        <v>1.0</v>
      </c>
      <c r="C429" s="186"/>
      <c r="D429" s="187"/>
      <c r="E429" s="188"/>
      <c r="F429" s="189"/>
      <c r="G429" s="190"/>
      <c r="H429" s="190"/>
      <c r="I429" s="84"/>
      <c r="J429" s="84"/>
      <c r="K429" s="84"/>
      <c r="L429" s="84"/>
      <c r="M429" s="84"/>
      <c r="N429" s="84"/>
      <c r="O429" s="84"/>
      <c r="P429" s="84"/>
      <c r="Q429" s="84"/>
      <c r="R429" s="84"/>
      <c r="S429" s="84"/>
      <c r="T429" s="84"/>
    </row>
    <row r="430" ht="15.75" customHeight="1">
      <c r="A430" s="84" t="s">
        <v>36399</v>
      </c>
      <c r="B430" s="84">
        <v>1.0</v>
      </c>
      <c r="C430" s="186" t="s">
        <v>30659</v>
      </c>
      <c r="D430" s="187" t="s">
        <v>36400</v>
      </c>
      <c r="E430" s="188"/>
      <c r="F430" s="189"/>
      <c r="G430" s="190"/>
      <c r="H430" s="190"/>
      <c r="I430" s="84"/>
      <c r="J430" s="84"/>
      <c r="K430" s="84"/>
      <c r="L430" s="84"/>
      <c r="M430" s="84"/>
      <c r="N430" s="84"/>
      <c r="O430" s="84"/>
      <c r="P430" s="84"/>
      <c r="Q430" s="84"/>
      <c r="R430" s="84"/>
      <c r="S430" s="84"/>
      <c r="T430" s="84"/>
    </row>
    <row r="431" ht="15.75" customHeight="1">
      <c r="A431" s="84" t="s">
        <v>36401</v>
      </c>
      <c r="B431" s="84">
        <v>1.0</v>
      </c>
      <c r="C431" s="186"/>
      <c r="D431" s="187"/>
      <c r="E431" s="188"/>
      <c r="F431" s="189" t="s">
        <v>30659</v>
      </c>
      <c r="G431" s="190" t="s">
        <v>36400</v>
      </c>
      <c r="H431" s="190"/>
      <c r="I431" s="84"/>
      <c r="J431" s="84"/>
      <c r="K431" s="84"/>
      <c r="L431" s="84"/>
      <c r="M431" s="84"/>
      <c r="N431" s="84"/>
      <c r="O431" s="84"/>
      <c r="P431" s="84"/>
      <c r="Q431" s="84"/>
      <c r="R431" s="84"/>
      <c r="S431" s="84"/>
      <c r="T431" s="84"/>
    </row>
    <row r="432" ht="15.75" customHeight="1">
      <c r="A432" s="84" t="s">
        <v>36400</v>
      </c>
      <c r="B432" s="84">
        <v>1.0</v>
      </c>
      <c r="C432" s="186"/>
      <c r="D432" s="187"/>
      <c r="E432" s="188"/>
      <c r="F432" s="189"/>
      <c r="G432" s="190"/>
      <c r="H432" s="190"/>
      <c r="I432" s="84"/>
      <c r="J432" s="84"/>
      <c r="K432" s="84"/>
      <c r="L432" s="84"/>
      <c r="M432" s="84"/>
      <c r="N432" s="84"/>
      <c r="O432" s="84"/>
      <c r="P432" s="84"/>
      <c r="Q432" s="84"/>
      <c r="R432" s="84"/>
      <c r="S432" s="84"/>
      <c r="T432" s="84"/>
    </row>
    <row r="433" ht="15.75" customHeight="1">
      <c r="A433" s="84" t="s">
        <v>36402</v>
      </c>
      <c r="B433" s="84">
        <v>14.0</v>
      </c>
      <c r="C433" s="186"/>
      <c r="D433" s="187"/>
      <c r="E433" s="188"/>
      <c r="F433" s="189"/>
      <c r="G433" s="190"/>
      <c r="H433" s="190"/>
      <c r="I433" s="84"/>
      <c r="J433" s="84"/>
      <c r="K433" s="84"/>
      <c r="L433" s="84"/>
      <c r="M433" s="84"/>
      <c r="N433" s="84"/>
      <c r="O433" s="84"/>
      <c r="P433" s="84"/>
      <c r="Q433" s="84"/>
      <c r="R433" s="84"/>
      <c r="S433" s="84"/>
      <c r="T433" s="84"/>
    </row>
    <row r="434" ht="15.75" customHeight="1">
      <c r="A434" s="84" t="s">
        <v>36403</v>
      </c>
      <c r="B434" s="84">
        <v>1.0</v>
      </c>
      <c r="C434" s="186"/>
      <c r="D434" s="187"/>
      <c r="E434" s="188"/>
      <c r="F434" s="189"/>
      <c r="G434" s="190"/>
      <c r="H434" s="190"/>
      <c r="I434" s="84"/>
      <c r="J434" s="84"/>
      <c r="K434" s="84"/>
      <c r="L434" s="84"/>
      <c r="M434" s="84"/>
      <c r="N434" s="84"/>
      <c r="O434" s="84"/>
      <c r="P434" s="84"/>
      <c r="Q434" s="84"/>
      <c r="R434" s="84"/>
      <c r="S434" s="84"/>
      <c r="T434" s="84"/>
    </row>
    <row r="435" ht="15.75" customHeight="1">
      <c r="A435" s="84" t="s">
        <v>36404</v>
      </c>
      <c r="B435" s="84">
        <v>1.0</v>
      </c>
      <c r="C435" s="186"/>
      <c r="D435" s="187"/>
      <c r="E435" s="188"/>
      <c r="F435" s="189"/>
      <c r="G435" s="190"/>
      <c r="H435" s="190"/>
      <c r="I435" s="84"/>
      <c r="J435" s="84"/>
      <c r="K435" s="84"/>
      <c r="L435" s="84"/>
      <c r="M435" s="84"/>
      <c r="N435" s="84"/>
      <c r="O435" s="84"/>
      <c r="P435" s="84"/>
      <c r="Q435" s="84"/>
      <c r="R435" s="84"/>
      <c r="S435" s="84"/>
      <c r="T435" s="84"/>
    </row>
    <row r="436" ht="15.75" customHeight="1">
      <c r="A436" s="84" t="s">
        <v>36405</v>
      </c>
      <c r="B436" s="84">
        <v>1.0</v>
      </c>
      <c r="C436" s="186"/>
      <c r="D436" s="187"/>
      <c r="E436" s="188"/>
      <c r="F436" s="189"/>
      <c r="G436" s="190"/>
      <c r="H436" s="190"/>
      <c r="I436" s="84"/>
      <c r="J436" s="84"/>
      <c r="K436" s="84"/>
      <c r="L436" s="84"/>
      <c r="M436" s="84"/>
      <c r="N436" s="84"/>
      <c r="O436" s="84"/>
      <c r="P436" s="84"/>
      <c r="Q436" s="84"/>
      <c r="R436" s="84"/>
      <c r="S436" s="84"/>
      <c r="T436" s="84"/>
    </row>
    <row r="437" ht="15.75" customHeight="1">
      <c r="A437" s="84" t="s">
        <v>36406</v>
      </c>
      <c r="B437" s="84">
        <v>1.0</v>
      </c>
      <c r="C437" s="186"/>
      <c r="D437" s="187"/>
      <c r="E437" s="188"/>
      <c r="F437" s="189"/>
      <c r="G437" s="190"/>
      <c r="H437" s="190"/>
      <c r="I437" s="84"/>
      <c r="J437" s="84"/>
      <c r="K437" s="84"/>
      <c r="L437" s="84"/>
      <c r="M437" s="84"/>
      <c r="N437" s="84"/>
      <c r="O437" s="84"/>
      <c r="P437" s="84"/>
      <c r="Q437" s="84"/>
      <c r="R437" s="84"/>
      <c r="S437" s="84"/>
      <c r="T437" s="84"/>
    </row>
    <row r="438" ht="15.75" customHeight="1">
      <c r="A438" s="84" t="s">
        <v>36407</v>
      </c>
      <c r="B438" s="84">
        <v>1.0</v>
      </c>
      <c r="C438" s="186" t="s">
        <v>30659</v>
      </c>
      <c r="D438" s="187" t="s">
        <v>36408</v>
      </c>
      <c r="E438" s="188"/>
      <c r="F438" s="189"/>
      <c r="G438" s="190"/>
      <c r="H438" s="190"/>
      <c r="I438" s="84"/>
      <c r="J438" s="84"/>
      <c r="K438" s="84"/>
      <c r="L438" s="84"/>
      <c r="M438" s="84"/>
      <c r="N438" s="84"/>
      <c r="O438" s="84"/>
      <c r="P438" s="84"/>
      <c r="Q438" s="84"/>
      <c r="R438" s="84"/>
      <c r="S438" s="84"/>
      <c r="T438" s="84"/>
    </row>
    <row r="439" ht="15.75" customHeight="1">
      <c r="A439" s="84" t="s">
        <v>36409</v>
      </c>
      <c r="B439" s="84">
        <v>1.0</v>
      </c>
      <c r="C439" s="186"/>
      <c r="D439" s="187"/>
      <c r="E439" s="188"/>
      <c r="F439" s="189"/>
      <c r="G439" s="190"/>
      <c r="H439" s="190"/>
      <c r="I439" s="84"/>
      <c r="J439" s="84"/>
      <c r="K439" s="84"/>
      <c r="L439" s="84"/>
      <c r="M439" s="84"/>
      <c r="N439" s="84"/>
      <c r="O439" s="84"/>
      <c r="P439" s="84"/>
      <c r="Q439" s="84"/>
      <c r="R439" s="84"/>
      <c r="S439" s="84"/>
      <c r="T439" s="84"/>
    </row>
    <row r="440" ht="15.75" customHeight="1">
      <c r="A440" s="84" t="s">
        <v>36410</v>
      </c>
      <c r="B440" s="84">
        <v>1.0</v>
      </c>
      <c r="C440" s="186" t="s">
        <v>30659</v>
      </c>
      <c r="D440" s="187" t="s">
        <v>36408</v>
      </c>
      <c r="E440" s="188"/>
      <c r="F440" s="189"/>
      <c r="G440" s="190"/>
      <c r="H440" s="190"/>
      <c r="I440" s="84"/>
      <c r="J440" s="84"/>
      <c r="K440" s="84"/>
      <c r="L440" s="84"/>
      <c r="M440" s="84"/>
      <c r="N440" s="84"/>
      <c r="O440" s="84"/>
      <c r="P440" s="84"/>
      <c r="Q440" s="84"/>
      <c r="R440" s="84"/>
      <c r="S440" s="84"/>
      <c r="T440" s="84"/>
    </row>
    <row r="441" ht="15.75" customHeight="1">
      <c r="A441" s="84" t="s">
        <v>36408</v>
      </c>
      <c r="B441" s="84">
        <v>5.0</v>
      </c>
      <c r="C441" s="186"/>
      <c r="D441" s="187"/>
      <c r="E441" s="188"/>
      <c r="F441" s="189"/>
      <c r="G441" s="190"/>
      <c r="H441" s="190"/>
      <c r="I441" s="84"/>
      <c r="J441" s="84"/>
      <c r="K441" s="84"/>
      <c r="L441" s="84"/>
      <c r="M441" s="84"/>
      <c r="N441" s="84"/>
      <c r="O441" s="84"/>
      <c r="P441" s="84"/>
      <c r="Q441" s="84"/>
      <c r="R441" s="84"/>
      <c r="S441" s="84"/>
      <c r="T441" s="84"/>
    </row>
    <row r="442" ht="15.75" customHeight="1">
      <c r="A442" s="84" t="s">
        <v>36483</v>
      </c>
      <c r="B442" s="84">
        <v>1.0</v>
      </c>
      <c r="C442" s="186"/>
      <c r="D442" s="187"/>
      <c r="E442" s="188"/>
      <c r="F442" s="189" t="s">
        <v>30659</v>
      </c>
      <c r="G442" s="190" t="s">
        <v>36408</v>
      </c>
      <c r="H442" s="190"/>
      <c r="I442" s="84"/>
      <c r="J442" s="84"/>
      <c r="K442" s="84"/>
      <c r="L442" s="84"/>
      <c r="M442" s="84"/>
      <c r="N442" s="84"/>
      <c r="O442" s="84"/>
      <c r="P442" s="84"/>
      <c r="Q442" s="84"/>
      <c r="R442" s="84"/>
      <c r="S442" s="84"/>
      <c r="T442" s="84"/>
    </row>
    <row r="443" ht="15.75" customHeight="1">
      <c r="A443" s="84" t="s">
        <v>36484</v>
      </c>
      <c r="B443" s="84">
        <v>4.0</v>
      </c>
      <c r="C443" s="186"/>
      <c r="D443" s="187"/>
      <c r="E443" s="188"/>
      <c r="F443" s="189" t="s">
        <v>30659</v>
      </c>
      <c r="G443" s="190" t="s">
        <v>36408</v>
      </c>
      <c r="H443" s="190"/>
      <c r="I443" s="84"/>
      <c r="J443" s="84"/>
      <c r="K443" s="84"/>
      <c r="L443" s="84"/>
      <c r="M443" s="84"/>
      <c r="N443" s="84"/>
      <c r="O443" s="84"/>
      <c r="P443" s="84"/>
      <c r="Q443" s="84"/>
      <c r="R443" s="84"/>
      <c r="S443" s="84"/>
      <c r="T443" s="84"/>
    </row>
    <row r="444" ht="15.75" customHeight="1">
      <c r="A444" s="84" t="s">
        <v>36488</v>
      </c>
      <c r="B444" s="84">
        <v>1.0</v>
      </c>
      <c r="C444" s="186"/>
      <c r="D444" s="187"/>
      <c r="E444" s="188"/>
      <c r="F444" s="189"/>
      <c r="G444" s="190"/>
      <c r="H444" s="190"/>
      <c r="I444" s="84"/>
      <c r="J444" s="84"/>
      <c r="K444" s="84"/>
      <c r="L444" s="84"/>
      <c r="M444" s="84"/>
      <c r="N444" s="84"/>
      <c r="O444" s="84"/>
      <c r="P444" s="84"/>
      <c r="Q444" s="84"/>
      <c r="R444" s="84"/>
      <c r="S444" s="84"/>
      <c r="T444" s="84"/>
    </row>
    <row r="445" ht="15.75" customHeight="1">
      <c r="A445" s="84" t="s">
        <v>36490</v>
      </c>
      <c r="B445" s="84">
        <v>1.0</v>
      </c>
      <c r="C445" s="186"/>
      <c r="D445" s="187"/>
      <c r="E445" s="188"/>
      <c r="F445" s="189"/>
      <c r="G445" s="190"/>
      <c r="H445" s="190"/>
      <c r="I445" s="84"/>
      <c r="J445" s="84"/>
      <c r="K445" s="84"/>
      <c r="L445" s="84"/>
      <c r="M445" s="84"/>
      <c r="N445" s="84"/>
      <c r="O445" s="84"/>
      <c r="P445" s="84"/>
      <c r="Q445" s="84"/>
      <c r="R445" s="84"/>
      <c r="S445" s="84"/>
      <c r="T445" s="84"/>
    </row>
    <row r="446" ht="15.75" customHeight="1">
      <c r="A446" s="84" t="s">
        <v>36491</v>
      </c>
      <c r="B446" s="84">
        <v>1.0</v>
      </c>
      <c r="C446" s="186"/>
      <c r="D446" s="187"/>
      <c r="E446" s="188"/>
      <c r="F446" s="189"/>
      <c r="G446" s="190"/>
      <c r="H446" s="190"/>
      <c r="I446" s="84"/>
      <c r="J446" s="84"/>
      <c r="K446" s="84"/>
      <c r="L446" s="84"/>
      <c r="M446" s="84"/>
      <c r="N446" s="84"/>
      <c r="O446" s="84"/>
      <c r="P446" s="84"/>
      <c r="Q446" s="84"/>
      <c r="R446" s="84"/>
      <c r="S446" s="84"/>
      <c r="T446" s="84"/>
    </row>
    <row r="447" ht="15.75" customHeight="1">
      <c r="A447" s="84" t="s">
        <v>36492</v>
      </c>
      <c r="B447" s="84">
        <v>1.0</v>
      </c>
      <c r="C447" s="186"/>
      <c r="D447" s="187"/>
      <c r="E447" s="188"/>
      <c r="F447" s="189"/>
      <c r="G447" s="190"/>
      <c r="H447" s="190"/>
      <c r="I447" s="84"/>
      <c r="J447" s="84"/>
      <c r="K447" s="84"/>
      <c r="L447" s="84"/>
      <c r="M447" s="84"/>
      <c r="N447" s="84"/>
      <c r="O447" s="84"/>
      <c r="P447" s="84"/>
      <c r="Q447" s="84"/>
      <c r="R447" s="84"/>
      <c r="S447" s="84"/>
      <c r="T447" s="84"/>
    </row>
    <row r="448" ht="15.75" customHeight="1">
      <c r="A448" s="84" t="s">
        <v>36493</v>
      </c>
      <c r="B448" s="84">
        <v>1.0</v>
      </c>
      <c r="C448" s="186"/>
      <c r="D448" s="187"/>
      <c r="E448" s="188"/>
      <c r="F448" s="189"/>
      <c r="G448" s="190"/>
      <c r="H448" s="190"/>
      <c r="I448" s="84"/>
      <c r="J448" s="84"/>
      <c r="K448" s="84"/>
      <c r="L448" s="84"/>
      <c r="M448" s="84"/>
      <c r="N448" s="84"/>
      <c r="O448" s="84"/>
      <c r="P448" s="84"/>
      <c r="Q448" s="84"/>
      <c r="R448" s="84"/>
      <c r="S448" s="84"/>
      <c r="T448" s="84"/>
    </row>
    <row r="449" ht="15.75" customHeight="1">
      <c r="A449" s="84" t="s">
        <v>36497</v>
      </c>
      <c r="B449" s="84">
        <v>1.0</v>
      </c>
      <c r="C449" s="186"/>
      <c r="D449" s="187"/>
      <c r="E449" s="188"/>
      <c r="F449" s="189"/>
      <c r="G449" s="190"/>
      <c r="H449" s="190"/>
      <c r="I449" s="84"/>
      <c r="J449" s="84"/>
      <c r="K449" s="84"/>
      <c r="L449" s="84"/>
      <c r="M449" s="84"/>
      <c r="N449" s="84"/>
      <c r="O449" s="84"/>
      <c r="P449" s="84"/>
      <c r="Q449" s="84"/>
      <c r="R449" s="84"/>
      <c r="S449" s="84"/>
      <c r="T449" s="84"/>
    </row>
    <row r="450" ht="15.75" customHeight="1">
      <c r="A450" s="84" t="s">
        <v>36499</v>
      </c>
      <c r="B450" s="84">
        <v>5.0</v>
      </c>
      <c r="C450" s="186"/>
      <c r="D450" s="187"/>
      <c r="E450" s="188"/>
      <c r="F450" s="189"/>
      <c r="G450" s="190"/>
      <c r="H450" s="190"/>
      <c r="I450" s="84"/>
      <c r="J450" s="84"/>
      <c r="K450" s="84"/>
      <c r="L450" s="84"/>
      <c r="M450" s="84"/>
      <c r="N450" s="84"/>
      <c r="O450" s="84"/>
      <c r="P450" s="84"/>
      <c r="Q450" s="84"/>
      <c r="R450" s="84"/>
      <c r="S450" s="84"/>
      <c r="T450" s="84"/>
    </row>
    <row r="451" ht="15.75" customHeight="1">
      <c r="A451" s="84" t="s">
        <v>36500</v>
      </c>
      <c r="B451" s="84">
        <v>2.0</v>
      </c>
      <c r="C451" s="186"/>
      <c r="D451" s="187" t="s">
        <v>36499</v>
      </c>
      <c r="E451" s="188"/>
      <c r="F451" s="189"/>
      <c r="G451" s="190"/>
      <c r="H451" s="190"/>
      <c r="I451" s="84"/>
      <c r="J451" s="84"/>
      <c r="K451" s="84"/>
      <c r="L451" s="84"/>
      <c r="M451" s="84"/>
      <c r="N451" s="84"/>
      <c r="O451" s="84"/>
      <c r="P451" s="84"/>
      <c r="Q451" s="84"/>
      <c r="R451" s="84"/>
      <c r="S451" s="84"/>
      <c r="T451" s="84"/>
    </row>
    <row r="452" ht="15.75" customHeight="1">
      <c r="A452" s="84" t="s">
        <v>36503</v>
      </c>
      <c r="B452" s="84">
        <v>1.0</v>
      </c>
      <c r="C452" s="186"/>
      <c r="D452" s="187"/>
      <c r="E452" s="188"/>
      <c r="F452" s="189"/>
      <c r="G452" s="190"/>
      <c r="H452" s="190"/>
      <c r="I452" s="84"/>
      <c r="J452" s="84"/>
      <c r="K452" s="84"/>
      <c r="L452" s="84"/>
      <c r="M452" s="84"/>
      <c r="N452" s="84"/>
      <c r="O452" s="84"/>
      <c r="P452" s="84"/>
      <c r="Q452" s="84"/>
      <c r="R452" s="84"/>
      <c r="S452" s="84"/>
      <c r="T452" s="84"/>
    </row>
    <row r="453" ht="15.75" customHeight="1">
      <c r="A453" s="84" t="s">
        <v>36504</v>
      </c>
      <c r="B453" s="84">
        <v>1.0</v>
      </c>
      <c r="C453" s="186"/>
      <c r="D453" s="187"/>
      <c r="E453" s="188"/>
      <c r="F453" s="189"/>
      <c r="G453" s="190"/>
      <c r="H453" s="190"/>
      <c r="I453" s="84"/>
      <c r="J453" s="84"/>
      <c r="K453" s="84"/>
      <c r="L453" s="84"/>
      <c r="M453" s="84"/>
      <c r="N453" s="84"/>
      <c r="O453" s="84"/>
      <c r="P453" s="84"/>
      <c r="Q453" s="84"/>
      <c r="R453" s="84"/>
      <c r="S453" s="84"/>
      <c r="T453" s="84"/>
    </row>
    <row r="454" ht="15.75" customHeight="1">
      <c r="A454" s="84" t="s">
        <v>36505</v>
      </c>
      <c r="B454" s="84">
        <v>1.0</v>
      </c>
      <c r="C454" s="186"/>
      <c r="D454" s="187"/>
      <c r="E454" s="188"/>
      <c r="F454" s="189"/>
      <c r="G454" s="190"/>
      <c r="H454" s="190"/>
      <c r="I454" s="84"/>
      <c r="J454" s="84"/>
      <c r="K454" s="84"/>
      <c r="L454" s="84"/>
      <c r="M454" s="84"/>
      <c r="N454" s="84"/>
      <c r="O454" s="84"/>
      <c r="P454" s="84"/>
      <c r="Q454" s="84"/>
      <c r="R454" s="84"/>
      <c r="S454" s="84"/>
      <c r="T454" s="84"/>
    </row>
    <row r="455" ht="15.75" customHeight="1">
      <c r="A455" s="84" t="s">
        <v>36509</v>
      </c>
      <c r="B455" s="84">
        <v>1.0</v>
      </c>
      <c r="C455" s="186"/>
      <c r="D455" s="187"/>
      <c r="E455" s="188"/>
      <c r="F455" s="189"/>
      <c r="G455" s="190"/>
      <c r="H455" s="190"/>
      <c r="I455" s="84"/>
      <c r="J455" s="84"/>
      <c r="K455" s="84"/>
      <c r="L455" s="84"/>
      <c r="M455" s="84"/>
      <c r="N455" s="84"/>
      <c r="O455" s="84"/>
      <c r="P455" s="84"/>
      <c r="Q455" s="84"/>
      <c r="R455" s="84"/>
      <c r="S455" s="84"/>
      <c r="T455" s="84"/>
    </row>
    <row r="456" ht="15.75" customHeight="1">
      <c r="A456" s="84" t="s">
        <v>36511</v>
      </c>
      <c r="B456" s="84">
        <v>1.0</v>
      </c>
      <c r="C456" s="186"/>
      <c r="D456" s="187"/>
      <c r="E456" s="188"/>
      <c r="F456" s="189"/>
      <c r="G456" s="190"/>
      <c r="H456" s="190"/>
      <c r="I456" s="84"/>
      <c r="J456" s="84"/>
      <c r="K456" s="84"/>
      <c r="L456" s="84"/>
      <c r="M456" s="84"/>
      <c r="N456" s="84"/>
      <c r="O456" s="84"/>
      <c r="P456" s="84"/>
      <c r="Q456" s="84"/>
      <c r="R456" s="84"/>
      <c r="S456" s="84"/>
      <c r="T456" s="84"/>
    </row>
    <row r="457" ht="15.75" customHeight="1">
      <c r="A457" s="84" t="s">
        <v>36512</v>
      </c>
      <c r="B457" s="84">
        <v>1.0</v>
      </c>
      <c r="C457" s="186"/>
      <c r="D457" s="187" t="s">
        <v>36513</v>
      </c>
      <c r="E457" s="188"/>
      <c r="F457" s="189"/>
      <c r="G457" s="190"/>
      <c r="H457" s="190"/>
      <c r="I457" s="84"/>
      <c r="J457" s="84"/>
      <c r="K457" s="84"/>
      <c r="L457" s="84"/>
      <c r="M457" s="84"/>
      <c r="N457" s="84"/>
      <c r="O457" s="84"/>
      <c r="P457" s="84"/>
      <c r="Q457" s="84"/>
      <c r="R457" s="84"/>
      <c r="S457" s="84"/>
      <c r="T457" s="84"/>
    </row>
    <row r="458" ht="15.75" customHeight="1">
      <c r="A458" s="84" t="s">
        <v>36513</v>
      </c>
      <c r="B458" s="84">
        <v>1.0</v>
      </c>
      <c r="C458" s="186"/>
      <c r="D458" s="187"/>
      <c r="E458" s="188"/>
      <c r="F458" s="189"/>
      <c r="G458" s="190"/>
      <c r="H458" s="190"/>
      <c r="I458" s="84"/>
      <c r="J458" s="84"/>
      <c r="K458" s="84"/>
      <c r="L458" s="84"/>
      <c r="M458" s="84"/>
      <c r="N458" s="84"/>
      <c r="O458" s="84"/>
      <c r="P458" s="84"/>
      <c r="Q458" s="84"/>
      <c r="R458" s="84"/>
      <c r="S458" s="84"/>
      <c r="T458" s="84"/>
    </row>
    <row r="459" ht="15.75" customHeight="1">
      <c r="A459" s="84" t="s">
        <v>36517</v>
      </c>
      <c r="B459" s="84">
        <v>1.0</v>
      </c>
      <c r="C459" s="186"/>
      <c r="D459" s="187"/>
      <c r="E459" s="188"/>
      <c r="F459" s="189"/>
      <c r="G459" s="190"/>
      <c r="H459" s="190"/>
      <c r="I459" s="84"/>
      <c r="J459" s="84"/>
      <c r="K459" s="84"/>
      <c r="L459" s="84"/>
      <c r="M459" s="84"/>
      <c r="N459" s="84"/>
      <c r="O459" s="84"/>
      <c r="P459" s="84"/>
      <c r="Q459" s="84"/>
      <c r="R459" s="84"/>
      <c r="S459" s="84"/>
      <c r="T459" s="84"/>
    </row>
    <row r="460" ht="15.75" customHeight="1">
      <c r="A460" s="84" t="s">
        <v>36518</v>
      </c>
      <c r="B460" s="84">
        <v>1.0</v>
      </c>
      <c r="C460" s="186"/>
      <c r="D460" s="187"/>
      <c r="E460" s="188"/>
      <c r="F460" s="189"/>
      <c r="G460" s="190"/>
      <c r="H460" s="190"/>
      <c r="I460" s="84" t="s">
        <v>36106</v>
      </c>
      <c r="J460" s="84"/>
      <c r="K460" s="84"/>
      <c r="L460" s="84"/>
      <c r="M460" s="84"/>
      <c r="N460" s="84"/>
      <c r="O460" s="84"/>
      <c r="P460" s="84"/>
      <c r="Q460" s="84"/>
      <c r="R460" s="84"/>
      <c r="S460" s="84"/>
      <c r="T460" s="84"/>
    </row>
    <row r="461" ht="15.75" customHeight="1">
      <c r="A461" s="84" t="s">
        <v>36521</v>
      </c>
      <c r="B461" s="84">
        <v>1.0</v>
      </c>
      <c r="C461" s="186"/>
      <c r="D461" s="187"/>
      <c r="E461" s="188"/>
      <c r="F461" s="189"/>
      <c r="G461" s="190"/>
      <c r="H461" s="190"/>
      <c r="I461" s="84" t="s">
        <v>36106</v>
      </c>
      <c r="J461" s="84"/>
      <c r="K461" s="84"/>
      <c r="L461" s="84"/>
      <c r="M461" s="84"/>
      <c r="N461" s="84"/>
      <c r="O461" s="84"/>
      <c r="P461" s="84"/>
      <c r="Q461" s="84"/>
      <c r="R461" s="84"/>
      <c r="S461" s="84"/>
      <c r="T461" s="84"/>
    </row>
    <row r="462" ht="15.75" customHeight="1">
      <c r="A462" s="84" t="s">
        <v>36522</v>
      </c>
      <c r="B462" s="84">
        <v>1.0</v>
      </c>
      <c r="C462" s="186"/>
      <c r="D462" s="187"/>
      <c r="E462" s="188"/>
      <c r="F462" s="189"/>
      <c r="G462" s="190"/>
      <c r="H462" s="190"/>
      <c r="I462" s="84" t="s">
        <v>36106</v>
      </c>
      <c r="J462" s="84"/>
      <c r="K462" s="84"/>
      <c r="L462" s="84"/>
      <c r="M462" s="84"/>
      <c r="N462" s="84"/>
      <c r="O462" s="84"/>
      <c r="P462" s="84"/>
      <c r="Q462" s="84"/>
      <c r="R462" s="84"/>
      <c r="S462" s="84"/>
      <c r="T462" s="84"/>
    </row>
    <row r="463" ht="15.75" customHeight="1">
      <c r="A463" s="84" t="s">
        <v>36523</v>
      </c>
      <c r="B463" s="84">
        <v>1.0</v>
      </c>
      <c r="C463" s="186"/>
      <c r="D463" s="187"/>
      <c r="E463" s="188"/>
      <c r="F463" s="189"/>
      <c r="G463" s="190"/>
      <c r="H463" s="190"/>
      <c r="I463" s="84" t="s">
        <v>36106</v>
      </c>
      <c r="J463" s="84"/>
      <c r="K463" s="84"/>
      <c r="L463" s="84"/>
      <c r="M463" s="84"/>
      <c r="N463" s="84"/>
      <c r="O463" s="84"/>
      <c r="P463" s="84"/>
      <c r="Q463" s="84"/>
      <c r="R463" s="84"/>
      <c r="S463" s="84"/>
      <c r="T463" s="84"/>
    </row>
    <row r="464" ht="15.75" customHeight="1">
      <c r="A464" s="84" t="s">
        <v>36525</v>
      </c>
      <c r="B464" s="84">
        <v>1.0</v>
      </c>
      <c r="C464" s="186"/>
      <c r="D464" s="187"/>
      <c r="E464" s="188"/>
      <c r="F464" s="189"/>
      <c r="G464" s="190"/>
      <c r="H464" s="190"/>
      <c r="I464" s="84" t="s">
        <v>36106</v>
      </c>
      <c r="J464" s="84"/>
      <c r="K464" s="84"/>
      <c r="L464" s="84"/>
      <c r="M464" s="84"/>
      <c r="N464" s="84"/>
      <c r="O464" s="84"/>
      <c r="P464" s="84"/>
      <c r="Q464" s="84"/>
      <c r="R464" s="84"/>
      <c r="S464" s="84"/>
      <c r="T464" s="84"/>
    </row>
    <row r="465" ht="15.75" customHeight="1">
      <c r="A465" s="84" t="s">
        <v>36526</v>
      </c>
      <c r="B465" s="84">
        <v>1.0</v>
      </c>
      <c r="C465" s="186"/>
      <c r="D465" s="187"/>
      <c r="E465" s="188"/>
      <c r="F465" s="189"/>
      <c r="G465" s="190"/>
      <c r="H465" s="190"/>
      <c r="I465" s="84" t="s">
        <v>36106</v>
      </c>
      <c r="J465" s="84"/>
      <c r="K465" s="84"/>
      <c r="L465" s="84"/>
      <c r="M465" s="84"/>
      <c r="N465" s="84"/>
      <c r="O465" s="84"/>
      <c r="P465" s="84"/>
      <c r="Q465" s="84"/>
      <c r="R465" s="84"/>
      <c r="S465" s="84"/>
      <c r="T465" s="84"/>
    </row>
    <row r="466" ht="15.75" customHeight="1">
      <c r="A466" s="84" t="s">
        <v>36529</v>
      </c>
      <c r="B466" s="84">
        <v>1.0</v>
      </c>
      <c r="C466" s="186"/>
      <c r="D466" s="187"/>
      <c r="E466" s="188"/>
      <c r="F466" s="189"/>
      <c r="G466" s="190"/>
      <c r="H466" s="190"/>
      <c r="I466" s="84"/>
      <c r="J466" s="84"/>
      <c r="K466" s="84"/>
      <c r="L466" s="84"/>
      <c r="M466" s="84"/>
      <c r="N466" s="84"/>
      <c r="O466" s="84"/>
      <c r="P466" s="84"/>
      <c r="Q466" s="84"/>
      <c r="R466" s="84"/>
      <c r="S466" s="84"/>
      <c r="T466" s="84"/>
    </row>
    <row r="467" ht="15.75" customHeight="1">
      <c r="A467" s="84" t="s">
        <v>36530</v>
      </c>
      <c r="B467" s="84">
        <v>1.0</v>
      </c>
      <c r="C467" s="186"/>
      <c r="D467" s="187"/>
      <c r="E467" s="188"/>
      <c r="F467" s="189"/>
      <c r="G467" s="190"/>
      <c r="H467" s="190"/>
      <c r="I467" s="84"/>
      <c r="J467" s="84"/>
      <c r="K467" s="84"/>
      <c r="L467" s="84"/>
      <c r="M467" s="84"/>
      <c r="N467" s="84"/>
      <c r="O467" s="84"/>
      <c r="P467" s="84"/>
      <c r="Q467" s="84"/>
      <c r="R467" s="84"/>
      <c r="S467" s="84"/>
      <c r="T467" s="84"/>
    </row>
    <row r="468" ht="15.75" customHeight="1">
      <c r="A468" s="84" t="s">
        <v>36531</v>
      </c>
      <c r="B468" s="84">
        <v>1.0</v>
      </c>
      <c r="C468" s="186"/>
      <c r="D468" s="187"/>
      <c r="E468" s="188"/>
      <c r="F468" s="189"/>
      <c r="G468" s="190"/>
      <c r="H468" s="190"/>
      <c r="I468" s="84"/>
      <c r="J468" s="84"/>
      <c r="K468" s="84"/>
      <c r="L468" s="84"/>
      <c r="M468" s="84"/>
      <c r="N468" s="84"/>
      <c r="O468" s="84"/>
      <c r="P468" s="84"/>
      <c r="Q468" s="84"/>
      <c r="R468" s="84"/>
      <c r="S468" s="84"/>
      <c r="T468" s="84"/>
    </row>
    <row r="469" ht="15.75" customHeight="1">
      <c r="A469" s="84" t="s">
        <v>36535</v>
      </c>
      <c r="B469" s="84">
        <v>1.0</v>
      </c>
      <c r="C469" s="186"/>
      <c r="D469" s="187"/>
      <c r="E469" s="188"/>
      <c r="F469" s="189"/>
      <c r="G469" s="190"/>
      <c r="H469" s="190"/>
      <c r="I469" s="84" t="s">
        <v>36106</v>
      </c>
      <c r="J469" s="84"/>
      <c r="K469" s="84"/>
      <c r="L469" s="84"/>
      <c r="M469" s="84"/>
      <c r="N469" s="84"/>
      <c r="O469" s="84"/>
      <c r="P469" s="84"/>
      <c r="Q469" s="84"/>
      <c r="R469" s="84"/>
      <c r="S469" s="84"/>
      <c r="T469" s="84"/>
    </row>
    <row r="470" ht="15.75" customHeight="1">
      <c r="A470" s="84" t="s">
        <v>36537</v>
      </c>
      <c r="B470" s="84">
        <v>1.0</v>
      </c>
      <c r="C470" s="186"/>
      <c r="D470" s="187"/>
      <c r="E470" s="188"/>
      <c r="F470" s="189"/>
      <c r="G470" s="190"/>
      <c r="H470" s="190"/>
      <c r="I470" s="84" t="s">
        <v>36106</v>
      </c>
      <c r="J470" s="84"/>
      <c r="K470" s="84"/>
      <c r="L470" s="84"/>
      <c r="M470" s="84"/>
      <c r="N470" s="84"/>
      <c r="O470" s="84"/>
      <c r="P470" s="84"/>
      <c r="Q470" s="84"/>
      <c r="R470" s="84"/>
      <c r="S470" s="84"/>
      <c r="T470" s="84"/>
    </row>
    <row r="471" ht="15.75" customHeight="1">
      <c r="A471" s="84" t="s">
        <v>36539</v>
      </c>
      <c r="B471" s="84">
        <v>1.0</v>
      </c>
      <c r="C471" s="186"/>
      <c r="D471" s="187"/>
      <c r="E471" s="188"/>
      <c r="F471" s="189"/>
      <c r="G471" s="190"/>
      <c r="H471" s="190"/>
      <c r="I471" s="84" t="s">
        <v>36106</v>
      </c>
      <c r="J471" s="84"/>
      <c r="K471" s="84"/>
      <c r="L471" s="84"/>
      <c r="M471" s="84"/>
      <c r="N471" s="84"/>
      <c r="O471" s="84"/>
      <c r="P471" s="84"/>
      <c r="Q471" s="84"/>
      <c r="R471" s="84"/>
      <c r="S471" s="84"/>
      <c r="T471" s="84"/>
    </row>
    <row r="472" ht="15.75" customHeight="1">
      <c r="A472" s="84" t="s">
        <v>36540</v>
      </c>
      <c r="B472" s="84">
        <v>1.0</v>
      </c>
      <c r="C472" s="186"/>
      <c r="D472" s="187"/>
      <c r="E472" s="188"/>
      <c r="F472" s="189"/>
      <c r="G472" s="190"/>
      <c r="H472" s="190"/>
      <c r="I472" s="84" t="s">
        <v>36106</v>
      </c>
      <c r="J472" s="84"/>
      <c r="K472" s="84"/>
      <c r="L472" s="84"/>
      <c r="M472" s="84"/>
      <c r="N472" s="84"/>
      <c r="O472" s="84"/>
      <c r="P472" s="84"/>
      <c r="Q472" s="84"/>
      <c r="R472" s="84"/>
      <c r="S472" s="84"/>
      <c r="T472" s="84"/>
    </row>
    <row r="473" ht="15.75" customHeight="1">
      <c r="A473" s="84" t="s">
        <v>36541</v>
      </c>
      <c r="B473" s="84">
        <v>3.0</v>
      </c>
      <c r="C473" s="186"/>
      <c r="D473" s="187"/>
      <c r="E473" s="188"/>
      <c r="F473" s="189"/>
      <c r="G473" s="190"/>
      <c r="H473" s="190"/>
      <c r="I473" s="84"/>
      <c r="J473" s="84"/>
      <c r="K473" s="84"/>
      <c r="L473" s="84"/>
      <c r="M473" s="84"/>
      <c r="N473" s="84"/>
      <c r="O473" s="84"/>
      <c r="P473" s="84"/>
      <c r="Q473" s="84"/>
      <c r="R473" s="84"/>
      <c r="S473" s="84"/>
      <c r="T473" s="84"/>
    </row>
    <row r="474" ht="15.75" customHeight="1">
      <c r="A474" s="84" t="s">
        <v>36544</v>
      </c>
      <c r="B474" s="84">
        <v>1.0</v>
      </c>
      <c r="C474" s="186"/>
      <c r="D474" s="187"/>
      <c r="E474" s="188"/>
      <c r="F474" s="189"/>
      <c r="G474" s="190"/>
      <c r="H474" s="190"/>
      <c r="I474" s="84" t="s">
        <v>36106</v>
      </c>
      <c r="J474" s="84"/>
      <c r="K474" s="84"/>
      <c r="L474" s="84"/>
      <c r="M474" s="84"/>
      <c r="N474" s="84"/>
      <c r="O474" s="84"/>
      <c r="P474" s="84"/>
      <c r="Q474" s="84"/>
      <c r="R474" s="84"/>
      <c r="S474" s="84"/>
      <c r="T474" s="84"/>
    </row>
    <row r="475" ht="15.75" customHeight="1">
      <c r="A475" s="84" t="s">
        <v>36545</v>
      </c>
      <c r="B475" s="84">
        <v>1.0</v>
      </c>
      <c r="C475" s="186"/>
      <c r="D475" s="187"/>
      <c r="E475" s="188"/>
      <c r="F475" s="189"/>
      <c r="G475" s="190"/>
      <c r="H475" s="190"/>
      <c r="I475" s="84"/>
      <c r="J475" s="84"/>
      <c r="K475" s="84"/>
      <c r="L475" s="84"/>
      <c r="M475" s="84"/>
      <c r="N475" s="84"/>
      <c r="O475" s="84"/>
      <c r="P475" s="84"/>
      <c r="Q475" s="84"/>
      <c r="R475" s="84"/>
      <c r="S475" s="84"/>
      <c r="T475" s="84"/>
    </row>
    <row r="476" ht="15.75" customHeight="1">
      <c r="A476" s="84" t="s">
        <v>36547</v>
      </c>
      <c r="B476" s="84">
        <v>1.0</v>
      </c>
      <c r="C476" s="186"/>
      <c r="D476" s="187"/>
      <c r="E476" s="188"/>
      <c r="F476" s="189"/>
      <c r="G476" s="190"/>
      <c r="H476" s="190"/>
      <c r="I476" s="84"/>
      <c r="J476" s="84"/>
      <c r="K476" s="84"/>
      <c r="L476" s="84"/>
      <c r="M476" s="84"/>
      <c r="N476" s="84"/>
      <c r="O476" s="84"/>
      <c r="P476" s="84"/>
      <c r="Q476" s="84"/>
      <c r="R476" s="84"/>
      <c r="S476" s="84"/>
      <c r="T476" s="84"/>
    </row>
    <row r="477" ht="15.75" customHeight="1">
      <c r="A477" s="84" t="s">
        <v>36549</v>
      </c>
      <c r="B477" s="84">
        <v>1.0</v>
      </c>
      <c r="C477" s="186"/>
      <c r="D477" s="187"/>
      <c r="E477" s="188"/>
      <c r="F477" s="189"/>
      <c r="G477" s="190"/>
      <c r="H477" s="190"/>
      <c r="I477" s="84"/>
      <c r="J477" s="84"/>
      <c r="K477" s="84"/>
      <c r="L477" s="84"/>
      <c r="M477" s="84"/>
      <c r="N477" s="84"/>
      <c r="O477" s="84"/>
      <c r="P477" s="84"/>
      <c r="Q477" s="84"/>
      <c r="R477" s="84"/>
      <c r="S477" s="84"/>
      <c r="T477" s="84"/>
    </row>
    <row r="478" ht="15.75" customHeight="1">
      <c r="A478" s="84" t="s">
        <v>36550</v>
      </c>
      <c r="B478" s="84">
        <v>1.0</v>
      </c>
      <c r="C478" s="186"/>
      <c r="D478" s="187" t="s">
        <v>36551</v>
      </c>
      <c r="E478" s="188"/>
      <c r="F478" s="189"/>
      <c r="G478" s="190"/>
      <c r="H478" s="190"/>
      <c r="I478" s="84"/>
      <c r="J478" s="84"/>
      <c r="K478" s="84"/>
      <c r="L478" s="84"/>
      <c r="M478" s="84"/>
      <c r="N478" s="84"/>
      <c r="O478" s="84"/>
      <c r="P478" s="84"/>
      <c r="Q478" s="84"/>
      <c r="R478" s="84"/>
      <c r="S478" s="84"/>
      <c r="T478" s="84"/>
    </row>
    <row r="479" ht="15.75" customHeight="1">
      <c r="A479" s="84" t="s">
        <v>36551</v>
      </c>
      <c r="B479" s="84">
        <v>3.0</v>
      </c>
      <c r="C479" s="186"/>
      <c r="D479" s="187"/>
      <c r="E479" s="188"/>
      <c r="F479" s="189"/>
      <c r="G479" s="190"/>
      <c r="H479" s="190"/>
      <c r="I479" s="84"/>
      <c r="J479" s="84"/>
      <c r="K479" s="84"/>
      <c r="L479" s="84"/>
      <c r="M479" s="84"/>
      <c r="N479" s="84"/>
      <c r="O479" s="84"/>
      <c r="P479" s="84"/>
      <c r="Q479" s="84"/>
      <c r="R479" s="84"/>
      <c r="S479" s="84"/>
      <c r="T479" s="84"/>
    </row>
    <row r="480" ht="15.75" customHeight="1">
      <c r="A480" s="84" t="s">
        <v>36557</v>
      </c>
      <c r="B480" s="84">
        <v>1.0</v>
      </c>
      <c r="C480" s="186"/>
      <c r="D480" s="187"/>
      <c r="E480" s="188"/>
      <c r="F480" s="189"/>
      <c r="G480" s="190"/>
      <c r="H480" s="190"/>
      <c r="I480" s="84" t="s">
        <v>36106</v>
      </c>
      <c r="J480" s="84"/>
      <c r="K480" s="84"/>
      <c r="L480" s="84"/>
      <c r="M480" s="84"/>
      <c r="N480" s="84"/>
      <c r="O480" s="84"/>
      <c r="P480" s="84"/>
      <c r="Q480" s="84"/>
      <c r="R480" s="84"/>
      <c r="S480" s="84"/>
      <c r="T480" s="84"/>
    </row>
    <row r="481" ht="15.75" customHeight="1">
      <c r="A481" s="84" t="s">
        <v>36558</v>
      </c>
      <c r="B481" s="84">
        <v>1.0</v>
      </c>
      <c r="C481" s="186"/>
      <c r="D481" s="187"/>
      <c r="E481" s="188"/>
      <c r="F481" s="189"/>
      <c r="G481" s="190"/>
      <c r="H481" s="190"/>
      <c r="I481" s="84" t="s">
        <v>36106</v>
      </c>
      <c r="J481" s="84"/>
      <c r="K481" s="84"/>
      <c r="L481" s="84"/>
      <c r="M481" s="84"/>
      <c r="N481" s="84"/>
      <c r="O481" s="84"/>
      <c r="P481" s="84"/>
      <c r="Q481" s="84"/>
      <c r="R481" s="84"/>
      <c r="S481" s="84"/>
      <c r="T481" s="84"/>
    </row>
    <row r="482" ht="15.75" customHeight="1">
      <c r="A482" s="84" t="s">
        <v>36559</v>
      </c>
      <c r="B482" s="84">
        <v>1.0</v>
      </c>
      <c r="C482" s="186"/>
      <c r="D482" s="187"/>
      <c r="E482" s="188"/>
      <c r="F482" s="189"/>
      <c r="G482" s="190"/>
      <c r="H482" s="190"/>
      <c r="I482" s="84" t="s">
        <v>36106</v>
      </c>
      <c r="J482" s="84"/>
      <c r="K482" s="84"/>
      <c r="L482" s="84"/>
      <c r="M482" s="84"/>
      <c r="N482" s="84"/>
      <c r="O482" s="84"/>
      <c r="P482" s="84"/>
      <c r="Q482" s="84"/>
      <c r="R482" s="84"/>
      <c r="S482" s="84"/>
      <c r="T482" s="84"/>
    </row>
    <row r="483" ht="15.75" customHeight="1">
      <c r="A483" s="84" t="s">
        <v>36560</v>
      </c>
      <c r="B483" s="84">
        <v>8.0</v>
      </c>
      <c r="C483" s="186"/>
      <c r="D483" s="187"/>
      <c r="E483" s="188"/>
      <c r="F483" s="189"/>
      <c r="G483" s="190"/>
      <c r="H483" s="190"/>
      <c r="I483" s="84" t="s">
        <v>36106</v>
      </c>
      <c r="J483" s="84"/>
      <c r="K483" s="84"/>
      <c r="L483" s="84"/>
      <c r="M483" s="84"/>
      <c r="N483" s="84"/>
      <c r="O483" s="84"/>
      <c r="P483" s="84"/>
      <c r="Q483" s="84"/>
      <c r="R483" s="84"/>
      <c r="S483" s="84"/>
      <c r="T483" s="84"/>
    </row>
    <row r="484" ht="15.75" customHeight="1">
      <c r="A484" s="84" t="s">
        <v>36562</v>
      </c>
      <c r="B484" s="84">
        <v>1.0</v>
      </c>
      <c r="C484" s="186"/>
      <c r="D484" s="187"/>
      <c r="E484" s="188"/>
      <c r="F484" s="189"/>
      <c r="G484" s="190"/>
      <c r="H484" s="190"/>
      <c r="I484" s="84"/>
      <c r="J484" s="84"/>
      <c r="K484" s="84"/>
      <c r="L484" s="84"/>
      <c r="M484" s="84"/>
      <c r="N484" s="84"/>
      <c r="O484" s="84"/>
      <c r="P484" s="84"/>
      <c r="Q484" s="84"/>
      <c r="R484" s="84"/>
      <c r="S484" s="84"/>
      <c r="T484" s="84"/>
    </row>
    <row r="485" ht="15.75" customHeight="1">
      <c r="A485" s="84" t="s">
        <v>36563</v>
      </c>
      <c r="B485" s="84">
        <v>1.0</v>
      </c>
      <c r="C485" s="186"/>
      <c r="D485" s="187"/>
      <c r="E485" s="188"/>
      <c r="F485" s="189"/>
      <c r="G485" s="190"/>
      <c r="H485" s="190"/>
      <c r="I485" s="84"/>
      <c r="J485" s="84"/>
      <c r="K485" s="84"/>
      <c r="L485" s="84"/>
      <c r="M485" s="84"/>
      <c r="N485" s="84"/>
      <c r="O485" s="84"/>
      <c r="P485" s="84"/>
      <c r="Q485" s="84"/>
      <c r="R485" s="84"/>
      <c r="S485" s="84"/>
      <c r="T485" s="84"/>
    </row>
    <row r="486" ht="15.75" customHeight="1">
      <c r="A486" s="84" t="s">
        <v>36564</v>
      </c>
      <c r="B486" s="84">
        <v>1.0</v>
      </c>
      <c r="C486" s="186"/>
      <c r="D486" s="187"/>
      <c r="E486" s="188"/>
      <c r="F486" s="189"/>
      <c r="G486" s="190"/>
      <c r="H486" s="190"/>
      <c r="I486" s="84"/>
      <c r="J486" s="84"/>
      <c r="K486" s="84"/>
      <c r="L486" s="84"/>
      <c r="M486" s="84"/>
      <c r="N486" s="84"/>
      <c r="O486" s="84"/>
      <c r="P486" s="84"/>
      <c r="Q486" s="84"/>
      <c r="R486" s="84"/>
      <c r="S486" s="84"/>
      <c r="T486" s="84"/>
    </row>
    <row r="487" ht="15.75" customHeight="1">
      <c r="A487" s="84" t="s">
        <v>36565</v>
      </c>
      <c r="B487" s="84">
        <v>1.0</v>
      </c>
      <c r="C487" s="186"/>
      <c r="D487" s="187"/>
      <c r="E487" s="188"/>
      <c r="F487" s="189"/>
      <c r="G487" s="190"/>
      <c r="H487" s="190"/>
      <c r="I487" s="84"/>
      <c r="J487" s="84"/>
      <c r="K487" s="84"/>
      <c r="L487" s="84"/>
      <c r="M487" s="84"/>
      <c r="N487" s="84"/>
      <c r="O487" s="84"/>
      <c r="P487" s="84"/>
      <c r="Q487" s="84"/>
      <c r="R487" s="84"/>
      <c r="S487" s="84"/>
      <c r="T487" s="84"/>
    </row>
    <row r="488" ht="15.75" customHeight="1">
      <c r="A488" s="84" t="s">
        <v>36566</v>
      </c>
      <c r="B488" s="84">
        <v>2.0</v>
      </c>
      <c r="C488" s="186"/>
      <c r="D488" s="187"/>
      <c r="E488" s="188"/>
      <c r="F488" s="189"/>
      <c r="G488" s="190"/>
      <c r="H488" s="190"/>
      <c r="I488" s="84"/>
      <c r="J488" s="84"/>
      <c r="K488" s="84"/>
      <c r="L488" s="84"/>
      <c r="M488" s="84"/>
      <c r="N488" s="84"/>
      <c r="O488" s="84"/>
      <c r="P488" s="84"/>
      <c r="Q488" s="84"/>
      <c r="R488" s="84"/>
      <c r="S488" s="84"/>
      <c r="T488" s="84"/>
    </row>
    <row r="489" ht="15.75" customHeight="1">
      <c r="A489" s="84" t="s">
        <v>36567</v>
      </c>
      <c r="B489" s="84">
        <v>2.0</v>
      </c>
      <c r="C489" s="186"/>
      <c r="D489" s="187" t="s">
        <v>36568</v>
      </c>
      <c r="E489" s="188"/>
      <c r="F489" s="189"/>
      <c r="G489" s="190"/>
      <c r="H489" s="190"/>
      <c r="I489" s="84"/>
      <c r="J489" s="84"/>
      <c r="K489" s="84"/>
      <c r="L489" s="84"/>
      <c r="M489" s="84"/>
      <c r="N489" s="84"/>
      <c r="O489" s="84"/>
      <c r="P489" s="84"/>
      <c r="Q489" s="84"/>
      <c r="R489" s="84"/>
      <c r="S489" s="84"/>
      <c r="T489" s="84"/>
    </row>
    <row r="490" ht="15.75" customHeight="1">
      <c r="A490" s="84" t="s">
        <v>36569</v>
      </c>
      <c r="B490" s="84">
        <v>1.0</v>
      </c>
      <c r="C490" s="186"/>
      <c r="D490" s="187"/>
      <c r="E490" s="188"/>
      <c r="F490" s="189"/>
      <c r="G490" s="190"/>
      <c r="H490" s="190"/>
      <c r="I490" s="84"/>
      <c r="J490" s="84"/>
      <c r="K490" s="84"/>
      <c r="L490" s="84"/>
      <c r="M490" s="84"/>
      <c r="N490" s="84"/>
      <c r="O490" s="84"/>
      <c r="P490" s="84"/>
      <c r="Q490" s="84"/>
      <c r="R490" s="84"/>
      <c r="S490" s="84"/>
      <c r="T490" s="84"/>
    </row>
    <row r="491" ht="15.75" customHeight="1">
      <c r="A491" s="84" t="s">
        <v>36570</v>
      </c>
      <c r="B491" s="84">
        <v>1.0</v>
      </c>
      <c r="C491" s="186"/>
      <c r="D491" s="187"/>
      <c r="E491" s="188"/>
      <c r="F491" s="189"/>
      <c r="G491" s="190"/>
      <c r="H491" s="190"/>
      <c r="I491" s="84"/>
      <c r="J491" s="84"/>
      <c r="K491" s="84"/>
      <c r="L491" s="84"/>
      <c r="M491" s="84"/>
      <c r="N491" s="84"/>
      <c r="O491" s="84"/>
      <c r="P491" s="84"/>
      <c r="Q491" s="84"/>
      <c r="R491" s="84"/>
      <c r="S491" s="84"/>
      <c r="T491" s="84"/>
    </row>
    <row r="492" ht="15.75" customHeight="1">
      <c r="A492" s="84" t="s">
        <v>36571</v>
      </c>
      <c r="B492" s="84">
        <v>1.0</v>
      </c>
      <c r="C492" s="186"/>
      <c r="D492" s="187"/>
      <c r="E492" s="188"/>
      <c r="F492" s="189"/>
      <c r="G492" s="190"/>
      <c r="H492" s="190"/>
      <c r="I492" s="84"/>
      <c r="J492" s="84"/>
      <c r="K492" s="84"/>
      <c r="L492" s="84"/>
      <c r="M492" s="84"/>
      <c r="N492" s="84"/>
      <c r="O492" s="84"/>
      <c r="P492" s="84"/>
      <c r="Q492" s="84"/>
      <c r="R492" s="84"/>
      <c r="S492" s="84"/>
      <c r="T492" s="84"/>
    </row>
    <row r="493" ht="15.75" customHeight="1">
      <c r="A493" s="84" t="s">
        <v>36572</v>
      </c>
      <c r="B493" s="84">
        <v>4.0</v>
      </c>
      <c r="C493" s="186"/>
      <c r="D493" s="187"/>
      <c r="E493" s="188"/>
      <c r="F493" s="189"/>
      <c r="G493" s="190"/>
      <c r="H493" s="190"/>
      <c r="I493" s="84"/>
      <c r="J493" s="84"/>
      <c r="K493" s="84"/>
      <c r="L493" s="84"/>
      <c r="M493" s="84"/>
      <c r="N493" s="84"/>
      <c r="O493" s="84"/>
      <c r="P493" s="84"/>
      <c r="Q493" s="84"/>
      <c r="R493" s="84"/>
      <c r="S493" s="84"/>
      <c r="T493" s="84"/>
    </row>
    <row r="494" ht="15.75" customHeight="1">
      <c r="A494" s="84" t="s">
        <v>36573</v>
      </c>
      <c r="B494" s="84">
        <v>1.0</v>
      </c>
      <c r="C494" s="186"/>
      <c r="D494" s="187"/>
      <c r="E494" s="188"/>
      <c r="F494" s="189"/>
      <c r="G494" s="190"/>
      <c r="H494" s="190"/>
      <c r="I494" s="84"/>
      <c r="J494" s="84"/>
      <c r="K494" s="84"/>
      <c r="L494" s="84"/>
      <c r="M494" s="84"/>
      <c r="N494" s="84"/>
      <c r="O494" s="84"/>
      <c r="P494" s="84"/>
      <c r="Q494" s="84"/>
      <c r="R494" s="84"/>
      <c r="S494" s="84"/>
      <c r="T494" s="84"/>
    </row>
    <row r="495" ht="15.75" customHeight="1">
      <c r="A495" s="84" t="s">
        <v>36568</v>
      </c>
      <c r="B495" s="84">
        <v>2.0</v>
      </c>
      <c r="C495" s="186"/>
      <c r="D495" s="187"/>
      <c r="E495" s="188"/>
      <c r="F495" s="189"/>
      <c r="G495" s="190"/>
      <c r="H495" s="190"/>
      <c r="I495" s="84"/>
      <c r="J495" s="84"/>
      <c r="K495" s="84"/>
      <c r="L495" s="84"/>
      <c r="M495" s="84"/>
      <c r="N495" s="84"/>
      <c r="O495" s="84"/>
      <c r="P495" s="84"/>
      <c r="Q495" s="84"/>
      <c r="R495" s="84"/>
      <c r="S495" s="84"/>
      <c r="T495" s="84"/>
    </row>
    <row r="496" ht="15.75" customHeight="1">
      <c r="A496" s="84" t="s">
        <v>36575</v>
      </c>
      <c r="B496" s="84">
        <v>1.0</v>
      </c>
      <c r="C496" s="186"/>
      <c r="D496" s="187"/>
      <c r="E496" s="188"/>
      <c r="F496" s="189"/>
      <c r="G496" s="190"/>
      <c r="H496" s="190"/>
      <c r="I496" s="84"/>
      <c r="J496" s="84"/>
      <c r="K496" s="84"/>
      <c r="L496" s="84"/>
      <c r="M496" s="84"/>
      <c r="N496" s="84"/>
      <c r="O496" s="84"/>
      <c r="P496" s="84"/>
      <c r="Q496" s="84"/>
      <c r="R496" s="84"/>
      <c r="S496" s="84"/>
      <c r="T496" s="84"/>
    </row>
    <row r="497" ht="15.75" customHeight="1">
      <c r="A497" s="84" t="s">
        <v>36577</v>
      </c>
      <c r="B497" s="84">
        <v>2.0</v>
      </c>
      <c r="C497" s="186"/>
      <c r="D497" s="187"/>
      <c r="E497" s="188"/>
      <c r="F497" s="189"/>
      <c r="G497" s="190"/>
      <c r="H497" s="190"/>
      <c r="I497" s="84"/>
      <c r="J497" s="84"/>
      <c r="K497" s="84"/>
      <c r="L497" s="84"/>
      <c r="M497" s="84"/>
      <c r="N497" s="84"/>
      <c r="O497" s="84"/>
      <c r="P497" s="84"/>
      <c r="Q497" s="84"/>
      <c r="R497" s="84"/>
      <c r="S497" s="84"/>
      <c r="T497" s="84"/>
    </row>
    <row r="498" ht="15.75" customHeight="1">
      <c r="A498" s="84" t="s">
        <v>36579</v>
      </c>
      <c r="B498" s="84">
        <v>1.0</v>
      </c>
      <c r="C498" s="186"/>
      <c r="D498" s="187"/>
      <c r="E498" s="188"/>
      <c r="F498" s="189"/>
      <c r="G498" s="190"/>
      <c r="H498" s="190"/>
      <c r="I498" s="84" t="s">
        <v>36580</v>
      </c>
      <c r="J498" s="84"/>
      <c r="K498" s="84"/>
      <c r="L498" s="84"/>
      <c r="M498" s="84"/>
      <c r="N498" s="84"/>
      <c r="O498" s="84"/>
      <c r="P498" s="84"/>
      <c r="Q498" s="84"/>
      <c r="R498" s="84"/>
      <c r="S498" s="84"/>
      <c r="T498" s="84"/>
    </row>
    <row r="499" ht="15.75" customHeight="1">
      <c r="A499" s="84" t="s">
        <v>36581</v>
      </c>
      <c r="B499" s="84">
        <v>6.0</v>
      </c>
      <c r="C499" s="186"/>
      <c r="D499" s="187"/>
      <c r="E499" s="188"/>
      <c r="F499" s="189"/>
      <c r="G499" s="190"/>
      <c r="H499" s="190"/>
      <c r="I499" s="84" t="s">
        <v>36580</v>
      </c>
      <c r="J499" s="84"/>
      <c r="K499" s="84"/>
      <c r="L499" s="84"/>
      <c r="M499" s="84"/>
      <c r="N499" s="84"/>
      <c r="O499" s="84"/>
      <c r="P499" s="84"/>
      <c r="Q499" s="84"/>
      <c r="R499" s="84"/>
      <c r="S499" s="84"/>
      <c r="T499" s="84"/>
    </row>
    <row r="500" ht="15.75" customHeight="1">
      <c r="A500" s="84" t="s">
        <v>36583</v>
      </c>
      <c r="B500" s="84">
        <v>1.0</v>
      </c>
      <c r="C500" s="186"/>
      <c r="D500" s="187"/>
      <c r="E500" s="188"/>
      <c r="F500" s="189" t="s">
        <v>30659</v>
      </c>
      <c r="G500" s="190" t="s">
        <v>36581</v>
      </c>
      <c r="H500" s="190"/>
      <c r="I500" s="84" t="s">
        <v>36580</v>
      </c>
      <c r="J500" s="84"/>
      <c r="K500" s="84"/>
      <c r="L500" s="84"/>
      <c r="M500" s="84"/>
      <c r="N500" s="84"/>
      <c r="O500" s="84"/>
      <c r="P500" s="84"/>
      <c r="Q500" s="84"/>
      <c r="R500" s="84"/>
      <c r="S500" s="84"/>
      <c r="T500" s="84"/>
    </row>
    <row r="501" ht="15.75" customHeight="1">
      <c r="A501" s="84" t="s">
        <v>36592</v>
      </c>
      <c r="B501" s="84">
        <v>1.0</v>
      </c>
      <c r="C501" s="186" t="s">
        <v>30659</v>
      </c>
      <c r="D501" s="187" t="s">
        <v>36593</v>
      </c>
      <c r="E501" s="188"/>
      <c r="F501" s="189"/>
      <c r="G501" s="190"/>
      <c r="H501" s="190"/>
      <c r="I501" s="84" t="s">
        <v>36580</v>
      </c>
      <c r="J501" s="84"/>
      <c r="K501" s="84"/>
      <c r="L501" s="84"/>
      <c r="M501" s="84"/>
      <c r="N501" s="84"/>
      <c r="O501" s="84"/>
      <c r="P501" s="84"/>
      <c r="Q501" s="84"/>
      <c r="R501" s="84"/>
      <c r="S501" s="84"/>
      <c r="T501" s="84"/>
    </row>
    <row r="502" ht="15.75" customHeight="1">
      <c r="A502" s="84" t="s">
        <v>36594</v>
      </c>
      <c r="B502" s="84">
        <v>1.0</v>
      </c>
      <c r="C502" s="186"/>
      <c r="D502" s="187"/>
      <c r="E502" s="188" t="s">
        <v>36595</v>
      </c>
      <c r="F502" s="189"/>
      <c r="G502" s="190"/>
      <c r="H502" s="190"/>
      <c r="I502" s="84" t="s">
        <v>36580</v>
      </c>
      <c r="J502" s="84"/>
      <c r="K502" s="84"/>
      <c r="L502" s="84"/>
      <c r="M502" s="84"/>
      <c r="N502" s="84"/>
      <c r="O502" s="84"/>
      <c r="P502" s="84"/>
      <c r="Q502" s="84"/>
      <c r="R502" s="84"/>
      <c r="S502" s="84"/>
      <c r="T502" s="84"/>
    </row>
    <row r="503" ht="15.75" customHeight="1">
      <c r="A503" s="84" t="s">
        <v>36593</v>
      </c>
      <c r="B503" s="84">
        <v>1.0</v>
      </c>
      <c r="C503" s="186"/>
      <c r="D503" s="187"/>
      <c r="E503" s="188"/>
      <c r="F503" s="189"/>
      <c r="G503" s="190"/>
      <c r="H503" s="190"/>
      <c r="I503" s="84" t="s">
        <v>36580</v>
      </c>
      <c r="J503" s="84"/>
      <c r="K503" s="84"/>
      <c r="L503" s="84"/>
      <c r="M503" s="84"/>
      <c r="N503" s="84"/>
      <c r="O503" s="84"/>
      <c r="P503" s="84"/>
      <c r="Q503" s="84"/>
      <c r="R503" s="84"/>
      <c r="S503" s="84"/>
      <c r="T503" s="84"/>
    </row>
    <row r="504" ht="15.75" customHeight="1">
      <c r="A504" s="84" t="s">
        <v>36600</v>
      </c>
      <c r="B504" s="84">
        <v>1.0</v>
      </c>
      <c r="C504" s="186"/>
      <c r="D504" s="187"/>
      <c r="E504" s="188"/>
      <c r="F504" s="189"/>
      <c r="G504" s="190"/>
      <c r="H504" s="190"/>
      <c r="I504" s="84" t="s">
        <v>36580</v>
      </c>
      <c r="J504" s="84"/>
      <c r="K504" s="84"/>
      <c r="L504" s="84"/>
      <c r="M504" s="84"/>
      <c r="N504" s="84"/>
      <c r="O504" s="84"/>
      <c r="P504" s="84"/>
      <c r="Q504" s="84"/>
      <c r="R504" s="84"/>
      <c r="S504" s="84"/>
      <c r="T504" s="84"/>
    </row>
    <row r="505" ht="15.75" customHeight="1">
      <c r="A505" s="84" t="s">
        <v>36602</v>
      </c>
      <c r="B505" s="84">
        <v>2.0</v>
      </c>
      <c r="C505" s="186"/>
      <c r="D505" s="187"/>
      <c r="E505" s="188"/>
      <c r="F505" s="189"/>
      <c r="G505" s="190"/>
      <c r="H505" s="190"/>
      <c r="I505" s="84" t="s">
        <v>36580</v>
      </c>
      <c r="J505" s="84"/>
      <c r="K505" s="84"/>
      <c r="L505" s="84"/>
      <c r="M505" s="84"/>
      <c r="N505" s="84"/>
      <c r="O505" s="84"/>
      <c r="P505" s="84"/>
      <c r="Q505" s="84"/>
      <c r="R505" s="84"/>
      <c r="S505" s="84"/>
      <c r="T505" s="84"/>
    </row>
    <row r="506" ht="15.75" customHeight="1">
      <c r="A506" s="84" t="s">
        <v>36604</v>
      </c>
      <c r="B506" s="84">
        <v>1.0</v>
      </c>
      <c r="C506" s="186" t="s">
        <v>30659</v>
      </c>
      <c r="D506" s="187" t="s">
        <v>36602</v>
      </c>
      <c r="E506" s="188"/>
      <c r="F506" s="189"/>
      <c r="G506" s="190"/>
      <c r="H506" s="190"/>
      <c r="I506" s="84" t="s">
        <v>36580</v>
      </c>
      <c r="J506" s="84"/>
      <c r="K506" s="84"/>
      <c r="L506" s="84"/>
      <c r="M506" s="84"/>
      <c r="N506" s="84"/>
      <c r="O506" s="84"/>
      <c r="P506" s="84"/>
      <c r="Q506" s="84"/>
      <c r="R506" s="84"/>
      <c r="S506" s="84"/>
      <c r="T506" s="84"/>
    </row>
    <row r="507" ht="15.75" customHeight="1">
      <c r="A507" s="84" t="s">
        <v>36605</v>
      </c>
      <c r="B507" s="84">
        <v>1.0</v>
      </c>
      <c r="C507" s="186" t="s">
        <v>18275</v>
      </c>
      <c r="D507" s="187" t="s">
        <v>36583</v>
      </c>
      <c r="E507" s="188"/>
      <c r="F507" s="189" t="s">
        <v>30659</v>
      </c>
      <c r="G507" s="190" t="s">
        <v>36581</v>
      </c>
      <c r="H507" s="190"/>
      <c r="I507" s="84" t="s">
        <v>36580</v>
      </c>
      <c r="J507" s="84"/>
      <c r="K507" s="84"/>
      <c r="L507" s="84"/>
      <c r="M507" s="84"/>
      <c r="N507" s="84"/>
      <c r="O507" s="84"/>
      <c r="P507" s="84"/>
      <c r="Q507" s="84"/>
      <c r="R507" s="84"/>
      <c r="S507" s="84"/>
      <c r="T507" s="84"/>
    </row>
    <row r="508" ht="15.75" customHeight="1">
      <c r="A508" s="84" t="s">
        <v>36606</v>
      </c>
      <c r="B508" s="84">
        <v>2.0</v>
      </c>
      <c r="C508" s="186" t="s">
        <v>30659</v>
      </c>
      <c r="D508" s="187" t="s">
        <v>36594</v>
      </c>
      <c r="E508" s="188"/>
      <c r="F508" s="189"/>
      <c r="G508" s="190"/>
      <c r="H508" s="190"/>
      <c r="I508" s="84" t="s">
        <v>36580</v>
      </c>
      <c r="J508" s="84"/>
      <c r="K508" s="84"/>
      <c r="L508" s="84"/>
      <c r="M508" s="84"/>
      <c r="N508" s="84"/>
      <c r="O508" s="84"/>
      <c r="P508" s="84"/>
      <c r="Q508" s="84"/>
      <c r="R508" s="84"/>
      <c r="S508" s="84"/>
      <c r="T508" s="84"/>
    </row>
    <row r="509" ht="15.75" customHeight="1">
      <c r="A509" s="84" t="s">
        <v>36607</v>
      </c>
      <c r="B509" s="84">
        <v>1.0</v>
      </c>
      <c r="C509" s="186"/>
      <c r="D509" s="187" t="s">
        <v>36608</v>
      </c>
      <c r="E509" s="188"/>
      <c r="F509" s="189"/>
      <c r="G509" s="190"/>
      <c r="H509" s="190"/>
      <c r="I509" s="84" t="s">
        <v>36580</v>
      </c>
      <c r="J509" s="84"/>
      <c r="K509" s="84"/>
      <c r="L509" s="84"/>
      <c r="M509" s="84"/>
      <c r="N509" s="84"/>
      <c r="O509" s="84"/>
      <c r="P509" s="84"/>
      <c r="Q509" s="84"/>
      <c r="R509" s="84"/>
      <c r="S509" s="84"/>
      <c r="T509" s="84"/>
    </row>
    <row r="510" ht="15.75" customHeight="1">
      <c r="A510" s="84" t="s">
        <v>36610</v>
      </c>
      <c r="B510" s="84">
        <v>1.0</v>
      </c>
      <c r="C510" s="186"/>
      <c r="D510" s="187"/>
      <c r="E510" s="188"/>
      <c r="F510" s="189" t="s">
        <v>30659</v>
      </c>
      <c r="G510" s="190" t="s">
        <v>36581</v>
      </c>
      <c r="H510" s="190"/>
      <c r="I510" s="84" t="s">
        <v>36580</v>
      </c>
      <c r="J510" s="84"/>
      <c r="K510" s="84"/>
      <c r="L510" s="84"/>
      <c r="M510" s="84"/>
      <c r="N510" s="84"/>
      <c r="O510" s="84"/>
      <c r="P510" s="84"/>
      <c r="Q510" s="84"/>
      <c r="R510" s="84"/>
      <c r="S510" s="84"/>
      <c r="T510" s="84"/>
    </row>
    <row r="511" ht="15.75" customHeight="1">
      <c r="A511" s="84" t="s">
        <v>36611</v>
      </c>
      <c r="B511" s="84">
        <v>1.0</v>
      </c>
      <c r="C511" s="186"/>
      <c r="D511" s="187"/>
      <c r="E511" s="188"/>
      <c r="F511" s="189" t="s">
        <v>30659</v>
      </c>
      <c r="G511" s="190" t="s">
        <v>36581</v>
      </c>
      <c r="H511" s="190"/>
      <c r="I511" s="84" t="s">
        <v>36580</v>
      </c>
      <c r="J511" s="84"/>
      <c r="K511" s="84"/>
      <c r="L511" s="84"/>
      <c r="M511" s="84"/>
      <c r="N511" s="84"/>
      <c r="O511" s="84"/>
      <c r="P511" s="84"/>
      <c r="Q511" s="84"/>
      <c r="R511" s="84"/>
      <c r="S511" s="84"/>
      <c r="T511" s="84"/>
    </row>
    <row r="512" ht="15.75" customHeight="1">
      <c r="A512" s="84" t="s">
        <v>36612</v>
      </c>
      <c r="B512" s="84">
        <v>2.0</v>
      </c>
      <c r="C512" s="186" t="s">
        <v>30659</v>
      </c>
      <c r="D512" s="187" t="s">
        <v>36581</v>
      </c>
      <c r="E512" s="188"/>
      <c r="F512" s="189"/>
      <c r="G512" s="190"/>
      <c r="H512" s="190"/>
      <c r="I512" s="84" t="s">
        <v>36580</v>
      </c>
      <c r="J512" s="84"/>
      <c r="K512" s="84"/>
      <c r="L512" s="84"/>
      <c r="M512" s="84"/>
      <c r="N512" s="84"/>
      <c r="O512" s="84"/>
      <c r="P512" s="84"/>
      <c r="Q512" s="84"/>
      <c r="R512" s="84"/>
      <c r="S512" s="84"/>
      <c r="T512" s="84"/>
    </row>
    <row r="513" ht="15.75" customHeight="1">
      <c r="A513" s="84" t="s">
        <v>36613</v>
      </c>
      <c r="B513" s="84">
        <v>1.0</v>
      </c>
      <c r="C513" s="186"/>
      <c r="D513" s="187"/>
      <c r="E513" s="188"/>
      <c r="F513" s="189"/>
      <c r="G513" s="190"/>
      <c r="H513" s="190"/>
      <c r="I513" s="84"/>
      <c r="J513" s="84"/>
      <c r="K513" s="84"/>
      <c r="L513" s="84"/>
      <c r="M513" s="84"/>
      <c r="N513" s="84"/>
      <c r="O513" s="84"/>
      <c r="P513" s="84"/>
      <c r="Q513" s="84"/>
      <c r="R513" s="84"/>
      <c r="S513" s="84"/>
      <c r="T513" s="84"/>
    </row>
    <row r="514" ht="15.75" customHeight="1">
      <c r="A514" s="84" t="s">
        <v>36615</v>
      </c>
      <c r="B514" s="84">
        <v>1.0</v>
      </c>
      <c r="C514" s="186"/>
      <c r="D514" s="187"/>
      <c r="E514" s="188"/>
      <c r="F514" s="189"/>
      <c r="G514" s="190"/>
      <c r="H514" s="190"/>
      <c r="I514" s="84"/>
      <c r="J514" s="84"/>
      <c r="K514" s="84"/>
      <c r="L514" s="84"/>
      <c r="M514" s="84"/>
      <c r="N514" s="84"/>
      <c r="O514" s="84"/>
      <c r="P514" s="84"/>
      <c r="Q514" s="84"/>
      <c r="R514" s="84"/>
      <c r="S514" s="84"/>
      <c r="T514" s="84"/>
    </row>
    <row r="515" ht="15.75" customHeight="1">
      <c r="A515" s="84" t="s">
        <v>36616</v>
      </c>
      <c r="B515" s="84">
        <v>1.0</v>
      </c>
      <c r="C515" s="186"/>
      <c r="D515" s="187" t="s">
        <v>36617</v>
      </c>
      <c r="E515" s="188"/>
      <c r="F515" s="189"/>
      <c r="G515" s="190"/>
      <c r="H515" s="190"/>
      <c r="I515" s="84"/>
      <c r="J515" s="84"/>
      <c r="K515" s="84"/>
      <c r="L515" s="84"/>
      <c r="M515" s="84"/>
      <c r="N515" s="84"/>
      <c r="O515" s="84"/>
      <c r="P515" s="84"/>
      <c r="Q515" s="84"/>
      <c r="R515" s="84"/>
      <c r="S515" s="84"/>
      <c r="T515" s="84"/>
    </row>
    <row r="516" ht="15.75" customHeight="1">
      <c r="A516" s="84" t="s">
        <v>36618</v>
      </c>
      <c r="B516" s="84">
        <v>1.0</v>
      </c>
      <c r="C516" s="186"/>
      <c r="D516" s="187"/>
      <c r="E516" s="188"/>
      <c r="F516" s="189"/>
      <c r="G516" s="190"/>
      <c r="H516" s="190"/>
      <c r="I516" s="84"/>
      <c r="J516" s="84"/>
      <c r="K516" s="84"/>
      <c r="L516" s="84"/>
      <c r="M516" s="84"/>
      <c r="N516" s="84"/>
      <c r="O516" s="84"/>
      <c r="P516" s="84"/>
      <c r="Q516" s="84"/>
      <c r="R516" s="84"/>
      <c r="S516" s="84"/>
      <c r="T516" s="84"/>
    </row>
    <row r="517" ht="15.75" customHeight="1">
      <c r="A517" s="84" t="s">
        <v>36621</v>
      </c>
      <c r="B517" s="84">
        <v>1.0</v>
      </c>
      <c r="C517" s="186"/>
      <c r="D517" s="187"/>
      <c r="E517" s="188"/>
      <c r="F517" s="189"/>
      <c r="G517" s="190"/>
      <c r="H517" s="190"/>
      <c r="I517" s="84"/>
      <c r="J517" s="84"/>
      <c r="K517" s="84"/>
      <c r="L517" s="84"/>
      <c r="M517" s="84"/>
      <c r="N517" s="84"/>
      <c r="O517" s="84"/>
      <c r="P517" s="84"/>
      <c r="Q517" s="84"/>
      <c r="R517" s="84"/>
      <c r="S517" s="84"/>
      <c r="T517" s="84"/>
    </row>
    <row r="518" ht="15.75" customHeight="1">
      <c r="A518" s="84" t="s">
        <v>36622</v>
      </c>
      <c r="B518" s="84">
        <v>1.0</v>
      </c>
      <c r="C518" s="186"/>
      <c r="D518" s="187"/>
      <c r="E518" s="188"/>
      <c r="F518" s="189"/>
      <c r="G518" s="190"/>
      <c r="H518" s="190"/>
      <c r="I518" s="84"/>
      <c r="J518" s="84"/>
      <c r="K518" s="84"/>
      <c r="L518" s="84"/>
      <c r="M518" s="84"/>
      <c r="N518" s="84"/>
      <c r="O518" s="84"/>
      <c r="P518" s="84"/>
      <c r="Q518" s="84"/>
      <c r="R518" s="84"/>
      <c r="S518" s="84"/>
      <c r="T518" s="84"/>
    </row>
    <row r="519" ht="15.75" customHeight="1">
      <c r="A519" s="84" t="s">
        <v>36623</v>
      </c>
      <c r="B519" s="84">
        <v>4.0</v>
      </c>
      <c r="C519" s="186"/>
      <c r="D519" s="187"/>
      <c r="E519" s="188"/>
      <c r="F519" s="189"/>
      <c r="G519" s="190"/>
      <c r="H519" s="190"/>
      <c r="I519" s="84"/>
      <c r="J519" s="84"/>
      <c r="K519" s="84"/>
      <c r="L519" s="84"/>
      <c r="M519" s="84"/>
      <c r="N519" s="84"/>
      <c r="O519" s="84"/>
      <c r="P519" s="84"/>
      <c r="Q519" s="84"/>
      <c r="R519" s="84"/>
      <c r="S519" s="84"/>
      <c r="T519" s="84"/>
    </row>
    <row r="520" ht="15.75" customHeight="1">
      <c r="A520" s="84" t="s">
        <v>36626</v>
      </c>
      <c r="B520" s="84">
        <v>1.0</v>
      </c>
      <c r="C520" s="186"/>
      <c r="D520" s="187"/>
      <c r="E520" s="188"/>
      <c r="F520" s="189"/>
      <c r="G520" s="190"/>
      <c r="H520" s="190"/>
      <c r="I520" s="84"/>
      <c r="J520" s="84"/>
      <c r="K520" s="84"/>
      <c r="L520" s="84"/>
      <c r="M520" s="84"/>
      <c r="N520" s="84"/>
      <c r="O520" s="84"/>
      <c r="P520" s="84"/>
      <c r="Q520" s="84"/>
      <c r="R520" s="84"/>
      <c r="S520" s="84"/>
      <c r="T520" s="84"/>
    </row>
    <row r="521" ht="15.75" customHeight="1">
      <c r="A521" s="84" t="s">
        <v>36627</v>
      </c>
      <c r="B521" s="84">
        <v>3.0</v>
      </c>
      <c r="C521" s="186"/>
      <c r="D521" s="187"/>
      <c r="E521" s="188"/>
      <c r="F521" s="189"/>
      <c r="G521" s="190"/>
      <c r="H521" s="190"/>
      <c r="I521" s="84"/>
      <c r="J521" s="84"/>
      <c r="K521" s="84"/>
      <c r="L521" s="84"/>
      <c r="M521" s="84"/>
      <c r="N521" s="84"/>
      <c r="O521" s="84"/>
      <c r="P521" s="84"/>
      <c r="Q521" s="84"/>
      <c r="R521" s="84"/>
      <c r="S521" s="84"/>
      <c r="T521" s="84"/>
    </row>
    <row r="522" ht="15.75" customHeight="1">
      <c r="A522" s="84" t="s">
        <v>36628</v>
      </c>
      <c r="B522" s="84">
        <v>1.0</v>
      </c>
      <c r="C522" s="186" t="s">
        <v>18275</v>
      </c>
      <c r="D522" s="187" t="s">
        <v>36627</v>
      </c>
      <c r="E522" s="188"/>
      <c r="F522" s="189"/>
      <c r="G522" s="190"/>
      <c r="H522" s="190"/>
      <c r="I522" s="84"/>
      <c r="J522" s="84"/>
      <c r="K522" s="84"/>
      <c r="L522" s="84"/>
      <c r="M522" s="84"/>
      <c r="N522" s="84"/>
      <c r="O522" s="84"/>
      <c r="P522" s="84"/>
      <c r="Q522" s="84"/>
      <c r="R522" s="84"/>
      <c r="S522" s="84"/>
      <c r="T522" s="84"/>
    </row>
    <row r="523" ht="15.75" customHeight="1">
      <c r="A523" s="84" t="s">
        <v>36629</v>
      </c>
      <c r="B523" s="84">
        <v>1.0</v>
      </c>
      <c r="C523" s="186"/>
      <c r="D523" s="187"/>
      <c r="E523" s="188"/>
      <c r="F523" s="189"/>
      <c r="G523" s="190"/>
      <c r="H523" s="190"/>
      <c r="I523" s="84"/>
      <c r="J523" s="84"/>
      <c r="K523" s="84"/>
      <c r="L523" s="84"/>
      <c r="M523" s="84"/>
      <c r="N523" s="84"/>
      <c r="O523" s="84"/>
      <c r="P523" s="84"/>
      <c r="Q523" s="84"/>
      <c r="R523" s="84"/>
      <c r="S523" s="84"/>
      <c r="T523" s="84"/>
    </row>
    <row r="524" ht="15.75" customHeight="1">
      <c r="A524" s="84" t="s">
        <v>36630</v>
      </c>
      <c r="B524" s="84">
        <v>1.0</v>
      </c>
      <c r="C524" s="186"/>
      <c r="D524" s="187"/>
      <c r="E524" s="188"/>
      <c r="F524" s="189"/>
      <c r="G524" s="190"/>
      <c r="H524" s="190"/>
      <c r="I524" s="84"/>
      <c r="J524" s="84"/>
      <c r="K524" s="84"/>
      <c r="L524" s="84"/>
      <c r="M524" s="84"/>
      <c r="N524" s="84"/>
      <c r="O524" s="84"/>
      <c r="P524" s="84"/>
      <c r="Q524" s="84"/>
      <c r="R524" s="84"/>
      <c r="S524" s="84"/>
      <c r="T524" s="84"/>
    </row>
    <row r="525" ht="15.75" customHeight="1">
      <c r="A525" s="84" t="s">
        <v>36631</v>
      </c>
      <c r="B525" s="84">
        <v>1.0</v>
      </c>
      <c r="C525" s="186"/>
      <c r="D525" s="187"/>
      <c r="E525" s="188"/>
      <c r="F525" s="189"/>
      <c r="G525" s="190"/>
      <c r="H525" s="190"/>
      <c r="I525" s="84"/>
      <c r="J525" s="84"/>
      <c r="K525" s="84"/>
      <c r="L525" s="84"/>
      <c r="M525" s="84"/>
      <c r="N525" s="84"/>
      <c r="O525" s="84"/>
      <c r="P525" s="84"/>
      <c r="Q525" s="84"/>
      <c r="R525" s="84"/>
      <c r="S525" s="84"/>
      <c r="T525" s="84"/>
    </row>
    <row r="526" ht="15.75" customHeight="1">
      <c r="A526" s="84" t="s">
        <v>36632</v>
      </c>
      <c r="B526" s="84">
        <v>1.0</v>
      </c>
      <c r="C526" s="186"/>
      <c r="D526" s="187"/>
      <c r="E526" s="188"/>
      <c r="F526" s="189"/>
      <c r="G526" s="190"/>
      <c r="H526" s="190"/>
      <c r="I526" s="84"/>
      <c r="J526" s="84"/>
      <c r="K526" s="84"/>
      <c r="L526" s="84"/>
      <c r="M526" s="84"/>
      <c r="N526" s="84"/>
      <c r="O526" s="84"/>
      <c r="P526" s="84"/>
      <c r="Q526" s="84"/>
      <c r="R526" s="84"/>
      <c r="S526" s="84"/>
      <c r="T526" s="84"/>
    </row>
    <row r="527" ht="15.75" customHeight="1">
      <c r="A527" s="84" t="s">
        <v>36634</v>
      </c>
      <c r="B527" s="84">
        <v>1.0</v>
      </c>
      <c r="C527" s="186"/>
      <c r="D527" s="187"/>
      <c r="E527" s="188"/>
      <c r="F527" s="189"/>
      <c r="G527" s="190"/>
      <c r="H527" s="190"/>
      <c r="I527" s="84"/>
      <c r="J527" s="84"/>
      <c r="K527" s="84"/>
      <c r="L527" s="84"/>
      <c r="M527" s="84"/>
      <c r="N527" s="84"/>
      <c r="O527" s="84"/>
      <c r="P527" s="84"/>
      <c r="Q527" s="84"/>
      <c r="R527" s="84"/>
      <c r="S527" s="84"/>
      <c r="T527" s="84"/>
    </row>
    <row r="528" ht="15.75" customHeight="1">
      <c r="A528" s="84" t="s">
        <v>36635</v>
      </c>
      <c r="B528" s="84">
        <v>1.0</v>
      </c>
      <c r="C528" s="186"/>
      <c r="D528" s="187"/>
      <c r="E528" s="188"/>
      <c r="F528" s="189"/>
      <c r="G528" s="190"/>
      <c r="H528" s="190"/>
      <c r="I528" s="84"/>
      <c r="J528" s="84"/>
      <c r="K528" s="84"/>
      <c r="L528" s="84"/>
      <c r="M528" s="84"/>
      <c r="N528" s="84"/>
      <c r="O528" s="84"/>
      <c r="P528" s="84"/>
      <c r="Q528" s="84"/>
      <c r="R528" s="84"/>
      <c r="S528" s="84"/>
      <c r="T528" s="84"/>
    </row>
    <row r="529" ht="15.75" customHeight="1">
      <c r="A529" s="84" t="s">
        <v>36636</v>
      </c>
      <c r="B529" s="84">
        <v>9.0</v>
      </c>
      <c r="C529" s="186"/>
      <c r="D529" s="187"/>
      <c r="E529" s="188"/>
      <c r="F529" s="189"/>
      <c r="G529" s="190"/>
      <c r="H529" s="190"/>
      <c r="I529" s="84"/>
      <c r="J529" s="84"/>
      <c r="K529" s="84"/>
      <c r="L529" s="84"/>
      <c r="M529" s="84"/>
      <c r="N529" s="84"/>
      <c r="O529" s="84"/>
      <c r="P529" s="84"/>
      <c r="Q529" s="84"/>
      <c r="R529" s="84"/>
      <c r="S529" s="84"/>
      <c r="T529" s="84"/>
    </row>
    <row r="530" ht="15.75" customHeight="1">
      <c r="A530" s="84" t="s">
        <v>36637</v>
      </c>
      <c r="B530" s="84">
        <v>1.0</v>
      </c>
      <c r="C530" s="186"/>
      <c r="D530" s="187"/>
      <c r="E530" s="188"/>
      <c r="F530" s="189"/>
      <c r="G530" s="190"/>
      <c r="H530" s="190"/>
      <c r="I530" s="84"/>
      <c r="J530" s="84"/>
      <c r="K530" s="84"/>
      <c r="L530" s="84"/>
      <c r="M530" s="84"/>
      <c r="N530" s="84"/>
      <c r="O530" s="84"/>
      <c r="P530" s="84"/>
      <c r="Q530" s="84"/>
      <c r="R530" s="84"/>
      <c r="S530" s="84"/>
      <c r="T530" s="84"/>
    </row>
    <row r="531" ht="15.75" customHeight="1">
      <c r="A531" s="84" t="s">
        <v>36638</v>
      </c>
      <c r="B531" s="84">
        <v>1.0</v>
      </c>
      <c r="C531" s="186"/>
      <c r="D531" s="187"/>
      <c r="E531" s="188"/>
      <c r="F531" s="189"/>
      <c r="G531" s="190"/>
      <c r="H531" s="190"/>
      <c r="I531" s="84"/>
      <c r="J531" s="84"/>
      <c r="K531" s="84"/>
      <c r="L531" s="84"/>
      <c r="M531" s="84"/>
      <c r="N531" s="84"/>
      <c r="O531" s="84"/>
      <c r="P531" s="84"/>
      <c r="Q531" s="84"/>
      <c r="R531" s="84"/>
      <c r="S531" s="84"/>
      <c r="T531" s="84"/>
    </row>
    <row r="532" ht="15.75" customHeight="1">
      <c r="A532" s="84" t="s">
        <v>36639</v>
      </c>
      <c r="B532" s="84">
        <v>1.0</v>
      </c>
      <c r="C532" s="186"/>
      <c r="D532" s="187"/>
      <c r="E532" s="188"/>
      <c r="F532" s="189"/>
      <c r="G532" s="190"/>
      <c r="H532" s="190"/>
      <c r="I532" s="84"/>
      <c r="J532" s="84"/>
      <c r="K532" s="84"/>
      <c r="L532" s="84"/>
      <c r="M532" s="84"/>
      <c r="N532" s="84"/>
      <c r="O532" s="84"/>
      <c r="P532" s="84"/>
      <c r="Q532" s="84"/>
      <c r="R532" s="84"/>
      <c r="S532" s="84"/>
      <c r="T532" s="84"/>
    </row>
    <row r="533" ht="15.75" customHeight="1">
      <c r="A533" s="84" t="s">
        <v>36642</v>
      </c>
      <c r="B533" s="84">
        <v>2.0</v>
      </c>
      <c r="C533" s="186"/>
      <c r="D533" s="187"/>
      <c r="E533" s="188"/>
      <c r="F533" s="189"/>
      <c r="G533" s="190"/>
      <c r="H533" s="190"/>
      <c r="I533" s="84"/>
      <c r="J533" s="84"/>
      <c r="K533" s="84"/>
      <c r="L533" s="84"/>
      <c r="M533" s="84"/>
      <c r="N533" s="84"/>
      <c r="O533" s="84"/>
      <c r="P533" s="84"/>
      <c r="Q533" s="84"/>
      <c r="R533" s="84"/>
      <c r="S533" s="84"/>
      <c r="T533" s="84"/>
    </row>
    <row r="534" ht="15.75" customHeight="1">
      <c r="A534" s="84" t="s">
        <v>36644</v>
      </c>
      <c r="B534" s="84">
        <v>1.0</v>
      </c>
      <c r="C534" s="186"/>
      <c r="D534" s="187"/>
      <c r="E534" s="188"/>
      <c r="F534" s="189"/>
      <c r="G534" s="190"/>
      <c r="H534" s="190"/>
      <c r="I534" s="84"/>
      <c r="J534" s="84"/>
      <c r="K534" s="84"/>
      <c r="L534" s="84"/>
      <c r="M534" s="84"/>
      <c r="N534" s="84"/>
      <c r="O534" s="84"/>
      <c r="P534" s="84"/>
      <c r="Q534" s="84"/>
      <c r="R534" s="84"/>
      <c r="S534" s="84"/>
      <c r="T534" s="84"/>
    </row>
    <row r="535" ht="15.75" customHeight="1">
      <c r="A535" s="84" t="s">
        <v>36645</v>
      </c>
      <c r="B535" s="84">
        <v>2.0</v>
      </c>
      <c r="C535" s="186"/>
      <c r="D535" s="187"/>
      <c r="E535" s="188"/>
      <c r="F535" s="189"/>
      <c r="G535" s="190"/>
      <c r="H535" s="190"/>
      <c r="I535" s="84"/>
      <c r="J535" s="84"/>
      <c r="K535" s="84"/>
      <c r="L535" s="84"/>
      <c r="M535" s="84"/>
      <c r="N535" s="84"/>
      <c r="O535" s="84"/>
      <c r="P535" s="84"/>
      <c r="Q535" s="84"/>
      <c r="R535" s="84"/>
      <c r="S535" s="84"/>
      <c r="T535" s="84"/>
    </row>
    <row r="536" ht="15.75" customHeight="1">
      <c r="A536" s="84" t="s">
        <v>36617</v>
      </c>
      <c r="B536" s="84">
        <v>2.0</v>
      </c>
      <c r="C536" s="186"/>
      <c r="D536" s="187"/>
      <c r="E536" s="188"/>
      <c r="F536" s="189"/>
      <c r="G536" s="190"/>
      <c r="H536" s="190"/>
      <c r="I536" s="84"/>
      <c r="J536" s="84"/>
      <c r="K536" s="84"/>
      <c r="L536" s="84"/>
      <c r="M536" s="84"/>
      <c r="N536" s="84"/>
      <c r="O536" s="84"/>
      <c r="P536" s="84"/>
      <c r="Q536" s="84"/>
      <c r="R536" s="84"/>
      <c r="S536" s="84"/>
      <c r="T536" s="84"/>
    </row>
    <row r="537" ht="15.75" customHeight="1">
      <c r="A537" s="84" t="s">
        <v>36649</v>
      </c>
      <c r="B537" s="84">
        <v>1.0</v>
      </c>
      <c r="C537" s="186"/>
      <c r="D537" s="187"/>
      <c r="E537" s="188"/>
      <c r="F537" s="189"/>
      <c r="G537" s="190"/>
      <c r="H537" s="190"/>
      <c r="I537" s="84"/>
      <c r="J537" s="84"/>
      <c r="K537" s="84"/>
      <c r="L537" s="84"/>
      <c r="M537" s="84"/>
      <c r="N537" s="84"/>
      <c r="O537" s="84"/>
      <c r="P537" s="84"/>
      <c r="Q537" s="84"/>
      <c r="R537" s="84"/>
      <c r="S537" s="84"/>
      <c r="T537" s="84"/>
    </row>
    <row r="538" ht="15.75" customHeight="1">
      <c r="A538" s="84" t="s">
        <v>36651</v>
      </c>
      <c r="B538" s="84">
        <v>1.0</v>
      </c>
      <c r="C538" s="186"/>
      <c r="D538" s="187"/>
      <c r="E538" s="188"/>
      <c r="F538" s="189"/>
      <c r="G538" s="190"/>
      <c r="H538" s="190"/>
      <c r="I538" s="84"/>
      <c r="J538" s="84"/>
      <c r="K538" s="84"/>
      <c r="L538" s="84"/>
      <c r="M538" s="84"/>
      <c r="N538" s="84"/>
      <c r="O538" s="84"/>
      <c r="P538" s="84"/>
      <c r="Q538" s="84"/>
      <c r="R538" s="84"/>
      <c r="S538" s="84"/>
      <c r="T538" s="84"/>
    </row>
    <row r="539" ht="15.75" customHeight="1">
      <c r="A539" s="84" t="s">
        <v>36652</v>
      </c>
      <c r="B539" s="84">
        <v>1.0</v>
      </c>
      <c r="C539" s="186"/>
      <c r="D539" s="187" t="s">
        <v>36653</v>
      </c>
      <c r="E539" s="188"/>
      <c r="F539" s="189"/>
      <c r="G539" s="190"/>
      <c r="H539" s="190"/>
      <c r="I539" s="84"/>
      <c r="J539" s="84"/>
      <c r="K539" s="84"/>
      <c r="L539" s="84"/>
      <c r="M539" s="84"/>
      <c r="N539" s="84"/>
      <c r="O539" s="84"/>
      <c r="P539" s="84"/>
      <c r="Q539" s="84"/>
      <c r="R539" s="84"/>
      <c r="S539" s="84"/>
      <c r="T539" s="84"/>
    </row>
    <row r="540" ht="15.75" customHeight="1">
      <c r="A540" s="84" t="s">
        <v>36655</v>
      </c>
      <c r="B540" s="84">
        <v>1.0</v>
      </c>
      <c r="C540" s="186"/>
      <c r="D540" s="187"/>
      <c r="E540" s="188"/>
      <c r="F540" s="189"/>
      <c r="G540" s="190"/>
      <c r="H540" s="190"/>
      <c r="I540" s="84"/>
      <c r="J540" s="84"/>
      <c r="K540" s="84"/>
      <c r="L540" s="84"/>
      <c r="M540" s="84"/>
      <c r="N540" s="84"/>
      <c r="O540" s="84"/>
      <c r="P540" s="84"/>
      <c r="Q540" s="84"/>
      <c r="R540" s="84"/>
      <c r="S540" s="84"/>
      <c r="T540" s="84"/>
    </row>
    <row r="541" ht="15.75" customHeight="1">
      <c r="A541" s="84" t="s">
        <v>36657</v>
      </c>
      <c r="B541" s="84">
        <v>1.0</v>
      </c>
      <c r="C541" s="186"/>
      <c r="D541" s="187"/>
      <c r="E541" s="188"/>
      <c r="F541" s="189"/>
      <c r="G541" s="190"/>
      <c r="H541" s="190"/>
      <c r="I541" s="84"/>
      <c r="J541" s="84"/>
      <c r="K541" s="84"/>
      <c r="L541" s="84"/>
      <c r="M541" s="84"/>
      <c r="N541" s="84"/>
      <c r="O541" s="84"/>
      <c r="P541" s="84"/>
      <c r="Q541" s="84"/>
      <c r="R541" s="84"/>
      <c r="S541" s="84"/>
      <c r="T541" s="84"/>
    </row>
    <row r="542" ht="15.75" customHeight="1">
      <c r="A542" s="84" t="s">
        <v>36658</v>
      </c>
      <c r="B542" s="84">
        <v>1.0</v>
      </c>
      <c r="C542" s="186"/>
      <c r="D542" s="187"/>
      <c r="E542" s="188"/>
      <c r="F542" s="189"/>
      <c r="G542" s="190"/>
      <c r="H542" s="190"/>
      <c r="I542" s="84"/>
      <c r="J542" s="84"/>
      <c r="K542" s="84"/>
      <c r="L542" s="84"/>
      <c r="M542" s="84"/>
      <c r="N542" s="84"/>
      <c r="O542" s="84"/>
      <c r="P542" s="84"/>
      <c r="Q542" s="84"/>
      <c r="R542" s="84"/>
      <c r="S542" s="84"/>
      <c r="T542" s="84"/>
    </row>
    <row r="543" ht="15.75" customHeight="1">
      <c r="A543" s="84" t="s">
        <v>36659</v>
      </c>
      <c r="B543" s="84">
        <v>1.0</v>
      </c>
      <c r="C543" s="186"/>
      <c r="D543" s="187"/>
      <c r="E543" s="188"/>
      <c r="F543" s="189"/>
      <c r="G543" s="190"/>
      <c r="H543" s="190"/>
      <c r="I543" s="84"/>
      <c r="J543" s="84"/>
      <c r="K543" s="84"/>
      <c r="L543" s="84"/>
      <c r="M543" s="84"/>
      <c r="N543" s="84"/>
      <c r="O543" s="84"/>
      <c r="P543" s="84"/>
      <c r="Q543" s="84"/>
      <c r="R543" s="84"/>
      <c r="S543" s="84"/>
      <c r="T543" s="84"/>
    </row>
    <row r="544" ht="15.75" customHeight="1">
      <c r="A544" s="84" t="s">
        <v>36661</v>
      </c>
      <c r="B544" s="84">
        <v>1.0</v>
      </c>
      <c r="C544" s="186"/>
      <c r="D544" s="187"/>
      <c r="E544" s="188"/>
      <c r="F544" s="189"/>
      <c r="G544" s="190"/>
      <c r="H544" s="190"/>
      <c r="I544" s="84"/>
      <c r="J544" s="84"/>
      <c r="K544" s="84"/>
      <c r="L544" s="84"/>
      <c r="M544" s="84"/>
      <c r="N544" s="84"/>
      <c r="O544" s="84"/>
      <c r="P544" s="84"/>
      <c r="Q544" s="84"/>
      <c r="R544" s="84"/>
      <c r="S544" s="84"/>
      <c r="T544" s="84"/>
    </row>
    <row r="545" ht="15.75" customHeight="1">
      <c r="A545" s="84" t="s">
        <v>36664</v>
      </c>
      <c r="B545" s="84">
        <v>1.0</v>
      </c>
      <c r="C545" s="186"/>
      <c r="D545" s="187"/>
      <c r="E545" s="188"/>
      <c r="F545" s="189"/>
      <c r="G545" s="190"/>
      <c r="H545" s="190"/>
      <c r="I545" s="84"/>
      <c r="J545" s="84"/>
      <c r="K545" s="84"/>
      <c r="L545" s="84"/>
      <c r="M545" s="84"/>
      <c r="N545" s="84"/>
      <c r="O545" s="84"/>
      <c r="P545" s="84"/>
      <c r="Q545" s="84"/>
      <c r="R545" s="84"/>
      <c r="S545" s="84"/>
      <c r="T545" s="84"/>
    </row>
    <row r="546" ht="15.75" customHeight="1">
      <c r="A546" s="84" t="s">
        <v>36665</v>
      </c>
      <c r="B546" s="84">
        <v>1.0</v>
      </c>
      <c r="C546" s="186"/>
      <c r="D546" s="187"/>
      <c r="E546" s="188"/>
      <c r="F546" s="189"/>
      <c r="G546" s="190"/>
      <c r="H546" s="190"/>
      <c r="I546" s="84"/>
      <c r="J546" s="84"/>
      <c r="K546" s="84"/>
      <c r="L546" s="84"/>
      <c r="M546" s="84"/>
      <c r="N546" s="84"/>
      <c r="O546" s="84"/>
      <c r="P546" s="84"/>
      <c r="Q546" s="84"/>
      <c r="R546" s="84"/>
      <c r="S546" s="84"/>
      <c r="T546" s="84"/>
    </row>
    <row r="547" ht="15.75" customHeight="1">
      <c r="A547" s="84" t="s">
        <v>36669</v>
      </c>
      <c r="B547" s="84">
        <v>1.0</v>
      </c>
      <c r="C547" s="186"/>
      <c r="D547" s="187"/>
      <c r="E547" s="188"/>
      <c r="F547" s="189"/>
      <c r="G547" s="190"/>
      <c r="H547" s="190"/>
      <c r="I547" s="84"/>
      <c r="J547" s="84"/>
      <c r="K547" s="84"/>
      <c r="L547" s="84"/>
      <c r="M547" s="84"/>
      <c r="N547" s="84"/>
      <c r="O547" s="84"/>
      <c r="P547" s="84"/>
      <c r="Q547" s="84"/>
      <c r="R547" s="84"/>
      <c r="S547" s="84"/>
      <c r="T547" s="84"/>
    </row>
    <row r="548" ht="15.75" customHeight="1">
      <c r="A548" s="84" t="s">
        <v>36670</v>
      </c>
      <c r="B548" s="84">
        <v>1.0</v>
      </c>
      <c r="C548" s="186"/>
      <c r="D548" s="187" t="s">
        <v>36671</v>
      </c>
      <c r="E548" s="188"/>
      <c r="F548" s="189"/>
      <c r="G548" s="190"/>
      <c r="H548" s="190"/>
      <c r="I548" s="84"/>
      <c r="J548" s="84"/>
      <c r="K548" s="84"/>
      <c r="L548" s="84"/>
      <c r="M548" s="84"/>
      <c r="N548" s="84"/>
      <c r="O548" s="84"/>
      <c r="P548" s="84"/>
      <c r="Q548" s="84"/>
      <c r="R548" s="84"/>
      <c r="S548" s="84"/>
      <c r="T548" s="84"/>
    </row>
    <row r="549" ht="15.75" customHeight="1">
      <c r="A549" s="84" t="s">
        <v>36673</v>
      </c>
      <c r="B549" s="84">
        <v>2.0</v>
      </c>
      <c r="C549" s="186"/>
      <c r="D549" s="187"/>
      <c r="E549" s="188"/>
      <c r="F549" s="189"/>
      <c r="G549" s="190"/>
      <c r="H549" s="190"/>
      <c r="I549" s="84"/>
      <c r="J549" s="84"/>
      <c r="K549" s="84"/>
      <c r="L549" s="84"/>
      <c r="M549" s="84"/>
      <c r="N549" s="84"/>
      <c r="O549" s="84"/>
      <c r="P549" s="84"/>
      <c r="Q549" s="84"/>
      <c r="R549" s="84"/>
      <c r="S549" s="84"/>
      <c r="T549" s="84"/>
    </row>
    <row r="550" ht="15.75" customHeight="1">
      <c r="A550" s="84" t="s">
        <v>36675</v>
      </c>
      <c r="B550" s="84">
        <v>1.0</v>
      </c>
      <c r="C550" s="186" t="s">
        <v>30659</v>
      </c>
      <c r="D550" s="187" t="s">
        <v>36676</v>
      </c>
      <c r="E550" s="188"/>
      <c r="F550" s="189"/>
      <c r="G550" s="190"/>
      <c r="H550" s="190"/>
      <c r="I550" s="84"/>
      <c r="J550" s="84"/>
      <c r="K550" s="84"/>
      <c r="L550" s="84"/>
      <c r="M550" s="84"/>
      <c r="N550" s="84"/>
      <c r="O550" s="84"/>
      <c r="P550" s="84"/>
      <c r="Q550" s="84"/>
      <c r="R550" s="84"/>
      <c r="S550" s="84"/>
      <c r="T550" s="84"/>
    </row>
    <row r="551" ht="15.75" customHeight="1">
      <c r="A551" s="84" t="s">
        <v>36676</v>
      </c>
      <c r="B551" s="84">
        <v>1.0</v>
      </c>
      <c r="C551" s="186"/>
      <c r="D551" s="187"/>
      <c r="E551" s="188"/>
      <c r="F551" s="189"/>
      <c r="G551" s="190"/>
      <c r="H551" s="190"/>
      <c r="I551" s="84"/>
      <c r="J551" s="84"/>
      <c r="K551" s="84"/>
      <c r="L551" s="84"/>
      <c r="M551" s="84"/>
      <c r="N551" s="84"/>
      <c r="O551" s="84"/>
      <c r="P551" s="84"/>
      <c r="Q551" s="84"/>
      <c r="R551" s="84"/>
      <c r="S551" s="84"/>
      <c r="T551" s="84"/>
    </row>
    <row r="552" ht="15.75" customHeight="1">
      <c r="A552" s="84" t="s">
        <v>36678</v>
      </c>
      <c r="B552" s="84">
        <v>1.0</v>
      </c>
      <c r="C552" s="186"/>
      <c r="D552" s="187"/>
      <c r="E552" s="188"/>
      <c r="F552" s="189"/>
      <c r="G552" s="190"/>
      <c r="H552" s="190"/>
      <c r="I552" s="84"/>
      <c r="J552" s="84"/>
      <c r="K552" s="84"/>
      <c r="L552" s="84"/>
      <c r="M552" s="84"/>
      <c r="N552" s="84"/>
      <c r="O552" s="84"/>
      <c r="P552" s="84"/>
      <c r="Q552" s="84"/>
      <c r="R552" s="84"/>
      <c r="S552" s="84"/>
      <c r="T552" s="84"/>
    </row>
    <row r="553" ht="15.75" customHeight="1">
      <c r="A553" s="84" t="s">
        <v>36682</v>
      </c>
      <c r="B553" s="84">
        <v>1.0</v>
      </c>
      <c r="C553" s="186"/>
      <c r="D553" s="187"/>
      <c r="E553" s="188"/>
      <c r="F553" s="189"/>
      <c r="G553" s="190"/>
      <c r="H553" s="190"/>
      <c r="I553" s="84"/>
      <c r="J553" s="84"/>
      <c r="K553" s="84"/>
      <c r="L553" s="84"/>
      <c r="M553" s="84"/>
      <c r="N553" s="84"/>
      <c r="O553" s="84"/>
      <c r="P553" s="84"/>
      <c r="Q553" s="84"/>
      <c r="R553" s="84"/>
      <c r="S553" s="84"/>
      <c r="T553" s="84"/>
    </row>
    <row r="554" ht="15.75" customHeight="1">
      <c r="A554" s="84" t="s">
        <v>36683</v>
      </c>
      <c r="B554" s="84">
        <v>1.0</v>
      </c>
      <c r="C554" s="186"/>
      <c r="D554" s="187"/>
      <c r="E554" s="188"/>
      <c r="F554" s="189"/>
      <c r="G554" s="190" t="s">
        <v>36076</v>
      </c>
      <c r="H554" s="190"/>
      <c r="I554" s="84"/>
      <c r="J554" s="84"/>
      <c r="K554" s="84"/>
      <c r="L554" s="84"/>
      <c r="M554" s="84"/>
      <c r="N554" s="84"/>
      <c r="O554" s="84"/>
      <c r="P554" s="84"/>
      <c r="Q554" s="84"/>
      <c r="R554" s="84"/>
      <c r="S554" s="84"/>
      <c r="T554" s="84"/>
    </row>
    <row r="555" ht="15.75" customHeight="1">
      <c r="A555" s="84" t="s">
        <v>36686</v>
      </c>
      <c r="B555" s="84">
        <v>1.0</v>
      </c>
      <c r="C555" s="186" t="s">
        <v>18275</v>
      </c>
      <c r="D555" s="187" t="s">
        <v>36683</v>
      </c>
      <c r="E555" s="188"/>
      <c r="F555" s="189"/>
      <c r="G555" s="190"/>
      <c r="H555" s="190"/>
      <c r="I555" s="84"/>
      <c r="J555" s="84"/>
      <c r="K555" s="84"/>
      <c r="L555" s="84"/>
      <c r="M555" s="84"/>
      <c r="N555" s="84"/>
      <c r="O555" s="84"/>
      <c r="P555" s="84"/>
      <c r="Q555" s="84"/>
      <c r="R555" s="84"/>
      <c r="S555" s="84"/>
      <c r="T555" s="84"/>
    </row>
    <row r="556" ht="15.75" customHeight="1">
      <c r="A556" s="84" t="s">
        <v>36687</v>
      </c>
      <c r="B556" s="84">
        <v>1.0</v>
      </c>
      <c r="C556" s="186"/>
      <c r="D556" s="187"/>
      <c r="E556" s="188"/>
      <c r="F556" s="189"/>
      <c r="G556" s="190"/>
      <c r="H556" s="190"/>
      <c r="I556" s="84"/>
      <c r="J556" s="84"/>
      <c r="K556" s="84"/>
      <c r="L556" s="84"/>
      <c r="M556" s="84"/>
      <c r="N556" s="84"/>
      <c r="O556" s="84"/>
      <c r="P556" s="84"/>
      <c r="Q556" s="84"/>
      <c r="R556" s="84"/>
      <c r="S556" s="84"/>
      <c r="T556" s="84"/>
    </row>
    <row r="557" ht="15.75" customHeight="1">
      <c r="A557" s="84" t="s">
        <v>36688</v>
      </c>
      <c r="B557" s="84">
        <v>1.0</v>
      </c>
      <c r="C557" s="186"/>
      <c r="D557" s="187"/>
      <c r="E557" s="188"/>
      <c r="F557" s="189"/>
      <c r="G557" s="190"/>
      <c r="H557" s="190"/>
      <c r="I557" s="84"/>
      <c r="J557" s="84"/>
      <c r="K557" s="84"/>
      <c r="L557" s="84"/>
      <c r="M557" s="84"/>
      <c r="N557" s="84"/>
      <c r="O557" s="84"/>
      <c r="P557" s="84"/>
      <c r="Q557" s="84"/>
      <c r="R557" s="84"/>
      <c r="S557" s="84"/>
      <c r="T557" s="84"/>
    </row>
    <row r="558" ht="15.75" customHeight="1">
      <c r="A558" s="84" t="s">
        <v>36689</v>
      </c>
      <c r="B558" s="84">
        <v>1.0</v>
      </c>
      <c r="C558" s="186"/>
      <c r="D558" s="187"/>
      <c r="E558" s="188"/>
      <c r="F558" s="189"/>
      <c r="G558" s="190"/>
      <c r="H558" s="190"/>
      <c r="I558" s="84"/>
      <c r="J558" s="84"/>
      <c r="K558" s="84"/>
      <c r="L558" s="84"/>
      <c r="M558" s="84"/>
      <c r="N558" s="84"/>
      <c r="O558" s="84"/>
      <c r="P558" s="84"/>
      <c r="Q558" s="84"/>
      <c r="R558" s="84"/>
      <c r="S558" s="84"/>
      <c r="T558" s="84"/>
    </row>
    <row r="559" ht="15.75" customHeight="1">
      <c r="A559" s="84" t="s">
        <v>36692</v>
      </c>
      <c r="B559" s="84">
        <v>1.0</v>
      </c>
      <c r="C559" s="186" t="s">
        <v>18275</v>
      </c>
      <c r="D559" s="187" t="s">
        <v>36693</v>
      </c>
      <c r="E559" s="188"/>
      <c r="F559" s="189"/>
      <c r="G559" s="190"/>
      <c r="H559" s="190"/>
      <c r="I559" s="84"/>
      <c r="J559" s="84"/>
      <c r="K559" s="84"/>
      <c r="L559" s="84"/>
      <c r="M559" s="84"/>
      <c r="N559" s="84"/>
      <c r="O559" s="84"/>
      <c r="P559" s="84"/>
      <c r="Q559" s="84"/>
      <c r="R559" s="84"/>
      <c r="S559" s="84"/>
      <c r="T559" s="84"/>
    </row>
    <row r="560" ht="15.75" customHeight="1">
      <c r="A560" s="84" t="s">
        <v>36694</v>
      </c>
      <c r="B560" s="84">
        <v>1.0</v>
      </c>
      <c r="C560" s="186"/>
      <c r="D560" s="187"/>
      <c r="E560" s="188"/>
      <c r="F560" s="189"/>
      <c r="G560" s="190"/>
      <c r="H560" s="190"/>
      <c r="I560" s="84"/>
      <c r="J560" s="84"/>
      <c r="K560" s="84"/>
      <c r="L560" s="84"/>
      <c r="M560" s="84"/>
      <c r="N560" s="84"/>
      <c r="O560" s="84"/>
      <c r="P560" s="84"/>
      <c r="Q560" s="84"/>
      <c r="R560" s="84"/>
      <c r="S560" s="84"/>
      <c r="T560" s="84"/>
    </row>
    <row r="561" ht="15.75" customHeight="1">
      <c r="A561" s="84" t="s">
        <v>36697</v>
      </c>
      <c r="B561" s="84">
        <v>2.0</v>
      </c>
      <c r="C561" s="186"/>
      <c r="D561" s="187"/>
      <c r="E561" s="188"/>
      <c r="F561" s="189"/>
      <c r="G561" s="190"/>
      <c r="H561" s="190"/>
      <c r="I561" s="84"/>
      <c r="J561" s="84"/>
      <c r="K561" s="84"/>
      <c r="L561" s="84"/>
      <c r="M561" s="84"/>
      <c r="N561" s="84"/>
      <c r="O561" s="84"/>
      <c r="P561" s="84"/>
      <c r="Q561" s="84"/>
      <c r="R561" s="84"/>
      <c r="S561" s="84"/>
      <c r="T561" s="84"/>
    </row>
    <row r="562" ht="15.75" customHeight="1">
      <c r="A562" s="84" t="s">
        <v>36698</v>
      </c>
      <c r="B562" s="84">
        <v>1.0</v>
      </c>
      <c r="C562" s="186"/>
      <c r="D562" s="187"/>
      <c r="E562" s="188"/>
      <c r="F562" s="189"/>
      <c r="G562" s="190"/>
      <c r="H562" s="190"/>
      <c r="I562" s="84"/>
      <c r="J562" s="84"/>
      <c r="K562" s="84"/>
      <c r="L562" s="84"/>
      <c r="M562" s="84"/>
      <c r="N562" s="84"/>
      <c r="O562" s="84"/>
      <c r="P562" s="84"/>
      <c r="Q562" s="84"/>
      <c r="R562" s="84"/>
      <c r="S562" s="84"/>
      <c r="T562" s="84"/>
    </row>
    <row r="563" ht="15.75" customHeight="1">
      <c r="A563" s="84" t="s">
        <v>36693</v>
      </c>
      <c r="B563" s="84">
        <v>2.0</v>
      </c>
      <c r="C563" s="186"/>
      <c r="D563" s="187"/>
      <c r="E563" s="188"/>
      <c r="F563" s="189"/>
      <c r="G563" s="190"/>
      <c r="H563" s="190"/>
      <c r="I563" s="84"/>
      <c r="J563" s="84"/>
      <c r="K563" s="84"/>
      <c r="L563" s="84"/>
      <c r="M563" s="84"/>
      <c r="N563" s="84"/>
      <c r="O563" s="84"/>
      <c r="P563" s="84"/>
      <c r="Q563" s="84"/>
      <c r="R563" s="84"/>
      <c r="S563" s="84"/>
      <c r="T563" s="84"/>
    </row>
    <row r="564" ht="15.75" customHeight="1">
      <c r="A564" s="84" t="s">
        <v>36701</v>
      </c>
      <c r="B564" s="84">
        <v>2.0</v>
      </c>
      <c r="C564" s="186"/>
      <c r="D564" s="187" t="s">
        <v>36702</v>
      </c>
      <c r="E564" s="188"/>
      <c r="F564" s="189"/>
      <c r="G564" s="190"/>
      <c r="H564" s="190"/>
      <c r="I564" s="84"/>
      <c r="J564" s="84"/>
      <c r="K564" s="84"/>
      <c r="L564" s="84"/>
      <c r="M564" s="84"/>
      <c r="N564" s="84"/>
      <c r="O564" s="84"/>
      <c r="P564" s="84"/>
      <c r="Q564" s="84"/>
      <c r="R564" s="84"/>
      <c r="S564" s="84"/>
      <c r="T564" s="84"/>
    </row>
    <row r="565" ht="15.75" customHeight="1">
      <c r="A565" s="84" t="s">
        <v>36704</v>
      </c>
      <c r="B565" s="84">
        <v>1.0</v>
      </c>
      <c r="C565" s="186"/>
      <c r="D565" s="187"/>
      <c r="E565" s="188"/>
      <c r="F565" s="189"/>
      <c r="G565" s="190"/>
      <c r="H565" s="190"/>
      <c r="I565" s="84"/>
      <c r="J565" s="84"/>
      <c r="K565" s="84"/>
      <c r="L565" s="84"/>
      <c r="M565" s="84"/>
      <c r="N565" s="84"/>
      <c r="O565" s="84"/>
      <c r="P565" s="84"/>
      <c r="Q565" s="84"/>
      <c r="R565" s="84"/>
      <c r="S565" s="84"/>
      <c r="T565" s="84"/>
    </row>
    <row r="566" ht="15.75" customHeight="1">
      <c r="A566" s="84" t="s">
        <v>36702</v>
      </c>
      <c r="B566" s="84">
        <v>5.0</v>
      </c>
      <c r="C566" s="186"/>
      <c r="D566" s="187"/>
      <c r="E566" s="188"/>
      <c r="F566" s="189"/>
      <c r="G566" s="190"/>
      <c r="H566" s="190"/>
      <c r="I566" s="84"/>
      <c r="J566" s="84"/>
      <c r="K566" s="84"/>
      <c r="L566" s="84"/>
      <c r="M566" s="84"/>
      <c r="N566" s="84"/>
      <c r="O566" s="84"/>
      <c r="P566" s="84"/>
      <c r="Q566" s="84"/>
      <c r="R566" s="84"/>
      <c r="S566" s="84"/>
      <c r="T566" s="84"/>
    </row>
    <row r="567" ht="15.75" customHeight="1">
      <c r="A567" s="84" t="s">
        <v>36707</v>
      </c>
      <c r="B567" s="84">
        <v>3.0</v>
      </c>
      <c r="C567" s="186"/>
      <c r="D567" s="187"/>
      <c r="E567" s="188"/>
      <c r="F567" s="189"/>
      <c r="G567" s="190"/>
      <c r="H567" s="190"/>
      <c r="I567" s="84"/>
      <c r="J567" s="84"/>
      <c r="K567" s="84"/>
      <c r="L567" s="84"/>
      <c r="M567" s="84"/>
      <c r="N567" s="84"/>
      <c r="O567" s="84"/>
      <c r="P567" s="84"/>
      <c r="Q567" s="84"/>
      <c r="R567" s="84"/>
      <c r="S567" s="84"/>
      <c r="T567" s="84"/>
    </row>
    <row r="568" ht="15.75" customHeight="1">
      <c r="A568" s="84" t="s">
        <v>36708</v>
      </c>
      <c r="B568" s="84">
        <v>1.0</v>
      </c>
      <c r="C568" s="186"/>
      <c r="D568" s="187"/>
      <c r="E568" s="188"/>
      <c r="F568" s="189"/>
      <c r="G568" s="190"/>
      <c r="H568" s="190"/>
      <c r="I568" s="84"/>
      <c r="J568" s="84"/>
      <c r="K568" s="84"/>
      <c r="L568" s="84"/>
      <c r="M568" s="84"/>
      <c r="N568" s="84"/>
      <c r="O568" s="84"/>
      <c r="P568" s="84"/>
      <c r="Q568" s="84"/>
      <c r="R568" s="84"/>
      <c r="S568" s="84"/>
      <c r="T568" s="84"/>
    </row>
    <row r="569" ht="15.75" customHeight="1">
      <c r="A569" s="84" t="s">
        <v>36710</v>
      </c>
      <c r="B569" s="84">
        <v>1.0</v>
      </c>
      <c r="C569" s="186"/>
      <c r="D569" s="187"/>
      <c r="E569" s="188"/>
      <c r="F569" s="189"/>
      <c r="G569" s="190"/>
      <c r="H569" s="190"/>
      <c r="I569" s="84"/>
      <c r="J569" s="84"/>
      <c r="K569" s="84"/>
      <c r="L569" s="84"/>
      <c r="M569" s="84"/>
      <c r="N569" s="84"/>
      <c r="O569" s="84"/>
      <c r="P569" s="84"/>
      <c r="Q569" s="84"/>
      <c r="R569" s="84"/>
      <c r="S569" s="84"/>
      <c r="T569" s="84"/>
    </row>
    <row r="570" ht="15.75" customHeight="1">
      <c r="A570" s="84" t="s">
        <v>36713</v>
      </c>
      <c r="B570" s="84">
        <v>1.0</v>
      </c>
      <c r="C570" s="186"/>
      <c r="D570" s="187"/>
      <c r="E570" s="188"/>
      <c r="F570" s="189"/>
      <c r="G570" s="190"/>
      <c r="H570" s="190"/>
      <c r="I570" s="84"/>
      <c r="J570" s="84"/>
      <c r="K570" s="84"/>
      <c r="L570" s="84"/>
      <c r="M570" s="84"/>
      <c r="N570" s="84"/>
      <c r="O570" s="84"/>
      <c r="P570" s="84"/>
      <c r="Q570" s="84"/>
      <c r="R570" s="84"/>
      <c r="S570" s="84"/>
      <c r="T570" s="84"/>
    </row>
    <row r="571" ht="15.75" customHeight="1">
      <c r="A571" s="84" t="s">
        <v>36714</v>
      </c>
      <c r="B571" s="84">
        <v>1.0</v>
      </c>
      <c r="C571" s="186"/>
      <c r="D571" s="187"/>
      <c r="E571" s="188"/>
      <c r="F571" s="189"/>
      <c r="G571" s="190"/>
      <c r="H571" s="190"/>
      <c r="I571" s="84"/>
      <c r="J571" s="84"/>
      <c r="K571" s="84"/>
      <c r="L571" s="84"/>
      <c r="M571" s="84"/>
      <c r="N571" s="84"/>
      <c r="O571" s="84"/>
      <c r="P571" s="84"/>
      <c r="Q571" s="84"/>
      <c r="R571" s="84"/>
      <c r="S571" s="84"/>
      <c r="T571" s="84"/>
    </row>
    <row r="572" ht="15.75" customHeight="1">
      <c r="A572" s="84" t="s">
        <v>36717</v>
      </c>
      <c r="B572" s="84">
        <v>1.0</v>
      </c>
      <c r="C572" s="186"/>
      <c r="D572" s="187" t="s">
        <v>36708</v>
      </c>
      <c r="E572" s="188"/>
      <c r="F572" s="189"/>
      <c r="G572" s="190"/>
      <c r="H572" s="190"/>
      <c r="I572" s="84"/>
      <c r="J572" s="84"/>
      <c r="K572" s="84"/>
      <c r="L572" s="84"/>
      <c r="M572" s="84"/>
      <c r="N572" s="84"/>
      <c r="O572" s="84"/>
      <c r="P572" s="84"/>
      <c r="Q572" s="84"/>
      <c r="R572" s="84"/>
      <c r="S572" s="84"/>
      <c r="T572" s="84"/>
    </row>
    <row r="573" ht="15.75" customHeight="1">
      <c r="A573" s="192" t="s">
        <v>36718</v>
      </c>
      <c r="B573" s="84">
        <v>1.0</v>
      </c>
      <c r="C573" s="186"/>
      <c r="D573" s="187"/>
      <c r="E573" s="188"/>
      <c r="F573" s="189"/>
      <c r="G573" s="190"/>
      <c r="H573" s="190"/>
      <c r="I573" s="84"/>
      <c r="J573" s="84"/>
      <c r="K573" s="84"/>
      <c r="L573" s="84"/>
      <c r="M573" s="84"/>
      <c r="N573" s="84"/>
      <c r="O573" s="84"/>
      <c r="P573" s="84"/>
      <c r="Q573" s="84"/>
      <c r="R573" s="84"/>
      <c r="S573" s="84"/>
      <c r="T573" s="84"/>
    </row>
    <row r="574" ht="15.75" customHeight="1">
      <c r="A574" s="192" t="s">
        <v>36718</v>
      </c>
      <c r="B574" s="84">
        <v>1.0</v>
      </c>
      <c r="C574" s="186"/>
      <c r="D574" s="187"/>
      <c r="E574" s="188"/>
      <c r="F574" s="189"/>
      <c r="G574" s="190"/>
      <c r="H574" s="190"/>
      <c r="I574" s="84"/>
      <c r="J574" s="84"/>
      <c r="K574" s="84"/>
      <c r="L574" s="84"/>
      <c r="M574" s="84"/>
      <c r="N574" s="84"/>
      <c r="O574" s="84"/>
      <c r="P574" s="84"/>
      <c r="Q574" s="84"/>
      <c r="R574" s="84"/>
      <c r="S574" s="84"/>
      <c r="T574" s="84"/>
    </row>
    <row r="575" ht="15.75" customHeight="1">
      <c r="A575" s="84" t="s">
        <v>36731</v>
      </c>
      <c r="B575" s="84">
        <v>1.0</v>
      </c>
      <c r="C575" s="186"/>
      <c r="D575" s="187"/>
      <c r="E575" s="188"/>
      <c r="F575" s="189"/>
      <c r="G575" s="190"/>
      <c r="H575" s="190"/>
      <c r="I575" s="84"/>
      <c r="J575" s="84"/>
      <c r="K575" s="84"/>
      <c r="L575" s="84"/>
      <c r="M575" s="84"/>
      <c r="N575" s="84"/>
      <c r="O575" s="84"/>
      <c r="P575" s="84"/>
      <c r="Q575" s="84"/>
      <c r="R575" s="84"/>
      <c r="S575" s="84"/>
      <c r="T575" s="84"/>
    </row>
    <row r="576" ht="15.75" customHeight="1">
      <c r="A576" s="84" t="s">
        <v>36733</v>
      </c>
      <c r="B576" s="84">
        <v>1.0</v>
      </c>
      <c r="C576" s="186"/>
      <c r="D576" s="187"/>
      <c r="E576" s="188"/>
      <c r="F576" s="189"/>
      <c r="G576" s="190"/>
      <c r="H576" s="190"/>
      <c r="I576" s="84"/>
      <c r="J576" s="84"/>
      <c r="K576" s="84"/>
      <c r="L576" s="84"/>
      <c r="M576" s="84"/>
      <c r="N576" s="84"/>
      <c r="O576" s="84"/>
      <c r="P576" s="84"/>
      <c r="Q576" s="84"/>
      <c r="R576" s="84"/>
      <c r="S576" s="84"/>
      <c r="T576" s="84"/>
    </row>
    <row r="577" ht="15.75" customHeight="1">
      <c r="A577" s="84" t="s">
        <v>36734</v>
      </c>
      <c r="B577" s="84">
        <v>1.0</v>
      </c>
      <c r="C577" s="186"/>
      <c r="D577" s="187" t="s">
        <v>36735</v>
      </c>
      <c r="E577" s="188"/>
      <c r="F577" s="189"/>
      <c r="G577" s="190"/>
      <c r="H577" s="190"/>
      <c r="I577" s="84"/>
      <c r="J577" s="84"/>
      <c r="K577" s="84"/>
      <c r="L577" s="84"/>
      <c r="M577" s="84"/>
      <c r="N577" s="84"/>
      <c r="O577" s="84"/>
      <c r="P577" s="84"/>
      <c r="Q577" s="84"/>
      <c r="R577" s="84"/>
      <c r="S577" s="84"/>
      <c r="T577" s="84"/>
    </row>
    <row r="578" ht="15.75" customHeight="1">
      <c r="A578" s="84" t="s">
        <v>36735</v>
      </c>
      <c r="B578" s="84">
        <v>1.0</v>
      </c>
      <c r="C578" s="186"/>
      <c r="D578" s="187"/>
      <c r="E578" s="188"/>
      <c r="F578" s="189"/>
      <c r="G578" s="190"/>
      <c r="H578" s="190"/>
      <c r="I578" s="84"/>
      <c r="J578" s="84"/>
      <c r="K578" s="84"/>
      <c r="L578" s="84"/>
      <c r="M578" s="84"/>
      <c r="N578" s="84"/>
      <c r="O578" s="84"/>
      <c r="P578" s="84"/>
      <c r="Q578" s="84"/>
      <c r="R578" s="84"/>
      <c r="S578" s="84"/>
      <c r="T578" s="84"/>
    </row>
    <row r="579" ht="15.75" customHeight="1">
      <c r="A579" s="84" t="s">
        <v>36739</v>
      </c>
      <c r="B579" s="84">
        <v>1.0</v>
      </c>
      <c r="C579" s="186"/>
      <c r="D579" s="187"/>
      <c r="E579" s="188"/>
      <c r="F579" s="189"/>
      <c r="G579" s="190"/>
      <c r="H579" s="190"/>
      <c r="I579" s="84"/>
      <c r="J579" s="84"/>
      <c r="K579" s="84"/>
      <c r="L579" s="84"/>
      <c r="M579" s="84"/>
      <c r="N579" s="84"/>
      <c r="O579" s="84"/>
      <c r="P579" s="84"/>
      <c r="Q579" s="84"/>
      <c r="R579" s="84"/>
      <c r="S579" s="84"/>
      <c r="T579" s="84"/>
    </row>
    <row r="580" ht="15.75" customHeight="1">
      <c r="A580" s="84" t="s">
        <v>36740</v>
      </c>
      <c r="B580" s="84">
        <v>1.0</v>
      </c>
      <c r="C580" s="186"/>
      <c r="D580" s="187"/>
      <c r="E580" s="188"/>
      <c r="F580" s="189"/>
      <c r="G580" s="190"/>
      <c r="H580" s="190"/>
      <c r="I580" s="84"/>
      <c r="J580" s="84"/>
      <c r="K580" s="84"/>
      <c r="L580" s="84"/>
      <c r="M580" s="84"/>
      <c r="N580" s="84"/>
      <c r="O580" s="84"/>
      <c r="P580" s="84"/>
      <c r="Q580" s="84"/>
      <c r="R580" s="84"/>
      <c r="S580" s="84"/>
      <c r="T580" s="84"/>
    </row>
    <row r="581" ht="15.75" customHeight="1">
      <c r="A581" s="84" t="s">
        <v>36741</v>
      </c>
      <c r="B581" s="84">
        <v>1.0</v>
      </c>
      <c r="C581" s="186"/>
      <c r="D581" s="187"/>
      <c r="E581" s="188"/>
      <c r="F581" s="189"/>
      <c r="G581" s="190"/>
      <c r="H581" s="190"/>
      <c r="I581" s="84"/>
      <c r="J581" s="84"/>
      <c r="K581" s="84"/>
      <c r="L581" s="84"/>
      <c r="M581" s="84"/>
      <c r="N581" s="84"/>
      <c r="O581" s="84"/>
      <c r="P581" s="84"/>
      <c r="Q581" s="84"/>
      <c r="R581" s="84"/>
      <c r="S581" s="84"/>
      <c r="T581" s="84"/>
    </row>
    <row r="582" ht="15.75" customHeight="1">
      <c r="A582" s="84" t="s">
        <v>36742</v>
      </c>
      <c r="B582" s="84">
        <v>1.0</v>
      </c>
      <c r="C582" s="186"/>
      <c r="D582" s="187"/>
      <c r="E582" s="188"/>
      <c r="F582" s="189"/>
      <c r="G582" s="190"/>
      <c r="H582" s="190"/>
      <c r="I582" s="84"/>
      <c r="J582" s="84"/>
      <c r="K582" s="84"/>
      <c r="L582" s="84"/>
      <c r="M582" s="84"/>
      <c r="N582" s="84"/>
      <c r="O582" s="84"/>
      <c r="P582" s="84"/>
      <c r="Q582" s="84"/>
      <c r="R582" s="84"/>
      <c r="S582" s="84"/>
      <c r="T582" s="84"/>
    </row>
    <row r="583" ht="15.75" customHeight="1">
      <c r="A583" s="84" t="s">
        <v>36743</v>
      </c>
      <c r="B583" s="84">
        <v>1.0</v>
      </c>
      <c r="C583" s="186"/>
      <c r="D583" s="187"/>
      <c r="E583" s="188"/>
      <c r="F583" s="189"/>
      <c r="G583" s="190"/>
      <c r="H583" s="190"/>
      <c r="I583" s="84"/>
      <c r="J583" s="84"/>
      <c r="K583" s="84"/>
      <c r="L583" s="84"/>
      <c r="M583" s="84"/>
      <c r="N583" s="84"/>
      <c r="O583" s="84"/>
      <c r="P583" s="84"/>
      <c r="Q583" s="84"/>
      <c r="R583" s="84"/>
      <c r="S583" s="84"/>
      <c r="T583" s="84"/>
    </row>
    <row r="584" ht="15.75" customHeight="1">
      <c r="A584" s="84" t="s">
        <v>36745</v>
      </c>
      <c r="B584" s="84">
        <v>1.0</v>
      </c>
      <c r="C584" s="186"/>
      <c r="D584" s="187"/>
      <c r="E584" s="188"/>
      <c r="F584" s="189"/>
      <c r="G584" s="190"/>
      <c r="H584" s="190"/>
      <c r="I584" s="84"/>
      <c r="J584" s="84"/>
      <c r="K584" s="84"/>
      <c r="L584" s="84"/>
      <c r="M584" s="84"/>
      <c r="N584" s="84"/>
      <c r="O584" s="84"/>
      <c r="P584" s="84"/>
      <c r="Q584" s="84"/>
      <c r="R584" s="84"/>
      <c r="S584" s="84"/>
      <c r="T584" s="84"/>
    </row>
    <row r="585" ht="15.75" customHeight="1">
      <c r="A585" s="84" t="s">
        <v>36746</v>
      </c>
      <c r="B585" s="84">
        <v>1.0</v>
      </c>
      <c r="C585" s="186"/>
      <c r="D585" s="187"/>
      <c r="E585" s="188"/>
      <c r="F585" s="189"/>
      <c r="G585" s="190"/>
      <c r="H585" s="190"/>
      <c r="I585" s="84"/>
      <c r="J585" s="84"/>
      <c r="K585" s="84"/>
      <c r="L585" s="84"/>
      <c r="M585" s="84"/>
      <c r="N585" s="84"/>
      <c r="O585" s="84"/>
      <c r="P585" s="84"/>
      <c r="Q585" s="84"/>
      <c r="R585" s="84"/>
      <c r="S585" s="84"/>
      <c r="T585" s="84"/>
    </row>
    <row r="586" ht="15.75" customHeight="1">
      <c r="A586" s="84" t="s">
        <v>36747</v>
      </c>
      <c r="B586" s="84">
        <v>1.0</v>
      </c>
      <c r="C586" s="186"/>
      <c r="D586" s="187"/>
      <c r="E586" s="188"/>
      <c r="F586" s="189"/>
      <c r="G586" s="190"/>
      <c r="H586" s="190"/>
      <c r="I586" s="84"/>
      <c r="J586" s="84"/>
      <c r="K586" s="84"/>
      <c r="L586" s="84"/>
      <c r="M586" s="84"/>
      <c r="N586" s="84"/>
      <c r="O586" s="84"/>
      <c r="P586" s="84"/>
      <c r="Q586" s="84"/>
      <c r="R586" s="84"/>
      <c r="S586" s="84"/>
      <c r="T586" s="84"/>
    </row>
    <row r="587" ht="15.75" customHeight="1">
      <c r="A587" s="84" t="s">
        <v>36748</v>
      </c>
      <c r="B587" s="84">
        <v>1.0</v>
      </c>
      <c r="C587" s="186"/>
      <c r="D587" s="187"/>
      <c r="E587" s="188"/>
      <c r="F587" s="189"/>
      <c r="G587" s="190"/>
      <c r="H587" s="190"/>
      <c r="I587" s="84"/>
      <c r="J587" s="84"/>
      <c r="K587" s="84"/>
      <c r="L587" s="84"/>
      <c r="M587" s="84"/>
      <c r="N587" s="84"/>
      <c r="O587" s="84"/>
      <c r="P587" s="84"/>
      <c r="Q587" s="84"/>
      <c r="R587" s="84"/>
      <c r="S587" s="84"/>
      <c r="T587" s="84"/>
    </row>
    <row r="588" ht="15.75" customHeight="1">
      <c r="A588" s="84" t="s">
        <v>36749</v>
      </c>
      <c r="B588" s="84">
        <v>1.0</v>
      </c>
      <c r="C588" s="186"/>
      <c r="D588" s="187"/>
      <c r="E588" s="188"/>
      <c r="F588" s="189"/>
      <c r="G588" s="190"/>
      <c r="H588" s="190"/>
      <c r="I588" s="84"/>
      <c r="J588" s="84"/>
      <c r="K588" s="84"/>
      <c r="L588" s="84"/>
      <c r="M588" s="84"/>
      <c r="N588" s="84"/>
      <c r="O588" s="84"/>
      <c r="P588" s="84"/>
      <c r="Q588" s="84"/>
      <c r="R588" s="84"/>
      <c r="S588" s="84"/>
      <c r="T588" s="84"/>
    </row>
    <row r="589" ht="15.75" customHeight="1">
      <c r="A589" s="84" t="s">
        <v>36750</v>
      </c>
      <c r="B589" s="84">
        <v>2.0</v>
      </c>
      <c r="C589" s="186"/>
      <c r="D589" s="187"/>
      <c r="E589" s="188"/>
      <c r="F589" s="189"/>
      <c r="G589" s="190"/>
      <c r="H589" s="190"/>
      <c r="I589" s="84"/>
      <c r="J589" s="84"/>
      <c r="K589" s="84"/>
      <c r="L589" s="84"/>
      <c r="M589" s="84"/>
      <c r="N589" s="84"/>
      <c r="O589" s="84"/>
      <c r="P589" s="84"/>
      <c r="Q589" s="84"/>
      <c r="R589" s="84"/>
      <c r="S589" s="84"/>
      <c r="T589" s="84"/>
    </row>
    <row r="590" ht="15.75" customHeight="1">
      <c r="A590" s="84" t="s">
        <v>36751</v>
      </c>
      <c r="B590" s="84">
        <v>2.0</v>
      </c>
      <c r="C590" s="186" t="s">
        <v>18275</v>
      </c>
      <c r="D590" s="187" t="s">
        <v>36671</v>
      </c>
      <c r="E590" s="188"/>
      <c r="F590" s="189"/>
      <c r="G590" s="190"/>
      <c r="H590" s="190"/>
      <c r="I590" s="84"/>
      <c r="J590" s="84"/>
      <c r="K590" s="84"/>
      <c r="L590" s="84"/>
      <c r="M590" s="84"/>
      <c r="N590" s="84"/>
      <c r="O590" s="84"/>
      <c r="P590" s="84"/>
      <c r="Q590" s="84"/>
      <c r="R590" s="84"/>
      <c r="S590" s="84"/>
      <c r="T590" s="84"/>
    </row>
    <row r="591" ht="15.75" customHeight="1">
      <c r="A591" s="84" t="s">
        <v>36752</v>
      </c>
      <c r="B591" s="84">
        <v>2.0</v>
      </c>
      <c r="C591" s="186"/>
      <c r="D591" s="187"/>
      <c r="E591" s="188"/>
      <c r="F591" s="189"/>
      <c r="G591" s="190"/>
      <c r="H591" s="190"/>
      <c r="I591" s="84"/>
      <c r="J591" s="84"/>
      <c r="K591" s="84"/>
      <c r="L591" s="84"/>
      <c r="M591" s="84"/>
      <c r="N591" s="84"/>
      <c r="O591" s="84"/>
      <c r="P591" s="84"/>
      <c r="Q591" s="84"/>
      <c r="R591" s="84"/>
      <c r="S591" s="84"/>
      <c r="T591" s="84"/>
    </row>
    <row r="592" ht="15.75" customHeight="1">
      <c r="A592" s="84" t="s">
        <v>36753</v>
      </c>
      <c r="B592" s="84">
        <v>1.0</v>
      </c>
      <c r="C592" s="186"/>
      <c r="D592" s="187"/>
      <c r="E592" s="188"/>
      <c r="F592" s="189"/>
      <c r="G592" s="190"/>
      <c r="H592" s="190"/>
      <c r="I592" s="84"/>
      <c r="J592" s="84"/>
      <c r="K592" s="84"/>
      <c r="L592" s="84"/>
      <c r="M592" s="84"/>
      <c r="N592" s="84"/>
      <c r="O592" s="84"/>
      <c r="P592" s="84"/>
      <c r="Q592" s="84"/>
      <c r="R592" s="84"/>
      <c r="S592" s="84"/>
      <c r="T592" s="84"/>
    </row>
    <row r="593" ht="15.75" customHeight="1">
      <c r="A593" s="84" t="s">
        <v>36671</v>
      </c>
      <c r="B593" s="84">
        <v>7.0</v>
      </c>
      <c r="C593" s="186"/>
      <c r="D593" s="187"/>
      <c r="E593" s="188"/>
      <c r="F593" s="189"/>
      <c r="G593" s="190"/>
      <c r="H593" s="190"/>
      <c r="I593" s="84"/>
      <c r="J593" s="84"/>
      <c r="K593" s="84"/>
      <c r="L593" s="84"/>
      <c r="M593" s="84"/>
      <c r="N593" s="84"/>
      <c r="O593" s="84"/>
      <c r="P593" s="84"/>
      <c r="Q593" s="84"/>
      <c r="R593" s="84"/>
      <c r="S593" s="84"/>
      <c r="T593" s="84"/>
    </row>
    <row r="594" ht="15.75" customHeight="1">
      <c r="A594" s="84" t="s">
        <v>36756</v>
      </c>
      <c r="B594" s="84">
        <v>1.0</v>
      </c>
      <c r="C594" s="186"/>
      <c r="D594" s="187"/>
      <c r="E594" s="188"/>
      <c r="F594" s="189"/>
      <c r="G594" s="190"/>
      <c r="H594" s="190"/>
      <c r="I594" s="84"/>
      <c r="J594" s="84"/>
      <c r="K594" s="84"/>
      <c r="L594" s="84"/>
      <c r="M594" s="84"/>
      <c r="N594" s="84"/>
      <c r="O594" s="84"/>
      <c r="P594" s="84"/>
      <c r="Q594" s="84"/>
      <c r="R594" s="84"/>
      <c r="S594" s="84"/>
      <c r="T594" s="84"/>
    </row>
    <row r="595" ht="15.75" customHeight="1">
      <c r="A595" s="84" t="s">
        <v>36757</v>
      </c>
      <c r="B595" s="84">
        <v>1.0</v>
      </c>
      <c r="C595" s="186"/>
      <c r="D595" s="187"/>
      <c r="E595" s="188"/>
      <c r="F595" s="189"/>
      <c r="G595" s="190"/>
      <c r="H595" s="190"/>
      <c r="I595" s="84"/>
      <c r="J595" s="84"/>
      <c r="K595" s="84"/>
      <c r="L595" s="84"/>
      <c r="M595" s="84"/>
      <c r="N595" s="84"/>
      <c r="O595" s="84"/>
      <c r="P595" s="84"/>
      <c r="Q595" s="84"/>
      <c r="R595" s="84"/>
      <c r="S595" s="84"/>
      <c r="T595" s="84"/>
    </row>
    <row r="596" ht="15.75" customHeight="1">
      <c r="A596" s="84" t="s">
        <v>36759</v>
      </c>
      <c r="B596" s="84">
        <v>1.0</v>
      </c>
      <c r="C596" s="186"/>
      <c r="D596" s="187"/>
      <c r="E596" s="188"/>
      <c r="F596" s="189"/>
      <c r="G596" s="190"/>
      <c r="H596" s="190"/>
      <c r="I596" s="84"/>
      <c r="J596" s="84"/>
      <c r="K596" s="84"/>
      <c r="L596" s="84"/>
      <c r="M596" s="84"/>
      <c r="N596" s="84"/>
      <c r="O596" s="84"/>
      <c r="P596" s="84"/>
      <c r="Q596" s="84"/>
      <c r="R596" s="84"/>
      <c r="S596" s="84"/>
      <c r="T596" s="84"/>
    </row>
    <row r="597" ht="15.75" customHeight="1">
      <c r="A597" s="84" t="s">
        <v>36762</v>
      </c>
      <c r="B597" s="84">
        <v>1.0</v>
      </c>
      <c r="C597" s="186"/>
      <c r="D597" s="187"/>
      <c r="E597" s="188"/>
      <c r="F597" s="189"/>
      <c r="G597" s="190"/>
      <c r="H597" s="190"/>
      <c r="I597" s="84"/>
      <c r="J597" s="84"/>
      <c r="K597" s="84"/>
      <c r="L597" s="84"/>
      <c r="M597" s="84"/>
      <c r="N597" s="84"/>
      <c r="O597" s="84"/>
      <c r="P597" s="84"/>
      <c r="Q597" s="84"/>
      <c r="R597" s="84"/>
      <c r="S597" s="84"/>
      <c r="T597" s="84"/>
    </row>
    <row r="598" ht="15.75" customHeight="1">
      <c r="A598" s="84" t="s">
        <v>36763</v>
      </c>
      <c r="B598" s="84">
        <v>1.0</v>
      </c>
      <c r="C598" s="186"/>
      <c r="D598" s="187"/>
      <c r="E598" s="188"/>
      <c r="F598" s="189"/>
      <c r="G598" s="190"/>
      <c r="H598" s="190"/>
      <c r="I598" s="84"/>
      <c r="J598" s="84"/>
      <c r="K598" s="84"/>
      <c r="L598" s="84"/>
      <c r="M598" s="84"/>
      <c r="N598" s="84"/>
      <c r="O598" s="84"/>
      <c r="P598" s="84"/>
      <c r="Q598" s="84"/>
      <c r="R598" s="84"/>
      <c r="S598" s="84"/>
      <c r="T598" s="84"/>
    </row>
    <row r="599" ht="15.75" customHeight="1">
      <c r="A599" s="84" t="s">
        <v>36764</v>
      </c>
      <c r="B599" s="84">
        <v>1.0</v>
      </c>
      <c r="C599" s="186"/>
      <c r="D599" s="187"/>
      <c r="E599" s="188"/>
      <c r="F599" s="189"/>
      <c r="G599" s="190"/>
      <c r="H599" s="190"/>
      <c r="I599" s="84"/>
      <c r="J599" s="84"/>
      <c r="K599" s="84"/>
      <c r="L599" s="84"/>
      <c r="M599" s="84"/>
      <c r="N599" s="84"/>
      <c r="O599" s="84"/>
      <c r="P599" s="84"/>
      <c r="Q599" s="84"/>
      <c r="R599" s="84"/>
      <c r="S599" s="84"/>
      <c r="T599" s="84"/>
    </row>
    <row r="600" ht="15.75" customHeight="1">
      <c r="A600" s="84" t="s">
        <v>36765</v>
      </c>
      <c r="B600" s="84">
        <v>1.0</v>
      </c>
      <c r="C600" s="186"/>
      <c r="D600" s="187"/>
      <c r="E600" s="188"/>
      <c r="F600" s="189"/>
      <c r="G600" s="190"/>
      <c r="H600" s="190"/>
      <c r="I600" s="84"/>
      <c r="J600" s="84"/>
      <c r="K600" s="84"/>
      <c r="L600" s="84"/>
      <c r="M600" s="84"/>
      <c r="N600" s="84"/>
      <c r="O600" s="84"/>
      <c r="P600" s="84"/>
      <c r="Q600" s="84"/>
      <c r="R600" s="84"/>
      <c r="S600" s="84"/>
      <c r="T600" s="84"/>
    </row>
    <row r="601" ht="15.75" customHeight="1">
      <c r="A601" s="84" t="s">
        <v>36767</v>
      </c>
      <c r="B601" s="84">
        <v>3.0</v>
      </c>
      <c r="C601" s="186"/>
      <c r="D601" s="187" t="s">
        <v>36768</v>
      </c>
      <c r="E601" s="188" t="s">
        <v>36769</v>
      </c>
      <c r="F601" s="189"/>
      <c r="G601" s="190"/>
      <c r="H601" s="190"/>
      <c r="I601" s="84"/>
      <c r="J601" s="84"/>
      <c r="K601" s="84"/>
      <c r="L601" s="84"/>
      <c r="M601" s="84"/>
      <c r="N601" s="84"/>
      <c r="O601" s="84"/>
      <c r="P601" s="84"/>
      <c r="Q601" s="84"/>
      <c r="R601" s="84"/>
      <c r="S601" s="84"/>
      <c r="T601" s="84"/>
    </row>
    <row r="602" ht="15.75" customHeight="1">
      <c r="A602" s="84" t="s">
        <v>36770</v>
      </c>
      <c r="B602" s="84">
        <v>1.0</v>
      </c>
      <c r="C602" s="186"/>
      <c r="D602" s="187" t="s">
        <v>36768</v>
      </c>
      <c r="E602" s="188"/>
      <c r="F602" s="189"/>
      <c r="G602" s="190"/>
      <c r="H602" s="190"/>
      <c r="I602" s="84"/>
      <c r="J602" s="84"/>
      <c r="K602" s="84"/>
      <c r="L602" s="84"/>
      <c r="M602" s="84"/>
      <c r="N602" s="84"/>
      <c r="O602" s="84"/>
      <c r="P602" s="84"/>
      <c r="Q602" s="84"/>
      <c r="R602" s="84"/>
      <c r="S602" s="84"/>
      <c r="T602" s="84"/>
    </row>
    <row r="603" ht="15.75" customHeight="1">
      <c r="A603" s="84" t="s">
        <v>36768</v>
      </c>
      <c r="B603" s="84">
        <v>6.0</v>
      </c>
      <c r="C603" s="186"/>
      <c r="D603" s="187"/>
      <c r="E603" s="188"/>
      <c r="F603" s="189"/>
      <c r="G603" s="190"/>
      <c r="H603" s="190"/>
      <c r="I603" s="84"/>
      <c r="J603" s="84"/>
      <c r="K603" s="84"/>
      <c r="L603" s="84"/>
      <c r="M603" s="84"/>
      <c r="N603" s="84"/>
      <c r="O603" s="84"/>
      <c r="P603" s="84"/>
      <c r="Q603" s="84"/>
      <c r="R603" s="84"/>
      <c r="S603" s="84"/>
      <c r="T603" s="84"/>
    </row>
    <row r="604" ht="15.75" customHeight="1">
      <c r="A604" s="84" t="s">
        <v>36774</v>
      </c>
      <c r="B604" s="84">
        <v>1.0</v>
      </c>
      <c r="C604" s="186"/>
      <c r="D604" s="187"/>
      <c r="E604" s="188"/>
      <c r="F604" s="189"/>
      <c r="G604" s="190"/>
      <c r="H604" s="190"/>
      <c r="I604" s="84"/>
      <c r="J604" s="84"/>
      <c r="K604" s="84"/>
      <c r="L604" s="84"/>
      <c r="M604" s="84"/>
      <c r="N604" s="84"/>
      <c r="O604" s="84"/>
      <c r="P604" s="84"/>
      <c r="Q604" s="84"/>
      <c r="R604" s="84"/>
      <c r="S604" s="84"/>
      <c r="T604" s="84"/>
    </row>
    <row r="605" ht="15.75" customHeight="1">
      <c r="A605" s="84" t="s">
        <v>36775</v>
      </c>
      <c r="B605" s="84">
        <v>1.0</v>
      </c>
      <c r="C605" s="186"/>
      <c r="D605" s="187"/>
      <c r="E605" s="188"/>
      <c r="F605" s="189"/>
      <c r="G605" s="190"/>
      <c r="H605" s="190"/>
      <c r="I605" s="84"/>
      <c r="J605" s="84"/>
      <c r="K605" s="84"/>
      <c r="L605" s="84"/>
      <c r="M605" s="84"/>
      <c r="N605" s="84"/>
      <c r="O605" s="84"/>
      <c r="P605" s="84"/>
      <c r="Q605" s="84"/>
      <c r="R605" s="84"/>
      <c r="S605" s="84"/>
      <c r="T605" s="84"/>
    </row>
    <row r="606" ht="15.75" customHeight="1">
      <c r="A606" s="84" t="s">
        <v>36776</v>
      </c>
      <c r="B606" s="84">
        <v>1.0</v>
      </c>
      <c r="C606" s="186"/>
      <c r="D606" s="187"/>
      <c r="E606" s="188"/>
      <c r="F606" s="189"/>
      <c r="G606" s="190"/>
      <c r="H606" s="190"/>
      <c r="I606" s="84"/>
      <c r="J606" s="84"/>
      <c r="K606" s="84"/>
      <c r="L606" s="84"/>
      <c r="M606" s="84"/>
      <c r="N606" s="84"/>
      <c r="O606" s="84"/>
      <c r="P606" s="84"/>
      <c r="Q606" s="84"/>
      <c r="R606" s="84"/>
      <c r="S606" s="84"/>
      <c r="T606" s="84"/>
    </row>
    <row r="607" ht="15.75" customHeight="1">
      <c r="A607" s="84" t="s">
        <v>36777</v>
      </c>
      <c r="B607" s="84">
        <v>1.0</v>
      </c>
      <c r="C607" s="186"/>
      <c r="D607" s="187"/>
      <c r="E607" s="188"/>
      <c r="F607" s="189"/>
      <c r="G607" s="190"/>
      <c r="H607" s="190"/>
      <c r="I607" s="84"/>
      <c r="J607" s="84"/>
      <c r="K607" s="84"/>
      <c r="L607" s="84"/>
      <c r="M607" s="84"/>
      <c r="N607" s="84"/>
      <c r="O607" s="84"/>
      <c r="P607" s="84"/>
      <c r="Q607" s="84"/>
      <c r="R607" s="84"/>
      <c r="S607" s="84"/>
      <c r="T607" s="84"/>
    </row>
    <row r="608" ht="15.75" customHeight="1">
      <c r="A608" s="84" t="s">
        <v>36778</v>
      </c>
      <c r="B608" s="84">
        <v>1.0</v>
      </c>
      <c r="C608" s="186"/>
      <c r="D608" s="187"/>
      <c r="E608" s="188"/>
      <c r="F608" s="189"/>
      <c r="G608" s="190"/>
      <c r="H608" s="190"/>
      <c r="I608" s="84"/>
      <c r="J608" s="84"/>
      <c r="K608" s="84"/>
      <c r="L608" s="84"/>
      <c r="M608" s="84"/>
      <c r="N608" s="84"/>
      <c r="O608" s="84"/>
      <c r="P608" s="84"/>
      <c r="Q608" s="84"/>
      <c r="R608" s="84"/>
      <c r="S608" s="84"/>
      <c r="T608" s="84"/>
    </row>
    <row r="609" ht="15.75" customHeight="1">
      <c r="A609" s="84" t="s">
        <v>36779</v>
      </c>
      <c r="B609" s="84">
        <v>1.0</v>
      </c>
      <c r="C609" s="186"/>
      <c r="D609" s="187"/>
      <c r="E609" s="188"/>
      <c r="F609" s="189"/>
      <c r="G609" s="190"/>
      <c r="H609" s="190"/>
      <c r="I609" s="84"/>
      <c r="J609" s="84"/>
      <c r="K609" s="84"/>
      <c r="L609" s="84"/>
      <c r="M609" s="84"/>
      <c r="N609" s="84"/>
      <c r="O609" s="84"/>
      <c r="P609" s="84"/>
      <c r="Q609" s="84"/>
      <c r="R609" s="84"/>
      <c r="S609" s="84"/>
      <c r="T609" s="84"/>
    </row>
    <row r="610" ht="15.75" customHeight="1">
      <c r="A610" s="84" t="s">
        <v>36780</v>
      </c>
      <c r="B610" s="84">
        <v>1.0</v>
      </c>
      <c r="C610" s="186"/>
      <c r="D610" s="187"/>
      <c r="E610" s="188"/>
      <c r="F610" s="189"/>
      <c r="G610" s="190"/>
      <c r="H610" s="190"/>
      <c r="I610" s="84"/>
      <c r="J610" s="84"/>
      <c r="K610" s="84"/>
      <c r="L610" s="84"/>
      <c r="M610" s="84"/>
      <c r="N610" s="84"/>
      <c r="O610" s="84"/>
      <c r="P610" s="84"/>
      <c r="Q610" s="84"/>
      <c r="R610" s="84"/>
      <c r="S610" s="84"/>
      <c r="T610" s="84"/>
    </row>
    <row r="611" ht="15.75" customHeight="1">
      <c r="A611" s="84" t="s">
        <v>36781</v>
      </c>
      <c r="B611" s="84">
        <v>1.0</v>
      </c>
      <c r="C611" s="186"/>
      <c r="D611" s="187"/>
      <c r="E611" s="188"/>
      <c r="F611" s="189"/>
      <c r="G611" s="190"/>
      <c r="H611" s="190"/>
      <c r="I611" s="84"/>
      <c r="J611" s="84"/>
      <c r="K611" s="84"/>
      <c r="L611" s="84"/>
      <c r="M611" s="84"/>
      <c r="N611" s="84"/>
      <c r="O611" s="84"/>
      <c r="P611" s="84"/>
      <c r="Q611" s="84"/>
      <c r="R611" s="84"/>
      <c r="S611" s="84"/>
      <c r="T611" s="84"/>
    </row>
    <row r="612" ht="15.75" customHeight="1">
      <c r="A612" s="84" t="s">
        <v>36783</v>
      </c>
      <c r="B612" s="84">
        <v>1.0</v>
      </c>
      <c r="C612" s="186"/>
      <c r="D612" s="187"/>
      <c r="E612" s="188"/>
      <c r="F612" s="189"/>
      <c r="G612" s="190"/>
      <c r="H612" s="190"/>
      <c r="I612" s="84"/>
      <c r="J612" s="84"/>
      <c r="K612" s="84"/>
      <c r="L612" s="84"/>
      <c r="M612" s="84"/>
      <c r="N612" s="84"/>
      <c r="O612" s="84"/>
      <c r="P612" s="84"/>
      <c r="Q612" s="84"/>
      <c r="R612" s="84"/>
      <c r="S612" s="84"/>
      <c r="T612" s="84"/>
    </row>
    <row r="613" ht="15.75" customHeight="1">
      <c r="A613" s="84" t="s">
        <v>36786</v>
      </c>
      <c r="B613" s="84">
        <v>2.0</v>
      </c>
      <c r="C613" s="186"/>
      <c r="D613" s="187"/>
      <c r="E613" s="188"/>
      <c r="F613" s="189"/>
      <c r="G613" s="190"/>
      <c r="H613" s="190"/>
      <c r="I613" s="84"/>
      <c r="J613" s="84"/>
      <c r="K613" s="84"/>
      <c r="L613" s="84"/>
      <c r="M613" s="84"/>
      <c r="N613" s="84"/>
      <c r="O613" s="84"/>
      <c r="P613" s="84"/>
      <c r="Q613" s="84"/>
      <c r="R613" s="84"/>
      <c r="S613" s="84"/>
      <c r="T613" s="84"/>
    </row>
    <row r="614" ht="15.75" customHeight="1">
      <c r="A614" s="84" t="s">
        <v>36787</v>
      </c>
      <c r="B614" s="84">
        <v>1.0</v>
      </c>
      <c r="C614" s="186"/>
      <c r="D614" s="187"/>
      <c r="E614" s="188"/>
      <c r="F614" s="189"/>
      <c r="G614" s="190"/>
      <c r="H614" s="190"/>
      <c r="I614" s="84"/>
      <c r="J614" s="84"/>
      <c r="K614" s="84"/>
      <c r="L614" s="84"/>
      <c r="M614" s="84"/>
      <c r="N614" s="84"/>
      <c r="O614" s="84"/>
      <c r="P614" s="84"/>
      <c r="Q614" s="84"/>
      <c r="R614" s="84"/>
      <c r="S614" s="84"/>
      <c r="T614" s="84"/>
    </row>
    <row r="615" ht="15.75" customHeight="1">
      <c r="A615" s="84" t="s">
        <v>36790</v>
      </c>
      <c r="B615" s="84">
        <v>1.0</v>
      </c>
      <c r="C615" s="186"/>
      <c r="D615" s="187"/>
      <c r="E615" s="188"/>
      <c r="F615" s="189"/>
      <c r="G615" s="190"/>
      <c r="H615" s="190"/>
      <c r="I615" s="84"/>
      <c r="J615" s="84"/>
      <c r="K615" s="84"/>
      <c r="L615" s="84"/>
      <c r="M615" s="84"/>
      <c r="N615" s="84"/>
      <c r="O615" s="84"/>
      <c r="P615" s="84"/>
      <c r="Q615" s="84"/>
      <c r="R615" s="84"/>
      <c r="S615" s="84"/>
      <c r="T615" s="84"/>
    </row>
    <row r="616" ht="15.75" customHeight="1">
      <c r="A616" s="84" t="s">
        <v>36791</v>
      </c>
      <c r="B616" s="84">
        <v>1.0</v>
      </c>
      <c r="C616" s="186"/>
      <c r="D616" s="187"/>
      <c r="E616" s="188"/>
      <c r="F616" s="189"/>
      <c r="G616" s="190"/>
      <c r="H616" s="190"/>
      <c r="I616" s="84"/>
      <c r="J616" s="84"/>
      <c r="K616" s="84"/>
      <c r="L616" s="84"/>
      <c r="M616" s="84"/>
      <c r="N616" s="84"/>
      <c r="O616" s="84"/>
      <c r="P616" s="84"/>
      <c r="Q616" s="84"/>
      <c r="R616" s="84"/>
      <c r="S616" s="84"/>
      <c r="T616" s="84"/>
    </row>
    <row r="617" ht="15.75" customHeight="1">
      <c r="A617" s="84" t="s">
        <v>36792</v>
      </c>
      <c r="B617" s="84">
        <v>1.0</v>
      </c>
      <c r="C617" s="186"/>
      <c r="D617" s="187"/>
      <c r="E617" s="188"/>
      <c r="F617" s="189"/>
      <c r="G617" s="190"/>
      <c r="H617" s="190"/>
      <c r="I617" s="84"/>
      <c r="J617" s="84"/>
      <c r="K617" s="84"/>
      <c r="L617" s="84"/>
      <c r="M617" s="84"/>
      <c r="N617" s="84"/>
      <c r="O617" s="84"/>
      <c r="P617" s="84"/>
      <c r="Q617" s="84"/>
      <c r="R617" s="84"/>
      <c r="S617" s="84"/>
      <c r="T617" s="84"/>
    </row>
    <row r="618" ht="15.75" customHeight="1">
      <c r="A618" s="84" t="s">
        <v>36793</v>
      </c>
      <c r="B618" s="84">
        <v>1.0</v>
      </c>
      <c r="C618" s="186"/>
      <c r="D618" s="187"/>
      <c r="E618" s="188"/>
      <c r="F618" s="189"/>
      <c r="G618" s="190"/>
      <c r="H618" s="190"/>
      <c r="I618" s="84"/>
      <c r="J618" s="84"/>
      <c r="K618" s="84"/>
      <c r="L618" s="84"/>
      <c r="M618" s="84"/>
      <c r="N618" s="84"/>
      <c r="O618" s="84"/>
      <c r="P618" s="84"/>
      <c r="Q618" s="84"/>
      <c r="R618" s="84"/>
      <c r="S618" s="84"/>
      <c r="T618" s="84"/>
    </row>
    <row r="619" ht="15.75" customHeight="1">
      <c r="A619" s="84" t="s">
        <v>36796</v>
      </c>
      <c r="B619" s="84">
        <v>2.0</v>
      </c>
      <c r="C619" s="186"/>
      <c r="D619" s="187"/>
      <c r="E619" s="188"/>
      <c r="F619" s="189"/>
      <c r="G619" s="190"/>
      <c r="H619" s="190"/>
      <c r="I619" s="84"/>
      <c r="J619" s="84"/>
      <c r="K619" s="84"/>
      <c r="L619" s="84"/>
      <c r="M619" s="84"/>
      <c r="N619" s="84"/>
      <c r="O619" s="84"/>
      <c r="P619" s="84"/>
      <c r="Q619" s="84"/>
      <c r="R619" s="84"/>
      <c r="S619" s="84"/>
      <c r="T619" s="84"/>
    </row>
    <row r="620" ht="15.75" customHeight="1">
      <c r="A620" s="84" t="s">
        <v>36798</v>
      </c>
      <c r="B620" s="84">
        <v>1.0</v>
      </c>
      <c r="C620" s="186"/>
      <c r="D620" s="187"/>
      <c r="E620" s="188"/>
      <c r="F620" s="189"/>
      <c r="G620" s="190"/>
      <c r="H620" s="190"/>
      <c r="I620" s="84"/>
      <c r="J620" s="84"/>
      <c r="K620" s="84"/>
      <c r="L620" s="84"/>
      <c r="M620" s="84"/>
      <c r="N620" s="84"/>
      <c r="O620" s="84"/>
      <c r="P620" s="84"/>
      <c r="Q620" s="84"/>
      <c r="R620" s="84"/>
      <c r="S620" s="84"/>
      <c r="T620" s="84"/>
    </row>
    <row r="621" ht="15.75" customHeight="1">
      <c r="A621" s="84" t="s">
        <v>36799</v>
      </c>
      <c r="B621" s="84">
        <v>1.0</v>
      </c>
      <c r="C621" s="186"/>
      <c r="D621" s="187"/>
      <c r="E621" s="188"/>
      <c r="F621" s="189"/>
      <c r="G621" s="190"/>
      <c r="H621" s="190"/>
      <c r="I621" s="84"/>
      <c r="J621" s="84"/>
      <c r="K621" s="84"/>
      <c r="L621" s="84"/>
      <c r="M621" s="84"/>
      <c r="N621" s="84"/>
      <c r="O621" s="84"/>
      <c r="P621" s="84"/>
      <c r="Q621" s="84"/>
      <c r="R621" s="84"/>
      <c r="S621" s="84"/>
      <c r="T621" s="84"/>
    </row>
    <row r="622" ht="15.75" customHeight="1">
      <c r="A622" s="84" t="s">
        <v>36800</v>
      </c>
      <c r="B622" s="84">
        <v>1.0</v>
      </c>
      <c r="C622" s="186"/>
      <c r="D622" s="187"/>
      <c r="E622" s="188"/>
      <c r="F622" s="189"/>
      <c r="G622" s="190"/>
      <c r="H622" s="190"/>
      <c r="I622" s="84"/>
      <c r="J622" s="84"/>
      <c r="K622" s="84"/>
      <c r="L622" s="84"/>
      <c r="M622" s="84"/>
      <c r="N622" s="84"/>
      <c r="O622" s="84"/>
      <c r="P622" s="84"/>
      <c r="Q622" s="84"/>
      <c r="R622" s="84"/>
      <c r="S622" s="84"/>
      <c r="T622" s="84"/>
    </row>
    <row r="623" ht="15.75" customHeight="1">
      <c r="A623" s="84" t="s">
        <v>36801</v>
      </c>
      <c r="B623" s="84">
        <v>1.0</v>
      </c>
      <c r="C623" s="186"/>
      <c r="D623" s="187"/>
      <c r="E623" s="188"/>
      <c r="F623" s="189"/>
      <c r="G623" s="190"/>
      <c r="H623" s="190"/>
      <c r="I623" s="84"/>
      <c r="J623" s="84"/>
      <c r="K623" s="84"/>
      <c r="L623" s="84"/>
      <c r="M623" s="84"/>
      <c r="N623" s="84"/>
      <c r="O623" s="84"/>
      <c r="P623" s="84"/>
      <c r="Q623" s="84"/>
      <c r="R623" s="84"/>
      <c r="S623" s="84"/>
      <c r="T623" s="84"/>
    </row>
    <row r="624" ht="15.75" customHeight="1">
      <c r="A624" s="84" t="s">
        <v>36811</v>
      </c>
      <c r="B624" s="84">
        <v>1.0</v>
      </c>
      <c r="C624" s="186"/>
      <c r="D624" s="187"/>
      <c r="E624" s="188"/>
      <c r="F624" s="189"/>
      <c r="G624" s="190"/>
      <c r="H624" s="190"/>
      <c r="I624" s="84"/>
      <c r="J624" s="84"/>
      <c r="K624" s="84"/>
      <c r="L624" s="84"/>
      <c r="M624" s="84"/>
      <c r="N624" s="84"/>
      <c r="O624" s="84"/>
      <c r="P624" s="84"/>
      <c r="Q624" s="84"/>
      <c r="R624" s="84"/>
      <c r="S624" s="84"/>
      <c r="T624" s="84"/>
    </row>
    <row r="625" ht="15.75" customHeight="1">
      <c r="A625" s="84" t="s">
        <v>36812</v>
      </c>
      <c r="B625" s="84">
        <v>1.0</v>
      </c>
      <c r="C625" s="186"/>
      <c r="D625" s="187"/>
      <c r="E625" s="188"/>
      <c r="F625" s="189"/>
      <c r="G625" s="190"/>
      <c r="H625" s="190"/>
      <c r="I625" s="84"/>
      <c r="J625" s="84"/>
      <c r="K625" s="84"/>
      <c r="L625" s="84"/>
      <c r="M625" s="84"/>
      <c r="N625" s="84"/>
      <c r="O625" s="84"/>
      <c r="P625" s="84"/>
      <c r="Q625" s="84"/>
      <c r="R625" s="84"/>
      <c r="S625" s="84"/>
      <c r="T625" s="84"/>
    </row>
    <row r="626" ht="15.75" customHeight="1">
      <c r="A626" s="84" t="s">
        <v>36815</v>
      </c>
      <c r="B626" s="84">
        <v>1.0</v>
      </c>
      <c r="C626" s="186"/>
      <c r="D626" s="187"/>
      <c r="E626" s="188"/>
      <c r="F626" s="189"/>
      <c r="G626" s="190"/>
      <c r="H626" s="190"/>
      <c r="I626" s="84"/>
      <c r="J626" s="84"/>
      <c r="K626" s="84"/>
      <c r="L626" s="84"/>
      <c r="M626" s="84"/>
      <c r="N626" s="84"/>
      <c r="O626" s="84"/>
      <c r="P626" s="84"/>
      <c r="Q626" s="84"/>
      <c r="R626" s="84"/>
      <c r="S626" s="84"/>
      <c r="T626" s="84"/>
    </row>
    <row r="627" ht="15.75" customHeight="1">
      <c r="A627" s="84" t="s">
        <v>36816</v>
      </c>
      <c r="B627" s="84">
        <v>1.0</v>
      </c>
      <c r="C627" s="186"/>
      <c r="D627" s="187"/>
      <c r="E627" s="188"/>
      <c r="F627" s="189"/>
      <c r="G627" s="190"/>
      <c r="H627" s="190"/>
      <c r="I627" s="84"/>
      <c r="J627" s="84"/>
      <c r="K627" s="84"/>
      <c r="L627" s="84"/>
      <c r="M627" s="84"/>
      <c r="N627" s="84"/>
      <c r="O627" s="84"/>
      <c r="P627" s="84"/>
      <c r="Q627" s="84"/>
      <c r="R627" s="84"/>
      <c r="S627" s="84"/>
      <c r="T627" s="84"/>
    </row>
    <row r="628" ht="15.75" customHeight="1">
      <c r="A628" s="84" t="s">
        <v>36820</v>
      </c>
      <c r="B628" s="84">
        <v>1.0</v>
      </c>
      <c r="C628" s="186"/>
      <c r="D628" s="187"/>
      <c r="E628" s="188"/>
      <c r="F628" s="189"/>
      <c r="G628" s="190"/>
      <c r="H628" s="190"/>
      <c r="I628" s="84"/>
      <c r="J628" s="84"/>
      <c r="K628" s="84"/>
      <c r="L628" s="84"/>
      <c r="M628" s="84"/>
      <c r="N628" s="84"/>
      <c r="O628" s="84"/>
      <c r="P628" s="84"/>
      <c r="Q628" s="84"/>
      <c r="R628" s="84"/>
      <c r="S628" s="84"/>
      <c r="T628" s="84"/>
    </row>
    <row r="629" ht="15.75" customHeight="1">
      <c r="A629" s="84" t="s">
        <v>36822</v>
      </c>
      <c r="B629" s="84">
        <v>2.0</v>
      </c>
      <c r="C629" s="186"/>
      <c r="D629" s="187"/>
      <c r="E629" s="188"/>
      <c r="F629" s="189"/>
      <c r="G629" s="190"/>
      <c r="H629" s="190"/>
      <c r="I629" s="84"/>
      <c r="J629" s="84"/>
      <c r="K629" s="84"/>
      <c r="L629" s="84"/>
      <c r="M629" s="84"/>
      <c r="N629" s="84"/>
      <c r="O629" s="84"/>
      <c r="P629" s="84"/>
      <c r="Q629" s="84"/>
      <c r="R629" s="84"/>
      <c r="S629" s="84"/>
      <c r="T629" s="84"/>
    </row>
    <row r="630" ht="15.75" customHeight="1">
      <c r="A630" s="84" t="s">
        <v>36823</v>
      </c>
      <c r="B630" s="84">
        <v>1.0</v>
      </c>
      <c r="C630" s="186"/>
      <c r="D630" s="187"/>
      <c r="E630" s="188"/>
      <c r="F630" s="189"/>
      <c r="G630" s="190"/>
      <c r="H630" s="190"/>
      <c r="I630" s="84"/>
      <c r="J630" s="84"/>
      <c r="K630" s="84"/>
      <c r="L630" s="84"/>
      <c r="M630" s="84"/>
      <c r="N630" s="84"/>
      <c r="O630" s="84"/>
      <c r="P630" s="84"/>
      <c r="Q630" s="84"/>
      <c r="R630" s="84"/>
      <c r="S630" s="84"/>
      <c r="T630" s="84"/>
    </row>
    <row r="631" ht="15.75" customHeight="1">
      <c r="A631" s="84" t="s">
        <v>36824</v>
      </c>
      <c r="B631" s="84">
        <v>1.0</v>
      </c>
      <c r="C631" s="186"/>
      <c r="D631" s="187"/>
      <c r="E631" s="188"/>
      <c r="F631" s="189"/>
      <c r="G631" s="190"/>
      <c r="H631" s="190"/>
      <c r="I631" s="84"/>
      <c r="J631" s="84"/>
      <c r="K631" s="84"/>
      <c r="L631" s="84"/>
      <c r="M631" s="84"/>
      <c r="N631" s="84"/>
      <c r="O631" s="84"/>
      <c r="P631" s="84"/>
      <c r="Q631" s="84"/>
      <c r="R631" s="84"/>
      <c r="S631" s="84"/>
      <c r="T631" s="84"/>
    </row>
    <row r="632" ht="15.75" customHeight="1">
      <c r="A632" s="84" t="s">
        <v>36825</v>
      </c>
      <c r="B632" s="84">
        <v>1.0</v>
      </c>
      <c r="C632" s="186"/>
      <c r="D632" s="187"/>
      <c r="E632" s="188"/>
      <c r="F632" s="189"/>
      <c r="G632" s="190"/>
      <c r="H632" s="190"/>
      <c r="I632" s="84"/>
      <c r="J632" s="84"/>
      <c r="K632" s="84"/>
      <c r="L632" s="84"/>
      <c r="M632" s="84"/>
      <c r="N632" s="84"/>
      <c r="O632" s="84"/>
      <c r="P632" s="84"/>
      <c r="Q632" s="84"/>
      <c r="R632" s="84"/>
      <c r="S632" s="84"/>
      <c r="T632" s="84"/>
    </row>
    <row r="633" ht="15.75" customHeight="1">
      <c r="A633" s="84" t="s">
        <v>36826</v>
      </c>
      <c r="B633" s="84">
        <v>1.0</v>
      </c>
      <c r="C633" s="186"/>
      <c r="D633" s="187"/>
      <c r="E633" s="188"/>
      <c r="F633" s="189"/>
      <c r="G633" s="190"/>
      <c r="H633" s="190"/>
      <c r="I633" s="84"/>
      <c r="J633" s="84"/>
      <c r="K633" s="84"/>
      <c r="L633" s="84"/>
      <c r="M633" s="84"/>
      <c r="N633" s="84"/>
      <c r="O633" s="84"/>
      <c r="P633" s="84"/>
      <c r="Q633" s="84"/>
      <c r="R633" s="84"/>
      <c r="S633" s="84"/>
      <c r="T633" s="84"/>
    </row>
    <row r="634" ht="15.75" customHeight="1">
      <c r="A634" s="84" t="s">
        <v>36827</v>
      </c>
      <c r="B634" s="84">
        <v>3.0</v>
      </c>
      <c r="C634" s="186"/>
      <c r="D634" s="187"/>
      <c r="E634" s="188"/>
      <c r="F634" s="189"/>
      <c r="G634" s="190"/>
      <c r="H634" s="190"/>
      <c r="I634" s="84"/>
      <c r="J634" s="84"/>
      <c r="K634" s="84"/>
      <c r="L634" s="84"/>
      <c r="M634" s="84"/>
      <c r="N634" s="84"/>
      <c r="O634" s="84"/>
      <c r="P634" s="84"/>
      <c r="Q634" s="84"/>
      <c r="R634" s="84"/>
      <c r="S634" s="84"/>
      <c r="T634" s="84"/>
    </row>
    <row r="635" ht="15.75" customHeight="1">
      <c r="A635" s="84" t="s">
        <v>36831</v>
      </c>
      <c r="B635" s="84">
        <v>1.0</v>
      </c>
      <c r="C635" s="186"/>
      <c r="D635" s="187"/>
      <c r="E635" s="188"/>
      <c r="F635" s="189"/>
      <c r="G635" s="190"/>
      <c r="H635" s="190"/>
      <c r="I635" s="84"/>
      <c r="J635" s="84"/>
      <c r="K635" s="84"/>
      <c r="L635" s="84"/>
      <c r="M635" s="84"/>
      <c r="N635" s="84"/>
      <c r="O635" s="84"/>
      <c r="P635" s="84"/>
      <c r="Q635" s="84"/>
      <c r="R635" s="84"/>
      <c r="S635" s="84"/>
      <c r="T635" s="84"/>
    </row>
    <row r="636" ht="15.75" customHeight="1">
      <c r="A636" s="84" t="s">
        <v>36832</v>
      </c>
      <c r="B636" s="84">
        <v>4.0</v>
      </c>
      <c r="C636" s="186"/>
      <c r="D636" s="187"/>
      <c r="E636" s="188"/>
      <c r="F636" s="189"/>
      <c r="G636" s="190"/>
      <c r="H636" s="190"/>
      <c r="I636" s="84"/>
      <c r="J636" s="84"/>
      <c r="K636" s="84"/>
      <c r="L636" s="84"/>
      <c r="M636" s="84"/>
      <c r="N636" s="84"/>
      <c r="O636" s="84"/>
      <c r="P636" s="84"/>
      <c r="Q636" s="84"/>
      <c r="R636" s="84"/>
      <c r="S636" s="84"/>
      <c r="T636" s="84"/>
    </row>
    <row r="637" ht="15.75" customHeight="1">
      <c r="A637" s="84" t="s">
        <v>36833</v>
      </c>
      <c r="B637" s="84">
        <v>44.0</v>
      </c>
      <c r="C637" s="186"/>
      <c r="D637" s="187"/>
      <c r="E637" s="188"/>
      <c r="F637" s="189"/>
      <c r="G637" s="190"/>
      <c r="H637" s="190"/>
      <c r="I637" s="84"/>
      <c r="J637" s="84"/>
      <c r="K637" s="84"/>
      <c r="L637" s="84"/>
      <c r="M637" s="84"/>
      <c r="N637" s="84"/>
      <c r="O637" s="84"/>
      <c r="P637" s="84"/>
      <c r="Q637" s="84"/>
      <c r="R637" s="84"/>
      <c r="S637" s="84"/>
      <c r="T637" s="84"/>
    </row>
    <row r="638" ht="15.75" customHeight="1">
      <c r="A638" s="84" t="s">
        <v>36834</v>
      </c>
      <c r="B638" s="84">
        <v>1.0</v>
      </c>
      <c r="C638" s="186"/>
      <c r="D638" s="187"/>
      <c r="E638" s="188"/>
      <c r="F638" s="189"/>
      <c r="G638" s="190"/>
      <c r="H638" s="190"/>
      <c r="I638" s="84"/>
      <c r="J638" s="84"/>
      <c r="K638" s="84"/>
      <c r="L638" s="84"/>
      <c r="M638" s="84"/>
      <c r="N638" s="84"/>
      <c r="O638" s="84"/>
      <c r="P638" s="84"/>
      <c r="Q638" s="84"/>
      <c r="R638" s="84"/>
      <c r="S638" s="84"/>
      <c r="T638" s="84"/>
    </row>
    <row r="639" ht="15.75" customHeight="1">
      <c r="A639" s="84" t="s">
        <v>36837</v>
      </c>
      <c r="B639" s="84">
        <v>1.0</v>
      </c>
      <c r="C639" s="186"/>
      <c r="D639" s="187"/>
      <c r="E639" s="188"/>
      <c r="F639" s="189"/>
      <c r="G639" s="190"/>
      <c r="H639" s="190"/>
      <c r="I639" s="84"/>
      <c r="J639" s="84"/>
      <c r="K639" s="84"/>
      <c r="L639" s="84"/>
      <c r="M639" s="84"/>
      <c r="N639" s="84"/>
      <c r="O639" s="84"/>
      <c r="P639" s="84"/>
      <c r="Q639" s="84"/>
      <c r="R639" s="84"/>
      <c r="S639" s="84"/>
      <c r="T639" s="84"/>
    </row>
    <row r="640" ht="15.75" customHeight="1">
      <c r="A640" s="84" t="s">
        <v>36838</v>
      </c>
      <c r="B640" s="84">
        <v>1.0</v>
      </c>
      <c r="C640" s="186"/>
      <c r="D640" s="187"/>
      <c r="E640" s="188"/>
      <c r="F640" s="189"/>
      <c r="G640" s="190"/>
      <c r="H640" s="190"/>
      <c r="I640" s="84"/>
      <c r="J640" s="84"/>
      <c r="K640" s="84"/>
      <c r="L640" s="84"/>
      <c r="M640" s="84"/>
      <c r="N640" s="84"/>
      <c r="O640" s="84"/>
      <c r="P640" s="84"/>
      <c r="Q640" s="84"/>
      <c r="R640" s="84"/>
      <c r="S640" s="84"/>
      <c r="T640" s="84"/>
    </row>
    <row r="641" ht="15.75" customHeight="1">
      <c r="A641" s="84" t="s">
        <v>36839</v>
      </c>
      <c r="B641" s="84">
        <v>1.0</v>
      </c>
      <c r="C641" s="186"/>
      <c r="D641" s="187"/>
      <c r="E641" s="188"/>
      <c r="F641" s="189"/>
      <c r="G641" s="190"/>
      <c r="H641" s="190"/>
      <c r="I641" s="84"/>
      <c r="J641" s="84"/>
      <c r="K641" s="84"/>
      <c r="L641" s="84"/>
      <c r="M641" s="84"/>
      <c r="N641" s="84"/>
      <c r="O641" s="84"/>
      <c r="P641" s="84"/>
      <c r="Q641" s="84"/>
      <c r="R641" s="84"/>
      <c r="S641" s="84"/>
      <c r="T641" s="84"/>
    </row>
    <row r="642" ht="15.75" customHeight="1">
      <c r="A642" s="84" t="s">
        <v>36844</v>
      </c>
      <c r="B642" s="84">
        <v>1.0</v>
      </c>
      <c r="C642" s="186" t="s">
        <v>18275</v>
      </c>
      <c r="D642" s="187" t="s">
        <v>36833</v>
      </c>
      <c r="E642" s="188"/>
      <c r="F642" s="189"/>
      <c r="G642" s="190"/>
      <c r="H642" s="190"/>
      <c r="I642" s="84"/>
      <c r="J642" s="84"/>
      <c r="K642" s="84"/>
      <c r="L642" s="84"/>
      <c r="M642" s="84"/>
      <c r="N642" s="84"/>
      <c r="O642" s="84"/>
      <c r="P642" s="84"/>
      <c r="Q642" s="84"/>
      <c r="R642" s="84"/>
      <c r="S642" s="84"/>
      <c r="T642" s="84"/>
    </row>
    <row r="643" ht="15.75" customHeight="1">
      <c r="A643" s="84" t="s">
        <v>36845</v>
      </c>
      <c r="B643" s="84">
        <v>1.0</v>
      </c>
      <c r="C643" s="186"/>
      <c r="D643" s="187"/>
      <c r="E643" s="188"/>
      <c r="F643" s="189"/>
      <c r="G643" s="190"/>
      <c r="H643" s="190"/>
      <c r="I643" s="84"/>
      <c r="J643" s="84"/>
      <c r="K643" s="84"/>
      <c r="L643" s="84"/>
      <c r="M643" s="84"/>
      <c r="N643" s="84"/>
      <c r="O643" s="84"/>
      <c r="P643" s="84"/>
      <c r="Q643" s="84"/>
      <c r="R643" s="84"/>
      <c r="S643" s="84"/>
      <c r="T643" s="84"/>
    </row>
    <row r="644" ht="15.75" customHeight="1">
      <c r="A644" s="84" t="s">
        <v>36846</v>
      </c>
      <c r="B644" s="84">
        <v>1.0</v>
      </c>
      <c r="C644" s="186"/>
      <c r="D644" s="187"/>
      <c r="E644" s="188"/>
      <c r="F644" s="189"/>
      <c r="G644" s="190"/>
      <c r="H644" s="190"/>
      <c r="I644" s="84"/>
      <c r="J644" s="84"/>
      <c r="K644" s="84"/>
      <c r="L644" s="84"/>
      <c r="M644" s="84"/>
      <c r="N644" s="84"/>
      <c r="O644" s="84"/>
      <c r="P644" s="84"/>
      <c r="Q644" s="84"/>
      <c r="R644" s="84"/>
      <c r="S644" s="84"/>
      <c r="T644" s="84"/>
    </row>
    <row r="645" ht="15.75" customHeight="1">
      <c r="A645" s="84" t="s">
        <v>36849</v>
      </c>
      <c r="B645" s="84">
        <v>1.0</v>
      </c>
      <c r="C645" s="186"/>
      <c r="D645" s="187"/>
      <c r="E645" s="188"/>
      <c r="F645" s="189"/>
      <c r="G645" s="190"/>
      <c r="H645" s="190"/>
      <c r="I645" s="84"/>
      <c r="J645" s="84"/>
      <c r="K645" s="84"/>
      <c r="L645" s="84"/>
      <c r="M645" s="84"/>
      <c r="N645" s="84"/>
      <c r="O645" s="84"/>
      <c r="P645" s="84"/>
      <c r="Q645" s="84"/>
      <c r="R645" s="84"/>
      <c r="S645" s="84"/>
      <c r="T645" s="84"/>
    </row>
    <row r="646" ht="15.75" customHeight="1">
      <c r="A646" s="84" t="s">
        <v>36850</v>
      </c>
      <c r="B646" s="84">
        <v>1.0</v>
      </c>
      <c r="C646" s="186"/>
      <c r="D646" s="187"/>
      <c r="E646" s="188"/>
      <c r="F646" s="189"/>
      <c r="G646" s="190"/>
      <c r="H646" s="190"/>
      <c r="I646" s="84"/>
      <c r="J646" s="84"/>
      <c r="K646" s="84"/>
      <c r="L646" s="84"/>
      <c r="M646" s="84"/>
      <c r="N646" s="84"/>
      <c r="O646" s="84"/>
      <c r="P646" s="84"/>
      <c r="Q646" s="84"/>
      <c r="R646" s="84"/>
      <c r="S646" s="84"/>
      <c r="T646" s="84"/>
    </row>
    <row r="647" ht="15.75" customHeight="1">
      <c r="A647" s="84" t="s">
        <v>36853</v>
      </c>
      <c r="B647" s="84">
        <v>1.0</v>
      </c>
      <c r="C647" s="186"/>
      <c r="D647" s="187"/>
      <c r="E647" s="188"/>
      <c r="F647" s="189"/>
      <c r="G647" s="190"/>
      <c r="H647" s="190"/>
      <c r="I647" s="84"/>
      <c r="J647" s="84"/>
      <c r="K647" s="84"/>
      <c r="L647" s="84"/>
      <c r="M647" s="84"/>
      <c r="N647" s="84"/>
      <c r="O647" s="84"/>
      <c r="P647" s="84"/>
      <c r="Q647" s="84"/>
      <c r="R647" s="84"/>
      <c r="S647" s="84"/>
      <c r="T647" s="84"/>
    </row>
    <row r="648" ht="15.75" customHeight="1">
      <c r="A648" s="84" t="s">
        <v>36855</v>
      </c>
      <c r="B648" s="84">
        <v>1.0</v>
      </c>
      <c r="C648" s="186"/>
      <c r="D648" s="187"/>
      <c r="E648" s="188"/>
      <c r="F648" s="189"/>
      <c r="G648" s="190"/>
      <c r="H648" s="190"/>
      <c r="I648" s="84"/>
      <c r="J648" s="84"/>
      <c r="K648" s="84"/>
      <c r="L648" s="84"/>
      <c r="M648" s="84"/>
      <c r="N648" s="84"/>
      <c r="O648" s="84"/>
      <c r="P648" s="84"/>
      <c r="Q648" s="84"/>
      <c r="R648" s="84"/>
      <c r="S648" s="84"/>
      <c r="T648" s="84"/>
    </row>
    <row r="649" ht="15.75" customHeight="1">
      <c r="A649" s="84" t="s">
        <v>36856</v>
      </c>
      <c r="B649" s="84">
        <v>2.0</v>
      </c>
      <c r="C649" s="186"/>
      <c r="D649" s="187"/>
      <c r="E649" s="188"/>
      <c r="F649" s="189"/>
      <c r="G649" s="190"/>
      <c r="H649" s="190"/>
      <c r="I649" s="84"/>
      <c r="J649" s="84"/>
      <c r="K649" s="84"/>
      <c r="L649" s="84"/>
      <c r="M649" s="84"/>
      <c r="N649" s="84"/>
      <c r="O649" s="84"/>
      <c r="P649" s="84"/>
      <c r="Q649" s="84"/>
      <c r="R649" s="84"/>
      <c r="S649" s="84"/>
      <c r="T649" s="84"/>
    </row>
    <row r="650" ht="15.75" customHeight="1">
      <c r="A650" s="84" t="s">
        <v>36858</v>
      </c>
      <c r="B650" s="84">
        <v>1.0</v>
      </c>
      <c r="C650" s="186"/>
      <c r="D650" s="187"/>
      <c r="E650" s="188"/>
      <c r="F650" s="189"/>
      <c r="G650" s="190"/>
      <c r="H650" s="190"/>
      <c r="I650" s="84"/>
      <c r="J650" s="84"/>
      <c r="K650" s="84"/>
      <c r="L650" s="84"/>
      <c r="M650" s="84"/>
      <c r="N650" s="84"/>
      <c r="O650" s="84"/>
      <c r="P650" s="84"/>
      <c r="Q650" s="84"/>
      <c r="R650" s="84"/>
      <c r="S650" s="84"/>
      <c r="T650" s="84"/>
    </row>
    <row r="651" ht="15.75" customHeight="1">
      <c r="A651" s="84" t="s">
        <v>36860</v>
      </c>
      <c r="B651" s="84">
        <v>1.0</v>
      </c>
      <c r="C651" s="186"/>
      <c r="D651" s="187"/>
      <c r="E651" s="188"/>
      <c r="F651" s="189"/>
      <c r="G651" s="190"/>
      <c r="H651" s="190"/>
      <c r="I651" s="84"/>
      <c r="J651" s="84"/>
      <c r="K651" s="84"/>
      <c r="L651" s="84"/>
      <c r="M651" s="84"/>
      <c r="N651" s="84"/>
      <c r="O651" s="84"/>
      <c r="P651" s="84"/>
      <c r="Q651" s="84"/>
      <c r="R651" s="84"/>
      <c r="S651" s="84"/>
      <c r="T651" s="84"/>
    </row>
    <row r="652" ht="15.75" customHeight="1">
      <c r="A652" s="84" t="s">
        <v>36861</v>
      </c>
      <c r="B652" s="84">
        <v>2.0</v>
      </c>
      <c r="C652" s="186"/>
      <c r="D652" s="187"/>
      <c r="E652" s="188"/>
      <c r="F652" s="189"/>
      <c r="G652" s="190"/>
      <c r="H652" s="190"/>
      <c r="I652" s="84"/>
      <c r="J652" s="84"/>
      <c r="K652" s="84"/>
      <c r="L652" s="84"/>
      <c r="M652" s="84"/>
      <c r="N652" s="84"/>
      <c r="O652" s="84"/>
      <c r="P652" s="84"/>
      <c r="Q652" s="84"/>
      <c r="R652" s="84"/>
      <c r="S652" s="84"/>
      <c r="T652" s="84"/>
    </row>
    <row r="653" ht="15.75" customHeight="1">
      <c r="A653" s="84" t="s">
        <v>36863</v>
      </c>
      <c r="B653" s="84">
        <v>1.0</v>
      </c>
      <c r="C653" s="186"/>
      <c r="D653" s="187"/>
      <c r="E653" s="188"/>
      <c r="F653" s="189"/>
      <c r="G653" s="190"/>
      <c r="H653" s="190"/>
      <c r="I653" s="84"/>
      <c r="J653" s="84"/>
      <c r="K653" s="84"/>
      <c r="L653" s="84"/>
      <c r="M653" s="84"/>
      <c r="N653" s="84"/>
      <c r="O653" s="84"/>
      <c r="P653" s="84"/>
      <c r="Q653" s="84"/>
      <c r="R653" s="84"/>
      <c r="S653" s="84"/>
      <c r="T653" s="84"/>
    </row>
    <row r="654" ht="15.75" customHeight="1">
      <c r="A654" s="84" t="s">
        <v>36866</v>
      </c>
      <c r="B654" s="84">
        <v>2.0</v>
      </c>
      <c r="C654" s="186"/>
      <c r="D654" s="187"/>
      <c r="E654" s="188"/>
      <c r="F654" s="189"/>
      <c r="G654" s="190"/>
      <c r="H654" s="190"/>
      <c r="I654" s="84"/>
      <c r="J654" s="84"/>
      <c r="K654" s="84"/>
      <c r="L654" s="84"/>
      <c r="M654" s="84"/>
      <c r="N654" s="84"/>
      <c r="O654" s="84"/>
      <c r="P654" s="84"/>
      <c r="Q654" s="84"/>
      <c r="R654" s="84"/>
      <c r="S654" s="84"/>
      <c r="T654" s="84"/>
    </row>
    <row r="655" ht="15.75" customHeight="1">
      <c r="A655" s="84" t="s">
        <v>36867</v>
      </c>
      <c r="B655" s="84">
        <v>19.0</v>
      </c>
      <c r="C655" s="186"/>
      <c r="D655" s="187"/>
      <c r="E655" s="188"/>
      <c r="F655" s="189"/>
      <c r="G655" s="190"/>
      <c r="H655" s="190"/>
      <c r="I655" s="84"/>
      <c r="J655" s="84"/>
      <c r="K655" s="84"/>
      <c r="L655" s="84"/>
      <c r="M655" s="84"/>
      <c r="N655" s="84"/>
      <c r="O655" s="84"/>
      <c r="P655" s="84"/>
      <c r="Q655" s="84"/>
      <c r="R655" s="84"/>
      <c r="S655" s="84"/>
      <c r="T655" s="84"/>
    </row>
    <row r="656" ht="15.75" customHeight="1">
      <c r="A656" s="84" t="s">
        <v>36871</v>
      </c>
      <c r="B656" s="84">
        <v>5.0</v>
      </c>
      <c r="C656" s="186"/>
      <c r="D656" s="187"/>
      <c r="E656" s="188"/>
      <c r="F656" s="189"/>
      <c r="G656" s="190"/>
      <c r="H656" s="190"/>
      <c r="I656" s="84"/>
      <c r="J656" s="84"/>
      <c r="K656" s="84"/>
      <c r="L656" s="84"/>
      <c r="M656" s="84"/>
      <c r="N656" s="84"/>
      <c r="O656" s="84"/>
      <c r="P656" s="84"/>
      <c r="Q656" s="84"/>
      <c r="R656" s="84"/>
      <c r="S656" s="84"/>
      <c r="T656" s="84"/>
    </row>
    <row r="657" ht="15.75" customHeight="1">
      <c r="A657" s="84" t="s">
        <v>36872</v>
      </c>
      <c r="B657" s="84">
        <v>1.0</v>
      </c>
      <c r="C657" s="186"/>
      <c r="D657" s="187"/>
      <c r="E657" s="188"/>
      <c r="F657" s="189"/>
      <c r="G657" s="190"/>
      <c r="H657" s="190"/>
      <c r="I657" s="84"/>
      <c r="J657" s="84"/>
      <c r="K657" s="84"/>
      <c r="L657" s="84"/>
      <c r="M657" s="84"/>
      <c r="N657" s="84"/>
      <c r="O657" s="84"/>
      <c r="P657" s="84"/>
      <c r="Q657" s="84"/>
      <c r="R657" s="84"/>
      <c r="S657" s="84"/>
      <c r="T657" s="84"/>
    </row>
    <row r="658" ht="15.75" customHeight="1">
      <c r="A658" s="84" t="s">
        <v>36876</v>
      </c>
      <c r="B658" s="84">
        <v>1.0</v>
      </c>
      <c r="C658" s="186"/>
      <c r="D658" s="187"/>
      <c r="E658" s="188"/>
      <c r="F658" s="189"/>
      <c r="G658" s="190"/>
      <c r="H658" s="190"/>
      <c r="I658" s="84"/>
      <c r="J658" s="84"/>
      <c r="K658" s="84"/>
      <c r="L658" s="84"/>
      <c r="M658" s="84"/>
      <c r="N658" s="84"/>
      <c r="O658" s="84"/>
      <c r="P658" s="84"/>
      <c r="Q658" s="84"/>
      <c r="R658" s="84"/>
      <c r="S658" s="84"/>
      <c r="T658" s="84"/>
    </row>
    <row r="659" ht="15.75" customHeight="1">
      <c r="A659" s="84" t="s">
        <v>36878</v>
      </c>
      <c r="B659" s="84">
        <v>6.0</v>
      </c>
      <c r="C659" s="186"/>
      <c r="D659" s="187" t="s">
        <v>36867</v>
      </c>
      <c r="E659" s="188"/>
      <c r="F659" s="189"/>
      <c r="G659" s="190"/>
      <c r="H659" s="190"/>
      <c r="I659" s="84"/>
      <c r="J659" s="84"/>
      <c r="K659" s="84"/>
      <c r="L659" s="84"/>
      <c r="M659" s="84"/>
      <c r="N659" s="84"/>
      <c r="O659" s="84"/>
      <c r="P659" s="84"/>
      <c r="Q659" s="84"/>
      <c r="R659" s="84"/>
      <c r="S659" s="84"/>
      <c r="T659" s="84"/>
    </row>
    <row r="660" ht="15.75" customHeight="1">
      <c r="A660" s="84" t="s">
        <v>36879</v>
      </c>
      <c r="B660" s="84">
        <v>1.0</v>
      </c>
      <c r="C660" s="186"/>
      <c r="D660" s="187"/>
      <c r="E660" s="188"/>
      <c r="F660" s="189"/>
      <c r="G660" s="190"/>
      <c r="H660" s="190"/>
      <c r="I660" s="84"/>
      <c r="J660" s="84"/>
      <c r="K660" s="84"/>
      <c r="L660" s="84"/>
      <c r="M660" s="84"/>
      <c r="N660" s="84"/>
      <c r="O660" s="84"/>
      <c r="P660" s="84"/>
      <c r="Q660" s="84"/>
      <c r="R660" s="84"/>
      <c r="S660" s="84"/>
      <c r="T660" s="84"/>
    </row>
    <row r="661" ht="15.75" customHeight="1">
      <c r="A661" s="84" t="s">
        <v>36884</v>
      </c>
      <c r="B661" s="84">
        <v>1.0</v>
      </c>
      <c r="C661" s="186"/>
      <c r="D661" s="187"/>
      <c r="E661" s="188"/>
      <c r="F661" s="189"/>
      <c r="G661" s="190"/>
      <c r="H661" s="190"/>
      <c r="I661" s="84"/>
      <c r="J661" s="84"/>
      <c r="K661" s="84"/>
      <c r="L661" s="84"/>
      <c r="M661" s="84"/>
      <c r="N661" s="84"/>
      <c r="O661" s="84"/>
      <c r="P661" s="84"/>
      <c r="Q661" s="84"/>
      <c r="R661" s="84"/>
      <c r="S661" s="84"/>
      <c r="T661" s="84"/>
    </row>
    <row r="662" ht="15.75" customHeight="1">
      <c r="A662" s="84" t="s">
        <v>36885</v>
      </c>
      <c r="B662" s="84">
        <v>1.0</v>
      </c>
      <c r="C662" s="186"/>
      <c r="D662" s="187"/>
      <c r="E662" s="188"/>
      <c r="F662" s="189"/>
      <c r="G662" s="190"/>
      <c r="H662" s="190"/>
      <c r="I662" s="84"/>
      <c r="J662" s="84"/>
      <c r="K662" s="84"/>
      <c r="L662" s="84"/>
      <c r="M662" s="84"/>
      <c r="N662" s="84"/>
      <c r="O662" s="84"/>
      <c r="P662" s="84"/>
      <c r="Q662" s="84"/>
      <c r="R662" s="84"/>
      <c r="S662" s="84"/>
      <c r="T662" s="84"/>
    </row>
    <row r="663" ht="15.75" customHeight="1">
      <c r="A663" s="84" t="s">
        <v>36888</v>
      </c>
      <c r="B663" s="84">
        <v>1.0</v>
      </c>
      <c r="C663" s="186"/>
      <c r="D663" s="187"/>
      <c r="E663" s="188"/>
      <c r="F663" s="189"/>
      <c r="G663" s="190"/>
      <c r="H663" s="190"/>
      <c r="I663" s="84"/>
      <c r="J663" s="84"/>
      <c r="K663" s="84"/>
      <c r="L663" s="84"/>
      <c r="M663" s="84"/>
      <c r="N663" s="84"/>
      <c r="O663" s="84"/>
      <c r="P663" s="84"/>
      <c r="Q663" s="84"/>
      <c r="R663" s="84"/>
      <c r="S663" s="84"/>
      <c r="T663" s="84"/>
    </row>
    <row r="664" ht="15.75" customHeight="1">
      <c r="A664" s="84" t="s">
        <v>36889</v>
      </c>
      <c r="B664" s="84">
        <v>2.0</v>
      </c>
      <c r="C664" s="186"/>
      <c r="D664" s="187"/>
      <c r="E664" s="188"/>
      <c r="F664" s="189"/>
      <c r="G664" s="190"/>
      <c r="H664" s="190"/>
      <c r="I664" s="84"/>
      <c r="J664" s="84"/>
      <c r="K664" s="84"/>
      <c r="L664" s="84"/>
      <c r="M664" s="84"/>
      <c r="N664" s="84"/>
      <c r="O664" s="84"/>
      <c r="P664" s="84"/>
      <c r="Q664" s="84"/>
      <c r="R664" s="84"/>
      <c r="S664" s="84"/>
      <c r="T664" s="84"/>
    </row>
    <row r="665" ht="15.75" customHeight="1">
      <c r="A665" s="84" t="s">
        <v>36890</v>
      </c>
      <c r="B665" s="84">
        <v>1.0</v>
      </c>
      <c r="C665" s="186"/>
      <c r="D665" s="187"/>
      <c r="E665" s="188"/>
      <c r="F665" s="189"/>
      <c r="G665" s="190"/>
      <c r="H665" s="190"/>
      <c r="I665" s="84"/>
      <c r="J665" s="84"/>
      <c r="K665" s="84"/>
      <c r="L665" s="84"/>
      <c r="M665" s="84"/>
      <c r="N665" s="84"/>
      <c r="O665" s="84"/>
      <c r="P665" s="84"/>
      <c r="Q665" s="84"/>
      <c r="R665" s="84"/>
      <c r="S665" s="84"/>
      <c r="T665" s="84"/>
    </row>
    <row r="666" ht="15.75" customHeight="1">
      <c r="A666" s="84" t="s">
        <v>36891</v>
      </c>
      <c r="B666" s="84">
        <v>1.0</v>
      </c>
      <c r="C666" s="186"/>
      <c r="D666" s="187"/>
      <c r="E666" s="188"/>
      <c r="F666" s="189"/>
      <c r="G666" s="190"/>
      <c r="H666" s="190"/>
      <c r="I666" s="84"/>
      <c r="J666" s="84"/>
      <c r="K666" s="84"/>
      <c r="L666" s="84"/>
      <c r="M666" s="84"/>
      <c r="N666" s="84"/>
      <c r="O666" s="84"/>
      <c r="P666" s="84"/>
      <c r="Q666" s="84"/>
      <c r="R666" s="84"/>
      <c r="S666" s="84"/>
      <c r="T666" s="84"/>
    </row>
    <row r="667" ht="15.75" customHeight="1">
      <c r="A667" s="84" t="s">
        <v>36894</v>
      </c>
      <c r="B667" s="84">
        <v>1.0</v>
      </c>
      <c r="C667" s="186"/>
      <c r="D667" s="187"/>
      <c r="E667" s="188"/>
      <c r="F667" s="189"/>
      <c r="G667" s="190"/>
      <c r="H667" s="190"/>
      <c r="I667" s="84"/>
      <c r="J667" s="84"/>
      <c r="K667" s="84"/>
      <c r="L667" s="84"/>
      <c r="M667" s="84"/>
      <c r="N667" s="84"/>
      <c r="O667" s="84"/>
      <c r="P667" s="84"/>
      <c r="Q667" s="84"/>
      <c r="R667" s="84"/>
      <c r="S667" s="84"/>
      <c r="T667" s="84"/>
    </row>
    <row r="668" ht="15.75" customHeight="1">
      <c r="A668" s="84" t="s">
        <v>36895</v>
      </c>
      <c r="B668" s="84">
        <v>1.0</v>
      </c>
      <c r="C668" s="186"/>
      <c r="D668" s="187"/>
      <c r="E668" s="188"/>
      <c r="F668" s="189"/>
      <c r="G668" s="190"/>
      <c r="H668" s="190"/>
      <c r="I668" s="84"/>
      <c r="J668" s="84"/>
      <c r="K668" s="84"/>
      <c r="L668" s="84"/>
      <c r="M668" s="84"/>
      <c r="N668" s="84"/>
      <c r="O668" s="84"/>
      <c r="P668" s="84"/>
      <c r="Q668" s="84"/>
      <c r="R668" s="84"/>
      <c r="S668" s="84"/>
      <c r="T668" s="84"/>
    </row>
    <row r="669" ht="15.75" customHeight="1">
      <c r="A669" s="84" t="s">
        <v>36896</v>
      </c>
      <c r="B669" s="84">
        <v>4.0</v>
      </c>
      <c r="C669" s="186"/>
      <c r="D669" s="187"/>
      <c r="E669" s="188"/>
      <c r="F669" s="189"/>
      <c r="G669" s="190"/>
      <c r="H669" s="190"/>
      <c r="I669" s="84"/>
      <c r="J669" s="84"/>
      <c r="K669" s="84"/>
      <c r="L669" s="84"/>
      <c r="M669" s="84"/>
      <c r="N669" s="84"/>
      <c r="O669" s="84"/>
      <c r="P669" s="84"/>
      <c r="Q669" s="84"/>
      <c r="R669" s="84"/>
      <c r="S669" s="84"/>
      <c r="T669" s="84"/>
    </row>
    <row r="670" ht="15.75" customHeight="1">
      <c r="A670" s="84" t="s">
        <v>36899</v>
      </c>
      <c r="B670" s="84">
        <v>1.0</v>
      </c>
      <c r="C670" s="186"/>
      <c r="D670" s="187"/>
      <c r="E670" s="188"/>
      <c r="F670" s="189"/>
      <c r="G670" s="190"/>
      <c r="H670" s="190"/>
      <c r="I670" s="84"/>
      <c r="J670" s="84"/>
      <c r="K670" s="84"/>
      <c r="L670" s="84"/>
      <c r="M670" s="84"/>
      <c r="N670" s="84"/>
      <c r="O670" s="84"/>
      <c r="P670" s="84"/>
      <c r="Q670" s="84"/>
      <c r="R670" s="84"/>
      <c r="S670" s="84"/>
      <c r="T670" s="84"/>
    </row>
    <row r="671" ht="15.75" customHeight="1">
      <c r="A671" s="84" t="s">
        <v>36902</v>
      </c>
      <c r="B671" s="84">
        <v>1.0</v>
      </c>
      <c r="C671" s="186"/>
      <c r="D671" s="187"/>
      <c r="E671" s="188"/>
      <c r="F671" s="189"/>
      <c r="G671" s="190"/>
      <c r="H671" s="190"/>
      <c r="I671" s="84"/>
      <c r="J671" s="84"/>
      <c r="K671" s="84"/>
      <c r="L671" s="84"/>
      <c r="M671" s="84"/>
      <c r="N671" s="84"/>
      <c r="O671" s="84"/>
      <c r="P671" s="84"/>
      <c r="Q671" s="84"/>
      <c r="R671" s="84"/>
      <c r="S671" s="84"/>
      <c r="T671" s="84"/>
    </row>
    <row r="672" ht="15.75" customHeight="1">
      <c r="A672" s="84" t="s">
        <v>36905</v>
      </c>
      <c r="B672" s="84">
        <v>2.0</v>
      </c>
      <c r="C672" s="186"/>
      <c r="D672" s="187"/>
      <c r="E672" s="188"/>
      <c r="F672" s="189"/>
      <c r="G672" s="190"/>
      <c r="H672" s="190"/>
      <c r="I672" s="84"/>
      <c r="J672" s="84"/>
      <c r="K672" s="84"/>
      <c r="L672" s="84"/>
      <c r="M672" s="84"/>
      <c r="N672" s="84"/>
      <c r="O672" s="84"/>
      <c r="P672" s="84"/>
      <c r="Q672" s="84"/>
      <c r="R672" s="84"/>
      <c r="S672" s="84"/>
      <c r="T672" s="84"/>
    </row>
    <row r="673" ht="15.75" customHeight="1">
      <c r="A673" s="84" t="s">
        <v>36906</v>
      </c>
      <c r="B673" s="84">
        <v>3.0</v>
      </c>
      <c r="C673" s="186"/>
      <c r="D673" s="187" t="s">
        <v>36879</v>
      </c>
      <c r="E673" s="188"/>
      <c r="F673" s="189"/>
      <c r="G673" s="190"/>
      <c r="H673" s="190"/>
      <c r="I673" s="84"/>
      <c r="J673" s="84"/>
      <c r="K673" s="84"/>
      <c r="L673" s="84"/>
      <c r="M673" s="84"/>
      <c r="N673" s="84"/>
      <c r="O673" s="84"/>
      <c r="P673" s="84"/>
      <c r="Q673" s="84"/>
      <c r="R673" s="84"/>
      <c r="S673" s="84"/>
      <c r="T673" s="84"/>
    </row>
    <row r="674" ht="15.75" customHeight="1">
      <c r="A674" s="84" t="s">
        <v>36907</v>
      </c>
      <c r="B674" s="84">
        <v>1.0</v>
      </c>
      <c r="C674" s="186"/>
      <c r="D674" s="187"/>
      <c r="E674" s="188"/>
      <c r="F674" s="189"/>
      <c r="G674" s="190"/>
      <c r="H674" s="190"/>
      <c r="I674" s="84"/>
      <c r="J674" s="84"/>
      <c r="K674" s="84"/>
      <c r="L674" s="84"/>
      <c r="M674" s="84"/>
      <c r="N674" s="84"/>
      <c r="O674" s="84"/>
      <c r="P674" s="84"/>
      <c r="Q674" s="84"/>
      <c r="R674" s="84"/>
      <c r="S674" s="84"/>
      <c r="T674" s="84"/>
    </row>
    <row r="675" ht="15.75" customHeight="1">
      <c r="A675" s="84" t="s">
        <v>36908</v>
      </c>
      <c r="B675" s="84">
        <v>1.0</v>
      </c>
      <c r="C675" s="186"/>
      <c r="D675" s="187"/>
      <c r="E675" s="188"/>
      <c r="F675" s="189"/>
      <c r="G675" s="190"/>
      <c r="H675" s="190"/>
      <c r="I675" s="84"/>
      <c r="J675" s="84"/>
      <c r="K675" s="84"/>
      <c r="L675" s="84"/>
      <c r="M675" s="84"/>
      <c r="N675" s="84"/>
      <c r="O675" s="84"/>
      <c r="P675" s="84"/>
      <c r="Q675" s="84"/>
      <c r="R675" s="84"/>
      <c r="S675" s="84"/>
      <c r="T675" s="84"/>
    </row>
    <row r="676" ht="15.75" customHeight="1">
      <c r="A676" s="84" t="s">
        <v>36911</v>
      </c>
      <c r="B676" s="84">
        <v>2.0</v>
      </c>
      <c r="C676" s="186" t="s">
        <v>18275</v>
      </c>
      <c r="D676" s="187" t="s">
        <v>36867</v>
      </c>
      <c r="E676" s="188"/>
      <c r="F676" s="189"/>
      <c r="G676" s="190"/>
      <c r="H676" s="190"/>
      <c r="I676" s="84"/>
      <c r="J676" s="84"/>
      <c r="K676" s="84"/>
      <c r="L676" s="84"/>
      <c r="M676" s="84"/>
      <c r="N676" s="84"/>
      <c r="O676" s="84"/>
      <c r="P676" s="84"/>
      <c r="Q676" s="84"/>
      <c r="R676" s="84"/>
      <c r="S676" s="84"/>
      <c r="T676" s="84"/>
    </row>
    <row r="677" ht="15.75" customHeight="1">
      <c r="A677" s="84" t="s">
        <v>36913</v>
      </c>
      <c r="B677" s="84">
        <v>1.0</v>
      </c>
      <c r="C677" s="186"/>
      <c r="D677" s="187"/>
      <c r="E677" s="188"/>
      <c r="F677" s="189"/>
      <c r="G677" s="190"/>
      <c r="H677" s="190"/>
      <c r="I677" s="84"/>
      <c r="J677" s="84"/>
      <c r="K677" s="84"/>
      <c r="L677" s="84"/>
      <c r="M677" s="84"/>
      <c r="N677" s="84"/>
      <c r="O677" s="84"/>
      <c r="P677" s="84"/>
      <c r="Q677" s="84"/>
      <c r="R677" s="84"/>
      <c r="S677" s="84"/>
      <c r="T677" s="84"/>
    </row>
    <row r="678" ht="15.75" customHeight="1">
      <c r="A678" s="84" t="s">
        <v>36914</v>
      </c>
      <c r="B678" s="84">
        <v>1.0</v>
      </c>
      <c r="C678" s="186"/>
      <c r="D678" s="187"/>
      <c r="E678" s="188"/>
      <c r="F678" s="189"/>
      <c r="G678" s="190"/>
      <c r="H678" s="190"/>
      <c r="I678" s="84"/>
      <c r="J678" s="84"/>
      <c r="K678" s="84"/>
      <c r="L678" s="84"/>
      <c r="M678" s="84"/>
      <c r="N678" s="84"/>
      <c r="O678" s="84"/>
      <c r="P678" s="84"/>
      <c r="Q678" s="84"/>
      <c r="R678" s="84"/>
      <c r="S678" s="84"/>
      <c r="T678" s="84"/>
    </row>
    <row r="679" ht="15.75" customHeight="1">
      <c r="A679" s="84" t="s">
        <v>36917</v>
      </c>
      <c r="B679" s="84">
        <v>5.0</v>
      </c>
      <c r="C679" s="186"/>
      <c r="D679" s="187"/>
      <c r="E679" s="188"/>
      <c r="F679" s="189"/>
      <c r="G679" s="190"/>
      <c r="H679" s="190"/>
      <c r="I679" s="84"/>
      <c r="J679" s="84"/>
      <c r="K679" s="84"/>
      <c r="L679" s="84"/>
      <c r="M679" s="84"/>
      <c r="N679" s="84"/>
      <c r="O679" s="84"/>
      <c r="P679" s="84"/>
      <c r="Q679" s="84"/>
      <c r="R679" s="84"/>
      <c r="S679" s="84"/>
      <c r="T679" s="84"/>
    </row>
    <row r="680" ht="15.75" customHeight="1">
      <c r="A680" s="84" t="s">
        <v>36919</v>
      </c>
      <c r="B680" s="84">
        <v>1.0</v>
      </c>
      <c r="C680" s="186"/>
      <c r="D680" s="187"/>
      <c r="E680" s="188"/>
      <c r="F680" s="189"/>
      <c r="G680" s="190"/>
      <c r="H680" s="190"/>
      <c r="I680" s="84"/>
      <c r="J680" s="84"/>
      <c r="K680" s="84"/>
      <c r="L680" s="84"/>
      <c r="M680" s="84"/>
      <c r="N680" s="84"/>
      <c r="O680" s="84"/>
      <c r="P680" s="84"/>
      <c r="Q680" s="84"/>
      <c r="R680" s="84"/>
      <c r="S680" s="84"/>
      <c r="T680" s="84"/>
    </row>
    <row r="681" ht="15.75" customHeight="1">
      <c r="A681" s="84" t="s">
        <v>36920</v>
      </c>
      <c r="B681" s="84">
        <v>1.0</v>
      </c>
      <c r="C681" s="186"/>
      <c r="D681" s="187"/>
      <c r="E681" s="188"/>
      <c r="F681" s="189"/>
      <c r="G681" s="190"/>
      <c r="H681" s="190"/>
      <c r="I681" s="84"/>
      <c r="J681" s="84"/>
      <c r="K681" s="84"/>
      <c r="L681" s="84"/>
      <c r="M681" s="84"/>
      <c r="N681" s="84"/>
      <c r="O681" s="84"/>
      <c r="P681" s="84"/>
      <c r="Q681" s="84"/>
      <c r="R681" s="84"/>
      <c r="S681" s="84"/>
      <c r="T681" s="84"/>
    </row>
    <row r="682" ht="15.75" customHeight="1">
      <c r="A682" s="84" t="s">
        <v>36922</v>
      </c>
      <c r="B682" s="84">
        <v>1.0</v>
      </c>
      <c r="C682" s="186"/>
      <c r="D682" s="187"/>
      <c r="E682" s="188"/>
      <c r="F682" s="189"/>
      <c r="G682" s="190"/>
      <c r="H682" s="190"/>
      <c r="I682" s="84"/>
      <c r="J682" s="84"/>
      <c r="K682" s="84"/>
      <c r="L682" s="84"/>
      <c r="M682" s="84"/>
      <c r="N682" s="84"/>
      <c r="O682" s="84"/>
      <c r="P682" s="84"/>
      <c r="Q682" s="84"/>
      <c r="R682" s="84"/>
      <c r="S682" s="84"/>
      <c r="T682" s="84"/>
    </row>
    <row r="683" ht="15.75" customHeight="1">
      <c r="A683" s="84" t="s">
        <v>36925</v>
      </c>
      <c r="B683" s="84">
        <v>2.0</v>
      </c>
      <c r="C683" s="186"/>
      <c r="D683" s="187"/>
      <c r="E683" s="188"/>
      <c r="F683" s="189"/>
      <c r="G683" s="190"/>
      <c r="H683" s="190"/>
      <c r="I683" s="84"/>
      <c r="J683" s="84"/>
      <c r="K683" s="84"/>
      <c r="L683" s="84"/>
      <c r="M683" s="84"/>
      <c r="N683" s="84"/>
      <c r="O683" s="84"/>
      <c r="P683" s="84"/>
      <c r="Q683" s="84"/>
      <c r="R683" s="84"/>
      <c r="S683" s="84"/>
      <c r="T683" s="84"/>
    </row>
    <row r="684" ht="15.75" customHeight="1">
      <c r="A684" s="84" t="s">
        <v>36926</v>
      </c>
      <c r="B684" s="84">
        <v>5.0</v>
      </c>
      <c r="C684" s="186"/>
      <c r="D684" s="187" t="s">
        <v>36927</v>
      </c>
      <c r="E684" s="188"/>
      <c r="F684" s="189"/>
      <c r="G684" s="190"/>
      <c r="H684" s="190"/>
      <c r="I684" s="84"/>
      <c r="J684" s="84"/>
      <c r="K684" s="84"/>
      <c r="L684" s="84"/>
      <c r="M684" s="84"/>
      <c r="N684" s="84"/>
      <c r="O684" s="84"/>
      <c r="P684" s="84"/>
      <c r="Q684" s="84"/>
      <c r="R684" s="84"/>
      <c r="S684" s="84"/>
      <c r="T684" s="84"/>
    </row>
    <row r="685" ht="15.75" customHeight="1">
      <c r="A685" s="84" t="s">
        <v>36930</v>
      </c>
      <c r="B685" s="84">
        <v>4.0</v>
      </c>
      <c r="C685" s="186"/>
      <c r="D685" s="187"/>
      <c r="E685" s="188"/>
      <c r="F685" s="189"/>
      <c r="G685" s="190"/>
      <c r="H685" s="190"/>
      <c r="I685" s="84"/>
      <c r="J685" s="84"/>
      <c r="K685" s="84"/>
      <c r="L685" s="84"/>
      <c r="M685" s="84"/>
      <c r="N685" s="84"/>
      <c r="O685" s="84"/>
      <c r="P685" s="84"/>
      <c r="Q685" s="84"/>
      <c r="R685" s="84"/>
      <c r="S685" s="84"/>
      <c r="T685" s="84"/>
    </row>
    <row r="686" ht="15.75" customHeight="1">
      <c r="A686" s="84" t="s">
        <v>36927</v>
      </c>
      <c r="B686" s="84">
        <v>5.0</v>
      </c>
      <c r="C686" s="186"/>
      <c r="D686" s="187"/>
      <c r="E686" s="188"/>
      <c r="F686" s="189"/>
      <c r="G686" s="190"/>
      <c r="H686" s="190"/>
      <c r="I686" s="84"/>
      <c r="J686" s="84"/>
      <c r="K686" s="84"/>
      <c r="L686" s="84"/>
      <c r="M686" s="84"/>
      <c r="N686" s="84"/>
      <c r="O686" s="84"/>
      <c r="P686" s="84"/>
      <c r="Q686" s="84"/>
      <c r="R686" s="84"/>
      <c r="S686" s="84"/>
      <c r="T686" s="84"/>
    </row>
    <row r="687" ht="15.75" customHeight="1">
      <c r="A687" s="84" t="s">
        <v>36932</v>
      </c>
      <c r="B687" s="84">
        <v>1.0</v>
      </c>
      <c r="C687" s="186"/>
      <c r="D687" s="187"/>
      <c r="E687" s="188"/>
      <c r="F687" s="189"/>
      <c r="G687" s="190"/>
      <c r="H687" s="190"/>
      <c r="I687" s="84"/>
      <c r="J687" s="84"/>
      <c r="K687" s="84"/>
      <c r="L687" s="84"/>
      <c r="M687" s="84"/>
      <c r="N687" s="84"/>
      <c r="O687" s="84"/>
      <c r="P687" s="84"/>
      <c r="Q687" s="84"/>
      <c r="R687" s="84"/>
      <c r="S687" s="84"/>
      <c r="T687" s="84"/>
    </row>
    <row r="688" ht="15.75" customHeight="1">
      <c r="A688" s="84" t="s">
        <v>36935</v>
      </c>
      <c r="B688" s="84">
        <v>1.0</v>
      </c>
      <c r="C688" s="186"/>
      <c r="D688" s="187"/>
      <c r="E688" s="188"/>
      <c r="F688" s="189"/>
      <c r="G688" s="190"/>
      <c r="H688" s="190"/>
      <c r="I688" s="84"/>
      <c r="J688" s="84"/>
      <c r="K688" s="84"/>
      <c r="L688" s="84"/>
      <c r="M688" s="84"/>
      <c r="N688" s="84"/>
      <c r="O688" s="84"/>
      <c r="P688" s="84"/>
      <c r="Q688" s="84"/>
      <c r="R688" s="84"/>
      <c r="S688" s="84"/>
      <c r="T688" s="84"/>
    </row>
    <row r="689" ht="15.75" customHeight="1">
      <c r="A689" s="84" t="s">
        <v>36936</v>
      </c>
      <c r="B689" s="84">
        <v>1.0</v>
      </c>
      <c r="C689" s="186"/>
      <c r="D689" s="187"/>
      <c r="E689" s="188"/>
      <c r="F689" s="189"/>
      <c r="G689" s="190"/>
      <c r="H689" s="190"/>
      <c r="I689" s="84" t="s">
        <v>36106</v>
      </c>
      <c r="J689" s="84"/>
      <c r="K689" s="84"/>
      <c r="L689" s="84"/>
      <c r="M689" s="84"/>
      <c r="N689" s="84"/>
      <c r="O689" s="84"/>
      <c r="P689" s="84"/>
      <c r="Q689" s="84"/>
      <c r="R689" s="84"/>
      <c r="S689" s="84"/>
      <c r="T689" s="84"/>
    </row>
    <row r="690" ht="15.75" customHeight="1">
      <c r="A690" s="84" t="s">
        <v>36937</v>
      </c>
      <c r="B690" s="84">
        <v>1.0</v>
      </c>
      <c r="C690" s="186"/>
      <c r="D690" s="187"/>
      <c r="E690" s="188"/>
      <c r="F690" s="189"/>
      <c r="G690" s="190"/>
      <c r="H690" s="190"/>
      <c r="I690" s="84"/>
      <c r="J690" s="84"/>
      <c r="K690" s="84"/>
      <c r="L690" s="84"/>
      <c r="M690" s="84"/>
      <c r="N690" s="84"/>
      <c r="O690" s="84"/>
      <c r="P690" s="84"/>
      <c r="Q690" s="84"/>
      <c r="R690" s="84"/>
      <c r="S690" s="84"/>
      <c r="T690" s="84"/>
    </row>
    <row r="691" ht="15.75" customHeight="1">
      <c r="A691" s="84" t="s">
        <v>36941</v>
      </c>
      <c r="B691" s="84">
        <v>1.0</v>
      </c>
      <c r="C691" s="186"/>
      <c r="D691" s="187"/>
      <c r="E691" s="188"/>
      <c r="F691" s="189"/>
      <c r="G691" s="190"/>
      <c r="H691" s="190"/>
      <c r="I691" s="84"/>
      <c r="J691" s="84"/>
      <c r="K691" s="84"/>
      <c r="L691" s="84"/>
      <c r="M691" s="84"/>
      <c r="N691" s="84"/>
      <c r="O691" s="84"/>
      <c r="P691" s="84"/>
      <c r="Q691" s="84"/>
      <c r="R691" s="84"/>
      <c r="S691" s="84"/>
      <c r="T691" s="84"/>
    </row>
    <row r="692" ht="15.75" customHeight="1">
      <c r="A692" s="84" t="s">
        <v>36942</v>
      </c>
      <c r="B692" s="84">
        <v>1.0</v>
      </c>
      <c r="C692" s="186"/>
      <c r="D692" s="187"/>
      <c r="E692" s="188"/>
      <c r="F692" s="189"/>
      <c r="G692" s="190"/>
      <c r="H692" s="190"/>
      <c r="I692" s="84"/>
      <c r="J692" s="84"/>
      <c r="K692" s="84"/>
      <c r="L692" s="84"/>
      <c r="M692" s="84"/>
      <c r="N692" s="84"/>
      <c r="O692" s="84"/>
      <c r="P692" s="84"/>
      <c r="Q692" s="84"/>
      <c r="R692" s="84"/>
      <c r="S692" s="84"/>
      <c r="T692" s="84"/>
    </row>
    <row r="693" ht="15.75" customHeight="1">
      <c r="A693" s="84" t="s">
        <v>36943</v>
      </c>
      <c r="B693" s="84">
        <v>2.0</v>
      </c>
      <c r="C693" s="186"/>
      <c r="D693" s="187"/>
      <c r="E693" s="188"/>
      <c r="F693" s="189"/>
      <c r="G693" s="190"/>
      <c r="H693" s="190"/>
      <c r="I693" s="84"/>
      <c r="J693" s="84"/>
      <c r="K693" s="84"/>
      <c r="L693" s="84"/>
      <c r="M693" s="84"/>
      <c r="N693" s="84"/>
      <c r="O693" s="84"/>
      <c r="P693" s="84"/>
      <c r="Q693" s="84"/>
      <c r="R693" s="84"/>
      <c r="S693" s="84"/>
      <c r="T693" s="84"/>
    </row>
    <row r="694" ht="15.75" customHeight="1">
      <c r="A694" s="84" t="s">
        <v>36944</v>
      </c>
      <c r="B694" s="84">
        <v>1.0</v>
      </c>
      <c r="C694" s="186"/>
      <c r="D694" s="187"/>
      <c r="E694" s="188"/>
      <c r="F694" s="189"/>
      <c r="G694" s="190"/>
      <c r="H694" s="190"/>
      <c r="I694" s="84"/>
      <c r="J694" s="84"/>
      <c r="K694" s="84"/>
      <c r="L694" s="84"/>
      <c r="M694" s="84"/>
      <c r="N694" s="84"/>
      <c r="O694" s="84"/>
      <c r="P694" s="84"/>
      <c r="Q694" s="84"/>
      <c r="R694" s="84"/>
      <c r="S694" s="84"/>
      <c r="T694" s="84"/>
    </row>
    <row r="695" ht="15.75" customHeight="1">
      <c r="A695" s="84" t="s">
        <v>36945</v>
      </c>
      <c r="B695" s="84">
        <v>3.0</v>
      </c>
      <c r="C695" s="186"/>
      <c r="D695" s="187"/>
      <c r="E695" s="188"/>
      <c r="F695" s="189"/>
      <c r="G695" s="190"/>
      <c r="H695" s="190"/>
      <c r="I695" s="84"/>
      <c r="J695" s="84"/>
      <c r="K695" s="84"/>
      <c r="L695" s="84"/>
      <c r="M695" s="84"/>
      <c r="N695" s="84"/>
      <c r="O695" s="84"/>
      <c r="P695" s="84"/>
      <c r="Q695" s="84"/>
      <c r="R695" s="84"/>
      <c r="S695" s="84"/>
      <c r="T695" s="84"/>
    </row>
    <row r="696" ht="15.75" customHeight="1">
      <c r="A696" s="84" t="s">
        <v>36948</v>
      </c>
      <c r="B696" s="84">
        <v>1.0</v>
      </c>
      <c r="C696" s="186"/>
      <c r="D696" s="187"/>
      <c r="E696" s="188"/>
      <c r="F696" s="189"/>
      <c r="G696" s="190"/>
      <c r="H696" s="190"/>
      <c r="I696" s="84"/>
      <c r="J696" s="84"/>
      <c r="K696" s="84"/>
      <c r="L696" s="84"/>
      <c r="M696" s="84"/>
      <c r="N696" s="84"/>
      <c r="O696" s="84"/>
      <c r="P696" s="84"/>
      <c r="Q696" s="84"/>
      <c r="R696" s="84"/>
      <c r="S696" s="84"/>
      <c r="T696" s="84"/>
    </row>
    <row r="697" ht="15.75" customHeight="1">
      <c r="A697" s="84" t="s">
        <v>36949</v>
      </c>
      <c r="B697" s="84">
        <v>1.0</v>
      </c>
      <c r="C697" s="186"/>
      <c r="D697" s="187"/>
      <c r="E697" s="188"/>
      <c r="F697" s="189"/>
      <c r="G697" s="190"/>
      <c r="H697" s="190"/>
      <c r="I697" s="84"/>
      <c r="J697" s="84"/>
      <c r="K697" s="84"/>
      <c r="L697" s="84"/>
      <c r="M697" s="84"/>
      <c r="N697" s="84"/>
      <c r="O697" s="84"/>
      <c r="P697" s="84"/>
      <c r="Q697" s="84"/>
      <c r="R697" s="84"/>
      <c r="S697" s="84"/>
      <c r="T697" s="84"/>
    </row>
    <row r="698" ht="15.75" customHeight="1">
      <c r="A698" s="84" t="s">
        <v>36950</v>
      </c>
      <c r="B698" s="84">
        <v>1.0</v>
      </c>
      <c r="C698" s="186"/>
      <c r="D698" s="187"/>
      <c r="E698" s="188"/>
      <c r="F698" s="189"/>
      <c r="G698" s="190"/>
      <c r="H698" s="190"/>
      <c r="I698" s="84"/>
      <c r="J698" s="84"/>
      <c r="K698" s="84"/>
      <c r="L698" s="84"/>
      <c r="M698" s="84"/>
      <c r="N698" s="84"/>
      <c r="O698" s="84"/>
      <c r="P698" s="84"/>
      <c r="Q698" s="84"/>
      <c r="R698" s="84"/>
      <c r="S698" s="84"/>
      <c r="T698" s="84"/>
    </row>
    <row r="699" ht="15.75" customHeight="1">
      <c r="A699" s="84" t="s">
        <v>36951</v>
      </c>
      <c r="B699" s="84">
        <v>1.0</v>
      </c>
      <c r="C699" s="186"/>
      <c r="D699" s="187"/>
      <c r="E699" s="188"/>
      <c r="F699" s="189"/>
      <c r="G699" s="190"/>
      <c r="H699" s="190"/>
      <c r="I699" s="84"/>
      <c r="J699" s="84"/>
      <c r="K699" s="84"/>
      <c r="L699" s="84"/>
      <c r="M699" s="84"/>
      <c r="N699" s="84"/>
      <c r="O699" s="84"/>
      <c r="P699" s="84"/>
      <c r="Q699" s="84"/>
      <c r="R699" s="84"/>
      <c r="S699" s="84"/>
      <c r="T699" s="84"/>
    </row>
    <row r="700" ht="15.75" customHeight="1">
      <c r="A700" s="84" t="s">
        <v>36953</v>
      </c>
      <c r="B700" s="84">
        <v>2.0</v>
      </c>
      <c r="C700" s="186"/>
      <c r="D700" s="187"/>
      <c r="E700" s="188"/>
      <c r="F700" s="189"/>
      <c r="G700" s="190"/>
      <c r="H700" s="190"/>
      <c r="I700" s="84"/>
      <c r="J700" s="84"/>
      <c r="K700" s="84"/>
      <c r="L700" s="84"/>
      <c r="M700" s="84"/>
      <c r="N700" s="84"/>
      <c r="O700" s="84"/>
      <c r="P700" s="84"/>
      <c r="Q700" s="84"/>
      <c r="R700" s="84"/>
      <c r="S700" s="84"/>
      <c r="T700" s="84"/>
    </row>
    <row r="701" ht="15.75" customHeight="1">
      <c r="A701" s="84" t="s">
        <v>36955</v>
      </c>
      <c r="B701" s="84">
        <v>1.0</v>
      </c>
      <c r="C701" s="186"/>
      <c r="D701" s="187"/>
      <c r="E701" s="188"/>
      <c r="F701" s="189"/>
      <c r="G701" s="190"/>
      <c r="H701" s="190"/>
      <c r="I701" s="84"/>
      <c r="J701" s="84"/>
      <c r="K701" s="84"/>
      <c r="L701" s="84"/>
      <c r="M701" s="84"/>
      <c r="N701" s="84"/>
      <c r="O701" s="84"/>
      <c r="P701" s="84"/>
      <c r="Q701" s="84"/>
      <c r="R701" s="84"/>
      <c r="S701" s="84"/>
      <c r="T701" s="84"/>
    </row>
    <row r="702" ht="15.75" customHeight="1">
      <c r="A702" s="84" t="s">
        <v>36956</v>
      </c>
      <c r="B702" s="84">
        <v>1.0</v>
      </c>
      <c r="C702" s="186"/>
      <c r="D702" s="187"/>
      <c r="E702" s="188"/>
      <c r="F702" s="189"/>
      <c r="G702" s="190"/>
      <c r="H702" s="190"/>
      <c r="I702" s="84"/>
      <c r="J702" s="84"/>
      <c r="K702" s="84"/>
      <c r="L702" s="84"/>
      <c r="M702" s="84"/>
      <c r="N702" s="84"/>
      <c r="O702" s="84"/>
      <c r="P702" s="84"/>
      <c r="Q702" s="84"/>
      <c r="R702" s="84"/>
      <c r="S702" s="84"/>
      <c r="T702" s="84"/>
    </row>
    <row r="703" ht="15.75" customHeight="1">
      <c r="A703" s="84" t="s">
        <v>36957</v>
      </c>
      <c r="B703" s="84">
        <v>1.0</v>
      </c>
      <c r="C703" s="186"/>
      <c r="D703" s="187"/>
      <c r="E703" s="188"/>
      <c r="F703" s="189"/>
      <c r="G703" s="190"/>
      <c r="H703" s="190"/>
      <c r="I703" s="84"/>
      <c r="J703" s="84"/>
      <c r="K703" s="84"/>
      <c r="L703" s="84"/>
      <c r="M703" s="84"/>
      <c r="N703" s="84"/>
      <c r="O703" s="84"/>
      <c r="P703" s="84"/>
      <c r="Q703" s="84"/>
      <c r="R703" s="84"/>
      <c r="S703" s="84"/>
      <c r="T703" s="84"/>
    </row>
    <row r="704" ht="15.75" customHeight="1">
      <c r="A704" s="84" t="s">
        <v>36960</v>
      </c>
      <c r="B704" s="84">
        <v>1.0</v>
      </c>
      <c r="C704" s="186"/>
      <c r="D704" s="187"/>
      <c r="E704" s="188"/>
      <c r="F704" s="189"/>
      <c r="G704" s="190"/>
      <c r="H704" s="190"/>
      <c r="I704" s="84"/>
      <c r="J704" s="84"/>
      <c r="K704" s="84"/>
      <c r="L704" s="84"/>
      <c r="M704" s="84"/>
      <c r="N704" s="84"/>
      <c r="O704" s="84"/>
      <c r="P704" s="84"/>
      <c r="Q704" s="84"/>
      <c r="R704" s="84"/>
      <c r="S704" s="84"/>
      <c r="T704" s="84"/>
    </row>
    <row r="705" ht="15.75" customHeight="1">
      <c r="A705" s="84" t="s">
        <v>36961</v>
      </c>
      <c r="B705" s="84">
        <v>1.0</v>
      </c>
      <c r="C705" s="186"/>
      <c r="D705" s="187"/>
      <c r="E705" s="188"/>
      <c r="F705" s="189"/>
      <c r="G705" s="190"/>
      <c r="H705" s="190"/>
      <c r="I705" s="84"/>
      <c r="J705" s="84"/>
      <c r="K705" s="84"/>
      <c r="L705" s="84"/>
      <c r="M705" s="84"/>
      <c r="N705" s="84"/>
      <c r="O705" s="84"/>
      <c r="P705" s="84"/>
      <c r="Q705" s="84"/>
      <c r="R705" s="84"/>
      <c r="S705" s="84"/>
      <c r="T705" s="84"/>
    </row>
    <row r="706" ht="15.75" customHeight="1">
      <c r="A706" s="84" t="s">
        <v>36962</v>
      </c>
      <c r="B706" s="84">
        <v>1.0</v>
      </c>
      <c r="C706" s="186"/>
      <c r="D706" s="187"/>
      <c r="E706" s="188"/>
      <c r="F706" s="189" t="s">
        <v>18275</v>
      </c>
      <c r="G706" s="190" t="s">
        <v>36963</v>
      </c>
      <c r="H706" s="190"/>
      <c r="I706" s="84"/>
      <c r="J706" s="84"/>
      <c r="K706" s="84"/>
      <c r="L706" s="84"/>
      <c r="M706" s="84"/>
      <c r="N706" s="84"/>
      <c r="O706" s="84"/>
      <c r="P706" s="84"/>
      <c r="Q706" s="84"/>
      <c r="R706" s="84"/>
      <c r="S706" s="84"/>
      <c r="T706" s="84"/>
    </row>
    <row r="707" ht="15.75" customHeight="1">
      <c r="A707" s="84" t="s">
        <v>36966</v>
      </c>
      <c r="B707" s="84">
        <v>1.0</v>
      </c>
      <c r="C707" s="186"/>
      <c r="D707" s="187"/>
      <c r="E707" s="188"/>
      <c r="F707" s="189"/>
      <c r="G707" s="190"/>
      <c r="H707" s="190"/>
      <c r="I707" s="84"/>
      <c r="J707" s="84"/>
      <c r="K707" s="84"/>
      <c r="L707" s="84"/>
      <c r="M707" s="84"/>
      <c r="N707" s="84"/>
      <c r="O707" s="84"/>
      <c r="P707" s="84"/>
      <c r="Q707" s="84"/>
      <c r="R707" s="84"/>
      <c r="S707" s="84"/>
      <c r="T707" s="84"/>
    </row>
    <row r="708" ht="15.75" customHeight="1">
      <c r="A708" s="84" t="s">
        <v>36967</v>
      </c>
      <c r="B708" s="84">
        <v>1.0</v>
      </c>
      <c r="C708" s="186"/>
      <c r="D708" s="187"/>
      <c r="E708" s="188"/>
      <c r="F708" s="189"/>
      <c r="G708" s="190"/>
      <c r="H708" s="190"/>
      <c r="I708" s="84"/>
      <c r="J708" s="84"/>
      <c r="K708" s="84"/>
      <c r="L708" s="84"/>
      <c r="M708" s="84"/>
      <c r="N708" s="84"/>
      <c r="O708" s="84"/>
      <c r="P708" s="84"/>
      <c r="Q708" s="84"/>
      <c r="R708" s="84"/>
      <c r="S708" s="84"/>
      <c r="T708" s="84"/>
    </row>
    <row r="709" ht="15.75" customHeight="1">
      <c r="A709" s="84" t="s">
        <v>36963</v>
      </c>
      <c r="B709" s="84">
        <v>2.0</v>
      </c>
      <c r="C709" s="186"/>
      <c r="D709" s="187"/>
      <c r="E709" s="188"/>
      <c r="F709" s="189"/>
      <c r="G709" s="190"/>
      <c r="H709" s="190"/>
      <c r="I709" s="84"/>
      <c r="J709" s="84"/>
      <c r="K709" s="84"/>
      <c r="L709" s="84"/>
      <c r="M709" s="84"/>
      <c r="N709" s="84"/>
      <c r="O709" s="84"/>
      <c r="P709" s="84"/>
      <c r="Q709" s="84"/>
      <c r="R709" s="84"/>
      <c r="S709" s="84"/>
      <c r="T709" s="84"/>
    </row>
    <row r="710" ht="15.75" customHeight="1">
      <c r="A710" s="84" t="s">
        <v>36968</v>
      </c>
      <c r="B710" s="84">
        <v>1.0</v>
      </c>
      <c r="C710" s="186"/>
      <c r="D710" s="187"/>
      <c r="E710" s="188"/>
      <c r="F710" s="189" t="s">
        <v>18275</v>
      </c>
      <c r="G710" s="190" t="s">
        <v>36693</v>
      </c>
      <c r="H710" s="190"/>
      <c r="I710" s="84"/>
      <c r="J710" s="84"/>
      <c r="K710" s="84"/>
      <c r="L710" s="84"/>
      <c r="M710" s="84"/>
      <c r="N710" s="84"/>
      <c r="O710" s="84"/>
      <c r="P710" s="84"/>
      <c r="Q710" s="84"/>
      <c r="R710" s="84"/>
      <c r="S710" s="84"/>
      <c r="T710" s="84"/>
    </row>
    <row r="711" ht="15.75" customHeight="1">
      <c r="A711" s="84" t="s">
        <v>36971</v>
      </c>
      <c r="B711" s="84">
        <v>1.0</v>
      </c>
      <c r="C711" s="186"/>
      <c r="D711" s="187"/>
      <c r="E711" s="188"/>
      <c r="F711" s="189"/>
      <c r="G711" s="190"/>
      <c r="H711" s="190"/>
      <c r="I711" s="84"/>
      <c r="J711" s="84"/>
      <c r="K711" s="84"/>
      <c r="L711" s="84"/>
      <c r="M711" s="84"/>
      <c r="N711" s="84"/>
      <c r="O711" s="84"/>
      <c r="P711" s="84"/>
      <c r="Q711" s="84"/>
      <c r="R711" s="84"/>
      <c r="S711" s="84"/>
      <c r="T711" s="84"/>
    </row>
    <row r="712" ht="15.75" customHeight="1">
      <c r="A712" s="84" t="s">
        <v>36972</v>
      </c>
      <c r="B712" s="84">
        <v>1.0</v>
      </c>
      <c r="C712" s="186"/>
      <c r="D712" s="187"/>
      <c r="E712" s="188"/>
      <c r="F712" s="189"/>
      <c r="G712" s="190"/>
      <c r="H712" s="190"/>
      <c r="I712" s="84"/>
      <c r="J712" s="84"/>
      <c r="K712" s="84"/>
      <c r="L712" s="84"/>
      <c r="M712" s="84"/>
      <c r="N712" s="84"/>
      <c r="O712" s="84"/>
      <c r="P712" s="84"/>
      <c r="Q712" s="84"/>
      <c r="R712" s="84"/>
      <c r="S712" s="84"/>
      <c r="T712" s="84"/>
    </row>
    <row r="713" ht="15.75" customHeight="1">
      <c r="A713" s="84" t="s">
        <v>36973</v>
      </c>
      <c r="B713" s="84">
        <v>1.0</v>
      </c>
      <c r="C713" s="186"/>
      <c r="D713" s="187"/>
      <c r="E713" s="188"/>
      <c r="F713" s="189"/>
      <c r="G713" s="190"/>
      <c r="H713" s="190"/>
      <c r="I713" s="84"/>
      <c r="J713" s="84"/>
      <c r="K713" s="84"/>
      <c r="L713" s="84"/>
      <c r="M713" s="84"/>
      <c r="N713" s="84"/>
      <c r="O713" s="84"/>
      <c r="P713" s="84"/>
      <c r="Q713" s="84"/>
      <c r="R713" s="84"/>
      <c r="S713" s="84"/>
      <c r="T713" s="84"/>
    </row>
    <row r="714" ht="15.75" customHeight="1">
      <c r="A714" s="84" t="s">
        <v>36975</v>
      </c>
      <c r="B714" s="84">
        <v>1.0</v>
      </c>
      <c r="C714" s="186"/>
      <c r="D714" s="187"/>
      <c r="E714" s="188"/>
      <c r="F714" s="189"/>
      <c r="G714" s="190"/>
      <c r="H714" s="190"/>
      <c r="I714" s="84"/>
      <c r="J714" s="84"/>
      <c r="K714" s="84"/>
      <c r="L714" s="84"/>
      <c r="M714" s="84"/>
      <c r="N714" s="84"/>
      <c r="O714" s="84"/>
      <c r="P714" s="84"/>
      <c r="Q714" s="84"/>
      <c r="R714" s="84"/>
      <c r="S714" s="84"/>
      <c r="T714" s="84"/>
    </row>
    <row r="715" ht="15.75" customHeight="1">
      <c r="A715" s="84" t="s">
        <v>36976</v>
      </c>
      <c r="B715" s="84">
        <v>1.0</v>
      </c>
      <c r="C715" s="186"/>
      <c r="D715" s="187"/>
      <c r="E715" s="188"/>
      <c r="F715" s="189"/>
      <c r="G715" s="190"/>
      <c r="H715" s="190"/>
      <c r="I715" s="84"/>
      <c r="J715" s="84"/>
      <c r="K715" s="84"/>
      <c r="L715" s="84"/>
      <c r="M715" s="84"/>
      <c r="N715" s="84"/>
      <c r="O715" s="84"/>
      <c r="P715" s="84"/>
      <c r="Q715" s="84"/>
      <c r="R715" s="84"/>
      <c r="S715" s="84"/>
      <c r="T715" s="84"/>
    </row>
    <row r="716" ht="15.75" customHeight="1">
      <c r="A716" s="84" t="s">
        <v>36977</v>
      </c>
      <c r="B716" s="84">
        <v>1.0</v>
      </c>
      <c r="C716" s="186"/>
      <c r="D716" s="187"/>
      <c r="E716" s="188"/>
      <c r="F716" s="189"/>
      <c r="G716" s="190"/>
      <c r="H716" s="190"/>
      <c r="I716" s="84"/>
      <c r="J716" s="84"/>
      <c r="K716" s="84"/>
      <c r="L716" s="84"/>
      <c r="M716" s="84"/>
      <c r="N716" s="84"/>
      <c r="O716" s="84"/>
      <c r="P716" s="84"/>
      <c r="Q716" s="84"/>
      <c r="R716" s="84"/>
      <c r="S716" s="84"/>
      <c r="T716" s="84"/>
    </row>
    <row r="717" ht="15.75" customHeight="1">
      <c r="A717" s="84" t="s">
        <v>36981</v>
      </c>
      <c r="B717" s="84">
        <v>1.0</v>
      </c>
      <c r="C717" s="186"/>
      <c r="D717" s="187"/>
      <c r="E717" s="188"/>
      <c r="F717" s="189"/>
      <c r="G717" s="190"/>
      <c r="H717" s="190"/>
      <c r="I717" s="84"/>
      <c r="J717" s="84"/>
      <c r="K717" s="84"/>
      <c r="L717" s="84"/>
      <c r="M717" s="84"/>
      <c r="N717" s="84"/>
      <c r="O717" s="84"/>
      <c r="P717" s="84"/>
      <c r="Q717" s="84"/>
      <c r="R717" s="84"/>
      <c r="S717" s="84"/>
      <c r="T717" s="84"/>
    </row>
    <row r="718" ht="15.75" customHeight="1">
      <c r="A718" s="84" t="s">
        <v>36982</v>
      </c>
      <c r="B718" s="84">
        <v>1.0</v>
      </c>
      <c r="C718" s="186"/>
      <c r="D718" s="187"/>
      <c r="E718" s="188"/>
      <c r="F718" s="189"/>
      <c r="G718" s="190"/>
      <c r="H718" s="190"/>
      <c r="I718" s="84"/>
      <c r="J718" s="84"/>
      <c r="K718" s="84"/>
      <c r="L718" s="84"/>
      <c r="M718" s="84"/>
      <c r="N718" s="84"/>
      <c r="O718" s="84"/>
      <c r="P718" s="84"/>
      <c r="Q718" s="84"/>
      <c r="R718" s="84"/>
      <c r="S718" s="84"/>
      <c r="T718" s="84"/>
    </row>
    <row r="719" ht="15.75" customHeight="1">
      <c r="A719" s="84" t="s">
        <v>36985</v>
      </c>
      <c r="B719" s="84">
        <v>3.0</v>
      </c>
      <c r="C719" s="186"/>
      <c r="D719" s="187"/>
      <c r="E719" s="188"/>
      <c r="F719" s="189"/>
      <c r="G719" s="190"/>
      <c r="H719" s="190"/>
      <c r="I719" s="84"/>
      <c r="J719" s="84"/>
      <c r="K719" s="84"/>
      <c r="L719" s="84"/>
      <c r="M719" s="84"/>
      <c r="N719" s="84"/>
      <c r="O719" s="84"/>
      <c r="P719" s="84"/>
      <c r="Q719" s="84"/>
      <c r="R719" s="84"/>
      <c r="S719" s="84"/>
      <c r="T719" s="84"/>
    </row>
    <row r="720" ht="15.75" customHeight="1">
      <c r="A720" s="84" t="s">
        <v>36986</v>
      </c>
      <c r="B720" s="84">
        <v>1.0</v>
      </c>
      <c r="C720" s="186"/>
      <c r="D720" s="187"/>
      <c r="E720" s="188"/>
      <c r="F720" s="189"/>
      <c r="G720" s="190"/>
      <c r="H720" s="190"/>
      <c r="I720" s="84"/>
      <c r="J720" s="84"/>
      <c r="K720" s="84"/>
      <c r="L720" s="84"/>
      <c r="M720" s="84"/>
      <c r="N720" s="84"/>
      <c r="O720" s="84"/>
      <c r="P720" s="84"/>
      <c r="Q720" s="84"/>
      <c r="R720" s="84"/>
      <c r="S720" s="84"/>
      <c r="T720" s="84"/>
    </row>
    <row r="721" ht="15.75" customHeight="1">
      <c r="A721" s="84" t="s">
        <v>36987</v>
      </c>
      <c r="B721" s="84">
        <v>1.0</v>
      </c>
      <c r="C721" s="186"/>
      <c r="D721" s="187"/>
      <c r="E721" s="188"/>
      <c r="F721" s="189"/>
      <c r="G721" s="190"/>
      <c r="H721" s="190"/>
      <c r="I721" s="84"/>
      <c r="J721" s="84"/>
      <c r="K721" s="84"/>
      <c r="L721" s="84"/>
      <c r="M721" s="84"/>
      <c r="N721" s="84"/>
      <c r="O721" s="84"/>
      <c r="P721" s="84"/>
      <c r="Q721" s="84"/>
      <c r="R721" s="84"/>
      <c r="S721" s="84"/>
      <c r="T721" s="84"/>
    </row>
    <row r="722" ht="15.75" customHeight="1">
      <c r="A722" s="84" t="s">
        <v>36991</v>
      </c>
      <c r="B722" s="84">
        <v>1.0</v>
      </c>
      <c r="C722" s="186"/>
      <c r="D722" s="187"/>
      <c r="E722" s="188"/>
      <c r="F722" s="189"/>
      <c r="G722" s="190"/>
      <c r="H722" s="190"/>
      <c r="I722" s="84"/>
      <c r="J722" s="84"/>
      <c r="K722" s="84"/>
      <c r="L722" s="84"/>
      <c r="M722" s="84"/>
      <c r="N722" s="84"/>
      <c r="O722" s="84"/>
      <c r="P722" s="84"/>
      <c r="Q722" s="84"/>
      <c r="R722" s="84"/>
      <c r="S722" s="84"/>
      <c r="T722" s="84"/>
    </row>
    <row r="723" ht="15.75" customHeight="1">
      <c r="A723" s="84" t="s">
        <v>36992</v>
      </c>
      <c r="B723" s="84">
        <v>1.0</v>
      </c>
      <c r="C723" s="186"/>
      <c r="D723" s="187"/>
      <c r="E723" s="188"/>
      <c r="F723" s="189"/>
      <c r="G723" s="190"/>
      <c r="H723" s="190"/>
      <c r="I723" s="84"/>
      <c r="J723" s="84"/>
      <c r="K723" s="84"/>
      <c r="L723" s="84"/>
      <c r="M723" s="84"/>
      <c r="N723" s="84"/>
      <c r="O723" s="84"/>
      <c r="P723" s="84"/>
      <c r="Q723" s="84"/>
      <c r="R723" s="84"/>
      <c r="S723" s="84"/>
      <c r="T723" s="84"/>
    </row>
    <row r="724" ht="15.75" customHeight="1">
      <c r="A724" s="84" t="s">
        <v>36993</v>
      </c>
      <c r="B724" s="84">
        <v>1.0</v>
      </c>
      <c r="C724" s="186"/>
      <c r="D724" s="187"/>
      <c r="E724" s="188"/>
      <c r="F724" s="189"/>
      <c r="G724" s="190"/>
      <c r="H724" s="190"/>
      <c r="I724" s="84"/>
      <c r="J724" s="84"/>
      <c r="K724" s="84"/>
      <c r="L724" s="84"/>
      <c r="M724" s="84"/>
      <c r="N724" s="84"/>
      <c r="O724" s="84"/>
      <c r="P724" s="84"/>
      <c r="Q724" s="84"/>
      <c r="R724" s="84"/>
      <c r="S724" s="84"/>
      <c r="T724" s="84"/>
    </row>
    <row r="725" ht="15.75" customHeight="1">
      <c r="A725" s="84" t="s">
        <v>36996</v>
      </c>
      <c r="B725" s="84">
        <v>1.0</v>
      </c>
      <c r="C725" s="186"/>
      <c r="D725" s="187"/>
      <c r="E725" s="188"/>
      <c r="F725" s="189"/>
      <c r="G725" s="190"/>
      <c r="H725" s="190"/>
      <c r="I725" s="84"/>
      <c r="J725" s="84"/>
      <c r="K725" s="84"/>
      <c r="L725" s="84"/>
      <c r="M725" s="84"/>
      <c r="N725" s="84"/>
      <c r="O725" s="84"/>
      <c r="P725" s="84"/>
      <c r="Q725" s="84"/>
      <c r="R725" s="84"/>
      <c r="S725" s="84"/>
      <c r="T725" s="84"/>
    </row>
    <row r="726" ht="15.75" customHeight="1">
      <c r="A726" s="84" t="s">
        <v>36998</v>
      </c>
      <c r="B726" s="84">
        <v>1.0</v>
      </c>
      <c r="C726" s="186"/>
      <c r="D726" s="187"/>
      <c r="E726" s="188"/>
      <c r="F726" s="189"/>
      <c r="G726" s="190"/>
      <c r="H726" s="190"/>
      <c r="I726" s="84"/>
      <c r="J726" s="84"/>
      <c r="K726" s="84"/>
      <c r="L726" s="84"/>
      <c r="M726" s="84"/>
      <c r="N726" s="84"/>
      <c r="O726" s="84"/>
      <c r="P726" s="84"/>
      <c r="Q726" s="84"/>
      <c r="R726" s="84"/>
      <c r="S726" s="84"/>
      <c r="T726" s="84"/>
    </row>
    <row r="727" ht="15.75" customHeight="1">
      <c r="A727" s="84" t="s">
        <v>36999</v>
      </c>
      <c r="B727" s="84">
        <v>2.0</v>
      </c>
      <c r="C727" s="186"/>
      <c r="D727" s="187"/>
      <c r="E727" s="188"/>
      <c r="F727" s="189"/>
      <c r="G727" s="190"/>
      <c r="H727" s="190"/>
      <c r="I727" s="84"/>
      <c r="J727" s="84"/>
      <c r="K727" s="84"/>
      <c r="L727" s="84"/>
      <c r="M727" s="84"/>
      <c r="N727" s="84"/>
      <c r="O727" s="84"/>
      <c r="P727" s="84"/>
      <c r="Q727" s="84"/>
      <c r="R727" s="84"/>
      <c r="S727" s="84"/>
      <c r="T727" s="84"/>
    </row>
    <row r="728" ht="15.75" customHeight="1">
      <c r="A728" s="84" t="s">
        <v>37000</v>
      </c>
      <c r="B728" s="84">
        <v>1.0</v>
      </c>
      <c r="C728" s="186"/>
      <c r="D728" s="187"/>
      <c r="E728" s="188"/>
      <c r="F728" s="189"/>
      <c r="G728" s="190"/>
      <c r="H728" s="190"/>
      <c r="I728" s="84"/>
      <c r="J728" s="84"/>
      <c r="K728" s="84"/>
      <c r="L728" s="84"/>
      <c r="M728" s="84"/>
      <c r="N728" s="84"/>
      <c r="O728" s="84"/>
      <c r="P728" s="84"/>
      <c r="Q728" s="84"/>
      <c r="R728" s="84"/>
      <c r="S728" s="84"/>
      <c r="T728" s="84"/>
    </row>
    <row r="729" ht="15.75" customHeight="1">
      <c r="A729" s="84" t="s">
        <v>37004</v>
      </c>
      <c r="B729" s="84">
        <v>1.0</v>
      </c>
      <c r="C729" s="186"/>
      <c r="D729" s="187" t="s">
        <v>37005</v>
      </c>
      <c r="E729" s="188"/>
      <c r="F729" s="189"/>
      <c r="G729" s="190"/>
      <c r="H729" s="190"/>
      <c r="I729" s="84"/>
      <c r="J729" s="84"/>
      <c r="K729" s="84"/>
      <c r="L729" s="84"/>
      <c r="M729" s="84"/>
      <c r="N729" s="84"/>
      <c r="O729" s="84"/>
      <c r="P729" s="84"/>
      <c r="Q729" s="84"/>
      <c r="R729" s="84"/>
      <c r="S729" s="84"/>
      <c r="T729" s="84"/>
    </row>
    <row r="730" ht="15.75" customHeight="1">
      <c r="A730" s="84" t="s">
        <v>37005</v>
      </c>
      <c r="B730" s="84">
        <v>1.0</v>
      </c>
      <c r="C730" s="186"/>
      <c r="D730" s="187"/>
      <c r="E730" s="188"/>
      <c r="F730" s="189"/>
      <c r="G730" s="190"/>
      <c r="H730" s="190"/>
      <c r="I730" s="84"/>
      <c r="J730" s="84"/>
      <c r="K730" s="84"/>
      <c r="L730" s="84"/>
      <c r="M730" s="84"/>
      <c r="N730" s="84"/>
      <c r="O730" s="84"/>
      <c r="P730" s="84"/>
      <c r="Q730" s="84"/>
      <c r="R730" s="84"/>
      <c r="S730" s="84"/>
      <c r="T730" s="84"/>
    </row>
    <row r="731" ht="15.75" customHeight="1">
      <c r="A731" s="84" t="s">
        <v>37007</v>
      </c>
      <c r="B731" s="84">
        <v>1.0</v>
      </c>
      <c r="C731" s="186"/>
      <c r="D731" s="187"/>
      <c r="E731" s="188"/>
      <c r="F731" s="189"/>
      <c r="G731" s="190"/>
      <c r="H731" s="190"/>
      <c r="I731" s="84"/>
      <c r="J731" s="84"/>
      <c r="K731" s="84"/>
      <c r="L731" s="84"/>
      <c r="M731" s="84"/>
      <c r="N731" s="84"/>
      <c r="O731" s="84"/>
      <c r="P731" s="84"/>
      <c r="Q731" s="84"/>
      <c r="R731" s="84"/>
      <c r="S731" s="84"/>
      <c r="T731" s="84"/>
    </row>
    <row r="732" ht="15.75" customHeight="1">
      <c r="A732" s="84" t="s">
        <v>37010</v>
      </c>
      <c r="B732" s="84">
        <v>1.0</v>
      </c>
      <c r="C732" s="186"/>
      <c r="D732" s="187"/>
      <c r="E732" s="188"/>
      <c r="F732" s="189"/>
      <c r="G732" s="190"/>
      <c r="H732" s="190"/>
      <c r="I732" s="84"/>
      <c r="J732" s="84"/>
      <c r="K732" s="84"/>
      <c r="L732" s="84"/>
      <c r="M732" s="84"/>
      <c r="N732" s="84"/>
      <c r="O732" s="84"/>
      <c r="P732" s="84"/>
      <c r="Q732" s="84"/>
      <c r="R732" s="84"/>
      <c r="S732" s="84"/>
      <c r="T732" s="84"/>
    </row>
    <row r="733" ht="15.75" customHeight="1">
      <c r="A733" s="84" t="s">
        <v>37011</v>
      </c>
      <c r="B733" s="84">
        <v>1.0</v>
      </c>
      <c r="C733" s="186"/>
      <c r="D733" s="187"/>
      <c r="E733" s="188"/>
      <c r="F733" s="189"/>
      <c r="G733" s="190"/>
      <c r="H733" s="190"/>
      <c r="I733" s="84"/>
      <c r="J733" s="84"/>
      <c r="K733" s="84"/>
      <c r="L733" s="84"/>
      <c r="M733" s="84"/>
      <c r="N733" s="84"/>
      <c r="O733" s="84"/>
      <c r="P733" s="84"/>
      <c r="Q733" s="84"/>
      <c r="R733" s="84"/>
      <c r="S733" s="84"/>
      <c r="T733" s="84"/>
    </row>
    <row r="734" ht="15.75" customHeight="1">
      <c r="A734" s="84" t="s">
        <v>37012</v>
      </c>
      <c r="B734" s="84">
        <v>1.0</v>
      </c>
      <c r="C734" s="186"/>
      <c r="D734" s="187"/>
      <c r="E734" s="188"/>
      <c r="F734" s="189"/>
      <c r="G734" s="190"/>
      <c r="H734" s="190"/>
      <c r="I734" s="84"/>
      <c r="J734" s="84"/>
      <c r="K734" s="84"/>
      <c r="L734" s="84"/>
      <c r="M734" s="84"/>
      <c r="N734" s="84"/>
      <c r="O734" s="84"/>
      <c r="P734" s="84"/>
      <c r="Q734" s="84"/>
      <c r="R734" s="84"/>
      <c r="S734" s="84"/>
      <c r="T734" s="84"/>
    </row>
    <row r="735" ht="15.75" customHeight="1">
      <c r="A735" s="84" t="s">
        <v>37014</v>
      </c>
      <c r="B735" s="84">
        <v>1.0</v>
      </c>
      <c r="C735" s="186"/>
      <c r="D735" s="187"/>
      <c r="E735" s="188"/>
      <c r="F735" s="189"/>
      <c r="G735" s="190"/>
      <c r="H735" s="190"/>
      <c r="I735" s="84"/>
      <c r="J735" s="84"/>
      <c r="K735" s="84"/>
      <c r="L735" s="84"/>
      <c r="M735" s="84"/>
      <c r="N735" s="84"/>
      <c r="O735" s="84"/>
      <c r="P735" s="84"/>
      <c r="Q735" s="84"/>
      <c r="R735" s="84"/>
      <c r="S735" s="84"/>
      <c r="T735" s="84"/>
    </row>
    <row r="736" ht="15.75" customHeight="1">
      <c r="A736" s="84" t="s">
        <v>37018</v>
      </c>
      <c r="B736" s="84">
        <v>1.0</v>
      </c>
      <c r="C736" s="186"/>
      <c r="D736" s="187"/>
      <c r="E736" s="188"/>
      <c r="F736" s="189"/>
      <c r="G736" s="190"/>
      <c r="H736" s="190"/>
      <c r="I736" s="84"/>
      <c r="J736" s="84"/>
      <c r="K736" s="84"/>
      <c r="L736" s="84"/>
      <c r="M736" s="84"/>
      <c r="N736" s="84"/>
      <c r="O736" s="84"/>
      <c r="P736" s="84"/>
      <c r="Q736" s="84"/>
      <c r="R736" s="84"/>
      <c r="S736" s="84"/>
      <c r="T736" s="84"/>
    </row>
    <row r="737" ht="15.75" customHeight="1">
      <c r="A737" s="84" t="s">
        <v>37019</v>
      </c>
      <c r="B737" s="84">
        <v>1.0</v>
      </c>
      <c r="C737" s="186"/>
      <c r="D737" s="187"/>
      <c r="E737" s="188"/>
      <c r="F737" s="189"/>
      <c r="G737" s="190"/>
      <c r="H737" s="190"/>
      <c r="I737" s="84"/>
      <c r="J737" s="84"/>
      <c r="K737" s="84"/>
      <c r="L737" s="84"/>
      <c r="M737" s="84"/>
      <c r="N737" s="84"/>
      <c r="O737" s="84"/>
      <c r="P737" s="84"/>
      <c r="Q737" s="84"/>
      <c r="R737" s="84"/>
      <c r="S737" s="84"/>
      <c r="T737" s="84"/>
    </row>
    <row r="738" ht="15.75" customHeight="1">
      <c r="A738" s="84" t="s">
        <v>37020</v>
      </c>
      <c r="B738" s="84">
        <v>1.0</v>
      </c>
      <c r="C738" s="186"/>
      <c r="D738" s="187"/>
      <c r="E738" s="188"/>
      <c r="F738" s="189"/>
      <c r="G738" s="190"/>
      <c r="H738" s="190"/>
      <c r="I738" s="84"/>
      <c r="J738" s="84"/>
      <c r="K738" s="84"/>
      <c r="L738" s="84"/>
      <c r="M738" s="84"/>
      <c r="N738" s="84"/>
      <c r="O738" s="84"/>
      <c r="P738" s="84"/>
      <c r="Q738" s="84"/>
      <c r="R738" s="84"/>
      <c r="S738" s="84"/>
      <c r="T738" s="84"/>
    </row>
    <row r="739" ht="15.75" customHeight="1">
      <c r="A739" s="84" t="s">
        <v>37023</v>
      </c>
      <c r="B739" s="84">
        <v>1.0</v>
      </c>
      <c r="C739" s="186"/>
      <c r="D739" s="187"/>
      <c r="E739" s="188"/>
      <c r="F739" s="189"/>
      <c r="G739" s="190"/>
      <c r="H739" s="190"/>
      <c r="I739" s="84"/>
      <c r="J739" s="84"/>
      <c r="K739" s="84"/>
      <c r="L739" s="84"/>
      <c r="M739" s="84"/>
      <c r="N739" s="84"/>
      <c r="O739" s="84"/>
      <c r="P739" s="84"/>
      <c r="Q739" s="84"/>
      <c r="R739" s="84"/>
      <c r="S739" s="84"/>
      <c r="T739" s="84"/>
    </row>
    <row r="740" ht="15.75" customHeight="1">
      <c r="A740" s="84" t="s">
        <v>37025</v>
      </c>
      <c r="B740" s="84">
        <v>1.0</v>
      </c>
      <c r="C740" s="186"/>
      <c r="D740" s="187"/>
      <c r="E740" s="188"/>
      <c r="F740" s="189"/>
      <c r="G740" s="190"/>
      <c r="H740" s="190"/>
      <c r="I740" s="84"/>
      <c r="J740" s="84"/>
      <c r="K740" s="84"/>
      <c r="L740" s="84"/>
      <c r="M740" s="84"/>
      <c r="N740" s="84"/>
      <c r="O740" s="84"/>
      <c r="P740" s="84"/>
      <c r="Q740" s="84"/>
      <c r="R740" s="84"/>
      <c r="S740" s="84"/>
      <c r="T740" s="84"/>
    </row>
    <row r="741" ht="15.75" customHeight="1">
      <c r="A741" s="84" t="s">
        <v>37026</v>
      </c>
      <c r="B741" s="84">
        <v>1.0</v>
      </c>
      <c r="C741" s="186"/>
      <c r="D741" s="187"/>
      <c r="E741" s="188"/>
      <c r="F741" s="189"/>
      <c r="G741" s="190"/>
      <c r="H741" s="190"/>
      <c r="I741" s="84"/>
      <c r="J741" s="84"/>
      <c r="K741" s="84"/>
      <c r="L741" s="84"/>
      <c r="M741" s="84"/>
      <c r="N741" s="84"/>
      <c r="O741" s="84"/>
      <c r="P741" s="84"/>
      <c r="Q741" s="84"/>
      <c r="R741" s="84"/>
      <c r="S741" s="84"/>
      <c r="T741" s="84"/>
    </row>
    <row r="742" ht="15.75" customHeight="1">
      <c r="A742" s="84" t="s">
        <v>37027</v>
      </c>
      <c r="B742" s="84">
        <v>1.0</v>
      </c>
      <c r="C742" s="186"/>
      <c r="D742" s="187"/>
      <c r="E742" s="188"/>
      <c r="F742" s="189"/>
      <c r="G742" s="190"/>
      <c r="H742" s="190"/>
      <c r="I742" s="84"/>
      <c r="J742" s="84"/>
      <c r="K742" s="84"/>
      <c r="L742" s="84"/>
      <c r="M742" s="84"/>
      <c r="N742" s="84"/>
      <c r="O742" s="84"/>
      <c r="P742" s="84"/>
      <c r="Q742" s="84"/>
      <c r="R742" s="84"/>
      <c r="S742" s="84"/>
      <c r="T742" s="84"/>
    </row>
    <row r="743" ht="15.75" customHeight="1">
      <c r="A743" s="84" t="s">
        <v>37031</v>
      </c>
      <c r="B743" s="84">
        <v>1.0</v>
      </c>
      <c r="C743" s="186"/>
      <c r="D743" s="187"/>
      <c r="E743" s="188"/>
      <c r="F743" s="189"/>
      <c r="G743" s="190"/>
      <c r="H743" s="190"/>
      <c r="I743" s="84"/>
      <c r="J743" s="84"/>
      <c r="K743" s="84"/>
      <c r="L743" s="84"/>
      <c r="M743" s="84"/>
      <c r="N743" s="84"/>
      <c r="O743" s="84"/>
      <c r="P743" s="84"/>
      <c r="Q743" s="84"/>
      <c r="R743" s="84"/>
      <c r="S743" s="84"/>
      <c r="T743" s="84"/>
    </row>
    <row r="744" ht="15.75" customHeight="1">
      <c r="A744" s="84" t="s">
        <v>37032</v>
      </c>
      <c r="B744" s="84">
        <v>1.0</v>
      </c>
      <c r="C744" s="186"/>
      <c r="D744" s="187"/>
      <c r="E744" s="188"/>
      <c r="F744" s="189"/>
      <c r="G744" s="190"/>
      <c r="H744" s="190"/>
      <c r="I744" s="84"/>
      <c r="J744" s="84"/>
      <c r="K744" s="84"/>
      <c r="L744" s="84"/>
      <c r="M744" s="84"/>
      <c r="N744" s="84"/>
      <c r="O744" s="84"/>
      <c r="P744" s="84"/>
      <c r="Q744" s="84"/>
      <c r="R744" s="84"/>
      <c r="S744" s="84"/>
      <c r="T744" s="84"/>
    </row>
    <row r="745" ht="15.75" customHeight="1">
      <c r="A745" s="84" t="s">
        <v>37053</v>
      </c>
      <c r="B745" s="84">
        <v>1.0</v>
      </c>
      <c r="C745" s="186"/>
      <c r="D745" s="187"/>
      <c r="E745" s="188"/>
      <c r="F745" s="189"/>
      <c r="G745" s="190"/>
      <c r="H745" s="190"/>
      <c r="I745" s="84"/>
      <c r="J745" s="84"/>
      <c r="K745" s="84"/>
      <c r="L745" s="84"/>
      <c r="M745" s="84"/>
      <c r="N745" s="84"/>
      <c r="O745" s="84"/>
      <c r="P745" s="84"/>
      <c r="Q745" s="84"/>
      <c r="R745" s="84"/>
      <c r="S745" s="84"/>
      <c r="T745" s="84"/>
    </row>
    <row r="746" ht="15.75" customHeight="1">
      <c r="A746" s="84" t="s">
        <v>37056</v>
      </c>
      <c r="B746" s="84">
        <v>1.0</v>
      </c>
      <c r="C746" s="186"/>
      <c r="D746" s="187"/>
      <c r="E746" s="188"/>
      <c r="F746" s="189"/>
      <c r="G746" s="190"/>
      <c r="H746" s="190"/>
      <c r="I746" s="84"/>
      <c r="J746" s="84"/>
      <c r="K746" s="84"/>
      <c r="L746" s="84"/>
      <c r="M746" s="84"/>
      <c r="N746" s="84"/>
      <c r="O746" s="84"/>
      <c r="P746" s="84"/>
      <c r="Q746" s="84"/>
      <c r="R746" s="84"/>
      <c r="S746" s="84"/>
      <c r="T746" s="84"/>
    </row>
    <row r="747" ht="15.75" customHeight="1">
      <c r="A747" s="84" t="s">
        <v>37060</v>
      </c>
      <c r="B747" s="84">
        <v>1.0</v>
      </c>
      <c r="C747" s="186"/>
      <c r="D747" s="187"/>
      <c r="E747" s="188"/>
      <c r="F747" s="189"/>
      <c r="G747" s="190"/>
      <c r="H747" s="190"/>
      <c r="I747" s="84"/>
      <c r="J747" s="84"/>
      <c r="K747" s="84"/>
      <c r="L747" s="84"/>
      <c r="M747" s="84"/>
      <c r="N747" s="84"/>
      <c r="O747" s="84"/>
      <c r="P747" s="84"/>
      <c r="Q747" s="84"/>
      <c r="R747" s="84"/>
      <c r="S747" s="84"/>
      <c r="T747" s="84"/>
    </row>
    <row r="748" ht="15.75" customHeight="1">
      <c r="A748" s="84" t="s">
        <v>37062</v>
      </c>
      <c r="B748" s="84">
        <v>1.0</v>
      </c>
      <c r="C748" s="186"/>
      <c r="D748" s="187"/>
      <c r="E748" s="188"/>
      <c r="F748" s="189"/>
      <c r="G748" s="190"/>
      <c r="H748" s="190"/>
      <c r="I748" s="84"/>
      <c r="J748" s="84"/>
      <c r="K748" s="84"/>
      <c r="L748" s="84"/>
      <c r="M748" s="84"/>
      <c r="N748" s="84"/>
      <c r="O748" s="84"/>
      <c r="P748" s="84"/>
      <c r="Q748" s="84"/>
      <c r="R748" s="84"/>
      <c r="S748" s="84"/>
      <c r="T748" s="84"/>
    </row>
    <row r="749" ht="15.75" customHeight="1">
      <c r="A749" s="84" t="s">
        <v>37063</v>
      </c>
      <c r="B749" s="84">
        <v>4.0</v>
      </c>
      <c r="C749" s="186"/>
      <c r="D749" s="187"/>
      <c r="E749" s="188"/>
      <c r="F749" s="189"/>
      <c r="G749" s="190"/>
      <c r="H749" s="190"/>
      <c r="I749" s="84"/>
      <c r="J749" s="84"/>
      <c r="K749" s="84"/>
      <c r="L749" s="84"/>
      <c r="M749" s="84"/>
      <c r="N749" s="84"/>
      <c r="O749" s="84"/>
      <c r="P749" s="84"/>
      <c r="Q749" s="84"/>
      <c r="R749" s="84"/>
      <c r="S749" s="84"/>
      <c r="T749" s="84"/>
    </row>
    <row r="750" ht="15.75" customHeight="1">
      <c r="A750" s="84" t="s">
        <v>37064</v>
      </c>
      <c r="B750" s="84">
        <v>1.0</v>
      </c>
      <c r="C750" s="186"/>
      <c r="D750" s="187"/>
      <c r="E750" s="188"/>
      <c r="F750" s="189"/>
      <c r="G750" s="190"/>
      <c r="H750" s="190"/>
      <c r="I750" s="84"/>
      <c r="J750" s="84"/>
      <c r="K750" s="84"/>
      <c r="L750" s="84"/>
      <c r="M750" s="84"/>
      <c r="N750" s="84"/>
      <c r="O750" s="84"/>
      <c r="P750" s="84"/>
      <c r="Q750" s="84"/>
      <c r="R750" s="84"/>
      <c r="S750" s="84"/>
      <c r="T750" s="84"/>
    </row>
    <row r="751" ht="15.75" customHeight="1">
      <c r="A751" s="84" t="s">
        <v>37065</v>
      </c>
      <c r="B751" s="84">
        <v>1.0</v>
      </c>
      <c r="C751" s="186"/>
      <c r="D751" s="187"/>
      <c r="E751" s="188"/>
      <c r="F751" s="189"/>
      <c r="G751" s="190"/>
      <c r="H751" s="190"/>
      <c r="I751" s="84"/>
      <c r="J751" s="84"/>
      <c r="K751" s="84"/>
      <c r="L751" s="84"/>
      <c r="M751" s="84"/>
      <c r="N751" s="84"/>
      <c r="O751" s="84"/>
      <c r="P751" s="84"/>
      <c r="Q751" s="84"/>
      <c r="R751" s="84"/>
      <c r="S751" s="84"/>
      <c r="T751" s="84"/>
    </row>
    <row r="752" ht="15.75" customHeight="1">
      <c r="A752" s="84" t="s">
        <v>37066</v>
      </c>
      <c r="B752" s="84">
        <v>1.0</v>
      </c>
      <c r="C752" s="186"/>
      <c r="D752" s="187"/>
      <c r="E752" s="188"/>
      <c r="F752" s="189"/>
      <c r="G752" s="190"/>
      <c r="H752" s="190"/>
      <c r="I752" s="84"/>
      <c r="J752" s="84"/>
      <c r="K752" s="84"/>
      <c r="L752" s="84"/>
      <c r="M752" s="84"/>
      <c r="N752" s="84"/>
      <c r="O752" s="84"/>
      <c r="P752" s="84"/>
      <c r="Q752" s="84"/>
      <c r="R752" s="84"/>
      <c r="S752" s="84"/>
      <c r="T752" s="84"/>
    </row>
    <row r="753" ht="15.75" customHeight="1">
      <c r="A753" s="84" t="s">
        <v>37070</v>
      </c>
      <c r="B753" s="84">
        <v>1.0</v>
      </c>
      <c r="C753" s="186"/>
      <c r="D753" s="187"/>
      <c r="E753" s="188"/>
      <c r="F753" s="189"/>
      <c r="G753" s="190"/>
      <c r="H753" s="190"/>
      <c r="I753" s="84"/>
      <c r="J753" s="84"/>
      <c r="K753" s="84"/>
      <c r="L753" s="84"/>
      <c r="M753" s="84"/>
      <c r="N753" s="84"/>
      <c r="O753" s="84"/>
      <c r="P753" s="84"/>
      <c r="Q753" s="84"/>
      <c r="R753" s="84"/>
      <c r="S753" s="84"/>
      <c r="T753" s="84"/>
    </row>
    <row r="754" ht="15.75" customHeight="1">
      <c r="A754" s="84" t="s">
        <v>37075</v>
      </c>
      <c r="B754" s="84">
        <v>1.0</v>
      </c>
      <c r="C754" s="186"/>
      <c r="D754" s="187"/>
      <c r="E754" s="188"/>
      <c r="F754" s="189"/>
      <c r="G754" s="190"/>
      <c r="H754" s="190"/>
      <c r="I754" s="84"/>
      <c r="J754" s="84"/>
      <c r="K754" s="84"/>
      <c r="L754" s="84"/>
      <c r="M754" s="84"/>
      <c r="N754" s="84"/>
      <c r="O754" s="84"/>
      <c r="P754" s="84"/>
      <c r="Q754" s="84"/>
      <c r="R754" s="84"/>
      <c r="S754" s="84"/>
      <c r="T754" s="84"/>
    </row>
    <row r="755" ht="15.75" customHeight="1">
      <c r="A755" s="84" t="s">
        <v>37076</v>
      </c>
      <c r="B755" s="84">
        <v>1.0</v>
      </c>
      <c r="C755" s="186"/>
      <c r="D755" s="187"/>
      <c r="E755" s="188"/>
      <c r="F755" s="189"/>
      <c r="G755" s="190"/>
      <c r="H755" s="190"/>
      <c r="I755" s="84"/>
      <c r="J755" s="84"/>
      <c r="K755" s="84"/>
      <c r="L755" s="84"/>
      <c r="M755" s="84"/>
      <c r="N755" s="84"/>
      <c r="O755" s="84"/>
      <c r="P755" s="84"/>
      <c r="Q755" s="84"/>
      <c r="R755" s="84"/>
      <c r="S755" s="84"/>
      <c r="T755" s="84"/>
    </row>
    <row r="756" ht="15.75" customHeight="1">
      <c r="A756" s="84" t="s">
        <v>37077</v>
      </c>
      <c r="B756" s="84">
        <v>1.0</v>
      </c>
      <c r="C756" s="186"/>
      <c r="D756" s="187"/>
      <c r="E756" s="188"/>
      <c r="F756" s="189"/>
      <c r="G756" s="190"/>
      <c r="H756" s="190"/>
      <c r="I756" s="84"/>
      <c r="J756" s="84"/>
      <c r="K756" s="84"/>
      <c r="L756" s="84"/>
      <c r="M756" s="84"/>
      <c r="N756" s="84"/>
      <c r="O756" s="84"/>
      <c r="P756" s="84"/>
      <c r="Q756" s="84"/>
      <c r="R756" s="84"/>
      <c r="S756" s="84"/>
      <c r="T756" s="84"/>
    </row>
    <row r="757" ht="15.75" customHeight="1">
      <c r="A757" s="84" t="s">
        <v>37080</v>
      </c>
      <c r="B757" s="84">
        <v>1.0</v>
      </c>
      <c r="C757" s="186"/>
      <c r="D757" s="187"/>
      <c r="E757" s="188"/>
      <c r="F757" s="189"/>
      <c r="G757" s="190"/>
      <c r="H757" s="190"/>
      <c r="I757" s="84"/>
      <c r="J757" s="84"/>
      <c r="K757" s="84"/>
      <c r="L757" s="84"/>
      <c r="M757" s="84"/>
      <c r="N757" s="84"/>
      <c r="O757" s="84"/>
      <c r="P757" s="84"/>
      <c r="Q757" s="84"/>
      <c r="R757" s="84"/>
      <c r="S757" s="84"/>
      <c r="T757" s="84"/>
    </row>
    <row r="758" ht="15.75" customHeight="1">
      <c r="A758" s="84" t="s">
        <v>37082</v>
      </c>
      <c r="B758" s="84">
        <v>1.0</v>
      </c>
      <c r="C758" s="186"/>
      <c r="D758" s="187"/>
      <c r="E758" s="188"/>
      <c r="F758" s="189"/>
      <c r="G758" s="190"/>
      <c r="H758" s="190"/>
      <c r="I758" s="84"/>
      <c r="J758" s="84"/>
      <c r="K758" s="84"/>
      <c r="L758" s="84"/>
      <c r="M758" s="84"/>
      <c r="N758" s="84"/>
      <c r="O758" s="84"/>
      <c r="P758" s="84"/>
      <c r="Q758" s="84"/>
      <c r="R758" s="84"/>
      <c r="S758" s="84"/>
      <c r="T758" s="84"/>
    </row>
    <row r="759" ht="15.75" customHeight="1">
      <c r="A759" s="84" t="s">
        <v>37083</v>
      </c>
      <c r="B759" s="84">
        <v>1.0</v>
      </c>
      <c r="C759" s="186"/>
      <c r="D759" s="187"/>
      <c r="E759" s="188"/>
      <c r="F759" s="189"/>
      <c r="G759" s="190"/>
      <c r="H759" s="190"/>
      <c r="I759" s="84"/>
      <c r="J759" s="84"/>
      <c r="K759" s="84"/>
      <c r="L759" s="84"/>
      <c r="M759" s="84"/>
      <c r="N759" s="84"/>
      <c r="O759" s="84"/>
      <c r="P759" s="84"/>
      <c r="Q759" s="84"/>
      <c r="R759" s="84"/>
      <c r="S759" s="84"/>
      <c r="T759" s="84"/>
    </row>
    <row r="760" ht="15.75" customHeight="1">
      <c r="A760" s="84" t="s">
        <v>37086</v>
      </c>
      <c r="B760" s="84">
        <v>1.0</v>
      </c>
      <c r="C760" s="186"/>
      <c r="D760" s="187"/>
      <c r="E760" s="188"/>
      <c r="F760" s="189"/>
      <c r="G760" s="190"/>
      <c r="H760" s="190"/>
      <c r="I760" s="84"/>
      <c r="J760" s="84"/>
      <c r="K760" s="84"/>
      <c r="L760" s="84"/>
      <c r="M760" s="84"/>
      <c r="N760" s="84"/>
      <c r="O760" s="84"/>
      <c r="P760" s="84"/>
      <c r="Q760" s="84"/>
      <c r="R760" s="84"/>
      <c r="S760" s="84"/>
      <c r="T760" s="84"/>
    </row>
    <row r="761" ht="15.75" customHeight="1">
      <c r="A761" s="84" t="s">
        <v>37087</v>
      </c>
      <c r="B761" s="84">
        <v>1.0</v>
      </c>
      <c r="C761" s="186"/>
      <c r="D761" s="187"/>
      <c r="E761" s="188"/>
      <c r="F761" s="189"/>
      <c r="G761" s="190"/>
      <c r="H761" s="190"/>
      <c r="I761" s="84"/>
      <c r="J761" s="84"/>
      <c r="K761" s="84"/>
      <c r="L761" s="84"/>
      <c r="M761" s="84"/>
      <c r="N761" s="84"/>
      <c r="O761" s="84"/>
      <c r="P761" s="84"/>
      <c r="Q761" s="84"/>
      <c r="R761" s="84"/>
      <c r="S761" s="84"/>
      <c r="T761" s="84"/>
    </row>
    <row r="762" ht="15.75" customHeight="1">
      <c r="A762" s="84" t="s">
        <v>37091</v>
      </c>
      <c r="B762" s="84">
        <v>1.0</v>
      </c>
      <c r="C762" s="186"/>
      <c r="D762" s="187"/>
      <c r="E762" s="188"/>
      <c r="F762" s="189"/>
      <c r="G762" s="190"/>
      <c r="H762" s="190"/>
      <c r="I762" s="84"/>
      <c r="J762" s="84"/>
      <c r="K762" s="84"/>
      <c r="L762" s="84"/>
      <c r="M762" s="84"/>
      <c r="N762" s="84"/>
      <c r="O762" s="84"/>
      <c r="P762" s="84"/>
      <c r="Q762" s="84"/>
      <c r="R762" s="84"/>
      <c r="S762" s="84"/>
      <c r="T762" s="84"/>
    </row>
    <row r="763" ht="15.75" customHeight="1">
      <c r="A763" s="84" t="s">
        <v>37092</v>
      </c>
      <c r="B763" s="84">
        <v>1.0</v>
      </c>
      <c r="C763" s="186"/>
      <c r="D763" s="187"/>
      <c r="E763" s="188"/>
      <c r="F763" s="189"/>
      <c r="G763" s="190"/>
      <c r="H763" s="190"/>
      <c r="I763" s="84"/>
      <c r="J763" s="84"/>
      <c r="K763" s="84"/>
      <c r="L763" s="84"/>
      <c r="M763" s="84"/>
      <c r="N763" s="84"/>
      <c r="O763" s="84"/>
      <c r="P763" s="84"/>
      <c r="Q763" s="84"/>
      <c r="R763" s="84"/>
      <c r="S763" s="84"/>
      <c r="T763" s="84"/>
    </row>
    <row r="764" ht="15.75" customHeight="1">
      <c r="A764" s="84" t="s">
        <v>37093</v>
      </c>
      <c r="B764" s="84">
        <v>1.0</v>
      </c>
      <c r="C764" s="186"/>
      <c r="D764" s="187"/>
      <c r="E764" s="188"/>
      <c r="F764" s="189"/>
      <c r="G764" s="190"/>
      <c r="H764" s="190"/>
      <c r="I764" s="84"/>
      <c r="J764" s="84"/>
      <c r="K764" s="84"/>
      <c r="L764" s="84"/>
      <c r="M764" s="84"/>
      <c r="N764" s="84"/>
      <c r="O764" s="84"/>
      <c r="P764" s="84"/>
      <c r="Q764" s="84"/>
      <c r="R764" s="84"/>
      <c r="S764" s="84"/>
      <c r="T764" s="84"/>
    </row>
    <row r="765" ht="15.75" customHeight="1">
      <c r="A765" s="84" t="s">
        <v>37098</v>
      </c>
      <c r="B765" s="84">
        <v>2.0</v>
      </c>
      <c r="C765" s="186"/>
      <c r="D765" s="187"/>
      <c r="E765" s="188"/>
      <c r="F765" s="189"/>
      <c r="G765" s="190"/>
      <c r="H765" s="190"/>
      <c r="I765" s="84"/>
      <c r="J765" s="84"/>
      <c r="K765" s="84"/>
      <c r="L765" s="84"/>
      <c r="M765" s="84"/>
      <c r="N765" s="84"/>
      <c r="O765" s="84"/>
      <c r="P765" s="84"/>
      <c r="Q765" s="84"/>
      <c r="R765" s="84"/>
      <c r="S765" s="84"/>
      <c r="T765" s="84"/>
    </row>
    <row r="766" ht="15.75" customHeight="1">
      <c r="A766" s="84" t="s">
        <v>37099</v>
      </c>
      <c r="B766" s="84">
        <v>1.0</v>
      </c>
      <c r="C766" s="186"/>
      <c r="D766" s="187"/>
      <c r="E766" s="188"/>
      <c r="F766" s="189"/>
      <c r="G766" s="190"/>
      <c r="H766" s="190"/>
      <c r="I766" s="84"/>
      <c r="J766" s="84"/>
      <c r="K766" s="84"/>
      <c r="L766" s="84"/>
      <c r="M766" s="84"/>
      <c r="N766" s="84"/>
      <c r="O766" s="84"/>
      <c r="P766" s="84"/>
      <c r="Q766" s="84"/>
      <c r="R766" s="84"/>
      <c r="S766" s="84"/>
      <c r="T766" s="84"/>
    </row>
    <row r="767" ht="15.75" customHeight="1">
      <c r="A767" s="84" t="s">
        <v>37100</v>
      </c>
      <c r="B767" s="84">
        <v>1.0</v>
      </c>
      <c r="C767" s="186"/>
      <c r="D767" s="187"/>
      <c r="E767" s="188"/>
      <c r="F767" s="189"/>
      <c r="G767" s="190"/>
      <c r="H767" s="190"/>
      <c r="I767" s="84"/>
      <c r="J767" s="84"/>
      <c r="K767" s="84"/>
      <c r="L767" s="84"/>
      <c r="M767" s="84"/>
      <c r="N767" s="84"/>
      <c r="O767" s="84"/>
      <c r="P767" s="84"/>
      <c r="Q767" s="84"/>
      <c r="R767" s="84"/>
      <c r="S767" s="84"/>
      <c r="T767" s="84"/>
    </row>
    <row r="768" ht="15.75" customHeight="1">
      <c r="A768" s="84" t="s">
        <v>37104</v>
      </c>
      <c r="B768" s="84">
        <v>1.0</v>
      </c>
      <c r="C768" s="186"/>
      <c r="D768" s="187"/>
      <c r="E768" s="188"/>
      <c r="F768" s="189"/>
      <c r="G768" s="190"/>
      <c r="H768" s="190"/>
      <c r="I768" s="84"/>
      <c r="J768" s="84"/>
      <c r="K768" s="84"/>
      <c r="L768" s="84"/>
      <c r="M768" s="84"/>
      <c r="N768" s="84"/>
      <c r="O768" s="84"/>
      <c r="P768" s="84"/>
      <c r="Q768" s="84"/>
      <c r="R768" s="84"/>
      <c r="S768" s="84"/>
      <c r="T768" s="84"/>
    </row>
    <row r="769" ht="15.75" customHeight="1">
      <c r="A769" s="84" t="s">
        <v>37106</v>
      </c>
      <c r="B769" s="84">
        <v>1.0</v>
      </c>
      <c r="C769" s="186"/>
      <c r="D769" s="187"/>
      <c r="E769" s="188"/>
      <c r="F769" s="189"/>
      <c r="G769" s="190"/>
      <c r="H769" s="190"/>
      <c r="I769" s="84"/>
      <c r="J769" s="84"/>
      <c r="K769" s="84"/>
      <c r="L769" s="84"/>
      <c r="M769" s="84"/>
      <c r="N769" s="84"/>
      <c r="O769" s="84"/>
      <c r="P769" s="84"/>
      <c r="Q769" s="84"/>
      <c r="R769" s="84"/>
      <c r="S769" s="84"/>
      <c r="T769" s="84"/>
    </row>
    <row r="770" ht="15.75" customHeight="1">
      <c r="A770" s="84" t="s">
        <v>37107</v>
      </c>
      <c r="B770" s="84">
        <v>1.0</v>
      </c>
      <c r="C770" s="186" t="s">
        <v>18275</v>
      </c>
      <c r="D770" s="187" t="s">
        <v>37108</v>
      </c>
      <c r="E770" s="188"/>
      <c r="F770" s="189"/>
      <c r="G770" s="190"/>
      <c r="H770" s="190"/>
      <c r="I770" s="84"/>
      <c r="J770" s="84"/>
      <c r="K770" s="84"/>
      <c r="L770" s="84"/>
      <c r="M770" s="84"/>
      <c r="N770" s="84"/>
      <c r="O770" s="84"/>
      <c r="P770" s="84"/>
      <c r="Q770" s="84"/>
      <c r="R770" s="84"/>
      <c r="S770" s="84"/>
      <c r="T770" s="84"/>
    </row>
    <row r="771" ht="15.75" customHeight="1">
      <c r="A771" s="84" t="s">
        <v>37109</v>
      </c>
      <c r="B771" s="84">
        <v>1.0</v>
      </c>
      <c r="C771" s="186"/>
      <c r="D771" s="187"/>
      <c r="E771" s="188"/>
      <c r="F771" s="189"/>
      <c r="G771" s="190"/>
      <c r="H771" s="190"/>
      <c r="I771" s="84"/>
      <c r="J771" s="84"/>
      <c r="K771" s="84"/>
      <c r="L771" s="84"/>
      <c r="M771" s="84"/>
      <c r="N771" s="84"/>
      <c r="O771" s="84"/>
      <c r="P771" s="84"/>
      <c r="Q771" s="84"/>
      <c r="R771" s="84"/>
      <c r="S771" s="84"/>
      <c r="T771" s="84"/>
    </row>
    <row r="772" ht="15.75" customHeight="1">
      <c r="A772" s="84" t="s">
        <v>37108</v>
      </c>
      <c r="B772" s="84">
        <v>2.0</v>
      </c>
      <c r="C772" s="186"/>
      <c r="D772" s="187"/>
      <c r="E772" s="188"/>
      <c r="F772" s="189"/>
      <c r="G772" s="190"/>
      <c r="H772" s="190"/>
      <c r="I772" s="84"/>
      <c r="J772" s="84"/>
      <c r="K772" s="84"/>
      <c r="L772" s="84"/>
      <c r="M772" s="84"/>
      <c r="N772" s="84"/>
      <c r="O772" s="84"/>
      <c r="P772" s="84"/>
      <c r="Q772" s="84"/>
      <c r="R772" s="84"/>
      <c r="S772" s="84"/>
      <c r="T772" s="84"/>
    </row>
    <row r="773" ht="15.75" customHeight="1">
      <c r="A773" s="84" t="s">
        <v>37111</v>
      </c>
      <c r="B773" s="84">
        <v>1.0</v>
      </c>
      <c r="C773" s="186"/>
      <c r="D773" s="187"/>
      <c r="E773" s="188"/>
      <c r="F773" s="189"/>
      <c r="G773" s="190"/>
      <c r="H773" s="190"/>
      <c r="I773" s="84"/>
      <c r="J773" s="84"/>
      <c r="K773" s="84"/>
      <c r="L773" s="84"/>
      <c r="M773" s="84"/>
      <c r="N773" s="84"/>
      <c r="O773" s="84"/>
      <c r="P773" s="84"/>
      <c r="Q773" s="84"/>
      <c r="R773" s="84"/>
      <c r="S773" s="84"/>
      <c r="T773" s="84"/>
    </row>
    <row r="774" ht="15.75" customHeight="1">
      <c r="A774" s="84" t="s">
        <v>37115</v>
      </c>
      <c r="B774" s="84">
        <v>1.0</v>
      </c>
      <c r="C774" s="186"/>
      <c r="D774" s="187"/>
      <c r="E774" s="188"/>
      <c r="F774" s="189"/>
      <c r="G774" s="190"/>
      <c r="H774" s="190"/>
      <c r="I774" s="84"/>
      <c r="J774" s="84"/>
      <c r="K774" s="84"/>
      <c r="L774" s="84"/>
      <c r="M774" s="84"/>
      <c r="N774" s="84"/>
      <c r="O774" s="84"/>
      <c r="P774" s="84"/>
      <c r="Q774" s="84"/>
      <c r="R774" s="84"/>
      <c r="S774" s="84"/>
      <c r="T774" s="84"/>
    </row>
    <row r="775" ht="15.75" customHeight="1">
      <c r="A775" s="84" t="s">
        <v>37116</v>
      </c>
      <c r="B775" s="84">
        <v>1.0</v>
      </c>
      <c r="C775" s="186"/>
      <c r="D775" s="187"/>
      <c r="E775" s="188"/>
      <c r="F775" s="189"/>
      <c r="G775" s="190"/>
      <c r="H775" s="190"/>
      <c r="I775" s="84"/>
      <c r="J775" s="84"/>
      <c r="K775" s="84"/>
      <c r="L775" s="84"/>
      <c r="M775" s="84"/>
      <c r="N775" s="84"/>
      <c r="O775" s="84"/>
      <c r="P775" s="84"/>
      <c r="Q775" s="84"/>
      <c r="R775" s="84"/>
      <c r="S775" s="84"/>
      <c r="T775" s="84"/>
    </row>
    <row r="776" ht="15.75" customHeight="1">
      <c r="A776" s="84" t="s">
        <v>37117</v>
      </c>
      <c r="B776" s="84">
        <v>1.0</v>
      </c>
      <c r="C776" s="186"/>
      <c r="D776" s="187"/>
      <c r="E776" s="188"/>
      <c r="F776" s="189"/>
      <c r="G776" s="190"/>
      <c r="H776" s="190"/>
      <c r="I776" s="84"/>
      <c r="J776" s="84"/>
      <c r="K776" s="84"/>
      <c r="L776" s="84"/>
      <c r="M776" s="84"/>
      <c r="N776" s="84"/>
      <c r="O776" s="84"/>
      <c r="P776" s="84"/>
      <c r="Q776" s="84"/>
      <c r="R776" s="84"/>
      <c r="S776" s="84"/>
      <c r="T776" s="84"/>
    </row>
    <row r="777" ht="15.75" customHeight="1">
      <c r="A777" s="84" t="s">
        <v>37121</v>
      </c>
      <c r="B777" s="84">
        <v>1.0</v>
      </c>
      <c r="C777" s="186"/>
      <c r="D777" s="187"/>
      <c r="E777" s="188"/>
      <c r="F777" s="189"/>
      <c r="G777" s="190"/>
      <c r="H777" s="190"/>
      <c r="I777" s="84"/>
      <c r="J777" s="84"/>
      <c r="K777" s="84"/>
      <c r="L777" s="84"/>
      <c r="M777" s="84"/>
      <c r="N777" s="84"/>
      <c r="O777" s="84"/>
      <c r="P777" s="84"/>
      <c r="Q777" s="84"/>
      <c r="R777" s="84"/>
      <c r="S777" s="84"/>
      <c r="T777" s="84"/>
    </row>
    <row r="778" ht="15.75" customHeight="1">
      <c r="A778" s="84" t="s">
        <v>37122</v>
      </c>
      <c r="B778" s="84">
        <v>2.0</v>
      </c>
      <c r="C778" s="186"/>
      <c r="D778" s="187"/>
      <c r="E778" s="188"/>
      <c r="F778" s="189"/>
      <c r="G778" s="190"/>
      <c r="H778" s="190"/>
      <c r="I778" s="84"/>
      <c r="J778" s="84"/>
      <c r="K778" s="84"/>
      <c r="L778" s="84"/>
      <c r="M778" s="84"/>
      <c r="N778" s="84"/>
      <c r="O778" s="84"/>
      <c r="P778" s="84"/>
      <c r="Q778" s="84"/>
      <c r="R778" s="84"/>
      <c r="S778" s="84"/>
      <c r="T778" s="84"/>
    </row>
    <row r="779" ht="15.75" customHeight="1">
      <c r="A779" s="84" t="s">
        <v>37123</v>
      </c>
      <c r="B779" s="84">
        <v>1.0</v>
      </c>
      <c r="C779" s="186"/>
      <c r="D779" s="187"/>
      <c r="E779" s="188"/>
      <c r="F779" s="189"/>
      <c r="G779" s="190"/>
      <c r="H779" s="190"/>
      <c r="I779" s="84"/>
      <c r="J779" s="84"/>
      <c r="K779" s="84"/>
      <c r="L779" s="84"/>
      <c r="M779" s="84"/>
      <c r="N779" s="84"/>
      <c r="O779" s="84"/>
      <c r="P779" s="84"/>
      <c r="Q779" s="84"/>
      <c r="R779" s="84"/>
      <c r="S779" s="84"/>
      <c r="T779" s="84"/>
    </row>
    <row r="780" ht="15.75" customHeight="1">
      <c r="A780" s="84" t="s">
        <v>37126</v>
      </c>
      <c r="B780" s="84">
        <v>4.0</v>
      </c>
      <c r="C780" s="186"/>
      <c r="D780" s="187"/>
      <c r="E780" s="188"/>
      <c r="F780" s="189"/>
      <c r="G780" s="190"/>
      <c r="H780" s="190"/>
      <c r="I780" s="84"/>
      <c r="J780" s="84"/>
      <c r="K780" s="84"/>
      <c r="L780" s="84"/>
      <c r="M780" s="84"/>
      <c r="N780" s="84"/>
      <c r="O780" s="84"/>
      <c r="P780" s="84"/>
      <c r="Q780" s="84"/>
      <c r="R780" s="84"/>
      <c r="S780" s="84"/>
      <c r="T780" s="84"/>
    </row>
    <row r="781" ht="15.75" customHeight="1">
      <c r="A781" s="84" t="s">
        <v>37127</v>
      </c>
      <c r="B781" s="84">
        <v>1.0</v>
      </c>
      <c r="C781" s="186"/>
      <c r="D781" s="187"/>
      <c r="E781" s="188"/>
      <c r="F781" s="189"/>
      <c r="G781" s="190"/>
      <c r="H781" s="190"/>
      <c r="I781" s="84"/>
      <c r="J781" s="84"/>
      <c r="K781" s="84"/>
      <c r="L781" s="84"/>
      <c r="M781" s="84"/>
      <c r="N781" s="84"/>
      <c r="O781" s="84"/>
      <c r="P781" s="84"/>
      <c r="Q781" s="84"/>
      <c r="R781" s="84"/>
      <c r="S781" s="84"/>
      <c r="T781" s="84"/>
    </row>
    <row r="782" ht="15.75" customHeight="1">
      <c r="A782" s="84" t="s">
        <v>37128</v>
      </c>
      <c r="B782" s="84">
        <v>1.0</v>
      </c>
      <c r="C782" s="186"/>
      <c r="D782" s="187"/>
      <c r="E782" s="188"/>
      <c r="F782" s="189"/>
      <c r="G782" s="190"/>
      <c r="H782" s="190"/>
      <c r="I782" s="84"/>
      <c r="J782" s="84"/>
      <c r="K782" s="84"/>
      <c r="L782" s="84"/>
      <c r="M782" s="84"/>
      <c r="N782" s="84"/>
      <c r="O782" s="84"/>
      <c r="P782" s="84"/>
      <c r="Q782" s="84"/>
      <c r="R782" s="84"/>
      <c r="S782" s="84"/>
      <c r="T782" s="84"/>
    </row>
    <row r="783" ht="15.75" customHeight="1">
      <c r="A783" s="84" t="s">
        <v>37130</v>
      </c>
      <c r="B783" s="84">
        <v>1.0</v>
      </c>
      <c r="C783" s="186"/>
      <c r="D783" s="187"/>
      <c r="E783" s="188"/>
      <c r="F783" s="189"/>
      <c r="G783" s="190"/>
      <c r="H783" s="190"/>
      <c r="I783" s="84"/>
      <c r="J783" s="84"/>
      <c r="K783" s="84"/>
      <c r="L783" s="84"/>
      <c r="M783" s="84"/>
      <c r="N783" s="84"/>
      <c r="O783" s="84"/>
      <c r="P783" s="84"/>
      <c r="Q783" s="84"/>
      <c r="R783" s="84"/>
      <c r="S783" s="84"/>
      <c r="T783" s="84"/>
    </row>
    <row r="784" ht="15.75" customHeight="1">
      <c r="A784" s="84" t="s">
        <v>37132</v>
      </c>
      <c r="B784" s="84">
        <v>1.0</v>
      </c>
      <c r="C784" s="186"/>
      <c r="D784" s="187"/>
      <c r="E784" s="188"/>
      <c r="F784" s="189"/>
      <c r="G784" s="190"/>
      <c r="H784" s="190"/>
      <c r="I784" s="84"/>
      <c r="J784" s="84"/>
      <c r="K784" s="84"/>
      <c r="L784" s="84"/>
      <c r="M784" s="84"/>
      <c r="N784" s="84"/>
      <c r="O784" s="84"/>
      <c r="P784" s="84"/>
      <c r="Q784" s="84"/>
      <c r="R784" s="84"/>
      <c r="S784" s="84"/>
      <c r="T784" s="84"/>
    </row>
    <row r="785" ht="15.75" customHeight="1">
      <c r="A785" s="84" t="s">
        <v>37133</v>
      </c>
      <c r="B785" s="84">
        <v>1.0</v>
      </c>
      <c r="C785" s="186"/>
      <c r="D785" s="187"/>
      <c r="E785" s="188"/>
      <c r="F785" s="189"/>
      <c r="G785" s="190"/>
      <c r="H785" s="190"/>
      <c r="I785" s="84"/>
      <c r="J785" s="84"/>
      <c r="K785" s="84"/>
      <c r="L785" s="84"/>
      <c r="M785" s="84"/>
      <c r="N785" s="84"/>
      <c r="O785" s="84"/>
      <c r="P785" s="84"/>
      <c r="Q785" s="84"/>
      <c r="R785" s="84"/>
      <c r="S785" s="84"/>
      <c r="T785" s="84"/>
    </row>
    <row r="786" ht="15.75" customHeight="1">
      <c r="A786" s="84" t="s">
        <v>37136</v>
      </c>
      <c r="B786" s="84">
        <v>2.0</v>
      </c>
      <c r="C786" s="186"/>
      <c r="D786" s="187"/>
      <c r="E786" s="188"/>
      <c r="F786" s="189"/>
      <c r="G786" s="190"/>
      <c r="H786" s="190"/>
      <c r="I786" s="84"/>
      <c r="J786" s="84"/>
      <c r="K786" s="84"/>
      <c r="L786" s="84"/>
      <c r="M786" s="84"/>
      <c r="N786" s="84"/>
      <c r="O786" s="84"/>
      <c r="P786" s="84"/>
      <c r="Q786" s="84"/>
      <c r="R786" s="84"/>
      <c r="S786" s="84"/>
      <c r="T786" s="84"/>
    </row>
    <row r="787" ht="15.75" customHeight="1">
      <c r="A787" s="84" t="s">
        <v>37138</v>
      </c>
      <c r="B787" s="84">
        <v>1.0</v>
      </c>
      <c r="C787" s="186"/>
      <c r="D787" s="187"/>
      <c r="E787" s="188"/>
      <c r="F787" s="189"/>
      <c r="G787" s="190"/>
      <c r="H787" s="190"/>
      <c r="I787" s="84"/>
      <c r="J787" s="84"/>
      <c r="K787" s="84"/>
      <c r="L787" s="84"/>
      <c r="M787" s="84"/>
      <c r="N787" s="84"/>
      <c r="O787" s="84"/>
      <c r="P787" s="84"/>
      <c r="Q787" s="84"/>
      <c r="R787" s="84"/>
      <c r="S787" s="84"/>
      <c r="T787" s="84"/>
    </row>
    <row r="788" ht="15.75" customHeight="1">
      <c r="A788" s="84" t="s">
        <v>37141</v>
      </c>
      <c r="B788" s="84">
        <v>1.0</v>
      </c>
      <c r="C788" s="186"/>
      <c r="D788" s="187"/>
      <c r="E788" s="188"/>
      <c r="F788" s="189"/>
      <c r="G788" s="190"/>
      <c r="H788" s="190"/>
      <c r="I788" s="84"/>
      <c r="J788" s="84"/>
      <c r="K788" s="84"/>
      <c r="L788" s="84"/>
      <c r="M788" s="84"/>
      <c r="N788" s="84"/>
      <c r="O788" s="84"/>
      <c r="P788" s="84"/>
      <c r="Q788" s="84"/>
      <c r="R788" s="84"/>
      <c r="S788" s="84"/>
      <c r="T788" s="84"/>
    </row>
    <row r="789" ht="15.75" customHeight="1">
      <c r="A789" s="84" t="s">
        <v>37142</v>
      </c>
      <c r="B789" s="84">
        <v>1.0</v>
      </c>
      <c r="C789" s="186"/>
      <c r="D789" s="187"/>
      <c r="E789" s="188"/>
      <c r="F789" s="189"/>
      <c r="G789" s="190"/>
      <c r="H789" s="190"/>
      <c r="I789" s="84"/>
      <c r="J789" s="84"/>
      <c r="K789" s="84"/>
      <c r="L789" s="84"/>
      <c r="M789" s="84"/>
      <c r="N789" s="84"/>
      <c r="O789" s="84"/>
      <c r="P789" s="84"/>
      <c r="Q789" s="84"/>
      <c r="R789" s="84"/>
      <c r="S789" s="84"/>
      <c r="T789" s="84"/>
    </row>
    <row r="790" ht="15.75" customHeight="1">
      <c r="A790" s="84" t="s">
        <v>37145</v>
      </c>
      <c r="B790" s="84">
        <v>1.0</v>
      </c>
      <c r="C790" s="186"/>
      <c r="D790" s="187"/>
      <c r="E790" s="188"/>
      <c r="F790" s="189"/>
      <c r="G790" s="190"/>
      <c r="H790" s="190"/>
      <c r="I790" s="84"/>
      <c r="J790" s="84"/>
      <c r="K790" s="84"/>
      <c r="L790" s="84"/>
      <c r="M790" s="84"/>
      <c r="N790" s="84"/>
      <c r="O790" s="84"/>
      <c r="P790" s="84"/>
      <c r="Q790" s="84"/>
      <c r="R790" s="84"/>
      <c r="S790" s="84"/>
      <c r="T790" s="84"/>
    </row>
    <row r="791" ht="15.75" customHeight="1">
      <c r="A791" s="84" t="s">
        <v>37149</v>
      </c>
      <c r="B791" s="84">
        <v>1.0</v>
      </c>
      <c r="C791" s="186"/>
      <c r="D791" s="187" t="s">
        <v>37150</v>
      </c>
      <c r="E791" s="188"/>
      <c r="F791" s="189"/>
      <c r="G791" s="190"/>
      <c r="H791" s="190"/>
      <c r="I791" s="84"/>
      <c r="J791" s="84"/>
      <c r="K791" s="84"/>
      <c r="L791" s="84"/>
      <c r="M791" s="84"/>
      <c r="N791" s="84"/>
      <c r="O791" s="84"/>
      <c r="P791" s="84"/>
      <c r="Q791" s="84"/>
      <c r="R791" s="84"/>
      <c r="S791" s="84"/>
      <c r="T791" s="84"/>
    </row>
    <row r="792" ht="15.75" customHeight="1">
      <c r="A792" s="84" t="s">
        <v>37150</v>
      </c>
      <c r="B792" s="84">
        <v>1.0</v>
      </c>
      <c r="C792" s="186"/>
      <c r="D792" s="187"/>
      <c r="E792" s="188"/>
      <c r="F792" s="189"/>
      <c r="G792" s="190"/>
      <c r="H792" s="190"/>
      <c r="I792" s="84"/>
      <c r="J792" s="84"/>
      <c r="K792" s="84"/>
      <c r="L792" s="84"/>
      <c r="M792" s="84"/>
      <c r="N792" s="84"/>
      <c r="O792" s="84"/>
      <c r="P792" s="84"/>
      <c r="Q792" s="84"/>
      <c r="R792" s="84"/>
      <c r="S792" s="84"/>
      <c r="T792" s="84"/>
    </row>
    <row r="793" ht="15.75" customHeight="1">
      <c r="A793" s="84" t="s">
        <v>37153</v>
      </c>
      <c r="B793" s="84">
        <v>1.0</v>
      </c>
      <c r="C793" s="186"/>
      <c r="D793" s="187"/>
      <c r="E793" s="188"/>
      <c r="F793" s="189"/>
      <c r="G793" s="190"/>
      <c r="H793" s="190"/>
      <c r="I793" s="84"/>
      <c r="J793" s="84"/>
      <c r="K793" s="84"/>
      <c r="L793" s="84"/>
      <c r="M793" s="84"/>
      <c r="N793" s="84"/>
      <c r="O793" s="84"/>
      <c r="P793" s="84"/>
      <c r="Q793" s="84"/>
      <c r="R793" s="84"/>
      <c r="S793" s="84"/>
      <c r="T793" s="84"/>
    </row>
    <row r="794" ht="15.75" customHeight="1">
      <c r="A794" s="84" t="s">
        <v>37154</v>
      </c>
      <c r="B794" s="84">
        <v>1.0</v>
      </c>
      <c r="C794" s="186"/>
      <c r="D794" s="187"/>
      <c r="E794" s="188"/>
      <c r="F794" s="189"/>
      <c r="G794" s="190"/>
      <c r="H794" s="190"/>
      <c r="I794" s="84"/>
      <c r="J794" s="84"/>
      <c r="K794" s="84"/>
      <c r="L794" s="84"/>
      <c r="M794" s="84"/>
      <c r="N794" s="84"/>
      <c r="O794" s="84"/>
      <c r="P794" s="84"/>
      <c r="Q794" s="84"/>
      <c r="R794" s="84"/>
      <c r="S794" s="84"/>
      <c r="T794" s="84"/>
    </row>
    <row r="795" ht="15.75" customHeight="1">
      <c r="A795" s="84" t="s">
        <v>37155</v>
      </c>
      <c r="B795" s="84">
        <v>1.0</v>
      </c>
      <c r="C795" s="186"/>
      <c r="D795" s="187"/>
      <c r="E795" s="188"/>
      <c r="F795" s="189"/>
      <c r="G795" s="190"/>
      <c r="H795" s="190"/>
      <c r="I795" s="84"/>
      <c r="J795" s="84"/>
      <c r="K795" s="84"/>
      <c r="L795" s="84"/>
      <c r="M795" s="84"/>
      <c r="N795" s="84"/>
      <c r="O795" s="84"/>
      <c r="P795" s="84"/>
      <c r="Q795" s="84"/>
      <c r="R795" s="84"/>
      <c r="S795" s="84"/>
      <c r="T795" s="84"/>
    </row>
    <row r="796" ht="15.75" customHeight="1">
      <c r="A796" s="84" t="s">
        <v>37157</v>
      </c>
      <c r="B796" s="84">
        <v>1.0</v>
      </c>
      <c r="C796" s="186"/>
      <c r="D796" s="187"/>
      <c r="E796" s="188"/>
      <c r="F796" s="189"/>
      <c r="G796" s="190"/>
      <c r="H796" s="190"/>
      <c r="I796" s="84"/>
      <c r="J796" s="84"/>
      <c r="K796" s="84"/>
      <c r="L796" s="84"/>
      <c r="M796" s="84"/>
      <c r="N796" s="84"/>
      <c r="O796" s="84"/>
      <c r="P796" s="84"/>
      <c r="Q796" s="84"/>
      <c r="R796" s="84"/>
      <c r="S796" s="84"/>
      <c r="T796" s="84"/>
    </row>
    <row r="797" ht="15.75" customHeight="1">
      <c r="A797" s="84" t="s">
        <v>37161</v>
      </c>
      <c r="B797" s="84">
        <v>1.0</v>
      </c>
      <c r="C797" s="186"/>
      <c r="D797" s="187"/>
      <c r="E797" s="188"/>
      <c r="F797" s="189"/>
      <c r="G797" s="190"/>
      <c r="H797" s="190"/>
      <c r="I797" s="84"/>
      <c r="J797" s="84"/>
      <c r="K797" s="84"/>
      <c r="L797" s="84"/>
      <c r="M797" s="84"/>
      <c r="N797" s="84"/>
      <c r="O797" s="84"/>
      <c r="P797" s="84"/>
      <c r="Q797" s="84"/>
      <c r="R797" s="84"/>
      <c r="S797" s="84"/>
      <c r="T797" s="84"/>
    </row>
    <row r="798" ht="15.75" customHeight="1">
      <c r="A798" s="84" t="s">
        <v>37162</v>
      </c>
      <c r="B798" s="84">
        <v>1.0</v>
      </c>
      <c r="C798" s="186"/>
      <c r="D798" s="187"/>
      <c r="E798" s="188"/>
      <c r="F798" s="189"/>
      <c r="G798" s="190"/>
      <c r="H798" s="190"/>
      <c r="I798" s="84"/>
      <c r="J798" s="84"/>
      <c r="K798" s="84"/>
      <c r="L798" s="84"/>
      <c r="M798" s="84"/>
      <c r="N798" s="84"/>
      <c r="O798" s="84"/>
      <c r="P798" s="84"/>
      <c r="Q798" s="84"/>
      <c r="R798" s="84"/>
      <c r="S798" s="84"/>
      <c r="T798" s="84"/>
    </row>
    <row r="799" ht="15.75" customHeight="1">
      <c r="A799" s="84" t="s">
        <v>37163</v>
      </c>
      <c r="B799" s="84">
        <v>1.0</v>
      </c>
      <c r="C799" s="186"/>
      <c r="D799" s="187"/>
      <c r="E799" s="188"/>
      <c r="F799" s="189"/>
      <c r="G799" s="190"/>
      <c r="H799" s="190"/>
      <c r="I799" s="84"/>
      <c r="J799" s="84"/>
      <c r="K799" s="84"/>
      <c r="L799" s="84"/>
      <c r="M799" s="84"/>
      <c r="N799" s="84"/>
      <c r="O799" s="84"/>
      <c r="P799" s="84"/>
      <c r="Q799" s="84"/>
      <c r="R799" s="84"/>
      <c r="S799" s="84"/>
      <c r="T799" s="84"/>
    </row>
    <row r="800" ht="15.75" customHeight="1">
      <c r="A800" s="84" t="s">
        <v>37164</v>
      </c>
      <c r="B800" s="84">
        <v>2.0</v>
      </c>
      <c r="C800" s="186"/>
      <c r="D800" s="187"/>
      <c r="E800" s="188"/>
      <c r="F800" s="189"/>
      <c r="G800" s="190"/>
      <c r="H800" s="190"/>
      <c r="I800" s="84"/>
      <c r="J800" s="84"/>
      <c r="K800" s="84"/>
      <c r="L800" s="84"/>
      <c r="M800" s="84"/>
      <c r="N800" s="84"/>
      <c r="O800" s="84"/>
      <c r="P800" s="84"/>
      <c r="Q800" s="84"/>
      <c r="R800" s="84"/>
      <c r="S800" s="84"/>
      <c r="T800" s="84"/>
    </row>
    <row r="801" ht="15.75" customHeight="1">
      <c r="A801" s="84" t="s">
        <v>37168</v>
      </c>
      <c r="B801" s="84">
        <v>2.0</v>
      </c>
      <c r="C801" s="186"/>
      <c r="D801" s="187"/>
      <c r="E801" s="188"/>
      <c r="F801" s="189"/>
      <c r="G801" s="190"/>
      <c r="H801" s="190"/>
      <c r="I801" s="84"/>
      <c r="J801" s="84"/>
      <c r="K801" s="84"/>
      <c r="L801" s="84"/>
      <c r="M801" s="84"/>
      <c r="N801" s="84"/>
      <c r="O801" s="84"/>
      <c r="P801" s="84"/>
      <c r="Q801" s="84"/>
      <c r="R801" s="84"/>
      <c r="S801" s="84"/>
      <c r="T801" s="84"/>
    </row>
    <row r="802" ht="15.75" customHeight="1">
      <c r="A802" s="84" t="s">
        <v>37169</v>
      </c>
      <c r="B802" s="84">
        <v>1.0</v>
      </c>
      <c r="C802" s="186"/>
      <c r="D802" s="187"/>
      <c r="E802" s="188"/>
      <c r="F802" s="189"/>
      <c r="G802" s="190"/>
      <c r="H802" s="190"/>
      <c r="I802" s="84"/>
      <c r="J802" s="84"/>
      <c r="K802" s="84"/>
      <c r="L802" s="84"/>
      <c r="M802" s="84"/>
      <c r="N802" s="84"/>
      <c r="O802" s="84"/>
      <c r="P802" s="84"/>
      <c r="Q802" s="84"/>
      <c r="R802" s="84"/>
      <c r="S802" s="84"/>
      <c r="T802" s="84"/>
    </row>
    <row r="803" ht="15.75" customHeight="1">
      <c r="A803" s="84" t="s">
        <v>37170</v>
      </c>
      <c r="B803" s="84">
        <v>2.0</v>
      </c>
      <c r="C803" s="186"/>
      <c r="D803" s="187"/>
      <c r="E803" s="188"/>
      <c r="F803" s="189"/>
      <c r="G803" s="190"/>
      <c r="H803" s="190"/>
      <c r="I803" s="84"/>
      <c r="J803" s="84"/>
      <c r="K803" s="84"/>
      <c r="L803" s="84"/>
      <c r="M803" s="84"/>
      <c r="N803" s="84"/>
      <c r="O803" s="84"/>
      <c r="P803" s="84"/>
      <c r="Q803" s="84"/>
      <c r="R803" s="84"/>
      <c r="S803" s="84"/>
      <c r="T803" s="84"/>
    </row>
    <row r="804" ht="15.75" customHeight="1">
      <c r="A804" s="84" t="s">
        <v>37173</v>
      </c>
      <c r="B804" s="84">
        <v>1.0</v>
      </c>
      <c r="C804" s="186"/>
      <c r="D804" s="187"/>
      <c r="E804" s="188"/>
      <c r="F804" s="189"/>
      <c r="G804" s="190"/>
      <c r="H804" s="190"/>
      <c r="I804" s="84"/>
      <c r="J804" s="84"/>
      <c r="K804" s="84"/>
      <c r="L804" s="84"/>
      <c r="M804" s="84"/>
      <c r="N804" s="84"/>
      <c r="O804" s="84"/>
      <c r="P804" s="84"/>
      <c r="Q804" s="84"/>
      <c r="R804" s="84"/>
      <c r="S804" s="84"/>
      <c r="T804" s="84"/>
    </row>
    <row r="805" ht="15.75" customHeight="1">
      <c r="A805" s="84" t="s">
        <v>37174</v>
      </c>
      <c r="B805" s="84">
        <v>1.0</v>
      </c>
      <c r="C805" s="186"/>
      <c r="D805" s="187"/>
      <c r="E805" s="188"/>
      <c r="F805" s="189"/>
      <c r="G805" s="190"/>
      <c r="H805" s="190"/>
      <c r="I805" s="84"/>
      <c r="J805" s="84"/>
      <c r="K805" s="84"/>
      <c r="L805" s="84"/>
      <c r="M805" s="84"/>
      <c r="N805" s="84"/>
      <c r="O805" s="84"/>
      <c r="P805" s="84"/>
      <c r="Q805" s="84"/>
      <c r="R805" s="84"/>
      <c r="S805" s="84"/>
      <c r="T805" s="84"/>
    </row>
    <row r="806" ht="15.75" customHeight="1">
      <c r="A806" s="84" t="s">
        <v>37177</v>
      </c>
      <c r="B806" s="84">
        <v>1.0</v>
      </c>
      <c r="C806" s="186"/>
      <c r="D806" s="187"/>
      <c r="E806" s="188"/>
      <c r="F806" s="189"/>
      <c r="G806" s="190"/>
      <c r="H806" s="190"/>
      <c r="I806" s="84"/>
      <c r="J806" s="84"/>
      <c r="K806" s="84"/>
      <c r="L806" s="84"/>
      <c r="M806" s="84"/>
      <c r="N806" s="84"/>
      <c r="O806" s="84"/>
      <c r="P806" s="84"/>
      <c r="Q806" s="84"/>
      <c r="R806" s="84"/>
      <c r="S806" s="84"/>
      <c r="T806" s="84"/>
    </row>
    <row r="807" ht="15.75" customHeight="1">
      <c r="A807" s="84" t="s">
        <v>37178</v>
      </c>
      <c r="B807" s="84">
        <v>2.0</v>
      </c>
      <c r="C807" s="186"/>
      <c r="D807" s="187"/>
      <c r="E807" s="188"/>
      <c r="F807" s="189"/>
      <c r="G807" s="190"/>
      <c r="H807" s="190"/>
      <c r="I807" s="84"/>
      <c r="J807" s="84"/>
      <c r="K807" s="84"/>
      <c r="L807" s="84"/>
      <c r="M807" s="84"/>
      <c r="N807" s="84"/>
      <c r="O807" s="84"/>
      <c r="P807" s="84"/>
      <c r="Q807" s="84"/>
      <c r="R807" s="84"/>
      <c r="S807" s="84"/>
      <c r="T807" s="84"/>
    </row>
    <row r="808" ht="15.75" customHeight="1">
      <c r="A808" s="84" t="s">
        <v>37179</v>
      </c>
      <c r="B808" s="84">
        <v>1.0</v>
      </c>
      <c r="C808" s="186"/>
      <c r="D808" s="187"/>
      <c r="E808" s="188"/>
      <c r="F808" s="189"/>
      <c r="G808" s="190"/>
      <c r="H808" s="190"/>
      <c r="I808" s="84"/>
      <c r="J808" s="84"/>
      <c r="K808" s="84"/>
      <c r="L808" s="84"/>
      <c r="M808" s="84"/>
      <c r="N808" s="84"/>
      <c r="O808" s="84"/>
      <c r="P808" s="84"/>
      <c r="Q808" s="84"/>
      <c r="R808" s="84"/>
      <c r="S808" s="84"/>
      <c r="T808" s="84"/>
    </row>
    <row r="809" ht="15.75" customHeight="1">
      <c r="A809" s="84" t="s">
        <v>37180</v>
      </c>
      <c r="B809" s="84">
        <v>1.0</v>
      </c>
      <c r="C809" s="186"/>
      <c r="D809" s="187"/>
      <c r="E809" s="188"/>
      <c r="F809" s="189"/>
      <c r="G809" s="190"/>
      <c r="H809" s="190"/>
      <c r="I809" s="84"/>
      <c r="J809" s="84"/>
      <c r="K809" s="84"/>
      <c r="L809" s="84"/>
      <c r="M809" s="84"/>
      <c r="N809" s="84"/>
      <c r="O809" s="84"/>
      <c r="P809" s="84"/>
      <c r="Q809" s="84"/>
      <c r="R809" s="84"/>
      <c r="S809" s="84"/>
      <c r="T809" s="84"/>
    </row>
    <row r="810" ht="15.75" customHeight="1">
      <c r="A810" s="84" t="s">
        <v>37181</v>
      </c>
      <c r="B810" s="84">
        <v>1.0</v>
      </c>
      <c r="C810" s="186"/>
      <c r="D810" s="187"/>
      <c r="E810" s="188"/>
      <c r="F810" s="189"/>
      <c r="G810" s="190"/>
      <c r="H810" s="190"/>
      <c r="I810" s="84"/>
      <c r="J810" s="84"/>
      <c r="K810" s="84"/>
      <c r="L810" s="84"/>
      <c r="M810" s="84"/>
      <c r="N810" s="84"/>
      <c r="O810" s="84"/>
      <c r="P810" s="84"/>
      <c r="Q810" s="84"/>
      <c r="R810" s="84"/>
      <c r="S810" s="84"/>
      <c r="T810" s="84"/>
    </row>
    <row r="811" ht="15.75" customHeight="1">
      <c r="A811" s="84" t="s">
        <v>37182</v>
      </c>
      <c r="B811" s="84">
        <v>1.0</v>
      </c>
      <c r="C811" s="186"/>
      <c r="D811" s="187"/>
      <c r="E811" s="188"/>
      <c r="F811" s="189"/>
      <c r="G811" s="190"/>
      <c r="H811" s="190"/>
      <c r="I811" s="84"/>
      <c r="J811" s="84"/>
      <c r="K811" s="84"/>
      <c r="L811" s="84"/>
      <c r="M811" s="84"/>
      <c r="N811" s="84"/>
      <c r="O811" s="84"/>
      <c r="P811" s="84"/>
      <c r="Q811" s="84"/>
      <c r="R811" s="84"/>
      <c r="S811" s="84"/>
      <c r="T811" s="84"/>
    </row>
    <row r="812" ht="15.75" customHeight="1">
      <c r="A812" s="84" t="s">
        <v>37185</v>
      </c>
      <c r="B812" s="84">
        <v>1.0</v>
      </c>
      <c r="C812" s="186"/>
      <c r="D812" s="187"/>
      <c r="E812" s="188"/>
      <c r="F812" s="189"/>
      <c r="G812" s="190"/>
      <c r="H812" s="190"/>
      <c r="I812" s="84"/>
      <c r="J812" s="84"/>
      <c r="K812" s="84"/>
      <c r="L812" s="84"/>
      <c r="M812" s="84"/>
      <c r="N812" s="84"/>
      <c r="O812" s="84"/>
      <c r="P812" s="84"/>
      <c r="Q812" s="84"/>
      <c r="R812" s="84"/>
      <c r="S812" s="84"/>
      <c r="T812" s="84"/>
    </row>
    <row r="813" ht="15.75" customHeight="1">
      <c r="A813" s="84" t="s">
        <v>37188</v>
      </c>
      <c r="B813" s="84">
        <v>1.0</v>
      </c>
      <c r="C813" s="186"/>
      <c r="D813" s="187"/>
      <c r="E813" s="188"/>
      <c r="F813" s="189"/>
      <c r="G813" s="190"/>
      <c r="H813" s="190"/>
      <c r="I813" s="84"/>
      <c r="J813" s="84"/>
      <c r="K813" s="84"/>
      <c r="L813" s="84"/>
      <c r="M813" s="84"/>
      <c r="N813" s="84"/>
      <c r="O813" s="84"/>
      <c r="P813" s="84"/>
      <c r="Q813" s="84"/>
      <c r="R813" s="84"/>
      <c r="S813" s="84"/>
      <c r="T813" s="84"/>
    </row>
    <row r="814" ht="15.75" customHeight="1">
      <c r="A814" s="84" t="s">
        <v>37190</v>
      </c>
      <c r="B814" s="84">
        <v>1.0</v>
      </c>
      <c r="C814" s="186"/>
      <c r="D814" s="187"/>
      <c r="E814" s="188"/>
      <c r="F814" s="189"/>
      <c r="G814" s="190"/>
      <c r="H814" s="190"/>
      <c r="I814" s="84"/>
      <c r="J814" s="84"/>
      <c r="K814" s="84"/>
      <c r="L814" s="84"/>
      <c r="M814" s="84"/>
      <c r="N814" s="84"/>
      <c r="O814" s="84"/>
      <c r="P814" s="84"/>
      <c r="Q814" s="84"/>
      <c r="R814" s="84"/>
      <c r="S814" s="84"/>
      <c r="T814" s="84"/>
    </row>
    <row r="815" ht="15.75" customHeight="1">
      <c r="A815" s="84" t="s">
        <v>37192</v>
      </c>
      <c r="B815" s="84">
        <v>1.0</v>
      </c>
      <c r="C815" s="186"/>
      <c r="D815" s="187"/>
      <c r="E815" s="188"/>
      <c r="F815" s="189"/>
      <c r="G815" s="190"/>
      <c r="H815" s="190"/>
      <c r="I815" s="84"/>
      <c r="J815" s="84"/>
      <c r="K815" s="84"/>
      <c r="L815" s="84"/>
      <c r="M815" s="84"/>
      <c r="N815" s="84"/>
      <c r="O815" s="84"/>
      <c r="P815" s="84"/>
      <c r="Q815" s="84"/>
      <c r="R815" s="84"/>
      <c r="S815" s="84"/>
      <c r="T815" s="84"/>
    </row>
    <row r="816" ht="15.75" customHeight="1">
      <c r="A816" s="84" t="s">
        <v>37195</v>
      </c>
      <c r="B816" s="84">
        <v>1.0</v>
      </c>
      <c r="C816" s="186"/>
      <c r="D816" s="187"/>
      <c r="E816" s="188"/>
      <c r="F816" s="189"/>
      <c r="G816" s="190"/>
      <c r="H816" s="190"/>
      <c r="I816" s="84"/>
      <c r="J816" s="84"/>
      <c r="K816" s="84"/>
      <c r="L816" s="84"/>
      <c r="M816" s="84"/>
      <c r="N816" s="84"/>
      <c r="O816" s="84"/>
      <c r="P816" s="84"/>
      <c r="Q816" s="84"/>
      <c r="R816" s="84"/>
      <c r="S816" s="84"/>
      <c r="T816" s="84"/>
    </row>
    <row r="817" ht="15.75" customHeight="1">
      <c r="A817" s="84" t="s">
        <v>37196</v>
      </c>
      <c r="B817" s="84">
        <v>3.0</v>
      </c>
      <c r="C817" s="186"/>
      <c r="D817" s="187"/>
      <c r="E817" s="188"/>
      <c r="F817" s="189"/>
      <c r="G817" s="190"/>
      <c r="H817" s="190"/>
      <c r="I817" s="84"/>
      <c r="J817" s="84"/>
      <c r="K817" s="84"/>
      <c r="L817" s="84"/>
      <c r="M817" s="84"/>
      <c r="N817" s="84"/>
      <c r="O817" s="84"/>
      <c r="P817" s="84"/>
      <c r="Q817" s="84"/>
      <c r="R817" s="84"/>
      <c r="S817" s="84"/>
      <c r="T817" s="84"/>
    </row>
    <row r="818" ht="15.75" customHeight="1">
      <c r="A818" s="84" t="s">
        <v>37198</v>
      </c>
      <c r="B818" s="84">
        <v>1.0</v>
      </c>
      <c r="C818" s="186"/>
      <c r="D818" s="187"/>
      <c r="E818" s="188"/>
      <c r="F818" s="189"/>
      <c r="G818" s="190"/>
      <c r="H818" s="190"/>
      <c r="I818" s="84"/>
      <c r="J818" s="84"/>
      <c r="K818" s="84"/>
      <c r="L818" s="84"/>
      <c r="M818" s="84"/>
      <c r="N818" s="84"/>
      <c r="O818" s="84"/>
      <c r="P818" s="84"/>
      <c r="Q818" s="84"/>
      <c r="R818" s="84"/>
      <c r="S818" s="84"/>
      <c r="T818" s="84"/>
    </row>
    <row r="819" ht="15.75" customHeight="1">
      <c r="A819" s="84" t="s">
        <v>37200</v>
      </c>
      <c r="B819" s="84">
        <v>1.0</v>
      </c>
      <c r="C819" s="186"/>
      <c r="D819" s="187"/>
      <c r="E819" s="188"/>
      <c r="F819" s="189"/>
      <c r="G819" s="190"/>
      <c r="H819" s="190"/>
      <c r="I819" s="84"/>
      <c r="J819" s="84"/>
      <c r="K819" s="84"/>
      <c r="L819" s="84"/>
      <c r="M819" s="84"/>
      <c r="N819" s="84"/>
      <c r="O819" s="84"/>
      <c r="P819" s="84"/>
      <c r="Q819" s="84"/>
      <c r="R819" s="84"/>
      <c r="S819" s="84"/>
      <c r="T819" s="84"/>
    </row>
    <row r="820" ht="15.75" customHeight="1">
      <c r="A820" s="84" t="s">
        <v>37203</v>
      </c>
      <c r="B820" s="84">
        <v>1.0</v>
      </c>
      <c r="C820" s="186"/>
      <c r="D820" s="187"/>
      <c r="E820" s="188"/>
      <c r="F820" s="189"/>
      <c r="G820" s="190"/>
      <c r="H820" s="190"/>
      <c r="I820" s="84"/>
      <c r="J820" s="84"/>
      <c r="K820" s="84"/>
      <c r="L820" s="84"/>
      <c r="M820" s="84"/>
      <c r="N820" s="84"/>
      <c r="O820" s="84"/>
      <c r="P820" s="84"/>
      <c r="Q820" s="84"/>
      <c r="R820" s="84"/>
      <c r="S820" s="84"/>
      <c r="T820" s="84"/>
    </row>
    <row r="821" ht="15.75" customHeight="1">
      <c r="A821" s="84" t="s">
        <v>37204</v>
      </c>
      <c r="B821" s="84">
        <v>1.0</v>
      </c>
      <c r="C821" s="186"/>
      <c r="D821" s="187"/>
      <c r="E821" s="188"/>
      <c r="F821" s="189"/>
      <c r="G821" s="190"/>
      <c r="H821" s="190"/>
      <c r="I821" s="84"/>
      <c r="J821" s="84"/>
      <c r="K821" s="84"/>
      <c r="L821" s="84"/>
      <c r="M821" s="84"/>
      <c r="N821" s="84"/>
      <c r="O821" s="84"/>
      <c r="P821" s="84"/>
      <c r="Q821" s="84"/>
      <c r="R821" s="84"/>
      <c r="S821" s="84"/>
      <c r="T821" s="84"/>
    </row>
    <row r="822" ht="15.75" customHeight="1">
      <c r="A822" s="84" t="s">
        <v>37207</v>
      </c>
      <c r="B822" s="84">
        <v>3.0</v>
      </c>
      <c r="C822" s="186"/>
      <c r="D822" s="187"/>
      <c r="E822" s="188"/>
      <c r="F822" s="189"/>
      <c r="G822" s="190"/>
      <c r="H822" s="190"/>
      <c r="I822" s="84"/>
      <c r="J822" s="84"/>
      <c r="K822" s="84"/>
      <c r="L822" s="84"/>
      <c r="M822" s="84"/>
      <c r="N822" s="84"/>
      <c r="O822" s="84"/>
      <c r="P822" s="84"/>
      <c r="Q822" s="84"/>
      <c r="R822" s="84"/>
      <c r="S822" s="84"/>
      <c r="T822" s="84"/>
    </row>
    <row r="823" ht="15.75" customHeight="1">
      <c r="A823" s="84" t="s">
        <v>37209</v>
      </c>
      <c r="B823" s="84">
        <v>1.0</v>
      </c>
      <c r="C823" s="186" t="s">
        <v>30659</v>
      </c>
      <c r="D823" s="187" t="s">
        <v>37210</v>
      </c>
      <c r="E823" s="188"/>
      <c r="F823" s="189"/>
      <c r="G823" s="190"/>
      <c r="H823" s="190"/>
      <c r="I823" s="84"/>
      <c r="J823" s="84"/>
      <c r="K823" s="84"/>
      <c r="L823" s="84"/>
      <c r="M823" s="84"/>
      <c r="N823" s="84"/>
      <c r="O823" s="84"/>
      <c r="P823" s="84"/>
      <c r="Q823" s="84"/>
      <c r="R823" s="84"/>
      <c r="S823" s="84"/>
      <c r="T823" s="84"/>
    </row>
    <row r="824" ht="15.75" customHeight="1">
      <c r="A824" s="84" t="s">
        <v>37210</v>
      </c>
      <c r="B824" s="84">
        <v>1.0</v>
      </c>
      <c r="C824" s="186"/>
      <c r="D824" s="187"/>
      <c r="E824" s="188"/>
      <c r="F824" s="189"/>
      <c r="G824" s="190"/>
      <c r="H824" s="190"/>
      <c r="I824" s="84"/>
      <c r="J824" s="84"/>
      <c r="K824" s="84"/>
      <c r="L824" s="84"/>
      <c r="M824" s="84"/>
      <c r="N824" s="84"/>
      <c r="O824" s="84"/>
      <c r="P824" s="84"/>
      <c r="Q824" s="84"/>
      <c r="R824" s="84"/>
      <c r="S824" s="84"/>
      <c r="T824" s="84"/>
    </row>
    <row r="825" ht="15.75" customHeight="1">
      <c r="A825" s="84" t="s">
        <v>37212</v>
      </c>
      <c r="B825" s="84">
        <v>1.0</v>
      </c>
      <c r="C825" s="186"/>
      <c r="D825" s="187"/>
      <c r="E825" s="188"/>
      <c r="F825" s="189"/>
      <c r="G825" s="190"/>
      <c r="H825" s="190"/>
      <c r="I825" s="84"/>
      <c r="J825" s="84"/>
      <c r="K825" s="84"/>
      <c r="L825" s="84"/>
      <c r="M825" s="84"/>
      <c r="N825" s="84"/>
      <c r="O825" s="84"/>
      <c r="P825" s="84"/>
      <c r="Q825" s="84"/>
      <c r="R825" s="84"/>
      <c r="S825" s="84"/>
      <c r="T825" s="84"/>
    </row>
    <row r="826" ht="15.75" customHeight="1">
      <c r="A826" s="84" t="s">
        <v>37214</v>
      </c>
      <c r="B826" s="84">
        <v>1.0</v>
      </c>
      <c r="C826" s="186"/>
      <c r="D826" s="187"/>
      <c r="E826" s="188"/>
      <c r="F826" s="189"/>
      <c r="G826" s="190"/>
      <c r="H826" s="190"/>
      <c r="I826" s="84"/>
      <c r="J826" s="84"/>
      <c r="K826" s="84"/>
      <c r="L826" s="84"/>
      <c r="M826" s="84"/>
      <c r="N826" s="84"/>
      <c r="O826" s="84"/>
      <c r="P826" s="84"/>
      <c r="Q826" s="84"/>
      <c r="R826" s="84"/>
      <c r="S826" s="84"/>
      <c r="T826" s="84"/>
    </row>
    <row r="827" ht="15.75" customHeight="1">
      <c r="A827" s="84" t="s">
        <v>37215</v>
      </c>
      <c r="B827" s="84">
        <v>1.0</v>
      </c>
      <c r="C827" s="186"/>
      <c r="D827" s="187"/>
      <c r="E827" s="188"/>
      <c r="F827" s="189"/>
      <c r="G827" s="190"/>
      <c r="H827" s="190"/>
      <c r="I827" s="84"/>
      <c r="J827" s="84"/>
      <c r="K827" s="84"/>
      <c r="L827" s="84"/>
      <c r="M827" s="84"/>
      <c r="N827" s="84"/>
      <c r="O827" s="84"/>
      <c r="P827" s="84"/>
      <c r="Q827" s="84"/>
      <c r="R827" s="84"/>
      <c r="S827" s="84"/>
      <c r="T827" s="84"/>
    </row>
    <row r="828" ht="15.75" customHeight="1">
      <c r="A828" s="84" t="s">
        <v>37216</v>
      </c>
      <c r="B828" s="84">
        <v>1.0</v>
      </c>
      <c r="C828" s="186"/>
      <c r="D828" s="187"/>
      <c r="E828" s="188"/>
      <c r="F828" s="189"/>
      <c r="G828" s="190"/>
      <c r="H828" s="190"/>
      <c r="I828" s="84"/>
      <c r="J828" s="84"/>
      <c r="K828" s="84"/>
      <c r="L828" s="84"/>
      <c r="M828" s="84"/>
      <c r="N828" s="84"/>
      <c r="O828" s="84"/>
      <c r="P828" s="84"/>
      <c r="Q828" s="84"/>
      <c r="R828" s="84"/>
      <c r="S828" s="84"/>
      <c r="T828" s="84"/>
    </row>
    <row r="829" ht="15.75" customHeight="1">
      <c r="A829" s="84" t="s">
        <v>37218</v>
      </c>
      <c r="B829" s="84">
        <v>2.0</v>
      </c>
      <c r="C829" s="186"/>
      <c r="D829" s="187"/>
      <c r="E829" s="188"/>
      <c r="F829" s="189"/>
      <c r="G829" s="190"/>
      <c r="H829" s="190"/>
      <c r="I829" s="84"/>
      <c r="J829" s="84"/>
      <c r="K829" s="84"/>
      <c r="L829" s="84"/>
      <c r="M829" s="84"/>
      <c r="N829" s="84"/>
      <c r="O829" s="84"/>
      <c r="P829" s="84"/>
      <c r="Q829" s="84"/>
      <c r="R829" s="84"/>
      <c r="S829" s="84"/>
      <c r="T829" s="84"/>
    </row>
    <row r="830" ht="15.75" customHeight="1">
      <c r="A830" s="84" t="s">
        <v>37219</v>
      </c>
      <c r="B830" s="84">
        <v>3.0</v>
      </c>
      <c r="C830" s="186"/>
      <c r="D830" s="187"/>
      <c r="E830" s="188"/>
      <c r="F830" s="189"/>
      <c r="G830" s="190"/>
      <c r="H830" s="190"/>
      <c r="I830" s="84"/>
      <c r="J830" s="84"/>
      <c r="K830" s="84"/>
      <c r="L830" s="84"/>
      <c r="M830" s="84"/>
      <c r="N830" s="84"/>
      <c r="O830" s="84"/>
      <c r="P830" s="84"/>
      <c r="Q830" s="84"/>
      <c r="R830" s="84"/>
      <c r="S830" s="84"/>
      <c r="T830" s="84"/>
    </row>
    <row r="831" ht="15.75" customHeight="1">
      <c r="A831" s="84" t="s">
        <v>37220</v>
      </c>
      <c r="B831" s="84">
        <v>1.0</v>
      </c>
      <c r="C831" s="186"/>
      <c r="D831" s="187"/>
      <c r="E831" s="188"/>
      <c r="F831" s="189"/>
      <c r="G831" s="190"/>
      <c r="H831" s="190"/>
      <c r="I831" s="84"/>
      <c r="J831" s="84"/>
      <c r="K831" s="84"/>
      <c r="L831" s="84"/>
      <c r="M831" s="84"/>
      <c r="N831" s="84"/>
      <c r="O831" s="84"/>
      <c r="P831" s="84"/>
      <c r="Q831" s="84"/>
      <c r="R831" s="84"/>
      <c r="S831" s="84"/>
      <c r="T831" s="84"/>
    </row>
    <row r="832" ht="15.75" customHeight="1">
      <c r="A832" s="84" t="s">
        <v>37223</v>
      </c>
      <c r="B832" s="84">
        <v>1.0</v>
      </c>
      <c r="C832" s="186"/>
      <c r="D832" s="187"/>
      <c r="E832" s="188"/>
      <c r="F832" s="189"/>
      <c r="G832" s="190"/>
      <c r="H832" s="190"/>
      <c r="I832" s="84"/>
      <c r="J832" s="84"/>
      <c r="K832" s="84"/>
      <c r="L832" s="84"/>
      <c r="M832" s="84"/>
      <c r="N832" s="84"/>
      <c r="O832" s="84"/>
      <c r="P832" s="84"/>
      <c r="Q832" s="84"/>
      <c r="R832" s="84"/>
      <c r="S832" s="84"/>
      <c r="T832" s="84"/>
    </row>
    <row r="833" ht="15.75" customHeight="1">
      <c r="A833" s="84" t="s">
        <v>37225</v>
      </c>
      <c r="B833" s="84">
        <v>1.0</v>
      </c>
      <c r="C833" s="186"/>
      <c r="D833" s="187"/>
      <c r="E833" s="188"/>
      <c r="F833" s="189"/>
      <c r="G833" s="190"/>
      <c r="H833" s="190"/>
      <c r="I833" s="84"/>
      <c r="J833" s="84"/>
      <c r="K833" s="84"/>
      <c r="L833" s="84"/>
      <c r="M833" s="84"/>
      <c r="N833" s="84"/>
      <c r="O833" s="84"/>
      <c r="P833" s="84"/>
      <c r="Q833" s="84"/>
      <c r="R833" s="84"/>
      <c r="S833" s="84"/>
      <c r="T833" s="84"/>
    </row>
    <row r="834" ht="15.75" customHeight="1">
      <c r="A834" s="84" t="s">
        <v>37226</v>
      </c>
      <c r="B834" s="84">
        <v>1.0</v>
      </c>
      <c r="C834" s="186"/>
      <c r="D834" s="187"/>
      <c r="E834" s="188"/>
      <c r="F834" s="189"/>
      <c r="G834" s="190"/>
      <c r="H834" s="190"/>
      <c r="I834" s="84"/>
      <c r="J834" s="84"/>
      <c r="K834" s="84"/>
      <c r="L834" s="84"/>
      <c r="M834" s="84"/>
      <c r="N834" s="84"/>
      <c r="O834" s="84"/>
      <c r="P834" s="84"/>
      <c r="Q834" s="84"/>
      <c r="R834" s="84"/>
      <c r="S834" s="84"/>
      <c r="T834" s="84"/>
    </row>
    <row r="835" ht="15.75" customHeight="1">
      <c r="A835" s="84" t="s">
        <v>37229</v>
      </c>
      <c r="B835" s="84">
        <v>1.0</v>
      </c>
      <c r="C835" s="186"/>
      <c r="D835" s="187"/>
      <c r="E835" s="188"/>
      <c r="F835" s="190"/>
      <c r="G835" s="190"/>
      <c r="H835" s="190"/>
      <c r="I835" s="84"/>
      <c r="J835" s="84"/>
      <c r="K835" s="84"/>
      <c r="L835" s="84"/>
      <c r="M835" s="84"/>
      <c r="N835" s="84"/>
      <c r="O835" s="84"/>
      <c r="P835" s="84"/>
      <c r="Q835" s="84"/>
      <c r="R835" s="84"/>
      <c r="S835" s="84"/>
      <c r="T835" s="84"/>
    </row>
    <row r="836" ht="15.75" customHeight="1">
      <c r="A836" s="84" t="s">
        <v>37230</v>
      </c>
      <c r="B836" s="84">
        <v>1.0</v>
      </c>
      <c r="C836" s="186"/>
      <c r="D836" s="187" t="s">
        <v>37231</v>
      </c>
      <c r="E836" s="188"/>
      <c r="F836" s="189"/>
      <c r="G836" s="190"/>
      <c r="H836" s="190"/>
      <c r="I836" s="84"/>
      <c r="J836" s="84"/>
      <c r="K836" s="84"/>
      <c r="L836" s="84"/>
      <c r="M836" s="84"/>
      <c r="N836" s="84"/>
      <c r="O836" s="84"/>
      <c r="P836" s="84"/>
      <c r="Q836" s="84"/>
      <c r="R836" s="84"/>
      <c r="S836" s="84"/>
      <c r="T836" s="84"/>
    </row>
    <row r="837" ht="15.75" customHeight="1">
      <c r="A837" s="84" t="s">
        <v>37232</v>
      </c>
      <c r="B837" s="84">
        <v>1.0</v>
      </c>
      <c r="C837" s="186"/>
      <c r="D837" s="187"/>
      <c r="E837" s="188"/>
      <c r="F837" s="189"/>
      <c r="G837" s="190"/>
      <c r="H837" s="190"/>
      <c r="I837" s="84"/>
      <c r="J837" s="84"/>
      <c r="K837" s="84"/>
      <c r="L837" s="84"/>
      <c r="M837" s="84"/>
      <c r="N837" s="84"/>
      <c r="O837" s="84"/>
      <c r="P837" s="84"/>
      <c r="Q837" s="84"/>
      <c r="R837" s="84"/>
      <c r="S837" s="84"/>
      <c r="T837" s="84"/>
    </row>
    <row r="838" ht="15.75" customHeight="1">
      <c r="A838" s="84" t="s">
        <v>37236</v>
      </c>
      <c r="B838" s="84">
        <v>1.0</v>
      </c>
      <c r="C838" s="186"/>
      <c r="D838" s="187"/>
      <c r="E838" s="188"/>
      <c r="F838" s="189"/>
      <c r="G838" s="190"/>
      <c r="H838" s="190"/>
      <c r="I838" s="84"/>
      <c r="J838" s="84"/>
      <c r="K838" s="84"/>
      <c r="L838" s="84"/>
      <c r="M838" s="84"/>
      <c r="N838" s="84"/>
      <c r="O838" s="84"/>
      <c r="P838" s="84"/>
      <c r="Q838" s="84"/>
      <c r="R838" s="84"/>
      <c r="S838" s="84"/>
      <c r="T838" s="84"/>
    </row>
    <row r="839" ht="15.75" customHeight="1">
      <c r="A839" s="84" t="s">
        <v>37237</v>
      </c>
      <c r="B839" s="84">
        <v>1.0</v>
      </c>
      <c r="C839" s="186"/>
      <c r="D839" s="187"/>
      <c r="E839" s="188"/>
      <c r="F839" s="189"/>
      <c r="G839" s="190"/>
      <c r="H839" s="190"/>
      <c r="I839" s="84"/>
      <c r="J839" s="84"/>
      <c r="K839" s="84"/>
      <c r="L839" s="84"/>
      <c r="M839" s="84"/>
      <c r="N839" s="84"/>
      <c r="O839" s="84"/>
      <c r="P839" s="84"/>
      <c r="Q839" s="84"/>
      <c r="R839" s="84"/>
      <c r="S839" s="84"/>
      <c r="T839" s="84"/>
    </row>
    <row r="840" ht="15.75" customHeight="1">
      <c r="A840" s="84" t="s">
        <v>37238</v>
      </c>
      <c r="B840" s="84">
        <v>1.0</v>
      </c>
      <c r="C840" s="186"/>
      <c r="D840" s="187"/>
      <c r="E840" s="188"/>
      <c r="F840" s="189"/>
      <c r="G840" s="190"/>
      <c r="H840" s="190"/>
      <c r="I840" s="84"/>
      <c r="J840" s="84"/>
      <c r="K840" s="84"/>
      <c r="L840" s="84"/>
      <c r="M840" s="84"/>
      <c r="N840" s="84"/>
      <c r="O840" s="84"/>
      <c r="P840" s="84"/>
      <c r="Q840" s="84"/>
      <c r="R840" s="84"/>
      <c r="S840" s="84"/>
      <c r="T840" s="84"/>
    </row>
    <row r="841" ht="15.75" customHeight="1">
      <c r="A841" s="84" t="s">
        <v>37240</v>
      </c>
      <c r="B841" s="84">
        <v>1.0</v>
      </c>
      <c r="C841" s="186"/>
      <c r="D841" s="187"/>
      <c r="E841" s="188"/>
      <c r="F841" s="189"/>
      <c r="G841" s="190"/>
      <c r="H841" s="190"/>
      <c r="I841" s="84"/>
      <c r="J841" s="84"/>
      <c r="K841" s="84"/>
      <c r="L841" s="84"/>
      <c r="M841" s="84"/>
      <c r="N841" s="84"/>
      <c r="O841" s="84"/>
      <c r="P841" s="84"/>
      <c r="Q841" s="84"/>
      <c r="R841" s="84"/>
      <c r="S841" s="84"/>
      <c r="T841" s="84"/>
    </row>
    <row r="842" ht="15.75" customHeight="1">
      <c r="A842" s="84" t="s">
        <v>37242</v>
      </c>
      <c r="B842" s="84">
        <v>1.0</v>
      </c>
      <c r="C842" s="186"/>
      <c r="D842" s="187"/>
      <c r="E842" s="188"/>
      <c r="F842" s="189"/>
      <c r="G842" s="190"/>
      <c r="H842" s="190"/>
      <c r="I842" s="84"/>
      <c r="J842" s="84"/>
      <c r="K842" s="84"/>
      <c r="L842" s="84"/>
      <c r="M842" s="84"/>
      <c r="N842" s="84"/>
      <c r="O842" s="84"/>
      <c r="P842" s="84"/>
      <c r="Q842" s="84"/>
      <c r="R842" s="84"/>
      <c r="S842" s="84"/>
      <c r="T842" s="84"/>
    </row>
    <row r="843" ht="15.75" customHeight="1">
      <c r="A843" s="84" t="s">
        <v>37243</v>
      </c>
      <c r="B843" s="84">
        <v>1.0</v>
      </c>
      <c r="C843" s="186"/>
      <c r="D843" s="187"/>
      <c r="E843" s="188"/>
      <c r="F843" s="189"/>
      <c r="G843" s="190"/>
      <c r="H843" s="190"/>
      <c r="I843" s="84"/>
      <c r="J843" s="84"/>
      <c r="K843" s="84"/>
      <c r="L843" s="84"/>
      <c r="M843" s="84"/>
      <c r="N843" s="84"/>
      <c r="O843" s="84"/>
      <c r="P843" s="84"/>
      <c r="Q843" s="84"/>
      <c r="R843" s="84"/>
      <c r="S843" s="84"/>
      <c r="T843" s="84"/>
    </row>
    <row r="844" ht="15.75" customHeight="1">
      <c r="A844" s="84" t="s">
        <v>37244</v>
      </c>
      <c r="B844" s="84">
        <v>1.0</v>
      </c>
      <c r="C844" s="186"/>
      <c r="D844" s="187"/>
      <c r="E844" s="188"/>
      <c r="F844" s="189"/>
      <c r="G844" s="190"/>
      <c r="H844" s="190"/>
      <c r="I844" s="84"/>
      <c r="J844" s="84"/>
      <c r="K844" s="84"/>
      <c r="L844" s="84"/>
      <c r="M844" s="84"/>
      <c r="N844" s="84"/>
      <c r="O844" s="84"/>
      <c r="P844" s="84"/>
      <c r="Q844" s="84"/>
      <c r="R844" s="84"/>
      <c r="S844" s="84"/>
      <c r="T844" s="84"/>
    </row>
    <row r="845" ht="15.75" customHeight="1">
      <c r="A845" s="84" t="s">
        <v>37245</v>
      </c>
      <c r="B845" s="84">
        <v>1.0</v>
      </c>
      <c r="C845" s="186"/>
      <c r="D845" s="187"/>
      <c r="E845" s="188"/>
      <c r="F845" s="189"/>
      <c r="G845" s="190"/>
      <c r="H845" s="190"/>
      <c r="I845" s="84"/>
      <c r="J845" s="84"/>
      <c r="K845" s="84"/>
      <c r="L845" s="84"/>
      <c r="M845" s="84"/>
      <c r="N845" s="84"/>
      <c r="O845" s="84"/>
      <c r="P845" s="84"/>
      <c r="Q845" s="84"/>
      <c r="R845" s="84"/>
      <c r="S845" s="84"/>
      <c r="T845" s="84"/>
    </row>
    <row r="846" ht="15.75" customHeight="1">
      <c r="A846" s="84" t="s">
        <v>37246</v>
      </c>
      <c r="B846" s="84">
        <v>2.0</v>
      </c>
      <c r="C846" s="186"/>
      <c r="D846" s="187"/>
      <c r="E846" s="188"/>
      <c r="F846" s="189"/>
      <c r="G846" s="190"/>
      <c r="H846" s="190"/>
      <c r="I846" s="84"/>
      <c r="J846" s="84"/>
      <c r="K846" s="84"/>
      <c r="L846" s="84"/>
      <c r="M846" s="84"/>
      <c r="N846" s="84"/>
      <c r="O846" s="84"/>
      <c r="P846" s="84"/>
      <c r="Q846" s="84"/>
      <c r="R846" s="84"/>
      <c r="S846" s="84"/>
      <c r="T846" s="84"/>
    </row>
    <row r="847" ht="15.75" customHeight="1">
      <c r="A847" s="84" t="s">
        <v>37247</v>
      </c>
      <c r="B847" s="84">
        <v>1.0</v>
      </c>
      <c r="C847" s="186"/>
      <c r="D847" s="187"/>
      <c r="E847" s="188"/>
      <c r="F847" s="189"/>
      <c r="G847" s="190"/>
      <c r="H847" s="190"/>
      <c r="I847" s="84"/>
      <c r="J847" s="84"/>
      <c r="K847" s="84"/>
      <c r="L847" s="84"/>
      <c r="M847" s="84"/>
      <c r="N847" s="84"/>
      <c r="O847" s="84"/>
      <c r="P847" s="84"/>
      <c r="Q847" s="84"/>
      <c r="R847" s="84"/>
      <c r="S847" s="84"/>
      <c r="T847" s="84"/>
    </row>
    <row r="848" ht="15.75" customHeight="1">
      <c r="A848" s="84" t="s">
        <v>37248</v>
      </c>
      <c r="B848" s="84">
        <v>1.0</v>
      </c>
      <c r="C848" s="186"/>
      <c r="D848" s="187"/>
      <c r="E848" s="188"/>
      <c r="F848" s="189"/>
      <c r="G848" s="190"/>
      <c r="H848" s="190"/>
      <c r="I848" s="84"/>
      <c r="J848" s="84"/>
      <c r="K848" s="84"/>
      <c r="L848" s="84"/>
      <c r="M848" s="84"/>
      <c r="N848" s="84"/>
      <c r="O848" s="84"/>
      <c r="P848" s="84"/>
      <c r="Q848" s="84"/>
      <c r="R848" s="84"/>
      <c r="S848" s="84"/>
      <c r="T848" s="84"/>
    </row>
    <row r="849" ht="15.75" customHeight="1">
      <c r="A849" s="84" t="s">
        <v>37249</v>
      </c>
      <c r="B849" s="84">
        <v>1.0</v>
      </c>
      <c r="C849" s="186"/>
      <c r="D849" s="187"/>
      <c r="E849" s="188"/>
      <c r="F849" s="189"/>
      <c r="G849" s="190"/>
      <c r="H849" s="190"/>
      <c r="I849" s="84"/>
      <c r="J849" s="84"/>
      <c r="K849" s="84"/>
      <c r="L849" s="84"/>
      <c r="M849" s="84"/>
      <c r="N849" s="84"/>
      <c r="O849" s="84"/>
      <c r="P849" s="84"/>
      <c r="Q849" s="84"/>
      <c r="R849" s="84"/>
      <c r="S849" s="84"/>
      <c r="T849" s="84"/>
    </row>
    <row r="850" ht="15.75" customHeight="1">
      <c r="A850" s="84" t="s">
        <v>37250</v>
      </c>
      <c r="B850" s="84">
        <v>1.0</v>
      </c>
      <c r="C850" s="186"/>
      <c r="D850" s="187"/>
      <c r="E850" s="188"/>
      <c r="F850" s="189"/>
      <c r="G850" s="190"/>
      <c r="H850" s="190"/>
      <c r="I850" s="84"/>
      <c r="J850" s="84"/>
      <c r="K850" s="84"/>
      <c r="L850" s="84"/>
      <c r="M850" s="84"/>
      <c r="N850" s="84"/>
      <c r="O850" s="84"/>
      <c r="P850" s="84"/>
      <c r="Q850" s="84"/>
      <c r="R850" s="84"/>
      <c r="S850" s="84"/>
      <c r="T850" s="84"/>
    </row>
    <row r="851" ht="15.75" customHeight="1">
      <c r="A851" s="84" t="s">
        <v>37251</v>
      </c>
      <c r="B851" s="84">
        <v>1.0</v>
      </c>
      <c r="C851" s="186"/>
      <c r="D851" s="187"/>
      <c r="E851" s="188"/>
      <c r="F851" s="189"/>
      <c r="G851" s="190"/>
      <c r="H851" s="190"/>
      <c r="I851" s="84"/>
      <c r="J851" s="84"/>
      <c r="K851" s="84"/>
      <c r="L851" s="84"/>
      <c r="M851" s="84"/>
      <c r="N851" s="84"/>
      <c r="O851" s="84"/>
      <c r="P851" s="84"/>
      <c r="Q851" s="84"/>
      <c r="R851" s="84"/>
      <c r="S851" s="84"/>
      <c r="T851" s="84"/>
    </row>
    <row r="852" ht="15.75" customHeight="1">
      <c r="A852" s="84" t="s">
        <v>37255</v>
      </c>
      <c r="B852" s="84">
        <v>1.0</v>
      </c>
      <c r="C852" s="186"/>
      <c r="D852" s="187"/>
      <c r="E852" s="188"/>
      <c r="F852" s="189"/>
      <c r="G852" s="190"/>
      <c r="H852" s="190"/>
      <c r="I852" s="84"/>
      <c r="J852" s="84"/>
      <c r="K852" s="84"/>
      <c r="L852" s="84"/>
      <c r="M852" s="84"/>
      <c r="N852" s="84"/>
      <c r="O852" s="84"/>
      <c r="P852" s="84"/>
      <c r="Q852" s="84"/>
      <c r="R852" s="84"/>
      <c r="S852" s="84"/>
      <c r="T852" s="84"/>
    </row>
    <row r="853" ht="15.75" customHeight="1">
      <c r="A853" s="84" t="s">
        <v>37256</v>
      </c>
      <c r="B853" s="84">
        <v>2.0</v>
      </c>
      <c r="C853" s="186"/>
      <c r="D853" s="187"/>
      <c r="E853" s="188"/>
      <c r="F853" s="189"/>
      <c r="G853" s="190"/>
      <c r="H853" s="190"/>
      <c r="I853" s="84" t="s">
        <v>35830</v>
      </c>
      <c r="J853" s="84"/>
      <c r="K853" s="84"/>
      <c r="L853" s="84"/>
      <c r="M853" s="84"/>
      <c r="N853" s="84"/>
      <c r="O853" s="84"/>
      <c r="P853" s="84"/>
      <c r="Q853" s="84"/>
      <c r="R853" s="84"/>
      <c r="S853" s="84"/>
      <c r="T853" s="84"/>
    </row>
    <row r="854" ht="15.75" customHeight="1">
      <c r="A854" s="84" t="s">
        <v>37257</v>
      </c>
      <c r="B854" s="84">
        <v>1.0</v>
      </c>
      <c r="C854" s="186" t="s">
        <v>18275</v>
      </c>
      <c r="D854" s="187" t="s">
        <v>37256</v>
      </c>
      <c r="E854" s="188"/>
      <c r="F854" s="189"/>
      <c r="G854" s="190"/>
      <c r="H854" s="190"/>
      <c r="I854" s="84" t="s">
        <v>35830</v>
      </c>
      <c r="J854" s="84"/>
      <c r="K854" s="84"/>
      <c r="L854" s="84"/>
      <c r="M854" s="84"/>
      <c r="N854" s="84"/>
      <c r="O854" s="84"/>
      <c r="P854" s="84"/>
      <c r="Q854" s="84"/>
      <c r="R854" s="84"/>
      <c r="S854" s="84"/>
      <c r="T854" s="84"/>
    </row>
    <row r="855" ht="15.75" customHeight="1">
      <c r="A855" s="84" t="s">
        <v>37258</v>
      </c>
      <c r="B855" s="84">
        <v>1.0</v>
      </c>
      <c r="C855" s="186"/>
      <c r="D855" s="187"/>
      <c r="E855" s="188"/>
      <c r="F855" s="189"/>
      <c r="G855" s="190"/>
      <c r="H855" s="190"/>
      <c r="I855" s="84" t="s">
        <v>35830</v>
      </c>
      <c r="J855" s="84"/>
      <c r="K855" s="84"/>
      <c r="L855" s="84"/>
      <c r="M855" s="84"/>
      <c r="N855" s="84"/>
      <c r="O855" s="84"/>
      <c r="P855" s="84"/>
      <c r="Q855" s="84"/>
      <c r="R855" s="84"/>
      <c r="S855" s="84"/>
      <c r="T855" s="84"/>
    </row>
    <row r="856" ht="15.75" customHeight="1">
      <c r="A856" s="84" t="s">
        <v>37259</v>
      </c>
      <c r="B856" s="84">
        <v>1.0</v>
      </c>
      <c r="C856" s="186"/>
      <c r="D856" s="187"/>
      <c r="E856" s="188"/>
      <c r="F856" s="189"/>
      <c r="G856" s="190"/>
      <c r="H856" s="190"/>
      <c r="I856" s="84"/>
      <c r="J856" s="84"/>
      <c r="K856" s="84"/>
      <c r="L856" s="84"/>
      <c r="M856" s="84"/>
      <c r="N856" s="84"/>
      <c r="O856" s="84"/>
      <c r="P856" s="84"/>
      <c r="Q856" s="84"/>
      <c r="R856" s="84"/>
      <c r="S856" s="84"/>
      <c r="T856" s="84"/>
    </row>
    <row r="857" ht="15.75" customHeight="1">
      <c r="A857" s="84" t="s">
        <v>37260</v>
      </c>
      <c r="B857" s="84">
        <v>1.0</v>
      </c>
      <c r="C857" s="186"/>
      <c r="D857" s="187"/>
      <c r="E857" s="188"/>
      <c r="F857" s="189"/>
      <c r="G857" s="190"/>
      <c r="H857" s="190"/>
      <c r="I857" s="84"/>
      <c r="J857" s="84"/>
      <c r="K857" s="84"/>
      <c r="L857" s="84"/>
      <c r="M857" s="84"/>
      <c r="N857" s="84"/>
      <c r="O857" s="84"/>
      <c r="P857" s="84"/>
      <c r="Q857" s="84"/>
      <c r="R857" s="84"/>
      <c r="S857" s="84"/>
      <c r="T857" s="84"/>
    </row>
    <row r="858" ht="15.75" customHeight="1">
      <c r="A858" s="84" t="s">
        <v>37261</v>
      </c>
      <c r="B858" s="84">
        <v>1.0</v>
      </c>
      <c r="C858" s="186" t="s">
        <v>18275</v>
      </c>
      <c r="D858" s="187" t="s">
        <v>37262</v>
      </c>
      <c r="E858" s="188"/>
      <c r="F858" s="189"/>
      <c r="G858" s="190"/>
      <c r="H858" s="190"/>
      <c r="I858" s="84"/>
      <c r="J858" s="84"/>
      <c r="K858" s="84"/>
      <c r="L858" s="84"/>
      <c r="M858" s="84"/>
      <c r="N858" s="84"/>
      <c r="O858" s="84"/>
      <c r="P858" s="84"/>
      <c r="Q858" s="84"/>
      <c r="R858" s="84"/>
      <c r="S858" s="84"/>
      <c r="T858" s="84"/>
    </row>
    <row r="859" ht="15.75" customHeight="1">
      <c r="A859" s="84" t="s">
        <v>37262</v>
      </c>
      <c r="B859" s="84">
        <v>2.0</v>
      </c>
      <c r="C859" s="186"/>
      <c r="D859" s="187"/>
      <c r="E859" s="188"/>
      <c r="F859" s="189"/>
      <c r="G859" s="190"/>
      <c r="H859" s="190"/>
      <c r="I859" s="84"/>
      <c r="J859" s="84"/>
      <c r="K859" s="84"/>
      <c r="L859" s="84"/>
      <c r="M859" s="84"/>
      <c r="N859" s="84"/>
      <c r="O859" s="84"/>
      <c r="P859" s="84"/>
      <c r="Q859" s="84"/>
      <c r="R859" s="84"/>
      <c r="S859" s="84"/>
      <c r="T859" s="84"/>
    </row>
    <row r="860" ht="15.75" customHeight="1">
      <c r="A860" s="84" t="s">
        <v>37263</v>
      </c>
      <c r="B860" s="84">
        <v>1.0</v>
      </c>
      <c r="C860" s="186"/>
      <c r="D860" s="187"/>
      <c r="E860" s="188"/>
      <c r="F860" s="189"/>
      <c r="G860" s="190"/>
      <c r="H860" s="190"/>
      <c r="I860" s="84"/>
      <c r="J860" s="84"/>
      <c r="K860" s="84"/>
      <c r="L860" s="84"/>
      <c r="M860" s="84"/>
      <c r="N860" s="84"/>
      <c r="O860" s="84"/>
      <c r="P860" s="84"/>
      <c r="Q860" s="84"/>
      <c r="R860" s="84"/>
      <c r="S860" s="84"/>
      <c r="T860" s="84"/>
    </row>
    <row r="861" ht="15.75" customHeight="1">
      <c r="A861" s="84" t="s">
        <v>37264</v>
      </c>
      <c r="B861" s="84">
        <v>4.0</v>
      </c>
      <c r="C861" s="186"/>
      <c r="D861" s="187" t="s">
        <v>37265</v>
      </c>
      <c r="E861" s="188"/>
      <c r="F861" s="189"/>
      <c r="G861" s="190"/>
      <c r="H861" s="190"/>
      <c r="I861" s="84"/>
      <c r="J861" s="84"/>
      <c r="K861" s="84"/>
      <c r="L861" s="84"/>
      <c r="M861" s="84"/>
      <c r="N861" s="84"/>
      <c r="O861" s="84"/>
      <c r="P861" s="84"/>
      <c r="Q861" s="84"/>
      <c r="R861" s="84"/>
      <c r="S861" s="84"/>
      <c r="T861" s="84"/>
    </row>
    <row r="862" ht="15.75" customHeight="1">
      <c r="A862" s="84" t="s">
        <v>37266</v>
      </c>
      <c r="B862" s="84">
        <v>1.0</v>
      </c>
      <c r="C862" s="186"/>
      <c r="D862" s="187" t="s">
        <v>37267</v>
      </c>
      <c r="E862" s="188"/>
      <c r="F862" s="189"/>
      <c r="G862" s="190"/>
      <c r="H862" s="190"/>
      <c r="I862" s="84"/>
      <c r="J862" s="84"/>
      <c r="K862" s="84"/>
      <c r="L862" s="84"/>
      <c r="M862" s="84"/>
      <c r="N862" s="84"/>
      <c r="O862" s="84"/>
      <c r="P862" s="84"/>
      <c r="Q862" s="84"/>
      <c r="R862" s="84"/>
      <c r="S862" s="84"/>
      <c r="T862" s="84"/>
    </row>
    <row r="863" ht="15.75" customHeight="1">
      <c r="A863" s="84" t="s">
        <v>37268</v>
      </c>
      <c r="B863" s="84">
        <v>2.0</v>
      </c>
      <c r="C863" s="186"/>
      <c r="D863" s="187"/>
      <c r="E863" s="188"/>
      <c r="F863" s="189"/>
      <c r="G863" s="190"/>
      <c r="H863" s="190"/>
      <c r="I863" s="84"/>
      <c r="J863" s="84"/>
      <c r="K863" s="84"/>
      <c r="L863" s="84"/>
      <c r="M863" s="84"/>
      <c r="N863" s="84"/>
      <c r="O863" s="84"/>
      <c r="P863" s="84"/>
      <c r="Q863" s="84"/>
      <c r="R863" s="84"/>
      <c r="S863" s="84"/>
      <c r="T863" s="84"/>
    </row>
    <row r="864" ht="15.75" customHeight="1">
      <c r="A864" s="84" t="s">
        <v>37269</v>
      </c>
      <c r="B864" s="84">
        <v>1.0</v>
      </c>
      <c r="C864" s="186" t="s">
        <v>30659</v>
      </c>
      <c r="D864" s="187" t="s">
        <v>37270</v>
      </c>
      <c r="E864" s="188"/>
      <c r="F864" s="189"/>
      <c r="G864" s="190"/>
      <c r="H864" s="190"/>
      <c r="I864" s="84"/>
      <c r="J864" s="84"/>
      <c r="K864" s="84"/>
      <c r="L864" s="84"/>
      <c r="M864" s="84"/>
      <c r="N864" s="84"/>
      <c r="O864" s="84"/>
      <c r="P864" s="84"/>
      <c r="Q864" s="84"/>
      <c r="R864" s="84"/>
      <c r="S864" s="84"/>
      <c r="T864" s="84"/>
    </row>
    <row r="865" ht="15.75" customHeight="1">
      <c r="A865" s="84" t="s">
        <v>37271</v>
      </c>
      <c r="B865" s="84">
        <v>2.0</v>
      </c>
      <c r="C865" s="186"/>
      <c r="D865" s="187" t="s">
        <v>37272</v>
      </c>
      <c r="E865" s="188"/>
      <c r="F865" s="189"/>
      <c r="G865" s="190"/>
      <c r="H865" s="190"/>
      <c r="I865" s="84"/>
      <c r="J865" s="84"/>
      <c r="K865" s="84"/>
      <c r="L865" s="84"/>
      <c r="M865" s="84"/>
      <c r="N865" s="84"/>
      <c r="O865" s="84"/>
      <c r="P865" s="84"/>
      <c r="Q865" s="84"/>
      <c r="R865" s="84"/>
      <c r="S865" s="84"/>
      <c r="T865" s="84"/>
    </row>
    <row r="866" ht="15.75" customHeight="1">
      <c r="A866" s="84" t="s">
        <v>37273</v>
      </c>
      <c r="B866" s="84">
        <v>3.0</v>
      </c>
      <c r="C866" s="186" t="s">
        <v>30659</v>
      </c>
      <c r="D866" s="187" t="s">
        <v>37231</v>
      </c>
      <c r="E866" s="188"/>
      <c r="F866" s="189"/>
      <c r="G866" s="190"/>
      <c r="H866" s="190"/>
      <c r="I866" s="84"/>
      <c r="J866" s="84"/>
      <c r="K866" s="84"/>
      <c r="L866" s="84"/>
      <c r="M866" s="84"/>
      <c r="N866" s="84"/>
      <c r="O866" s="84"/>
      <c r="P866" s="84"/>
      <c r="Q866" s="84"/>
      <c r="R866" s="84"/>
      <c r="S866" s="84"/>
      <c r="T866" s="84"/>
    </row>
    <row r="867" ht="15.75" customHeight="1">
      <c r="A867" s="84" t="s">
        <v>37274</v>
      </c>
      <c r="B867" s="84">
        <v>1.0</v>
      </c>
      <c r="C867" s="186"/>
      <c r="D867" s="187"/>
      <c r="E867" s="188"/>
      <c r="F867" s="189"/>
      <c r="G867" s="190"/>
      <c r="H867" s="190"/>
      <c r="I867" s="84"/>
      <c r="J867" s="84"/>
      <c r="K867" s="84"/>
      <c r="L867" s="84"/>
      <c r="M867" s="84"/>
      <c r="N867" s="84"/>
      <c r="O867" s="84"/>
      <c r="P867" s="84"/>
      <c r="Q867" s="84"/>
      <c r="R867" s="84"/>
      <c r="S867" s="84"/>
      <c r="T867" s="84"/>
    </row>
    <row r="868" ht="15.75" customHeight="1">
      <c r="A868" s="84" t="s">
        <v>37275</v>
      </c>
      <c r="B868" s="84">
        <v>1.0</v>
      </c>
      <c r="C868" s="186"/>
      <c r="D868" s="187"/>
      <c r="E868" s="188"/>
      <c r="F868" s="189"/>
      <c r="G868" s="190"/>
      <c r="H868" s="190"/>
      <c r="I868" s="84"/>
      <c r="J868" s="84"/>
      <c r="K868" s="84"/>
      <c r="L868" s="84"/>
      <c r="M868" s="84"/>
      <c r="N868" s="84"/>
      <c r="O868" s="84"/>
      <c r="P868" s="84"/>
      <c r="Q868" s="84"/>
      <c r="R868" s="84"/>
      <c r="S868" s="84"/>
      <c r="T868" s="84"/>
    </row>
    <row r="869" ht="15.75" customHeight="1">
      <c r="A869" s="84" t="s">
        <v>37276</v>
      </c>
      <c r="B869" s="84">
        <v>1.0</v>
      </c>
      <c r="C869" s="186" t="s">
        <v>30659</v>
      </c>
      <c r="D869" s="187" t="s">
        <v>37275</v>
      </c>
      <c r="E869" s="188"/>
      <c r="F869" s="189"/>
      <c r="G869" s="190"/>
      <c r="H869" s="190"/>
      <c r="I869" s="84"/>
      <c r="J869" s="84"/>
      <c r="K869" s="84"/>
      <c r="L869" s="84"/>
      <c r="M869" s="84"/>
      <c r="N869" s="84"/>
      <c r="O869" s="84"/>
      <c r="P869" s="84"/>
      <c r="Q869" s="84"/>
      <c r="R869" s="84"/>
      <c r="S869" s="84"/>
      <c r="T869" s="84"/>
    </row>
    <row r="870" ht="15.75" customHeight="1">
      <c r="A870" s="84" t="s">
        <v>37277</v>
      </c>
      <c r="B870" s="84">
        <v>2.0</v>
      </c>
      <c r="C870" s="186"/>
      <c r="D870" s="187"/>
      <c r="E870" s="188"/>
      <c r="F870" s="189"/>
      <c r="G870" s="190"/>
      <c r="H870" s="190"/>
      <c r="I870" s="84"/>
      <c r="J870" s="84"/>
      <c r="K870" s="84"/>
      <c r="L870" s="84"/>
      <c r="M870" s="84"/>
      <c r="N870" s="84"/>
      <c r="O870" s="84"/>
      <c r="P870" s="84"/>
      <c r="Q870" s="84"/>
      <c r="R870" s="84"/>
      <c r="S870" s="84"/>
      <c r="T870" s="84"/>
    </row>
    <row r="871" ht="15.75" customHeight="1">
      <c r="A871" s="84" t="s">
        <v>37278</v>
      </c>
      <c r="B871" s="84">
        <v>2.0</v>
      </c>
      <c r="C871" s="186"/>
      <c r="D871" s="187"/>
      <c r="E871" s="188"/>
      <c r="F871" s="189"/>
      <c r="G871" s="190"/>
      <c r="H871" s="190"/>
      <c r="I871" s="84"/>
      <c r="J871" s="84"/>
      <c r="K871" s="84"/>
      <c r="L871" s="84"/>
      <c r="M871" s="84"/>
      <c r="N871" s="84"/>
      <c r="O871" s="84"/>
      <c r="P871" s="84"/>
      <c r="Q871" s="84"/>
      <c r="R871" s="84"/>
      <c r="S871" s="84"/>
      <c r="T871" s="84"/>
    </row>
    <row r="872" ht="15.75" customHeight="1">
      <c r="A872" s="84" t="s">
        <v>37279</v>
      </c>
      <c r="B872" s="84">
        <v>1.0</v>
      </c>
      <c r="C872" s="186"/>
      <c r="D872" s="187"/>
      <c r="E872" s="188"/>
      <c r="F872" s="189"/>
      <c r="G872" s="190"/>
      <c r="H872" s="190"/>
      <c r="I872" s="84"/>
      <c r="J872" s="84"/>
      <c r="K872" s="84"/>
      <c r="L872" s="84"/>
      <c r="M872" s="84"/>
      <c r="N872" s="84"/>
      <c r="O872" s="84"/>
      <c r="P872" s="84"/>
      <c r="Q872" s="84"/>
      <c r="R872" s="84"/>
      <c r="S872" s="84"/>
      <c r="T872" s="84"/>
    </row>
    <row r="873" ht="15.75" customHeight="1">
      <c r="A873" s="84" t="s">
        <v>37280</v>
      </c>
      <c r="B873" s="84">
        <v>1.0</v>
      </c>
      <c r="C873" s="186"/>
      <c r="D873" s="187"/>
      <c r="E873" s="188"/>
      <c r="F873" s="189"/>
      <c r="G873" s="190"/>
      <c r="H873" s="190"/>
      <c r="I873" s="84"/>
      <c r="J873" s="84"/>
      <c r="K873" s="84"/>
      <c r="L873" s="84"/>
      <c r="M873" s="84"/>
      <c r="N873" s="84"/>
      <c r="O873" s="84"/>
      <c r="P873" s="84"/>
      <c r="Q873" s="84"/>
      <c r="R873" s="84"/>
      <c r="S873" s="84"/>
      <c r="T873" s="84"/>
    </row>
    <row r="874" ht="15.75" customHeight="1">
      <c r="A874" s="84" t="s">
        <v>37283</v>
      </c>
      <c r="B874" s="84">
        <v>1.0</v>
      </c>
      <c r="C874" s="186"/>
      <c r="D874" s="187"/>
      <c r="E874" s="188"/>
      <c r="F874" s="189"/>
      <c r="G874" s="190"/>
      <c r="H874" s="190"/>
      <c r="I874" s="84"/>
      <c r="J874" s="84"/>
      <c r="K874" s="84"/>
      <c r="L874" s="84"/>
      <c r="M874" s="84"/>
      <c r="N874" s="84"/>
      <c r="O874" s="84"/>
      <c r="P874" s="84"/>
      <c r="Q874" s="84"/>
      <c r="R874" s="84"/>
      <c r="S874" s="84"/>
      <c r="T874" s="84"/>
    </row>
    <row r="875" ht="15.75" customHeight="1">
      <c r="A875" s="84" t="s">
        <v>37284</v>
      </c>
      <c r="B875" s="84">
        <v>1.0</v>
      </c>
      <c r="C875" s="186"/>
      <c r="D875" s="187"/>
      <c r="E875" s="188"/>
      <c r="F875" s="189"/>
      <c r="G875" s="190"/>
      <c r="H875" s="190"/>
      <c r="I875" s="84"/>
      <c r="J875" s="84"/>
      <c r="K875" s="84"/>
      <c r="L875" s="84"/>
      <c r="M875" s="84"/>
      <c r="N875" s="84"/>
      <c r="O875" s="84"/>
      <c r="P875" s="84"/>
      <c r="Q875" s="84"/>
      <c r="R875" s="84"/>
      <c r="S875" s="84"/>
      <c r="T875" s="84"/>
    </row>
    <row r="876" ht="15.75" customHeight="1">
      <c r="A876" s="84" t="s">
        <v>37287</v>
      </c>
      <c r="B876" s="84">
        <v>1.0</v>
      </c>
      <c r="C876" s="186"/>
      <c r="D876" s="187"/>
      <c r="E876" s="188"/>
      <c r="F876" s="189"/>
      <c r="G876" s="190"/>
      <c r="H876" s="190"/>
      <c r="I876" s="84"/>
      <c r="J876" s="84"/>
      <c r="K876" s="84"/>
      <c r="L876" s="84"/>
      <c r="M876" s="84"/>
      <c r="N876" s="84"/>
      <c r="O876" s="84"/>
      <c r="P876" s="84"/>
      <c r="Q876" s="84"/>
      <c r="R876" s="84"/>
      <c r="S876" s="84"/>
      <c r="T876" s="84"/>
    </row>
    <row r="877" ht="15.75" customHeight="1">
      <c r="A877" s="84" t="s">
        <v>37288</v>
      </c>
      <c r="B877" s="84">
        <v>1.0</v>
      </c>
      <c r="C877" s="186"/>
      <c r="D877" s="187"/>
      <c r="E877" s="188"/>
      <c r="F877" s="189"/>
      <c r="G877" s="190"/>
      <c r="H877" s="190"/>
      <c r="I877" s="84"/>
      <c r="J877" s="84"/>
      <c r="K877" s="84"/>
      <c r="L877" s="84"/>
      <c r="M877" s="84"/>
      <c r="N877" s="84"/>
      <c r="O877" s="84"/>
      <c r="P877" s="84"/>
      <c r="Q877" s="84"/>
      <c r="R877" s="84"/>
      <c r="S877" s="84"/>
      <c r="T877" s="84"/>
    </row>
    <row r="878" ht="15.75" customHeight="1">
      <c r="A878" s="84" t="s">
        <v>37289</v>
      </c>
      <c r="B878" s="84">
        <v>2.0</v>
      </c>
      <c r="C878" s="186"/>
      <c r="D878" s="187"/>
      <c r="E878" s="188"/>
      <c r="F878" s="189"/>
      <c r="G878" s="190"/>
      <c r="H878" s="190"/>
      <c r="I878" s="84"/>
      <c r="J878" s="84"/>
      <c r="K878" s="84"/>
      <c r="L878" s="84"/>
      <c r="M878" s="84"/>
      <c r="N878" s="84"/>
      <c r="O878" s="84"/>
      <c r="P878" s="84"/>
      <c r="Q878" s="84"/>
      <c r="R878" s="84"/>
      <c r="S878" s="84"/>
      <c r="T878" s="84"/>
    </row>
    <row r="879" ht="15.75" customHeight="1">
      <c r="A879" s="84" t="s">
        <v>37290</v>
      </c>
      <c r="B879" s="84">
        <v>1.0</v>
      </c>
      <c r="C879" s="186"/>
      <c r="D879" s="187"/>
      <c r="E879" s="188"/>
      <c r="F879" s="189"/>
      <c r="G879" s="190"/>
      <c r="H879" s="190"/>
      <c r="I879" s="84"/>
      <c r="J879" s="84"/>
      <c r="K879" s="84"/>
      <c r="L879" s="84"/>
      <c r="M879" s="84"/>
      <c r="N879" s="84"/>
      <c r="O879" s="84"/>
      <c r="P879" s="84"/>
      <c r="Q879" s="84"/>
      <c r="R879" s="84"/>
      <c r="S879" s="84"/>
      <c r="T879" s="84"/>
    </row>
    <row r="880" ht="15.75" customHeight="1">
      <c r="A880" s="84" t="s">
        <v>37291</v>
      </c>
      <c r="B880" s="84">
        <v>4.0</v>
      </c>
      <c r="C880" s="186"/>
      <c r="D880" s="187"/>
      <c r="E880" s="188"/>
      <c r="F880" s="189"/>
      <c r="G880" s="190"/>
      <c r="H880" s="190"/>
      <c r="I880" s="84"/>
      <c r="J880" s="84"/>
      <c r="K880" s="84"/>
      <c r="L880" s="84"/>
      <c r="M880" s="84"/>
      <c r="N880" s="84"/>
      <c r="O880" s="84"/>
      <c r="P880" s="84"/>
      <c r="Q880" s="84"/>
      <c r="R880" s="84"/>
      <c r="S880" s="84"/>
      <c r="T880" s="84"/>
    </row>
    <row r="881" ht="15.75" customHeight="1">
      <c r="A881" s="84" t="s">
        <v>37292</v>
      </c>
      <c r="B881" s="84">
        <v>1.0</v>
      </c>
      <c r="C881" s="186"/>
      <c r="D881" s="187"/>
      <c r="E881" s="188"/>
      <c r="F881" s="189"/>
      <c r="G881" s="190"/>
      <c r="H881" s="190"/>
      <c r="I881" s="84"/>
      <c r="J881" s="84"/>
      <c r="K881" s="84"/>
      <c r="L881" s="84"/>
      <c r="M881" s="84"/>
      <c r="N881" s="84"/>
      <c r="O881" s="84"/>
      <c r="P881" s="84"/>
      <c r="Q881" s="84"/>
      <c r="R881" s="84"/>
      <c r="S881" s="84"/>
      <c r="T881" s="84"/>
    </row>
    <row r="882" ht="15.75" customHeight="1">
      <c r="A882" s="84" t="s">
        <v>37293</v>
      </c>
      <c r="B882" s="84">
        <v>1.0</v>
      </c>
      <c r="C882" s="186"/>
      <c r="D882" s="187"/>
      <c r="E882" s="188"/>
      <c r="F882" s="189"/>
      <c r="G882" s="190"/>
      <c r="H882" s="190"/>
      <c r="I882" s="84"/>
      <c r="J882" s="84"/>
      <c r="K882" s="84"/>
      <c r="L882" s="84"/>
      <c r="M882" s="84"/>
      <c r="N882" s="84"/>
      <c r="O882" s="84"/>
      <c r="P882" s="84"/>
      <c r="Q882" s="84"/>
      <c r="R882" s="84"/>
      <c r="S882" s="84"/>
      <c r="T882" s="84"/>
    </row>
    <row r="883" ht="15.75" customHeight="1">
      <c r="A883" s="84" t="s">
        <v>37294</v>
      </c>
      <c r="B883" s="84">
        <v>1.0</v>
      </c>
      <c r="C883" s="186" t="s">
        <v>30659</v>
      </c>
      <c r="D883" s="187" t="s">
        <v>37248</v>
      </c>
      <c r="E883" s="188"/>
      <c r="F883" s="189"/>
      <c r="G883" s="190"/>
      <c r="H883" s="190"/>
      <c r="I883" s="84"/>
      <c r="J883" s="84"/>
      <c r="K883" s="84"/>
      <c r="L883" s="84"/>
      <c r="M883" s="84"/>
      <c r="N883" s="84"/>
      <c r="O883" s="84"/>
      <c r="P883" s="84"/>
      <c r="Q883" s="84"/>
      <c r="R883" s="84"/>
      <c r="S883" s="84"/>
      <c r="T883" s="84"/>
    </row>
    <row r="884" ht="15.75" customHeight="1">
      <c r="A884" s="84" t="s">
        <v>37295</v>
      </c>
      <c r="B884" s="84">
        <v>1.0</v>
      </c>
      <c r="C884" s="186"/>
      <c r="D884" s="187" t="s">
        <v>37297</v>
      </c>
      <c r="E884" s="188"/>
      <c r="F884" s="189"/>
      <c r="G884" s="190"/>
      <c r="H884" s="190"/>
      <c r="I884" s="84"/>
      <c r="J884" s="84"/>
      <c r="K884" s="84"/>
      <c r="L884" s="84"/>
      <c r="M884" s="84"/>
      <c r="N884" s="84"/>
      <c r="O884" s="84"/>
      <c r="P884" s="84"/>
      <c r="Q884" s="84"/>
      <c r="R884" s="84"/>
      <c r="S884" s="84"/>
      <c r="T884" s="84"/>
    </row>
    <row r="885" ht="15.75" customHeight="1">
      <c r="A885" s="84" t="s">
        <v>37298</v>
      </c>
      <c r="B885" s="84">
        <v>1.0</v>
      </c>
      <c r="C885" s="186"/>
      <c r="D885" s="187" t="s">
        <v>37299</v>
      </c>
      <c r="E885" s="188"/>
      <c r="F885" s="189"/>
      <c r="G885" s="190"/>
      <c r="H885" s="190"/>
      <c r="I885" s="84"/>
      <c r="J885" s="84"/>
      <c r="K885" s="84"/>
      <c r="L885" s="84"/>
      <c r="M885" s="84"/>
      <c r="N885" s="84"/>
      <c r="O885" s="84"/>
      <c r="P885" s="84"/>
      <c r="Q885" s="84"/>
      <c r="R885" s="84"/>
      <c r="S885" s="84"/>
      <c r="T885" s="84"/>
    </row>
    <row r="886" ht="15.75" customHeight="1">
      <c r="A886" s="84" t="s">
        <v>37300</v>
      </c>
      <c r="B886" s="84">
        <v>1.0</v>
      </c>
      <c r="C886" s="186"/>
      <c r="D886" s="187" t="s">
        <v>37301</v>
      </c>
      <c r="E886" s="188"/>
      <c r="F886" s="189"/>
      <c r="G886" s="190"/>
      <c r="H886" s="190"/>
      <c r="I886" s="84"/>
      <c r="J886" s="84"/>
      <c r="K886" s="84"/>
      <c r="L886" s="84"/>
      <c r="M886" s="84"/>
      <c r="N886" s="84"/>
      <c r="O886" s="84"/>
      <c r="P886" s="84"/>
      <c r="Q886" s="84"/>
      <c r="R886" s="84"/>
      <c r="S886" s="84"/>
      <c r="T886" s="84"/>
    </row>
    <row r="887" ht="15.75" customHeight="1">
      <c r="A887" s="84" t="s">
        <v>37304</v>
      </c>
      <c r="B887" s="84">
        <v>1.0</v>
      </c>
      <c r="C887" s="186"/>
      <c r="D887" s="187"/>
      <c r="E887" s="188"/>
      <c r="F887" s="189"/>
      <c r="G887" s="190"/>
      <c r="H887" s="190"/>
      <c r="I887" s="84"/>
      <c r="J887" s="84"/>
      <c r="K887" s="84"/>
      <c r="L887" s="84"/>
      <c r="M887" s="84"/>
      <c r="N887" s="84"/>
      <c r="O887" s="84"/>
      <c r="P887" s="84"/>
      <c r="Q887" s="84"/>
      <c r="R887" s="84"/>
      <c r="S887" s="84"/>
      <c r="T887" s="84"/>
    </row>
    <row r="888" ht="15.75" customHeight="1">
      <c r="A888" s="84" t="s">
        <v>37305</v>
      </c>
      <c r="B888" s="84">
        <v>9.0</v>
      </c>
      <c r="C888" s="186" t="s">
        <v>30659</v>
      </c>
      <c r="D888" s="187" t="s">
        <v>37260</v>
      </c>
      <c r="E888" s="188"/>
      <c r="F888" s="189"/>
      <c r="G888" s="190"/>
      <c r="H888" s="190"/>
      <c r="I888" s="84"/>
      <c r="J888" s="84"/>
      <c r="K888" s="84"/>
      <c r="L888" s="84"/>
      <c r="M888" s="84"/>
      <c r="N888" s="84"/>
      <c r="O888" s="84"/>
      <c r="P888" s="84"/>
      <c r="Q888" s="84"/>
      <c r="R888" s="84"/>
      <c r="S888" s="84"/>
      <c r="T888" s="84"/>
    </row>
    <row r="889" ht="15.75" customHeight="1">
      <c r="A889" s="84" t="s">
        <v>37306</v>
      </c>
      <c r="B889" s="84">
        <v>1.0</v>
      </c>
      <c r="C889" s="186"/>
      <c r="D889" s="187" t="s">
        <v>37307</v>
      </c>
      <c r="E889" s="188"/>
      <c r="F889" s="189"/>
      <c r="G889" s="190"/>
      <c r="H889" s="190"/>
      <c r="I889" s="84"/>
      <c r="J889" s="84"/>
      <c r="K889" s="84"/>
      <c r="L889" s="84"/>
      <c r="M889" s="84"/>
      <c r="N889" s="84"/>
      <c r="O889" s="84"/>
      <c r="P889" s="84"/>
      <c r="Q889" s="84"/>
      <c r="R889" s="84"/>
      <c r="S889" s="84"/>
      <c r="T889" s="84"/>
    </row>
    <row r="890" ht="15.75" customHeight="1">
      <c r="A890" s="84" t="s">
        <v>37308</v>
      </c>
      <c r="B890" s="84">
        <v>1.0</v>
      </c>
      <c r="C890" s="186"/>
      <c r="D890" s="187" t="s">
        <v>37309</v>
      </c>
      <c r="E890" s="188"/>
      <c r="F890" s="189"/>
      <c r="G890" s="190"/>
      <c r="H890" s="190"/>
      <c r="I890" s="84"/>
      <c r="J890" s="84"/>
      <c r="K890" s="84"/>
      <c r="L890" s="84"/>
      <c r="M890" s="84"/>
      <c r="N890" s="84"/>
      <c r="O890" s="84"/>
      <c r="P890" s="84"/>
      <c r="Q890" s="84"/>
      <c r="R890" s="84"/>
      <c r="S890" s="84"/>
      <c r="T890" s="84"/>
    </row>
    <row r="891" ht="15.75" customHeight="1">
      <c r="A891" s="84" t="s">
        <v>37312</v>
      </c>
      <c r="B891" s="84">
        <v>1.0</v>
      </c>
      <c r="C891" s="186"/>
      <c r="D891" s="187" t="s">
        <v>37313</v>
      </c>
      <c r="E891" s="188"/>
      <c r="F891" s="189"/>
      <c r="G891" s="190"/>
      <c r="H891" s="190"/>
      <c r="I891" s="84"/>
      <c r="J891" s="84"/>
      <c r="K891" s="84"/>
      <c r="L891" s="84"/>
      <c r="M891" s="84"/>
      <c r="N891" s="84"/>
      <c r="O891" s="84"/>
      <c r="P891" s="84"/>
      <c r="Q891" s="84"/>
      <c r="R891" s="84"/>
      <c r="S891" s="84"/>
      <c r="T891" s="84"/>
    </row>
    <row r="892" ht="15.75" customHeight="1">
      <c r="A892" s="84" t="s">
        <v>37314</v>
      </c>
      <c r="B892" s="84">
        <v>1.0</v>
      </c>
      <c r="C892" s="186"/>
      <c r="D892" s="187" t="s">
        <v>37315</v>
      </c>
      <c r="E892" s="188"/>
      <c r="F892" s="189"/>
      <c r="G892" s="190" t="s">
        <v>33408</v>
      </c>
      <c r="H892" s="190"/>
      <c r="I892" s="84"/>
      <c r="J892" s="84"/>
      <c r="K892" s="84"/>
      <c r="L892" s="84"/>
      <c r="M892" s="84"/>
      <c r="N892" s="84"/>
      <c r="O892" s="84"/>
      <c r="P892" s="84"/>
      <c r="Q892" s="84"/>
      <c r="R892" s="84"/>
      <c r="S892" s="84"/>
      <c r="T892" s="84"/>
    </row>
    <row r="893" ht="15.75" customHeight="1">
      <c r="A893" s="84" t="s">
        <v>37316</v>
      </c>
      <c r="B893" s="84">
        <v>1.0</v>
      </c>
      <c r="C893" s="186"/>
      <c r="D893" s="187" t="s">
        <v>37317</v>
      </c>
      <c r="E893" s="188"/>
      <c r="F893" s="189"/>
      <c r="G893" s="190" t="s">
        <v>37318</v>
      </c>
      <c r="H893" s="190"/>
      <c r="I893" s="84"/>
      <c r="J893" s="84"/>
      <c r="K893" s="84"/>
      <c r="L893" s="84"/>
      <c r="M893" s="84"/>
      <c r="N893" s="84"/>
      <c r="O893" s="84"/>
      <c r="P893" s="84"/>
      <c r="Q893" s="84"/>
      <c r="R893" s="84"/>
      <c r="S893" s="84"/>
      <c r="T893" s="84"/>
    </row>
    <row r="894" ht="15.75" customHeight="1">
      <c r="A894" s="84" t="s">
        <v>37321</v>
      </c>
      <c r="B894" s="84">
        <v>2.0</v>
      </c>
      <c r="C894" s="186" t="s">
        <v>18275</v>
      </c>
      <c r="D894" s="187" t="s">
        <v>37262</v>
      </c>
      <c r="E894" s="188"/>
      <c r="F894" s="189"/>
      <c r="G894" s="190"/>
      <c r="H894" s="190"/>
      <c r="I894" s="84"/>
      <c r="J894" s="84"/>
      <c r="K894" s="84"/>
      <c r="L894" s="84"/>
      <c r="M894" s="84"/>
      <c r="N894" s="84"/>
      <c r="O894" s="84"/>
      <c r="P894" s="84"/>
      <c r="Q894" s="84"/>
      <c r="R894" s="84"/>
      <c r="S894" s="84"/>
      <c r="T894" s="84"/>
    </row>
    <row r="895" ht="15.75" customHeight="1">
      <c r="A895" s="84" t="s">
        <v>37322</v>
      </c>
      <c r="B895" s="84">
        <v>1.0</v>
      </c>
      <c r="C895" s="186"/>
      <c r="D895" s="187"/>
      <c r="E895" s="188"/>
      <c r="F895" s="189"/>
      <c r="G895" s="190"/>
      <c r="H895" s="190"/>
      <c r="I895" s="84"/>
      <c r="J895" s="84"/>
      <c r="K895" s="84"/>
      <c r="L895" s="84"/>
      <c r="M895" s="84"/>
      <c r="N895" s="84"/>
      <c r="O895" s="84"/>
      <c r="P895" s="84"/>
      <c r="Q895" s="84"/>
      <c r="R895" s="84"/>
      <c r="S895" s="84"/>
      <c r="T895" s="84"/>
    </row>
    <row r="896" ht="15.75" customHeight="1">
      <c r="A896" s="84" t="s">
        <v>37323</v>
      </c>
      <c r="B896" s="84">
        <v>1.0</v>
      </c>
      <c r="C896" s="186"/>
      <c r="D896" s="187"/>
      <c r="E896" s="188"/>
      <c r="F896" s="189"/>
      <c r="G896" s="190"/>
      <c r="H896" s="190"/>
      <c r="I896" s="84"/>
      <c r="J896" s="84"/>
      <c r="K896" s="84"/>
      <c r="L896" s="84"/>
      <c r="M896" s="84"/>
      <c r="N896" s="84"/>
      <c r="O896" s="84"/>
      <c r="P896" s="84"/>
      <c r="Q896" s="84"/>
      <c r="R896" s="84"/>
      <c r="S896" s="84"/>
      <c r="T896" s="84"/>
    </row>
    <row r="897" ht="15.75" customHeight="1">
      <c r="A897" s="84" t="s">
        <v>37325</v>
      </c>
      <c r="B897" s="84">
        <v>1.0</v>
      </c>
      <c r="C897" s="186"/>
      <c r="D897" s="187"/>
      <c r="E897" s="188"/>
      <c r="F897" s="189"/>
      <c r="G897" s="190"/>
      <c r="H897" s="190"/>
      <c r="I897" s="84"/>
      <c r="J897" s="84"/>
      <c r="K897" s="84"/>
      <c r="L897" s="84"/>
      <c r="M897" s="84"/>
      <c r="N897" s="84"/>
      <c r="O897" s="84"/>
      <c r="P897" s="84"/>
      <c r="Q897" s="84"/>
      <c r="R897" s="84"/>
      <c r="S897" s="84"/>
      <c r="T897" s="84"/>
    </row>
    <row r="898" ht="15.75" customHeight="1">
      <c r="A898" s="84" t="s">
        <v>37328</v>
      </c>
      <c r="B898" s="84">
        <v>1.0</v>
      </c>
      <c r="C898" s="186"/>
      <c r="D898" s="187"/>
      <c r="E898" s="188"/>
      <c r="F898" s="189"/>
      <c r="G898" s="190"/>
      <c r="H898" s="190"/>
      <c r="I898" s="84"/>
      <c r="J898" s="84"/>
      <c r="K898" s="84"/>
      <c r="L898" s="84"/>
      <c r="M898" s="84"/>
      <c r="N898" s="84"/>
      <c r="O898" s="84"/>
      <c r="P898" s="84"/>
      <c r="Q898" s="84"/>
      <c r="R898" s="84"/>
      <c r="S898" s="84"/>
      <c r="T898" s="84"/>
    </row>
    <row r="899" ht="15.75" customHeight="1">
      <c r="A899" s="84" t="s">
        <v>37329</v>
      </c>
      <c r="B899" s="84">
        <v>1.0</v>
      </c>
      <c r="C899" s="186"/>
      <c r="D899" s="187"/>
      <c r="E899" s="188"/>
      <c r="F899" s="189"/>
      <c r="G899" s="190"/>
      <c r="H899" s="190"/>
      <c r="I899" s="84"/>
      <c r="J899" s="84"/>
      <c r="K899" s="84"/>
      <c r="L899" s="84"/>
      <c r="M899" s="84"/>
      <c r="N899" s="84"/>
      <c r="O899" s="84"/>
      <c r="P899" s="84"/>
      <c r="Q899" s="84"/>
      <c r="R899" s="84"/>
      <c r="S899" s="84"/>
      <c r="T899" s="84"/>
    </row>
    <row r="900" ht="15.75" customHeight="1">
      <c r="A900" s="84" t="s">
        <v>37330</v>
      </c>
      <c r="B900" s="84">
        <v>3.0</v>
      </c>
      <c r="C900" s="186"/>
      <c r="D900" s="187"/>
      <c r="E900" s="188"/>
      <c r="F900" s="189"/>
      <c r="G900" s="190"/>
      <c r="H900" s="190"/>
      <c r="I900" s="84"/>
      <c r="J900" s="84"/>
      <c r="K900" s="84"/>
      <c r="L900" s="84"/>
      <c r="M900" s="84"/>
      <c r="N900" s="84"/>
      <c r="O900" s="84"/>
      <c r="P900" s="84"/>
      <c r="Q900" s="84"/>
      <c r="R900" s="84"/>
      <c r="S900" s="84"/>
      <c r="T900" s="84"/>
    </row>
    <row r="901" ht="15.75" customHeight="1">
      <c r="A901" s="84" t="s">
        <v>37331</v>
      </c>
      <c r="B901" s="84">
        <v>1.0</v>
      </c>
      <c r="C901" s="186"/>
      <c r="D901" s="187"/>
      <c r="E901" s="188"/>
      <c r="F901" s="189"/>
      <c r="G901" s="190"/>
      <c r="H901" s="190"/>
      <c r="I901" s="84"/>
      <c r="J901" s="84"/>
      <c r="K901" s="84"/>
      <c r="L901" s="84"/>
      <c r="M901" s="84"/>
      <c r="N901" s="84"/>
      <c r="O901" s="84"/>
      <c r="P901" s="84"/>
      <c r="Q901" s="84"/>
      <c r="R901" s="84"/>
      <c r="S901" s="84"/>
      <c r="T901" s="84"/>
    </row>
    <row r="902" ht="15.75" customHeight="1">
      <c r="A902" s="84" t="s">
        <v>37332</v>
      </c>
      <c r="B902" s="84">
        <v>1.0</v>
      </c>
      <c r="C902" s="186"/>
      <c r="D902" s="187"/>
      <c r="E902" s="188"/>
      <c r="F902" s="189"/>
      <c r="G902" s="190"/>
      <c r="H902" s="190"/>
      <c r="I902" s="84"/>
      <c r="J902" s="84"/>
      <c r="K902" s="84"/>
      <c r="L902" s="84"/>
      <c r="M902" s="84"/>
      <c r="N902" s="84"/>
      <c r="O902" s="84"/>
      <c r="P902" s="84"/>
      <c r="Q902" s="84"/>
      <c r="R902" s="84"/>
      <c r="S902" s="84"/>
      <c r="T902" s="84"/>
    </row>
    <row r="903" ht="15.75" customHeight="1">
      <c r="A903" s="84" t="s">
        <v>37333</v>
      </c>
      <c r="B903" s="84">
        <v>1.0</v>
      </c>
      <c r="C903" s="186"/>
      <c r="D903" s="187"/>
      <c r="E903" s="188"/>
      <c r="F903" s="189"/>
      <c r="G903" s="190"/>
      <c r="H903" s="190"/>
      <c r="I903" s="84"/>
      <c r="J903" s="84"/>
      <c r="K903" s="84"/>
      <c r="L903" s="84"/>
      <c r="M903" s="84"/>
      <c r="N903" s="84"/>
      <c r="O903" s="84"/>
      <c r="P903" s="84"/>
      <c r="Q903" s="84"/>
      <c r="R903" s="84"/>
      <c r="S903" s="84"/>
      <c r="T903" s="84"/>
    </row>
    <row r="904" ht="15.75" customHeight="1">
      <c r="A904" s="84" t="s">
        <v>37334</v>
      </c>
      <c r="B904" s="84">
        <v>1.0</v>
      </c>
      <c r="C904" s="186"/>
      <c r="D904" s="187"/>
      <c r="E904" s="188"/>
      <c r="F904" s="189"/>
      <c r="G904" s="190"/>
      <c r="H904" s="190"/>
      <c r="I904" s="84"/>
      <c r="J904" s="84"/>
      <c r="K904" s="84"/>
      <c r="L904" s="84"/>
      <c r="M904" s="84"/>
      <c r="N904" s="84"/>
      <c r="O904" s="84"/>
      <c r="P904" s="84"/>
      <c r="Q904" s="84"/>
      <c r="R904" s="84"/>
      <c r="S904" s="84"/>
      <c r="T904" s="84"/>
    </row>
    <row r="905" ht="15.75" customHeight="1">
      <c r="A905" s="84" t="s">
        <v>37335</v>
      </c>
      <c r="B905" s="84">
        <v>1.0</v>
      </c>
      <c r="C905" s="186"/>
      <c r="D905" s="187"/>
      <c r="E905" s="188"/>
      <c r="F905" s="189"/>
      <c r="G905" s="190"/>
      <c r="H905" s="190"/>
      <c r="I905" s="84"/>
      <c r="J905" s="84"/>
      <c r="K905" s="84"/>
      <c r="L905" s="84"/>
      <c r="M905" s="84"/>
      <c r="N905" s="84"/>
      <c r="O905" s="84"/>
      <c r="P905" s="84"/>
      <c r="Q905" s="84"/>
      <c r="R905" s="84"/>
      <c r="S905" s="84"/>
      <c r="T905" s="84"/>
    </row>
    <row r="906" ht="15.75" customHeight="1">
      <c r="A906" s="84" t="s">
        <v>37336</v>
      </c>
      <c r="B906" s="84">
        <v>1.0</v>
      </c>
      <c r="C906" s="186"/>
      <c r="D906" s="187"/>
      <c r="E906" s="188"/>
      <c r="F906" s="189"/>
      <c r="G906" s="190"/>
      <c r="H906" s="190"/>
      <c r="I906" s="84"/>
      <c r="J906" s="84"/>
      <c r="K906" s="84"/>
      <c r="L906" s="84"/>
      <c r="M906" s="84"/>
      <c r="N906" s="84"/>
      <c r="O906" s="84"/>
      <c r="P906" s="84"/>
      <c r="Q906" s="84"/>
      <c r="R906" s="84"/>
      <c r="S906" s="84"/>
      <c r="T906" s="84"/>
    </row>
    <row r="907" ht="15.75" customHeight="1">
      <c r="A907" s="84" t="s">
        <v>37337</v>
      </c>
      <c r="B907" s="84">
        <v>1.0</v>
      </c>
      <c r="C907" s="186"/>
      <c r="D907" s="187"/>
      <c r="E907" s="188"/>
      <c r="F907" s="189"/>
      <c r="G907" s="190"/>
      <c r="H907" s="190"/>
      <c r="I907" s="84"/>
      <c r="J907" s="84"/>
      <c r="K907" s="84"/>
      <c r="L907" s="84"/>
      <c r="M907" s="84"/>
      <c r="N907" s="84"/>
      <c r="O907" s="84"/>
      <c r="P907" s="84"/>
      <c r="Q907" s="84"/>
      <c r="R907" s="84"/>
      <c r="S907" s="84"/>
      <c r="T907" s="84"/>
    </row>
    <row r="908" ht="15.75" customHeight="1">
      <c r="A908" s="84" t="s">
        <v>37338</v>
      </c>
      <c r="B908" s="84">
        <v>1.0</v>
      </c>
      <c r="C908" s="186"/>
      <c r="D908" s="187"/>
      <c r="E908" s="188"/>
      <c r="F908" s="189"/>
      <c r="G908" s="190"/>
      <c r="H908" s="190"/>
      <c r="I908" s="84"/>
      <c r="J908" s="84"/>
      <c r="K908" s="84"/>
      <c r="L908" s="84"/>
      <c r="M908" s="84"/>
      <c r="N908" s="84"/>
      <c r="O908" s="84"/>
      <c r="P908" s="84"/>
      <c r="Q908" s="84"/>
      <c r="R908" s="84"/>
      <c r="S908" s="84"/>
      <c r="T908" s="84"/>
    </row>
    <row r="909" ht="15.75" customHeight="1">
      <c r="A909" s="84" t="s">
        <v>37339</v>
      </c>
      <c r="B909" s="84">
        <v>1.0</v>
      </c>
      <c r="C909" s="186" t="s">
        <v>30659</v>
      </c>
      <c r="D909" s="187" t="s">
        <v>37340</v>
      </c>
      <c r="E909" s="188"/>
      <c r="F909" s="189"/>
      <c r="G909" s="190"/>
      <c r="H909" s="190"/>
      <c r="I909" s="84"/>
      <c r="J909" s="84"/>
      <c r="K909" s="84"/>
      <c r="L909" s="84"/>
      <c r="M909" s="84"/>
      <c r="N909" s="84"/>
      <c r="O909" s="84"/>
      <c r="P909" s="84"/>
      <c r="Q909" s="84"/>
      <c r="R909" s="84"/>
      <c r="S909" s="84"/>
      <c r="T909" s="84"/>
    </row>
    <row r="910" ht="15.75" customHeight="1">
      <c r="A910" s="84" t="s">
        <v>37341</v>
      </c>
      <c r="B910" s="84">
        <v>1.0</v>
      </c>
      <c r="C910" s="186"/>
      <c r="D910" s="187"/>
      <c r="E910" s="188"/>
      <c r="F910" s="189"/>
      <c r="G910" s="190"/>
      <c r="H910" s="190"/>
      <c r="I910" s="84"/>
      <c r="J910" s="84"/>
      <c r="K910" s="84"/>
      <c r="L910" s="84"/>
      <c r="M910" s="84"/>
      <c r="N910" s="84"/>
      <c r="O910" s="84"/>
      <c r="P910" s="84"/>
      <c r="Q910" s="84"/>
      <c r="R910" s="84"/>
      <c r="S910" s="84"/>
      <c r="T910" s="84"/>
    </row>
    <row r="911" ht="15.75" customHeight="1">
      <c r="A911" s="84" t="s">
        <v>37344</v>
      </c>
      <c r="B911" s="84">
        <v>1.0</v>
      </c>
      <c r="C911" s="186"/>
      <c r="D911" s="187"/>
      <c r="E911" s="188"/>
      <c r="F911" s="189"/>
      <c r="G911" s="190"/>
      <c r="H911" s="190"/>
      <c r="I911" s="84"/>
      <c r="J911" s="84"/>
      <c r="K911" s="84"/>
      <c r="L911" s="84"/>
      <c r="M911" s="84"/>
      <c r="N911" s="84"/>
      <c r="O911" s="84"/>
      <c r="P911" s="84"/>
      <c r="Q911" s="84"/>
      <c r="R911" s="84"/>
      <c r="S911" s="84"/>
      <c r="T911" s="84"/>
    </row>
    <row r="912" ht="15.75" customHeight="1">
      <c r="A912" s="84" t="s">
        <v>37345</v>
      </c>
      <c r="B912" s="84">
        <v>1.0</v>
      </c>
      <c r="C912" s="186"/>
      <c r="D912" s="187"/>
      <c r="E912" s="188"/>
      <c r="F912" s="189"/>
      <c r="G912" s="190"/>
      <c r="H912" s="190"/>
      <c r="I912" s="84"/>
      <c r="J912" s="84"/>
      <c r="K912" s="84"/>
      <c r="L912" s="84"/>
      <c r="M912" s="84"/>
      <c r="N912" s="84"/>
      <c r="O912" s="84"/>
      <c r="P912" s="84"/>
      <c r="Q912" s="84"/>
      <c r="R912" s="84"/>
      <c r="S912" s="84"/>
      <c r="T912" s="84"/>
    </row>
    <row r="913" ht="15.75" customHeight="1">
      <c r="A913" s="84" t="s">
        <v>37346</v>
      </c>
      <c r="B913" s="84">
        <v>1.0</v>
      </c>
      <c r="C913" s="186"/>
      <c r="D913" s="187"/>
      <c r="E913" s="188"/>
      <c r="F913" s="189"/>
      <c r="G913" s="190"/>
      <c r="H913" s="190"/>
      <c r="I913" s="84"/>
      <c r="J913" s="84"/>
      <c r="K913" s="84"/>
      <c r="L913" s="84"/>
      <c r="M913" s="84"/>
      <c r="N913" s="84"/>
      <c r="O913" s="84"/>
      <c r="P913" s="84"/>
      <c r="Q913" s="84"/>
      <c r="R913" s="84"/>
      <c r="S913" s="84"/>
      <c r="T913" s="84"/>
    </row>
    <row r="914" ht="15.75" customHeight="1">
      <c r="A914" s="84" t="s">
        <v>37347</v>
      </c>
      <c r="B914" s="84">
        <v>3.0</v>
      </c>
      <c r="C914" s="186"/>
      <c r="D914" s="187"/>
      <c r="E914" s="188"/>
      <c r="F914" s="189"/>
      <c r="G914" s="190"/>
      <c r="H914" s="190"/>
      <c r="I914" s="84"/>
      <c r="J914" s="84"/>
      <c r="K914" s="84"/>
      <c r="L914" s="84"/>
      <c r="M914" s="84"/>
      <c r="N914" s="84"/>
      <c r="O914" s="84"/>
      <c r="P914" s="84"/>
      <c r="Q914" s="84"/>
      <c r="R914" s="84"/>
      <c r="S914" s="84"/>
      <c r="T914" s="84"/>
    </row>
    <row r="915" ht="15.75" customHeight="1">
      <c r="A915" s="84" t="s">
        <v>37348</v>
      </c>
      <c r="B915" s="84">
        <v>1.0</v>
      </c>
      <c r="C915" s="186"/>
      <c r="D915" s="187"/>
      <c r="E915" s="188"/>
      <c r="F915" s="189"/>
      <c r="G915" s="190"/>
      <c r="H915" s="190"/>
      <c r="I915" s="84"/>
      <c r="J915" s="84"/>
      <c r="K915" s="84"/>
      <c r="L915" s="84"/>
      <c r="M915" s="84"/>
      <c r="N915" s="84"/>
      <c r="O915" s="84"/>
      <c r="P915" s="84"/>
      <c r="Q915" s="84"/>
      <c r="R915" s="84"/>
      <c r="S915" s="84"/>
      <c r="T915" s="84"/>
    </row>
    <row r="916" ht="15.75" customHeight="1">
      <c r="A916" s="84" t="s">
        <v>37349</v>
      </c>
      <c r="B916" s="84">
        <v>4.0</v>
      </c>
      <c r="C916" s="186"/>
      <c r="D916" s="187"/>
      <c r="E916" s="188"/>
      <c r="F916" s="189"/>
      <c r="G916" s="190"/>
      <c r="H916" s="190"/>
      <c r="I916" s="84"/>
      <c r="J916" s="84"/>
      <c r="K916" s="84"/>
      <c r="L916" s="84"/>
      <c r="M916" s="84"/>
      <c r="N916" s="84"/>
      <c r="O916" s="84"/>
      <c r="P916" s="84"/>
      <c r="Q916" s="84"/>
      <c r="R916" s="84"/>
      <c r="S916" s="84"/>
      <c r="T916" s="84"/>
    </row>
    <row r="917" ht="15.75" customHeight="1">
      <c r="A917" s="84" t="s">
        <v>37340</v>
      </c>
      <c r="B917" s="84">
        <v>1.0</v>
      </c>
      <c r="C917" s="186"/>
      <c r="D917" s="187"/>
      <c r="E917" s="188"/>
      <c r="F917" s="189"/>
      <c r="G917" s="190"/>
      <c r="H917" s="190"/>
      <c r="I917" s="84"/>
      <c r="J917" s="84"/>
      <c r="K917" s="84"/>
      <c r="L917" s="84"/>
      <c r="M917" s="84"/>
      <c r="N917" s="84"/>
      <c r="O917" s="84"/>
      <c r="P917" s="84"/>
      <c r="Q917" s="84"/>
      <c r="R917" s="84"/>
      <c r="S917" s="84"/>
      <c r="T917" s="84"/>
    </row>
    <row r="918" ht="15.75" customHeight="1">
      <c r="A918" s="84" t="s">
        <v>37350</v>
      </c>
      <c r="B918" s="84">
        <v>2.0</v>
      </c>
      <c r="C918" s="186"/>
      <c r="D918" s="187"/>
      <c r="E918" s="188"/>
      <c r="F918" s="189"/>
      <c r="G918" s="190"/>
      <c r="H918" s="190"/>
      <c r="I918" s="84"/>
      <c r="J918" s="84"/>
      <c r="K918" s="84"/>
      <c r="L918" s="84"/>
      <c r="M918" s="84"/>
      <c r="N918" s="84"/>
      <c r="O918" s="84"/>
      <c r="P918" s="84"/>
      <c r="Q918" s="84"/>
      <c r="R918" s="84"/>
      <c r="S918" s="84"/>
      <c r="T918" s="84"/>
    </row>
    <row r="919" ht="15.75" customHeight="1">
      <c r="A919" s="84" t="s">
        <v>37352</v>
      </c>
      <c r="B919" s="84">
        <v>4.0</v>
      </c>
      <c r="C919" s="186"/>
      <c r="D919" s="187"/>
      <c r="E919" s="188"/>
      <c r="F919" s="189"/>
      <c r="G919" s="190"/>
      <c r="H919" s="190"/>
      <c r="I919" s="84"/>
      <c r="J919" s="84"/>
      <c r="K919" s="84"/>
      <c r="L919" s="84"/>
      <c r="M919" s="84"/>
      <c r="N919" s="84"/>
      <c r="O919" s="84"/>
      <c r="P919" s="84"/>
      <c r="Q919" s="84"/>
      <c r="R919" s="84"/>
      <c r="S919" s="84"/>
      <c r="T919" s="84"/>
    </row>
    <row r="920" ht="15.75" customHeight="1">
      <c r="A920" s="84" t="s">
        <v>37353</v>
      </c>
      <c r="B920" s="84">
        <v>1.0</v>
      </c>
      <c r="C920" s="186"/>
      <c r="D920" s="187"/>
      <c r="E920" s="188"/>
      <c r="F920" s="189"/>
      <c r="G920" s="190"/>
      <c r="H920" s="190"/>
      <c r="I920" s="84"/>
      <c r="J920" s="84"/>
      <c r="K920" s="84"/>
      <c r="L920" s="84"/>
      <c r="M920" s="84"/>
      <c r="N920" s="84"/>
      <c r="O920" s="84"/>
      <c r="P920" s="84"/>
      <c r="Q920" s="84"/>
      <c r="R920" s="84"/>
      <c r="S920" s="84"/>
      <c r="T920" s="84"/>
    </row>
    <row r="921" ht="15.75" customHeight="1">
      <c r="A921" s="84" t="s">
        <v>37354</v>
      </c>
      <c r="B921" s="84">
        <v>1.0</v>
      </c>
      <c r="C921" s="186"/>
      <c r="D921" s="187"/>
      <c r="E921" s="188"/>
      <c r="F921" s="189"/>
      <c r="G921" s="190"/>
      <c r="H921" s="190"/>
      <c r="I921" s="84"/>
      <c r="J921" s="84"/>
      <c r="K921" s="84"/>
      <c r="L921" s="84"/>
      <c r="M921" s="84"/>
      <c r="N921" s="84"/>
      <c r="O921" s="84"/>
      <c r="P921" s="84"/>
      <c r="Q921" s="84"/>
      <c r="R921" s="84"/>
      <c r="S921" s="84"/>
      <c r="T921" s="84"/>
    </row>
    <row r="922" ht="15.75" customHeight="1">
      <c r="A922" s="84" t="s">
        <v>37355</v>
      </c>
      <c r="B922" s="84">
        <v>1.0</v>
      </c>
      <c r="C922" s="186" t="s">
        <v>30659</v>
      </c>
      <c r="D922" s="187" t="s">
        <v>37357</v>
      </c>
      <c r="E922" s="188"/>
      <c r="F922" s="189"/>
      <c r="G922" s="190"/>
      <c r="H922" s="190"/>
      <c r="I922" s="84"/>
      <c r="J922" s="84"/>
      <c r="K922" s="84"/>
      <c r="L922" s="84"/>
      <c r="M922" s="84"/>
      <c r="N922" s="84"/>
      <c r="O922" s="84"/>
      <c r="P922" s="84"/>
      <c r="Q922" s="84"/>
      <c r="R922" s="84"/>
      <c r="S922" s="84"/>
      <c r="T922" s="84"/>
    </row>
    <row r="923" ht="15.75" customHeight="1">
      <c r="A923" s="84" t="s">
        <v>37357</v>
      </c>
      <c r="B923" s="84">
        <v>3.0</v>
      </c>
      <c r="C923" s="186"/>
      <c r="D923" s="187"/>
      <c r="E923" s="188"/>
      <c r="F923" s="189"/>
      <c r="G923" s="190"/>
      <c r="H923" s="190"/>
      <c r="I923" s="84"/>
      <c r="J923" s="84"/>
      <c r="K923" s="84"/>
      <c r="L923" s="84"/>
      <c r="M923" s="84"/>
      <c r="N923" s="84"/>
      <c r="O923" s="84"/>
      <c r="P923" s="84"/>
      <c r="Q923" s="84"/>
      <c r="R923" s="84"/>
      <c r="S923" s="84"/>
      <c r="T923" s="84"/>
    </row>
    <row r="924" ht="15.75" customHeight="1">
      <c r="A924" s="84" t="s">
        <v>37364</v>
      </c>
      <c r="B924" s="84">
        <v>1.0</v>
      </c>
      <c r="C924" s="186"/>
      <c r="D924" s="187"/>
      <c r="E924" s="188"/>
      <c r="F924" s="189"/>
      <c r="G924" s="190"/>
      <c r="H924" s="190"/>
      <c r="I924" s="84"/>
      <c r="J924" s="84"/>
      <c r="K924" s="84"/>
      <c r="L924" s="84"/>
      <c r="M924" s="84"/>
      <c r="N924" s="84"/>
      <c r="O924" s="84"/>
      <c r="P924" s="84"/>
      <c r="Q924" s="84"/>
      <c r="R924" s="84"/>
      <c r="S924" s="84"/>
      <c r="T924" s="84"/>
    </row>
    <row r="925" ht="15.75" customHeight="1">
      <c r="A925" s="84" t="s">
        <v>37368</v>
      </c>
      <c r="B925" s="84">
        <v>1.0</v>
      </c>
      <c r="C925" s="186"/>
      <c r="D925" s="187"/>
      <c r="E925" s="188"/>
      <c r="F925" s="189"/>
      <c r="G925" s="190"/>
      <c r="H925" s="190"/>
      <c r="I925" s="84"/>
      <c r="J925" s="84"/>
      <c r="K925" s="84"/>
      <c r="L925" s="84"/>
      <c r="M925" s="84"/>
      <c r="N925" s="84"/>
      <c r="O925" s="84"/>
      <c r="P925" s="84"/>
      <c r="Q925" s="84"/>
      <c r="R925" s="84"/>
      <c r="S925" s="84"/>
      <c r="T925" s="84"/>
    </row>
    <row r="926" ht="15.75" customHeight="1">
      <c r="A926" s="84" t="s">
        <v>37369</v>
      </c>
      <c r="B926" s="84">
        <v>1.0</v>
      </c>
      <c r="C926" s="186"/>
      <c r="D926" s="187"/>
      <c r="E926" s="188"/>
      <c r="F926" s="189"/>
      <c r="G926" s="190"/>
      <c r="H926" s="190"/>
      <c r="I926" s="84"/>
      <c r="J926" s="84"/>
      <c r="K926" s="84"/>
      <c r="L926" s="84"/>
      <c r="M926" s="84"/>
      <c r="N926" s="84"/>
      <c r="O926" s="84"/>
      <c r="P926" s="84"/>
      <c r="Q926" s="84"/>
      <c r="R926" s="84"/>
      <c r="S926" s="84"/>
      <c r="T926" s="84"/>
    </row>
    <row r="927" ht="15.75" customHeight="1">
      <c r="A927" s="84" t="s">
        <v>37370</v>
      </c>
      <c r="B927" s="84">
        <v>1.0</v>
      </c>
      <c r="C927" s="186"/>
      <c r="D927" s="187"/>
      <c r="E927" s="188"/>
      <c r="F927" s="189"/>
      <c r="G927" s="190"/>
      <c r="H927" s="190"/>
      <c r="I927" s="84"/>
      <c r="J927" s="84"/>
      <c r="K927" s="84"/>
      <c r="L927" s="84"/>
      <c r="M927" s="84"/>
      <c r="N927" s="84"/>
      <c r="O927" s="84"/>
      <c r="P927" s="84"/>
      <c r="Q927" s="84"/>
      <c r="R927" s="84"/>
      <c r="S927" s="84"/>
      <c r="T927" s="84"/>
    </row>
    <row r="928" ht="15.75" customHeight="1">
      <c r="A928" s="84" t="s">
        <v>37371</v>
      </c>
      <c r="B928" s="84">
        <v>1.0</v>
      </c>
      <c r="C928" s="186"/>
      <c r="D928" s="187"/>
      <c r="E928" s="188"/>
      <c r="F928" s="189"/>
      <c r="G928" s="190"/>
      <c r="H928" s="190"/>
      <c r="I928" s="84"/>
      <c r="J928" s="84"/>
      <c r="K928" s="84"/>
      <c r="L928" s="84"/>
      <c r="M928" s="84"/>
      <c r="N928" s="84"/>
      <c r="O928" s="84"/>
      <c r="P928" s="84"/>
      <c r="Q928" s="84"/>
      <c r="R928" s="84"/>
      <c r="S928" s="84"/>
      <c r="T928" s="84"/>
    </row>
    <row r="929" ht="15.75" customHeight="1">
      <c r="A929" s="84" t="s">
        <v>37372</v>
      </c>
      <c r="B929" s="84">
        <v>1.0</v>
      </c>
      <c r="C929" s="186"/>
      <c r="D929" s="187"/>
      <c r="E929" s="188"/>
      <c r="F929" s="189"/>
      <c r="G929" s="190"/>
      <c r="H929" s="190"/>
      <c r="I929" s="84"/>
      <c r="J929" s="84"/>
      <c r="K929" s="84"/>
      <c r="L929" s="84"/>
      <c r="M929" s="84"/>
      <c r="N929" s="84"/>
      <c r="O929" s="84"/>
      <c r="P929" s="84"/>
      <c r="Q929" s="84"/>
      <c r="R929" s="84"/>
      <c r="S929" s="84"/>
      <c r="T929" s="84"/>
    </row>
    <row r="930" ht="15.75" customHeight="1">
      <c r="A930" s="84" t="s">
        <v>37373</v>
      </c>
      <c r="B930" s="84">
        <v>1.0</v>
      </c>
      <c r="C930" s="186"/>
      <c r="D930" s="187"/>
      <c r="E930" s="188"/>
      <c r="F930" s="189"/>
      <c r="G930" s="190"/>
      <c r="H930" s="190"/>
      <c r="I930" s="84"/>
      <c r="J930" s="84"/>
      <c r="K930" s="84"/>
      <c r="L930" s="84"/>
      <c r="M930" s="84"/>
      <c r="N930" s="84"/>
      <c r="O930" s="84"/>
      <c r="P930" s="84"/>
      <c r="Q930" s="84"/>
      <c r="R930" s="84"/>
      <c r="S930" s="84"/>
      <c r="T930" s="84"/>
    </row>
    <row r="931" ht="15.75" customHeight="1">
      <c r="A931" s="84" t="s">
        <v>37374</v>
      </c>
      <c r="B931" s="84">
        <v>1.0</v>
      </c>
      <c r="C931" s="186"/>
      <c r="D931" s="187"/>
      <c r="E931" s="188"/>
      <c r="F931" s="189"/>
      <c r="G931" s="190"/>
      <c r="H931" s="190"/>
      <c r="I931" s="84"/>
      <c r="J931" s="84"/>
      <c r="K931" s="84"/>
      <c r="L931" s="84"/>
      <c r="M931" s="84"/>
      <c r="N931" s="84"/>
      <c r="O931" s="84"/>
      <c r="P931" s="84"/>
      <c r="Q931" s="84"/>
      <c r="R931" s="84"/>
      <c r="S931" s="84"/>
      <c r="T931" s="84"/>
    </row>
    <row r="932" ht="15.75" customHeight="1">
      <c r="A932" s="84" t="s">
        <v>37375</v>
      </c>
      <c r="B932" s="84">
        <v>1.0</v>
      </c>
      <c r="C932" s="186"/>
      <c r="D932" s="187"/>
      <c r="E932" s="188"/>
      <c r="F932" s="189"/>
      <c r="G932" s="190"/>
      <c r="H932" s="190"/>
      <c r="I932" s="84"/>
      <c r="J932" s="84"/>
      <c r="K932" s="84"/>
      <c r="L932" s="84"/>
      <c r="M932" s="84"/>
      <c r="N932" s="84"/>
      <c r="O932" s="84"/>
      <c r="P932" s="84"/>
      <c r="Q932" s="84"/>
      <c r="R932" s="84"/>
      <c r="S932" s="84"/>
      <c r="T932" s="84"/>
    </row>
    <row r="933" ht="15.75" customHeight="1">
      <c r="A933" s="84" t="s">
        <v>37376</v>
      </c>
      <c r="B933" s="84">
        <v>1.0</v>
      </c>
      <c r="C933" s="186"/>
      <c r="D933" s="187"/>
      <c r="E933" s="188"/>
      <c r="F933" s="189"/>
      <c r="G933" s="190"/>
      <c r="H933" s="190"/>
      <c r="I933" s="84"/>
      <c r="J933" s="84"/>
      <c r="K933" s="84"/>
      <c r="L933" s="84"/>
      <c r="M933" s="84"/>
      <c r="N933" s="84"/>
      <c r="O933" s="84"/>
      <c r="P933" s="84"/>
      <c r="Q933" s="84"/>
      <c r="R933" s="84"/>
      <c r="S933" s="84"/>
      <c r="T933" s="84"/>
    </row>
    <row r="934" ht="15.75" customHeight="1">
      <c r="A934" s="84" t="s">
        <v>37377</v>
      </c>
      <c r="B934" s="84">
        <v>3.0</v>
      </c>
      <c r="C934" s="186" t="s">
        <v>18275</v>
      </c>
      <c r="D934" s="187" t="s">
        <v>37370</v>
      </c>
      <c r="E934" s="188"/>
      <c r="F934" s="189"/>
      <c r="G934" s="190"/>
      <c r="H934" s="190"/>
      <c r="I934" s="84"/>
      <c r="J934" s="84"/>
      <c r="K934" s="84"/>
      <c r="L934" s="84"/>
      <c r="M934" s="84"/>
      <c r="N934" s="84"/>
      <c r="O934" s="84"/>
      <c r="P934" s="84"/>
      <c r="Q934" s="84"/>
      <c r="R934" s="84"/>
      <c r="S934" s="84"/>
      <c r="T934" s="84"/>
    </row>
    <row r="935" ht="15.75" customHeight="1">
      <c r="A935" s="84" t="s">
        <v>37378</v>
      </c>
      <c r="B935" s="84">
        <v>1.0</v>
      </c>
      <c r="C935" s="186"/>
      <c r="D935" s="187"/>
      <c r="E935" s="188"/>
      <c r="F935" s="189"/>
      <c r="G935" s="190"/>
      <c r="H935" s="190"/>
      <c r="I935" s="84"/>
      <c r="J935" s="84"/>
      <c r="K935" s="84"/>
      <c r="L935" s="84"/>
      <c r="M935" s="84"/>
      <c r="N935" s="84"/>
      <c r="O935" s="84"/>
      <c r="P935" s="84"/>
      <c r="Q935" s="84"/>
      <c r="R935" s="84"/>
      <c r="S935" s="84"/>
      <c r="T935" s="84"/>
    </row>
    <row r="936" ht="15.75" customHeight="1">
      <c r="A936" s="84" t="s">
        <v>37379</v>
      </c>
      <c r="B936" s="84">
        <v>1.0</v>
      </c>
      <c r="C936" s="186"/>
      <c r="D936" s="187"/>
      <c r="E936" s="188"/>
      <c r="F936" s="189"/>
      <c r="G936" s="190"/>
      <c r="H936" s="190"/>
      <c r="I936" s="84"/>
      <c r="J936" s="84"/>
      <c r="K936" s="84"/>
      <c r="L936" s="84"/>
      <c r="M936" s="84"/>
      <c r="N936" s="84"/>
      <c r="O936" s="84"/>
      <c r="P936" s="84"/>
      <c r="Q936" s="84"/>
      <c r="R936" s="84"/>
      <c r="S936" s="84"/>
      <c r="T936" s="84"/>
    </row>
    <row r="937" ht="15.75" customHeight="1">
      <c r="A937" s="84" t="s">
        <v>37380</v>
      </c>
      <c r="B937" s="84">
        <v>1.0</v>
      </c>
      <c r="C937" s="186"/>
      <c r="D937" s="187"/>
      <c r="E937" s="188"/>
      <c r="F937" s="189"/>
      <c r="G937" s="190"/>
      <c r="H937" s="190"/>
      <c r="I937" s="84"/>
      <c r="J937" s="84"/>
      <c r="K937" s="84"/>
      <c r="L937" s="84"/>
      <c r="M937" s="84"/>
      <c r="N937" s="84"/>
      <c r="O937" s="84"/>
      <c r="P937" s="84"/>
      <c r="Q937" s="84"/>
      <c r="R937" s="84"/>
      <c r="S937" s="84"/>
      <c r="T937" s="84"/>
    </row>
    <row r="938" ht="15.75" customHeight="1">
      <c r="A938" s="84" t="s">
        <v>37381</v>
      </c>
      <c r="B938" s="84">
        <v>1.0</v>
      </c>
      <c r="C938" s="186"/>
      <c r="D938" s="187"/>
      <c r="E938" s="188"/>
      <c r="F938" s="189"/>
      <c r="G938" s="190"/>
      <c r="H938" s="190"/>
      <c r="I938" s="84"/>
      <c r="J938" s="84"/>
      <c r="K938" s="84"/>
      <c r="L938" s="84"/>
      <c r="M938" s="84"/>
      <c r="N938" s="84"/>
      <c r="O938" s="84"/>
      <c r="P938" s="84"/>
      <c r="Q938" s="84"/>
      <c r="R938" s="84"/>
      <c r="S938" s="84"/>
      <c r="T938" s="84"/>
    </row>
    <row r="939" ht="15.75" customHeight="1">
      <c r="A939" s="84" t="s">
        <v>37382</v>
      </c>
      <c r="B939" s="84">
        <v>1.0</v>
      </c>
      <c r="C939" s="186"/>
      <c r="D939" s="187"/>
      <c r="E939" s="188"/>
      <c r="F939" s="189"/>
      <c r="G939" s="190"/>
      <c r="H939" s="190"/>
      <c r="I939" s="84"/>
      <c r="J939" s="84"/>
      <c r="K939" s="84"/>
      <c r="L939" s="84"/>
      <c r="M939" s="84"/>
      <c r="N939" s="84"/>
      <c r="O939" s="84"/>
      <c r="P939" s="84"/>
      <c r="Q939" s="84"/>
      <c r="R939" s="84"/>
      <c r="S939" s="84"/>
      <c r="T939" s="84"/>
    </row>
    <row r="940" ht="15.75" customHeight="1">
      <c r="A940" s="84" t="s">
        <v>37383</v>
      </c>
      <c r="B940" s="84">
        <v>1.0</v>
      </c>
      <c r="C940" s="186"/>
      <c r="D940" s="187"/>
      <c r="E940" s="188"/>
      <c r="F940" s="189"/>
      <c r="G940" s="190"/>
      <c r="H940" s="190"/>
      <c r="I940" s="84"/>
      <c r="J940" s="84"/>
      <c r="K940" s="84"/>
      <c r="L940" s="84"/>
      <c r="M940" s="84"/>
      <c r="N940" s="84"/>
      <c r="O940" s="84"/>
      <c r="P940" s="84"/>
      <c r="Q940" s="84"/>
      <c r="R940" s="84"/>
      <c r="S940" s="84"/>
      <c r="T940" s="84"/>
    </row>
    <row r="941" ht="15.75" customHeight="1">
      <c r="A941" s="84" t="s">
        <v>37384</v>
      </c>
      <c r="B941" s="84">
        <v>1.0</v>
      </c>
      <c r="C941" s="186"/>
      <c r="D941" s="187"/>
      <c r="E941" s="188"/>
      <c r="F941" s="189"/>
      <c r="G941" s="190"/>
      <c r="H941" s="190"/>
      <c r="I941" s="84"/>
      <c r="J941" s="84"/>
      <c r="K941" s="84"/>
      <c r="L941" s="84"/>
      <c r="M941" s="84"/>
      <c r="N941" s="84"/>
      <c r="O941" s="84"/>
      <c r="P941" s="84"/>
      <c r="Q941" s="84"/>
      <c r="R941" s="84"/>
      <c r="S941" s="84"/>
      <c r="T941" s="84"/>
    </row>
    <row r="942" ht="15.75" customHeight="1">
      <c r="A942" s="84" t="s">
        <v>37385</v>
      </c>
      <c r="B942" s="84">
        <v>1.0</v>
      </c>
      <c r="C942" s="186"/>
      <c r="D942" s="187"/>
      <c r="E942" s="188"/>
      <c r="F942" s="189"/>
      <c r="G942" s="190"/>
      <c r="H942" s="190"/>
      <c r="I942" s="84"/>
      <c r="J942" s="84"/>
      <c r="K942" s="84"/>
      <c r="L942" s="84"/>
      <c r="M942" s="84"/>
      <c r="N942" s="84"/>
      <c r="O942" s="84"/>
      <c r="P942" s="84"/>
      <c r="Q942" s="84"/>
      <c r="R942" s="84"/>
      <c r="S942" s="84"/>
      <c r="T942" s="84"/>
    </row>
    <row r="943" ht="15.75" customHeight="1">
      <c r="A943" s="84" t="s">
        <v>37386</v>
      </c>
      <c r="B943" s="84">
        <v>1.0</v>
      </c>
      <c r="C943" s="186"/>
      <c r="D943" s="187"/>
      <c r="E943" s="188"/>
      <c r="F943" s="189"/>
      <c r="G943" s="190"/>
      <c r="H943" s="190"/>
      <c r="I943" s="84"/>
      <c r="J943" s="84"/>
      <c r="K943" s="84"/>
      <c r="L943" s="84"/>
      <c r="M943" s="84"/>
      <c r="N943" s="84"/>
      <c r="O943" s="84"/>
      <c r="P943" s="84"/>
      <c r="Q943" s="84"/>
      <c r="R943" s="84"/>
      <c r="S943" s="84"/>
      <c r="T943" s="84"/>
    </row>
    <row r="944" ht="15.75" customHeight="1">
      <c r="A944" s="84" t="s">
        <v>37387</v>
      </c>
      <c r="B944" s="84">
        <v>1.0</v>
      </c>
      <c r="C944" s="186"/>
      <c r="D944" s="187"/>
      <c r="E944" s="188"/>
      <c r="F944" s="189"/>
      <c r="G944" s="190"/>
      <c r="H944" s="190"/>
      <c r="I944" s="84"/>
      <c r="J944" s="84"/>
      <c r="K944" s="84"/>
      <c r="L944" s="84"/>
      <c r="M944" s="84"/>
      <c r="N944" s="84"/>
      <c r="O944" s="84"/>
      <c r="P944" s="84"/>
      <c r="Q944" s="84"/>
      <c r="R944" s="84"/>
      <c r="S944" s="84"/>
      <c r="T944" s="84"/>
    </row>
    <row r="945" ht="15.75" customHeight="1">
      <c r="A945" s="84" t="s">
        <v>37388</v>
      </c>
      <c r="B945" s="84">
        <v>1.0</v>
      </c>
      <c r="C945" s="186"/>
      <c r="D945" s="187"/>
      <c r="E945" s="188"/>
      <c r="F945" s="189"/>
      <c r="G945" s="190"/>
      <c r="H945" s="190"/>
      <c r="I945" s="84"/>
      <c r="J945" s="84"/>
      <c r="K945" s="84"/>
      <c r="L945" s="84"/>
      <c r="M945" s="84"/>
      <c r="N945" s="84"/>
      <c r="O945" s="84"/>
      <c r="P945" s="84"/>
      <c r="Q945" s="84"/>
      <c r="R945" s="84"/>
      <c r="S945" s="84"/>
      <c r="T945" s="84"/>
    </row>
    <row r="946" ht="15.75" customHeight="1">
      <c r="A946" s="84" t="s">
        <v>37389</v>
      </c>
      <c r="B946" s="84">
        <v>1.0</v>
      </c>
      <c r="C946" s="186"/>
      <c r="D946" s="187"/>
      <c r="E946" s="188"/>
      <c r="F946" s="189"/>
      <c r="G946" s="190"/>
      <c r="H946" s="190"/>
      <c r="I946" s="84"/>
      <c r="J946" s="84"/>
      <c r="K946" s="84"/>
      <c r="L946" s="84"/>
      <c r="M946" s="84"/>
      <c r="N946" s="84"/>
      <c r="O946" s="84"/>
      <c r="P946" s="84"/>
      <c r="Q946" s="84"/>
      <c r="R946" s="84"/>
      <c r="S946" s="84"/>
      <c r="T946" s="84"/>
    </row>
    <row r="947" ht="15.75" customHeight="1">
      <c r="A947" s="84" t="s">
        <v>37390</v>
      </c>
      <c r="B947" s="84">
        <v>1.0</v>
      </c>
      <c r="C947" s="186"/>
      <c r="D947" s="187"/>
      <c r="E947" s="188"/>
      <c r="F947" s="189"/>
      <c r="G947" s="190"/>
      <c r="H947" s="190"/>
      <c r="I947" s="84"/>
      <c r="J947" s="84"/>
      <c r="K947" s="84"/>
      <c r="L947" s="84"/>
      <c r="M947" s="84"/>
      <c r="N947" s="84"/>
      <c r="O947" s="84"/>
      <c r="P947" s="84"/>
      <c r="Q947" s="84"/>
      <c r="R947" s="84"/>
      <c r="S947" s="84"/>
      <c r="T947" s="84"/>
    </row>
    <row r="948" ht="15.75" customHeight="1">
      <c r="A948" s="84" t="s">
        <v>37391</v>
      </c>
      <c r="B948" s="84">
        <v>4.0</v>
      </c>
      <c r="C948" s="186"/>
      <c r="D948" s="187"/>
      <c r="E948" s="188"/>
      <c r="F948" s="189"/>
      <c r="G948" s="190"/>
      <c r="H948" s="190"/>
      <c r="I948" s="84"/>
      <c r="J948" s="84"/>
      <c r="K948" s="84"/>
      <c r="L948" s="84"/>
      <c r="M948" s="84"/>
      <c r="N948" s="84"/>
      <c r="O948" s="84"/>
      <c r="P948" s="84"/>
      <c r="Q948" s="84"/>
      <c r="R948" s="84"/>
      <c r="S948" s="84"/>
      <c r="T948" s="84"/>
    </row>
    <row r="949" ht="15.75" customHeight="1">
      <c r="A949" s="84" t="s">
        <v>37392</v>
      </c>
      <c r="B949" s="84">
        <v>1.0</v>
      </c>
      <c r="C949" s="186"/>
      <c r="D949" s="187"/>
      <c r="E949" s="188"/>
      <c r="F949" s="189"/>
      <c r="G949" s="190"/>
      <c r="H949" s="190"/>
      <c r="I949" s="84"/>
      <c r="J949" s="84"/>
      <c r="K949" s="84"/>
      <c r="L949" s="84"/>
      <c r="M949" s="84"/>
      <c r="N949" s="84"/>
      <c r="O949" s="84"/>
      <c r="P949" s="84"/>
      <c r="Q949" s="84"/>
      <c r="R949" s="84"/>
      <c r="S949" s="84"/>
      <c r="T949" s="84"/>
    </row>
    <row r="950" ht="15.75" customHeight="1">
      <c r="A950" s="84" t="s">
        <v>37393</v>
      </c>
      <c r="B950" s="84">
        <v>1.0</v>
      </c>
      <c r="C950" s="186"/>
      <c r="D950" s="187"/>
      <c r="E950" s="188"/>
      <c r="F950" s="189"/>
      <c r="G950" s="190"/>
      <c r="H950" s="190"/>
      <c r="I950" s="84"/>
      <c r="J950" s="84"/>
      <c r="K950" s="84"/>
      <c r="L950" s="84"/>
      <c r="M950" s="84"/>
      <c r="N950" s="84"/>
      <c r="O950" s="84"/>
      <c r="P950" s="84"/>
      <c r="Q950" s="84"/>
      <c r="R950" s="84"/>
      <c r="S950" s="84"/>
      <c r="T950" s="84"/>
    </row>
    <row r="951" ht="15.75" customHeight="1">
      <c r="A951" s="84" t="s">
        <v>37394</v>
      </c>
      <c r="B951" s="84">
        <v>1.0</v>
      </c>
      <c r="C951" s="186"/>
      <c r="D951" s="187"/>
      <c r="E951" s="188"/>
      <c r="F951" s="189"/>
      <c r="G951" s="190"/>
      <c r="H951" s="190"/>
      <c r="I951" s="84"/>
      <c r="J951" s="84"/>
      <c r="K951" s="84"/>
      <c r="L951" s="84"/>
      <c r="M951" s="84"/>
      <c r="N951" s="84"/>
      <c r="O951" s="84"/>
      <c r="P951" s="84"/>
      <c r="Q951" s="84"/>
      <c r="R951" s="84"/>
      <c r="S951" s="84"/>
      <c r="T951" s="84"/>
    </row>
    <row r="952" ht="15.75" customHeight="1">
      <c r="A952" s="84" t="s">
        <v>37395</v>
      </c>
      <c r="B952" s="84">
        <v>2.0</v>
      </c>
      <c r="C952" s="186"/>
      <c r="D952" s="187"/>
      <c r="E952" s="188"/>
      <c r="F952" s="189"/>
      <c r="G952" s="190"/>
      <c r="H952" s="190"/>
      <c r="I952" s="84"/>
      <c r="J952" s="84"/>
      <c r="K952" s="84"/>
      <c r="L952" s="84"/>
      <c r="M952" s="84"/>
      <c r="N952" s="84"/>
      <c r="O952" s="84"/>
      <c r="P952" s="84"/>
      <c r="Q952" s="84"/>
      <c r="R952" s="84"/>
      <c r="S952" s="84"/>
      <c r="T952" s="84"/>
    </row>
    <row r="953" ht="15.75" customHeight="1">
      <c r="A953" s="84" t="s">
        <v>37396</v>
      </c>
      <c r="B953" s="84">
        <v>2.0</v>
      </c>
      <c r="C953" s="186"/>
      <c r="D953" s="187"/>
      <c r="E953" s="188"/>
      <c r="F953" s="189"/>
      <c r="G953" s="190"/>
      <c r="H953" s="190"/>
      <c r="I953" s="84"/>
      <c r="J953" s="84"/>
      <c r="K953" s="84"/>
      <c r="L953" s="84"/>
      <c r="M953" s="84"/>
      <c r="N953" s="84"/>
      <c r="O953" s="84"/>
      <c r="P953" s="84"/>
      <c r="Q953" s="84"/>
      <c r="R953" s="84"/>
      <c r="S953" s="84"/>
      <c r="T953" s="84"/>
    </row>
    <row r="954" ht="15.75" customHeight="1">
      <c r="A954" s="84" t="s">
        <v>37397</v>
      </c>
      <c r="B954" s="84">
        <v>1.0</v>
      </c>
      <c r="C954" s="186"/>
      <c r="D954" s="187"/>
      <c r="E954" s="188"/>
      <c r="F954" s="189"/>
      <c r="G954" s="190"/>
      <c r="H954" s="190"/>
      <c r="I954" s="84"/>
      <c r="J954" s="84"/>
      <c r="K954" s="84"/>
      <c r="L954" s="84"/>
      <c r="M954" s="84"/>
      <c r="N954" s="84"/>
      <c r="O954" s="84"/>
      <c r="P954" s="84"/>
      <c r="Q954" s="84"/>
      <c r="R954" s="84"/>
      <c r="S954" s="84"/>
      <c r="T954" s="84"/>
    </row>
    <row r="955" ht="15.75" customHeight="1">
      <c r="A955" s="84" t="s">
        <v>37398</v>
      </c>
      <c r="B955" s="84">
        <v>1.0</v>
      </c>
      <c r="C955" s="186"/>
      <c r="D955" s="187"/>
      <c r="E955" s="188"/>
      <c r="F955" s="189"/>
      <c r="G955" s="190"/>
      <c r="H955" s="190"/>
      <c r="I955" s="84"/>
      <c r="J955" s="84"/>
      <c r="K955" s="84"/>
      <c r="L955" s="84"/>
      <c r="M955" s="84"/>
      <c r="N955" s="84"/>
      <c r="O955" s="84"/>
      <c r="P955" s="84"/>
      <c r="Q955" s="84"/>
      <c r="R955" s="84"/>
      <c r="S955" s="84"/>
      <c r="T955" s="84"/>
    </row>
    <row r="956" ht="15.75" customHeight="1">
      <c r="A956" s="84" t="s">
        <v>37399</v>
      </c>
      <c r="B956" s="84">
        <v>1.0</v>
      </c>
      <c r="C956" s="186"/>
      <c r="D956" s="187"/>
      <c r="E956" s="188"/>
      <c r="F956" s="189"/>
      <c r="G956" s="190"/>
      <c r="H956" s="190"/>
      <c r="I956" s="84"/>
      <c r="J956" s="84"/>
      <c r="K956" s="84"/>
      <c r="L956" s="84"/>
      <c r="M956" s="84"/>
      <c r="N956" s="84"/>
      <c r="O956" s="84"/>
      <c r="P956" s="84"/>
      <c r="Q956" s="84"/>
      <c r="R956" s="84"/>
      <c r="S956" s="84"/>
      <c r="T956" s="84"/>
    </row>
    <row r="957" ht="15.75" customHeight="1">
      <c r="A957" s="84" t="s">
        <v>37400</v>
      </c>
      <c r="B957" s="84">
        <v>1.0</v>
      </c>
      <c r="C957" s="186"/>
      <c r="D957" s="187"/>
      <c r="E957" s="188"/>
      <c r="F957" s="189"/>
      <c r="G957" s="190"/>
      <c r="H957" s="190"/>
      <c r="I957" s="84"/>
      <c r="J957" s="84"/>
      <c r="K957" s="84"/>
      <c r="L957" s="84"/>
      <c r="M957" s="84"/>
      <c r="N957" s="84"/>
      <c r="O957" s="84"/>
      <c r="P957" s="84"/>
      <c r="Q957" s="84"/>
      <c r="R957" s="84"/>
      <c r="S957" s="84"/>
      <c r="T957" s="84"/>
    </row>
    <row r="958" ht="15.75" customHeight="1">
      <c r="A958" s="84" t="s">
        <v>37401</v>
      </c>
      <c r="B958" s="84">
        <v>1.0</v>
      </c>
      <c r="C958" s="186"/>
      <c r="D958" s="187"/>
      <c r="E958" s="188"/>
      <c r="F958" s="189"/>
      <c r="G958" s="190"/>
      <c r="H958" s="190"/>
      <c r="I958" s="84"/>
      <c r="J958" s="84"/>
      <c r="K958" s="84"/>
      <c r="L958" s="84"/>
      <c r="M958" s="84"/>
      <c r="N958" s="84"/>
      <c r="O958" s="84"/>
      <c r="P958" s="84"/>
      <c r="Q958" s="84"/>
      <c r="R958" s="84"/>
      <c r="S958" s="84"/>
      <c r="T958" s="84"/>
    </row>
    <row r="959" ht="15.75" customHeight="1">
      <c r="A959" s="84" t="s">
        <v>37405</v>
      </c>
      <c r="B959" s="84">
        <v>1.0</v>
      </c>
      <c r="C959" s="186"/>
      <c r="D959" s="187"/>
      <c r="E959" s="188"/>
      <c r="F959" s="189"/>
      <c r="G959" s="190"/>
      <c r="H959" s="190"/>
      <c r="I959" s="84"/>
      <c r="J959" s="84"/>
      <c r="K959" s="84"/>
      <c r="L959" s="84"/>
      <c r="M959" s="84"/>
      <c r="N959" s="84"/>
      <c r="O959" s="84"/>
      <c r="P959" s="84"/>
      <c r="Q959" s="84"/>
      <c r="R959" s="84"/>
      <c r="S959" s="84"/>
      <c r="T959" s="84"/>
    </row>
    <row r="960" ht="15.75" customHeight="1">
      <c r="A960" s="84" t="s">
        <v>37407</v>
      </c>
      <c r="B960" s="84">
        <v>1.0</v>
      </c>
      <c r="C960" s="186"/>
      <c r="D960" s="187"/>
      <c r="E960" s="188"/>
      <c r="F960" s="189"/>
      <c r="G960" s="190"/>
      <c r="H960" s="190"/>
      <c r="I960" s="84"/>
      <c r="J960" s="84"/>
      <c r="K960" s="84"/>
      <c r="L960" s="84"/>
      <c r="M960" s="84"/>
      <c r="N960" s="84"/>
      <c r="O960" s="84"/>
      <c r="P960" s="84"/>
      <c r="Q960" s="84"/>
      <c r="R960" s="84"/>
      <c r="S960" s="84"/>
      <c r="T960" s="84"/>
    </row>
    <row r="961" ht="15.75" customHeight="1">
      <c r="A961" s="84" t="s">
        <v>37408</v>
      </c>
      <c r="B961" s="84">
        <v>1.0</v>
      </c>
      <c r="C961" s="186"/>
      <c r="D961" s="187"/>
      <c r="E961" s="188"/>
      <c r="F961" s="189"/>
      <c r="G961" s="190"/>
      <c r="H961" s="190"/>
      <c r="I961" s="84"/>
      <c r="J961" s="84"/>
      <c r="K961" s="84"/>
      <c r="L961" s="84"/>
      <c r="M961" s="84"/>
      <c r="N961" s="84"/>
      <c r="O961" s="84"/>
      <c r="P961" s="84"/>
      <c r="Q961" s="84"/>
      <c r="R961" s="84"/>
      <c r="S961" s="84"/>
      <c r="T961" s="84"/>
    </row>
    <row r="962" ht="15.75" customHeight="1">
      <c r="A962" s="84" t="s">
        <v>37409</v>
      </c>
      <c r="B962" s="84">
        <v>1.0</v>
      </c>
      <c r="C962" s="186"/>
      <c r="D962" s="187"/>
      <c r="E962" s="188"/>
      <c r="F962" s="189"/>
      <c r="G962" s="190"/>
      <c r="H962" s="190"/>
      <c r="I962" s="84"/>
      <c r="J962" s="84"/>
      <c r="K962" s="84"/>
      <c r="L962" s="84"/>
      <c r="M962" s="84"/>
      <c r="N962" s="84"/>
      <c r="O962" s="84"/>
      <c r="P962" s="84"/>
      <c r="Q962" s="84"/>
      <c r="R962" s="84"/>
      <c r="S962" s="84"/>
      <c r="T962" s="84"/>
    </row>
    <row r="963" ht="15.75" customHeight="1">
      <c r="A963" s="84" t="s">
        <v>37411</v>
      </c>
      <c r="B963" s="84">
        <v>1.0</v>
      </c>
      <c r="C963" s="186"/>
      <c r="D963" s="187"/>
      <c r="E963" s="188"/>
      <c r="F963" s="189"/>
      <c r="G963" s="190"/>
      <c r="H963" s="190"/>
      <c r="I963" s="84"/>
      <c r="J963" s="84"/>
      <c r="K963" s="84"/>
      <c r="L963" s="84"/>
      <c r="M963" s="84"/>
      <c r="N963" s="84"/>
      <c r="O963" s="84"/>
      <c r="P963" s="84"/>
      <c r="Q963" s="84"/>
      <c r="R963" s="84"/>
      <c r="S963" s="84"/>
      <c r="T963" s="84"/>
    </row>
    <row r="964" ht="15.75" customHeight="1">
      <c r="A964" s="84" t="s">
        <v>37413</v>
      </c>
      <c r="B964" s="84">
        <v>1.0</v>
      </c>
      <c r="C964" s="186" t="s">
        <v>18275</v>
      </c>
      <c r="D964" s="187" t="s">
        <v>37415</v>
      </c>
      <c r="E964" s="188"/>
      <c r="F964" s="189"/>
      <c r="G964" s="190"/>
      <c r="H964" s="190"/>
      <c r="I964" s="84"/>
      <c r="J964" s="84"/>
      <c r="K964" s="84"/>
      <c r="L964" s="84"/>
      <c r="M964" s="84"/>
      <c r="N964" s="84"/>
      <c r="O964" s="84"/>
      <c r="P964" s="84"/>
      <c r="Q964" s="84"/>
      <c r="R964" s="84"/>
      <c r="S964" s="84"/>
      <c r="T964" s="84"/>
    </row>
    <row r="965" ht="15.75" customHeight="1">
      <c r="A965" s="84" t="s">
        <v>37415</v>
      </c>
      <c r="B965" s="84">
        <v>10.0</v>
      </c>
      <c r="C965" s="186"/>
      <c r="D965" s="187"/>
      <c r="E965" s="188"/>
      <c r="F965" s="189"/>
      <c r="G965" s="190"/>
      <c r="H965" s="190"/>
      <c r="I965" s="84"/>
      <c r="J965" s="84"/>
      <c r="K965" s="84"/>
      <c r="L965" s="84"/>
      <c r="M965" s="84"/>
      <c r="N965" s="84"/>
      <c r="O965" s="84"/>
      <c r="P965" s="84"/>
      <c r="Q965" s="84"/>
      <c r="R965" s="84"/>
      <c r="S965" s="84"/>
      <c r="T965" s="84"/>
    </row>
    <row r="966" ht="15.75" customHeight="1">
      <c r="A966" s="84" t="s">
        <v>37416</v>
      </c>
      <c r="B966" s="84">
        <v>1.0</v>
      </c>
      <c r="C966" s="186" t="s">
        <v>18275</v>
      </c>
      <c r="D966" s="187" t="s">
        <v>37415</v>
      </c>
      <c r="E966" s="188"/>
      <c r="F966" s="189"/>
      <c r="G966" s="190"/>
      <c r="H966" s="190"/>
      <c r="I966" s="84"/>
      <c r="J966" s="84"/>
      <c r="K966" s="84"/>
      <c r="L966" s="84"/>
      <c r="M966" s="84"/>
      <c r="N966" s="84"/>
      <c r="O966" s="84"/>
      <c r="P966" s="84"/>
      <c r="Q966" s="84"/>
      <c r="R966" s="84"/>
      <c r="S966" s="84"/>
      <c r="T966" s="84"/>
    </row>
    <row r="967" ht="15.75" customHeight="1">
      <c r="A967" s="84" t="s">
        <v>37417</v>
      </c>
      <c r="B967" s="84">
        <v>3.0</v>
      </c>
      <c r="C967" s="186"/>
      <c r="D967" s="187"/>
      <c r="E967" s="188"/>
      <c r="F967" s="189"/>
      <c r="G967" s="190"/>
      <c r="H967" s="190"/>
      <c r="I967" s="84"/>
      <c r="J967" s="84"/>
      <c r="K967" s="84"/>
      <c r="L967" s="84"/>
      <c r="M967" s="84"/>
      <c r="N967" s="84"/>
      <c r="O967" s="84"/>
      <c r="P967" s="84"/>
      <c r="Q967" s="84"/>
      <c r="R967" s="84"/>
      <c r="S967" s="84"/>
      <c r="T967" s="84"/>
    </row>
    <row r="968" ht="15.75" customHeight="1">
      <c r="A968" s="84" t="s">
        <v>37418</v>
      </c>
      <c r="B968" s="84">
        <v>1.0</v>
      </c>
      <c r="C968" s="186"/>
      <c r="D968" s="187"/>
      <c r="E968" s="188"/>
      <c r="F968" s="189"/>
      <c r="G968" s="190"/>
      <c r="H968" s="190"/>
      <c r="I968" s="84"/>
      <c r="J968" s="84"/>
      <c r="K968" s="84"/>
      <c r="L968" s="84"/>
      <c r="M968" s="84"/>
      <c r="N968" s="84"/>
      <c r="O968" s="84"/>
      <c r="P968" s="84"/>
      <c r="Q968" s="84"/>
      <c r="R968" s="84"/>
      <c r="S968" s="84"/>
      <c r="T968" s="84"/>
    </row>
    <row r="969" ht="15.75" customHeight="1">
      <c r="A969" s="84" t="s">
        <v>37419</v>
      </c>
      <c r="B969" s="84">
        <v>1.0</v>
      </c>
      <c r="C969" s="186"/>
      <c r="D969" s="187"/>
      <c r="E969" s="188"/>
      <c r="F969" s="189"/>
      <c r="G969" s="190"/>
      <c r="H969" s="190"/>
      <c r="I969" s="84"/>
      <c r="J969" s="84"/>
      <c r="K969" s="84"/>
      <c r="L969" s="84"/>
      <c r="M969" s="84"/>
      <c r="N969" s="84"/>
      <c r="O969" s="84"/>
      <c r="P969" s="84"/>
      <c r="Q969" s="84"/>
      <c r="R969" s="84"/>
      <c r="S969" s="84"/>
      <c r="T969" s="84"/>
    </row>
    <row r="970" ht="15.75" customHeight="1">
      <c r="A970" s="84" t="s">
        <v>37420</v>
      </c>
      <c r="B970" s="84">
        <v>1.0</v>
      </c>
      <c r="C970" s="186"/>
      <c r="D970" s="187"/>
      <c r="E970" s="188"/>
      <c r="F970" s="189"/>
      <c r="G970" s="190"/>
      <c r="H970" s="190"/>
      <c r="I970" s="84"/>
      <c r="J970" s="84"/>
      <c r="K970" s="84"/>
      <c r="L970" s="84"/>
      <c r="M970" s="84"/>
      <c r="N970" s="84"/>
      <c r="O970" s="84"/>
      <c r="P970" s="84"/>
      <c r="Q970" s="84"/>
      <c r="R970" s="84"/>
      <c r="S970" s="84"/>
      <c r="T970" s="84"/>
    </row>
    <row r="971" ht="15.75" customHeight="1">
      <c r="A971" s="84" t="s">
        <v>37421</v>
      </c>
      <c r="B971" s="84">
        <v>1.0</v>
      </c>
      <c r="C971" s="186"/>
      <c r="D971" s="187"/>
      <c r="E971" s="188"/>
      <c r="F971" s="189"/>
      <c r="G971" s="190"/>
      <c r="H971" s="190"/>
      <c r="I971" s="84"/>
      <c r="J971" s="84"/>
      <c r="K971" s="84"/>
      <c r="L971" s="84"/>
      <c r="M971" s="84"/>
      <c r="N971" s="84"/>
      <c r="O971" s="84"/>
      <c r="P971" s="84"/>
      <c r="Q971" s="84"/>
      <c r="R971" s="84"/>
      <c r="S971" s="84"/>
      <c r="T971" s="84"/>
    </row>
    <row r="972" ht="15.75" customHeight="1">
      <c r="A972" s="84" t="s">
        <v>37423</v>
      </c>
      <c r="B972" s="84">
        <v>1.0</v>
      </c>
      <c r="C972" s="186"/>
      <c r="D972" s="187"/>
      <c r="E972" s="188"/>
      <c r="F972" s="189"/>
      <c r="G972" s="190"/>
      <c r="H972" s="190"/>
      <c r="I972" s="84"/>
      <c r="J972" s="84"/>
      <c r="K972" s="84"/>
      <c r="L972" s="84"/>
      <c r="M972" s="84"/>
      <c r="N972" s="84"/>
      <c r="O972" s="84"/>
      <c r="P972" s="84"/>
      <c r="Q972" s="84"/>
      <c r="R972" s="84"/>
      <c r="S972" s="84"/>
      <c r="T972" s="84"/>
    </row>
    <row r="973" ht="15.75" customHeight="1">
      <c r="A973" s="84" t="s">
        <v>37424</v>
      </c>
      <c r="B973" s="84">
        <v>1.0</v>
      </c>
      <c r="C973" s="186"/>
      <c r="D973" s="187"/>
      <c r="E973" s="188"/>
      <c r="F973" s="189"/>
      <c r="G973" s="190"/>
      <c r="H973" s="190"/>
      <c r="I973" s="84"/>
      <c r="J973" s="84"/>
      <c r="K973" s="84"/>
      <c r="L973" s="84"/>
      <c r="M973" s="84"/>
      <c r="N973" s="84"/>
      <c r="O973" s="84"/>
      <c r="P973" s="84"/>
      <c r="Q973" s="84"/>
      <c r="R973" s="84"/>
      <c r="S973" s="84"/>
      <c r="T973" s="84"/>
    </row>
    <row r="974" ht="15.75" customHeight="1">
      <c r="A974" s="84" t="s">
        <v>37425</v>
      </c>
      <c r="B974" s="84">
        <v>1.0</v>
      </c>
      <c r="C974" s="186"/>
      <c r="D974" s="187"/>
      <c r="E974" s="188"/>
      <c r="F974" s="189"/>
      <c r="G974" s="190"/>
      <c r="H974" s="190"/>
      <c r="I974" s="84"/>
      <c r="J974" s="84"/>
      <c r="K974" s="84"/>
      <c r="L974" s="84"/>
      <c r="M974" s="84"/>
      <c r="N974" s="84"/>
      <c r="O974" s="84"/>
      <c r="P974" s="84"/>
      <c r="Q974" s="84"/>
      <c r="R974" s="84"/>
      <c r="S974" s="84"/>
      <c r="T974" s="84"/>
    </row>
    <row r="975" ht="15.75" customHeight="1">
      <c r="A975" s="84" t="s">
        <v>37426</v>
      </c>
      <c r="B975" s="84">
        <v>1.0</v>
      </c>
      <c r="C975" s="186"/>
      <c r="D975" s="187"/>
      <c r="E975" s="188"/>
      <c r="F975" s="189"/>
      <c r="G975" s="190"/>
      <c r="H975" s="190"/>
      <c r="I975" s="84"/>
      <c r="J975" s="84"/>
      <c r="K975" s="84"/>
      <c r="L975" s="84"/>
      <c r="M975" s="84"/>
      <c r="N975" s="84"/>
      <c r="O975" s="84"/>
      <c r="P975" s="84"/>
      <c r="Q975" s="84"/>
      <c r="R975" s="84"/>
      <c r="S975" s="84"/>
      <c r="T975" s="84"/>
    </row>
    <row r="976" ht="15.75" customHeight="1">
      <c r="A976" s="84" t="s">
        <v>37427</v>
      </c>
      <c r="B976" s="84">
        <v>1.0</v>
      </c>
      <c r="C976" s="186"/>
      <c r="D976" s="187"/>
      <c r="E976" s="188"/>
      <c r="F976" s="189"/>
      <c r="G976" s="190"/>
      <c r="H976" s="190"/>
      <c r="I976" s="84"/>
      <c r="J976" s="84"/>
      <c r="K976" s="84"/>
      <c r="L976" s="84"/>
      <c r="M976" s="84"/>
      <c r="N976" s="84"/>
      <c r="O976" s="84"/>
      <c r="P976" s="84"/>
      <c r="Q976" s="84"/>
      <c r="R976" s="84"/>
      <c r="S976" s="84"/>
      <c r="T976" s="84"/>
    </row>
    <row r="977" ht="15.75" customHeight="1">
      <c r="A977" s="84" t="s">
        <v>37428</v>
      </c>
      <c r="B977" s="84">
        <v>1.0</v>
      </c>
      <c r="C977" s="186"/>
      <c r="D977" s="187"/>
      <c r="E977" s="188"/>
      <c r="F977" s="189"/>
      <c r="G977" s="190"/>
      <c r="H977" s="190"/>
      <c r="I977" s="84"/>
      <c r="J977" s="84"/>
      <c r="K977" s="84"/>
      <c r="L977" s="84"/>
      <c r="M977" s="84"/>
      <c r="N977" s="84"/>
      <c r="O977" s="84"/>
      <c r="P977" s="84"/>
      <c r="Q977" s="84"/>
      <c r="R977" s="84"/>
      <c r="S977" s="84"/>
      <c r="T977" s="84"/>
    </row>
    <row r="978" ht="15.75" customHeight="1">
      <c r="A978" s="84" t="s">
        <v>37429</v>
      </c>
      <c r="B978" s="84">
        <v>1.0</v>
      </c>
      <c r="C978" s="186"/>
      <c r="D978" s="187"/>
      <c r="E978" s="188"/>
      <c r="F978" s="189"/>
      <c r="G978" s="190"/>
      <c r="H978" s="190"/>
      <c r="I978" s="84"/>
      <c r="J978" s="84"/>
      <c r="K978" s="84"/>
      <c r="L978" s="84"/>
      <c r="M978" s="84"/>
      <c r="N978" s="84"/>
      <c r="O978" s="84"/>
      <c r="P978" s="84"/>
      <c r="Q978" s="84"/>
      <c r="R978" s="84"/>
      <c r="S978" s="84"/>
      <c r="T978" s="84"/>
    </row>
    <row r="979" ht="15.75" customHeight="1">
      <c r="A979" s="84" t="s">
        <v>37430</v>
      </c>
      <c r="B979" s="84">
        <v>1.0</v>
      </c>
      <c r="C979" s="186"/>
      <c r="D979" s="187"/>
      <c r="E979" s="188"/>
      <c r="F979" s="189"/>
      <c r="G979" s="190"/>
      <c r="H979" s="190"/>
      <c r="I979" s="84"/>
      <c r="J979" s="84"/>
      <c r="K979" s="84"/>
      <c r="L979" s="84"/>
      <c r="M979" s="84"/>
      <c r="N979" s="84"/>
      <c r="O979" s="84"/>
      <c r="P979" s="84"/>
      <c r="Q979" s="84"/>
      <c r="R979" s="84"/>
      <c r="S979" s="84"/>
      <c r="T979" s="84"/>
    </row>
    <row r="980" ht="15.75" customHeight="1">
      <c r="A980" s="84" t="s">
        <v>37432</v>
      </c>
      <c r="B980" s="84">
        <v>1.0</v>
      </c>
      <c r="C980" s="186"/>
      <c r="D980" s="187"/>
      <c r="E980" s="188"/>
      <c r="F980" s="189"/>
      <c r="G980" s="190"/>
      <c r="H980" s="190"/>
      <c r="I980" s="84"/>
      <c r="J980" s="84"/>
      <c r="K980" s="84"/>
      <c r="L980" s="84"/>
      <c r="M980" s="84"/>
      <c r="N980" s="84"/>
      <c r="O980" s="84"/>
      <c r="P980" s="84"/>
      <c r="Q980" s="84"/>
      <c r="R980" s="84"/>
      <c r="S980" s="84"/>
      <c r="T980" s="84"/>
    </row>
    <row r="981" ht="15.75" customHeight="1">
      <c r="A981" s="84" t="s">
        <v>37433</v>
      </c>
      <c r="B981" s="84">
        <v>2.0</v>
      </c>
      <c r="C981" s="186"/>
      <c r="D981" s="187"/>
      <c r="E981" s="188"/>
      <c r="F981" s="189"/>
      <c r="G981" s="190"/>
      <c r="H981" s="190"/>
      <c r="I981" s="84"/>
      <c r="J981" s="84"/>
      <c r="K981" s="84"/>
      <c r="L981" s="84"/>
      <c r="M981" s="84"/>
      <c r="N981" s="84"/>
      <c r="O981" s="84"/>
      <c r="P981" s="84"/>
      <c r="Q981" s="84"/>
      <c r="R981" s="84"/>
      <c r="S981" s="84"/>
      <c r="T981" s="84"/>
    </row>
    <row r="982" ht="15.75" customHeight="1">
      <c r="A982" s="84" t="s">
        <v>37434</v>
      </c>
      <c r="B982" s="84">
        <v>1.0</v>
      </c>
      <c r="C982" s="186"/>
      <c r="D982" s="187"/>
      <c r="E982" s="188"/>
      <c r="F982" s="189"/>
      <c r="G982" s="190"/>
      <c r="H982" s="190"/>
      <c r="I982" s="84"/>
      <c r="J982" s="84"/>
      <c r="K982" s="84"/>
      <c r="L982" s="84"/>
      <c r="M982" s="84"/>
      <c r="N982" s="84"/>
      <c r="O982" s="84"/>
      <c r="P982" s="84"/>
      <c r="Q982" s="84"/>
      <c r="R982" s="84"/>
      <c r="S982" s="84"/>
      <c r="T982" s="84"/>
    </row>
    <row r="983" ht="15.75" customHeight="1">
      <c r="A983" s="84" t="s">
        <v>37435</v>
      </c>
      <c r="B983" s="84">
        <v>1.0</v>
      </c>
      <c r="C983" s="186"/>
      <c r="D983" s="187"/>
      <c r="E983" s="188"/>
      <c r="F983" s="189"/>
      <c r="G983" s="190"/>
      <c r="H983" s="190"/>
      <c r="I983" s="84"/>
      <c r="J983" s="84"/>
      <c r="K983" s="84"/>
      <c r="L983" s="84"/>
      <c r="M983" s="84"/>
      <c r="N983" s="84"/>
      <c r="O983" s="84"/>
      <c r="P983" s="84"/>
      <c r="Q983" s="84"/>
      <c r="R983" s="84"/>
      <c r="S983" s="84"/>
      <c r="T983" s="84"/>
    </row>
    <row r="984" ht="15.75" customHeight="1">
      <c r="A984" s="84" t="s">
        <v>37436</v>
      </c>
      <c r="B984" s="84">
        <v>1.0</v>
      </c>
      <c r="C984" s="186"/>
      <c r="D984" s="187"/>
      <c r="E984" s="188"/>
      <c r="F984" s="189"/>
      <c r="G984" s="190"/>
      <c r="H984" s="190"/>
      <c r="I984" s="84"/>
      <c r="J984" s="84"/>
      <c r="K984" s="84"/>
      <c r="L984" s="84"/>
      <c r="M984" s="84"/>
      <c r="N984" s="84"/>
      <c r="O984" s="84"/>
      <c r="P984" s="84"/>
      <c r="Q984" s="84"/>
      <c r="R984" s="84"/>
      <c r="S984" s="84"/>
      <c r="T984" s="84"/>
    </row>
    <row r="985" ht="15.75" customHeight="1">
      <c r="A985" s="84" t="s">
        <v>37437</v>
      </c>
      <c r="B985" s="84">
        <v>1.0</v>
      </c>
      <c r="C985" s="186"/>
      <c r="D985" s="187"/>
      <c r="E985" s="188"/>
      <c r="F985" s="189"/>
      <c r="G985" s="190"/>
      <c r="H985" s="190"/>
      <c r="I985" s="84"/>
      <c r="J985" s="84"/>
      <c r="K985" s="84"/>
      <c r="L985" s="84"/>
      <c r="M985" s="84"/>
      <c r="N985" s="84"/>
      <c r="O985" s="84"/>
      <c r="P985" s="84"/>
      <c r="Q985" s="84"/>
      <c r="R985" s="84"/>
      <c r="S985" s="84"/>
      <c r="T985" s="84"/>
    </row>
    <row r="986" ht="15.75" customHeight="1">
      <c r="A986" s="84" t="s">
        <v>37438</v>
      </c>
      <c r="B986" s="84">
        <v>2.0</v>
      </c>
      <c r="C986" s="186"/>
      <c r="D986" s="187"/>
      <c r="E986" s="188"/>
      <c r="F986" s="189"/>
      <c r="G986" s="190"/>
      <c r="H986" s="190"/>
      <c r="I986" s="84"/>
      <c r="J986" s="84"/>
      <c r="K986" s="84"/>
      <c r="L986" s="84"/>
      <c r="M986" s="84"/>
      <c r="N986" s="84"/>
      <c r="O986" s="84"/>
      <c r="P986" s="84"/>
      <c r="Q986" s="84"/>
      <c r="R986" s="84"/>
      <c r="S986" s="84"/>
      <c r="T986" s="84"/>
    </row>
    <row r="987" ht="15.75" customHeight="1">
      <c r="A987" s="84" t="s">
        <v>37439</v>
      </c>
      <c r="B987" s="84">
        <v>5.0</v>
      </c>
      <c r="C987" s="186"/>
      <c r="D987" s="187"/>
      <c r="E987" s="188"/>
      <c r="F987" s="189"/>
      <c r="G987" s="190"/>
      <c r="H987" s="190"/>
      <c r="I987" s="84"/>
      <c r="J987" s="84"/>
      <c r="K987" s="84"/>
      <c r="L987" s="84"/>
      <c r="M987" s="84"/>
      <c r="N987" s="84"/>
      <c r="O987" s="84"/>
      <c r="P987" s="84"/>
      <c r="Q987" s="84"/>
      <c r="R987" s="84"/>
      <c r="S987" s="84"/>
      <c r="T987" s="84"/>
    </row>
    <row r="988" ht="15.75" customHeight="1">
      <c r="A988" s="84" t="s">
        <v>37440</v>
      </c>
      <c r="B988" s="84">
        <v>1.0</v>
      </c>
      <c r="C988" s="186"/>
      <c r="D988" s="187"/>
      <c r="E988" s="188"/>
      <c r="F988" s="189"/>
      <c r="G988" s="190"/>
      <c r="H988" s="190"/>
      <c r="I988" s="84"/>
      <c r="J988" s="84"/>
      <c r="K988" s="84"/>
      <c r="L988" s="84"/>
      <c r="M988" s="84"/>
      <c r="N988" s="84"/>
      <c r="O988" s="84"/>
      <c r="P988" s="84"/>
      <c r="Q988" s="84"/>
      <c r="R988" s="84"/>
      <c r="S988" s="84"/>
      <c r="T988" s="84"/>
    </row>
    <row r="989" ht="15.75" customHeight="1">
      <c r="A989" s="84" t="s">
        <v>37441</v>
      </c>
      <c r="B989" s="84">
        <v>1.0</v>
      </c>
      <c r="C989" s="186"/>
      <c r="D989" s="187"/>
      <c r="E989" s="188"/>
      <c r="F989" s="189"/>
      <c r="G989" s="190"/>
      <c r="H989" s="190"/>
      <c r="I989" s="84"/>
      <c r="J989" s="84"/>
      <c r="K989" s="84"/>
      <c r="L989" s="84"/>
      <c r="M989" s="84"/>
      <c r="N989" s="84"/>
      <c r="O989" s="84"/>
      <c r="P989" s="84"/>
      <c r="Q989" s="84"/>
      <c r="R989" s="84"/>
      <c r="S989" s="84"/>
      <c r="T989" s="84"/>
    </row>
    <row r="990" ht="15.75" customHeight="1">
      <c r="A990" s="84" t="s">
        <v>37442</v>
      </c>
      <c r="B990" s="84">
        <v>1.0</v>
      </c>
      <c r="C990" s="186"/>
      <c r="D990" s="187"/>
      <c r="E990" s="188"/>
      <c r="F990" s="189"/>
      <c r="G990" s="190"/>
      <c r="H990" s="190"/>
      <c r="I990" s="84"/>
      <c r="J990" s="84"/>
      <c r="K990" s="84"/>
      <c r="L990" s="84"/>
      <c r="M990" s="84"/>
      <c r="N990" s="84"/>
      <c r="O990" s="84"/>
      <c r="P990" s="84"/>
      <c r="Q990" s="84"/>
      <c r="R990" s="84"/>
      <c r="S990" s="84"/>
      <c r="T990" s="84"/>
    </row>
    <row r="991" ht="15.75" customHeight="1">
      <c r="A991" s="84" t="s">
        <v>37443</v>
      </c>
      <c r="B991" s="84">
        <v>1.0</v>
      </c>
      <c r="C991" s="186"/>
      <c r="D991" s="187"/>
      <c r="E991" s="188"/>
      <c r="F991" s="189"/>
      <c r="G991" s="190"/>
      <c r="H991" s="190"/>
      <c r="I991" s="84"/>
      <c r="J991" s="84"/>
      <c r="K991" s="84"/>
      <c r="L991" s="84"/>
      <c r="M991" s="84"/>
      <c r="N991" s="84"/>
      <c r="O991" s="84"/>
      <c r="P991" s="84"/>
      <c r="Q991" s="84"/>
      <c r="R991" s="84"/>
      <c r="S991" s="84"/>
      <c r="T991" s="84"/>
    </row>
    <row r="992" ht="15.75" customHeight="1">
      <c r="A992" s="84" t="s">
        <v>37444</v>
      </c>
      <c r="B992" s="84">
        <v>1.0</v>
      </c>
      <c r="C992" s="186"/>
      <c r="D992" s="187"/>
      <c r="E992" s="188"/>
      <c r="F992" s="189"/>
      <c r="G992" s="190"/>
      <c r="H992" s="190"/>
      <c r="I992" s="84"/>
      <c r="J992" s="84"/>
      <c r="K992" s="84"/>
      <c r="L992" s="84"/>
      <c r="M992" s="84"/>
      <c r="N992" s="84"/>
      <c r="O992" s="84"/>
      <c r="P992" s="84"/>
      <c r="Q992" s="84"/>
      <c r="R992" s="84"/>
      <c r="S992" s="84"/>
      <c r="T992" s="84"/>
    </row>
    <row r="993" ht="15.75" customHeight="1">
      <c r="A993" s="84" t="s">
        <v>37445</v>
      </c>
      <c r="B993" s="84">
        <v>1.0</v>
      </c>
      <c r="C993" s="186"/>
      <c r="D993" s="187"/>
      <c r="E993" s="188"/>
      <c r="F993" s="189"/>
      <c r="G993" s="190"/>
      <c r="H993" s="190"/>
      <c r="I993" s="84"/>
      <c r="J993" s="84"/>
      <c r="K993" s="84"/>
      <c r="L993" s="84"/>
      <c r="M993" s="84"/>
      <c r="N993" s="84"/>
      <c r="O993" s="84"/>
      <c r="P993" s="84"/>
      <c r="Q993" s="84"/>
      <c r="R993" s="84"/>
      <c r="S993" s="84"/>
      <c r="T993" s="84"/>
    </row>
    <row r="994" ht="15.75" customHeight="1">
      <c r="A994" s="84" t="s">
        <v>37446</v>
      </c>
      <c r="B994" s="84">
        <v>1.0</v>
      </c>
      <c r="C994" s="186"/>
      <c r="D994" s="187"/>
      <c r="E994" s="188"/>
      <c r="F994" s="189"/>
      <c r="G994" s="190"/>
      <c r="H994" s="190"/>
      <c r="I994" s="84"/>
      <c r="J994" s="84"/>
      <c r="K994" s="84"/>
      <c r="L994" s="84"/>
      <c r="M994" s="84"/>
      <c r="N994" s="84"/>
      <c r="O994" s="84"/>
      <c r="P994" s="84"/>
      <c r="Q994" s="84"/>
      <c r="R994" s="84"/>
      <c r="S994" s="84"/>
      <c r="T994" s="84"/>
    </row>
    <row r="995" ht="15.75" customHeight="1">
      <c r="A995" s="84" t="s">
        <v>37447</v>
      </c>
      <c r="B995" s="84">
        <v>1.0</v>
      </c>
      <c r="C995" s="186"/>
      <c r="D995" s="187"/>
      <c r="E995" s="188"/>
      <c r="F995" s="189"/>
      <c r="G995" s="190"/>
      <c r="H995" s="190"/>
      <c r="I995" s="84"/>
      <c r="J995" s="84"/>
      <c r="K995" s="84"/>
      <c r="L995" s="84"/>
      <c r="M995" s="84"/>
      <c r="N995" s="84"/>
      <c r="O995" s="84"/>
      <c r="P995" s="84"/>
      <c r="Q995" s="84"/>
      <c r="R995" s="84"/>
      <c r="S995" s="84"/>
      <c r="T995" s="84"/>
    </row>
    <row r="996" ht="15.75" customHeight="1">
      <c r="A996" s="84" t="s">
        <v>37448</v>
      </c>
      <c r="B996" s="84">
        <v>1.0</v>
      </c>
      <c r="C996" s="186"/>
      <c r="D996" s="187"/>
      <c r="E996" s="188"/>
      <c r="F996" s="189"/>
      <c r="G996" s="190"/>
      <c r="H996" s="190"/>
      <c r="I996" s="84"/>
      <c r="J996" s="84"/>
      <c r="K996" s="84"/>
      <c r="L996" s="84"/>
      <c r="M996" s="84"/>
      <c r="N996" s="84"/>
      <c r="O996" s="84"/>
      <c r="P996" s="84"/>
      <c r="Q996" s="84"/>
      <c r="R996" s="84"/>
      <c r="S996" s="84"/>
      <c r="T996" s="84"/>
    </row>
    <row r="997" ht="15.75" customHeight="1">
      <c r="A997" s="84" t="s">
        <v>37449</v>
      </c>
      <c r="B997" s="84">
        <v>2.0</v>
      </c>
      <c r="C997" s="186"/>
      <c r="D997" s="187"/>
      <c r="E997" s="188"/>
      <c r="F997" s="189"/>
      <c r="G997" s="190"/>
      <c r="H997" s="190"/>
      <c r="I997" s="84"/>
      <c r="J997" s="84"/>
      <c r="K997" s="84"/>
      <c r="L997" s="84"/>
      <c r="M997" s="84"/>
      <c r="N997" s="84"/>
      <c r="O997" s="84"/>
      <c r="P997" s="84"/>
      <c r="Q997" s="84"/>
      <c r="R997" s="84"/>
      <c r="S997" s="84"/>
      <c r="T997" s="84"/>
    </row>
    <row r="998" ht="15.75" customHeight="1">
      <c r="A998" s="84" t="s">
        <v>37450</v>
      </c>
      <c r="B998" s="84">
        <v>1.0</v>
      </c>
      <c r="C998" s="186"/>
      <c r="D998" s="187"/>
      <c r="E998" s="188"/>
      <c r="F998" s="189"/>
      <c r="G998" s="190"/>
      <c r="H998" s="190"/>
      <c r="I998" s="84"/>
      <c r="J998" s="84"/>
      <c r="K998" s="84"/>
      <c r="L998" s="84"/>
      <c r="M998" s="84"/>
      <c r="N998" s="84"/>
      <c r="O998" s="84"/>
      <c r="P998" s="84"/>
      <c r="Q998" s="84"/>
      <c r="R998" s="84"/>
      <c r="S998" s="84"/>
      <c r="T998" s="84"/>
    </row>
    <row r="999" ht="15.75" customHeight="1">
      <c r="A999" s="84" t="s">
        <v>37451</v>
      </c>
      <c r="B999" s="84">
        <v>1.0</v>
      </c>
      <c r="C999" s="186"/>
      <c r="D999" s="187"/>
      <c r="E999" s="188"/>
      <c r="F999" s="189"/>
      <c r="G999" s="190"/>
      <c r="H999" s="190"/>
      <c r="I999" s="84"/>
      <c r="J999" s="84"/>
      <c r="K999" s="84"/>
      <c r="L999" s="84"/>
      <c r="M999" s="84"/>
      <c r="N999" s="84"/>
      <c r="O999" s="84"/>
      <c r="P999" s="84"/>
      <c r="Q999" s="84"/>
      <c r="R999" s="84"/>
      <c r="S999" s="84"/>
      <c r="T999" s="84"/>
    </row>
    <row r="1000" ht="15.75" customHeight="1">
      <c r="A1000" s="84" t="s">
        <v>37452</v>
      </c>
      <c r="B1000" s="84">
        <v>2.0</v>
      </c>
      <c r="C1000" s="186"/>
      <c r="D1000" s="187"/>
      <c r="E1000" s="188"/>
      <c r="F1000" s="189"/>
      <c r="G1000" s="190"/>
      <c r="H1000" s="190"/>
      <c r="I1000" s="84"/>
      <c r="J1000" s="84"/>
      <c r="K1000" s="84"/>
      <c r="L1000" s="84"/>
      <c r="M1000" s="84"/>
      <c r="N1000" s="84"/>
      <c r="O1000" s="84"/>
      <c r="P1000" s="84"/>
      <c r="Q1000" s="84"/>
      <c r="R1000" s="84"/>
      <c r="S1000" s="84"/>
      <c r="T1000" s="84"/>
    </row>
    <row r="1001" ht="15.75" customHeight="1">
      <c r="A1001" s="84" t="s">
        <v>37453</v>
      </c>
      <c r="B1001" s="84">
        <v>1.0</v>
      </c>
      <c r="C1001" s="186"/>
      <c r="D1001" s="187"/>
      <c r="E1001" s="188"/>
      <c r="F1001" s="189"/>
      <c r="G1001" s="190"/>
      <c r="H1001" s="190"/>
      <c r="I1001" s="84"/>
      <c r="J1001" s="84"/>
      <c r="K1001" s="84"/>
      <c r="L1001" s="84"/>
      <c r="M1001" s="84"/>
      <c r="N1001" s="84"/>
      <c r="O1001" s="84"/>
      <c r="P1001" s="84"/>
      <c r="Q1001" s="84"/>
      <c r="R1001" s="84"/>
      <c r="S1001" s="84"/>
      <c r="T1001" s="84"/>
    </row>
    <row r="1002" ht="15.75" customHeight="1">
      <c r="A1002" s="84" t="s">
        <v>37454</v>
      </c>
      <c r="B1002" s="84">
        <v>1.0</v>
      </c>
      <c r="C1002" s="186"/>
      <c r="D1002" s="187"/>
      <c r="E1002" s="188"/>
      <c r="F1002" s="189"/>
      <c r="G1002" s="190"/>
      <c r="H1002" s="190"/>
      <c r="I1002" s="84"/>
      <c r="J1002" s="84"/>
      <c r="K1002" s="84"/>
      <c r="L1002" s="84"/>
      <c r="M1002" s="84"/>
      <c r="N1002" s="84"/>
      <c r="O1002" s="84"/>
      <c r="P1002" s="84"/>
      <c r="Q1002" s="84"/>
      <c r="R1002" s="84"/>
      <c r="S1002" s="84"/>
      <c r="T1002" s="84"/>
    </row>
    <row r="1003" ht="15.75" customHeight="1">
      <c r="A1003" s="84" t="s">
        <v>37455</v>
      </c>
      <c r="B1003" s="84">
        <v>1.0</v>
      </c>
      <c r="C1003" s="186"/>
      <c r="D1003" s="187"/>
      <c r="E1003" s="188"/>
      <c r="F1003" s="189"/>
      <c r="G1003" s="190"/>
      <c r="H1003" s="190"/>
      <c r="I1003" s="84"/>
      <c r="J1003" s="84"/>
      <c r="K1003" s="84"/>
      <c r="L1003" s="84"/>
      <c r="M1003" s="84"/>
      <c r="N1003" s="84"/>
      <c r="O1003" s="84"/>
      <c r="P1003" s="84"/>
      <c r="Q1003" s="84"/>
      <c r="R1003" s="84"/>
      <c r="S1003" s="84"/>
      <c r="T1003" s="84"/>
    </row>
    <row r="1004" ht="15.75" customHeight="1">
      <c r="A1004" s="84" t="s">
        <v>37458</v>
      </c>
      <c r="B1004" s="84">
        <v>2.0</v>
      </c>
      <c r="C1004" s="186"/>
      <c r="D1004" s="187"/>
      <c r="E1004" s="188"/>
      <c r="F1004" s="189"/>
      <c r="G1004" s="190"/>
      <c r="H1004" s="190"/>
      <c r="I1004" s="84"/>
      <c r="J1004" s="84"/>
      <c r="K1004" s="84"/>
      <c r="L1004" s="84"/>
      <c r="M1004" s="84"/>
      <c r="N1004" s="84"/>
      <c r="O1004" s="84"/>
      <c r="P1004" s="84"/>
      <c r="Q1004" s="84"/>
      <c r="R1004" s="84"/>
      <c r="S1004" s="84"/>
      <c r="T1004" s="84"/>
    </row>
    <row r="1005" ht="15.75" customHeight="1">
      <c r="A1005" s="84" t="s">
        <v>37459</v>
      </c>
      <c r="B1005" s="84">
        <v>1.0</v>
      </c>
      <c r="C1005" s="186"/>
      <c r="D1005" s="187"/>
      <c r="E1005" s="188"/>
      <c r="F1005" s="189"/>
      <c r="G1005" s="190"/>
      <c r="H1005" s="190"/>
      <c r="I1005" s="84"/>
      <c r="J1005" s="84"/>
      <c r="K1005" s="84"/>
      <c r="L1005" s="84"/>
      <c r="M1005" s="84"/>
      <c r="N1005" s="84"/>
      <c r="O1005" s="84"/>
      <c r="P1005" s="84"/>
      <c r="Q1005" s="84"/>
      <c r="R1005" s="84"/>
      <c r="S1005" s="84"/>
      <c r="T1005" s="84"/>
    </row>
    <row r="1006" ht="15.75" customHeight="1">
      <c r="A1006" s="84" t="s">
        <v>37460</v>
      </c>
      <c r="B1006" s="84">
        <v>1.0</v>
      </c>
      <c r="C1006" s="186"/>
      <c r="D1006" s="187"/>
      <c r="E1006" s="188"/>
      <c r="F1006" s="189"/>
      <c r="G1006" s="190"/>
      <c r="H1006" s="190"/>
      <c r="I1006" s="84"/>
      <c r="J1006" s="84"/>
      <c r="K1006" s="84"/>
      <c r="L1006" s="84"/>
      <c r="M1006" s="84"/>
      <c r="N1006" s="84"/>
      <c r="O1006" s="84"/>
      <c r="P1006" s="84"/>
      <c r="Q1006" s="84"/>
      <c r="R1006" s="84"/>
      <c r="S1006" s="84"/>
      <c r="T1006" s="84"/>
    </row>
    <row r="1007" ht="15.75" customHeight="1">
      <c r="A1007" s="84" t="s">
        <v>37461</v>
      </c>
      <c r="B1007" s="84">
        <v>1.0</v>
      </c>
      <c r="C1007" s="186"/>
      <c r="D1007" s="187"/>
      <c r="E1007" s="188"/>
      <c r="F1007" s="189"/>
      <c r="G1007" s="190"/>
      <c r="H1007" s="190"/>
      <c r="I1007" s="84"/>
      <c r="J1007" s="84"/>
      <c r="K1007" s="84"/>
      <c r="L1007" s="84"/>
      <c r="M1007" s="84"/>
      <c r="N1007" s="84"/>
      <c r="O1007" s="84"/>
      <c r="P1007" s="84"/>
      <c r="Q1007" s="84"/>
      <c r="R1007" s="84"/>
      <c r="S1007" s="84"/>
      <c r="T1007" s="84"/>
    </row>
    <row r="1008" ht="15.75" customHeight="1">
      <c r="A1008" s="84" t="s">
        <v>37462</v>
      </c>
      <c r="B1008" s="84">
        <v>1.0</v>
      </c>
      <c r="C1008" s="186"/>
      <c r="D1008" s="187"/>
      <c r="E1008" s="188"/>
      <c r="F1008" s="189"/>
      <c r="G1008" s="190"/>
      <c r="H1008" s="190"/>
      <c r="I1008" s="84"/>
      <c r="J1008" s="84"/>
      <c r="K1008" s="84"/>
      <c r="L1008" s="84"/>
      <c r="M1008" s="84"/>
      <c r="N1008" s="84"/>
      <c r="O1008" s="84"/>
      <c r="P1008" s="84"/>
      <c r="Q1008" s="84"/>
      <c r="R1008" s="84"/>
      <c r="S1008" s="84"/>
      <c r="T1008" s="84"/>
    </row>
    <row r="1009" ht="15.75" customHeight="1">
      <c r="A1009" s="84" t="s">
        <v>37463</v>
      </c>
      <c r="B1009" s="84">
        <v>1.0</v>
      </c>
      <c r="C1009" s="186"/>
      <c r="D1009" s="187"/>
      <c r="E1009" s="188"/>
      <c r="F1009" s="189"/>
      <c r="G1009" s="190"/>
      <c r="H1009" s="190"/>
      <c r="I1009" s="84"/>
      <c r="J1009" s="84"/>
      <c r="K1009" s="84"/>
      <c r="L1009" s="84"/>
      <c r="M1009" s="84"/>
      <c r="N1009" s="84"/>
      <c r="O1009" s="84"/>
      <c r="P1009" s="84"/>
      <c r="Q1009" s="84"/>
      <c r="R1009" s="84"/>
      <c r="S1009" s="84"/>
      <c r="T1009" s="84"/>
    </row>
    <row r="1010" ht="15.75" customHeight="1">
      <c r="A1010" s="84" t="s">
        <v>37464</v>
      </c>
      <c r="B1010" s="84">
        <v>1.0</v>
      </c>
      <c r="C1010" s="186"/>
      <c r="D1010" s="187"/>
      <c r="E1010" s="188"/>
      <c r="F1010" s="189"/>
      <c r="G1010" s="190"/>
      <c r="H1010" s="190"/>
      <c r="I1010" s="84"/>
      <c r="J1010" s="84"/>
      <c r="K1010" s="84"/>
      <c r="L1010" s="84"/>
      <c r="M1010" s="84"/>
      <c r="N1010" s="84"/>
      <c r="O1010" s="84"/>
      <c r="P1010" s="84"/>
      <c r="Q1010" s="84"/>
      <c r="R1010" s="84"/>
      <c r="S1010" s="84"/>
      <c r="T1010" s="84"/>
    </row>
    <row r="1011" ht="15.75" customHeight="1">
      <c r="A1011" s="84" t="s">
        <v>37465</v>
      </c>
      <c r="B1011" s="84">
        <v>1.0</v>
      </c>
      <c r="C1011" s="186"/>
      <c r="D1011" s="187"/>
      <c r="E1011" s="188"/>
      <c r="F1011" s="189"/>
      <c r="G1011" s="190"/>
      <c r="H1011" s="190"/>
      <c r="I1011" s="84"/>
      <c r="J1011" s="84"/>
      <c r="K1011" s="84"/>
      <c r="L1011" s="84"/>
      <c r="M1011" s="84"/>
      <c r="N1011" s="84"/>
      <c r="O1011" s="84"/>
      <c r="P1011" s="84"/>
      <c r="Q1011" s="84"/>
      <c r="R1011" s="84"/>
      <c r="S1011" s="84"/>
      <c r="T1011" s="84"/>
    </row>
    <row r="1012" ht="15.75" customHeight="1">
      <c r="A1012" s="84" t="s">
        <v>37466</v>
      </c>
      <c r="B1012" s="84">
        <v>1.0</v>
      </c>
      <c r="C1012" s="186"/>
      <c r="D1012" s="187"/>
      <c r="E1012" s="188"/>
      <c r="F1012" s="189"/>
      <c r="G1012" s="190"/>
      <c r="H1012" s="190"/>
      <c r="I1012" s="84"/>
      <c r="J1012" s="84"/>
      <c r="K1012" s="84"/>
      <c r="L1012" s="84"/>
      <c r="M1012" s="84"/>
      <c r="N1012" s="84"/>
      <c r="O1012" s="84"/>
      <c r="P1012" s="84"/>
      <c r="Q1012" s="84"/>
      <c r="R1012" s="84"/>
      <c r="S1012" s="84"/>
      <c r="T1012" s="84"/>
    </row>
    <row r="1013" ht="15.75" customHeight="1">
      <c r="A1013" s="84" t="s">
        <v>37467</v>
      </c>
      <c r="B1013" s="84">
        <v>1.0</v>
      </c>
      <c r="C1013" s="186"/>
      <c r="D1013" s="187"/>
      <c r="E1013" s="188"/>
      <c r="F1013" s="189"/>
      <c r="G1013" s="190"/>
      <c r="H1013" s="190"/>
      <c r="I1013" s="84"/>
      <c r="J1013" s="84"/>
      <c r="K1013" s="84"/>
      <c r="L1013" s="84"/>
      <c r="M1013" s="84"/>
      <c r="N1013" s="84"/>
      <c r="O1013" s="84"/>
      <c r="P1013" s="84"/>
      <c r="Q1013" s="84"/>
      <c r="R1013" s="84"/>
      <c r="S1013" s="84"/>
      <c r="T1013" s="84"/>
    </row>
    <row r="1014" ht="15.75" customHeight="1">
      <c r="A1014" s="84" t="s">
        <v>37468</v>
      </c>
      <c r="B1014" s="84">
        <v>1.0</v>
      </c>
      <c r="C1014" s="186"/>
      <c r="D1014" s="187"/>
      <c r="E1014" s="188"/>
      <c r="F1014" s="189"/>
      <c r="G1014" s="190"/>
      <c r="H1014" s="190"/>
      <c r="I1014" s="84"/>
      <c r="J1014" s="84"/>
      <c r="K1014" s="84"/>
      <c r="L1014" s="84"/>
      <c r="M1014" s="84"/>
      <c r="N1014" s="84"/>
      <c r="O1014" s="84"/>
      <c r="P1014" s="84"/>
      <c r="Q1014" s="84"/>
      <c r="R1014" s="84"/>
      <c r="S1014" s="84"/>
      <c r="T1014" s="84"/>
    </row>
    <row r="1015" ht="15.75" customHeight="1">
      <c r="A1015" s="84" t="s">
        <v>37469</v>
      </c>
      <c r="B1015" s="84">
        <v>1.0</v>
      </c>
      <c r="C1015" s="186"/>
      <c r="D1015" s="187"/>
      <c r="E1015" s="188"/>
      <c r="F1015" s="189"/>
      <c r="G1015" s="190"/>
      <c r="H1015" s="190"/>
      <c r="I1015" s="84"/>
      <c r="J1015" s="84"/>
      <c r="K1015" s="84"/>
      <c r="L1015" s="84"/>
      <c r="M1015" s="84"/>
      <c r="N1015" s="84"/>
      <c r="O1015" s="84"/>
      <c r="P1015" s="84"/>
      <c r="Q1015" s="84"/>
      <c r="R1015" s="84"/>
      <c r="S1015" s="84"/>
      <c r="T1015" s="84"/>
    </row>
    <row r="1016" ht="15.75" customHeight="1">
      <c r="A1016" s="84" t="s">
        <v>37470</v>
      </c>
      <c r="B1016" s="84">
        <v>2.0</v>
      </c>
      <c r="C1016" s="186"/>
      <c r="D1016" s="187"/>
      <c r="E1016" s="188"/>
      <c r="F1016" s="189"/>
      <c r="G1016" s="190"/>
      <c r="H1016" s="190"/>
      <c r="I1016" s="84"/>
      <c r="J1016" s="84"/>
      <c r="K1016" s="84"/>
      <c r="L1016" s="84"/>
      <c r="M1016" s="84"/>
      <c r="N1016" s="84"/>
      <c r="O1016" s="84"/>
      <c r="P1016" s="84"/>
      <c r="Q1016" s="84"/>
      <c r="R1016" s="84"/>
      <c r="S1016" s="84"/>
      <c r="T1016" s="84"/>
    </row>
    <row r="1017" ht="15.75" customHeight="1">
      <c r="A1017" s="84" t="s">
        <v>37471</v>
      </c>
      <c r="B1017" s="84">
        <v>1.0</v>
      </c>
      <c r="C1017" s="186"/>
      <c r="D1017" s="187"/>
      <c r="E1017" s="188"/>
      <c r="F1017" s="189"/>
      <c r="G1017" s="190"/>
      <c r="H1017" s="190"/>
      <c r="I1017" s="84"/>
      <c r="J1017" s="84"/>
      <c r="K1017" s="84"/>
      <c r="L1017" s="84"/>
      <c r="M1017" s="84"/>
      <c r="N1017" s="84"/>
      <c r="O1017" s="84"/>
      <c r="P1017" s="84"/>
      <c r="Q1017" s="84"/>
      <c r="R1017" s="84"/>
      <c r="S1017" s="84"/>
      <c r="T1017" s="84"/>
    </row>
    <row r="1018" ht="15.75" customHeight="1">
      <c r="A1018" s="84" t="s">
        <v>37472</v>
      </c>
      <c r="B1018" s="84">
        <v>2.0</v>
      </c>
      <c r="C1018" s="186"/>
      <c r="D1018" s="187"/>
      <c r="E1018" s="188"/>
      <c r="F1018" s="189"/>
      <c r="G1018" s="190"/>
      <c r="H1018" s="190"/>
      <c r="I1018" s="84"/>
      <c r="J1018" s="84"/>
      <c r="K1018" s="84"/>
      <c r="L1018" s="84"/>
      <c r="M1018" s="84"/>
      <c r="N1018" s="84"/>
      <c r="O1018" s="84"/>
      <c r="P1018" s="84"/>
      <c r="Q1018" s="84"/>
      <c r="R1018" s="84"/>
      <c r="S1018" s="84"/>
      <c r="T1018" s="84"/>
    </row>
    <row r="1019" ht="15.75" customHeight="1">
      <c r="A1019" s="84" t="s">
        <v>37473</v>
      </c>
      <c r="B1019" s="84">
        <v>1.0</v>
      </c>
      <c r="C1019" s="186"/>
      <c r="D1019" s="187"/>
      <c r="E1019" s="188"/>
      <c r="F1019" s="189"/>
      <c r="G1019" s="190"/>
      <c r="H1019" s="190"/>
      <c r="I1019" s="84"/>
      <c r="J1019" s="84"/>
      <c r="K1019" s="84"/>
      <c r="L1019" s="84"/>
      <c r="M1019" s="84"/>
      <c r="N1019" s="84"/>
      <c r="O1019" s="84"/>
      <c r="P1019" s="84"/>
      <c r="Q1019" s="84"/>
      <c r="R1019" s="84"/>
      <c r="S1019" s="84"/>
      <c r="T1019" s="84"/>
    </row>
    <row r="1020" ht="15.75" customHeight="1">
      <c r="A1020" s="84" t="s">
        <v>37474</v>
      </c>
      <c r="B1020" s="84">
        <v>1.0</v>
      </c>
      <c r="C1020" s="186"/>
      <c r="D1020" s="187"/>
      <c r="E1020" s="188"/>
      <c r="F1020" s="189"/>
      <c r="G1020" s="190"/>
      <c r="H1020" s="190"/>
      <c r="I1020" s="84"/>
      <c r="J1020" s="84"/>
      <c r="K1020" s="84"/>
      <c r="L1020" s="84"/>
      <c r="M1020" s="84"/>
      <c r="N1020" s="84"/>
      <c r="O1020" s="84"/>
      <c r="P1020" s="84"/>
      <c r="Q1020" s="84"/>
      <c r="R1020" s="84"/>
      <c r="S1020" s="84"/>
      <c r="T1020" s="84"/>
    </row>
    <row r="1021" ht="15.75" customHeight="1">
      <c r="A1021" s="84" t="s">
        <v>37475</v>
      </c>
      <c r="B1021" s="84">
        <v>1.0</v>
      </c>
      <c r="C1021" s="186"/>
      <c r="D1021" s="187"/>
      <c r="E1021" s="188"/>
      <c r="F1021" s="189"/>
      <c r="G1021" s="190"/>
      <c r="H1021" s="190"/>
      <c r="I1021" s="84"/>
      <c r="J1021" s="84"/>
      <c r="K1021" s="84"/>
      <c r="L1021" s="84"/>
      <c r="M1021" s="84"/>
      <c r="N1021" s="84"/>
      <c r="O1021" s="84"/>
      <c r="P1021" s="84"/>
      <c r="Q1021" s="84"/>
      <c r="R1021" s="84"/>
      <c r="S1021" s="84"/>
      <c r="T1021" s="84"/>
    </row>
    <row r="1022" ht="15.75" customHeight="1">
      <c r="A1022" s="84" t="s">
        <v>37476</v>
      </c>
      <c r="B1022" s="84">
        <v>1.0</v>
      </c>
      <c r="C1022" s="186"/>
      <c r="D1022" s="187"/>
      <c r="E1022" s="188"/>
      <c r="F1022" s="189"/>
      <c r="G1022" s="190"/>
      <c r="H1022" s="190"/>
      <c r="I1022" s="84"/>
      <c r="J1022" s="84"/>
      <c r="K1022" s="84"/>
      <c r="L1022" s="84"/>
      <c r="M1022" s="84"/>
      <c r="N1022" s="84"/>
      <c r="O1022" s="84"/>
      <c r="P1022" s="84"/>
      <c r="Q1022" s="84"/>
      <c r="R1022" s="84"/>
      <c r="S1022" s="84"/>
      <c r="T1022" s="84"/>
    </row>
    <row r="1023" ht="15.75" customHeight="1">
      <c r="A1023" s="84" t="s">
        <v>37477</v>
      </c>
      <c r="B1023" s="84">
        <v>1.0</v>
      </c>
      <c r="C1023" s="186"/>
      <c r="D1023" s="187"/>
      <c r="E1023" s="188"/>
      <c r="F1023" s="189"/>
      <c r="G1023" s="190"/>
      <c r="H1023" s="190"/>
      <c r="I1023" s="84"/>
      <c r="J1023" s="84"/>
      <c r="K1023" s="84"/>
      <c r="L1023" s="84"/>
      <c r="M1023" s="84"/>
      <c r="N1023" s="84"/>
      <c r="O1023" s="84"/>
      <c r="P1023" s="84"/>
      <c r="Q1023" s="84"/>
      <c r="R1023" s="84"/>
      <c r="S1023" s="84"/>
      <c r="T1023" s="84"/>
    </row>
    <row r="1024" ht="15.75" customHeight="1">
      <c r="A1024" s="84" t="s">
        <v>37478</v>
      </c>
      <c r="B1024" s="84">
        <v>1.0</v>
      </c>
      <c r="C1024" s="186"/>
      <c r="D1024" s="187"/>
      <c r="E1024" s="188"/>
      <c r="F1024" s="189"/>
      <c r="G1024" s="190"/>
      <c r="H1024" s="190"/>
      <c r="I1024" s="84"/>
      <c r="J1024" s="84"/>
      <c r="K1024" s="84"/>
      <c r="L1024" s="84"/>
      <c r="M1024" s="84"/>
      <c r="N1024" s="84"/>
      <c r="O1024" s="84"/>
      <c r="P1024" s="84"/>
      <c r="Q1024" s="84"/>
      <c r="R1024" s="84"/>
      <c r="S1024" s="84"/>
      <c r="T1024" s="84"/>
    </row>
    <row r="1025" ht="15.75" customHeight="1">
      <c r="A1025" s="84" t="s">
        <v>37479</v>
      </c>
      <c r="B1025" s="84">
        <v>1.0</v>
      </c>
      <c r="C1025" s="186"/>
      <c r="D1025" s="187"/>
      <c r="E1025" s="188"/>
      <c r="F1025" s="189"/>
      <c r="G1025" s="190"/>
      <c r="H1025" s="190"/>
      <c r="I1025" s="84"/>
      <c r="J1025" s="84"/>
      <c r="K1025" s="84"/>
      <c r="L1025" s="84"/>
      <c r="M1025" s="84"/>
      <c r="N1025" s="84"/>
      <c r="O1025" s="84"/>
      <c r="P1025" s="84"/>
      <c r="Q1025" s="84"/>
      <c r="R1025" s="84"/>
      <c r="S1025" s="84"/>
      <c r="T1025" s="84"/>
    </row>
    <row r="1026" ht="15.75" customHeight="1">
      <c r="A1026" s="84" t="s">
        <v>37480</v>
      </c>
      <c r="B1026" s="84">
        <v>1.0</v>
      </c>
      <c r="C1026" s="186"/>
      <c r="D1026" s="187"/>
      <c r="E1026" s="188"/>
      <c r="F1026" s="189"/>
      <c r="G1026" s="190"/>
      <c r="H1026" s="190"/>
      <c r="I1026" s="84"/>
      <c r="J1026" s="84"/>
      <c r="K1026" s="84"/>
      <c r="L1026" s="84"/>
      <c r="M1026" s="84"/>
      <c r="N1026" s="84"/>
      <c r="O1026" s="84"/>
      <c r="P1026" s="84"/>
      <c r="Q1026" s="84"/>
      <c r="R1026" s="84"/>
      <c r="S1026" s="84"/>
      <c r="T1026" s="84"/>
    </row>
    <row r="1027" ht="15.75" customHeight="1">
      <c r="A1027" s="84" t="s">
        <v>37481</v>
      </c>
      <c r="B1027" s="84">
        <v>1.0</v>
      </c>
      <c r="C1027" s="186"/>
      <c r="D1027" s="187"/>
      <c r="E1027" s="188"/>
      <c r="F1027" s="189"/>
      <c r="G1027" s="190"/>
      <c r="H1027" s="190"/>
      <c r="I1027" s="84"/>
      <c r="J1027" s="84"/>
      <c r="K1027" s="84"/>
      <c r="L1027" s="84"/>
      <c r="M1027" s="84"/>
      <c r="N1027" s="84"/>
      <c r="O1027" s="84"/>
      <c r="P1027" s="84"/>
      <c r="Q1027" s="84"/>
      <c r="R1027" s="84"/>
      <c r="S1027" s="84"/>
      <c r="T1027" s="84"/>
    </row>
    <row r="1028" ht="15.75" customHeight="1">
      <c r="A1028" s="84" t="s">
        <v>37482</v>
      </c>
      <c r="B1028" s="84">
        <v>1.0</v>
      </c>
      <c r="C1028" s="186"/>
      <c r="D1028" s="187"/>
      <c r="E1028" s="188"/>
      <c r="F1028" s="189"/>
      <c r="G1028" s="190"/>
      <c r="H1028" s="190"/>
      <c r="I1028" s="84"/>
      <c r="J1028" s="84"/>
      <c r="K1028" s="84"/>
      <c r="L1028" s="84"/>
      <c r="M1028" s="84"/>
      <c r="N1028" s="84"/>
      <c r="O1028" s="84"/>
      <c r="P1028" s="84"/>
      <c r="Q1028" s="84"/>
      <c r="R1028" s="84"/>
      <c r="S1028" s="84"/>
      <c r="T1028" s="84"/>
    </row>
    <row r="1029" ht="15.75" customHeight="1">
      <c r="A1029" s="84" t="s">
        <v>37483</v>
      </c>
      <c r="B1029" s="84">
        <v>1.0</v>
      </c>
      <c r="C1029" s="186"/>
      <c r="D1029" s="187"/>
      <c r="E1029" s="188"/>
      <c r="F1029" s="189"/>
      <c r="G1029" s="190"/>
      <c r="H1029" s="190"/>
      <c r="I1029" s="84"/>
      <c r="J1029" s="84"/>
      <c r="K1029" s="84"/>
      <c r="L1029" s="84"/>
      <c r="M1029" s="84"/>
      <c r="N1029" s="84"/>
      <c r="O1029" s="84"/>
      <c r="P1029" s="84"/>
      <c r="Q1029" s="84"/>
      <c r="R1029" s="84"/>
      <c r="S1029" s="84"/>
      <c r="T1029" s="84"/>
    </row>
    <row r="1030" ht="15.75" customHeight="1">
      <c r="A1030" s="84" t="s">
        <v>37484</v>
      </c>
      <c r="B1030" s="84">
        <v>1.0</v>
      </c>
      <c r="C1030" s="186"/>
      <c r="D1030" s="187"/>
      <c r="E1030" s="188"/>
      <c r="F1030" s="189"/>
      <c r="G1030" s="190"/>
      <c r="H1030" s="190"/>
      <c r="I1030" s="84"/>
      <c r="J1030" s="84"/>
      <c r="K1030" s="84"/>
      <c r="L1030" s="84"/>
      <c r="M1030" s="84"/>
      <c r="N1030" s="84"/>
      <c r="O1030" s="84"/>
      <c r="P1030" s="84"/>
      <c r="Q1030" s="84"/>
      <c r="R1030" s="84"/>
      <c r="S1030" s="84"/>
      <c r="T1030" s="84"/>
    </row>
    <row r="1031" ht="15.75" customHeight="1">
      <c r="A1031" s="84" t="s">
        <v>37485</v>
      </c>
      <c r="B1031" s="84">
        <v>2.0</v>
      </c>
      <c r="C1031" s="186"/>
      <c r="D1031" s="187"/>
      <c r="E1031" s="188"/>
      <c r="F1031" s="189"/>
      <c r="G1031" s="190"/>
      <c r="H1031" s="190"/>
      <c r="I1031" s="84"/>
      <c r="J1031" s="84"/>
      <c r="K1031" s="84"/>
      <c r="L1031" s="84"/>
      <c r="M1031" s="84"/>
      <c r="N1031" s="84"/>
      <c r="O1031" s="84"/>
      <c r="P1031" s="84"/>
      <c r="Q1031" s="84"/>
      <c r="R1031" s="84"/>
      <c r="S1031" s="84"/>
      <c r="T1031" s="84"/>
    </row>
    <row r="1032" ht="15.75" customHeight="1">
      <c r="A1032" s="84" t="s">
        <v>37488</v>
      </c>
      <c r="B1032" s="84">
        <v>1.0</v>
      </c>
      <c r="C1032" s="186"/>
      <c r="D1032" s="187"/>
      <c r="E1032" s="188"/>
      <c r="F1032" s="189"/>
      <c r="G1032" s="190"/>
      <c r="H1032" s="190"/>
      <c r="I1032" s="84"/>
      <c r="J1032" s="84"/>
      <c r="K1032" s="84"/>
      <c r="L1032" s="84"/>
      <c r="M1032" s="84"/>
      <c r="N1032" s="84"/>
      <c r="O1032" s="84"/>
      <c r="P1032" s="84"/>
      <c r="Q1032" s="84"/>
      <c r="R1032" s="84"/>
      <c r="S1032" s="84"/>
      <c r="T1032" s="84"/>
    </row>
    <row r="1033" ht="15.75" customHeight="1">
      <c r="A1033" s="84" t="s">
        <v>37490</v>
      </c>
      <c r="B1033" s="84">
        <v>1.0</v>
      </c>
      <c r="C1033" s="186"/>
      <c r="D1033" s="187"/>
      <c r="E1033" s="188"/>
      <c r="F1033" s="189"/>
      <c r="G1033" s="190"/>
      <c r="H1033" s="190"/>
      <c r="I1033" s="84"/>
      <c r="J1033" s="84"/>
      <c r="K1033" s="84"/>
      <c r="L1033" s="84"/>
      <c r="M1033" s="84"/>
      <c r="N1033" s="84"/>
      <c r="O1033" s="84"/>
      <c r="P1033" s="84"/>
      <c r="Q1033" s="84"/>
      <c r="R1033" s="84"/>
      <c r="S1033" s="84"/>
      <c r="T1033" s="84"/>
    </row>
    <row r="1034" ht="15.75" customHeight="1">
      <c r="A1034" s="84" t="s">
        <v>37491</v>
      </c>
      <c r="B1034" s="84">
        <v>4.0</v>
      </c>
      <c r="C1034" s="186"/>
      <c r="D1034" s="187"/>
      <c r="E1034" s="188"/>
      <c r="F1034" s="189"/>
      <c r="G1034" s="190"/>
      <c r="H1034" s="190"/>
      <c r="I1034" s="84"/>
      <c r="J1034" s="84"/>
      <c r="K1034" s="84"/>
      <c r="L1034" s="84"/>
      <c r="M1034" s="84"/>
      <c r="N1034" s="84"/>
      <c r="O1034" s="84"/>
      <c r="P1034" s="84"/>
      <c r="Q1034" s="84"/>
      <c r="R1034" s="84"/>
      <c r="S1034" s="84"/>
      <c r="T1034" s="84"/>
    </row>
    <row r="1035" ht="15.75" customHeight="1">
      <c r="A1035" s="84" t="s">
        <v>37492</v>
      </c>
      <c r="B1035" s="84">
        <v>1.0</v>
      </c>
      <c r="C1035" s="186"/>
      <c r="D1035" s="187" t="s">
        <v>37491</v>
      </c>
      <c r="E1035" s="188"/>
      <c r="F1035" s="189"/>
      <c r="G1035" s="190"/>
      <c r="H1035" s="190"/>
      <c r="I1035" s="84"/>
      <c r="J1035" s="84"/>
      <c r="K1035" s="84"/>
      <c r="L1035" s="84"/>
      <c r="M1035" s="84"/>
      <c r="N1035" s="84"/>
      <c r="O1035" s="84"/>
      <c r="P1035" s="84"/>
      <c r="Q1035" s="84"/>
      <c r="R1035" s="84"/>
      <c r="S1035" s="84"/>
      <c r="T1035" s="84"/>
    </row>
    <row r="1036" ht="15.75" customHeight="1">
      <c r="A1036" s="84" t="s">
        <v>37493</v>
      </c>
      <c r="B1036" s="84">
        <v>1.0</v>
      </c>
      <c r="C1036" s="186"/>
      <c r="D1036" s="187"/>
      <c r="E1036" s="188"/>
      <c r="F1036" s="189"/>
      <c r="G1036" s="190"/>
      <c r="H1036" s="190"/>
      <c r="I1036" s="84"/>
      <c r="J1036" s="84"/>
      <c r="K1036" s="84"/>
      <c r="L1036" s="84"/>
      <c r="M1036" s="84"/>
      <c r="N1036" s="84"/>
      <c r="O1036" s="84"/>
      <c r="P1036" s="84"/>
      <c r="Q1036" s="84"/>
      <c r="R1036" s="84"/>
      <c r="S1036" s="84"/>
      <c r="T1036" s="84"/>
    </row>
    <row r="1037" ht="15.75" customHeight="1">
      <c r="A1037" s="84" t="s">
        <v>37494</v>
      </c>
      <c r="B1037" s="84">
        <v>1.0</v>
      </c>
      <c r="C1037" s="186"/>
      <c r="D1037" s="187"/>
      <c r="E1037" s="188"/>
      <c r="F1037" s="189"/>
      <c r="G1037" s="190"/>
      <c r="H1037" s="190"/>
      <c r="I1037" s="84"/>
      <c r="J1037" s="84"/>
      <c r="K1037" s="84"/>
      <c r="L1037" s="84"/>
      <c r="M1037" s="84"/>
      <c r="N1037" s="84"/>
      <c r="O1037" s="84"/>
      <c r="P1037" s="84"/>
      <c r="Q1037" s="84"/>
      <c r="R1037" s="84"/>
      <c r="S1037" s="84"/>
      <c r="T1037" s="84"/>
    </row>
    <row r="1038" ht="15.75" customHeight="1">
      <c r="A1038" s="84" t="s">
        <v>37495</v>
      </c>
      <c r="B1038" s="84">
        <v>1.0</v>
      </c>
      <c r="C1038" s="186"/>
      <c r="D1038" s="187"/>
      <c r="E1038" s="188"/>
      <c r="F1038" s="189"/>
      <c r="G1038" s="190"/>
      <c r="H1038" s="190"/>
      <c r="I1038" s="84"/>
      <c r="J1038" s="84"/>
      <c r="K1038" s="84"/>
      <c r="L1038" s="84"/>
      <c r="M1038" s="84"/>
      <c r="N1038" s="84"/>
      <c r="O1038" s="84"/>
      <c r="P1038" s="84"/>
      <c r="Q1038" s="84"/>
      <c r="R1038" s="84"/>
      <c r="S1038" s="84"/>
      <c r="T1038" s="84"/>
    </row>
    <row r="1039" ht="15.75" customHeight="1">
      <c r="A1039" s="84" t="s">
        <v>37496</v>
      </c>
      <c r="B1039" s="84">
        <v>1.0</v>
      </c>
      <c r="C1039" s="186"/>
      <c r="D1039" s="187"/>
      <c r="E1039" s="188"/>
      <c r="F1039" s="189"/>
      <c r="G1039" s="190"/>
      <c r="H1039" s="190"/>
      <c r="I1039" s="84"/>
      <c r="J1039" s="84"/>
      <c r="K1039" s="84"/>
      <c r="L1039" s="84"/>
      <c r="M1039" s="84"/>
      <c r="N1039" s="84"/>
      <c r="O1039" s="84"/>
      <c r="P1039" s="84"/>
      <c r="Q1039" s="84"/>
      <c r="R1039" s="84"/>
      <c r="S1039" s="84"/>
      <c r="T1039" s="84"/>
    </row>
    <row r="1040" ht="15.75" customHeight="1">
      <c r="A1040" s="84" t="s">
        <v>37497</v>
      </c>
      <c r="B1040" s="84">
        <v>2.0</v>
      </c>
      <c r="C1040" s="186"/>
      <c r="D1040" s="187"/>
      <c r="E1040" s="188"/>
      <c r="F1040" s="189"/>
      <c r="G1040" s="190"/>
      <c r="H1040" s="190"/>
      <c r="I1040" s="84"/>
      <c r="J1040" s="84"/>
      <c r="K1040" s="84"/>
      <c r="L1040" s="84"/>
      <c r="M1040" s="84"/>
      <c r="N1040" s="84"/>
      <c r="O1040" s="84"/>
      <c r="P1040" s="84"/>
      <c r="Q1040" s="84"/>
      <c r="R1040" s="84"/>
      <c r="S1040" s="84"/>
      <c r="T1040" s="84"/>
    </row>
    <row r="1041" ht="15.75" customHeight="1">
      <c r="A1041" s="84" t="s">
        <v>37498</v>
      </c>
      <c r="B1041" s="84">
        <v>1.0</v>
      </c>
      <c r="C1041" s="186"/>
      <c r="D1041" s="187"/>
      <c r="E1041" s="188"/>
      <c r="F1041" s="189"/>
      <c r="G1041" s="190"/>
      <c r="H1041" s="190"/>
      <c r="I1041" s="84"/>
      <c r="J1041" s="84"/>
      <c r="K1041" s="84"/>
      <c r="L1041" s="84"/>
      <c r="M1041" s="84"/>
      <c r="N1041" s="84"/>
      <c r="O1041" s="84"/>
      <c r="P1041" s="84"/>
      <c r="Q1041" s="84"/>
      <c r="R1041" s="84"/>
      <c r="S1041" s="84"/>
      <c r="T1041" s="84"/>
    </row>
    <row r="1042" ht="15.75" customHeight="1">
      <c r="A1042" s="84" t="s">
        <v>37499</v>
      </c>
      <c r="B1042" s="84">
        <v>2.0</v>
      </c>
      <c r="C1042" s="186"/>
      <c r="D1042" s="187"/>
      <c r="E1042" s="188"/>
      <c r="F1042" s="189"/>
      <c r="G1042" s="190"/>
      <c r="H1042" s="190"/>
      <c r="I1042" s="84"/>
      <c r="J1042" s="84"/>
      <c r="K1042" s="84"/>
      <c r="L1042" s="84"/>
      <c r="M1042" s="84"/>
      <c r="N1042" s="84"/>
      <c r="O1042" s="84"/>
      <c r="P1042" s="84"/>
      <c r="Q1042" s="84"/>
      <c r="R1042" s="84"/>
      <c r="S1042" s="84"/>
      <c r="T1042" s="84"/>
    </row>
    <row r="1043" ht="15.75" customHeight="1">
      <c r="A1043" s="84" t="s">
        <v>37500</v>
      </c>
      <c r="B1043" s="84">
        <v>1.0</v>
      </c>
      <c r="C1043" s="186"/>
      <c r="D1043" s="187"/>
      <c r="E1043" s="188"/>
      <c r="F1043" s="189"/>
      <c r="G1043" s="190"/>
      <c r="H1043" s="190"/>
      <c r="I1043" s="84"/>
      <c r="J1043" s="84"/>
      <c r="K1043" s="84"/>
      <c r="L1043" s="84"/>
      <c r="M1043" s="84"/>
      <c r="N1043" s="84"/>
      <c r="O1043" s="84"/>
      <c r="P1043" s="84"/>
      <c r="Q1043" s="84"/>
      <c r="R1043" s="84"/>
      <c r="S1043" s="84"/>
      <c r="T1043" s="84"/>
    </row>
    <row r="1044" ht="15.75" customHeight="1">
      <c r="A1044" s="84" t="s">
        <v>37501</v>
      </c>
      <c r="B1044" s="84">
        <v>1.0</v>
      </c>
      <c r="C1044" s="186"/>
      <c r="D1044" s="187"/>
      <c r="E1044" s="188"/>
      <c r="F1044" s="189"/>
      <c r="G1044" s="190"/>
      <c r="H1044" s="190"/>
      <c r="I1044" s="84"/>
      <c r="J1044" s="84"/>
      <c r="K1044" s="84"/>
      <c r="L1044" s="84"/>
      <c r="M1044" s="84"/>
      <c r="N1044" s="84"/>
      <c r="O1044" s="84"/>
      <c r="P1044" s="84"/>
      <c r="Q1044" s="84"/>
      <c r="R1044" s="84"/>
      <c r="S1044" s="84"/>
      <c r="T1044" s="84"/>
    </row>
    <row r="1045" ht="15.75" customHeight="1">
      <c r="A1045" s="84" t="s">
        <v>37502</v>
      </c>
      <c r="B1045" s="84">
        <v>1.0</v>
      </c>
      <c r="C1045" s="186"/>
      <c r="D1045" s="187"/>
      <c r="E1045" s="188"/>
      <c r="F1045" s="189"/>
      <c r="G1045" s="190"/>
      <c r="H1045" s="190"/>
      <c r="I1045" s="84"/>
      <c r="J1045" s="84"/>
      <c r="K1045" s="84"/>
      <c r="L1045" s="84"/>
      <c r="M1045" s="84"/>
      <c r="N1045" s="84"/>
      <c r="O1045" s="84"/>
      <c r="P1045" s="84"/>
      <c r="Q1045" s="84"/>
      <c r="R1045" s="84"/>
      <c r="S1045" s="84"/>
      <c r="T1045" s="84"/>
    </row>
    <row r="1046" ht="15.75" customHeight="1">
      <c r="A1046" s="84" t="s">
        <v>37503</v>
      </c>
      <c r="B1046" s="84">
        <v>1.0</v>
      </c>
      <c r="C1046" s="186"/>
      <c r="D1046" s="187"/>
      <c r="E1046" s="188"/>
      <c r="F1046" s="189"/>
      <c r="G1046" s="190"/>
      <c r="H1046" s="190"/>
      <c r="I1046" s="84"/>
      <c r="J1046" s="84"/>
      <c r="K1046" s="84"/>
      <c r="L1046" s="84"/>
      <c r="M1046" s="84"/>
      <c r="N1046" s="84"/>
      <c r="O1046" s="84"/>
      <c r="P1046" s="84"/>
      <c r="Q1046" s="84"/>
      <c r="R1046" s="84"/>
      <c r="S1046" s="84"/>
      <c r="T1046" s="84"/>
    </row>
    <row r="1047" ht="15.75" customHeight="1">
      <c r="A1047" s="84" t="s">
        <v>37504</v>
      </c>
      <c r="B1047" s="84">
        <v>1.0</v>
      </c>
      <c r="C1047" s="186"/>
      <c r="D1047" s="187"/>
      <c r="E1047" s="188"/>
      <c r="F1047" s="189"/>
      <c r="G1047" s="190"/>
      <c r="H1047" s="190"/>
      <c r="I1047" s="84"/>
      <c r="J1047" s="84"/>
      <c r="K1047" s="84"/>
      <c r="L1047" s="84"/>
      <c r="M1047" s="84"/>
      <c r="N1047" s="84"/>
      <c r="O1047" s="84"/>
      <c r="P1047" s="84"/>
      <c r="Q1047" s="84"/>
      <c r="R1047" s="84"/>
      <c r="S1047" s="84"/>
      <c r="T1047" s="84"/>
    </row>
    <row r="1048" ht="15.75" customHeight="1">
      <c r="A1048" s="84" t="s">
        <v>37505</v>
      </c>
      <c r="B1048" s="84">
        <v>1.0</v>
      </c>
      <c r="C1048" s="186"/>
      <c r="D1048" s="187"/>
      <c r="E1048" s="188"/>
      <c r="F1048" s="189"/>
      <c r="G1048" s="190"/>
      <c r="H1048" s="190"/>
      <c r="I1048" s="84"/>
      <c r="J1048" s="84"/>
      <c r="K1048" s="84"/>
      <c r="L1048" s="84"/>
      <c r="M1048" s="84"/>
      <c r="N1048" s="84"/>
      <c r="O1048" s="84"/>
      <c r="P1048" s="84"/>
      <c r="Q1048" s="84"/>
      <c r="R1048" s="84"/>
      <c r="S1048" s="84"/>
      <c r="T1048" s="84"/>
    </row>
    <row r="1049" ht="15.75" customHeight="1">
      <c r="A1049" s="84" t="s">
        <v>37506</v>
      </c>
      <c r="B1049" s="84">
        <v>1.0</v>
      </c>
      <c r="C1049" s="186"/>
      <c r="D1049" s="187"/>
      <c r="E1049" s="188"/>
      <c r="F1049" s="189"/>
      <c r="G1049" s="190"/>
      <c r="H1049" s="190"/>
      <c r="I1049" s="84"/>
      <c r="J1049" s="84"/>
      <c r="K1049" s="84"/>
      <c r="L1049" s="84"/>
      <c r="M1049" s="84"/>
      <c r="N1049" s="84"/>
      <c r="O1049" s="84"/>
      <c r="P1049" s="84"/>
      <c r="Q1049" s="84"/>
      <c r="R1049" s="84"/>
      <c r="S1049" s="84"/>
      <c r="T1049" s="84"/>
    </row>
    <row r="1050" ht="15.75" customHeight="1">
      <c r="A1050" s="84" t="s">
        <v>37507</v>
      </c>
      <c r="B1050" s="84">
        <v>1.0</v>
      </c>
      <c r="C1050" s="186"/>
      <c r="D1050" s="187"/>
      <c r="E1050" s="188"/>
      <c r="F1050" s="189"/>
      <c r="G1050" s="190"/>
      <c r="H1050" s="190"/>
      <c r="I1050" s="84"/>
      <c r="J1050" s="84"/>
      <c r="K1050" s="84"/>
      <c r="L1050" s="84"/>
      <c r="M1050" s="84"/>
      <c r="N1050" s="84"/>
      <c r="O1050" s="84"/>
      <c r="P1050" s="84"/>
      <c r="Q1050" s="84"/>
      <c r="R1050" s="84"/>
      <c r="S1050" s="84"/>
      <c r="T1050" s="84"/>
    </row>
    <row r="1051" ht="15.75" customHeight="1">
      <c r="A1051" s="84" t="s">
        <v>37508</v>
      </c>
      <c r="B1051" s="84">
        <v>2.0</v>
      </c>
      <c r="C1051" s="186"/>
      <c r="D1051" s="187"/>
      <c r="E1051" s="188"/>
      <c r="F1051" s="189"/>
      <c r="G1051" s="190"/>
      <c r="H1051" s="190"/>
      <c r="I1051" s="84"/>
      <c r="J1051" s="84"/>
      <c r="K1051" s="84"/>
      <c r="L1051" s="84"/>
      <c r="M1051" s="84"/>
      <c r="N1051" s="84"/>
      <c r="O1051" s="84"/>
      <c r="P1051" s="84"/>
      <c r="Q1051" s="84"/>
      <c r="R1051" s="84"/>
      <c r="S1051" s="84"/>
      <c r="T1051" s="84"/>
    </row>
    <row r="1052" ht="15.75" customHeight="1">
      <c r="A1052" s="84" t="s">
        <v>37509</v>
      </c>
      <c r="B1052" s="84">
        <v>2.0</v>
      </c>
      <c r="C1052" s="186"/>
      <c r="D1052" s="187"/>
      <c r="E1052" s="188"/>
      <c r="F1052" s="189"/>
      <c r="G1052" s="190"/>
      <c r="H1052" s="190"/>
      <c r="I1052" s="84"/>
      <c r="J1052" s="84"/>
      <c r="K1052" s="84"/>
      <c r="L1052" s="84"/>
      <c r="M1052" s="84"/>
      <c r="N1052" s="84"/>
      <c r="O1052" s="84"/>
      <c r="P1052" s="84"/>
      <c r="Q1052" s="84"/>
      <c r="R1052" s="84"/>
      <c r="S1052" s="84"/>
      <c r="T1052" s="84"/>
    </row>
    <row r="1053" ht="15.75" customHeight="1">
      <c r="A1053" s="84" t="s">
        <v>37510</v>
      </c>
      <c r="B1053" s="84">
        <v>1.0</v>
      </c>
      <c r="C1053" s="186"/>
      <c r="D1053" s="187"/>
      <c r="E1053" s="188"/>
      <c r="F1053" s="189"/>
      <c r="G1053" s="190"/>
      <c r="H1053" s="190"/>
      <c r="I1053" s="84"/>
      <c r="J1053" s="84"/>
      <c r="K1053" s="84"/>
      <c r="L1053" s="84"/>
      <c r="M1053" s="84"/>
      <c r="N1053" s="84"/>
      <c r="O1053" s="84"/>
      <c r="P1053" s="84"/>
      <c r="Q1053" s="84"/>
      <c r="R1053" s="84"/>
      <c r="S1053" s="84"/>
      <c r="T1053" s="84"/>
    </row>
    <row r="1054" ht="15.75" customHeight="1">
      <c r="A1054" s="84" t="s">
        <v>37511</v>
      </c>
      <c r="B1054" s="84">
        <v>1.0</v>
      </c>
      <c r="C1054" s="186"/>
      <c r="D1054" s="187"/>
      <c r="E1054" s="188"/>
      <c r="F1054" s="189"/>
      <c r="G1054" s="190"/>
      <c r="H1054" s="190"/>
      <c r="I1054" s="84"/>
      <c r="J1054" s="84"/>
      <c r="K1054" s="84"/>
      <c r="L1054" s="84"/>
      <c r="M1054" s="84"/>
      <c r="N1054" s="84"/>
      <c r="O1054" s="84"/>
      <c r="P1054" s="84"/>
      <c r="Q1054" s="84"/>
      <c r="R1054" s="84"/>
      <c r="S1054" s="84"/>
      <c r="T1054" s="84"/>
    </row>
    <row r="1055" ht="15.75" customHeight="1">
      <c r="A1055" s="84" t="s">
        <v>37512</v>
      </c>
      <c r="B1055" s="84">
        <v>1.0</v>
      </c>
      <c r="C1055" s="186"/>
      <c r="D1055" s="187"/>
      <c r="E1055" s="188"/>
      <c r="F1055" s="189"/>
      <c r="G1055" s="190"/>
      <c r="H1055" s="190"/>
      <c r="I1055" s="84"/>
      <c r="J1055" s="84"/>
      <c r="K1055" s="84"/>
      <c r="L1055" s="84"/>
      <c r="M1055" s="84"/>
      <c r="N1055" s="84"/>
      <c r="O1055" s="84"/>
      <c r="P1055" s="84"/>
      <c r="Q1055" s="84"/>
      <c r="R1055" s="84"/>
      <c r="S1055" s="84"/>
      <c r="T1055" s="84"/>
    </row>
    <row r="1056" ht="15.75" customHeight="1">
      <c r="A1056" s="84" t="s">
        <v>37513</v>
      </c>
      <c r="B1056" s="84">
        <v>1.0</v>
      </c>
      <c r="C1056" s="186"/>
      <c r="D1056" s="187"/>
      <c r="E1056" s="188"/>
      <c r="F1056" s="189"/>
      <c r="G1056" s="190"/>
      <c r="H1056" s="190"/>
      <c r="I1056" s="84"/>
      <c r="J1056" s="84"/>
      <c r="K1056" s="84"/>
      <c r="L1056" s="84"/>
      <c r="M1056" s="84"/>
      <c r="N1056" s="84"/>
      <c r="O1056" s="84"/>
      <c r="P1056" s="84"/>
      <c r="Q1056" s="84"/>
      <c r="R1056" s="84"/>
      <c r="S1056" s="84"/>
      <c r="T1056" s="84"/>
    </row>
    <row r="1057" ht="15.75" customHeight="1">
      <c r="A1057" s="84" t="s">
        <v>37514</v>
      </c>
      <c r="B1057" s="84">
        <v>1.0</v>
      </c>
      <c r="C1057" s="186"/>
      <c r="D1057" s="187"/>
      <c r="E1057" s="188"/>
      <c r="F1057" s="189"/>
      <c r="G1057" s="190"/>
      <c r="H1057" s="190"/>
      <c r="I1057" s="84"/>
      <c r="J1057" s="84"/>
      <c r="K1057" s="84"/>
      <c r="L1057" s="84"/>
      <c r="M1057" s="84"/>
      <c r="N1057" s="84"/>
      <c r="O1057" s="84"/>
      <c r="P1057" s="84"/>
      <c r="Q1057" s="84"/>
      <c r="R1057" s="84"/>
      <c r="S1057" s="84"/>
      <c r="T1057" s="84"/>
    </row>
    <row r="1058" ht="15.75" customHeight="1">
      <c r="A1058" s="84" t="s">
        <v>37515</v>
      </c>
      <c r="B1058" s="84">
        <v>1.0</v>
      </c>
      <c r="C1058" s="186"/>
      <c r="D1058" s="187"/>
      <c r="E1058" s="188"/>
      <c r="F1058" s="189"/>
      <c r="G1058" s="190"/>
      <c r="H1058" s="190"/>
      <c r="I1058" s="84"/>
      <c r="J1058" s="84"/>
      <c r="K1058" s="84"/>
      <c r="L1058" s="84"/>
      <c r="M1058" s="84"/>
      <c r="N1058" s="84"/>
      <c r="O1058" s="84"/>
      <c r="P1058" s="84"/>
      <c r="Q1058" s="84"/>
      <c r="R1058" s="84"/>
      <c r="S1058" s="84"/>
      <c r="T1058" s="84"/>
    </row>
    <row r="1059" ht="15.75" customHeight="1">
      <c r="A1059" s="84" t="s">
        <v>37516</v>
      </c>
      <c r="B1059" s="84">
        <v>1.0</v>
      </c>
      <c r="C1059" s="186"/>
      <c r="D1059" s="187"/>
      <c r="E1059" s="188"/>
      <c r="F1059" s="189"/>
      <c r="G1059" s="190"/>
      <c r="H1059" s="190"/>
      <c r="I1059" s="84"/>
      <c r="J1059" s="84"/>
      <c r="K1059" s="84"/>
      <c r="L1059" s="84"/>
      <c r="M1059" s="84"/>
      <c r="N1059" s="84"/>
      <c r="O1059" s="84"/>
      <c r="P1059" s="84"/>
      <c r="Q1059" s="84"/>
      <c r="R1059" s="84"/>
      <c r="S1059" s="84"/>
      <c r="T1059" s="84"/>
    </row>
    <row r="1060" ht="15.75" customHeight="1">
      <c r="A1060" s="84" t="s">
        <v>37517</v>
      </c>
      <c r="B1060" s="84">
        <v>6.0</v>
      </c>
      <c r="C1060" s="186"/>
      <c r="D1060" s="187"/>
      <c r="E1060" s="188"/>
      <c r="F1060" s="189"/>
      <c r="G1060" s="190"/>
      <c r="H1060" s="190"/>
      <c r="I1060" s="84"/>
      <c r="J1060" s="84"/>
      <c r="K1060" s="84"/>
      <c r="L1060" s="84"/>
      <c r="M1060" s="84"/>
      <c r="N1060" s="84"/>
      <c r="O1060" s="84"/>
      <c r="P1060" s="84"/>
      <c r="Q1060" s="84"/>
      <c r="R1060" s="84"/>
      <c r="S1060" s="84"/>
      <c r="T1060" s="84"/>
    </row>
    <row r="1061" ht="15.75" customHeight="1">
      <c r="A1061" s="84" t="s">
        <v>37518</v>
      </c>
      <c r="B1061" s="84">
        <v>1.0</v>
      </c>
      <c r="C1061" s="186"/>
      <c r="D1061" s="187"/>
      <c r="E1061" s="188"/>
      <c r="F1061" s="189"/>
      <c r="G1061" s="190"/>
      <c r="H1061" s="190"/>
      <c r="I1061" s="84"/>
      <c r="J1061" s="84"/>
      <c r="K1061" s="84"/>
      <c r="L1061" s="84"/>
      <c r="M1061" s="84"/>
      <c r="N1061" s="84"/>
      <c r="O1061" s="84"/>
      <c r="P1061" s="84"/>
      <c r="Q1061" s="84"/>
      <c r="R1061" s="84"/>
      <c r="S1061" s="84"/>
      <c r="T1061" s="84"/>
    </row>
    <row r="1062" ht="15.75" customHeight="1">
      <c r="A1062" s="84" t="s">
        <v>37519</v>
      </c>
      <c r="B1062" s="84">
        <v>1.0</v>
      </c>
      <c r="C1062" s="186"/>
      <c r="D1062" s="187"/>
      <c r="E1062" s="188"/>
      <c r="F1062" s="189"/>
      <c r="G1062" s="190"/>
      <c r="H1062" s="190"/>
      <c r="I1062" s="84"/>
      <c r="J1062" s="84"/>
      <c r="K1062" s="84"/>
      <c r="L1062" s="84"/>
      <c r="M1062" s="84"/>
      <c r="N1062" s="84"/>
      <c r="O1062" s="84"/>
      <c r="P1062" s="84"/>
      <c r="Q1062" s="84"/>
      <c r="R1062" s="84"/>
      <c r="S1062" s="84"/>
      <c r="T1062" s="84"/>
    </row>
    <row r="1063" ht="15.75" customHeight="1">
      <c r="A1063" s="84" t="s">
        <v>37520</v>
      </c>
      <c r="B1063" s="84">
        <v>2.0</v>
      </c>
      <c r="C1063" s="186"/>
      <c r="D1063" s="187"/>
      <c r="E1063" s="188"/>
      <c r="F1063" s="189"/>
      <c r="G1063" s="190"/>
      <c r="H1063" s="190"/>
      <c r="I1063" s="84"/>
      <c r="J1063" s="84"/>
      <c r="K1063" s="84"/>
      <c r="L1063" s="84"/>
      <c r="M1063" s="84"/>
      <c r="N1063" s="84"/>
      <c r="O1063" s="84"/>
      <c r="P1063" s="84"/>
      <c r="Q1063" s="84"/>
      <c r="R1063" s="84"/>
      <c r="S1063" s="84"/>
      <c r="T1063" s="84"/>
    </row>
    <row r="1064" ht="15.75" customHeight="1">
      <c r="A1064" s="84" t="s">
        <v>37522</v>
      </c>
      <c r="B1064" s="84">
        <v>1.0</v>
      </c>
      <c r="C1064" s="186"/>
      <c r="D1064" s="187"/>
      <c r="E1064" s="188"/>
      <c r="F1064" s="189"/>
      <c r="G1064" s="190"/>
      <c r="H1064" s="190"/>
      <c r="I1064" s="84"/>
      <c r="J1064" s="84"/>
      <c r="K1064" s="84"/>
      <c r="L1064" s="84"/>
      <c r="M1064" s="84"/>
      <c r="N1064" s="84"/>
      <c r="O1064" s="84"/>
      <c r="P1064" s="84"/>
      <c r="Q1064" s="84"/>
      <c r="R1064" s="84"/>
      <c r="S1064" s="84"/>
      <c r="T1064" s="84"/>
    </row>
    <row r="1065" ht="15.75" customHeight="1">
      <c r="A1065" s="84" t="s">
        <v>37523</v>
      </c>
      <c r="B1065" s="84">
        <v>5.0</v>
      </c>
      <c r="C1065" s="186"/>
      <c r="D1065" s="187"/>
      <c r="E1065" s="188"/>
      <c r="F1065" s="189"/>
      <c r="G1065" s="190"/>
      <c r="H1065" s="190"/>
      <c r="I1065" s="84"/>
      <c r="J1065" s="84"/>
      <c r="K1065" s="84"/>
      <c r="L1065" s="84"/>
      <c r="M1065" s="84"/>
      <c r="N1065" s="84"/>
      <c r="O1065" s="84"/>
      <c r="P1065" s="84"/>
      <c r="Q1065" s="84"/>
      <c r="R1065" s="84"/>
      <c r="S1065" s="84"/>
      <c r="T1065" s="84"/>
    </row>
    <row r="1066" ht="15.75" customHeight="1">
      <c r="A1066" s="84" t="s">
        <v>37524</v>
      </c>
      <c r="B1066" s="84">
        <v>1.0</v>
      </c>
      <c r="C1066" s="186"/>
      <c r="D1066" s="187"/>
      <c r="E1066" s="188"/>
      <c r="F1066" s="189"/>
      <c r="G1066" s="190"/>
      <c r="H1066" s="190"/>
      <c r="I1066" s="84"/>
      <c r="J1066" s="84"/>
      <c r="K1066" s="84"/>
      <c r="L1066" s="84"/>
      <c r="M1066" s="84"/>
      <c r="N1066" s="84"/>
      <c r="O1066" s="84"/>
      <c r="P1066" s="84"/>
      <c r="Q1066" s="84"/>
      <c r="R1066" s="84"/>
      <c r="S1066" s="84"/>
      <c r="T1066" s="84"/>
    </row>
    <row r="1067" ht="15.75" customHeight="1">
      <c r="A1067" s="84" t="s">
        <v>37525</v>
      </c>
      <c r="B1067" s="84">
        <v>1.0</v>
      </c>
      <c r="C1067" s="186"/>
      <c r="D1067" s="187"/>
      <c r="E1067" s="188"/>
      <c r="F1067" s="189"/>
      <c r="G1067" s="190"/>
      <c r="H1067" s="190"/>
      <c r="I1067" s="84"/>
      <c r="J1067" s="84"/>
      <c r="K1067" s="84"/>
      <c r="L1067" s="84"/>
      <c r="M1067" s="84"/>
      <c r="N1067" s="84"/>
      <c r="O1067" s="84"/>
      <c r="P1067" s="84"/>
      <c r="Q1067" s="84"/>
      <c r="R1067" s="84"/>
      <c r="S1067" s="84"/>
      <c r="T1067" s="84"/>
    </row>
    <row r="1068" ht="15.75" customHeight="1">
      <c r="A1068" s="84" t="s">
        <v>37526</v>
      </c>
      <c r="B1068" s="84">
        <v>1.0</v>
      </c>
      <c r="C1068" s="186"/>
      <c r="D1068" s="187"/>
      <c r="E1068" s="188"/>
      <c r="F1068" s="189"/>
      <c r="G1068" s="190"/>
      <c r="H1068" s="190"/>
      <c r="I1068" s="84"/>
      <c r="J1068" s="84"/>
      <c r="K1068" s="84"/>
      <c r="L1068" s="84"/>
      <c r="M1068" s="84"/>
      <c r="N1068" s="84"/>
      <c r="O1068" s="84"/>
      <c r="P1068" s="84"/>
      <c r="Q1068" s="84"/>
      <c r="R1068" s="84"/>
      <c r="S1068" s="84"/>
      <c r="T1068" s="84"/>
    </row>
    <row r="1069" ht="15.75" customHeight="1">
      <c r="A1069" s="84" t="s">
        <v>37527</v>
      </c>
      <c r="B1069" s="84">
        <v>1.0</v>
      </c>
      <c r="C1069" s="186"/>
      <c r="D1069" s="187"/>
      <c r="E1069" s="188"/>
      <c r="F1069" s="189"/>
      <c r="G1069" s="190"/>
      <c r="H1069" s="190"/>
      <c r="I1069" s="84"/>
      <c r="J1069" s="84"/>
      <c r="K1069" s="84"/>
      <c r="L1069" s="84"/>
      <c r="M1069" s="84"/>
      <c r="N1069" s="84"/>
      <c r="O1069" s="84"/>
      <c r="P1069" s="84"/>
      <c r="Q1069" s="84"/>
      <c r="R1069" s="84"/>
      <c r="S1069" s="84"/>
      <c r="T1069" s="84"/>
    </row>
    <row r="1070" ht="15.75" customHeight="1">
      <c r="A1070" s="84" t="s">
        <v>37528</v>
      </c>
      <c r="B1070" s="84">
        <v>1.0</v>
      </c>
      <c r="C1070" s="186"/>
      <c r="D1070" s="187"/>
      <c r="E1070" s="188"/>
      <c r="F1070" s="189"/>
      <c r="G1070" s="190"/>
      <c r="H1070" s="190"/>
      <c r="I1070" s="84"/>
      <c r="J1070" s="84"/>
      <c r="K1070" s="84"/>
      <c r="L1070" s="84"/>
      <c r="M1070" s="84"/>
      <c r="N1070" s="84"/>
      <c r="O1070" s="84"/>
      <c r="P1070" s="84"/>
      <c r="Q1070" s="84"/>
      <c r="R1070" s="84"/>
      <c r="S1070" s="84"/>
      <c r="T1070" s="84"/>
    </row>
    <row r="1071" ht="15.75" customHeight="1">
      <c r="A1071" s="84" t="s">
        <v>37529</v>
      </c>
      <c r="B1071" s="84">
        <v>1.0</v>
      </c>
      <c r="C1071" s="186"/>
      <c r="D1071" s="187"/>
      <c r="E1071" s="188"/>
      <c r="F1071" s="189"/>
      <c r="G1071" s="190"/>
      <c r="H1071" s="190"/>
      <c r="I1071" s="84"/>
      <c r="J1071" s="84"/>
      <c r="K1071" s="84"/>
      <c r="L1071" s="84"/>
      <c r="M1071" s="84"/>
      <c r="N1071" s="84"/>
      <c r="O1071" s="84"/>
      <c r="P1071" s="84"/>
      <c r="Q1071" s="84"/>
      <c r="R1071" s="84"/>
      <c r="S1071" s="84"/>
      <c r="T1071" s="84"/>
    </row>
    <row r="1072" ht="15.75" customHeight="1">
      <c r="A1072" s="84" t="s">
        <v>37530</v>
      </c>
      <c r="B1072" s="84">
        <v>1.0</v>
      </c>
      <c r="C1072" s="186"/>
      <c r="D1072" s="187"/>
      <c r="E1072" s="188"/>
      <c r="F1072" s="189"/>
      <c r="G1072" s="190"/>
      <c r="H1072" s="190"/>
      <c r="I1072" s="84"/>
      <c r="J1072" s="84"/>
      <c r="K1072" s="84"/>
      <c r="L1072" s="84"/>
      <c r="M1072" s="84"/>
      <c r="N1072" s="84"/>
      <c r="O1072" s="84"/>
      <c r="P1072" s="84"/>
      <c r="Q1072" s="84"/>
      <c r="R1072" s="84"/>
      <c r="S1072" s="84"/>
      <c r="T1072" s="84"/>
    </row>
    <row r="1073" ht="15.75" customHeight="1">
      <c r="A1073" s="84" t="s">
        <v>37531</v>
      </c>
      <c r="B1073" s="84">
        <v>1.0</v>
      </c>
      <c r="C1073" s="186"/>
      <c r="D1073" s="187"/>
      <c r="E1073" s="188"/>
      <c r="F1073" s="189"/>
      <c r="G1073" s="190"/>
      <c r="H1073" s="190"/>
      <c r="I1073" s="84"/>
      <c r="J1073" s="84"/>
      <c r="K1073" s="84"/>
      <c r="L1073" s="84"/>
      <c r="M1073" s="84"/>
      <c r="N1073" s="84"/>
      <c r="O1073" s="84"/>
      <c r="P1073" s="84"/>
      <c r="Q1073" s="84"/>
      <c r="R1073" s="84"/>
      <c r="S1073" s="84"/>
      <c r="T1073" s="84"/>
    </row>
    <row r="1074" ht="15.75" customHeight="1">
      <c r="A1074" s="84" t="s">
        <v>37532</v>
      </c>
      <c r="B1074" s="84">
        <v>1.0</v>
      </c>
      <c r="C1074" s="186"/>
      <c r="D1074" s="187" t="s">
        <v>37533</v>
      </c>
      <c r="E1074" s="188"/>
      <c r="F1074" s="189"/>
      <c r="G1074" s="190"/>
      <c r="H1074" s="190"/>
      <c r="I1074" s="84"/>
      <c r="J1074" s="84"/>
      <c r="K1074" s="84"/>
      <c r="L1074" s="84"/>
      <c r="M1074" s="84"/>
      <c r="N1074" s="84"/>
      <c r="O1074" s="84"/>
      <c r="P1074" s="84"/>
      <c r="Q1074" s="84"/>
      <c r="R1074" s="84"/>
      <c r="S1074" s="84"/>
      <c r="T1074" s="84"/>
    </row>
    <row r="1075" ht="15.75" customHeight="1">
      <c r="A1075" s="84" t="s">
        <v>37533</v>
      </c>
      <c r="B1075" s="84">
        <v>1.0</v>
      </c>
      <c r="C1075" s="186"/>
      <c r="D1075" s="187"/>
      <c r="E1075" s="188"/>
      <c r="F1075" s="189"/>
      <c r="G1075" s="190"/>
      <c r="H1075" s="190"/>
      <c r="I1075" s="84"/>
      <c r="J1075" s="84"/>
      <c r="K1075" s="84"/>
      <c r="L1075" s="84"/>
      <c r="M1075" s="84"/>
      <c r="N1075" s="84"/>
      <c r="O1075" s="84"/>
      <c r="P1075" s="84"/>
      <c r="Q1075" s="84"/>
      <c r="R1075" s="84"/>
      <c r="S1075" s="84"/>
      <c r="T1075" s="84"/>
    </row>
    <row r="1076" ht="15.75" customHeight="1">
      <c r="A1076" s="84" t="s">
        <v>37534</v>
      </c>
      <c r="B1076" s="84">
        <v>1.0</v>
      </c>
      <c r="C1076" s="186"/>
      <c r="D1076" s="187"/>
      <c r="E1076" s="188"/>
      <c r="F1076" s="189"/>
      <c r="G1076" s="190"/>
      <c r="H1076" s="190"/>
      <c r="I1076" s="84"/>
      <c r="J1076" s="84"/>
      <c r="K1076" s="84"/>
      <c r="L1076" s="84"/>
      <c r="M1076" s="84"/>
      <c r="N1076" s="84"/>
      <c r="O1076" s="84"/>
      <c r="P1076" s="84"/>
      <c r="Q1076" s="84"/>
      <c r="R1076" s="84"/>
      <c r="S1076" s="84"/>
      <c r="T1076" s="84"/>
    </row>
    <row r="1077" ht="15.75" customHeight="1">
      <c r="A1077" s="84" t="s">
        <v>37535</v>
      </c>
      <c r="B1077" s="84">
        <v>1.0</v>
      </c>
      <c r="C1077" s="186"/>
      <c r="D1077" s="187"/>
      <c r="E1077" s="188"/>
      <c r="F1077" s="189"/>
      <c r="G1077" s="190"/>
      <c r="H1077" s="190"/>
      <c r="I1077" s="84"/>
      <c r="J1077" s="84"/>
      <c r="K1077" s="84"/>
      <c r="L1077" s="84"/>
      <c r="M1077" s="84"/>
      <c r="N1077" s="84"/>
      <c r="O1077" s="84"/>
      <c r="P1077" s="84"/>
      <c r="Q1077" s="84"/>
      <c r="R1077" s="84"/>
      <c r="S1077" s="84"/>
      <c r="T1077" s="84"/>
    </row>
    <row r="1078" ht="15.75" customHeight="1">
      <c r="A1078" s="84" t="s">
        <v>37536</v>
      </c>
      <c r="B1078" s="84">
        <v>2.0</v>
      </c>
      <c r="C1078" s="186"/>
      <c r="D1078" s="187"/>
      <c r="E1078" s="188"/>
      <c r="F1078" s="189"/>
      <c r="G1078" s="190"/>
      <c r="H1078" s="190"/>
      <c r="I1078" s="84"/>
      <c r="J1078" s="84"/>
      <c r="K1078" s="84"/>
      <c r="L1078" s="84"/>
      <c r="M1078" s="84"/>
      <c r="N1078" s="84"/>
      <c r="O1078" s="84"/>
      <c r="P1078" s="84"/>
      <c r="Q1078" s="84"/>
      <c r="R1078" s="84"/>
      <c r="S1078" s="84"/>
      <c r="T1078" s="84"/>
    </row>
    <row r="1079" ht="15.75" customHeight="1">
      <c r="A1079" s="84" t="s">
        <v>37537</v>
      </c>
      <c r="B1079" s="84">
        <v>1.0</v>
      </c>
      <c r="C1079" s="186"/>
      <c r="D1079" s="187"/>
      <c r="E1079" s="188"/>
      <c r="F1079" s="189"/>
      <c r="G1079" s="190"/>
      <c r="H1079" s="190"/>
      <c r="I1079" s="84"/>
      <c r="J1079" s="84"/>
      <c r="K1079" s="84"/>
      <c r="L1079" s="84"/>
      <c r="M1079" s="84"/>
      <c r="N1079" s="84"/>
      <c r="O1079" s="84"/>
      <c r="P1079" s="84"/>
      <c r="Q1079" s="84"/>
      <c r="R1079" s="84"/>
      <c r="S1079" s="84"/>
      <c r="T1079" s="84"/>
    </row>
    <row r="1080" ht="15.75" customHeight="1">
      <c r="A1080" s="84" t="s">
        <v>37538</v>
      </c>
      <c r="B1080" s="84">
        <v>1.0</v>
      </c>
      <c r="C1080" s="186"/>
      <c r="D1080" s="187"/>
      <c r="E1080" s="188"/>
      <c r="F1080" s="189"/>
      <c r="G1080" s="190"/>
      <c r="H1080" s="190"/>
      <c r="I1080" s="84"/>
      <c r="J1080" s="84"/>
      <c r="K1080" s="84"/>
      <c r="L1080" s="84"/>
      <c r="M1080" s="84"/>
      <c r="N1080" s="84"/>
      <c r="O1080" s="84"/>
      <c r="P1080" s="84"/>
      <c r="Q1080" s="84"/>
      <c r="R1080" s="84"/>
      <c r="S1080" s="84"/>
      <c r="T1080" s="84"/>
    </row>
    <row r="1081" ht="15.75" customHeight="1">
      <c r="A1081" s="84" t="s">
        <v>37539</v>
      </c>
      <c r="B1081" s="84">
        <v>1.0</v>
      </c>
      <c r="C1081" s="186"/>
      <c r="D1081" s="187"/>
      <c r="E1081" s="188"/>
      <c r="F1081" s="189"/>
      <c r="G1081" s="190"/>
      <c r="H1081" s="190"/>
      <c r="I1081" s="84"/>
      <c r="J1081" s="84"/>
      <c r="K1081" s="84"/>
      <c r="L1081" s="84"/>
      <c r="M1081" s="84"/>
      <c r="N1081" s="84"/>
      <c r="O1081" s="84"/>
      <c r="P1081" s="84"/>
      <c r="Q1081" s="84"/>
      <c r="R1081" s="84"/>
      <c r="S1081" s="84"/>
      <c r="T1081" s="84"/>
    </row>
    <row r="1082" ht="15.75" customHeight="1">
      <c r="A1082" s="84" t="s">
        <v>37540</v>
      </c>
      <c r="B1082" s="84">
        <v>1.0</v>
      </c>
      <c r="C1082" s="186"/>
      <c r="D1082" s="187"/>
      <c r="E1082" s="188"/>
      <c r="F1082" s="189"/>
      <c r="G1082" s="190"/>
      <c r="H1082" s="190"/>
      <c r="I1082" s="84"/>
      <c r="J1082" s="84"/>
      <c r="K1082" s="84"/>
      <c r="L1082" s="84"/>
      <c r="M1082" s="84"/>
      <c r="N1082" s="84"/>
      <c r="O1082" s="84"/>
      <c r="P1082" s="84"/>
      <c r="Q1082" s="84"/>
      <c r="R1082" s="84"/>
      <c r="S1082" s="84"/>
      <c r="T1082" s="84"/>
    </row>
    <row r="1083" ht="15.75" customHeight="1">
      <c r="A1083" s="84" t="s">
        <v>37541</v>
      </c>
      <c r="B1083" s="84">
        <v>1.0</v>
      </c>
      <c r="C1083" s="186"/>
      <c r="D1083" s="187"/>
      <c r="E1083" s="188"/>
      <c r="F1083" s="189"/>
      <c r="G1083" s="190"/>
      <c r="H1083" s="190"/>
      <c r="I1083" s="84"/>
      <c r="J1083" s="84"/>
      <c r="K1083" s="84"/>
      <c r="L1083" s="84"/>
      <c r="M1083" s="84"/>
      <c r="N1083" s="84"/>
      <c r="O1083" s="84"/>
      <c r="P1083" s="84"/>
      <c r="Q1083" s="84"/>
      <c r="R1083" s="84"/>
      <c r="S1083" s="84"/>
      <c r="T1083" s="84"/>
    </row>
    <row r="1084" ht="15.75" customHeight="1">
      <c r="A1084" s="84" t="s">
        <v>37542</v>
      </c>
      <c r="B1084" s="84">
        <v>1.0</v>
      </c>
      <c r="C1084" s="186"/>
      <c r="D1084" s="187"/>
      <c r="E1084" s="188"/>
      <c r="F1084" s="189"/>
      <c r="G1084" s="190"/>
      <c r="H1084" s="190"/>
      <c r="I1084" s="84"/>
      <c r="J1084" s="84"/>
      <c r="K1084" s="84"/>
      <c r="L1084" s="84"/>
      <c r="M1084" s="84"/>
      <c r="N1084" s="84"/>
      <c r="O1084" s="84"/>
      <c r="P1084" s="84"/>
      <c r="Q1084" s="84"/>
      <c r="R1084" s="84"/>
      <c r="S1084" s="84"/>
      <c r="T1084" s="84"/>
    </row>
    <row r="1085" ht="15.75" customHeight="1">
      <c r="A1085" s="84" t="s">
        <v>37543</v>
      </c>
      <c r="B1085" s="84">
        <v>1.0</v>
      </c>
      <c r="C1085" s="186"/>
      <c r="D1085" s="187"/>
      <c r="E1085" s="188"/>
      <c r="F1085" s="189"/>
      <c r="G1085" s="190"/>
      <c r="H1085" s="190"/>
      <c r="I1085" s="84"/>
      <c r="J1085" s="84"/>
      <c r="K1085" s="84"/>
      <c r="L1085" s="84"/>
      <c r="M1085" s="84"/>
      <c r="N1085" s="84"/>
      <c r="O1085" s="84"/>
      <c r="P1085" s="84"/>
      <c r="Q1085" s="84"/>
      <c r="R1085" s="84"/>
      <c r="S1085" s="84"/>
      <c r="T1085" s="84"/>
    </row>
    <row r="1086" ht="15.75" customHeight="1">
      <c r="A1086" s="84" t="s">
        <v>37545</v>
      </c>
      <c r="B1086" s="84">
        <v>6.0</v>
      </c>
      <c r="C1086" s="186"/>
      <c r="D1086" s="187"/>
      <c r="E1086" s="188"/>
      <c r="F1086" s="189"/>
      <c r="G1086" s="190"/>
      <c r="H1086" s="190"/>
      <c r="I1086" s="84"/>
      <c r="J1086" s="84"/>
      <c r="K1086" s="84"/>
      <c r="L1086" s="84"/>
      <c r="M1086" s="84"/>
      <c r="N1086" s="84"/>
      <c r="O1086" s="84"/>
      <c r="P1086" s="84"/>
      <c r="Q1086" s="84"/>
      <c r="R1086" s="84"/>
      <c r="S1086" s="84"/>
      <c r="T1086" s="84"/>
    </row>
    <row r="1087" ht="15.75" customHeight="1">
      <c r="A1087" s="84" t="s">
        <v>37547</v>
      </c>
      <c r="B1087" s="84">
        <v>1.0</v>
      </c>
      <c r="C1087" s="186"/>
      <c r="D1087" s="187"/>
      <c r="E1087" s="188"/>
      <c r="F1087" s="189"/>
      <c r="G1087" s="190"/>
      <c r="H1087" s="190"/>
      <c r="I1087" s="84"/>
      <c r="J1087" s="84"/>
      <c r="K1087" s="84"/>
      <c r="L1087" s="84"/>
      <c r="M1087" s="84"/>
      <c r="N1087" s="84"/>
      <c r="O1087" s="84"/>
      <c r="P1087" s="84"/>
      <c r="Q1087" s="84"/>
      <c r="R1087" s="84"/>
      <c r="S1087" s="84"/>
      <c r="T1087" s="84"/>
    </row>
    <row r="1088" ht="15.75" customHeight="1">
      <c r="A1088" s="84" t="s">
        <v>37548</v>
      </c>
      <c r="B1088" s="84">
        <v>1.0</v>
      </c>
      <c r="C1088" s="186" t="s">
        <v>30659</v>
      </c>
      <c r="D1088" s="187" t="s">
        <v>37545</v>
      </c>
      <c r="E1088" s="188"/>
      <c r="F1088" s="189"/>
      <c r="G1088" s="190"/>
      <c r="H1088" s="190"/>
      <c r="I1088" s="84"/>
      <c r="J1088" s="84"/>
      <c r="K1088" s="84"/>
      <c r="L1088" s="84"/>
      <c r="M1088" s="84"/>
      <c r="N1088" s="84"/>
      <c r="O1088" s="84"/>
      <c r="P1088" s="84"/>
      <c r="Q1088" s="84"/>
      <c r="R1088" s="84"/>
      <c r="S1088" s="84"/>
      <c r="T1088" s="84"/>
    </row>
    <row r="1089" ht="15.75" customHeight="1">
      <c r="A1089" s="84" t="s">
        <v>37549</v>
      </c>
      <c r="B1089" s="84">
        <v>1.0</v>
      </c>
      <c r="C1089" s="186"/>
      <c r="D1089" s="187"/>
      <c r="E1089" s="188"/>
      <c r="F1089" s="189"/>
      <c r="G1089" s="190"/>
      <c r="H1089" s="190"/>
      <c r="I1089" s="84"/>
      <c r="J1089" s="84"/>
      <c r="K1089" s="84"/>
      <c r="L1089" s="84"/>
      <c r="M1089" s="84"/>
      <c r="N1089" s="84"/>
      <c r="O1089" s="84"/>
      <c r="P1089" s="84"/>
      <c r="Q1089" s="84"/>
      <c r="R1089" s="84"/>
      <c r="S1089" s="84"/>
      <c r="T1089" s="84"/>
    </row>
    <row r="1090" ht="15.75" customHeight="1">
      <c r="A1090" s="84" t="s">
        <v>37550</v>
      </c>
      <c r="B1090" s="84">
        <v>1.0</v>
      </c>
      <c r="C1090" s="186"/>
      <c r="D1090" s="187"/>
      <c r="E1090" s="188"/>
      <c r="F1090" s="189"/>
      <c r="G1090" s="190"/>
      <c r="H1090" s="190"/>
      <c r="I1090" s="84"/>
      <c r="J1090" s="84"/>
      <c r="K1090" s="84"/>
      <c r="L1090" s="84"/>
      <c r="M1090" s="84"/>
      <c r="N1090" s="84"/>
      <c r="O1090" s="84"/>
      <c r="P1090" s="84"/>
      <c r="Q1090" s="84"/>
      <c r="R1090" s="84"/>
      <c r="S1090" s="84"/>
      <c r="T1090" s="84"/>
    </row>
    <row r="1091" ht="15.75" customHeight="1">
      <c r="A1091" s="84" t="s">
        <v>37551</v>
      </c>
      <c r="B1091" s="84">
        <v>1.0</v>
      </c>
      <c r="C1091" s="186"/>
      <c r="D1091" s="187"/>
      <c r="E1091" s="188"/>
      <c r="F1091" s="189"/>
      <c r="G1091" s="190"/>
      <c r="H1091" s="190"/>
      <c r="I1091" s="84"/>
      <c r="J1091" s="84"/>
      <c r="K1091" s="84"/>
      <c r="L1091" s="84"/>
      <c r="M1091" s="84"/>
      <c r="N1091" s="84"/>
      <c r="O1091" s="84"/>
      <c r="P1091" s="84"/>
      <c r="Q1091" s="84"/>
      <c r="R1091" s="84"/>
      <c r="S1091" s="84"/>
      <c r="T1091" s="84"/>
    </row>
    <row r="1092" ht="15.75" customHeight="1">
      <c r="A1092" s="84" t="s">
        <v>37552</v>
      </c>
      <c r="B1092" s="84">
        <v>1.0</v>
      </c>
      <c r="C1092" s="186"/>
      <c r="D1092" s="187"/>
      <c r="E1092" s="188"/>
      <c r="F1092" s="189"/>
      <c r="G1092" s="190"/>
      <c r="H1092" s="190"/>
      <c r="I1092" s="84"/>
      <c r="J1092" s="84"/>
      <c r="K1092" s="84"/>
      <c r="L1092" s="84"/>
      <c r="M1092" s="84"/>
      <c r="N1092" s="84"/>
      <c r="O1092" s="84"/>
      <c r="P1092" s="84"/>
      <c r="Q1092" s="84"/>
      <c r="R1092" s="84"/>
      <c r="S1092" s="84"/>
      <c r="T1092" s="84"/>
    </row>
    <row r="1093" ht="15.75" customHeight="1">
      <c r="A1093" s="84" t="s">
        <v>37553</v>
      </c>
      <c r="B1093" s="84">
        <v>2.0</v>
      </c>
      <c r="C1093" s="186"/>
      <c r="D1093" s="187"/>
      <c r="E1093" s="188"/>
      <c r="F1093" s="189"/>
      <c r="G1093" s="190"/>
      <c r="H1093" s="190"/>
      <c r="I1093" s="84"/>
      <c r="J1093" s="84"/>
      <c r="K1093" s="84"/>
      <c r="L1093" s="84"/>
      <c r="M1093" s="84"/>
      <c r="N1093" s="84"/>
      <c r="O1093" s="84"/>
      <c r="P1093" s="84"/>
      <c r="Q1093" s="84"/>
      <c r="R1093" s="84"/>
      <c r="S1093" s="84"/>
      <c r="T1093" s="84"/>
    </row>
    <row r="1094" ht="15.75" customHeight="1">
      <c r="A1094" s="84" t="s">
        <v>37554</v>
      </c>
      <c r="B1094" s="84">
        <v>1.0</v>
      </c>
      <c r="C1094" s="186"/>
      <c r="D1094" s="187"/>
      <c r="E1094" s="188"/>
      <c r="F1094" s="189"/>
      <c r="G1094" s="190"/>
      <c r="H1094" s="190"/>
      <c r="I1094" s="84"/>
      <c r="J1094" s="84"/>
      <c r="K1094" s="84"/>
      <c r="L1094" s="84"/>
      <c r="M1094" s="84"/>
      <c r="N1094" s="84"/>
      <c r="O1094" s="84"/>
      <c r="P1094" s="84"/>
      <c r="Q1094" s="84"/>
      <c r="R1094" s="84"/>
      <c r="S1094" s="84"/>
      <c r="T1094" s="84"/>
    </row>
    <row r="1095" ht="15.75" customHeight="1">
      <c r="A1095" s="84" t="s">
        <v>37555</v>
      </c>
      <c r="B1095" s="84">
        <v>1.0</v>
      </c>
      <c r="C1095" s="186"/>
      <c r="D1095" s="187"/>
      <c r="E1095" s="188"/>
      <c r="F1095" s="189"/>
      <c r="G1095" s="190"/>
      <c r="H1095" s="190"/>
      <c r="I1095" s="84"/>
      <c r="J1095" s="84"/>
      <c r="K1095" s="84"/>
      <c r="L1095" s="84"/>
      <c r="M1095" s="84"/>
      <c r="N1095" s="84"/>
      <c r="O1095" s="84"/>
      <c r="P1095" s="84"/>
      <c r="Q1095" s="84"/>
      <c r="R1095" s="84"/>
      <c r="S1095" s="84"/>
      <c r="T1095" s="84"/>
    </row>
    <row r="1096" ht="15.75" customHeight="1">
      <c r="A1096" s="84" t="s">
        <v>37556</v>
      </c>
      <c r="B1096" s="84">
        <v>1.0</v>
      </c>
      <c r="C1096" s="186"/>
      <c r="D1096" s="187"/>
      <c r="E1096" s="188"/>
      <c r="F1096" s="189"/>
      <c r="G1096" s="190"/>
      <c r="H1096" s="190"/>
      <c r="I1096" s="84"/>
      <c r="J1096" s="84"/>
      <c r="K1096" s="84"/>
      <c r="L1096" s="84"/>
      <c r="M1096" s="84"/>
      <c r="N1096" s="84"/>
      <c r="O1096" s="84"/>
      <c r="P1096" s="84"/>
      <c r="Q1096" s="84"/>
      <c r="R1096" s="84"/>
      <c r="S1096" s="84"/>
      <c r="T1096" s="84"/>
    </row>
    <row r="1097" ht="15.75" customHeight="1">
      <c r="A1097" s="84" t="s">
        <v>37557</v>
      </c>
      <c r="B1097" s="84">
        <v>1.0</v>
      </c>
      <c r="C1097" s="186"/>
      <c r="D1097" s="187"/>
      <c r="E1097" s="188"/>
      <c r="F1097" s="189"/>
      <c r="G1097" s="190"/>
      <c r="H1097" s="190"/>
      <c r="I1097" s="84"/>
      <c r="J1097" s="84"/>
      <c r="K1097" s="84"/>
      <c r="L1097" s="84"/>
      <c r="M1097" s="84"/>
      <c r="N1097" s="84"/>
      <c r="O1097" s="84"/>
      <c r="P1097" s="84"/>
      <c r="Q1097" s="84"/>
      <c r="R1097" s="84"/>
      <c r="S1097" s="84"/>
      <c r="T1097" s="84"/>
    </row>
    <row r="1098" ht="15.75" customHeight="1">
      <c r="A1098" s="84" t="s">
        <v>37559</v>
      </c>
      <c r="B1098" s="84">
        <v>1.0</v>
      </c>
      <c r="C1098" s="186"/>
      <c r="D1098" s="187"/>
      <c r="E1098" s="188"/>
      <c r="F1098" s="189"/>
      <c r="G1098" s="190"/>
      <c r="H1098" s="190"/>
      <c r="I1098" s="84"/>
      <c r="J1098" s="84"/>
      <c r="K1098" s="84"/>
      <c r="L1098" s="84"/>
      <c r="M1098" s="84"/>
      <c r="N1098" s="84"/>
      <c r="O1098" s="84"/>
      <c r="P1098" s="84"/>
      <c r="Q1098" s="84"/>
      <c r="R1098" s="84"/>
      <c r="S1098" s="84"/>
      <c r="T1098" s="84"/>
    </row>
    <row r="1099" ht="15.75" customHeight="1">
      <c r="A1099" s="84" t="s">
        <v>37561</v>
      </c>
      <c r="B1099" s="84">
        <v>2.0</v>
      </c>
      <c r="C1099" s="186"/>
      <c r="D1099" s="187"/>
      <c r="E1099" s="188"/>
      <c r="F1099" s="189"/>
      <c r="G1099" s="190"/>
      <c r="H1099" s="190"/>
      <c r="I1099" s="84"/>
      <c r="J1099" s="84"/>
      <c r="K1099" s="84"/>
      <c r="L1099" s="84"/>
      <c r="M1099" s="84"/>
      <c r="N1099" s="84"/>
      <c r="O1099" s="84"/>
      <c r="P1099" s="84"/>
      <c r="Q1099" s="84"/>
      <c r="R1099" s="84"/>
      <c r="S1099" s="84"/>
      <c r="T1099" s="84"/>
    </row>
    <row r="1100" ht="15.75" customHeight="1">
      <c r="A1100" s="84" t="s">
        <v>37563</v>
      </c>
      <c r="B1100" s="84">
        <v>1.0</v>
      </c>
      <c r="C1100" s="186"/>
      <c r="D1100" s="187"/>
      <c r="E1100" s="188"/>
      <c r="F1100" s="189"/>
      <c r="G1100" s="190"/>
      <c r="H1100" s="190"/>
      <c r="I1100" s="84"/>
      <c r="J1100" s="84"/>
      <c r="K1100" s="84"/>
      <c r="L1100" s="84"/>
      <c r="M1100" s="84"/>
      <c r="N1100" s="84"/>
      <c r="O1100" s="84"/>
      <c r="P1100" s="84"/>
      <c r="Q1100" s="84"/>
      <c r="R1100" s="84"/>
      <c r="S1100" s="84"/>
      <c r="T1100" s="84"/>
    </row>
    <row r="1101" ht="15.75" customHeight="1">
      <c r="A1101" s="84" t="s">
        <v>37564</v>
      </c>
      <c r="B1101" s="84">
        <v>1.0</v>
      </c>
      <c r="C1101" s="186"/>
      <c r="D1101" s="187"/>
      <c r="E1101" s="188"/>
      <c r="F1101" s="189"/>
      <c r="G1101" s="190"/>
      <c r="H1101" s="190"/>
      <c r="I1101" s="84"/>
      <c r="J1101" s="84"/>
      <c r="K1101" s="84"/>
      <c r="L1101" s="84"/>
      <c r="M1101" s="84"/>
      <c r="N1101" s="84"/>
      <c r="O1101" s="84"/>
      <c r="P1101" s="84"/>
      <c r="Q1101" s="84"/>
      <c r="R1101" s="84"/>
      <c r="S1101" s="84"/>
      <c r="T1101" s="84"/>
    </row>
    <row r="1102" ht="15.75" customHeight="1">
      <c r="A1102" s="84" t="s">
        <v>37567</v>
      </c>
      <c r="B1102" s="84">
        <v>2.0</v>
      </c>
      <c r="C1102" s="186"/>
      <c r="D1102" s="187"/>
      <c r="E1102" s="188"/>
      <c r="F1102" s="189"/>
      <c r="G1102" s="190"/>
      <c r="H1102" s="190"/>
      <c r="I1102" s="84"/>
      <c r="J1102" s="84"/>
      <c r="K1102" s="84"/>
      <c r="L1102" s="84"/>
      <c r="M1102" s="84"/>
      <c r="N1102" s="84"/>
      <c r="O1102" s="84"/>
      <c r="P1102" s="84"/>
      <c r="Q1102" s="84"/>
      <c r="R1102" s="84"/>
      <c r="S1102" s="84"/>
      <c r="T1102" s="84"/>
    </row>
    <row r="1103" ht="15.75" customHeight="1">
      <c r="A1103" s="84" t="s">
        <v>37569</v>
      </c>
      <c r="B1103" s="84">
        <v>1.0</v>
      </c>
      <c r="C1103" s="186"/>
      <c r="D1103" s="187"/>
      <c r="E1103" s="188"/>
      <c r="F1103" s="189"/>
      <c r="G1103" s="190"/>
      <c r="H1103" s="190"/>
      <c r="I1103" s="84"/>
      <c r="J1103" s="84"/>
      <c r="K1103" s="84"/>
      <c r="L1103" s="84"/>
      <c r="M1103" s="84"/>
      <c r="N1103" s="84"/>
      <c r="O1103" s="84"/>
      <c r="P1103" s="84"/>
      <c r="Q1103" s="84"/>
      <c r="R1103" s="84"/>
      <c r="S1103" s="84"/>
      <c r="T1103" s="84"/>
    </row>
    <row r="1104" ht="15.75" customHeight="1">
      <c r="A1104" s="84" t="s">
        <v>37570</v>
      </c>
      <c r="B1104" s="84">
        <v>1.0</v>
      </c>
      <c r="C1104" s="186"/>
      <c r="D1104" s="187"/>
      <c r="E1104" s="188"/>
      <c r="F1104" s="189"/>
      <c r="G1104" s="190"/>
      <c r="H1104" s="190"/>
      <c r="I1104" s="84"/>
      <c r="J1104" s="84"/>
      <c r="K1104" s="84"/>
      <c r="L1104" s="84"/>
      <c r="M1104" s="84"/>
      <c r="N1104" s="84"/>
      <c r="O1104" s="84"/>
      <c r="P1104" s="84"/>
      <c r="Q1104" s="84"/>
      <c r="R1104" s="84"/>
      <c r="S1104" s="84"/>
      <c r="T1104" s="84"/>
    </row>
    <row r="1105" ht="15.75" customHeight="1">
      <c r="A1105" s="84" t="s">
        <v>37571</v>
      </c>
      <c r="B1105" s="84">
        <v>1.0</v>
      </c>
      <c r="C1105" s="186"/>
      <c r="D1105" s="187"/>
      <c r="E1105" s="188"/>
      <c r="F1105" s="189"/>
      <c r="G1105" s="190"/>
      <c r="H1105" s="190"/>
      <c r="I1105" s="84"/>
      <c r="J1105" s="84"/>
      <c r="K1105" s="84"/>
      <c r="L1105" s="84"/>
      <c r="M1105" s="84"/>
      <c r="N1105" s="84"/>
      <c r="O1105" s="84"/>
      <c r="P1105" s="84"/>
      <c r="Q1105" s="84"/>
      <c r="R1105" s="84"/>
      <c r="S1105" s="84"/>
      <c r="T1105" s="84"/>
    </row>
    <row r="1106" ht="15.75" customHeight="1">
      <c r="A1106" s="84" t="s">
        <v>37572</v>
      </c>
      <c r="B1106" s="84">
        <v>1.0</v>
      </c>
      <c r="C1106" s="186"/>
      <c r="D1106" s="187"/>
      <c r="E1106" s="188"/>
      <c r="F1106" s="189"/>
      <c r="G1106" s="190"/>
      <c r="H1106" s="190"/>
      <c r="I1106" s="84"/>
      <c r="J1106" s="84"/>
      <c r="K1106" s="84"/>
      <c r="L1106" s="84"/>
      <c r="M1106" s="84"/>
      <c r="N1106" s="84"/>
      <c r="O1106" s="84"/>
      <c r="P1106" s="84"/>
      <c r="Q1106" s="84"/>
      <c r="R1106" s="84"/>
      <c r="S1106" s="84"/>
      <c r="T1106" s="84"/>
    </row>
    <row r="1107" ht="15.75" customHeight="1">
      <c r="A1107" s="84" t="s">
        <v>37573</v>
      </c>
      <c r="B1107" s="84">
        <v>1.0</v>
      </c>
      <c r="C1107" s="186"/>
      <c r="D1107" s="187"/>
      <c r="E1107" s="188"/>
      <c r="F1107" s="189"/>
      <c r="G1107" s="190"/>
      <c r="H1107" s="190"/>
      <c r="I1107" s="84"/>
      <c r="J1107" s="84"/>
      <c r="K1107" s="84"/>
      <c r="L1107" s="84"/>
      <c r="M1107" s="84"/>
      <c r="N1107" s="84"/>
      <c r="O1107" s="84"/>
      <c r="P1107" s="84"/>
      <c r="Q1107" s="84"/>
      <c r="R1107" s="84"/>
      <c r="S1107" s="84"/>
      <c r="T1107" s="84"/>
    </row>
    <row r="1108" ht="15.75" customHeight="1">
      <c r="A1108" s="84" t="s">
        <v>37574</v>
      </c>
      <c r="B1108" s="84">
        <v>1.0</v>
      </c>
      <c r="C1108" s="186"/>
      <c r="D1108" s="187"/>
      <c r="E1108" s="188"/>
      <c r="F1108" s="189"/>
      <c r="G1108" s="190"/>
      <c r="H1108" s="190"/>
      <c r="I1108" s="84"/>
      <c r="J1108" s="84"/>
      <c r="K1108" s="84"/>
      <c r="L1108" s="84"/>
      <c r="M1108" s="84"/>
      <c r="N1108" s="84"/>
      <c r="O1108" s="84"/>
      <c r="P1108" s="84"/>
      <c r="Q1108" s="84"/>
      <c r="R1108" s="84"/>
      <c r="S1108" s="84"/>
      <c r="T1108" s="84"/>
    </row>
    <row r="1109" ht="15.75" customHeight="1">
      <c r="A1109" s="84" t="s">
        <v>37575</v>
      </c>
      <c r="B1109" s="84">
        <v>1.0</v>
      </c>
      <c r="C1109" s="186"/>
      <c r="D1109" s="187"/>
      <c r="E1109" s="188"/>
      <c r="F1109" s="189"/>
      <c r="G1109" s="190"/>
      <c r="H1109" s="190"/>
      <c r="I1109" s="84"/>
      <c r="J1109" s="84"/>
      <c r="K1109" s="84"/>
      <c r="L1109" s="84"/>
      <c r="M1109" s="84"/>
      <c r="N1109" s="84"/>
      <c r="O1109" s="84"/>
      <c r="P1109" s="84"/>
      <c r="Q1109" s="84"/>
      <c r="R1109" s="84"/>
      <c r="S1109" s="84"/>
      <c r="T1109" s="84"/>
    </row>
    <row r="1110" ht="15.75" customHeight="1">
      <c r="A1110" s="84" t="s">
        <v>37576</v>
      </c>
      <c r="B1110" s="84">
        <v>1.0</v>
      </c>
      <c r="C1110" s="186"/>
      <c r="D1110" s="187"/>
      <c r="E1110" s="188"/>
      <c r="F1110" s="189"/>
      <c r="G1110" s="190"/>
      <c r="H1110" s="190"/>
      <c r="I1110" s="84"/>
      <c r="J1110" s="84"/>
      <c r="K1110" s="84"/>
      <c r="L1110" s="84"/>
      <c r="M1110" s="84"/>
      <c r="N1110" s="84"/>
      <c r="O1110" s="84"/>
      <c r="P1110" s="84"/>
      <c r="Q1110" s="84"/>
      <c r="R1110" s="84"/>
      <c r="S1110" s="84"/>
      <c r="T1110" s="84"/>
    </row>
    <row r="1111" ht="15.75" customHeight="1">
      <c r="A1111" s="84" t="s">
        <v>37577</v>
      </c>
      <c r="B1111" s="84">
        <v>1.0</v>
      </c>
      <c r="C1111" s="186"/>
      <c r="D1111" s="187"/>
      <c r="E1111" s="188"/>
      <c r="F1111" s="189"/>
      <c r="G1111" s="190"/>
      <c r="H1111" s="190"/>
      <c r="I1111" s="84"/>
      <c r="J1111" s="84"/>
      <c r="K1111" s="84"/>
      <c r="L1111" s="84"/>
      <c r="M1111" s="84"/>
      <c r="N1111" s="84"/>
      <c r="O1111" s="84"/>
      <c r="P1111" s="84"/>
      <c r="Q1111" s="84"/>
      <c r="R1111" s="84"/>
      <c r="S1111" s="84"/>
      <c r="T1111" s="84"/>
    </row>
    <row r="1112" ht="15.75" customHeight="1">
      <c r="A1112" s="84" t="s">
        <v>37578</v>
      </c>
      <c r="B1112" s="84">
        <v>1.0</v>
      </c>
      <c r="C1112" s="186"/>
      <c r="D1112" s="187"/>
      <c r="E1112" s="188"/>
      <c r="F1112" s="189"/>
      <c r="G1112" s="190"/>
      <c r="H1112" s="190"/>
      <c r="I1112" s="84"/>
      <c r="J1112" s="84"/>
      <c r="K1112" s="84"/>
      <c r="L1112" s="84"/>
      <c r="M1112" s="84"/>
      <c r="N1112" s="84"/>
      <c r="O1112" s="84"/>
      <c r="P1112" s="84"/>
      <c r="Q1112" s="84"/>
      <c r="R1112" s="84"/>
      <c r="S1112" s="84"/>
      <c r="T1112" s="84"/>
    </row>
    <row r="1113" ht="15.75" customHeight="1">
      <c r="A1113" s="84" t="s">
        <v>37579</v>
      </c>
      <c r="B1113" s="84">
        <v>1.0</v>
      </c>
      <c r="C1113" s="186"/>
      <c r="D1113" s="187"/>
      <c r="E1113" s="188"/>
      <c r="F1113" s="189"/>
      <c r="G1113" s="190"/>
      <c r="H1113" s="190"/>
      <c r="I1113" s="84"/>
      <c r="J1113" s="84"/>
      <c r="K1113" s="84"/>
      <c r="L1113" s="84"/>
      <c r="M1113" s="84"/>
      <c r="N1113" s="84"/>
      <c r="O1113" s="84"/>
      <c r="P1113" s="84"/>
      <c r="Q1113" s="84"/>
      <c r="R1113" s="84"/>
      <c r="S1113" s="84"/>
      <c r="T1113" s="84"/>
    </row>
    <row r="1114" ht="15.75" customHeight="1">
      <c r="A1114" s="84" t="s">
        <v>37580</v>
      </c>
      <c r="B1114" s="84">
        <v>1.0</v>
      </c>
      <c r="C1114" s="186"/>
      <c r="D1114" s="187"/>
      <c r="E1114" s="188"/>
      <c r="F1114" s="189"/>
      <c r="G1114" s="190"/>
      <c r="H1114" s="190"/>
      <c r="I1114" s="84"/>
      <c r="J1114" s="84"/>
      <c r="K1114" s="84"/>
      <c r="L1114" s="84"/>
      <c r="M1114" s="84"/>
      <c r="N1114" s="84"/>
      <c r="O1114" s="84"/>
      <c r="P1114" s="84"/>
      <c r="Q1114" s="84"/>
      <c r="R1114" s="84"/>
      <c r="S1114" s="84"/>
      <c r="T1114" s="84"/>
    </row>
    <row r="1115" ht="15.75" customHeight="1">
      <c r="A1115" s="84" t="s">
        <v>37581</v>
      </c>
      <c r="B1115" s="84">
        <v>1.0</v>
      </c>
      <c r="C1115" s="186"/>
      <c r="D1115" s="187"/>
      <c r="E1115" s="188"/>
      <c r="F1115" s="189"/>
      <c r="G1115" s="190"/>
      <c r="H1115" s="190"/>
      <c r="I1115" s="84"/>
      <c r="J1115" s="84"/>
      <c r="K1115" s="84"/>
      <c r="L1115" s="84"/>
      <c r="M1115" s="84"/>
      <c r="N1115" s="84"/>
      <c r="O1115" s="84"/>
      <c r="P1115" s="84"/>
      <c r="Q1115" s="84"/>
      <c r="R1115" s="84"/>
      <c r="S1115" s="84"/>
      <c r="T1115" s="84"/>
    </row>
    <row r="1116" ht="15.75" customHeight="1">
      <c r="A1116" s="84" t="s">
        <v>37582</v>
      </c>
      <c r="B1116" s="84">
        <v>1.0</v>
      </c>
      <c r="C1116" s="186"/>
      <c r="D1116" s="187"/>
      <c r="E1116" s="188"/>
      <c r="F1116" s="189"/>
      <c r="G1116" s="190"/>
      <c r="H1116" s="190"/>
      <c r="I1116" s="84"/>
      <c r="J1116" s="84"/>
      <c r="K1116" s="84"/>
      <c r="L1116" s="84"/>
      <c r="M1116" s="84"/>
      <c r="N1116" s="84"/>
      <c r="O1116" s="84"/>
      <c r="P1116" s="84"/>
      <c r="Q1116" s="84"/>
      <c r="R1116" s="84"/>
      <c r="S1116" s="84"/>
      <c r="T1116" s="84"/>
    </row>
    <row r="1117" ht="15.75" customHeight="1">
      <c r="A1117" s="84" t="s">
        <v>37583</v>
      </c>
      <c r="B1117" s="84">
        <v>3.0</v>
      </c>
      <c r="C1117" s="186"/>
      <c r="D1117" s="187"/>
      <c r="E1117" s="188"/>
      <c r="F1117" s="189"/>
      <c r="G1117" s="190"/>
      <c r="H1117" s="190"/>
      <c r="I1117" s="84"/>
      <c r="J1117" s="84"/>
      <c r="K1117" s="84"/>
      <c r="L1117" s="84"/>
      <c r="M1117" s="84"/>
      <c r="N1117" s="84"/>
      <c r="O1117" s="84"/>
      <c r="P1117" s="84"/>
      <c r="Q1117" s="84"/>
      <c r="R1117" s="84"/>
      <c r="S1117" s="84"/>
      <c r="T1117" s="84"/>
    </row>
    <row r="1118" ht="15.75" customHeight="1">
      <c r="A1118" s="84" t="s">
        <v>37584</v>
      </c>
      <c r="B1118" s="84">
        <v>3.0</v>
      </c>
      <c r="C1118" s="186"/>
      <c r="D1118" s="187"/>
      <c r="E1118" s="188"/>
      <c r="F1118" s="189"/>
      <c r="G1118" s="190"/>
      <c r="H1118" s="190"/>
      <c r="I1118" s="84"/>
      <c r="J1118" s="84"/>
      <c r="K1118" s="84"/>
      <c r="L1118" s="84"/>
      <c r="M1118" s="84"/>
      <c r="N1118" s="84"/>
      <c r="O1118" s="84"/>
      <c r="P1118" s="84"/>
      <c r="Q1118" s="84"/>
      <c r="R1118" s="84"/>
      <c r="S1118" s="84"/>
      <c r="T1118" s="84"/>
    </row>
    <row r="1119" ht="15.75" customHeight="1">
      <c r="A1119" s="84" t="s">
        <v>37585</v>
      </c>
      <c r="B1119" s="84">
        <v>2.0</v>
      </c>
      <c r="C1119" s="186"/>
      <c r="D1119" s="187"/>
      <c r="E1119" s="188"/>
      <c r="F1119" s="189"/>
      <c r="G1119" s="190"/>
      <c r="H1119" s="190"/>
      <c r="I1119" s="84"/>
      <c r="J1119" s="84"/>
      <c r="K1119" s="84"/>
      <c r="L1119" s="84"/>
      <c r="M1119" s="84"/>
      <c r="N1119" s="84"/>
      <c r="O1119" s="84"/>
      <c r="P1119" s="84"/>
      <c r="Q1119" s="84"/>
      <c r="R1119" s="84"/>
      <c r="S1119" s="84"/>
      <c r="T1119" s="84"/>
    </row>
    <row r="1120" ht="15.75" customHeight="1">
      <c r="A1120" s="84" t="s">
        <v>37586</v>
      </c>
      <c r="B1120" s="84">
        <v>3.0</v>
      </c>
      <c r="C1120" s="186"/>
      <c r="D1120" s="187"/>
      <c r="E1120" s="188"/>
      <c r="F1120" s="189"/>
      <c r="G1120" s="190"/>
      <c r="H1120" s="190"/>
      <c r="I1120" s="84"/>
      <c r="J1120" s="84"/>
      <c r="K1120" s="84"/>
      <c r="L1120" s="84"/>
      <c r="M1120" s="84"/>
      <c r="N1120" s="84"/>
      <c r="O1120" s="84"/>
      <c r="P1120" s="84"/>
      <c r="Q1120" s="84"/>
      <c r="R1120" s="84"/>
      <c r="S1120" s="84"/>
      <c r="T1120" s="84"/>
    </row>
    <row r="1121" ht="15.75" customHeight="1">
      <c r="A1121" s="84" t="s">
        <v>37587</v>
      </c>
      <c r="B1121" s="84">
        <v>1.0</v>
      </c>
      <c r="C1121" s="186"/>
      <c r="D1121" s="187"/>
      <c r="E1121" s="188"/>
      <c r="F1121" s="189"/>
      <c r="G1121" s="190"/>
      <c r="H1121" s="190"/>
      <c r="I1121" s="84"/>
      <c r="J1121" s="84"/>
      <c r="K1121" s="84"/>
      <c r="L1121" s="84"/>
      <c r="M1121" s="84"/>
      <c r="N1121" s="84"/>
      <c r="O1121" s="84"/>
      <c r="P1121" s="84"/>
      <c r="Q1121" s="84"/>
      <c r="R1121" s="84"/>
      <c r="S1121" s="84"/>
      <c r="T1121" s="84"/>
    </row>
    <row r="1122" ht="15.75" customHeight="1">
      <c r="A1122" s="84" t="s">
        <v>37588</v>
      </c>
      <c r="B1122" s="84">
        <v>1.0</v>
      </c>
      <c r="C1122" s="186"/>
      <c r="D1122" s="187"/>
      <c r="E1122" s="188"/>
      <c r="F1122" s="189"/>
      <c r="G1122" s="190"/>
      <c r="H1122" s="190"/>
      <c r="I1122" s="84"/>
      <c r="J1122" s="84"/>
      <c r="K1122" s="84"/>
      <c r="L1122" s="84"/>
      <c r="M1122" s="84"/>
      <c r="N1122" s="84"/>
      <c r="O1122" s="84"/>
      <c r="P1122" s="84"/>
      <c r="Q1122" s="84"/>
      <c r="R1122" s="84"/>
      <c r="S1122" s="84"/>
      <c r="T1122" s="84"/>
    </row>
    <row r="1123" ht="15.75" customHeight="1">
      <c r="A1123" s="84" t="s">
        <v>37589</v>
      </c>
      <c r="B1123" s="84">
        <v>1.0</v>
      </c>
      <c r="C1123" s="186"/>
      <c r="D1123" s="187"/>
      <c r="E1123" s="188"/>
      <c r="F1123" s="189"/>
      <c r="G1123" s="190"/>
      <c r="H1123" s="190"/>
      <c r="I1123" s="84"/>
      <c r="J1123" s="84"/>
      <c r="K1123" s="84"/>
      <c r="L1123" s="84"/>
      <c r="M1123" s="84"/>
      <c r="N1123" s="84"/>
      <c r="O1123" s="84"/>
      <c r="P1123" s="84"/>
      <c r="Q1123" s="84"/>
      <c r="R1123" s="84"/>
      <c r="S1123" s="84"/>
      <c r="T1123" s="84"/>
    </row>
    <row r="1124" ht="15.75" customHeight="1">
      <c r="A1124" s="84" t="s">
        <v>37590</v>
      </c>
      <c r="B1124" s="84">
        <v>2.0</v>
      </c>
      <c r="C1124" s="186"/>
      <c r="D1124" s="187"/>
      <c r="E1124" s="188"/>
      <c r="F1124" s="189"/>
      <c r="G1124" s="190"/>
      <c r="H1124" s="190"/>
      <c r="I1124" s="84"/>
      <c r="J1124" s="84"/>
      <c r="K1124" s="84"/>
      <c r="L1124" s="84"/>
      <c r="M1124" s="84"/>
      <c r="N1124" s="84"/>
      <c r="O1124" s="84"/>
      <c r="P1124" s="84"/>
      <c r="Q1124" s="84"/>
      <c r="R1124" s="84"/>
      <c r="S1124" s="84"/>
      <c r="T1124" s="84"/>
    </row>
    <row r="1125" ht="15.75" customHeight="1">
      <c r="A1125" s="84" t="s">
        <v>37591</v>
      </c>
      <c r="B1125" s="84">
        <v>2.0</v>
      </c>
      <c r="C1125" s="186"/>
      <c r="D1125" s="187"/>
      <c r="E1125" s="188"/>
      <c r="F1125" s="189"/>
      <c r="G1125" s="190"/>
      <c r="H1125" s="190"/>
      <c r="I1125" s="84"/>
      <c r="J1125" s="84"/>
      <c r="K1125" s="84"/>
      <c r="L1125" s="84"/>
      <c r="M1125" s="84"/>
      <c r="N1125" s="84"/>
      <c r="O1125" s="84"/>
      <c r="P1125" s="84"/>
      <c r="Q1125" s="84"/>
      <c r="R1125" s="84"/>
      <c r="S1125" s="84"/>
      <c r="T1125" s="84"/>
    </row>
    <row r="1126" ht="15.75" customHeight="1">
      <c r="A1126" s="84" t="s">
        <v>37592</v>
      </c>
      <c r="B1126" s="84">
        <v>1.0</v>
      </c>
      <c r="C1126" s="186"/>
      <c r="D1126" s="187"/>
      <c r="E1126" s="188"/>
      <c r="F1126" s="189"/>
      <c r="G1126" s="190"/>
      <c r="H1126" s="190"/>
      <c r="I1126" s="84"/>
      <c r="J1126" s="84"/>
      <c r="K1126" s="84"/>
      <c r="L1126" s="84"/>
      <c r="M1126" s="84"/>
      <c r="N1126" s="84"/>
      <c r="O1126" s="84"/>
      <c r="P1126" s="84"/>
      <c r="Q1126" s="84"/>
      <c r="R1126" s="84"/>
      <c r="S1126" s="84"/>
      <c r="T1126" s="84"/>
    </row>
    <row r="1127" ht="15.75" customHeight="1">
      <c r="A1127" s="84" t="s">
        <v>37594</v>
      </c>
      <c r="B1127" s="84">
        <v>1.0</v>
      </c>
      <c r="C1127" s="186"/>
      <c r="D1127" s="187"/>
      <c r="E1127" s="188"/>
      <c r="F1127" s="189"/>
      <c r="G1127" s="190"/>
      <c r="H1127" s="190"/>
      <c r="I1127" s="84"/>
      <c r="J1127" s="84"/>
      <c r="K1127" s="84"/>
      <c r="L1127" s="84"/>
      <c r="M1127" s="84"/>
      <c r="N1127" s="84"/>
      <c r="O1127" s="84"/>
      <c r="P1127" s="84"/>
      <c r="Q1127" s="84"/>
      <c r="R1127" s="84"/>
      <c r="S1127" s="84"/>
      <c r="T1127" s="84"/>
    </row>
    <row r="1128" ht="15.75" customHeight="1">
      <c r="A1128" s="84" t="s">
        <v>37595</v>
      </c>
      <c r="B1128" s="84">
        <v>2.0</v>
      </c>
      <c r="C1128" s="186"/>
      <c r="D1128" s="187"/>
      <c r="E1128" s="188"/>
      <c r="F1128" s="189"/>
      <c r="G1128" s="190"/>
      <c r="H1128" s="190"/>
      <c r="I1128" s="84"/>
      <c r="J1128" s="84"/>
      <c r="K1128" s="84"/>
      <c r="L1128" s="84"/>
      <c r="M1128" s="84"/>
      <c r="N1128" s="84"/>
      <c r="O1128" s="84"/>
      <c r="P1128" s="84"/>
      <c r="Q1128" s="84"/>
      <c r="R1128" s="84"/>
      <c r="S1128" s="84"/>
      <c r="T1128" s="84"/>
    </row>
    <row r="1129" ht="15.75" customHeight="1">
      <c r="A1129" s="84" t="s">
        <v>37596</v>
      </c>
      <c r="B1129" s="84">
        <v>1.0</v>
      </c>
      <c r="C1129" s="186"/>
      <c r="D1129" s="187"/>
      <c r="E1129" s="188"/>
      <c r="F1129" s="189"/>
      <c r="G1129" s="190"/>
      <c r="H1129" s="190"/>
      <c r="I1129" s="84"/>
      <c r="J1129" s="84"/>
      <c r="K1129" s="84"/>
      <c r="L1129" s="84"/>
      <c r="M1129" s="84"/>
      <c r="N1129" s="84"/>
      <c r="O1129" s="84"/>
      <c r="P1129" s="84"/>
      <c r="Q1129" s="84"/>
      <c r="R1129" s="84"/>
      <c r="S1129" s="84"/>
      <c r="T1129" s="84"/>
    </row>
    <row r="1130" ht="15.75" customHeight="1">
      <c r="A1130" s="84" t="s">
        <v>37597</v>
      </c>
      <c r="B1130" s="84">
        <v>1.0</v>
      </c>
      <c r="C1130" s="186"/>
      <c r="D1130" s="187"/>
      <c r="E1130" s="188"/>
      <c r="F1130" s="189"/>
      <c r="G1130" s="190"/>
      <c r="H1130" s="190"/>
      <c r="I1130" s="84"/>
      <c r="J1130" s="84"/>
      <c r="K1130" s="84"/>
      <c r="L1130" s="84"/>
      <c r="M1130" s="84"/>
      <c r="N1130" s="84"/>
      <c r="O1130" s="84"/>
      <c r="P1130" s="84"/>
      <c r="Q1130" s="84"/>
      <c r="R1130" s="84"/>
      <c r="S1130" s="84"/>
      <c r="T1130" s="84"/>
    </row>
    <row r="1131" ht="15.75" customHeight="1">
      <c r="A1131" s="84" t="s">
        <v>37598</v>
      </c>
      <c r="B1131" s="84">
        <v>1.0</v>
      </c>
      <c r="C1131" s="186"/>
      <c r="D1131" s="187"/>
      <c r="E1131" s="188"/>
      <c r="F1131" s="189"/>
      <c r="G1131" s="190"/>
      <c r="H1131" s="190"/>
      <c r="I1131" s="84"/>
      <c r="J1131" s="84"/>
      <c r="K1131" s="84"/>
      <c r="L1131" s="84"/>
      <c r="M1131" s="84"/>
      <c r="N1131" s="84"/>
      <c r="O1131" s="84"/>
      <c r="P1131" s="84"/>
      <c r="Q1131" s="84"/>
      <c r="R1131" s="84"/>
      <c r="S1131" s="84"/>
      <c r="T1131" s="84"/>
    </row>
    <row r="1132" ht="15.75" customHeight="1">
      <c r="A1132" s="84" t="s">
        <v>37599</v>
      </c>
      <c r="B1132" s="84">
        <v>1.0</v>
      </c>
      <c r="C1132" s="186" t="s">
        <v>30659</v>
      </c>
      <c r="D1132" s="187" t="s">
        <v>37600</v>
      </c>
      <c r="E1132" s="188"/>
      <c r="F1132" s="189"/>
      <c r="G1132" s="190"/>
      <c r="H1132" s="190"/>
      <c r="I1132" s="84"/>
      <c r="J1132" s="84"/>
      <c r="K1132" s="84"/>
      <c r="L1132" s="84"/>
      <c r="M1132" s="84"/>
      <c r="N1132" s="84"/>
      <c r="O1132" s="84"/>
      <c r="P1132" s="84"/>
      <c r="Q1132" s="84"/>
      <c r="R1132" s="84"/>
      <c r="S1132" s="84"/>
      <c r="T1132" s="84"/>
    </row>
    <row r="1133" ht="15.75" customHeight="1">
      <c r="A1133" s="84" t="s">
        <v>37600</v>
      </c>
      <c r="B1133" s="84">
        <v>1.0</v>
      </c>
      <c r="C1133" s="186"/>
      <c r="D1133" s="187"/>
      <c r="E1133" s="188"/>
      <c r="F1133" s="189"/>
      <c r="G1133" s="190"/>
      <c r="H1133" s="190"/>
      <c r="I1133" s="84"/>
      <c r="J1133" s="84"/>
      <c r="K1133" s="84"/>
      <c r="L1133" s="84"/>
      <c r="M1133" s="84"/>
      <c r="N1133" s="84"/>
      <c r="O1133" s="84"/>
      <c r="P1133" s="84"/>
      <c r="Q1133" s="84"/>
      <c r="R1133" s="84"/>
      <c r="S1133" s="84"/>
      <c r="T1133" s="84"/>
    </row>
    <row r="1134" ht="15.75" customHeight="1">
      <c r="A1134" s="84" t="s">
        <v>37604</v>
      </c>
      <c r="B1134" s="84">
        <v>1.0</v>
      </c>
      <c r="C1134" s="186"/>
      <c r="D1134" s="187"/>
      <c r="E1134" s="188"/>
      <c r="F1134" s="189"/>
      <c r="G1134" s="190"/>
      <c r="H1134" s="190"/>
      <c r="I1134" s="84"/>
      <c r="J1134" s="84"/>
      <c r="K1134" s="84"/>
      <c r="L1134" s="84"/>
      <c r="M1134" s="84"/>
      <c r="N1134" s="84"/>
      <c r="O1134" s="84"/>
      <c r="P1134" s="84"/>
      <c r="Q1134" s="84"/>
      <c r="R1134" s="84"/>
      <c r="S1134" s="84"/>
      <c r="T1134" s="84"/>
    </row>
    <row r="1135" ht="15.75" customHeight="1">
      <c r="A1135" s="84" t="s">
        <v>37605</v>
      </c>
      <c r="B1135" s="84">
        <v>1.0</v>
      </c>
      <c r="C1135" s="186"/>
      <c r="D1135" s="187"/>
      <c r="E1135" s="188"/>
      <c r="F1135" s="189"/>
      <c r="G1135" s="190"/>
      <c r="H1135" s="190"/>
      <c r="I1135" s="84"/>
      <c r="J1135" s="84"/>
      <c r="K1135" s="84"/>
      <c r="L1135" s="84"/>
      <c r="M1135" s="84"/>
      <c r="N1135" s="84"/>
      <c r="O1135" s="84"/>
      <c r="P1135" s="84"/>
      <c r="Q1135" s="84"/>
      <c r="R1135" s="84"/>
      <c r="S1135" s="84"/>
      <c r="T1135" s="84"/>
    </row>
    <row r="1136" ht="15.75" customHeight="1">
      <c r="A1136" s="84" t="s">
        <v>37606</v>
      </c>
      <c r="B1136" s="84">
        <v>3.0</v>
      </c>
      <c r="C1136" s="186" t="s">
        <v>30659</v>
      </c>
      <c r="D1136" s="187" t="s">
        <v>37600</v>
      </c>
      <c r="E1136" s="188"/>
      <c r="F1136" s="189"/>
      <c r="G1136" s="190"/>
      <c r="H1136" s="190"/>
      <c r="I1136" s="84"/>
      <c r="J1136" s="84"/>
      <c r="K1136" s="84"/>
      <c r="L1136" s="84"/>
      <c r="M1136" s="84"/>
      <c r="N1136" s="84"/>
      <c r="O1136" s="84"/>
      <c r="P1136" s="84"/>
      <c r="Q1136" s="84"/>
      <c r="R1136" s="84"/>
      <c r="S1136" s="84"/>
      <c r="T1136" s="84"/>
    </row>
    <row r="1137" ht="15.75" customHeight="1">
      <c r="A1137" s="84" t="s">
        <v>37607</v>
      </c>
      <c r="B1137" s="84">
        <v>1.0</v>
      </c>
      <c r="C1137" s="186"/>
      <c r="D1137" s="187"/>
      <c r="E1137" s="188"/>
      <c r="F1137" s="189" t="s">
        <v>30659</v>
      </c>
      <c r="G1137" s="190" t="s">
        <v>37600</v>
      </c>
      <c r="H1137" s="190"/>
      <c r="I1137" s="84"/>
      <c r="J1137" s="84"/>
      <c r="K1137" s="84"/>
      <c r="L1137" s="84"/>
      <c r="M1137" s="84"/>
      <c r="N1137" s="84"/>
      <c r="O1137" s="84"/>
      <c r="P1137" s="84"/>
      <c r="Q1137" s="84"/>
      <c r="R1137" s="84"/>
      <c r="S1137" s="84"/>
      <c r="T1137" s="84"/>
    </row>
    <row r="1138" ht="15.75" customHeight="1">
      <c r="A1138" s="84" t="s">
        <v>37608</v>
      </c>
      <c r="B1138" s="84">
        <v>2.0</v>
      </c>
      <c r="C1138" s="186" t="s">
        <v>30659</v>
      </c>
      <c r="D1138" s="187" t="s">
        <v>37600</v>
      </c>
      <c r="E1138" s="188"/>
      <c r="F1138" s="189"/>
      <c r="G1138" s="190"/>
      <c r="H1138" s="190"/>
      <c r="I1138" s="84"/>
      <c r="J1138" s="84"/>
      <c r="K1138" s="84"/>
      <c r="L1138" s="84"/>
      <c r="M1138" s="84"/>
      <c r="N1138" s="84"/>
      <c r="O1138" s="84"/>
      <c r="P1138" s="84"/>
      <c r="Q1138" s="84"/>
      <c r="R1138" s="84"/>
      <c r="S1138" s="84"/>
      <c r="T1138" s="84"/>
    </row>
    <row r="1139" ht="15.75" customHeight="1">
      <c r="A1139" s="84" t="s">
        <v>37609</v>
      </c>
      <c r="B1139" s="84">
        <v>1.0</v>
      </c>
      <c r="C1139" s="186"/>
      <c r="D1139" s="187"/>
      <c r="E1139" s="188"/>
      <c r="F1139" s="189"/>
      <c r="G1139" s="190"/>
      <c r="H1139" s="190"/>
      <c r="I1139" s="84"/>
      <c r="J1139" s="84"/>
      <c r="K1139" s="84"/>
      <c r="L1139" s="84"/>
      <c r="M1139" s="84"/>
      <c r="N1139" s="84"/>
      <c r="O1139" s="84"/>
      <c r="P1139" s="84"/>
      <c r="Q1139" s="84"/>
      <c r="R1139" s="84"/>
      <c r="S1139" s="84"/>
      <c r="T1139" s="84"/>
    </row>
    <row r="1140" ht="15.75" customHeight="1">
      <c r="A1140" s="84" t="s">
        <v>37610</v>
      </c>
      <c r="B1140" s="84">
        <v>1.0</v>
      </c>
      <c r="C1140" s="186"/>
      <c r="D1140" s="187"/>
      <c r="E1140" s="188"/>
      <c r="F1140" s="189"/>
      <c r="G1140" s="190"/>
      <c r="H1140" s="190"/>
      <c r="I1140" s="84"/>
      <c r="J1140" s="84"/>
      <c r="K1140" s="84"/>
      <c r="L1140" s="84"/>
      <c r="M1140" s="84"/>
      <c r="N1140" s="84"/>
      <c r="O1140" s="84"/>
      <c r="P1140" s="84"/>
      <c r="Q1140" s="84"/>
      <c r="R1140" s="84"/>
      <c r="S1140" s="84"/>
      <c r="T1140" s="84"/>
    </row>
    <row r="1141" ht="15.75" customHeight="1">
      <c r="A1141" s="84" t="s">
        <v>37611</v>
      </c>
      <c r="B1141" s="84">
        <v>1.0</v>
      </c>
      <c r="C1141" s="186"/>
      <c r="D1141" s="187"/>
      <c r="E1141" s="188"/>
      <c r="F1141" s="189"/>
      <c r="G1141" s="190"/>
      <c r="H1141" s="190"/>
      <c r="I1141" s="84"/>
      <c r="J1141" s="84"/>
      <c r="K1141" s="84"/>
      <c r="L1141" s="84"/>
      <c r="M1141" s="84"/>
      <c r="N1141" s="84"/>
      <c r="O1141" s="84"/>
      <c r="P1141" s="84"/>
      <c r="Q1141" s="84"/>
      <c r="R1141" s="84"/>
      <c r="S1141" s="84"/>
      <c r="T1141" s="84"/>
    </row>
    <row r="1142" ht="15.75" customHeight="1">
      <c r="A1142" s="84" t="s">
        <v>37612</v>
      </c>
      <c r="B1142" s="84">
        <v>1.0</v>
      </c>
      <c r="C1142" s="186"/>
      <c r="D1142" s="187"/>
      <c r="E1142" s="188"/>
      <c r="F1142" s="189"/>
      <c r="G1142" s="190"/>
      <c r="H1142" s="190"/>
      <c r="I1142" s="84"/>
      <c r="J1142" s="84"/>
      <c r="K1142" s="84"/>
      <c r="L1142" s="84"/>
      <c r="M1142" s="84"/>
      <c r="N1142" s="84"/>
      <c r="O1142" s="84"/>
      <c r="P1142" s="84"/>
      <c r="Q1142" s="84"/>
      <c r="R1142" s="84"/>
      <c r="S1142" s="84"/>
      <c r="T1142" s="84"/>
    </row>
    <row r="1143" ht="15.75" customHeight="1">
      <c r="A1143" s="84" t="s">
        <v>37613</v>
      </c>
      <c r="B1143" s="84">
        <v>1.0</v>
      </c>
      <c r="C1143" s="186"/>
      <c r="D1143" s="187"/>
      <c r="E1143" s="188"/>
      <c r="F1143" s="189"/>
      <c r="G1143" s="190"/>
      <c r="H1143" s="190"/>
      <c r="I1143" s="84"/>
      <c r="J1143" s="84"/>
      <c r="K1143" s="84"/>
      <c r="L1143" s="84"/>
      <c r="M1143" s="84"/>
      <c r="N1143" s="84"/>
      <c r="O1143" s="84"/>
      <c r="P1143" s="84"/>
      <c r="Q1143" s="84"/>
      <c r="R1143" s="84"/>
      <c r="S1143" s="84"/>
      <c r="T1143" s="84"/>
    </row>
    <row r="1144" ht="15.75" customHeight="1">
      <c r="A1144" s="84" t="s">
        <v>37615</v>
      </c>
      <c r="B1144" s="84">
        <v>5.0</v>
      </c>
      <c r="C1144" s="186"/>
      <c r="D1144" s="187"/>
      <c r="E1144" s="188"/>
      <c r="F1144" s="189"/>
      <c r="G1144" s="190"/>
      <c r="H1144" s="190"/>
      <c r="I1144" s="84"/>
      <c r="J1144" s="84"/>
      <c r="K1144" s="84"/>
      <c r="L1144" s="84"/>
      <c r="M1144" s="84"/>
      <c r="N1144" s="84"/>
      <c r="O1144" s="84"/>
      <c r="P1144" s="84"/>
      <c r="Q1144" s="84"/>
      <c r="R1144" s="84"/>
      <c r="S1144" s="84"/>
      <c r="T1144" s="84"/>
    </row>
    <row r="1145" ht="15.75" customHeight="1">
      <c r="A1145" s="84" t="s">
        <v>37618</v>
      </c>
      <c r="B1145" s="84">
        <v>1.0</v>
      </c>
      <c r="C1145" s="186"/>
      <c r="D1145" s="187"/>
      <c r="E1145" s="188"/>
      <c r="F1145" s="189"/>
      <c r="G1145" s="190"/>
      <c r="H1145" s="190"/>
      <c r="I1145" s="84"/>
      <c r="J1145" s="84"/>
      <c r="K1145" s="84"/>
      <c r="L1145" s="84"/>
      <c r="M1145" s="84"/>
      <c r="N1145" s="84"/>
      <c r="O1145" s="84"/>
      <c r="P1145" s="84"/>
      <c r="Q1145" s="84"/>
      <c r="R1145" s="84"/>
      <c r="S1145" s="84"/>
      <c r="T1145" s="84"/>
    </row>
    <row r="1146" ht="15.75" customHeight="1">
      <c r="A1146" s="84" t="s">
        <v>37619</v>
      </c>
      <c r="B1146" s="84">
        <v>1.0</v>
      </c>
      <c r="C1146" s="186"/>
      <c r="D1146" s="187"/>
      <c r="E1146" s="188"/>
      <c r="F1146" s="189"/>
      <c r="G1146" s="190"/>
      <c r="H1146" s="190"/>
      <c r="I1146" s="84"/>
      <c r="J1146" s="84"/>
      <c r="K1146" s="84"/>
      <c r="L1146" s="84"/>
      <c r="M1146" s="84"/>
      <c r="N1146" s="84"/>
      <c r="O1146" s="84"/>
      <c r="P1146" s="84"/>
      <c r="Q1146" s="84"/>
      <c r="R1146" s="84"/>
      <c r="S1146" s="84"/>
      <c r="T1146" s="84"/>
    </row>
    <row r="1147" ht="15.75" customHeight="1">
      <c r="A1147" s="84" t="s">
        <v>37620</v>
      </c>
      <c r="B1147" s="84">
        <v>1.0</v>
      </c>
      <c r="C1147" s="186"/>
      <c r="D1147" s="187"/>
      <c r="E1147" s="188"/>
      <c r="F1147" s="189"/>
      <c r="G1147" s="190"/>
      <c r="H1147" s="190"/>
      <c r="I1147" s="84"/>
      <c r="J1147" s="84"/>
      <c r="K1147" s="84"/>
      <c r="L1147" s="84"/>
      <c r="M1147" s="84"/>
      <c r="N1147" s="84"/>
      <c r="O1147" s="84"/>
      <c r="P1147" s="84"/>
      <c r="Q1147" s="84"/>
      <c r="R1147" s="84"/>
      <c r="S1147" s="84"/>
      <c r="T1147" s="84"/>
    </row>
    <row r="1148" ht="15.75" customHeight="1">
      <c r="A1148" s="84" t="s">
        <v>37621</v>
      </c>
      <c r="B1148" s="84">
        <v>1.0</v>
      </c>
      <c r="C1148" s="186"/>
      <c r="D1148" s="187"/>
      <c r="E1148" s="188"/>
      <c r="F1148" s="189"/>
      <c r="G1148" s="190"/>
      <c r="H1148" s="190"/>
      <c r="I1148" s="84"/>
      <c r="J1148" s="84"/>
      <c r="K1148" s="84"/>
      <c r="L1148" s="84"/>
      <c r="M1148" s="84"/>
      <c r="N1148" s="84"/>
      <c r="O1148" s="84"/>
      <c r="P1148" s="84"/>
      <c r="Q1148" s="84"/>
      <c r="R1148" s="84"/>
      <c r="S1148" s="84"/>
      <c r="T1148" s="84"/>
    </row>
    <row r="1149" ht="15.75" customHeight="1">
      <c r="A1149" s="84" t="s">
        <v>37622</v>
      </c>
      <c r="B1149" s="84">
        <v>1.0</v>
      </c>
      <c r="C1149" s="186"/>
      <c r="D1149" s="187"/>
      <c r="E1149" s="188"/>
      <c r="F1149" s="189"/>
      <c r="G1149" s="190"/>
      <c r="H1149" s="190"/>
      <c r="I1149" s="84"/>
      <c r="J1149" s="84"/>
      <c r="K1149" s="84"/>
      <c r="L1149" s="84"/>
      <c r="M1149" s="84"/>
      <c r="N1149" s="84"/>
      <c r="O1149" s="84"/>
      <c r="P1149" s="84"/>
      <c r="Q1149" s="84"/>
      <c r="R1149" s="84"/>
      <c r="S1149" s="84"/>
      <c r="T1149" s="84"/>
    </row>
    <row r="1150" ht="15.75" customHeight="1">
      <c r="A1150" s="84" t="s">
        <v>37623</v>
      </c>
      <c r="B1150" s="84">
        <v>1.0</v>
      </c>
      <c r="C1150" s="186"/>
      <c r="D1150" s="187"/>
      <c r="E1150" s="188"/>
      <c r="F1150" s="189"/>
      <c r="G1150" s="190"/>
      <c r="H1150" s="190"/>
      <c r="I1150" s="84"/>
      <c r="J1150" s="84"/>
      <c r="K1150" s="84"/>
      <c r="L1150" s="84"/>
      <c r="M1150" s="84"/>
      <c r="N1150" s="84"/>
      <c r="O1150" s="84"/>
      <c r="P1150" s="84"/>
      <c r="Q1150" s="84"/>
      <c r="R1150" s="84"/>
      <c r="S1150" s="84"/>
      <c r="T1150" s="84"/>
    </row>
    <row r="1151" ht="15.75" customHeight="1">
      <c r="A1151" s="84" t="s">
        <v>37624</v>
      </c>
      <c r="B1151" s="84">
        <v>1.0</v>
      </c>
      <c r="C1151" s="186"/>
      <c r="D1151" s="187"/>
      <c r="E1151" s="188"/>
      <c r="F1151" s="189"/>
      <c r="G1151" s="190"/>
      <c r="H1151" s="190"/>
      <c r="I1151" s="84"/>
      <c r="J1151" s="84"/>
      <c r="K1151" s="84"/>
      <c r="L1151" s="84"/>
      <c r="M1151" s="84"/>
      <c r="N1151" s="84"/>
      <c r="O1151" s="84"/>
      <c r="P1151" s="84"/>
      <c r="Q1151" s="84"/>
      <c r="R1151" s="84"/>
      <c r="S1151" s="84"/>
      <c r="T1151" s="84"/>
    </row>
    <row r="1152" ht="15.75" customHeight="1">
      <c r="A1152" s="84" t="s">
        <v>37625</v>
      </c>
      <c r="B1152" s="84">
        <v>1.0</v>
      </c>
      <c r="C1152" s="186"/>
      <c r="D1152" s="187"/>
      <c r="E1152" s="188"/>
      <c r="F1152" s="189"/>
      <c r="G1152" s="190"/>
      <c r="H1152" s="190"/>
      <c r="I1152" s="84"/>
      <c r="J1152" s="84"/>
      <c r="K1152" s="84"/>
      <c r="L1152" s="84"/>
      <c r="M1152" s="84"/>
      <c r="N1152" s="84"/>
      <c r="O1152" s="84"/>
      <c r="P1152" s="84"/>
      <c r="Q1152" s="84"/>
      <c r="R1152" s="84"/>
      <c r="S1152" s="84"/>
      <c r="T1152" s="84"/>
    </row>
    <row r="1153" ht="15.75" customHeight="1">
      <c r="A1153" s="84" t="s">
        <v>37627</v>
      </c>
      <c r="B1153" s="84">
        <v>1.0</v>
      </c>
      <c r="C1153" s="186"/>
      <c r="D1153" s="187"/>
      <c r="E1153" s="188"/>
      <c r="F1153" s="189"/>
      <c r="G1153" s="190"/>
      <c r="H1153" s="190"/>
      <c r="I1153" s="84"/>
      <c r="J1153" s="84"/>
      <c r="K1153" s="84"/>
      <c r="L1153" s="84"/>
      <c r="M1153" s="84"/>
      <c r="N1153" s="84"/>
      <c r="O1153" s="84"/>
      <c r="P1153" s="84"/>
      <c r="Q1153" s="84"/>
      <c r="R1153" s="84"/>
      <c r="S1153" s="84"/>
      <c r="T1153" s="84"/>
    </row>
    <row r="1154" ht="15.75" customHeight="1">
      <c r="A1154" s="84" t="s">
        <v>37629</v>
      </c>
      <c r="B1154" s="84">
        <v>2.0</v>
      </c>
      <c r="C1154" s="186"/>
      <c r="D1154" s="187"/>
      <c r="E1154" s="188"/>
      <c r="F1154" s="189"/>
      <c r="G1154" s="190"/>
      <c r="H1154" s="190"/>
      <c r="I1154" s="84"/>
      <c r="J1154" s="84"/>
      <c r="K1154" s="84"/>
      <c r="L1154" s="84"/>
      <c r="M1154" s="84"/>
      <c r="N1154" s="84"/>
      <c r="O1154" s="84"/>
      <c r="P1154" s="84"/>
      <c r="Q1154" s="84"/>
      <c r="R1154" s="84"/>
      <c r="S1154" s="84"/>
      <c r="T1154" s="84"/>
    </row>
    <row r="1155" ht="15.75" customHeight="1">
      <c r="A1155" s="84" t="s">
        <v>37630</v>
      </c>
      <c r="B1155" s="84">
        <v>1.0</v>
      </c>
      <c r="C1155" s="186"/>
      <c r="D1155" s="187"/>
      <c r="E1155" s="188"/>
      <c r="F1155" s="189"/>
      <c r="G1155" s="190"/>
      <c r="H1155" s="190"/>
      <c r="I1155" s="84"/>
      <c r="J1155" s="84"/>
      <c r="K1155" s="84"/>
      <c r="L1155" s="84"/>
      <c r="M1155" s="84"/>
      <c r="N1155" s="84"/>
      <c r="O1155" s="84"/>
      <c r="P1155" s="84"/>
      <c r="Q1155" s="84"/>
      <c r="R1155" s="84"/>
      <c r="S1155" s="84"/>
      <c r="T1155" s="84"/>
    </row>
    <row r="1156" ht="15.75" customHeight="1">
      <c r="A1156" s="84" t="s">
        <v>37631</v>
      </c>
      <c r="B1156" s="84">
        <v>1.0</v>
      </c>
      <c r="C1156" s="186"/>
      <c r="D1156" s="187"/>
      <c r="E1156" s="188"/>
      <c r="F1156" s="189"/>
      <c r="G1156" s="190"/>
      <c r="H1156" s="190"/>
      <c r="I1156" s="84"/>
      <c r="J1156" s="84"/>
      <c r="K1156" s="84"/>
      <c r="L1156" s="84"/>
      <c r="M1156" s="84"/>
      <c r="N1156" s="84"/>
      <c r="O1156" s="84"/>
      <c r="P1156" s="84"/>
      <c r="Q1156" s="84"/>
      <c r="R1156" s="84"/>
      <c r="S1156" s="84"/>
      <c r="T1156" s="84"/>
    </row>
    <row r="1157" ht="15.75" customHeight="1">
      <c r="A1157" s="84" t="s">
        <v>37632</v>
      </c>
      <c r="B1157" s="84">
        <v>1.0</v>
      </c>
      <c r="C1157" s="186"/>
      <c r="D1157" s="187"/>
      <c r="E1157" s="188"/>
      <c r="F1157" s="189"/>
      <c r="G1157" s="190"/>
      <c r="H1157" s="190"/>
      <c r="I1157" s="84"/>
      <c r="J1157" s="84"/>
      <c r="K1157" s="84"/>
      <c r="L1157" s="84"/>
      <c r="M1157" s="84"/>
      <c r="N1157" s="84"/>
      <c r="O1157" s="84"/>
      <c r="P1157" s="84"/>
      <c r="Q1157" s="84"/>
      <c r="R1157" s="84"/>
      <c r="S1157" s="84"/>
      <c r="T1157" s="84"/>
    </row>
    <row r="1158" ht="15.75" customHeight="1">
      <c r="A1158" s="84" t="s">
        <v>37633</v>
      </c>
      <c r="B1158" s="84">
        <v>1.0</v>
      </c>
      <c r="C1158" s="186"/>
      <c r="D1158" s="187"/>
      <c r="E1158" s="188"/>
      <c r="F1158" s="189"/>
      <c r="G1158" s="190"/>
      <c r="H1158" s="190"/>
      <c r="I1158" s="84"/>
      <c r="J1158" s="84"/>
      <c r="K1158" s="84"/>
      <c r="L1158" s="84"/>
      <c r="M1158" s="84"/>
      <c r="N1158" s="84"/>
      <c r="O1158" s="84"/>
      <c r="P1158" s="84"/>
      <c r="Q1158" s="84"/>
      <c r="R1158" s="84"/>
      <c r="S1158" s="84"/>
      <c r="T1158" s="84"/>
    </row>
    <row r="1159" ht="15.75" customHeight="1">
      <c r="A1159" s="84" t="s">
        <v>37634</v>
      </c>
      <c r="B1159" s="84">
        <v>1.0</v>
      </c>
      <c r="C1159" s="186"/>
      <c r="D1159" s="187"/>
      <c r="E1159" s="188"/>
      <c r="F1159" s="189"/>
      <c r="G1159" s="190"/>
      <c r="H1159" s="190"/>
      <c r="I1159" s="84"/>
      <c r="J1159" s="84"/>
      <c r="K1159" s="84"/>
      <c r="L1159" s="84"/>
      <c r="M1159" s="84"/>
      <c r="N1159" s="84"/>
      <c r="O1159" s="84"/>
      <c r="P1159" s="84"/>
      <c r="Q1159" s="84"/>
      <c r="R1159" s="84"/>
      <c r="S1159" s="84"/>
      <c r="T1159" s="84"/>
    </row>
    <row r="1160" ht="15.75" customHeight="1">
      <c r="A1160" s="84" t="s">
        <v>37635</v>
      </c>
      <c r="B1160" s="84">
        <v>1.0</v>
      </c>
      <c r="C1160" s="186"/>
      <c r="D1160" s="187"/>
      <c r="E1160" s="188"/>
      <c r="F1160" s="189"/>
      <c r="G1160" s="190"/>
      <c r="H1160" s="190"/>
      <c r="I1160" s="84"/>
      <c r="J1160" s="84"/>
      <c r="K1160" s="84"/>
      <c r="L1160" s="84"/>
      <c r="M1160" s="84"/>
      <c r="N1160" s="84"/>
      <c r="O1160" s="84"/>
      <c r="P1160" s="84"/>
      <c r="Q1160" s="84"/>
      <c r="R1160" s="84"/>
      <c r="S1160" s="84"/>
      <c r="T1160" s="84"/>
    </row>
    <row r="1161" ht="15.75" customHeight="1">
      <c r="A1161" s="84" t="s">
        <v>37637</v>
      </c>
      <c r="B1161" s="84">
        <v>1.0</v>
      </c>
      <c r="C1161" s="186"/>
      <c r="D1161" s="187"/>
      <c r="E1161" s="188"/>
      <c r="F1161" s="189"/>
      <c r="G1161" s="190"/>
      <c r="H1161" s="190"/>
      <c r="I1161" s="84"/>
      <c r="J1161" s="84"/>
      <c r="K1161" s="84"/>
      <c r="L1161" s="84"/>
      <c r="M1161" s="84"/>
      <c r="N1161" s="84"/>
      <c r="O1161" s="84"/>
      <c r="P1161" s="84"/>
      <c r="Q1161" s="84"/>
      <c r="R1161" s="84"/>
      <c r="S1161" s="84"/>
      <c r="T1161" s="84"/>
    </row>
    <row r="1162" ht="15.75" customHeight="1">
      <c r="A1162" s="84" t="s">
        <v>37638</v>
      </c>
      <c r="B1162" s="84">
        <v>1.0</v>
      </c>
      <c r="C1162" s="186"/>
      <c r="D1162" s="187"/>
      <c r="E1162" s="188"/>
      <c r="F1162" s="189"/>
      <c r="G1162" s="190"/>
      <c r="H1162" s="190"/>
      <c r="I1162" s="84"/>
      <c r="J1162" s="84"/>
      <c r="K1162" s="84"/>
      <c r="L1162" s="84"/>
      <c r="M1162" s="84"/>
      <c r="N1162" s="84"/>
      <c r="O1162" s="84"/>
      <c r="P1162" s="84"/>
      <c r="Q1162" s="84"/>
      <c r="R1162" s="84"/>
      <c r="S1162" s="84"/>
      <c r="T1162" s="84"/>
    </row>
    <row r="1163" ht="15.75" customHeight="1">
      <c r="A1163" s="84" t="s">
        <v>37639</v>
      </c>
      <c r="B1163" s="84">
        <v>2.0</v>
      </c>
      <c r="C1163" s="186"/>
      <c r="D1163" s="187"/>
      <c r="E1163" s="188"/>
      <c r="F1163" s="189"/>
      <c r="G1163" s="190"/>
      <c r="H1163" s="190"/>
      <c r="I1163" s="84"/>
      <c r="J1163" s="84"/>
      <c r="K1163" s="84"/>
      <c r="L1163" s="84"/>
      <c r="M1163" s="84"/>
      <c r="N1163" s="84"/>
      <c r="O1163" s="84"/>
      <c r="P1163" s="84"/>
      <c r="Q1163" s="84"/>
      <c r="R1163" s="84"/>
      <c r="S1163" s="84"/>
      <c r="T1163" s="84"/>
    </row>
    <row r="1164" ht="15.75" customHeight="1">
      <c r="A1164" s="84" t="s">
        <v>37640</v>
      </c>
      <c r="B1164" s="84">
        <v>2.0</v>
      </c>
      <c r="C1164" s="186"/>
      <c r="D1164" s="187" t="s">
        <v>37641</v>
      </c>
      <c r="E1164" s="188"/>
      <c r="F1164" s="189"/>
      <c r="G1164" s="190"/>
      <c r="H1164" s="190"/>
      <c r="I1164" s="84"/>
      <c r="J1164" s="84"/>
      <c r="K1164" s="84"/>
      <c r="L1164" s="84"/>
      <c r="M1164" s="84"/>
      <c r="N1164" s="84"/>
      <c r="O1164" s="84"/>
      <c r="P1164" s="84"/>
      <c r="Q1164" s="84"/>
      <c r="R1164" s="84"/>
      <c r="S1164" s="84"/>
      <c r="T1164" s="84"/>
    </row>
    <row r="1165" ht="15.75" customHeight="1">
      <c r="A1165" s="84" t="s">
        <v>37641</v>
      </c>
      <c r="B1165" s="84">
        <v>7.0</v>
      </c>
      <c r="C1165" s="186"/>
      <c r="D1165" s="187"/>
      <c r="E1165" s="188"/>
      <c r="F1165" s="189"/>
      <c r="G1165" s="190"/>
      <c r="H1165" s="190"/>
      <c r="I1165" s="84"/>
      <c r="J1165" s="84"/>
      <c r="K1165" s="84"/>
      <c r="L1165" s="84"/>
      <c r="M1165" s="84"/>
      <c r="N1165" s="84"/>
      <c r="O1165" s="84"/>
      <c r="P1165" s="84"/>
      <c r="Q1165" s="84"/>
      <c r="R1165" s="84"/>
      <c r="S1165" s="84"/>
      <c r="T1165" s="84"/>
    </row>
    <row r="1166" ht="15.75" customHeight="1">
      <c r="A1166" s="84" t="s">
        <v>37643</v>
      </c>
      <c r="B1166" s="84">
        <v>1.0</v>
      </c>
      <c r="C1166" s="186"/>
      <c r="D1166" s="187"/>
      <c r="E1166" s="188"/>
      <c r="F1166" s="189"/>
      <c r="G1166" s="190"/>
      <c r="H1166" s="190"/>
      <c r="I1166" s="84"/>
      <c r="J1166" s="84"/>
      <c r="K1166" s="84"/>
      <c r="L1166" s="84"/>
      <c r="M1166" s="84"/>
      <c r="N1166" s="84"/>
      <c r="O1166" s="84"/>
      <c r="P1166" s="84"/>
      <c r="Q1166" s="84"/>
      <c r="R1166" s="84"/>
      <c r="S1166" s="84"/>
      <c r="T1166" s="84"/>
    </row>
    <row r="1167" ht="15.75" customHeight="1">
      <c r="A1167" s="84" t="s">
        <v>37644</v>
      </c>
      <c r="B1167" s="84">
        <v>1.0</v>
      </c>
      <c r="C1167" s="186"/>
      <c r="D1167" s="187"/>
      <c r="E1167" s="188"/>
      <c r="F1167" s="189"/>
      <c r="G1167" s="190"/>
      <c r="H1167" s="190"/>
      <c r="I1167" s="84"/>
      <c r="J1167" s="84"/>
      <c r="K1167" s="84"/>
      <c r="L1167" s="84"/>
      <c r="M1167" s="84"/>
      <c r="N1167" s="84"/>
      <c r="O1167" s="84"/>
      <c r="P1167" s="84"/>
      <c r="Q1167" s="84"/>
      <c r="R1167" s="84"/>
      <c r="S1167" s="84"/>
      <c r="T1167" s="84"/>
    </row>
    <row r="1168" ht="15.75" customHeight="1">
      <c r="A1168" s="84" t="s">
        <v>37645</v>
      </c>
      <c r="B1168" s="84">
        <v>1.0</v>
      </c>
      <c r="C1168" s="186"/>
      <c r="D1168" s="187"/>
      <c r="E1168" s="188"/>
      <c r="F1168" s="189"/>
      <c r="G1168" s="190"/>
      <c r="H1168" s="190"/>
      <c r="I1168" s="84"/>
      <c r="J1168" s="84"/>
      <c r="K1168" s="84"/>
      <c r="L1168" s="84"/>
      <c r="M1168" s="84"/>
      <c r="N1168" s="84"/>
      <c r="O1168" s="84"/>
      <c r="P1168" s="84"/>
      <c r="Q1168" s="84"/>
      <c r="R1168" s="84"/>
      <c r="S1168" s="84"/>
      <c r="T1168" s="84"/>
    </row>
    <row r="1169" ht="15.75" customHeight="1">
      <c r="A1169" s="84" t="s">
        <v>37646</v>
      </c>
      <c r="B1169" s="84">
        <v>2.0</v>
      </c>
      <c r="C1169" s="186"/>
      <c r="D1169" s="187"/>
      <c r="E1169" s="188"/>
      <c r="F1169" s="189"/>
      <c r="G1169" s="190"/>
      <c r="H1169" s="190"/>
      <c r="I1169" s="84"/>
      <c r="J1169" s="84"/>
      <c r="K1169" s="84"/>
      <c r="L1169" s="84"/>
      <c r="M1169" s="84"/>
      <c r="N1169" s="84"/>
      <c r="O1169" s="84"/>
      <c r="P1169" s="84"/>
      <c r="Q1169" s="84"/>
      <c r="R1169" s="84"/>
      <c r="S1169" s="84"/>
      <c r="T1169" s="84"/>
    </row>
    <row r="1170" ht="15.75" customHeight="1">
      <c r="A1170" s="84" t="s">
        <v>37647</v>
      </c>
      <c r="B1170" s="84">
        <v>1.0</v>
      </c>
      <c r="C1170" s="186"/>
      <c r="D1170" s="187"/>
      <c r="E1170" s="188"/>
      <c r="F1170" s="189"/>
      <c r="G1170" s="190"/>
      <c r="H1170" s="190"/>
      <c r="I1170" s="84"/>
      <c r="J1170" s="84"/>
      <c r="K1170" s="84"/>
      <c r="L1170" s="84"/>
      <c r="M1170" s="84"/>
      <c r="N1170" s="84"/>
      <c r="O1170" s="84"/>
      <c r="P1170" s="84"/>
      <c r="Q1170" s="84"/>
      <c r="R1170" s="84"/>
      <c r="S1170" s="84"/>
      <c r="T1170" s="84"/>
    </row>
    <row r="1171" ht="15.75" customHeight="1">
      <c r="A1171" s="84" t="s">
        <v>37648</v>
      </c>
      <c r="B1171" s="84">
        <v>1.0</v>
      </c>
      <c r="C1171" s="186"/>
      <c r="D1171" s="187"/>
      <c r="E1171" s="188"/>
      <c r="F1171" s="189"/>
      <c r="G1171" s="190"/>
      <c r="H1171" s="190"/>
      <c r="I1171" s="84"/>
      <c r="J1171" s="84"/>
      <c r="K1171" s="84"/>
      <c r="L1171" s="84"/>
      <c r="M1171" s="84"/>
      <c r="N1171" s="84"/>
      <c r="O1171" s="84"/>
      <c r="P1171" s="84"/>
      <c r="Q1171" s="84"/>
      <c r="R1171" s="84"/>
      <c r="S1171" s="84"/>
      <c r="T1171" s="84"/>
    </row>
    <row r="1172" ht="15.75" customHeight="1">
      <c r="A1172" s="84" t="s">
        <v>37649</v>
      </c>
      <c r="B1172" s="84">
        <v>1.0</v>
      </c>
      <c r="C1172" s="186"/>
      <c r="D1172" s="187"/>
      <c r="E1172" s="188"/>
      <c r="F1172" s="189"/>
      <c r="G1172" s="190"/>
      <c r="H1172" s="190"/>
      <c r="I1172" s="84"/>
      <c r="J1172" s="84"/>
      <c r="K1172" s="84"/>
      <c r="L1172" s="84"/>
      <c r="M1172" s="84"/>
      <c r="N1172" s="84"/>
      <c r="O1172" s="84"/>
      <c r="P1172" s="84"/>
      <c r="Q1172" s="84"/>
      <c r="R1172" s="84"/>
      <c r="S1172" s="84"/>
      <c r="T1172" s="84"/>
    </row>
    <row r="1173" ht="15.75" customHeight="1">
      <c r="A1173" s="84" t="s">
        <v>37650</v>
      </c>
      <c r="B1173" s="84">
        <v>1.0</v>
      </c>
      <c r="C1173" s="186"/>
      <c r="D1173" s="187"/>
      <c r="E1173" s="188"/>
      <c r="F1173" s="189"/>
      <c r="G1173" s="190"/>
      <c r="H1173" s="190"/>
      <c r="I1173" s="84"/>
      <c r="J1173" s="84"/>
      <c r="K1173" s="84"/>
      <c r="L1173" s="84"/>
      <c r="M1173" s="84"/>
      <c r="N1173" s="84"/>
      <c r="O1173" s="84"/>
      <c r="P1173" s="84"/>
      <c r="Q1173" s="84"/>
      <c r="R1173" s="84"/>
      <c r="S1173" s="84"/>
      <c r="T1173" s="84"/>
    </row>
    <row r="1174" ht="15.75" customHeight="1">
      <c r="A1174" s="84" t="s">
        <v>37651</v>
      </c>
      <c r="B1174" s="84">
        <v>1.0</v>
      </c>
      <c r="C1174" s="186"/>
      <c r="D1174" s="187"/>
      <c r="E1174" s="188"/>
      <c r="F1174" s="189"/>
      <c r="G1174" s="190"/>
      <c r="H1174" s="190"/>
      <c r="I1174" s="84"/>
      <c r="J1174" s="84"/>
      <c r="K1174" s="84"/>
      <c r="L1174" s="84"/>
      <c r="M1174" s="84"/>
      <c r="N1174" s="84"/>
      <c r="O1174" s="84"/>
      <c r="P1174" s="84"/>
      <c r="Q1174" s="84"/>
      <c r="R1174" s="84"/>
      <c r="S1174" s="84"/>
      <c r="T1174" s="84"/>
    </row>
    <row r="1175" ht="15.75" customHeight="1">
      <c r="A1175" s="84" t="s">
        <v>37652</v>
      </c>
      <c r="B1175" s="84">
        <v>1.0</v>
      </c>
      <c r="C1175" s="186"/>
      <c r="D1175" s="187"/>
      <c r="E1175" s="188"/>
      <c r="F1175" s="189"/>
      <c r="G1175" s="190"/>
      <c r="H1175" s="190"/>
      <c r="I1175" s="84"/>
      <c r="J1175" s="84"/>
      <c r="K1175" s="84"/>
      <c r="L1175" s="84"/>
      <c r="M1175" s="84"/>
      <c r="N1175" s="84"/>
      <c r="O1175" s="84"/>
      <c r="P1175" s="84"/>
      <c r="Q1175" s="84"/>
      <c r="R1175" s="84"/>
      <c r="S1175" s="84"/>
      <c r="T1175" s="84"/>
    </row>
    <row r="1176" ht="15.75" customHeight="1">
      <c r="A1176" s="84" t="s">
        <v>37653</v>
      </c>
      <c r="B1176" s="84">
        <v>1.0</v>
      </c>
      <c r="C1176" s="186"/>
      <c r="D1176" s="187"/>
      <c r="E1176" s="188"/>
      <c r="F1176" s="189"/>
      <c r="G1176" s="190"/>
      <c r="H1176" s="190"/>
      <c r="I1176" s="84"/>
      <c r="J1176" s="84"/>
      <c r="K1176" s="84"/>
      <c r="L1176" s="84"/>
      <c r="M1176" s="84"/>
      <c r="N1176" s="84"/>
      <c r="O1176" s="84"/>
      <c r="P1176" s="84"/>
      <c r="Q1176" s="84"/>
      <c r="R1176" s="84"/>
      <c r="S1176" s="84"/>
      <c r="T1176" s="84"/>
    </row>
    <row r="1177" ht="15.75" customHeight="1">
      <c r="A1177" s="84" t="s">
        <v>37654</v>
      </c>
      <c r="B1177" s="84">
        <v>1.0</v>
      </c>
      <c r="C1177" s="186"/>
      <c r="D1177" s="187"/>
      <c r="E1177" s="188"/>
      <c r="F1177" s="189"/>
      <c r="G1177" s="190"/>
      <c r="H1177" s="190"/>
      <c r="I1177" s="84"/>
      <c r="J1177" s="84"/>
      <c r="K1177" s="84"/>
      <c r="L1177" s="84"/>
      <c r="M1177" s="84"/>
      <c r="N1177" s="84"/>
      <c r="O1177" s="84"/>
      <c r="P1177" s="84"/>
      <c r="Q1177" s="84"/>
      <c r="R1177" s="84"/>
      <c r="S1177" s="84"/>
      <c r="T1177" s="84"/>
    </row>
    <row r="1178" ht="15.75" customHeight="1">
      <c r="A1178" s="84" t="s">
        <v>37655</v>
      </c>
      <c r="B1178" s="84">
        <v>1.0</v>
      </c>
      <c r="C1178" s="186"/>
      <c r="D1178" s="187"/>
      <c r="E1178" s="188"/>
      <c r="F1178" s="189"/>
      <c r="G1178" s="190"/>
      <c r="H1178" s="190"/>
      <c r="I1178" s="84"/>
      <c r="J1178" s="84"/>
      <c r="K1178" s="84"/>
      <c r="L1178" s="84"/>
      <c r="M1178" s="84"/>
      <c r="N1178" s="84"/>
      <c r="O1178" s="84"/>
      <c r="P1178" s="84"/>
      <c r="Q1178" s="84"/>
      <c r="R1178" s="84"/>
      <c r="S1178" s="84"/>
      <c r="T1178" s="84"/>
    </row>
    <row r="1179" ht="15.75" customHeight="1">
      <c r="A1179" s="84" t="s">
        <v>37656</v>
      </c>
      <c r="B1179" s="84">
        <v>1.0</v>
      </c>
      <c r="C1179" s="186"/>
      <c r="D1179" s="187"/>
      <c r="E1179" s="188"/>
      <c r="F1179" s="189"/>
      <c r="G1179" s="190"/>
      <c r="H1179" s="190"/>
      <c r="I1179" s="84"/>
      <c r="J1179" s="84"/>
      <c r="K1179" s="84"/>
      <c r="L1179" s="84"/>
      <c r="M1179" s="84"/>
      <c r="N1179" s="84"/>
      <c r="O1179" s="84"/>
      <c r="P1179" s="84"/>
      <c r="Q1179" s="84"/>
      <c r="R1179" s="84"/>
      <c r="S1179" s="84"/>
      <c r="T1179" s="84"/>
    </row>
    <row r="1180" ht="15.75" customHeight="1">
      <c r="A1180" s="84" t="s">
        <v>37657</v>
      </c>
      <c r="B1180" s="84">
        <v>1.0</v>
      </c>
      <c r="C1180" s="186"/>
      <c r="D1180" s="187"/>
      <c r="E1180" s="188"/>
      <c r="F1180" s="189"/>
      <c r="G1180" s="190"/>
      <c r="H1180" s="190"/>
      <c r="I1180" s="84"/>
      <c r="J1180" s="84"/>
      <c r="K1180" s="84"/>
      <c r="L1180" s="84"/>
      <c r="M1180" s="84"/>
      <c r="N1180" s="84"/>
      <c r="O1180" s="84"/>
      <c r="P1180" s="84"/>
      <c r="Q1180" s="84"/>
      <c r="R1180" s="84"/>
      <c r="S1180" s="84"/>
      <c r="T1180" s="84"/>
    </row>
    <row r="1181" ht="15.75" customHeight="1">
      <c r="A1181" s="84" t="s">
        <v>37658</v>
      </c>
      <c r="B1181" s="84">
        <v>1.0</v>
      </c>
      <c r="C1181" s="186"/>
      <c r="D1181" s="187"/>
      <c r="E1181" s="188"/>
      <c r="F1181" s="189"/>
      <c r="G1181" s="190"/>
      <c r="H1181" s="190"/>
      <c r="I1181" s="84"/>
      <c r="J1181" s="84"/>
      <c r="K1181" s="84"/>
      <c r="L1181" s="84"/>
      <c r="M1181" s="84"/>
      <c r="N1181" s="84"/>
      <c r="O1181" s="84"/>
      <c r="P1181" s="84"/>
      <c r="Q1181" s="84"/>
      <c r="R1181" s="84"/>
      <c r="S1181" s="84"/>
      <c r="T1181" s="84"/>
    </row>
    <row r="1182" ht="15.75" customHeight="1">
      <c r="A1182" s="84" t="s">
        <v>37659</v>
      </c>
      <c r="B1182" s="84">
        <v>1.0</v>
      </c>
      <c r="C1182" s="186"/>
      <c r="D1182" s="187"/>
      <c r="E1182" s="188"/>
      <c r="F1182" s="189"/>
      <c r="G1182" s="190"/>
      <c r="H1182" s="190"/>
      <c r="I1182" s="84"/>
      <c r="J1182" s="84"/>
      <c r="K1182" s="84"/>
      <c r="L1182" s="84"/>
      <c r="M1182" s="84"/>
      <c r="N1182" s="84"/>
      <c r="O1182" s="84"/>
      <c r="P1182" s="84"/>
      <c r="Q1182" s="84"/>
      <c r="R1182" s="84"/>
      <c r="S1182" s="84"/>
      <c r="T1182" s="84"/>
    </row>
    <row r="1183" ht="15.75" customHeight="1">
      <c r="A1183" s="84" t="s">
        <v>37660</v>
      </c>
      <c r="B1183" s="84">
        <v>1.0</v>
      </c>
      <c r="C1183" s="186"/>
      <c r="D1183" s="187"/>
      <c r="E1183" s="188"/>
      <c r="F1183" s="189"/>
      <c r="G1183" s="190"/>
      <c r="H1183" s="190"/>
      <c r="I1183" s="84"/>
      <c r="J1183" s="84"/>
      <c r="K1183" s="84"/>
      <c r="L1183" s="84"/>
      <c r="M1183" s="84"/>
      <c r="N1183" s="84"/>
      <c r="O1183" s="84"/>
      <c r="P1183" s="84"/>
      <c r="Q1183" s="84"/>
      <c r="R1183" s="84"/>
      <c r="S1183" s="84"/>
      <c r="T1183" s="84"/>
    </row>
    <row r="1184" ht="15.75" customHeight="1">
      <c r="A1184" s="84" t="s">
        <v>37662</v>
      </c>
      <c r="B1184" s="84">
        <v>1.0</v>
      </c>
      <c r="C1184" s="186"/>
      <c r="D1184" s="187"/>
      <c r="E1184" s="188"/>
      <c r="F1184" s="189"/>
      <c r="G1184" s="190"/>
      <c r="H1184" s="190"/>
      <c r="I1184" s="84"/>
      <c r="J1184" s="84"/>
      <c r="K1184" s="84"/>
      <c r="L1184" s="84"/>
      <c r="M1184" s="84"/>
      <c r="N1184" s="84"/>
      <c r="O1184" s="84"/>
      <c r="P1184" s="84"/>
      <c r="Q1184" s="84"/>
      <c r="R1184" s="84"/>
      <c r="S1184" s="84"/>
      <c r="T1184" s="84"/>
    </row>
    <row r="1185" ht="15.75" customHeight="1">
      <c r="A1185" s="84" t="s">
        <v>37663</v>
      </c>
      <c r="B1185" s="84">
        <v>1.0</v>
      </c>
      <c r="C1185" s="186"/>
      <c r="D1185" s="187"/>
      <c r="E1185" s="188"/>
      <c r="F1185" s="189"/>
      <c r="G1185" s="190"/>
      <c r="H1185" s="190"/>
      <c r="I1185" s="84"/>
      <c r="J1185" s="84"/>
      <c r="K1185" s="84"/>
      <c r="L1185" s="84"/>
      <c r="M1185" s="84"/>
      <c r="N1185" s="84"/>
      <c r="O1185" s="84"/>
      <c r="P1185" s="84"/>
      <c r="Q1185" s="84"/>
      <c r="R1185" s="84"/>
      <c r="S1185" s="84"/>
      <c r="T1185" s="84"/>
    </row>
    <row r="1186" ht="15.75" customHeight="1">
      <c r="A1186" s="84" t="s">
        <v>37664</v>
      </c>
      <c r="B1186" s="84">
        <v>1.0</v>
      </c>
      <c r="C1186" s="186"/>
      <c r="D1186" s="187"/>
      <c r="E1186" s="188"/>
      <c r="F1186" s="189"/>
      <c r="G1186" s="190"/>
      <c r="H1186" s="190"/>
      <c r="I1186" s="84"/>
      <c r="J1186" s="84"/>
      <c r="K1186" s="84"/>
      <c r="L1186" s="84"/>
      <c r="M1186" s="84"/>
      <c r="N1186" s="84"/>
      <c r="O1186" s="84"/>
      <c r="P1186" s="84"/>
      <c r="Q1186" s="84"/>
      <c r="R1186" s="84"/>
      <c r="S1186" s="84"/>
      <c r="T1186" s="84"/>
    </row>
    <row r="1187" ht="15.75" customHeight="1">
      <c r="A1187" s="84" t="s">
        <v>37665</v>
      </c>
      <c r="B1187" s="84">
        <v>1.0</v>
      </c>
      <c r="C1187" s="186"/>
      <c r="D1187" s="187"/>
      <c r="E1187" s="188"/>
      <c r="F1187" s="189"/>
      <c r="G1187" s="190"/>
      <c r="H1187" s="190"/>
      <c r="I1187" s="84"/>
      <c r="J1187" s="84"/>
      <c r="K1187" s="84"/>
      <c r="L1187" s="84"/>
      <c r="M1187" s="84"/>
      <c r="N1187" s="84"/>
      <c r="O1187" s="84"/>
      <c r="P1187" s="84"/>
      <c r="Q1187" s="84"/>
      <c r="R1187" s="84"/>
      <c r="S1187" s="84"/>
      <c r="T1187" s="84"/>
    </row>
    <row r="1188" ht="15.75" customHeight="1">
      <c r="A1188" s="84" t="s">
        <v>37666</v>
      </c>
      <c r="B1188" s="84">
        <v>1.0</v>
      </c>
      <c r="C1188" s="186"/>
      <c r="D1188" s="187"/>
      <c r="E1188" s="188"/>
      <c r="F1188" s="189"/>
      <c r="G1188" s="190"/>
      <c r="H1188" s="190"/>
      <c r="I1188" s="84"/>
      <c r="J1188" s="84"/>
      <c r="K1188" s="84"/>
      <c r="L1188" s="84"/>
      <c r="M1188" s="84"/>
      <c r="N1188" s="84"/>
      <c r="O1188" s="84"/>
      <c r="P1188" s="84"/>
      <c r="Q1188" s="84"/>
      <c r="R1188" s="84"/>
      <c r="S1188" s="84"/>
      <c r="T1188" s="84"/>
    </row>
    <row r="1189" ht="15.75" customHeight="1">
      <c r="A1189" s="84" t="s">
        <v>37667</v>
      </c>
      <c r="B1189" s="84">
        <v>1.0</v>
      </c>
      <c r="C1189" s="186"/>
      <c r="D1189" s="187"/>
      <c r="E1189" s="188"/>
      <c r="F1189" s="189"/>
      <c r="G1189" s="190"/>
      <c r="H1189" s="190"/>
      <c r="I1189" s="84"/>
      <c r="J1189" s="84"/>
      <c r="K1189" s="84"/>
      <c r="L1189" s="84"/>
      <c r="M1189" s="84"/>
      <c r="N1189" s="84"/>
      <c r="O1189" s="84"/>
      <c r="P1189" s="84"/>
      <c r="Q1189" s="84"/>
      <c r="R1189" s="84"/>
      <c r="S1189" s="84"/>
      <c r="T1189" s="84"/>
    </row>
    <row r="1190" ht="15.75" customHeight="1">
      <c r="A1190" s="84" t="s">
        <v>37669</v>
      </c>
      <c r="B1190" s="84">
        <v>1.0</v>
      </c>
      <c r="C1190" s="186"/>
      <c r="D1190" s="187"/>
      <c r="E1190" s="188"/>
      <c r="F1190" s="189"/>
      <c r="G1190" s="190"/>
      <c r="H1190" s="190"/>
      <c r="I1190" s="84"/>
      <c r="J1190" s="84"/>
      <c r="K1190" s="84"/>
      <c r="L1190" s="84"/>
      <c r="M1190" s="84"/>
      <c r="N1190" s="84"/>
      <c r="O1190" s="84"/>
      <c r="P1190" s="84"/>
      <c r="Q1190" s="84"/>
      <c r="R1190" s="84"/>
      <c r="S1190" s="84"/>
      <c r="T1190" s="84"/>
    </row>
    <row r="1191" ht="15.75" customHeight="1">
      <c r="A1191" s="84" t="s">
        <v>37670</v>
      </c>
      <c r="B1191" s="84">
        <v>2.0</v>
      </c>
      <c r="C1191" s="186"/>
      <c r="D1191" s="187"/>
      <c r="E1191" s="188"/>
      <c r="F1191" s="189"/>
      <c r="G1191" s="190"/>
      <c r="H1191" s="190"/>
      <c r="I1191" s="84"/>
      <c r="J1191" s="84"/>
      <c r="K1191" s="84"/>
      <c r="L1191" s="84"/>
      <c r="M1191" s="84"/>
      <c r="N1191" s="84"/>
      <c r="O1191" s="84"/>
      <c r="P1191" s="84"/>
      <c r="Q1191" s="84"/>
      <c r="R1191" s="84"/>
      <c r="S1191" s="84"/>
      <c r="T1191" s="84"/>
    </row>
    <row r="1192" ht="15.75" customHeight="1">
      <c r="A1192" s="84" t="s">
        <v>37671</v>
      </c>
      <c r="B1192" s="84">
        <v>1.0</v>
      </c>
      <c r="C1192" s="186"/>
      <c r="D1192" s="187"/>
      <c r="E1192" s="188"/>
      <c r="F1192" s="189"/>
      <c r="G1192" s="190"/>
      <c r="H1192" s="190"/>
      <c r="I1192" s="84"/>
      <c r="J1192" s="84"/>
      <c r="K1192" s="84"/>
      <c r="L1192" s="84"/>
      <c r="M1192" s="84"/>
      <c r="N1192" s="84"/>
      <c r="O1192" s="84"/>
      <c r="P1192" s="84"/>
      <c r="Q1192" s="84"/>
      <c r="R1192" s="84"/>
      <c r="S1192" s="84"/>
      <c r="T1192" s="84"/>
    </row>
    <row r="1193" ht="15.75" customHeight="1">
      <c r="A1193" s="84" t="s">
        <v>37673</v>
      </c>
      <c r="B1193" s="84">
        <v>1.0</v>
      </c>
      <c r="C1193" s="186"/>
      <c r="D1193" s="187" t="s">
        <v>37670</v>
      </c>
      <c r="E1193" s="188"/>
      <c r="F1193" s="189"/>
      <c r="G1193" s="190"/>
      <c r="H1193" s="190"/>
      <c r="I1193" s="84"/>
      <c r="J1193" s="84"/>
      <c r="K1193" s="84"/>
      <c r="L1193" s="84"/>
      <c r="M1193" s="84"/>
      <c r="N1193" s="84"/>
      <c r="O1193" s="84"/>
      <c r="P1193" s="84"/>
      <c r="Q1193" s="84"/>
      <c r="R1193" s="84"/>
      <c r="S1193" s="84"/>
      <c r="T1193" s="84"/>
    </row>
    <row r="1194" ht="15.75" customHeight="1">
      <c r="A1194" s="84" t="s">
        <v>37674</v>
      </c>
      <c r="B1194" s="84">
        <v>1.0</v>
      </c>
      <c r="C1194" s="186"/>
      <c r="D1194" s="187" t="s">
        <v>37670</v>
      </c>
      <c r="E1194" s="188"/>
      <c r="F1194" s="189"/>
      <c r="G1194" s="190"/>
      <c r="H1194" s="190"/>
      <c r="I1194" s="84"/>
      <c r="J1194" s="84"/>
      <c r="K1194" s="84"/>
      <c r="L1194" s="84"/>
      <c r="M1194" s="84"/>
      <c r="N1194" s="84"/>
      <c r="O1194" s="84"/>
      <c r="P1194" s="84"/>
      <c r="Q1194" s="84"/>
      <c r="R1194" s="84"/>
      <c r="S1194" s="84"/>
      <c r="T1194" s="84"/>
    </row>
    <row r="1195" ht="15.75" customHeight="1">
      <c r="A1195" s="84" t="s">
        <v>37675</v>
      </c>
      <c r="B1195" s="84">
        <v>1.0</v>
      </c>
      <c r="C1195" s="186"/>
      <c r="D1195" s="187"/>
      <c r="E1195" s="188"/>
      <c r="F1195" s="189"/>
      <c r="G1195" s="190"/>
      <c r="H1195" s="190"/>
      <c r="I1195" s="84"/>
      <c r="J1195" s="84"/>
      <c r="K1195" s="84"/>
      <c r="L1195" s="84"/>
      <c r="M1195" s="84"/>
      <c r="N1195" s="84"/>
      <c r="O1195" s="84"/>
      <c r="P1195" s="84"/>
      <c r="Q1195" s="84"/>
      <c r="R1195" s="84"/>
      <c r="S1195" s="84"/>
      <c r="T1195" s="84"/>
    </row>
    <row r="1196" ht="15.75" customHeight="1">
      <c r="A1196" s="84" t="s">
        <v>37677</v>
      </c>
      <c r="B1196" s="84">
        <v>1.0</v>
      </c>
      <c r="C1196" s="186"/>
      <c r="D1196" s="187"/>
      <c r="E1196" s="188"/>
      <c r="F1196" s="189"/>
      <c r="G1196" s="190"/>
      <c r="H1196" s="190"/>
      <c r="I1196" s="84"/>
      <c r="J1196" s="84"/>
      <c r="K1196" s="84"/>
      <c r="L1196" s="84"/>
      <c r="M1196" s="84"/>
      <c r="N1196" s="84"/>
      <c r="O1196" s="84"/>
      <c r="P1196" s="84"/>
      <c r="Q1196" s="84"/>
      <c r="R1196" s="84"/>
      <c r="S1196" s="84"/>
      <c r="T1196" s="84"/>
    </row>
    <row r="1197" ht="15.75" customHeight="1">
      <c r="A1197" s="84" t="s">
        <v>37678</v>
      </c>
      <c r="B1197" s="84">
        <v>1.0</v>
      </c>
      <c r="C1197" s="186"/>
      <c r="D1197" s="187"/>
      <c r="E1197" s="188"/>
      <c r="F1197" s="189"/>
      <c r="G1197" s="190"/>
      <c r="H1197" s="190"/>
      <c r="I1197" s="84"/>
      <c r="J1197" s="84"/>
      <c r="K1197" s="84"/>
      <c r="L1197" s="84"/>
      <c r="M1197" s="84"/>
      <c r="N1197" s="84"/>
      <c r="O1197" s="84"/>
      <c r="P1197" s="84"/>
      <c r="Q1197" s="84"/>
      <c r="R1197" s="84"/>
      <c r="S1197" s="84"/>
      <c r="T1197" s="84"/>
    </row>
    <row r="1198" ht="15.75" customHeight="1">
      <c r="A1198" s="84" t="s">
        <v>37679</v>
      </c>
      <c r="B1198" s="84">
        <v>1.0</v>
      </c>
      <c r="C1198" s="186"/>
      <c r="D1198" s="187" t="s">
        <v>37678</v>
      </c>
      <c r="E1198" s="188"/>
      <c r="F1198" s="189"/>
      <c r="G1198" s="190"/>
      <c r="H1198" s="190"/>
      <c r="I1198" s="84"/>
      <c r="J1198" s="84"/>
      <c r="K1198" s="84"/>
      <c r="L1198" s="84"/>
      <c r="M1198" s="84"/>
      <c r="N1198" s="84"/>
      <c r="O1198" s="84"/>
      <c r="P1198" s="84"/>
      <c r="Q1198" s="84"/>
      <c r="R1198" s="84"/>
      <c r="S1198" s="84"/>
      <c r="T1198" s="84"/>
    </row>
    <row r="1199" ht="15.75" customHeight="1">
      <c r="A1199" s="84" t="s">
        <v>37680</v>
      </c>
      <c r="B1199" s="84">
        <v>1.0</v>
      </c>
      <c r="C1199" s="186"/>
      <c r="D1199" s="187"/>
      <c r="E1199" s="188"/>
      <c r="F1199" s="189"/>
      <c r="G1199" s="190"/>
      <c r="H1199" s="190"/>
      <c r="I1199" s="84"/>
      <c r="J1199" s="84"/>
      <c r="K1199" s="84"/>
      <c r="L1199" s="84"/>
      <c r="M1199" s="84"/>
      <c r="N1199" s="84"/>
      <c r="O1199" s="84"/>
      <c r="P1199" s="84"/>
      <c r="Q1199" s="84"/>
      <c r="R1199" s="84"/>
      <c r="S1199" s="84"/>
      <c r="T1199" s="84"/>
    </row>
    <row r="1200" ht="15.75" customHeight="1">
      <c r="A1200" s="84" t="s">
        <v>37681</v>
      </c>
      <c r="B1200" s="84">
        <v>2.0</v>
      </c>
      <c r="C1200" s="186"/>
      <c r="D1200" s="187"/>
      <c r="E1200" s="188"/>
      <c r="F1200" s="189"/>
      <c r="G1200" s="190"/>
      <c r="H1200" s="190"/>
      <c r="I1200" s="84"/>
      <c r="J1200" s="84"/>
      <c r="K1200" s="84"/>
      <c r="L1200" s="84"/>
      <c r="M1200" s="84"/>
      <c r="N1200" s="84"/>
      <c r="O1200" s="84"/>
      <c r="P1200" s="84"/>
      <c r="Q1200" s="84"/>
      <c r="R1200" s="84"/>
      <c r="S1200" s="84"/>
      <c r="T1200" s="84"/>
    </row>
    <row r="1201" ht="15.75" customHeight="1">
      <c r="A1201" s="84" t="s">
        <v>37682</v>
      </c>
      <c r="B1201" s="84">
        <v>4.0</v>
      </c>
      <c r="C1201" s="186"/>
      <c r="D1201" s="187"/>
      <c r="E1201" s="188"/>
      <c r="F1201" s="189"/>
      <c r="G1201" s="190"/>
      <c r="H1201" s="190"/>
      <c r="I1201" s="84"/>
      <c r="J1201" s="84"/>
      <c r="K1201" s="84"/>
      <c r="L1201" s="84"/>
      <c r="M1201" s="84"/>
      <c r="N1201" s="84"/>
      <c r="O1201" s="84"/>
      <c r="P1201" s="84"/>
      <c r="Q1201" s="84"/>
      <c r="R1201" s="84"/>
      <c r="S1201" s="84"/>
      <c r="T1201" s="84"/>
    </row>
    <row r="1202" ht="15.75" customHeight="1">
      <c r="A1202" s="84" t="s">
        <v>37683</v>
      </c>
      <c r="B1202" s="84">
        <v>1.0</v>
      </c>
      <c r="C1202" s="186"/>
      <c r="D1202" s="187"/>
      <c r="E1202" s="188"/>
      <c r="F1202" s="189"/>
      <c r="G1202" s="190"/>
      <c r="H1202" s="190"/>
      <c r="I1202" s="84"/>
      <c r="J1202" s="84"/>
      <c r="K1202" s="84"/>
      <c r="L1202" s="84"/>
      <c r="M1202" s="84"/>
      <c r="N1202" s="84"/>
      <c r="O1202" s="84"/>
      <c r="P1202" s="84"/>
      <c r="Q1202" s="84"/>
      <c r="R1202" s="84"/>
      <c r="S1202" s="84"/>
      <c r="T1202" s="84"/>
    </row>
    <row r="1203" ht="15.75" customHeight="1">
      <c r="A1203" s="84" t="s">
        <v>37684</v>
      </c>
      <c r="B1203" s="84">
        <v>2.0</v>
      </c>
      <c r="C1203" s="186"/>
      <c r="D1203" s="187"/>
      <c r="E1203" s="188"/>
      <c r="F1203" s="189"/>
      <c r="G1203" s="190"/>
      <c r="H1203" s="190"/>
      <c r="I1203" s="84"/>
      <c r="J1203" s="84"/>
      <c r="K1203" s="84"/>
      <c r="L1203" s="84"/>
      <c r="M1203" s="84"/>
      <c r="N1203" s="84"/>
      <c r="O1203" s="84"/>
      <c r="P1203" s="84"/>
      <c r="Q1203" s="84"/>
      <c r="R1203" s="84"/>
      <c r="S1203" s="84"/>
      <c r="T1203" s="84"/>
    </row>
    <row r="1204" ht="15.75" customHeight="1">
      <c r="A1204" s="84" t="s">
        <v>37685</v>
      </c>
      <c r="B1204" s="84">
        <v>1.0</v>
      </c>
      <c r="C1204" s="186"/>
      <c r="D1204" s="187"/>
      <c r="E1204" s="188"/>
      <c r="F1204" s="189"/>
      <c r="G1204" s="190"/>
      <c r="H1204" s="190"/>
      <c r="I1204" s="84"/>
      <c r="J1204" s="84"/>
      <c r="K1204" s="84"/>
      <c r="L1204" s="84"/>
      <c r="M1204" s="84"/>
      <c r="N1204" s="84"/>
      <c r="O1204" s="84"/>
      <c r="P1204" s="84"/>
      <c r="Q1204" s="84"/>
      <c r="R1204" s="84"/>
      <c r="S1204" s="84"/>
      <c r="T1204" s="84"/>
    </row>
    <row r="1205" ht="15.75" customHeight="1">
      <c r="A1205" s="84" t="s">
        <v>37686</v>
      </c>
      <c r="B1205" s="84">
        <v>1.0</v>
      </c>
      <c r="C1205" s="186"/>
      <c r="D1205" s="187"/>
      <c r="E1205" s="188"/>
      <c r="F1205" s="189"/>
      <c r="G1205" s="190"/>
      <c r="H1205" s="190"/>
      <c r="I1205" s="84"/>
      <c r="J1205" s="84"/>
      <c r="K1205" s="84"/>
      <c r="L1205" s="84"/>
      <c r="M1205" s="84"/>
      <c r="N1205" s="84"/>
      <c r="O1205" s="84"/>
      <c r="P1205" s="84"/>
      <c r="Q1205" s="84"/>
      <c r="R1205" s="84"/>
      <c r="S1205" s="84"/>
      <c r="T1205" s="84"/>
    </row>
    <row r="1206" ht="15.75" customHeight="1">
      <c r="A1206" s="84" t="s">
        <v>37688</v>
      </c>
      <c r="B1206" s="84">
        <v>1.0</v>
      </c>
      <c r="C1206" s="186"/>
      <c r="D1206" s="187"/>
      <c r="E1206" s="188"/>
      <c r="F1206" s="189"/>
      <c r="G1206" s="190"/>
      <c r="H1206" s="190"/>
      <c r="I1206" s="84"/>
      <c r="J1206" s="84"/>
      <c r="K1206" s="84"/>
      <c r="L1206" s="84"/>
      <c r="M1206" s="84"/>
      <c r="N1206" s="84"/>
      <c r="O1206" s="84"/>
      <c r="P1206" s="84"/>
      <c r="Q1206" s="84"/>
      <c r="R1206" s="84"/>
      <c r="S1206" s="84"/>
      <c r="T1206" s="84"/>
    </row>
    <row r="1207" ht="15.75" customHeight="1">
      <c r="A1207" s="84" t="s">
        <v>37689</v>
      </c>
      <c r="B1207" s="84">
        <v>1.0</v>
      </c>
      <c r="C1207" s="186"/>
      <c r="D1207" s="187" t="s">
        <v>37690</v>
      </c>
      <c r="E1207" s="188"/>
      <c r="F1207" s="189"/>
      <c r="G1207" s="190"/>
      <c r="H1207" s="190"/>
      <c r="I1207" s="84"/>
      <c r="J1207" s="84"/>
      <c r="K1207" s="84"/>
      <c r="L1207" s="84"/>
      <c r="M1207" s="84"/>
      <c r="N1207" s="84"/>
      <c r="O1207" s="84"/>
      <c r="P1207" s="84"/>
      <c r="Q1207" s="84"/>
      <c r="R1207" s="84"/>
      <c r="S1207" s="84"/>
      <c r="T1207" s="84"/>
    </row>
    <row r="1208" ht="15.75" customHeight="1">
      <c r="A1208" s="84" t="s">
        <v>37691</v>
      </c>
      <c r="B1208" s="84">
        <v>1.0</v>
      </c>
      <c r="C1208" s="186"/>
      <c r="D1208" s="187"/>
      <c r="E1208" s="188"/>
      <c r="F1208" s="189"/>
      <c r="G1208" s="190"/>
      <c r="H1208" s="190"/>
      <c r="I1208" s="84"/>
      <c r="J1208" s="84"/>
      <c r="K1208" s="84"/>
      <c r="L1208" s="84"/>
      <c r="M1208" s="84"/>
      <c r="N1208" s="84"/>
      <c r="O1208" s="84"/>
      <c r="P1208" s="84"/>
      <c r="Q1208" s="84"/>
      <c r="R1208" s="84"/>
      <c r="S1208" s="84"/>
      <c r="T1208" s="84"/>
    </row>
    <row r="1209" ht="15.75" customHeight="1">
      <c r="A1209" s="84" t="s">
        <v>37690</v>
      </c>
      <c r="B1209" s="84">
        <v>2.0</v>
      </c>
      <c r="C1209" s="186"/>
      <c r="D1209" s="187"/>
      <c r="E1209" s="188"/>
      <c r="F1209" s="189"/>
      <c r="G1209" s="190"/>
      <c r="H1209" s="190"/>
      <c r="I1209" s="84"/>
      <c r="J1209" s="84"/>
      <c r="K1209" s="84"/>
      <c r="L1209" s="84"/>
      <c r="M1209" s="84"/>
      <c r="N1209" s="84"/>
      <c r="O1209" s="84"/>
      <c r="P1209" s="84"/>
      <c r="Q1209" s="84"/>
      <c r="R1209" s="84"/>
      <c r="S1209" s="84"/>
      <c r="T1209" s="84"/>
    </row>
    <row r="1210" ht="15.75" customHeight="1">
      <c r="A1210" s="84" t="s">
        <v>37692</v>
      </c>
      <c r="B1210" s="84">
        <v>1.0</v>
      </c>
      <c r="C1210" s="186"/>
      <c r="D1210" s="187"/>
      <c r="E1210" s="188"/>
      <c r="F1210" s="189"/>
      <c r="G1210" s="190"/>
      <c r="H1210" s="190"/>
      <c r="I1210" s="84"/>
      <c r="J1210" s="84"/>
      <c r="K1210" s="84"/>
      <c r="L1210" s="84"/>
      <c r="M1210" s="84"/>
      <c r="N1210" s="84"/>
      <c r="O1210" s="84"/>
      <c r="P1210" s="84"/>
      <c r="Q1210" s="84"/>
      <c r="R1210" s="84"/>
      <c r="S1210" s="84"/>
      <c r="T1210" s="84"/>
    </row>
    <row r="1211" ht="15.75" customHeight="1">
      <c r="A1211" s="84" t="s">
        <v>37694</v>
      </c>
      <c r="B1211" s="84">
        <v>1.0</v>
      </c>
      <c r="C1211" s="186"/>
      <c r="D1211" s="187"/>
      <c r="E1211" s="188"/>
      <c r="F1211" s="189"/>
      <c r="G1211" s="190"/>
      <c r="H1211" s="190"/>
      <c r="I1211" s="84"/>
      <c r="J1211" s="84"/>
      <c r="K1211" s="84"/>
      <c r="L1211" s="84"/>
      <c r="M1211" s="84"/>
      <c r="N1211" s="84"/>
      <c r="O1211" s="84"/>
      <c r="P1211" s="84"/>
      <c r="Q1211" s="84"/>
      <c r="R1211" s="84"/>
      <c r="S1211" s="84"/>
      <c r="T1211" s="84"/>
    </row>
    <row r="1212" ht="15.75" customHeight="1">
      <c r="A1212" s="84" t="s">
        <v>37695</v>
      </c>
      <c r="B1212" s="84">
        <v>1.0</v>
      </c>
      <c r="C1212" s="186"/>
      <c r="D1212" s="187"/>
      <c r="E1212" s="188"/>
      <c r="F1212" s="189"/>
      <c r="G1212" s="190"/>
      <c r="H1212" s="190"/>
      <c r="I1212" s="84"/>
      <c r="J1212" s="84"/>
      <c r="K1212" s="84"/>
      <c r="L1212" s="84"/>
      <c r="M1212" s="84"/>
      <c r="N1212" s="84"/>
      <c r="O1212" s="84"/>
      <c r="P1212" s="84"/>
      <c r="Q1212" s="84"/>
      <c r="R1212" s="84"/>
      <c r="S1212" s="84"/>
      <c r="T1212" s="84"/>
    </row>
    <row r="1213" ht="15.75" customHeight="1">
      <c r="A1213" s="84" t="s">
        <v>37696</v>
      </c>
      <c r="B1213" s="84">
        <v>1.0</v>
      </c>
      <c r="C1213" s="186"/>
      <c r="D1213" s="187"/>
      <c r="E1213" s="188"/>
      <c r="F1213" s="189"/>
      <c r="G1213" s="190"/>
      <c r="H1213" s="190"/>
      <c r="I1213" s="84"/>
      <c r="J1213" s="84"/>
      <c r="K1213" s="84"/>
      <c r="L1213" s="84"/>
      <c r="M1213" s="84"/>
      <c r="N1213" s="84"/>
      <c r="O1213" s="84"/>
      <c r="P1213" s="84"/>
      <c r="Q1213" s="84"/>
      <c r="R1213" s="84"/>
      <c r="S1213" s="84"/>
      <c r="T1213" s="84"/>
    </row>
    <row r="1214" ht="15.75" customHeight="1">
      <c r="A1214" s="84" t="s">
        <v>37697</v>
      </c>
      <c r="B1214" s="84">
        <v>1.0</v>
      </c>
      <c r="C1214" s="186"/>
      <c r="D1214" s="187"/>
      <c r="E1214" s="188"/>
      <c r="F1214" s="189"/>
      <c r="G1214" s="190"/>
      <c r="H1214" s="190"/>
      <c r="I1214" s="84"/>
      <c r="J1214" s="84"/>
      <c r="K1214" s="84"/>
      <c r="L1214" s="84"/>
      <c r="M1214" s="84"/>
      <c r="N1214" s="84"/>
      <c r="O1214" s="84"/>
      <c r="P1214" s="84"/>
      <c r="Q1214" s="84"/>
      <c r="R1214" s="84"/>
      <c r="S1214" s="84"/>
      <c r="T1214" s="84"/>
    </row>
    <row r="1215" ht="15.75" customHeight="1">
      <c r="A1215" s="84" t="s">
        <v>37698</v>
      </c>
      <c r="B1215" s="84">
        <v>1.0</v>
      </c>
      <c r="C1215" s="186"/>
      <c r="D1215" s="187"/>
      <c r="E1215" s="188"/>
      <c r="F1215" s="189"/>
      <c r="G1215" s="190"/>
      <c r="H1215" s="190"/>
      <c r="I1215" s="84"/>
      <c r="J1215" s="84"/>
      <c r="K1215" s="84"/>
      <c r="L1215" s="84"/>
      <c r="M1215" s="84"/>
      <c r="N1215" s="84"/>
      <c r="O1215" s="84"/>
      <c r="P1215" s="84"/>
      <c r="Q1215" s="84"/>
      <c r="R1215" s="84"/>
      <c r="S1215" s="84"/>
      <c r="T1215" s="84"/>
    </row>
    <row r="1216" ht="15.75" customHeight="1">
      <c r="A1216" s="84" t="s">
        <v>37699</v>
      </c>
      <c r="B1216" s="84">
        <v>1.0</v>
      </c>
      <c r="C1216" s="186"/>
      <c r="D1216" s="187"/>
      <c r="E1216" s="188"/>
      <c r="F1216" s="189"/>
      <c r="G1216" s="190"/>
      <c r="H1216" s="190"/>
      <c r="I1216" s="84"/>
      <c r="J1216" s="84"/>
      <c r="K1216" s="84"/>
      <c r="L1216" s="84"/>
      <c r="M1216" s="84"/>
      <c r="N1216" s="84"/>
      <c r="O1216" s="84"/>
      <c r="P1216" s="84"/>
      <c r="Q1216" s="84"/>
      <c r="R1216" s="84"/>
      <c r="S1216" s="84"/>
      <c r="T1216" s="84"/>
    </row>
    <row r="1217" ht="15.75" customHeight="1">
      <c r="A1217" s="84" t="s">
        <v>37700</v>
      </c>
      <c r="B1217" s="84">
        <v>1.0</v>
      </c>
      <c r="C1217" s="186"/>
      <c r="D1217" s="187"/>
      <c r="E1217" s="188"/>
      <c r="F1217" s="189"/>
      <c r="G1217" s="190"/>
      <c r="H1217" s="190"/>
      <c r="I1217" s="84"/>
      <c r="J1217" s="84"/>
      <c r="K1217" s="84"/>
      <c r="L1217" s="84"/>
      <c r="M1217" s="84"/>
      <c r="N1217" s="84"/>
      <c r="O1217" s="84"/>
      <c r="P1217" s="84"/>
      <c r="Q1217" s="84"/>
      <c r="R1217" s="84"/>
      <c r="S1217" s="84"/>
      <c r="T1217" s="84"/>
    </row>
    <row r="1218" ht="15.75" customHeight="1">
      <c r="A1218" s="84" t="s">
        <v>37701</v>
      </c>
      <c r="B1218" s="84">
        <v>2.0</v>
      </c>
      <c r="C1218" s="186"/>
      <c r="D1218" s="187"/>
      <c r="E1218" s="188"/>
      <c r="F1218" s="189"/>
      <c r="G1218" s="190"/>
      <c r="H1218" s="190"/>
      <c r="I1218" s="84"/>
      <c r="J1218" s="84"/>
      <c r="K1218" s="84"/>
      <c r="L1218" s="84"/>
      <c r="M1218" s="84"/>
      <c r="N1218" s="84"/>
      <c r="O1218" s="84"/>
      <c r="P1218" s="84"/>
      <c r="Q1218" s="84"/>
      <c r="R1218" s="84"/>
      <c r="S1218" s="84"/>
      <c r="T1218" s="84"/>
    </row>
    <row r="1219" ht="15.75" customHeight="1">
      <c r="A1219" s="84" t="s">
        <v>37703</v>
      </c>
      <c r="B1219" s="84">
        <v>1.0</v>
      </c>
      <c r="C1219" s="186"/>
      <c r="D1219" s="187"/>
      <c r="E1219" s="188"/>
      <c r="F1219" s="189"/>
      <c r="G1219" s="190"/>
      <c r="H1219" s="190"/>
      <c r="I1219" s="84"/>
      <c r="J1219" s="84"/>
      <c r="K1219" s="84"/>
      <c r="L1219" s="84"/>
      <c r="M1219" s="84"/>
      <c r="N1219" s="84"/>
      <c r="O1219" s="84"/>
      <c r="P1219" s="84"/>
      <c r="Q1219" s="84"/>
      <c r="R1219" s="84"/>
      <c r="S1219" s="84"/>
      <c r="T1219" s="84"/>
    </row>
    <row r="1220" ht="15.75" customHeight="1">
      <c r="A1220" s="84" t="s">
        <v>37704</v>
      </c>
      <c r="B1220" s="84">
        <v>1.0</v>
      </c>
      <c r="C1220" s="186"/>
      <c r="D1220" s="187"/>
      <c r="E1220" s="188"/>
      <c r="F1220" s="189"/>
      <c r="G1220" s="190"/>
      <c r="H1220" s="190"/>
      <c r="I1220" s="84"/>
      <c r="J1220" s="84"/>
      <c r="K1220" s="84"/>
      <c r="L1220" s="84"/>
      <c r="M1220" s="84"/>
      <c r="N1220" s="84"/>
      <c r="O1220" s="84"/>
      <c r="P1220" s="84"/>
      <c r="Q1220" s="84"/>
      <c r="R1220" s="84"/>
      <c r="S1220" s="84"/>
      <c r="T1220" s="84"/>
    </row>
    <row r="1221" ht="15.75" customHeight="1">
      <c r="A1221" s="84" t="s">
        <v>37705</v>
      </c>
      <c r="B1221" s="84">
        <v>1.0</v>
      </c>
      <c r="C1221" s="186"/>
      <c r="D1221" s="187"/>
      <c r="E1221" s="188"/>
      <c r="F1221" s="189"/>
      <c r="G1221" s="190"/>
      <c r="H1221" s="190"/>
      <c r="I1221" s="84"/>
      <c r="J1221" s="84"/>
      <c r="K1221" s="84"/>
      <c r="L1221" s="84"/>
      <c r="M1221" s="84"/>
      <c r="N1221" s="84"/>
      <c r="O1221" s="84"/>
      <c r="P1221" s="84"/>
      <c r="Q1221" s="84"/>
      <c r="R1221" s="84"/>
      <c r="S1221" s="84"/>
      <c r="T1221" s="84"/>
    </row>
    <row r="1222" ht="15.75" customHeight="1">
      <c r="A1222" s="84" t="s">
        <v>37706</v>
      </c>
      <c r="B1222" s="84">
        <v>1.0</v>
      </c>
      <c r="C1222" s="186"/>
      <c r="D1222" s="187"/>
      <c r="E1222" s="188"/>
      <c r="F1222" s="189"/>
      <c r="G1222" s="190"/>
      <c r="H1222" s="190"/>
      <c r="I1222" s="84"/>
      <c r="J1222" s="84"/>
      <c r="K1222" s="84"/>
      <c r="L1222" s="84"/>
      <c r="M1222" s="84"/>
      <c r="N1222" s="84"/>
      <c r="O1222" s="84"/>
      <c r="P1222" s="84"/>
      <c r="Q1222" s="84"/>
      <c r="R1222" s="84"/>
      <c r="S1222" s="84"/>
      <c r="T1222" s="84"/>
    </row>
    <row r="1223" ht="15.75" customHeight="1">
      <c r="A1223" s="84" t="s">
        <v>37707</v>
      </c>
      <c r="B1223" s="84">
        <v>1.0</v>
      </c>
      <c r="C1223" s="186"/>
      <c r="D1223" s="187"/>
      <c r="E1223" s="188"/>
      <c r="F1223" s="189"/>
      <c r="G1223" s="190"/>
      <c r="H1223" s="190"/>
      <c r="I1223" s="84"/>
      <c r="J1223" s="84"/>
      <c r="K1223" s="84"/>
      <c r="L1223" s="84"/>
      <c r="M1223" s="84"/>
      <c r="N1223" s="84"/>
      <c r="O1223" s="84"/>
      <c r="P1223" s="84"/>
      <c r="Q1223" s="84"/>
      <c r="R1223" s="84"/>
      <c r="S1223" s="84"/>
      <c r="T1223" s="84"/>
    </row>
    <row r="1224" ht="15.75" customHeight="1">
      <c r="A1224" s="84" t="s">
        <v>37708</v>
      </c>
      <c r="B1224" s="84">
        <v>1.0</v>
      </c>
      <c r="C1224" s="186"/>
      <c r="D1224" s="187"/>
      <c r="E1224" s="188"/>
      <c r="F1224" s="189"/>
      <c r="G1224" s="190"/>
      <c r="H1224" s="190"/>
      <c r="I1224" s="84"/>
      <c r="J1224" s="84"/>
      <c r="K1224" s="84"/>
      <c r="L1224" s="84"/>
      <c r="M1224" s="84"/>
      <c r="N1224" s="84"/>
      <c r="O1224" s="84"/>
      <c r="P1224" s="84"/>
      <c r="Q1224" s="84"/>
      <c r="R1224" s="84"/>
      <c r="S1224" s="84"/>
      <c r="T1224" s="84"/>
    </row>
    <row r="1225" ht="15.75" customHeight="1">
      <c r="A1225" s="84" t="s">
        <v>37709</v>
      </c>
      <c r="B1225" s="84">
        <v>1.0</v>
      </c>
      <c r="C1225" s="186"/>
      <c r="D1225" s="187"/>
      <c r="E1225" s="188"/>
      <c r="F1225" s="189"/>
      <c r="G1225" s="190"/>
      <c r="H1225" s="190"/>
      <c r="I1225" s="84"/>
      <c r="J1225" s="84"/>
      <c r="K1225" s="84"/>
      <c r="L1225" s="84"/>
      <c r="M1225" s="84"/>
      <c r="N1225" s="84"/>
      <c r="O1225" s="84"/>
      <c r="P1225" s="84"/>
      <c r="Q1225" s="84"/>
      <c r="R1225" s="84"/>
      <c r="S1225" s="84"/>
      <c r="T1225" s="84"/>
    </row>
    <row r="1226" ht="15.75" customHeight="1">
      <c r="A1226" s="84" t="s">
        <v>37710</v>
      </c>
      <c r="B1226" s="84">
        <v>1.0</v>
      </c>
      <c r="C1226" s="186"/>
      <c r="D1226" s="187"/>
      <c r="E1226" s="188"/>
      <c r="F1226" s="189"/>
      <c r="G1226" s="190"/>
      <c r="H1226" s="190"/>
      <c r="I1226" s="84"/>
      <c r="J1226" s="84"/>
      <c r="K1226" s="84"/>
      <c r="L1226" s="84"/>
      <c r="M1226" s="84"/>
      <c r="N1226" s="84"/>
      <c r="O1226" s="84"/>
      <c r="P1226" s="84"/>
      <c r="Q1226" s="84"/>
      <c r="R1226" s="84"/>
      <c r="S1226" s="84"/>
      <c r="T1226" s="84"/>
    </row>
    <row r="1227" ht="15.75" customHeight="1">
      <c r="A1227" s="84" t="s">
        <v>37711</v>
      </c>
      <c r="B1227" s="84">
        <v>1.0</v>
      </c>
      <c r="C1227" s="186"/>
      <c r="D1227" s="187"/>
      <c r="E1227" s="188"/>
      <c r="F1227" s="189"/>
      <c r="G1227" s="190"/>
      <c r="H1227" s="190"/>
      <c r="I1227" s="84"/>
      <c r="J1227" s="84"/>
      <c r="K1227" s="84"/>
      <c r="L1227" s="84"/>
      <c r="M1227" s="84"/>
      <c r="N1227" s="84"/>
      <c r="O1227" s="84"/>
      <c r="P1227" s="84"/>
      <c r="Q1227" s="84"/>
      <c r="R1227" s="84"/>
      <c r="S1227" s="84"/>
      <c r="T1227" s="84"/>
    </row>
    <row r="1228" ht="15.75" customHeight="1">
      <c r="A1228" s="84" t="s">
        <v>37712</v>
      </c>
      <c r="B1228" s="84">
        <v>1.0</v>
      </c>
      <c r="C1228" s="186"/>
      <c r="D1228" s="187"/>
      <c r="E1228" s="188"/>
      <c r="F1228" s="189"/>
      <c r="G1228" s="190"/>
      <c r="H1228" s="190"/>
      <c r="I1228" s="84"/>
      <c r="J1228" s="84"/>
      <c r="K1228" s="84"/>
      <c r="L1228" s="84"/>
      <c r="M1228" s="84"/>
      <c r="N1228" s="84"/>
      <c r="O1228" s="84"/>
      <c r="P1228" s="84"/>
      <c r="Q1228" s="84"/>
      <c r="R1228" s="84"/>
      <c r="S1228" s="84"/>
      <c r="T1228" s="84"/>
    </row>
    <row r="1229" ht="15.75" customHeight="1">
      <c r="A1229" s="84" t="s">
        <v>37713</v>
      </c>
      <c r="B1229" s="84">
        <v>3.0</v>
      </c>
      <c r="C1229" s="186"/>
      <c r="D1229" s="187"/>
      <c r="E1229" s="188"/>
      <c r="F1229" s="189"/>
      <c r="G1229" s="190"/>
      <c r="H1229" s="190"/>
      <c r="I1229" s="84"/>
      <c r="J1229" s="84"/>
      <c r="K1229" s="84"/>
      <c r="L1229" s="84"/>
      <c r="M1229" s="84"/>
      <c r="N1229" s="84"/>
      <c r="O1229" s="84"/>
      <c r="P1229" s="84"/>
      <c r="Q1229" s="84"/>
      <c r="R1229" s="84"/>
      <c r="S1229" s="84"/>
      <c r="T1229" s="84"/>
    </row>
    <row r="1230" ht="15.75" customHeight="1">
      <c r="A1230" s="84" t="s">
        <v>37716</v>
      </c>
      <c r="B1230" s="84">
        <v>1.0</v>
      </c>
      <c r="C1230" s="186"/>
      <c r="D1230" s="187"/>
      <c r="E1230" s="188"/>
      <c r="F1230" s="189"/>
      <c r="G1230" s="190"/>
      <c r="H1230" s="190"/>
      <c r="I1230" s="84"/>
      <c r="J1230" s="84"/>
      <c r="K1230" s="84"/>
      <c r="L1230" s="84"/>
      <c r="M1230" s="84"/>
      <c r="N1230" s="84"/>
      <c r="O1230" s="84"/>
      <c r="P1230" s="84"/>
      <c r="Q1230" s="84"/>
      <c r="R1230" s="84"/>
      <c r="S1230" s="84"/>
      <c r="T1230" s="84"/>
    </row>
    <row r="1231" ht="15.75" customHeight="1">
      <c r="A1231" s="84" t="s">
        <v>37719</v>
      </c>
      <c r="B1231" s="84">
        <v>1.0</v>
      </c>
      <c r="C1231" s="186"/>
      <c r="D1231" s="187"/>
      <c r="E1231" s="188"/>
      <c r="F1231" s="189"/>
      <c r="G1231" s="190"/>
      <c r="H1231" s="190"/>
      <c r="I1231" s="84"/>
      <c r="J1231" s="84"/>
      <c r="K1231" s="84"/>
      <c r="L1231" s="84"/>
      <c r="M1231" s="84"/>
      <c r="N1231" s="84"/>
      <c r="O1231" s="84"/>
      <c r="P1231" s="84"/>
      <c r="Q1231" s="84"/>
      <c r="R1231" s="84"/>
      <c r="S1231" s="84"/>
      <c r="T1231" s="84"/>
    </row>
    <row r="1232" ht="15.75" customHeight="1">
      <c r="A1232" s="84" t="s">
        <v>37720</v>
      </c>
      <c r="B1232" s="84">
        <v>1.0</v>
      </c>
      <c r="C1232" s="186"/>
      <c r="D1232" s="187"/>
      <c r="E1232" s="188"/>
      <c r="F1232" s="189"/>
      <c r="G1232" s="190"/>
      <c r="H1232" s="190"/>
      <c r="I1232" s="84"/>
      <c r="J1232" s="84"/>
      <c r="K1232" s="84"/>
      <c r="L1232" s="84"/>
      <c r="M1232" s="84"/>
      <c r="N1232" s="84"/>
      <c r="O1232" s="84"/>
      <c r="P1232" s="84"/>
      <c r="Q1232" s="84"/>
      <c r="R1232" s="84"/>
      <c r="S1232" s="84"/>
      <c r="T1232" s="84"/>
    </row>
    <row r="1233" ht="15.75" customHeight="1">
      <c r="A1233" s="84" t="s">
        <v>37721</v>
      </c>
      <c r="B1233" s="84">
        <v>1.0</v>
      </c>
      <c r="C1233" s="186"/>
      <c r="D1233" s="187"/>
      <c r="E1233" s="188"/>
      <c r="F1233" s="189"/>
      <c r="G1233" s="190"/>
      <c r="H1233" s="190"/>
      <c r="I1233" s="84"/>
      <c r="J1233" s="84"/>
      <c r="K1233" s="84"/>
      <c r="L1233" s="84"/>
      <c r="M1233" s="84"/>
      <c r="N1233" s="84"/>
      <c r="O1233" s="84"/>
      <c r="P1233" s="84"/>
      <c r="Q1233" s="84"/>
      <c r="R1233" s="84"/>
      <c r="S1233" s="84"/>
      <c r="T1233" s="84"/>
    </row>
    <row r="1234" ht="15.75" customHeight="1">
      <c r="A1234" s="84" t="s">
        <v>37722</v>
      </c>
      <c r="B1234" s="84">
        <v>1.0</v>
      </c>
      <c r="C1234" s="186"/>
      <c r="D1234" s="187"/>
      <c r="E1234" s="188"/>
      <c r="F1234" s="189"/>
      <c r="G1234" s="190"/>
      <c r="H1234" s="190"/>
      <c r="I1234" s="84"/>
      <c r="J1234" s="84"/>
      <c r="K1234" s="84"/>
      <c r="L1234" s="84"/>
      <c r="M1234" s="84"/>
      <c r="N1234" s="84"/>
      <c r="O1234" s="84"/>
      <c r="P1234" s="84"/>
      <c r="Q1234" s="84"/>
      <c r="R1234" s="84"/>
      <c r="S1234" s="84"/>
      <c r="T1234" s="84"/>
    </row>
    <row r="1235" ht="15.75" customHeight="1">
      <c r="A1235" s="84" t="s">
        <v>37723</v>
      </c>
      <c r="B1235" s="84">
        <v>4.0</v>
      </c>
      <c r="C1235" s="186"/>
      <c r="D1235" s="187"/>
      <c r="E1235" s="188"/>
      <c r="F1235" s="189"/>
      <c r="G1235" s="190"/>
      <c r="H1235" s="190"/>
      <c r="I1235" s="84"/>
      <c r="J1235" s="84"/>
      <c r="K1235" s="84"/>
      <c r="L1235" s="84"/>
      <c r="M1235" s="84"/>
      <c r="N1235" s="84"/>
      <c r="O1235" s="84"/>
      <c r="P1235" s="84"/>
      <c r="Q1235" s="84"/>
      <c r="R1235" s="84"/>
      <c r="S1235" s="84"/>
      <c r="T1235" s="84"/>
    </row>
    <row r="1236" ht="15.75" customHeight="1">
      <c r="A1236" s="192" t="s">
        <v>37726</v>
      </c>
      <c r="B1236" s="84">
        <v>1.0</v>
      </c>
      <c r="C1236" s="186"/>
      <c r="D1236" s="187"/>
      <c r="E1236" s="188"/>
      <c r="F1236" s="189"/>
      <c r="G1236" s="190"/>
      <c r="H1236" s="190"/>
      <c r="I1236" s="84"/>
      <c r="J1236" s="84"/>
      <c r="K1236" s="84"/>
      <c r="L1236" s="84"/>
      <c r="M1236" s="84"/>
      <c r="N1236" s="84"/>
      <c r="O1236" s="84"/>
      <c r="P1236" s="84"/>
      <c r="Q1236" s="84"/>
      <c r="R1236" s="84"/>
      <c r="S1236" s="84"/>
      <c r="T1236" s="84"/>
    </row>
    <row r="1237" ht="15.75" customHeight="1">
      <c r="A1237" s="84" t="s">
        <v>37728</v>
      </c>
      <c r="B1237" s="84">
        <v>2.0</v>
      </c>
      <c r="C1237" s="186"/>
      <c r="D1237" s="187"/>
      <c r="E1237" s="188"/>
      <c r="F1237" s="189"/>
      <c r="G1237" s="190"/>
      <c r="H1237" s="190"/>
      <c r="I1237" s="84"/>
      <c r="J1237" s="84"/>
      <c r="K1237" s="84"/>
      <c r="L1237" s="84"/>
      <c r="M1237" s="84"/>
      <c r="N1237" s="84"/>
      <c r="O1237" s="84"/>
      <c r="P1237" s="84"/>
      <c r="Q1237" s="84"/>
      <c r="R1237" s="84"/>
      <c r="S1237" s="84"/>
      <c r="T1237" s="84"/>
    </row>
    <row r="1238" ht="15.75" customHeight="1">
      <c r="A1238" s="84" t="s">
        <v>37729</v>
      </c>
      <c r="B1238" s="84">
        <v>1.0</v>
      </c>
      <c r="C1238" s="186"/>
      <c r="D1238" s="187"/>
      <c r="E1238" s="188"/>
      <c r="F1238" s="189"/>
      <c r="G1238" s="190"/>
      <c r="H1238" s="190"/>
      <c r="I1238" s="84"/>
      <c r="J1238" s="84"/>
      <c r="K1238" s="84"/>
      <c r="L1238" s="84"/>
      <c r="M1238" s="84"/>
      <c r="N1238" s="84"/>
      <c r="O1238" s="84"/>
      <c r="P1238" s="84"/>
      <c r="Q1238" s="84"/>
      <c r="R1238" s="84"/>
      <c r="S1238" s="84"/>
      <c r="T1238" s="84"/>
    </row>
    <row r="1239" ht="15.75" customHeight="1">
      <c r="A1239" s="84" t="s">
        <v>37730</v>
      </c>
      <c r="B1239" s="84">
        <v>1.0</v>
      </c>
      <c r="C1239" s="186"/>
      <c r="D1239" s="187"/>
      <c r="E1239" s="188"/>
      <c r="F1239" s="189"/>
      <c r="G1239" s="190"/>
      <c r="H1239" s="190"/>
      <c r="I1239" s="84"/>
      <c r="J1239" s="84"/>
      <c r="K1239" s="84"/>
      <c r="L1239" s="84"/>
      <c r="M1239" s="84"/>
      <c r="N1239" s="84"/>
      <c r="O1239" s="84"/>
      <c r="P1239" s="84"/>
      <c r="Q1239" s="84"/>
      <c r="R1239" s="84"/>
      <c r="S1239" s="84"/>
      <c r="T1239" s="84"/>
    </row>
    <row r="1240" ht="15.75" customHeight="1">
      <c r="A1240" s="84" t="s">
        <v>37733</v>
      </c>
      <c r="B1240" s="84">
        <v>1.0</v>
      </c>
      <c r="C1240" s="186"/>
      <c r="D1240" s="187" t="s">
        <v>37728</v>
      </c>
      <c r="E1240" s="188"/>
      <c r="F1240" s="189"/>
      <c r="G1240" s="190"/>
      <c r="H1240" s="190"/>
      <c r="I1240" s="84"/>
      <c r="J1240" s="84"/>
      <c r="K1240" s="84"/>
      <c r="L1240" s="84"/>
      <c r="M1240" s="84"/>
      <c r="N1240" s="84"/>
      <c r="O1240" s="84"/>
      <c r="P1240" s="84"/>
      <c r="Q1240" s="84"/>
      <c r="R1240" s="84"/>
      <c r="S1240" s="84"/>
      <c r="T1240" s="84"/>
    </row>
    <row r="1241" ht="15.75" customHeight="1">
      <c r="A1241" s="84" t="s">
        <v>37735</v>
      </c>
      <c r="B1241" s="84">
        <v>1.0</v>
      </c>
      <c r="C1241" s="186"/>
      <c r="D1241" s="187"/>
      <c r="E1241" s="188"/>
      <c r="F1241" s="189"/>
      <c r="G1241" s="190"/>
      <c r="H1241" s="190"/>
      <c r="I1241" s="84"/>
      <c r="J1241" s="84"/>
      <c r="K1241" s="84"/>
      <c r="L1241" s="84"/>
      <c r="M1241" s="84"/>
      <c r="N1241" s="84"/>
      <c r="O1241" s="84"/>
      <c r="P1241" s="84"/>
      <c r="Q1241" s="84"/>
      <c r="R1241" s="84"/>
      <c r="S1241" s="84"/>
      <c r="T1241" s="84"/>
    </row>
    <row r="1242" ht="15.75" customHeight="1">
      <c r="A1242" s="84" t="s">
        <v>37736</v>
      </c>
      <c r="B1242" s="84">
        <v>1.0</v>
      </c>
      <c r="C1242" s="186"/>
      <c r="D1242" s="187"/>
      <c r="E1242" s="188"/>
      <c r="F1242" s="189"/>
      <c r="G1242" s="190"/>
      <c r="H1242" s="190"/>
      <c r="I1242" s="84"/>
      <c r="J1242" s="84"/>
      <c r="K1242" s="84"/>
      <c r="L1242" s="84"/>
      <c r="M1242" s="84"/>
      <c r="N1242" s="84"/>
      <c r="O1242" s="84"/>
      <c r="P1242" s="84"/>
      <c r="Q1242" s="84"/>
      <c r="R1242" s="84"/>
      <c r="S1242" s="84"/>
      <c r="T1242" s="84"/>
    </row>
    <row r="1243" ht="15.75" customHeight="1">
      <c r="A1243" s="84" t="s">
        <v>37739</v>
      </c>
      <c r="B1243" s="84">
        <v>1.0</v>
      </c>
      <c r="C1243" s="186"/>
      <c r="D1243" s="187"/>
      <c r="E1243" s="188"/>
      <c r="F1243" s="189"/>
      <c r="G1243" s="190"/>
      <c r="H1243" s="190"/>
      <c r="I1243" s="84"/>
      <c r="J1243" s="84"/>
      <c r="K1243" s="84"/>
      <c r="L1243" s="84"/>
      <c r="M1243" s="84"/>
      <c r="N1243" s="84"/>
      <c r="O1243" s="84"/>
      <c r="P1243" s="84"/>
      <c r="Q1243" s="84"/>
      <c r="R1243" s="84"/>
      <c r="S1243" s="84"/>
      <c r="T1243" s="84"/>
    </row>
    <row r="1244" ht="15.75" customHeight="1">
      <c r="A1244" s="84" t="s">
        <v>37741</v>
      </c>
      <c r="B1244" s="84">
        <v>2.0</v>
      </c>
      <c r="C1244" s="186"/>
      <c r="D1244" s="187"/>
      <c r="E1244" s="188"/>
      <c r="F1244" s="189"/>
      <c r="G1244" s="190"/>
      <c r="H1244" s="190"/>
      <c r="I1244" s="84"/>
      <c r="J1244" s="84"/>
      <c r="K1244" s="84"/>
      <c r="L1244" s="84"/>
      <c r="M1244" s="84"/>
      <c r="N1244" s="84"/>
      <c r="O1244" s="84"/>
      <c r="P1244" s="84"/>
      <c r="Q1244" s="84"/>
      <c r="R1244" s="84"/>
      <c r="S1244" s="84"/>
      <c r="T1244" s="84"/>
    </row>
    <row r="1245" ht="15.75" customHeight="1">
      <c r="A1245" s="84" t="s">
        <v>37744</v>
      </c>
      <c r="B1245" s="84">
        <v>1.0</v>
      </c>
      <c r="C1245" s="186"/>
      <c r="D1245" s="187"/>
      <c r="E1245" s="188"/>
      <c r="F1245" s="189"/>
      <c r="G1245" s="190"/>
      <c r="H1245" s="190"/>
      <c r="I1245" s="84"/>
      <c r="J1245" s="84"/>
      <c r="K1245" s="84"/>
      <c r="L1245" s="84"/>
      <c r="M1245" s="84"/>
      <c r="N1245" s="84"/>
      <c r="O1245" s="84"/>
      <c r="P1245" s="84"/>
      <c r="Q1245" s="84"/>
      <c r="R1245" s="84"/>
      <c r="S1245" s="84"/>
      <c r="T1245" s="84"/>
    </row>
    <row r="1246" ht="15.75" customHeight="1">
      <c r="A1246" s="84" t="s">
        <v>37747</v>
      </c>
      <c r="B1246" s="84">
        <v>1.0</v>
      </c>
      <c r="C1246" s="186"/>
      <c r="D1246" s="187"/>
      <c r="E1246" s="188"/>
      <c r="F1246" s="189"/>
      <c r="G1246" s="190"/>
      <c r="H1246" s="190"/>
      <c r="I1246" s="84"/>
      <c r="J1246" s="84"/>
      <c r="K1246" s="84"/>
      <c r="L1246" s="84"/>
      <c r="M1246" s="84"/>
      <c r="N1246" s="84"/>
      <c r="O1246" s="84"/>
      <c r="P1246" s="84"/>
      <c r="Q1246" s="84"/>
      <c r="R1246" s="84"/>
      <c r="S1246" s="84"/>
      <c r="T1246" s="84"/>
    </row>
    <row r="1247" ht="15.75" customHeight="1">
      <c r="A1247" s="84" t="s">
        <v>37748</v>
      </c>
      <c r="B1247" s="84">
        <v>1.0</v>
      </c>
      <c r="C1247" s="186"/>
      <c r="D1247" s="187"/>
      <c r="E1247" s="188"/>
      <c r="F1247" s="189"/>
      <c r="G1247" s="190"/>
      <c r="H1247" s="190"/>
      <c r="I1247" s="84"/>
      <c r="J1247" s="84"/>
      <c r="K1247" s="84"/>
      <c r="L1247" s="84"/>
      <c r="M1247" s="84"/>
      <c r="N1247" s="84"/>
      <c r="O1247" s="84"/>
      <c r="P1247" s="84"/>
      <c r="Q1247" s="84"/>
      <c r="R1247" s="84"/>
      <c r="S1247" s="84"/>
      <c r="T1247" s="84"/>
    </row>
    <row r="1248" ht="15.75" customHeight="1">
      <c r="A1248" s="192" t="s">
        <v>37752</v>
      </c>
      <c r="B1248" s="84">
        <v>1.0</v>
      </c>
      <c r="C1248" s="186"/>
      <c r="D1248" s="187"/>
      <c r="E1248" s="188"/>
      <c r="F1248" s="189"/>
      <c r="G1248" s="190"/>
      <c r="H1248" s="190"/>
      <c r="I1248" s="84"/>
      <c r="J1248" s="84"/>
      <c r="K1248" s="84"/>
      <c r="L1248" s="84"/>
      <c r="M1248" s="84"/>
      <c r="N1248" s="84"/>
      <c r="O1248" s="84"/>
      <c r="P1248" s="84"/>
      <c r="Q1248" s="84"/>
      <c r="R1248" s="84"/>
      <c r="S1248" s="84"/>
      <c r="T1248" s="84"/>
    </row>
    <row r="1249" ht="15.75" customHeight="1">
      <c r="A1249" s="84" t="s">
        <v>37753</v>
      </c>
      <c r="B1249" s="84">
        <v>2.0</v>
      </c>
      <c r="C1249" s="186"/>
      <c r="D1249" s="187"/>
      <c r="E1249" s="188"/>
      <c r="F1249" s="189"/>
      <c r="G1249" s="190"/>
      <c r="H1249" s="190"/>
      <c r="I1249" s="84"/>
      <c r="J1249" s="84"/>
      <c r="K1249" s="84"/>
      <c r="L1249" s="84"/>
      <c r="M1249" s="84"/>
      <c r="N1249" s="84"/>
      <c r="O1249" s="84"/>
      <c r="P1249" s="84"/>
      <c r="Q1249" s="84"/>
      <c r="R1249" s="84"/>
      <c r="S1249" s="84"/>
      <c r="T1249" s="84"/>
    </row>
    <row r="1250" ht="15.75" customHeight="1">
      <c r="A1250" s="84" t="s">
        <v>37755</v>
      </c>
      <c r="B1250" s="84">
        <v>1.0</v>
      </c>
      <c r="C1250" s="186"/>
      <c r="D1250" s="187"/>
      <c r="E1250" s="188"/>
      <c r="F1250" s="189"/>
      <c r="G1250" s="190"/>
      <c r="H1250" s="190"/>
      <c r="I1250" s="84"/>
      <c r="J1250" s="84"/>
      <c r="K1250" s="84"/>
      <c r="L1250" s="84"/>
      <c r="M1250" s="84"/>
      <c r="N1250" s="84"/>
      <c r="O1250" s="84"/>
      <c r="P1250" s="84"/>
      <c r="Q1250" s="84"/>
      <c r="R1250" s="84"/>
      <c r="S1250" s="84"/>
      <c r="T1250" s="84"/>
    </row>
    <row r="1251" ht="15.75" customHeight="1">
      <c r="A1251" s="84" t="s">
        <v>37758</v>
      </c>
      <c r="B1251" s="84">
        <v>1.0</v>
      </c>
      <c r="C1251" s="186"/>
      <c r="D1251" s="187"/>
      <c r="E1251" s="188"/>
      <c r="F1251" s="189"/>
      <c r="G1251" s="190"/>
      <c r="H1251" s="190"/>
      <c r="I1251" s="84"/>
      <c r="J1251" s="84"/>
      <c r="K1251" s="84"/>
      <c r="L1251" s="84"/>
      <c r="M1251" s="84"/>
      <c r="N1251" s="84"/>
      <c r="O1251" s="84"/>
      <c r="P1251" s="84"/>
      <c r="Q1251" s="84"/>
      <c r="R1251" s="84"/>
      <c r="S1251" s="84"/>
      <c r="T1251" s="84"/>
    </row>
    <row r="1252" ht="15.75" customHeight="1">
      <c r="A1252" s="84" t="s">
        <v>37759</v>
      </c>
      <c r="B1252" s="84">
        <v>1.0</v>
      </c>
      <c r="C1252" s="186"/>
      <c r="D1252" s="187" t="s">
        <v>37760</v>
      </c>
      <c r="E1252" s="188"/>
      <c r="F1252" s="189"/>
      <c r="G1252" s="190"/>
      <c r="H1252" s="190"/>
      <c r="I1252" s="84"/>
      <c r="J1252" s="84"/>
      <c r="K1252" s="84"/>
      <c r="L1252" s="84"/>
      <c r="M1252" s="84"/>
      <c r="N1252" s="84"/>
      <c r="O1252" s="84"/>
      <c r="P1252" s="84"/>
      <c r="Q1252" s="84"/>
      <c r="R1252" s="84"/>
      <c r="S1252" s="84"/>
      <c r="T1252" s="84"/>
    </row>
    <row r="1253" ht="15.75" customHeight="1">
      <c r="A1253" s="84" t="s">
        <v>37760</v>
      </c>
      <c r="B1253" s="84">
        <v>1.0</v>
      </c>
      <c r="C1253" s="186"/>
      <c r="D1253" s="187"/>
      <c r="E1253" s="188"/>
      <c r="F1253" s="189"/>
      <c r="G1253" s="190"/>
      <c r="H1253" s="190"/>
      <c r="I1253" s="84"/>
      <c r="J1253" s="84"/>
      <c r="K1253" s="84"/>
      <c r="L1253" s="84"/>
      <c r="M1253" s="84"/>
      <c r="N1253" s="84"/>
      <c r="O1253" s="84"/>
      <c r="P1253" s="84"/>
      <c r="Q1253" s="84"/>
      <c r="R1253" s="84"/>
      <c r="S1253" s="84"/>
      <c r="T1253" s="84"/>
    </row>
    <row r="1254" ht="15.75" customHeight="1">
      <c r="A1254" s="84" t="s">
        <v>37764</v>
      </c>
      <c r="B1254" s="84">
        <v>1.0</v>
      </c>
      <c r="C1254" s="186"/>
      <c r="D1254" s="187"/>
      <c r="E1254" s="188"/>
      <c r="F1254" s="189"/>
      <c r="G1254" s="190"/>
      <c r="H1254" s="190"/>
      <c r="I1254" s="84"/>
      <c r="J1254" s="84"/>
      <c r="K1254" s="84"/>
      <c r="L1254" s="84"/>
      <c r="M1254" s="84"/>
      <c r="N1254" s="84"/>
      <c r="O1254" s="84"/>
      <c r="P1254" s="84"/>
      <c r="Q1254" s="84"/>
      <c r="R1254" s="84"/>
      <c r="S1254" s="84"/>
      <c r="T1254" s="84"/>
    </row>
    <row r="1255" ht="15.75" customHeight="1">
      <c r="A1255" s="84" t="s">
        <v>37765</v>
      </c>
      <c r="B1255" s="84">
        <v>1.0</v>
      </c>
      <c r="C1255" s="186"/>
      <c r="D1255" s="187"/>
      <c r="E1255" s="188"/>
      <c r="F1255" s="189"/>
      <c r="G1255" s="190"/>
      <c r="H1255" s="190"/>
      <c r="I1255" s="84"/>
      <c r="J1255" s="84"/>
      <c r="K1255" s="84"/>
      <c r="L1255" s="84"/>
      <c r="M1255" s="84"/>
      <c r="N1255" s="84"/>
      <c r="O1255" s="84"/>
      <c r="P1255" s="84"/>
      <c r="Q1255" s="84"/>
      <c r="R1255" s="84"/>
      <c r="S1255" s="84"/>
      <c r="T1255" s="84"/>
    </row>
    <row r="1256" ht="15.75" customHeight="1">
      <c r="A1256" s="84" t="s">
        <v>37769</v>
      </c>
      <c r="B1256" s="84">
        <v>2.0</v>
      </c>
      <c r="C1256" s="186"/>
      <c r="D1256" s="187"/>
      <c r="E1256" s="188"/>
      <c r="F1256" s="189"/>
      <c r="G1256" s="190"/>
      <c r="H1256" s="190"/>
      <c r="I1256" s="84"/>
      <c r="J1256" s="84"/>
      <c r="K1256" s="84"/>
      <c r="L1256" s="84"/>
      <c r="M1256" s="84"/>
      <c r="N1256" s="84"/>
      <c r="O1256" s="84"/>
      <c r="P1256" s="84"/>
      <c r="Q1256" s="84"/>
      <c r="R1256" s="84"/>
      <c r="S1256" s="84"/>
      <c r="T1256" s="84"/>
    </row>
    <row r="1257" ht="15.75" customHeight="1">
      <c r="A1257" s="84" t="s">
        <v>37770</v>
      </c>
      <c r="B1257" s="84">
        <v>1.0</v>
      </c>
      <c r="C1257" s="186"/>
      <c r="D1257" s="187"/>
      <c r="E1257" s="188"/>
      <c r="F1257" s="189"/>
      <c r="G1257" s="190"/>
      <c r="H1257" s="190"/>
      <c r="I1257" s="84"/>
      <c r="J1257" s="84"/>
      <c r="K1257" s="84"/>
      <c r="L1257" s="84"/>
      <c r="M1257" s="84"/>
      <c r="N1257" s="84"/>
      <c r="O1257" s="84"/>
      <c r="P1257" s="84"/>
      <c r="Q1257" s="84"/>
      <c r="R1257" s="84"/>
      <c r="S1257" s="84"/>
      <c r="T1257" s="84"/>
    </row>
    <row r="1258" ht="15.75" customHeight="1">
      <c r="A1258" s="84" t="s">
        <v>37771</v>
      </c>
      <c r="B1258" s="84">
        <v>2.0</v>
      </c>
      <c r="C1258" s="186"/>
      <c r="D1258" s="187"/>
      <c r="E1258" s="188"/>
      <c r="F1258" s="189"/>
      <c r="G1258" s="190"/>
      <c r="H1258" s="190"/>
      <c r="I1258" s="84"/>
      <c r="J1258" s="84"/>
      <c r="K1258" s="84"/>
      <c r="L1258" s="84"/>
      <c r="M1258" s="84"/>
      <c r="N1258" s="84"/>
      <c r="O1258" s="84"/>
      <c r="P1258" s="84"/>
      <c r="Q1258" s="84"/>
      <c r="R1258" s="84"/>
      <c r="S1258" s="84"/>
      <c r="T1258" s="84"/>
    </row>
    <row r="1259" ht="15.75" customHeight="1">
      <c r="A1259" s="84" t="s">
        <v>37772</v>
      </c>
      <c r="B1259" s="84">
        <v>1.0</v>
      </c>
      <c r="C1259" s="186"/>
      <c r="D1259" s="187"/>
      <c r="E1259" s="188"/>
      <c r="F1259" s="189"/>
      <c r="G1259" s="190"/>
      <c r="H1259" s="190"/>
      <c r="I1259" s="84"/>
      <c r="J1259" s="84"/>
      <c r="K1259" s="84"/>
      <c r="L1259" s="84"/>
      <c r="M1259" s="84"/>
      <c r="N1259" s="84"/>
      <c r="O1259" s="84"/>
      <c r="P1259" s="84"/>
      <c r="Q1259" s="84"/>
      <c r="R1259" s="84"/>
      <c r="S1259" s="84"/>
      <c r="T1259" s="84"/>
    </row>
    <row r="1260" ht="15.75" customHeight="1">
      <c r="A1260" s="84" t="s">
        <v>37773</v>
      </c>
      <c r="B1260" s="84">
        <v>1.0</v>
      </c>
      <c r="C1260" s="186"/>
      <c r="D1260" s="187"/>
      <c r="E1260" s="188"/>
      <c r="F1260" s="189"/>
      <c r="G1260" s="190"/>
      <c r="H1260" s="190"/>
      <c r="I1260" s="84"/>
      <c r="J1260" s="84"/>
      <c r="K1260" s="84"/>
      <c r="L1260" s="84"/>
      <c r="M1260" s="84"/>
      <c r="N1260" s="84"/>
      <c r="O1260" s="84"/>
      <c r="P1260" s="84"/>
      <c r="Q1260" s="84"/>
      <c r="R1260" s="84"/>
      <c r="S1260" s="84"/>
      <c r="T1260" s="84"/>
    </row>
    <row r="1261" ht="15.75" customHeight="1">
      <c r="A1261" s="84" t="s">
        <v>37774</v>
      </c>
      <c r="B1261" s="84">
        <v>3.0</v>
      </c>
      <c r="C1261" s="186"/>
      <c r="D1261" s="187"/>
      <c r="E1261" s="188"/>
      <c r="F1261" s="189"/>
      <c r="G1261" s="190"/>
      <c r="H1261" s="190"/>
      <c r="I1261" s="84"/>
      <c r="J1261" s="84"/>
      <c r="K1261" s="84"/>
      <c r="L1261" s="84"/>
      <c r="M1261" s="84"/>
      <c r="N1261" s="84"/>
      <c r="O1261" s="84"/>
      <c r="P1261" s="84"/>
      <c r="Q1261" s="84"/>
      <c r="R1261" s="84"/>
      <c r="S1261" s="84"/>
      <c r="T1261" s="84"/>
    </row>
    <row r="1262" ht="15.75" customHeight="1">
      <c r="A1262" s="84" t="s">
        <v>37775</v>
      </c>
      <c r="B1262" s="84">
        <v>1.0</v>
      </c>
      <c r="C1262" s="186"/>
      <c r="D1262" s="187"/>
      <c r="E1262" s="188"/>
      <c r="F1262" s="189"/>
      <c r="G1262" s="190"/>
      <c r="H1262" s="190"/>
      <c r="I1262" s="84"/>
      <c r="J1262" s="84"/>
      <c r="K1262" s="84"/>
      <c r="L1262" s="84"/>
      <c r="M1262" s="84"/>
      <c r="N1262" s="84"/>
      <c r="O1262" s="84"/>
      <c r="P1262" s="84"/>
      <c r="Q1262" s="84"/>
      <c r="R1262" s="84"/>
      <c r="S1262" s="84"/>
      <c r="T1262" s="84"/>
    </row>
    <row r="1263" ht="15.75" customHeight="1">
      <c r="A1263" s="84" t="s">
        <v>37776</v>
      </c>
      <c r="B1263" s="84">
        <v>1.0</v>
      </c>
      <c r="C1263" s="186"/>
      <c r="D1263" s="187"/>
      <c r="E1263" s="188"/>
      <c r="F1263" s="189"/>
      <c r="G1263" s="190"/>
      <c r="H1263" s="190"/>
      <c r="I1263" s="84"/>
      <c r="J1263" s="84"/>
      <c r="K1263" s="84"/>
      <c r="L1263" s="84"/>
      <c r="M1263" s="84"/>
      <c r="N1263" s="84"/>
      <c r="O1263" s="84"/>
      <c r="P1263" s="84"/>
      <c r="Q1263" s="84"/>
      <c r="R1263" s="84"/>
      <c r="S1263" s="84"/>
      <c r="T1263" s="84"/>
    </row>
    <row r="1264" ht="15.75" customHeight="1">
      <c r="A1264" s="84" t="s">
        <v>37777</v>
      </c>
      <c r="B1264" s="84">
        <v>1.0</v>
      </c>
      <c r="C1264" s="186"/>
      <c r="D1264" s="187"/>
      <c r="E1264" s="188"/>
      <c r="F1264" s="189"/>
      <c r="G1264" s="190"/>
      <c r="H1264" s="190"/>
      <c r="I1264" s="84"/>
      <c r="J1264" s="84"/>
      <c r="K1264" s="84"/>
      <c r="L1264" s="84"/>
      <c r="M1264" s="84"/>
      <c r="N1264" s="84"/>
      <c r="O1264" s="84"/>
      <c r="P1264" s="84"/>
      <c r="Q1264" s="84"/>
      <c r="R1264" s="84"/>
      <c r="S1264" s="84"/>
      <c r="T1264" s="84"/>
    </row>
    <row r="1265" ht="15.75" customHeight="1">
      <c r="A1265" s="84" t="s">
        <v>37779</v>
      </c>
      <c r="B1265" s="84">
        <v>1.0</v>
      </c>
      <c r="C1265" s="186"/>
      <c r="D1265" s="187"/>
      <c r="E1265" s="188"/>
      <c r="F1265" s="189"/>
      <c r="G1265" s="190"/>
      <c r="H1265" s="190"/>
      <c r="I1265" s="84"/>
      <c r="J1265" s="84"/>
      <c r="K1265" s="84"/>
      <c r="L1265" s="84"/>
      <c r="M1265" s="84"/>
      <c r="N1265" s="84"/>
      <c r="O1265" s="84"/>
      <c r="P1265" s="84"/>
      <c r="Q1265" s="84"/>
      <c r="R1265" s="84"/>
      <c r="S1265" s="84"/>
      <c r="T1265" s="84"/>
    </row>
    <row r="1266" ht="15.75" customHeight="1">
      <c r="A1266" s="84" t="s">
        <v>37780</v>
      </c>
      <c r="B1266" s="84">
        <v>1.0</v>
      </c>
      <c r="C1266" s="186"/>
      <c r="D1266" s="187"/>
      <c r="E1266" s="188"/>
      <c r="F1266" s="189"/>
      <c r="G1266" s="190"/>
      <c r="H1266" s="190"/>
      <c r="I1266" s="84"/>
      <c r="J1266" s="84"/>
      <c r="K1266" s="84"/>
      <c r="L1266" s="84"/>
      <c r="M1266" s="84"/>
      <c r="N1266" s="84"/>
      <c r="O1266" s="84"/>
      <c r="P1266" s="84"/>
      <c r="Q1266" s="84"/>
      <c r="R1266" s="84"/>
      <c r="S1266" s="84"/>
      <c r="T1266" s="84"/>
    </row>
    <row r="1267" ht="15.75" customHeight="1">
      <c r="A1267" s="84" t="s">
        <v>37781</v>
      </c>
      <c r="B1267" s="84">
        <v>1.0</v>
      </c>
      <c r="C1267" s="186"/>
      <c r="D1267" s="187" t="s">
        <v>36190</v>
      </c>
      <c r="E1267" s="188"/>
      <c r="F1267" s="189"/>
      <c r="G1267" s="190"/>
      <c r="H1267" s="190"/>
      <c r="I1267" s="84"/>
      <c r="J1267" s="84"/>
      <c r="K1267" s="84"/>
      <c r="L1267" s="84"/>
      <c r="M1267" s="84"/>
      <c r="N1267" s="84"/>
      <c r="O1267" s="84"/>
      <c r="P1267" s="84"/>
      <c r="Q1267" s="84"/>
      <c r="R1267" s="84"/>
      <c r="S1267" s="84"/>
      <c r="T1267" s="84"/>
    </row>
    <row r="1268" ht="15.75" customHeight="1">
      <c r="A1268" s="84" t="s">
        <v>37782</v>
      </c>
      <c r="B1268" s="84">
        <v>1.0</v>
      </c>
      <c r="C1268" s="186"/>
      <c r="D1268" s="187"/>
      <c r="E1268" s="188"/>
      <c r="F1268" s="189"/>
      <c r="G1268" s="190"/>
      <c r="H1268" s="190"/>
      <c r="I1268" s="84"/>
      <c r="J1268" s="84"/>
      <c r="K1268" s="84"/>
      <c r="L1268" s="84"/>
      <c r="M1268" s="84"/>
      <c r="N1268" s="84"/>
      <c r="O1268" s="84"/>
      <c r="P1268" s="84"/>
      <c r="Q1268" s="84"/>
      <c r="R1268" s="84"/>
      <c r="S1268" s="84"/>
      <c r="T1268" s="84"/>
    </row>
    <row r="1269" ht="15.75" customHeight="1">
      <c r="A1269" s="84" t="s">
        <v>37783</v>
      </c>
      <c r="B1269" s="84">
        <v>1.0</v>
      </c>
      <c r="C1269" s="186"/>
      <c r="D1269" s="187"/>
      <c r="E1269" s="188"/>
      <c r="F1269" s="189"/>
      <c r="G1269" s="190"/>
      <c r="H1269" s="190"/>
      <c r="I1269" s="84"/>
      <c r="J1269" s="84"/>
      <c r="K1269" s="84"/>
      <c r="L1269" s="84"/>
      <c r="M1269" s="84"/>
      <c r="N1269" s="84"/>
      <c r="O1269" s="84"/>
      <c r="P1269" s="84"/>
      <c r="Q1269" s="84"/>
      <c r="R1269" s="84"/>
      <c r="S1269" s="84"/>
      <c r="T1269" s="84"/>
    </row>
    <row r="1270" ht="15.75" customHeight="1">
      <c r="A1270" s="84" t="s">
        <v>36190</v>
      </c>
      <c r="B1270" s="84">
        <v>2.0</v>
      </c>
      <c r="C1270" s="186"/>
      <c r="D1270" s="187"/>
      <c r="E1270" s="188"/>
      <c r="F1270" s="189"/>
      <c r="G1270" s="190"/>
      <c r="H1270" s="190"/>
      <c r="I1270" s="84"/>
      <c r="J1270" s="84"/>
      <c r="K1270" s="84"/>
      <c r="L1270" s="84"/>
      <c r="M1270" s="84"/>
      <c r="N1270" s="84"/>
      <c r="O1270" s="84"/>
      <c r="P1270" s="84"/>
      <c r="Q1270" s="84"/>
      <c r="R1270" s="84"/>
      <c r="S1270" s="84"/>
      <c r="T1270" s="84"/>
    </row>
    <row r="1271" ht="15.75" customHeight="1">
      <c r="A1271" s="84" t="s">
        <v>37784</v>
      </c>
      <c r="B1271" s="84">
        <v>1.0</v>
      </c>
      <c r="C1271" s="186"/>
      <c r="D1271" s="187"/>
      <c r="E1271" s="188"/>
      <c r="F1271" s="189"/>
      <c r="G1271" s="190"/>
      <c r="H1271" s="190"/>
      <c r="I1271" s="84"/>
      <c r="J1271" s="84"/>
      <c r="K1271" s="84"/>
      <c r="L1271" s="84"/>
      <c r="M1271" s="84"/>
      <c r="N1271" s="84"/>
      <c r="O1271" s="84"/>
      <c r="P1271" s="84"/>
      <c r="Q1271" s="84"/>
      <c r="R1271" s="84"/>
      <c r="S1271" s="84"/>
      <c r="T1271" s="84"/>
    </row>
    <row r="1272" ht="15.75" customHeight="1">
      <c r="A1272" s="84" t="s">
        <v>37785</v>
      </c>
      <c r="B1272" s="84">
        <v>2.0</v>
      </c>
      <c r="C1272" s="186"/>
      <c r="D1272" s="187"/>
      <c r="E1272" s="188"/>
      <c r="F1272" s="189"/>
      <c r="G1272" s="190"/>
      <c r="H1272" s="190"/>
      <c r="I1272" s="84"/>
      <c r="J1272" s="84"/>
      <c r="K1272" s="84"/>
      <c r="L1272" s="84"/>
      <c r="M1272" s="84"/>
      <c r="N1272" s="84"/>
      <c r="O1272" s="84"/>
      <c r="P1272" s="84"/>
      <c r="Q1272" s="84"/>
      <c r="R1272" s="84"/>
      <c r="S1272" s="84"/>
      <c r="T1272" s="84"/>
    </row>
    <row r="1273" ht="15.75" customHeight="1">
      <c r="A1273" s="84" t="s">
        <v>37786</v>
      </c>
      <c r="B1273" s="84">
        <v>2.0</v>
      </c>
      <c r="C1273" s="186"/>
      <c r="D1273" s="187"/>
      <c r="E1273" s="188"/>
      <c r="F1273" s="189"/>
      <c r="G1273" s="190"/>
      <c r="H1273" s="190"/>
      <c r="I1273" s="84"/>
      <c r="J1273" s="84"/>
      <c r="K1273" s="84"/>
      <c r="L1273" s="84"/>
      <c r="M1273" s="84"/>
      <c r="N1273" s="84"/>
      <c r="O1273" s="84"/>
      <c r="P1273" s="84"/>
      <c r="Q1273" s="84"/>
      <c r="R1273" s="84"/>
      <c r="S1273" s="84"/>
      <c r="T1273" s="84"/>
    </row>
    <row r="1274" ht="15.75" customHeight="1">
      <c r="A1274" s="84" t="s">
        <v>37787</v>
      </c>
      <c r="B1274" s="84">
        <v>1.0</v>
      </c>
      <c r="C1274" s="186"/>
      <c r="D1274" s="187"/>
      <c r="E1274" s="188"/>
      <c r="F1274" s="189"/>
      <c r="G1274" s="190"/>
      <c r="H1274" s="190"/>
      <c r="I1274" s="84"/>
      <c r="J1274" s="84"/>
      <c r="K1274" s="84"/>
      <c r="L1274" s="84"/>
      <c r="M1274" s="84"/>
      <c r="N1274" s="84"/>
      <c r="O1274" s="84"/>
      <c r="P1274" s="84"/>
      <c r="Q1274" s="84"/>
      <c r="R1274" s="84"/>
      <c r="S1274" s="84"/>
      <c r="T1274" s="84"/>
    </row>
    <row r="1275" ht="15.75" customHeight="1">
      <c r="A1275" s="84" t="s">
        <v>37788</v>
      </c>
      <c r="B1275" s="84">
        <v>1.0</v>
      </c>
      <c r="C1275" s="186"/>
      <c r="D1275" s="187"/>
      <c r="E1275" s="188"/>
      <c r="F1275" s="189"/>
      <c r="G1275" s="190"/>
      <c r="H1275" s="190"/>
      <c r="I1275" s="84"/>
      <c r="J1275" s="84"/>
      <c r="K1275" s="84"/>
      <c r="L1275" s="84"/>
      <c r="M1275" s="84"/>
      <c r="N1275" s="84"/>
      <c r="O1275" s="84"/>
      <c r="P1275" s="84"/>
      <c r="Q1275" s="84"/>
      <c r="R1275" s="84"/>
      <c r="S1275" s="84"/>
      <c r="T1275" s="84"/>
    </row>
    <row r="1276" ht="15.75" customHeight="1">
      <c r="A1276" s="84" t="s">
        <v>37789</v>
      </c>
      <c r="B1276" s="84">
        <v>1.0</v>
      </c>
      <c r="C1276" s="186"/>
      <c r="D1276" s="187"/>
      <c r="E1276" s="188"/>
      <c r="F1276" s="189"/>
      <c r="G1276" s="190"/>
      <c r="H1276" s="190"/>
      <c r="I1276" s="84"/>
      <c r="J1276" s="84"/>
      <c r="K1276" s="84"/>
      <c r="L1276" s="84"/>
      <c r="M1276" s="84"/>
      <c r="N1276" s="84"/>
      <c r="O1276" s="84"/>
      <c r="P1276" s="84"/>
      <c r="Q1276" s="84"/>
      <c r="R1276" s="84"/>
      <c r="S1276" s="84"/>
      <c r="T1276" s="84"/>
    </row>
    <row r="1277" ht="15.75" customHeight="1">
      <c r="A1277" s="84" t="s">
        <v>37790</v>
      </c>
      <c r="B1277" s="84">
        <v>1.0</v>
      </c>
      <c r="C1277" s="186"/>
      <c r="D1277" s="187"/>
      <c r="E1277" s="188"/>
      <c r="F1277" s="189"/>
      <c r="G1277" s="190"/>
      <c r="H1277" s="190"/>
      <c r="I1277" s="84"/>
      <c r="J1277" s="84"/>
      <c r="K1277" s="84"/>
      <c r="L1277" s="84"/>
      <c r="M1277" s="84"/>
      <c r="N1277" s="84"/>
      <c r="O1277" s="84"/>
      <c r="P1277" s="84"/>
      <c r="Q1277" s="84"/>
      <c r="R1277" s="84"/>
      <c r="S1277" s="84"/>
      <c r="T1277" s="84"/>
    </row>
    <row r="1278" ht="15.75" customHeight="1">
      <c r="A1278" s="84" t="s">
        <v>37791</v>
      </c>
      <c r="B1278" s="84">
        <v>3.0</v>
      </c>
      <c r="C1278" s="186"/>
      <c r="D1278" s="187"/>
      <c r="E1278" s="188"/>
      <c r="F1278" s="189"/>
      <c r="G1278" s="190"/>
      <c r="H1278" s="190"/>
      <c r="I1278" s="84"/>
      <c r="J1278" s="84"/>
      <c r="K1278" s="84"/>
      <c r="L1278" s="84"/>
      <c r="M1278" s="84"/>
      <c r="N1278" s="84"/>
      <c r="O1278" s="84"/>
      <c r="P1278" s="84"/>
      <c r="Q1278" s="84"/>
      <c r="R1278" s="84"/>
      <c r="S1278" s="84"/>
      <c r="T1278" s="84"/>
    </row>
    <row r="1279" ht="15.75" customHeight="1">
      <c r="A1279" s="84" t="s">
        <v>37792</v>
      </c>
      <c r="B1279" s="84">
        <v>1.0</v>
      </c>
      <c r="C1279" s="186"/>
      <c r="D1279" s="187"/>
      <c r="E1279" s="188"/>
      <c r="F1279" s="189"/>
      <c r="G1279" s="190"/>
      <c r="H1279" s="190"/>
      <c r="I1279" s="84"/>
      <c r="J1279" s="84"/>
      <c r="K1279" s="84"/>
      <c r="L1279" s="84"/>
      <c r="M1279" s="84"/>
      <c r="N1279" s="84"/>
      <c r="O1279" s="84"/>
      <c r="P1279" s="84"/>
      <c r="Q1279" s="84"/>
      <c r="R1279" s="84"/>
      <c r="S1279" s="84"/>
      <c r="T1279" s="84"/>
    </row>
    <row r="1280" ht="15.75" customHeight="1">
      <c r="A1280" s="84" t="s">
        <v>37794</v>
      </c>
      <c r="B1280" s="84">
        <v>1.0</v>
      </c>
      <c r="C1280" s="186"/>
      <c r="D1280" s="187"/>
      <c r="E1280" s="188"/>
      <c r="F1280" s="189"/>
      <c r="G1280" s="190"/>
      <c r="H1280" s="190"/>
      <c r="I1280" s="84"/>
      <c r="J1280" s="84"/>
      <c r="K1280" s="84"/>
      <c r="L1280" s="84"/>
      <c r="M1280" s="84"/>
      <c r="N1280" s="84"/>
      <c r="O1280" s="84"/>
      <c r="P1280" s="84"/>
      <c r="Q1280" s="84"/>
      <c r="R1280" s="84"/>
      <c r="S1280" s="84"/>
      <c r="T1280" s="84"/>
    </row>
    <row r="1281" ht="15.75" customHeight="1">
      <c r="A1281" s="84" t="s">
        <v>37795</v>
      </c>
      <c r="B1281" s="84">
        <v>1.0</v>
      </c>
      <c r="C1281" s="186"/>
      <c r="D1281" s="187"/>
      <c r="E1281" s="188"/>
      <c r="F1281" s="189"/>
      <c r="G1281" s="190"/>
      <c r="H1281" s="190"/>
      <c r="I1281" s="84"/>
      <c r="J1281" s="84"/>
      <c r="K1281" s="84"/>
      <c r="L1281" s="84"/>
      <c r="M1281" s="84"/>
      <c r="N1281" s="84"/>
      <c r="O1281" s="84"/>
      <c r="P1281" s="84"/>
      <c r="Q1281" s="84"/>
      <c r="R1281" s="84"/>
      <c r="S1281" s="84"/>
      <c r="T1281" s="84"/>
    </row>
    <row r="1282" ht="15.75" customHeight="1">
      <c r="A1282" s="84" t="s">
        <v>37796</v>
      </c>
      <c r="B1282" s="84">
        <v>1.0</v>
      </c>
      <c r="C1282" s="186"/>
      <c r="D1282" s="187"/>
      <c r="E1282" s="188"/>
      <c r="F1282" s="189"/>
      <c r="G1282" s="190"/>
      <c r="H1282" s="190"/>
      <c r="I1282" s="84"/>
      <c r="J1282" s="84"/>
      <c r="K1282" s="84"/>
      <c r="L1282" s="84"/>
      <c r="M1282" s="84"/>
      <c r="N1282" s="84"/>
      <c r="O1282" s="84"/>
      <c r="P1282" s="84"/>
      <c r="Q1282" s="84"/>
      <c r="R1282" s="84"/>
      <c r="S1282" s="84"/>
      <c r="T1282" s="84"/>
    </row>
    <row r="1283" ht="15.75" customHeight="1">
      <c r="A1283" s="84" t="s">
        <v>37797</v>
      </c>
      <c r="B1283" s="84">
        <v>1.0</v>
      </c>
      <c r="C1283" s="186"/>
      <c r="D1283" s="187"/>
      <c r="E1283" s="188"/>
      <c r="F1283" s="189"/>
      <c r="G1283" s="190"/>
      <c r="H1283" s="190"/>
      <c r="I1283" s="84"/>
      <c r="J1283" s="84"/>
      <c r="K1283" s="84"/>
      <c r="L1283" s="84"/>
      <c r="M1283" s="84"/>
      <c r="N1283" s="84"/>
      <c r="O1283" s="84"/>
      <c r="P1283" s="84"/>
      <c r="Q1283" s="84"/>
      <c r="R1283" s="84"/>
      <c r="S1283" s="84"/>
      <c r="T1283" s="84"/>
    </row>
    <row r="1284" ht="15.75" customHeight="1">
      <c r="A1284" s="84" t="s">
        <v>37798</v>
      </c>
      <c r="B1284" s="84">
        <v>1.0</v>
      </c>
      <c r="C1284" s="186"/>
      <c r="D1284" s="187"/>
      <c r="E1284" s="188"/>
      <c r="F1284" s="189"/>
      <c r="G1284" s="190"/>
      <c r="H1284" s="190"/>
      <c r="I1284" s="84"/>
      <c r="J1284" s="84"/>
      <c r="K1284" s="84"/>
      <c r="L1284" s="84"/>
      <c r="M1284" s="84"/>
      <c r="N1284" s="84"/>
      <c r="O1284" s="84"/>
      <c r="P1284" s="84"/>
      <c r="Q1284" s="84"/>
      <c r="R1284" s="84"/>
      <c r="S1284" s="84"/>
      <c r="T1284" s="84"/>
    </row>
    <row r="1285" ht="15.75" customHeight="1">
      <c r="A1285" s="84" t="s">
        <v>37800</v>
      </c>
      <c r="B1285" s="84">
        <v>1.0</v>
      </c>
      <c r="C1285" s="186"/>
      <c r="D1285" s="187"/>
      <c r="E1285" s="188"/>
      <c r="F1285" s="189"/>
      <c r="G1285" s="190"/>
      <c r="H1285" s="190"/>
      <c r="I1285" s="84"/>
      <c r="J1285" s="84"/>
      <c r="K1285" s="84"/>
      <c r="L1285" s="84"/>
      <c r="M1285" s="84"/>
      <c r="N1285" s="84"/>
      <c r="O1285" s="84"/>
      <c r="P1285" s="84"/>
      <c r="Q1285" s="84"/>
      <c r="R1285" s="84"/>
      <c r="S1285" s="84"/>
      <c r="T1285" s="84"/>
    </row>
    <row r="1286" ht="15.75" customHeight="1">
      <c r="A1286" s="84" t="s">
        <v>37801</v>
      </c>
      <c r="B1286" s="84">
        <v>1.0</v>
      </c>
      <c r="C1286" s="186"/>
      <c r="D1286" s="187"/>
      <c r="E1286" s="188"/>
      <c r="F1286" s="189"/>
      <c r="G1286" s="190"/>
      <c r="H1286" s="190"/>
      <c r="I1286" s="84"/>
      <c r="J1286" s="84"/>
      <c r="K1286" s="84"/>
      <c r="L1286" s="84"/>
      <c r="M1286" s="84"/>
      <c r="N1286" s="84"/>
      <c r="O1286" s="84"/>
      <c r="P1286" s="84"/>
      <c r="Q1286" s="84"/>
      <c r="R1286" s="84"/>
      <c r="S1286" s="84"/>
      <c r="T1286" s="84"/>
    </row>
    <row r="1287" ht="15.75" customHeight="1">
      <c r="A1287" s="84" t="s">
        <v>37802</v>
      </c>
      <c r="B1287" s="84">
        <v>1.0</v>
      </c>
      <c r="C1287" s="186"/>
      <c r="D1287" s="187"/>
      <c r="E1287" s="188"/>
      <c r="F1287" s="189"/>
      <c r="G1287" s="190"/>
      <c r="H1287" s="190"/>
      <c r="I1287" s="84"/>
      <c r="J1287" s="84"/>
      <c r="K1287" s="84"/>
      <c r="L1287" s="84"/>
      <c r="M1287" s="84"/>
      <c r="N1287" s="84"/>
      <c r="O1287" s="84"/>
      <c r="P1287" s="84"/>
      <c r="Q1287" s="84"/>
      <c r="R1287" s="84"/>
      <c r="S1287" s="84"/>
      <c r="T1287" s="84"/>
    </row>
    <row r="1288" ht="15.75" customHeight="1">
      <c r="A1288" s="84" t="s">
        <v>37803</v>
      </c>
      <c r="B1288" s="84">
        <v>1.0</v>
      </c>
      <c r="C1288" s="186"/>
      <c r="D1288" s="187"/>
      <c r="E1288" s="188"/>
      <c r="F1288" s="189"/>
      <c r="G1288" s="190"/>
      <c r="H1288" s="190"/>
      <c r="I1288" s="84"/>
      <c r="J1288" s="84"/>
      <c r="K1288" s="84"/>
      <c r="L1288" s="84"/>
      <c r="M1288" s="84"/>
      <c r="N1288" s="84"/>
      <c r="O1288" s="84"/>
      <c r="P1288" s="84"/>
      <c r="Q1288" s="84"/>
      <c r="R1288" s="84"/>
      <c r="S1288" s="84"/>
      <c r="T1288" s="84"/>
    </row>
    <row r="1289" ht="15.75" customHeight="1">
      <c r="A1289" s="84" t="s">
        <v>37804</v>
      </c>
      <c r="B1289" s="84">
        <v>1.0</v>
      </c>
      <c r="C1289" s="186"/>
      <c r="D1289" s="187"/>
      <c r="E1289" s="188"/>
      <c r="F1289" s="189"/>
      <c r="G1289" s="190"/>
      <c r="H1289" s="190"/>
      <c r="I1289" s="84"/>
      <c r="J1289" s="84"/>
      <c r="K1289" s="84"/>
      <c r="L1289" s="84"/>
      <c r="M1289" s="84"/>
      <c r="N1289" s="84"/>
      <c r="O1289" s="84"/>
      <c r="P1289" s="84"/>
      <c r="Q1289" s="84"/>
      <c r="R1289" s="84"/>
      <c r="S1289" s="84"/>
      <c r="T1289" s="84"/>
    </row>
    <row r="1290" ht="15.75" customHeight="1">
      <c r="A1290" s="84" t="s">
        <v>37806</v>
      </c>
      <c r="B1290" s="84">
        <v>1.0</v>
      </c>
      <c r="C1290" s="186"/>
      <c r="D1290" s="187"/>
      <c r="E1290" s="188"/>
      <c r="F1290" s="189"/>
      <c r="G1290" s="190"/>
      <c r="H1290" s="190"/>
      <c r="I1290" s="84"/>
      <c r="J1290" s="84"/>
      <c r="K1290" s="84"/>
      <c r="L1290" s="84"/>
      <c r="M1290" s="84"/>
      <c r="N1290" s="84"/>
      <c r="O1290" s="84"/>
      <c r="P1290" s="84"/>
      <c r="Q1290" s="84"/>
      <c r="R1290" s="84"/>
      <c r="S1290" s="84"/>
      <c r="T1290" s="84"/>
    </row>
    <row r="1291" ht="15.75" customHeight="1">
      <c r="A1291" s="84" t="s">
        <v>37807</v>
      </c>
      <c r="B1291" s="84">
        <v>1.0</v>
      </c>
      <c r="C1291" s="186"/>
      <c r="D1291" s="187"/>
      <c r="E1291" s="188"/>
      <c r="F1291" s="189"/>
      <c r="G1291" s="190"/>
      <c r="H1291" s="190"/>
      <c r="I1291" s="84"/>
      <c r="J1291" s="84"/>
      <c r="K1291" s="84"/>
      <c r="L1291" s="84"/>
      <c r="M1291" s="84"/>
      <c r="N1291" s="84"/>
      <c r="O1291" s="84"/>
      <c r="P1291" s="84"/>
      <c r="Q1291" s="84"/>
      <c r="R1291" s="84"/>
      <c r="S1291" s="84"/>
      <c r="T1291" s="84"/>
    </row>
    <row r="1292" ht="15.75" customHeight="1">
      <c r="A1292" s="84" t="s">
        <v>37808</v>
      </c>
      <c r="B1292" s="84">
        <v>1.0</v>
      </c>
      <c r="C1292" s="186"/>
      <c r="D1292" s="187"/>
      <c r="E1292" s="188"/>
      <c r="F1292" s="189"/>
      <c r="G1292" s="190"/>
      <c r="H1292" s="190"/>
      <c r="I1292" s="84"/>
      <c r="J1292" s="84"/>
      <c r="K1292" s="84"/>
      <c r="L1292" s="84"/>
      <c r="M1292" s="84"/>
      <c r="N1292" s="84"/>
      <c r="O1292" s="84"/>
      <c r="P1292" s="84"/>
      <c r="Q1292" s="84"/>
      <c r="R1292" s="84"/>
      <c r="S1292" s="84"/>
      <c r="T1292" s="84"/>
    </row>
    <row r="1293" ht="15.75" customHeight="1">
      <c r="A1293" s="84" t="s">
        <v>37809</v>
      </c>
      <c r="B1293" s="84">
        <v>1.0</v>
      </c>
      <c r="C1293" s="186"/>
      <c r="D1293" s="187"/>
      <c r="E1293" s="188"/>
      <c r="F1293" s="189"/>
      <c r="G1293" s="190"/>
      <c r="H1293" s="190"/>
      <c r="I1293" s="84"/>
      <c r="J1293" s="84"/>
      <c r="K1293" s="84"/>
      <c r="L1293" s="84"/>
      <c r="M1293" s="84"/>
      <c r="N1293" s="84"/>
      <c r="O1293" s="84"/>
      <c r="P1293" s="84"/>
      <c r="Q1293" s="84"/>
      <c r="R1293" s="84"/>
      <c r="S1293" s="84"/>
      <c r="T1293" s="84"/>
    </row>
    <row r="1294" ht="15.75" customHeight="1">
      <c r="A1294" s="84" t="s">
        <v>37810</v>
      </c>
      <c r="B1294" s="84">
        <v>1.0</v>
      </c>
      <c r="C1294" s="186"/>
      <c r="D1294" s="187"/>
      <c r="E1294" s="188"/>
      <c r="F1294" s="189"/>
      <c r="G1294" s="190"/>
      <c r="H1294" s="190"/>
      <c r="I1294" s="84"/>
      <c r="J1294" s="84"/>
      <c r="K1294" s="84"/>
      <c r="L1294" s="84"/>
      <c r="M1294" s="84"/>
      <c r="N1294" s="84"/>
      <c r="O1294" s="84"/>
      <c r="P1294" s="84"/>
      <c r="Q1294" s="84"/>
      <c r="R1294" s="84"/>
      <c r="S1294" s="84"/>
      <c r="T1294" s="84"/>
    </row>
    <row r="1295" ht="15.75" customHeight="1">
      <c r="A1295" s="84" t="s">
        <v>37812</v>
      </c>
      <c r="B1295" s="84">
        <v>1.0</v>
      </c>
      <c r="C1295" s="186"/>
      <c r="D1295" s="187"/>
      <c r="E1295" s="188"/>
      <c r="F1295" s="189"/>
      <c r="G1295" s="190"/>
      <c r="H1295" s="190"/>
      <c r="I1295" s="84"/>
      <c r="J1295" s="84"/>
      <c r="K1295" s="84"/>
      <c r="L1295" s="84"/>
      <c r="M1295" s="84"/>
      <c r="N1295" s="84"/>
      <c r="O1295" s="84"/>
      <c r="P1295" s="84"/>
      <c r="Q1295" s="84"/>
      <c r="R1295" s="84"/>
      <c r="S1295" s="84"/>
      <c r="T1295" s="84"/>
    </row>
    <row r="1296" ht="15.75" customHeight="1">
      <c r="A1296" s="84" t="s">
        <v>37813</v>
      </c>
      <c r="B1296" s="84">
        <v>1.0</v>
      </c>
      <c r="C1296" s="186"/>
      <c r="D1296" s="187"/>
      <c r="E1296" s="188"/>
      <c r="F1296" s="189"/>
      <c r="G1296" s="190"/>
      <c r="H1296" s="190"/>
      <c r="I1296" s="84"/>
      <c r="J1296" s="84"/>
      <c r="K1296" s="84"/>
      <c r="L1296" s="84"/>
      <c r="M1296" s="84"/>
      <c r="N1296" s="84"/>
      <c r="O1296" s="84"/>
      <c r="P1296" s="84"/>
      <c r="Q1296" s="84"/>
      <c r="R1296" s="84"/>
      <c r="S1296" s="84"/>
      <c r="T1296" s="84"/>
    </row>
    <row r="1297" ht="15.75" customHeight="1">
      <c r="A1297" s="84" t="s">
        <v>37814</v>
      </c>
      <c r="B1297" s="84">
        <v>2.0</v>
      </c>
      <c r="C1297" s="186"/>
      <c r="D1297" s="187"/>
      <c r="E1297" s="188"/>
      <c r="F1297" s="189"/>
      <c r="G1297" s="190"/>
      <c r="H1297" s="190"/>
      <c r="I1297" s="84"/>
      <c r="J1297" s="84"/>
      <c r="K1297" s="84"/>
      <c r="L1297" s="84"/>
      <c r="M1297" s="84"/>
      <c r="N1297" s="84"/>
      <c r="O1297" s="84"/>
      <c r="P1297" s="84"/>
      <c r="Q1297" s="84"/>
      <c r="R1297" s="84"/>
      <c r="S1297" s="84"/>
      <c r="T1297" s="84"/>
    </row>
    <row r="1298" ht="15.75" customHeight="1">
      <c r="A1298" s="84" t="s">
        <v>37815</v>
      </c>
      <c r="B1298" s="84">
        <v>1.0</v>
      </c>
      <c r="C1298" s="186"/>
      <c r="D1298" s="187"/>
      <c r="E1298" s="188"/>
      <c r="F1298" s="189"/>
      <c r="G1298" s="190"/>
      <c r="H1298" s="190"/>
      <c r="I1298" s="84"/>
      <c r="J1298" s="84"/>
      <c r="K1298" s="84"/>
      <c r="L1298" s="84"/>
      <c r="M1298" s="84"/>
      <c r="N1298" s="84"/>
      <c r="O1298" s="84"/>
      <c r="P1298" s="84"/>
      <c r="Q1298" s="84"/>
      <c r="R1298" s="84"/>
      <c r="S1298" s="84"/>
      <c r="T1298" s="84"/>
    </row>
    <row r="1299" ht="15.75" customHeight="1">
      <c r="A1299" s="84" t="s">
        <v>37817</v>
      </c>
      <c r="B1299" s="84">
        <v>1.0</v>
      </c>
      <c r="C1299" s="186"/>
      <c r="D1299" s="187"/>
      <c r="E1299" s="188"/>
      <c r="F1299" s="189"/>
      <c r="G1299" s="190"/>
      <c r="H1299" s="190"/>
      <c r="I1299" s="84"/>
      <c r="J1299" s="84"/>
      <c r="K1299" s="84"/>
      <c r="L1299" s="84"/>
      <c r="M1299" s="84"/>
      <c r="N1299" s="84"/>
      <c r="O1299" s="84"/>
      <c r="P1299" s="84"/>
      <c r="Q1299" s="84"/>
      <c r="R1299" s="84"/>
      <c r="S1299" s="84"/>
      <c r="T1299" s="84"/>
    </row>
    <row r="1300" ht="15.75" customHeight="1">
      <c r="A1300" s="84" t="s">
        <v>37818</v>
      </c>
      <c r="B1300" s="84">
        <v>1.0</v>
      </c>
      <c r="C1300" s="186"/>
      <c r="D1300" s="187"/>
      <c r="E1300" s="188"/>
      <c r="F1300" s="189"/>
      <c r="G1300" s="190"/>
      <c r="H1300" s="190"/>
      <c r="I1300" s="84"/>
      <c r="J1300" s="84"/>
      <c r="K1300" s="84"/>
      <c r="L1300" s="84"/>
      <c r="M1300" s="84"/>
      <c r="N1300" s="84"/>
      <c r="O1300" s="84"/>
      <c r="P1300" s="84"/>
      <c r="Q1300" s="84"/>
      <c r="R1300" s="84"/>
      <c r="S1300" s="84"/>
      <c r="T1300" s="84"/>
    </row>
    <row r="1301" ht="15.75" customHeight="1">
      <c r="A1301" s="84" t="s">
        <v>37819</v>
      </c>
      <c r="B1301" s="84">
        <v>1.0</v>
      </c>
      <c r="C1301" s="186"/>
      <c r="D1301" s="187"/>
      <c r="E1301" s="188"/>
      <c r="F1301" s="189"/>
      <c r="G1301" s="190"/>
      <c r="H1301" s="190"/>
      <c r="I1301" s="84"/>
      <c r="J1301" s="84"/>
      <c r="K1301" s="84"/>
      <c r="L1301" s="84"/>
      <c r="M1301" s="84"/>
      <c r="N1301" s="84"/>
      <c r="O1301" s="84"/>
      <c r="P1301" s="84"/>
      <c r="Q1301" s="84"/>
      <c r="R1301" s="84"/>
      <c r="S1301" s="84"/>
      <c r="T1301" s="84"/>
    </row>
    <row r="1302" ht="15.75" customHeight="1">
      <c r="A1302" s="84" t="s">
        <v>37820</v>
      </c>
      <c r="B1302" s="84">
        <v>1.0</v>
      </c>
      <c r="C1302" s="186"/>
      <c r="D1302" s="187"/>
      <c r="E1302" s="188"/>
      <c r="F1302" s="189"/>
      <c r="G1302" s="190"/>
      <c r="H1302" s="190"/>
      <c r="I1302" s="84"/>
      <c r="J1302" s="84"/>
      <c r="K1302" s="84"/>
      <c r="L1302" s="84"/>
      <c r="M1302" s="84"/>
      <c r="N1302" s="84"/>
      <c r="O1302" s="84"/>
      <c r="P1302" s="84"/>
      <c r="Q1302" s="84"/>
      <c r="R1302" s="84"/>
      <c r="S1302" s="84"/>
      <c r="T1302" s="84"/>
    </row>
    <row r="1303" ht="15.75" customHeight="1">
      <c r="A1303" s="84" t="s">
        <v>37821</v>
      </c>
      <c r="B1303" s="84">
        <v>1.0</v>
      </c>
      <c r="C1303" s="186"/>
      <c r="D1303" s="187"/>
      <c r="E1303" s="188"/>
      <c r="F1303" s="189"/>
      <c r="G1303" s="190"/>
      <c r="H1303" s="190"/>
      <c r="I1303" s="84"/>
      <c r="J1303" s="84"/>
      <c r="K1303" s="84"/>
      <c r="L1303" s="84"/>
      <c r="M1303" s="84"/>
      <c r="N1303" s="84"/>
      <c r="O1303" s="84"/>
      <c r="P1303" s="84"/>
      <c r="Q1303" s="84"/>
      <c r="R1303" s="84"/>
      <c r="S1303" s="84"/>
      <c r="T1303" s="84"/>
    </row>
    <row r="1304" ht="15.75" customHeight="1">
      <c r="A1304" s="84" t="s">
        <v>37822</v>
      </c>
      <c r="B1304" s="84">
        <v>1.0</v>
      </c>
      <c r="C1304" s="186"/>
      <c r="D1304" s="187"/>
      <c r="E1304" s="188"/>
      <c r="F1304" s="189"/>
      <c r="G1304" s="190"/>
      <c r="H1304" s="190"/>
      <c r="I1304" s="84"/>
      <c r="J1304" s="84"/>
      <c r="K1304" s="84"/>
      <c r="L1304" s="84"/>
      <c r="M1304" s="84"/>
      <c r="N1304" s="84"/>
      <c r="O1304" s="84"/>
      <c r="P1304" s="84"/>
      <c r="Q1304" s="84"/>
      <c r="R1304" s="84"/>
      <c r="S1304" s="84"/>
      <c r="T1304" s="84"/>
    </row>
    <row r="1305" ht="15.75" customHeight="1">
      <c r="A1305" s="84" t="s">
        <v>37823</v>
      </c>
      <c r="B1305" s="84">
        <v>1.0</v>
      </c>
      <c r="C1305" s="186"/>
      <c r="D1305" s="187"/>
      <c r="E1305" s="188"/>
      <c r="F1305" s="189"/>
      <c r="G1305" s="190"/>
      <c r="H1305" s="190"/>
      <c r="I1305" s="84"/>
      <c r="J1305" s="84"/>
      <c r="K1305" s="84"/>
      <c r="L1305" s="84"/>
      <c r="M1305" s="84"/>
      <c r="N1305" s="84"/>
      <c r="O1305" s="84"/>
      <c r="P1305" s="84"/>
      <c r="Q1305" s="84"/>
      <c r="R1305" s="84"/>
      <c r="S1305" s="84"/>
      <c r="T1305" s="84"/>
    </row>
    <row r="1306" ht="15.75" customHeight="1">
      <c r="A1306" s="84" t="s">
        <v>37825</v>
      </c>
      <c r="B1306" s="84">
        <v>1.0</v>
      </c>
      <c r="C1306" s="186"/>
      <c r="D1306" s="187"/>
      <c r="E1306" s="188"/>
      <c r="F1306" s="189"/>
      <c r="G1306" s="190"/>
      <c r="H1306" s="190"/>
      <c r="I1306" s="84"/>
      <c r="J1306" s="84"/>
      <c r="K1306" s="84"/>
      <c r="L1306" s="84"/>
      <c r="M1306" s="84"/>
      <c r="N1306" s="84"/>
      <c r="O1306" s="84"/>
      <c r="P1306" s="84"/>
      <c r="Q1306" s="84"/>
      <c r="R1306" s="84"/>
      <c r="S1306" s="84"/>
      <c r="T1306" s="84"/>
    </row>
    <row r="1307" ht="15.75" customHeight="1">
      <c r="A1307" s="84" t="s">
        <v>37828</v>
      </c>
      <c r="B1307" s="84">
        <v>1.0</v>
      </c>
      <c r="C1307" s="186"/>
      <c r="D1307" s="187"/>
      <c r="E1307" s="188"/>
      <c r="F1307" s="189"/>
      <c r="G1307" s="190"/>
      <c r="H1307" s="190"/>
      <c r="I1307" s="84"/>
      <c r="J1307" s="84"/>
      <c r="K1307" s="84"/>
      <c r="L1307" s="84"/>
      <c r="M1307" s="84"/>
      <c r="N1307" s="84"/>
      <c r="O1307" s="84"/>
      <c r="P1307" s="84"/>
      <c r="Q1307" s="84"/>
      <c r="R1307" s="84"/>
      <c r="S1307" s="84"/>
      <c r="T1307" s="84"/>
    </row>
    <row r="1308" ht="15.75" customHeight="1">
      <c r="A1308" s="84" t="s">
        <v>37829</v>
      </c>
      <c r="B1308" s="84">
        <v>1.0</v>
      </c>
      <c r="C1308" s="186"/>
      <c r="D1308" s="187"/>
      <c r="E1308" s="188"/>
      <c r="F1308" s="189"/>
      <c r="G1308" s="190"/>
      <c r="H1308" s="190"/>
      <c r="I1308" s="84"/>
      <c r="J1308" s="84"/>
      <c r="K1308" s="84"/>
      <c r="L1308" s="84"/>
      <c r="M1308" s="84"/>
      <c r="N1308" s="84"/>
      <c r="O1308" s="84"/>
      <c r="P1308" s="84"/>
      <c r="Q1308" s="84"/>
      <c r="R1308" s="84"/>
      <c r="S1308" s="84"/>
      <c r="T1308" s="84"/>
    </row>
    <row r="1309" ht="15.75" customHeight="1">
      <c r="A1309" s="84" t="s">
        <v>37830</v>
      </c>
      <c r="B1309" s="84">
        <v>1.0</v>
      </c>
      <c r="C1309" s="186"/>
      <c r="D1309" s="187"/>
      <c r="E1309" s="188"/>
      <c r="F1309" s="189"/>
      <c r="G1309" s="190"/>
      <c r="H1309" s="190"/>
      <c r="I1309" s="84"/>
      <c r="J1309" s="84"/>
      <c r="K1309" s="84"/>
      <c r="L1309" s="84"/>
      <c r="M1309" s="84"/>
      <c r="N1309" s="84"/>
      <c r="O1309" s="84"/>
      <c r="P1309" s="84"/>
      <c r="Q1309" s="84"/>
      <c r="R1309" s="84"/>
      <c r="S1309" s="84"/>
      <c r="T1309" s="84"/>
    </row>
    <row r="1310" ht="15.75" customHeight="1">
      <c r="A1310" s="84" t="s">
        <v>37831</v>
      </c>
      <c r="B1310" s="84">
        <v>1.0</v>
      </c>
      <c r="C1310" s="186"/>
      <c r="D1310" s="187"/>
      <c r="E1310" s="188"/>
      <c r="F1310" s="189"/>
      <c r="G1310" s="190"/>
      <c r="H1310" s="190"/>
      <c r="I1310" s="84"/>
      <c r="J1310" s="84"/>
      <c r="K1310" s="84"/>
      <c r="L1310" s="84"/>
      <c r="M1310" s="84"/>
      <c r="N1310" s="84"/>
      <c r="O1310" s="84"/>
      <c r="P1310" s="84"/>
      <c r="Q1310" s="84"/>
      <c r="R1310" s="84"/>
      <c r="S1310" s="84"/>
      <c r="T1310" s="84"/>
    </row>
    <row r="1311" ht="15.75" customHeight="1">
      <c r="A1311" s="84" t="s">
        <v>37832</v>
      </c>
      <c r="B1311" s="84">
        <v>2.0</v>
      </c>
      <c r="C1311" s="186"/>
      <c r="D1311" s="187"/>
      <c r="E1311" s="188"/>
      <c r="F1311" s="189"/>
      <c r="G1311" s="190"/>
      <c r="H1311" s="190"/>
      <c r="I1311" s="84"/>
      <c r="J1311" s="84"/>
      <c r="K1311" s="84"/>
      <c r="L1311" s="84"/>
      <c r="M1311" s="84"/>
      <c r="N1311" s="84"/>
      <c r="O1311" s="84"/>
      <c r="P1311" s="84"/>
      <c r="Q1311" s="84"/>
      <c r="R1311" s="84"/>
      <c r="S1311" s="84"/>
      <c r="T1311" s="84"/>
    </row>
    <row r="1312" ht="15.75" customHeight="1">
      <c r="A1312" s="84" t="s">
        <v>37833</v>
      </c>
      <c r="B1312" s="84">
        <v>1.0</v>
      </c>
      <c r="C1312" s="186"/>
      <c r="D1312" s="187"/>
      <c r="E1312" s="188"/>
      <c r="F1312" s="189"/>
      <c r="G1312" s="190"/>
      <c r="H1312" s="190"/>
      <c r="I1312" s="84"/>
      <c r="J1312" s="84"/>
      <c r="K1312" s="84"/>
      <c r="L1312" s="84"/>
      <c r="M1312" s="84"/>
      <c r="N1312" s="84"/>
      <c r="O1312" s="84"/>
      <c r="P1312" s="84"/>
      <c r="Q1312" s="84"/>
      <c r="R1312" s="84"/>
      <c r="S1312" s="84"/>
      <c r="T1312" s="84"/>
    </row>
    <row r="1313" ht="15.75" customHeight="1">
      <c r="A1313" s="84" t="s">
        <v>37834</v>
      </c>
      <c r="B1313" s="84">
        <v>1.0</v>
      </c>
      <c r="C1313" s="186"/>
      <c r="D1313" s="187"/>
      <c r="E1313" s="188"/>
      <c r="F1313" s="189"/>
      <c r="G1313" s="190"/>
      <c r="H1313" s="190"/>
      <c r="I1313" s="84"/>
      <c r="J1313" s="84"/>
      <c r="K1313" s="84"/>
      <c r="L1313" s="84"/>
      <c r="M1313" s="84"/>
      <c r="N1313" s="84"/>
      <c r="O1313" s="84"/>
      <c r="P1313" s="84"/>
      <c r="Q1313" s="84"/>
      <c r="R1313" s="84"/>
      <c r="S1313" s="84"/>
      <c r="T1313" s="84"/>
    </row>
    <row r="1314" ht="15.75" customHeight="1">
      <c r="A1314" s="84" t="s">
        <v>37835</v>
      </c>
      <c r="B1314" s="84">
        <v>1.0</v>
      </c>
      <c r="C1314" s="186"/>
      <c r="D1314" s="187"/>
      <c r="E1314" s="188"/>
      <c r="F1314" s="189"/>
      <c r="G1314" s="190"/>
      <c r="H1314" s="190"/>
      <c r="I1314" s="84"/>
      <c r="J1314" s="84"/>
      <c r="K1314" s="84"/>
      <c r="L1314" s="84"/>
      <c r="M1314" s="84"/>
      <c r="N1314" s="84"/>
      <c r="O1314" s="84"/>
      <c r="P1314" s="84"/>
      <c r="Q1314" s="84"/>
      <c r="R1314" s="84"/>
      <c r="S1314" s="84"/>
      <c r="T1314" s="84"/>
    </row>
    <row r="1315" ht="15.75" customHeight="1">
      <c r="A1315" s="84" t="s">
        <v>37836</v>
      </c>
      <c r="B1315" s="84">
        <v>1.0</v>
      </c>
      <c r="C1315" s="186"/>
      <c r="D1315" s="187"/>
      <c r="E1315" s="188"/>
      <c r="F1315" s="189"/>
      <c r="G1315" s="190"/>
      <c r="H1315" s="190"/>
      <c r="I1315" s="84"/>
      <c r="J1315" s="84"/>
      <c r="K1315" s="84"/>
      <c r="L1315" s="84"/>
      <c r="M1315" s="84"/>
      <c r="N1315" s="84"/>
      <c r="O1315" s="84"/>
      <c r="P1315" s="84"/>
      <c r="Q1315" s="84"/>
      <c r="R1315" s="84"/>
      <c r="S1315" s="84"/>
      <c r="T1315" s="84"/>
    </row>
    <row r="1316" ht="15.75" customHeight="1">
      <c r="A1316" s="84" t="s">
        <v>37837</v>
      </c>
      <c r="B1316" s="84">
        <v>1.0</v>
      </c>
      <c r="C1316" s="186"/>
      <c r="D1316" s="187"/>
      <c r="E1316" s="188"/>
      <c r="F1316" s="189"/>
      <c r="G1316" s="190"/>
      <c r="H1316" s="190"/>
      <c r="I1316" s="84"/>
      <c r="J1316" s="84"/>
      <c r="K1316" s="84"/>
      <c r="L1316" s="84"/>
      <c r="M1316" s="84"/>
      <c r="N1316" s="84"/>
      <c r="O1316" s="84"/>
      <c r="P1316" s="84"/>
      <c r="Q1316" s="84"/>
      <c r="R1316" s="84"/>
      <c r="S1316" s="84"/>
      <c r="T1316" s="84"/>
    </row>
    <row r="1317" ht="15.75" customHeight="1">
      <c r="A1317" s="84" t="s">
        <v>37840</v>
      </c>
      <c r="B1317" s="84">
        <v>2.0</v>
      </c>
      <c r="C1317" s="186"/>
      <c r="D1317" s="187" t="s">
        <v>37841</v>
      </c>
      <c r="E1317" s="188"/>
      <c r="F1317" s="189"/>
      <c r="G1317" s="190"/>
      <c r="H1317" s="190"/>
      <c r="I1317" s="84"/>
      <c r="J1317" s="84"/>
      <c r="K1317" s="84"/>
      <c r="L1317" s="84"/>
      <c r="M1317" s="84"/>
      <c r="N1317" s="84"/>
      <c r="O1317" s="84"/>
      <c r="P1317" s="84"/>
      <c r="Q1317" s="84"/>
      <c r="R1317" s="84"/>
      <c r="S1317" s="84"/>
      <c r="T1317" s="84"/>
    </row>
    <row r="1318" ht="15.75" customHeight="1">
      <c r="A1318" s="84" t="s">
        <v>37841</v>
      </c>
      <c r="B1318" s="84">
        <v>2.0</v>
      </c>
      <c r="C1318" s="186"/>
      <c r="D1318" s="187"/>
      <c r="E1318" s="188"/>
      <c r="F1318" s="189"/>
      <c r="G1318" s="190"/>
      <c r="H1318" s="190"/>
      <c r="I1318" s="84"/>
      <c r="J1318" s="84"/>
      <c r="K1318" s="84"/>
      <c r="L1318" s="84"/>
      <c r="M1318" s="84"/>
      <c r="N1318" s="84"/>
      <c r="O1318" s="84"/>
      <c r="P1318" s="84"/>
      <c r="Q1318" s="84"/>
      <c r="R1318" s="84"/>
      <c r="S1318" s="84"/>
      <c r="T1318" s="84"/>
    </row>
    <row r="1319" ht="15.75" customHeight="1">
      <c r="A1319" s="84" t="s">
        <v>37842</v>
      </c>
      <c r="B1319" s="84">
        <v>1.0</v>
      </c>
      <c r="C1319" s="186"/>
      <c r="D1319" s="187" t="s">
        <v>37841</v>
      </c>
      <c r="E1319" s="188"/>
      <c r="F1319" s="189"/>
      <c r="G1319" s="190"/>
      <c r="H1319" s="190"/>
      <c r="I1319" s="84"/>
      <c r="J1319" s="84"/>
      <c r="K1319" s="84"/>
      <c r="L1319" s="84"/>
      <c r="M1319" s="84"/>
      <c r="N1319" s="84"/>
      <c r="O1319" s="84"/>
      <c r="P1319" s="84"/>
      <c r="Q1319" s="84"/>
      <c r="R1319" s="84"/>
      <c r="S1319" s="84"/>
      <c r="T1319" s="84"/>
    </row>
    <row r="1320" ht="15.75" customHeight="1">
      <c r="A1320" s="84" t="s">
        <v>37843</v>
      </c>
      <c r="B1320" s="84">
        <v>1.0</v>
      </c>
      <c r="C1320" s="186"/>
      <c r="D1320" s="187"/>
      <c r="E1320" s="188"/>
      <c r="F1320" s="189"/>
      <c r="G1320" s="190"/>
      <c r="H1320" s="190"/>
      <c r="I1320" s="84"/>
      <c r="J1320" s="84"/>
      <c r="K1320" s="84"/>
      <c r="L1320" s="84"/>
      <c r="M1320" s="84"/>
      <c r="N1320" s="84"/>
      <c r="O1320" s="84"/>
      <c r="P1320" s="84"/>
      <c r="Q1320" s="84"/>
      <c r="R1320" s="84"/>
      <c r="S1320" s="84"/>
      <c r="T1320" s="84"/>
    </row>
    <row r="1321" ht="15.75" customHeight="1">
      <c r="A1321" s="84" t="s">
        <v>37846</v>
      </c>
      <c r="B1321" s="84">
        <v>1.0</v>
      </c>
      <c r="C1321" s="186"/>
      <c r="D1321" s="187"/>
      <c r="E1321" s="188"/>
      <c r="F1321" s="189"/>
      <c r="G1321" s="190"/>
      <c r="H1321" s="190"/>
      <c r="I1321" s="84"/>
      <c r="J1321" s="84"/>
      <c r="K1321" s="84"/>
      <c r="L1321" s="84"/>
      <c r="M1321" s="84"/>
      <c r="N1321" s="84"/>
      <c r="O1321" s="84"/>
      <c r="P1321" s="84"/>
      <c r="Q1321" s="84"/>
      <c r="R1321" s="84"/>
      <c r="S1321" s="84"/>
      <c r="T1321" s="84"/>
    </row>
    <row r="1322" ht="15.75" customHeight="1">
      <c r="A1322" s="84" t="s">
        <v>37848</v>
      </c>
      <c r="B1322" s="84">
        <v>2.0</v>
      </c>
      <c r="C1322" s="186"/>
      <c r="D1322" s="187"/>
      <c r="E1322" s="188"/>
      <c r="F1322" s="189"/>
      <c r="G1322" s="190"/>
      <c r="H1322" s="190"/>
      <c r="I1322" s="84"/>
      <c r="J1322" s="84"/>
      <c r="K1322" s="84"/>
      <c r="L1322" s="84"/>
      <c r="M1322" s="84"/>
      <c r="N1322" s="84"/>
      <c r="O1322" s="84"/>
      <c r="P1322" s="84"/>
      <c r="Q1322" s="84"/>
      <c r="R1322" s="84"/>
      <c r="S1322" s="84"/>
      <c r="T1322" s="84"/>
    </row>
    <row r="1323" ht="15.75" customHeight="1">
      <c r="A1323" s="84" t="s">
        <v>37849</v>
      </c>
      <c r="B1323" s="84">
        <v>1.0</v>
      </c>
      <c r="C1323" s="186"/>
      <c r="D1323" s="187"/>
      <c r="E1323" s="188"/>
      <c r="F1323" s="189"/>
      <c r="G1323" s="190"/>
      <c r="H1323" s="190"/>
      <c r="I1323" s="84"/>
      <c r="J1323" s="84"/>
      <c r="K1323" s="84"/>
      <c r="L1323" s="84"/>
      <c r="M1323" s="84"/>
      <c r="N1323" s="84"/>
      <c r="O1323" s="84"/>
      <c r="P1323" s="84"/>
      <c r="Q1323" s="84"/>
      <c r="R1323" s="84"/>
      <c r="S1323" s="84"/>
      <c r="T1323" s="84"/>
    </row>
    <row r="1324" ht="15.75" customHeight="1">
      <c r="A1324" s="84" t="s">
        <v>37850</v>
      </c>
      <c r="B1324" s="84">
        <v>1.0</v>
      </c>
      <c r="C1324" s="186"/>
      <c r="D1324" s="187" t="s">
        <v>37851</v>
      </c>
      <c r="E1324" s="188"/>
      <c r="F1324" s="189"/>
      <c r="G1324" s="190"/>
      <c r="H1324" s="190"/>
      <c r="I1324" s="84"/>
      <c r="J1324" s="84"/>
      <c r="K1324" s="84"/>
      <c r="L1324" s="84"/>
      <c r="M1324" s="84"/>
      <c r="N1324" s="84"/>
      <c r="O1324" s="84"/>
      <c r="P1324" s="84"/>
      <c r="Q1324" s="84"/>
      <c r="R1324" s="84"/>
      <c r="S1324" s="84"/>
      <c r="T1324" s="84"/>
    </row>
    <row r="1325" ht="15.75" customHeight="1">
      <c r="A1325" s="84" t="s">
        <v>37851</v>
      </c>
      <c r="B1325" s="84">
        <v>1.0</v>
      </c>
      <c r="C1325" s="186"/>
      <c r="D1325" s="187"/>
      <c r="E1325" s="188"/>
      <c r="F1325" s="189"/>
      <c r="G1325" s="190"/>
      <c r="H1325" s="190"/>
      <c r="I1325" s="84"/>
      <c r="J1325" s="84"/>
      <c r="K1325" s="84"/>
      <c r="L1325" s="84"/>
      <c r="M1325" s="84"/>
      <c r="N1325" s="84"/>
      <c r="O1325" s="84"/>
      <c r="P1325" s="84"/>
      <c r="Q1325" s="84"/>
      <c r="R1325" s="84"/>
      <c r="S1325" s="84"/>
      <c r="T1325" s="84"/>
    </row>
    <row r="1326" ht="15.75" customHeight="1">
      <c r="A1326" s="84" t="s">
        <v>37855</v>
      </c>
      <c r="B1326" s="84">
        <v>1.0</v>
      </c>
      <c r="C1326" s="186"/>
      <c r="D1326" s="187"/>
      <c r="E1326" s="188"/>
      <c r="F1326" s="189"/>
      <c r="G1326" s="190"/>
      <c r="H1326" s="190"/>
      <c r="I1326" s="84"/>
      <c r="J1326" s="84"/>
      <c r="K1326" s="84"/>
      <c r="L1326" s="84"/>
      <c r="M1326" s="84"/>
      <c r="N1326" s="84"/>
      <c r="O1326" s="84"/>
      <c r="P1326" s="84"/>
      <c r="Q1326" s="84"/>
      <c r="R1326" s="84"/>
      <c r="S1326" s="84"/>
      <c r="T1326" s="84"/>
    </row>
    <row r="1327" ht="15.75" customHeight="1">
      <c r="A1327" s="84" t="s">
        <v>37856</v>
      </c>
      <c r="B1327" s="84">
        <v>1.0</v>
      </c>
      <c r="C1327" s="186"/>
      <c r="D1327" s="187"/>
      <c r="E1327" s="188"/>
      <c r="F1327" s="189"/>
      <c r="G1327" s="190"/>
      <c r="H1327" s="190"/>
      <c r="I1327" s="84"/>
      <c r="J1327" s="84"/>
      <c r="K1327" s="84"/>
      <c r="L1327" s="84"/>
      <c r="M1327" s="84"/>
      <c r="N1327" s="84"/>
      <c r="O1327" s="84"/>
      <c r="P1327" s="84"/>
      <c r="Q1327" s="84"/>
      <c r="R1327" s="84"/>
      <c r="S1327" s="84"/>
      <c r="T1327" s="84"/>
    </row>
    <row r="1328" ht="15.75" customHeight="1">
      <c r="A1328" s="84" t="s">
        <v>37858</v>
      </c>
      <c r="B1328" s="84">
        <v>3.0</v>
      </c>
      <c r="C1328" s="186"/>
      <c r="D1328" s="187"/>
      <c r="E1328" s="188"/>
      <c r="F1328" s="189"/>
      <c r="G1328" s="190"/>
      <c r="H1328" s="190"/>
      <c r="I1328" s="84"/>
      <c r="J1328" s="84"/>
      <c r="K1328" s="84"/>
      <c r="L1328" s="84"/>
      <c r="M1328" s="84"/>
      <c r="N1328" s="84"/>
      <c r="O1328" s="84"/>
      <c r="P1328" s="84"/>
      <c r="Q1328" s="84"/>
      <c r="R1328" s="84"/>
      <c r="S1328" s="84"/>
      <c r="T1328" s="84"/>
    </row>
    <row r="1329" ht="15.75" customHeight="1">
      <c r="A1329" s="84" t="s">
        <v>37861</v>
      </c>
      <c r="B1329" s="84">
        <v>1.0</v>
      </c>
      <c r="C1329" s="186"/>
      <c r="D1329" s="187"/>
      <c r="E1329" s="188"/>
      <c r="F1329" s="189"/>
      <c r="G1329" s="190"/>
      <c r="H1329" s="190"/>
      <c r="I1329" s="84"/>
      <c r="J1329" s="84"/>
      <c r="K1329" s="84"/>
      <c r="L1329" s="84"/>
      <c r="M1329" s="84"/>
      <c r="N1329" s="84"/>
      <c r="O1329" s="84"/>
      <c r="P1329" s="84"/>
      <c r="Q1329" s="84"/>
      <c r="R1329" s="84"/>
      <c r="S1329" s="84"/>
      <c r="T1329" s="84"/>
    </row>
    <row r="1330" ht="15.75" customHeight="1">
      <c r="A1330" s="84" t="s">
        <v>37862</v>
      </c>
      <c r="B1330" s="84">
        <v>1.0</v>
      </c>
      <c r="C1330" s="186"/>
      <c r="D1330" s="187"/>
      <c r="E1330" s="188"/>
      <c r="F1330" s="189"/>
      <c r="G1330" s="190"/>
      <c r="H1330" s="190"/>
      <c r="I1330" s="84"/>
      <c r="J1330" s="84"/>
      <c r="K1330" s="84"/>
      <c r="L1330" s="84"/>
      <c r="M1330" s="84"/>
      <c r="N1330" s="84"/>
      <c r="O1330" s="84"/>
      <c r="P1330" s="84"/>
      <c r="Q1330" s="84"/>
      <c r="R1330" s="84"/>
      <c r="S1330" s="84"/>
      <c r="T1330" s="84"/>
    </row>
    <row r="1331" ht="15.75" customHeight="1">
      <c r="A1331" s="84" t="s">
        <v>37867</v>
      </c>
      <c r="B1331" s="84">
        <v>1.0</v>
      </c>
      <c r="C1331" s="186"/>
      <c r="D1331" s="187"/>
      <c r="E1331" s="188"/>
      <c r="F1331" s="189"/>
      <c r="G1331" s="190"/>
      <c r="H1331" s="190"/>
      <c r="I1331" s="84"/>
      <c r="J1331" s="84"/>
      <c r="K1331" s="84"/>
      <c r="L1331" s="84"/>
      <c r="M1331" s="84"/>
      <c r="N1331" s="84"/>
      <c r="O1331" s="84"/>
      <c r="P1331" s="84"/>
      <c r="Q1331" s="84"/>
      <c r="R1331" s="84"/>
      <c r="S1331" s="84"/>
      <c r="T1331" s="84"/>
    </row>
    <row r="1332" ht="15.75" customHeight="1">
      <c r="A1332" s="84" t="s">
        <v>37868</v>
      </c>
      <c r="B1332" s="84">
        <v>1.0</v>
      </c>
      <c r="C1332" s="186"/>
      <c r="D1332" s="187"/>
      <c r="E1332" s="188"/>
      <c r="F1332" s="189"/>
      <c r="G1332" s="190"/>
      <c r="H1332" s="190"/>
      <c r="I1332" s="84"/>
      <c r="J1332" s="84"/>
      <c r="K1332" s="84"/>
      <c r="L1332" s="84"/>
      <c r="M1332" s="84"/>
      <c r="N1332" s="84"/>
      <c r="O1332" s="84"/>
      <c r="P1332" s="84"/>
      <c r="Q1332" s="84"/>
      <c r="R1332" s="84"/>
      <c r="S1332" s="84"/>
      <c r="T1332" s="84"/>
    </row>
    <row r="1333" ht="15.75" customHeight="1">
      <c r="A1333" s="84" t="s">
        <v>37869</v>
      </c>
      <c r="B1333" s="84">
        <v>1.0</v>
      </c>
      <c r="C1333" s="186"/>
      <c r="D1333" s="187"/>
      <c r="E1333" s="188"/>
      <c r="F1333" s="189"/>
      <c r="G1333" s="190"/>
      <c r="H1333" s="190"/>
      <c r="I1333" s="84"/>
      <c r="J1333" s="84"/>
      <c r="K1333" s="84"/>
      <c r="L1333" s="84"/>
      <c r="M1333" s="84"/>
      <c r="N1333" s="84"/>
      <c r="O1333" s="84"/>
      <c r="P1333" s="84"/>
      <c r="Q1333" s="84"/>
      <c r="R1333" s="84"/>
      <c r="S1333" s="84"/>
      <c r="T1333" s="84"/>
    </row>
    <row r="1334" ht="15.75" customHeight="1">
      <c r="A1334" s="84" t="s">
        <v>37870</v>
      </c>
      <c r="B1334" s="84">
        <v>1.0</v>
      </c>
      <c r="C1334" s="186"/>
      <c r="D1334" s="187"/>
      <c r="E1334" s="188"/>
      <c r="F1334" s="189"/>
      <c r="G1334" s="190"/>
      <c r="H1334" s="190"/>
      <c r="I1334" s="84"/>
      <c r="J1334" s="84"/>
      <c r="K1334" s="84"/>
      <c r="L1334" s="84"/>
      <c r="M1334" s="84"/>
      <c r="N1334" s="84"/>
      <c r="O1334" s="84"/>
      <c r="P1334" s="84"/>
      <c r="Q1334" s="84"/>
      <c r="R1334" s="84"/>
      <c r="S1334" s="84"/>
      <c r="T1334" s="84"/>
    </row>
    <row r="1335" ht="15.75" customHeight="1">
      <c r="A1335" s="84" t="s">
        <v>37871</v>
      </c>
      <c r="B1335" s="84">
        <v>1.0</v>
      </c>
      <c r="C1335" s="186"/>
      <c r="D1335" s="187"/>
      <c r="E1335" s="188"/>
      <c r="F1335" s="189"/>
      <c r="G1335" s="190"/>
      <c r="H1335" s="190"/>
      <c r="I1335" s="84"/>
      <c r="J1335" s="84"/>
      <c r="K1335" s="84"/>
      <c r="L1335" s="84"/>
      <c r="M1335" s="84"/>
      <c r="N1335" s="84"/>
      <c r="O1335" s="84"/>
      <c r="P1335" s="84"/>
      <c r="Q1335" s="84"/>
      <c r="R1335" s="84"/>
      <c r="S1335" s="84"/>
      <c r="T1335" s="84"/>
    </row>
    <row r="1336" ht="15.75" customHeight="1">
      <c r="A1336" s="84" t="s">
        <v>37873</v>
      </c>
      <c r="B1336" s="84">
        <v>1.0</v>
      </c>
      <c r="C1336" s="186"/>
      <c r="D1336" s="187"/>
      <c r="E1336" s="188"/>
      <c r="F1336" s="189"/>
      <c r="G1336" s="190"/>
      <c r="H1336" s="190"/>
      <c r="I1336" s="84"/>
      <c r="J1336" s="84"/>
      <c r="K1336" s="84"/>
      <c r="L1336" s="84"/>
      <c r="M1336" s="84"/>
      <c r="N1336" s="84"/>
      <c r="O1336" s="84"/>
      <c r="P1336" s="84"/>
      <c r="Q1336" s="84"/>
      <c r="R1336" s="84"/>
      <c r="S1336" s="84"/>
      <c r="T1336" s="84"/>
    </row>
    <row r="1337" ht="15.75" customHeight="1">
      <c r="A1337" s="84" t="s">
        <v>37874</v>
      </c>
      <c r="B1337" s="84">
        <v>1.0</v>
      </c>
      <c r="C1337" s="186"/>
      <c r="D1337" s="187"/>
      <c r="E1337" s="188"/>
      <c r="F1337" s="189"/>
      <c r="G1337" s="190"/>
      <c r="H1337" s="190"/>
      <c r="I1337" s="84"/>
      <c r="J1337" s="84"/>
      <c r="K1337" s="84"/>
      <c r="L1337" s="84"/>
      <c r="M1337" s="84"/>
      <c r="N1337" s="84"/>
      <c r="O1337" s="84"/>
      <c r="P1337" s="84"/>
      <c r="Q1337" s="84"/>
      <c r="R1337" s="84"/>
      <c r="S1337" s="84"/>
      <c r="T1337" s="84"/>
    </row>
    <row r="1338" ht="15.75" customHeight="1">
      <c r="A1338" s="84" t="s">
        <v>37875</v>
      </c>
      <c r="B1338" s="84">
        <v>1.0</v>
      </c>
      <c r="C1338" s="186"/>
      <c r="D1338" s="187"/>
      <c r="E1338" s="188"/>
      <c r="F1338" s="189"/>
      <c r="G1338" s="190"/>
      <c r="H1338" s="190"/>
      <c r="I1338" s="84"/>
      <c r="J1338" s="84"/>
      <c r="K1338" s="84"/>
      <c r="L1338" s="84"/>
      <c r="M1338" s="84"/>
      <c r="N1338" s="84"/>
      <c r="O1338" s="84"/>
      <c r="P1338" s="84"/>
      <c r="Q1338" s="84"/>
      <c r="R1338" s="84"/>
      <c r="S1338" s="84"/>
      <c r="T1338" s="84"/>
    </row>
    <row r="1339" ht="15.75" customHeight="1">
      <c r="A1339" s="84" t="s">
        <v>37877</v>
      </c>
      <c r="B1339" s="84">
        <v>1.0</v>
      </c>
      <c r="C1339" s="186"/>
      <c r="D1339" s="187"/>
      <c r="E1339" s="188"/>
      <c r="F1339" s="189"/>
      <c r="G1339" s="190"/>
      <c r="H1339" s="190"/>
      <c r="I1339" s="84"/>
      <c r="J1339" s="84"/>
      <c r="K1339" s="84"/>
      <c r="L1339" s="84"/>
      <c r="M1339" s="84"/>
      <c r="N1339" s="84"/>
      <c r="O1339" s="84"/>
      <c r="P1339" s="84"/>
      <c r="Q1339" s="84"/>
      <c r="R1339" s="84"/>
      <c r="S1339" s="84"/>
      <c r="T1339" s="84"/>
    </row>
    <row r="1340" ht="15.75" customHeight="1">
      <c r="A1340" s="84" t="s">
        <v>37878</v>
      </c>
      <c r="B1340" s="84">
        <v>1.0</v>
      </c>
      <c r="C1340" s="186"/>
      <c r="D1340" s="187"/>
      <c r="E1340" s="188"/>
      <c r="F1340" s="189"/>
      <c r="G1340" s="190"/>
      <c r="H1340" s="190"/>
      <c r="I1340" s="84"/>
      <c r="J1340" s="84"/>
      <c r="K1340" s="84"/>
      <c r="L1340" s="84"/>
      <c r="M1340" s="84"/>
      <c r="N1340" s="84"/>
      <c r="O1340" s="84"/>
      <c r="P1340" s="84"/>
      <c r="Q1340" s="84"/>
      <c r="R1340" s="84"/>
      <c r="S1340" s="84"/>
      <c r="T1340" s="84"/>
    </row>
    <row r="1341" ht="15.75" customHeight="1">
      <c r="A1341" s="84" t="s">
        <v>37879</v>
      </c>
      <c r="B1341" s="84">
        <v>1.0</v>
      </c>
      <c r="C1341" s="186"/>
      <c r="D1341" s="187"/>
      <c r="E1341" s="188"/>
      <c r="F1341" s="189"/>
      <c r="G1341" s="190"/>
      <c r="H1341" s="190"/>
      <c r="I1341" s="84"/>
      <c r="J1341" s="84"/>
      <c r="K1341" s="84"/>
      <c r="L1341" s="84"/>
      <c r="M1341" s="84"/>
      <c r="N1341" s="84"/>
      <c r="O1341" s="84"/>
      <c r="P1341" s="84"/>
      <c r="Q1341" s="84"/>
      <c r="R1341" s="84"/>
      <c r="S1341" s="84"/>
      <c r="T1341" s="84"/>
    </row>
    <row r="1342" ht="15.75" customHeight="1">
      <c r="A1342" s="84" t="s">
        <v>37881</v>
      </c>
      <c r="B1342" s="84">
        <v>3.0</v>
      </c>
      <c r="C1342" s="186"/>
      <c r="D1342" s="187"/>
      <c r="E1342" s="188"/>
      <c r="F1342" s="189"/>
      <c r="G1342" s="190"/>
      <c r="H1342" s="190"/>
      <c r="I1342" s="84"/>
      <c r="J1342" s="84"/>
      <c r="K1342" s="84"/>
      <c r="L1342" s="84"/>
      <c r="M1342" s="84"/>
      <c r="N1342" s="84"/>
      <c r="O1342" s="84"/>
      <c r="P1342" s="84"/>
      <c r="Q1342" s="84"/>
      <c r="R1342" s="84"/>
      <c r="S1342" s="84"/>
      <c r="T1342" s="84"/>
    </row>
    <row r="1343" ht="15.75" customHeight="1">
      <c r="A1343" s="84" t="s">
        <v>37882</v>
      </c>
      <c r="B1343" s="84">
        <v>1.0</v>
      </c>
      <c r="C1343" s="186"/>
      <c r="D1343" s="187"/>
      <c r="E1343" s="188"/>
      <c r="F1343" s="189"/>
      <c r="G1343" s="190"/>
      <c r="H1343" s="190"/>
      <c r="I1343" s="84"/>
      <c r="J1343" s="84"/>
      <c r="K1343" s="84"/>
      <c r="L1343" s="84"/>
      <c r="M1343" s="84"/>
      <c r="N1343" s="84"/>
      <c r="O1343" s="84"/>
      <c r="P1343" s="84"/>
      <c r="Q1343" s="84"/>
      <c r="R1343" s="84"/>
      <c r="S1343" s="84"/>
      <c r="T1343" s="84"/>
    </row>
    <row r="1344" ht="15.75" customHeight="1">
      <c r="A1344" s="84" t="s">
        <v>37883</v>
      </c>
      <c r="B1344" s="84">
        <v>2.0</v>
      </c>
      <c r="C1344" s="186"/>
      <c r="D1344" s="187"/>
      <c r="E1344" s="188"/>
      <c r="F1344" s="189"/>
      <c r="G1344" s="190"/>
      <c r="H1344" s="190"/>
      <c r="I1344" s="84"/>
      <c r="J1344" s="84"/>
      <c r="K1344" s="84"/>
      <c r="L1344" s="84"/>
      <c r="M1344" s="84"/>
      <c r="N1344" s="84"/>
      <c r="O1344" s="84"/>
      <c r="P1344" s="84"/>
      <c r="Q1344" s="84"/>
      <c r="R1344" s="84"/>
      <c r="S1344" s="84"/>
      <c r="T1344" s="84"/>
    </row>
    <row r="1345" ht="15.75" customHeight="1">
      <c r="A1345" s="84" t="s">
        <v>37884</v>
      </c>
      <c r="B1345" s="84">
        <v>1.0</v>
      </c>
      <c r="C1345" s="186"/>
      <c r="D1345" s="187"/>
      <c r="E1345" s="188"/>
      <c r="F1345" s="189"/>
      <c r="G1345" s="190"/>
      <c r="H1345" s="190"/>
      <c r="I1345" s="84"/>
      <c r="J1345" s="84"/>
      <c r="K1345" s="84"/>
      <c r="L1345" s="84"/>
      <c r="M1345" s="84"/>
      <c r="N1345" s="84"/>
      <c r="O1345" s="84"/>
      <c r="P1345" s="84"/>
      <c r="Q1345" s="84"/>
      <c r="R1345" s="84"/>
      <c r="S1345" s="84"/>
      <c r="T1345" s="84"/>
    </row>
    <row r="1346" ht="15.75" customHeight="1">
      <c r="A1346" s="84" t="s">
        <v>37885</v>
      </c>
      <c r="B1346" s="84">
        <v>6.0</v>
      </c>
      <c r="C1346" s="186"/>
      <c r="D1346" s="187"/>
      <c r="E1346" s="188"/>
      <c r="F1346" s="189"/>
      <c r="G1346" s="190"/>
      <c r="H1346" s="190"/>
      <c r="I1346" s="84"/>
      <c r="J1346" s="84"/>
      <c r="K1346" s="84"/>
      <c r="L1346" s="84"/>
      <c r="M1346" s="84"/>
      <c r="N1346" s="84"/>
      <c r="O1346" s="84"/>
      <c r="P1346" s="84"/>
      <c r="Q1346" s="84"/>
      <c r="R1346" s="84"/>
      <c r="S1346" s="84"/>
      <c r="T1346" s="84"/>
    </row>
    <row r="1347" ht="15.75" customHeight="1">
      <c r="A1347" s="84" t="s">
        <v>37886</v>
      </c>
      <c r="B1347" s="84">
        <v>1.0</v>
      </c>
      <c r="C1347" s="186"/>
      <c r="D1347" s="187"/>
      <c r="E1347" s="188"/>
      <c r="F1347" s="189"/>
      <c r="G1347" s="190"/>
      <c r="H1347" s="190"/>
      <c r="I1347" s="84"/>
      <c r="J1347" s="84"/>
      <c r="K1347" s="84"/>
      <c r="L1347" s="84"/>
      <c r="M1347" s="84"/>
      <c r="N1347" s="84"/>
      <c r="O1347" s="84"/>
      <c r="P1347" s="84"/>
      <c r="Q1347" s="84"/>
      <c r="R1347" s="84"/>
      <c r="S1347" s="84"/>
      <c r="T1347" s="84"/>
    </row>
    <row r="1348" ht="15.75" customHeight="1">
      <c r="A1348" s="84" t="s">
        <v>37887</v>
      </c>
      <c r="B1348" s="84">
        <v>1.0</v>
      </c>
      <c r="C1348" s="186"/>
      <c r="D1348" s="187"/>
      <c r="E1348" s="188"/>
      <c r="F1348" s="189"/>
      <c r="G1348" s="190"/>
      <c r="H1348" s="190"/>
      <c r="I1348" s="84"/>
      <c r="J1348" s="84"/>
      <c r="K1348" s="84"/>
      <c r="L1348" s="84"/>
      <c r="M1348" s="84"/>
      <c r="N1348" s="84"/>
      <c r="O1348" s="84"/>
      <c r="P1348" s="84"/>
      <c r="Q1348" s="84"/>
      <c r="R1348" s="84"/>
      <c r="S1348" s="84"/>
      <c r="T1348" s="84"/>
    </row>
    <row r="1349" ht="15.75" customHeight="1">
      <c r="A1349" s="84" t="s">
        <v>37888</v>
      </c>
      <c r="B1349" s="84">
        <v>1.0</v>
      </c>
      <c r="C1349" s="186"/>
      <c r="D1349" s="187"/>
      <c r="E1349" s="188"/>
      <c r="F1349" s="189"/>
      <c r="G1349" s="190"/>
      <c r="H1349" s="190"/>
      <c r="I1349" s="84"/>
      <c r="J1349" s="84"/>
      <c r="K1349" s="84"/>
      <c r="L1349" s="84"/>
      <c r="M1349" s="84"/>
      <c r="N1349" s="84"/>
      <c r="O1349" s="84"/>
      <c r="P1349" s="84"/>
      <c r="Q1349" s="84"/>
      <c r="R1349" s="84"/>
      <c r="S1349" s="84"/>
      <c r="T1349" s="84"/>
    </row>
    <row r="1350" ht="15.75" customHeight="1">
      <c r="A1350" s="84" t="s">
        <v>37889</v>
      </c>
      <c r="B1350" s="84">
        <v>1.0</v>
      </c>
      <c r="C1350" s="186"/>
      <c r="D1350" s="187"/>
      <c r="E1350" s="188"/>
      <c r="F1350" s="189"/>
      <c r="G1350" s="190"/>
      <c r="H1350" s="190"/>
      <c r="I1350" s="84"/>
      <c r="J1350" s="84"/>
      <c r="K1350" s="84"/>
      <c r="L1350" s="84"/>
      <c r="M1350" s="84"/>
      <c r="N1350" s="84"/>
      <c r="O1350" s="84"/>
      <c r="P1350" s="84"/>
      <c r="Q1350" s="84"/>
      <c r="R1350" s="84"/>
      <c r="S1350" s="84"/>
      <c r="T1350" s="84"/>
    </row>
    <row r="1351" ht="15.75" customHeight="1">
      <c r="A1351" s="84" t="s">
        <v>37890</v>
      </c>
      <c r="B1351" s="84">
        <v>1.0</v>
      </c>
      <c r="C1351" s="186"/>
      <c r="D1351" s="187"/>
      <c r="E1351" s="188"/>
      <c r="F1351" s="189"/>
      <c r="G1351" s="190"/>
      <c r="H1351" s="190"/>
      <c r="I1351" s="84"/>
      <c r="J1351" s="84"/>
      <c r="K1351" s="84"/>
      <c r="L1351" s="84"/>
      <c r="M1351" s="84"/>
      <c r="N1351" s="84"/>
      <c r="O1351" s="84"/>
      <c r="P1351" s="84"/>
      <c r="Q1351" s="84"/>
      <c r="R1351" s="84"/>
      <c r="S1351" s="84"/>
      <c r="T1351" s="84"/>
    </row>
    <row r="1352" ht="15.75" customHeight="1">
      <c r="A1352" s="84" t="s">
        <v>37892</v>
      </c>
      <c r="B1352" s="84">
        <v>2.0</v>
      </c>
      <c r="C1352" s="186"/>
      <c r="D1352" s="187"/>
      <c r="E1352" s="188"/>
      <c r="F1352" s="189"/>
      <c r="G1352" s="190"/>
      <c r="H1352" s="190"/>
      <c r="I1352" s="84"/>
      <c r="J1352" s="84"/>
      <c r="K1352" s="84"/>
      <c r="L1352" s="84"/>
      <c r="M1352" s="84"/>
      <c r="N1352" s="84"/>
      <c r="O1352" s="84"/>
      <c r="P1352" s="84"/>
      <c r="Q1352" s="84"/>
      <c r="R1352" s="84"/>
      <c r="S1352" s="84"/>
      <c r="T1352" s="84"/>
    </row>
    <row r="1353" ht="15.75" customHeight="1">
      <c r="A1353" s="84" t="s">
        <v>37893</v>
      </c>
      <c r="B1353" s="84">
        <v>1.0</v>
      </c>
      <c r="C1353" s="186"/>
      <c r="D1353" s="187"/>
      <c r="E1353" s="188"/>
      <c r="F1353" s="189"/>
      <c r="G1353" s="190"/>
      <c r="H1353" s="190"/>
      <c r="I1353" s="84"/>
      <c r="J1353" s="84"/>
      <c r="K1353" s="84"/>
      <c r="L1353" s="84"/>
      <c r="M1353" s="84"/>
      <c r="N1353" s="84"/>
      <c r="O1353" s="84"/>
      <c r="P1353" s="84"/>
      <c r="Q1353" s="84"/>
      <c r="R1353" s="84"/>
      <c r="S1353" s="84"/>
      <c r="T1353" s="84"/>
    </row>
    <row r="1354" ht="15.75" customHeight="1">
      <c r="A1354" s="84" t="s">
        <v>37894</v>
      </c>
      <c r="B1354" s="84">
        <v>3.0</v>
      </c>
      <c r="C1354" s="186"/>
      <c r="D1354" s="187"/>
      <c r="E1354" s="188"/>
      <c r="F1354" s="189"/>
      <c r="G1354" s="190"/>
      <c r="H1354" s="190"/>
      <c r="I1354" s="84"/>
      <c r="J1354" s="84"/>
      <c r="K1354" s="84"/>
      <c r="L1354" s="84"/>
      <c r="M1354" s="84"/>
      <c r="N1354" s="84"/>
      <c r="O1354" s="84"/>
      <c r="P1354" s="84"/>
      <c r="Q1354" s="84"/>
      <c r="R1354" s="84"/>
      <c r="S1354" s="84"/>
      <c r="T1354" s="84"/>
    </row>
    <row r="1355" ht="15.75" customHeight="1">
      <c r="A1355" s="84" t="s">
        <v>37896</v>
      </c>
      <c r="B1355" s="84">
        <v>1.0</v>
      </c>
      <c r="C1355" s="186"/>
      <c r="D1355" s="187"/>
      <c r="E1355" s="188"/>
      <c r="F1355" s="189"/>
      <c r="G1355" s="190"/>
      <c r="H1355" s="190"/>
      <c r="I1355" s="84"/>
      <c r="J1355" s="84"/>
      <c r="K1355" s="84"/>
      <c r="L1355" s="84"/>
      <c r="M1355" s="84"/>
      <c r="N1355" s="84"/>
      <c r="O1355" s="84"/>
      <c r="P1355" s="84"/>
      <c r="Q1355" s="84"/>
      <c r="R1355" s="84"/>
      <c r="S1355" s="84"/>
      <c r="T1355" s="84"/>
    </row>
    <row r="1356" ht="15.75" customHeight="1">
      <c r="A1356" s="84" t="s">
        <v>37897</v>
      </c>
      <c r="B1356" s="84">
        <v>1.0</v>
      </c>
      <c r="C1356" s="186"/>
      <c r="D1356" s="187"/>
      <c r="E1356" s="188"/>
      <c r="F1356" s="189"/>
      <c r="G1356" s="190"/>
      <c r="H1356" s="190"/>
      <c r="I1356" s="84"/>
      <c r="J1356" s="84"/>
      <c r="K1356" s="84"/>
      <c r="L1356" s="84"/>
      <c r="M1356" s="84"/>
      <c r="N1356" s="84"/>
      <c r="O1356" s="84"/>
      <c r="P1356" s="84"/>
      <c r="Q1356" s="84"/>
      <c r="R1356" s="84"/>
      <c r="S1356" s="84"/>
      <c r="T1356" s="84"/>
    </row>
    <row r="1357" ht="15.75" customHeight="1">
      <c r="A1357" s="84" t="s">
        <v>37898</v>
      </c>
      <c r="B1357" s="84">
        <v>1.0</v>
      </c>
      <c r="C1357" s="186"/>
      <c r="D1357" s="187"/>
      <c r="E1357" s="188"/>
      <c r="F1357" s="189"/>
      <c r="G1357" s="190"/>
      <c r="H1357" s="190"/>
      <c r="I1357" s="84"/>
      <c r="J1357" s="84"/>
      <c r="K1357" s="84"/>
      <c r="L1357" s="84"/>
      <c r="M1357" s="84"/>
      <c r="N1357" s="84"/>
      <c r="O1357" s="84"/>
      <c r="P1357" s="84"/>
      <c r="Q1357" s="84"/>
      <c r="R1357" s="84"/>
      <c r="S1357" s="84"/>
      <c r="T1357" s="84"/>
    </row>
    <row r="1358" ht="15.75" customHeight="1">
      <c r="A1358" s="84" t="s">
        <v>37899</v>
      </c>
      <c r="B1358" s="84">
        <v>3.0</v>
      </c>
      <c r="C1358" s="186"/>
      <c r="D1358" s="187"/>
      <c r="E1358" s="188"/>
      <c r="F1358" s="189"/>
      <c r="G1358" s="190"/>
      <c r="H1358" s="190"/>
      <c r="I1358" s="84"/>
      <c r="J1358" s="84"/>
      <c r="K1358" s="84"/>
      <c r="L1358" s="84"/>
      <c r="M1358" s="84"/>
      <c r="N1358" s="84"/>
      <c r="O1358" s="84"/>
      <c r="P1358" s="84"/>
      <c r="Q1358" s="84"/>
      <c r="R1358" s="84"/>
      <c r="S1358" s="84"/>
      <c r="T1358" s="84"/>
    </row>
    <row r="1359" ht="15.75" customHeight="1">
      <c r="A1359" s="84" t="s">
        <v>37900</v>
      </c>
      <c r="B1359" s="84">
        <v>1.0</v>
      </c>
      <c r="C1359" s="186"/>
      <c r="D1359" s="187"/>
      <c r="E1359" s="188"/>
      <c r="F1359" s="189"/>
      <c r="G1359" s="190"/>
      <c r="H1359" s="190"/>
      <c r="I1359" s="84"/>
      <c r="J1359" s="84"/>
      <c r="K1359" s="84"/>
      <c r="L1359" s="84"/>
      <c r="M1359" s="84"/>
      <c r="N1359" s="84"/>
      <c r="O1359" s="84"/>
      <c r="P1359" s="84"/>
      <c r="Q1359" s="84"/>
      <c r="R1359" s="84"/>
      <c r="S1359" s="84"/>
      <c r="T1359" s="84"/>
    </row>
    <row r="1360" ht="15.75" customHeight="1">
      <c r="A1360" s="84" t="s">
        <v>37903</v>
      </c>
      <c r="B1360" s="84">
        <v>5.0</v>
      </c>
      <c r="C1360" s="186"/>
      <c r="D1360" s="187"/>
      <c r="E1360" s="188"/>
      <c r="F1360" s="189"/>
      <c r="G1360" s="190"/>
      <c r="H1360" s="190"/>
      <c r="I1360" s="84"/>
      <c r="J1360" s="84"/>
      <c r="K1360" s="84"/>
      <c r="L1360" s="84"/>
      <c r="M1360" s="84"/>
      <c r="N1360" s="84"/>
      <c r="O1360" s="84"/>
      <c r="P1360" s="84"/>
      <c r="Q1360" s="84"/>
      <c r="R1360" s="84"/>
      <c r="S1360" s="84"/>
      <c r="T1360" s="84"/>
    </row>
    <row r="1361" ht="15.75" customHeight="1">
      <c r="A1361" s="84" t="s">
        <v>37905</v>
      </c>
      <c r="B1361" s="84">
        <v>2.0</v>
      </c>
      <c r="C1361" s="186"/>
      <c r="D1361" s="187"/>
      <c r="E1361" s="188"/>
      <c r="F1361" s="189"/>
      <c r="G1361" s="190"/>
      <c r="H1361" s="190"/>
      <c r="I1361" s="84"/>
      <c r="J1361" s="84"/>
      <c r="K1361" s="84"/>
      <c r="L1361" s="84"/>
      <c r="M1361" s="84"/>
      <c r="N1361" s="84"/>
      <c r="O1361" s="84"/>
      <c r="P1361" s="84"/>
      <c r="Q1361" s="84"/>
      <c r="R1361" s="84"/>
      <c r="S1361" s="84"/>
      <c r="T1361" s="84"/>
    </row>
    <row r="1362" ht="15.75" customHeight="1">
      <c r="A1362" s="84" t="s">
        <v>37906</v>
      </c>
      <c r="B1362" s="84">
        <v>1.0</v>
      </c>
      <c r="C1362" s="186"/>
      <c r="D1362" s="187"/>
      <c r="E1362" s="188"/>
      <c r="F1362" s="189"/>
      <c r="G1362" s="190"/>
      <c r="H1362" s="190"/>
      <c r="I1362" s="84"/>
      <c r="J1362" s="84"/>
      <c r="K1362" s="84"/>
      <c r="L1362" s="84"/>
      <c r="M1362" s="84"/>
      <c r="N1362" s="84"/>
      <c r="O1362" s="84"/>
      <c r="P1362" s="84"/>
      <c r="Q1362" s="84"/>
      <c r="R1362" s="84"/>
      <c r="S1362" s="84"/>
      <c r="T1362" s="84"/>
    </row>
    <row r="1363" ht="15.75" customHeight="1">
      <c r="A1363" s="84" t="s">
        <v>37907</v>
      </c>
      <c r="B1363" s="84">
        <v>1.0</v>
      </c>
      <c r="C1363" s="186"/>
      <c r="D1363" s="187"/>
      <c r="E1363" s="188"/>
      <c r="F1363" s="189"/>
      <c r="G1363" s="190"/>
      <c r="H1363" s="190"/>
      <c r="I1363" s="84"/>
      <c r="J1363" s="84"/>
      <c r="K1363" s="84"/>
      <c r="L1363" s="84"/>
      <c r="M1363" s="84"/>
      <c r="N1363" s="84"/>
      <c r="O1363" s="84"/>
      <c r="P1363" s="84"/>
      <c r="Q1363" s="84"/>
      <c r="R1363" s="84"/>
      <c r="S1363" s="84"/>
      <c r="T1363" s="84"/>
    </row>
    <row r="1364" ht="15.75" customHeight="1">
      <c r="A1364" s="84" t="s">
        <v>37908</v>
      </c>
      <c r="B1364" s="84">
        <v>1.0</v>
      </c>
      <c r="C1364" s="186"/>
      <c r="D1364" s="187"/>
      <c r="E1364" s="188"/>
      <c r="F1364" s="189"/>
      <c r="G1364" s="190"/>
      <c r="H1364" s="190"/>
      <c r="I1364" s="84"/>
      <c r="J1364" s="84"/>
      <c r="K1364" s="84"/>
      <c r="L1364" s="84"/>
      <c r="M1364" s="84"/>
      <c r="N1364" s="84"/>
      <c r="O1364" s="84"/>
      <c r="P1364" s="84"/>
      <c r="Q1364" s="84"/>
      <c r="R1364" s="84"/>
      <c r="S1364" s="84"/>
      <c r="T1364" s="84"/>
    </row>
    <row r="1365" ht="15.75" customHeight="1">
      <c r="A1365" s="84" t="s">
        <v>37911</v>
      </c>
      <c r="B1365" s="84">
        <v>1.0</v>
      </c>
      <c r="C1365" s="186"/>
      <c r="D1365" s="187"/>
      <c r="E1365" s="188"/>
      <c r="F1365" s="189"/>
      <c r="G1365" s="190"/>
      <c r="H1365" s="190"/>
      <c r="I1365" s="84"/>
      <c r="J1365" s="84"/>
      <c r="K1365" s="84"/>
      <c r="L1365" s="84"/>
      <c r="M1365" s="84"/>
      <c r="N1365" s="84"/>
      <c r="O1365" s="84"/>
      <c r="P1365" s="84"/>
      <c r="Q1365" s="84"/>
      <c r="R1365" s="84"/>
      <c r="S1365" s="84"/>
      <c r="T1365" s="84"/>
    </row>
    <row r="1366" ht="15.75" customHeight="1">
      <c r="A1366" s="84" t="s">
        <v>37913</v>
      </c>
      <c r="B1366" s="84">
        <v>2.0</v>
      </c>
      <c r="C1366" s="186"/>
      <c r="D1366" s="187"/>
      <c r="E1366" s="188"/>
      <c r="F1366" s="189"/>
      <c r="G1366" s="190"/>
      <c r="H1366" s="190"/>
      <c r="I1366" s="84"/>
      <c r="J1366" s="84"/>
      <c r="K1366" s="84"/>
      <c r="L1366" s="84"/>
      <c r="M1366" s="84"/>
      <c r="N1366" s="84"/>
      <c r="O1366" s="84"/>
      <c r="P1366" s="84"/>
      <c r="Q1366" s="84"/>
      <c r="R1366" s="84"/>
      <c r="S1366" s="84"/>
      <c r="T1366" s="84"/>
    </row>
    <row r="1367" ht="15.75" customHeight="1">
      <c r="A1367" s="84" t="s">
        <v>37914</v>
      </c>
      <c r="B1367" s="84">
        <v>4.0</v>
      </c>
      <c r="C1367" s="186"/>
      <c r="D1367" s="187"/>
      <c r="E1367" s="188"/>
      <c r="F1367" s="189"/>
      <c r="G1367" s="190"/>
      <c r="H1367" s="190"/>
      <c r="I1367" s="84"/>
      <c r="J1367" s="84"/>
      <c r="K1367" s="84"/>
      <c r="L1367" s="84"/>
      <c r="M1367" s="84"/>
      <c r="N1367" s="84"/>
      <c r="O1367" s="84"/>
      <c r="P1367" s="84"/>
      <c r="Q1367" s="84"/>
      <c r="R1367" s="84"/>
      <c r="S1367" s="84"/>
      <c r="T1367" s="84"/>
    </row>
    <row r="1368" ht="15.75" customHeight="1">
      <c r="A1368" s="84" t="s">
        <v>37915</v>
      </c>
      <c r="B1368" s="84">
        <v>3.0</v>
      </c>
      <c r="C1368" s="186"/>
      <c r="D1368" s="187"/>
      <c r="E1368" s="188"/>
      <c r="F1368" s="189"/>
      <c r="G1368" s="190"/>
      <c r="H1368" s="190"/>
      <c r="I1368" s="84"/>
      <c r="J1368" s="84"/>
      <c r="K1368" s="84"/>
      <c r="L1368" s="84"/>
      <c r="M1368" s="84"/>
      <c r="N1368" s="84"/>
      <c r="O1368" s="84"/>
      <c r="P1368" s="84"/>
      <c r="Q1368" s="84"/>
      <c r="R1368" s="84"/>
      <c r="S1368" s="84"/>
      <c r="T1368" s="84"/>
    </row>
    <row r="1369" ht="15.75" customHeight="1">
      <c r="A1369" s="84" t="s">
        <v>37918</v>
      </c>
      <c r="B1369" s="84">
        <v>1.0</v>
      </c>
      <c r="C1369" s="186"/>
      <c r="D1369" s="187"/>
      <c r="E1369" s="188"/>
      <c r="F1369" s="189"/>
      <c r="G1369" s="190"/>
      <c r="H1369" s="190"/>
      <c r="I1369" s="84"/>
      <c r="J1369" s="84"/>
      <c r="K1369" s="84"/>
      <c r="L1369" s="84"/>
      <c r="M1369" s="84"/>
      <c r="N1369" s="84"/>
      <c r="O1369" s="84"/>
      <c r="P1369" s="84"/>
      <c r="Q1369" s="84"/>
      <c r="R1369" s="84"/>
      <c r="S1369" s="84"/>
      <c r="T1369" s="84"/>
    </row>
    <row r="1370" ht="15.75" customHeight="1">
      <c r="A1370" s="84" t="s">
        <v>37919</v>
      </c>
      <c r="B1370" s="84">
        <v>1.0</v>
      </c>
      <c r="C1370" s="186"/>
      <c r="D1370" s="187"/>
      <c r="E1370" s="188"/>
      <c r="F1370" s="189"/>
      <c r="G1370" s="190"/>
      <c r="H1370" s="190"/>
      <c r="I1370" s="84"/>
      <c r="J1370" s="84"/>
      <c r="K1370" s="84"/>
      <c r="L1370" s="84"/>
      <c r="M1370" s="84"/>
      <c r="N1370" s="84"/>
      <c r="O1370" s="84"/>
      <c r="P1370" s="84"/>
      <c r="Q1370" s="84"/>
      <c r="R1370" s="84"/>
      <c r="S1370" s="84"/>
      <c r="T1370" s="84"/>
    </row>
    <row r="1371" ht="15.75" customHeight="1">
      <c r="A1371" s="84" t="s">
        <v>37920</v>
      </c>
      <c r="B1371" s="84">
        <v>1.0</v>
      </c>
      <c r="C1371" s="186"/>
      <c r="D1371" s="187"/>
      <c r="E1371" s="188"/>
      <c r="F1371" s="189"/>
      <c r="G1371" s="190"/>
      <c r="H1371" s="190"/>
      <c r="I1371" s="84"/>
      <c r="J1371" s="84"/>
      <c r="K1371" s="84"/>
      <c r="L1371" s="84"/>
      <c r="M1371" s="84"/>
      <c r="N1371" s="84"/>
      <c r="O1371" s="84"/>
      <c r="P1371" s="84"/>
      <c r="Q1371" s="84"/>
      <c r="R1371" s="84"/>
      <c r="S1371" s="84"/>
      <c r="T1371" s="84"/>
    </row>
    <row r="1372" ht="15.75" customHeight="1">
      <c r="A1372" s="84" t="s">
        <v>37921</v>
      </c>
      <c r="B1372" s="84">
        <v>1.0</v>
      </c>
      <c r="C1372" s="186"/>
      <c r="D1372" s="187"/>
      <c r="E1372" s="188"/>
      <c r="F1372" s="189"/>
      <c r="G1372" s="190"/>
      <c r="H1372" s="190"/>
      <c r="I1372" s="84"/>
      <c r="J1372" s="84"/>
      <c r="K1372" s="84"/>
      <c r="L1372" s="84"/>
      <c r="M1372" s="84"/>
      <c r="N1372" s="84"/>
      <c r="O1372" s="84"/>
      <c r="P1372" s="84"/>
      <c r="Q1372" s="84"/>
      <c r="R1372" s="84"/>
      <c r="S1372" s="84"/>
      <c r="T1372" s="84"/>
    </row>
    <row r="1373" ht="15.75" customHeight="1">
      <c r="A1373" s="84" t="s">
        <v>37922</v>
      </c>
      <c r="B1373" s="84">
        <v>1.0</v>
      </c>
      <c r="C1373" s="186"/>
      <c r="D1373" s="187"/>
      <c r="E1373" s="188"/>
      <c r="F1373" s="189"/>
      <c r="G1373" s="190"/>
      <c r="H1373" s="190"/>
      <c r="I1373" s="84"/>
      <c r="J1373" s="84"/>
      <c r="K1373" s="84"/>
      <c r="L1373" s="84"/>
      <c r="M1373" s="84"/>
      <c r="N1373" s="84"/>
      <c r="O1373" s="84"/>
      <c r="P1373" s="84"/>
      <c r="Q1373" s="84"/>
      <c r="R1373" s="84"/>
      <c r="S1373" s="84"/>
      <c r="T1373" s="84"/>
    </row>
    <row r="1374" ht="15.75" customHeight="1">
      <c r="A1374" s="84" t="s">
        <v>37924</v>
      </c>
      <c r="B1374" s="84">
        <v>1.0</v>
      </c>
      <c r="C1374" s="186"/>
      <c r="D1374" s="187"/>
      <c r="E1374" s="188"/>
      <c r="F1374" s="189"/>
      <c r="G1374" s="190"/>
      <c r="H1374" s="190"/>
      <c r="I1374" s="84"/>
      <c r="J1374" s="84"/>
      <c r="K1374" s="84"/>
      <c r="L1374" s="84"/>
      <c r="M1374" s="84"/>
      <c r="N1374" s="84"/>
      <c r="O1374" s="84"/>
      <c r="P1374" s="84"/>
      <c r="Q1374" s="84"/>
      <c r="R1374" s="84"/>
      <c r="S1374" s="84"/>
      <c r="T1374" s="84"/>
    </row>
    <row r="1375" ht="15.75" customHeight="1">
      <c r="A1375" s="84" t="s">
        <v>37925</v>
      </c>
      <c r="B1375" s="84">
        <v>1.0</v>
      </c>
      <c r="C1375" s="186"/>
      <c r="D1375" s="187"/>
      <c r="E1375" s="188"/>
      <c r="F1375" s="189"/>
      <c r="G1375" s="190"/>
      <c r="H1375" s="190"/>
      <c r="I1375" s="84"/>
      <c r="J1375" s="84"/>
      <c r="K1375" s="84"/>
      <c r="L1375" s="84"/>
      <c r="M1375" s="84"/>
      <c r="N1375" s="84"/>
      <c r="O1375" s="84"/>
      <c r="P1375" s="84"/>
      <c r="Q1375" s="84"/>
      <c r="R1375" s="84"/>
      <c r="S1375" s="84"/>
      <c r="T1375" s="84"/>
    </row>
    <row r="1376" ht="15.75" customHeight="1">
      <c r="A1376" s="84" t="s">
        <v>37926</v>
      </c>
      <c r="B1376" s="84">
        <v>4.0</v>
      </c>
      <c r="C1376" s="186"/>
      <c r="D1376" s="187"/>
      <c r="E1376" s="188"/>
      <c r="F1376" s="189"/>
      <c r="G1376" s="190"/>
      <c r="H1376" s="190"/>
      <c r="I1376" s="84"/>
      <c r="J1376" s="84"/>
      <c r="K1376" s="84"/>
      <c r="L1376" s="84"/>
      <c r="M1376" s="84"/>
      <c r="N1376" s="84"/>
      <c r="O1376" s="84"/>
      <c r="P1376" s="84"/>
      <c r="Q1376" s="84"/>
      <c r="R1376" s="84"/>
      <c r="S1376" s="84"/>
      <c r="T1376" s="84"/>
    </row>
    <row r="1377" ht="15.75" customHeight="1">
      <c r="A1377" s="84" t="s">
        <v>37927</v>
      </c>
      <c r="B1377" s="84">
        <v>1.0</v>
      </c>
      <c r="C1377" s="186"/>
      <c r="D1377" s="187"/>
      <c r="E1377" s="188"/>
      <c r="F1377" s="189"/>
      <c r="G1377" s="190"/>
      <c r="H1377" s="190"/>
      <c r="I1377" s="84"/>
      <c r="J1377" s="84"/>
      <c r="K1377" s="84"/>
      <c r="L1377" s="84"/>
      <c r="M1377" s="84"/>
      <c r="N1377" s="84"/>
      <c r="O1377" s="84"/>
      <c r="P1377" s="84"/>
      <c r="Q1377" s="84"/>
      <c r="R1377" s="84"/>
      <c r="S1377" s="84"/>
      <c r="T1377" s="84"/>
    </row>
    <row r="1378" ht="15.75" customHeight="1">
      <c r="A1378" s="84" t="s">
        <v>37928</v>
      </c>
      <c r="B1378" s="84">
        <v>1.0</v>
      </c>
      <c r="C1378" s="186"/>
      <c r="D1378" s="187"/>
      <c r="E1378" s="188"/>
      <c r="F1378" s="189"/>
      <c r="G1378" s="190"/>
      <c r="H1378" s="190"/>
      <c r="I1378" s="84"/>
      <c r="J1378" s="84"/>
      <c r="K1378" s="84"/>
      <c r="L1378" s="84"/>
      <c r="M1378" s="84"/>
      <c r="N1378" s="84"/>
      <c r="O1378" s="84"/>
      <c r="P1378" s="84"/>
      <c r="Q1378" s="84"/>
      <c r="R1378" s="84"/>
      <c r="S1378" s="84"/>
      <c r="T1378" s="84"/>
    </row>
    <row r="1379" ht="15.75" customHeight="1">
      <c r="A1379" s="84" t="s">
        <v>37929</v>
      </c>
      <c r="B1379" s="84">
        <v>2.0</v>
      </c>
      <c r="C1379" s="186"/>
      <c r="D1379" s="187"/>
      <c r="E1379" s="188"/>
      <c r="F1379" s="189"/>
      <c r="G1379" s="190"/>
      <c r="H1379" s="190"/>
      <c r="I1379" s="84"/>
      <c r="J1379" s="84"/>
      <c r="K1379" s="84"/>
      <c r="L1379" s="84"/>
      <c r="M1379" s="84"/>
      <c r="N1379" s="84"/>
      <c r="O1379" s="84"/>
      <c r="P1379" s="84"/>
      <c r="Q1379" s="84"/>
      <c r="R1379" s="84"/>
      <c r="S1379" s="84"/>
      <c r="T1379" s="84"/>
    </row>
    <row r="1380" ht="15.75" customHeight="1">
      <c r="A1380" s="84" t="s">
        <v>37931</v>
      </c>
      <c r="B1380" s="84">
        <v>1.0</v>
      </c>
      <c r="C1380" s="186"/>
      <c r="D1380" s="187"/>
      <c r="E1380" s="188"/>
      <c r="F1380" s="189"/>
      <c r="G1380" s="190"/>
      <c r="H1380" s="190"/>
      <c r="I1380" s="84"/>
      <c r="J1380" s="84"/>
      <c r="K1380" s="84"/>
      <c r="L1380" s="84"/>
      <c r="M1380" s="84"/>
      <c r="N1380" s="84"/>
      <c r="O1380" s="84"/>
      <c r="P1380" s="84"/>
      <c r="Q1380" s="84"/>
      <c r="R1380" s="84"/>
      <c r="S1380" s="84"/>
      <c r="T1380" s="84"/>
    </row>
    <row r="1381" ht="15.75" customHeight="1">
      <c r="A1381" s="84" t="s">
        <v>37934</v>
      </c>
      <c r="B1381" s="84">
        <v>1.0</v>
      </c>
      <c r="C1381" s="186"/>
      <c r="D1381" s="187"/>
      <c r="E1381" s="188"/>
      <c r="F1381" s="189"/>
      <c r="G1381" s="190"/>
      <c r="H1381" s="190"/>
      <c r="I1381" s="84"/>
      <c r="J1381" s="84"/>
      <c r="K1381" s="84"/>
      <c r="L1381" s="84"/>
      <c r="M1381" s="84"/>
      <c r="N1381" s="84"/>
      <c r="O1381" s="84"/>
      <c r="P1381" s="84"/>
      <c r="Q1381" s="84"/>
      <c r="R1381" s="84"/>
      <c r="S1381" s="84"/>
      <c r="T1381" s="84"/>
    </row>
    <row r="1382" ht="15.75" customHeight="1">
      <c r="A1382" s="84" t="s">
        <v>37935</v>
      </c>
      <c r="B1382" s="84">
        <v>1.0</v>
      </c>
      <c r="C1382" s="186"/>
      <c r="D1382" s="187"/>
      <c r="E1382" s="188"/>
      <c r="F1382" s="189"/>
      <c r="G1382" s="190"/>
      <c r="H1382" s="190"/>
      <c r="I1382" s="84"/>
      <c r="J1382" s="84"/>
      <c r="K1382" s="84"/>
      <c r="L1382" s="84"/>
      <c r="M1382" s="84"/>
      <c r="N1382" s="84"/>
      <c r="O1382" s="84"/>
      <c r="P1382" s="84"/>
      <c r="Q1382" s="84"/>
      <c r="R1382" s="84"/>
      <c r="S1382" s="84"/>
      <c r="T1382" s="84"/>
    </row>
    <row r="1383" ht="15.75" customHeight="1">
      <c r="A1383" s="84" t="s">
        <v>37936</v>
      </c>
      <c r="B1383" s="84">
        <v>1.0</v>
      </c>
      <c r="C1383" s="186"/>
      <c r="D1383" s="187"/>
      <c r="E1383" s="188"/>
      <c r="F1383" s="189"/>
      <c r="G1383" s="190"/>
      <c r="H1383" s="190"/>
      <c r="I1383" s="84"/>
      <c r="J1383" s="84"/>
      <c r="K1383" s="84"/>
      <c r="L1383" s="84"/>
      <c r="M1383" s="84"/>
      <c r="N1383" s="84"/>
      <c r="O1383" s="84"/>
      <c r="P1383" s="84"/>
      <c r="Q1383" s="84"/>
      <c r="R1383" s="84"/>
      <c r="S1383" s="84"/>
      <c r="T1383" s="84"/>
    </row>
    <row r="1384" ht="15.75" customHeight="1">
      <c r="A1384" s="84" t="s">
        <v>37937</v>
      </c>
      <c r="B1384" s="84">
        <v>1.0</v>
      </c>
      <c r="C1384" s="186"/>
      <c r="D1384" s="187"/>
      <c r="E1384" s="188"/>
      <c r="F1384" s="189"/>
      <c r="G1384" s="190"/>
      <c r="H1384" s="190"/>
      <c r="I1384" s="84"/>
      <c r="J1384" s="84"/>
      <c r="K1384" s="84"/>
      <c r="L1384" s="84"/>
      <c r="M1384" s="84"/>
      <c r="N1384" s="84"/>
      <c r="O1384" s="84"/>
      <c r="P1384" s="84"/>
      <c r="Q1384" s="84"/>
      <c r="R1384" s="84"/>
      <c r="S1384" s="84"/>
      <c r="T1384" s="84"/>
    </row>
    <row r="1385" ht="15.75" customHeight="1">
      <c r="A1385" s="84" t="s">
        <v>37940</v>
      </c>
      <c r="B1385" s="84">
        <v>1.0</v>
      </c>
      <c r="C1385" s="186"/>
      <c r="D1385" s="187"/>
      <c r="E1385" s="188"/>
      <c r="F1385" s="189"/>
      <c r="G1385" s="190"/>
      <c r="H1385" s="190"/>
      <c r="I1385" s="84"/>
      <c r="J1385" s="84"/>
      <c r="K1385" s="84"/>
      <c r="L1385" s="84"/>
      <c r="M1385" s="84"/>
      <c r="N1385" s="84"/>
      <c r="O1385" s="84"/>
      <c r="P1385" s="84"/>
      <c r="Q1385" s="84"/>
      <c r="R1385" s="84"/>
      <c r="S1385" s="84"/>
      <c r="T1385" s="84"/>
    </row>
    <row r="1386" ht="15.75" customHeight="1">
      <c r="A1386" s="84" t="s">
        <v>37941</v>
      </c>
      <c r="B1386" s="84">
        <v>2.0</v>
      </c>
      <c r="C1386" s="186"/>
      <c r="D1386" s="187"/>
      <c r="E1386" s="188"/>
      <c r="F1386" s="189"/>
      <c r="G1386" s="190"/>
      <c r="H1386" s="190"/>
      <c r="I1386" s="84"/>
      <c r="J1386" s="84"/>
      <c r="K1386" s="84"/>
      <c r="L1386" s="84"/>
      <c r="M1386" s="84"/>
      <c r="N1386" s="84"/>
      <c r="O1386" s="84"/>
      <c r="P1386" s="84"/>
      <c r="Q1386" s="84"/>
      <c r="R1386" s="84"/>
      <c r="S1386" s="84"/>
      <c r="T1386" s="84"/>
    </row>
    <row r="1387" ht="15.75" customHeight="1">
      <c r="A1387" s="84" t="s">
        <v>37943</v>
      </c>
      <c r="B1387" s="84">
        <v>1.0</v>
      </c>
      <c r="C1387" s="186"/>
      <c r="D1387" s="187"/>
      <c r="E1387" s="188"/>
      <c r="F1387" s="189"/>
      <c r="G1387" s="190"/>
      <c r="H1387" s="190"/>
      <c r="I1387" s="84"/>
      <c r="J1387" s="84"/>
      <c r="K1387" s="84"/>
      <c r="L1387" s="84"/>
      <c r="M1387" s="84"/>
      <c r="N1387" s="84"/>
      <c r="O1387" s="84"/>
      <c r="P1387" s="84"/>
      <c r="Q1387" s="84"/>
      <c r="R1387" s="84"/>
      <c r="S1387" s="84"/>
      <c r="T1387" s="84"/>
    </row>
    <row r="1388" ht="15.75" customHeight="1">
      <c r="A1388" s="84" t="s">
        <v>37947</v>
      </c>
      <c r="B1388" s="84">
        <v>7.0</v>
      </c>
      <c r="C1388" s="186"/>
      <c r="D1388" s="187"/>
      <c r="E1388" s="188"/>
      <c r="F1388" s="189"/>
      <c r="G1388" s="190"/>
      <c r="H1388" s="190"/>
      <c r="I1388" s="84"/>
      <c r="J1388" s="84"/>
      <c r="K1388" s="84"/>
      <c r="L1388" s="84"/>
      <c r="M1388" s="84"/>
      <c r="N1388" s="84"/>
      <c r="O1388" s="84"/>
      <c r="P1388" s="84"/>
      <c r="Q1388" s="84"/>
      <c r="R1388" s="84"/>
      <c r="S1388" s="84"/>
      <c r="T1388" s="84"/>
    </row>
    <row r="1389" ht="15.75" customHeight="1">
      <c r="A1389" s="84" t="s">
        <v>37948</v>
      </c>
      <c r="B1389" s="84">
        <v>1.0</v>
      </c>
      <c r="C1389" s="186"/>
      <c r="D1389" s="187"/>
      <c r="E1389" s="188"/>
      <c r="F1389" s="189"/>
      <c r="G1389" s="190"/>
      <c r="H1389" s="190"/>
      <c r="I1389" s="84"/>
      <c r="J1389" s="84"/>
      <c r="K1389" s="84"/>
      <c r="L1389" s="84"/>
      <c r="M1389" s="84"/>
      <c r="N1389" s="84"/>
      <c r="O1389" s="84"/>
      <c r="P1389" s="84"/>
      <c r="Q1389" s="84"/>
      <c r="R1389" s="84"/>
      <c r="S1389" s="84"/>
      <c r="T1389" s="84"/>
    </row>
    <row r="1390" ht="15.75" customHeight="1">
      <c r="A1390" s="84" t="s">
        <v>37952</v>
      </c>
      <c r="B1390" s="84">
        <v>1.0</v>
      </c>
      <c r="C1390" s="186"/>
      <c r="D1390" s="187"/>
      <c r="E1390" s="188"/>
      <c r="F1390" s="189"/>
      <c r="G1390" s="190"/>
      <c r="H1390" s="190"/>
      <c r="I1390" s="84"/>
      <c r="J1390" s="84"/>
      <c r="K1390" s="84"/>
      <c r="L1390" s="84"/>
      <c r="M1390" s="84"/>
      <c r="N1390" s="84"/>
      <c r="O1390" s="84"/>
      <c r="P1390" s="84"/>
      <c r="Q1390" s="84"/>
      <c r="R1390" s="84"/>
      <c r="S1390" s="84"/>
      <c r="T1390" s="84"/>
    </row>
    <row r="1391" ht="15.75" customHeight="1">
      <c r="A1391" s="84" t="s">
        <v>37954</v>
      </c>
      <c r="B1391" s="84">
        <v>1.0</v>
      </c>
      <c r="C1391" s="186"/>
      <c r="D1391" s="187"/>
      <c r="E1391" s="188"/>
      <c r="F1391" s="189"/>
      <c r="G1391" s="190"/>
      <c r="H1391" s="190"/>
      <c r="I1391" s="84"/>
      <c r="J1391" s="84"/>
      <c r="K1391" s="84"/>
      <c r="L1391" s="84"/>
      <c r="M1391" s="84"/>
      <c r="N1391" s="84"/>
      <c r="O1391" s="84"/>
      <c r="P1391" s="84"/>
      <c r="Q1391" s="84"/>
      <c r="R1391" s="84"/>
      <c r="S1391" s="84"/>
      <c r="T1391" s="84"/>
    </row>
    <row r="1392" ht="15.75" customHeight="1">
      <c r="A1392" s="84" t="s">
        <v>37956</v>
      </c>
      <c r="B1392" s="84">
        <v>2.0</v>
      </c>
      <c r="C1392" s="186"/>
      <c r="D1392" s="187"/>
      <c r="E1392" s="188"/>
      <c r="F1392" s="189"/>
      <c r="G1392" s="190"/>
      <c r="H1392" s="190"/>
      <c r="I1392" s="84"/>
      <c r="J1392" s="84"/>
      <c r="K1392" s="84"/>
      <c r="L1392" s="84"/>
      <c r="M1392" s="84"/>
      <c r="N1392" s="84"/>
      <c r="O1392" s="84"/>
      <c r="P1392" s="84"/>
      <c r="Q1392" s="84"/>
      <c r="R1392" s="84"/>
      <c r="S1392" s="84"/>
      <c r="T1392" s="84"/>
    </row>
    <row r="1393" ht="15.75" customHeight="1">
      <c r="A1393" s="84" t="s">
        <v>37958</v>
      </c>
      <c r="B1393" s="84">
        <v>1.0</v>
      </c>
      <c r="C1393" s="186"/>
      <c r="D1393" s="187"/>
      <c r="E1393" s="188"/>
      <c r="F1393" s="189"/>
      <c r="G1393" s="190"/>
      <c r="H1393" s="190"/>
      <c r="I1393" s="84"/>
      <c r="J1393" s="84"/>
      <c r="K1393" s="84"/>
      <c r="L1393" s="84"/>
      <c r="M1393" s="84"/>
      <c r="N1393" s="84"/>
      <c r="O1393" s="84"/>
      <c r="P1393" s="84"/>
      <c r="Q1393" s="84"/>
      <c r="R1393" s="84"/>
      <c r="S1393" s="84"/>
      <c r="T1393" s="84"/>
    </row>
    <row r="1394" ht="15.75" customHeight="1">
      <c r="A1394" s="84" t="s">
        <v>37961</v>
      </c>
      <c r="B1394" s="84">
        <v>1.0</v>
      </c>
      <c r="C1394" s="186"/>
      <c r="D1394" s="187"/>
      <c r="E1394" s="188"/>
      <c r="F1394" s="189"/>
      <c r="G1394" s="190"/>
      <c r="H1394" s="190"/>
      <c r="I1394" s="84"/>
      <c r="J1394" s="84"/>
      <c r="K1394" s="84"/>
      <c r="L1394" s="84"/>
      <c r="M1394" s="84"/>
      <c r="N1394" s="84"/>
      <c r="O1394" s="84"/>
      <c r="P1394" s="84"/>
      <c r="Q1394" s="84"/>
      <c r="R1394" s="84"/>
      <c r="S1394" s="84"/>
      <c r="T1394" s="84"/>
    </row>
    <row r="1395" ht="15.75" customHeight="1">
      <c r="A1395" s="84" t="s">
        <v>37963</v>
      </c>
      <c r="B1395" s="84">
        <v>1.0</v>
      </c>
      <c r="C1395" s="186"/>
      <c r="D1395" s="187"/>
      <c r="E1395" s="188"/>
      <c r="F1395" s="189"/>
      <c r="G1395" s="190"/>
      <c r="H1395" s="190"/>
      <c r="I1395" s="84"/>
      <c r="J1395" s="84"/>
      <c r="K1395" s="84"/>
      <c r="L1395" s="84"/>
      <c r="M1395" s="84"/>
      <c r="N1395" s="84"/>
      <c r="O1395" s="84"/>
      <c r="P1395" s="84"/>
      <c r="Q1395" s="84"/>
      <c r="R1395" s="84"/>
      <c r="S1395" s="84"/>
      <c r="T1395" s="84"/>
    </row>
    <row r="1396" ht="15.75" customHeight="1">
      <c r="A1396" s="84" t="s">
        <v>37966</v>
      </c>
      <c r="B1396" s="84">
        <v>1.0</v>
      </c>
      <c r="C1396" s="186"/>
      <c r="D1396" s="187"/>
      <c r="E1396" s="188"/>
      <c r="F1396" s="189"/>
      <c r="G1396" s="190"/>
      <c r="H1396" s="190"/>
      <c r="I1396" s="84"/>
      <c r="J1396" s="84"/>
      <c r="K1396" s="84"/>
      <c r="L1396" s="84"/>
      <c r="M1396" s="84"/>
      <c r="N1396" s="84"/>
      <c r="O1396" s="84"/>
      <c r="P1396" s="84"/>
      <c r="Q1396" s="84"/>
      <c r="R1396" s="84"/>
      <c r="S1396" s="84"/>
      <c r="T1396" s="84"/>
    </row>
    <row r="1397" ht="15.75" customHeight="1">
      <c r="A1397" s="84" t="s">
        <v>37969</v>
      </c>
      <c r="B1397" s="84">
        <v>1.0</v>
      </c>
      <c r="C1397" s="186"/>
      <c r="D1397" s="187"/>
      <c r="E1397" s="188"/>
      <c r="F1397" s="189"/>
      <c r="G1397" s="190"/>
      <c r="H1397" s="190"/>
      <c r="I1397" s="84"/>
      <c r="J1397" s="84"/>
      <c r="K1397" s="84"/>
      <c r="L1397" s="84"/>
      <c r="M1397" s="84"/>
      <c r="N1397" s="84"/>
      <c r="O1397" s="84"/>
      <c r="P1397" s="84"/>
      <c r="Q1397" s="84"/>
      <c r="R1397" s="84"/>
      <c r="S1397" s="84"/>
      <c r="T1397" s="84"/>
    </row>
    <row r="1398" ht="15.75" customHeight="1">
      <c r="A1398" s="84" t="s">
        <v>37970</v>
      </c>
      <c r="B1398" s="84">
        <v>4.0</v>
      </c>
      <c r="C1398" s="186"/>
      <c r="D1398" s="187"/>
      <c r="E1398" s="188"/>
      <c r="F1398" s="189"/>
      <c r="G1398" s="190"/>
      <c r="H1398" s="190"/>
      <c r="I1398" s="84"/>
      <c r="J1398" s="84"/>
      <c r="K1398" s="84"/>
      <c r="L1398" s="84"/>
      <c r="M1398" s="84"/>
      <c r="N1398" s="84"/>
      <c r="O1398" s="84"/>
      <c r="P1398" s="84"/>
      <c r="Q1398" s="84"/>
      <c r="R1398" s="84"/>
      <c r="S1398" s="84"/>
      <c r="T1398" s="84"/>
    </row>
    <row r="1399" ht="15.75" customHeight="1">
      <c r="A1399" s="84" t="s">
        <v>37972</v>
      </c>
      <c r="B1399" s="84">
        <v>1.0</v>
      </c>
      <c r="C1399" s="186"/>
      <c r="D1399" s="187"/>
      <c r="E1399" s="188"/>
      <c r="F1399" s="189"/>
      <c r="G1399" s="190"/>
      <c r="H1399" s="190"/>
      <c r="I1399" s="84"/>
      <c r="J1399" s="84"/>
      <c r="K1399" s="84"/>
      <c r="L1399" s="84"/>
      <c r="M1399" s="84"/>
      <c r="N1399" s="84"/>
      <c r="O1399" s="84"/>
      <c r="P1399" s="84"/>
      <c r="Q1399" s="84"/>
      <c r="R1399" s="84"/>
      <c r="S1399" s="84"/>
      <c r="T1399" s="84"/>
    </row>
    <row r="1400" ht="15.75" customHeight="1">
      <c r="A1400" s="84" t="s">
        <v>37975</v>
      </c>
      <c r="B1400" s="84">
        <v>1.0</v>
      </c>
      <c r="C1400" s="186"/>
      <c r="D1400" s="187"/>
      <c r="E1400" s="188"/>
      <c r="F1400" s="189"/>
      <c r="G1400" s="190"/>
      <c r="H1400" s="190"/>
      <c r="I1400" s="84"/>
      <c r="J1400" s="84"/>
      <c r="K1400" s="84"/>
      <c r="L1400" s="84"/>
      <c r="M1400" s="84"/>
      <c r="N1400" s="84"/>
      <c r="O1400" s="84"/>
      <c r="P1400" s="84"/>
      <c r="Q1400" s="84"/>
      <c r="R1400" s="84"/>
      <c r="S1400" s="84"/>
      <c r="T1400" s="84"/>
    </row>
    <row r="1401" ht="15.75" customHeight="1">
      <c r="A1401" s="84" t="s">
        <v>37980</v>
      </c>
      <c r="B1401" s="84">
        <v>1.0</v>
      </c>
      <c r="C1401" s="186"/>
      <c r="D1401" s="187"/>
      <c r="E1401" s="188"/>
      <c r="F1401" s="189"/>
      <c r="G1401" s="190"/>
      <c r="H1401" s="190"/>
      <c r="I1401" s="84"/>
      <c r="J1401" s="84"/>
      <c r="K1401" s="84"/>
      <c r="L1401" s="84"/>
      <c r="M1401" s="84"/>
      <c r="N1401" s="84"/>
      <c r="O1401" s="84"/>
      <c r="P1401" s="84"/>
      <c r="Q1401" s="84"/>
      <c r="R1401" s="84"/>
      <c r="S1401" s="84"/>
      <c r="T1401" s="84"/>
    </row>
    <row r="1402" ht="15.75" customHeight="1">
      <c r="A1402" s="84" t="s">
        <v>37983</v>
      </c>
      <c r="B1402" s="84">
        <v>5.0</v>
      </c>
      <c r="C1402" s="186"/>
      <c r="D1402" s="187"/>
      <c r="E1402" s="188"/>
      <c r="F1402" s="189"/>
      <c r="G1402" s="190"/>
      <c r="H1402" s="190"/>
      <c r="I1402" s="84"/>
      <c r="J1402" s="84"/>
      <c r="K1402" s="84"/>
      <c r="L1402" s="84"/>
      <c r="M1402" s="84"/>
      <c r="N1402" s="84"/>
      <c r="O1402" s="84"/>
      <c r="P1402" s="84"/>
      <c r="Q1402" s="84"/>
      <c r="R1402" s="84"/>
      <c r="S1402" s="84"/>
      <c r="T1402" s="84"/>
    </row>
    <row r="1403" ht="15.75" customHeight="1">
      <c r="A1403" s="84" t="s">
        <v>37985</v>
      </c>
      <c r="B1403" s="84">
        <v>2.0</v>
      </c>
      <c r="C1403" s="186"/>
      <c r="D1403" s="187"/>
      <c r="E1403" s="188"/>
      <c r="F1403" s="189"/>
      <c r="G1403" s="190"/>
      <c r="H1403" s="190"/>
      <c r="I1403" s="84"/>
      <c r="J1403" s="84"/>
      <c r="K1403" s="84"/>
      <c r="L1403" s="84"/>
      <c r="M1403" s="84"/>
      <c r="N1403" s="84"/>
      <c r="O1403" s="84"/>
      <c r="P1403" s="84"/>
      <c r="Q1403" s="84"/>
      <c r="R1403" s="84"/>
      <c r="S1403" s="84"/>
      <c r="T1403" s="84"/>
    </row>
    <row r="1404" ht="15.75" customHeight="1">
      <c r="A1404" s="84" t="s">
        <v>37986</v>
      </c>
      <c r="B1404" s="84">
        <v>3.0</v>
      </c>
      <c r="C1404" s="186"/>
      <c r="D1404" s="187"/>
      <c r="E1404" s="188"/>
      <c r="F1404" s="189"/>
      <c r="G1404" s="190"/>
      <c r="H1404" s="190"/>
      <c r="I1404" s="84"/>
      <c r="J1404" s="84"/>
      <c r="K1404" s="84"/>
      <c r="L1404" s="84"/>
      <c r="M1404" s="84"/>
      <c r="N1404" s="84"/>
      <c r="O1404" s="84"/>
      <c r="P1404" s="84"/>
      <c r="Q1404" s="84"/>
      <c r="R1404" s="84"/>
      <c r="S1404" s="84"/>
      <c r="T1404" s="84"/>
    </row>
    <row r="1405" ht="15.75" customHeight="1">
      <c r="A1405" s="84" t="s">
        <v>37987</v>
      </c>
      <c r="B1405" s="84">
        <v>1.0</v>
      </c>
      <c r="C1405" s="186"/>
      <c r="D1405" s="187"/>
      <c r="E1405" s="188"/>
      <c r="F1405" s="189"/>
      <c r="G1405" s="190"/>
      <c r="H1405" s="190"/>
      <c r="I1405" s="84"/>
      <c r="J1405" s="84"/>
      <c r="K1405" s="84"/>
      <c r="L1405" s="84"/>
      <c r="M1405" s="84"/>
      <c r="N1405" s="84"/>
      <c r="O1405" s="84"/>
      <c r="P1405" s="84"/>
      <c r="Q1405" s="84"/>
      <c r="R1405" s="84"/>
      <c r="S1405" s="84"/>
      <c r="T1405" s="84"/>
    </row>
    <row r="1406" ht="15.75" customHeight="1">
      <c r="A1406" s="84" t="s">
        <v>37991</v>
      </c>
      <c r="B1406" s="84">
        <v>1.0</v>
      </c>
      <c r="C1406" s="186"/>
      <c r="D1406" s="187"/>
      <c r="E1406" s="188"/>
      <c r="F1406" s="189"/>
      <c r="G1406" s="190"/>
      <c r="H1406" s="190"/>
      <c r="I1406" s="84"/>
      <c r="J1406" s="84"/>
      <c r="K1406" s="84"/>
      <c r="L1406" s="84"/>
      <c r="M1406" s="84"/>
      <c r="N1406" s="84"/>
      <c r="O1406" s="84"/>
      <c r="P1406" s="84"/>
      <c r="Q1406" s="84"/>
      <c r="R1406" s="84"/>
      <c r="S1406" s="84"/>
      <c r="T1406" s="84"/>
    </row>
    <row r="1407" ht="15.75" customHeight="1">
      <c r="A1407" s="84" t="s">
        <v>37992</v>
      </c>
      <c r="B1407" s="84">
        <v>1.0</v>
      </c>
      <c r="C1407" s="186"/>
      <c r="D1407" s="187"/>
      <c r="E1407" s="188"/>
      <c r="F1407" s="189"/>
      <c r="G1407" s="190"/>
      <c r="H1407" s="190"/>
      <c r="I1407" s="84"/>
      <c r="J1407" s="84"/>
      <c r="K1407" s="84"/>
      <c r="L1407" s="84"/>
      <c r="M1407" s="84"/>
      <c r="N1407" s="84"/>
      <c r="O1407" s="84"/>
      <c r="P1407" s="84"/>
      <c r="Q1407" s="84"/>
      <c r="R1407" s="84"/>
      <c r="S1407" s="84"/>
      <c r="T1407" s="84"/>
    </row>
    <row r="1408" ht="15.75" customHeight="1">
      <c r="A1408" s="84" t="s">
        <v>37993</v>
      </c>
      <c r="B1408" s="84">
        <v>2.0</v>
      </c>
      <c r="C1408" s="186"/>
      <c r="D1408" s="187"/>
      <c r="E1408" s="188"/>
      <c r="F1408" s="189"/>
      <c r="G1408" s="190"/>
      <c r="H1408" s="190"/>
      <c r="I1408" s="84"/>
      <c r="J1408" s="84"/>
      <c r="K1408" s="84"/>
      <c r="L1408" s="84"/>
      <c r="M1408" s="84"/>
      <c r="N1408" s="84"/>
      <c r="O1408" s="84"/>
      <c r="P1408" s="84"/>
      <c r="Q1408" s="84"/>
      <c r="R1408" s="84"/>
      <c r="S1408" s="84"/>
      <c r="T1408" s="84"/>
    </row>
    <row r="1409" ht="15.75" customHeight="1">
      <c r="A1409" s="84" t="s">
        <v>37996</v>
      </c>
      <c r="B1409" s="84">
        <v>1.0</v>
      </c>
      <c r="C1409" s="186"/>
      <c r="D1409" s="187"/>
      <c r="E1409" s="188"/>
      <c r="F1409" s="189"/>
      <c r="G1409" s="190"/>
      <c r="H1409" s="190"/>
      <c r="I1409" s="84"/>
      <c r="J1409" s="84"/>
      <c r="K1409" s="84"/>
      <c r="L1409" s="84"/>
      <c r="M1409" s="84"/>
      <c r="N1409" s="84"/>
      <c r="O1409" s="84"/>
      <c r="P1409" s="84"/>
      <c r="Q1409" s="84"/>
      <c r="R1409" s="84"/>
      <c r="S1409" s="84"/>
      <c r="T1409" s="84"/>
    </row>
    <row r="1410" ht="15.75" customHeight="1">
      <c r="A1410" s="84" t="s">
        <v>37999</v>
      </c>
      <c r="B1410" s="84">
        <v>2.0</v>
      </c>
      <c r="C1410" s="186" t="s">
        <v>30659</v>
      </c>
      <c r="D1410" s="187" t="s">
        <v>38000</v>
      </c>
      <c r="E1410" s="188"/>
      <c r="F1410" s="189"/>
      <c r="G1410" s="190"/>
      <c r="H1410" s="190"/>
      <c r="I1410" s="84"/>
      <c r="J1410" s="84"/>
      <c r="K1410" s="84"/>
      <c r="L1410" s="84"/>
      <c r="M1410" s="84"/>
      <c r="N1410" s="84"/>
      <c r="O1410" s="84"/>
      <c r="P1410" s="84"/>
      <c r="Q1410" s="84"/>
      <c r="R1410" s="84"/>
      <c r="S1410" s="84"/>
      <c r="T1410" s="84"/>
    </row>
    <row r="1411" ht="15.75" customHeight="1">
      <c r="A1411" s="84" t="s">
        <v>38000</v>
      </c>
      <c r="B1411" s="84">
        <v>2.0</v>
      </c>
      <c r="C1411" s="186"/>
      <c r="D1411" s="187"/>
      <c r="E1411" s="188"/>
      <c r="F1411" s="189"/>
      <c r="G1411" s="190"/>
      <c r="H1411" s="190"/>
      <c r="I1411" s="84"/>
      <c r="J1411" s="84"/>
      <c r="K1411" s="84"/>
      <c r="L1411" s="84"/>
      <c r="M1411" s="84"/>
      <c r="N1411" s="84"/>
      <c r="O1411" s="84"/>
      <c r="P1411" s="84"/>
      <c r="Q1411" s="84"/>
      <c r="R1411" s="84"/>
      <c r="S1411" s="84"/>
      <c r="T1411" s="84"/>
    </row>
    <row r="1412" ht="15.75" customHeight="1">
      <c r="A1412" s="192" t="s">
        <v>38001</v>
      </c>
      <c r="B1412" s="84">
        <v>1.0</v>
      </c>
      <c r="C1412" s="186"/>
      <c r="D1412" s="187"/>
      <c r="E1412" s="188"/>
      <c r="F1412" s="189"/>
      <c r="G1412" s="190"/>
      <c r="H1412" s="190"/>
      <c r="I1412" s="84"/>
      <c r="J1412" s="84"/>
      <c r="K1412" s="84"/>
      <c r="L1412" s="84"/>
      <c r="M1412" s="84"/>
      <c r="N1412" s="84"/>
      <c r="O1412" s="84"/>
      <c r="P1412" s="84"/>
      <c r="Q1412" s="84"/>
      <c r="R1412" s="84"/>
      <c r="S1412" s="84"/>
      <c r="T1412" s="84"/>
    </row>
    <row r="1413" ht="15.75" customHeight="1">
      <c r="A1413" s="84" t="s">
        <v>38003</v>
      </c>
      <c r="B1413" s="84">
        <v>1.0</v>
      </c>
      <c r="C1413" s="186"/>
      <c r="D1413" s="187"/>
      <c r="E1413" s="188"/>
      <c r="F1413" s="189"/>
      <c r="G1413" s="190"/>
      <c r="H1413" s="190"/>
      <c r="I1413" s="84"/>
      <c r="J1413" s="84"/>
      <c r="K1413" s="84"/>
      <c r="L1413" s="84"/>
      <c r="M1413" s="84"/>
      <c r="N1413" s="84"/>
      <c r="O1413" s="84"/>
      <c r="P1413" s="84"/>
      <c r="Q1413" s="84"/>
      <c r="R1413" s="84"/>
      <c r="S1413" s="84"/>
      <c r="T1413" s="84"/>
    </row>
    <row r="1414" ht="15.75" customHeight="1">
      <c r="A1414" s="84" t="s">
        <v>38004</v>
      </c>
      <c r="B1414" s="84">
        <v>1.0</v>
      </c>
      <c r="C1414" s="186"/>
      <c r="D1414" s="187"/>
      <c r="E1414" s="188"/>
      <c r="F1414" s="189"/>
      <c r="G1414" s="190"/>
      <c r="H1414" s="190"/>
      <c r="I1414" s="84"/>
      <c r="J1414" s="84"/>
      <c r="K1414" s="84"/>
      <c r="L1414" s="84"/>
      <c r="M1414" s="84"/>
      <c r="N1414" s="84"/>
      <c r="O1414" s="84"/>
      <c r="P1414" s="84"/>
      <c r="Q1414" s="84"/>
      <c r="R1414" s="84"/>
      <c r="S1414" s="84"/>
      <c r="T1414" s="84"/>
    </row>
    <row r="1415" ht="15.75" customHeight="1">
      <c r="A1415" s="84" t="s">
        <v>38005</v>
      </c>
      <c r="B1415" s="84">
        <v>1.0</v>
      </c>
      <c r="C1415" s="186"/>
      <c r="D1415" s="187"/>
      <c r="E1415" s="188"/>
      <c r="F1415" s="189"/>
      <c r="G1415" s="190"/>
      <c r="H1415" s="190"/>
      <c r="I1415" s="84"/>
      <c r="J1415" s="84"/>
      <c r="K1415" s="84"/>
      <c r="L1415" s="84"/>
      <c r="M1415" s="84"/>
      <c r="N1415" s="84"/>
      <c r="O1415" s="84"/>
      <c r="P1415" s="84"/>
      <c r="Q1415" s="84"/>
      <c r="R1415" s="84"/>
      <c r="S1415" s="84"/>
      <c r="T1415" s="84"/>
    </row>
    <row r="1416" ht="15.75" customHeight="1">
      <c r="A1416" s="84" t="s">
        <v>38006</v>
      </c>
      <c r="B1416" s="84">
        <v>1.0</v>
      </c>
      <c r="C1416" s="186"/>
      <c r="D1416" s="187"/>
      <c r="E1416" s="188"/>
      <c r="F1416" s="189"/>
      <c r="G1416" s="190"/>
      <c r="H1416" s="190"/>
      <c r="I1416" s="84"/>
      <c r="J1416" s="84"/>
      <c r="K1416" s="84"/>
      <c r="L1416" s="84"/>
      <c r="M1416" s="84"/>
      <c r="N1416" s="84"/>
      <c r="O1416" s="84"/>
      <c r="P1416" s="84"/>
      <c r="Q1416" s="84"/>
      <c r="R1416" s="84"/>
      <c r="S1416" s="84"/>
      <c r="T1416" s="84"/>
    </row>
    <row r="1417" ht="15.75" customHeight="1">
      <c r="A1417" s="84" t="s">
        <v>38007</v>
      </c>
      <c r="B1417" s="84">
        <v>1.0</v>
      </c>
      <c r="C1417" s="186"/>
      <c r="D1417" s="187"/>
      <c r="E1417" s="188"/>
      <c r="F1417" s="189"/>
      <c r="G1417" s="190"/>
      <c r="H1417" s="190"/>
      <c r="I1417" s="84"/>
      <c r="J1417" s="84"/>
      <c r="K1417" s="84"/>
      <c r="L1417" s="84"/>
      <c r="M1417" s="84"/>
      <c r="N1417" s="84"/>
      <c r="O1417" s="84"/>
      <c r="P1417" s="84"/>
      <c r="Q1417" s="84"/>
      <c r="R1417" s="84"/>
      <c r="S1417" s="84"/>
      <c r="T1417" s="84"/>
    </row>
    <row r="1418" ht="15.75" customHeight="1">
      <c r="A1418" s="84" t="s">
        <v>38008</v>
      </c>
      <c r="B1418" s="84">
        <v>1.0</v>
      </c>
      <c r="C1418" s="186"/>
      <c r="D1418" s="187"/>
      <c r="E1418" s="188"/>
      <c r="F1418" s="189"/>
      <c r="G1418" s="190"/>
      <c r="H1418" s="190"/>
      <c r="I1418" s="84"/>
      <c r="J1418" s="84"/>
      <c r="K1418" s="84"/>
      <c r="L1418" s="84"/>
      <c r="M1418" s="84"/>
      <c r="N1418" s="84"/>
      <c r="O1418" s="84"/>
      <c r="P1418" s="84"/>
      <c r="Q1418" s="84"/>
      <c r="R1418" s="84"/>
      <c r="S1418" s="84"/>
      <c r="T1418" s="84"/>
    </row>
    <row r="1419" ht="15.75" customHeight="1">
      <c r="A1419" s="84" t="s">
        <v>38010</v>
      </c>
      <c r="B1419" s="84">
        <v>1.0</v>
      </c>
      <c r="C1419" s="186"/>
      <c r="D1419" s="187"/>
      <c r="E1419" s="188"/>
      <c r="F1419" s="189"/>
      <c r="G1419" s="190"/>
      <c r="H1419" s="190"/>
      <c r="I1419" s="84"/>
      <c r="J1419" s="84"/>
      <c r="K1419" s="84"/>
      <c r="L1419" s="84"/>
      <c r="M1419" s="84"/>
      <c r="N1419" s="84"/>
      <c r="O1419" s="84"/>
      <c r="P1419" s="84"/>
      <c r="Q1419" s="84"/>
      <c r="R1419" s="84"/>
      <c r="S1419" s="84"/>
      <c r="T1419" s="84"/>
    </row>
    <row r="1420" ht="15.75" customHeight="1">
      <c r="A1420" s="84" t="s">
        <v>38011</v>
      </c>
      <c r="B1420" s="84">
        <v>1.0</v>
      </c>
      <c r="C1420" s="186"/>
      <c r="D1420" s="187"/>
      <c r="E1420" s="188"/>
      <c r="F1420" s="189"/>
      <c r="G1420" s="190"/>
      <c r="H1420" s="190"/>
      <c r="I1420" s="84"/>
      <c r="J1420" s="84"/>
      <c r="K1420" s="84"/>
      <c r="L1420" s="84"/>
      <c r="M1420" s="84"/>
      <c r="N1420" s="84"/>
      <c r="O1420" s="84"/>
      <c r="P1420" s="84"/>
      <c r="Q1420" s="84"/>
      <c r="R1420" s="84"/>
      <c r="S1420" s="84"/>
      <c r="T1420" s="84"/>
    </row>
    <row r="1421" ht="15.75" customHeight="1">
      <c r="A1421" s="84" t="s">
        <v>38013</v>
      </c>
      <c r="B1421" s="84">
        <v>1.0</v>
      </c>
      <c r="C1421" s="186"/>
      <c r="D1421" s="187"/>
      <c r="E1421" s="188"/>
      <c r="F1421" s="189"/>
      <c r="G1421" s="190"/>
      <c r="H1421" s="190"/>
      <c r="I1421" s="84"/>
      <c r="J1421" s="84"/>
      <c r="K1421" s="84"/>
      <c r="L1421" s="84"/>
      <c r="M1421" s="84"/>
      <c r="N1421" s="84"/>
      <c r="O1421" s="84"/>
      <c r="P1421" s="84"/>
      <c r="Q1421" s="84"/>
      <c r="R1421" s="84"/>
      <c r="S1421" s="84"/>
      <c r="T1421" s="84"/>
    </row>
    <row r="1422" ht="15.75" customHeight="1">
      <c r="A1422" s="84" t="s">
        <v>38015</v>
      </c>
      <c r="B1422" s="84">
        <v>1.0</v>
      </c>
      <c r="C1422" s="186"/>
      <c r="D1422" s="187"/>
      <c r="E1422" s="188"/>
      <c r="F1422" s="189"/>
      <c r="G1422" s="190"/>
      <c r="H1422" s="190"/>
      <c r="I1422" s="84"/>
      <c r="J1422" s="84"/>
      <c r="K1422" s="84"/>
      <c r="L1422" s="84"/>
      <c r="M1422" s="84"/>
      <c r="N1422" s="84"/>
      <c r="O1422" s="84"/>
      <c r="P1422" s="84"/>
      <c r="Q1422" s="84"/>
      <c r="R1422" s="84"/>
      <c r="S1422" s="84"/>
      <c r="T1422" s="84"/>
    </row>
    <row r="1423" ht="15.75" customHeight="1">
      <c r="A1423" s="84" t="s">
        <v>38019</v>
      </c>
      <c r="B1423" s="84">
        <v>9.0</v>
      </c>
      <c r="C1423" s="186"/>
      <c r="D1423" s="187"/>
      <c r="E1423" s="188"/>
      <c r="F1423" s="189"/>
      <c r="G1423" s="190"/>
      <c r="H1423" s="190"/>
      <c r="I1423" s="84"/>
      <c r="J1423" s="84"/>
      <c r="K1423" s="84"/>
      <c r="L1423" s="84"/>
      <c r="M1423" s="84"/>
      <c r="N1423" s="84"/>
      <c r="O1423" s="84"/>
      <c r="P1423" s="84"/>
      <c r="Q1423" s="84"/>
      <c r="R1423" s="84"/>
      <c r="S1423" s="84"/>
      <c r="T1423" s="84"/>
    </row>
    <row r="1424" ht="15.75" customHeight="1">
      <c r="A1424" s="84" t="s">
        <v>38020</v>
      </c>
      <c r="B1424" s="84">
        <v>1.0</v>
      </c>
      <c r="C1424" s="186"/>
      <c r="D1424" s="187"/>
      <c r="E1424" s="188"/>
      <c r="F1424" s="189"/>
      <c r="G1424" s="190"/>
      <c r="H1424" s="190"/>
      <c r="I1424" s="84"/>
      <c r="J1424" s="84"/>
      <c r="K1424" s="84"/>
      <c r="L1424" s="84"/>
      <c r="M1424" s="84"/>
      <c r="N1424" s="84"/>
      <c r="O1424" s="84"/>
      <c r="P1424" s="84"/>
      <c r="Q1424" s="84"/>
      <c r="R1424" s="84"/>
      <c r="S1424" s="84"/>
      <c r="T1424" s="84"/>
    </row>
    <row r="1425" ht="15.75" customHeight="1">
      <c r="A1425" s="84" t="s">
        <v>38021</v>
      </c>
      <c r="B1425" s="84">
        <v>1.0</v>
      </c>
      <c r="C1425" s="186"/>
      <c r="D1425" s="187"/>
      <c r="E1425" s="188"/>
      <c r="F1425" s="189"/>
      <c r="G1425" s="190"/>
      <c r="H1425" s="190"/>
      <c r="I1425" s="84"/>
      <c r="J1425" s="84"/>
      <c r="K1425" s="84"/>
      <c r="L1425" s="84"/>
      <c r="M1425" s="84"/>
      <c r="N1425" s="84"/>
      <c r="O1425" s="84"/>
      <c r="P1425" s="84"/>
      <c r="Q1425" s="84"/>
      <c r="R1425" s="84"/>
      <c r="S1425" s="84"/>
      <c r="T1425" s="84"/>
    </row>
    <row r="1426" ht="15.75" customHeight="1">
      <c r="A1426" s="84" t="s">
        <v>38023</v>
      </c>
      <c r="B1426" s="84">
        <v>1.0</v>
      </c>
      <c r="C1426" s="186"/>
      <c r="D1426" s="187"/>
      <c r="E1426" s="188"/>
      <c r="F1426" s="189"/>
      <c r="G1426" s="190"/>
      <c r="H1426" s="190"/>
      <c r="I1426" s="84"/>
      <c r="J1426" s="84"/>
      <c r="K1426" s="84"/>
      <c r="L1426" s="84"/>
      <c r="M1426" s="84"/>
      <c r="N1426" s="84"/>
      <c r="O1426" s="84"/>
      <c r="P1426" s="84"/>
      <c r="Q1426" s="84"/>
      <c r="R1426" s="84"/>
      <c r="S1426" s="84"/>
      <c r="T1426" s="84"/>
    </row>
    <row r="1427" ht="15.75" customHeight="1">
      <c r="A1427" s="84" t="s">
        <v>38024</v>
      </c>
      <c r="B1427" s="84">
        <v>2.0</v>
      </c>
      <c r="C1427" s="186"/>
      <c r="D1427" s="187"/>
      <c r="E1427" s="188"/>
      <c r="F1427" s="189"/>
      <c r="G1427" s="190"/>
      <c r="H1427" s="190"/>
      <c r="I1427" s="84"/>
      <c r="J1427" s="84"/>
      <c r="K1427" s="84"/>
      <c r="L1427" s="84"/>
      <c r="M1427" s="84"/>
      <c r="N1427" s="84"/>
      <c r="O1427" s="84"/>
      <c r="P1427" s="84"/>
      <c r="Q1427" s="84"/>
      <c r="R1427" s="84"/>
      <c r="S1427" s="84"/>
      <c r="T1427" s="84"/>
    </row>
    <row r="1428" ht="15.75" customHeight="1">
      <c r="A1428" s="84" t="s">
        <v>38029</v>
      </c>
      <c r="B1428" s="84">
        <v>14.0</v>
      </c>
      <c r="C1428" s="186"/>
      <c r="D1428" s="187"/>
      <c r="E1428" s="188"/>
      <c r="F1428" s="189"/>
      <c r="G1428" s="190"/>
      <c r="H1428" s="190"/>
      <c r="I1428" s="84"/>
      <c r="J1428" s="84"/>
      <c r="K1428" s="84"/>
      <c r="L1428" s="84"/>
      <c r="M1428" s="84"/>
      <c r="N1428" s="84"/>
      <c r="O1428" s="84"/>
      <c r="P1428" s="84"/>
      <c r="Q1428" s="84"/>
      <c r="R1428" s="84"/>
      <c r="S1428" s="84"/>
      <c r="T1428" s="84"/>
    </row>
    <row r="1429" ht="15.75" customHeight="1">
      <c r="A1429" s="84" t="s">
        <v>38035</v>
      </c>
      <c r="B1429" s="84">
        <v>3.0</v>
      </c>
      <c r="C1429" s="186"/>
      <c r="D1429" s="187"/>
      <c r="E1429" s="188"/>
      <c r="F1429" s="189"/>
      <c r="G1429" s="190"/>
      <c r="H1429" s="190"/>
      <c r="I1429" s="84"/>
      <c r="J1429" s="84"/>
      <c r="K1429" s="84"/>
      <c r="L1429" s="84"/>
      <c r="M1429" s="84"/>
      <c r="N1429" s="84"/>
      <c r="O1429" s="84"/>
      <c r="P1429" s="84"/>
      <c r="Q1429" s="84"/>
      <c r="R1429" s="84"/>
      <c r="S1429" s="84"/>
      <c r="T1429" s="84"/>
    </row>
    <row r="1430" ht="15.75" customHeight="1">
      <c r="A1430" s="84" t="s">
        <v>38036</v>
      </c>
      <c r="B1430" s="84">
        <v>3.0</v>
      </c>
      <c r="C1430" s="186"/>
      <c r="D1430" s="187"/>
      <c r="E1430" s="188"/>
      <c r="F1430" s="189"/>
      <c r="G1430" s="190"/>
      <c r="H1430" s="190"/>
      <c r="I1430" s="84"/>
      <c r="J1430" s="84"/>
      <c r="K1430" s="84"/>
      <c r="L1430" s="84"/>
      <c r="M1430" s="84"/>
      <c r="N1430" s="84"/>
      <c r="O1430" s="84"/>
      <c r="P1430" s="84"/>
      <c r="Q1430" s="84"/>
      <c r="R1430" s="84"/>
      <c r="S1430" s="84"/>
      <c r="T1430" s="84"/>
    </row>
    <row r="1431" ht="15.75" customHeight="1">
      <c r="A1431" s="84" t="s">
        <v>38039</v>
      </c>
      <c r="B1431" s="84">
        <v>2.0</v>
      </c>
      <c r="C1431" s="186"/>
      <c r="D1431" s="187"/>
      <c r="E1431" s="188"/>
      <c r="F1431" s="189"/>
      <c r="G1431" s="190"/>
      <c r="H1431" s="190"/>
      <c r="I1431" s="84"/>
      <c r="J1431" s="84"/>
      <c r="K1431" s="84"/>
      <c r="L1431" s="84"/>
      <c r="M1431" s="84"/>
      <c r="N1431" s="84"/>
      <c r="O1431" s="84"/>
      <c r="P1431" s="84"/>
      <c r="Q1431" s="84"/>
      <c r="R1431" s="84"/>
      <c r="S1431" s="84"/>
      <c r="T1431" s="84"/>
    </row>
    <row r="1432" ht="15.75" customHeight="1">
      <c r="A1432" s="84" t="s">
        <v>38042</v>
      </c>
      <c r="B1432" s="84">
        <v>1.0</v>
      </c>
      <c r="C1432" s="186"/>
      <c r="D1432" s="187"/>
      <c r="E1432" s="188"/>
      <c r="F1432" s="189"/>
      <c r="G1432" s="190"/>
      <c r="H1432" s="190"/>
      <c r="I1432" s="84"/>
      <c r="J1432" s="84"/>
      <c r="K1432" s="84"/>
      <c r="L1432" s="84"/>
      <c r="M1432" s="84"/>
      <c r="N1432" s="84"/>
      <c r="O1432" s="84"/>
      <c r="P1432" s="84"/>
      <c r="Q1432" s="84"/>
      <c r="R1432" s="84"/>
      <c r="S1432" s="84"/>
      <c r="T1432" s="84"/>
    </row>
    <row r="1433" ht="15.75" customHeight="1">
      <c r="A1433" s="84" t="s">
        <v>38043</v>
      </c>
      <c r="B1433" s="84">
        <v>1.0</v>
      </c>
      <c r="C1433" s="186"/>
      <c r="D1433" s="187"/>
      <c r="E1433" s="188"/>
      <c r="F1433" s="189"/>
      <c r="G1433" s="190"/>
      <c r="H1433" s="190"/>
      <c r="I1433" s="84"/>
      <c r="J1433" s="84"/>
      <c r="K1433" s="84"/>
      <c r="L1433" s="84"/>
      <c r="M1433" s="84"/>
      <c r="N1433" s="84"/>
      <c r="O1433" s="84"/>
      <c r="P1433" s="84"/>
      <c r="Q1433" s="84"/>
      <c r="R1433" s="84"/>
      <c r="S1433" s="84"/>
      <c r="T1433" s="84"/>
    </row>
    <row r="1434" ht="15.75" customHeight="1">
      <c r="A1434" s="84" t="s">
        <v>38048</v>
      </c>
      <c r="B1434" s="84">
        <v>1.0</v>
      </c>
      <c r="C1434" s="186"/>
      <c r="D1434" s="187"/>
      <c r="E1434" s="188"/>
      <c r="F1434" s="189"/>
      <c r="G1434" s="190"/>
      <c r="H1434" s="190"/>
      <c r="I1434" s="84"/>
      <c r="J1434" s="84"/>
      <c r="K1434" s="84"/>
      <c r="L1434" s="84"/>
      <c r="M1434" s="84"/>
      <c r="N1434" s="84"/>
      <c r="O1434" s="84"/>
      <c r="P1434" s="84"/>
      <c r="Q1434" s="84"/>
      <c r="R1434" s="84"/>
      <c r="S1434" s="84"/>
      <c r="T1434" s="84"/>
    </row>
    <row r="1435" ht="15.75" customHeight="1">
      <c r="A1435" s="84" t="s">
        <v>38049</v>
      </c>
      <c r="B1435" s="84">
        <v>4.0</v>
      </c>
      <c r="C1435" s="186"/>
      <c r="D1435" s="187"/>
      <c r="E1435" s="188"/>
      <c r="F1435" s="189"/>
      <c r="G1435" s="190"/>
      <c r="H1435" s="190"/>
      <c r="I1435" s="84"/>
      <c r="J1435" s="84"/>
      <c r="K1435" s="84"/>
      <c r="L1435" s="84"/>
      <c r="M1435" s="84"/>
      <c r="N1435" s="84"/>
      <c r="O1435" s="84"/>
      <c r="P1435" s="84"/>
      <c r="Q1435" s="84"/>
      <c r="R1435" s="84"/>
      <c r="S1435" s="84"/>
      <c r="T1435" s="84"/>
    </row>
    <row r="1436" ht="15.75" customHeight="1">
      <c r="A1436" s="84" t="s">
        <v>38052</v>
      </c>
      <c r="B1436" s="84">
        <v>1.0</v>
      </c>
      <c r="C1436" s="186" t="s">
        <v>30659</v>
      </c>
      <c r="D1436" s="187" t="s">
        <v>38049</v>
      </c>
      <c r="E1436" s="188"/>
      <c r="F1436" s="189"/>
      <c r="G1436" s="190"/>
      <c r="H1436" s="190"/>
      <c r="I1436" s="84"/>
      <c r="J1436" s="84"/>
      <c r="K1436" s="84"/>
      <c r="L1436" s="84"/>
      <c r="M1436" s="84"/>
      <c r="N1436" s="84"/>
      <c r="O1436" s="84"/>
      <c r="P1436" s="84"/>
      <c r="Q1436" s="84"/>
      <c r="R1436" s="84"/>
      <c r="S1436" s="84"/>
      <c r="T1436" s="84"/>
    </row>
    <row r="1437" ht="15.75" customHeight="1">
      <c r="A1437" s="84" t="s">
        <v>38055</v>
      </c>
      <c r="B1437" s="84">
        <v>2.0</v>
      </c>
      <c r="C1437" s="186" t="s">
        <v>30659</v>
      </c>
      <c r="D1437" s="187" t="s">
        <v>38056</v>
      </c>
      <c r="E1437" s="188"/>
      <c r="F1437" s="189"/>
      <c r="G1437" s="190"/>
      <c r="H1437" s="190"/>
      <c r="I1437" s="84"/>
      <c r="J1437" s="84"/>
      <c r="K1437" s="84"/>
      <c r="L1437" s="84"/>
      <c r="M1437" s="84"/>
      <c r="N1437" s="84"/>
      <c r="O1437" s="84"/>
      <c r="P1437" s="84"/>
      <c r="Q1437" s="84"/>
      <c r="R1437" s="84"/>
      <c r="S1437" s="84"/>
      <c r="T1437" s="84"/>
    </row>
    <row r="1438" ht="15.75" customHeight="1">
      <c r="A1438" s="84" t="s">
        <v>38056</v>
      </c>
      <c r="B1438" s="84">
        <v>4.0</v>
      </c>
      <c r="C1438" s="186"/>
      <c r="D1438" s="187"/>
      <c r="E1438" s="188"/>
      <c r="F1438" s="189"/>
      <c r="G1438" s="190"/>
      <c r="H1438" s="190"/>
      <c r="I1438" s="84"/>
      <c r="J1438" s="84"/>
      <c r="K1438" s="84"/>
      <c r="L1438" s="84"/>
      <c r="M1438" s="84"/>
      <c r="N1438" s="84"/>
      <c r="O1438" s="84"/>
      <c r="P1438" s="84"/>
      <c r="Q1438" s="84"/>
      <c r="R1438" s="84"/>
      <c r="S1438" s="84"/>
      <c r="T1438" s="84"/>
    </row>
    <row r="1439" ht="15.75" customHeight="1">
      <c r="A1439" s="84" t="s">
        <v>38059</v>
      </c>
      <c r="B1439" s="84">
        <v>3.0</v>
      </c>
      <c r="C1439" s="186" t="s">
        <v>30659</v>
      </c>
      <c r="D1439" s="187" t="s">
        <v>38061</v>
      </c>
      <c r="E1439" s="188"/>
      <c r="F1439" s="189"/>
      <c r="G1439" s="190"/>
      <c r="H1439" s="190"/>
      <c r="I1439" s="84"/>
      <c r="J1439" s="84"/>
      <c r="K1439" s="84"/>
      <c r="L1439" s="84"/>
      <c r="M1439" s="84"/>
      <c r="N1439" s="84"/>
      <c r="O1439" s="84"/>
      <c r="P1439" s="84"/>
      <c r="Q1439" s="84"/>
      <c r="R1439" s="84"/>
      <c r="S1439" s="84"/>
      <c r="T1439" s="84"/>
    </row>
    <row r="1440" ht="15.75" customHeight="1">
      <c r="A1440" s="84" t="s">
        <v>38061</v>
      </c>
      <c r="B1440" s="84">
        <v>10.0</v>
      </c>
      <c r="C1440" s="186"/>
      <c r="D1440" s="187"/>
      <c r="E1440" s="188"/>
      <c r="F1440" s="189"/>
      <c r="G1440" s="190"/>
      <c r="H1440" s="190"/>
      <c r="I1440" s="84"/>
      <c r="J1440" s="84"/>
      <c r="K1440" s="84"/>
      <c r="L1440" s="84"/>
      <c r="M1440" s="84"/>
      <c r="N1440" s="84"/>
      <c r="O1440" s="84"/>
      <c r="P1440" s="84"/>
      <c r="Q1440" s="84"/>
      <c r="R1440" s="84"/>
      <c r="S1440" s="84"/>
      <c r="T1440" s="84"/>
    </row>
    <row r="1441" ht="15.75" customHeight="1">
      <c r="A1441" s="84" t="s">
        <v>38065</v>
      </c>
      <c r="B1441" s="84">
        <v>1.0</v>
      </c>
      <c r="C1441" s="186"/>
      <c r="D1441" s="187"/>
      <c r="E1441" s="188"/>
      <c r="F1441" s="189"/>
      <c r="G1441" s="190"/>
      <c r="H1441" s="190"/>
      <c r="I1441" s="84"/>
      <c r="J1441" s="84"/>
      <c r="K1441" s="84"/>
      <c r="L1441" s="84"/>
      <c r="M1441" s="84"/>
      <c r="N1441" s="84"/>
      <c r="O1441" s="84"/>
      <c r="P1441" s="84"/>
      <c r="Q1441" s="84"/>
      <c r="R1441" s="84"/>
      <c r="S1441" s="84"/>
      <c r="T1441" s="84"/>
    </row>
    <row r="1442" ht="15.75" customHeight="1">
      <c r="A1442" s="84" t="s">
        <v>38066</v>
      </c>
      <c r="B1442" s="84">
        <v>2.0</v>
      </c>
      <c r="C1442" s="186"/>
      <c r="D1442" s="187"/>
      <c r="E1442" s="188"/>
      <c r="F1442" s="189"/>
      <c r="G1442" s="190"/>
      <c r="H1442" s="190"/>
      <c r="I1442" s="84"/>
      <c r="J1442" s="84"/>
      <c r="K1442" s="84"/>
      <c r="L1442" s="84"/>
      <c r="M1442" s="84"/>
      <c r="N1442" s="84"/>
      <c r="O1442" s="84"/>
      <c r="P1442" s="84"/>
      <c r="Q1442" s="84"/>
      <c r="R1442" s="84"/>
      <c r="S1442" s="84"/>
      <c r="T1442" s="84"/>
    </row>
    <row r="1443" ht="15.75" customHeight="1">
      <c r="A1443" s="84" t="s">
        <v>38067</v>
      </c>
      <c r="B1443" s="84">
        <v>1.0</v>
      </c>
      <c r="C1443" s="186"/>
      <c r="D1443" s="187"/>
      <c r="E1443" s="188"/>
      <c r="F1443" s="189"/>
      <c r="G1443" s="190"/>
      <c r="H1443" s="190"/>
      <c r="I1443" s="84"/>
      <c r="J1443" s="84"/>
      <c r="K1443" s="84"/>
      <c r="L1443" s="84"/>
      <c r="M1443" s="84"/>
      <c r="N1443" s="84"/>
      <c r="O1443" s="84"/>
      <c r="P1443" s="84"/>
      <c r="Q1443" s="84"/>
      <c r="R1443" s="84"/>
      <c r="S1443" s="84"/>
      <c r="T1443" s="84"/>
    </row>
    <row r="1444" ht="15.75" customHeight="1">
      <c r="A1444" s="84" t="s">
        <v>38069</v>
      </c>
      <c r="B1444" s="84">
        <v>1.0</v>
      </c>
      <c r="C1444" s="186"/>
      <c r="D1444" s="187"/>
      <c r="E1444" s="188"/>
      <c r="F1444" s="189"/>
      <c r="G1444" s="190"/>
      <c r="H1444" s="190"/>
      <c r="I1444" s="84"/>
      <c r="J1444" s="84"/>
      <c r="K1444" s="84"/>
      <c r="L1444" s="84"/>
      <c r="M1444" s="84"/>
      <c r="N1444" s="84"/>
      <c r="O1444" s="84"/>
      <c r="P1444" s="84"/>
      <c r="Q1444" s="84"/>
      <c r="R1444" s="84"/>
      <c r="S1444" s="84"/>
      <c r="T1444" s="84"/>
    </row>
    <row r="1445" ht="15.75" customHeight="1">
      <c r="A1445" s="84" t="s">
        <v>38071</v>
      </c>
      <c r="B1445" s="84">
        <v>1.0</v>
      </c>
      <c r="C1445" s="186"/>
      <c r="D1445" s="187"/>
      <c r="E1445" s="188"/>
      <c r="F1445" s="189"/>
      <c r="G1445" s="190"/>
      <c r="H1445" s="190"/>
      <c r="I1445" s="84"/>
      <c r="J1445" s="84"/>
      <c r="K1445" s="84"/>
      <c r="L1445" s="84"/>
      <c r="M1445" s="84"/>
      <c r="N1445" s="84"/>
      <c r="O1445" s="84"/>
      <c r="P1445" s="84"/>
      <c r="Q1445" s="84"/>
      <c r="R1445" s="84"/>
      <c r="S1445" s="84"/>
      <c r="T1445" s="84"/>
    </row>
    <row r="1446" ht="15.75" customHeight="1">
      <c r="A1446" s="84" t="s">
        <v>38073</v>
      </c>
      <c r="B1446" s="84">
        <v>1.0</v>
      </c>
      <c r="C1446" s="186"/>
      <c r="D1446" s="187"/>
      <c r="E1446" s="188"/>
      <c r="F1446" s="189"/>
      <c r="G1446" s="190"/>
      <c r="H1446" s="190"/>
      <c r="I1446" s="84"/>
      <c r="J1446" s="84"/>
      <c r="K1446" s="84"/>
      <c r="L1446" s="84"/>
      <c r="M1446" s="84"/>
      <c r="N1446" s="84"/>
      <c r="O1446" s="84"/>
      <c r="P1446" s="84"/>
      <c r="Q1446" s="84"/>
      <c r="R1446" s="84"/>
      <c r="S1446" s="84"/>
      <c r="T1446" s="84"/>
    </row>
    <row r="1447" ht="15.75" customHeight="1">
      <c r="A1447" s="84" t="s">
        <v>38074</v>
      </c>
      <c r="B1447" s="84">
        <v>1.0</v>
      </c>
      <c r="C1447" s="186"/>
      <c r="D1447" s="187"/>
      <c r="E1447" s="188"/>
      <c r="F1447" s="189"/>
      <c r="G1447" s="190"/>
      <c r="H1447" s="190"/>
      <c r="I1447" s="84"/>
      <c r="J1447" s="84"/>
      <c r="K1447" s="84"/>
      <c r="L1447" s="84"/>
      <c r="M1447" s="84"/>
      <c r="N1447" s="84"/>
      <c r="O1447" s="84"/>
      <c r="P1447" s="84"/>
      <c r="Q1447" s="84"/>
      <c r="R1447" s="84"/>
      <c r="S1447" s="84"/>
      <c r="T1447" s="84"/>
    </row>
    <row r="1448" ht="15.75" customHeight="1">
      <c r="A1448" s="84" t="s">
        <v>38076</v>
      </c>
      <c r="B1448" s="84">
        <v>1.0</v>
      </c>
      <c r="C1448" s="186"/>
      <c r="D1448" s="187"/>
      <c r="E1448" s="188"/>
      <c r="F1448" s="189"/>
      <c r="G1448" s="190"/>
      <c r="H1448" s="190"/>
      <c r="I1448" s="84"/>
      <c r="J1448" s="84"/>
      <c r="K1448" s="84"/>
      <c r="L1448" s="84"/>
      <c r="M1448" s="84"/>
      <c r="N1448" s="84"/>
      <c r="O1448" s="84"/>
      <c r="P1448" s="84"/>
      <c r="Q1448" s="84"/>
      <c r="R1448" s="84"/>
      <c r="S1448" s="84"/>
      <c r="T1448" s="84"/>
    </row>
    <row r="1449" ht="15.75" customHeight="1">
      <c r="A1449" s="84" t="s">
        <v>38077</v>
      </c>
      <c r="B1449" s="84">
        <v>2.0</v>
      </c>
      <c r="C1449" s="186" t="s">
        <v>30659</v>
      </c>
      <c r="D1449" s="187" t="s">
        <v>38078</v>
      </c>
      <c r="E1449" s="188"/>
      <c r="F1449" s="189"/>
      <c r="G1449" s="190"/>
      <c r="H1449" s="190"/>
      <c r="I1449" s="84"/>
      <c r="J1449" s="84"/>
      <c r="K1449" s="84"/>
      <c r="L1449" s="84"/>
      <c r="M1449" s="84"/>
      <c r="N1449" s="84"/>
      <c r="O1449" s="84"/>
      <c r="P1449" s="84"/>
      <c r="Q1449" s="84"/>
      <c r="R1449" s="84"/>
      <c r="S1449" s="84"/>
      <c r="T1449" s="84"/>
    </row>
    <row r="1450" ht="15.75" customHeight="1">
      <c r="A1450" s="84" t="s">
        <v>38081</v>
      </c>
      <c r="B1450" s="84">
        <v>1.0</v>
      </c>
      <c r="C1450" s="186"/>
      <c r="D1450" s="187"/>
      <c r="E1450" s="188"/>
      <c r="F1450" s="189"/>
      <c r="G1450" s="190"/>
      <c r="H1450" s="190"/>
      <c r="I1450" s="84"/>
      <c r="J1450" s="84"/>
      <c r="K1450" s="84"/>
      <c r="L1450" s="84"/>
      <c r="M1450" s="84"/>
      <c r="N1450" s="84"/>
      <c r="O1450" s="84"/>
      <c r="P1450" s="84"/>
      <c r="Q1450" s="84"/>
      <c r="R1450" s="84"/>
      <c r="S1450" s="84"/>
      <c r="T1450" s="84"/>
    </row>
    <row r="1451" ht="15.75" customHeight="1">
      <c r="A1451" s="84" t="s">
        <v>38082</v>
      </c>
      <c r="B1451" s="84">
        <v>2.0</v>
      </c>
      <c r="C1451" s="186"/>
      <c r="D1451" s="187"/>
      <c r="E1451" s="188"/>
      <c r="F1451" s="189"/>
      <c r="G1451" s="190"/>
      <c r="H1451" s="190"/>
      <c r="I1451" s="84"/>
      <c r="J1451" s="84"/>
      <c r="K1451" s="84"/>
      <c r="L1451" s="84"/>
      <c r="M1451" s="84"/>
      <c r="N1451" s="84"/>
      <c r="O1451" s="84"/>
      <c r="P1451" s="84"/>
      <c r="Q1451" s="84"/>
      <c r="R1451" s="84"/>
      <c r="S1451" s="84"/>
      <c r="T1451" s="84"/>
    </row>
    <row r="1452" ht="15.75" customHeight="1">
      <c r="A1452" s="84" t="s">
        <v>38083</v>
      </c>
      <c r="B1452" s="84">
        <v>1.0</v>
      </c>
      <c r="C1452" s="186"/>
      <c r="D1452" s="187"/>
      <c r="E1452" s="188"/>
      <c r="F1452" s="189"/>
      <c r="G1452" s="190"/>
      <c r="H1452" s="190"/>
      <c r="I1452" s="84"/>
      <c r="J1452" s="84"/>
      <c r="K1452" s="84"/>
      <c r="L1452" s="84"/>
      <c r="M1452" s="84"/>
      <c r="N1452" s="84"/>
      <c r="O1452" s="84"/>
      <c r="P1452" s="84"/>
      <c r="Q1452" s="84"/>
      <c r="R1452" s="84"/>
      <c r="S1452" s="84"/>
      <c r="T1452" s="84"/>
    </row>
    <row r="1453" ht="15.75" customHeight="1">
      <c r="A1453" s="84" t="s">
        <v>38078</v>
      </c>
      <c r="B1453" s="84">
        <v>3.0</v>
      </c>
      <c r="C1453" s="186"/>
      <c r="D1453" s="187"/>
      <c r="E1453" s="188"/>
      <c r="F1453" s="189"/>
      <c r="G1453" s="190"/>
      <c r="H1453" s="190"/>
      <c r="I1453" s="84"/>
      <c r="J1453" s="84"/>
      <c r="K1453" s="84"/>
      <c r="L1453" s="84"/>
      <c r="M1453" s="84"/>
      <c r="N1453" s="84"/>
      <c r="O1453" s="84"/>
      <c r="P1453" s="84"/>
      <c r="Q1453" s="84"/>
      <c r="R1453" s="84"/>
      <c r="S1453" s="84"/>
      <c r="T1453" s="84"/>
    </row>
    <row r="1454" ht="15.75" customHeight="1">
      <c r="A1454" s="84" t="s">
        <v>38085</v>
      </c>
      <c r="B1454" s="84">
        <v>1.0</v>
      </c>
      <c r="C1454" s="186"/>
      <c r="D1454" s="187"/>
      <c r="E1454" s="188"/>
      <c r="F1454" s="189"/>
      <c r="G1454" s="190"/>
      <c r="H1454" s="190"/>
      <c r="I1454" s="84"/>
      <c r="J1454" s="84"/>
      <c r="K1454" s="84"/>
      <c r="L1454" s="84"/>
      <c r="M1454" s="84"/>
      <c r="N1454" s="84"/>
      <c r="O1454" s="84"/>
      <c r="P1454" s="84"/>
      <c r="Q1454" s="84"/>
      <c r="R1454" s="84"/>
      <c r="S1454" s="84"/>
      <c r="T1454" s="84"/>
    </row>
    <row r="1455" ht="15.75" customHeight="1">
      <c r="A1455" s="84" t="s">
        <v>38086</v>
      </c>
      <c r="B1455" s="84">
        <v>2.0</v>
      </c>
      <c r="C1455" s="186"/>
      <c r="D1455" s="187"/>
      <c r="E1455" s="188"/>
      <c r="F1455" s="189"/>
      <c r="G1455" s="190"/>
      <c r="H1455" s="190"/>
      <c r="I1455" s="84"/>
      <c r="J1455" s="84"/>
      <c r="K1455" s="84"/>
      <c r="L1455" s="84"/>
      <c r="M1455" s="84"/>
      <c r="N1455" s="84"/>
      <c r="O1455" s="84"/>
      <c r="P1455" s="84"/>
      <c r="Q1455" s="84"/>
      <c r="R1455" s="84"/>
      <c r="S1455" s="84"/>
      <c r="T1455" s="84"/>
    </row>
    <row r="1456" ht="15.75" customHeight="1">
      <c r="A1456" s="84" t="s">
        <v>38090</v>
      </c>
      <c r="B1456" s="84">
        <v>1.0</v>
      </c>
      <c r="C1456" s="186"/>
      <c r="D1456" s="187"/>
      <c r="E1456" s="188"/>
      <c r="F1456" s="189"/>
      <c r="G1456" s="190"/>
      <c r="H1456" s="190"/>
      <c r="I1456" s="84"/>
      <c r="J1456" s="84"/>
      <c r="K1456" s="84"/>
      <c r="L1456" s="84"/>
      <c r="M1456" s="84"/>
      <c r="N1456" s="84"/>
      <c r="O1456" s="84"/>
      <c r="P1456" s="84"/>
      <c r="Q1456" s="84"/>
      <c r="R1456" s="84"/>
      <c r="S1456" s="84"/>
      <c r="T1456" s="84"/>
    </row>
    <row r="1457" ht="15.75" customHeight="1">
      <c r="A1457" s="84" t="s">
        <v>38091</v>
      </c>
      <c r="B1457" s="84">
        <v>1.0</v>
      </c>
      <c r="C1457" s="186"/>
      <c r="D1457" s="187"/>
      <c r="E1457" s="188"/>
      <c r="F1457" s="189"/>
      <c r="G1457" s="190"/>
      <c r="H1457" s="190"/>
      <c r="I1457" s="84"/>
      <c r="J1457" s="84"/>
      <c r="K1457" s="84"/>
      <c r="L1457" s="84"/>
      <c r="M1457" s="84"/>
      <c r="N1457" s="84"/>
      <c r="O1457" s="84"/>
      <c r="P1457" s="84"/>
      <c r="Q1457" s="84"/>
      <c r="R1457" s="84"/>
      <c r="S1457" s="84"/>
      <c r="T1457" s="84"/>
    </row>
    <row r="1458" ht="15.75" customHeight="1">
      <c r="A1458" s="84" t="s">
        <v>38095</v>
      </c>
      <c r="B1458" s="84">
        <v>1.0</v>
      </c>
      <c r="C1458" s="186"/>
      <c r="D1458" s="187"/>
      <c r="E1458" s="188"/>
      <c r="F1458" s="189"/>
      <c r="G1458" s="190"/>
      <c r="H1458" s="190"/>
      <c r="I1458" s="84"/>
      <c r="J1458" s="84"/>
      <c r="K1458" s="84"/>
      <c r="L1458" s="84"/>
      <c r="M1458" s="84"/>
      <c r="N1458" s="84"/>
      <c r="O1458" s="84"/>
      <c r="P1458" s="84"/>
      <c r="Q1458" s="84"/>
      <c r="R1458" s="84"/>
      <c r="S1458" s="84"/>
      <c r="T1458" s="84"/>
    </row>
    <row r="1459" ht="15.75" customHeight="1">
      <c r="A1459" s="84" t="s">
        <v>38096</v>
      </c>
      <c r="B1459" s="84">
        <v>2.0</v>
      </c>
      <c r="C1459" s="186"/>
      <c r="D1459" s="187"/>
      <c r="E1459" s="188"/>
      <c r="F1459" s="189"/>
      <c r="G1459" s="190"/>
      <c r="H1459" s="190"/>
      <c r="I1459" s="84"/>
      <c r="J1459" s="84"/>
      <c r="K1459" s="84"/>
      <c r="L1459" s="84"/>
      <c r="M1459" s="84"/>
      <c r="N1459" s="84"/>
      <c r="O1459" s="84"/>
      <c r="P1459" s="84"/>
      <c r="Q1459" s="84"/>
      <c r="R1459" s="84"/>
      <c r="S1459" s="84"/>
      <c r="T1459" s="84"/>
    </row>
    <row r="1460" ht="15.75" customHeight="1">
      <c r="A1460" s="84" t="s">
        <v>38097</v>
      </c>
      <c r="B1460" s="84">
        <v>1.0</v>
      </c>
      <c r="C1460" s="186"/>
      <c r="D1460" s="187"/>
      <c r="E1460" s="188"/>
      <c r="F1460" s="189"/>
      <c r="G1460" s="190"/>
      <c r="H1460" s="190"/>
      <c r="I1460" s="84"/>
      <c r="J1460" s="84"/>
      <c r="K1460" s="84"/>
      <c r="L1460" s="84"/>
      <c r="M1460" s="84"/>
      <c r="N1460" s="84"/>
      <c r="O1460" s="84"/>
      <c r="P1460" s="84"/>
      <c r="Q1460" s="84"/>
      <c r="R1460" s="84"/>
      <c r="S1460" s="84"/>
      <c r="T1460" s="84"/>
    </row>
    <row r="1461" ht="15.75" customHeight="1">
      <c r="A1461" s="84" t="s">
        <v>38100</v>
      </c>
      <c r="B1461" s="84">
        <v>1.0</v>
      </c>
      <c r="C1461" s="186"/>
      <c r="D1461" s="187"/>
      <c r="E1461" s="188"/>
      <c r="F1461" s="189"/>
      <c r="G1461" s="190"/>
      <c r="H1461" s="190"/>
      <c r="I1461" s="84"/>
      <c r="J1461" s="84"/>
      <c r="K1461" s="84"/>
      <c r="L1461" s="84"/>
      <c r="M1461" s="84"/>
      <c r="N1461" s="84"/>
      <c r="O1461" s="84"/>
      <c r="P1461" s="84"/>
      <c r="Q1461" s="84"/>
      <c r="R1461" s="84"/>
      <c r="S1461" s="84"/>
      <c r="T1461" s="84"/>
    </row>
    <row r="1462" ht="15.75" customHeight="1">
      <c r="A1462" s="84" t="s">
        <v>38103</v>
      </c>
      <c r="B1462" s="84">
        <v>1.0</v>
      </c>
      <c r="C1462" s="186"/>
      <c r="D1462" s="187"/>
      <c r="E1462" s="188"/>
      <c r="F1462" s="189"/>
      <c r="G1462" s="190"/>
      <c r="H1462" s="190"/>
      <c r="I1462" s="84"/>
      <c r="J1462" s="84"/>
      <c r="K1462" s="84"/>
      <c r="L1462" s="84"/>
      <c r="M1462" s="84"/>
      <c r="N1462" s="84"/>
      <c r="O1462" s="84"/>
      <c r="P1462" s="84"/>
      <c r="Q1462" s="84"/>
      <c r="R1462" s="84"/>
      <c r="S1462" s="84"/>
      <c r="T1462" s="84"/>
    </row>
    <row r="1463" ht="15.75" customHeight="1">
      <c r="A1463" s="84" t="s">
        <v>38104</v>
      </c>
      <c r="B1463" s="84">
        <v>2.0</v>
      </c>
      <c r="C1463" s="186"/>
      <c r="D1463" s="187"/>
      <c r="E1463" s="188"/>
      <c r="F1463" s="189"/>
      <c r="G1463" s="190"/>
      <c r="H1463" s="190"/>
      <c r="I1463" s="84"/>
      <c r="J1463" s="84"/>
      <c r="K1463" s="84"/>
      <c r="L1463" s="84"/>
      <c r="M1463" s="84"/>
      <c r="N1463" s="84"/>
      <c r="O1463" s="84"/>
      <c r="P1463" s="84"/>
      <c r="Q1463" s="84"/>
      <c r="R1463" s="84"/>
      <c r="S1463" s="84"/>
      <c r="T1463" s="84"/>
    </row>
    <row r="1464" ht="15.75" customHeight="1">
      <c r="A1464" s="84" t="s">
        <v>38108</v>
      </c>
      <c r="B1464" s="84">
        <v>1.0</v>
      </c>
      <c r="C1464" s="186" t="s">
        <v>30659</v>
      </c>
      <c r="D1464" s="187" t="s">
        <v>38110</v>
      </c>
      <c r="E1464" s="188"/>
      <c r="F1464" s="189"/>
      <c r="G1464" s="190"/>
      <c r="H1464" s="190"/>
      <c r="I1464" s="84"/>
      <c r="J1464" s="84"/>
      <c r="K1464" s="84"/>
      <c r="L1464" s="84"/>
      <c r="M1464" s="84"/>
      <c r="N1464" s="84"/>
      <c r="O1464" s="84"/>
      <c r="P1464" s="84"/>
      <c r="Q1464" s="84"/>
      <c r="R1464" s="84"/>
      <c r="S1464" s="84"/>
      <c r="T1464" s="84"/>
    </row>
    <row r="1465" ht="15.75" customHeight="1">
      <c r="A1465" s="84" t="s">
        <v>38111</v>
      </c>
      <c r="B1465" s="84">
        <v>1.0</v>
      </c>
      <c r="C1465" s="186"/>
      <c r="D1465" s="187"/>
      <c r="E1465" s="188"/>
      <c r="F1465" s="189"/>
      <c r="G1465" s="190"/>
      <c r="H1465" s="190"/>
      <c r="I1465" s="84"/>
      <c r="J1465" s="84"/>
      <c r="K1465" s="84"/>
      <c r="L1465" s="84"/>
      <c r="M1465" s="84"/>
      <c r="N1465" s="84"/>
      <c r="O1465" s="84"/>
      <c r="P1465" s="84"/>
      <c r="Q1465" s="84"/>
      <c r="R1465" s="84"/>
      <c r="S1465" s="84"/>
      <c r="T1465" s="84"/>
    </row>
    <row r="1466" ht="15.75" customHeight="1">
      <c r="A1466" s="84" t="s">
        <v>38110</v>
      </c>
      <c r="B1466" s="84">
        <v>2.0</v>
      </c>
      <c r="C1466" s="186"/>
      <c r="D1466" s="187"/>
      <c r="E1466" s="188"/>
      <c r="F1466" s="189"/>
      <c r="G1466" s="190"/>
      <c r="H1466" s="190"/>
      <c r="I1466" s="84"/>
      <c r="J1466" s="84"/>
      <c r="K1466" s="84"/>
      <c r="L1466" s="84"/>
      <c r="M1466" s="84"/>
      <c r="N1466" s="84"/>
      <c r="O1466" s="84"/>
      <c r="P1466" s="84"/>
      <c r="Q1466" s="84"/>
      <c r="R1466" s="84"/>
      <c r="S1466" s="84"/>
      <c r="T1466" s="84"/>
    </row>
    <row r="1467" ht="15.75" customHeight="1">
      <c r="A1467" s="84" t="s">
        <v>38115</v>
      </c>
      <c r="B1467" s="84">
        <v>1.0</v>
      </c>
      <c r="C1467" s="186"/>
      <c r="D1467" s="187"/>
      <c r="E1467" s="188"/>
      <c r="F1467" s="189"/>
      <c r="G1467" s="190"/>
      <c r="H1467" s="190"/>
      <c r="I1467" s="84"/>
      <c r="J1467" s="84"/>
      <c r="K1467" s="84"/>
      <c r="L1467" s="84"/>
      <c r="M1467" s="84"/>
      <c r="N1467" s="84"/>
      <c r="O1467" s="84"/>
      <c r="P1467" s="84"/>
      <c r="Q1467" s="84"/>
      <c r="R1467" s="84"/>
      <c r="S1467" s="84"/>
      <c r="T1467" s="84"/>
    </row>
    <row r="1468" ht="15.75" customHeight="1">
      <c r="A1468" s="84" t="s">
        <v>38116</v>
      </c>
      <c r="B1468" s="84">
        <v>1.0</v>
      </c>
      <c r="C1468" s="186"/>
      <c r="D1468" s="187"/>
      <c r="E1468" s="188"/>
      <c r="F1468" s="189"/>
      <c r="G1468" s="190"/>
      <c r="H1468" s="190"/>
      <c r="I1468" s="84"/>
      <c r="J1468" s="84"/>
      <c r="K1468" s="84"/>
      <c r="L1468" s="84"/>
      <c r="M1468" s="84"/>
      <c r="N1468" s="84"/>
      <c r="O1468" s="84"/>
      <c r="P1468" s="84"/>
      <c r="Q1468" s="84"/>
      <c r="R1468" s="84"/>
      <c r="S1468" s="84"/>
      <c r="T1468" s="84"/>
    </row>
    <row r="1469" ht="15.75" customHeight="1">
      <c r="A1469" s="84" t="s">
        <v>38118</v>
      </c>
      <c r="B1469" s="84">
        <v>1.0</v>
      </c>
      <c r="C1469" s="186"/>
      <c r="D1469" s="187"/>
      <c r="E1469" s="188"/>
      <c r="F1469" s="189"/>
      <c r="G1469" s="190"/>
      <c r="H1469" s="190"/>
      <c r="I1469" s="84"/>
      <c r="J1469" s="84"/>
      <c r="K1469" s="84"/>
      <c r="L1469" s="84"/>
      <c r="M1469" s="84"/>
      <c r="N1469" s="84"/>
      <c r="O1469" s="84"/>
      <c r="P1469" s="84"/>
      <c r="Q1469" s="84"/>
      <c r="R1469" s="84"/>
      <c r="S1469" s="84"/>
      <c r="T1469" s="84"/>
    </row>
    <row r="1470" ht="15.75" customHeight="1">
      <c r="A1470" s="84" t="s">
        <v>38121</v>
      </c>
      <c r="B1470" s="84">
        <v>1.0</v>
      </c>
      <c r="C1470" s="186"/>
      <c r="D1470" s="187" t="s">
        <v>35842</v>
      </c>
      <c r="E1470" s="188"/>
      <c r="F1470" s="189"/>
      <c r="G1470" s="190"/>
      <c r="H1470" s="190"/>
      <c r="I1470" s="84"/>
      <c r="J1470" s="84"/>
      <c r="K1470" s="84"/>
      <c r="L1470" s="84"/>
      <c r="M1470" s="84"/>
      <c r="N1470" s="84"/>
      <c r="O1470" s="84"/>
      <c r="P1470" s="84"/>
      <c r="Q1470" s="84"/>
      <c r="R1470" s="84"/>
      <c r="S1470" s="84"/>
      <c r="T1470" s="84"/>
    </row>
    <row r="1471" ht="15.75" customHeight="1">
      <c r="A1471" s="84" t="s">
        <v>38122</v>
      </c>
      <c r="B1471" s="84">
        <v>1.0</v>
      </c>
      <c r="C1471" s="186"/>
      <c r="D1471" s="187"/>
      <c r="E1471" s="188"/>
      <c r="F1471" s="189" t="s">
        <v>30659</v>
      </c>
      <c r="G1471" s="190" t="s">
        <v>35842</v>
      </c>
      <c r="H1471" s="190"/>
      <c r="I1471" s="84"/>
      <c r="J1471" s="84"/>
      <c r="K1471" s="84"/>
      <c r="L1471" s="84"/>
      <c r="M1471" s="84"/>
      <c r="N1471" s="84"/>
      <c r="O1471" s="84"/>
      <c r="P1471" s="84"/>
      <c r="Q1471" s="84"/>
      <c r="R1471" s="84"/>
      <c r="S1471" s="84"/>
      <c r="T1471" s="84"/>
    </row>
    <row r="1472" ht="15.75" customHeight="1">
      <c r="A1472" s="84" t="s">
        <v>38123</v>
      </c>
      <c r="B1472" s="84">
        <v>1.0</v>
      </c>
      <c r="C1472" s="186"/>
      <c r="D1472" s="187"/>
      <c r="E1472" s="188"/>
      <c r="F1472" s="189"/>
      <c r="G1472" s="190"/>
      <c r="H1472" s="190"/>
      <c r="I1472" s="84"/>
      <c r="J1472" s="84"/>
      <c r="K1472" s="84"/>
      <c r="L1472" s="84"/>
      <c r="M1472" s="84"/>
      <c r="N1472" s="84"/>
      <c r="O1472" s="84"/>
      <c r="P1472" s="84"/>
      <c r="Q1472" s="84"/>
      <c r="R1472" s="84"/>
      <c r="S1472" s="84"/>
      <c r="T1472" s="84"/>
    </row>
    <row r="1473" ht="15.75" customHeight="1">
      <c r="A1473" s="84" t="s">
        <v>38125</v>
      </c>
      <c r="B1473" s="84">
        <v>1.0</v>
      </c>
      <c r="C1473" s="186"/>
      <c r="D1473" s="187"/>
      <c r="E1473" s="188"/>
      <c r="F1473" s="189"/>
      <c r="G1473" s="190"/>
      <c r="H1473" s="190"/>
      <c r="I1473" s="84"/>
      <c r="J1473" s="84"/>
      <c r="K1473" s="84"/>
      <c r="L1473" s="84"/>
      <c r="M1473" s="84"/>
      <c r="N1473" s="84"/>
      <c r="O1473" s="84"/>
      <c r="P1473" s="84"/>
      <c r="Q1473" s="84"/>
      <c r="R1473" s="84"/>
      <c r="S1473" s="84"/>
      <c r="T1473" s="84"/>
    </row>
    <row r="1474" ht="15.75" customHeight="1">
      <c r="A1474" s="84" t="s">
        <v>38126</v>
      </c>
      <c r="B1474" s="84">
        <v>1.0</v>
      </c>
      <c r="C1474" s="186"/>
      <c r="D1474" s="187"/>
      <c r="E1474" s="188"/>
      <c r="F1474" s="189"/>
      <c r="G1474" s="190"/>
      <c r="H1474" s="190"/>
      <c r="I1474" s="84"/>
      <c r="J1474" s="84"/>
      <c r="K1474" s="84"/>
      <c r="L1474" s="84"/>
      <c r="M1474" s="84"/>
      <c r="N1474" s="84"/>
      <c r="O1474" s="84"/>
      <c r="P1474" s="84"/>
      <c r="Q1474" s="84"/>
      <c r="R1474" s="84"/>
      <c r="S1474" s="84"/>
      <c r="T1474" s="84"/>
    </row>
    <row r="1475" ht="15.75" customHeight="1">
      <c r="A1475" s="84" t="s">
        <v>38129</v>
      </c>
      <c r="B1475" s="84">
        <v>5.0</v>
      </c>
      <c r="C1475" s="186"/>
      <c r="D1475" s="187"/>
      <c r="E1475" s="188"/>
      <c r="F1475" s="189"/>
      <c r="G1475" s="190"/>
      <c r="H1475" s="190"/>
      <c r="I1475" s="84"/>
      <c r="J1475" s="84"/>
      <c r="K1475" s="84"/>
      <c r="L1475" s="84"/>
      <c r="M1475" s="84"/>
      <c r="N1475" s="84"/>
      <c r="O1475" s="84"/>
      <c r="P1475" s="84"/>
      <c r="Q1475" s="84"/>
      <c r="R1475" s="84"/>
      <c r="S1475" s="84"/>
      <c r="T1475" s="84"/>
    </row>
    <row r="1476" ht="15.75" customHeight="1">
      <c r="A1476" s="84" t="s">
        <v>38131</v>
      </c>
      <c r="B1476" s="84">
        <v>49.0</v>
      </c>
      <c r="C1476" s="186"/>
      <c r="D1476" s="187"/>
      <c r="E1476" s="188"/>
      <c r="F1476" s="189"/>
      <c r="G1476" s="190"/>
      <c r="H1476" s="190"/>
      <c r="I1476" s="84"/>
      <c r="J1476" s="84"/>
      <c r="K1476" s="84"/>
      <c r="L1476" s="84"/>
      <c r="M1476" s="84"/>
      <c r="N1476" s="84"/>
      <c r="O1476" s="84"/>
      <c r="P1476" s="84"/>
      <c r="Q1476" s="84"/>
      <c r="R1476" s="84"/>
      <c r="S1476" s="84"/>
      <c r="T1476" s="84"/>
    </row>
    <row r="1477" ht="15.75" customHeight="1">
      <c r="A1477" s="84" t="s">
        <v>38135</v>
      </c>
      <c r="B1477" s="84">
        <v>1.0</v>
      </c>
      <c r="C1477" s="186" t="s">
        <v>30659</v>
      </c>
      <c r="D1477" s="187" t="s">
        <v>38131</v>
      </c>
      <c r="E1477" s="188"/>
      <c r="F1477" s="189"/>
      <c r="G1477" s="190"/>
      <c r="H1477" s="190"/>
      <c r="I1477" s="84"/>
      <c r="J1477" s="84"/>
      <c r="K1477" s="84"/>
      <c r="L1477" s="84"/>
      <c r="M1477" s="84"/>
      <c r="N1477" s="84"/>
      <c r="O1477" s="84"/>
      <c r="P1477" s="84"/>
      <c r="Q1477" s="84"/>
      <c r="R1477" s="84"/>
      <c r="S1477" s="84"/>
      <c r="T1477" s="84"/>
    </row>
    <row r="1478" ht="15.75" customHeight="1">
      <c r="A1478" s="84" t="s">
        <v>38136</v>
      </c>
      <c r="B1478" s="84">
        <v>3.0</v>
      </c>
      <c r="C1478" s="186"/>
      <c r="D1478" s="187"/>
      <c r="E1478" s="188"/>
      <c r="F1478" s="189"/>
      <c r="G1478" s="190"/>
      <c r="H1478" s="190"/>
      <c r="I1478" s="84"/>
      <c r="J1478" s="84"/>
      <c r="K1478" s="84"/>
      <c r="L1478" s="84"/>
      <c r="M1478" s="84"/>
      <c r="N1478" s="84"/>
      <c r="O1478" s="84"/>
      <c r="P1478" s="84"/>
      <c r="Q1478" s="84"/>
      <c r="R1478" s="84"/>
      <c r="S1478" s="84"/>
      <c r="T1478" s="84"/>
    </row>
    <row r="1479" ht="15.75" customHeight="1">
      <c r="A1479" s="84" t="s">
        <v>38137</v>
      </c>
      <c r="B1479" s="84">
        <v>2.0</v>
      </c>
      <c r="C1479" s="186"/>
      <c r="D1479" s="187"/>
      <c r="E1479" s="188"/>
      <c r="F1479" s="189"/>
      <c r="G1479" s="190"/>
      <c r="H1479" s="190"/>
      <c r="I1479" s="84"/>
      <c r="J1479" s="84"/>
      <c r="K1479" s="84"/>
      <c r="L1479" s="84"/>
      <c r="M1479" s="84"/>
      <c r="N1479" s="84"/>
      <c r="O1479" s="84"/>
      <c r="P1479" s="84"/>
      <c r="Q1479" s="84"/>
      <c r="R1479" s="84"/>
      <c r="S1479" s="84"/>
      <c r="T1479" s="84"/>
    </row>
    <row r="1480" ht="15.75" customHeight="1">
      <c r="A1480" s="84" t="s">
        <v>38139</v>
      </c>
      <c r="B1480" s="84">
        <v>2.0</v>
      </c>
      <c r="C1480" s="186"/>
      <c r="D1480" s="187"/>
      <c r="E1480" s="188"/>
      <c r="F1480" s="189"/>
      <c r="G1480" s="190"/>
      <c r="H1480" s="190"/>
      <c r="I1480" s="84"/>
      <c r="J1480" s="84"/>
      <c r="K1480" s="84"/>
      <c r="L1480" s="84"/>
      <c r="M1480" s="84"/>
      <c r="N1480" s="84"/>
      <c r="O1480" s="84"/>
      <c r="P1480" s="84"/>
      <c r="Q1480" s="84"/>
      <c r="R1480" s="84"/>
      <c r="S1480" s="84"/>
      <c r="T1480" s="84"/>
    </row>
    <row r="1481" ht="15.75" customHeight="1">
      <c r="A1481" s="84" t="s">
        <v>38141</v>
      </c>
      <c r="B1481" s="84">
        <v>1.0</v>
      </c>
      <c r="C1481" s="186"/>
      <c r="D1481" s="187"/>
      <c r="E1481" s="188"/>
      <c r="F1481" s="189"/>
      <c r="G1481" s="190"/>
      <c r="H1481" s="190"/>
      <c r="I1481" s="84"/>
      <c r="J1481" s="84"/>
      <c r="K1481" s="84"/>
      <c r="L1481" s="84"/>
      <c r="M1481" s="84"/>
      <c r="N1481" s="84"/>
      <c r="O1481" s="84"/>
      <c r="P1481" s="84"/>
      <c r="Q1481" s="84"/>
      <c r="R1481" s="84"/>
      <c r="S1481" s="84"/>
      <c r="T1481" s="84"/>
    </row>
    <row r="1482" ht="15.75" customHeight="1">
      <c r="A1482" s="84" t="s">
        <v>38142</v>
      </c>
      <c r="B1482" s="84">
        <v>1.0</v>
      </c>
      <c r="C1482" s="186"/>
      <c r="D1482" s="187"/>
      <c r="E1482" s="188"/>
      <c r="F1482" s="189"/>
      <c r="G1482" s="190"/>
      <c r="H1482" s="190"/>
      <c r="I1482" s="84"/>
      <c r="J1482" s="84"/>
      <c r="K1482" s="84"/>
      <c r="L1482" s="84"/>
      <c r="M1482" s="84"/>
      <c r="N1482" s="84"/>
      <c r="O1482" s="84"/>
      <c r="P1482" s="84"/>
      <c r="Q1482" s="84"/>
      <c r="R1482" s="84"/>
      <c r="S1482" s="84"/>
      <c r="T1482" s="84"/>
    </row>
    <row r="1483" ht="15.75" customHeight="1">
      <c r="A1483" s="84" t="s">
        <v>38147</v>
      </c>
      <c r="B1483" s="84">
        <v>1.0</v>
      </c>
      <c r="C1483" s="186"/>
      <c r="D1483" s="187"/>
      <c r="E1483" s="188"/>
      <c r="F1483" s="189"/>
      <c r="G1483" s="190"/>
      <c r="H1483" s="190"/>
      <c r="I1483" s="84"/>
      <c r="J1483" s="84"/>
      <c r="K1483" s="84"/>
      <c r="L1483" s="84"/>
      <c r="M1483" s="84"/>
      <c r="N1483" s="84"/>
      <c r="O1483" s="84"/>
      <c r="P1483" s="84"/>
      <c r="Q1483" s="84"/>
      <c r="R1483" s="84"/>
      <c r="S1483" s="84"/>
      <c r="T1483" s="84"/>
    </row>
    <row r="1484" ht="15.75" customHeight="1">
      <c r="A1484" s="84" t="s">
        <v>38148</v>
      </c>
      <c r="B1484" s="84">
        <v>1.0</v>
      </c>
      <c r="C1484" s="186"/>
      <c r="D1484" s="187"/>
      <c r="E1484" s="188"/>
      <c r="F1484" s="189"/>
      <c r="G1484" s="190"/>
      <c r="H1484" s="190"/>
      <c r="I1484" s="84"/>
      <c r="J1484" s="84"/>
      <c r="K1484" s="84"/>
      <c r="L1484" s="84"/>
      <c r="M1484" s="84"/>
      <c r="N1484" s="84"/>
      <c r="O1484" s="84"/>
      <c r="P1484" s="84"/>
      <c r="Q1484" s="84"/>
      <c r="R1484" s="84"/>
      <c r="S1484" s="84"/>
      <c r="T1484" s="84"/>
    </row>
    <row r="1485" ht="15.75" customHeight="1">
      <c r="A1485" s="84" t="s">
        <v>38151</v>
      </c>
      <c r="B1485" s="84">
        <v>1.0</v>
      </c>
      <c r="C1485" s="186"/>
      <c r="D1485" s="187"/>
      <c r="E1485" s="188"/>
      <c r="F1485" s="189"/>
      <c r="G1485" s="190"/>
      <c r="H1485" s="190"/>
      <c r="I1485" s="84"/>
      <c r="J1485" s="84"/>
      <c r="K1485" s="84"/>
      <c r="L1485" s="84"/>
      <c r="M1485" s="84"/>
      <c r="N1485" s="84"/>
      <c r="O1485" s="84"/>
      <c r="P1485" s="84"/>
      <c r="Q1485" s="84"/>
      <c r="R1485" s="84"/>
      <c r="S1485" s="84"/>
      <c r="T1485" s="84"/>
    </row>
    <row r="1486" ht="15.75" customHeight="1">
      <c r="A1486" s="84" t="s">
        <v>38152</v>
      </c>
      <c r="B1486" s="84">
        <v>1.0</v>
      </c>
      <c r="C1486" s="186"/>
      <c r="D1486" s="187"/>
      <c r="E1486" s="188"/>
      <c r="F1486" s="189"/>
      <c r="G1486" s="190"/>
      <c r="H1486" s="190"/>
      <c r="I1486" s="84"/>
      <c r="J1486" s="84"/>
      <c r="K1486" s="84"/>
      <c r="L1486" s="84"/>
      <c r="M1486" s="84"/>
      <c r="N1486" s="84"/>
      <c r="O1486" s="84"/>
      <c r="P1486" s="84"/>
      <c r="Q1486" s="84"/>
      <c r="R1486" s="84"/>
      <c r="S1486" s="84"/>
      <c r="T1486" s="84"/>
    </row>
    <row r="1487" ht="15.75" customHeight="1">
      <c r="A1487" s="84" t="s">
        <v>38153</v>
      </c>
      <c r="B1487" s="84">
        <v>2.0</v>
      </c>
      <c r="C1487" s="186"/>
      <c r="D1487" s="187"/>
      <c r="E1487" s="188"/>
      <c r="F1487" s="189"/>
      <c r="G1487" s="190"/>
      <c r="H1487" s="190"/>
      <c r="I1487" s="84"/>
      <c r="J1487" s="84"/>
      <c r="K1487" s="84"/>
      <c r="L1487" s="84"/>
      <c r="M1487" s="84"/>
      <c r="N1487" s="84"/>
      <c r="O1487" s="84"/>
      <c r="P1487" s="84"/>
      <c r="Q1487" s="84"/>
      <c r="R1487" s="84"/>
      <c r="S1487" s="84"/>
      <c r="T1487" s="84"/>
    </row>
    <row r="1488" ht="15.75" customHeight="1">
      <c r="A1488" s="84" t="s">
        <v>38154</v>
      </c>
      <c r="B1488" s="84">
        <v>1.0</v>
      </c>
      <c r="C1488" s="186"/>
      <c r="D1488" s="187"/>
      <c r="E1488" s="188"/>
      <c r="F1488" s="189"/>
      <c r="G1488" s="190"/>
      <c r="H1488" s="190"/>
      <c r="I1488" s="84"/>
      <c r="J1488" s="84"/>
      <c r="K1488" s="84"/>
      <c r="L1488" s="84"/>
      <c r="M1488" s="84"/>
      <c r="N1488" s="84"/>
      <c r="O1488" s="84"/>
      <c r="P1488" s="84"/>
      <c r="Q1488" s="84"/>
      <c r="R1488" s="84"/>
      <c r="S1488" s="84"/>
      <c r="T1488" s="84"/>
    </row>
    <row r="1489" ht="15.75" customHeight="1">
      <c r="A1489" s="84" t="s">
        <v>38158</v>
      </c>
      <c r="B1489" s="84">
        <v>1.0</v>
      </c>
      <c r="C1489" s="186"/>
      <c r="D1489" s="187"/>
      <c r="E1489" s="188"/>
      <c r="F1489" s="189"/>
      <c r="G1489" s="190"/>
      <c r="H1489" s="190"/>
      <c r="I1489" s="84"/>
      <c r="J1489" s="84"/>
      <c r="K1489" s="84"/>
      <c r="L1489" s="84"/>
      <c r="M1489" s="84"/>
      <c r="N1489" s="84"/>
      <c r="O1489" s="84"/>
      <c r="P1489" s="84"/>
      <c r="Q1489" s="84"/>
      <c r="R1489" s="84"/>
      <c r="S1489" s="84"/>
      <c r="T1489" s="84"/>
    </row>
    <row r="1490" ht="15.75" customHeight="1">
      <c r="A1490" s="84" t="s">
        <v>38159</v>
      </c>
      <c r="B1490" s="84">
        <v>1.0</v>
      </c>
      <c r="C1490" s="186"/>
      <c r="D1490" s="187"/>
      <c r="E1490" s="188"/>
      <c r="F1490" s="189"/>
      <c r="G1490" s="190"/>
      <c r="H1490" s="190"/>
      <c r="I1490" s="84"/>
      <c r="J1490" s="84"/>
      <c r="K1490" s="84"/>
      <c r="L1490" s="84"/>
      <c r="M1490" s="84"/>
      <c r="N1490" s="84"/>
      <c r="O1490" s="84"/>
      <c r="P1490" s="84"/>
      <c r="Q1490" s="84"/>
      <c r="R1490" s="84"/>
      <c r="S1490" s="84"/>
      <c r="T1490" s="84"/>
    </row>
    <row r="1491" ht="15.75" customHeight="1">
      <c r="A1491" s="84" t="s">
        <v>38160</v>
      </c>
      <c r="B1491" s="84">
        <v>1.0</v>
      </c>
      <c r="C1491" s="186"/>
      <c r="D1491" s="187"/>
      <c r="E1491" s="188"/>
      <c r="F1491" s="189"/>
      <c r="G1491" s="190"/>
      <c r="H1491" s="190"/>
      <c r="I1491" s="84"/>
      <c r="J1491" s="84"/>
      <c r="K1491" s="84"/>
      <c r="L1491" s="84"/>
      <c r="M1491" s="84"/>
      <c r="N1491" s="84"/>
      <c r="O1491" s="84"/>
      <c r="P1491" s="84"/>
      <c r="Q1491" s="84"/>
      <c r="R1491" s="84"/>
      <c r="S1491" s="84"/>
      <c r="T1491" s="84"/>
    </row>
    <row r="1492" ht="15.75" customHeight="1">
      <c r="A1492" s="84" t="s">
        <v>38161</v>
      </c>
      <c r="B1492" s="84">
        <v>1.0</v>
      </c>
      <c r="C1492" s="186"/>
      <c r="D1492" s="187"/>
      <c r="E1492" s="188"/>
      <c r="F1492" s="189"/>
      <c r="G1492" s="190"/>
      <c r="H1492" s="190"/>
      <c r="I1492" s="84"/>
      <c r="J1492" s="84"/>
      <c r="K1492" s="84"/>
      <c r="L1492" s="84"/>
      <c r="M1492" s="84"/>
      <c r="N1492" s="84"/>
      <c r="O1492" s="84"/>
      <c r="P1492" s="84"/>
      <c r="Q1492" s="84"/>
      <c r="R1492" s="84"/>
      <c r="S1492" s="84"/>
      <c r="T1492" s="84"/>
    </row>
    <row r="1493" ht="15.75" customHeight="1">
      <c r="A1493" s="84" t="s">
        <v>38162</v>
      </c>
      <c r="B1493" s="84">
        <v>1.0</v>
      </c>
      <c r="C1493" s="186"/>
      <c r="D1493" s="187" t="s">
        <v>38164</v>
      </c>
      <c r="E1493" s="188"/>
      <c r="F1493" s="189"/>
      <c r="G1493" s="190"/>
      <c r="H1493" s="190"/>
      <c r="I1493" s="84"/>
      <c r="J1493" s="84"/>
      <c r="K1493" s="84"/>
      <c r="L1493" s="84"/>
      <c r="M1493" s="84"/>
      <c r="N1493" s="84"/>
      <c r="O1493" s="84"/>
      <c r="P1493" s="84"/>
      <c r="Q1493" s="84"/>
      <c r="R1493" s="84"/>
      <c r="S1493" s="84"/>
      <c r="T1493" s="84"/>
    </row>
    <row r="1494" ht="15.75" customHeight="1">
      <c r="A1494" s="84" t="s">
        <v>38166</v>
      </c>
      <c r="B1494" s="84">
        <v>8.0</v>
      </c>
      <c r="C1494" s="186"/>
      <c r="D1494" s="187"/>
      <c r="E1494" s="188"/>
      <c r="F1494" s="189"/>
      <c r="G1494" s="190"/>
      <c r="H1494" s="190"/>
      <c r="I1494" s="84"/>
      <c r="J1494" s="84"/>
      <c r="K1494" s="84"/>
      <c r="L1494" s="84"/>
      <c r="M1494" s="84"/>
      <c r="N1494" s="84"/>
      <c r="O1494" s="84"/>
      <c r="P1494" s="84"/>
      <c r="Q1494" s="84"/>
      <c r="R1494" s="84"/>
      <c r="S1494" s="84"/>
      <c r="T1494" s="84"/>
    </row>
    <row r="1495" ht="15.75" customHeight="1">
      <c r="A1495" s="84" t="s">
        <v>38167</v>
      </c>
      <c r="B1495" s="84">
        <v>4.0</v>
      </c>
      <c r="C1495" s="186"/>
      <c r="D1495" s="187"/>
      <c r="E1495" s="188"/>
      <c r="F1495" s="189"/>
      <c r="G1495" s="190"/>
      <c r="H1495" s="190"/>
      <c r="I1495" s="84"/>
      <c r="J1495" s="84"/>
      <c r="K1495" s="84"/>
      <c r="L1495" s="84"/>
      <c r="M1495" s="84"/>
      <c r="N1495" s="84"/>
      <c r="O1495" s="84"/>
      <c r="P1495" s="84"/>
      <c r="Q1495" s="84"/>
      <c r="R1495" s="84"/>
      <c r="S1495" s="84"/>
      <c r="T1495" s="84"/>
    </row>
    <row r="1496" ht="15.75" customHeight="1">
      <c r="A1496" s="84" t="s">
        <v>38169</v>
      </c>
      <c r="B1496" s="84">
        <v>1.0</v>
      </c>
      <c r="C1496" s="186"/>
      <c r="D1496" s="187"/>
      <c r="E1496" s="188"/>
      <c r="F1496" s="189"/>
      <c r="G1496" s="190"/>
      <c r="H1496" s="190"/>
      <c r="I1496" s="84"/>
      <c r="J1496" s="84"/>
      <c r="K1496" s="84"/>
      <c r="L1496" s="84"/>
      <c r="M1496" s="84"/>
      <c r="N1496" s="84"/>
      <c r="O1496" s="84"/>
      <c r="P1496" s="84"/>
      <c r="Q1496" s="84"/>
      <c r="R1496" s="84"/>
      <c r="S1496" s="84"/>
      <c r="T1496" s="84"/>
    </row>
    <row r="1497" ht="15.75" customHeight="1">
      <c r="A1497" s="84" t="s">
        <v>38172</v>
      </c>
      <c r="B1497" s="84">
        <v>1.0</v>
      </c>
      <c r="C1497" s="186"/>
      <c r="D1497" s="187"/>
      <c r="E1497" s="188"/>
      <c r="F1497" s="189"/>
      <c r="G1497" s="190"/>
      <c r="H1497" s="190"/>
      <c r="I1497" s="84"/>
      <c r="J1497" s="84"/>
      <c r="K1497" s="84"/>
      <c r="L1497" s="84"/>
      <c r="M1497" s="84"/>
      <c r="N1497" s="84"/>
      <c r="O1497" s="84"/>
      <c r="P1497" s="84"/>
      <c r="Q1497" s="84"/>
      <c r="R1497" s="84"/>
      <c r="S1497" s="84"/>
      <c r="T1497" s="84"/>
    </row>
    <row r="1498" ht="15.75" customHeight="1">
      <c r="A1498" s="84" t="s">
        <v>38173</v>
      </c>
      <c r="B1498" s="84">
        <v>1.0</v>
      </c>
      <c r="C1498" s="186"/>
      <c r="D1498" s="187"/>
      <c r="E1498" s="188"/>
      <c r="F1498" s="189"/>
      <c r="G1498" s="190"/>
      <c r="H1498" s="190"/>
      <c r="I1498" s="84"/>
      <c r="J1498" s="84"/>
      <c r="K1498" s="84"/>
      <c r="L1498" s="84"/>
      <c r="M1498" s="84"/>
      <c r="N1498" s="84"/>
      <c r="O1498" s="84"/>
      <c r="P1498" s="84"/>
      <c r="Q1498" s="84"/>
      <c r="R1498" s="84"/>
      <c r="S1498" s="84"/>
      <c r="T1498" s="84"/>
    </row>
    <row r="1499" ht="15.75" customHeight="1">
      <c r="A1499" s="84" t="s">
        <v>38174</v>
      </c>
      <c r="B1499" s="84">
        <v>1.0</v>
      </c>
      <c r="C1499" s="186"/>
      <c r="D1499" s="187"/>
      <c r="E1499" s="188"/>
      <c r="F1499" s="189"/>
      <c r="G1499" s="190"/>
      <c r="H1499" s="190"/>
      <c r="I1499" s="84"/>
      <c r="J1499" s="84"/>
      <c r="K1499" s="84"/>
      <c r="L1499" s="84"/>
      <c r="M1499" s="84"/>
      <c r="N1499" s="84"/>
      <c r="O1499" s="84"/>
      <c r="P1499" s="84"/>
      <c r="Q1499" s="84"/>
      <c r="R1499" s="84"/>
      <c r="S1499" s="84"/>
      <c r="T1499" s="84"/>
    </row>
    <row r="1500" ht="15.75" customHeight="1">
      <c r="A1500" s="84" t="s">
        <v>38178</v>
      </c>
      <c r="B1500" s="84">
        <v>1.0</v>
      </c>
      <c r="C1500" s="186"/>
      <c r="D1500" s="187"/>
      <c r="E1500" s="188"/>
      <c r="F1500" s="189"/>
      <c r="G1500" s="190"/>
      <c r="H1500" s="190"/>
      <c r="I1500" s="84"/>
      <c r="J1500" s="84"/>
      <c r="K1500" s="84"/>
      <c r="L1500" s="84"/>
      <c r="M1500" s="84"/>
      <c r="N1500" s="84"/>
      <c r="O1500" s="84"/>
      <c r="P1500" s="84"/>
      <c r="Q1500" s="84"/>
      <c r="R1500" s="84"/>
      <c r="S1500" s="84"/>
      <c r="T1500" s="84"/>
    </row>
    <row r="1501" ht="15.75" customHeight="1">
      <c r="A1501" s="84" t="s">
        <v>38179</v>
      </c>
      <c r="B1501" s="84">
        <v>1.0</v>
      </c>
      <c r="C1501" s="186"/>
      <c r="D1501" s="187"/>
      <c r="E1501" s="188"/>
      <c r="F1501" s="189"/>
      <c r="G1501" s="190"/>
      <c r="H1501" s="190"/>
      <c r="I1501" s="84"/>
      <c r="J1501" s="84"/>
      <c r="K1501" s="84"/>
      <c r="L1501" s="84"/>
      <c r="M1501" s="84"/>
      <c r="N1501" s="84"/>
      <c r="O1501" s="84"/>
      <c r="P1501" s="84"/>
      <c r="Q1501" s="84"/>
      <c r="R1501" s="84"/>
      <c r="S1501" s="84"/>
      <c r="T1501" s="84"/>
    </row>
    <row r="1502" ht="15.75" customHeight="1">
      <c r="A1502" s="84" t="s">
        <v>38181</v>
      </c>
      <c r="B1502" s="84">
        <v>1.0</v>
      </c>
      <c r="C1502" s="186"/>
      <c r="D1502" s="187"/>
      <c r="E1502" s="188"/>
      <c r="F1502" s="189"/>
      <c r="G1502" s="190"/>
      <c r="H1502" s="190"/>
      <c r="I1502" s="84"/>
      <c r="J1502" s="84"/>
      <c r="K1502" s="84"/>
      <c r="L1502" s="84"/>
      <c r="M1502" s="84"/>
      <c r="N1502" s="84"/>
      <c r="O1502" s="84"/>
      <c r="P1502" s="84"/>
      <c r="Q1502" s="84"/>
      <c r="R1502" s="84"/>
      <c r="S1502" s="84"/>
      <c r="T1502" s="84"/>
    </row>
    <row r="1503" ht="15.75" customHeight="1">
      <c r="A1503" s="84" t="s">
        <v>38184</v>
      </c>
      <c r="B1503" s="84">
        <v>1.0</v>
      </c>
      <c r="C1503" s="186"/>
      <c r="D1503" s="187"/>
      <c r="E1503" s="188"/>
      <c r="F1503" s="189"/>
      <c r="G1503" s="190"/>
      <c r="H1503" s="190"/>
      <c r="I1503" s="84"/>
      <c r="J1503" s="84"/>
      <c r="K1503" s="84"/>
      <c r="L1503" s="84"/>
      <c r="M1503" s="84"/>
      <c r="N1503" s="84"/>
      <c r="O1503" s="84"/>
      <c r="P1503" s="84"/>
      <c r="Q1503" s="84"/>
      <c r="R1503" s="84"/>
      <c r="S1503" s="84"/>
      <c r="T1503" s="84"/>
    </row>
    <row r="1504" ht="15.75" customHeight="1">
      <c r="A1504" s="84" t="s">
        <v>38185</v>
      </c>
      <c r="B1504" s="84">
        <v>2.0</v>
      </c>
      <c r="C1504" s="186"/>
      <c r="D1504" s="187"/>
      <c r="E1504" s="188"/>
      <c r="F1504" s="189"/>
      <c r="G1504" s="190"/>
      <c r="H1504" s="190"/>
      <c r="I1504" s="84"/>
      <c r="J1504" s="84"/>
      <c r="K1504" s="84"/>
      <c r="L1504" s="84"/>
      <c r="M1504" s="84"/>
      <c r="N1504" s="84"/>
      <c r="O1504" s="84"/>
      <c r="P1504" s="84"/>
      <c r="Q1504" s="84"/>
      <c r="R1504" s="84"/>
      <c r="S1504" s="84"/>
      <c r="T1504" s="84"/>
    </row>
    <row r="1505" ht="15.75" customHeight="1">
      <c r="A1505" s="84" t="s">
        <v>38189</v>
      </c>
      <c r="B1505" s="84">
        <v>1.0</v>
      </c>
      <c r="C1505" s="186"/>
      <c r="D1505" s="187"/>
      <c r="E1505" s="188"/>
      <c r="F1505" s="189"/>
      <c r="G1505" s="190"/>
      <c r="H1505" s="190"/>
      <c r="I1505" s="84"/>
      <c r="J1505" s="84"/>
      <c r="K1505" s="84"/>
      <c r="L1505" s="84"/>
      <c r="M1505" s="84"/>
      <c r="N1505" s="84"/>
      <c r="O1505" s="84"/>
      <c r="P1505" s="84"/>
      <c r="Q1505" s="84"/>
      <c r="R1505" s="84"/>
      <c r="S1505" s="84"/>
      <c r="T1505" s="84"/>
    </row>
    <row r="1506" ht="15.75" customHeight="1">
      <c r="A1506" s="84" t="s">
        <v>38194</v>
      </c>
      <c r="B1506" s="84">
        <v>1.0</v>
      </c>
      <c r="C1506" s="186"/>
      <c r="D1506" s="187"/>
      <c r="E1506" s="188"/>
      <c r="F1506" s="189"/>
      <c r="G1506" s="190"/>
      <c r="H1506" s="190"/>
      <c r="I1506" s="84"/>
      <c r="J1506" s="84"/>
      <c r="K1506" s="84"/>
      <c r="L1506" s="84"/>
      <c r="M1506" s="84"/>
      <c r="N1506" s="84"/>
      <c r="O1506" s="84"/>
      <c r="P1506" s="84"/>
      <c r="Q1506" s="84"/>
      <c r="R1506" s="84"/>
      <c r="S1506" s="84"/>
      <c r="T1506" s="84"/>
    </row>
    <row r="1507" ht="15.75" customHeight="1">
      <c r="A1507" s="84" t="s">
        <v>38195</v>
      </c>
      <c r="B1507" s="84">
        <v>2.0</v>
      </c>
      <c r="C1507" s="186"/>
      <c r="D1507" s="187"/>
      <c r="E1507" s="188"/>
      <c r="F1507" s="189"/>
      <c r="G1507" s="190"/>
      <c r="H1507" s="190"/>
      <c r="I1507" s="84"/>
      <c r="J1507" s="84"/>
      <c r="K1507" s="84"/>
      <c r="L1507" s="84"/>
      <c r="M1507" s="84"/>
      <c r="N1507" s="84"/>
      <c r="O1507" s="84"/>
      <c r="P1507" s="84"/>
      <c r="Q1507" s="84"/>
      <c r="R1507" s="84"/>
      <c r="S1507" s="84"/>
      <c r="T1507" s="84"/>
    </row>
    <row r="1508" ht="15.75" customHeight="1">
      <c r="A1508" s="84" t="s">
        <v>38197</v>
      </c>
      <c r="B1508" s="84">
        <v>1.0</v>
      </c>
      <c r="C1508" s="186"/>
      <c r="D1508" s="187"/>
      <c r="E1508" s="188"/>
      <c r="F1508" s="189"/>
      <c r="G1508" s="190"/>
      <c r="H1508" s="190"/>
      <c r="I1508" s="84"/>
      <c r="J1508" s="84"/>
      <c r="K1508" s="84"/>
      <c r="L1508" s="84"/>
      <c r="M1508" s="84"/>
      <c r="N1508" s="84"/>
      <c r="O1508" s="84"/>
      <c r="P1508" s="84"/>
      <c r="Q1508" s="84"/>
      <c r="R1508" s="84"/>
      <c r="S1508" s="84"/>
      <c r="T1508" s="84"/>
    </row>
    <row r="1509" ht="15.75" customHeight="1">
      <c r="A1509" s="84" t="s">
        <v>38198</v>
      </c>
      <c r="B1509" s="84">
        <v>1.0</v>
      </c>
      <c r="C1509" s="186"/>
      <c r="D1509" s="187"/>
      <c r="E1509" s="188"/>
      <c r="F1509" s="189"/>
      <c r="G1509" s="190"/>
      <c r="H1509" s="190"/>
      <c r="I1509" s="84"/>
      <c r="J1509" s="84"/>
      <c r="K1509" s="84"/>
      <c r="L1509" s="84"/>
      <c r="M1509" s="84"/>
      <c r="N1509" s="84"/>
      <c r="O1509" s="84"/>
      <c r="P1509" s="84"/>
      <c r="Q1509" s="84"/>
      <c r="R1509" s="84"/>
      <c r="S1509" s="84"/>
      <c r="T1509" s="84"/>
    </row>
    <row r="1510" ht="15.75" customHeight="1">
      <c r="A1510" s="84" t="s">
        <v>38199</v>
      </c>
      <c r="B1510" s="84">
        <v>1.0</v>
      </c>
      <c r="C1510" s="186"/>
      <c r="D1510" s="187"/>
      <c r="E1510" s="188"/>
      <c r="F1510" s="189"/>
      <c r="G1510" s="190"/>
      <c r="H1510" s="190"/>
      <c r="I1510" s="84"/>
      <c r="J1510" s="84"/>
      <c r="K1510" s="84"/>
      <c r="L1510" s="84"/>
      <c r="M1510" s="84"/>
      <c r="N1510" s="84"/>
      <c r="O1510" s="84"/>
      <c r="P1510" s="84"/>
      <c r="Q1510" s="84"/>
      <c r="R1510" s="84"/>
      <c r="S1510" s="84"/>
      <c r="T1510" s="84"/>
    </row>
    <row r="1511" ht="15.75" customHeight="1">
      <c r="A1511" s="84" t="s">
        <v>38200</v>
      </c>
      <c r="B1511" s="84">
        <v>1.0</v>
      </c>
      <c r="C1511" s="186"/>
      <c r="D1511" s="187"/>
      <c r="E1511" s="188"/>
      <c r="F1511" s="189"/>
      <c r="G1511" s="190"/>
      <c r="H1511" s="190"/>
      <c r="I1511" s="84"/>
      <c r="J1511" s="84"/>
      <c r="K1511" s="84"/>
      <c r="L1511" s="84"/>
      <c r="M1511" s="84"/>
      <c r="N1511" s="84"/>
      <c r="O1511" s="84"/>
      <c r="P1511" s="84"/>
      <c r="Q1511" s="84"/>
      <c r="R1511" s="84"/>
      <c r="S1511" s="84"/>
      <c r="T1511" s="84"/>
    </row>
    <row r="1512" ht="15.75" customHeight="1">
      <c r="A1512" s="84" t="s">
        <v>36199</v>
      </c>
      <c r="B1512" s="84">
        <v>37.0</v>
      </c>
      <c r="C1512" s="186"/>
      <c r="D1512" s="187"/>
      <c r="E1512" s="188"/>
      <c r="F1512" s="189"/>
      <c r="G1512" s="190"/>
      <c r="H1512" s="190"/>
      <c r="I1512" s="84"/>
      <c r="J1512" s="84"/>
      <c r="K1512" s="84"/>
      <c r="L1512" s="84"/>
      <c r="M1512" s="84"/>
      <c r="N1512" s="84"/>
      <c r="O1512" s="84"/>
      <c r="P1512" s="84"/>
      <c r="Q1512" s="84"/>
      <c r="R1512" s="84"/>
      <c r="S1512" s="84"/>
      <c r="T1512" s="84"/>
    </row>
    <row r="1513" ht="15.75" customHeight="1">
      <c r="A1513" s="84" t="s">
        <v>38203</v>
      </c>
      <c r="B1513" s="84">
        <v>1.0</v>
      </c>
      <c r="C1513" s="186"/>
      <c r="D1513" s="187"/>
      <c r="E1513" s="188"/>
      <c r="F1513" s="189"/>
      <c r="G1513" s="190"/>
      <c r="H1513" s="190"/>
      <c r="I1513" s="84"/>
      <c r="J1513" s="84"/>
      <c r="K1513" s="84"/>
      <c r="L1513" s="84"/>
      <c r="M1513" s="84"/>
      <c r="N1513" s="84"/>
      <c r="O1513" s="84"/>
      <c r="P1513" s="84"/>
      <c r="Q1513" s="84"/>
      <c r="R1513" s="84"/>
      <c r="S1513" s="84"/>
      <c r="T1513" s="84"/>
    </row>
    <row r="1514" ht="15.75" customHeight="1">
      <c r="A1514" s="84" t="s">
        <v>38204</v>
      </c>
      <c r="B1514" s="84">
        <v>1.0</v>
      </c>
      <c r="C1514" s="186"/>
      <c r="D1514" s="187"/>
      <c r="E1514" s="188"/>
      <c r="F1514" s="189"/>
      <c r="G1514" s="190"/>
      <c r="H1514" s="190"/>
      <c r="I1514" s="84"/>
      <c r="J1514" s="84"/>
      <c r="K1514" s="84"/>
      <c r="L1514" s="84"/>
      <c r="M1514" s="84"/>
      <c r="N1514" s="84"/>
      <c r="O1514" s="84"/>
      <c r="P1514" s="84"/>
      <c r="Q1514" s="84"/>
      <c r="R1514" s="84"/>
      <c r="S1514" s="84"/>
      <c r="T1514" s="84"/>
    </row>
    <row r="1515" ht="15.75" customHeight="1">
      <c r="A1515" s="84" t="s">
        <v>38207</v>
      </c>
      <c r="B1515" s="84">
        <v>1.0</v>
      </c>
      <c r="C1515" s="186"/>
      <c r="D1515" s="187"/>
      <c r="E1515" s="188"/>
      <c r="F1515" s="189"/>
      <c r="G1515" s="190"/>
      <c r="H1515" s="190"/>
      <c r="I1515" s="84"/>
      <c r="J1515" s="84"/>
      <c r="K1515" s="84"/>
      <c r="L1515" s="84"/>
      <c r="M1515" s="84"/>
      <c r="N1515" s="84"/>
      <c r="O1515" s="84"/>
      <c r="P1515" s="84"/>
      <c r="Q1515" s="84"/>
      <c r="R1515" s="84"/>
      <c r="S1515" s="84"/>
      <c r="T1515" s="84"/>
    </row>
    <row r="1516" ht="15.75" customHeight="1">
      <c r="A1516" s="84" t="s">
        <v>38210</v>
      </c>
      <c r="B1516" s="84">
        <v>1.0</v>
      </c>
      <c r="C1516" s="186"/>
      <c r="D1516" s="187"/>
      <c r="E1516" s="188"/>
      <c r="F1516" s="189"/>
      <c r="G1516" s="190"/>
      <c r="H1516" s="190"/>
      <c r="I1516" s="84"/>
      <c r="J1516" s="84"/>
      <c r="K1516" s="84"/>
      <c r="L1516" s="84"/>
      <c r="M1516" s="84"/>
      <c r="N1516" s="84"/>
      <c r="O1516" s="84"/>
      <c r="P1516" s="84"/>
      <c r="Q1516" s="84"/>
      <c r="R1516" s="84"/>
      <c r="S1516" s="84"/>
      <c r="T1516" s="84"/>
    </row>
    <row r="1517" ht="15.75" customHeight="1">
      <c r="A1517" s="84" t="s">
        <v>38211</v>
      </c>
      <c r="B1517" s="84">
        <v>4.0</v>
      </c>
      <c r="C1517" s="186"/>
      <c r="D1517" s="187"/>
      <c r="E1517" s="188"/>
      <c r="F1517" s="189"/>
      <c r="G1517" s="190"/>
      <c r="H1517" s="190"/>
      <c r="I1517" s="84"/>
      <c r="J1517" s="84"/>
      <c r="K1517" s="84"/>
      <c r="L1517" s="84"/>
      <c r="M1517" s="84"/>
      <c r="N1517" s="84"/>
      <c r="O1517" s="84"/>
      <c r="P1517" s="84"/>
      <c r="Q1517" s="84"/>
      <c r="R1517" s="84"/>
      <c r="S1517" s="84"/>
      <c r="T1517" s="84"/>
    </row>
    <row r="1518" ht="15.75" customHeight="1">
      <c r="A1518" s="84" t="s">
        <v>38212</v>
      </c>
      <c r="B1518" s="84">
        <v>1.0</v>
      </c>
      <c r="C1518" s="186"/>
      <c r="D1518" s="187"/>
      <c r="E1518" s="188"/>
      <c r="F1518" s="189"/>
      <c r="G1518" s="190" t="s">
        <v>38055</v>
      </c>
      <c r="H1518" s="190"/>
      <c r="I1518" s="84"/>
      <c r="J1518" s="84"/>
      <c r="K1518" s="84"/>
      <c r="L1518" s="84"/>
      <c r="M1518" s="84"/>
      <c r="N1518" s="84"/>
      <c r="O1518" s="84"/>
      <c r="P1518" s="84"/>
      <c r="Q1518" s="84"/>
      <c r="R1518" s="84"/>
      <c r="S1518" s="84"/>
      <c r="T1518" s="84"/>
    </row>
    <row r="1519" ht="15.75" customHeight="1">
      <c r="A1519" s="84" t="s">
        <v>38215</v>
      </c>
      <c r="B1519" s="84">
        <v>4.0</v>
      </c>
      <c r="C1519" s="186"/>
      <c r="D1519" s="187"/>
      <c r="E1519" s="188"/>
      <c r="F1519" s="189"/>
      <c r="G1519" s="190"/>
      <c r="H1519" s="190"/>
      <c r="I1519" s="84"/>
      <c r="J1519" s="84"/>
      <c r="K1519" s="84"/>
      <c r="L1519" s="84"/>
      <c r="M1519" s="84"/>
      <c r="N1519" s="84"/>
      <c r="O1519" s="84"/>
      <c r="P1519" s="84"/>
      <c r="Q1519" s="84"/>
      <c r="R1519" s="84"/>
      <c r="S1519" s="84"/>
      <c r="T1519" s="84"/>
    </row>
    <row r="1520" ht="15.75" customHeight="1">
      <c r="A1520" s="84" t="s">
        <v>38216</v>
      </c>
      <c r="B1520" s="84">
        <v>1.0</v>
      </c>
      <c r="C1520" s="186"/>
      <c r="D1520" s="187"/>
      <c r="E1520" s="188"/>
      <c r="F1520" s="189"/>
      <c r="G1520" s="190"/>
      <c r="H1520" s="190"/>
      <c r="I1520" s="84"/>
      <c r="J1520" s="84"/>
      <c r="K1520" s="84"/>
      <c r="L1520" s="84"/>
      <c r="M1520" s="84"/>
      <c r="N1520" s="84"/>
      <c r="O1520" s="84"/>
      <c r="P1520" s="84"/>
      <c r="Q1520" s="84"/>
      <c r="R1520" s="84"/>
      <c r="S1520" s="84"/>
      <c r="T1520" s="84"/>
    </row>
    <row r="1521" ht="15.75" customHeight="1">
      <c r="A1521" s="84" t="s">
        <v>38217</v>
      </c>
      <c r="B1521" s="84">
        <v>1.0</v>
      </c>
      <c r="C1521" s="186"/>
      <c r="D1521" s="187"/>
      <c r="E1521" s="188"/>
      <c r="F1521" s="189"/>
      <c r="G1521" s="190"/>
      <c r="H1521" s="190"/>
      <c r="I1521" s="84"/>
      <c r="J1521" s="84"/>
      <c r="K1521" s="84"/>
      <c r="L1521" s="84"/>
      <c r="M1521" s="84"/>
      <c r="N1521" s="84"/>
      <c r="O1521" s="84"/>
      <c r="P1521" s="84"/>
      <c r="Q1521" s="84"/>
      <c r="R1521" s="84"/>
      <c r="S1521" s="84"/>
      <c r="T1521" s="84"/>
    </row>
    <row r="1522" ht="15.75" customHeight="1">
      <c r="A1522" s="84" t="s">
        <v>38220</v>
      </c>
      <c r="B1522" s="84">
        <v>1.0</v>
      </c>
      <c r="C1522" s="186"/>
      <c r="D1522" s="187"/>
      <c r="E1522" s="188"/>
      <c r="F1522" s="189"/>
      <c r="G1522" s="190"/>
      <c r="H1522" s="190"/>
      <c r="I1522" s="84"/>
      <c r="J1522" s="84"/>
      <c r="K1522" s="84"/>
      <c r="L1522" s="84"/>
      <c r="M1522" s="84"/>
      <c r="N1522" s="84"/>
      <c r="O1522" s="84"/>
      <c r="P1522" s="84"/>
      <c r="Q1522" s="84"/>
      <c r="R1522" s="84"/>
      <c r="S1522" s="84"/>
      <c r="T1522" s="84"/>
    </row>
    <row r="1523" ht="15.75" customHeight="1">
      <c r="A1523" s="84" t="s">
        <v>38221</v>
      </c>
      <c r="B1523" s="84">
        <v>1.0</v>
      </c>
      <c r="C1523" s="186" t="s">
        <v>18275</v>
      </c>
      <c r="D1523" s="187" t="s">
        <v>38222</v>
      </c>
      <c r="E1523" s="188"/>
      <c r="F1523" s="189"/>
      <c r="G1523" s="190"/>
      <c r="H1523" s="190"/>
      <c r="I1523" s="84"/>
      <c r="J1523" s="84"/>
      <c r="K1523" s="84"/>
      <c r="L1523" s="84"/>
      <c r="M1523" s="84"/>
      <c r="N1523" s="84"/>
      <c r="O1523" s="84"/>
      <c r="P1523" s="84"/>
      <c r="Q1523" s="84"/>
      <c r="R1523" s="84"/>
      <c r="S1523" s="84"/>
      <c r="T1523" s="84"/>
    </row>
    <row r="1524" ht="15.75" customHeight="1">
      <c r="A1524" s="84" t="s">
        <v>38223</v>
      </c>
      <c r="B1524" s="84">
        <v>3.0</v>
      </c>
      <c r="C1524" s="186"/>
      <c r="D1524" s="187"/>
      <c r="E1524" s="188"/>
      <c r="F1524" s="189"/>
      <c r="G1524" s="190"/>
      <c r="H1524" s="190"/>
      <c r="I1524" s="84"/>
      <c r="J1524" s="84"/>
      <c r="K1524" s="84"/>
      <c r="L1524" s="84"/>
      <c r="M1524" s="84"/>
      <c r="N1524" s="84"/>
      <c r="O1524" s="84"/>
      <c r="P1524" s="84"/>
      <c r="Q1524" s="84"/>
      <c r="R1524" s="84"/>
      <c r="S1524" s="84"/>
      <c r="T1524" s="84"/>
    </row>
    <row r="1525" ht="15.75" customHeight="1">
      <c r="A1525" s="84" t="s">
        <v>38222</v>
      </c>
      <c r="B1525" s="84">
        <v>2.0</v>
      </c>
      <c r="C1525" s="186"/>
      <c r="D1525" s="187"/>
      <c r="E1525" s="188"/>
      <c r="F1525" s="189"/>
      <c r="G1525" s="190"/>
      <c r="H1525" s="190"/>
      <c r="I1525" s="84"/>
      <c r="J1525" s="84"/>
      <c r="K1525" s="84"/>
      <c r="L1525" s="84"/>
      <c r="M1525" s="84"/>
      <c r="N1525" s="84"/>
      <c r="O1525" s="84"/>
      <c r="P1525" s="84"/>
      <c r="Q1525" s="84"/>
      <c r="R1525" s="84"/>
      <c r="S1525" s="84"/>
      <c r="T1525" s="84"/>
    </row>
    <row r="1526" ht="15.75" customHeight="1">
      <c r="A1526" s="84" t="s">
        <v>38226</v>
      </c>
      <c r="B1526" s="84">
        <v>1.0</v>
      </c>
      <c r="C1526" s="186"/>
      <c r="D1526" s="187"/>
      <c r="E1526" s="188"/>
      <c r="F1526" s="189"/>
      <c r="G1526" s="190"/>
      <c r="H1526" s="190"/>
      <c r="I1526" s="84"/>
      <c r="J1526" s="84"/>
      <c r="K1526" s="84"/>
      <c r="L1526" s="84"/>
      <c r="M1526" s="84"/>
      <c r="N1526" s="84"/>
      <c r="O1526" s="84"/>
      <c r="P1526" s="84"/>
      <c r="Q1526" s="84"/>
      <c r="R1526" s="84"/>
      <c r="S1526" s="84"/>
      <c r="T1526" s="84"/>
    </row>
    <row r="1527" ht="15.75" customHeight="1">
      <c r="A1527" s="84" t="s">
        <v>38227</v>
      </c>
      <c r="B1527" s="84">
        <v>1.0</v>
      </c>
      <c r="C1527" s="186"/>
      <c r="D1527" s="187"/>
      <c r="E1527" s="188"/>
      <c r="F1527" s="189"/>
      <c r="G1527" s="190"/>
      <c r="H1527" s="190"/>
      <c r="I1527" s="84"/>
      <c r="J1527" s="84"/>
      <c r="K1527" s="84"/>
      <c r="L1527" s="84"/>
      <c r="M1527" s="84"/>
      <c r="N1527" s="84"/>
      <c r="O1527" s="84"/>
      <c r="P1527" s="84"/>
      <c r="Q1527" s="84"/>
      <c r="R1527" s="84"/>
      <c r="S1527" s="84"/>
      <c r="T1527" s="84"/>
    </row>
    <row r="1528" ht="15.75" customHeight="1">
      <c r="A1528" s="84" t="s">
        <v>38228</v>
      </c>
      <c r="B1528" s="84">
        <v>1.0</v>
      </c>
      <c r="C1528" s="186"/>
      <c r="D1528" s="187"/>
      <c r="E1528" s="188"/>
      <c r="F1528" s="189"/>
      <c r="G1528" s="190"/>
      <c r="H1528" s="190"/>
      <c r="I1528" s="84"/>
      <c r="J1528" s="84"/>
      <c r="K1528" s="84"/>
      <c r="L1528" s="84"/>
      <c r="M1528" s="84"/>
      <c r="N1528" s="84"/>
      <c r="O1528" s="84"/>
      <c r="P1528" s="84"/>
      <c r="Q1528" s="84"/>
      <c r="R1528" s="84"/>
      <c r="S1528" s="84"/>
      <c r="T1528" s="84"/>
    </row>
    <row r="1529" ht="15.75" customHeight="1">
      <c r="A1529" s="84" t="s">
        <v>38230</v>
      </c>
      <c r="B1529" s="84">
        <v>1.0</v>
      </c>
      <c r="C1529" s="186"/>
      <c r="D1529" s="187"/>
      <c r="E1529" s="188"/>
      <c r="F1529" s="189"/>
      <c r="G1529" s="190"/>
      <c r="H1529" s="190"/>
      <c r="I1529" s="84"/>
      <c r="J1529" s="84"/>
      <c r="K1529" s="84"/>
      <c r="L1529" s="84"/>
      <c r="M1529" s="84"/>
      <c r="N1529" s="84"/>
      <c r="O1529" s="84"/>
      <c r="P1529" s="84"/>
      <c r="Q1529" s="84"/>
      <c r="R1529" s="84"/>
      <c r="S1529" s="84"/>
      <c r="T1529" s="84"/>
    </row>
    <row r="1530" ht="15.75" customHeight="1">
      <c r="A1530" s="84" t="s">
        <v>38232</v>
      </c>
      <c r="B1530" s="84">
        <v>1.0</v>
      </c>
      <c r="C1530" s="186" t="s">
        <v>18275</v>
      </c>
      <c r="D1530" s="187" t="s">
        <v>38029</v>
      </c>
      <c r="E1530" s="188"/>
      <c r="F1530" s="189"/>
      <c r="G1530" s="190"/>
      <c r="H1530" s="190"/>
      <c r="I1530" s="84"/>
      <c r="J1530" s="84"/>
      <c r="K1530" s="84"/>
      <c r="L1530" s="84"/>
      <c r="M1530" s="84"/>
      <c r="N1530" s="84"/>
      <c r="O1530" s="84"/>
      <c r="P1530" s="84"/>
      <c r="Q1530" s="84"/>
      <c r="R1530" s="84"/>
      <c r="S1530" s="84"/>
      <c r="T1530" s="84"/>
    </row>
    <row r="1531" ht="15.75" customHeight="1">
      <c r="A1531" s="84" t="s">
        <v>38235</v>
      </c>
      <c r="B1531" s="84">
        <v>2.0</v>
      </c>
      <c r="C1531" s="186"/>
      <c r="D1531" s="187"/>
      <c r="E1531" s="188"/>
      <c r="F1531" s="189"/>
      <c r="G1531" s="190"/>
      <c r="H1531" s="190"/>
      <c r="I1531" s="84"/>
      <c r="J1531" s="84"/>
      <c r="K1531" s="84"/>
      <c r="L1531" s="84"/>
      <c r="M1531" s="84"/>
      <c r="N1531" s="84"/>
      <c r="O1531" s="84"/>
      <c r="P1531" s="84"/>
      <c r="Q1531" s="84"/>
      <c r="R1531" s="84"/>
      <c r="S1531" s="84"/>
      <c r="T1531" s="84"/>
    </row>
    <row r="1532" ht="15.75" customHeight="1">
      <c r="A1532" s="84" t="s">
        <v>38236</v>
      </c>
      <c r="B1532" s="84">
        <v>1.0</v>
      </c>
      <c r="C1532" s="186"/>
      <c r="D1532" s="187"/>
      <c r="E1532" s="188"/>
      <c r="F1532" s="189"/>
      <c r="G1532" s="190"/>
      <c r="H1532" s="190"/>
      <c r="I1532" s="84"/>
      <c r="J1532" s="84"/>
      <c r="K1532" s="84"/>
      <c r="L1532" s="84"/>
      <c r="M1532" s="84"/>
      <c r="N1532" s="84"/>
      <c r="O1532" s="84"/>
      <c r="P1532" s="84"/>
      <c r="Q1532" s="84"/>
      <c r="R1532" s="84"/>
      <c r="S1532" s="84"/>
      <c r="T1532" s="84"/>
    </row>
    <row r="1533" ht="15.75" customHeight="1">
      <c r="A1533" s="84" t="s">
        <v>38239</v>
      </c>
      <c r="B1533" s="84">
        <v>1.0</v>
      </c>
      <c r="C1533" s="186"/>
      <c r="D1533" s="187"/>
      <c r="E1533" s="188"/>
      <c r="F1533" s="189"/>
      <c r="G1533" s="190"/>
      <c r="H1533" s="190"/>
      <c r="I1533" s="84"/>
      <c r="J1533" s="84"/>
      <c r="K1533" s="84"/>
      <c r="L1533" s="84"/>
      <c r="M1533" s="84"/>
      <c r="N1533" s="84"/>
      <c r="O1533" s="84"/>
      <c r="P1533" s="84"/>
      <c r="Q1533" s="84"/>
      <c r="R1533" s="84"/>
      <c r="S1533" s="84"/>
      <c r="T1533" s="84"/>
    </row>
    <row r="1534" ht="15.75" customHeight="1">
      <c r="A1534" s="84" t="s">
        <v>38241</v>
      </c>
      <c r="B1534" s="84">
        <v>1.0</v>
      </c>
      <c r="C1534" s="186"/>
      <c r="D1534" s="187"/>
      <c r="E1534" s="188"/>
      <c r="F1534" s="189"/>
      <c r="G1534" s="190"/>
      <c r="H1534" s="190"/>
      <c r="I1534" s="84"/>
      <c r="J1534" s="84"/>
      <c r="K1534" s="84"/>
      <c r="L1534" s="84"/>
      <c r="M1534" s="84"/>
      <c r="N1534" s="84"/>
      <c r="O1534" s="84"/>
      <c r="P1534" s="84"/>
      <c r="Q1534" s="84"/>
      <c r="R1534" s="84"/>
      <c r="S1534" s="84"/>
      <c r="T1534" s="84"/>
    </row>
    <row r="1535" ht="15.75" customHeight="1">
      <c r="A1535" s="84" t="s">
        <v>38242</v>
      </c>
      <c r="B1535" s="84">
        <v>2.0</v>
      </c>
      <c r="C1535" s="186"/>
      <c r="D1535" s="187"/>
      <c r="E1535" s="188"/>
      <c r="F1535" s="189"/>
      <c r="G1535" s="190"/>
      <c r="H1535" s="190"/>
      <c r="I1535" s="84"/>
      <c r="J1535" s="84"/>
      <c r="K1535" s="84"/>
      <c r="L1535" s="84"/>
      <c r="M1535" s="84"/>
      <c r="N1535" s="84"/>
      <c r="O1535" s="84"/>
      <c r="P1535" s="84"/>
      <c r="Q1535" s="84"/>
      <c r="R1535" s="84"/>
      <c r="S1535" s="84"/>
      <c r="T1535" s="84"/>
    </row>
    <row r="1536" ht="15.75" customHeight="1">
      <c r="A1536" s="84" t="s">
        <v>38245</v>
      </c>
      <c r="B1536" s="84">
        <v>1.0</v>
      </c>
      <c r="C1536" s="186"/>
      <c r="D1536" s="187"/>
      <c r="E1536" s="188"/>
      <c r="F1536" s="189"/>
      <c r="G1536" s="190"/>
      <c r="H1536" s="190"/>
      <c r="I1536" s="84"/>
      <c r="J1536" s="84"/>
      <c r="K1536" s="84"/>
      <c r="L1536" s="84"/>
      <c r="M1536" s="84"/>
      <c r="N1536" s="84"/>
      <c r="O1536" s="84"/>
      <c r="P1536" s="84"/>
      <c r="Q1536" s="84"/>
      <c r="R1536" s="84"/>
      <c r="S1536" s="84"/>
      <c r="T1536" s="84"/>
    </row>
    <row r="1537" ht="15.75" customHeight="1">
      <c r="A1537" s="84" t="s">
        <v>38247</v>
      </c>
      <c r="B1537" s="84">
        <v>1.0</v>
      </c>
      <c r="C1537" s="186"/>
      <c r="D1537" s="187"/>
      <c r="E1537" s="188"/>
      <c r="F1537" s="189"/>
      <c r="G1537" s="190"/>
      <c r="H1537" s="190"/>
      <c r="I1537" s="84"/>
      <c r="J1537" s="84"/>
      <c r="K1537" s="84"/>
      <c r="L1537" s="84"/>
      <c r="M1537" s="84"/>
      <c r="N1537" s="84"/>
      <c r="O1537" s="84"/>
      <c r="P1537" s="84"/>
      <c r="Q1537" s="84"/>
      <c r="R1537" s="84"/>
      <c r="S1537" s="84"/>
      <c r="T1537" s="84"/>
    </row>
    <row r="1538" ht="15.75" customHeight="1">
      <c r="A1538" s="84" t="s">
        <v>38250</v>
      </c>
      <c r="B1538" s="84">
        <v>1.0</v>
      </c>
      <c r="C1538" s="186"/>
      <c r="D1538" s="187"/>
      <c r="E1538" s="188"/>
      <c r="F1538" s="189"/>
      <c r="G1538" s="190"/>
      <c r="H1538" s="190"/>
      <c r="I1538" s="84"/>
      <c r="J1538" s="84"/>
      <c r="K1538" s="84"/>
      <c r="L1538" s="84"/>
      <c r="M1538" s="84"/>
      <c r="N1538" s="84"/>
      <c r="O1538" s="84"/>
      <c r="P1538" s="84"/>
      <c r="Q1538" s="84"/>
      <c r="R1538" s="84"/>
      <c r="S1538" s="84"/>
      <c r="T1538" s="84"/>
    </row>
    <row r="1539" ht="15.75" customHeight="1">
      <c r="A1539" s="84" t="s">
        <v>38251</v>
      </c>
      <c r="B1539" s="84">
        <v>1.0</v>
      </c>
      <c r="C1539" s="186"/>
      <c r="D1539" s="187"/>
      <c r="E1539" s="188"/>
      <c r="F1539" s="189"/>
      <c r="G1539" s="190"/>
      <c r="H1539" s="190"/>
      <c r="I1539" s="84"/>
      <c r="J1539" s="84"/>
      <c r="K1539" s="84"/>
      <c r="L1539" s="84"/>
      <c r="M1539" s="84"/>
      <c r="N1539" s="84"/>
      <c r="O1539" s="84"/>
      <c r="P1539" s="84"/>
      <c r="Q1539" s="84"/>
      <c r="R1539" s="84"/>
      <c r="S1539" s="84"/>
      <c r="T1539" s="84"/>
    </row>
    <row r="1540" ht="15.75" customHeight="1">
      <c r="A1540" s="84" t="s">
        <v>38252</v>
      </c>
      <c r="B1540" s="84">
        <v>1.0</v>
      </c>
      <c r="C1540" s="186"/>
      <c r="D1540" s="187"/>
      <c r="E1540" s="188"/>
      <c r="F1540" s="189"/>
      <c r="G1540" s="190"/>
      <c r="H1540" s="190"/>
      <c r="I1540" s="84"/>
      <c r="J1540" s="84"/>
      <c r="K1540" s="84"/>
      <c r="L1540" s="84"/>
      <c r="M1540" s="84"/>
      <c r="N1540" s="84"/>
      <c r="O1540" s="84"/>
      <c r="P1540" s="84"/>
      <c r="Q1540" s="84"/>
      <c r="R1540" s="84"/>
      <c r="S1540" s="84"/>
      <c r="T1540" s="84"/>
    </row>
    <row r="1541" ht="15.75" customHeight="1">
      <c r="A1541" s="84" t="s">
        <v>38253</v>
      </c>
      <c r="B1541" s="84">
        <v>29.0</v>
      </c>
      <c r="C1541" s="186"/>
      <c r="D1541" s="187"/>
      <c r="E1541" s="188"/>
      <c r="F1541" s="189"/>
      <c r="G1541" s="190"/>
      <c r="H1541" s="190"/>
      <c r="I1541" s="84"/>
      <c r="J1541" s="84"/>
      <c r="K1541" s="84"/>
      <c r="L1541" s="84"/>
      <c r="M1541" s="84"/>
      <c r="N1541" s="84"/>
      <c r="O1541" s="84"/>
      <c r="P1541" s="84"/>
      <c r="Q1541" s="84"/>
      <c r="R1541" s="84"/>
      <c r="S1541" s="84"/>
      <c r="T1541" s="84"/>
    </row>
    <row r="1542" ht="15.75" customHeight="1">
      <c r="A1542" s="84" t="s">
        <v>38254</v>
      </c>
      <c r="B1542" s="84">
        <v>1.0</v>
      </c>
      <c r="C1542" s="186"/>
      <c r="D1542" s="187"/>
      <c r="E1542" s="188"/>
      <c r="F1542" s="189"/>
      <c r="G1542" s="190"/>
      <c r="H1542" s="190"/>
      <c r="I1542" s="84"/>
      <c r="J1542" s="84"/>
      <c r="K1542" s="84"/>
      <c r="L1542" s="84"/>
      <c r="M1542" s="84"/>
      <c r="N1542" s="84"/>
      <c r="O1542" s="84"/>
      <c r="P1542" s="84"/>
      <c r="Q1542" s="84"/>
      <c r="R1542" s="84"/>
      <c r="S1542" s="84"/>
      <c r="T1542" s="84"/>
    </row>
    <row r="1543" ht="15.75" customHeight="1">
      <c r="A1543" s="84" t="s">
        <v>38256</v>
      </c>
      <c r="B1543" s="84">
        <v>1.0</v>
      </c>
      <c r="C1543" s="186"/>
      <c r="D1543" s="187"/>
      <c r="E1543" s="188"/>
      <c r="F1543" s="189"/>
      <c r="G1543" s="190"/>
      <c r="H1543" s="190"/>
      <c r="I1543" s="84"/>
      <c r="J1543" s="84"/>
      <c r="K1543" s="84"/>
      <c r="L1543" s="84"/>
      <c r="M1543" s="84"/>
      <c r="N1543" s="84"/>
      <c r="O1543" s="84"/>
      <c r="P1543" s="84"/>
      <c r="Q1543" s="84"/>
      <c r="R1543" s="84"/>
      <c r="S1543" s="84"/>
      <c r="T1543" s="84"/>
    </row>
    <row r="1544" ht="15.75" customHeight="1">
      <c r="A1544" s="84" t="s">
        <v>38257</v>
      </c>
      <c r="B1544" s="84">
        <v>5.0</v>
      </c>
      <c r="C1544" s="186"/>
      <c r="D1544" s="187"/>
      <c r="E1544" s="188"/>
      <c r="F1544" s="189"/>
      <c r="G1544" s="190"/>
      <c r="H1544" s="190"/>
      <c r="I1544" s="84"/>
      <c r="J1544" s="84"/>
      <c r="K1544" s="84"/>
      <c r="L1544" s="84"/>
      <c r="M1544" s="84"/>
      <c r="N1544" s="84"/>
      <c r="O1544" s="84"/>
      <c r="P1544" s="84"/>
      <c r="Q1544" s="84"/>
      <c r="R1544" s="84"/>
      <c r="S1544" s="84"/>
      <c r="T1544" s="84"/>
    </row>
    <row r="1545" ht="15.75" customHeight="1">
      <c r="A1545" s="84" t="s">
        <v>38258</v>
      </c>
      <c r="B1545" s="84">
        <v>1.0</v>
      </c>
      <c r="C1545" s="186"/>
      <c r="D1545" s="187"/>
      <c r="E1545" s="188"/>
      <c r="F1545" s="189"/>
      <c r="G1545" s="190"/>
      <c r="H1545" s="190"/>
      <c r="I1545" s="84"/>
      <c r="J1545" s="84"/>
      <c r="K1545" s="84"/>
      <c r="L1545" s="84"/>
      <c r="M1545" s="84"/>
      <c r="N1545" s="84"/>
      <c r="O1545" s="84"/>
      <c r="P1545" s="84"/>
      <c r="Q1545" s="84"/>
      <c r="R1545" s="84"/>
      <c r="S1545" s="84"/>
      <c r="T1545" s="84"/>
    </row>
    <row r="1546" ht="15.75" customHeight="1">
      <c r="A1546" s="84" t="s">
        <v>38259</v>
      </c>
      <c r="B1546" s="84">
        <v>1.0</v>
      </c>
      <c r="C1546" s="186"/>
      <c r="D1546" s="187"/>
      <c r="E1546" s="188"/>
      <c r="F1546" s="189"/>
      <c r="G1546" s="190"/>
      <c r="H1546" s="190"/>
      <c r="I1546" s="84"/>
      <c r="J1546" s="84"/>
      <c r="K1546" s="84"/>
      <c r="L1546" s="84"/>
      <c r="M1546" s="84"/>
      <c r="N1546" s="84"/>
      <c r="O1546" s="84"/>
      <c r="P1546" s="84"/>
      <c r="Q1546" s="84"/>
      <c r="R1546" s="84"/>
      <c r="S1546" s="84"/>
      <c r="T1546" s="84"/>
    </row>
    <row r="1547" ht="15.75" customHeight="1">
      <c r="A1547" s="84" t="s">
        <v>38260</v>
      </c>
      <c r="B1547" s="84">
        <v>1.0</v>
      </c>
      <c r="C1547" s="186"/>
      <c r="D1547" s="187"/>
      <c r="E1547" s="188"/>
      <c r="F1547" s="189"/>
      <c r="G1547" s="190"/>
      <c r="H1547" s="190"/>
      <c r="I1547" s="84"/>
      <c r="J1547" s="84"/>
      <c r="K1547" s="84"/>
      <c r="L1547" s="84"/>
      <c r="M1547" s="84"/>
      <c r="N1547" s="84"/>
      <c r="O1547" s="84"/>
      <c r="P1547" s="84"/>
      <c r="Q1547" s="84"/>
      <c r="R1547" s="84"/>
      <c r="S1547" s="84"/>
      <c r="T1547" s="84"/>
    </row>
    <row r="1548" ht="15.75" customHeight="1">
      <c r="A1548" s="84" t="s">
        <v>38264</v>
      </c>
      <c r="B1548" s="84">
        <v>1.0</v>
      </c>
      <c r="C1548" s="186"/>
      <c r="D1548" s="187"/>
      <c r="E1548" s="188"/>
      <c r="F1548" s="189"/>
      <c r="G1548" s="190"/>
      <c r="H1548" s="190"/>
      <c r="I1548" s="84"/>
      <c r="J1548" s="84"/>
      <c r="K1548" s="84"/>
      <c r="L1548" s="84"/>
      <c r="M1548" s="84"/>
      <c r="N1548" s="84"/>
      <c r="O1548" s="84"/>
      <c r="P1548" s="84"/>
      <c r="Q1548" s="84"/>
      <c r="R1548" s="84"/>
      <c r="S1548" s="84"/>
      <c r="T1548" s="84"/>
    </row>
    <row r="1549" ht="15.75" customHeight="1">
      <c r="A1549" s="84" t="s">
        <v>38265</v>
      </c>
      <c r="B1549" s="84">
        <v>1.0</v>
      </c>
      <c r="C1549" s="186"/>
      <c r="D1549" s="187"/>
      <c r="E1549" s="188"/>
      <c r="F1549" s="189"/>
      <c r="G1549" s="190"/>
      <c r="H1549" s="190"/>
      <c r="I1549" s="84"/>
      <c r="J1549" s="84"/>
      <c r="K1549" s="84"/>
      <c r="L1549" s="84"/>
      <c r="M1549" s="84"/>
      <c r="N1549" s="84"/>
      <c r="O1549" s="84"/>
      <c r="P1549" s="84"/>
      <c r="Q1549" s="84"/>
      <c r="R1549" s="84"/>
      <c r="S1549" s="84"/>
      <c r="T1549" s="84"/>
    </row>
    <row r="1550" ht="15.75" customHeight="1">
      <c r="A1550" s="84" t="s">
        <v>38266</v>
      </c>
      <c r="B1550" s="84">
        <v>2.0</v>
      </c>
      <c r="C1550" s="186"/>
      <c r="D1550" s="187"/>
      <c r="E1550" s="188"/>
      <c r="F1550" s="189"/>
      <c r="G1550" s="190"/>
      <c r="H1550" s="190"/>
      <c r="I1550" s="84"/>
      <c r="J1550" s="84"/>
      <c r="K1550" s="84"/>
      <c r="L1550" s="84"/>
      <c r="M1550" s="84"/>
      <c r="N1550" s="84"/>
      <c r="O1550" s="84"/>
      <c r="P1550" s="84"/>
      <c r="Q1550" s="84"/>
      <c r="R1550" s="84"/>
      <c r="S1550" s="84"/>
      <c r="T1550" s="84"/>
    </row>
    <row r="1551" ht="15.75" customHeight="1">
      <c r="A1551" s="84" t="s">
        <v>38270</v>
      </c>
      <c r="B1551" s="84">
        <v>1.0</v>
      </c>
      <c r="C1551" s="186"/>
      <c r="D1551" s="187"/>
      <c r="E1551" s="188"/>
      <c r="F1551" s="189"/>
      <c r="G1551" s="190"/>
      <c r="H1551" s="190"/>
      <c r="I1551" s="84"/>
      <c r="J1551" s="84"/>
      <c r="K1551" s="84"/>
      <c r="L1551" s="84"/>
      <c r="M1551" s="84"/>
      <c r="N1551" s="84"/>
      <c r="O1551" s="84"/>
      <c r="P1551" s="84"/>
      <c r="Q1551" s="84"/>
      <c r="R1551" s="84"/>
      <c r="S1551" s="84"/>
      <c r="T1551" s="84"/>
    </row>
    <row r="1552" ht="15.75" customHeight="1">
      <c r="A1552" s="84" t="s">
        <v>38271</v>
      </c>
      <c r="B1552" s="84">
        <v>1.0</v>
      </c>
      <c r="C1552" s="186"/>
      <c r="D1552" s="187"/>
      <c r="E1552" s="188"/>
      <c r="F1552" s="189"/>
      <c r="G1552" s="190"/>
      <c r="H1552" s="190"/>
      <c r="I1552" s="84"/>
      <c r="J1552" s="84"/>
      <c r="K1552" s="84"/>
      <c r="L1552" s="84"/>
      <c r="M1552" s="84"/>
      <c r="N1552" s="84"/>
      <c r="O1552" s="84"/>
      <c r="P1552" s="84"/>
      <c r="Q1552" s="84"/>
      <c r="R1552" s="84"/>
      <c r="S1552" s="84"/>
      <c r="T1552" s="84"/>
    </row>
    <row r="1553" ht="15.75" customHeight="1">
      <c r="A1553" s="84" t="s">
        <v>38272</v>
      </c>
      <c r="B1553" s="84">
        <v>1.0</v>
      </c>
      <c r="C1553" s="186"/>
      <c r="D1553" s="187"/>
      <c r="E1553" s="188"/>
      <c r="F1553" s="189"/>
      <c r="G1553" s="190"/>
      <c r="H1553" s="190"/>
      <c r="I1553" s="84"/>
      <c r="J1553" s="84"/>
      <c r="K1553" s="84"/>
      <c r="L1553" s="84"/>
      <c r="M1553" s="84"/>
      <c r="N1553" s="84"/>
      <c r="O1553" s="84"/>
      <c r="P1553" s="84"/>
      <c r="Q1553" s="84"/>
      <c r="R1553" s="84"/>
      <c r="S1553" s="84"/>
      <c r="T1553" s="84"/>
    </row>
    <row r="1554" ht="15.75" customHeight="1">
      <c r="A1554" s="84" t="s">
        <v>38276</v>
      </c>
      <c r="B1554" s="84">
        <v>1.0</v>
      </c>
      <c r="C1554" s="186"/>
      <c r="D1554" s="187"/>
      <c r="E1554" s="188"/>
      <c r="F1554" s="189"/>
      <c r="G1554" s="190"/>
      <c r="H1554" s="190"/>
      <c r="I1554" s="84"/>
      <c r="J1554" s="84"/>
      <c r="K1554" s="84"/>
      <c r="L1554" s="84"/>
      <c r="M1554" s="84"/>
      <c r="N1554" s="84"/>
      <c r="O1554" s="84"/>
      <c r="P1554" s="84"/>
      <c r="Q1554" s="84"/>
      <c r="R1554" s="84"/>
      <c r="S1554" s="84"/>
      <c r="T1554" s="84"/>
    </row>
    <row r="1555" ht="15.75" customHeight="1">
      <c r="A1555" s="84" t="s">
        <v>38277</v>
      </c>
      <c r="B1555" s="84">
        <v>1.0</v>
      </c>
      <c r="C1555" s="186" t="s">
        <v>18275</v>
      </c>
      <c r="D1555" s="187" t="s">
        <v>38278</v>
      </c>
      <c r="E1555" s="188"/>
      <c r="F1555" s="189"/>
      <c r="G1555" s="190"/>
      <c r="H1555" s="190"/>
      <c r="I1555" s="84"/>
      <c r="J1555" s="84"/>
      <c r="K1555" s="84"/>
      <c r="L1555" s="84"/>
      <c r="M1555" s="84"/>
      <c r="N1555" s="84"/>
      <c r="O1555" s="84"/>
      <c r="P1555" s="84"/>
      <c r="Q1555" s="84"/>
      <c r="R1555" s="84"/>
      <c r="S1555" s="84"/>
      <c r="T1555" s="84"/>
    </row>
    <row r="1556" ht="15.75" customHeight="1">
      <c r="A1556" s="84" t="s">
        <v>38278</v>
      </c>
      <c r="B1556" s="84">
        <v>1.0</v>
      </c>
      <c r="C1556" s="186"/>
      <c r="D1556" s="187"/>
      <c r="E1556" s="188"/>
      <c r="F1556" s="189"/>
      <c r="G1556" s="190" t="s">
        <v>36963</v>
      </c>
      <c r="H1556" s="190"/>
      <c r="I1556" s="84"/>
      <c r="J1556" s="84"/>
      <c r="K1556" s="84"/>
      <c r="L1556" s="84"/>
      <c r="M1556" s="84"/>
      <c r="N1556" s="84"/>
      <c r="O1556" s="84"/>
      <c r="P1556" s="84"/>
      <c r="Q1556" s="84"/>
      <c r="R1556" s="84"/>
      <c r="S1556" s="84"/>
      <c r="T1556" s="84"/>
    </row>
    <row r="1557" ht="15.75" customHeight="1">
      <c r="A1557" s="84" t="s">
        <v>38284</v>
      </c>
      <c r="B1557" s="84">
        <v>1.0</v>
      </c>
      <c r="C1557" s="186"/>
      <c r="D1557" s="187"/>
      <c r="E1557" s="188"/>
      <c r="F1557" s="189"/>
      <c r="G1557" s="190"/>
      <c r="H1557" s="190"/>
      <c r="I1557" s="84"/>
      <c r="J1557" s="84"/>
      <c r="K1557" s="84"/>
      <c r="L1557" s="84"/>
      <c r="M1557" s="84"/>
      <c r="N1557" s="84"/>
      <c r="O1557" s="84"/>
      <c r="P1557" s="84"/>
      <c r="Q1557" s="84"/>
      <c r="R1557" s="84"/>
      <c r="S1557" s="84"/>
      <c r="T1557" s="84"/>
    </row>
    <row r="1558" ht="15.75" customHeight="1">
      <c r="A1558" s="84" t="s">
        <v>38288</v>
      </c>
      <c r="B1558" s="84">
        <v>1.0</v>
      </c>
      <c r="C1558" s="186" t="s">
        <v>18275</v>
      </c>
      <c r="D1558" s="187" t="s">
        <v>38278</v>
      </c>
      <c r="E1558" s="188"/>
      <c r="F1558" s="189"/>
      <c r="G1558" s="190"/>
      <c r="H1558" s="190"/>
      <c r="I1558" s="84"/>
      <c r="J1558" s="84"/>
      <c r="K1558" s="84"/>
      <c r="L1558" s="84"/>
      <c r="M1558" s="84"/>
      <c r="N1558" s="84"/>
      <c r="O1558" s="84"/>
      <c r="P1558" s="84"/>
      <c r="Q1558" s="84"/>
      <c r="R1558" s="84"/>
      <c r="S1558" s="84"/>
      <c r="T1558" s="84"/>
    </row>
    <row r="1559" ht="15.75" customHeight="1">
      <c r="A1559" s="84" t="s">
        <v>38289</v>
      </c>
      <c r="B1559" s="84">
        <v>1.0</v>
      </c>
      <c r="C1559" s="186"/>
      <c r="D1559" s="187"/>
      <c r="E1559" s="188"/>
      <c r="F1559" s="189"/>
      <c r="G1559" s="190"/>
      <c r="H1559" s="190"/>
      <c r="I1559" s="84"/>
      <c r="J1559" s="84"/>
      <c r="K1559" s="84"/>
      <c r="L1559" s="84"/>
      <c r="M1559" s="84"/>
      <c r="N1559" s="84"/>
      <c r="O1559" s="84"/>
      <c r="P1559" s="84"/>
      <c r="Q1559" s="84"/>
      <c r="R1559" s="84"/>
      <c r="S1559" s="84"/>
      <c r="T1559" s="84"/>
    </row>
    <row r="1560" ht="15.75" customHeight="1">
      <c r="A1560" s="84" t="s">
        <v>38292</v>
      </c>
      <c r="B1560" s="84">
        <v>1.0</v>
      </c>
      <c r="C1560" s="186"/>
      <c r="D1560" s="187"/>
      <c r="E1560" s="188" t="s">
        <v>38293</v>
      </c>
      <c r="F1560" s="189"/>
      <c r="G1560" s="190"/>
      <c r="H1560" s="190"/>
      <c r="I1560" s="84"/>
      <c r="J1560" s="84"/>
      <c r="K1560" s="84"/>
      <c r="L1560" s="84"/>
      <c r="M1560" s="84"/>
      <c r="N1560" s="84"/>
      <c r="O1560" s="84"/>
      <c r="P1560" s="84"/>
      <c r="Q1560" s="84"/>
      <c r="R1560" s="84"/>
      <c r="S1560" s="84"/>
      <c r="T1560" s="84"/>
    </row>
    <row r="1561" ht="15.75" customHeight="1">
      <c r="A1561" s="84" t="s">
        <v>38295</v>
      </c>
      <c r="B1561" s="84">
        <v>1.0</v>
      </c>
      <c r="C1561" s="186"/>
      <c r="D1561" s="187"/>
      <c r="E1561" s="188"/>
      <c r="F1561" s="189"/>
      <c r="G1561" s="190"/>
      <c r="H1561" s="190"/>
      <c r="I1561" s="84"/>
      <c r="J1561" s="84"/>
      <c r="K1561" s="84"/>
      <c r="L1561" s="84"/>
      <c r="M1561" s="84"/>
      <c r="N1561" s="84"/>
      <c r="O1561" s="84"/>
      <c r="P1561" s="84"/>
      <c r="Q1561" s="84"/>
      <c r="R1561" s="84"/>
      <c r="S1561" s="84"/>
      <c r="T1561" s="84"/>
    </row>
    <row r="1562" ht="15.75" customHeight="1">
      <c r="A1562" s="84" t="s">
        <v>38296</v>
      </c>
      <c r="B1562" s="84">
        <v>1.0</v>
      </c>
      <c r="C1562" s="186"/>
      <c r="D1562" s="187"/>
      <c r="E1562" s="188"/>
      <c r="F1562" s="189"/>
      <c r="G1562" s="190"/>
      <c r="H1562" s="190"/>
      <c r="I1562" s="84"/>
      <c r="J1562" s="84"/>
      <c r="K1562" s="84"/>
      <c r="L1562" s="84"/>
      <c r="M1562" s="84"/>
      <c r="N1562" s="84"/>
      <c r="O1562" s="84"/>
      <c r="P1562" s="84"/>
      <c r="Q1562" s="84"/>
      <c r="R1562" s="84"/>
      <c r="S1562" s="84"/>
      <c r="T1562" s="84"/>
    </row>
    <row r="1563" ht="15.75" customHeight="1">
      <c r="A1563" s="84" t="s">
        <v>38298</v>
      </c>
      <c r="B1563" s="84">
        <v>1.0</v>
      </c>
      <c r="C1563" s="186" t="s">
        <v>18275</v>
      </c>
      <c r="D1563" s="187" t="s">
        <v>38300</v>
      </c>
      <c r="E1563" s="188"/>
      <c r="F1563" s="189"/>
      <c r="G1563" s="190"/>
      <c r="H1563" s="190"/>
      <c r="I1563" s="84"/>
      <c r="J1563" s="84"/>
      <c r="K1563" s="84"/>
      <c r="L1563" s="84"/>
      <c r="M1563" s="84"/>
      <c r="N1563" s="84"/>
      <c r="O1563" s="84"/>
      <c r="P1563" s="84"/>
      <c r="Q1563" s="84"/>
      <c r="R1563" s="84"/>
      <c r="S1563" s="84"/>
      <c r="T1563" s="84"/>
    </row>
    <row r="1564" ht="15.75" customHeight="1">
      <c r="A1564" s="84" t="s">
        <v>38302</v>
      </c>
      <c r="B1564" s="84">
        <v>1.0</v>
      </c>
      <c r="C1564" s="186"/>
      <c r="D1564" s="187"/>
      <c r="E1564" s="188"/>
      <c r="F1564" s="189"/>
      <c r="G1564" s="190"/>
      <c r="H1564" s="190"/>
      <c r="I1564" s="84"/>
      <c r="J1564" s="84"/>
      <c r="K1564" s="84"/>
      <c r="L1564" s="84"/>
      <c r="M1564" s="84"/>
      <c r="N1564" s="84"/>
      <c r="O1564" s="84"/>
      <c r="P1564" s="84"/>
      <c r="Q1564" s="84"/>
      <c r="R1564" s="84"/>
      <c r="S1564" s="84"/>
      <c r="T1564" s="84"/>
    </row>
    <row r="1565" ht="15.75" customHeight="1">
      <c r="A1565" s="84" t="s">
        <v>38303</v>
      </c>
      <c r="B1565" s="84">
        <v>1.0</v>
      </c>
      <c r="C1565" s="186"/>
      <c r="D1565" s="187"/>
      <c r="E1565" s="188"/>
      <c r="F1565" s="189"/>
      <c r="G1565" s="190"/>
      <c r="H1565" s="190"/>
      <c r="I1565" s="84"/>
      <c r="J1565" s="84"/>
      <c r="K1565" s="84"/>
      <c r="L1565" s="84"/>
      <c r="M1565" s="84"/>
      <c r="N1565" s="84"/>
      <c r="O1565" s="84"/>
      <c r="P1565" s="84"/>
      <c r="Q1565" s="84"/>
      <c r="R1565" s="84"/>
      <c r="S1565" s="84"/>
      <c r="T1565" s="84"/>
    </row>
    <row r="1566" ht="15.75" customHeight="1">
      <c r="A1566" s="84" t="s">
        <v>38315</v>
      </c>
      <c r="B1566" s="84">
        <v>1.0</v>
      </c>
      <c r="C1566" s="186"/>
      <c r="D1566" s="187"/>
      <c r="E1566" s="188"/>
      <c r="F1566" s="189"/>
      <c r="G1566" s="190"/>
      <c r="H1566" s="190"/>
      <c r="I1566" s="84"/>
      <c r="J1566" s="84"/>
      <c r="K1566" s="84"/>
      <c r="L1566" s="84"/>
      <c r="M1566" s="84"/>
      <c r="N1566" s="84"/>
      <c r="O1566" s="84"/>
      <c r="P1566" s="84"/>
      <c r="Q1566" s="84"/>
      <c r="R1566" s="84"/>
      <c r="S1566" s="84"/>
      <c r="T1566" s="84"/>
    </row>
    <row r="1567" ht="15.75" customHeight="1">
      <c r="A1567" s="84" t="s">
        <v>38329</v>
      </c>
      <c r="B1567" s="84">
        <v>1.0</v>
      </c>
      <c r="C1567" s="186"/>
      <c r="D1567" s="187"/>
      <c r="E1567" s="188"/>
      <c r="F1567" s="189"/>
      <c r="G1567" s="190"/>
      <c r="H1567" s="190"/>
      <c r="I1567" s="84"/>
      <c r="J1567" s="84"/>
      <c r="K1567" s="84"/>
      <c r="L1567" s="84"/>
      <c r="M1567" s="84"/>
      <c r="N1567" s="84"/>
      <c r="O1567" s="84"/>
      <c r="P1567" s="84"/>
      <c r="Q1567" s="84"/>
      <c r="R1567" s="84"/>
      <c r="S1567" s="84"/>
      <c r="T1567" s="84"/>
    </row>
    <row r="1568" ht="15.75" customHeight="1">
      <c r="A1568" s="84" t="s">
        <v>38330</v>
      </c>
      <c r="B1568" s="84">
        <v>1.0</v>
      </c>
      <c r="C1568" s="186"/>
      <c r="D1568" s="187" t="s">
        <v>38331</v>
      </c>
      <c r="E1568" s="188"/>
      <c r="F1568" s="189"/>
      <c r="G1568" s="190"/>
      <c r="H1568" s="190"/>
      <c r="I1568" s="84"/>
      <c r="J1568" s="84"/>
      <c r="K1568" s="84"/>
      <c r="L1568" s="84"/>
      <c r="M1568" s="84"/>
      <c r="N1568" s="84"/>
      <c r="O1568" s="84"/>
      <c r="P1568" s="84"/>
      <c r="Q1568" s="84"/>
      <c r="R1568" s="84"/>
      <c r="S1568" s="84"/>
      <c r="T1568" s="84"/>
    </row>
    <row r="1569" ht="15.75" customHeight="1">
      <c r="A1569" s="84" t="s">
        <v>38331</v>
      </c>
      <c r="B1569" s="84">
        <v>1.0</v>
      </c>
      <c r="C1569" s="186"/>
      <c r="D1569" s="187"/>
      <c r="E1569" s="188"/>
      <c r="F1569" s="189"/>
      <c r="G1569" s="190"/>
      <c r="H1569" s="190"/>
      <c r="I1569" s="84"/>
      <c r="J1569" s="84"/>
      <c r="K1569" s="84"/>
      <c r="L1569" s="84"/>
      <c r="M1569" s="84"/>
      <c r="N1569" s="84"/>
      <c r="O1569" s="84"/>
      <c r="P1569" s="84"/>
      <c r="Q1569" s="84"/>
      <c r="R1569" s="84"/>
      <c r="S1569" s="84"/>
      <c r="T1569" s="84"/>
    </row>
    <row r="1570" ht="15.75" customHeight="1">
      <c r="A1570" s="84" t="s">
        <v>38333</v>
      </c>
      <c r="B1570" s="84">
        <v>1.0</v>
      </c>
      <c r="C1570" s="186"/>
      <c r="D1570" s="187"/>
      <c r="E1570" s="188"/>
      <c r="F1570" s="189"/>
      <c r="G1570" s="190"/>
      <c r="H1570" s="190"/>
      <c r="I1570" s="84"/>
      <c r="J1570" s="84"/>
      <c r="K1570" s="84"/>
      <c r="L1570" s="84"/>
      <c r="M1570" s="84"/>
      <c r="N1570" s="84"/>
      <c r="O1570" s="84"/>
      <c r="P1570" s="84"/>
      <c r="Q1570" s="84"/>
      <c r="R1570" s="84"/>
      <c r="S1570" s="84"/>
      <c r="T1570" s="84"/>
    </row>
    <row r="1571" ht="15.75" customHeight="1">
      <c r="A1571" s="84" t="s">
        <v>38335</v>
      </c>
      <c r="B1571" s="84">
        <v>1.0</v>
      </c>
      <c r="C1571" s="186"/>
      <c r="D1571" s="187"/>
      <c r="E1571" s="188"/>
      <c r="F1571" s="189"/>
      <c r="G1571" s="190"/>
      <c r="H1571" s="190"/>
      <c r="I1571" s="84"/>
      <c r="J1571" s="84"/>
      <c r="K1571" s="84"/>
      <c r="L1571" s="84"/>
      <c r="M1571" s="84"/>
      <c r="N1571" s="84"/>
      <c r="O1571" s="84"/>
      <c r="P1571" s="84"/>
      <c r="Q1571" s="84"/>
      <c r="R1571" s="84"/>
      <c r="S1571" s="84"/>
      <c r="T1571" s="84"/>
    </row>
    <row r="1572" ht="15.75" customHeight="1">
      <c r="A1572" s="84" t="s">
        <v>38338</v>
      </c>
      <c r="B1572" s="84">
        <v>1.0</v>
      </c>
      <c r="C1572" s="186"/>
      <c r="D1572" s="187"/>
      <c r="E1572" s="188"/>
      <c r="F1572" s="189"/>
      <c r="G1572" s="190"/>
      <c r="H1572" s="190"/>
      <c r="I1572" s="84"/>
      <c r="J1572" s="84"/>
      <c r="K1572" s="84"/>
      <c r="L1572" s="84"/>
      <c r="M1572" s="84"/>
      <c r="N1572" s="84"/>
      <c r="O1572" s="84"/>
      <c r="P1572" s="84"/>
      <c r="Q1572" s="84"/>
      <c r="R1572" s="84"/>
      <c r="S1572" s="84"/>
      <c r="T1572" s="84"/>
    </row>
    <row r="1573" ht="15.75" customHeight="1">
      <c r="A1573" s="84" t="s">
        <v>38339</v>
      </c>
      <c r="B1573" s="84">
        <v>1.0</v>
      </c>
      <c r="C1573" s="186"/>
      <c r="D1573" s="187"/>
      <c r="E1573" s="188"/>
      <c r="F1573" s="189"/>
      <c r="G1573" s="190"/>
      <c r="H1573" s="190"/>
      <c r="I1573" s="84"/>
      <c r="J1573" s="84"/>
      <c r="K1573" s="84"/>
      <c r="L1573" s="84"/>
      <c r="M1573" s="84"/>
      <c r="N1573" s="84"/>
      <c r="O1573" s="84"/>
      <c r="P1573" s="84"/>
      <c r="Q1573" s="84"/>
      <c r="R1573" s="84"/>
      <c r="S1573" s="84"/>
      <c r="T1573" s="84"/>
    </row>
    <row r="1574" ht="15.75" customHeight="1">
      <c r="A1574" s="84" t="s">
        <v>38343</v>
      </c>
      <c r="B1574" s="84">
        <v>1.0</v>
      </c>
      <c r="C1574" s="186"/>
      <c r="D1574" s="187"/>
      <c r="E1574" s="188"/>
      <c r="F1574" s="189"/>
      <c r="G1574" s="190"/>
      <c r="H1574" s="190"/>
      <c r="I1574" s="84"/>
      <c r="J1574" s="84"/>
      <c r="K1574" s="84"/>
      <c r="L1574" s="84"/>
      <c r="M1574" s="84"/>
      <c r="N1574" s="84"/>
      <c r="O1574" s="84"/>
      <c r="P1574" s="84"/>
      <c r="Q1574" s="84"/>
      <c r="R1574" s="84"/>
      <c r="S1574" s="84"/>
      <c r="T1574" s="84"/>
    </row>
    <row r="1575" ht="15.75" customHeight="1">
      <c r="A1575" s="84" t="s">
        <v>38300</v>
      </c>
      <c r="B1575" s="84">
        <v>1.0</v>
      </c>
      <c r="C1575" s="186"/>
      <c r="D1575" s="187"/>
      <c r="E1575" s="188"/>
      <c r="F1575" s="189"/>
      <c r="G1575" s="190"/>
      <c r="H1575" s="190"/>
      <c r="I1575" s="84"/>
      <c r="J1575" s="84"/>
      <c r="K1575" s="84"/>
      <c r="L1575" s="84"/>
      <c r="M1575" s="84"/>
      <c r="N1575" s="84"/>
      <c r="O1575" s="84"/>
      <c r="P1575" s="84"/>
      <c r="Q1575" s="84"/>
      <c r="R1575" s="84"/>
      <c r="S1575" s="84"/>
      <c r="T1575" s="84"/>
    </row>
    <row r="1576" ht="15.75" customHeight="1">
      <c r="A1576" s="84" t="s">
        <v>38344</v>
      </c>
      <c r="B1576" s="84">
        <v>1.0</v>
      </c>
      <c r="C1576" s="186"/>
      <c r="D1576" s="187"/>
      <c r="E1576" s="188"/>
      <c r="F1576" s="189"/>
      <c r="G1576" s="190"/>
      <c r="H1576" s="190"/>
      <c r="I1576" s="84"/>
      <c r="J1576" s="84"/>
      <c r="K1576" s="84"/>
      <c r="L1576" s="84"/>
      <c r="M1576" s="84"/>
      <c r="N1576" s="84"/>
      <c r="O1576" s="84"/>
      <c r="P1576" s="84"/>
      <c r="Q1576" s="84"/>
      <c r="R1576" s="84"/>
      <c r="S1576" s="84"/>
      <c r="T1576" s="84"/>
    </row>
    <row r="1577" ht="15.75" customHeight="1">
      <c r="A1577" s="84" t="s">
        <v>38345</v>
      </c>
      <c r="B1577" s="84">
        <v>1.0</v>
      </c>
      <c r="C1577" s="186"/>
      <c r="D1577" s="187"/>
      <c r="E1577" s="188"/>
      <c r="F1577" s="189"/>
      <c r="G1577" s="190"/>
      <c r="H1577" s="190"/>
      <c r="I1577" s="84"/>
      <c r="J1577" s="84"/>
      <c r="K1577" s="84"/>
      <c r="L1577" s="84"/>
      <c r="M1577" s="84"/>
      <c r="N1577" s="84"/>
      <c r="O1577" s="84"/>
      <c r="P1577" s="84"/>
      <c r="Q1577" s="84"/>
      <c r="R1577" s="84"/>
      <c r="S1577" s="84"/>
      <c r="T1577" s="84"/>
    </row>
    <row r="1578" ht="15.75" customHeight="1">
      <c r="A1578" s="84" t="s">
        <v>38346</v>
      </c>
      <c r="B1578" s="84">
        <v>1.0</v>
      </c>
      <c r="C1578" s="186"/>
      <c r="D1578" s="187"/>
      <c r="E1578" s="188"/>
      <c r="F1578" s="189"/>
      <c r="G1578" s="190"/>
      <c r="H1578" s="190"/>
      <c r="I1578" s="84"/>
      <c r="J1578" s="84"/>
      <c r="K1578" s="84"/>
      <c r="L1578" s="84"/>
      <c r="M1578" s="84"/>
      <c r="N1578" s="84"/>
      <c r="O1578" s="84"/>
      <c r="P1578" s="84"/>
      <c r="Q1578" s="84"/>
      <c r="R1578" s="84"/>
      <c r="S1578" s="84"/>
      <c r="T1578" s="84"/>
    </row>
    <row r="1579" ht="15.75" customHeight="1">
      <c r="A1579" s="84" t="s">
        <v>38348</v>
      </c>
      <c r="B1579" s="84">
        <v>1.0</v>
      </c>
      <c r="C1579" s="186"/>
      <c r="D1579" s="187"/>
      <c r="E1579" s="188"/>
      <c r="F1579" s="189"/>
      <c r="G1579" s="190"/>
      <c r="H1579" s="190"/>
      <c r="I1579" s="84"/>
      <c r="J1579" s="84"/>
      <c r="K1579" s="84"/>
      <c r="L1579" s="84"/>
      <c r="M1579" s="84"/>
      <c r="N1579" s="84"/>
      <c r="O1579" s="84"/>
      <c r="P1579" s="84"/>
      <c r="Q1579" s="84"/>
      <c r="R1579" s="84"/>
      <c r="S1579" s="84"/>
      <c r="T1579" s="84"/>
    </row>
  </sheetData>
  <mergeCells count="1">
    <mergeCell ref="F2:H2"/>
  </mergeCells>
  <conditionalFormatting sqref="C3:C1579">
    <cfRule type="expression" dxfId="0" priority="1">
      <formula>AND(EQ(IF(NOT(ISBLANK($D3)),COUNTIF($A$3:$A$1579, $D3),1),0),NOT(ISBLANK($C3)))</formula>
    </cfRule>
  </conditionalFormatting>
  <conditionalFormatting sqref="D3:D1579">
    <cfRule type="expression" dxfId="1" priority="2">
      <formula>EQ(IF(NOT(ISBLANK($D3)),COUNTIF($A$3:$A$1579, $D3),1),0)</formula>
    </cfRule>
  </conditionalFormatting>
  <conditionalFormatting sqref="D10">
    <cfRule type="expression" dxfId="1" priority="3">
      <formula>EQ(IF(NOT(ISBLANK($D10)),COUNTIF($A$3:$A$1579, $D10),1),0)</formula>
    </cfRule>
  </conditionalFormatting>
  <conditionalFormatting sqref="F3:H1579">
    <cfRule type="expression" dxfId="0" priority="4">
      <formula>NOT(ISBLANK($C3))</formula>
    </cfRule>
  </conditionalFormatting>
  <drawing r:id="rId2"/>
  <legacyDrawing r:id="rId3"/>
</worksheet>
</file>